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drawings/drawing3.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drawings/drawing4.xml" ContentType="application/vnd.openxmlformats-officedocument.drawing+xml"/>
  <Override PartName="/xl/comments3.xml" ContentType="application/vnd.openxmlformats-officedocument.spreadsheetml.comments+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drawings/drawing5.xml" ContentType="application/vnd.openxmlformats-officedocument.drawing+xml"/>
  <Override PartName="/xl/tables/table153.xml" ContentType="application/vnd.openxmlformats-officedocument.spreadsheetml.table+xml"/>
  <Override PartName="/xl/tables/table154.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tables/table155.xml" ContentType="application/vnd.openxmlformats-officedocument.spreadsheetml.table+xml"/>
  <Override PartName="/xl/comments7.xml" ContentType="application/vnd.openxmlformats-officedocument.spreadsheetml.comments+xml"/>
  <Override PartName="/xl/tables/table156.xml" ContentType="application/vnd.openxmlformats-officedocument.spreadsheetml.table+xml"/>
  <Override PartName="/xl/tables/table157.xml" ContentType="application/vnd.openxmlformats-officedocument.spreadsheetml.table+xml"/>
  <Override PartName="/xl/comments8.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drawings/drawing11.xml" ContentType="application/vnd.openxmlformats-officedocument.drawing+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drawings/drawing12.xml" ContentType="application/vnd.openxmlformats-officedocument.drawing+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tables/table198.xml" ContentType="application/vnd.openxmlformats-officedocument.spreadsheetml.table+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tables/table210.xml" ContentType="application/vnd.openxmlformats-officedocument.spreadsheetml.table+xml"/>
  <Override PartName="/xl/drawings/drawing13.xml" ContentType="application/vnd.openxmlformats-officedocument.drawing+xml"/>
  <Override PartName="/xl/tables/table211.xml" ContentType="application/vnd.openxmlformats-officedocument.spreadsheetml.table+xml"/>
  <Override PartName="/xl/tables/table212.xml" ContentType="application/vnd.openxmlformats-officedocument.spreadsheetml.table+xml"/>
  <Override PartName="/xl/comments9.xml" ContentType="application/vnd.openxmlformats-officedocument.spreadsheetml.comments+xml"/>
  <Override PartName="/xl/threadedComments/threadedComment1.xml" ContentType="application/vnd.ms-excel.threadedcomments+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tables/table223.xml" ContentType="application/vnd.openxmlformats-officedocument.spreadsheetml.table+xml"/>
  <Override PartName="/xl/comments10.xml" ContentType="application/vnd.openxmlformats-officedocument.spreadsheetml.comments+xml"/>
  <Override PartName="/xl/drawings/drawing14.xml" ContentType="application/vnd.openxmlformats-officedocument.drawing+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tables/table235.xml" ContentType="application/vnd.openxmlformats-officedocument.spreadsheetml.table+xml"/>
  <Override PartName="/xl/tables/table236.xml" ContentType="application/vnd.openxmlformats-officedocument.spreadsheetml.table+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tables/table237.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tables/table238.xml" ContentType="application/vnd.openxmlformats-officedocument.spreadsheetml.table+xml"/>
  <Override PartName="/xl/drawings/drawing17.xml" ContentType="application/vnd.openxmlformats-officedocument.drawing+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tables/table242.xml" ContentType="application/vnd.openxmlformats-officedocument.spreadsheetml.table+xml"/>
  <Override PartName="/xl/drawings/drawing18.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tables/table243.xml" ContentType="application/vnd.openxmlformats-officedocument.spreadsheetml.table+xml"/>
  <Override PartName="/xl/tables/table244.xml" ContentType="application/vnd.openxmlformats-officedocument.spreadsheetml.table+xml"/>
  <Override PartName="/xl/tables/table245.xml" ContentType="application/vnd.openxmlformats-officedocument.spreadsheetml.table+xml"/>
  <Override PartName="/xl/drawings/drawing19.xml" ContentType="application/vnd.openxmlformats-officedocument.drawing+xml"/>
  <Override PartName="/xl/tables/table246.xml" ContentType="application/vnd.openxmlformats-officedocument.spreadsheetml.table+xml"/>
  <Override PartName="/xl/tables/table247.xml" ContentType="application/vnd.openxmlformats-officedocument.spreadsheetml.table+xml"/>
  <Override PartName="/xl/tables/table248.xml" ContentType="application/vnd.openxmlformats-officedocument.spreadsheetml.table+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tables/table279.xml" ContentType="application/vnd.openxmlformats-officedocument.spreadsheetml.table+xml"/>
  <Override PartName="/xl/tables/table280.xml" ContentType="application/vnd.openxmlformats-officedocument.spreadsheetml.table+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tables/table292.xml" ContentType="application/vnd.openxmlformats-officedocument.spreadsheetml.table+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tables/table296.xml" ContentType="application/vnd.openxmlformats-officedocument.spreadsheetml.table+xml"/>
  <Override PartName="/xl/tables/table297.xml" ContentType="application/vnd.openxmlformats-officedocument.spreadsheetml.table+xml"/>
  <Override PartName="/xl/tables/table298.xml" ContentType="application/vnd.openxmlformats-officedocument.spreadsheetml.table+xml"/>
  <Override PartName="/xl/tables/table299.xml" ContentType="application/vnd.openxmlformats-officedocument.spreadsheetml.table+xml"/>
  <Override PartName="/xl/tables/table300.xml" ContentType="application/vnd.openxmlformats-officedocument.spreadsheetml.table+xml"/>
  <Override PartName="/xl/tables/table301.xml" ContentType="application/vnd.openxmlformats-officedocument.spreadsheetml.table+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tables/table308.xml" ContentType="application/vnd.openxmlformats-officedocument.spreadsheetml.table+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tables/table312.xml" ContentType="application/vnd.openxmlformats-officedocument.spreadsheetml.table+xml"/>
  <Override PartName="/xl/tables/table313.xml" ContentType="application/vnd.openxmlformats-officedocument.spreadsheetml.table+xml"/>
  <Override PartName="/xl/tables/table314.xml" ContentType="application/vnd.openxmlformats-officedocument.spreadsheetml.table+xml"/>
  <Override PartName="/xl/tables/table315.xml" ContentType="application/vnd.openxmlformats-officedocument.spreadsheetml.table+xml"/>
  <Override PartName="/xl/tables/table316.xml" ContentType="application/vnd.openxmlformats-officedocument.spreadsheetml.table+xml"/>
  <Override PartName="/xl/tables/table317.xml" ContentType="application/vnd.openxmlformats-officedocument.spreadsheetml.table+xml"/>
  <Override PartName="/xl/tables/table318.xml" ContentType="application/vnd.openxmlformats-officedocument.spreadsheetml.table+xml"/>
  <Override PartName="/xl/tables/table319.xml" ContentType="application/vnd.openxmlformats-officedocument.spreadsheetml.table+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tables/table333.xml" ContentType="application/vnd.openxmlformats-officedocument.spreadsheetml.table+xml"/>
  <Override PartName="/xl/tables/table334.xml" ContentType="application/vnd.openxmlformats-officedocument.spreadsheetml.table+xml"/>
  <Override PartName="/xl/tables/table335.xml" ContentType="application/vnd.openxmlformats-officedocument.spreadsheetml.table+xml"/>
  <Override PartName="/xl/tables/table336.xml" ContentType="application/vnd.openxmlformats-officedocument.spreadsheetml.table+xml"/>
  <Override PartName="/xl/tables/table337.xml" ContentType="application/vnd.openxmlformats-officedocument.spreadsheetml.table+xml"/>
  <Override PartName="/xl/tables/table338.xml" ContentType="application/vnd.openxmlformats-officedocument.spreadsheetml.table+xml"/>
  <Override PartName="/xl/tables/table339.xml" ContentType="application/vnd.openxmlformats-officedocument.spreadsheetml.table+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tables/table350.xml" ContentType="application/vnd.openxmlformats-officedocument.spreadsheetml.table+xml"/>
  <Override PartName="/xl/tables/table351.xml" ContentType="application/vnd.openxmlformats-officedocument.spreadsheetml.table+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tables/table363.xml" ContentType="application/vnd.openxmlformats-officedocument.spreadsheetml.table+xml"/>
  <Override PartName="/xl/tables/table364.xml" ContentType="application/vnd.openxmlformats-officedocument.spreadsheetml.table+xml"/>
  <Override PartName="/xl/tables/table365.xml" ContentType="application/vnd.openxmlformats-officedocument.spreadsheetml.table+xml"/>
  <Override PartName="/xl/tables/table366.xml" ContentType="application/vnd.openxmlformats-officedocument.spreadsheetml.table+xml"/>
  <Override PartName="/xl/tables/table367.xml" ContentType="application/vnd.openxmlformats-officedocument.spreadsheetml.table+xml"/>
  <Override PartName="/xl/tables/table368.xml" ContentType="application/vnd.openxmlformats-officedocument.spreadsheetml.table+xml"/>
  <Override PartName="/xl/tables/table369.xml" ContentType="application/vnd.openxmlformats-officedocument.spreadsheetml.table+xml"/>
  <Override PartName="/xl/tables/table370.xml" ContentType="application/vnd.openxmlformats-officedocument.spreadsheetml.table+xml"/>
  <Override PartName="/xl/tables/table371.xml" ContentType="application/vnd.openxmlformats-officedocument.spreadsheetml.table+xml"/>
  <Override PartName="/xl/tables/table372.xml" ContentType="application/vnd.openxmlformats-officedocument.spreadsheetml.table+xml"/>
  <Override PartName="/xl/tables/table373.xml" ContentType="application/vnd.openxmlformats-officedocument.spreadsheetml.table+xml"/>
  <Override PartName="/xl/tables/table374.xml" ContentType="application/vnd.openxmlformats-officedocument.spreadsheetml.table+xml"/>
  <Override PartName="/xl/comments13.xml" ContentType="application/vnd.openxmlformats-officedocument.spreadsheetml.comments+xml"/>
  <Override PartName="/xl/drawings/drawing20.xml" ContentType="application/vnd.openxmlformats-officedocument.drawing+xml"/>
  <Override PartName="/xl/comments14.xml" ContentType="application/vnd.openxmlformats-officedocument.spreadsheetml.comments+xml"/>
  <Override PartName="/xl/drawings/drawing2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updateLinks="never" codeName="ЦяКнига"/>
  <mc:AlternateContent xmlns:mc="http://schemas.openxmlformats.org/markup-compatibility/2006">
    <mc:Choice Requires="x15">
      <x15ac:absPath xmlns:x15ac="http://schemas.microsoft.com/office/spreadsheetml/2010/11/ac" url="https://d.docs.live.net/4050d6280c872bd7/TRPG/ZZ_TOOLS/0_DEVELOPMENT/902_CORMYR/"/>
    </mc:Choice>
  </mc:AlternateContent>
  <xr:revisionPtr revIDLastSave="666" documentId="8_{AC9AD858-2E0F-4CDA-A6A7-06BDA14CCC24}" xr6:coauthVersionLast="45" xr6:coauthVersionMax="45" xr10:uidLastSave="{7FEAA67E-3C16-415A-9404-38C147B83CBF}"/>
  <bookViews>
    <workbookView xWindow="2295" yWindow="2295" windowWidth="21600" windowHeight="11415" tabRatio="784" firstSheet="43" activeTab="47" xr2:uid="{BCE075F4-0ADC-4064-941B-948FB9D6891C}"/>
  </bookViews>
  <sheets>
    <sheet name="CALENDAR1493" sheetId="86" r:id="rId1"/>
    <sheet name="TOC" sheetId="83" r:id="rId2"/>
    <sheet name="Weather" sheetId="79" r:id="rId3"/>
    <sheet name="Journal" sheetId="76" r:id="rId4"/>
    <sheet name="PARTY" sheetId="87" r:id="rId5"/>
    <sheet name="Level Tables" sheetId="75" r:id="rId6"/>
    <sheet name="NPCs (2)" sheetId="74" r:id="rId7"/>
    <sheet name="Prices" sheetId="73" r:id="rId8"/>
    <sheet name="Hexgen data" sheetId="70" r:id="rId9"/>
    <sheet name="WORLDGRAPHER" sheetId="72" r:id="rId10"/>
    <sheet name="SUBSYSTEM" sheetId="60" r:id="rId11"/>
    <sheet name="HIRELINGS" sheetId="58" r:id="rId12"/>
    <sheet name="SPECIAL NPCS" sheetId="57" r:id="rId13"/>
    <sheet name="CAMP" sheetId="56" r:id="rId14"/>
    <sheet name="Аркуш2" sheetId="71" r:id="rId15"/>
    <sheet name="Аркуш2 (2)" sheetId="51" r:id="rId16"/>
    <sheet name="TOP SHEET" sheetId="44" state="hidden" r:id="rId17"/>
    <sheet name="MAGIC ITEMS" sheetId="40" r:id="rId18"/>
    <sheet name="TREASURE" sheetId="39" r:id="rId19"/>
    <sheet name="Kvoth" sheetId="29" state="hidden" r:id="rId20"/>
    <sheet name="MonstersNPCs" sheetId="26" state="hidden" r:id="rId21"/>
    <sheet name="Basic Price Sheet" sheetId="25" r:id="rId22"/>
    <sheet name="Icons" sheetId="19" state="hidden" r:id="rId23"/>
    <sheet name="LootGen" sheetId="15" r:id="rId24"/>
    <sheet name="NPCs" sheetId="28" r:id="rId25"/>
    <sheet name="Sheet1" sheetId="11" r:id="rId26"/>
    <sheet name="Аркуш3" sheetId="54" state="hidden" r:id="rId27"/>
    <sheet name="GM SCREEN" sheetId="13" r:id="rId28"/>
    <sheet name="Аркуш1" sheetId="84" r:id="rId29"/>
    <sheet name="GM LINKS" sheetId="85" r:id="rId30"/>
    <sheet name="Аркуш4" sheetId="90" r:id="rId31"/>
    <sheet name="Аркуш5" sheetId="91" r:id="rId32"/>
    <sheet name="RATING SYSTEM" sheetId="88" r:id="rId33"/>
    <sheet name="SOCIALENCOUNTERS-ARGUMENTS" sheetId="89" r:id="rId34"/>
    <sheet name="ORGANIZATIONS" sheetId="63" r:id="rId35"/>
    <sheet name="Noble Houses" sheetId="2" r:id="rId36"/>
    <sheet name="TIMELINE" sheetId="53" r:id="rId37"/>
    <sheet name="Cormyr Encounters" sheetId="69" r:id="rId38"/>
    <sheet name="SETTLEMENTS" sheetId="10" r:id="rId39"/>
    <sheet name="DISTANCES CORMYR" sheetId="81" r:id="rId40"/>
    <sheet name="Purple Dragons" sheetId="3" r:id="rId41"/>
    <sheet name="DIAGRAMS" sheetId="55" r:id="rId42"/>
    <sheet name="D PurpleDragons" sheetId="68" r:id="rId43"/>
    <sheet name="War Wizards" sheetId="9" r:id="rId44"/>
    <sheet name="Blue Dragons" sheetId="4" r:id="rId45"/>
    <sheet name="D BlueDragons" sheetId="66" r:id="rId46"/>
    <sheet name="Royal Court" sheetId="8" r:id="rId47"/>
    <sheet name="CONFIG000" sheetId="12" r:id="rId48"/>
    <sheet name="CREDIT000" sheetId="5" r:id="rId49"/>
    <sheet name="OGL" sheetId="61" state="hidden" r:id="rId50"/>
    <sheet name="Sources" sheetId="6" r:id="rId51"/>
  </sheets>
  <externalReferences>
    <externalReference r:id="rId52"/>
    <externalReference r:id="rId53"/>
    <externalReference r:id="rId54"/>
    <externalReference r:id="rId55"/>
    <externalReference r:id="rId56"/>
    <externalReference r:id="rId57"/>
  </externalReferences>
  <definedNames>
    <definedName name="___INDEX_SHEET___ASAP_Utilities" localSheetId="0">#REF!</definedName>
    <definedName name="___INDEX_SHEET___ASAP_Utilities">TOC!$A$1</definedName>
    <definedName name="_Toc25198295" localSheetId="10">SUBSYSTEM!$A$835</definedName>
    <definedName name="_xlnm._FilterDatabase" localSheetId="25" hidden="1">Sheet1!$A$4:$G$540</definedName>
    <definedName name="AbilityModifier">CONFIG000!$V$134:$W$165</definedName>
    <definedName name="Animal_Companion" localSheetId="19">Kvoth!$85:$92</definedName>
    <definedName name="ARMOR">'MAGIC ITEMS'!$B$4:$I$27</definedName>
    <definedName name="AtributeScoreRef">CONFIG000!$V$110:$Y$116</definedName>
    <definedName name="ATYPE">'[1]Random Tables'!$KQ$26</definedName>
    <definedName name="BASEASSAULTMOTIVATION">[2]Mission_generation!$B$17</definedName>
    <definedName name="BHEIGHT">'[1]Random Tables'!$KK$16</definedName>
    <definedName name="bookmark31" localSheetId="47">CONFIG000!$OO$4</definedName>
    <definedName name="bookmark43" localSheetId="47">CONFIG000!$CF$146</definedName>
    <definedName name="bookmark45" localSheetId="47">CONFIG000!$CF$174</definedName>
    <definedName name="bookmark47" localSheetId="47">CONFIG000!$CF$214</definedName>
    <definedName name="bookmark49" localSheetId="47">CONFIG000!$CF$215</definedName>
    <definedName name="bookmark51" localSheetId="47">CONFIG000!$CF$264</definedName>
    <definedName name="BTYPE">'[1]Random Tables'!$KR$26</definedName>
    <definedName name="BUILDINGTYPERND">'[1]Random Tables'!$KS$6</definedName>
    <definedName name="ChallengeRating">CONFIG000!$V$167:$X$202</definedName>
    <definedName name="CHEIGHT">'[1]Random Tables'!$KN$16</definedName>
    <definedName name="CoinTotalWeight">CONFIG000!$AJ$4:$AJ$8</definedName>
    <definedName name="Complication">[2]Mission_generation!$B$79</definedName>
    <definedName name="ComplicationDescription">[2]Mission_generation!$C$79</definedName>
    <definedName name="CONDITION1VAR">'[1]Random Tables'!$KK$27</definedName>
    <definedName name="CONDITION2VAR">'[1]Random Tables'!$KN$27</definedName>
    <definedName name="ContainerFills">CONFIG000!$AP$4:$AP$13</definedName>
    <definedName name="ContainerOptionNames">CONFIG000!$AA$9:$AA$39</definedName>
    <definedName name="ContainerOptionTable">CONFIG000!$AA$9:$AF$39</definedName>
    <definedName name="CR" localSheetId="20">MonstersNPCs!$A:$CW</definedName>
    <definedName name="CR" localSheetId="24">NPCs!$A:$CX</definedName>
    <definedName name="CTYPE">'[1]Random Tables'!$KS$26</definedName>
    <definedName name="DAYTIME">'[1]Random Tables'!$KD$33</definedName>
    <definedName name="DHEIGHT">'[1]Random Tables'!$KN$21</definedName>
    <definedName name="DTYPE">'[1]Random Tables'!$KT$26</definedName>
    <definedName name="EquippedItemWeights">CONFIG000!$AN$4:$AN$54</definedName>
    <definedName name="EquippedMagicWeights">CONFIG000!$AH$4:$AH$17</definedName>
    <definedName name="EquippedMnyWt">CONFIG000!$AU$34</definedName>
    <definedName name="EquippedStockWeights">CONFIG000!$AL$4:$AL$9</definedName>
    <definedName name="fancy">TREASURE!$T$4:$U$55</definedName>
    <definedName name="gem">TREASURE!$X$4:$Y$55</definedName>
    <definedName name="GemTotalWeight">CONFIG000!$AK$4:$AK$8</definedName>
    <definedName name="hardstones">TREASURE!$AB$4:$AD$55</definedName>
    <definedName name="Item_Search" localSheetId="0">#REF!:INDEX(#REF!,COUNTIF(#REF!,"?*"))</definedName>
    <definedName name="Item_Search" localSheetId="11">[3]MI_PRICES!$G$2:INDEX([3]MI_PRICES!$G$2:$G$403,COUNTIF([3]MI_PRICES!$G$2:$G$403,"?*"))</definedName>
    <definedName name="Item_Search" localSheetId="12">[3]MI_PRICES!$G$2:INDEX([3]MI_PRICES!$G$2:$G$403,COUNTIF([3]MI_PRICES!$G$2:$G$403,"?*"))</definedName>
    <definedName name="Item_Search" localSheetId="10">[3]MI_PRICES!$G$2:INDEX([3]MI_PRICES!$G$2:$G$403,COUNTIF([3]MI_PRICES!$G$2:$G$403,"?*"))</definedName>
    <definedName name="Item_Search">#REF!:INDEX(#REF!,COUNTIF(#REF!,"?*"))</definedName>
    <definedName name="ItemTotalWeights">CONFIG000!$AQ$4:$AQ$54</definedName>
    <definedName name="jewel">TREASURE!$Z$4:$AA$55</definedName>
    <definedName name="Lists">'[4]USER SPELLS'!$O$7:$Q$9</definedName>
    <definedName name="Locations">CONFIG000!$AA$4:$AA$6</definedName>
    <definedName name="Magic_Use" localSheetId="19">Kvoth!$75:$84</definedName>
    <definedName name="medici_LINK">'[1]T Costs'!#REF!</definedName>
    <definedName name="MoneyTotalWeight">CONFIG000!$AU$31</definedName>
    <definedName name="MonstersNPCsRange">MonstersNPCs!$A$4:$CY$334</definedName>
    <definedName name="MonstersNPCsRange2" localSheetId="20">MonstersNPCs!$A$4:$CY$334</definedName>
    <definedName name="MountItemWeights">CONFIG000!$AO$4:$AO$54</definedName>
    <definedName name="MountMagicWeights">CONFIG000!$AI$4:$AI$17</definedName>
    <definedName name="MountMnyWt">CONFIG000!$AV$34</definedName>
    <definedName name="MountStockWeights">CONFIG000!$AM$4:$AM$9</definedName>
    <definedName name="MOURNLANDLOCATION">[2]Mission_generation!$B$39</definedName>
    <definedName name="MrkvP" localSheetId="2">#REF!</definedName>
    <definedName name="MrkvW" localSheetId="2">#REF!</definedName>
    <definedName name="NEWS01">'[1]Random Tables'!$JD$3</definedName>
    <definedName name="NEWSTEXT01">'[1]Random Tables'!$JE$3</definedName>
    <definedName name="NIGHTTIME">'[1]Random Tables'!$KD$5</definedName>
    <definedName name="ornamental">TREASURE!$P$4:$Q$55</definedName>
    <definedName name="PICKPOCKETEDITEMS">'[1]Random Tables'!$JY$4</definedName>
    <definedName name="poisons_LINK">'[1]T Costs'!#REF!</definedName>
    <definedName name="precious">TREASURE!$V$4:$W$55</definedName>
    <definedName name="rand1d100">'SPECIAL NPCS'!$A$10</definedName>
    <definedName name="RANDENC01">'[1]Random Tables'!$IS$3</definedName>
    <definedName name="RANDENC02">'[1]Random Tables'!$FL$4</definedName>
    <definedName name="RANDENC03">'[1]Random Tables'!$FG$4</definedName>
    <definedName name="RANDENC041">'[1]Random Tables'!$T$2</definedName>
    <definedName name="RANDENC042">'[1]Random Tables'!$W$2</definedName>
    <definedName name="RANDENC05">'[1]Random Tables'!$AA$2</definedName>
    <definedName name="RANDENC06">'[1]Random Tables'!$AQ$2</definedName>
    <definedName name="randenc08" localSheetId="0">INDEX('[1]Random Tables'!$EP$3:$EW$3,1,MATCH([0]!randenc08_ward,[1]!Таблиця19[[#Headers],[CASTLE]:[TRADES]],0))</definedName>
    <definedName name="randenc08">INDEX('[1]Random Tables'!$EP$3:$EW$3,1,MATCH(randenc08_ward,[1]!Таблиця19[[#Headers],[CASTLE]:[TRADES]],0))</definedName>
    <definedName name="randenc08_ward">[1]DM_SCREEN!$U$2</definedName>
    <definedName name="randenc10_name">'[1]Random Tables'!$T$77</definedName>
    <definedName name="randenc10_ward">'[1]Random Tables'!$EL$83</definedName>
    <definedName name="RANDOMGUARD">'[1]T City Watch'!$D$106</definedName>
    <definedName name="Rnd_name_alexandrian">'[1]Random Tables'!$LF$2</definedName>
    <definedName name="RNDABILITY1">'[1]R NPC'!$F$2</definedName>
    <definedName name="RNDABILITY2">'[1]R NPC'!$F$3</definedName>
    <definedName name="RNDABILITY3">'[1]R NPC'!$F$4</definedName>
    <definedName name="RNDABILITY4">'[1]R NPC'!$F$5</definedName>
    <definedName name="RNDABILITY5">'[1]R NPC'!$F$6</definedName>
    <definedName name="RNDABILITY6">'[1]R NPC'!$F$7</definedName>
    <definedName name="RNDAS1">'[1]R NPC'!$H$2</definedName>
    <definedName name="RNDAS2">'[1]R NPC'!$H$3</definedName>
    <definedName name="RNDAS3">'[1]R NPC'!$H$4</definedName>
    <definedName name="RNDAS4">'[1]R NPC'!$H$5</definedName>
    <definedName name="RNDAS5">'[1]R NPC'!$H$6</definedName>
    <definedName name="RNDAS6">'[1]R NPC'!$H$7</definedName>
    <definedName name="RNDBUILDINGCONDITION">'[1]Random Tables'!$KR$18</definedName>
    <definedName name="RNDBUILDINGFLOORS">'[1]Random Tables'!$KR$16</definedName>
    <definedName name="RNDBUILDINGTYPE">'[1]Random Tables'!$KR$15</definedName>
    <definedName name="RNDBUILDINGUSAGE">'[1]Random Tables'!$KR$17</definedName>
    <definedName name="RNDCLASS">'[1]R NPC'!$L$1</definedName>
    <definedName name="RUMOR01">'[1]Random Tables'!$AG$2</definedName>
    <definedName name="SALVAGEBOARDQUEST">[2]Mission_generation!$B$2</definedName>
    <definedName name="semiprecious">TREASURE!$R$4:$S$55</definedName>
    <definedName name="shells">TREASURE!$AE$4:$AG$55</definedName>
    <definedName name="SizeNames">CONFIG000!$AA$42:$AA$46</definedName>
    <definedName name="SizeTable">CONFIG000!$AA$42:$AB$46</definedName>
    <definedName name="SOURCES">[1]Sheet1!$G$3:$G$29</definedName>
    <definedName name="SPECIALQUEST">[2]Mission_generation!$B$30</definedName>
    <definedName name="StockTotalWeights">CONFIG000!$AR$4:$AR$9</definedName>
    <definedName name="TIER_SELECTED">[2]MAIN!$G$5</definedName>
    <definedName name="TIER1ENCOUNTER">[2]Random_encounters!$C$3</definedName>
    <definedName name="TIER2ENCOUNTER">[2]Random_encounters!$G$3</definedName>
    <definedName name="TIER3ENCOUNTER">[2]Random_encounters!$K$3</definedName>
    <definedName name="TIER4ENCOUNTER">[2]Random_encounters!$O$3</definedName>
    <definedName name="TOC_PricesNTaxes">'[1]T Costs'!#REF!</definedName>
    <definedName name="Validation" localSheetId="0">OFFSET(#REF!,,,COUNTIF(#REF!,"?*"))</definedName>
    <definedName name="Validation" localSheetId="11">OFFSET([3]MI_PRICES!$G$2,,,COUNTIF([3]MI_PRICES!$G$2:$G$403,"?*"))</definedName>
    <definedName name="Validation" localSheetId="12">OFFSET([3]MI_PRICES!$G$2,,,COUNTIF([3]MI_PRICES!$G$2:$G$403,"?*"))</definedName>
    <definedName name="Validation" localSheetId="10">OFFSET([3]MI_PRICES!$G$2,,,COUNTIF([3]MI_PRICES!$G$2:$G$403,"?*"))</definedName>
    <definedName name="Validation">OFFSET(#REF!,,,COUNTIF(#REF!,"?*"))</definedName>
    <definedName name="VILLAINS">[2]Mission_generation!$B$62</definedName>
    <definedName name="WARDSLIST_RNDENC08" localSheetId="0">[1]!Таблиця152[[#All],[CASTLE]]</definedName>
    <definedName name="WARDSLIST_RNDENC08">[1]!Таблиця152[[#All],[CASTLE]]</definedName>
    <definedName name="WATCH_ARRIVES">'[1]T City Watch'!$AA$66</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 name="WDNB1">'[1]Random Tables'!$IV$3</definedName>
    <definedName name="WDNB2">'[1]Random Tables'!$IW$3</definedName>
    <definedName name="WDNB3">'[1]Random Tables'!$IX$3</definedName>
    <definedName name="Z_BC9E7479_BF9B_41EC_8383_937D16CE88B8_.wvu.FilterData" localSheetId="20" hidden="1">MonstersNPCs!$A$1:$CW$4</definedName>
    <definedName name="Z_CE0C198D_B5B1_4F86_ADEF_749FED4F2712_.wvu.FilterData" localSheetId="20" hidden="1">MonstersNPCs!$A$3:$CW$4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2" i="69" l="1"/>
  <c r="G106" i="69"/>
  <c r="F108" i="69"/>
  <c r="F109" i="69"/>
  <c r="F110" i="69"/>
  <c r="F107" i="69"/>
  <c r="F106" i="69"/>
  <c r="C110" i="69"/>
  <c r="D110" i="69"/>
  <c r="E110" i="69" s="1"/>
  <c r="C109" i="69"/>
  <c r="D109" i="69" s="1"/>
  <c r="E109" i="69" s="1"/>
  <c r="C108" i="69"/>
  <c r="D108" i="69" s="1"/>
  <c r="E108" i="69" s="1"/>
  <c r="C107" i="69"/>
  <c r="D107" i="69" s="1"/>
  <c r="E107" i="69" s="1"/>
  <c r="C106" i="69"/>
  <c r="D106" i="69" s="1"/>
  <c r="E106" i="69" s="1"/>
  <c r="C105" i="69"/>
  <c r="D105" i="69" s="1"/>
  <c r="E105" i="69" s="1"/>
  <c r="E35" i="6"/>
  <c r="G35" i="6" s="1"/>
  <c r="E34" i="6"/>
  <c r="G34" i="6" s="1"/>
  <c r="E33" i="6"/>
  <c r="G33" i="6" s="1"/>
  <c r="F17" i="6"/>
  <c r="F16" i="6"/>
  <c r="F15" i="6"/>
  <c r="O4" i="6"/>
  <c r="O8" i="6"/>
  <c r="N4" i="6"/>
  <c r="N5" i="6"/>
  <c r="O5" i="6" s="1"/>
  <c r="N8" i="6"/>
  <c r="N3" i="6"/>
  <c r="O3" i="6" s="1"/>
  <c r="J6" i="6"/>
  <c r="K6" i="6" s="1"/>
  <c r="I4" i="6"/>
  <c r="J4" i="6" s="1"/>
  <c r="K4" i="6" s="1"/>
  <c r="I5" i="6"/>
  <c r="J5" i="6" s="1"/>
  <c r="K5" i="6" s="1"/>
  <c r="I6" i="6"/>
  <c r="I7" i="6"/>
  <c r="J7" i="6" s="1"/>
  <c r="K7" i="6" s="1"/>
  <c r="I8" i="6"/>
  <c r="J8" i="6" s="1"/>
  <c r="K8" i="6" s="1"/>
  <c r="I3" i="6"/>
  <c r="J3" i="6" s="1"/>
  <c r="K3" i="6" s="1"/>
  <c r="N6" i="6" l="1"/>
  <c r="O6" i="6" s="1"/>
  <c r="N7" i="6"/>
  <c r="O7" i="6" s="1"/>
  <c r="M5" i="6"/>
  <c r="L5" i="6"/>
  <c r="M3" i="6"/>
  <c r="L3" i="6"/>
  <c r="M8" i="6"/>
  <c r="L8" i="6"/>
  <c r="M4" i="6"/>
  <c r="L4" i="6"/>
  <c r="M7" i="6"/>
  <c r="L7" i="6"/>
  <c r="M6" i="6"/>
  <c r="L6" i="6"/>
  <c r="W87" i="90"/>
  <c r="W86" i="90"/>
  <c r="W85" i="90"/>
  <c r="W84" i="90"/>
  <c r="W82" i="90"/>
  <c r="W83" i="90"/>
  <c r="V82" i="90"/>
  <c r="V83" i="90"/>
  <c r="V84" i="90"/>
  <c r="V85" i="90"/>
  <c r="V86" i="90"/>
  <c r="V87" i="90"/>
  <c r="T82" i="90"/>
  <c r="T83" i="90"/>
  <c r="T84" i="90"/>
  <c r="T85" i="90"/>
  <c r="T86" i="90"/>
  <c r="T87" i="90"/>
  <c r="DL203" i="12" l="1" a="1"/>
  <c r="DL203" i="12" s="1"/>
  <c r="DJ203" i="12" a="1"/>
  <c r="DJ203" i="12" s="1"/>
  <c r="DH203" i="12" a="1"/>
  <c r="DH203" i="12" s="1"/>
  <c r="DF203" i="12" a="1"/>
  <c r="DF203" i="12" s="1"/>
  <c r="MA80" i="12"/>
  <c r="LY80" i="12"/>
  <c r="MA79" i="12"/>
  <c r="LY79" i="12"/>
  <c r="MA78" i="12"/>
  <c r="LY78" i="12"/>
  <c r="MA77" i="12"/>
  <c r="LY77" i="12"/>
  <c r="MA76" i="12"/>
  <c r="LY76" i="12"/>
  <c r="MA75" i="12"/>
  <c r="LY75" i="12"/>
  <c r="MA74" i="12"/>
  <c r="LY74" i="12"/>
  <c r="ME73" i="12"/>
  <c r="MA73" i="12"/>
  <c r="LY73" i="12"/>
  <c r="MA72" i="12"/>
  <c r="LY72" i="12"/>
  <c r="ME71" i="12"/>
  <c r="MA71" i="12"/>
  <c r="LY71" i="12"/>
  <c r="ME70" i="12"/>
  <c r="MA70" i="12"/>
  <c r="LY70" i="12"/>
  <c r="ME69" i="12"/>
  <c r="MA69" i="12"/>
  <c r="LY69" i="12"/>
  <c r="ME68" i="12"/>
  <c r="MA68" i="12"/>
  <c r="LY68" i="12"/>
  <c r="MA67" i="12"/>
  <c r="LY67" i="12"/>
  <c r="ME66" i="12"/>
  <c r="MA66" i="12"/>
  <c r="LY66" i="12"/>
  <c r="ME65" i="12"/>
  <c r="MA65" i="12"/>
  <c r="LY65" i="12"/>
  <c r="MA64" i="12"/>
  <c r="LY64" i="12"/>
  <c r="NM61" i="12" a="1"/>
  <c r="NM61" i="12" s="1"/>
  <c r="ME80" i="12" s="1"/>
  <c r="NJ61" i="12" a="1"/>
  <c r="NJ61" i="12" s="1"/>
  <c r="ME77" i="12" s="1"/>
  <c r="NG61" i="12" a="1"/>
  <c r="NG61" i="12" s="1"/>
  <c r="ND61" i="12" a="1"/>
  <c r="ND61" i="12" s="1"/>
  <c r="NA61" i="12" a="1"/>
  <c r="NA61" i="12" s="1"/>
  <c r="MX61" i="12" a="1"/>
  <c r="MX61" i="12" s="1"/>
  <c r="MU61" i="12" a="1"/>
  <c r="MU61" i="12" s="1"/>
  <c r="ME75" i="12" s="1"/>
  <c r="MR61" i="12" a="1"/>
  <c r="MR61" i="12" s="1"/>
  <c r="MO61" i="12" a="1"/>
  <c r="MO61" i="12" s="1"/>
  <c r="ML61" i="12" a="1"/>
  <c r="ML61" i="12" s="1"/>
  <c r="MI61" i="12" a="1"/>
  <c r="MI61" i="12" s="1"/>
  <c r="MH61" i="12" a="1"/>
  <c r="MH61" i="12" s="1"/>
  <c r="KK10" i="12"/>
  <c r="KL10" i="12"/>
  <c r="KM10" i="12"/>
  <c r="IT11" i="12" a="1"/>
  <c r="IT11" i="12" s="1"/>
  <c r="IV11" i="12" a="1"/>
  <c r="IV11" i="12" s="1"/>
  <c r="IX11" i="12" a="1"/>
  <c r="IX11" i="12" s="1"/>
  <c r="IZ11" i="12" a="1"/>
  <c r="IZ11" i="12" s="1"/>
  <c r="JB11" i="12" a="1"/>
  <c r="JB11" i="12" s="1"/>
  <c r="KE11" i="12"/>
  <c r="JD12" i="12" a="1"/>
  <c r="JD12" i="12" s="1"/>
  <c r="JE12" i="12" a="1"/>
  <c r="JE12" i="12" s="1"/>
  <c r="JF12" i="12" a="1"/>
  <c r="JF12" i="12" s="1"/>
  <c r="JK12" i="12"/>
  <c r="JK10" i="12" s="1"/>
  <c r="KE12" i="12"/>
  <c r="KR12" i="12"/>
  <c r="JP13" i="12" a="1"/>
  <c r="JP13" i="12" s="1"/>
  <c r="JE14" i="12"/>
  <c r="JE15" i="12"/>
  <c r="JE16" i="12"/>
  <c r="JE17" i="12"/>
  <c r="AB15" i="13"/>
  <c r="AB14" i="13"/>
  <c r="AB12" i="13"/>
  <c r="AB13" i="13"/>
  <c r="W10" i="13"/>
  <c r="ME72" i="12" l="1"/>
  <c r="MA61" i="12"/>
  <c r="F26" i="13"/>
  <c r="ME63" i="12"/>
  <c r="ME76" i="12"/>
  <c r="JG11" i="12"/>
  <c r="ME67" i="12"/>
  <c r="ME64" i="12"/>
  <c r="BY96" i="12" a="1"/>
  <c r="BY96" i="12" s="1"/>
  <c r="BV88" i="12" a="1"/>
  <c r="BV88" i="12" s="1"/>
  <c r="CB86" i="12" a="1"/>
  <c r="CB86" i="12" s="1"/>
  <c r="BV78" i="12" a="1"/>
  <c r="BV78" i="12" s="1"/>
  <c r="CB77" i="12" a="1"/>
  <c r="CB77" i="12" s="1"/>
  <c r="BY77" i="12" a="1"/>
  <c r="BY77" i="12" s="1"/>
  <c r="CB67" i="12" a="1"/>
  <c r="CB67" i="12" s="1"/>
  <c r="CB61" i="12" a="1"/>
  <c r="CB61" i="12" s="1"/>
  <c r="CB46" i="12" a="1"/>
  <c r="CB46" i="12" s="1"/>
  <c r="EW43" i="12"/>
  <c r="EV43" i="12"/>
  <c r="EU43" i="12"/>
  <c r="EF43" i="12"/>
  <c r="EW42" i="12"/>
  <c r="EV42" i="12"/>
  <c r="EU42" i="12"/>
  <c r="EF42" i="12"/>
  <c r="EW41" i="12"/>
  <c r="EV41" i="12"/>
  <c r="EU41" i="12"/>
  <c r="EG41" i="12"/>
  <c r="EF41" i="12"/>
  <c r="EW40" i="12"/>
  <c r="EV40" i="12"/>
  <c r="EU40" i="12"/>
  <c r="EG40" i="12"/>
  <c r="EF40" i="12"/>
  <c r="EW39" i="12"/>
  <c r="EV39" i="12"/>
  <c r="EU39" i="12"/>
  <c r="EH39" i="12"/>
  <c r="EG39" i="12"/>
  <c r="EF39" i="12"/>
  <c r="EW38" i="12"/>
  <c r="EV38" i="12"/>
  <c r="EU38" i="12"/>
  <c r="EH38" i="12"/>
  <c r="EG38" i="12"/>
  <c r="EF38" i="12"/>
  <c r="EW37" i="12"/>
  <c r="EV37" i="12"/>
  <c r="EU37" i="12"/>
  <c r="EH37" i="12"/>
  <c r="EG37" i="12"/>
  <c r="EF37" i="12"/>
  <c r="EE37" i="12"/>
  <c r="BN37" i="12" a="1"/>
  <c r="BN37" i="12" s="1"/>
  <c r="BO32" i="12" s="1"/>
  <c r="EW36" i="12"/>
  <c r="EV36" i="12"/>
  <c r="EU36" i="12"/>
  <c r="EH36" i="12"/>
  <c r="EG36" i="12"/>
  <c r="EF36" i="12"/>
  <c r="EE36" i="12"/>
  <c r="EW35" i="12"/>
  <c r="EV35" i="12"/>
  <c r="EU35" i="12"/>
  <c r="EH35" i="12"/>
  <c r="EG35" i="12"/>
  <c r="EF35" i="12"/>
  <c r="EE35" i="12"/>
  <c r="EW34" i="12"/>
  <c r="EV34" i="12"/>
  <c r="EU34" i="12"/>
  <c r="EH34" i="12"/>
  <c r="EG34" i="12"/>
  <c r="EF34" i="12"/>
  <c r="EE34" i="12"/>
  <c r="EW33" i="12"/>
  <c r="EV33" i="12"/>
  <c r="EU33" i="12"/>
  <c r="EH33" i="12"/>
  <c r="EG33" i="12"/>
  <c r="EF33" i="12"/>
  <c r="EE33" i="12"/>
  <c r="EW32" i="12"/>
  <c r="EV32" i="12"/>
  <c r="EU32" i="12"/>
  <c r="EI32" i="12"/>
  <c r="EH32" i="12"/>
  <c r="EG32" i="12"/>
  <c r="EF32" i="12"/>
  <c r="EE32" i="12"/>
  <c r="EW31" i="12"/>
  <c r="EV31" i="12"/>
  <c r="EU31" i="12"/>
  <c r="EW30" i="12"/>
  <c r="EV30" i="12"/>
  <c r="EU30" i="12"/>
  <c r="EW29" i="12"/>
  <c r="EV29" i="12"/>
  <c r="EU29" i="12"/>
  <c r="EW28" i="12"/>
  <c r="EV28" i="12"/>
  <c r="EU28" i="12"/>
  <c r="EW27" i="12"/>
  <c r="EV27" i="12"/>
  <c r="EU27" i="12"/>
  <c r="EW26" i="12"/>
  <c r="EV26" i="12"/>
  <c r="EU26" i="12"/>
  <c r="EW25" i="12"/>
  <c r="EV25" i="12"/>
  <c r="EU25" i="12"/>
  <c r="ES25" i="12"/>
  <c r="ER25" i="12"/>
  <c r="EQ25" i="12"/>
  <c r="EN25" i="12"/>
  <c r="EM25" i="12"/>
  <c r="EL25" i="12"/>
  <c r="EI25" i="12"/>
  <c r="EW24" i="12"/>
  <c r="EV24" i="12"/>
  <c r="EU24" i="12"/>
  <c r="ES24" i="12"/>
  <c r="ER24" i="12"/>
  <c r="EQ24" i="12"/>
  <c r="EN24" i="12"/>
  <c r="EM24" i="12"/>
  <c r="EL24" i="12"/>
  <c r="EI24" i="12"/>
  <c r="BX24" i="12" a="1"/>
  <c r="BX24" i="12" s="1"/>
  <c r="EW23" i="12"/>
  <c r="EV23" i="12"/>
  <c r="EU23" i="12"/>
  <c r="ES23" i="12"/>
  <c r="ER23" i="12"/>
  <c r="EQ23" i="12"/>
  <c r="EN23" i="12"/>
  <c r="EM23" i="12"/>
  <c r="EL23" i="12"/>
  <c r="EI23" i="12"/>
  <c r="EW22" i="12"/>
  <c r="EV22" i="12"/>
  <c r="EU22" i="12"/>
  <c r="EW21" i="12"/>
  <c r="EV21" i="12"/>
  <c r="EU21" i="12"/>
  <c r="EW20" i="12"/>
  <c r="EV20" i="12"/>
  <c r="EU20" i="12"/>
  <c r="EW19" i="12"/>
  <c r="EV19" i="12"/>
  <c r="EU19" i="12"/>
  <c r="ES19" i="12"/>
  <c r="ER19" i="12"/>
  <c r="EQ19" i="12"/>
  <c r="EN19" i="12"/>
  <c r="EM19" i="12"/>
  <c r="EL19" i="12"/>
  <c r="EI19" i="12"/>
  <c r="EW18" i="12"/>
  <c r="EV18" i="12"/>
  <c r="EU18" i="12"/>
  <c r="ES18" i="12"/>
  <c r="ER18" i="12"/>
  <c r="EQ18" i="12"/>
  <c r="EN18" i="12"/>
  <c r="EM18" i="12"/>
  <c r="EL18" i="12"/>
  <c r="EI18" i="12"/>
  <c r="EW17" i="12"/>
  <c r="EV17" i="12"/>
  <c r="EU17" i="12"/>
  <c r="ES17" i="12"/>
  <c r="ER17" i="12"/>
  <c r="EQ17" i="12"/>
  <c r="EN17" i="12"/>
  <c r="EM17" i="12"/>
  <c r="EL17" i="12"/>
  <c r="EI17" i="12"/>
  <c r="EW16" i="12"/>
  <c r="EV16" i="12"/>
  <c r="EU16" i="12"/>
  <c r="EW15" i="12"/>
  <c r="EV15" i="12"/>
  <c r="EU15" i="12"/>
  <c r="EW14" i="12"/>
  <c r="EV14" i="12"/>
  <c r="EU14" i="12"/>
  <c r="EW13" i="12"/>
  <c r="EV13" i="12"/>
  <c r="EU13" i="12"/>
  <c r="EW12" i="12"/>
  <c r="EV12" i="12"/>
  <c r="EU12" i="12"/>
  <c r="EH12" i="12" a="1"/>
  <c r="EH12" i="12" s="1"/>
  <c r="EG12" i="12" a="1"/>
  <c r="EG12" i="12" s="1"/>
  <c r="EF12" i="12" a="1"/>
  <c r="EF12" i="12" s="1"/>
  <c r="EW11" i="12"/>
  <c r="EV11" i="12"/>
  <c r="EU11" i="12"/>
  <c r="EH11" i="12" a="1"/>
  <c r="EH11" i="12" s="1"/>
  <c r="EG11" i="12" a="1"/>
  <c r="EG11" i="12" s="1"/>
  <c r="EF11" i="12" a="1"/>
  <c r="EF11" i="12" s="1"/>
  <c r="EW10" i="12"/>
  <c r="EV10" i="12"/>
  <c r="EU10" i="12"/>
  <c r="EH10" i="12" a="1"/>
  <c r="EH10" i="12" s="1"/>
  <c r="EG10" i="12" a="1"/>
  <c r="EG10" i="12" s="1"/>
  <c r="EF10" i="12" a="1"/>
  <c r="EF10" i="12" s="1"/>
  <c r="EW9" i="12"/>
  <c r="EV9" i="12"/>
  <c r="EU9" i="12"/>
  <c r="EW8" i="12"/>
  <c r="EV8" i="12"/>
  <c r="EU8" i="12"/>
  <c r="EW7" i="12"/>
  <c r="EV7" i="12"/>
  <c r="EU7" i="12"/>
  <c r="DV7" i="12"/>
  <c r="DU7" i="12"/>
  <c r="DT7" i="12"/>
  <c r="EW6" i="12"/>
  <c r="EV6" i="12"/>
  <c r="EU6" i="12"/>
  <c r="EH6" i="12" a="1"/>
  <c r="EH6" i="12" s="1"/>
  <c r="EG6" i="12" a="1"/>
  <c r="EG6" i="12" s="1"/>
  <c r="EF6" i="12" a="1"/>
  <c r="EF6" i="12" s="1"/>
  <c r="EC6" i="12"/>
  <c r="DT6" i="12" a="1"/>
  <c r="DT6" i="12" s="1"/>
  <c r="EW5" i="12"/>
  <c r="EV5" i="12"/>
  <c r="EU5" i="12"/>
  <c r="EH5" i="12" a="1"/>
  <c r="EH5" i="12" s="1"/>
  <c r="EG5" i="12" a="1"/>
  <c r="EG5" i="12" s="1"/>
  <c r="EF5" i="12" a="1"/>
  <c r="EF5" i="12" s="1"/>
  <c r="EC5" i="12"/>
  <c r="DV5" i="12"/>
  <c r="DU5" i="12"/>
  <c r="DT5" i="12"/>
  <c r="EW4" i="12"/>
  <c r="EV4" i="12"/>
  <c r="EU4" i="12"/>
  <c r="EH4" i="12" a="1"/>
  <c r="EH4" i="12" s="1"/>
  <c r="EG4" i="12" a="1"/>
  <c r="EG4" i="12" s="1"/>
  <c r="EF4" i="12" a="1"/>
  <c r="EF4" i="12" s="1"/>
  <c r="DV4" i="12"/>
  <c r="DU4" i="12"/>
  <c r="DT4" i="12"/>
  <c r="AR4" i="12" a="1"/>
  <c r="AQ4" i="12" a="1"/>
  <c r="AQ31" i="12" s="1"/>
  <c r="AP4" i="12" a="1"/>
  <c r="AP13" i="12" s="1"/>
  <c r="AO4" i="12" a="1"/>
  <c r="AO53" i="12" s="1"/>
  <c r="AN4" i="12" a="1"/>
  <c r="AN53" i="12" s="1"/>
  <c r="AM4" i="12" a="1"/>
  <c r="AM8" i="12" s="1"/>
  <c r="AL4" i="12" a="1"/>
  <c r="AL7" i="12" s="1"/>
  <c r="AK4" i="12" a="1"/>
  <c r="AK5" i="12" s="1"/>
  <c r="AJ4" i="12" a="1"/>
  <c r="AJ7" i="12" s="1"/>
  <c r="AI4" i="12" a="1"/>
  <c r="AI15" i="12" s="1"/>
  <c r="AH4" i="12" a="1"/>
  <c r="AH17" i="12" s="1"/>
  <c r="EW3" i="12"/>
  <c r="EV3" i="12"/>
  <c r="EU3" i="12"/>
  <c r="DV3" i="12"/>
  <c r="DU3" i="12"/>
  <c r="DT3" i="12"/>
  <c r="CT3" i="12" a="1"/>
  <c r="CT3" i="12" s="1"/>
  <c r="CS3" i="12" a="1"/>
  <c r="CS3" i="12" s="1"/>
  <c r="CR3" i="12" a="1"/>
  <c r="CR3" i="12" s="1"/>
  <c r="W2" i="12" a="1"/>
  <c r="W2" i="12" s="1"/>
  <c r="J21" i="13" s="1"/>
  <c r="T2" i="12" a="1"/>
  <c r="T2" i="12" s="1"/>
  <c r="J19" i="13" s="1"/>
  <c r="I1" i="12" a="1"/>
  <c r="I1" i="12" s="1"/>
  <c r="H1" i="12" a="1"/>
  <c r="H1" i="12" s="1"/>
  <c r="E1" i="12" a="1"/>
  <c r="E1" i="12" s="1"/>
  <c r="D1" i="12" a="1"/>
  <c r="D1" i="12" s="1"/>
  <c r="C1" i="12" a="1"/>
  <c r="C1" i="12" s="1"/>
  <c r="B1" i="12" a="1"/>
  <c r="B1" i="12" s="1"/>
  <c r="Q79" i="4"/>
  <c r="T78" i="4"/>
  <c r="T79" i="4" s="1"/>
  <c r="S78" i="4"/>
  <c r="S79" i="4" s="1"/>
  <c r="R78" i="4"/>
  <c r="R79" i="4" s="1"/>
  <c r="Q78" i="4"/>
  <c r="K77" i="4"/>
  <c r="L77" i="4" s="1"/>
  <c r="T76" i="4"/>
  <c r="S76" i="4"/>
  <c r="R76" i="4"/>
  <c r="Q76" i="4"/>
  <c r="Q77" i="4" s="1"/>
  <c r="K76" i="4"/>
  <c r="M76" i="4" s="1"/>
  <c r="T75" i="4"/>
  <c r="S75" i="4"/>
  <c r="R75" i="4"/>
  <c r="R77" i="4" s="1"/>
  <c r="Q75" i="4"/>
  <c r="K75" i="4"/>
  <c r="L75" i="4" s="1"/>
  <c r="K74" i="4"/>
  <c r="T73" i="4"/>
  <c r="S73" i="4"/>
  <c r="R73" i="4"/>
  <c r="Q73" i="4"/>
  <c r="T72" i="4"/>
  <c r="S72" i="4"/>
  <c r="R72" i="4"/>
  <c r="Q72" i="4"/>
  <c r="K72" i="4"/>
  <c r="L72" i="4" s="1"/>
  <c r="T71" i="4"/>
  <c r="S71" i="4"/>
  <c r="S74" i="4" s="1"/>
  <c r="R71" i="4"/>
  <c r="Q71" i="4"/>
  <c r="Q74" i="4" s="1"/>
  <c r="K71" i="4"/>
  <c r="K70" i="4"/>
  <c r="M70" i="4" s="1"/>
  <c r="T69" i="4"/>
  <c r="S69" i="4"/>
  <c r="R69" i="4"/>
  <c r="Q69" i="4"/>
  <c r="K69" i="4"/>
  <c r="L69" i="4" s="1"/>
  <c r="T68" i="4"/>
  <c r="S68" i="4"/>
  <c r="R68" i="4"/>
  <c r="Q68" i="4"/>
  <c r="K68" i="4"/>
  <c r="L68" i="4" s="1"/>
  <c r="T67" i="4"/>
  <c r="S67" i="4"/>
  <c r="R67" i="4"/>
  <c r="Q67" i="4"/>
  <c r="Q70" i="4" s="1"/>
  <c r="K67" i="4"/>
  <c r="L67" i="4" s="1"/>
  <c r="T66" i="4"/>
  <c r="S66" i="4"/>
  <c r="R66" i="4"/>
  <c r="Q66" i="4"/>
  <c r="K66" i="4"/>
  <c r="L66" i="4" s="1"/>
  <c r="AB49" i="4"/>
  <c r="AB51" i="4" s="1"/>
  <c r="AA49" i="4"/>
  <c r="AA51" i="4" s="1"/>
  <c r="Z49" i="4"/>
  <c r="Z51" i="4" s="1"/>
  <c r="Y49" i="4"/>
  <c r="Y51" i="4" s="1"/>
  <c r="X49" i="4"/>
  <c r="X51" i="4" s="1"/>
  <c r="W49" i="4"/>
  <c r="W51" i="4" s="1"/>
  <c r="V49" i="4"/>
  <c r="V51" i="4" s="1"/>
  <c r="U49" i="4"/>
  <c r="U51" i="4" s="1"/>
  <c r="T49" i="4"/>
  <c r="T51" i="4" s="1"/>
  <c r="S49" i="4"/>
  <c r="S51" i="4" s="1"/>
  <c r="R49" i="4"/>
  <c r="R51" i="4" s="1"/>
  <c r="D40" i="4"/>
  <c r="E39" i="4"/>
  <c r="E38" i="4"/>
  <c r="E37" i="4"/>
  <c r="E36" i="4"/>
  <c r="E35" i="4"/>
  <c r="E34" i="4"/>
  <c r="G33" i="4"/>
  <c r="E33" i="4"/>
  <c r="E32" i="4"/>
  <c r="E31" i="4"/>
  <c r="E30" i="4"/>
  <c r="U24" i="4"/>
  <c r="U23" i="4"/>
  <c r="U22" i="4"/>
  <c r="G18" i="4"/>
  <c r="G17" i="4"/>
  <c r="F17" i="4"/>
  <c r="G16" i="4"/>
  <c r="G15" i="4"/>
  <c r="F15" i="4"/>
  <c r="F16" i="4" s="1"/>
  <c r="U14" i="4"/>
  <c r="T14" i="4"/>
  <c r="G14" i="4"/>
  <c r="F14" i="4"/>
  <c r="U13" i="4"/>
  <c r="T13" i="4"/>
  <c r="G13" i="4"/>
  <c r="F13" i="4"/>
  <c r="U12" i="4"/>
  <c r="T12" i="4"/>
  <c r="G12" i="4"/>
  <c r="U11" i="4"/>
  <c r="T11" i="4"/>
  <c r="G11" i="4"/>
  <c r="G10" i="4"/>
  <c r="G9" i="4"/>
  <c r="R53" i="68"/>
  <c r="V52" i="68"/>
  <c r="S52" i="68"/>
  <c r="U52" i="68" s="1"/>
  <c r="V51" i="68"/>
  <c r="S51" i="68"/>
  <c r="U51" i="68" s="1"/>
  <c r="V50" i="68"/>
  <c r="S50" i="68"/>
  <c r="U50" i="68" s="1"/>
  <c r="V49" i="68"/>
  <c r="S49" i="68"/>
  <c r="U49" i="68" s="1"/>
  <c r="V48" i="68"/>
  <c r="S48" i="68"/>
  <c r="V47" i="68"/>
  <c r="S47" i="68"/>
  <c r="U47" i="68" s="1"/>
  <c r="V46" i="68"/>
  <c r="S46" i="68"/>
  <c r="U46" i="68" s="1"/>
  <c r="W46" i="68" s="1"/>
  <c r="V45" i="68"/>
  <c r="S45" i="68"/>
  <c r="U45" i="68" s="1"/>
  <c r="V44" i="68"/>
  <c r="S44" i="68"/>
  <c r="V43" i="68"/>
  <c r="S43" i="68"/>
  <c r="U43" i="68" s="1"/>
  <c r="V42" i="68"/>
  <c r="S42" i="68"/>
  <c r="U42" i="68" s="1"/>
  <c r="S41" i="68"/>
  <c r="M108" i="3"/>
  <c r="M107" i="3"/>
  <c r="C106" i="3"/>
  <c r="I61" i="3"/>
  <c r="J58" i="3"/>
  <c r="J59" i="3" s="1"/>
  <c r="V45" i="3"/>
  <c r="V46" i="3" s="1"/>
  <c r="V47" i="3" s="1"/>
  <c r="U43" i="3"/>
  <c r="U44" i="3" s="1"/>
  <c r="U45" i="3" s="1"/>
  <c r="U46" i="3" s="1"/>
  <c r="U47" i="3" s="1"/>
  <c r="S43" i="3"/>
  <c r="S44" i="3" s="1"/>
  <c r="S45" i="3" s="1"/>
  <c r="S46" i="3" s="1"/>
  <c r="S47" i="3" s="1"/>
  <c r="R43" i="3"/>
  <c r="R44" i="3" s="1"/>
  <c r="W42" i="3"/>
  <c r="S35" i="3"/>
  <c r="S30" i="3"/>
  <c r="N15" i="3" s="1"/>
  <c r="O15" i="3" s="1"/>
  <c r="X22" i="3"/>
  <c r="S22" i="3"/>
  <c r="S23" i="3" s="1"/>
  <c r="AD19" i="3"/>
  <c r="AD18" i="3"/>
  <c r="S14" i="3"/>
  <c r="S15" i="3" s="1"/>
  <c r="S16" i="3" s="1"/>
  <c r="S17" i="3" s="1"/>
  <c r="O14" i="3"/>
  <c r="X13" i="3"/>
  <c r="I13" i="3"/>
  <c r="H13" i="3"/>
  <c r="X12" i="3"/>
  <c r="O12" i="3"/>
  <c r="I12" i="3"/>
  <c r="X11" i="3"/>
  <c r="I11" i="3"/>
  <c r="I9" i="3"/>
  <c r="I7" i="3"/>
  <c r="I6" i="3"/>
  <c r="X5" i="3"/>
  <c r="X8" i="3" s="1"/>
  <c r="S5" i="3"/>
  <c r="N17" i="3" s="1"/>
  <c r="O17" i="3" s="1"/>
  <c r="I5" i="3"/>
  <c r="I4" i="3"/>
  <c r="S120" i="10"/>
  <c r="S119" i="10"/>
  <c r="S118" i="10"/>
  <c r="S117" i="10"/>
  <c r="S116" i="10"/>
  <c r="S115" i="10"/>
  <c r="S113" i="10"/>
  <c r="S112" i="10"/>
  <c r="S111" i="10"/>
  <c r="S110" i="10"/>
  <c r="S109" i="10"/>
  <c r="K108" i="10"/>
  <c r="S106" i="10"/>
  <c r="K106" i="10"/>
  <c r="S105" i="10"/>
  <c r="S104" i="10"/>
  <c r="S103" i="10"/>
  <c r="S102" i="10"/>
  <c r="S101" i="10"/>
  <c r="S100" i="10"/>
  <c r="S99" i="10"/>
  <c r="S98" i="10"/>
  <c r="S97" i="10"/>
  <c r="S96" i="10"/>
  <c r="S95" i="10"/>
  <c r="S94" i="10"/>
  <c r="S93" i="10"/>
  <c r="S92" i="10"/>
  <c r="S90" i="10"/>
  <c r="S89" i="10"/>
  <c r="S88" i="10"/>
  <c r="S87" i="10"/>
  <c r="S86" i="10"/>
  <c r="S85" i="10"/>
  <c r="S84" i="10"/>
  <c r="S83" i="10"/>
  <c r="S82" i="10"/>
  <c r="S81" i="10"/>
  <c r="S80" i="10"/>
  <c r="S79" i="10"/>
  <c r="S78" i="10"/>
  <c r="K78" i="10"/>
  <c r="S77" i="10"/>
  <c r="S76" i="10"/>
  <c r="S75" i="10"/>
  <c r="S74" i="10"/>
  <c r="K74" i="10"/>
  <c r="S73" i="10"/>
  <c r="S72" i="10"/>
  <c r="S71" i="10"/>
  <c r="S70" i="10"/>
  <c r="S69" i="10"/>
  <c r="S68" i="10"/>
  <c r="S67" i="10"/>
  <c r="S66" i="10"/>
  <c r="S65" i="10"/>
  <c r="S64" i="10"/>
  <c r="S63" i="10"/>
  <c r="S62" i="10"/>
  <c r="S61" i="10"/>
  <c r="S60" i="10"/>
  <c r="S57" i="10"/>
  <c r="S56" i="10"/>
  <c r="S55" i="10"/>
  <c r="S54" i="10"/>
  <c r="S53" i="10"/>
  <c r="S52" i="10"/>
  <c r="S51" i="10"/>
  <c r="S50" i="10"/>
  <c r="S49" i="10"/>
  <c r="K49" i="10"/>
  <c r="S48" i="10"/>
  <c r="S47" i="10"/>
  <c r="S46" i="10"/>
  <c r="S45" i="10"/>
  <c r="S43" i="10"/>
  <c r="S42" i="10"/>
  <c r="S41" i="10"/>
  <c r="S40" i="10"/>
  <c r="I40" i="10"/>
  <c r="S39" i="10"/>
  <c r="S38" i="10"/>
  <c r="K38" i="10"/>
  <c r="S37" i="10"/>
  <c r="S36" i="10"/>
  <c r="S35" i="10"/>
  <c r="S33" i="10"/>
  <c r="S32" i="10"/>
  <c r="S31" i="10"/>
  <c r="S29" i="10"/>
  <c r="S28" i="10"/>
  <c r="K28" i="10"/>
  <c r="S27" i="10"/>
  <c r="S26" i="10"/>
  <c r="S25" i="10"/>
  <c r="S24" i="10"/>
  <c r="I24" i="10"/>
  <c r="S23" i="10"/>
  <c r="S22" i="10"/>
  <c r="I22" i="10"/>
  <c r="S21" i="10"/>
  <c r="I21" i="10"/>
  <c r="S20" i="10"/>
  <c r="S19" i="10"/>
  <c r="S18" i="10"/>
  <c r="S16" i="10"/>
  <c r="S15" i="10"/>
  <c r="S14" i="10"/>
  <c r="S13" i="10"/>
  <c r="S12" i="10"/>
  <c r="S11" i="10"/>
  <c r="S10" i="10"/>
  <c r="S9" i="10"/>
  <c r="S8" i="10"/>
  <c r="S7" i="10"/>
  <c r="S5" i="10"/>
  <c r="S4" i="10"/>
  <c r="R48" i="69"/>
  <c r="P24" i="69"/>
  <c r="S24" i="69" s="1"/>
  <c r="Q21" i="69"/>
  <c r="Q20" i="69"/>
  <c r="Q19" i="69"/>
  <c r="Q18" i="69"/>
  <c r="S15" i="69"/>
  <c r="S14" i="69"/>
  <c r="S13" i="69"/>
  <c r="S12" i="69"/>
  <c r="S11" i="69"/>
  <c r="S10" i="69"/>
  <c r="S9" i="69"/>
  <c r="S8" i="69"/>
  <c r="S7" i="69"/>
  <c r="R2" i="69"/>
  <c r="P2" i="69"/>
  <c r="K25" i="53"/>
  <c r="K24" i="53"/>
  <c r="K23" i="53"/>
  <c r="K22" i="53"/>
  <c r="K21" i="53"/>
  <c r="K20" i="53"/>
  <c r="K19" i="53"/>
  <c r="K18" i="53"/>
  <c r="K17" i="53"/>
  <c r="K12" i="53"/>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C62" i="13"/>
  <c r="E61" i="13"/>
  <c r="D61" i="13"/>
  <c r="C61" i="13"/>
  <c r="C59" i="13" a="1"/>
  <c r="C59" i="13" s="1"/>
  <c r="E58" i="13"/>
  <c r="D58" i="13"/>
  <c r="C58" i="13"/>
  <c r="E57" i="13"/>
  <c r="D57" i="13"/>
  <c r="C57" i="13"/>
  <c r="E56" i="13"/>
  <c r="D56" i="13"/>
  <c r="C56" i="13"/>
  <c r="U29" i="13" a="1"/>
  <c r="U29" i="13" s="1"/>
  <c r="U28" i="13" a="1"/>
  <c r="U28" i="13" s="1"/>
  <c r="D30" i="13" a="1"/>
  <c r="D30" i="13" s="1"/>
  <c r="C30" i="13" a="1"/>
  <c r="C30" i="13" s="1"/>
  <c r="B30" i="13" a="1"/>
  <c r="B30" i="13" s="1"/>
  <c r="D29" i="13" a="1"/>
  <c r="D29" i="13" s="1"/>
  <c r="C29" i="13" a="1"/>
  <c r="C29" i="13" s="1"/>
  <c r="B29" i="13" a="1"/>
  <c r="B29" i="13" s="1"/>
  <c r="U26" i="13" a="1"/>
  <c r="U26" i="13" s="1"/>
  <c r="D28" i="13" a="1"/>
  <c r="D28" i="13" s="1"/>
  <c r="C28" i="13" a="1"/>
  <c r="C28" i="13" s="1"/>
  <c r="B28" i="13" a="1"/>
  <c r="B28" i="13" s="1"/>
  <c r="U25" i="13" a="1"/>
  <c r="U25" i="13" s="1"/>
  <c r="D27" i="13" a="1"/>
  <c r="D27" i="13" s="1"/>
  <c r="C27" i="13" a="1"/>
  <c r="C27" i="13" s="1"/>
  <c r="B27" i="13" a="1"/>
  <c r="B27" i="13" s="1"/>
  <c r="D26" i="13" a="1"/>
  <c r="D26" i="13" s="1"/>
  <c r="C26" i="13" a="1"/>
  <c r="C26" i="13" s="1"/>
  <c r="B26" i="13" a="1"/>
  <c r="B26" i="13" s="1"/>
  <c r="D25" i="13" a="1"/>
  <c r="D25" i="13" s="1"/>
  <c r="C25" i="13" a="1"/>
  <c r="C25" i="13" s="1"/>
  <c r="B25" i="13" a="1"/>
  <c r="B25" i="13" s="1"/>
  <c r="D24" i="13" a="1"/>
  <c r="D24" i="13" s="1"/>
  <c r="C24" i="13" a="1"/>
  <c r="C24" i="13" s="1"/>
  <c r="B24" i="13" a="1"/>
  <c r="B24" i="13" s="1"/>
  <c r="D23" i="13" a="1"/>
  <c r="D23" i="13" s="1"/>
  <c r="C23" i="13" a="1"/>
  <c r="C23" i="13" s="1"/>
  <c r="B23" i="13" a="1"/>
  <c r="B23" i="13" s="1"/>
  <c r="V20" i="13" a="1"/>
  <c r="V20" i="13" s="1"/>
  <c r="D22" i="13" a="1"/>
  <c r="D22" i="13" s="1"/>
  <c r="C22" i="13" a="1"/>
  <c r="C22" i="13" s="1"/>
  <c r="B22" i="13" a="1"/>
  <c r="B22" i="13" s="1"/>
  <c r="V19" i="13" a="1"/>
  <c r="V19" i="13" s="1"/>
  <c r="D21" i="13" a="1"/>
  <c r="D21" i="13" s="1"/>
  <c r="C21" i="13" a="1"/>
  <c r="C21" i="13" s="1"/>
  <c r="B21" i="13" a="1"/>
  <c r="B21" i="13" s="1"/>
  <c r="V18" i="13" a="1"/>
  <c r="V18" i="13" s="1"/>
  <c r="D20" i="13" a="1"/>
  <c r="D20" i="13" s="1"/>
  <c r="C20" i="13" a="1"/>
  <c r="C20" i="13" s="1"/>
  <c r="B20" i="13" a="1"/>
  <c r="B20" i="13" s="1"/>
  <c r="D16" i="13" a="1"/>
  <c r="D16" i="13" s="1"/>
  <c r="C16" i="13" a="1"/>
  <c r="C16" i="13" s="1"/>
  <c r="B16" i="13" a="1"/>
  <c r="B16" i="13" s="1"/>
  <c r="D15" i="13" a="1"/>
  <c r="D15" i="13" s="1"/>
  <c r="C15" i="13" a="1"/>
  <c r="C15" i="13" s="1"/>
  <c r="B15" i="13" a="1"/>
  <c r="B15" i="13" s="1"/>
  <c r="D14" i="13" a="1"/>
  <c r="D14" i="13" s="1"/>
  <c r="C14" i="13" a="1"/>
  <c r="C14" i="13" s="1"/>
  <c r="B14" i="13" a="1"/>
  <c r="B14" i="13" s="1"/>
  <c r="D13" i="13" a="1"/>
  <c r="D13" i="13" s="1"/>
  <c r="C13" i="13" a="1"/>
  <c r="C13" i="13" s="1"/>
  <c r="B13" i="13" a="1"/>
  <c r="B13" i="13" s="1"/>
  <c r="D12" i="13" a="1"/>
  <c r="D12" i="13" s="1"/>
  <c r="C12" i="13" a="1"/>
  <c r="C12" i="13" s="1"/>
  <c r="B12" i="13" a="1"/>
  <c r="B12" i="13" s="1"/>
  <c r="D11" i="13" a="1"/>
  <c r="D11" i="13" s="1"/>
  <c r="C11" i="13" a="1"/>
  <c r="C11" i="13" s="1"/>
  <c r="B11" i="13" a="1"/>
  <c r="B11" i="13" s="1"/>
  <c r="D10" i="13" a="1"/>
  <c r="D10" i="13" s="1"/>
  <c r="C10" i="13" a="1"/>
  <c r="C10" i="13" s="1"/>
  <c r="B10" i="13" a="1"/>
  <c r="B10" i="13" s="1"/>
  <c r="D9" i="13" a="1"/>
  <c r="D9" i="13" s="1"/>
  <c r="C9" i="13" a="1"/>
  <c r="C9" i="13" s="1"/>
  <c r="B9" i="13" a="1"/>
  <c r="B9" i="13" s="1"/>
  <c r="D8" i="13" a="1"/>
  <c r="D8" i="13" s="1"/>
  <c r="C8" i="13" a="1"/>
  <c r="C8" i="13" s="1"/>
  <c r="B8" i="13" a="1"/>
  <c r="B8" i="13" s="1"/>
  <c r="D7" i="13" a="1"/>
  <c r="D7" i="13" s="1"/>
  <c r="C7" i="13" a="1"/>
  <c r="C7" i="13" s="1"/>
  <c r="B7" i="13" a="1"/>
  <c r="B7" i="13" s="1"/>
  <c r="M4" i="13"/>
  <c r="M16" i="13" s="1"/>
  <c r="D6" i="13" a="1"/>
  <c r="D6" i="13" s="1"/>
  <c r="C6" i="13" a="1"/>
  <c r="C6" i="13" s="1"/>
  <c r="B6" i="13" a="1"/>
  <c r="B6" i="13" s="1"/>
  <c r="D534" i="11"/>
  <c r="C534" i="11"/>
  <c r="B534" i="11"/>
  <c r="A534" i="11"/>
  <c r="D520" i="11"/>
  <c r="C520" i="11"/>
  <c r="B520" i="11"/>
  <c r="A520" i="11"/>
  <c r="D508" i="11"/>
  <c r="C508" i="11"/>
  <c r="B508" i="11"/>
  <c r="A508" i="11"/>
  <c r="D497" i="11"/>
  <c r="C497" i="11"/>
  <c r="B497" i="11"/>
  <c r="A497" i="11"/>
  <c r="D489" i="11"/>
  <c r="C489" i="11"/>
  <c r="B489" i="11"/>
  <c r="A489" i="11"/>
  <c r="D479" i="11"/>
  <c r="C479" i="11"/>
  <c r="B479" i="11"/>
  <c r="A479" i="11"/>
  <c r="D470" i="11"/>
  <c r="C470" i="11"/>
  <c r="B470" i="11"/>
  <c r="A470" i="11"/>
  <c r="D427" i="11"/>
  <c r="C427" i="11"/>
  <c r="B427" i="11"/>
  <c r="A427" i="11"/>
  <c r="D414" i="11"/>
  <c r="C414" i="11"/>
  <c r="B414" i="11"/>
  <c r="A414" i="11"/>
  <c r="D405" i="11"/>
  <c r="C405" i="11"/>
  <c r="B405" i="11"/>
  <c r="A405" i="11"/>
  <c r="D395" i="11"/>
  <c r="C395" i="11"/>
  <c r="B395" i="11"/>
  <c r="A395" i="11"/>
  <c r="D387" i="11"/>
  <c r="C387" i="11"/>
  <c r="B387" i="11"/>
  <c r="A387" i="11"/>
  <c r="D377" i="11"/>
  <c r="C377" i="11"/>
  <c r="B377" i="11"/>
  <c r="A377" i="11"/>
  <c r="D365" i="11"/>
  <c r="C365" i="11"/>
  <c r="B365" i="11"/>
  <c r="A365" i="11"/>
  <c r="D355" i="11"/>
  <c r="C355" i="11"/>
  <c r="B355" i="11"/>
  <c r="A355" i="11"/>
  <c r="D345" i="11"/>
  <c r="C345" i="11"/>
  <c r="B345" i="11"/>
  <c r="A345" i="11"/>
  <c r="D333" i="11"/>
  <c r="C333" i="11"/>
  <c r="B333" i="11"/>
  <c r="A333" i="11"/>
  <c r="B320" i="11"/>
  <c r="A320" i="11"/>
  <c r="D308" i="11"/>
  <c r="C308" i="11"/>
  <c r="B308" i="11"/>
  <c r="A308" i="11"/>
  <c r="D297" i="11"/>
  <c r="C297" i="11"/>
  <c r="B297" i="11"/>
  <c r="A297" i="11"/>
  <c r="C271" i="11"/>
  <c r="B271" i="11"/>
  <c r="A271" i="11"/>
  <c r="D249" i="11"/>
  <c r="C249" i="11"/>
  <c r="B249" i="11"/>
  <c r="A249" i="11"/>
  <c r="D238" i="11"/>
  <c r="B228" i="11"/>
  <c r="A228" i="11"/>
  <c r="D213" i="11"/>
  <c r="C213" i="11"/>
  <c r="B213" i="11"/>
  <c r="A213" i="11"/>
  <c r="D199" i="11"/>
  <c r="C199" i="11"/>
  <c r="B199" i="11"/>
  <c r="A199" i="11"/>
  <c r="C190" i="11"/>
  <c r="B190" i="11"/>
  <c r="A190" i="11"/>
  <c r="D173" i="11"/>
  <c r="C173" i="11"/>
  <c r="B173" i="11"/>
  <c r="A173" i="11"/>
  <c r="D162" i="11"/>
  <c r="C162" i="11"/>
  <c r="B162" i="11"/>
  <c r="A162" i="11"/>
  <c r="D152" i="11"/>
  <c r="C152" i="11"/>
  <c r="B152" i="11"/>
  <c r="A152" i="11"/>
  <c r="C145" i="11"/>
  <c r="B145" i="11"/>
  <c r="A145" i="11"/>
  <c r="D138" i="11"/>
  <c r="C138" i="11"/>
  <c r="B138" i="11"/>
  <c r="A138" i="11"/>
  <c r="D128" i="11"/>
  <c r="C128" i="11"/>
  <c r="B128" i="11"/>
  <c r="A128" i="11"/>
  <c r="D122" i="11"/>
  <c r="C122" i="11"/>
  <c r="B122" i="11"/>
  <c r="A122" i="11"/>
  <c r="B113" i="11"/>
  <c r="B103" i="11"/>
  <c r="A103" i="11"/>
  <c r="D91" i="11"/>
  <c r="C91" i="11"/>
  <c r="B91" i="11"/>
  <c r="A91" i="11"/>
  <c r="D73" i="11"/>
  <c r="C73" i="11"/>
  <c r="B73" i="11"/>
  <c r="A73" i="11"/>
  <c r="C67" i="11"/>
  <c r="B67" i="11"/>
  <c r="A67" i="11"/>
  <c r="D61" i="11"/>
  <c r="C61" i="11"/>
  <c r="B61" i="11"/>
  <c r="A61" i="11"/>
  <c r="D54" i="11"/>
  <c r="C54" i="11"/>
  <c r="B54" i="11"/>
  <c r="A54" i="11"/>
  <c r="D48" i="11"/>
  <c r="C48" i="11"/>
  <c r="B48" i="11"/>
  <c r="A48" i="11"/>
  <c r="D40" i="11"/>
  <c r="C40" i="11"/>
  <c r="B40" i="11"/>
  <c r="A40" i="11"/>
  <c r="D28" i="11"/>
  <c r="C28" i="11"/>
  <c r="B28" i="11"/>
  <c r="A28" i="11"/>
  <c r="E24" i="11"/>
  <c r="D21" i="11"/>
  <c r="C21" i="11"/>
  <c r="B21" i="11"/>
  <c r="A21" i="11"/>
  <c r="D5" i="11"/>
  <c r="C5" i="11"/>
  <c r="B5" i="11"/>
  <c r="A5" i="11"/>
  <c r="C54" i="15"/>
  <c r="C37" i="15" s="1"/>
  <c r="A54" i="15"/>
  <c r="B26" i="15" s="1"/>
  <c r="C51" i="15"/>
  <c r="B20" i="15" s="1"/>
  <c r="B51" i="15"/>
  <c r="B21" i="15" s="1"/>
  <c r="A51" i="15"/>
  <c r="B19" i="15" s="1"/>
  <c r="C48" i="15"/>
  <c r="D13" i="15" s="1"/>
  <c r="B48" i="15"/>
  <c r="D19" i="15" s="1"/>
  <c r="A48" i="15"/>
  <c r="E37" i="15"/>
  <c r="F31" i="15"/>
  <c r="F32" i="15" s="1"/>
  <c r="E31" i="15"/>
  <c r="E32" i="15" s="1"/>
  <c r="D31" i="15"/>
  <c r="D32" i="15" s="1"/>
  <c r="C31" i="15"/>
  <c r="C32" i="15" s="1"/>
  <c r="B31" i="15"/>
  <c r="B32" i="15" s="1"/>
  <c r="A31" i="15"/>
  <c r="A32" i="15" s="1"/>
  <c r="B28" i="15"/>
  <c r="D27" i="15"/>
  <c r="B27" i="15"/>
  <c r="D20" i="15"/>
  <c r="D16" i="15"/>
  <c r="D15" i="15"/>
  <c r="B15" i="15"/>
  <c r="D14" i="15"/>
  <c r="B13" i="15"/>
  <c r="F8" i="15"/>
  <c r="D8" i="15"/>
  <c r="B8" i="15"/>
  <c r="F7" i="15"/>
  <c r="D7" i="15"/>
  <c r="B7" i="15"/>
  <c r="F5" i="15"/>
  <c r="D5" i="15"/>
  <c r="B5" i="15"/>
  <c r="P3" i="15"/>
  <c r="O3" i="15"/>
  <c r="D36" i="15" s="1"/>
  <c r="N3" i="15"/>
  <c r="D35" i="15" s="1"/>
  <c r="M3" i="15"/>
  <c r="P2" i="15"/>
  <c r="C35" i="15" s="1"/>
  <c r="O2" i="15"/>
  <c r="C36" i="15" s="1"/>
  <c r="N2" i="15"/>
  <c r="M2" i="15"/>
  <c r="B6" i="15" s="1"/>
  <c r="AK19" i="25"/>
  <c r="O14" i="25"/>
  <c r="AK10" i="25"/>
  <c r="AL10" i="25" s="1"/>
  <c r="AK9" i="25"/>
  <c r="AL9" i="25" s="1"/>
  <c r="AK5" i="25"/>
  <c r="AL5" i="25" s="1"/>
  <c r="O5" i="25"/>
  <c r="P5" i="25" s="1"/>
  <c r="AK4" i="25"/>
  <c r="O4" i="25"/>
  <c r="AK3" i="25"/>
  <c r="AL3" i="25" s="1"/>
  <c r="O3" i="25"/>
  <c r="P3" i="25" s="1"/>
  <c r="AV156" i="29"/>
  <c r="AP156" i="29"/>
  <c r="AK156" i="29"/>
  <c r="AH156" i="29"/>
  <c r="AE156" i="29"/>
  <c r="AB156" i="29"/>
  <c r="X156" i="29"/>
  <c r="U156" i="29"/>
  <c r="Q156" i="29"/>
  <c r="M156" i="29"/>
  <c r="K156" i="29"/>
  <c r="B156" i="29"/>
  <c r="AR134" i="29"/>
  <c r="AP134" i="29"/>
  <c r="AJ134" i="29"/>
  <c r="AF134" i="29"/>
  <c r="AD134" i="29"/>
  <c r="X134" i="29"/>
  <c r="B134" i="29"/>
  <c r="O132" i="29"/>
  <c r="O130" i="29"/>
  <c r="C129" i="29"/>
  <c r="O128" i="29"/>
  <c r="C128" i="29"/>
  <c r="C127" i="29"/>
  <c r="O126" i="29"/>
  <c r="C126" i="29"/>
  <c r="AQ125" i="29"/>
  <c r="AM125" i="29"/>
  <c r="AI125" i="29"/>
  <c r="C125" i="29"/>
  <c r="O124" i="29"/>
  <c r="C124" i="29"/>
  <c r="AI123" i="29"/>
  <c r="C123" i="29"/>
  <c r="AI122" i="29"/>
  <c r="O122" i="29"/>
  <c r="N122" i="29"/>
  <c r="C122" i="29"/>
  <c r="B122" i="29"/>
  <c r="AA93" i="29"/>
  <c r="V93" i="29"/>
  <c r="R93" i="29"/>
  <c r="O93" i="29"/>
  <c r="L93" i="29"/>
  <c r="C93" i="29"/>
  <c r="B93" i="29"/>
  <c r="C90" i="29"/>
  <c r="AB89" i="29"/>
  <c r="AP88" i="29"/>
  <c r="AG88" i="29"/>
  <c r="Y88" i="29"/>
  <c r="S88" i="29"/>
  <c r="L88" i="29"/>
  <c r="C88" i="29"/>
  <c r="AI87" i="29"/>
  <c r="AG87" i="29"/>
  <c r="AE87" i="29"/>
  <c r="AC87" i="29"/>
  <c r="AA87" i="29"/>
  <c r="Y87" i="29"/>
  <c r="AO85" i="29"/>
  <c r="AK85" i="29"/>
  <c r="AI85" i="29"/>
  <c r="AG85" i="29"/>
  <c r="AE85" i="29"/>
  <c r="AC85" i="29"/>
  <c r="AA85" i="29"/>
  <c r="Y85" i="29"/>
  <c r="V85" i="29"/>
  <c r="S85" i="29"/>
  <c r="P85" i="29"/>
  <c r="L85" i="29"/>
  <c r="J85" i="29"/>
  <c r="C85" i="29"/>
  <c r="B85" i="29"/>
  <c r="C82" i="29"/>
  <c r="AC81" i="29"/>
  <c r="Z81" i="29"/>
  <c r="W81" i="29"/>
  <c r="T81" i="29"/>
  <c r="Q81" i="29"/>
  <c r="N81" i="29"/>
  <c r="K81" i="29"/>
  <c r="H81" i="29"/>
  <c r="E81" i="29"/>
  <c r="C79" i="29"/>
  <c r="M77" i="29"/>
  <c r="AG76" i="29"/>
  <c r="AC76" i="29"/>
  <c r="Y76" i="29"/>
  <c r="U76" i="29"/>
  <c r="Q76" i="29"/>
  <c r="M76" i="29"/>
  <c r="I76" i="29"/>
  <c r="C76" i="29"/>
  <c r="B76" i="29"/>
  <c r="AT74" i="29"/>
  <c r="AS74" i="29"/>
  <c r="AR74" i="29"/>
  <c r="AQ74" i="29"/>
  <c r="AP74" i="29"/>
  <c r="AO74" i="29"/>
  <c r="AN74" i="29"/>
  <c r="AM74" i="29"/>
  <c r="AL74" i="29"/>
  <c r="AK74" i="29"/>
  <c r="AJ74" i="29"/>
  <c r="AI74" i="29"/>
  <c r="AH74" i="29"/>
  <c r="AG74" i="29"/>
  <c r="AF74" i="29"/>
  <c r="AE74" i="29"/>
  <c r="AD74" i="29"/>
  <c r="AC74" i="29"/>
  <c r="AB74" i="29"/>
  <c r="AA74" i="29"/>
  <c r="Z74" i="29"/>
  <c r="Y74" i="29"/>
  <c r="X74" i="29"/>
  <c r="W74" i="29"/>
  <c r="V74" i="29"/>
  <c r="U74" i="29"/>
  <c r="T74" i="29"/>
  <c r="S74" i="29"/>
  <c r="R74" i="29"/>
  <c r="Q74" i="29"/>
  <c r="P74" i="29"/>
  <c r="O74" i="29"/>
  <c r="N74" i="29"/>
  <c r="I74" i="29"/>
  <c r="AT73" i="29"/>
  <c r="AS73" i="29"/>
  <c r="AR73" i="29"/>
  <c r="AQ73" i="29"/>
  <c r="AP73" i="29"/>
  <c r="AO73" i="29"/>
  <c r="AN73" i="29"/>
  <c r="AM73" i="29"/>
  <c r="AL73" i="29"/>
  <c r="AK73" i="29"/>
  <c r="AJ73" i="29"/>
  <c r="AI73" i="29"/>
  <c r="AH73" i="29"/>
  <c r="AG73" i="29"/>
  <c r="AF73" i="29"/>
  <c r="AE73" i="29"/>
  <c r="AD73" i="29"/>
  <c r="AC73" i="29"/>
  <c r="AB73" i="29"/>
  <c r="AA73" i="29"/>
  <c r="Z73" i="29"/>
  <c r="Y73" i="29"/>
  <c r="X73" i="29"/>
  <c r="W73" i="29"/>
  <c r="V73" i="29"/>
  <c r="U73" i="29"/>
  <c r="T73" i="29"/>
  <c r="S73" i="29"/>
  <c r="R73" i="29"/>
  <c r="Q73" i="29"/>
  <c r="P73" i="29"/>
  <c r="O73" i="29"/>
  <c r="N73" i="29"/>
  <c r="I73"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I72"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I71" i="29"/>
  <c r="N70" i="29"/>
  <c r="K70" i="29"/>
  <c r="I70" i="29"/>
  <c r="B70" i="29"/>
  <c r="O69" i="29"/>
  <c r="B64" i="29"/>
  <c r="AN62" i="29"/>
  <c r="AK62" i="29"/>
  <c r="AG62" i="29"/>
  <c r="AC62" i="29"/>
  <c r="Z62" i="29"/>
  <c r="V62" i="29"/>
  <c r="S62" i="29"/>
  <c r="P62" i="29"/>
  <c r="M62" i="29"/>
  <c r="D62" i="29"/>
  <c r="C62" i="29"/>
  <c r="B62" i="29"/>
  <c r="AQ60" i="29"/>
  <c r="AK60" i="29"/>
  <c r="AG60" i="29"/>
  <c r="AG59" i="29"/>
  <c r="AB59" i="29"/>
  <c r="V59" i="29"/>
  <c r="M59" i="29"/>
  <c r="F59" i="29"/>
  <c r="B57" i="29"/>
  <c r="J56" i="29"/>
  <c r="G56" i="29"/>
  <c r="J55" i="29"/>
  <c r="G55" i="29"/>
  <c r="J54" i="29"/>
  <c r="G54" i="29"/>
  <c r="J53" i="29"/>
  <c r="G53" i="29"/>
  <c r="F53" i="29"/>
  <c r="B53" i="29"/>
  <c r="J52" i="29"/>
  <c r="G52" i="29"/>
  <c r="B52" i="29"/>
  <c r="J50" i="29"/>
  <c r="G50" i="29"/>
  <c r="B50" i="29"/>
  <c r="J49" i="29"/>
  <c r="G49" i="29"/>
  <c r="J48" i="29"/>
  <c r="G48" i="29"/>
  <c r="J47" i="29"/>
  <c r="G47" i="29"/>
  <c r="J46" i="29"/>
  <c r="G46" i="29"/>
  <c r="F46" i="29"/>
  <c r="B46" i="29"/>
  <c r="J45" i="29"/>
  <c r="G45" i="29"/>
  <c r="B45" i="29"/>
  <c r="J43" i="29"/>
  <c r="G43" i="29"/>
  <c r="B43" i="29"/>
  <c r="AP42" i="29"/>
  <c r="AI42" i="29"/>
  <c r="J42" i="29"/>
  <c r="G42" i="29"/>
  <c r="AI41" i="29"/>
  <c r="J41" i="29"/>
  <c r="G41" i="29"/>
  <c r="AP40" i="29"/>
  <c r="AI40" i="29"/>
  <c r="J40" i="29"/>
  <c r="G40" i="29"/>
  <c r="AR39" i="29"/>
  <c r="AP39" i="29"/>
  <c r="AI39" i="29"/>
  <c r="AE39" i="29"/>
  <c r="AC39" i="29"/>
  <c r="V39" i="29"/>
  <c r="J39" i="29"/>
  <c r="G39" i="29"/>
  <c r="F39" i="29"/>
  <c r="B39" i="29"/>
  <c r="J38" i="29"/>
  <c r="G38" i="29"/>
  <c r="B38" i="29"/>
  <c r="B36" i="29"/>
  <c r="AR35" i="29"/>
  <c r="AO35" i="29"/>
  <c r="AL35" i="29"/>
  <c r="AI35" i="29"/>
  <c r="AF35" i="29"/>
  <c r="W35" i="29"/>
  <c r="AS33" i="29"/>
  <c r="AR33" i="29"/>
  <c r="AQ33" i="29"/>
  <c r="AP32" i="29"/>
  <c r="AH32" i="29"/>
  <c r="F32" i="29"/>
  <c r="B32" i="29"/>
  <c r="AS31" i="29"/>
  <c r="AR31" i="29"/>
  <c r="AQ31" i="29"/>
  <c r="J31" i="29"/>
  <c r="G31" i="29"/>
  <c r="B31" i="29"/>
  <c r="AP30" i="29"/>
  <c r="AH30" i="29"/>
  <c r="AP29" i="29"/>
  <c r="AH29" i="29"/>
  <c r="AC29" i="29"/>
  <c r="W29" i="29"/>
  <c r="B29" i="29"/>
  <c r="AL27" i="29"/>
  <c r="AB27" i="29"/>
  <c r="J27" i="29"/>
  <c r="G27" i="29"/>
  <c r="AO26" i="29"/>
  <c r="AK26" i="29"/>
  <c r="AI26" i="29"/>
  <c r="AG26" i="29"/>
  <c r="AB26" i="29"/>
  <c r="J26" i="29"/>
  <c r="G26" i="29"/>
  <c r="AB25" i="29"/>
  <c r="J25" i="29"/>
  <c r="G25" i="29"/>
  <c r="F25" i="29"/>
  <c r="B25" i="29"/>
  <c r="J24" i="29"/>
  <c r="G24" i="29"/>
  <c r="B24" i="29"/>
  <c r="AR23" i="29"/>
  <c r="AP23" i="29"/>
  <c r="AM23" i="29"/>
  <c r="AK23" i="29"/>
  <c r="AH23" i="29"/>
  <c r="AB23" i="29"/>
  <c r="W23" i="29"/>
  <c r="B22" i="29"/>
  <c r="W21" i="29"/>
  <c r="AC19" i="29"/>
  <c r="W19" i="29"/>
  <c r="AC18" i="29"/>
  <c r="W18" i="29"/>
  <c r="J18" i="29"/>
  <c r="G18" i="29"/>
  <c r="F18" i="29"/>
  <c r="B18" i="29"/>
  <c r="AC17" i="29"/>
  <c r="W17" i="29"/>
  <c r="J17" i="29"/>
  <c r="G17" i="29"/>
  <c r="B17" i="29"/>
  <c r="AR16" i="29"/>
  <c r="AI16" i="29"/>
  <c r="W16" i="29"/>
  <c r="AR14" i="29"/>
  <c r="AO14" i="29"/>
  <c r="AM14" i="29"/>
  <c r="AK14" i="29"/>
  <c r="AH14" i="29"/>
  <c r="AF14" i="29"/>
  <c r="AD14" i="29"/>
  <c r="AB14" i="29"/>
  <c r="W14" i="29"/>
  <c r="AK13" i="29"/>
  <c r="AH13" i="29"/>
  <c r="AF13" i="29"/>
  <c r="AD13" i="29"/>
  <c r="AB13" i="29"/>
  <c r="AK12" i="29"/>
  <c r="AH12" i="29"/>
  <c r="AF12" i="29"/>
  <c r="AD12" i="29"/>
  <c r="AB12" i="29"/>
  <c r="W12" i="29"/>
  <c r="S12" i="29"/>
  <c r="J12" i="29"/>
  <c r="B12" i="29"/>
  <c r="AK9" i="29"/>
  <c r="W9" i="29"/>
  <c r="R9" i="29"/>
  <c r="N9" i="29"/>
  <c r="B9" i="29"/>
  <c r="AK6" i="29"/>
  <c r="AA6" i="29"/>
  <c r="N6" i="29"/>
  <c r="B6" i="29"/>
  <c r="AC3" i="29"/>
  <c r="B3" i="29"/>
  <c r="A2" i="29"/>
  <c r="A1" i="29"/>
  <c r="D61" i="39"/>
  <c r="G61" i="39" s="1"/>
  <c r="D60" i="39"/>
  <c r="G60" i="39" s="1"/>
  <c r="D59" i="39"/>
  <c r="G59" i="39" s="1"/>
  <c r="D58" i="39"/>
  <c r="G58" i="39" s="1"/>
  <c r="D57" i="39"/>
  <c r="G57" i="39" s="1"/>
  <c r="D56" i="39"/>
  <c r="G56" i="39" s="1"/>
  <c r="D55" i="39"/>
  <c r="G55" i="39" s="1"/>
  <c r="D54" i="39"/>
  <c r="G54" i="39" s="1"/>
  <c r="D53" i="39"/>
  <c r="G53" i="39" s="1"/>
  <c r="D52" i="39"/>
  <c r="G52" i="39" s="1"/>
  <c r="D51" i="39"/>
  <c r="G51" i="39" s="1"/>
  <c r="D50" i="39"/>
  <c r="G50" i="39" s="1"/>
  <c r="D49" i="39"/>
  <c r="G49" i="39" s="1"/>
  <c r="D48" i="39"/>
  <c r="G48" i="39" s="1"/>
  <c r="D47" i="39"/>
  <c r="G47" i="39" s="1"/>
  <c r="D46" i="39"/>
  <c r="G46" i="39" s="1"/>
  <c r="D42" i="39"/>
  <c r="G42" i="39" s="1"/>
  <c r="D5" i="39" s="1"/>
  <c r="D12" i="39" s="1"/>
  <c r="E37" i="39"/>
  <c r="E36" i="39"/>
  <c r="E35" i="39"/>
  <c r="E34" i="39"/>
  <c r="E33" i="39"/>
  <c r="E32" i="39"/>
  <c r="E31" i="39"/>
  <c r="E30" i="39"/>
  <c r="E29" i="39"/>
  <c r="E28" i="39"/>
  <c r="E27" i="39"/>
  <c r="E26" i="39"/>
  <c r="D21" i="39"/>
  <c r="E14" i="39"/>
  <c r="D4" i="39"/>
  <c r="L3" i="39"/>
  <c r="M3" i="39" s="1"/>
  <c r="J3" i="39"/>
  <c r="D3" i="39"/>
  <c r="C164" i="40"/>
  <c r="C162" i="40"/>
  <c r="C161" i="40"/>
  <c r="C156" i="40"/>
  <c r="C155" i="40"/>
  <c r="C154" i="40"/>
  <c r="C152" i="40"/>
  <c r="C151" i="40"/>
  <c r="M149" i="40"/>
  <c r="M147" i="40"/>
  <c r="G142" i="40"/>
  <c r="C142" i="40"/>
  <c r="G141" i="40"/>
  <c r="C141" i="40"/>
  <c r="G140" i="40"/>
  <c r="C140" i="40"/>
  <c r="G139" i="40"/>
  <c r="C139" i="40"/>
  <c r="G138" i="40"/>
  <c r="C138" i="40"/>
  <c r="M137" i="40"/>
  <c r="G135" i="40" s="1"/>
  <c r="G137" i="40"/>
  <c r="G136" i="40"/>
  <c r="M124" i="40"/>
  <c r="M123" i="40"/>
  <c r="G9" i="40" s="1"/>
  <c r="M118" i="40"/>
  <c r="M120" i="40" s="1"/>
  <c r="G104" i="40" s="1"/>
  <c r="M105" i="40"/>
  <c r="G128" i="40" s="1"/>
  <c r="M104" i="40"/>
  <c r="M103" i="40"/>
  <c r="G74" i="40"/>
  <c r="M60" i="40"/>
  <c r="G66" i="40" s="1"/>
  <c r="M54" i="40"/>
  <c r="G48" i="40" s="1"/>
  <c r="M47" i="40"/>
  <c r="G41" i="40" s="1"/>
  <c r="C44" i="40"/>
  <c r="C39" i="40"/>
  <c r="M35" i="40"/>
  <c r="G21" i="40" s="1"/>
  <c r="G32" i="40"/>
  <c r="G31" i="40"/>
  <c r="G30" i="40"/>
  <c r="G7" i="40"/>
  <c r="G6" i="40"/>
  <c r="L4" i="40"/>
  <c r="P4" i="40" s="1"/>
  <c r="L33" i="40" s="1"/>
  <c r="M33" i="40" s="1"/>
  <c r="K4" i="40"/>
  <c r="C99" i="44"/>
  <c r="C88" i="44"/>
  <c r="AX87" i="44"/>
  <c r="Y87" i="44"/>
  <c r="AX63" i="44"/>
  <c r="C63" i="44"/>
  <c r="C67" i="44" s="1"/>
  <c r="EB56" i="44"/>
  <c r="DV56" i="44"/>
  <c r="DP56" i="44"/>
  <c r="DJ56" i="44"/>
  <c r="DD56" i="44"/>
  <c r="C54" i="44"/>
  <c r="C58" i="44" s="1"/>
  <c r="C45" i="44"/>
  <c r="C49" i="44" s="1"/>
  <c r="BX43" i="44"/>
  <c r="BX41" i="44"/>
  <c r="C40" i="44"/>
  <c r="BX39" i="44"/>
  <c r="BX37" i="44"/>
  <c r="BX35" i="44"/>
  <c r="BX33" i="44"/>
  <c r="C31" i="44"/>
  <c r="HC24" i="44"/>
  <c r="GS24" i="44"/>
  <c r="GM24" i="44"/>
  <c r="GI24" i="44"/>
  <c r="GE24" i="44"/>
  <c r="FH24" i="44"/>
  <c r="FD24" i="44"/>
  <c r="ES24" i="44"/>
  <c r="C22" i="44"/>
  <c r="AS18" i="44"/>
  <c r="J76" i="51"/>
  <c r="J75" i="51"/>
  <c r="J74" i="51"/>
  <c r="J73" i="51"/>
  <c r="J72" i="51"/>
  <c r="J71" i="51"/>
  <c r="J70" i="51"/>
  <c r="J69" i="51"/>
  <c r="J68" i="51"/>
  <c r="J67" i="51"/>
  <c r="J66" i="51"/>
  <c r="J65" i="51"/>
  <c r="J64" i="51"/>
  <c r="J63" i="51"/>
  <c r="J62" i="51"/>
  <c r="J61" i="51"/>
  <c r="J60" i="51"/>
  <c r="J59" i="51"/>
  <c r="J58" i="51"/>
  <c r="J57" i="51"/>
  <c r="J56" i="51"/>
  <c r="J55" i="51"/>
  <c r="H55" i="51"/>
  <c r="AC53" i="51" a="1"/>
  <c r="AC53" i="51" s="1"/>
  <c r="Z53" i="51" a="1"/>
  <c r="Z53" i="51" s="1"/>
  <c r="W53" i="51" a="1"/>
  <c r="W53" i="51" s="1"/>
  <c r="T53" i="51" a="1"/>
  <c r="T53" i="51" s="1"/>
  <c r="Q53" i="51" a="1"/>
  <c r="Q53" i="51" s="1"/>
  <c r="U43" i="51"/>
  <c r="U42" i="51"/>
  <c r="K4" i="51"/>
  <c r="J4" i="51"/>
  <c r="I4" i="51"/>
  <c r="F4" i="51"/>
  <c r="E4" i="51"/>
  <c r="D4" i="51"/>
  <c r="C4" i="51"/>
  <c r="E69" i="57" a="1"/>
  <c r="E69" i="57" s="1"/>
  <c r="E68" i="57" a="1"/>
  <c r="E68" i="57" s="1"/>
  <c r="E67" i="57" a="1"/>
  <c r="E67" i="57" s="1"/>
  <c r="E66" i="57" a="1"/>
  <c r="E66" i="57" s="1"/>
  <c r="E65" i="57" a="1"/>
  <c r="E65" i="57" s="1"/>
  <c r="E64" i="57" a="1"/>
  <c r="E64" i="57" s="1"/>
  <c r="E63" i="57" a="1"/>
  <c r="E63" i="57" s="1"/>
  <c r="E62" i="57" a="1"/>
  <c r="E62" i="57" s="1"/>
  <c r="E61" i="57" a="1"/>
  <c r="E61" i="57" s="1"/>
  <c r="E60" i="57" a="1"/>
  <c r="E60" i="57" s="1"/>
  <c r="E59" i="57" a="1"/>
  <c r="E59" i="57" s="1"/>
  <c r="E58" i="57" a="1"/>
  <c r="E58" i="57" s="1"/>
  <c r="E57" i="57" a="1"/>
  <c r="E57" i="57" s="1"/>
  <c r="E56" i="57" a="1"/>
  <c r="E56" i="57" s="1"/>
  <c r="E55" i="57" a="1"/>
  <c r="E55" i="57" s="1"/>
  <c r="E54" i="57" a="1"/>
  <c r="E54" i="57" s="1"/>
  <c r="E53" i="57" a="1"/>
  <c r="E53" i="57" s="1"/>
  <c r="E52" i="57" a="1"/>
  <c r="E52" i="57" s="1"/>
  <c r="E51" i="57" a="1"/>
  <c r="E51" i="57" s="1"/>
  <c r="E50" i="57" a="1"/>
  <c r="E50" i="57" s="1"/>
  <c r="E49" i="57" a="1"/>
  <c r="E49" i="57" s="1"/>
  <c r="E48" i="57" a="1"/>
  <c r="E48" i="57" s="1"/>
  <c r="E47" i="57" a="1"/>
  <c r="E47" i="57" s="1"/>
  <c r="E46" i="57" a="1"/>
  <c r="E46" i="57" s="1"/>
  <c r="E45" i="57" a="1"/>
  <c r="E45" i="57" s="1"/>
  <c r="I44" i="57" a="1"/>
  <c r="I44" i="57" s="1"/>
  <c r="E44" i="57" a="1"/>
  <c r="E44" i="57" s="1"/>
  <c r="I43" i="57" a="1"/>
  <c r="I43" i="57" s="1"/>
  <c r="E43" i="57" a="1"/>
  <c r="E43" i="57" s="1"/>
  <c r="I42" i="57" a="1"/>
  <c r="I42" i="57" s="1"/>
  <c r="E42" i="57" a="1"/>
  <c r="E42" i="57" s="1"/>
  <c r="I41" i="57" a="1"/>
  <c r="I41" i="57" s="1"/>
  <c r="E41" i="57" a="1"/>
  <c r="E41" i="57" s="1"/>
  <c r="I40" i="57" a="1"/>
  <c r="I40" i="57" s="1"/>
  <c r="E40" i="57" a="1"/>
  <c r="E40" i="57" s="1"/>
  <c r="I39" i="57" a="1"/>
  <c r="I39" i="57" s="1"/>
  <c r="I38" i="57" a="1"/>
  <c r="I38" i="57" s="1"/>
  <c r="I37" i="57" a="1"/>
  <c r="I37" i="57" s="1"/>
  <c r="I36" i="57" a="1"/>
  <c r="I36" i="57" s="1"/>
  <c r="I35" i="57" a="1"/>
  <c r="I35" i="57" s="1"/>
  <c r="I34" i="57" a="1"/>
  <c r="I34" i="57" s="1"/>
  <c r="I33" i="57" a="1"/>
  <c r="I33" i="57" s="1"/>
  <c r="I32" i="57" a="1"/>
  <c r="I32" i="57" s="1"/>
  <c r="I31" i="57" a="1"/>
  <c r="I31" i="57" s="1"/>
  <c r="I30" i="57" a="1"/>
  <c r="I30" i="57" s="1"/>
  <c r="I29" i="57" a="1"/>
  <c r="I29" i="57" s="1"/>
  <c r="I28" i="57" a="1"/>
  <c r="I28" i="57" s="1"/>
  <c r="I27" i="57" a="1"/>
  <c r="I27" i="57" s="1"/>
  <c r="M24" i="57" a="1"/>
  <c r="M24" i="57" s="1"/>
  <c r="M23" i="57" a="1"/>
  <c r="M23" i="57" s="1"/>
  <c r="M22" i="57" a="1"/>
  <c r="M22" i="57" s="1"/>
  <c r="I22" i="57" a="1"/>
  <c r="I22" i="57" s="1"/>
  <c r="M21" i="57" a="1"/>
  <c r="M21" i="57" s="1"/>
  <c r="I21" i="57" a="1"/>
  <c r="I21" i="57" s="1"/>
  <c r="M20" i="57" a="1"/>
  <c r="M20" i="57" s="1"/>
  <c r="I20" i="57" a="1"/>
  <c r="I20" i="57" s="1"/>
  <c r="A17" i="57"/>
  <c r="C17" i="57" s="1"/>
  <c r="A10" i="57"/>
  <c r="G184" i="58"/>
  <c r="G183" i="58"/>
  <c r="G182" i="58"/>
  <c r="G181" i="58"/>
  <c r="G180" i="58"/>
  <c r="G179" i="58"/>
  <c r="G178" i="58"/>
  <c r="G177" i="58"/>
  <c r="G176" i="58"/>
  <c r="G175" i="58"/>
  <c r="G174" i="58"/>
  <c r="G173" i="58"/>
  <c r="G172" i="58"/>
  <c r="G171" i="58"/>
  <c r="G170" i="58"/>
  <c r="G169" i="58"/>
  <c r="G168" i="58"/>
  <c r="G167" i="58"/>
  <c r="G166" i="58"/>
  <c r="G165" i="58"/>
  <c r="G164" i="58"/>
  <c r="G163" i="58"/>
  <c r="G162" i="58"/>
  <c r="G161" i="58"/>
  <c r="G160" i="58"/>
  <c r="G159" i="58"/>
  <c r="AA52" i="58"/>
  <c r="AB52" i="58" s="1"/>
  <c r="AA51" i="58"/>
  <c r="AB51" i="58" s="1"/>
  <c r="AA50" i="58"/>
  <c r="AB50" i="58" s="1"/>
  <c r="AA49" i="58"/>
  <c r="AB49" i="58" s="1"/>
  <c r="AA48" i="58"/>
  <c r="AB48" i="58" s="1"/>
  <c r="AA47" i="58"/>
  <c r="AB47" i="58" s="1"/>
  <c r="AA46" i="58"/>
  <c r="AB46" i="58" s="1"/>
  <c r="AA45" i="58"/>
  <c r="AB45" i="58" s="1"/>
  <c r="AA44" i="58"/>
  <c r="AB44" i="58" s="1"/>
  <c r="AA43" i="58"/>
  <c r="AB43" i="58" s="1"/>
  <c r="AA42" i="58"/>
  <c r="AB42" i="58" s="1"/>
  <c r="AA41" i="58"/>
  <c r="AB41" i="58" s="1"/>
  <c r="AA40" i="58"/>
  <c r="AB40" i="58" s="1"/>
  <c r="AA39" i="58"/>
  <c r="AB39" i="58" s="1"/>
  <c r="AA38" i="58"/>
  <c r="AB38" i="58" s="1"/>
  <c r="AA37" i="58"/>
  <c r="AA36" i="58"/>
  <c r="AB36" i="58" s="1"/>
  <c r="P36" i="58"/>
  <c r="AA35" i="58"/>
  <c r="AB35" i="58" s="1"/>
  <c r="P35" i="58"/>
  <c r="AA34" i="58"/>
  <c r="AA33" i="58"/>
  <c r="AB33" i="58" s="1"/>
  <c r="P33" i="58"/>
  <c r="AA32" i="58"/>
  <c r="AB32" i="58" s="1"/>
  <c r="AA31" i="58"/>
  <c r="AB31" i="58" s="1"/>
  <c r="AA30" i="58"/>
  <c r="AB30" i="58" s="1"/>
  <c r="AA29" i="58"/>
  <c r="AB29" i="58" s="1"/>
  <c r="AA28" i="58"/>
  <c r="AB28" i="58" s="1"/>
  <c r="P28" i="58"/>
  <c r="AA27" i="58"/>
  <c r="AA26" i="58"/>
  <c r="AA25" i="58"/>
  <c r="AA24" i="58"/>
  <c r="AA23" i="58"/>
  <c r="AB23" i="58" s="1"/>
  <c r="AK22" i="58"/>
  <c r="AA22" i="58"/>
  <c r="AB22" i="58" s="1"/>
  <c r="AK21" i="58"/>
  <c r="AA21" i="58"/>
  <c r="AB21" i="58" s="1"/>
  <c r="AK20" i="58"/>
  <c r="AA20" i="58"/>
  <c r="AK19" i="58"/>
  <c r="AA19" i="58"/>
  <c r="AB19" i="58" s="1"/>
  <c r="AK18" i="58"/>
  <c r="AA18" i="58"/>
  <c r="AK17" i="58"/>
  <c r="AA17" i="58"/>
  <c r="AB17" i="58" s="1"/>
  <c r="P17" i="58"/>
  <c r="AK16" i="58"/>
  <c r="AA16" i="58"/>
  <c r="AB16" i="58" s="1"/>
  <c r="AK15" i="58"/>
  <c r="AA15" i="58"/>
  <c r="AB15" i="58" s="1"/>
  <c r="AK14" i="58"/>
  <c r="AA14" i="58"/>
  <c r="AB14" i="58" s="1"/>
  <c r="AK13" i="58"/>
  <c r="AA13" i="58"/>
  <c r="AB13" i="58" s="1"/>
  <c r="AK12" i="58"/>
  <c r="AA12" i="58"/>
  <c r="AB12" i="58" s="1"/>
  <c r="AK11" i="58"/>
  <c r="AA11" i="58"/>
  <c r="AB11" i="58" s="1"/>
  <c r="AK10" i="58"/>
  <c r="AA10" i="58"/>
  <c r="AB10" i="58" s="1"/>
  <c r="AK9" i="58"/>
  <c r="AA9" i="58"/>
  <c r="AB9" i="58" s="1"/>
  <c r="AK8" i="58"/>
  <c r="AA8" i="58"/>
  <c r="AB8" i="58" s="1"/>
  <c r="AK7" i="58"/>
  <c r="AA7" i="58"/>
  <c r="AB7" i="58" s="1"/>
  <c r="AK6" i="58"/>
  <c r="AA6" i="58"/>
  <c r="AB6" i="58" s="1"/>
  <c r="P6" i="58"/>
  <c r="AL5" i="58"/>
  <c r="AK5" i="58"/>
  <c r="AE5" i="58"/>
  <c r="AA5" i="58"/>
  <c r="AB5" i="58" s="1"/>
  <c r="AL4" i="58"/>
  <c r="AK4" i="58"/>
  <c r="AE4" i="58"/>
  <c r="AA4" i="58"/>
  <c r="AB4" i="58" s="1"/>
  <c r="AK3" i="58"/>
  <c r="AA3" i="58"/>
  <c r="C1158" i="60"/>
  <c r="C1143" i="60"/>
  <c r="B850" i="60"/>
  <c r="B849" i="60"/>
  <c r="B848" i="60"/>
  <c r="B847" i="60"/>
  <c r="D708" i="60"/>
  <c r="C708" i="60"/>
  <c r="D707" i="60"/>
  <c r="C707" i="60"/>
  <c r="D706" i="60"/>
  <c r="C706" i="60"/>
  <c r="D705" i="60"/>
  <c r="C705" i="60"/>
  <c r="E704" i="60"/>
  <c r="D704" i="60"/>
  <c r="C704" i="60"/>
  <c r="E703" i="60"/>
  <c r="D703" i="60"/>
  <c r="C703" i="60"/>
  <c r="E702" i="60"/>
  <c r="D702" i="60"/>
  <c r="C702" i="60"/>
  <c r="E701" i="60"/>
  <c r="D701" i="60"/>
  <c r="C701" i="60"/>
  <c r="E700" i="60"/>
  <c r="D700" i="60"/>
  <c r="C700" i="60"/>
  <c r="B333" i="60"/>
  <c r="B250" i="60"/>
  <c r="B249" i="60"/>
  <c r="B248" i="60"/>
  <c r="B247" i="60"/>
  <c r="G228" i="60"/>
  <c r="G229" i="60" s="1"/>
  <c r="G230" i="60" s="1"/>
  <c r="F228" i="60"/>
  <c r="F229" i="60" s="1"/>
  <c r="F230" i="60" s="1"/>
  <c r="H205" i="60"/>
  <c r="G205" i="60"/>
  <c r="H204" i="60"/>
  <c r="G204" i="60"/>
  <c r="H203" i="60"/>
  <c r="G203" i="60"/>
  <c r="H202" i="60"/>
  <c r="G202" i="60"/>
  <c r="H201" i="60"/>
  <c r="G201" i="60"/>
  <c r="H200" i="60"/>
  <c r="G200" i="60"/>
  <c r="H199" i="60"/>
  <c r="G199" i="60"/>
  <c r="H198" i="60"/>
  <c r="G198" i="60"/>
  <c r="H197" i="60"/>
  <c r="G197" i="60"/>
  <c r="F197" i="60"/>
  <c r="F203" i="60" s="1"/>
  <c r="B173" i="60"/>
  <c r="B172" i="60"/>
  <c r="D69" i="60"/>
  <c r="B69" i="60"/>
  <c r="D68" i="60"/>
  <c r="B68" i="60"/>
  <c r="M68" i="60" s="1"/>
  <c r="D67" i="60"/>
  <c r="B67" i="60"/>
  <c r="M67" i="60" s="1"/>
  <c r="D66" i="60"/>
  <c r="B66" i="60"/>
  <c r="M66" i="60" s="1"/>
  <c r="D65" i="60"/>
  <c r="B65" i="60"/>
  <c r="M65" i="60" s="1"/>
  <c r="M64" i="60"/>
  <c r="D64" i="60"/>
  <c r="M63" i="60"/>
  <c r="D63" i="60"/>
  <c r="M62" i="60"/>
  <c r="C55" i="60"/>
  <c r="FG147" i="70"/>
  <c r="B58" i="70"/>
  <c r="B57" i="70"/>
  <c r="B56" i="70"/>
  <c r="B55" i="70"/>
  <c r="B54" i="70"/>
  <c r="B53" i="70"/>
  <c r="GO47" i="70"/>
  <c r="GN47" i="70"/>
  <c r="GM47" i="70"/>
  <c r="GO46" i="70"/>
  <c r="GN46" i="70"/>
  <c r="GN45" i="70" s="1" a="1"/>
  <c r="GN45" i="70" s="1"/>
  <c r="GM46" i="70"/>
  <c r="GK46" i="70"/>
  <c r="GK45" i="70" s="1" a="1"/>
  <c r="GJ46" i="70"/>
  <c r="GI46" i="70"/>
  <c r="GI45" i="70" s="1" a="1"/>
  <c r="GH46" i="70"/>
  <c r="GF46" i="70"/>
  <c r="GF45" i="70" s="1" a="1"/>
  <c r="GF45" i="70" s="1"/>
  <c r="GE46" i="70"/>
  <c r="GE45" i="70" s="1" a="1"/>
  <c r="GE45" i="70" s="1"/>
  <c r="GD46" i="70"/>
  <c r="GD45" i="70" s="1" a="1"/>
  <c r="GD45" i="70" s="1"/>
  <c r="GB46" i="70"/>
  <c r="GB45" i="70" s="1" a="1"/>
  <c r="GB45" i="70" s="1"/>
  <c r="GA46" i="70"/>
  <c r="GA45" i="70" s="1" a="1"/>
  <c r="GA45" i="70" s="1"/>
  <c r="FZ46" i="70"/>
  <c r="FX46" i="70"/>
  <c r="FX45" i="70" s="1" a="1"/>
  <c r="FX45" i="70" s="1"/>
  <c r="FV46" i="70"/>
  <c r="FU46" i="70"/>
  <c r="FU45" i="70" s="1" a="1"/>
  <c r="FU45" i="70" s="1"/>
  <c r="FT46" i="70"/>
  <c r="FT45" i="70" s="1" a="1"/>
  <c r="FT45" i="70" s="1"/>
  <c r="FR46" i="70"/>
  <c r="FR45" i="70" s="1" a="1"/>
  <c r="FR45" i="70" s="1"/>
  <c r="FQ46" i="70"/>
  <c r="FQ45" i="70" s="1" a="1"/>
  <c r="FQ45" i="70" s="1"/>
  <c r="FP46" i="70"/>
  <c r="FP45" i="70" s="1" a="1"/>
  <c r="FP45" i="70" s="1"/>
  <c r="FN46" i="70"/>
  <c r="FN45" i="70" s="1" a="1"/>
  <c r="FN45" i="70" s="1"/>
  <c r="FM46" i="70"/>
  <c r="FM45" i="70" s="1" a="1"/>
  <c r="FM45" i="70" s="1"/>
  <c r="FL46" i="70"/>
  <c r="FL45" i="70" s="1" a="1"/>
  <c r="FL45" i="70" s="1"/>
  <c r="FJ46" i="70"/>
  <c r="FJ45" i="70" s="1" a="1"/>
  <c r="FJ45" i="70" s="1"/>
  <c r="FI46" i="70"/>
  <c r="FH46" i="70"/>
  <c r="FH45" i="70" s="1" a="1"/>
  <c r="FH45" i="70" s="1"/>
  <c r="FF46" i="70"/>
  <c r="FF45" i="70" s="1" a="1"/>
  <c r="FF45" i="70" s="1"/>
  <c r="FE46" i="70"/>
  <c r="FE45" i="70" s="1" a="1"/>
  <c r="FE45" i="70" s="1"/>
  <c r="FD46" i="70"/>
  <c r="FC46" i="70"/>
  <c r="FC45" i="70" s="1" a="1"/>
  <c r="FC45" i="70" s="1"/>
  <c r="FA46" i="70"/>
  <c r="FA45" i="70" s="1" a="1"/>
  <c r="FA45" i="70" s="1"/>
  <c r="EZ46" i="70"/>
  <c r="EZ45" i="70" s="1" a="1"/>
  <c r="EZ45" i="70" s="1"/>
  <c r="EY46" i="70"/>
  <c r="EY45" i="70" s="1" a="1"/>
  <c r="EY45" i="70" s="1"/>
  <c r="EW46" i="70"/>
  <c r="EW45" i="70" s="1" a="1"/>
  <c r="EW45" i="70" s="1"/>
  <c r="EV46" i="70"/>
  <c r="EU46" i="70"/>
  <c r="EU45" i="70" s="1" a="1"/>
  <c r="EU45" i="70" s="1"/>
  <c r="ET46" i="70"/>
  <c r="ER46" i="70"/>
  <c r="ER45" i="70" s="1" a="1"/>
  <c r="ER45" i="70" s="1"/>
  <c r="EQ46" i="70"/>
  <c r="EQ45" i="70" s="1" a="1"/>
  <c r="EQ45" i="70" s="1"/>
  <c r="EP46" i="70"/>
  <c r="EP45" i="70" s="1" a="1"/>
  <c r="EP45" i="70" s="1"/>
  <c r="EN46" i="70"/>
  <c r="EM46" i="70"/>
  <c r="EM45" i="70" s="1" a="1"/>
  <c r="EM45" i="70" s="1"/>
  <c r="EK46" i="70"/>
  <c r="EK45" i="70" s="1" a="1"/>
  <c r="EK45" i="70" s="1"/>
  <c r="EJ46" i="70"/>
  <c r="EJ45" i="70" s="1" a="1"/>
  <c r="EJ45" i="70" s="1"/>
  <c r="EI46" i="70"/>
  <c r="EI45" i="70" s="1" a="1"/>
  <c r="EI45" i="70" s="1"/>
  <c r="EG46" i="70"/>
  <c r="EG45" i="70" s="1" a="1"/>
  <c r="EG45" i="70" s="1"/>
  <c r="EF46" i="70"/>
  <c r="EF45" i="70" s="1" a="1"/>
  <c r="EF45" i="70" s="1"/>
  <c r="EE46" i="70"/>
  <c r="EE45" i="70" s="1" a="1"/>
  <c r="EE45" i="70" s="1"/>
  <c r="ED46" i="70"/>
  <c r="EB46" i="70"/>
  <c r="EB45" i="70" s="1" a="1"/>
  <c r="EB45" i="70" s="1"/>
  <c r="EA46" i="70"/>
  <c r="DZ46" i="70"/>
  <c r="DZ45" i="70" s="1" a="1"/>
  <c r="DZ45" i="70" s="1"/>
  <c r="DY46" i="70"/>
  <c r="DY45" i="70" s="1" a="1"/>
  <c r="DY45" i="70" s="1"/>
  <c r="DW46" i="70"/>
  <c r="DW45" i="70" s="1" a="1"/>
  <c r="DW45" i="70" s="1"/>
  <c r="DV46" i="70"/>
  <c r="DU46" i="70"/>
  <c r="DT46" i="70"/>
  <c r="DS46" i="70"/>
  <c r="DS45" i="70" s="1" a="1"/>
  <c r="DS45" i="70" s="1"/>
  <c r="DR46" i="70"/>
  <c r="DR45" i="70" s="1" a="1"/>
  <c r="DR45" i="70" s="1"/>
  <c r="DQ46" i="70"/>
  <c r="DQ45" i="70" s="1" a="1"/>
  <c r="DQ45" i="70" s="1"/>
  <c r="DO46" i="70"/>
  <c r="DO45" i="70" s="1" a="1"/>
  <c r="DO45" i="70" s="1"/>
  <c r="DN46" i="70"/>
  <c r="DN45" i="70" s="1" a="1"/>
  <c r="DN45" i="70" s="1"/>
  <c r="DM46" i="70"/>
  <c r="DM45" i="70" s="1" a="1"/>
  <c r="DM45" i="70" s="1"/>
  <c r="DL46" i="70"/>
  <c r="DJ46" i="70"/>
  <c r="DI46" i="70"/>
  <c r="DI45" i="70" s="1" a="1"/>
  <c r="DI45" i="70" s="1"/>
  <c r="DH46" i="70"/>
  <c r="DG46" i="70"/>
  <c r="DG45" i="70" s="1" a="1"/>
  <c r="DG45" i="70" s="1"/>
  <c r="DE46" i="70"/>
  <c r="DE45" i="70" s="1" a="1"/>
  <c r="DE45" i="70" s="1"/>
  <c r="GO45" i="70" a="1"/>
  <c r="GO45" i="70" s="1"/>
  <c r="GM45" i="70" a="1"/>
  <c r="GM45" i="70" s="1"/>
  <c r="GK45" i="70"/>
  <c r="GJ45" i="70" a="1"/>
  <c r="GJ45" i="70" s="1"/>
  <c r="GI45" i="70"/>
  <c r="GH45" i="70" a="1"/>
  <c r="GH45" i="70" s="1"/>
  <c r="FZ45" i="70" a="1"/>
  <c r="FZ45" i="70" s="1"/>
  <c r="FV45" i="70" a="1"/>
  <c r="FV45" i="70" s="1"/>
  <c r="FI45" i="70" a="1"/>
  <c r="FI45" i="70" s="1"/>
  <c r="FD45" i="70" a="1"/>
  <c r="FD45" i="70" s="1"/>
  <c r="EV45" i="70" a="1"/>
  <c r="EV45" i="70" s="1"/>
  <c r="ET45" i="70" a="1"/>
  <c r="ET45" i="70" s="1"/>
  <c r="EN45" i="70" a="1"/>
  <c r="EN45" i="70" s="1"/>
  <c r="ED45" i="70" a="1"/>
  <c r="ED45" i="70" s="1"/>
  <c r="EA45" i="70" a="1"/>
  <c r="EA45" i="70" s="1"/>
  <c r="DV45" i="70" a="1"/>
  <c r="DV45" i="70" s="1"/>
  <c r="DU45" i="70" a="1"/>
  <c r="DU45" i="70" s="1"/>
  <c r="DT45" i="70" a="1"/>
  <c r="DT45" i="70" s="1"/>
  <c r="DL45" i="70" a="1"/>
  <c r="DL45" i="70" s="1"/>
  <c r="DJ45" i="70" a="1"/>
  <c r="DJ45" i="70" s="1"/>
  <c r="DH45" i="70" a="1"/>
  <c r="DH45" i="70" s="1"/>
  <c r="C22" i="75"/>
  <c r="C21" i="75"/>
  <c r="C20" i="75"/>
  <c r="C19" i="75"/>
  <c r="C18" i="75"/>
  <c r="C17" i="75"/>
  <c r="C16" i="75"/>
  <c r="C15" i="75"/>
  <c r="C14" i="75"/>
  <c r="C13" i="75"/>
  <c r="C12" i="75"/>
  <c r="C11" i="75"/>
  <c r="C10" i="75"/>
  <c r="C9" i="75"/>
  <c r="C8" i="75"/>
  <c r="C7" i="75"/>
  <c r="C6" i="75"/>
  <c r="C5" i="75"/>
  <c r="C4" i="75"/>
  <c r="C3" i="75"/>
  <c r="C2" i="75"/>
  <c r="V15" i="79"/>
  <c r="V14" i="79"/>
  <c r="V12" i="79" a="1"/>
  <c r="V12" i="79" s="1"/>
  <c r="V13" i="79" s="1"/>
  <c r="A10" i="79"/>
  <c r="A11" i="79" s="1"/>
  <c r="M68" i="4" l="1"/>
  <c r="ME61" i="12"/>
  <c r="W45" i="68"/>
  <c r="M71" i="4"/>
  <c r="N20" i="57"/>
  <c r="GJ44" i="70"/>
  <c r="W51" i="68"/>
  <c r="N22" i="57"/>
  <c r="W52" i="68"/>
  <c r="K57" i="10"/>
  <c r="W47" i="68"/>
  <c r="N68" i="4"/>
  <c r="AN10" i="12"/>
  <c r="AP4" i="12"/>
  <c r="B10" i="79"/>
  <c r="C10" i="79"/>
  <c r="N10" i="79" s="1" a="1"/>
  <c r="N10" i="79" s="1"/>
  <c r="H10" i="79" s="1" a="1"/>
  <c r="H10" i="79" s="1"/>
  <c r="N4" i="40"/>
  <c r="L20" i="40" s="1"/>
  <c r="P20" i="40" s="1"/>
  <c r="J6" i="13"/>
  <c r="M105" i="3"/>
  <c r="L76" i="4"/>
  <c r="AN46" i="12"/>
  <c r="AP6" i="12"/>
  <c r="K104" i="10"/>
  <c r="N76" i="4"/>
  <c r="W43" i="68"/>
  <c r="M69" i="4"/>
  <c r="T70" i="4"/>
  <c r="K78" i="4"/>
  <c r="AH10" i="12"/>
  <c r="AJ6" i="12"/>
  <c r="AM6" i="12"/>
  <c r="S70" i="4"/>
  <c r="S80" i="4" s="1"/>
  <c r="AH14" i="12"/>
  <c r="AQ47" i="12"/>
  <c r="W42" i="68"/>
  <c r="C40" i="4"/>
  <c r="L71" i="4" s="1"/>
  <c r="N71" i="4" s="1"/>
  <c r="T74" i="4"/>
  <c r="M77" i="4"/>
  <c r="AN42" i="12"/>
  <c r="ER5" i="12"/>
  <c r="ER6" i="12"/>
  <c r="D26" i="15"/>
  <c r="AN14" i="12"/>
  <c r="AP8" i="12"/>
  <c r="N24" i="57"/>
  <c r="AN26" i="12"/>
  <c r="DT44" i="70"/>
  <c r="AM9" i="12"/>
  <c r="GM44" i="70"/>
  <c r="AH6" i="12"/>
  <c r="AN30" i="12"/>
  <c r="AP12" i="12"/>
  <c r="AL8" i="12"/>
  <c r="ER11" i="12"/>
  <c r="B17" i="57"/>
  <c r="C105" i="40"/>
  <c r="B14" i="15"/>
  <c r="S77" i="4"/>
  <c r="AJ8" i="12"/>
  <c r="AL4" i="12"/>
  <c r="AL9" i="12"/>
  <c r="AO4" i="12"/>
  <c r="AO12" i="12"/>
  <c r="AO20" i="12"/>
  <c r="AO28" i="12"/>
  <c r="AO36" i="12"/>
  <c r="AO50" i="12"/>
  <c r="EF26" i="12" a="1"/>
  <c r="EG26" i="12" s="1"/>
  <c r="F18" i="57"/>
  <c r="AL2" i="57" s="1"/>
  <c r="AK6" i="57" s="1"/>
  <c r="B50" i="13" a="1"/>
  <c r="B50" i="13" s="1"/>
  <c r="B51" i="13" s="1"/>
  <c r="M67" i="4"/>
  <c r="N67" i="4" s="1"/>
  <c r="L70" i="4"/>
  <c r="N70" i="4" s="1"/>
  <c r="M72" i="4"/>
  <c r="N72" i="4" s="1"/>
  <c r="M74" i="4"/>
  <c r="M75" i="4"/>
  <c r="T77" i="4"/>
  <c r="AJ4" i="12"/>
  <c r="AL5" i="12"/>
  <c r="AN18" i="12"/>
  <c r="AN34" i="12"/>
  <c r="AN50" i="12"/>
  <c r="AO6" i="12"/>
  <c r="AO14" i="12"/>
  <c r="AO22" i="12"/>
  <c r="AO30" i="12"/>
  <c r="AO38" i="12"/>
  <c r="AO54" i="12"/>
  <c r="AQ15" i="12"/>
  <c r="EF20" i="12" a="1"/>
  <c r="EH20" i="12" s="1"/>
  <c r="AO10" i="12"/>
  <c r="AO18" i="12"/>
  <c r="AO26" i="12"/>
  <c r="AO34" i="12"/>
  <c r="AO46" i="12"/>
  <c r="ER12" i="12"/>
  <c r="K73" i="4"/>
  <c r="L74" i="4"/>
  <c r="N21" i="57"/>
  <c r="C103" i="40"/>
  <c r="M66" i="4"/>
  <c r="N66" i="4" s="1"/>
  <c r="AJ5" i="12"/>
  <c r="AK6" i="12"/>
  <c r="AL6" i="12"/>
  <c r="AM5" i="12"/>
  <c r="AN6" i="12"/>
  <c r="AN22" i="12"/>
  <c r="AN38" i="12"/>
  <c r="AN54" i="12"/>
  <c r="AO8" i="12"/>
  <c r="AO16" i="12"/>
  <c r="AO24" i="12"/>
  <c r="AO32" i="12"/>
  <c r="AO42" i="12"/>
  <c r="AP10" i="12"/>
  <c r="GH44" i="70"/>
  <c r="B2" i="51"/>
  <c r="N3" i="39"/>
  <c r="J22" i="57"/>
  <c r="J21" i="57"/>
  <c r="N23" i="57"/>
  <c r="N20" i="40"/>
  <c r="A12" i="79"/>
  <c r="DN44" i="70"/>
  <c r="F204" i="60"/>
  <c r="F200" i="60"/>
  <c r="F202" i="60"/>
  <c r="F198" i="60"/>
  <c r="F205" i="60"/>
  <c r="G10" i="40"/>
  <c r="G8" i="40"/>
  <c r="AK6" i="25"/>
  <c r="AL4" i="25"/>
  <c r="F10" i="79" a="1"/>
  <c r="F10" i="79" s="1"/>
  <c r="F11" i="79" s="1" a="1"/>
  <c r="F11" i="79" s="1"/>
  <c r="F199" i="60"/>
  <c r="O4" i="40"/>
  <c r="M4" i="40"/>
  <c r="G103" i="40"/>
  <c r="D15" i="39"/>
  <c r="D16" i="39" s="1"/>
  <c r="N33" i="40"/>
  <c r="P33" i="40"/>
  <c r="D11" i="39"/>
  <c r="D7" i="39"/>
  <c r="D13" i="39"/>
  <c r="D9" i="39"/>
  <c r="P4" i="25"/>
  <c r="O6" i="25"/>
  <c r="F201" i="60"/>
  <c r="J20" i="57"/>
  <c r="O33" i="40"/>
  <c r="D8" i="39"/>
  <c r="D45" i="39"/>
  <c r="G45" i="39" s="1"/>
  <c r="D43" i="39"/>
  <c r="G43" i="39" s="1"/>
  <c r="D44" i="39"/>
  <c r="G44" i="39" s="1"/>
  <c r="F19" i="57"/>
  <c r="AP2" i="57" s="1"/>
  <c r="AK11" i="25"/>
  <c r="E120" i="10"/>
  <c r="F117" i="10"/>
  <c r="E116" i="10"/>
  <c r="F113" i="10"/>
  <c r="F111" i="10"/>
  <c r="E110" i="10"/>
  <c r="F105" i="10"/>
  <c r="F104" i="10"/>
  <c r="E103" i="10"/>
  <c r="F100" i="10"/>
  <c r="E99" i="10"/>
  <c r="F96" i="10"/>
  <c r="F93" i="10"/>
  <c r="F92" i="10"/>
  <c r="E90" i="10"/>
  <c r="F87" i="10"/>
  <c r="E86" i="10"/>
  <c r="F83" i="10"/>
  <c r="E82" i="10"/>
  <c r="F79" i="10"/>
  <c r="F78" i="10"/>
  <c r="E77" i="10"/>
  <c r="F73" i="10"/>
  <c r="E72" i="10"/>
  <c r="F69" i="10"/>
  <c r="E68" i="10"/>
  <c r="F65" i="10"/>
  <c r="E64" i="10"/>
  <c r="F61" i="10"/>
  <c r="E60" i="10"/>
  <c r="E57" i="10"/>
  <c r="F54" i="10"/>
  <c r="E53" i="10"/>
  <c r="F50" i="10"/>
  <c r="F49" i="10"/>
  <c r="E48" i="10"/>
  <c r="E47" i="10"/>
  <c r="F43" i="10"/>
  <c r="F42" i="10"/>
  <c r="E41" i="10"/>
  <c r="F36" i="10"/>
  <c r="E35" i="10"/>
  <c r="F31" i="10"/>
  <c r="F29" i="10"/>
  <c r="F28" i="10"/>
  <c r="F25" i="10"/>
  <c r="E23" i="10"/>
  <c r="F18" i="10"/>
  <c r="F16" i="10"/>
  <c r="F15" i="10"/>
  <c r="F12" i="10"/>
  <c r="E11" i="10"/>
  <c r="E8" i="10"/>
  <c r="F4" i="10"/>
  <c r="F118" i="10"/>
  <c r="E117" i="10"/>
  <c r="E113" i="10"/>
  <c r="E111" i="10"/>
  <c r="F108" i="10"/>
  <c r="F106" i="10"/>
  <c r="E105" i="10"/>
  <c r="E104" i="10"/>
  <c r="F101" i="10"/>
  <c r="E100" i="10"/>
  <c r="F97" i="10"/>
  <c r="E96" i="10"/>
  <c r="F94" i="10"/>
  <c r="E93" i="10"/>
  <c r="E92" i="10"/>
  <c r="F88" i="10"/>
  <c r="E87" i="10"/>
  <c r="F84" i="10"/>
  <c r="E83" i="10"/>
  <c r="F80" i="10"/>
  <c r="E79" i="10"/>
  <c r="E78" i="10"/>
  <c r="F75" i="10"/>
  <c r="F74" i="10"/>
  <c r="E73" i="10"/>
  <c r="F70" i="10"/>
  <c r="E69" i="10"/>
  <c r="F66" i="10"/>
  <c r="E65" i="10"/>
  <c r="F62" i="10"/>
  <c r="E61" i="10"/>
  <c r="F55" i="10"/>
  <c r="E54" i="10"/>
  <c r="F51" i="10"/>
  <c r="E50" i="10"/>
  <c r="E49" i="10"/>
  <c r="F45" i="10"/>
  <c r="E43" i="10"/>
  <c r="E42" i="10"/>
  <c r="F37" i="10"/>
  <c r="E36" i="10"/>
  <c r="F32" i="10"/>
  <c r="F30" i="10"/>
  <c r="E29" i="10"/>
  <c r="F119" i="10"/>
  <c r="F115" i="10"/>
  <c r="E109" i="10"/>
  <c r="F102" i="10"/>
  <c r="F98" i="10"/>
  <c r="E94" i="10"/>
  <c r="E89" i="10"/>
  <c r="E85" i="10"/>
  <c r="E81" i="10"/>
  <c r="E75" i="10"/>
  <c r="F71" i="10"/>
  <c r="F67" i="10"/>
  <c r="F63" i="10"/>
  <c r="E56" i="10"/>
  <c r="E52" i="10"/>
  <c r="F46" i="10"/>
  <c r="F41" i="10"/>
  <c r="E37" i="10"/>
  <c r="E32" i="10"/>
  <c r="E25" i="10"/>
  <c r="F19" i="10"/>
  <c r="E12" i="10"/>
  <c r="F10" i="10"/>
  <c r="E7" i="10"/>
  <c r="E119" i="10"/>
  <c r="F110" i="10"/>
  <c r="E106" i="10"/>
  <c r="E102" i="10"/>
  <c r="E98" i="10"/>
  <c r="F90" i="10"/>
  <c r="F86" i="10"/>
  <c r="F82" i="10"/>
  <c r="F76" i="10"/>
  <c r="E71" i="10"/>
  <c r="E67" i="10"/>
  <c r="E63" i="10"/>
  <c r="F57" i="10"/>
  <c r="F53" i="10"/>
  <c r="E46" i="10"/>
  <c r="F39" i="10"/>
  <c r="F38" i="10"/>
  <c r="F33" i="10"/>
  <c r="F26" i="10"/>
  <c r="F23" i="10"/>
  <c r="F20" i="10"/>
  <c r="E19" i="10"/>
  <c r="E15" i="10"/>
  <c r="F13" i="10"/>
  <c r="E10" i="10"/>
  <c r="F8" i="10"/>
  <c r="E4" i="10"/>
  <c r="F120" i="10"/>
  <c r="F116" i="10"/>
  <c r="E108" i="10"/>
  <c r="F103" i="10"/>
  <c r="F99" i="10"/>
  <c r="F95" i="10"/>
  <c r="E88" i="10"/>
  <c r="E84" i="10"/>
  <c r="E80" i="10"/>
  <c r="E76" i="10"/>
  <c r="F72" i="10"/>
  <c r="F68" i="10"/>
  <c r="F64" i="10"/>
  <c r="F60" i="10"/>
  <c r="E55" i="10"/>
  <c r="E51" i="10"/>
  <c r="F47" i="10"/>
  <c r="E39" i="10"/>
  <c r="E38" i="10"/>
  <c r="E33" i="10"/>
  <c r="E30" i="10"/>
  <c r="E28" i="10"/>
  <c r="E26" i="10"/>
  <c r="E20" i="10"/>
  <c r="E16" i="10"/>
  <c r="E13" i="10"/>
  <c r="F11" i="10"/>
  <c r="F5" i="10"/>
  <c r="E101" i="10"/>
  <c r="F81" i="10"/>
  <c r="E70" i="10"/>
  <c r="F56" i="10"/>
  <c r="F35" i="10"/>
  <c r="E24" i="10"/>
  <c r="E9" i="10"/>
  <c r="E97" i="10"/>
  <c r="F77" i="10"/>
  <c r="F21" i="10"/>
  <c r="E18" i="10"/>
  <c r="E14" i="10"/>
  <c r="F7" i="10"/>
  <c r="E118" i="10"/>
  <c r="F89" i="10"/>
  <c r="E74" i="10"/>
  <c r="F52" i="10"/>
  <c r="F40" i="10"/>
  <c r="E62" i="10"/>
  <c r="F85" i="10"/>
  <c r="E5" i="10"/>
  <c r="F109" i="10"/>
  <c r="F48" i="10"/>
  <c r="E45" i="10"/>
  <c r="E66" i="10"/>
  <c r="F6" i="15"/>
  <c r="D6" i="15"/>
  <c r="B37" i="15"/>
  <c r="E22" i="10"/>
  <c r="F22" i="10"/>
  <c r="T44" i="68"/>
  <c r="U44" i="68" s="1"/>
  <c r="W44" i="68" s="1"/>
  <c r="N9" i="3"/>
  <c r="O9" i="3" s="1"/>
  <c r="N8" i="3"/>
  <c r="O8" i="3" s="1"/>
  <c r="N10" i="3"/>
  <c r="O10" i="3" s="1"/>
  <c r="I2" i="10"/>
  <c r="B52" i="13"/>
  <c r="B53" i="13"/>
  <c r="K26" i="10"/>
  <c r="T48" i="68"/>
  <c r="U48" i="68" s="1"/>
  <c r="W48" i="68" s="1"/>
  <c r="N13" i="3"/>
  <c r="O13" i="3" s="1"/>
  <c r="E21" i="10"/>
  <c r="F24" i="10"/>
  <c r="E40" i="10"/>
  <c r="R45" i="3"/>
  <c r="W44" i="3"/>
  <c r="R70" i="4"/>
  <c r="M78" i="4"/>
  <c r="N75" i="4"/>
  <c r="S6" i="3"/>
  <c r="W43" i="3"/>
  <c r="M109" i="3"/>
  <c r="W50" i="68"/>
  <c r="ER4" i="12"/>
  <c r="EI4" i="12"/>
  <c r="X15" i="3"/>
  <c r="W49" i="68"/>
  <c r="S53" i="68"/>
  <c r="M73" i="4"/>
  <c r="N69" i="4"/>
  <c r="AI14" i="12"/>
  <c r="AI10" i="12"/>
  <c r="AI6" i="12"/>
  <c r="AI17" i="12"/>
  <c r="AI13" i="12"/>
  <c r="AI9" i="12"/>
  <c r="AI5" i="12"/>
  <c r="AI16" i="12"/>
  <c r="AI12" i="12"/>
  <c r="AI8" i="12"/>
  <c r="AI4" i="12"/>
  <c r="AQ54" i="12"/>
  <c r="AQ50" i="12"/>
  <c r="AQ46" i="12"/>
  <c r="AQ42" i="12"/>
  <c r="AQ38" i="12"/>
  <c r="AQ34" i="12"/>
  <c r="AQ30" i="12"/>
  <c r="AQ26" i="12"/>
  <c r="AQ22" i="12"/>
  <c r="AQ18" i="12"/>
  <c r="AQ14" i="12"/>
  <c r="AQ10" i="12"/>
  <c r="AQ6" i="12"/>
  <c r="AQ53" i="12"/>
  <c r="AQ49" i="12"/>
  <c r="AQ45" i="12"/>
  <c r="AQ41" i="12"/>
  <c r="AQ37" i="12"/>
  <c r="AQ33" i="12"/>
  <c r="AQ29" i="12"/>
  <c r="AQ25" i="12"/>
  <c r="AQ21" i="12"/>
  <c r="AQ17" i="12"/>
  <c r="AQ13" i="12"/>
  <c r="AQ9" i="12"/>
  <c r="AQ5" i="12"/>
  <c r="AQ52" i="12"/>
  <c r="AQ48" i="12"/>
  <c r="AQ44" i="12"/>
  <c r="AQ40" i="12"/>
  <c r="AQ36" i="12"/>
  <c r="AQ32" i="12"/>
  <c r="AQ28" i="12"/>
  <c r="AQ24" i="12"/>
  <c r="AQ20" i="12"/>
  <c r="AQ16" i="12"/>
  <c r="AQ12" i="12"/>
  <c r="AQ8" i="12"/>
  <c r="AQ4" i="12"/>
  <c r="AQ19" i="12"/>
  <c r="AQ35" i="12"/>
  <c r="AQ51" i="12"/>
  <c r="ES4" i="12"/>
  <c r="ES5" i="12"/>
  <c r="ES6" i="12"/>
  <c r="EQ10" i="12"/>
  <c r="EI10" i="12"/>
  <c r="EN10" i="12"/>
  <c r="EM10" i="12"/>
  <c r="EL10" i="12"/>
  <c r="EF26" i="12"/>
  <c r="AI7" i="12"/>
  <c r="AQ7" i="12"/>
  <c r="AQ23" i="12"/>
  <c r="AQ39" i="12"/>
  <c r="AR6" i="12"/>
  <c r="AR9" i="12"/>
  <c r="AR5" i="12"/>
  <c r="AR8" i="12"/>
  <c r="AR4" i="12"/>
  <c r="ER10" i="12"/>
  <c r="ES11" i="12"/>
  <c r="ES12" i="12"/>
  <c r="R74" i="4"/>
  <c r="N77" i="4"/>
  <c r="AI11" i="12"/>
  <c r="AQ11" i="12"/>
  <c r="AQ27" i="12"/>
  <c r="AQ43" i="12"/>
  <c r="AR7" i="12"/>
  <c r="EN4" i="12"/>
  <c r="EM4" i="12"/>
  <c r="EL4" i="12"/>
  <c r="EQ4" i="12"/>
  <c r="EN5" i="12"/>
  <c r="EM5" i="12"/>
  <c r="EL5" i="12"/>
  <c r="EQ5" i="12"/>
  <c r="EI5" i="12"/>
  <c r="EQ6" i="12"/>
  <c r="EI6" i="12"/>
  <c r="EN6" i="12"/>
  <c r="EM6" i="12"/>
  <c r="EL6" i="12"/>
  <c r="ES10" i="12"/>
  <c r="EQ11" i="12"/>
  <c r="EI11" i="12"/>
  <c r="EN11" i="12"/>
  <c r="EM11" i="12"/>
  <c r="EL11" i="12"/>
  <c r="EQ12" i="12"/>
  <c r="EL12" i="12"/>
  <c r="AH7" i="12"/>
  <c r="AH11" i="12"/>
  <c r="AH15" i="12"/>
  <c r="AK7" i="12"/>
  <c r="AN7" i="12"/>
  <c r="AN11" i="12"/>
  <c r="AN15" i="12"/>
  <c r="AN19" i="12"/>
  <c r="AN23" i="12"/>
  <c r="AN27" i="12"/>
  <c r="AN31" i="12"/>
  <c r="AN35" i="12"/>
  <c r="AN39" i="12"/>
  <c r="AN43" i="12"/>
  <c r="AN47" i="12"/>
  <c r="AN51" i="12"/>
  <c r="AO7" i="12"/>
  <c r="AO11" i="12"/>
  <c r="AO15" i="12"/>
  <c r="AO19" i="12"/>
  <c r="AO23" i="12"/>
  <c r="AO27" i="12"/>
  <c r="AO31" i="12"/>
  <c r="AO35" i="12"/>
  <c r="AO39" i="12"/>
  <c r="AO43" i="12"/>
  <c r="AO47" i="12"/>
  <c r="AO51" i="12"/>
  <c r="AP7" i="12"/>
  <c r="AP11" i="12"/>
  <c r="EM12" i="12"/>
  <c r="AH4" i="12"/>
  <c r="AH8" i="12"/>
  <c r="AH12" i="12"/>
  <c r="AH16" i="12"/>
  <c r="AK4" i="12"/>
  <c r="AK8" i="12"/>
  <c r="AM7" i="12"/>
  <c r="AN4" i="12"/>
  <c r="AN8" i="12"/>
  <c r="AN12" i="12"/>
  <c r="AN16" i="12"/>
  <c r="AN20" i="12"/>
  <c r="AN24" i="12"/>
  <c r="AN28" i="12"/>
  <c r="AN32" i="12"/>
  <c r="AN36" i="12"/>
  <c r="AN40" i="12"/>
  <c r="AN44" i="12"/>
  <c r="AN48" i="12"/>
  <c r="AN52" i="12"/>
  <c r="AO40" i="12"/>
  <c r="AO44" i="12"/>
  <c r="AO48" i="12"/>
  <c r="AO52" i="12"/>
  <c r="EN12" i="12"/>
  <c r="AH5" i="12"/>
  <c r="AH9" i="12"/>
  <c r="AH13" i="12"/>
  <c r="AM4" i="12"/>
  <c r="AN5" i="12"/>
  <c r="AN9" i="12"/>
  <c r="AN13" i="12"/>
  <c r="AN17" i="12"/>
  <c r="AN21" i="12"/>
  <c r="AN25" i="12"/>
  <c r="AN29" i="12"/>
  <c r="AN33" i="12"/>
  <c r="AN37" i="12"/>
  <c r="AN41" i="12"/>
  <c r="AN45" i="12"/>
  <c r="AN49" i="12"/>
  <c r="AO5" i="12"/>
  <c r="AO9" i="12"/>
  <c r="AO13" i="12"/>
  <c r="AO17" i="12"/>
  <c r="AO21" i="12"/>
  <c r="AO25" i="12"/>
  <c r="AO29" i="12"/>
  <c r="AO33" i="12"/>
  <c r="AO37" i="12"/>
  <c r="AO41" i="12"/>
  <c r="AO45" i="12"/>
  <c r="AO49" i="12"/>
  <c r="AP5" i="12"/>
  <c r="AP9" i="12"/>
  <c r="EI12" i="12"/>
  <c r="O10" i="79" l="1"/>
  <c r="D10" i="79" a="1"/>
  <c r="D10" i="79" s="1"/>
  <c r="C11" i="79"/>
  <c r="D11" i="79" s="1" a="1"/>
  <c r="D11" i="79" s="1"/>
  <c r="EH26" i="12"/>
  <c r="L73" i="4"/>
  <c r="T80" i="4"/>
  <c r="AL5" i="57"/>
  <c r="L17" i="40"/>
  <c r="M17" i="40" s="1"/>
  <c r="M20" i="40"/>
  <c r="L18" i="40"/>
  <c r="O18" i="40" s="1"/>
  <c r="L19" i="40"/>
  <c r="P19" i="40" s="1"/>
  <c r="AK5" i="57"/>
  <c r="O20" i="40"/>
  <c r="M79" i="4"/>
  <c r="L21" i="40"/>
  <c r="P21" i="40" s="1"/>
  <c r="K79" i="4"/>
  <c r="E40" i="4"/>
  <c r="R80" i="4"/>
  <c r="AL4" i="57"/>
  <c r="AJ6" i="57"/>
  <c r="EF20" i="12"/>
  <c r="AJ5" i="57"/>
  <c r="EG20" i="12"/>
  <c r="AK4" i="57"/>
  <c r="AL6" i="57"/>
  <c r="L78" i="4"/>
  <c r="L79" i="4" s="1"/>
  <c r="N74" i="4"/>
  <c r="N78" i="4" s="1"/>
  <c r="O11" i="3"/>
  <c r="EF7" i="12" a="1"/>
  <c r="L26" i="40"/>
  <c r="L28" i="40"/>
  <c r="L27" i="40"/>
  <c r="W45" i="3"/>
  <c r="R46" i="3"/>
  <c r="D18" i="39"/>
  <c r="D19" i="39" s="1"/>
  <c r="D10" i="39" s="1"/>
  <c r="D14" i="39" s="1"/>
  <c r="Z782" i="25"/>
  <c r="Z778" i="25"/>
  <c r="Z774" i="25"/>
  <c r="Z770" i="25"/>
  <c r="Z766" i="25"/>
  <c r="Z762" i="25"/>
  <c r="Z758" i="25"/>
  <c r="Z754" i="25"/>
  <c r="Z750" i="25"/>
  <c r="Z746" i="25"/>
  <c r="Z742" i="25"/>
  <c r="Z738" i="25"/>
  <c r="Z734" i="25"/>
  <c r="Z730" i="25"/>
  <c r="Z726" i="25"/>
  <c r="Z722" i="25"/>
  <c r="Z718" i="25"/>
  <c r="Z714" i="25"/>
  <c r="Z710" i="25"/>
  <c r="Z706" i="25"/>
  <c r="Z702" i="25"/>
  <c r="Z698" i="25"/>
  <c r="Z694" i="25"/>
  <c r="Z690" i="25"/>
  <c r="Z686" i="25"/>
  <c r="Z685" i="25"/>
  <c r="Z684" i="25"/>
  <c r="Z683" i="25"/>
  <c r="Z682" i="25"/>
  <c r="Z681" i="25"/>
  <c r="Z680" i="25"/>
  <c r="Z679" i="25"/>
  <c r="Z678" i="25"/>
  <c r="Z677" i="25"/>
  <c r="Z676" i="25"/>
  <c r="Z675" i="25"/>
  <c r="Z674" i="25"/>
  <c r="Z673" i="25"/>
  <c r="Z672" i="25"/>
  <c r="Z671" i="25"/>
  <c r="Z670" i="25"/>
  <c r="Z669" i="25"/>
  <c r="Z668" i="25"/>
  <c r="Z667" i="25"/>
  <c r="Z666" i="25"/>
  <c r="Z665" i="25"/>
  <c r="Z664" i="25"/>
  <c r="Z663" i="25"/>
  <c r="Z662" i="25"/>
  <c r="Z661" i="25"/>
  <c r="Z660" i="25"/>
  <c r="Z659" i="25"/>
  <c r="Z658" i="25"/>
  <c r="Z657" i="25"/>
  <c r="Z656" i="25"/>
  <c r="Z655" i="25"/>
  <c r="Z654" i="25"/>
  <c r="Z653" i="25"/>
  <c r="Z652" i="25"/>
  <c r="Z651" i="25"/>
  <c r="Z650" i="25"/>
  <c r="Z649" i="25"/>
  <c r="Z648" i="25"/>
  <c r="Z647" i="25"/>
  <c r="Z646" i="25"/>
  <c r="Z645" i="25"/>
  <c r="Z644" i="25"/>
  <c r="Z643" i="25"/>
  <c r="Z642" i="25"/>
  <c r="Z641" i="25"/>
  <c r="Z640" i="25"/>
  <c r="Z639" i="25"/>
  <c r="Z638" i="25"/>
  <c r="Z637" i="25"/>
  <c r="Z636" i="25"/>
  <c r="Z635" i="25"/>
  <c r="Z634" i="25"/>
  <c r="Z633" i="25"/>
  <c r="Z632" i="25"/>
  <c r="Z631" i="25"/>
  <c r="Z630" i="25"/>
  <c r="Z629" i="25"/>
  <c r="Z628" i="25"/>
  <c r="Z627" i="25"/>
  <c r="Z626" i="25"/>
  <c r="Z625" i="25"/>
  <c r="Z624" i="25"/>
  <c r="Z623" i="25"/>
  <c r="Z622" i="25"/>
  <c r="Z621" i="25"/>
  <c r="Z620" i="25"/>
  <c r="Z777" i="25"/>
  <c r="Z775" i="25"/>
  <c r="Z768" i="25"/>
  <c r="Z761" i="25"/>
  <c r="Z759" i="25"/>
  <c r="Z752" i="25"/>
  <c r="Z745" i="25"/>
  <c r="Z743" i="25"/>
  <c r="Z736" i="25"/>
  <c r="Z729" i="25"/>
  <c r="Z727" i="25"/>
  <c r="Z720" i="25"/>
  <c r="Z713" i="25"/>
  <c r="Z711" i="25"/>
  <c r="Z704" i="25"/>
  <c r="Z697" i="25"/>
  <c r="Z695" i="25"/>
  <c r="Z688" i="25"/>
  <c r="Z763" i="25"/>
  <c r="Z756" i="25"/>
  <c r="Z751" i="25"/>
  <c r="Z749" i="25"/>
  <c r="Z744" i="25"/>
  <c r="Z739" i="25"/>
  <c r="Z737" i="25"/>
  <c r="Z732" i="25"/>
  <c r="Z725" i="25"/>
  <c r="Z699" i="25"/>
  <c r="Z692" i="25"/>
  <c r="Z687" i="25"/>
  <c r="Z618" i="25"/>
  <c r="Z614" i="25"/>
  <c r="Z772" i="25"/>
  <c r="Z769" i="25"/>
  <c r="Z753" i="25"/>
  <c r="Z747" i="25"/>
  <c r="Z731" i="25"/>
  <c r="Z728" i="25"/>
  <c r="Z715" i="25"/>
  <c r="Z712" i="25"/>
  <c r="Z709" i="25"/>
  <c r="Z696" i="25"/>
  <c r="Z693" i="25"/>
  <c r="Z613" i="25"/>
  <c r="Z610" i="25"/>
  <c r="Z606" i="25"/>
  <c r="Z602" i="25"/>
  <c r="Z598" i="25"/>
  <c r="Z594" i="25"/>
  <c r="Z590" i="25"/>
  <c r="Z586" i="25"/>
  <c r="Z582" i="25"/>
  <c r="Z578" i="25"/>
  <c r="Z574" i="25"/>
  <c r="Z570" i="25"/>
  <c r="Z566" i="25"/>
  <c r="Z562" i="25"/>
  <c r="Z558" i="25"/>
  <c r="Z554" i="25"/>
  <c r="Z550" i="25"/>
  <c r="Z546" i="25"/>
  <c r="Z542" i="25"/>
  <c r="Z538" i="25"/>
  <c r="Z534" i="25"/>
  <c r="Z530" i="25"/>
  <c r="Z526" i="25"/>
  <c r="Z522" i="25"/>
  <c r="Z518" i="25"/>
  <c r="Z514" i="25"/>
  <c r="Z510" i="25"/>
  <c r="Z506" i="25"/>
  <c r="Z502" i="25"/>
  <c r="Z498" i="25"/>
  <c r="Z494" i="25"/>
  <c r="Z490" i="25"/>
  <c r="Z486" i="25"/>
  <c r="Z482" i="25"/>
  <c r="Z478" i="25"/>
  <c r="Z474" i="25"/>
  <c r="Z470" i="25"/>
  <c r="Z466" i="25"/>
  <c r="Z462" i="25"/>
  <c r="Z458" i="25"/>
  <c r="Z454" i="25"/>
  <c r="Z450" i="25"/>
  <c r="Z446" i="25"/>
  <c r="Z442" i="25"/>
  <c r="Z438" i="25"/>
  <c r="Z434" i="25"/>
  <c r="Z430" i="25"/>
  <c r="Z426" i="25"/>
  <c r="Z422" i="25"/>
  <c r="Z418" i="25"/>
  <c r="Z414" i="25"/>
  <c r="Z410" i="25"/>
  <c r="Z406" i="25"/>
  <c r="Z402" i="25"/>
  <c r="Z398" i="25"/>
  <c r="Z781" i="25"/>
  <c r="Z773" i="25"/>
  <c r="Z764" i="25"/>
  <c r="Z760" i="25"/>
  <c r="Z755" i="25"/>
  <c r="Z735" i="25"/>
  <c r="Z705" i="25"/>
  <c r="Z701" i="25"/>
  <c r="Z616" i="25"/>
  <c r="Z608" i="25"/>
  <c r="Z601" i="25"/>
  <c r="Z599" i="25"/>
  <c r="Z592" i="25"/>
  <c r="Z585" i="25"/>
  <c r="Z583" i="25"/>
  <c r="Z576" i="25"/>
  <c r="Z569" i="25"/>
  <c r="Z567" i="25"/>
  <c r="Z560" i="25"/>
  <c r="Z553" i="25"/>
  <c r="Z551" i="25"/>
  <c r="Z544" i="25"/>
  <c r="Z537" i="25"/>
  <c r="Z535" i="25"/>
  <c r="Z528" i="25"/>
  <c r="Z521" i="25"/>
  <c r="Z519" i="25"/>
  <c r="Z512" i="25"/>
  <c r="Z505" i="25"/>
  <c r="Z503" i="25"/>
  <c r="Z496" i="25"/>
  <c r="Z489" i="25"/>
  <c r="Z487" i="25"/>
  <c r="Z480" i="25"/>
  <c r="Z473" i="25"/>
  <c r="Z471" i="25"/>
  <c r="Z464" i="25"/>
  <c r="Z457" i="25"/>
  <c r="Z455" i="25"/>
  <c r="Z448" i="25"/>
  <c r="Z441" i="25"/>
  <c r="Z439" i="25"/>
  <c r="Z432" i="25"/>
  <c r="Z425" i="25"/>
  <c r="Z423" i="25"/>
  <c r="Z416" i="25"/>
  <c r="Z409" i="25"/>
  <c r="Z407" i="25"/>
  <c r="Z400" i="25"/>
  <c r="Z392" i="25"/>
  <c r="Z388" i="25"/>
  <c r="Z384" i="25"/>
  <c r="Z380" i="25"/>
  <c r="Z376" i="25"/>
  <c r="Z372" i="25"/>
  <c r="Z368" i="25"/>
  <c r="Z364" i="25"/>
  <c r="Z360" i="25"/>
  <c r="Z356" i="25"/>
  <c r="Z352" i="25"/>
  <c r="Z348" i="25"/>
  <c r="Z344" i="25"/>
  <c r="Z340" i="25"/>
  <c r="Z336" i="25"/>
  <c r="Z332" i="25"/>
  <c r="Z328" i="25"/>
  <c r="Z324" i="25"/>
  <c r="Z320" i="25"/>
  <c r="Z316" i="25"/>
  <c r="Z312" i="25"/>
  <c r="Z308" i="25"/>
  <c r="Z304" i="25"/>
  <c r="Z300" i="25"/>
  <c r="Z296" i="25"/>
  <c r="Z292" i="25"/>
  <c r="Z288" i="25"/>
  <c r="Z284" i="25"/>
  <c r="Z280" i="25"/>
  <c r="Z279" i="25"/>
  <c r="Z278" i="25"/>
  <c r="Z277" i="25"/>
  <c r="Z276" i="25"/>
  <c r="Z275" i="25"/>
  <c r="Z274" i="25"/>
  <c r="Z273" i="25"/>
  <c r="Z272" i="25"/>
  <c r="Z271" i="25"/>
  <c r="Z270" i="25"/>
  <c r="Z269" i="25"/>
  <c r="Z268" i="25"/>
  <c r="Z267" i="25"/>
  <c r="Z266" i="25"/>
  <c r="Z265" i="25"/>
  <c r="Z264" i="25"/>
  <c r="Z263" i="25"/>
  <c r="Z262" i="25"/>
  <c r="Z261" i="25"/>
  <c r="Z260" i="25"/>
  <c r="Z259" i="25"/>
  <c r="Z258" i="25"/>
  <c r="Z257" i="25"/>
  <c r="Z256" i="25"/>
  <c r="Z255" i="25"/>
  <c r="Z254" i="25"/>
  <c r="Z253" i="25"/>
  <c r="Z252" i="25"/>
  <c r="Z251" i="25"/>
  <c r="Z250" i="25"/>
  <c r="Z249" i="25"/>
  <c r="Z248" i="25"/>
  <c r="Z247" i="25"/>
  <c r="Z246" i="25"/>
  <c r="Z245" i="25"/>
  <c r="Z244" i="25"/>
  <c r="Z243" i="25"/>
  <c r="Z242" i="25"/>
  <c r="Z241" i="25"/>
  <c r="Z240" i="25"/>
  <c r="Z239" i="25"/>
  <c r="Z238" i="25"/>
  <c r="Z237" i="25"/>
  <c r="Z236" i="25"/>
  <c r="Z235" i="25"/>
  <c r="Z234" i="25"/>
  <c r="Z233" i="25"/>
  <c r="Z232" i="25"/>
  <c r="Z231" i="25"/>
  <c r="Z230" i="25"/>
  <c r="Z229" i="25"/>
  <c r="Z228" i="25"/>
  <c r="Z227" i="25"/>
  <c r="Z226" i="25"/>
  <c r="Z225" i="25"/>
  <c r="Z224" i="25"/>
  <c r="Z223" i="25"/>
  <c r="Z222" i="25"/>
  <c r="Z221" i="25"/>
  <c r="Z220" i="25"/>
  <c r="Z219" i="25"/>
  <c r="Z218" i="25"/>
  <c r="Z217" i="25"/>
  <c r="Z216" i="25"/>
  <c r="Z215" i="25"/>
  <c r="Z214" i="25"/>
  <c r="Z213" i="25"/>
  <c r="Z212" i="25"/>
  <c r="Z211" i="25"/>
  <c r="Z210" i="25"/>
  <c r="Z209" i="25"/>
  <c r="Z208" i="25"/>
  <c r="Z207" i="25"/>
  <c r="Z206" i="25"/>
  <c r="Z205" i="25"/>
  <c r="Z204" i="25"/>
  <c r="Z203" i="25"/>
  <c r="Z202" i="25"/>
  <c r="Z201" i="25"/>
  <c r="Z200" i="25"/>
  <c r="Z199" i="25"/>
  <c r="Z198" i="25"/>
  <c r="Z197" i="25"/>
  <c r="Z196" i="25"/>
  <c r="Z195" i="25"/>
  <c r="Z194" i="25"/>
  <c r="Z193" i="25"/>
  <c r="Z192" i="25"/>
  <c r="Z191" i="25"/>
  <c r="Z190" i="25"/>
  <c r="Z189" i="25"/>
  <c r="Z188" i="25"/>
  <c r="Z187" i="25"/>
  <c r="Z186" i="25"/>
  <c r="Z185" i="25"/>
  <c r="Z184" i="25"/>
  <c r="Z183" i="25"/>
  <c r="Z182" i="25"/>
  <c r="Z181" i="25"/>
  <c r="Z180" i="25"/>
  <c r="Z179" i="25"/>
  <c r="Z178" i="25"/>
  <c r="Z177" i="25"/>
  <c r="Z176" i="25"/>
  <c r="Z175" i="25"/>
  <c r="Z174" i="25"/>
  <c r="Z173" i="25"/>
  <c r="Z172" i="25"/>
  <c r="Z171" i="25"/>
  <c r="Z170" i="25"/>
  <c r="Z169" i="25"/>
  <c r="Z168" i="25"/>
  <c r="Z167" i="25"/>
  <c r="Z166" i="25"/>
  <c r="Z165" i="25"/>
  <c r="Z164" i="25"/>
  <c r="Z163" i="25"/>
  <c r="Z162" i="25"/>
  <c r="Z161" i="25"/>
  <c r="Z160" i="25"/>
  <c r="Z159" i="25"/>
  <c r="Z158" i="25"/>
  <c r="Z157" i="25"/>
  <c r="Z156" i="25"/>
  <c r="Z155" i="25"/>
  <c r="Z154" i="25"/>
  <c r="Z153" i="25"/>
  <c r="Z152" i="25"/>
  <c r="Z151" i="25"/>
  <c r="Z150" i="25"/>
  <c r="Z149" i="25"/>
  <c r="Z148" i="25"/>
  <c r="Z147" i="25"/>
  <c r="Z146" i="25"/>
  <c r="Z145" i="25"/>
  <c r="Z144" i="25"/>
  <c r="Z143" i="25"/>
  <c r="Z142" i="25"/>
  <c r="Z141" i="25"/>
  <c r="Z140" i="25"/>
  <c r="Z139" i="25"/>
  <c r="Z138" i="25"/>
  <c r="Z137" i="25"/>
  <c r="Z136" i="25"/>
  <c r="Z135" i="25"/>
  <c r="Z134" i="25"/>
  <c r="Z133" i="25"/>
  <c r="Z132" i="25"/>
  <c r="Z131" i="25"/>
  <c r="Z130" i="25"/>
  <c r="Z129" i="25"/>
  <c r="Z128" i="25"/>
  <c r="Z127" i="25"/>
  <c r="Z126" i="25"/>
  <c r="Z125" i="25"/>
  <c r="Z124" i="25"/>
  <c r="Z123" i="25"/>
  <c r="Z122" i="25"/>
  <c r="Z121" i="25"/>
  <c r="Z120" i="25"/>
  <c r="Z119" i="25"/>
  <c r="Z118" i="25"/>
  <c r="Z117" i="25"/>
  <c r="Z116" i="25"/>
  <c r="Z115" i="25"/>
  <c r="Z114" i="25"/>
  <c r="Z113" i="25"/>
  <c r="Z112" i="25"/>
  <c r="Z111" i="25"/>
  <c r="Z110" i="25"/>
  <c r="Z109" i="25"/>
  <c r="Z108" i="25"/>
  <c r="Z107" i="25"/>
  <c r="Z106" i="25"/>
  <c r="Z105" i="25"/>
  <c r="Z104" i="25"/>
  <c r="Z103" i="25"/>
  <c r="Z102" i="25"/>
  <c r="Z101" i="25"/>
  <c r="Z100" i="25"/>
  <c r="Z99" i="25"/>
  <c r="Z98" i="25"/>
  <c r="Z97" i="25"/>
  <c r="Z96" i="25"/>
  <c r="Z95" i="25"/>
  <c r="Z94" i="25"/>
  <c r="Z93" i="25"/>
  <c r="Z92" i="25"/>
  <c r="Z91" i="25"/>
  <c r="Z90" i="25"/>
  <c r="Z89" i="25"/>
  <c r="Z88" i="25"/>
  <c r="Z87" i="25"/>
  <c r="Z86" i="25"/>
  <c r="Z85" i="25"/>
  <c r="Z84" i="25"/>
  <c r="Z83" i="25"/>
  <c r="Z82" i="25"/>
  <c r="Z81" i="25"/>
  <c r="Z80" i="25"/>
  <c r="Z79" i="25"/>
  <c r="Z78" i="25"/>
  <c r="Z77" i="25"/>
  <c r="Z76" i="25"/>
  <c r="Z75" i="25"/>
  <c r="Z74" i="25"/>
  <c r="Z73" i="25"/>
  <c r="Z72" i="25"/>
  <c r="Z71" i="25"/>
  <c r="Z70" i="25"/>
  <c r="Z69" i="25"/>
  <c r="Z68" i="25"/>
  <c r="Z67" i="25"/>
  <c r="Z66" i="25"/>
  <c r="Z65" i="25"/>
  <c r="Z64" i="25"/>
  <c r="Z63" i="25"/>
  <c r="Z62" i="25"/>
  <c r="Z61" i="25"/>
  <c r="Z60" i="25"/>
  <c r="Z59" i="25"/>
  <c r="Z58" i="25"/>
  <c r="Z57" i="25"/>
  <c r="Z56" i="25"/>
  <c r="Z55" i="25"/>
  <c r="Z54" i="25"/>
  <c r="Z53" i="25"/>
  <c r="Z52" i="25"/>
  <c r="Z51" i="25"/>
  <c r="Z50" i="25"/>
  <c r="Z49" i="25"/>
  <c r="Z48" i="25"/>
  <c r="Z47" i="25"/>
  <c r="Z46" i="25"/>
  <c r="Z45" i="25"/>
  <c r="Z44" i="25"/>
  <c r="Z43" i="25"/>
  <c r="Z42" i="25"/>
  <c r="Z41" i="25"/>
  <c r="Z40" i="25"/>
  <c r="Z39" i="25"/>
  <c r="Z38" i="25"/>
  <c r="Z37" i="25"/>
  <c r="Z36" i="25"/>
  <c r="Z35" i="25"/>
  <c r="Z34" i="25"/>
  <c r="Z33" i="25"/>
  <c r="Z32" i="25"/>
  <c r="Z31" i="25"/>
  <c r="Z30" i="25"/>
  <c r="Z29" i="25"/>
  <c r="Z28" i="25"/>
  <c r="Z27" i="25"/>
  <c r="Z26" i="25"/>
  <c r="Z25" i="25"/>
  <c r="Z24" i="25"/>
  <c r="Z23" i="25"/>
  <c r="Z780" i="25"/>
  <c r="Z741" i="25"/>
  <c r="Z724" i="25"/>
  <c r="Z719" i="25"/>
  <c r="Z707" i="25"/>
  <c r="Z615" i="25"/>
  <c r="Z612" i="25"/>
  <c r="Z607" i="25"/>
  <c r="Z605" i="25"/>
  <c r="Z600" i="25"/>
  <c r="Z595" i="25"/>
  <c r="Z593" i="25"/>
  <c r="Z588" i="25"/>
  <c r="Z581" i="25"/>
  <c r="Z555" i="25"/>
  <c r="Z548" i="25"/>
  <c r="Z543" i="25"/>
  <c r="Z541" i="25"/>
  <c r="Z536" i="25"/>
  <c r="Z531" i="25"/>
  <c r="Z529" i="25"/>
  <c r="Z524" i="25"/>
  <c r="Z517" i="25"/>
  <c r="Z491" i="25"/>
  <c r="Z484" i="25"/>
  <c r="Z479" i="25"/>
  <c r="Z477" i="25"/>
  <c r="Z472" i="25"/>
  <c r="Z467" i="25"/>
  <c r="Z465" i="25"/>
  <c r="Z460" i="25"/>
  <c r="Z453" i="25"/>
  <c r="Z427" i="25"/>
  <c r="Z420" i="25"/>
  <c r="Z415" i="25"/>
  <c r="Z413" i="25"/>
  <c r="Z408" i="25"/>
  <c r="Z403" i="25"/>
  <c r="Z401" i="25"/>
  <c r="Z396" i="25"/>
  <c r="Z394" i="25"/>
  <c r="Z387" i="25"/>
  <c r="Z385" i="25"/>
  <c r="Z378" i="25"/>
  <c r="Z371" i="25"/>
  <c r="Z369" i="25"/>
  <c r="Z362" i="25"/>
  <c r="Z355" i="25"/>
  <c r="Z353" i="25"/>
  <c r="Z346" i="25"/>
  <c r="Z339" i="25"/>
  <c r="Z337" i="25"/>
  <c r="Z330" i="25"/>
  <c r="Z323" i="25"/>
  <c r="Z321" i="25"/>
  <c r="Z314" i="25"/>
  <c r="Z307" i="25"/>
  <c r="Z305" i="25"/>
  <c r="Z298" i="25"/>
  <c r="Z291" i="25"/>
  <c r="Z289" i="25"/>
  <c r="Z282" i="25"/>
  <c r="Z13" i="25"/>
  <c r="Z12" i="25"/>
  <c r="Z779" i="25"/>
  <c r="Z767" i="25"/>
  <c r="Z757" i="25"/>
  <c r="Z740" i="25"/>
  <c r="Z723" i="25"/>
  <c r="Z717" i="25"/>
  <c r="Z700" i="25"/>
  <c r="Z689" i="25"/>
  <c r="Z611" i="25"/>
  <c r="Z609" i="25"/>
  <c r="Z604" i="25"/>
  <c r="Z597" i="25"/>
  <c r="Z571" i="25"/>
  <c r="Z564" i="25"/>
  <c r="Z559" i="25"/>
  <c r="Z557" i="25"/>
  <c r="Z552" i="25"/>
  <c r="Z547" i="25"/>
  <c r="Z545" i="25"/>
  <c r="Z540" i="25"/>
  <c r="Z533" i="25"/>
  <c r="Z507" i="25"/>
  <c r="Z500" i="25"/>
  <c r="Z495" i="25"/>
  <c r="Z493" i="25"/>
  <c r="Z488" i="25"/>
  <c r="Z483" i="25"/>
  <c r="Z481" i="25"/>
  <c r="Z476" i="25"/>
  <c r="Z469" i="25"/>
  <c r="Z443" i="25"/>
  <c r="Z436" i="25"/>
  <c r="Z431" i="25"/>
  <c r="Z429" i="25"/>
  <c r="Z424" i="25"/>
  <c r="Z419" i="25"/>
  <c r="Z417" i="25"/>
  <c r="Z412" i="25"/>
  <c r="Z405" i="25"/>
  <c r="Z390" i="25"/>
  <c r="Z383" i="25"/>
  <c r="Z381" i="25"/>
  <c r="Z374" i="25"/>
  <c r="Z367" i="25"/>
  <c r="Z365" i="25"/>
  <c r="Z358" i="25"/>
  <c r="Z351" i="25"/>
  <c r="Z349" i="25"/>
  <c r="Z342" i="25"/>
  <c r="Z335" i="25"/>
  <c r="Z333" i="25"/>
  <c r="Z326" i="25"/>
  <c r="Z319" i="25"/>
  <c r="Z317" i="25"/>
  <c r="Z310" i="25"/>
  <c r="Z303" i="25"/>
  <c r="Z301" i="25"/>
  <c r="Z294" i="25"/>
  <c r="Z287" i="25"/>
  <c r="Z285" i="25"/>
  <c r="Z783" i="25"/>
  <c r="Z771" i="25"/>
  <c r="Z733" i="25"/>
  <c r="Z721" i="25"/>
  <c r="Z716" i="25"/>
  <c r="Z617" i="25"/>
  <c r="Z587" i="25"/>
  <c r="Z580" i="25"/>
  <c r="Z575" i="25"/>
  <c r="Z573" i="25"/>
  <c r="Z568" i="25"/>
  <c r="Z563" i="25"/>
  <c r="Z561" i="25"/>
  <c r="Z556" i="25"/>
  <c r="Z549" i="25"/>
  <c r="Z523" i="25"/>
  <c r="Z516" i="25"/>
  <c r="Z511" i="25"/>
  <c r="Z509" i="25"/>
  <c r="Z504" i="25"/>
  <c r="Z499" i="25"/>
  <c r="Z497" i="25"/>
  <c r="Z492" i="25"/>
  <c r="Z485" i="25"/>
  <c r="Z459" i="25"/>
  <c r="Z452" i="25"/>
  <c r="Z447" i="25"/>
  <c r="Z445" i="25"/>
  <c r="Z440" i="25"/>
  <c r="Z435" i="25"/>
  <c r="Z433" i="25"/>
  <c r="Z428" i="25"/>
  <c r="Z421" i="25"/>
  <c r="Z395" i="25"/>
  <c r="Z393" i="25"/>
  <c r="Z386" i="25"/>
  <c r="Z379" i="25"/>
  <c r="Z377" i="25"/>
  <c r="Z370" i="25"/>
  <c r="Z363" i="25"/>
  <c r="Z361" i="25"/>
  <c r="Z354" i="25"/>
  <c r="Z347" i="25"/>
  <c r="Z345" i="25"/>
  <c r="Z338" i="25"/>
  <c r="Z331" i="25"/>
  <c r="Z329" i="25"/>
  <c r="Z322" i="25"/>
  <c r="Z748" i="25"/>
  <c r="Z703" i="25"/>
  <c r="Z596" i="25"/>
  <c r="Z577" i="25"/>
  <c r="Z539" i="25"/>
  <c r="Z520" i="25"/>
  <c r="Z501" i="25"/>
  <c r="Z463" i="25"/>
  <c r="Z444" i="25"/>
  <c r="Z397" i="25"/>
  <c r="Z389" i="25"/>
  <c r="Z382" i="25"/>
  <c r="Z375" i="25"/>
  <c r="Z325" i="25"/>
  <c r="Z309" i="25"/>
  <c r="Z302" i="25"/>
  <c r="Z295" i="25"/>
  <c r="Z9" i="25"/>
  <c r="Z7" i="25"/>
  <c r="AL6" i="25"/>
  <c r="Z6" i="25"/>
  <c r="Z765" i="25"/>
  <c r="Z603" i="25"/>
  <c r="Z584" i="25"/>
  <c r="Z565" i="25"/>
  <c r="Z527" i="25"/>
  <c r="Z508" i="25"/>
  <c r="Z461" i="25"/>
  <c r="Z451" i="25"/>
  <c r="Z404" i="25"/>
  <c r="Z373" i="25"/>
  <c r="Z366" i="25"/>
  <c r="Z359" i="25"/>
  <c r="Z315" i="25"/>
  <c r="Z297" i="25"/>
  <c r="Z290" i="25"/>
  <c r="Z283" i="25"/>
  <c r="Z22" i="25"/>
  <c r="Z21" i="25"/>
  <c r="Z20" i="25"/>
  <c r="Z11" i="25"/>
  <c r="Z10" i="25"/>
  <c r="Z5" i="25"/>
  <c r="Z691" i="25"/>
  <c r="Z591" i="25"/>
  <c r="Z572" i="25"/>
  <c r="Z525" i="25"/>
  <c r="Z515" i="25"/>
  <c r="Z468" i="25"/>
  <c r="Z449" i="25"/>
  <c r="Z411" i="25"/>
  <c r="Z357" i="25"/>
  <c r="Z350" i="25"/>
  <c r="Z343" i="25"/>
  <c r="Z318" i="25"/>
  <c r="Z311" i="25"/>
  <c r="Z293" i="25"/>
  <c r="Z286" i="25"/>
  <c r="Z19" i="25"/>
  <c r="Z18" i="25"/>
  <c r="Z17" i="25"/>
  <c r="Z16" i="25"/>
  <c r="Z15" i="25"/>
  <c r="Z14" i="25"/>
  <c r="Z8" i="25"/>
  <c r="Z4" i="25"/>
  <c r="Z306" i="25"/>
  <c r="Z532" i="25"/>
  <c r="Z456" i="25"/>
  <c r="Z327" i="25"/>
  <c r="Z281" i="25"/>
  <c r="Z708" i="25"/>
  <c r="Z589" i="25"/>
  <c r="Z513" i="25"/>
  <c r="Z475" i="25"/>
  <c r="Z437" i="25"/>
  <c r="Z399" i="25"/>
  <c r="Z341" i="25"/>
  <c r="Z776" i="25"/>
  <c r="Z619" i="25"/>
  <c r="Z579" i="25"/>
  <c r="Z391" i="25"/>
  <c r="Z334" i="25"/>
  <c r="Z313" i="25"/>
  <c r="Z299" i="25"/>
  <c r="Z3" i="25"/>
  <c r="N11" i="79" a="1"/>
  <c r="N11" i="79" s="1"/>
  <c r="C12" i="79"/>
  <c r="D12" i="79" s="1" a="1"/>
  <c r="D12" i="79" s="1"/>
  <c r="A13" i="79"/>
  <c r="F12" i="79" a="1"/>
  <c r="F12" i="79" s="1"/>
  <c r="N19" i="40"/>
  <c r="O19" i="40"/>
  <c r="L11" i="40"/>
  <c r="L10" i="40"/>
  <c r="L12" i="40"/>
  <c r="L9" i="40"/>
  <c r="L7" i="40"/>
  <c r="L6" i="40"/>
  <c r="L8" i="40"/>
  <c r="N73" i="4"/>
  <c r="E10" i="79" a="1"/>
  <c r="E10" i="79" s="1"/>
  <c r="EF13" i="12" a="1"/>
  <c r="N16" i="3"/>
  <c r="O16" i="3" s="1"/>
  <c r="O18" i="3" s="1"/>
  <c r="K15" i="10"/>
  <c r="S7" i="3"/>
  <c r="AP8" i="57"/>
  <c r="AO7" i="57"/>
  <c r="AP5" i="57"/>
  <c r="AN8" i="57"/>
  <c r="AP6" i="57"/>
  <c r="AN5" i="57"/>
  <c r="AN6" i="57" s="1"/>
  <c r="AN7" i="57" s="1"/>
  <c r="AP4" i="57"/>
  <c r="AO5" i="57"/>
  <c r="AO8" i="57"/>
  <c r="AP7" i="57"/>
  <c r="AO4" i="57"/>
  <c r="AO6" i="57"/>
  <c r="N17" i="40"/>
  <c r="P17" i="40"/>
  <c r="O17" i="40"/>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14" i="25"/>
  <c r="D13" i="25"/>
  <c r="D12" i="25"/>
  <c r="P6" i="25"/>
  <c r="D19" i="25"/>
  <c r="D18" i="25"/>
  <c r="D17" i="25"/>
  <c r="D16" i="25"/>
  <c r="D15" i="25"/>
  <c r="D11" i="25"/>
  <c r="D10" i="25"/>
  <c r="D6" i="25"/>
  <c r="D8" i="25"/>
  <c r="D5" i="25"/>
  <c r="D4" i="25"/>
  <c r="D22" i="25"/>
  <c r="D9" i="25"/>
  <c r="D3" i="25"/>
  <c r="D7" i="25"/>
  <c r="D21" i="25"/>
  <c r="D20" i="25"/>
  <c r="B11" i="79"/>
  <c r="M18" i="40" l="1"/>
  <c r="N18" i="40"/>
  <c r="P18" i="40"/>
  <c r="O21" i="40"/>
  <c r="M21" i="40"/>
  <c r="M19" i="40"/>
  <c r="N21" i="40"/>
  <c r="N79" i="4"/>
  <c r="B12" i="79"/>
  <c r="F20" i="25"/>
  <c r="H20" i="25" s="1"/>
  <c r="J20" i="25" s="1"/>
  <c r="F9" i="25"/>
  <c r="F8" i="25"/>
  <c r="F15" i="25"/>
  <c r="F19" i="25"/>
  <c r="F14" i="25"/>
  <c r="H14" i="25" s="1"/>
  <c r="J14" i="25" s="1"/>
  <c r="F30" i="25"/>
  <c r="H30" i="25" s="1"/>
  <c r="J30" i="25" s="1"/>
  <c r="F34" i="25"/>
  <c r="H34" i="25"/>
  <c r="J34" i="25" s="1"/>
  <c r="F38" i="25"/>
  <c r="H38" i="25" s="1"/>
  <c r="J38" i="25" s="1"/>
  <c r="F42" i="25"/>
  <c r="F46" i="25"/>
  <c r="H46" i="25" s="1"/>
  <c r="J46" i="25" s="1"/>
  <c r="F50" i="25"/>
  <c r="H50" i="25" s="1"/>
  <c r="J50" i="25" s="1"/>
  <c r="F54" i="25"/>
  <c r="H54" i="25" s="1"/>
  <c r="J54" i="25" s="1"/>
  <c r="F58" i="25"/>
  <c r="F62" i="25"/>
  <c r="H62" i="25" s="1"/>
  <c r="J62" i="25" s="1"/>
  <c r="F66" i="25"/>
  <c r="H66" i="25" s="1"/>
  <c r="J66" i="25" s="1"/>
  <c r="F70" i="25"/>
  <c r="H70" i="25" s="1"/>
  <c r="J70" i="25" s="1"/>
  <c r="F74" i="25"/>
  <c r="F78" i="25"/>
  <c r="H78" i="25" s="1"/>
  <c r="J78" i="25" s="1"/>
  <c r="F82" i="25"/>
  <c r="H82" i="25" s="1"/>
  <c r="J82" i="25" s="1"/>
  <c r="F86" i="25"/>
  <c r="H86" i="25" s="1"/>
  <c r="J86" i="25" s="1"/>
  <c r="F90" i="25"/>
  <c r="F94" i="25"/>
  <c r="H94" i="25" s="1"/>
  <c r="J94" i="25" s="1"/>
  <c r="F98" i="25"/>
  <c r="H98" i="25" s="1"/>
  <c r="J98" i="25" s="1"/>
  <c r="F102" i="25"/>
  <c r="H102" i="25" s="1"/>
  <c r="J102" i="25" s="1"/>
  <c r="F106" i="25"/>
  <c r="F110" i="25"/>
  <c r="H110" i="25" s="1"/>
  <c r="J110" i="25" s="1"/>
  <c r="F114" i="25"/>
  <c r="H114" i="25" s="1"/>
  <c r="J114" i="25" s="1"/>
  <c r="F118" i="25"/>
  <c r="H118" i="25" s="1"/>
  <c r="J118" i="25" s="1"/>
  <c r="F122" i="25"/>
  <c r="F126" i="25"/>
  <c r="H126" i="25" s="1"/>
  <c r="J126" i="25" s="1"/>
  <c r="F130" i="25"/>
  <c r="H130" i="25" s="1"/>
  <c r="J130" i="25" s="1"/>
  <c r="F134" i="25"/>
  <c r="H134" i="25" s="1"/>
  <c r="J134" i="25" s="1"/>
  <c r="F138" i="25"/>
  <c r="F142" i="25"/>
  <c r="H142" i="25" s="1"/>
  <c r="J142" i="25" s="1"/>
  <c r="F146" i="25"/>
  <c r="H146" i="25" s="1"/>
  <c r="J146" i="25" s="1"/>
  <c r="F150" i="25"/>
  <c r="H150" i="25" s="1"/>
  <c r="J150" i="25" s="1"/>
  <c r="F154" i="25"/>
  <c r="F158" i="25"/>
  <c r="H158" i="25" s="1"/>
  <c r="J158" i="25" s="1"/>
  <c r="F162" i="25"/>
  <c r="H162" i="25" s="1"/>
  <c r="J162" i="25" s="1"/>
  <c r="F166" i="25"/>
  <c r="H166" i="25" s="1"/>
  <c r="J166" i="25" s="1"/>
  <c r="F170" i="25"/>
  <c r="F174" i="25"/>
  <c r="H174" i="25" s="1"/>
  <c r="J174" i="25" s="1"/>
  <c r="F178" i="25"/>
  <c r="H178" i="25" s="1"/>
  <c r="J178" i="25" s="1"/>
  <c r="F182" i="25"/>
  <c r="H182" i="25" s="1"/>
  <c r="J182" i="25" s="1"/>
  <c r="F186" i="25"/>
  <c r="F190" i="25"/>
  <c r="H190" i="25" s="1"/>
  <c r="J190" i="25" s="1"/>
  <c r="S8" i="3"/>
  <c r="S9" i="3" s="1"/>
  <c r="K47" i="10"/>
  <c r="O7" i="40"/>
  <c r="M7" i="40"/>
  <c r="N7" i="40"/>
  <c r="P7" i="40"/>
  <c r="AB391" i="25"/>
  <c r="AB513" i="25"/>
  <c r="AB4" i="25"/>
  <c r="AB16" i="25"/>
  <c r="AB343" i="25"/>
  <c r="AB572" i="25"/>
  <c r="AB22" i="25"/>
  <c r="AD22" i="25" s="1"/>
  <c r="AF22" i="25" s="1"/>
  <c r="AB404" i="25"/>
  <c r="AD404" i="25" s="1"/>
  <c r="AB527" i="25"/>
  <c r="AD527" i="25" s="1"/>
  <c r="AF527" i="25" s="1"/>
  <c r="AB9" i="25"/>
  <c r="AD9" i="25" s="1"/>
  <c r="AF9" i="25" s="1"/>
  <c r="AB397" i="25"/>
  <c r="AD397" i="25" s="1"/>
  <c r="AB703" i="25"/>
  <c r="AB354" i="25"/>
  <c r="AB395" i="25"/>
  <c r="AB511" i="25"/>
  <c r="AD511" i="25" s="1"/>
  <c r="AB282" i="25"/>
  <c r="AD282" i="25" s="1"/>
  <c r="AF282" i="25" s="1"/>
  <c r="AB346" i="25"/>
  <c r="AB387" i="25"/>
  <c r="AD387" i="25" s="1"/>
  <c r="AB420" i="25"/>
  <c r="AD420" i="25" s="1"/>
  <c r="AF420" i="25" s="1"/>
  <c r="AB479" i="25"/>
  <c r="AD479" i="25" s="1"/>
  <c r="AF479" i="25" s="1"/>
  <c r="AB541" i="25"/>
  <c r="AD541" i="25" s="1"/>
  <c r="AB615" i="25"/>
  <c r="AD615" i="25" s="1"/>
  <c r="AB29" i="25"/>
  <c r="AB41" i="25"/>
  <c r="AB53" i="25"/>
  <c r="AD53" i="25" s="1"/>
  <c r="AB65" i="25"/>
  <c r="AD65" i="25" s="1"/>
  <c r="AF65" i="25" s="1"/>
  <c r="AB77" i="25"/>
  <c r="AB93" i="25"/>
  <c r="AD93" i="25" s="1"/>
  <c r="AB109" i="25"/>
  <c r="AD109" i="25" s="1"/>
  <c r="AF109" i="25" s="1"/>
  <c r="AB117" i="25"/>
  <c r="AD117" i="25" s="1"/>
  <c r="AF117" i="25" s="1"/>
  <c r="AB129" i="25"/>
  <c r="AB141" i="25"/>
  <c r="AD141" i="25" s="1"/>
  <c r="AB157" i="25"/>
  <c r="AD157" i="25" s="1"/>
  <c r="AF157" i="25" s="1"/>
  <c r="AB169" i="25"/>
  <c r="AD169" i="25" s="1"/>
  <c r="AF169" i="25" s="1"/>
  <c r="AB177" i="25"/>
  <c r="AB189" i="25"/>
  <c r="AD189" i="25" s="1"/>
  <c r="AB201" i="25"/>
  <c r="AD201" i="25" s="1"/>
  <c r="AF201" i="25" s="1"/>
  <c r="AB213" i="25"/>
  <c r="AD213" i="25" s="1"/>
  <c r="AB225" i="25"/>
  <c r="AD225" i="25" s="1"/>
  <c r="AB233" i="25"/>
  <c r="AD233" i="25" s="1"/>
  <c r="AF233" i="25" s="1"/>
  <c r="AB249" i="25"/>
  <c r="AD249" i="25" s="1"/>
  <c r="AF249" i="25" s="1"/>
  <c r="AB257" i="25"/>
  <c r="AB269" i="25"/>
  <c r="AD269" i="25" s="1"/>
  <c r="AB284" i="25"/>
  <c r="AD284" i="25" s="1"/>
  <c r="AF284" i="25" s="1"/>
  <c r="AB316" i="25"/>
  <c r="AD316" i="25" s="1"/>
  <c r="AB348" i="25"/>
  <c r="AD348" i="25" s="1"/>
  <c r="AB441" i="25"/>
  <c r="AD441" i="25" s="1"/>
  <c r="AB505" i="25"/>
  <c r="AD505" i="25" s="1"/>
  <c r="AF505" i="25" s="1"/>
  <c r="AB569" i="25"/>
  <c r="AD569" i="25" s="1"/>
  <c r="AF569" i="25" s="1"/>
  <c r="AB755" i="25"/>
  <c r="AD755" i="25" s="1"/>
  <c r="AF755" i="25" s="1"/>
  <c r="AB426" i="25"/>
  <c r="AD426" i="25" s="1"/>
  <c r="AF426" i="25" s="1"/>
  <c r="AB474" i="25"/>
  <c r="AD474" i="25" s="1"/>
  <c r="AB490" i="25"/>
  <c r="AB570" i="25"/>
  <c r="AD570" i="25" s="1"/>
  <c r="AF570" i="25" s="1"/>
  <c r="AB693" i="25"/>
  <c r="AB618" i="25"/>
  <c r="AD618" i="25" s="1"/>
  <c r="AF618" i="25" s="1"/>
  <c r="AB763" i="25"/>
  <c r="AD763" i="25" s="1"/>
  <c r="AF763" i="25" s="1"/>
  <c r="AB745" i="25"/>
  <c r="AD745" i="25" s="1"/>
  <c r="AF745" i="25" s="1"/>
  <c r="AB625" i="25"/>
  <c r="AD625" i="25" s="1"/>
  <c r="AF625" i="25" s="1"/>
  <c r="AB637" i="25"/>
  <c r="AD637" i="25" s="1"/>
  <c r="AF637" i="25" s="1"/>
  <c r="AD649" i="25"/>
  <c r="AB649" i="25"/>
  <c r="AB661" i="25"/>
  <c r="AD661" i="25" s="1"/>
  <c r="AB673" i="25"/>
  <c r="AD673" i="25" s="1"/>
  <c r="AB778" i="25"/>
  <c r="F71" i="25"/>
  <c r="H71" i="25" s="1"/>
  <c r="J71" i="25" s="1"/>
  <c r="F13" i="79" a="1"/>
  <c r="F13" i="79" s="1"/>
  <c r="A14" i="79"/>
  <c r="C13" i="79"/>
  <c r="D13" i="79" s="1" a="1"/>
  <c r="D13" i="79" s="1"/>
  <c r="AB399" i="25"/>
  <c r="AD399" i="25" s="1"/>
  <c r="AF399" i="25" s="1"/>
  <c r="AB17" i="25"/>
  <c r="AD17" i="25" s="1"/>
  <c r="AF17" i="25" s="1"/>
  <c r="AB591" i="25"/>
  <c r="AB359" i="25"/>
  <c r="AD359" i="25" s="1"/>
  <c r="AF359" i="25" s="1"/>
  <c r="AB295" i="25"/>
  <c r="AD295" i="25"/>
  <c r="AF295" i="25" s="1"/>
  <c r="AB338" i="25"/>
  <c r="AB421" i="25"/>
  <c r="AB561" i="25"/>
  <c r="AD561" i="25" s="1"/>
  <c r="AB301" i="25"/>
  <c r="AD301" i="25" s="1"/>
  <c r="AB417" i="25"/>
  <c r="AB533" i="25"/>
  <c r="AB723" i="25"/>
  <c r="AD723" i="25" s="1"/>
  <c r="AB330" i="25"/>
  <c r="AD330" i="25" s="1"/>
  <c r="AF330" i="25" s="1"/>
  <c r="AB427" i="25"/>
  <c r="AD427" i="25" s="1"/>
  <c r="AF427" i="25" s="1"/>
  <c r="AB543" i="25"/>
  <c r="AB780" i="25"/>
  <c r="AB42" i="25"/>
  <c r="AD42" i="25" s="1"/>
  <c r="AF42" i="25" s="1"/>
  <c r="AB54" i="25"/>
  <c r="AD54" i="25" s="1"/>
  <c r="AF54" i="25" s="1"/>
  <c r="AB74" i="25"/>
  <c r="AB94" i="25"/>
  <c r="AD94" i="25" s="1"/>
  <c r="AF94" i="25" s="1"/>
  <c r="AB106" i="25"/>
  <c r="AD106" i="25" s="1"/>
  <c r="AF106" i="25" s="1"/>
  <c r="AB118" i="25"/>
  <c r="AD118" i="25" s="1"/>
  <c r="AF118" i="25" s="1"/>
  <c r="AB126" i="25"/>
  <c r="AB134" i="25"/>
  <c r="AD134" i="25" s="1"/>
  <c r="AF134" i="25" s="1"/>
  <c r="AB142" i="25"/>
  <c r="AD142" i="25" s="1"/>
  <c r="AF142" i="25" s="1"/>
  <c r="AB150" i="25"/>
  <c r="AD150" i="25" s="1"/>
  <c r="AF150" i="25" s="1"/>
  <c r="AB162" i="25"/>
  <c r="AB174" i="25"/>
  <c r="AD174" i="25" s="1"/>
  <c r="AF174" i="25" s="1"/>
  <c r="AB182" i="25"/>
  <c r="AD182" i="25" s="1"/>
  <c r="AF182" i="25" s="1"/>
  <c r="AB194" i="25"/>
  <c r="AD194" i="25" s="1"/>
  <c r="AF194" i="25" s="1"/>
  <c r="AB202" i="25"/>
  <c r="AD202" i="25" s="1"/>
  <c r="AF202" i="25" s="1"/>
  <c r="AB210" i="25"/>
  <c r="AB222" i="25"/>
  <c r="AB226" i="25"/>
  <c r="AD226" i="25" s="1"/>
  <c r="AF226" i="25" s="1"/>
  <c r="AB234" i="25"/>
  <c r="AD234" i="25" s="1"/>
  <c r="AF234" i="25" s="1"/>
  <c r="AB246" i="25"/>
  <c r="AB254" i="25"/>
  <c r="AB266" i="25"/>
  <c r="AD266" i="25" s="1"/>
  <c r="AF266" i="25" s="1"/>
  <c r="AB274" i="25"/>
  <c r="AD274" i="25" s="1"/>
  <c r="AF274" i="25" s="1"/>
  <c r="AB288" i="25"/>
  <c r="AD288" i="25" s="1"/>
  <c r="AF288" i="25" s="1"/>
  <c r="AB320" i="25"/>
  <c r="AD320" i="25" s="1"/>
  <c r="AF320" i="25" s="1"/>
  <c r="AB368" i="25"/>
  <c r="AB407" i="25"/>
  <c r="AB471" i="25"/>
  <c r="AD471" i="25" s="1"/>
  <c r="AF471" i="25" s="1"/>
  <c r="AB512" i="25"/>
  <c r="AD512" i="25" s="1"/>
  <c r="AB553" i="25"/>
  <c r="AB701" i="25"/>
  <c r="AD701" i="25" s="1"/>
  <c r="AB398" i="25"/>
  <c r="AD398" i="25" s="1"/>
  <c r="AF398" i="25" s="1"/>
  <c r="AB414" i="25"/>
  <c r="AD414" i="25" s="1"/>
  <c r="AF414" i="25" s="1"/>
  <c r="AB462" i="25"/>
  <c r="AD462" i="25" s="1"/>
  <c r="AF462" i="25" s="1"/>
  <c r="AB494" i="25"/>
  <c r="AB526" i="25"/>
  <c r="AD526" i="25" s="1"/>
  <c r="AF526" i="25" s="1"/>
  <c r="AB558" i="25"/>
  <c r="AD558" i="25" s="1"/>
  <c r="AF558" i="25" s="1"/>
  <c r="AB606" i="25"/>
  <c r="AD606" i="25" s="1"/>
  <c r="AF606" i="25" s="1"/>
  <c r="AB728" i="25"/>
  <c r="AD728" i="25" s="1"/>
  <c r="AF728" i="25" s="1"/>
  <c r="AB687" i="25"/>
  <c r="AB732" i="25"/>
  <c r="AB749" i="25"/>
  <c r="AD749" i="25" s="1"/>
  <c r="AF749" i="25" s="1"/>
  <c r="AB688" i="25"/>
  <c r="AD688" i="25" s="1"/>
  <c r="AF688" i="25" s="1"/>
  <c r="AB711" i="25"/>
  <c r="AD711" i="25" s="1"/>
  <c r="AB729" i="25"/>
  <c r="AB752" i="25"/>
  <c r="AD752" i="25" s="1"/>
  <c r="AF752" i="25" s="1"/>
  <c r="AB775" i="25"/>
  <c r="AD775" i="25" s="1"/>
  <c r="AB622" i="25"/>
  <c r="AD622" i="25" s="1"/>
  <c r="AF622" i="25" s="1"/>
  <c r="AB626" i="25"/>
  <c r="AB630" i="25"/>
  <c r="AB634" i="25"/>
  <c r="AD634" i="25" s="1"/>
  <c r="AB638" i="25"/>
  <c r="AD638" i="25" s="1"/>
  <c r="AF638" i="25" s="1"/>
  <c r="AB642" i="25"/>
  <c r="AD642" i="25" s="1"/>
  <c r="AF642" i="25" s="1"/>
  <c r="AB646" i="25"/>
  <c r="AD646" i="25" s="1"/>
  <c r="AB650" i="25"/>
  <c r="AD650" i="25" s="1"/>
  <c r="AF650" i="25" s="1"/>
  <c r="AB654" i="25"/>
  <c r="AD654" i="25" s="1"/>
  <c r="AF654" i="25" s="1"/>
  <c r="AB658" i="25"/>
  <c r="AB662" i="25"/>
  <c r="AB666" i="25"/>
  <c r="AD666" i="25" s="1"/>
  <c r="AF666" i="25" s="1"/>
  <c r="AB670" i="25"/>
  <c r="AD670" i="25" s="1"/>
  <c r="AF670" i="25" s="1"/>
  <c r="AB674" i="25"/>
  <c r="AD674" i="25" s="1"/>
  <c r="AB678" i="25"/>
  <c r="AD678" i="25" s="1"/>
  <c r="AB682" i="25"/>
  <c r="AD682" i="25" s="1"/>
  <c r="AF682" i="25" s="1"/>
  <c r="AB686" i="25"/>
  <c r="AB702" i="25"/>
  <c r="AD702" i="25" s="1"/>
  <c r="AB718" i="25"/>
  <c r="AD718" i="25" s="1"/>
  <c r="AB734" i="25"/>
  <c r="AD734" i="25" s="1"/>
  <c r="AB766" i="25"/>
  <c r="AB782" i="25"/>
  <c r="AD782" i="25" s="1"/>
  <c r="W46" i="3"/>
  <c r="R47" i="3"/>
  <c r="W47" i="3" s="1"/>
  <c r="W48" i="3" s="1"/>
  <c r="N26" i="40"/>
  <c r="O26" i="40" s="1"/>
  <c r="P26" i="40" s="1"/>
  <c r="M26" i="40"/>
  <c r="F26" i="25"/>
  <c r="I10" i="79"/>
  <c r="E11" i="79" a="1"/>
  <c r="E11" i="79" s="1"/>
  <c r="P11" i="40"/>
  <c r="N11" i="40"/>
  <c r="O11" i="40"/>
  <c r="M11" i="40"/>
  <c r="AB3" i="25"/>
  <c r="AB341" i="25"/>
  <c r="AD341" i="25" s="1"/>
  <c r="AB327" i="25"/>
  <c r="AD327" i="25" s="1"/>
  <c r="AF327" i="25" s="1"/>
  <c r="AB286" i="25"/>
  <c r="AD286" i="25" s="1"/>
  <c r="AF286" i="25" s="1"/>
  <c r="AB449" i="25"/>
  <c r="AD449" i="25" s="1"/>
  <c r="AB10" i="25"/>
  <c r="AD10" i="25" s="1"/>
  <c r="AF10" i="25" s="1"/>
  <c r="AB315" i="25"/>
  <c r="AD315" i="25" s="1"/>
  <c r="AF315" i="25" s="1"/>
  <c r="AB765" i="25"/>
  <c r="AD765" i="25" s="1"/>
  <c r="AB325" i="25"/>
  <c r="AB520" i="25"/>
  <c r="AB331" i="25"/>
  <c r="AD331" i="25" s="1"/>
  <c r="AF331" i="25" s="1"/>
  <c r="AB377" i="25"/>
  <c r="AD377" i="25" s="1"/>
  <c r="AF377" i="25" s="1"/>
  <c r="AB435" i="25"/>
  <c r="AD435" i="25" s="1"/>
  <c r="AF435" i="25" s="1"/>
  <c r="AB452" i="25"/>
  <c r="AD452" i="25" s="1"/>
  <c r="AB497" i="25"/>
  <c r="AB556" i="25"/>
  <c r="AD556" i="25" s="1"/>
  <c r="AB573" i="25"/>
  <c r="AD573" i="25" s="1"/>
  <c r="AB617" i="25"/>
  <c r="AD617" i="25" s="1"/>
  <c r="AB771" i="25"/>
  <c r="AD771" i="25" s="1"/>
  <c r="AB294" i="25"/>
  <c r="AD294" i="25" s="1"/>
  <c r="AF294" i="25" s="1"/>
  <c r="AB317" i="25"/>
  <c r="AD317" i="25" s="1"/>
  <c r="AB335" i="25"/>
  <c r="AD335" i="25" s="1"/>
  <c r="AB358" i="25"/>
  <c r="AD358" i="25" s="1"/>
  <c r="AF358" i="25" s="1"/>
  <c r="AB381" i="25"/>
  <c r="AD381" i="25" s="1"/>
  <c r="AF381" i="25" s="1"/>
  <c r="AB412" i="25"/>
  <c r="AD412" i="25" s="1"/>
  <c r="AB429" i="25"/>
  <c r="AD429" i="25" s="1"/>
  <c r="AF429" i="25" s="1"/>
  <c r="AB469" i="25"/>
  <c r="AB488" i="25"/>
  <c r="AD488" i="25" s="1"/>
  <c r="AB507" i="25"/>
  <c r="AD507" i="25" s="1"/>
  <c r="AF507" i="25" s="1"/>
  <c r="AB547" i="25"/>
  <c r="AD547" i="25" s="1"/>
  <c r="AF547" i="25" s="1"/>
  <c r="AB564" i="25"/>
  <c r="AB609" i="25"/>
  <c r="AD609" i="25" s="1"/>
  <c r="AB717" i="25"/>
  <c r="AB767" i="25"/>
  <c r="AB305" i="25"/>
  <c r="AD305" i="25" s="1"/>
  <c r="AB323" i="25"/>
  <c r="AD323" i="25" s="1"/>
  <c r="AF323" i="25" s="1"/>
  <c r="AB369" i="25"/>
  <c r="AD369" i="25" s="1"/>
  <c r="AF369" i="25" s="1"/>
  <c r="AB403" i="25"/>
  <c r="AD403" i="25" s="1"/>
  <c r="AF403" i="25" s="1"/>
  <c r="AB465" i="25"/>
  <c r="AD465" i="25" s="1"/>
  <c r="AB524" i="25"/>
  <c r="AD524" i="25" s="1"/>
  <c r="AB581" i="25"/>
  <c r="AD581" i="25" s="1"/>
  <c r="AF581" i="25" s="1"/>
  <c r="AB600" i="25"/>
  <c r="AB25" i="25"/>
  <c r="AD25" i="25" s="1"/>
  <c r="AB37" i="25"/>
  <c r="AD37" i="25" s="1"/>
  <c r="AB49" i="25"/>
  <c r="AB57" i="25"/>
  <c r="AD57" i="25" s="1"/>
  <c r="AB69" i="25"/>
  <c r="AD69" i="25" s="1"/>
  <c r="AB81" i="25"/>
  <c r="AD81" i="25" s="1"/>
  <c r="AB97" i="25"/>
  <c r="AB105" i="25"/>
  <c r="AD105" i="25" s="1"/>
  <c r="AB121" i="25"/>
  <c r="AD121" i="25" s="1"/>
  <c r="AB133" i="25"/>
  <c r="AD133" i="25" s="1"/>
  <c r="AB149" i="25"/>
  <c r="AB165" i="25"/>
  <c r="AD165" i="25" s="1"/>
  <c r="AB185" i="25"/>
  <c r="AD185" i="25" s="1"/>
  <c r="AB197" i="25"/>
  <c r="AD197" i="25" s="1"/>
  <c r="AF197" i="25" s="1"/>
  <c r="AB209" i="25"/>
  <c r="AD209" i="25" s="1"/>
  <c r="AF209" i="25" s="1"/>
  <c r="AB221" i="25"/>
  <c r="AD221" i="25" s="1"/>
  <c r="AF221" i="25" s="1"/>
  <c r="AB237" i="25"/>
  <c r="AB245" i="25"/>
  <c r="AD245" i="25" s="1"/>
  <c r="AF245" i="25" s="1"/>
  <c r="AB261" i="25"/>
  <c r="AD261" i="25" s="1"/>
  <c r="AF261" i="25" s="1"/>
  <c r="AB273" i="25"/>
  <c r="AD273" i="25" s="1"/>
  <c r="AF273" i="25" s="1"/>
  <c r="AB300" i="25"/>
  <c r="AD300" i="25" s="1"/>
  <c r="AF300" i="25" s="1"/>
  <c r="AB364" i="25"/>
  <c r="AD364" i="25" s="1"/>
  <c r="AF364" i="25" s="1"/>
  <c r="AB423" i="25"/>
  <c r="AD423" i="25" s="1"/>
  <c r="AF423" i="25" s="1"/>
  <c r="AB464" i="25"/>
  <c r="AB528" i="25"/>
  <c r="AB616" i="25"/>
  <c r="AD616" i="25" s="1"/>
  <c r="AB781" i="25"/>
  <c r="AB458" i="25"/>
  <c r="AB506" i="25"/>
  <c r="AD506" i="25" s="1"/>
  <c r="AF506" i="25" s="1"/>
  <c r="AB538" i="25"/>
  <c r="AD538" i="25" s="1"/>
  <c r="AB586" i="25"/>
  <c r="AD586" i="25" s="1"/>
  <c r="AB715" i="25"/>
  <c r="AD715" i="25" s="1"/>
  <c r="AF715" i="25" s="1"/>
  <c r="AB744" i="25"/>
  <c r="AD744" i="25" s="1"/>
  <c r="AF744" i="25" s="1"/>
  <c r="AB727" i="25"/>
  <c r="AD727" i="25" s="1"/>
  <c r="AB768" i="25"/>
  <c r="AB629" i="25"/>
  <c r="AD629" i="25" s="1"/>
  <c r="AF629" i="25" s="1"/>
  <c r="AB641" i="25"/>
  <c r="AB653" i="25"/>
  <c r="AD653" i="25" s="1"/>
  <c r="AB665" i="25"/>
  <c r="AD665" i="25" s="1"/>
  <c r="AF665" i="25" s="1"/>
  <c r="AB677" i="25"/>
  <c r="AD677" i="25" s="1"/>
  <c r="AF677" i="25" s="1"/>
  <c r="AB698" i="25"/>
  <c r="AD698" i="25" s="1"/>
  <c r="AF698" i="25" s="1"/>
  <c r="AB730" i="25"/>
  <c r="F22" i="25"/>
  <c r="H22" i="25" s="1"/>
  <c r="J22" i="25" s="1"/>
  <c r="F6" i="25"/>
  <c r="H6" i="25" s="1"/>
  <c r="J6" i="25" s="1"/>
  <c r="F27" i="25"/>
  <c r="H27" i="25" s="1"/>
  <c r="J27" i="25" s="1"/>
  <c r="F35" i="25"/>
  <c r="H35" i="25" s="1"/>
  <c r="J35" i="25" s="1"/>
  <c r="F43" i="25"/>
  <c r="F51" i="25"/>
  <c r="F59" i="25"/>
  <c r="H59" i="25" s="1"/>
  <c r="J59" i="25" s="1"/>
  <c r="F63" i="25"/>
  <c r="H63" i="25" s="1"/>
  <c r="J63" i="25" s="1"/>
  <c r="F79" i="25"/>
  <c r="F83" i="25"/>
  <c r="F95" i="25"/>
  <c r="H95" i="25" s="1"/>
  <c r="J95" i="25" s="1"/>
  <c r="F99" i="25"/>
  <c r="H99" i="25" s="1"/>
  <c r="J99" i="25" s="1"/>
  <c r="F107" i="25"/>
  <c r="F115" i="25"/>
  <c r="F123" i="25"/>
  <c r="H123" i="25" s="1"/>
  <c r="J123" i="25" s="1"/>
  <c r="F127" i="25"/>
  <c r="H127" i="25" s="1"/>
  <c r="J127" i="25" s="1"/>
  <c r="F135" i="25"/>
  <c r="F143" i="25"/>
  <c r="F151" i="25"/>
  <c r="H151" i="25" s="1"/>
  <c r="J151" i="25" s="1"/>
  <c r="F159" i="25"/>
  <c r="H159" i="25" s="1"/>
  <c r="J159" i="25" s="1"/>
  <c r="F163" i="25"/>
  <c r="F171" i="25"/>
  <c r="F179" i="25"/>
  <c r="H179" i="25" s="1"/>
  <c r="J179" i="25" s="1"/>
  <c r="F187" i="25"/>
  <c r="H187" i="25" s="1"/>
  <c r="J187" i="25" s="1"/>
  <c r="AB299" i="25"/>
  <c r="AD299" i="25" s="1"/>
  <c r="AF299" i="25" s="1"/>
  <c r="AB589" i="25"/>
  <c r="AD589" i="25" s="1"/>
  <c r="AB456" i="25"/>
  <c r="AD456" i="25" s="1"/>
  <c r="AB350" i="25"/>
  <c r="AD350" i="25" s="1"/>
  <c r="AF350" i="25" s="1"/>
  <c r="AB283" i="25"/>
  <c r="AD283" i="25" s="1"/>
  <c r="AF283" i="25" s="1"/>
  <c r="AB565" i="25"/>
  <c r="AD565" i="25" s="1"/>
  <c r="AF565" i="25" s="1"/>
  <c r="AB375" i="25"/>
  <c r="AB539" i="25"/>
  <c r="AB361" i="25"/>
  <c r="AD361" i="25" s="1"/>
  <c r="AF361" i="25" s="1"/>
  <c r="AB440" i="25"/>
  <c r="AD440" i="25" s="1"/>
  <c r="AB499" i="25"/>
  <c r="AD499" i="25" s="1"/>
  <c r="AF499" i="25" s="1"/>
  <c r="AB575" i="25"/>
  <c r="AB783" i="25"/>
  <c r="AB342" i="25"/>
  <c r="AD342" i="25" s="1"/>
  <c r="AF342" i="25" s="1"/>
  <c r="AB365" i="25"/>
  <c r="AD365" i="25" s="1"/>
  <c r="AB476" i="25"/>
  <c r="AB552" i="25"/>
  <c r="AD552" i="25" s="1"/>
  <c r="AB611" i="25"/>
  <c r="AD611" i="25" s="1"/>
  <c r="AF611" i="25" s="1"/>
  <c r="AB289" i="25"/>
  <c r="AD289" i="25" s="1"/>
  <c r="AB353" i="25"/>
  <c r="AD353" i="25" s="1"/>
  <c r="AB394" i="25"/>
  <c r="AD394" i="25" s="1"/>
  <c r="AF394" i="25" s="1"/>
  <c r="AB467" i="25"/>
  <c r="AD467" i="25" s="1"/>
  <c r="AF467" i="25" s="1"/>
  <c r="AB484" i="25"/>
  <c r="AD484" i="25" s="1"/>
  <c r="AB588" i="25"/>
  <c r="AD588" i="25" s="1"/>
  <c r="AF588" i="25" s="1"/>
  <c r="AB707" i="25"/>
  <c r="AD707" i="25" s="1"/>
  <c r="AB34" i="25"/>
  <c r="AD34" i="25" s="1"/>
  <c r="AF34" i="25" s="1"/>
  <c r="AB46" i="25"/>
  <c r="AD46" i="25" s="1"/>
  <c r="AF46" i="25" s="1"/>
  <c r="AB58" i="25"/>
  <c r="AB70" i="25"/>
  <c r="AD70" i="25" s="1"/>
  <c r="AF70" i="25" s="1"/>
  <c r="AB82" i="25"/>
  <c r="AD82" i="25" s="1"/>
  <c r="AF82" i="25" s="1"/>
  <c r="AB90" i="25"/>
  <c r="AD90" i="25" s="1"/>
  <c r="AF90" i="25" s="1"/>
  <c r="AB102" i="25"/>
  <c r="AB110" i="25"/>
  <c r="AD110" i="25" s="1"/>
  <c r="AF110" i="25" s="1"/>
  <c r="AB114" i="25"/>
  <c r="AD114" i="25" s="1"/>
  <c r="AF114" i="25" s="1"/>
  <c r="AB122" i="25"/>
  <c r="AD122" i="25" s="1"/>
  <c r="AF122" i="25" s="1"/>
  <c r="AB130" i="25"/>
  <c r="AB138" i="25"/>
  <c r="AD138" i="25" s="1"/>
  <c r="AF138" i="25" s="1"/>
  <c r="AB146" i="25"/>
  <c r="AD146" i="25" s="1"/>
  <c r="AF146" i="25" s="1"/>
  <c r="AB154" i="25"/>
  <c r="AD154" i="25" s="1"/>
  <c r="AF154" i="25" s="1"/>
  <c r="AB166" i="25"/>
  <c r="AB170" i="25"/>
  <c r="AD170" i="25" s="1"/>
  <c r="AF170" i="25" s="1"/>
  <c r="AB178" i="25"/>
  <c r="AD178" i="25" s="1"/>
  <c r="AF178" i="25" s="1"/>
  <c r="AB186" i="25"/>
  <c r="AD186" i="25" s="1"/>
  <c r="AF186" i="25" s="1"/>
  <c r="AB190" i="25"/>
  <c r="AB198" i="25"/>
  <c r="AB206" i="25"/>
  <c r="AB214" i="25"/>
  <c r="AD214" i="25" s="1"/>
  <c r="AF214" i="25" s="1"/>
  <c r="AB218" i="25"/>
  <c r="AD218" i="25" s="1"/>
  <c r="AF218" i="25" s="1"/>
  <c r="AB230" i="25"/>
  <c r="AB238" i="25"/>
  <c r="AB242" i="25"/>
  <c r="AD242" i="25" s="1"/>
  <c r="AF242" i="25" s="1"/>
  <c r="AB250" i="25"/>
  <c r="AD250" i="25" s="1"/>
  <c r="AF250" i="25" s="1"/>
  <c r="AB258" i="25"/>
  <c r="AB262" i="25"/>
  <c r="AB270" i="25"/>
  <c r="AD270" i="25" s="1"/>
  <c r="AF270" i="25" s="1"/>
  <c r="AB278" i="25"/>
  <c r="AD278" i="25" s="1"/>
  <c r="AF278" i="25" s="1"/>
  <c r="AB304" i="25"/>
  <c r="AD304" i="25" s="1"/>
  <c r="AF304" i="25" s="1"/>
  <c r="AB336" i="25"/>
  <c r="AD336" i="25" s="1"/>
  <c r="AF336" i="25" s="1"/>
  <c r="AB352" i="25"/>
  <c r="AB384" i="25"/>
  <c r="AD384" i="25" s="1"/>
  <c r="AF384" i="25" s="1"/>
  <c r="AB425" i="25"/>
  <c r="AD425" i="25" s="1"/>
  <c r="AB448" i="25"/>
  <c r="AD448" i="25" s="1"/>
  <c r="AB489" i="25"/>
  <c r="AB535" i="25"/>
  <c r="AB576" i="25"/>
  <c r="AD576" i="25" s="1"/>
  <c r="AB599" i="25"/>
  <c r="AD599" i="25" s="1"/>
  <c r="AF599" i="25" s="1"/>
  <c r="AB760" i="25"/>
  <c r="AD760" i="25" s="1"/>
  <c r="AF760" i="25" s="1"/>
  <c r="AB430" i="25"/>
  <c r="AB446" i="25"/>
  <c r="AD446" i="25" s="1"/>
  <c r="AF446" i="25" s="1"/>
  <c r="AB478" i="25"/>
  <c r="AD478" i="25" s="1"/>
  <c r="AF478" i="25" s="1"/>
  <c r="AB510" i="25"/>
  <c r="AD510" i="25" s="1"/>
  <c r="AF510" i="25" s="1"/>
  <c r="AB542" i="25"/>
  <c r="AB574" i="25"/>
  <c r="AD574" i="25" s="1"/>
  <c r="AF574" i="25" s="1"/>
  <c r="AB590" i="25"/>
  <c r="AD590" i="25" s="1"/>
  <c r="AF590" i="25" s="1"/>
  <c r="AB696" i="25"/>
  <c r="AD696" i="25" s="1"/>
  <c r="AF696" i="25" s="1"/>
  <c r="AB769" i="25"/>
  <c r="AD769" i="25" s="1"/>
  <c r="AF769" i="25" s="1"/>
  <c r="AB750" i="25"/>
  <c r="F7" i="25"/>
  <c r="H7" i="25" s="1"/>
  <c r="J7" i="25" s="1"/>
  <c r="F4" i="25"/>
  <c r="F10" i="25"/>
  <c r="H10" i="25" s="1"/>
  <c r="J10" i="25" s="1"/>
  <c r="F17" i="25"/>
  <c r="F12" i="25"/>
  <c r="H12" i="25" s="1"/>
  <c r="J12" i="25" s="1"/>
  <c r="F24" i="25"/>
  <c r="H24" i="25" s="1"/>
  <c r="F28" i="25"/>
  <c r="H28" i="25" s="1"/>
  <c r="F32" i="25"/>
  <c r="H32" i="25" s="1"/>
  <c r="F36" i="25"/>
  <c r="H36" i="25" s="1"/>
  <c r="J36" i="25" s="1"/>
  <c r="F40" i="25"/>
  <c r="H40" i="25" s="1"/>
  <c r="F44" i="25"/>
  <c r="H44" i="25" s="1"/>
  <c r="F48" i="25"/>
  <c r="F52" i="25"/>
  <c r="H52" i="25" s="1"/>
  <c r="F56" i="25"/>
  <c r="H56" i="25" s="1"/>
  <c r="F60" i="25"/>
  <c r="H60" i="25" s="1"/>
  <c r="F64" i="25"/>
  <c r="H64" i="25" s="1"/>
  <c r="J64" i="25" s="1"/>
  <c r="F68" i="25"/>
  <c r="F72" i="25"/>
  <c r="H72" i="25" s="1"/>
  <c r="F76" i="25"/>
  <c r="F80" i="25"/>
  <c r="H80" i="25" s="1"/>
  <c r="J80" i="25" s="1"/>
  <c r="F84" i="25"/>
  <c r="H84" i="25" s="1"/>
  <c r="J84" i="25" s="1"/>
  <c r="F88" i="25"/>
  <c r="H88" i="25" s="1"/>
  <c r="F92" i="25"/>
  <c r="H92" i="25" s="1"/>
  <c r="F96" i="25"/>
  <c r="F100" i="25"/>
  <c r="H100" i="25" s="1"/>
  <c r="J100" i="25" s="1"/>
  <c r="F104" i="25"/>
  <c r="H104" i="25" s="1"/>
  <c r="F108" i="25"/>
  <c r="H108" i="25" s="1"/>
  <c r="F112" i="25"/>
  <c r="F116" i="25"/>
  <c r="H116" i="25" s="1"/>
  <c r="F120" i="25"/>
  <c r="H120" i="25" s="1"/>
  <c r="F124" i="25"/>
  <c r="F128" i="25"/>
  <c r="H128" i="25" s="1"/>
  <c r="F132" i="25"/>
  <c r="F136" i="25"/>
  <c r="H136" i="25" s="1"/>
  <c r="F140" i="25"/>
  <c r="F144" i="25"/>
  <c r="H144" i="25" s="1"/>
  <c r="J144" i="25" s="1"/>
  <c r="F148" i="25"/>
  <c r="F152" i="25"/>
  <c r="H152" i="25" s="1"/>
  <c r="F156" i="25"/>
  <c r="H156" i="25" s="1"/>
  <c r="F160" i="25"/>
  <c r="H160" i="25" s="1"/>
  <c r="F164" i="25"/>
  <c r="H164" i="25" s="1"/>
  <c r="J164" i="25" s="1"/>
  <c r="F168" i="25"/>
  <c r="H168" i="25" s="1"/>
  <c r="F172" i="25"/>
  <c r="H172" i="25" s="1"/>
  <c r="F176" i="25"/>
  <c r="F180" i="25"/>
  <c r="F184" i="25"/>
  <c r="H184" i="25" s="1"/>
  <c r="F188" i="25"/>
  <c r="H188" i="25" s="1"/>
  <c r="M8" i="40"/>
  <c r="O8" i="40"/>
  <c r="P8" i="40"/>
  <c r="N8" i="40"/>
  <c r="O12" i="40"/>
  <c r="M12" i="40"/>
  <c r="P12" i="40"/>
  <c r="N12" i="40"/>
  <c r="AB313" i="25"/>
  <c r="AD313" i="25" s="1"/>
  <c r="AF313" i="25" s="1"/>
  <c r="AB619" i="25"/>
  <c r="AD619" i="25" s="1"/>
  <c r="AF619" i="25" s="1"/>
  <c r="AB437" i="25"/>
  <c r="AD437" i="25" s="1"/>
  <c r="AF437" i="25" s="1"/>
  <c r="AB708" i="25"/>
  <c r="AD708" i="25" s="1"/>
  <c r="AF708" i="25" s="1"/>
  <c r="AB532" i="25"/>
  <c r="AD532" i="25" s="1"/>
  <c r="AB14" i="25"/>
  <c r="AB18" i="25"/>
  <c r="AD18" i="25" s="1"/>
  <c r="AF18" i="25" s="1"/>
  <c r="AB311" i="25"/>
  <c r="AD311" i="25" s="1"/>
  <c r="AF311" i="25" s="1"/>
  <c r="AB357" i="25"/>
  <c r="AD357" i="25" s="1"/>
  <c r="AB515" i="25"/>
  <c r="AD515" i="25" s="1"/>
  <c r="AF515" i="25" s="1"/>
  <c r="AB691" i="25"/>
  <c r="AD691" i="25" s="1"/>
  <c r="AF691" i="25" s="1"/>
  <c r="AB20" i="25"/>
  <c r="AB290" i="25"/>
  <c r="AD290" i="25" s="1"/>
  <c r="AF290" i="25" s="1"/>
  <c r="AB366" i="25"/>
  <c r="AD366" i="25" s="1"/>
  <c r="AF366" i="25" s="1"/>
  <c r="AB461" i="25"/>
  <c r="AD461" i="25" s="1"/>
  <c r="AB584" i="25"/>
  <c r="AD584" i="25" s="1"/>
  <c r="AB302" i="25"/>
  <c r="AD302" i="25" s="1"/>
  <c r="AF302" i="25" s="1"/>
  <c r="AB382" i="25"/>
  <c r="AD382" i="25" s="1"/>
  <c r="AF382" i="25" s="1"/>
  <c r="AB463" i="25"/>
  <c r="AD463" i="25" s="1"/>
  <c r="AF463" i="25" s="1"/>
  <c r="AB577" i="25"/>
  <c r="AB322" i="25"/>
  <c r="AD322" i="25" s="1"/>
  <c r="AF322" i="25" s="1"/>
  <c r="AB345" i="25"/>
  <c r="AB363" i="25"/>
  <c r="AB386" i="25"/>
  <c r="AD386" i="25" s="1"/>
  <c r="AF386" i="25" s="1"/>
  <c r="AB428" i="25"/>
  <c r="AD428" i="25" s="1"/>
  <c r="AB445" i="25"/>
  <c r="AD445" i="25" s="1"/>
  <c r="AB485" i="25"/>
  <c r="AD485" i="25" s="1"/>
  <c r="AF485" i="25" s="1"/>
  <c r="AB504" i="25"/>
  <c r="AB523" i="25"/>
  <c r="AD523" i="25" s="1"/>
  <c r="AF523" i="25" s="1"/>
  <c r="AB563" i="25"/>
  <c r="AD563" i="25" s="1"/>
  <c r="AF563" i="25" s="1"/>
  <c r="AB580" i="25"/>
  <c r="AD580" i="25" s="1"/>
  <c r="AB721" i="25"/>
  <c r="AD721" i="25" s="1"/>
  <c r="AF721" i="25" s="1"/>
  <c r="AB285" i="25"/>
  <c r="AB303" i="25"/>
  <c r="AD303" i="25" s="1"/>
  <c r="AF303" i="25" s="1"/>
  <c r="AB326" i="25"/>
  <c r="AB349" i="25"/>
  <c r="AD349" i="25" s="1"/>
  <c r="AB367" i="25"/>
  <c r="AD367" i="25" s="1"/>
  <c r="AB390" i="25"/>
  <c r="AD390" i="25" s="1"/>
  <c r="AF390" i="25" s="1"/>
  <c r="AB419" i="25"/>
  <c r="AD419" i="25" s="1"/>
  <c r="AF419" i="25" s="1"/>
  <c r="AB436" i="25"/>
  <c r="AD436" i="25" s="1"/>
  <c r="AB481" i="25"/>
  <c r="AD481" i="25" s="1"/>
  <c r="AB495" i="25"/>
  <c r="AD495" i="25" s="1"/>
  <c r="AF495" i="25" s="1"/>
  <c r="AB540" i="25"/>
  <c r="AD540" i="25" s="1"/>
  <c r="AB557" i="25"/>
  <c r="AB597" i="25"/>
  <c r="AD597" i="25" s="1"/>
  <c r="AF597" i="25" s="1"/>
  <c r="AB689" i="25"/>
  <c r="AB740" i="25"/>
  <c r="AD740" i="25" s="1"/>
  <c r="AF740" i="25" s="1"/>
  <c r="AB12" i="25"/>
  <c r="AD12" i="25" s="1"/>
  <c r="AF12" i="25" s="1"/>
  <c r="AB291" i="25"/>
  <c r="AB314" i="25"/>
  <c r="AD314" i="25" s="1"/>
  <c r="AF314" i="25" s="1"/>
  <c r="AB337" i="25"/>
  <c r="AD337" i="25" s="1"/>
  <c r="AB355" i="25"/>
  <c r="AD355" i="25" s="1"/>
  <c r="AF355" i="25" s="1"/>
  <c r="AB378" i="25"/>
  <c r="AD378" i="25" s="1"/>
  <c r="AF378" i="25" s="1"/>
  <c r="AB396" i="25"/>
  <c r="AD396" i="25" s="1"/>
  <c r="AB413" i="25"/>
  <c r="AB453" i="25"/>
  <c r="AB472" i="25"/>
  <c r="AD472" i="25" s="1"/>
  <c r="AB491" i="25"/>
  <c r="AD491" i="25" s="1"/>
  <c r="AF491" i="25" s="1"/>
  <c r="AB531" i="25"/>
  <c r="AD531" i="25" s="1"/>
  <c r="AF531" i="25" s="1"/>
  <c r="AB548" i="25"/>
  <c r="AB593" i="25"/>
  <c r="AD593" i="25" s="1"/>
  <c r="AB607" i="25"/>
  <c r="AD607" i="25" s="1"/>
  <c r="AF607" i="25" s="1"/>
  <c r="AB719" i="25"/>
  <c r="AB23" i="25"/>
  <c r="AD23" i="25" s="1"/>
  <c r="AF23" i="25" s="1"/>
  <c r="AB27" i="25"/>
  <c r="AB31" i="25"/>
  <c r="AB35" i="25"/>
  <c r="AD35" i="25" s="1"/>
  <c r="AF35" i="25" s="1"/>
  <c r="AB39" i="25"/>
  <c r="AD39" i="25" s="1"/>
  <c r="AF39" i="25" s="1"/>
  <c r="AB43" i="25"/>
  <c r="AB47" i="25"/>
  <c r="AB51" i="25"/>
  <c r="AD51" i="25" s="1"/>
  <c r="AF51" i="25" s="1"/>
  <c r="AB55" i="25"/>
  <c r="AD55" i="25" s="1"/>
  <c r="AF55" i="25" s="1"/>
  <c r="AB59" i="25"/>
  <c r="AB63" i="25"/>
  <c r="AB67" i="25"/>
  <c r="AD67" i="25" s="1"/>
  <c r="AF67" i="25" s="1"/>
  <c r="AB71" i="25"/>
  <c r="AD71" i="25" s="1"/>
  <c r="AF71" i="25" s="1"/>
  <c r="AB75" i="25"/>
  <c r="AB79" i="25"/>
  <c r="AB83" i="25"/>
  <c r="AD83" i="25" s="1"/>
  <c r="AF83" i="25" s="1"/>
  <c r="AB87" i="25"/>
  <c r="AD87" i="25" s="1"/>
  <c r="AF87" i="25" s="1"/>
  <c r="AB91" i="25"/>
  <c r="AB95" i="25"/>
  <c r="AB99" i="25"/>
  <c r="AD99" i="25" s="1"/>
  <c r="AF99" i="25" s="1"/>
  <c r="AB103" i="25"/>
  <c r="AD103" i="25" s="1"/>
  <c r="AF103" i="25" s="1"/>
  <c r="AB107" i="25"/>
  <c r="AB111" i="25"/>
  <c r="AB115" i="25"/>
  <c r="AD115" i="25" s="1"/>
  <c r="AF115" i="25" s="1"/>
  <c r="AB119" i="25"/>
  <c r="AD119" i="25" s="1"/>
  <c r="AF119" i="25" s="1"/>
  <c r="AB123" i="25"/>
  <c r="AB127" i="25"/>
  <c r="AB131" i="25"/>
  <c r="AD131" i="25" s="1"/>
  <c r="AF131" i="25" s="1"/>
  <c r="AB135" i="25"/>
  <c r="AD135" i="25" s="1"/>
  <c r="AF135" i="25" s="1"/>
  <c r="AB139" i="25"/>
  <c r="AB143" i="25"/>
  <c r="AB147" i="25"/>
  <c r="AD147" i="25" s="1"/>
  <c r="AF147" i="25" s="1"/>
  <c r="AB151" i="25"/>
  <c r="AD151" i="25" s="1"/>
  <c r="AF151" i="25" s="1"/>
  <c r="AB155" i="25"/>
  <c r="AB159" i="25"/>
  <c r="AB163" i="25"/>
  <c r="AD163" i="25" s="1"/>
  <c r="AF163" i="25" s="1"/>
  <c r="AB167" i="25"/>
  <c r="AD167" i="25" s="1"/>
  <c r="AF167" i="25" s="1"/>
  <c r="AB171" i="25"/>
  <c r="AB175" i="25"/>
  <c r="AB179" i="25"/>
  <c r="AD179" i="25" s="1"/>
  <c r="AF179" i="25" s="1"/>
  <c r="AB183" i="25"/>
  <c r="AD183" i="25" s="1"/>
  <c r="AF183" i="25" s="1"/>
  <c r="AB187" i="25"/>
  <c r="AB191" i="25"/>
  <c r="AB195" i="25"/>
  <c r="AD195" i="25" s="1"/>
  <c r="AB199" i="25"/>
  <c r="AD199" i="25" s="1"/>
  <c r="AF199" i="25" s="1"/>
  <c r="AB203" i="25"/>
  <c r="AD203" i="25" s="1"/>
  <c r="AB207" i="25"/>
  <c r="AB211" i="25"/>
  <c r="AD211" i="25" s="1"/>
  <c r="AB215" i="25"/>
  <c r="AD215" i="25" s="1"/>
  <c r="AF215" i="25" s="1"/>
  <c r="AB219" i="25"/>
  <c r="AD219" i="25" s="1"/>
  <c r="AB223" i="25"/>
  <c r="AB227" i="25"/>
  <c r="AD227" i="25" s="1"/>
  <c r="AB231" i="25"/>
  <c r="AD231" i="25" s="1"/>
  <c r="AF231" i="25" s="1"/>
  <c r="AB235" i="25"/>
  <c r="AD235" i="25" s="1"/>
  <c r="AB239" i="25"/>
  <c r="AB243" i="25"/>
  <c r="AD243" i="25" s="1"/>
  <c r="AB247" i="25"/>
  <c r="AD247" i="25" s="1"/>
  <c r="AF247" i="25" s="1"/>
  <c r="AB251" i="25"/>
  <c r="AD251" i="25" s="1"/>
  <c r="AB255" i="25"/>
  <c r="AB259" i="25"/>
  <c r="AD259" i="25" s="1"/>
  <c r="AB263" i="25"/>
  <c r="AD263" i="25" s="1"/>
  <c r="AF263" i="25" s="1"/>
  <c r="AB267" i="25"/>
  <c r="AD267" i="25" s="1"/>
  <c r="AB271" i="25"/>
  <c r="AB275" i="25"/>
  <c r="AD275" i="25" s="1"/>
  <c r="AB279" i="25"/>
  <c r="AD279" i="25" s="1"/>
  <c r="AF279" i="25" s="1"/>
  <c r="AB292" i="25"/>
  <c r="AD292" i="25" s="1"/>
  <c r="AF292" i="25" s="1"/>
  <c r="AB308" i="25"/>
  <c r="AD308" i="25" s="1"/>
  <c r="AF308" i="25" s="1"/>
  <c r="AB324" i="25"/>
  <c r="AB340" i="25"/>
  <c r="AD340" i="25" s="1"/>
  <c r="AB356" i="25"/>
  <c r="AD356" i="25" s="1"/>
  <c r="AF356" i="25" s="1"/>
  <c r="AB372" i="25"/>
  <c r="AD372" i="25" s="1"/>
  <c r="AF372" i="25" s="1"/>
  <c r="AB388" i="25"/>
  <c r="AB409" i="25"/>
  <c r="AD409" i="25" s="1"/>
  <c r="AF409" i="25" s="1"/>
  <c r="AB432" i="25"/>
  <c r="AB455" i="25"/>
  <c r="AD455" i="25" s="1"/>
  <c r="AF455" i="25" s="1"/>
  <c r="AB473" i="25"/>
  <c r="AD473" i="25" s="1"/>
  <c r="AB496" i="25"/>
  <c r="AD496" i="25" s="1"/>
  <c r="AF496" i="25" s="1"/>
  <c r="AB519" i="25"/>
  <c r="AD519" i="25" s="1"/>
  <c r="AF519" i="25" s="1"/>
  <c r="AB537" i="25"/>
  <c r="AD537" i="25" s="1"/>
  <c r="AB560" i="25"/>
  <c r="AD560" i="25" s="1"/>
  <c r="AB583" i="25"/>
  <c r="AB601" i="25"/>
  <c r="AB705" i="25"/>
  <c r="AB764" i="25"/>
  <c r="AD764" i="25" s="1"/>
  <c r="AB402" i="25"/>
  <c r="AD402" i="25" s="1"/>
  <c r="AF402" i="25" s="1"/>
  <c r="AB418" i="25"/>
  <c r="AB434" i="25"/>
  <c r="AD434" i="25" s="1"/>
  <c r="AF434" i="25" s="1"/>
  <c r="AB450" i="25"/>
  <c r="AD450" i="25" s="1"/>
  <c r="AB466" i="25"/>
  <c r="AD466" i="25" s="1"/>
  <c r="AB482" i="25"/>
  <c r="AB498" i="25"/>
  <c r="AD498" i="25" s="1"/>
  <c r="AF498" i="25" s="1"/>
  <c r="AB514" i="25"/>
  <c r="AB530" i="25"/>
  <c r="AB546" i="25"/>
  <c r="AB562" i="25"/>
  <c r="AD562" i="25" s="1"/>
  <c r="AF562" i="25" s="1"/>
  <c r="AB578" i="25"/>
  <c r="AB594" i="25"/>
  <c r="AD594" i="25" s="1"/>
  <c r="AF594" i="25" s="1"/>
  <c r="AB610" i="25"/>
  <c r="AB709" i="25"/>
  <c r="AB731" i="25"/>
  <c r="AD731" i="25" s="1"/>
  <c r="AB772" i="25"/>
  <c r="AD772" i="25" s="1"/>
  <c r="AF772" i="25" s="1"/>
  <c r="AB692" i="25"/>
  <c r="AB737" i="25"/>
  <c r="AB751" i="25"/>
  <c r="AD751" i="25" s="1"/>
  <c r="AF751" i="25" s="1"/>
  <c r="AB695" i="25"/>
  <c r="AB713" i="25"/>
  <c r="AD713" i="25" s="1"/>
  <c r="AB736" i="25"/>
  <c r="AB759" i="25"/>
  <c r="AD759" i="25" s="1"/>
  <c r="AB777" i="25"/>
  <c r="AB623" i="25"/>
  <c r="AB627" i="25"/>
  <c r="AD627" i="25" s="1"/>
  <c r="AF627" i="25" s="1"/>
  <c r="AB631" i="25"/>
  <c r="AB635" i="25"/>
  <c r="AB639" i="25"/>
  <c r="AD639" i="25" s="1"/>
  <c r="AF639" i="25" s="1"/>
  <c r="AB643" i="25"/>
  <c r="AD643" i="25" s="1"/>
  <c r="AB647" i="25"/>
  <c r="AB651" i="25"/>
  <c r="AB655" i="25"/>
  <c r="AB659" i="25"/>
  <c r="AD659" i="25" s="1"/>
  <c r="AF659" i="25" s="1"/>
  <c r="AB663" i="25"/>
  <c r="AD663" i="25" s="1"/>
  <c r="AB667" i="25"/>
  <c r="AB671" i="25"/>
  <c r="AB675" i="25"/>
  <c r="AD675" i="25" s="1"/>
  <c r="AF675" i="25" s="1"/>
  <c r="AB679" i="25"/>
  <c r="AD679" i="25" s="1"/>
  <c r="AB683" i="25"/>
  <c r="AB690" i="25"/>
  <c r="AB706" i="25"/>
  <c r="AD706" i="25" s="1"/>
  <c r="AB722" i="25"/>
  <c r="AD722" i="25" s="1"/>
  <c r="AB738" i="25"/>
  <c r="AD738" i="25" s="1"/>
  <c r="AF738" i="25" s="1"/>
  <c r="AB754" i="25"/>
  <c r="AB770" i="25"/>
  <c r="AD770" i="25" s="1"/>
  <c r="EH7" i="12"/>
  <c r="EG7" i="12"/>
  <c r="EF7" i="12"/>
  <c r="AB741" i="25"/>
  <c r="AB33" i="25"/>
  <c r="AD33" i="25" s="1"/>
  <c r="AB45" i="25"/>
  <c r="AD45" i="25" s="1"/>
  <c r="AB61" i="25"/>
  <c r="AD61" i="25" s="1"/>
  <c r="AB73" i="25"/>
  <c r="AB85" i="25"/>
  <c r="AD85" i="25" s="1"/>
  <c r="AB89" i="25"/>
  <c r="AD89" i="25" s="1"/>
  <c r="AB101" i="25"/>
  <c r="AD101" i="25" s="1"/>
  <c r="AB113" i="25"/>
  <c r="AB125" i="25"/>
  <c r="AD125" i="25" s="1"/>
  <c r="AB137" i="25"/>
  <c r="AD137" i="25" s="1"/>
  <c r="AB145" i="25"/>
  <c r="AD145" i="25" s="1"/>
  <c r="AB153" i="25"/>
  <c r="AB161" i="25"/>
  <c r="AD161" i="25" s="1"/>
  <c r="AB173" i="25"/>
  <c r="AD173" i="25" s="1"/>
  <c r="AB181" i="25"/>
  <c r="AD181" i="25" s="1"/>
  <c r="AB193" i="25"/>
  <c r="AB205" i="25"/>
  <c r="AD205" i="25" s="1"/>
  <c r="AB217" i="25"/>
  <c r="AD217" i="25" s="1"/>
  <c r="AF217" i="25" s="1"/>
  <c r="AB229" i="25"/>
  <c r="AD229" i="25" s="1"/>
  <c r="AF229" i="25" s="1"/>
  <c r="AB241" i="25"/>
  <c r="AB253" i="25"/>
  <c r="AD253" i="25" s="1"/>
  <c r="AB265" i="25"/>
  <c r="AD265" i="25" s="1"/>
  <c r="AF265" i="25" s="1"/>
  <c r="AB277" i="25"/>
  <c r="AD277" i="25" s="1"/>
  <c r="AF277" i="25" s="1"/>
  <c r="AB332" i="25"/>
  <c r="AD332" i="25" s="1"/>
  <c r="AB380" i="25"/>
  <c r="AD380" i="25" s="1"/>
  <c r="AF380" i="25" s="1"/>
  <c r="AB400" i="25"/>
  <c r="AD400" i="25" s="1"/>
  <c r="AB487" i="25"/>
  <c r="AD487" i="25" s="1"/>
  <c r="AF487" i="25" s="1"/>
  <c r="AB551" i="25"/>
  <c r="AB592" i="25"/>
  <c r="AB410" i="25"/>
  <c r="AD410" i="25" s="1"/>
  <c r="AB442" i="25"/>
  <c r="AD442" i="25" s="1"/>
  <c r="AB522" i="25"/>
  <c r="AD522" i="25" s="1"/>
  <c r="AB554" i="25"/>
  <c r="AB602" i="25"/>
  <c r="AD602" i="25" s="1"/>
  <c r="AB753" i="25"/>
  <c r="AD753" i="25" s="1"/>
  <c r="AF753" i="25" s="1"/>
  <c r="AB725" i="25"/>
  <c r="AB704" i="25"/>
  <c r="AB621" i="25"/>
  <c r="AD621" i="25"/>
  <c r="AB633" i="25"/>
  <c r="AD633" i="25" s="1"/>
  <c r="AB645" i="25"/>
  <c r="AD645" i="25" s="1"/>
  <c r="AF645" i="25" s="1"/>
  <c r="AB657" i="25"/>
  <c r="AB669" i="25"/>
  <c r="AD669" i="25" s="1"/>
  <c r="AF669" i="25" s="1"/>
  <c r="AB681" i="25"/>
  <c r="AD681" i="25" s="1"/>
  <c r="AB685" i="25"/>
  <c r="AD685" i="25" s="1"/>
  <c r="AB714" i="25"/>
  <c r="AB746" i="25"/>
  <c r="AB762" i="25"/>
  <c r="N28" i="40"/>
  <c r="O28" i="40" s="1"/>
  <c r="P28" i="40" s="1"/>
  <c r="M28" i="40"/>
  <c r="F21" i="25"/>
  <c r="H21" i="25" s="1"/>
  <c r="J21" i="25" s="1"/>
  <c r="F16" i="25"/>
  <c r="H16" i="25" s="1"/>
  <c r="J16" i="25" s="1"/>
  <c r="F23" i="25"/>
  <c r="H23" i="25" s="1"/>
  <c r="J23" i="25" s="1"/>
  <c r="F31" i="25"/>
  <c r="H31" i="25" s="1"/>
  <c r="F39" i="25"/>
  <c r="F47" i="25"/>
  <c r="H47" i="25" s="1"/>
  <c r="J47" i="25" s="1"/>
  <c r="F55" i="25"/>
  <c r="H55" i="25" s="1"/>
  <c r="F67" i="25"/>
  <c r="H67" i="25" s="1"/>
  <c r="F75" i="25"/>
  <c r="F87" i="25"/>
  <c r="H87" i="25" s="1"/>
  <c r="J87" i="25" s="1"/>
  <c r="F91" i="25"/>
  <c r="F103" i="25"/>
  <c r="F111" i="25"/>
  <c r="F119" i="25"/>
  <c r="H119" i="25" s="1"/>
  <c r="J119" i="25" s="1"/>
  <c r="F131" i="25"/>
  <c r="F139" i="25"/>
  <c r="H139" i="25" s="1"/>
  <c r="F147" i="25"/>
  <c r="F155" i="25"/>
  <c r="H155" i="25" s="1"/>
  <c r="J155" i="25" s="1"/>
  <c r="F167" i="25"/>
  <c r="H167" i="25" s="1"/>
  <c r="F175" i="25"/>
  <c r="F183" i="25"/>
  <c r="F191" i="25"/>
  <c r="H191" i="25" s="1"/>
  <c r="J191" i="25" s="1"/>
  <c r="O9" i="40"/>
  <c r="M9" i="40"/>
  <c r="P9" i="40"/>
  <c r="N9" i="40"/>
  <c r="AB579" i="25"/>
  <c r="AD579" i="25" s="1"/>
  <c r="AB8" i="25"/>
  <c r="AD8" i="25" s="1"/>
  <c r="AF8" i="25" s="1"/>
  <c r="AB293" i="25"/>
  <c r="AB468" i="25"/>
  <c r="AD468" i="25" s="1"/>
  <c r="AB11" i="25"/>
  <c r="AD11" i="25" s="1"/>
  <c r="AB451" i="25"/>
  <c r="AD451" i="25" s="1"/>
  <c r="AB6" i="25"/>
  <c r="AB444" i="25"/>
  <c r="AB748" i="25"/>
  <c r="AD748" i="25" s="1"/>
  <c r="AF748" i="25" s="1"/>
  <c r="AB379" i="25"/>
  <c r="AD379" i="25" s="1"/>
  <c r="AF379" i="25" s="1"/>
  <c r="AB459" i="25"/>
  <c r="AD459" i="25" s="1"/>
  <c r="AB516" i="25"/>
  <c r="AD516" i="25" s="1"/>
  <c r="AB716" i="25"/>
  <c r="AD716" i="25" s="1"/>
  <c r="AF716" i="25" s="1"/>
  <c r="AB319" i="25"/>
  <c r="AB383" i="25"/>
  <c r="AB431" i="25"/>
  <c r="AD431" i="25" s="1"/>
  <c r="AF431" i="25" s="1"/>
  <c r="AB493" i="25"/>
  <c r="AB571" i="25"/>
  <c r="AD571" i="25" s="1"/>
  <c r="AF571" i="25" s="1"/>
  <c r="AB779" i="25"/>
  <c r="AD779" i="25" s="1"/>
  <c r="AB307" i="25"/>
  <c r="AD307" i="25" s="1"/>
  <c r="AB371" i="25"/>
  <c r="AD371" i="25" s="1"/>
  <c r="AB408" i="25"/>
  <c r="AD408" i="25" s="1"/>
  <c r="AB529" i="25"/>
  <c r="AB605" i="25"/>
  <c r="AB26" i="25"/>
  <c r="AD26" i="25" s="1"/>
  <c r="AB30" i="25"/>
  <c r="AD30" i="25" s="1"/>
  <c r="AF30" i="25" s="1"/>
  <c r="AB38" i="25"/>
  <c r="AB50" i="25"/>
  <c r="AD50" i="25" s="1"/>
  <c r="AF50" i="25" s="1"/>
  <c r="AB62" i="25"/>
  <c r="AB66" i="25"/>
  <c r="AD66" i="25" s="1"/>
  <c r="AF66" i="25" s="1"/>
  <c r="AB78" i="25"/>
  <c r="AD78" i="25" s="1"/>
  <c r="AB86" i="25"/>
  <c r="AB98" i="25"/>
  <c r="AD98" i="25" s="1"/>
  <c r="AB158" i="25"/>
  <c r="AD158" i="25" s="1"/>
  <c r="AF158" i="25" s="1"/>
  <c r="F3" i="25"/>
  <c r="H3" i="25" s="1"/>
  <c r="J3" i="25" s="1"/>
  <c r="F5" i="25"/>
  <c r="H5" i="25" s="1"/>
  <c r="F11" i="25"/>
  <c r="H11" i="25" s="1"/>
  <c r="F18" i="25"/>
  <c r="H18" i="25" s="1"/>
  <c r="J18" i="25" s="1"/>
  <c r="F13" i="25"/>
  <c r="H13" i="25" s="1"/>
  <c r="F25" i="25"/>
  <c r="H25" i="25" s="1"/>
  <c r="F29" i="25"/>
  <c r="H29" i="25" s="1"/>
  <c r="J29" i="25" s="1"/>
  <c r="F33" i="25"/>
  <c r="F37" i="25"/>
  <c r="F41" i="25"/>
  <c r="H41" i="25" s="1"/>
  <c r="F45" i="25"/>
  <c r="H45" i="25" s="1"/>
  <c r="J45" i="25" s="1"/>
  <c r="F49" i="25"/>
  <c r="H49" i="25" s="1"/>
  <c r="J49" i="25" s="1"/>
  <c r="F53" i="25"/>
  <c r="F57" i="25"/>
  <c r="H57" i="25" s="1"/>
  <c r="F61" i="25"/>
  <c r="H61" i="25" s="1"/>
  <c r="J61" i="25" s="1"/>
  <c r="F65" i="25"/>
  <c r="F69" i="25"/>
  <c r="F73" i="25"/>
  <c r="H73" i="25" s="1"/>
  <c r="F77" i="25"/>
  <c r="H77" i="25" s="1"/>
  <c r="J77" i="25" s="1"/>
  <c r="F81" i="25"/>
  <c r="H81" i="25" s="1"/>
  <c r="J81" i="25" s="1"/>
  <c r="F85" i="25"/>
  <c r="F89" i="25"/>
  <c r="H89" i="25" s="1"/>
  <c r="F93" i="25"/>
  <c r="H93" i="25" s="1"/>
  <c r="J93" i="25" s="1"/>
  <c r="F97" i="25"/>
  <c r="F101" i="25"/>
  <c r="F105" i="25"/>
  <c r="H105" i="25" s="1"/>
  <c r="F109" i="25"/>
  <c r="H109" i="25" s="1"/>
  <c r="J109" i="25" s="1"/>
  <c r="F113" i="25"/>
  <c r="H113" i="25" s="1"/>
  <c r="J113" i="25" s="1"/>
  <c r="F117" i="25"/>
  <c r="F121" i="25"/>
  <c r="H121" i="25" s="1"/>
  <c r="F125" i="25"/>
  <c r="H125" i="25" s="1"/>
  <c r="J125" i="25" s="1"/>
  <c r="F129" i="25"/>
  <c r="F133" i="25"/>
  <c r="F137" i="25"/>
  <c r="H137" i="25" s="1"/>
  <c r="F141" i="25"/>
  <c r="H141" i="25" s="1"/>
  <c r="J141" i="25" s="1"/>
  <c r="F145" i="25"/>
  <c r="H145" i="25" s="1"/>
  <c r="J145" i="25" s="1"/>
  <c r="F149" i="25"/>
  <c r="H149" i="25" s="1"/>
  <c r="F153" i="25"/>
  <c r="H153" i="25" s="1"/>
  <c r="F157" i="25"/>
  <c r="H157" i="25" s="1"/>
  <c r="J157" i="25" s="1"/>
  <c r="F161" i="25"/>
  <c r="F165" i="25"/>
  <c r="F169" i="25"/>
  <c r="H169" i="25" s="1"/>
  <c r="F173" i="25"/>
  <c r="H173" i="25" s="1"/>
  <c r="J173" i="25" s="1"/>
  <c r="F177" i="25"/>
  <c r="H177" i="25" s="1"/>
  <c r="J177" i="25" s="1"/>
  <c r="F181" i="25"/>
  <c r="H181" i="25" s="1"/>
  <c r="F185" i="25"/>
  <c r="H185" i="25" s="1"/>
  <c r="F189" i="25"/>
  <c r="H189" i="25" s="1"/>
  <c r="J189" i="25" s="1"/>
  <c r="EG13" i="12"/>
  <c r="EF13" i="12"/>
  <c r="EH13" i="12"/>
  <c r="M6" i="40"/>
  <c r="O6" i="40"/>
  <c r="N6" i="40"/>
  <c r="P6" i="40"/>
  <c r="M10" i="40"/>
  <c r="O10" i="40"/>
  <c r="N10" i="40"/>
  <c r="P10" i="40"/>
  <c r="H11" i="79" a="1"/>
  <c r="H11" i="79" s="1"/>
  <c r="N12" i="79" a="1"/>
  <c r="N12" i="79" s="1"/>
  <c r="O11" i="79"/>
  <c r="AB334" i="25"/>
  <c r="AB776" i="25"/>
  <c r="AD776" i="25" s="1"/>
  <c r="AF776" i="25" s="1"/>
  <c r="AB475" i="25"/>
  <c r="AD475" i="25" s="1"/>
  <c r="AF475" i="25" s="1"/>
  <c r="AB281" i="25"/>
  <c r="AD281" i="25" s="1"/>
  <c r="AB306" i="25"/>
  <c r="AD306" i="25"/>
  <c r="AB15" i="25"/>
  <c r="AD15" i="25" s="1"/>
  <c r="AF15" i="25" s="1"/>
  <c r="AB19" i="25"/>
  <c r="AD19" i="25" s="1"/>
  <c r="AF19" i="25" s="1"/>
  <c r="AB318" i="25"/>
  <c r="AD318" i="25"/>
  <c r="AB411" i="25"/>
  <c r="AB525" i="25"/>
  <c r="AD525" i="25" s="1"/>
  <c r="AB5" i="25"/>
  <c r="AD5" i="25" s="1"/>
  <c r="AB21" i="25"/>
  <c r="AB297" i="25"/>
  <c r="AD297" i="25" s="1"/>
  <c r="AB373" i="25"/>
  <c r="AD373" i="25" s="1"/>
  <c r="AB508" i="25"/>
  <c r="AD508" i="25" s="1"/>
  <c r="AB603" i="25"/>
  <c r="AD603" i="25" s="1"/>
  <c r="AB7" i="25"/>
  <c r="AD7" i="25" s="1"/>
  <c r="AB309" i="25"/>
  <c r="AB389" i="25"/>
  <c r="AB501" i="25"/>
  <c r="AD501" i="25" s="1"/>
  <c r="AB596" i="25"/>
  <c r="AB329" i="25"/>
  <c r="AD329" i="25" s="1"/>
  <c r="AB347" i="25"/>
  <c r="AD347" i="25" s="1"/>
  <c r="AF347" i="25" s="1"/>
  <c r="AB370" i="25"/>
  <c r="AD370" i="25" s="1"/>
  <c r="AF370" i="25" s="1"/>
  <c r="AB393" i="25"/>
  <c r="AD393" i="25" s="1"/>
  <c r="AB433" i="25"/>
  <c r="AB447" i="25"/>
  <c r="AD447" i="25" s="1"/>
  <c r="AF447" i="25" s="1"/>
  <c r="AB492" i="25"/>
  <c r="AD492" i="25" s="1"/>
  <c r="AB509" i="25"/>
  <c r="AB549" i="25"/>
  <c r="AB568" i="25"/>
  <c r="AB587" i="25"/>
  <c r="AD587" i="25" s="1"/>
  <c r="AB733" i="25"/>
  <c r="AD733" i="25" s="1"/>
  <c r="AB287" i="25"/>
  <c r="AD287" i="25" s="1"/>
  <c r="AB310" i="25"/>
  <c r="AB333" i="25"/>
  <c r="AD333" i="25" s="1"/>
  <c r="AF333" i="25" s="1"/>
  <c r="AB351" i="25"/>
  <c r="AD351" i="25" s="1"/>
  <c r="AB374" i="25"/>
  <c r="AD374" i="25" s="1"/>
  <c r="AB405" i="25"/>
  <c r="AD405" i="25" s="1"/>
  <c r="AF405" i="25" s="1"/>
  <c r="AB424" i="25"/>
  <c r="AD424" i="25" s="1"/>
  <c r="AB443" i="25"/>
  <c r="AD443" i="25" s="1"/>
  <c r="AF443" i="25" s="1"/>
  <c r="AB483" i="25"/>
  <c r="AB500" i="25"/>
  <c r="AB545" i="25"/>
  <c r="AD545" i="25" s="1"/>
  <c r="AB559" i="25"/>
  <c r="AD559" i="25" s="1"/>
  <c r="AF559" i="25" s="1"/>
  <c r="AB604" i="25"/>
  <c r="AD604" i="25" s="1"/>
  <c r="AF604" i="25" s="1"/>
  <c r="AB700" i="25"/>
  <c r="AD700" i="25" s="1"/>
  <c r="AF700" i="25" s="1"/>
  <c r="AB757" i="25"/>
  <c r="AD757" i="25" s="1"/>
  <c r="AB13" i="25"/>
  <c r="AB298" i="25"/>
  <c r="AB321" i="25"/>
  <c r="AD321" i="25" s="1"/>
  <c r="AB339" i="25"/>
  <c r="AD339" i="25" s="1"/>
  <c r="AB362" i="25"/>
  <c r="AD362" i="25" s="1"/>
  <c r="AB385" i="25"/>
  <c r="AB401" i="25"/>
  <c r="AD401" i="25" s="1"/>
  <c r="AB415" i="25"/>
  <c r="AB460" i="25"/>
  <c r="AB477" i="25"/>
  <c r="AD477" i="25" s="1"/>
  <c r="AB517" i="25"/>
  <c r="AD517" i="25" s="1"/>
  <c r="AF517" i="25" s="1"/>
  <c r="AB536" i="25"/>
  <c r="AD536" i="25" s="1"/>
  <c r="AB555" i="25"/>
  <c r="AD555" i="25" s="1"/>
  <c r="AF555" i="25" s="1"/>
  <c r="AB595" i="25"/>
  <c r="AD595" i="25" s="1"/>
  <c r="AB612" i="25"/>
  <c r="AD612" i="25" s="1"/>
  <c r="AB724" i="25"/>
  <c r="AB24" i="25"/>
  <c r="AD24" i="25" s="1"/>
  <c r="AF24" i="25" s="1"/>
  <c r="AB28" i="25"/>
  <c r="AB32" i="25"/>
  <c r="AD32" i="25" s="1"/>
  <c r="AF32" i="25" s="1"/>
  <c r="AB36" i="25"/>
  <c r="AB40" i="25"/>
  <c r="AB44" i="25"/>
  <c r="AD44" i="25" s="1"/>
  <c r="AB48" i="25"/>
  <c r="AD48" i="25" s="1"/>
  <c r="AF48" i="25" s="1"/>
  <c r="AB52" i="25"/>
  <c r="AD52" i="25" s="1"/>
  <c r="AB56" i="25"/>
  <c r="AD56" i="25" s="1"/>
  <c r="AF56" i="25" s="1"/>
  <c r="AB60" i="25"/>
  <c r="AB64" i="25"/>
  <c r="AD64" i="25" s="1"/>
  <c r="AF64" i="25" s="1"/>
  <c r="AB68" i="25"/>
  <c r="AD68" i="25" s="1"/>
  <c r="AB72" i="25"/>
  <c r="AD72" i="25" s="1"/>
  <c r="AF72" i="25" s="1"/>
  <c r="AB76" i="25"/>
  <c r="AD76" i="25" s="1"/>
  <c r="AB80" i="25"/>
  <c r="AD80" i="25" s="1"/>
  <c r="AF80" i="25" s="1"/>
  <c r="AB84" i="25"/>
  <c r="AD84" i="25" s="1"/>
  <c r="AB88" i="25"/>
  <c r="AD88" i="25" s="1"/>
  <c r="AF88" i="25" s="1"/>
  <c r="AB92" i="25"/>
  <c r="AD92" i="25" s="1"/>
  <c r="AB96" i="25"/>
  <c r="AD96" i="25" s="1"/>
  <c r="AF96" i="25" s="1"/>
  <c r="AB100" i="25"/>
  <c r="AD100" i="25" s="1"/>
  <c r="AB104" i="25"/>
  <c r="AD104" i="25" s="1"/>
  <c r="AF104" i="25" s="1"/>
  <c r="AB108" i="25"/>
  <c r="AD108" i="25" s="1"/>
  <c r="AB112" i="25"/>
  <c r="AD112" i="25" s="1"/>
  <c r="AF112" i="25" s="1"/>
  <c r="AB116" i="25"/>
  <c r="AB120" i="25"/>
  <c r="AD120" i="25" s="1"/>
  <c r="AF120" i="25" s="1"/>
  <c r="AB124" i="25"/>
  <c r="AD124" i="25" s="1"/>
  <c r="AB128" i="25"/>
  <c r="AD128" i="25" s="1"/>
  <c r="AF128" i="25" s="1"/>
  <c r="AB132" i="25"/>
  <c r="AB136" i="25"/>
  <c r="AD136" i="25" s="1"/>
  <c r="AF136" i="25" s="1"/>
  <c r="AB140" i="25"/>
  <c r="AD140" i="25" s="1"/>
  <c r="AF140" i="25" s="1"/>
  <c r="AB144" i="25"/>
  <c r="AD144" i="25" s="1"/>
  <c r="AF144" i="25" s="1"/>
  <c r="AB148" i="25"/>
  <c r="AB152" i="25"/>
  <c r="AD152" i="25" s="1"/>
  <c r="AF152" i="25" s="1"/>
  <c r="AB156" i="25"/>
  <c r="AD156" i="25" s="1"/>
  <c r="AF156" i="25" s="1"/>
  <c r="AB160" i="25"/>
  <c r="AD160" i="25" s="1"/>
  <c r="AF160" i="25" s="1"/>
  <c r="AB164" i="25"/>
  <c r="AB168" i="25"/>
  <c r="AD168" i="25" s="1"/>
  <c r="AF168" i="25" s="1"/>
  <c r="AB172" i="25"/>
  <c r="AD172" i="25" s="1"/>
  <c r="AF172" i="25" s="1"/>
  <c r="AB176" i="25"/>
  <c r="AD176" i="25" s="1"/>
  <c r="AF176" i="25" s="1"/>
  <c r="AB180" i="25"/>
  <c r="AB184" i="25"/>
  <c r="AD184" i="25" s="1"/>
  <c r="AF184" i="25" s="1"/>
  <c r="AB188" i="25"/>
  <c r="AD188" i="25" s="1"/>
  <c r="AF188" i="25" s="1"/>
  <c r="AB192" i="25"/>
  <c r="AD192" i="25" s="1"/>
  <c r="AB196" i="25"/>
  <c r="AD196" i="25" s="1"/>
  <c r="AF196" i="25" s="1"/>
  <c r="AB200" i="25"/>
  <c r="AD200" i="25" s="1"/>
  <c r="AB204" i="25"/>
  <c r="AD204" i="25" s="1"/>
  <c r="AF204" i="25" s="1"/>
  <c r="AB208" i="25"/>
  <c r="AD208" i="25" s="1"/>
  <c r="AB212" i="25"/>
  <c r="AD212" i="25" s="1"/>
  <c r="AF212" i="25" s="1"/>
  <c r="AB216" i="25"/>
  <c r="AD216" i="25" s="1"/>
  <c r="AF216" i="25" s="1"/>
  <c r="AB220" i="25"/>
  <c r="AD220" i="25" s="1"/>
  <c r="AF220" i="25" s="1"/>
  <c r="AB224" i="25"/>
  <c r="AD224" i="25" s="1"/>
  <c r="AB228" i="25"/>
  <c r="AD228" i="25" s="1"/>
  <c r="AF228" i="25" s="1"/>
  <c r="AB232" i="25"/>
  <c r="AD232" i="25" s="1"/>
  <c r="AB236" i="25"/>
  <c r="AD236" i="25" s="1"/>
  <c r="AF236" i="25" s="1"/>
  <c r="AB240" i="25"/>
  <c r="AD240" i="25" s="1"/>
  <c r="AB244" i="25"/>
  <c r="AD244" i="25" s="1"/>
  <c r="AF244" i="25" s="1"/>
  <c r="AB248" i="25"/>
  <c r="AD248" i="25" s="1"/>
  <c r="AB252" i="25"/>
  <c r="AD252" i="25" s="1"/>
  <c r="AF252" i="25" s="1"/>
  <c r="AB256" i="25"/>
  <c r="AD256" i="25" s="1"/>
  <c r="AB260" i="25"/>
  <c r="AD260" i="25" s="1"/>
  <c r="AF260" i="25" s="1"/>
  <c r="AB264" i="25"/>
  <c r="AB268" i="25"/>
  <c r="AD268" i="25" s="1"/>
  <c r="AF268" i="25" s="1"/>
  <c r="AB272" i="25"/>
  <c r="AD272" i="25" s="1"/>
  <c r="AB276" i="25"/>
  <c r="AD276" i="25" s="1"/>
  <c r="AF276" i="25" s="1"/>
  <c r="AB280" i="25"/>
  <c r="AD280" i="25" s="1"/>
  <c r="AF280" i="25" s="1"/>
  <c r="AB296" i="25"/>
  <c r="AD296" i="25" s="1"/>
  <c r="AB312" i="25"/>
  <c r="AD312" i="25" s="1"/>
  <c r="AB328" i="25"/>
  <c r="AB344" i="25"/>
  <c r="AB360" i="25"/>
  <c r="AD360" i="25" s="1"/>
  <c r="AB376" i="25"/>
  <c r="AD376" i="25" s="1"/>
  <c r="AB392" i="25"/>
  <c r="AD392" i="25" s="1"/>
  <c r="AB416" i="25"/>
  <c r="AD416" i="25" s="1"/>
  <c r="AB439" i="25"/>
  <c r="AD439" i="25" s="1"/>
  <c r="AF439" i="25" s="1"/>
  <c r="AB457" i="25"/>
  <c r="AB480" i="25"/>
  <c r="AB503" i="25"/>
  <c r="AD503" i="25" s="1"/>
  <c r="AF503" i="25" s="1"/>
  <c r="AB521" i="25"/>
  <c r="AD521" i="25" s="1"/>
  <c r="AB544" i="25"/>
  <c r="AD544" i="25" s="1"/>
  <c r="AB567" i="25"/>
  <c r="AB585" i="25"/>
  <c r="AD585" i="25" s="1"/>
  <c r="AB608" i="25"/>
  <c r="AD608" i="25" s="1"/>
  <c r="AB735" i="25"/>
  <c r="AD735" i="25" s="1"/>
  <c r="AB773" i="25"/>
  <c r="AD773" i="25" s="1"/>
  <c r="AB406" i="25"/>
  <c r="AD406" i="25" s="1"/>
  <c r="AB422" i="25"/>
  <c r="AD422" i="25" s="1"/>
  <c r="AF422" i="25" s="1"/>
  <c r="AB438" i="25"/>
  <c r="AD438" i="25" s="1"/>
  <c r="AB454" i="25"/>
  <c r="AD454" i="25" s="1"/>
  <c r="AB470" i="25"/>
  <c r="AD470" i="25" s="1"/>
  <c r="AB486" i="25"/>
  <c r="AD486" i="25" s="1"/>
  <c r="AF486" i="25" s="1"/>
  <c r="AB502" i="25"/>
  <c r="AB518" i="25"/>
  <c r="AD518" i="25" s="1"/>
  <c r="AB534" i="25"/>
  <c r="AB550" i="25"/>
  <c r="AD550" i="25" s="1"/>
  <c r="AF550" i="25" s="1"/>
  <c r="AB566" i="25"/>
  <c r="AB582" i="25"/>
  <c r="AB598" i="25"/>
  <c r="AD598" i="25" s="1"/>
  <c r="AB613" i="25"/>
  <c r="AD613" i="25" s="1"/>
  <c r="AB712" i="25"/>
  <c r="AD712" i="25" s="1"/>
  <c r="AF712" i="25" s="1"/>
  <c r="AB747" i="25"/>
  <c r="AD747" i="25" s="1"/>
  <c r="AB614" i="25"/>
  <c r="AD614" i="25" s="1"/>
  <c r="AB699" i="25"/>
  <c r="AD699" i="25" s="1"/>
  <c r="AB739" i="25"/>
  <c r="AB756" i="25"/>
  <c r="AD756" i="25" s="1"/>
  <c r="AF756" i="25" s="1"/>
  <c r="AB697" i="25"/>
  <c r="AD697" i="25" s="1"/>
  <c r="AB720" i="25"/>
  <c r="AB743" i="25"/>
  <c r="AD743" i="25" s="1"/>
  <c r="AB761" i="25"/>
  <c r="AD761" i="25" s="1"/>
  <c r="AF761" i="25" s="1"/>
  <c r="AB620" i="25"/>
  <c r="AD620" i="25" s="1"/>
  <c r="AB624" i="25"/>
  <c r="AB628" i="25"/>
  <c r="AD628" i="25" s="1"/>
  <c r="AB632" i="25"/>
  <c r="AD632" i="25" s="1"/>
  <c r="AB636" i="25"/>
  <c r="AD636" i="25" s="1"/>
  <c r="AB640" i="25"/>
  <c r="AB644" i="25"/>
  <c r="AD644" i="25" s="1"/>
  <c r="AB648" i="25"/>
  <c r="AD648" i="25" s="1"/>
  <c r="AF648" i="25" s="1"/>
  <c r="AB652" i="25"/>
  <c r="AB656" i="25"/>
  <c r="AB660" i="25"/>
  <c r="AD660" i="25" s="1"/>
  <c r="AB664" i="25"/>
  <c r="AD664" i="25" s="1"/>
  <c r="AB668" i="25"/>
  <c r="AB672" i="25"/>
  <c r="AB676" i="25"/>
  <c r="AD676" i="25" s="1"/>
  <c r="AB680" i="25"/>
  <c r="AD680" i="25" s="1"/>
  <c r="AF680" i="25" s="1"/>
  <c r="AB684" i="25"/>
  <c r="AD684" i="25" s="1"/>
  <c r="AB694" i="25"/>
  <c r="AD694" i="25" s="1"/>
  <c r="AB710" i="25"/>
  <c r="AD710" i="25" s="1"/>
  <c r="AF710" i="25" s="1"/>
  <c r="AB726" i="25"/>
  <c r="AD726" i="25" s="1"/>
  <c r="AB742" i="25"/>
  <c r="AD742" i="25" s="1"/>
  <c r="AB758" i="25"/>
  <c r="AB774" i="25"/>
  <c r="AD774" i="25" s="1"/>
  <c r="AF774" i="25" s="1"/>
  <c r="M27" i="40"/>
  <c r="N27" i="40"/>
  <c r="O27" i="40" s="1"/>
  <c r="P27" i="40" s="1"/>
  <c r="AF436" i="25" l="1"/>
  <c r="J128" i="25"/>
  <c r="AF351" i="25"/>
  <c r="AF653" i="25"/>
  <c r="AF357" i="25"/>
  <c r="AF52" i="25"/>
  <c r="AF501" i="25"/>
  <c r="AF297" i="25"/>
  <c r="AF339" i="25"/>
  <c r="J167" i="25"/>
  <c r="AF759" i="25"/>
  <c r="AF477" i="25"/>
  <c r="AF733" i="25"/>
  <c r="AF100" i="25"/>
  <c r="AF393" i="25"/>
  <c r="AF281" i="25"/>
  <c r="AF332" i="25"/>
  <c r="AF205" i="25"/>
  <c r="AF764" i="25"/>
  <c r="AD577" i="25"/>
  <c r="AF577" i="25" s="1"/>
  <c r="AD497" i="25"/>
  <c r="AF497" i="25" s="1"/>
  <c r="AF718" i="25"/>
  <c r="AD480" i="25"/>
  <c r="AF480" i="25" s="1"/>
  <c r="AD568" i="25"/>
  <c r="AF568" i="25" s="1"/>
  <c r="AF371" i="25"/>
  <c r="AD344" i="25"/>
  <c r="AF344" i="25" s="1"/>
  <c r="AD38" i="25"/>
  <c r="AF38" i="25" s="1"/>
  <c r="AF676" i="25"/>
  <c r="AD116" i="25"/>
  <c r="AF116" i="25" s="1"/>
  <c r="AF525" i="25"/>
  <c r="AD293" i="25"/>
  <c r="AF293" i="25" s="1"/>
  <c r="H91" i="25"/>
  <c r="J91" i="25" s="1"/>
  <c r="AF621" i="25"/>
  <c r="AD415" i="25"/>
  <c r="AF415" i="25" s="1"/>
  <c r="AD383" i="25"/>
  <c r="AF383" i="25" s="1"/>
  <c r="H148" i="25"/>
  <c r="J148" i="25" s="1"/>
  <c r="AD641" i="25"/>
  <c r="AF641" i="25" s="1"/>
  <c r="AD572" i="25"/>
  <c r="AF572" i="25"/>
  <c r="AD582" i="25"/>
  <c r="AF582" i="25" s="1"/>
  <c r="AD529" i="25"/>
  <c r="AF529" i="25" s="1"/>
  <c r="AD626" i="25"/>
  <c r="AF626" i="25" s="1"/>
  <c r="AD739" i="25"/>
  <c r="AF739" i="25" s="1"/>
  <c r="AF360" i="25"/>
  <c r="AD264" i="25"/>
  <c r="AF264" i="25" s="1"/>
  <c r="AF200" i="25"/>
  <c r="AD36" i="25"/>
  <c r="AF36" i="25" s="1"/>
  <c r="AF78" i="25"/>
  <c r="AF722" i="25"/>
  <c r="AD504" i="25"/>
  <c r="AF504" i="25" s="1"/>
  <c r="AF317" i="25"/>
  <c r="AF660" i="25"/>
  <c r="AF584" i="25"/>
  <c r="AF743" i="25"/>
  <c r="AF735" i="25"/>
  <c r="AF628" i="25"/>
  <c r="AF518" i="25"/>
  <c r="AF248" i="25"/>
  <c r="AD86" i="25"/>
  <c r="AF86" i="25" s="1"/>
  <c r="AF243" i="25"/>
  <c r="AD709" i="25"/>
  <c r="AF709" i="25" s="1"/>
  <c r="AD285" i="25"/>
  <c r="AF285" i="25" s="1"/>
  <c r="H124" i="25"/>
  <c r="J124" i="25" s="1"/>
  <c r="AD458" i="25"/>
  <c r="AF458" i="25" s="1"/>
  <c r="AD417" i="25"/>
  <c r="AF417" i="25" s="1"/>
  <c r="AF694" i="25"/>
  <c r="AF644" i="25"/>
  <c r="AF699" i="25"/>
  <c r="AD40" i="25"/>
  <c r="AF40" i="25" s="1"/>
  <c r="AF318" i="25"/>
  <c r="H131" i="25"/>
  <c r="J131" i="25" s="1"/>
  <c r="AD514" i="25"/>
  <c r="AF514" i="25" s="1"/>
  <c r="AF227" i="25"/>
  <c r="AD413" i="25"/>
  <c r="AF413" i="25" s="1"/>
  <c r="AD291" i="25"/>
  <c r="AF291" i="25" s="1"/>
  <c r="H132" i="25"/>
  <c r="J132" i="25" s="1"/>
  <c r="H76" i="25"/>
  <c r="J76" i="25" s="1"/>
  <c r="AF620" i="25"/>
  <c r="AD502" i="25"/>
  <c r="AF502" i="25" s="1"/>
  <c r="AF454" i="25"/>
  <c r="AF232" i="25"/>
  <c r="AF5" i="25"/>
  <c r="AF522" i="25"/>
  <c r="AD690" i="25"/>
  <c r="AF690" i="25" s="1"/>
  <c r="AF275" i="25"/>
  <c r="AF438" i="25"/>
  <c r="AD21" i="25"/>
  <c r="AF21" i="25" s="1"/>
  <c r="AD578" i="25"/>
  <c r="AF578" i="25" s="1"/>
  <c r="AD464" i="25"/>
  <c r="AF464" i="25" s="1"/>
  <c r="H8" i="25"/>
  <c r="J8" i="25" s="1"/>
  <c r="AD433" i="25"/>
  <c r="AF433" i="25" s="1"/>
  <c r="AF181" i="25"/>
  <c r="AF101" i="25"/>
  <c r="AF466" i="25"/>
  <c r="J52" i="25"/>
  <c r="AD703" i="25"/>
  <c r="AF703" i="25" s="1"/>
  <c r="AF697" i="25"/>
  <c r="AF296" i="25"/>
  <c r="AF211" i="25"/>
  <c r="AD345" i="25"/>
  <c r="AF345" i="25" s="1"/>
  <c r="H96" i="25"/>
  <c r="J96" i="25" s="1"/>
  <c r="AD750" i="25"/>
  <c r="AF750" i="25" s="1"/>
  <c r="AD489" i="25"/>
  <c r="AF489" i="25" s="1"/>
  <c r="AF353" i="25"/>
  <c r="AD476" i="25"/>
  <c r="AF476" i="25" s="1"/>
  <c r="AD783" i="25"/>
  <c r="AF783" i="25" s="1"/>
  <c r="AD97" i="25"/>
  <c r="AF97" i="25" s="1"/>
  <c r="AD767" i="25"/>
  <c r="AF767" i="25" s="1"/>
  <c r="AD257" i="25"/>
  <c r="AF257" i="25" s="1"/>
  <c r="AD758" i="25"/>
  <c r="AF758" i="25" s="1"/>
  <c r="AF684" i="25"/>
  <c r="AD566" i="25"/>
  <c r="AF566" i="25" s="1"/>
  <c r="AF544" i="25"/>
  <c r="AD457" i="25"/>
  <c r="AF457" i="25" s="1"/>
  <c r="AF392" i="25"/>
  <c r="AD328" i="25"/>
  <c r="AF328" i="25" s="1"/>
  <c r="AF84" i="25"/>
  <c r="AF68" i="25"/>
  <c r="AD298" i="25"/>
  <c r="AF298" i="25" s="1"/>
  <c r="AD500" i="25"/>
  <c r="AF500" i="25" s="1"/>
  <c r="AF587" i="25"/>
  <c r="AD389" i="25"/>
  <c r="AF389" i="25" s="1"/>
  <c r="AD411" i="25"/>
  <c r="AF411" i="25" s="1"/>
  <c r="AD319" i="25"/>
  <c r="AF319" i="25" s="1"/>
  <c r="AF516" i="25"/>
  <c r="AD444" i="25"/>
  <c r="AF444" i="25" s="1"/>
  <c r="J55" i="25"/>
  <c r="AD762" i="25"/>
  <c r="AF762" i="25" s="1"/>
  <c r="AF145" i="25"/>
  <c r="AF61" i="25"/>
  <c r="AD647" i="25"/>
  <c r="AF647" i="25" s="1"/>
  <c r="AD631" i="25"/>
  <c r="AF631" i="25" s="1"/>
  <c r="AF731" i="25"/>
  <c r="AD530" i="25"/>
  <c r="AF530" i="25" s="1"/>
  <c r="AF259" i="25"/>
  <c r="AF195" i="25"/>
  <c r="AD719" i="25"/>
  <c r="AF719" i="25" s="1"/>
  <c r="AD548" i="25"/>
  <c r="AF548" i="25" s="1"/>
  <c r="H180" i="25"/>
  <c r="J180" i="25" s="1"/>
  <c r="H112" i="25"/>
  <c r="J112" i="25" s="1"/>
  <c r="AD528" i="25"/>
  <c r="AF528" i="25" s="1"/>
  <c r="AF165" i="25"/>
  <c r="AF57" i="25"/>
  <c r="AD325" i="25"/>
  <c r="AF325" i="25" s="1"/>
  <c r="AD766" i="25"/>
  <c r="AF766" i="25" s="1"/>
  <c r="AF661" i="25"/>
  <c r="J11" i="25"/>
  <c r="AF459" i="25"/>
  <c r="AF633" i="25"/>
  <c r="AF253" i="25"/>
  <c r="AF706" i="25"/>
  <c r="AF679" i="25"/>
  <c r="AF473" i="25"/>
  <c r="AF340" i="25"/>
  <c r="J188" i="25"/>
  <c r="H176" i="25"/>
  <c r="J176" i="25" s="1"/>
  <c r="J160" i="25"/>
  <c r="H140" i="25"/>
  <c r="J140" i="25" s="1"/>
  <c r="H68" i="25"/>
  <c r="J68" i="25" s="1"/>
  <c r="J60" i="25"/>
  <c r="H48" i="25"/>
  <c r="J48" i="25" s="1"/>
  <c r="J32" i="25"/>
  <c r="AD149" i="25"/>
  <c r="AF149" i="25" s="1"/>
  <c r="AD49" i="25"/>
  <c r="AF49" i="25" s="1"/>
  <c r="AD520" i="25"/>
  <c r="AF520" i="25" s="1"/>
  <c r="AD686" i="25"/>
  <c r="AF686" i="25" s="1"/>
  <c r="AF674" i="25"/>
  <c r="AD658" i="25"/>
  <c r="AF658" i="25" s="1"/>
  <c r="AD687" i="25"/>
  <c r="AF687" i="25" s="1"/>
  <c r="AD553" i="25"/>
  <c r="AF553" i="25" s="1"/>
  <c r="AD490" i="25"/>
  <c r="AF490" i="25" s="1"/>
  <c r="AF93" i="25"/>
  <c r="AF53" i="25"/>
  <c r="AD513" i="25"/>
  <c r="AF513" i="25"/>
  <c r="AF681" i="25"/>
  <c r="AF173" i="25"/>
  <c r="AF137" i="25"/>
  <c r="AF89" i="25"/>
  <c r="AF45" i="25"/>
  <c r="AF770" i="25"/>
  <c r="AF713" i="25"/>
  <c r="AF450" i="25"/>
  <c r="AF560" i="25"/>
  <c r="AF540" i="25"/>
  <c r="AF367" i="25"/>
  <c r="AF580" i="25"/>
  <c r="J116" i="25"/>
  <c r="AF105" i="25"/>
  <c r="AD600" i="25"/>
  <c r="AF600" i="25" s="1"/>
  <c r="AF465" i="25"/>
  <c r="AD564" i="25"/>
  <c r="AF564" i="25" s="1"/>
  <c r="AF301" i="25"/>
  <c r="AF673" i="25"/>
  <c r="AD41" i="25"/>
  <c r="AF41" i="25" s="1"/>
  <c r="AF541" i="25"/>
  <c r="AF349" i="25"/>
  <c r="AF461" i="25"/>
  <c r="J172" i="25"/>
  <c r="J108" i="25"/>
  <c r="J44" i="25"/>
  <c r="AF456" i="25"/>
  <c r="AF727" i="25"/>
  <c r="AF133" i="25"/>
  <c r="AF81" i="25"/>
  <c r="AF37" i="25"/>
  <c r="AF452" i="25"/>
  <c r="AF782" i="25"/>
  <c r="AF702" i="25"/>
  <c r="AF711" i="25"/>
  <c r="AF213" i="25"/>
  <c r="AF141" i="25"/>
  <c r="AF615" i="25"/>
  <c r="J156" i="25"/>
  <c r="J92" i="25"/>
  <c r="J28" i="25"/>
  <c r="AF707" i="25"/>
  <c r="AF484" i="25"/>
  <c r="AF305" i="25"/>
  <c r="AF617" i="25"/>
  <c r="AF765" i="25"/>
  <c r="AF634" i="25"/>
  <c r="AF723" i="25"/>
  <c r="AF649" i="25"/>
  <c r="AF189" i="25"/>
  <c r="AD241" i="25"/>
  <c r="AF241" i="25" s="1"/>
  <c r="AD668" i="25"/>
  <c r="AF668" i="25" s="1"/>
  <c r="AF632" i="25"/>
  <c r="AF747" i="25"/>
  <c r="AF773" i="25"/>
  <c r="AD164" i="25"/>
  <c r="AF164" i="25" s="1"/>
  <c r="AD148" i="25"/>
  <c r="AF148" i="25" s="1"/>
  <c r="AD132" i="25"/>
  <c r="AF132" i="25" s="1"/>
  <c r="AD460" i="25"/>
  <c r="AF460" i="25" s="1"/>
  <c r="AF545" i="25"/>
  <c r="H6" i="79"/>
  <c r="J169" i="25"/>
  <c r="H161" i="25"/>
  <c r="J161" i="25" s="1"/>
  <c r="J137" i="25"/>
  <c r="H129" i="25"/>
  <c r="J129" i="25" s="1"/>
  <c r="H117" i="25"/>
  <c r="J117" i="25" s="1"/>
  <c r="J105" i="25"/>
  <c r="H97" i="25"/>
  <c r="J97" i="25" s="1"/>
  <c r="H85" i="25"/>
  <c r="J85" i="25" s="1"/>
  <c r="J73" i="25"/>
  <c r="H65" i="25"/>
  <c r="J65" i="25" s="1"/>
  <c r="H53" i="25"/>
  <c r="J53" i="25" s="1"/>
  <c r="J41" i="25"/>
  <c r="H33" i="25"/>
  <c r="J33" i="25" s="1"/>
  <c r="AF779" i="25"/>
  <c r="H175" i="25"/>
  <c r="J175" i="25" s="1"/>
  <c r="H103" i="25"/>
  <c r="J103" i="25" s="1"/>
  <c r="AD746" i="25"/>
  <c r="AF746" i="25" s="1"/>
  <c r="AF685" i="25"/>
  <c r="AF161" i="25"/>
  <c r="AF125" i="25"/>
  <c r="AF85" i="25"/>
  <c r="AF33" i="25"/>
  <c r="AD683" i="25"/>
  <c r="AF683" i="25" s="1"/>
  <c r="AD671" i="25"/>
  <c r="AF671" i="25" s="1"/>
  <c r="AD635" i="25"/>
  <c r="AF635" i="25" s="1"/>
  <c r="AD623" i="25"/>
  <c r="AF623" i="25" s="1"/>
  <c r="AD695" i="25"/>
  <c r="AF695" i="25" s="1"/>
  <c r="AD546" i="25"/>
  <c r="AF546" i="25" s="1"/>
  <c r="AD187" i="25"/>
  <c r="AF187" i="25" s="1"/>
  <c r="AD155" i="25"/>
  <c r="AF155" i="25" s="1"/>
  <c r="J149" i="25"/>
  <c r="J139" i="25"/>
  <c r="J31" i="25"/>
  <c r="AD482" i="25"/>
  <c r="AF482" i="25" s="1"/>
  <c r="AF664" i="25"/>
  <c r="AF598" i="25"/>
  <c r="AD567" i="25"/>
  <c r="AF567" i="25" s="1"/>
  <c r="AF416" i="25"/>
  <c r="AD180" i="25"/>
  <c r="AF180" i="25" s="1"/>
  <c r="AF742" i="25"/>
  <c r="AD672" i="25"/>
  <c r="AF672" i="25" s="1"/>
  <c r="AD640" i="25"/>
  <c r="AF640" i="25" s="1"/>
  <c r="AF636" i="25"/>
  <c r="AF613" i="25"/>
  <c r="AD534" i="25"/>
  <c r="AF534" i="25" s="1"/>
  <c r="AF521" i="25"/>
  <c r="AF312" i="25"/>
  <c r="AF272" i="25"/>
  <c r="AF256" i="25"/>
  <c r="AF240" i="25"/>
  <c r="AF224" i="25"/>
  <c r="AF208" i="25"/>
  <c r="O12" i="79"/>
  <c r="N13" i="79" a="1"/>
  <c r="N13" i="79" s="1"/>
  <c r="H12" i="79" a="1"/>
  <c r="H12" i="79" s="1"/>
  <c r="AD62" i="25"/>
  <c r="AF62" i="25" s="1"/>
  <c r="AD605" i="25"/>
  <c r="AF605" i="25" s="1"/>
  <c r="AF408" i="25"/>
  <c r="AD493" i="25"/>
  <c r="AF493" i="25" s="1"/>
  <c r="AD6" i="25"/>
  <c r="AF6" i="25" s="1"/>
  <c r="AF11" i="25"/>
  <c r="AD657" i="25"/>
  <c r="AF657" i="25" s="1"/>
  <c r="AD704" i="25"/>
  <c r="AF704" i="25" s="1"/>
  <c r="AD592" i="25"/>
  <c r="AF592" i="25" s="1"/>
  <c r="AD193" i="25"/>
  <c r="AF193" i="25" s="1"/>
  <c r="AD153" i="25"/>
  <c r="AF153" i="25" s="1"/>
  <c r="AD113" i="25"/>
  <c r="AF113" i="25" s="1"/>
  <c r="AD73" i="25"/>
  <c r="AF73" i="25" s="1"/>
  <c r="AD741" i="25"/>
  <c r="AF741" i="25"/>
  <c r="AD667" i="25"/>
  <c r="AF667" i="25" s="1"/>
  <c r="AD655" i="25"/>
  <c r="AF655" i="25" s="1"/>
  <c r="AD777" i="25"/>
  <c r="AF777" i="25"/>
  <c r="AD692" i="25"/>
  <c r="AF692" i="25" s="1"/>
  <c r="AD610" i="25"/>
  <c r="AF610" i="25" s="1"/>
  <c r="AD601" i="25"/>
  <c r="AF601" i="25" s="1"/>
  <c r="AD324" i="25"/>
  <c r="AF324" i="25" s="1"/>
  <c r="AF267" i="25"/>
  <c r="AF251" i="25"/>
  <c r="AF235" i="25"/>
  <c r="AF219" i="25"/>
  <c r="AF203" i="25"/>
  <c r="J181" i="25"/>
  <c r="J13" i="25"/>
  <c r="J67" i="25"/>
  <c r="AD754" i="25"/>
  <c r="AF754" i="25" s="1"/>
  <c r="AF726" i="25"/>
  <c r="AD652" i="25"/>
  <c r="AF652" i="25" s="1"/>
  <c r="AF614" i="25"/>
  <c r="AF470" i="25"/>
  <c r="AF406" i="25"/>
  <c r="AF585" i="25"/>
  <c r="AF124" i="25"/>
  <c r="AF92" i="25"/>
  <c r="AF612" i="25"/>
  <c r="AF536" i="25"/>
  <c r="AF401" i="25"/>
  <c r="AD509" i="25"/>
  <c r="AF509" i="25" s="1"/>
  <c r="AD596" i="25"/>
  <c r="AF596" i="25" s="1"/>
  <c r="AF373" i="25"/>
  <c r="AF306" i="25"/>
  <c r="AD656" i="25"/>
  <c r="AF656" i="25" s="1"/>
  <c r="AD624" i="25"/>
  <c r="AF624" i="25" s="1"/>
  <c r="AD720" i="25"/>
  <c r="AF720" i="25" s="1"/>
  <c r="AF608" i="25"/>
  <c r="AF376" i="25"/>
  <c r="AF192" i="25"/>
  <c r="AD60" i="25"/>
  <c r="AF60" i="25" s="1"/>
  <c r="AD28" i="25"/>
  <c r="AF28" i="25" s="1"/>
  <c r="AF362" i="25"/>
  <c r="AF321" i="25"/>
  <c r="AF757" i="25"/>
  <c r="AD483" i="25"/>
  <c r="AF483" i="25" s="1"/>
  <c r="AD310" i="25"/>
  <c r="AF310" i="25" s="1"/>
  <c r="AF287" i="25"/>
  <c r="AF7" i="25"/>
  <c r="AF508" i="25"/>
  <c r="AF108" i="25"/>
  <c r="AF76" i="25"/>
  <c r="AF44" i="25"/>
  <c r="AD724" i="25"/>
  <c r="AF724" i="25" s="1"/>
  <c r="AF595" i="25"/>
  <c r="AD385" i="25"/>
  <c r="AF385" i="25" s="1"/>
  <c r="AD13" i="25"/>
  <c r="AF13" i="25" s="1"/>
  <c r="AF424" i="25"/>
  <c r="AF374" i="25"/>
  <c r="AD549" i="25"/>
  <c r="AF549" i="25" s="1"/>
  <c r="AF492" i="25"/>
  <c r="AF329" i="25"/>
  <c r="AD309" i="25"/>
  <c r="AF309" i="25" s="1"/>
  <c r="AF603" i="25"/>
  <c r="AD334" i="25"/>
  <c r="AF334" i="25" s="1"/>
  <c r="J185" i="25"/>
  <c r="H165" i="25"/>
  <c r="J165" i="25" s="1"/>
  <c r="J153" i="25"/>
  <c r="H133" i="25"/>
  <c r="J133" i="25" s="1"/>
  <c r="J121" i="25"/>
  <c r="H101" i="25"/>
  <c r="J101" i="25" s="1"/>
  <c r="J89" i="25"/>
  <c r="H69" i="25"/>
  <c r="J69" i="25" s="1"/>
  <c r="J57" i="25"/>
  <c r="H37" i="25"/>
  <c r="J37" i="25" s="1"/>
  <c r="J25" i="25"/>
  <c r="J5" i="25"/>
  <c r="AF98" i="25"/>
  <c r="AF26" i="25"/>
  <c r="AF307" i="25"/>
  <c r="AF451" i="25"/>
  <c r="AF468" i="25"/>
  <c r="AF579" i="25"/>
  <c r="H183" i="25"/>
  <c r="J183" i="25" s="1"/>
  <c r="H147" i="25"/>
  <c r="J147" i="25" s="1"/>
  <c r="H111" i="25"/>
  <c r="J111" i="25" s="1"/>
  <c r="H75" i="25"/>
  <c r="J75" i="25" s="1"/>
  <c r="H39" i="25"/>
  <c r="J39" i="25" s="1"/>
  <c r="AD714" i="25"/>
  <c r="AF714" i="25" s="1"/>
  <c r="AD725" i="25"/>
  <c r="AF725" i="25" s="1"/>
  <c r="AD554" i="25"/>
  <c r="AF554" i="25" s="1"/>
  <c r="AF442" i="25"/>
  <c r="AD551" i="25"/>
  <c r="AF551" i="25" s="1"/>
  <c r="AF663" i="25"/>
  <c r="AD651" i="25"/>
  <c r="AF651" i="25" s="1"/>
  <c r="AD418" i="25"/>
  <c r="AF418" i="25" s="1"/>
  <c r="AD583" i="25"/>
  <c r="AF583" i="25" s="1"/>
  <c r="AD432" i="25"/>
  <c r="AF432" i="25" s="1"/>
  <c r="AD388" i="25"/>
  <c r="AF388" i="25" s="1"/>
  <c r="AD171" i="25"/>
  <c r="AF171" i="25" s="1"/>
  <c r="AD139" i="25"/>
  <c r="AF139" i="25" s="1"/>
  <c r="I11" i="79"/>
  <c r="E12" i="79" a="1"/>
  <c r="E12" i="79" s="1"/>
  <c r="AD693" i="25"/>
  <c r="AF693" i="25" s="1"/>
  <c r="AF441" i="25"/>
  <c r="AF348" i="25"/>
  <c r="AF269" i="25"/>
  <c r="AF225" i="25"/>
  <c r="AD177" i="25"/>
  <c r="AF177" i="25" s="1"/>
  <c r="AD129" i="25"/>
  <c r="AF129" i="25" s="1"/>
  <c r="AD77" i="25"/>
  <c r="AF77" i="25" s="1"/>
  <c r="AD29" i="25"/>
  <c r="AF29" i="25" s="1"/>
  <c r="AF387" i="25"/>
  <c r="AF511" i="25"/>
  <c r="AD123" i="25"/>
  <c r="AF123" i="25" s="1"/>
  <c r="AD107" i="25"/>
  <c r="AF107" i="25" s="1"/>
  <c r="AD91" i="25"/>
  <c r="AF91" i="25" s="1"/>
  <c r="AD75" i="25"/>
  <c r="AF75" i="25" s="1"/>
  <c r="AD59" i="25"/>
  <c r="AF59" i="25" s="1"/>
  <c r="AD43" i="25"/>
  <c r="AF43" i="25" s="1"/>
  <c r="AD27" i="25"/>
  <c r="AF27" i="25" s="1"/>
  <c r="AF593" i="25"/>
  <c r="AF472" i="25"/>
  <c r="AD453" i="25"/>
  <c r="AF453" i="25" s="1"/>
  <c r="AD557" i="25"/>
  <c r="AF557" i="25" s="1"/>
  <c r="AF481" i="25"/>
  <c r="AF428" i="25"/>
  <c r="AD20" i="25"/>
  <c r="AF20" i="25" s="1"/>
  <c r="AF532" i="25"/>
  <c r="H17" i="25"/>
  <c r="J17" i="25" s="1"/>
  <c r="AD542" i="25"/>
  <c r="AF542" i="25" s="1"/>
  <c r="AD430" i="25"/>
  <c r="AF430" i="25" s="1"/>
  <c r="AF576" i="25"/>
  <c r="AD535" i="25"/>
  <c r="AF535" i="25" s="1"/>
  <c r="AF425" i="25"/>
  <c r="AD258" i="25"/>
  <c r="AF258" i="25" s="1"/>
  <c r="AD230" i="25"/>
  <c r="AF230" i="25" s="1"/>
  <c r="AD198" i="25"/>
  <c r="AF198" i="25" s="1"/>
  <c r="AD190" i="25"/>
  <c r="AF190" i="25" s="1"/>
  <c r="AD166" i="25"/>
  <c r="AF166" i="25" s="1"/>
  <c r="AD130" i="25"/>
  <c r="AF130" i="25" s="1"/>
  <c r="AD102" i="25"/>
  <c r="AF102" i="25" s="1"/>
  <c r="AD58" i="25"/>
  <c r="AF58" i="25" s="1"/>
  <c r="AF552" i="25"/>
  <c r="AD575" i="25"/>
  <c r="AF575" i="25" s="1"/>
  <c r="AD539" i="25"/>
  <c r="AF539" i="25" s="1"/>
  <c r="H163" i="25"/>
  <c r="J163" i="25" s="1"/>
  <c r="H135" i="25"/>
  <c r="J135" i="25" s="1"/>
  <c r="H107" i="25"/>
  <c r="J107" i="25" s="1"/>
  <c r="H79" i="25"/>
  <c r="J79" i="25" s="1"/>
  <c r="H43" i="25"/>
  <c r="J43" i="25" s="1"/>
  <c r="AD730" i="25"/>
  <c r="AF730" i="25" s="1"/>
  <c r="AF538" i="25"/>
  <c r="AF616" i="25"/>
  <c r="AD237" i="25"/>
  <c r="AF237" i="25" s="1"/>
  <c r="AF185" i="25"/>
  <c r="AF121" i="25"/>
  <c r="AF69" i="25"/>
  <c r="AF25" i="25"/>
  <c r="AF524" i="25"/>
  <c r="AF609" i="25"/>
  <c r="AF488" i="25"/>
  <c r="AD469" i="25"/>
  <c r="AF469" i="25" s="1"/>
  <c r="AF771" i="25"/>
  <c r="AF556" i="25"/>
  <c r="AF734" i="25"/>
  <c r="AF775" i="25"/>
  <c r="AD494" i="25"/>
  <c r="AF494" i="25" s="1"/>
  <c r="AF701" i="25"/>
  <c r="AD407" i="25"/>
  <c r="AF407" i="25" s="1"/>
  <c r="AD246" i="25"/>
  <c r="AF246" i="25" s="1"/>
  <c r="AD210" i="25"/>
  <c r="AF210" i="25" s="1"/>
  <c r="AD162" i="25"/>
  <c r="AF162" i="25" s="1"/>
  <c r="AD126" i="25"/>
  <c r="AF126" i="25" s="1"/>
  <c r="AD74" i="25"/>
  <c r="AF74" i="25" s="1"/>
  <c r="AD780" i="25"/>
  <c r="AF780" i="25" s="1"/>
  <c r="AD543" i="25"/>
  <c r="AF543" i="25" s="1"/>
  <c r="AD533" i="25"/>
  <c r="AF533" i="25" s="1"/>
  <c r="AF561" i="25"/>
  <c r="AD421" i="25"/>
  <c r="AF421" i="25" s="1"/>
  <c r="AD591" i="25"/>
  <c r="AF591" i="25" s="1"/>
  <c r="A15" i="79"/>
  <c r="F14" i="79" a="1"/>
  <c r="F14" i="79" s="1"/>
  <c r="C14" i="79"/>
  <c r="D14" i="79" s="1" a="1"/>
  <c r="D14" i="79" s="1"/>
  <c r="AD395" i="25"/>
  <c r="AF395" i="25" s="1"/>
  <c r="AF397" i="25"/>
  <c r="AD4" i="25"/>
  <c r="AF4" i="25" s="1"/>
  <c r="H15" i="25"/>
  <c r="J15" i="25" s="1"/>
  <c r="AF602" i="25"/>
  <c r="AF410" i="25"/>
  <c r="AF400" i="25"/>
  <c r="H3" i="79"/>
  <c r="AF643" i="25"/>
  <c r="AD736" i="25"/>
  <c r="AF736" i="25" s="1"/>
  <c r="AD737" i="25"/>
  <c r="AF737" i="25" s="1"/>
  <c r="AD705" i="25"/>
  <c r="AF705" i="25" s="1"/>
  <c r="AF537" i="25"/>
  <c r="AD271" i="25"/>
  <c r="AF271" i="25" s="1"/>
  <c r="AD255" i="25"/>
  <c r="AF255" i="25" s="1"/>
  <c r="AD239" i="25"/>
  <c r="AF239" i="25" s="1"/>
  <c r="AD223" i="25"/>
  <c r="AF223" i="25" s="1"/>
  <c r="AD207" i="25"/>
  <c r="AF207" i="25" s="1"/>
  <c r="AD191" i="25"/>
  <c r="AF191" i="25" s="1"/>
  <c r="AD175" i="25"/>
  <c r="AF175" i="25" s="1"/>
  <c r="AD159" i="25"/>
  <c r="AF159" i="25" s="1"/>
  <c r="AD143" i="25"/>
  <c r="AF143" i="25" s="1"/>
  <c r="AD127" i="25"/>
  <c r="AF127" i="25" s="1"/>
  <c r="AD111" i="25"/>
  <c r="AF111" i="25" s="1"/>
  <c r="AD95" i="25"/>
  <c r="AF95" i="25" s="1"/>
  <c r="AD79" i="25"/>
  <c r="AF79" i="25" s="1"/>
  <c r="AD63" i="25"/>
  <c r="AF63" i="25" s="1"/>
  <c r="AD47" i="25"/>
  <c r="AF47" i="25" s="1"/>
  <c r="AD31" i="25"/>
  <c r="AF31" i="25" s="1"/>
  <c r="AF396" i="25"/>
  <c r="AF337" i="25"/>
  <c r="AD689" i="25"/>
  <c r="AF689" i="25" s="1"/>
  <c r="AD326" i="25"/>
  <c r="AF326" i="25" s="1"/>
  <c r="AF445" i="25"/>
  <c r="AD363" i="25"/>
  <c r="AF363" i="25" s="1"/>
  <c r="AD14" i="25"/>
  <c r="AF14" i="25" s="1"/>
  <c r="J184" i="25"/>
  <c r="J168" i="25"/>
  <c r="J152" i="25"/>
  <c r="J136" i="25"/>
  <c r="J120" i="25"/>
  <c r="J104" i="25"/>
  <c r="J88" i="25"/>
  <c r="J72" i="25"/>
  <c r="J56" i="25"/>
  <c r="J40" i="25"/>
  <c r="J24" i="25"/>
  <c r="H4" i="25"/>
  <c r="J4" i="25" s="1"/>
  <c r="AF448" i="25"/>
  <c r="AD352" i="25"/>
  <c r="AF352" i="25" s="1"/>
  <c r="AD262" i="25"/>
  <c r="AF262" i="25" s="1"/>
  <c r="AD238" i="25"/>
  <c r="AF238" i="25" s="1"/>
  <c r="AD206" i="25"/>
  <c r="AF206" i="25" s="1"/>
  <c r="AF289" i="25"/>
  <c r="AF365" i="25"/>
  <c r="AF440" i="25"/>
  <c r="AD375" i="25"/>
  <c r="AF375" i="25" s="1"/>
  <c r="AF589" i="25"/>
  <c r="H171" i="25"/>
  <c r="J171" i="25" s="1"/>
  <c r="H143" i="25"/>
  <c r="J143" i="25" s="1"/>
  <c r="H115" i="25"/>
  <c r="J115" i="25" s="1"/>
  <c r="H83" i="25"/>
  <c r="J83" i="25" s="1"/>
  <c r="H51" i="25"/>
  <c r="J51" i="25" s="1"/>
  <c r="AD768" i="25"/>
  <c r="AF768" i="25" s="1"/>
  <c r="AF586" i="25"/>
  <c r="AD781" i="25"/>
  <c r="AF781" i="25" s="1"/>
  <c r="AD717" i="25"/>
  <c r="AF717" i="25" s="1"/>
  <c r="AF412" i="25"/>
  <c r="AF335" i="25"/>
  <c r="AF573" i="25"/>
  <c r="AF449" i="25"/>
  <c r="AF341" i="25"/>
  <c r="AD3" i="25"/>
  <c r="AF3" i="25" s="1"/>
  <c r="H26" i="25"/>
  <c r="J26" i="25" s="1"/>
  <c r="AF678" i="25"/>
  <c r="AD662" i="25"/>
  <c r="AF662" i="25" s="1"/>
  <c r="AF646" i="25"/>
  <c r="AD630" i="25"/>
  <c r="AF630" i="25" s="1"/>
  <c r="AD729" i="25"/>
  <c r="AF729" i="25" s="1"/>
  <c r="AD732" i="25"/>
  <c r="AF732" i="25" s="1"/>
  <c r="AF512" i="25"/>
  <c r="AD368" i="25"/>
  <c r="AF368" i="25" s="1"/>
  <c r="AD254" i="25"/>
  <c r="AF254" i="25" s="1"/>
  <c r="AD222" i="25"/>
  <c r="AF222" i="25" s="1"/>
  <c r="AD338" i="25"/>
  <c r="AF338" i="25" s="1"/>
  <c r="AD778" i="25"/>
  <c r="AF778" i="25" s="1"/>
  <c r="AF474" i="25"/>
  <c r="AF316" i="25"/>
  <c r="AD346" i="25"/>
  <c r="AF346" i="25" s="1"/>
  <c r="AD354" i="25"/>
  <c r="AF354" i="25" s="1"/>
  <c r="AF404" i="25"/>
  <c r="AD343" i="25"/>
  <c r="AF343" i="25" s="1"/>
  <c r="AD16" i="25"/>
  <c r="AF16" i="25" s="1"/>
  <c r="AD391" i="25"/>
  <c r="AF391" i="25" s="1"/>
  <c r="N6" i="3"/>
  <c r="O6" i="3" s="1"/>
  <c r="N4" i="3"/>
  <c r="O4" i="3" s="1"/>
  <c r="N5" i="3"/>
  <c r="O5" i="3" s="1"/>
  <c r="T41" i="68"/>
  <c r="K16" i="10"/>
  <c r="K92" i="10"/>
  <c r="K42" i="10"/>
  <c r="H186" i="25"/>
  <c r="J186" i="25" s="1"/>
  <c r="H170" i="25"/>
  <c r="J170" i="25" s="1"/>
  <c r="H154" i="25"/>
  <c r="J154" i="25" s="1"/>
  <c r="H138" i="25"/>
  <c r="J138" i="25" s="1"/>
  <c r="H122" i="25"/>
  <c r="J122" i="25" s="1"/>
  <c r="H106" i="25"/>
  <c r="J106" i="25" s="1"/>
  <c r="H90" i="25"/>
  <c r="J90" i="25" s="1"/>
  <c r="H74" i="25"/>
  <c r="J74" i="25" s="1"/>
  <c r="H58" i="25"/>
  <c r="J58" i="25" s="1"/>
  <c r="H42" i="25"/>
  <c r="J42" i="25" s="1"/>
  <c r="H19" i="25"/>
  <c r="J19" i="25" s="1"/>
  <c r="H9" i="25"/>
  <c r="J9" i="25" s="1"/>
  <c r="B13" i="79"/>
  <c r="O7" i="3" l="1"/>
  <c r="O19" i="3" s="1"/>
  <c r="K2" i="10"/>
  <c r="X38" i="68" s="1"/>
  <c r="V41" i="68" s="1"/>
  <c r="V53" i="68" s="1"/>
  <c r="H13" i="79" a="1"/>
  <c r="H13" i="79" s="1"/>
  <c r="N14" i="79" a="1"/>
  <c r="N14" i="79" s="1"/>
  <c r="O13" i="79"/>
  <c r="T53" i="68"/>
  <c r="U41" i="68"/>
  <c r="F15" i="79" a="1"/>
  <c r="F15" i="79" s="1"/>
  <c r="A16" i="79"/>
  <c r="C15" i="79"/>
  <c r="D15" i="79" s="1" a="1"/>
  <c r="D15" i="79" s="1"/>
  <c r="B14" i="79"/>
  <c r="I12" i="79"/>
  <c r="E13" i="79" a="1"/>
  <c r="E13" i="79" s="1"/>
  <c r="B15" i="79" l="1"/>
  <c r="I13" i="79"/>
  <c r="E14" i="79" a="1"/>
  <c r="E14" i="79" s="1"/>
  <c r="A17" i="79"/>
  <c r="F16" i="79" a="1"/>
  <c r="F16" i="79" s="1"/>
  <c r="C16" i="79"/>
  <c r="D16" i="79" s="1" a="1"/>
  <c r="D16" i="79" s="1"/>
  <c r="U53" i="68"/>
  <c r="W41" i="68"/>
  <c r="W53" i="68" s="1"/>
  <c r="H14" i="79" a="1"/>
  <c r="H14" i="79" s="1"/>
  <c r="N15" i="79" a="1"/>
  <c r="N15" i="79" s="1"/>
  <c r="O14" i="79"/>
  <c r="B16" i="79" l="1"/>
  <c r="H15" i="79" a="1"/>
  <c r="H15" i="79" s="1"/>
  <c r="N16" i="79" a="1"/>
  <c r="N16" i="79" s="1"/>
  <c r="O15" i="79"/>
  <c r="I14" i="79"/>
  <c r="E15" i="79" a="1"/>
  <c r="E15" i="79" s="1"/>
  <c r="C17" i="79"/>
  <c r="D17" i="79" s="1" a="1"/>
  <c r="D17" i="79" s="1"/>
  <c r="A18" i="79"/>
  <c r="F17" i="79" a="1"/>
  <c r="F17" i="79" s="1"/>
  <c r="B17" i="79" l="1"/>
  <c r="H16" i="79" a="1"/>
  <c r="H16" i="79" s="1"/>
  <c r="N17" i="79" a="1"/>
  <c r="N17" i="79" s="1"/>
  <c r="O16" i="79"/>
  <c r="A19" i="79"/>
  <c r="F18" i="79" a="1"/>
  <c r="F18" i="79" s="1"/>
  <c r="C18" i="79"/>
  <c r="D18" i="79" s="1" a="1"/>
  <c r="D18" i="79" s="1"/>
  <c r="I15" i="79"/>
  <c r="E16" i="79" a="1"/>
  <c r="E16" i="79" s="1"/>
  <c r="B18" i="79" l="1"/>
  <c r="C19" i="79"/>
  <c r="D19" i="79" s="1" a="1"/>
  <c r="D19" i="79" s="1"/>
  <c r="A20" i="79"/>
  <c r="F19" i="79" a="1"/>
  <c r="F19" i="79" s="1"/>
  <c r="O17" i="79"/>
  <c r="H17" i="79" a="1"/>
  <c r="H17" i="79" s="1"/>
  <c r="N18" i="79" a="1"/>
  <c r="N18" i="79" s="1"/>
  <c r="I16" i="79"/>
  <c r="E17" i="79" a="1"/>
  <c r="E17" i="79" s="1"/>
  <c r="B19" i="79" l="1"/>
  <c r="N19" i="79" a="1"/>
  <c r="N19" i="79" s="1"/>
  <c r="O18" i="79"/>
  <c r="H18" i="79" a="1"/>
  <c r="H18" i="79" s="1"/>
  <c r="I17" i="79"/>
  <c r="E18" i="79" a="1"/>
  <c r="E18" i="79" s="1"/>
  <c r="A21" i="79"/>
  <c r="F20" i="79" a="1"/>
  <c r="F20" i="79" s="1"/>
  <c r="C20" i="79"/>
  <c r="D20" i="79" s="1" a="1"/>
  <c r="D20" i="79" s="1"/>
  <c r="B20" i="79" l="1"/>
  <c r="C21" i="79"/>
  <c r="D21" i="79" s="1" a="1"/>
  <c r="D21" i="79" s="1"/>
  <c r="A22" i="79"/>
  <c r="F21" i="79" a="1"/>
  <c r="F21" i="79" s="1"/>
  <c r="I18" i="79"/>
  <c r="E19" i="79" a="1"/>
  <c r="E19" i="79" s="1"/>
  <c r="N20" i="79" a="1"/>
  <c r="N20" i="79" s="1"/>
  <c r="O19" i="79"/>
  <c r="H19" i="79" a="1"/>
  <c r="H19" i="79" s="1"/>
  <c r="B21" i="79" l="1"/>
  <c r="I19" i="79"/>
  <c r="E20" i="79" a="1"/>
  <c r="E20" i="79" s="1"/>
  <c r="H20" i="79" a="1"/>
  <c r="H20" i="79" s="1"/>
  <c r="N21" i="79" a="1"/>
  <c r="N21" i="79" s="1"/>
  <c r="O20" i="79"/>
  <c r="A23" i="79"/>
  <c r="F22" i="79" a="1"/>
  <c r="F22" i="79" s="1"/>
  <c r="C22" i="79"/>
  <c r="D22" i="79" s="1" a="1"/>
  <c r="D22" i="79" s="1"/>
  <c r="B22" i="79" l="1"/>
  <c r="O21" i="79"/>
  <c r="H21" i="79" a="1"/>
  <c r="H21" i="79" s="1"/>
  <c r="N22" i="79" a="1"/>
  <c r="N22" i="79" s="1"/>
  <c r="I20" i="79"/>
  <c r="E21" i="79" a="1"/>
  <c r="E21" i="79" s="1"/>
  <c r="A24" i="79"/>
  <c r="F23" i="79" a="1"/>
  <c r="F23" i="79" s="1"/>
  <c r="C23" i="79"/>
  <c r="D23" i="79" s="1" a="1"/>
  <c r="D23" i="79" s="1"/>
  <c r="B23" i="79" l="1"/>
  <c r="N23" i="79" a="1"/>
  <c r="N23" i="79" s="1"/>
  <c r="H22" i="79" a="1"/>
  <c r="H22" i="79" s="1"/>
  <c r="O22" i="79"/>
  <c r="A25" i="79"/>
  <c r="F24" i="79" a="1"/>
  <c r="F24" i="79" s="1"/>
  <c r="C24" i="79"/>
  <c r="D24" i="79" s="1" a="1"/>
  <c r="D24" i="79" s="1"/>
  <c r="I21" i="79"/>
  <c r="E22" i="79" a="1"/>
  <c r="E22" i="79" s="1"/>
  <c r="B24" i="79" l="1"/>
  <c r="I22" i="79"/>
  <c r="E23" i="79" a="1"/>
  <c r="E23" i="79" s="1"/>
  <c r="C25" i="79"/>
  <c r="D25" i="79" s="1" a="1"/>
  <c r="D25" i="79" s="1"/>
  <c r="A26" i="79"/>
  <c r="F25" i="79" a="1"/>
  <c r="F25" i="79" s="1"/>
  <c r="O23" i="79"/>
  <c r="N24" i="79" a="1"/>
  <c r="N24" i="79" s="1"/>
  <c r="H23" i="79" a="1"/>
  <c r="H23" i="79" s="1"/>
  <c r="A27" i="79" l="1"/>
  <c r="F26" i="79" a="1"/>
  <c r="F26" i="79" s="1"/>
  <c r="C26" i="79"/>
  <c r="D26" i="79" s="1" a="1"/>
  <c r="D26" i="79" s="1"/>
  <c r="I23" i="79"/>
  <c r="E24" i="79" a="1"/>
  <c r="E24" i="79" s="1"/>
  <c r="H24" i="79" a="1"/>
  <c r="H24" i="79" s="1"/>
  <c r="N25" i="79" a="1"/>
  <c r="N25" i="79" s="1"/>
  <c r="O24" i="79"/>
  <c r="B25" i="79"/>
  <c r="I24" i="79" l="1"/>
  <c r="E25" i="79" a="1"/>
  <c r="E25" i="79" s="1"/>
  <c r="B26" i="79"/>
  <c r="O25" i="79"/>
  <c r="H25" i="79" a="1"/>
  <c r="H25" i="79" s="1"/>
  <c r="N26" i="79" a="1"/>
  <c r="N26" i="79" s="1"/>
  <c r="A28" i="79"/>
  <c r="F27" i="79" a="1"/>
  <c r="F27" i="79" s="1"/>
  <c r="C27" i="79"/>
  <c r="D27" i="79" s="1" a="1"/>
  <c r="D27" i="79" s="1"/>
  <c r="B27" i="79" l="1"/>
  <c r="F28" i="79" a="1"/>
  <c r="F28" i="79" s="1"/>
  <c r="A29" i="79"/>
  <c r="C28" i="79"/>
  <c r="D28" i="79" s="1" a="1"/>
  <c r="D28" i="79" s="1"/>
  <c r="N27" i="79" a="1"/>
  <c r="N27" i="79" s="1"/>
  <c r="H26" i="79" a="1"/>
  <c r="H26" i="79" s="1"/>
  <c r="O26" i="79"/>
  <c r="I25" i="79"/>
  <c r="E26" i="79" a="1"/>
  <c r="E26" i="79" s="1"/>
  <c r="B28" i="79" l="1"/>
  <c r="I26" i="79"/>
  <c r="E27" i="79" a="1"/>
  <c r="E27" i="79" s="1"/>
  <c r="C29" i="79"/>
  <c r="D29" i="79" s="1" a="1"/>
  <c r="D29" i="79" s="1"/>
  <c r="A30" i="79"/>
  <c r="F29" i="79" a="1"/>
  <c r="F29" i="79" s="1"/>
  <c r="N28" i="79" a="1"/>
  <c r="N28" i="79" s="1"/>
  <c r="O27" i="79"/>
  <c r="H27" i="79" a="1"/>
  <c r="H27" i="79" s="1"/>
  <c r="A31" i="79" l="1"/>
  <c r="F30" i="79" a="1"/>
  <c r="F30" i="79" s="1"/>
  <c r="C30" i="79"/>
  <c r="D30" i="79" s="1" a="1"/>
  <c r="D30" i="79" s="1"/>
  <c r="H28" i="79" a="1"/>
  <c r="H28" i="79" s="1"/>
  <c r="N29" i="79" a="1"/>
  <c r="N29" i="79" s="1"/>
  <c r="O28" i="79"/>
  <c r="I27" i="79"/>
  <c r="E28" i="79" a="1"/>
  <c r="E28" i="79" s="1"/>
  <c r="B29" i="79"/>
  <c r="O29" i="79" l="1"/>
  <c r="H29" i="79" a="1"/>
  <c r="H29" i="79" s="1"/>
  <c r="N30" i="79" a="1"/>
  <c r="N30" i="79" s="1"/>
  <c r="B30" i="79"/>
  <c r="I28" i="79"/>
  <c r="E29" i="79" a="1"/>
  <c r="E29" i="79" s="1"/>
  <c r="A32" i="79"/>
  <c r="F31" i="79" a="1"/>
  <c r="F31" i="79" s="1"/>
  <c r="C31" i="79"/>
  <c r="D31" i="79" s="1" a="1"/>
  <c r="D31" i="79" s="1"/>
  <c r="B31" i="79" l="1"/>
  <c r="A33" i="79"/>
  <c r="F32" i="79" a="1"/>
  <c r="F32" i="79" s="1"/>
  <c r="C32" i="79"/>
  <c r="D32" i="79" s="1" a="1"/>
  <c r="D32" i="79" s="1"/>
  <c r="N31" i="79" a="1"/>
  <c r="N31" i="79" s="1"/>
  <c r="H30" i="79" a="1"/>
  <c r="H30" i="79" s="1"/>
  <c r="O30" i="79"/>
  <c r="I29" i="79"/>
  <c r="E30" i="79" a="1"/>
  <c r="E30" i="79" s="1"/>
  <c r="B32" i="79" l="1"/>
  <c r="C33" i="79"/>
  <c r="D33" i="79" s="1" a="1"/>
  <c r="D33" i="79" s="1"/>
  <c r="A34" i="79"/>
  <c r="F33" i="79" a="1"/>
  <c r="F33" i="79" s="1"/>
  <c r="I30" i="79"/>
  <c r="E31" i="79" a="1"/>
  <c r="E31" i="79" s="1"/>
  <c r="O31" i="79"/>
  <c r="N32" i="79" a="1"/>
  <c r="N32" i="79" s="1"/>
  <c r="H31" i="79" a="1"/>
  <c r="H31" i="79" s="1"/>
  <c r="B33" i="79" l="1"/>
  <c r="A35" i="79"/>
  <c r="F34" i="79" a="1"/>
  <c r="F34" i="79" s="1"/>
  <c r="C34" i="79"/>
  <c r="D34" i="79" s="1" a="1"/>
  <c r="D34" i="79" s="1"/>
  <c r="I31" i="79"/>
  <c r="E32" i="79" a="1"/>
  <c r="E32" i="79" s="1"/>
  <c r="H32" i="79" a="1"/>
  <c r="H32" i="79" s="1"/>
  <c r="N33" i="79" a="1"/>
  <c r="N33" i="79" s="1"/>
  <c r="O32" i="79"/>
  <c r="I32" i="79" l="1"/>
  <c r="E33" i="79" a="1"/>
  <c r="E33" i="79" s="1"/>
  <c r="B34" i="79"/>
  <c r="O33" i="79"/>
  <c r="H33" i="79" a="1"/>
  <c r="H33" i="79" s="1"/>
  <c r="N34" i="79" a="1"/>
  <c r="N34" i="79" s="1"/>
  <c r="A36" i="79"/>
  <c r="F35" i="79" a="1"/>
  <c r="F35" i="79" s="1"/>
  <c r="C35" i="79"/>
  <c r="D35" i="79" s="1" a="1"/>
  <c r="D35" i="79" s="1"/>
  <c r="B35" i="79" l="1"/>
  <c r="I33" i="79"/>
  <c r="E34" i="79" a="1"/>
  <c r="E34" i="79" s="1"/>
  <c r="A37" i="79"/>
  <c r="F36" i="79" a="1"/>
  <c r="F36" i="79" s="1"/>
  <c r="C36" i="79"/>
  <c r="D36" i="79" s="1" a="1"/>
  <c r="D36" i="79" s="1"/>
  <c r="N35" i="79" a="1"/>
  <c r="N35" i="79" s="1"/>
  <c r="H34" i="79" a="1"/>
  <c r="H34" i="79" s="1"/>
  <c r="O34" i="79"/>
  <c r="O35" i="79" l="1"/>
  <c r="N36" i="79" a="1"/>
  <c r="N36" i="79" s="1"/>
  <c r="H35" i="79" a="1"/>
  <c r="H35" i="79" s="1"/>
  <c r="B36" i="79"/>
  <c r="I34" i="79"/>
  <c r="E35" i="79" a="1"/>
  <c r="E35" i="79" s="1"/>
  <c r="C37" i="79"/>
  <c r="D37" i="79" s="1" a="1"/>
  <c r="D37" i="79" s="1"/>
  <c r="A38" i="79"/>
  <c r="F37" i="79" a="1"/>
  <c r="F37" i="79" s="1"/>
  <c r="I35" i="79" l="1"/>
  <c r="E36" i="79" a="1"/>
  <c r="E36" i="79" s="1"/>
  <c r="A39" i="79"/>
  <c r="F38" i="79" a="1"/>
  <c r="F38" i="79" s="1"/>
  <c r="C38" i="79"/>
  <c r="D38" i="79" s="1" a="1"/>
  <c r="D38" i="79" s="1"/>
  <c r="H36" i="79" a="1"/>
  <c r="H36" i="79" s="1"/>
  <c r="N37" i="79" a="1"/>
  <c r="N37" i="79" s="1"/>
  <c r="O36" i="79"/>
  <c r="B37" i="79"/>
  <c r="B38" i="79" l="1"/>
  <c r="A40" i="79"/>
  <c r="F39" i="79" a="1"/>
  <c r="F39" i="79" s="1"/>
  <c r="C39" i="79"/>
  <c r="D39" i="79" s="1" a="1"/>
  <c r="D39" i="79" s="1"/>
  <c r="I36" i="79"/>
  <c r="E37" i="79" a="1"/>
  <c r="E37" i="79" s="1"/>
  <c r="O37" i="79"/>
  <c r="H37" i="79" a="1"/>
  <c r="H37" i="79" s="1"/>
  <c r="N38" i="79" a="1"/>
  <c r="N38" i="79" s="1"/>
  <c r="I37" i="79" l="1"/>
  <c r="E38" i="79" a="1"/>
  <c r="E38" i="79" s="1"/>
  <c r="N39" i="79" a="1"/>
  <c r="N39" i="79" s="1"/>
  <c r="H38" i="79" a="1"/>
  <c r="H38" i="79" s="1"/>
  <c r="O38" i="79"/>
  <c r="B39" i="79"/>
  <c r="A41" i="79"/>
  <c r="F40" i="79" a="1"/>
  <c r="F40" i="79" s="1"/>
  <c r="C40" i="79"/>
  <c r="D40" i="79" s="1" a="1"/>
  <c r="D40" i="79" s="1"/>
  <c r="B40" i="79" l="1"/>
  <c r="O39" i="79"/>
  <c r="N40" i="79" a="1"/>
  <c r="N40" i="79" s="1"/>
  <c r="H39" i="79" a="1"/>
  <c r="H39" i="79" s="1"/>
  <c r="I38" i="79"/>
  <c r="E39" i="79" a="1"/>
  <c r="E39" i="79" s="1"/>
  <c r="C41" i="79"/>
  <c r="D41" i="79" s="1" a="1"/>
  <c r="D41" i="79" s="1"/>
  <c r="A42" i="79"/>
  <c r="F41" i="79" a="1"/>
  <c r="F41" i="79" s="1"/>
  <c r="B41" i="79" l="1"/>
  <c r="H40" i="79" a="1"/>
  <c r="H40" i="79" s="1"/>
  <c r="N41" i="79" a="1"/>
  <c r="N41" i="79" s="1"/>
  <c r="O40" i="79"/>
  <c r="A43" i="79"/>
  <c r="F42" i="79" a="1"/>
  <c r="F42" i="79" s="1"/>
  <c r="C42" i="79"/>
  <c r="D42" i="79" s="1" a="1"/>
  <c r="D42" i="79" s="1"/>
  <c r="I39" i="79"/>
  <c r="E40" i="79" a="1"/>
  <c r="E40" i="79" s="1"/>
  <c r="B42" i="79" l="1"/>
  <c r="C43" i="79"/>
  <c r="D43" i="79" s="1" a="1"/>
  <c r="D43" i="79" s="1"/>
  <c r="A44" i="79"/>
  <c r="F43" i="79" a="1"/>
  <c r="F43" i="79" s="1"/>
  <c r="O41" i="79"/>
  <c r="H41" i="79" a="1"/>
  <c r="H41" i="79" s="1"/>
  <c r="N42" i="79" a="1"/>
  <c r="N42" i="79" s="1"/>
  <c r="I40" i="79"/>
  <c r="E41" i="79" a="1"/>
  <c r="E41" i="79" s="1"/>
  <c r="B43" i="79" l="1"/>
  <c r="N43" i="79" a="1"/>
  <c r="N43" i="79" s="1"/>
  <c r="O42" i="79"/>
  <c r="H42" i="79" a="1"/>
  <c r="H42" i="79" s="1"/>
  <c r="I41" i="79"/>
  <c r="E42" i="79" a="1"/>
  <c r="E42" i="79" s="1"/>
  <c r="F44" i="79" a="1"/>
  <c r="F44" i="79" s="1"/>
  <c r="A45" i="79"/>
  <c r="C44" i="79"/>
  <c r="D44" i="79" s="1" a="1"/>
  <c r="D44" i="79" s="1"/>
  <c r="B44" i="79" l="1"/>
  <c r="C45" i="79"/>
  <c r="D45" i="79" s="1" a="1"/>
  <c r="D45" i="79" s="1"/>
  <c r="A46" i="79"/>
  <c r="F45" i="79" a="1"/>
  <c r="F45" i="79" s="1"/>
  <c r="I42" i="79"/>
  <c r="E43" i="79" a="1"/>
  <c r="E43" i="79" s="1"/>
  <c r="O43" i="79"/>
  <c r="N44" i="79" a="1"/>
  <c r="N44" i="79" s="1"/>
  <c r="H43" i="79" a="1"/>
  <c r="H43" i="79" s="1"/>
  <c r="B45" i="79" l="1"/>
  <c r="I43" i="79"/>
  <c r="E44" i="79" a="1"/>
  <c r="E44" i="79" s="1"/>
  <c r="A47" i="79"/>
  <c r="F46" i="79" a="1"/>
  <c r="F46" i="79" s="1"/>
  <c r="C46" i="79"/>
  <c r="D46" i="79" s="1" a="1"/>
  <c r="D46" i="79" s="1"/>
  <c r="H44" i="79" a="1"/>
  <c r="H44" i="79" s="1"/>
  <c r="N45" i="79" a="1"/>
  <c r="N45" i="79" s="1"/>
  <c r="O44" i="79"/>
  <c r="B46" i="79" l="1"/>
  <c r="A48" i="79"/>
  <c r="F47" i="79" a="1"/>
  <c r="F47" i="79" s="1"/>
  <c r="C47" i="79"/>
  <c r="D47" i="79" s="1" a="1"/>
  <c r="D47" i="79" s="1"/>
  <c r="I44" i="79"/>
  <c r="E45" i="79" a="1"/>
  <c r="E45" i="79" s="1"/>
  <c r="O45" i="79"/>
  <c r="H45" i="79" a="1"/>
  <c r="H45" i="79" s="1"/>
  <c r="N46" i="79" a="1"/>
  <c r="N46" i="79" s="1"/>
  <c r="I45" i="79" l="1"/>
  <c r="E46" i="79" a="1"/>
  <c r="E46" i="79" s="1"/>
  <c r="N47" i="79" a="1"/>
  <c r="N47" i="79" s="1"/>
  <c r="O46" i="79"/>
  <c r="H46" i="79" a="1"/>
  <c r="H46" i="79" s="1"/>
  <c r="B47" i="79"/>
  <c r="F48" i="79" a="1"/>
  <c r="F48" i="79" s="1"/>
  <c r="A49" i="79"/>
  <c r="C48" i="79"/>
  <c r="D48" i="79" s="1" a="1"/>
  <c r="D48" i="79" s="1"/>
  <c r="B48" i="79" l="1"/>
  <c r="N48" i="79" a="1"/>
  <c r="N48" i="79" s="1"/>
  <c r="O47" i="79"/>
  <c r="H47" i="79" a="1"/>
  <c r="H47" i="79" s="1"/>
  <c r="C49" i="79"/>
  <c r="D49" i="79" s="1" a="1"/>
  <c r="D49" i="79" s="1"/>
  <c r="A50" i="79"/>
  <c r="F49" i="79" a="1"/>
  <c r="F49" i="79" s="1"/>
  <c r="I46" i="79"/>
  <c r="E47" i="79" a="1"/>
  <c r="E47" i="79" s="1"/>
  <c r="I47" i="79" l="1"/>
  <c r="E48" i="79" a="1"/>
  <c r="E48" i="79" s="1"/>
  <c r="B49" i="79"/>
  <c r="F50" i="79" a="1"/>
  <c r="F50" i="79" s="1"/>
  <c r="C50" i="79"/>
  <c r="D50" i="79" s="1" a="1"/>
  <c r="D50" i="79" s="1"/>
  <c r="H48" i="79" a="1"/>
  <c r="H48" i="79" s="1"/>
  <c r="N49" i="79" a="1"/>
  <c r="N49" i="79" s="1"/>
  <c r="O48" i="79"/>
  <c r="B50" i="79" l="1"/>
  <c r="I48" i="79"/>
  <c r="E49" i="79" a="1"/>
  <c r="E49" i="79" s="1"/>
  <c r="O49" i="79"/>
  <c r="H49" i="79" a="1"/>
  <c r="H49" i="79" s="1"/>
  <c r="N50" i="79" a="1"/>
  <c r="N50" i="79" s="1"/>
  <c r="I49" i="79" l="1"/>
  <c r="E50" i="79" a="1"/>
  <c r="E50" i="79" s="1"/>
  <c r="I50" i="79" s="1"/>
  <c r="O50" i="79"/>
  <c r="H50" i="79" a="1"/>
  <c r="H50" i="79" s="1"/>
  <c r="KB12" i="12"/>
  <c r="KJ10" i="12"/>
  <c r="KA12" i="12"/>
  <c r="JY12" i="12"/>
  <c r="JY11" i="12" s="1"/>
  <c r="JZ12"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1FE6597E-19EB-47E7-B57D-EABF0B043BD3}">
      <text>
        <r>
          <rPr>
            <sz val="10"/>
            <color rgb="FF000000"/>
            <rFont val="Arial"/>
            <family val="2"/>
            <charset val="204"/>
          </rPr>
          <t>Example notes - feel free to delete them and input your 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BD924286-E759-43B4-91A0-C81B9689BDC1}">
      <text>
        <r>
          <rPr>
            <sz val="10"/>
            <color rgb="FF000000"/>
            <rFont val="Arial"/>
            <family val="2"/>
            <charset val="204"/>
          </rPr>
          <t>Best/Good/Bad Saving Throw Bonus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BB16" authorId="0" shapeId="0" xr:uid="{42A08F1C-F7F9-4AB8-88DF-1B499DFE7361}">
      <text>
        <r>
          <rPr>
            <b/>
            <sz val="9"/>
            <color indexed="81"/>
            <rFont val="Tahoma"/>
            <family val="2"/>
            <charset val="204"/>
          </rPr>
          <t>Hullack Forest</t>
        </r>
        <r>
          <rPr>
            <sz val="9"/>
            <color indexed="81"/>
            <rFont val="Tahoma"/>
            <family val="2"/>
            <charset val="204"/>
          </rPr>
          <t xml:space="preserve">
</t>
        </r>
      </text>
    </comment>
    <comment ref="BH16" authorId="0" shapeId="0" xr:uid="{88AB793B-F34D-4E65-9BD4-518679BABA66}">
      <text>
        <r>
          <rPr>
            <b/>
            <sz val="9"/>
            <color indexed="81"/>
            <rFont val="Tahoma"/>
            <family val="2"/>
            <charset val="204"/>
          </rPr>
          <t>Thunder Peaks</t>
        </r>
        <r>
          <rPr>
            <sz val="9"/>
            <color indexed="81"/>
            <rFont val="Tahoma"/>
            <family val="2"/>
            <charset val="204"/>
          </rPr>
          <t xml:space="preserve">
</t>
        </r>
      </text>
    </comment>
    <comment ref="AE17" authorId="0" shapeId="0" xr:uid="{5A73A8E8-FDB9-469C-AAB1-B87A893DE6F7}">
      <text>
        <r>
          <rPr>
            <sz val="9"/>
            <color indexed="81"/>
            <rFont val="Tahoma"/>
            <family val="2"/>
            <charset val="204"/>
          </rPr>
          <t xml:space="preserve">Eastern Stormhorns
</t>
        </r>
      </text>
    </comment>
    <comment ref="AI28" authorId="0" shapeId="0" xr:uid="{ACF75B07-8BA2-4D11-8B49-19A36DFE98A8}">
      <text>
        <r>
          <rPr>
            <b/>
            <sz val="9"/>
            <color indexed="81"/>
            <rFont val="Tahoma"/>
            <family val="2"/>
            <charset val="204"/>
          </rPr>
          <t>King's Forest</t>
        </r>
        <r>
          <rPr>
            <sz val="9"/>
            <color indexed="81"/>
            <rFont val="Tahoma"/>
            <family val="2"/>
            <charset val="204"/>
          </rPr>
          <t xml:space="preserve">
</t>
        </r>
      </text>
    </comment>
    <comment ref="AD32" authorId="0" shapeId="0" xr:uid="{9B68AF8E-BFB4-4862-9F35-27B675B48893}">
      <text>
        <r>
          <rPr>
            <b/>
            <sz val="9"/>
            <color indexed="81"/>
            <rFont val="Tahoma"/>
            <family val="2"/>
            <charset val="204"/>
          </rPr>
          <t>Stormhorns</t>
        </r>
        <r>
          <rPr>
            <sz val="9"/>
            <color indexed="81"/>
            <rFont val="Tahoma"/>
            <family val="2"/>
            <charset val="204"/>
          </rPr>
          <t xml:space="preserve">
</t>
        </r>
      </text>
    </comment>
    <comment ref="AZ45" authorId="0" shapeId="0" xr:uid="{83AB929F-B3F9-4F4D-A1C2-BAAFD3F1BEF4}">
      <text>
        <r>
          <rPr>
            <b/>
            <sz val="9"/>
            <color indexed="81"/>
            <rFont val="Tahoma"/>
            <family val="2"/>
            <charset val="204"/>
          </rPr>
          <t xml:space="preserve">King's Forest
</t>
        </r>
      </text>
    </comment>
    <comment ref="AX93" authorId="0" shapeId="0" xr:uid="{E5C44FAA-18D1-408A-8808-D1C3CF809128}">
      <text>
        <r>
          <rPr>
            <b/>
            <sz val="9"/>
            <color indexed="81"/>
            <rFont val="Tahoma"/>
            <family val="2"/>
            <charset val="204"/>
          </rPr>
          <t>Палихов Антон:</t>
        </r>
        <r>
          <rPr>
            <sz val="9"/>
            <color indexed="81"/>
            <rFont val="Tahoma"/>
            <family val="2"/>
            <charset val="204"/>
          </rPr>
          <t xml:space="preserve">
</t>
        </r>
      </text>
    </comment>
    <comment ref="FL140" authorId="0" shapeId="0" xr:uid="{4387A81D-B8C9-4C49-A748-C9E9D582F51A}">
      <text>
        <r>
          <rPr>
            <b/>
            <sz val="9"/>
            <color indexed="81"/>
            <rFont val="Tahoma"/>
            <family val="2"/>
            <charset val="204"/>
          </rPr>
          <t>Палихов Антон:</t>
        </r>
        <r>
          <rPr>
            <sz val="9"/>
            <color indexed="81"/>
            <rFont val="Tahoma"/>
            <family val="2"/>
            <charset val="204"/>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L4" authorId="0" shapeId="0" xr:uid="{077D8AA7-9255-47FE-8EBD-98E8E8688804}">
      <text>
        <r>
          <rPr>
            <b/>
            <sz val="9"/>
            <color indexed="81"/>
            <rFont val="Tahoma"/>
            <family val="2"/>
          </rPr>
          <t xml:space="preserve">Reference cell for level.  Will be ZERO if user has specified they don't want magic items.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D5" authorId="0" shapeId="0" xr:uid="{783F8138-413B-4E8E-93C5-AF867E7FA080}">
      <text>
        <r>
          <rPr>
            <b/>
            <sz val="9"/>
            <color indexed="81"/>
            <rFont val="Tahoma"/>
            <family val="2"/>
          </rPr>
          <t xml:space="preserve">References user option for wealth/magic items by level or just starting gold PHB143.
</t>
        </r>
      </text>
    </comment>
    <comment ref="C24" authorId="0" shapeId="0" xr:uid="{E03729E6-28B5-4C08-98B2-E4426C3242C0}">
      <text>
        <r>
          <rPr>
            <b/>
            <sz val="9"/>
            <color indexed="81"/>
            <rFont val="Tahoma"/>
            <family val="2"/>
          </rPr>
          <t xml:space="preserve">PHB p.143
</t>
        </r>
      </text>
    </comment>
    <comment ref="D42" authorId="0" shapeId="0" xr:uid="{2F624E40-51F7-4EF1-9656-208C0D0B12B0}">
      <text>
        <r>
          <rPr>
            <b/>
            <sz val="9"/>
            <color indexed="81"/>
            <rFont val="Tahoma"/>
            <family val="2"/>
          </rPr>
          <t xml:space="preserve">References either random starting wealth (phb143) or max wealth in USER tab.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B27" authorId="0" shapeId="0" xr:uid="{00000000-0006-0000-0600-000001000000}">
      <text>
        <r>
          <rPr>
            <sz val="10"/>
            <color rgb="FF000000"/>
            <rFont val="Arial"/>
            <family val="2"/>
            <charset val="204"/>
          </rPr>
          <t>This is for magical AC bonuses added by other items, such as rings or bracers.</t>
        </r>
      </text>
    </comment>
    <comment ref="AL27" authorId="0" shapeId="0" xr:uid="{00000000-0006-0000-0600-000002000000}">
      <text>
        <r>
          <rPr>
            <sz val="10"/>
            <color rgb="FF000000"/>
            <rFont val="Arial"/>
            <family val="2"/>
            <charset val="204"/>
          </rPr>
          <t>This is for AC bonuses added by things like your class or feats.</t>
        </r>
      </text>
    </comment>
    <comment ref="V62" authorId="0" shapeId="0" xr:uid="{00000000-0006-0000-0600-000003000000}">
      <text>
        <r>
          <rPr>
            <sz val="10"/>
            <color rgb="FF000000"/>
            <rFont val="Arial"/>
            <family val="2"/>
            <charset val="204"/>
          </rPr>
          <t>Parenthetical notations are for  versatile weapons used in their two handed mode.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400-000001000000}">
      <text>
        <r>
          <rPr>
            <sz val="10"/>
            <color rgb="FF000000"/>
            <rFont val="Arial"/>
            <family val="2"/>
            <charset val="204"/>
          </rPr>
          <t>Highlighted creatures are named individuals</t>
        </r>
      </text>
    </comment>
    <comment ref="D3" authorId="0" shapeId="0" xr:uid="{00000000-0006-0000-0400-000002000000}">
      <text>
        <r>
          <rPr>
            <sz val="10"/>
            <color rgb="FF000000"/>
            <rFont val="Arial"/>
            <family val="2"/>
            <charset val="204"/>
          </rPr>
          <t>Left blank if the creature is worth 0 XP.</t>
        </r>
      </text>
    </comment>
    <comment ref="H3" authorId="0" shapeId="0" xr:uid="{00000000-0006-0000-0400-000003000000}">
      <text>
        <r>
          <rPr>
            <sz val="10"/>
            <color rgb="FF000000"/>
            <rFont val="Arial"/>
            <family val="2"/>
            <charset val="204"/>
          </rPr>
          <t>Additional tags that aren't official, but may be useful for filtering: Dinosaur, Genie, Golem, Hag, Mephit, Modron, Myconid, Naga, Slaad, Spider, Swarm, Vampire</t>
        </r>
      </text>
    </comment>
    <comment ref="I3" authorId="0" shapeId="0" xr:uid="{00000000-0006-0000-0400-000004000000}">
      <text>
        <r>
          <rPr>
            <sz val="10"/>
            <color rgb="FF000000"/>
            <rFont val="Arial"/>
            <family val="2"/>
            <charset val="204"/>
          </rPr>
          <t>1 = Shapechanger tag</t>
        </r>
      </text>
    </comment>
    <comment ref="K3" authorId="0" shapeId="0" xr:uid="{00000000-0006-0000-0400-000005000000}">
      <text>
        <r>
          <rPr>
            <sz val="10"/>
            <color rgb="FF000000"/>
            <rFont val="Arial"/>
            <family val="2"/>
            <charset val="204"/>
          </rPr>
          <t>Caster Level</t>
        </r>
      </text>
    </comment>
    <comment ref="L3" authorId="0" shapeId="0" xr:uid="{00000000-0006-0000-0400-000006000000}">
      <text>
        <r>
          <rPr>
            <sz val="10"/>
            <color rgb="FF000000"/>
            <rFont val="Arial"/>
            <family val="2"/>
            <charset val="204"/>
          </rPr>
          <t>Caster Type:
B = Bard
C = Cleric
D = Druid
L = Warlock
P = Paladin
S = Sorcerer
W = Wizard</t>
        </r>
      </text>
    </comment>
    <comment ref="N3" authorId="0" shapeId="0" xr:uid="{00000000-0006-0000-0400-000007000000}">
      <text>
        <r>
          <rPr>
            <sz val="10"/>
            <color rgb="FF000000"/>
            <rFont val="Arial"/>
            <family val="2"/>
            <charset val="204"/>
          </rPr>
          <t>Average Hit Points</t>
        </r>
      </text>
    </comment>
    <comment ref="O3" authorId="0" shapeId="0" xr:uid="{00000000-0006-0000-0400-000008000000}">
      <text>
        <r>
          <rPr>
            <sz val="10"/>
            <color rgb="FF000000"/>
            <rFont val="Arial"/>
            <family val="2"/>
            <charset val="204"/>
          </rPr>
          <t>Number of Hit Dice</t>
        </r>
      </text>
    </comment>
    <comment ref="P3" authorId="0" shapeId="0" xr:uid="{00000000-0006-0000-0400-000009000000}">
      <text>
        <r>
          <rPr>
            <sz val="10"/>
            <color rgb="FF000000"/>
            <rFont val="Arial"/>
            <family val="2"/>
            <charset val="204"/>
          </rPr>
          <t>Size of Hit Dice</t>
        </r>
      </text>
    </comment>
    <comment ref="Q3" authorId="0" shapeId="0" xr:uid="{00000000-0006-0000-0400-00000A000000}">
      <text>
        <r>
          <rPr>
            <sz val="10"/>
            <color rgb="FF000000"/>
            <rFont val="Arial"/>
            <family val="2"/>
            <charset val="204"/>
          </rPr>
          <t>Adjustment to Hit Dice</t>
        </r>
      </text>
    </comment>
    <comment ref="V3" authorId="0" shapeId="0" xr:uid="{00000000-0006-0000-0400-00000B000000}">
      <text>
        <r>
          <rPr>
            <sz val="10"/>
            <color rgb="FF000000"/>
            <rFont val="Arial"/>
            <family val="2"/>
            <charset val="204"/>
          </rPr>
          <t>Cells highlighting in green denotes special movement.</t>
        </r>
      </text>
    </comment>
    <comment ref="Y3" authorId="0" shapeId="0" xr:uid="{00000000-0006-0000-0400-00000C000000}">
      <text>
        <r>
          <rPr>
            <sz val="10"/>
            <color rgb="FF000000"/>
            <rFont val="Arial"/>
            <family val="2"/>
            <charset val="204"/>
          </rPr>
          <t>Cells highlighting in green denotes Hover.</t>
        </r>
      </text>
    </comment>
    <comment ref="AG3" authorId="0" shapeId="0" xr:uid="{00000000-0006-0000-0400-00000D000000}">
      <text>
        <r>
          <rPr>
            <sz val="10"/>
            <color rgb="FF000000"/>
            <rFont val="Arial"/>
            <family val="2"/>
            <charset val="204"/>
          </rPr>
          <t>Monster Manual</t>
        </r>
      </text>
    </comment>
    <comment ref="AH3" authorId="0" shapeId="0" xr:uid="{00000000-0006-0000-0400-00000E000000}">
      <text>
        <r>
          <rPr>
            <sz val="10"/>
            <color rgb="FF000000"/>
            <rFont val="Arial"/>
            <family val="2"/>
            <charset val="204"/>
          </rPr>
          <t>Player's Handbook</t>
        </r>
      </text>
    </comment>
    <comment ref="AI3" authorId="0" shapeId="0" xr:uid="{00000000-0006-0000-0400-00000F000000}">
      <text>
        <r>
          <rPr>
            <sz val="10"/>
            <color rgb="FF000000"/>
            <rFont val="Arial"/>
            <family val="2"/>
            <charset val="204"/>
          </rPr>
          <t>Dungeon Master's Guide</t>
        </r>
      </text>
    </comment>
    <comment ref="AJ3" authorId="0" shapeId="0" xr:uid="{00000000-0006-0000-0400-000010000000}">
      <text>
        <r>
          <rPr>
            <sz val="10"/>
            <color rgb="FF000000"/>
            <rFont val="Arial"/>
            <family val="2"/>
            <charset val="204"/>
          </rPr>
          <t xml:space="preserve">Starter Set:
Lost Mine of Phandelver
</t>
        </r>
      </text>
    </comment>
    <comment ref="AK3" authorId="0" shapeId="0" xr:uid="{00000000-0006-0000-0400-000011000000}">
      <text>
        <r>
          <rPr>
            <sz val="10"/>
            <color rgb="FF000000"/>
            <rFont val="Arial"/>
            <family val="2"/>
            <charset val="204"/>
          </rPr>
          <t>Hoard of the Dragon Queen</t>
        </r>
      </text>
    </comment>
    <comment ref="AL3" authorId="0" shapeId="0" xr:uid="{00000000-0006-0000-0400-000012000000}">
      <text>
        <r>
          <rPr>
            <sz val="10"/>
            <color rgb="FF000000"/>
            <rFont val="Arial"/>
            <family val="2"/>
            <charset val="204"/>
          </rPr>
          <t>Rise of Tiamat</t>
        </r>
      </text>
    </comment>
    <comment ref="AM3" authorId="0" shapeId="0" xr:uid="{00000000-0006-0000-0400-000013000000}">
      <text>
        <r>
          <rPr>
            <sz val="10"/>
            <color rgb="FF000000"/>
            <rFont val="Arial"/>
            <family val="2"/>
            <charset val="204"/>
          </rPr>
          <t>Princes of the Apocalypse</t>
        </r>
      </text>
    </comment>
    <comment ref="AN3" authorId="0" shapeId="0" xr:uid="{00000000-0006-0000-0400-000014000000}">
      <text>
        <r>
          <rPr>
            <sz val="10"/>
            <color rgb="FF000000"/>
            <rFont val="Arial"/>
            <family val="2"/>
            <charset val="204"/>
          </rPr>
          <t>DM's Basic Rules</t>
        </r>
      </text>
    </comment>
    <comment ref="AO3" authorId="0" shapeId="0" xr:uid="{00000000-0006-0000-0400-000015000000}">
      <text>
        <r>
          <rPr>
            <sz val="10"/>
            <color rgb="FF000000"/>
            <rFont val="Arial"/>
            <family val="2"/>
            <charset val="204"/>
          </rPr>
          <t>System Reference Document</t>
        </r>
      </text>
    </comment>
    <comment ref="AP3" authorId="0" shapeId="0" xr:uid="{00000000-0006-0000-0400-000016000000}">
      <text>
        <r>
          <rPr>
            <sz val="10"/>
            <color rgb="FF000000"/>
            <rFont val="Arial"/>
            <family val="2"/>
            <charset val="204"/>
          </rPr>
          <t>Hoard of the Dragon Queen Supplement</t>
        </r>
      </text>
    </comment>
    <comment ref="AQ3" authorId="0" shapeId="0" xr:uid="{00000000-0006-0000-0400-000017000000}">
      <text>
        <r>
          <rPr>
            <sz val="10"/>
            <color rgb="FF000000"/>
            <rFont val="Arial"/>
            <family val="2"/>
            <charset val="204"/>
          </rPr>
          <t>Rise of Tiamat Supplement</t>
        </r>
      </text>
    </comment>
    <comment ref="AR3" authorId="0" shapeId="0" xr:uid="{00000000-0006-0000-0400-000018000000}">
      <text>
        <r>
          <rPr>
            <sz val="10"/>
            <color rgb="FF000000"/>
            <rFont val="Arial"/>
            <family val="2"/>
            <charset val="204"/>
          </rPr>
          <t>D&amp;D Encounters:
Hoard of the Dragon Queen</t>
        </r>
      </text>
    </comment>
    <comment ref="AS3" authorId="0" shapeId="0" xr:uid="{00000000-0006-0000-0400-000019000000}">
      <text>
        <r>
          <rPr>
            <sz val="10"/>
            <color rgb="FF000000"/>
            <rFont val="Arial"/>
            <family val="2"/>
            <charset val="204"/>
          </rPr>
          <t>D&amp;D Expeditions:
1. Defiance in Phlan
2. Secrets of Sokol Keep
3. Shadows over the Moonsea
4. Dues for the Dead
5. The Courting of Fire
6. The Scroll Thief
7. Drums in the Marsh
8. Tales Trees Tell
9. Outlaws of the Iron Route
10. Tyranny of Phlan
11. Dark Pyramid of Sorcerer's Isle
12. Raiders of the Twilight Marsh
13. Pool of Radiance Resurgent
14. Escape from Phlan</t>
        </r>
      </text>
    </comment>
    <comment ref="AT3" authorId="0" shapeId="0" xr:uid="{00000000-0006-0000-0400-00001A000000}">
      <text>
        <r>
          <rPr>
            <sz val="10"/>
            <color rgb="FF000000"/>
            <rFont val="Arial"/>
            <family val="2"/>
            <charset val="204"/>
          </rPr>
          <t>Princes of the Apocalypse Supplement</t>
        </r>
      </text>
    </comment>
    <comment ref="AU3" authorId="0" shapeId="0" xr:uid="{00000000-0006-0000-0400-00001B000000}">
      <text>
        <r>
          <rPr>
            <sz val="10"/>
            <color rgb="FF000000"/>
            <rFont val="Arial"/>
            <family val="2"/>
            <charset val="204"/>
          </rPr>
          <t>D&amp;D Encounters:
Princes of the Apocalypse</t>
        </r>
      </text>
    </comment>
    <comment ref="AV3" authorId="0" shapeId="0" xr:uid="{00000000-0006-0000-0400-00001C000000}">
      <text>
        <r>
          <rPr>
            <sz val="10"/>
            <color rgb="FF000000"/>
            <rFont val="Arial"/>
            <family val="2"/>
            <charset val="204"/>
          </rPr>
          <t>D&amp;D Expeditions:
1. City of Danger
2. Embers of Elmwood
3. The Drowned Tower
4. Mayhem in the Earthspur Mines
5. Flames of Kythorn
6. Breath of the Yellow Rose
7. Bounty in the Bog
8. Foulness Beneath Mulmaster
9. Eye of the Tempest
10. Cloaks and Shadows
11. Oubliette of Fort Iron
12. Dark Rites at Fort Dalton
13. The Howling Void</t>
        </r>
      </text>
    </comment>
    <comment ref="AW3" authorId="0" shapeId="0" xr:uid="{00000000-0006-0000-0400-00001D000000}">
      <text>
        <r>
          <rPr>
            <sz val="10"/>
            <color rgb="FF000000"/>
            <rFont val="Arial"/>
            <family val="2"/>
            <charset val="204"/>
          </rPr>
          <t>D&amp;D Encounters:
Out of the Abyss</t>
        </r>
      </text>
    </comment>
    <comment ref="AX3" authorId="0" shapeId="0" xr:uid="{00000000-0006-0000-0400-00001E000000}">
      <text>
        <r>
          <rPr>
            <sz val="10"/>
            <color rgb="FF000000"/>
            <rFont val="Arial"/>
            <family val="2"/>
            <charset val="204"/>
          </rPr>
          <t>D&amp;D Expeditions:
1. Harried in Hillsfar
2. Shackles of Blood
3. The Occupation of Szith Morcane
4. It's All in the Blood
5. Bane of the Tradeways
6. No Foolish Matter
7. Herald of the Moon
8. The Malady of Elventree
9. The Waydown
10. Quelling the Horde
11. The Quest for Sporedome
12. Hillsfar Reclaimed
13. Writhing in the Dark
14. Death on the Wall
15. Szith Morcane Unbound
16. Assault on Maermydra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X1" authorId="0" shapeId="0" xr:uid="{6FEC863B-B7A1-4682-83F2-CB51D4910DAA}">
      <text>
        <r>
          <rPr>
            <b/>
            <sz val="9"/>
            <color indexed="81"/>
            <rFont val="Tahoma"/>
            <family val="2"/>
            <charset val="204"/>
          </rPr>
          <t>Палихов Антон:</t>
        </r>
        <r>
          <rPr>
            <sz val="9"/>
            <color indexed="81"/>
            <rFont val="Tahoma"/>
            <family val="2"/>
            <charset val="204"/>
          </rPr>
          <t xml:space="preserve">
Orange highlighed cells are drop down menus. Select the bonus range for each and the table will adjust the price values.</t>
        </r>
      </text>
    </comment>
    <comment ref="AH2" authorId="0" shapeId="0" xr:uid="{9A7044B5-1D55-4580-83FF-24F0090EC98B}">
      <text>
        <r>
          <rPr>
            <b/>
            <sz val="22"/>
            <color indexed="81"/>
            <rFont val="Nodesto Caps Condensed"/>
          </rPr>
          <t>Marks and Cents</t>
        </r>
        <r>
          <rPr>
            <sz val="11"/>
            <color indexed="81"/>
            <rFont val="MrsEavesRoman"/>
          </rPr>
          <t xml:space="preserve">
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r>
      </text>
    </comment>
    <comment ref="AI3" authorId="0" shapeId="0" xr:uid="{6AF9DE3B-53B9-43AB-BC82-8A3E3E6ECF77}">
      <text>
        <r>
          <rPr>
            <b/>
            <sz val="9"/>
            <color indexed="81"/>
            <rFont val="Tahoma"/>
            <family val="2"/>
            <charset val="204"/>
          </rPr>
          <t xml:space="preserve">Reputation
</t>
        </r>
        <r>
          <rPr>
            <sz val="9"/>
            <color indexed="81"/>
            <rFont val="Tahoma"/>
            <family val="2"/>
            <charset val="204"/>
          </rPr>
          <t xml:space="preserve">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
</t>
        </r>
      </text>
    </comment>
    <comment ref="AI4" authorId="0" shapeId="0" xr:uid="{E7D798DA-D70E-4AE4-A7AD-7E18AEA5B292}">
      <text>
        <r>
          <rPr>
            <b/>
            <sz val="9"/>
            <color indexed="81"/>
            <rFont val="Tahoma"/>
            <family val="2"/>
            <charset val="204"/>
          </rPr>
          <t>Charisma Bonus</t>
        </r>
        <r>
          <rPr>
            <sz val="9"/>
            <color indexed="81"/>
            <rFont val="Tahoma"/>
            <family val="2"/>
            <charset val="204"/>
          </rPr>
          <t xml:space="preserve">
A character's charisma can affect the outcome of a transaction. While it is not necessary to calculate every time, it can reward players for roleplaying a particular transaction. Charisma bonus discounts are based on an individual player rather than the party as a whole.</t>
        </r>
      </text>
    </comment>
    <comment ref="AI5" authorId="0" shapeId="0" xr:uid="{50182FEF-C01E-4D4B-9A3E-29C3D53454F3}">
      <text>
        <r>
          <rPr>
            <b/>
            <sz val="9"/>
            <color indexed="81"/>
            <rFont val="Tahoma"/>
            <family val="2"/>
            <charset val="204"/>
          </rPr>
          <t>Intimidation and Persuasion</t>
        </r>
        <r>
          <rPr>
            <sz val="9"/>
            <color indexed="81"/>
            <rFont val="Tahoma"/>
            <family val="2"/>
            <charset val="204"/>
          </rPr>
          <t xml:space="preserve">
When characters make a successful Intimidate or Persuasion skill check during a vendor transaction, you can apply this bonus to the transaction.</t>
        </r>
      </text>
    </comment>
    <comment ref="M17" authorId="0" shapeId="0" xr:uid="{BE99F877-3FE9-4F20-A27A-38B6DBC25188}">
      <text>
        <r>
          <rPr>
            <sz val="12"/>
            <color indexed="81"/>
            <rFont val="MrsEavesRoman"/>
          </rPr>
          <t>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r>
      </text>
    </comment>
    <comment ref="M18" authorId="0" shapeId="0" xr:uid="{0AF9D81D-2C65-42F2-A917-E7CCFC124CD7}">
      <text>
        <r>
          <rPr>
            <b/>
            <sz val="9"/>
            <color indexed="81"/>
            <rFont val="Tahoma"/>
            <family val="2"/>
            <charset val="204"/>
          </rPr>
          <t>Палихов Антон:</t>
        </r>
        <r>
          <rPr>
            <sz val="9"/>
            <color indexed="81"/>
            <rFont val="Tahoma"/>
            <family val="2"/>
            <charset val="204"/>
          </rPr>
          <t xml:space="preserve">
When characters make a successful Intimidate or Persuasion skill check during a vendor transaction, you can apply this bonus to the transaction.</t>
        </r>
      </text>
    </comment>
    <comment ref="M19" authorId="0" shapeId="0" xr:uid="{F5764860-890C-4688-B60A-A010344B0A8A}">
      <text>
        <r>
          <rPr>
            <b/>
            <sz val="9"/>
            <color indexed="81"/>
            <rFont val="Tahoma"/>
            <family val="2"/>
            <charset val="204"/>
          </rPr>
          <t>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t>
        </r>
        <r>
          <rPr>
            <sz val="9"/>
            <color indexed="81"/>
            <rFont val="Tahoma"/>
            <family val="2"/>
            <charset val="204"/>
          </rPr>
          <t xml:space="preserve">
</t>
        </r>
      </text>
    </comment>
    <comment ref="M20" authorId="0" shapeId="0" xr:uid="{57D12166-3A31-4127-80F8-019804B7C01A}">
      <text>
        <r>
          <rPr>
            <b/>
            <sz val="9"/>
            <color indexed="81"/>
            <rFont val="Tahoma"/>
            <family val="2"/>
            <charset val="204"/>
          </rPr>
          <t>Палихов Антон:</t>
        </r>
        <r>
          <rPr>
            <sz val="9"/>
            <color indexed="81"/>
            <rFont val="Tahoma"/>
            <family val="2"/>
            <charset val="204"/>
          </rPr>
          <t xml:space="preserve">
A character's charisma can affect the outcome of a transaction. While it is not necessary to calculate every time, it can reward players for roleplaying a particular transaction. Charisma bonus discounts are based on an individual player rather than the party as a whole.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tc={6F73002E-60F0-4858-BF9F-EE5358D41A71}</author>
    <author>Палихов Антон</author>
  </authors>
  <commentList>
    <comment ref="P3" authorId="0" shapeId="0" xr:uid="{6F73002E-60F0-4858-BF9F-EE5358D41A71}">
      <text>
        <t>[Ланцюжок приміток]
Ваша версія Excel дає змогу прочитати цей ланцюжок приміток, проте будь-які зміни в примітці буде вилучено, якщо відкрити цей файл у новішій версії Excel. Докладні відомості: https://go.microsoft.com/fwlink/?linkid=870924.
Примітка:
    All of the three families' arms have changed over time. Huntsilver used to have varying arrays of brown thorns and silver hoofprints in its field; Crownsilver has had a single large crown surrounded by a dozen tiny ones, later replaced by a regular pattern of twoscore tiny edge-on crowns, and still later superceded by the current arms; and Truesilver was formerly a shield of royal blue (without a border) displaying two diagonal lines, upper left to lower right, of three plain silver shields each. I can't recall the times of the changes right now, but they're all in the 1200s or earlier, not in the 1300-1350s range.
The simple badges of the three families are as follows: Huntsilver: silver rack of antlers on a forest green oval field. Crownsilver: a single silver edge-on crown on a royal blue oval field. Truesilver: a plain silver diagonal band, lower left to upper right, across a crimson oval field.</t>
      </text>
    </comment>
    <comment ref="P4" authorId="1" shapeId="0" xr:uid="{1AF94114-8469-4AC3-BD04-2EB732808E6F}">
      <text>
        <r>
          <rPr>
            <sz val="9"/>
            <color indexed="81"/>
            <rFont val="Tahoma"/>
            <family val="2"/>
            <charset val="204"/>
          </rPr>
          <t>All of the three families' arms have changed over time. Huntsilver used to have varying arrays of brown thorns and silver hoofprints in its field; Crownsilver has had a single large crown surrounded by a dozen tiny ones, later replaced by a regular pattern of twoscore tiny edge-on crowns, and still later superceded by the current arms; and Truesilver was formerly a shield of royal blue (without a border) displaying two diagonal lines, upper left to lower right, of three plain silver shields each. I can't recall the times of the changes right now, but they're all in the 1200s or earlier, not in the 1300-1350s range.
The simple badges of the three families are as follows: Huntsilver: silver rack of antlers on a forest green oval field. Crownsilver: a single silver edge-on crown on a royal blue oval field. Truesilver: a plain silver diagonal band, lower left to upper right, across a crimson oval field.</t>
        </r>
      </text>
    </comment>
    <comment ref="P5" authorId="1" shapeId="0" xr:uid="{A08A74A8-59A4-4000-A823-3781AF0ABBC7}">
      <text>
        <r>
          <rPr>
            <sz val="9"/>
            <color indexed="81"/>
            <rFont val="Tahoma"/>
            <family val="2"/>
            <charset val="204"/>
          </rPr>
          <t xml:space="preserve">
All of the three families' arms have changed over time. Huntsilver used to have varying arrays of brown thorns and silver hoofprints in its field; Crownsilver has had a single large crown surrounded by a dozen tiny ones, later replaced by a regular pattern of twoscore tiny edge-on crowns, and still later superceded by the current arms; and Truesilver was formerly a shield of royal blue (without a border) displaying two diagonal lines, upper left to lower right, of three plain silver shields each. I can't recall the times of the changes right now, but they're all in the 1200s or earlier, not in the 1300-1350s range.
The simple badges of the three families are as follows: Huntsilver: silver rack of antlers on a forest green oval field. Crownsilver: a single silver edge-on crown on a royal blue oval field. Truesilver: a plain silver diagonal band, lower left to upper right, across a crimson oval field.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F3" authorId="0" shapeId="0" xr:uid="{034D4B26-AFA5-4D2B-849A-30562B27ABF9}">
      <text>
        <r>
          <rPr>
            <b/>
            <sz val="9"/>
            <color indexed="81"/>
            <rFont val="Tahoma"/>
            <family val="2"/>
            <charset val="204"/>
          </rPr>
          <t>Палихов Антон:</t>
        </r>
        <r>
          <rPr>
            <sz val="9"/>
            <color indexed="81"/>
            <rFont val="Tahoma"/>
            <family val="2"/>
            <charset val="204"/>
          </rPr>
          <t xml:space="preserve">
Сколько город может потратить на покупку у авантюристов</t>
        </r>
      </text>
    </comment>
    <comment ref="G3" authorId="0" shapeId="0" xr:uid="{A705D22F-7D0C-4C52-82CE-48A598C41770}">
      <text>
        <r>
          <rPr>
            <b/>
            <sz val="9"/>
            <color indexed="81"/>
            <rFont val="Tahoma"/>
            <family val="2"/>
            <charset val="204"/>
          </rPr>
          <t>Палихов Антон:</t>
        </r>
        <r>
          <rPr>
            <sz val="9"/>
            <color indexed="81"/>
            <rFont val="Tahoma"/>
            <family val="2"/>
            <charset val="204"/>
          </rPr>
          <t xml:space="preserve">
Jобщая стоимость активов в городе</t>
        </r>
      </text>
    </comment>
    <comment ref="H3" authorId="0" shapeId="0" xr:uid="{A2B36B48-B043-45E3-8CC4-9EACB6D0937D}">
      <text>
        <r>
          <rPr>
            <sz val="9"/>
            <color indexed="81"/>
            <rFont val="Tahoma"/>
            <family val="2"/>
            <charset val="204"/>
          </rPr>
          <t xml:space="preserve">As in ACKS
</t>
        </r>
      </text>
    </comment>
    <comment ref="J3" authorId="0" shapeId="0" xr:uid="{536ADEE2-1B7F-4327-AB90-6BA8081A4DBC}">
      <text>
        <r>
          <rPr>
            <b/>
            <sz val="9"/>
            <color indexed="81"/>
            <rFont val="Tahoma"/>
            <family val="2"/>
            <charset val="204"/>
          </rPr>
          <t>Палихов Антон:</t>
        </r>
        <r>
          <rPr>
            <sz val="9"/>
            <color indexed="81"/>
            <rFont val="Tahoma"/>
            <family val="2"/>
            <charset val="204"/>
          </rPr>
          <t xml:space="preserve">
Гарнизон, его численность и общие вооруженные силы в городе.
</t>
        </r>
      </text>
    </comment>
    <comment ref="R3" authorId="0" shapeId="0" xr:uid="{C9068218-FF94-4447-8320-6DE82583E4B9}">
      <text>
        <r>
          <rPr>
            <b/>
            <sz val="9"/>
            <color indexed="81"/>
            <rFont val="Tahoma"/>
            <family val="2"/>
            <charset val="204"/>
          </rPr>
          <t>Палихов Антон:</t>
        </r>
        <r>
          <rPr>
            <sz val="9"/>
            <color indexed="81"/>
            <rFont val="Tahoma"/>
            <family val="2"/>
            <charset val="204"/>
          </rPr>
          <t xml:space="preserve">
Crown Tax is for stuff PC sell</t>
        </r>
      </text>
    </comment>
    <comment ref="S3" authorId="0" shapeId="0" xr:uid="{5F496821-9A46-4971-8161-6551EC2BF191}">
      <text>
        <r>
          <rPr>
            <b/>
            <sz val="9"/>
            <color indexed="81"/>
            <rFont val="Tahoma"/>
            <family val="2"/>
            <charset val="204"/>
          </rPr>
          <t>Палихов Антон:</t>
        </r>
        <r>
          <rPr>
            <sz val="9"/>
            <color indexed="81"/>
            <rFont val="Tahoma"/>
            <family val="2"/>
            <charset val="204"/>
          </rPr>
          <t xml:space="preserve">
Sales Tax is for stuff they buy</t>
        </r>
      </text>
    </comment>
    <comment ref="W3" authorId="0" shapeId="0" xr:uid="{E6216A68-AF16-4926-920B-9519CECC972D}">
      <text>
        <r>
          <rPr>
            <b/>
            <sz val="9"/>
            <color indexed="81"/>
            <rFont val="Tahoma"/>
            <family val="2"/>
            <charset val="204"/>
          </rPr>
          <t>Палихов Антон:</t>
        </r>
        <r>
          <rPr>
            <sz val="9"/>
            <color indexed="81"/>
            <rFont val="Tahoma"/>
            <family val="2"/>
            <charset val="204"/>
          </rPr>
          <t xml:space="preserve">
Кто производит в городе</t>
        </r>
      </text>
    </comment>
    <comment ref="X3" authorId="0" shapeId="0" xr:uid="{870B26BE-42BE-4B37-A92A-CB0ED4AC3C80}">
      <text>
        <r>
          <rPr>
            <b/>
            <sz val="9"/>
            <color indexed="81"/>
            <rFont val="Tahoma"/>
            <family val="2"/>
            <charset val="204"/>
          </rPr>
          <t>Палихов Антон:</t>
        </r>
        <r>
          <rPr>
            <sz val="9"/>
            <color indexed="81"/>
            <rFont val="Tahoma"/>
            <family val="2"/>
            <charset val="204"/>
          </rPr>
          <t xml:space="preserve">
Что производится в городе</t>
        </r>
      </text>
    </comment>
    <comment ref="Y3" authorId="0" shapeId="0" xr:uid="{3152457D-45E5-483B-BC43-0AEC784884EC}">
      <text>
        <r>
          <rPr>
            <b/>
            <sz val="9"/>
            <color indexed="81"/>
            <rFont val="Tahoma"/>
            <family val="2"/>
            <charset val="204"/>
          </rPr>
          <t>Палихов Антон:</t>
        </r>
        <r>
          <rPr>
            <sz val="9"/>
            <color indexed="81"/>
            <rFont val="Tahoma"/>
            <family val="2"/>
            <charset val="204"/>
          </rPr>
          <t xml:space="preserve">
Какие дворянские дома представлены в городе
</t>
        </r>
      </text>
    </comment>
    <comment ref="R51" authorId="0" shapeId="0" xr:uid="{8B08BF00-9F4C-4F2F-8D8E-E1BC268F09E4}">
      <text>
        <r>
          <rPr>
            <b/>
            <sz val="9"/>
            <color indexed="81"/>
            <rFont val="Tahoma"/>
            <family val="2"/>
            <charset val="204"/>
          </rPr>
          <t xml:space="preserve">The Crown subsidizes all merchant construction costs
</t>
        </r>
        <r>
          <rPr>
            <sz val="9"/>
            <color indexed="81"/>
            <rFont val="Tahoma"/>
            <family val="2"/>
            <charset val="204"/>
          </rPr>
          <t xml:space="preserve">
</t>
        </r>
      </text>
    </comment>
    <comment ref="S75" authorId="0" shapeId="0" xr:uid="{E9003F71-ABBC-458B-A475-01F150B5740D}">
      <text>
        <r>
          <rPr>
            <sz val="9"/>
            <color indexed="81"/>
            <rFont val="Tahoma"/>
            <family val="2"/>
            <charset val="204"/>
          </rPr>
          <t xml:space="preserve">Elven goods are subject to an extra tax of 1.2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B6" authorId="0" shapeId="0" xr:uid="{8F12C88C-0F50-4B25-8652-85E5ED577CA1}">
      <text>
        <r>
          <rPr>
            <b/>
            <sz val="9"/>
            <color indexed="81"/>
            <rFont val="Tahoma"/>
            <family val="2"/>
            <charset val="204"/>
          </rPr>
          <t>Палихов Антон:</t>
        </r>
        <r>
          <rPr>
            <sz val="9"/>
            <color indexed="81"/>
            <rFont val="Tahoma"/>
            <family val="2"/>
            <charset val="204"/>
          </rPr>
          <t xml:space="preserve">
[The rank of sergeant in the Purple Dragons is given in several places — FFC,p.6-8 as a specific veteran NPC and on p.98 as an unnamed soldier in Halfhap, in PoL,p.1 as a Purple Dragon rank, and in BtHR,p.70 as the rank of Hag Gordon. Also, in FoMD,p.14 the rank of sergeant is used outside of Cormyr in the Army of Darkness that destroyed Myth Drannor. Despite all of this, Ed Greenwood himself specifically creates his own Purple Dragon rank (First Sword) that is equivalent to sergeant in VGtC,p.234, and in the FR FAQ (http://www.candlekeep.com/fr_faq.htm#_Toc16090560) he also considers the rank of swordcaptain to be equivalent to sergeant. For this document, I'll take Ed's published info as the canon cite over his words in a FAQ or in other published works not written by him.]</t>
        </r>
      </text>
    </comment>
    <comment ref="G6" authorId="0" shapeId="0" xr:uid="{DBD3F52F-06D3-463F-830F-D4BA9616A568}">
      <text>
        <r>
          <rPr>
            <sz val="9"/>
            <color indexed="81"/>
            <rFont val="MrsEavesRoman"/>
          </rPr>
          <t>[GTR,p.51 states that the soldiers in High Horn are lead by a 4th-level fighter for every 10 soldiers, which is essentially a first sword leading a squad (see TO&amp;E for infantry).]</t>
        </r>
        <r>
          <rPr>
            <sz val="9"/>
            <color indexed="81"/>
            <rFont val="Tahoma"/>
            <family val="2"/>
            <charset val="204"/>
          </rPr>
          <t xml:space="preserve">
</t>
        </r>
      </text>
    </comment>
    <comment ref="A7" authorId="0" shapeId="0" xr:uid="{B204C26F-8DE5-4592-B265-8452375C777C}">
      <text>
        <r>
          <rPr>
            <b/>
            <sz val="9"/>
            <color indexed="81"/>
            <rFont val="Tahoma"/>
            <family val="2"/>
            <charset val="204"/>
          </rPr>
          <t>Палихов Антон:</t>
        </r>
        <r>
          <rPr>
            <sz val="9"/>
            <color indexed="81"/>
            <rFont val="Tahoma"/>
            <family val="2"/>
            <charset val="204"/>
          </rPr>
          <t xml:space="preserve">
[Note: My choice to make the swordcaptain an officer rank rather than an enlisted rank may be controversial. Several canon cites suggest it is a senior enlisted rank: CaN,p.195 suggests they discipline young bumbling soldiers (which would be the role of a sergeant); CaN,p.337 mentions it is a rank worthy of a veteran of the Tuigan War (i.e. at least 9 years in service); Stmlt,p.29 mentions a favored "gruff growling bear" post of swordcaptain which indicates an older grizzled veteran; Stmlt,p.45 mentions a swordcaptain as the head of a guard watch which would hardly be an officer's post. In addition, the FR FAQ (link given elsewhere) gives Ed's rough equivalent of swordcaptain as a sergeant; however, in published canon (VGtC,p.234) he says that First Sword is equivalent to sergeant. I am adamant that a senior enlisted rank is necessary for old grizzled veterans so I could have made swordcaptain that senior enlisted rank in addition to the First Sword which would be a junior sergeant, but I didn't for the following reasons. Other canon cites also point to the swordcaptain being an officer: CaN,p.338 portrays a swordcaptain (Lareth Gulur) speaking to a "senior officer" (Hathlan) as an equal (which no sergeant had better do!); CaN,p.458 tells that Gondegal used the swordcaptain rank too but the context implies he used it for mid-to-senior officers (and given his area of operations it's likely he'd pattern off of Cormyr); BtHR,p.15 speaks of the captain of the company; and finally the issues regarding lionars being the lowest ranking commissioned officers. VGtC,p.236 states that a lionar is equivalent to an 20th-century Earth major and that Purple Dragon Rings are seldom worn by Purple Dragons below the rank of lionar, and BtHR,p90 tells that Tanalasta's bodyguard is led by a lionar (a position of considerable responsibility) and p.257 speaks of a "grizzled" lionar. All of these facts strongly suggest that lionars are officers of some experience and earned trustworthiness rather than the most junior of officers despite what the FR FAQ says. So, there are two alternatives: either make the swordcaptain the equivalent of a senior sergeant and invent an officer rank to fit below lionar, or invent a senior sergeant rank and make the swordcaptain the lowest officer rank. Given that the 'captain' part implies leadership and 'captain' and 'company' go together like eggs and bacon (although this may be a real-world bias), I chose the latter and invented the 'swordmajor' to be the senior sergeant.]</t>
        </r>
      </text>
    </comment>
    <comment ref="A8" authorId="0" shapeId="0" xr:uid="{2B3631F8-F879-4910-8CDE-50ACA5CD9E31}">
      <text>
        <r>
          <rPr>
            <b/>
            <sz val="9"/>
            <color indexed="81"/>
            <rFont val="Tahoma"/>
            <family val="2"/>
            <charset val="204"/>
          </rPr>
          <t>Палихов Антон:</t>
        </r>
        <r>
          <rPr>
            <sz val="9"/>
            <color indexed="81"/>
            <rFont val="Tahoma"/>
            <family val="2"/>
            <charset val="204"/>
          </rPr>
          <t xml:space="preserve">
[VGtC,p.236 states the rank of lionar is similar to a modern 20th-century major in footnote 3.]
[VGtC,p.236 states that the rings are seldom worn by Purple Dragons below the rank of lionar.]</t>
        </r>
      </text>
    </comment>
    <comment ref="A12" authorId="0" shapeId="0" xr:uid="{31EAE890-928F-49CD-B6B6-EA3369250379}">
      <text>
        <r>
          <rPr>
            <b/>
            <sz val="9"/>
            <color indexed="81"/>
            <rFont val="Tahoma"/>
            <family val="2"/>
            <charset val="204"/>
          </rPr>
          <t>Палихов Антон:</t>
        </r>
        <r>
          <rPr>
            <sz val="9"/>
            <color indexed="81"/>
            <rFont val="Tahoma"/>
            <family val="2"/>
            <charset val="204"/>
          </rPr>
          <t xml:space="preserve">
[VGtC,p.237 states that senior battlemasters are equivalent to a generals.]</t>
        </r>
      </text>
    </comment>
    <comment ref="A13" authorId="0" shapeId="0" xr:uid="{54101233-E76D-4E49-9198-6F633F8E3C95}">
      <text>
        <r>
          <rPr>
            <sz val="9"/>
            <color indexed="81"/>
            <rFont val="Tahoma"/>
            <family val="2"/>
            <charset val="204"/>
          </rPr>
          <t>Although the Lord High Marshal is indeed a rank, it is also more than   just a rank.  It is also a specific position within the command   structure of the military.  There is only one Lord High Marshal at any   given time, and he is the commander of all the military forces of Cormyr   and is second only to the King in matters of military authority.</t>
        </r>
      </text>
    </comment>
    <comment ref="F34" authorId="0" shapeId="0" xr:uid="{622E4295-1179-4699-ADFB-3926A1ACB6FE}">
      <text>
        <r>
          <rPr>
            <b/>
            <sz val="9"/>
            <color indexed="81"/>
            <rFont val="Tahoma"/>
            <family val="2"/>
            <charset val="204"/>
          </rPr>
          <t>Палихов Антон:</t>
        </r>
        <r>
          <rPr>
            <sz val="9"/>
            <color indexed="81"/>
            <rFont val="Tahoma"/>
            <family val="2"/>
            <charset val="204"/>
          </rPr>
          <t xml:space="preserve">
[Swordlords, lancelords, arrowmasters, wardens, boldshields, lord commanders, and quartermasters are literally mentioned in various canon sources, thus are described first; the remainder are not mentioned in canon.]</t>
        </r>
      </text>
    </comment>
    <comment ref="I35" authorId="0" shapeId="0" xr:uid="{1B114828-DA12-438D-B03C-70391FF8DAEC}">
      <text>
        <r>
          <rPr>
            <b/>
            <sz val="9"/>
            <color indexed="81"/>
            <rFont val="Tahoma"/>
            <family val="2"/>
            <charset val="204"/>
          </rPr>
          <t>Палихов Антон:</t>
        </r>
        <r>
          <rPr>
            <sz val="9"/>
            <color indexed="81"/>
            <rFont val="Tahoma"/>
            <family val="2"/>
            <charset val="204"/>
          </rPr>
          <t xml:space="preserve">
. (See Thomas M. Costa's article Heroes of Cormyr, in Dragon #307, for more detail of the Battlepriest prestige class.)</t>
        </r>
      </text>
    </comment>
    <comment ref="G36" authorId="0" shapeId="0" xr:uid="{92E6F50A-6E52-4C55-B44F-F047460D239C}">
      <text>
        <r>
          <rPr>
            <sz val="9"/>
            <color indexed="81"/>
            <rFont val="Tahoma"/>
            <family val="2"/>
            <charset val="204"/>
          </rPr>
          <t xml:space="preserve">[DotD,p.230 mentions arrowmasters as the leaders of groups of archers. There is some indication that the arrowmaster in this particular case might be an enlisted man rather than an officer — a swordlord calls him 'soldier' — but I find it unlikely that the leader of a large number of men (even archers) would generally be an enlisted man.
</t>
        </r>
      </text>
    </comment>
    <comment ref="I36" authorId="0" shapeId="0" xr:uid="{039560A4-D32A-4AB0-B716-2E16222F8087}">
      <text>
        <r>
          <rPr>
            <b/>
            <sz val="9"/>
            <color indexed="81"/>
            <rFont val="Tahoma"/>
            <family val="2"/>
            <charset val="204"/>
          </rPr>
          <t>Палихов Антон:</t>
        </r>
        <r>
          <rPr>
            <sz val="9"/>
            <color indexed="81"/>
            <rFont val="Tahoma"/>
            <family val="2"/>
            <charset val="204"/>
          </rPr>
          <t xml:space="preserve">
[Emperel Ruousk, an agent of the Crown depicted in BtHR, would be an example of a Royal Scout. Rowan Cormaeril, also from BtHR, is also likely a Royal Scout.]</t>
        </r>
      </text>
    </comment>
    <comment ref="F37" authorId="0" shapeId="0" xr:uid="{F945A9D8-1DF3-4A6E-92D2-52D4EDCF17C0}">
      <text>
        <r>
          <rPr>
            <b/>
            <sz val="9"/>
            <color indexed="81"/>
            <rFont val="Tahoma"/>
            <family val="2"/>
            <charset val="204"/>
          </rPr>
          <t>Палихов Антон:</t>
        </r>
        <r>
          <rPr>
            <sz val="9"/>
            <color indexed="81"/>
            <rFont val="Tahoma"/>
            <family val="2"/>
            <charset val="204"/>
          </rPr>
          <t xml:space="preserve">
[Stmlt,p.11&amp;26 mentions the title of boldshield in the person of Ergluth Rowanmantle. Ed Greenwood describes the location of the district (which contains Firefall Vale) at http://www.candlekeep.com/library/articles/firefall.htm.]</t>
        </r>
      </text>
    </comment>
    <comment ref="I37" authorId="0" shapeId="0" xr:uid="{A49F9E03-B32A-4A82-8FDF-73C39EEBF956}">
      <text>
        <r>
          <rPr>
            <b/>
            <sz val="9"/>
            <color indexed="81"/>
            <rFont val="Tahoma"/>
            <family val="2"/>
            <charset val="204"/>
          </rPr>
          <t>Палихов Антон:</t>
        </r>
        <r>
          <rPr>
            <sz val="9"/>
            <color indexed="81"/>
            <rFont val="Tahoma"/>
            <family val="2"/>
            <charset val="204"/>
          </rPr>
          <t xml:space="preserve">
[The King's Messengers are mentioned in DotD,p.215 of the hardcover edition.]</t>
        </r>
      </text>
    </comment>
    <comment ref="F44" authorId="0" shapeId="0" xr:uid="{1C1214DB-6CEE-43EB-AA53-5CCB9C7DF5DD}">
      <text>
        <r>
          <rPr>
            <b/>
            <sz val="9"/>
            <color indexed="81"/>
            <rFont val="Tahoma"/>
            <family val="2"/>
            <charset val="204"/>
          </rPr>
          <t>Палихов Антон:</t>
        </r>
        <r>
          <rPr>
            <sz val="9"/>
            <color indexed="81"/>
            <rFont val="Tahoma"/>
            <family val="2"/>
            <charset val="204"/>
          </rPr>
          <t xml:space="preserve">
[The lord commander title as an annual appointment is mentioned in GTR,p.51. That the lord commander has a herald is mentioned in C9410,p.26. BtHR,p.77 mentions that Bren Tallsword is the Lord Commander of Castle Crag.]</t>
        </r>
      </text>
    </comment>
    <comment ref="F46" authorId="0" shapeId="0" xr:uid="{D46D0C76-8374-4CE3-98EC-EECC818A705E}">
      <text>
        <r>
          <rPr>
            <sz val="12"/>
            <color indexed="81"/>
            <rFont val="MrsEavesRoman"/>
          </rPr>
          <t>[VGtC,p.155: Army quartermasters are mentioned in the description of Alzael's Cleaver.]</t>
        </r>
        <r>
          <rPr>
            <sz val="9"/>
            <color indexed="81"/>
            <rFont val="Tahoma"/>
            <family val="2"/>
            <charset val="204"/>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O4" authorId="0" shapeId="0" xr:uid="{A502F5B0-911E-418C-A382-8C37E052CE3A}">
      <text>
        <r>
          <rPr>
            <sz val="12"/>
            <color indexed="81"/>
            <rFont val="MrsEavesRoman"/>
          </rPr>
          <t>[CaN,p.115 refers to the two dozen knights with Alusair as a company, which backs up the size of 20-30 men, and p.382 has Jorunhast speaking of "seven companies"; speaking of seven distinct entities also strongly implies a specific organizational unit. BtHR,p.1 speaks of a company as a specific unit having more than 20 (presumably less than 30) men, p.15 refers to two companies (and a captain and two scouts of that company, p.27 refers to a specific company called the "Sleeping Sword" (although p.366 says that the Sleeping Sword is 500 knights which is regiment-sized), p.70 mentions that a company has a specific insignia which clearly indicates a specific unit of organization, p.121 calls Tanalasta's bodyguard an "entire company" which previously on p.90 was 25 men led by a lionar (that it's a royal bodyguard justifies a higher-ranking leader, and also backs up that a lionar is not a junior officer), p.149 Azoun mentions multiple companies of Purple Dragons as if they were specific units, p.183 mentions that a fully armored company has at least 50 horselegs, which amounts to at least 13 horses and 13 men on them, p.220 describes Alusair as leading a "full company of warriors" which was sized in CaN as two dozen, and p.230 describes the Royal Excursionary Company led by Vangerdahast as made up of 50 war wizards and 200 Purple Dragons. PoL,p.1 also mentions a company of Purple Dragons. Although there are a couple of exceptions, the predominant cites clearly indicate company is a regulation military unit of 20-30 men.]
[FoMD gives precedent for using several real-world unit names in the Realms: regiments and battalions in the Army of Darkness on p.14 and companies, battalions, and regiments in the Akh'Velar on p.16.]</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EU2" authorId="0" shapeId="0" xr:uid="{ED52C2E3-DE38-43CB-8B49-DAE820289F2D}">
      <text>
        <r>
          <rPr>
            <sz val="10"/>
            <color rgb="FF000000"/>
            <rFont val="Arial"/>
            <family val="2"/>
            <charset val="204"/>
          </rPr>
          <t>Don't change anything in these columns V-X.
This sheet is used to generate random values that are copied to the Weather sheet.</t>
        </r>
      </text>
    </comment>
    <comment ref="AH3" authorId="0" shapeId="0" xr:uid="{00000000-0006-0000-0200-000001000000}">
      <text>
        <r>
          <rPr>
            <sz val="10"/>
            <color rgb="FF000000"/>
            <rFont val="Arial"/>
            <family val="2"/>
            <charset val="204"/>
          </rPr>
          <t>Equipped Magic item Weights</t>
        </r>
      </text>
    </comment>
    <comment ref="AI3" authorId="0" shapeId="0" xr:uid="{00000000-0006-0000-0200-000002000000}">
      <text>
        <r>
          <rPr>
            <sz val="10"/>
            <color rgb="FF000000"/>
            <rFont val="Arial"/>
            <family val="2"/>
            <charset val="204"/>
          </rPr>
          <t>Mount Magic item Weights</t>
        </r>
      </text>
    </comment>
    <comment ref="AJ3" authorId="0" shapeId="0" xr:uid="{00000000-0006-0000-0200-000003000000}">
      <text>
        <r>
          <rPr>
            <sz val="10"/>
            <color rgb="FF000000"/>
            <rFont val="Arial"/>
            <family val="2"/>
            <charset val="204"/>
          </rPr>
          <t>Total Coin Weights</t>
        </r>
      </text>
    </comment>
    <comment ref="AK3" authorId="0" shapeId="0" xr:uid="{00000000-0006-0000-0200-000004000000}">
      <text>
        <r>
          <rPr>
            <sz val="10"/>
            <color rgb="FF000000"/>
            <rFont val="Arial"/>
            <family val="2"/>
            <charset val="204"/>
          </rPr>
          <t>Total Gem Weights</t>
        </r>
      </text>
    </comment>
    <comment ref="AL3" authorId="0" shapeId="0" xr:uid="{00000000-0006-0000-0200-000005000000}">
      <text>
        <r>
          <rPr>
            <sz val="10"/>
            <color rgb="FF000000"/>
            <rFont val="Arial"/>
            <family val="2"/>
            <charset val="204"/>
          </rPr>
          <t>Equipped Stock Weights</t>
        </r>
      </text>
    </comment>
    <comment ref="AM3" authorId="0" shapeId="0" xr:uid="{00000000-0006-0000-0200-000006000000}">
      <text>
        <r>
          <rPr>
            <sz val="10"/>
            <color rgb="FF000000"/>
            <rFont val="Arial"/>
            <family val="2"/>
            <charset val="204"/>
          </rPr>
          <t>Mount Stock Weights</t>
        </r>
      </text>
    </comment>
    <comment ref="AN3" authorId="0" shapeId="0" xr:uid="{00000000-0006-0000-0200-000007000000}">
      <text>
        <r>
          <rPr>
            <sz val="10"/>
            <color rgb="FF000000"/>
            <rFont val="Arial"/>
            <family val="2"/>
            <charset val="204"/>
          </rPr>
          <t>Equipped Item Weights</t>
        </r>
      </text>
    </comment>
    <comment ref="AO3" authorId="0" shapeId="0" xr:uid="{00000000-0006-0000-0200-000008000000}">
      <text>
        <r>
          <rPr>
            <sz val="10"/>
            <color rgb="FF000000"/>
            <rFont val="Arial"/>
            <family val="2"/>
            <charset val="204"/>
          </rPr>
          <t>Mount Item Weights</t>
        </r>
      </text>
    </comment>
    <comment ref="AP3" authorId="0" shapeId="0" xr:uid="{00000000-0006-0000-0200-000009000000}">
      <text>
        <r>
          <rPr>
            <sz val="10"/>
            <color rgb="FF000000"/>
            <rFont val="Arial"/>
            <family val="2"/>
            <charset val="204"/>
          </rPr>
          <t>Total Container Fill Weights or Quantities</t>
        </r>
      </text>
    </comment>
    <comment ref="AQ3" authorId="0" shapeId="0" xr:uid="{00000000-0006-0000-0200-00000A000000}">
      <text>
        <r>
          <rPr>
            <sz val="10"/>
            <color rgb="FF000000"/>
            <rFont val="Arial"/>
            <family val="2"/>
            <charset val="204"/>
          </rPr>
          <t>Item Total Weights</t>
        </r>
      </text>
    </comment>
    <comment ref="AR3" authorId="0" shapeId="0" xr:uid="{00000000-0006-0000-0200-00000B000000}">
      <text>
        <r>
          <rPr>
            <sz val="10"/>
            <color rgb="FF000000"/>
            <rFont val="Arial"/>
            <family val="2"/>
            <charset val="204"/>
          </rPr>
          <t xml:space="preserve">Stock Total Weights
</t>
        </r>
      </text>
    </comment>
    <comment ref="AH132" authorId="0" shapeId="0" xr:uid="{00000000-0006-0000-0800-000001000000}">
      <text>
        <r>
          <rPr>
            <sz val="10"/>
            <color rgb="FF000000"/>
            <rFont val="Arial"/>
            <family val="2"/>
            <charset val="204"/>
          </rPr>
          <t>Monster Manual</t>
        </r>
      </text>
    </comment>
    <comment ref="AH133" authorId="0" shapeId="0" xr:uid="{00000000-0006-0000-0800-000002000000}">
      <text>
        <r>
          <rPr>
            <sz val="10"/>
            <color rgb="FF000000"/>
            <rFont val="Arial"/>
            <family val="2"/>
            <charset val="204"/>
          </rPr>
          <t>Player's Handbook</t>
        </r>
      </text>
    </comment>
    <comment ref="AH134" authorId="0" shapeId="0" xr:uid="{00000000-0006-0000-0800-000003000000}">
      <text>
        <r>
          <rPr>
            <sz val="10"/>
            <color rgb="FF000000"/>
            <rFont val="Arial"/>
            <family val="2"/>
            <charset val="204"/>
          </rPr>
          <t>Dungeon Master's Guide</t>
        </r>
      </text>
    </comment>
    <comment ref="AH135" authorId="0" shapeId="0" xr:uid="{00000000-0006-0000-0800-000004000000}">
      <text>
        <r>
          <rPr>
            <sz val="10"/>
            <color rgb="FF000000"/>
            <rFont val="Arial"/>
            <family val="2"/>
            <charset val="204"/>
          </rPr>
          <t xml:space="preserve">Starter Set:
Lost Mine of Phandelver
</t>
        </r>
      </text>
    </comment>
    <comment ref="AH136" authorId="0" shapeId="0" xr:uid="{00000000-0006-0000-0800-000005000000}">
      <text>
        <r>
          <rPr>
            <sz val="10"/>
            <color rgb="FF000000"/>
            <rFont val="Arial"/>
            <family val="2"/>
            <charset val="204"/>
          </rPr>
          <t>Hoard of the Dragon Queen</t>
        </r>
      </text>
    </comment>
    <comment ref="AH137" authorId="0" shapeId="0" xr:uid="{00000000-0006-0000-0800-000006000000}">
      <text>
        <r>
          <rPr>
            <sz val="10"/>
            <color rgb="FF000000"/>
            <rFont val="Arial"/>
            <family val="2"/>
            <charset val="204"/>
          </rPr>
          <t>Rise of Tiamat</t>
        </r>
      </text>
    </comment>
    <comment ref="AH138" authorId="0" shapeId="0" xr:uid="{00000000-0006-0000-0800-000007000000}">
      <text>
        <r>
          <rPr>
            <sz val="10"/>
            <color rgb="FF000000"/>
            <rFont val="Arial"/>
            <family val="2"/>
            <charset val="204"/>
          </rPr>
          <t>Princes of the Apocalypse</t>
        </r>
      </text>
    </comment>
    <comment ref="AH139" authorId="0" shapeId="0" xr:uid="{00000000-0006-0000-0800-000008000000}">
      <text>
        <r>
          <rPr>
            <sz val="10"/>
            <color rgb="FF000000"/>
            <rFont val="Arial"/>
            <family val="2"/>
            <charset val="204"/>
          </rPr>
          <t>DM's Basic Rules</t>
        </r>
      </text>
    </comment>
    <comment ref="AH140" authorId="0" shapeId="0" xr:uid="{00000000-0006-0000-0800-000009000000}">
      <text>
        <r>
          <rPr>
            <sz val="10"/>
            <color rgb="FF000000"/>
            <rFont val="Arial"/>
            <family val="2"/>
            <charset val="204"/>
          </rPr>
          <t>System Reference Document</t>
        </r>
      </text>
    </comment>
    <comment ref="AH141" authorId="0" shapeId="0" xr:uid="{00000000-0006-0000-0800-00000A000000}">
      <text>
        <r>
          <rPr>
            <sz val="10"/>
            <color rgb="FF000000"/>
            <rFont val="Arial"/>
            <family val="2"/>
            <charset val="204"/>
          </rPr>
          <t>Hoard of the Dragon Queen Supplement</t>
        </r>
      </text>
    </comment>
    <comment ref="AH142" authorId="0" shapeId="0" xr:uid="{00000000-0006-0000-0800-00000B000000}">
      <text>
        <r>
          <rPr>
            <sz val="10"/>
            <color rgb="FF000000"/>
            <rFont val="Arial"/>
            <family val="2"/>
            <charset val="204"/>
          </rPr>
          <t>Rise of Tiamat Supplement</t>
        </r>
      </text>
    </comment>
    <comment ref="AH143" authorId="0" shapeId="0" xr:uid="{00000000-0006-0000-0800-00000C000000}">
      <text>
        <r>
          <rPr>
            <sz val="10"/>
            <color rgb="FF000000"/>
            <rFont val="Arial"/>
            <family val="2"/>
            <charset val="204"/>
          </rPr>
          <t>D&amp;D Encounters:
Hoard of the Dragon Queen</t>
        </r>
      </text>
    </comment>
    <comment ref="AH144" authorId="0" shapeId="0" xr:uid="{00000000-0006-0000-0800-00000D000000}">
      <text>
        <r>
          <rPr>
            <sz val="10"/>
            <color rgb="FF000000"/>
            <rFont val="Arial"/>
            <family val="2"/>
            <charset val="204"/>
          </rPr>
          <t>D&amp;D Expeditions:
1. Defiance in Phlan
2. Secrets of Sokol Keep
3. Shadows over the Moonsea
4. Dues for the Dead
5. The Courting of Fire
6. The Scroll Thief
7. Drums in the Marsh
8. Tales Trees Tell
9. Outlaws of the Iron Route
10. Tyranny of Phlan
11. Dark Pyramid of Sorcerer's Isle
12. Raiders of the Twilight Marsh
13. Pool of Radiance Resurgent
14. Escape from Phlan</t>
        </r>
      </text>
    </comment>
    <comment ref="AH145" authorId="0" shapeId="0" xr:uid="{00000000-0006-0000-0800-00000E000000}">
      <text>
        <r>
          <rPr>
            <sz val="10"/>
            <color rgb="FF000000"/>
            <rFont val="Arial"/>
            <family val="2"/>
            <charset val="204"/>
          </rPr>
          <t>Princes of the Apocalypse Supplement</t>
        </r>
      </text>
    </comment>
    <comment ref="AH146" authorId="0" shapeId="0" xr:uid="{00000000-0006-0000-0800-00000F000000}">
      <text>
        <r>
          <rPr>
            <sz val="10"/>
            <color rgb="FF000000"/>
            <rFont val="Arial"/>
            <family val="2"/>
            <charset val="204"/>
          </rPr>
          <t>D&amp;D Encounters:
Princes of the Apocalypse</t>
        </r>
      </text>
    </comment>
    <comment ref="AH147" authorId="0" shapeId="0" xr:uid="{00000000-0006-0000-0800-000010000000}">
      <text>
        <r>
          <rPr>
            <sz val="10"/>
            <color rgb="FF000000"/>
            <rFont val="Arial"/>
            <family val="2"/>
            <charset val="204"/>
          </rPr>
          <t>D&amp;D Expeditions:
1. City of Danger
2. Embers of Elmwood
3. The Drowned Tower
4. Mayhem in the Earthspur Mines
5. Flames of Kythorn
6. Breath of the Yellow Rose
7. Bounty in the Bog
8. Foulness Beneath Mulmaster
9. Eye of the Tempest
10. Cloaks and Shadows
11. Oubliette of Fort Iron
12. Dark Rites at Fort Dalton
13. The Howling Void</t>
        </r>
      </text>
    </comment>
    <comment ref="AH148" authorId="0" shapeId="0" xr:uid="{00000000-0006-0000-0800-000011000000}">
      <text>
        <r>
          <rPr>
            <sz val="10"/>
            <color rgb="FF000000"/>
            <rFont val="Arial"/>
            <family val="2"/>
            <charset val="204"/>
          </rPr>
          <t>D&amp;D Encounters:
Out of the Abyss</t>
        </r>
      </text>
    </comment>
    <comment ref="AH149" authorId="0" shapeId="0" xr:uid="{00000000-0006-0000-0800-000012000000}">
      <text>
        <r>
          <rPr>
            <sz val="10"/>
            <color rgb="FF000000"/>
            <rFont val="Arial"/>
            <family val="2"/>
            <charset val="204"/>
          </rPr>
          <t>D&amp;D Expeditions:
1. Harried in Hillsfar
2. Shackles of Blood
3. The Occupation of Szith Morcane
4. It's All in the Blood
5. Bane of the Tradeways
6. No Foolish Matter
7. Herald of the Moon
8. The Malady of Elventree
9. The Waydown
10. Quelling the Horde
11. The Quest for Sporedome
12. Hillsfar Reclaimed
13. Writhing in the Dark
14. Death on the Wall
15. Szith Morcane Unbound
16. Assault on Maermydra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U4" authorId="0" shapeId="0" xr:uid="{6DB6B600-1237-4142-8201-6FEA76AF445E}">
      <text>
        <r>
          <rPr>
            <b/>
            <sz val="11"/>
            <color indexed="81"/>
            <rFont val="Tahoma"/>
            <family val="2"/>
          </rPr>
          <t xml:space="preserve">Credits
</t>
        </r>
      </text>
    </comment>
    <comment ref="U6" authorId="0" shapeId="0" xr:uid="{FF1D371F-0CFB-4A73-B795-5FEC945ABA4E}">
      <text>
        <r>
          <rPr>
            <sz val="24"/>
            <color indexed="81"/>
            <rFont val="Cyrillic5e"/>
            <charset val="204"/>
          </rPr>
          <t>Playtesters:
players from my home campaign: 
Также отдельная признательность Уберкракену за бесценные советы и помощь.</t>
        </r>
      </text>
    </comment>
    <comment ref="U8" authorId="0" shapeId="0" xr:uid="{6352AF34-0770-4E06-8056-12260C23DEC7}">
      <text>
        <r>
          <rPr>
            <b/>
            <sz val="11"/>
            <color indexed="81"/>
            <rFont val="Tahoma"/>
            <family val="2"/>
          </rPr>
          <t xml:space="preserve">Introduction
</t>
        </r>
        <r>
          <rPr>
            <sz val="11"/>
            <color indexed="81"/>
            <rFont val="Tahoma"/>
            <family val="2"/>
          </rPr>
          <t xml:space="preserve">
</t>
        </r>
      </text>
    </comment>
    <comment ref="U10" authorId="0" shapeId="0" xr:uid="{9DA21F25-7A2C-44EB-823C-BF48CFDA0F42}">
      <text>
        <r>
          <rPr>
            <b/>
            <sz val="11"/>
            <color indexed="81"/>
            <rFont val="Tahoma"/>
            <family val="2"/>
          </rPr>
          <t>Adventure Premise</t>
        </r>
        <r>
          <rPr>
            <sz val="11"/>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<sst xmlns="http://schemas.openxmlformats.org/spreadsheetml/2006/main" count="41328" uniqueCount="18731">
  <si>
    <t>Landed Lords, Nobles, and Fiefdoms</t>
  </si>
  <si>
    <t>Arabel</t>
  </si>
  <si>
    <t>Lord of City</t>
  </si>
  <si>
    <t>Major Merchant Houses / WW school</t>
  </si>
  <si>
    <t>Population</t>
  </si>
  <si>
    <t>Nobles and lords</t>
  </si>
  <si>
    <t>Merchant Houses/Industry</t>
  </si>
  <si>
    <t>Merchantile Goods</t>
  </si>
  <si>
    <t>Adventure</t>
  </si>
  <si>
    <t>Normal</t>
  </si>
  <si>
    <t>Luxury</t>
  </si>
  <si>
    <t>Huntcrown</t>
  </si>
  <si>
    <t>Baerlear</t>
  </si>
  <si>
    <t>Horsebreeding</t>
  </si>
  <si>
    <t>Lhal</t>
  </si>
  <si>
    <t>Bhela</t>
  </si>
  <si>
    <t>Woodworking</t>
  </si>
  <si>
    <t>Marliir</t>
  </si>
  <si>
    <t>Dragoneye</t>
  </si>
  <si>
    <t>Farming, Livestock</t>
  </si>
  <si>
    <t>Morler</t>
  </si>
  <si>
    <t>Gelzunduth</t>
  </si>
  <si>
    <t>Furniture, Locks</t>
  </si>
  <si>
    <t>Hiloar</t>
  </si>
  <si>
    <t>Jewellers; Fine Art-crafting</t>
  </si>
  <si>
    <t>Iron House</t>
  </si>
  <si>
    <t>Armor and weapons</t>
  </si>
  <si>
    <t>Raliqh</t>
  </si>
  <si>
    <t>Tannery, Tailors</t>
  </si>
  <si>
    <t>Misrim</t>
  </si>
  <si>
    <t>City Sales Tax .10</t>
  </si>
  <si>
    <t>Nyaril</t>
  </si>
  <si>
    <t>Six Coffers</t>
  </si>
  <si>
    <t>Thond</t>
  </si>
  <si>
    <t>Thousandheads</t>
  </si>
  <si>
    <t>Trueshields</t>
  </si>
  <si>
    <t>Aunkspear</t>
  </si>
  <si>
    <t>Lorelei Calantar</t>
  </si>
  <si>
    <t>Blackwagon</t>
  </si>
  <si>
    <t>Royal Blood Carvers and Carpenters (NMH)</t>
  </si>
  <si>
    <t>Farming; Horsebreeders</t>
  </si>
  <si>
    <t>Calantar</t>
  </si>
  <si>
    <t>Philip Calantar</t>
  </si>
  <si>
    <t>Battlerise</t>
  </si>
  <si>
    <t>Abandoned Castletown</t>
  </si>
  <si>
    <t>Yulstin Auantiver</t>
  </si>
  <si>
    <t>Auantiver (crazy family yet still a Noble House)</t>
  </si>
  <si>
    <t>Farming; Timbering</t>
  </si>
  <si>
    <t>Hawksong</t>
  </si>
  <si>
    <t>Woodcrafting, Furniture</t>
  </si>
  <si>
    <t>Blustich</t>
  </si>
  <si>
    <t>Segovia Zathchos</t>
  </si>
  <si>
    <t>Zathchos</t>
  </si>
  <si>
    <t>Zathchos Trade House (RMH)</t>
  </si>
  <si>
    <t>Fishing, Hunting</t>
  </si>
  <si>
    <t>BogBrooke</t>
  </si>
  <si>
    <t>Jarl Kuhtan</t>
  </si>
  <si>
    <t>Kuhtan</t>
  </si>
  <si>
    <t>Variants of Utterdark wine</t>
  </si>
  <si>
    <t>Jhalonson Winery</t>
  </si>
  <si>
    <t>Crayfish; bogfish</t>
  </si>
  <si>
    <t>Ittreer Winery</t>
  </si>
  <si>
    <t>Woodcrafting</t>
  </si>
  <si>
    <t>Athantal Winery</t>
  </si>
  <si>
    <t>Fruits; famous melons</t>
  </si>
  <si>
    <t>GrapesofBogville Trading House (NMH)</t>
  </si>
  <si>
    <t>Bospir</t>
  </si>
  <si>
    <t>Slthuvarin</t>
  </si>
  <si>
    <t>Slthuvarin Jewellers (NMH)</t>
  </si>
  <si>
    <t>Clothing/textiles</t>
  </si>
  <si>
    <t>Sheeps; Dairy</t>
  </si>
  <si>
    <t>Castle Crag</t>
  </si>
  <si>
    <t>Lg Fortified Township/Purple Dragon Garrison</t>
  </si>
  <si>
    <t>Bren Tallsword</t>
  </si>
  <si>
    <t>Axehand</t>
  </si>
  <si>
    <t>Tallswords</t>
  </si>
  <si>
    <t>Hawklin</t>
  </si>
  <si>
    <t>Dawngleam</t>
  </si>
  <si>
    <t>Booming Seaport; Smugglers Cove; Black Market</t>
  </si>
  <si>
    <t>Illance</t>
  </si>
  <si>
    <t>Austas Argyr; lg General Store</t>
  </si>
  <si>
    <t>Fastest growth in Cormyr; specialized shellfish</t>
  </si>
  <si>
    <t>Hornblower Shipwright (NMH)</t>
  </si>
  <si>
    <t>Pearls</t>
  </si>
  <si>
    <t>Dhedluk</t>
  </si>
  <si>
    <t>Forest Village</t>
  </si>
  <si>
    <t>Huntsilver</t>
  </si>
  <si>
    <t>Woodcarvers; herbalists</t>
  </si>
  <si>
    <t>215 Elf</t>
  </si>
  <si>
    <t>Farming, Dairy, livestock</t>
  </si>
  <si>
    <t>Dreamer's Rock</t>
  </si>
  <si>
    <t>On Major Trade Route; Jewelry; Freshwater Pearls; Exotic (FW) Shellfish</t>
  </si>
  <si>
    <t>Cormaeril</t>
  </si>
  <si>
    <t>Cormaeril Trade House</t>
  </si>
  <si>
    <t>sheep; farming, fishing</t>
  </si>
  <si>
    <t>crude copper mines</t>
  </si>
  <si>
    <t>Shellfish; pearls</t>
  </si>
  <si>
    <t>Dairy, Livestock</t>
  </si>
  <si>
    <t>Eagle Peak</t>
  </si>
  <si>
    <t>Western Purple Dragon Garrison</t>
  </si>
  <si>
    <t>Magnoir</t>
  </si>
  <si>
    <t>Thiombur Magnoir</t>
  </si>
  <si>
    <t>Iravan (RMH)</t>
  </si>
  <si>
    <t>Mining; metals and gems</t>
  </si>
  <si>
    <t>Bleth</t>
  </si>
  <si>
    <t>Dairy; DeathCheese</t>
  </si>
  <si>
    <t>Cormaeril Trade House (RMH)</t>
  </si>
  <si>
    <t>Herbalists</t>
  </si>
  <si>
    <t>Farming; oils; tars</t>
  </si>
  <si>
    <t>Skatterhawk</t>
  </si>
  <si>
    <t>Iravan</t>
  </si>
  <si>
    <t>Espar</t>
  </si>
  <si>
    <t>StormHaven House WW College</t>
  </si>
  <si>
    <t>Ulric Huntcrown</t>
  </si>
  <si>
    <t>Battlestorm Brewery (NMH)</t>
  </si>
  <si>
    <t>Stone, Granite, Marble</t>
  </si>
  <si>
    <t>Jaarginaarg Hlugnorgyn Tradekind (dwarfMerchants)</t>
  </si>
  <si>
    <t>Copper, Tin, Iron, Nickel</t>
  </si>
  <si>
    <t>300 Dw</t>
  </si>
  <si>
    <t>Gems Buy .35/Sell 1.9</t>
  </si>
  <si>
    <t>Gold, silver, Emeralds,</t>
  </si>
  <si>
    <t>Rubies, diamonds, garnet</t>
  </si>
  <si>
    <t>Beer; Mining equipment</t>
  </si>
  <si>
    <t>Armor and Weapons</t>
  </si>
  <si>
    <t>Lumber and Furniture</t>
  </si>
  <si>
    <t>Eveningstar</t>
  </si>
  <si>
    <t>On Major Trade Route;</t>
  </si>
  <si>
    <t>Tessaril Winter</t>
  </si>
  <si>
    <t>Ruldo Livery (NMH)</t>
  </si>
  <si>
    <t>Horsebreeder</t>
  </si>
  <si>
    <t>Cartwright</t>
  </si>
  <si>
    <t>Winter</t>
  </si>
  <si>
    <t>Tressym flying cats</t>
  </si>
  <si>
    <t>Various quarry rocks</t>
  </si>
  <si>
    <t>Ghars</t>
  </si>
  <si>
    <t>Small Purple Dragon Citadel Nearby</t>
  </si>
  <si>
    <t>Tommy Flurryfeet</t>
  </si>
  <si>
    <t>Flurryfeet</t>
  </si>
  <si>
    <t>Flurryfeet Produce (NMH)</t>
  </si>
  <si>
    <t>Farming; Dairy; Livestock</t>
  </si>
  <si>
    <t>Gladehap</t>
  </si>
  <si>
    <t>On Trade Route; Merchant houses/stores</t>
  </si>
  <si>
    <t>1986 Hu</t>
  </si>
  <si>
    <t>Barthemeir Needles and Nails;Steelsmith</t>
  </si>
  <si>
    <t>Massive flea market</t>
  </si>
  <si>
    <t>750 Hfl</t>
  </si>
  <si>
    <t>Wyrmkindler's Sausagery</t>
  </si>
  <si>
    <t>Crafters refuge</t>
  </si>
  <si>
    <t>Gorthin</t>
  </si>
  <si>
    <t>Mysterious dwarven mines; Sm Purple Dragon Outpost</t>
  </si>
  <si>
    <t>Sheep, farming, berries</t>
  </si>
  <si>
    <t>Dairy, Livestock,</t>
  </si>
  <si>
    <t>Gray Oaks</t>
  </si>
  <si>
    <t>Breadbasket; Prime Livestock</t>
  </si>
  <si>
    <t>Joshua Janders</t>
  </si>
  <si>
    <t>400 Hfl</t>
  </si>
  <si>
    <t>Janders</t>
  </si>
  <si>
    <t>Livestock; Dairy</t>
  </si>
  <si>
    <t>150 Hu</t>
  </si>
  <si>
    <t>Tanneries; Farming</t>
  </si>
  <si>
    <t>Woodcrafting; furriers</t>
  </si>
  <si>
    <t>Greatgaunt</t>
  </si>
  <si>
    <t>Merchant Trade Route; Dwarven metal workers and Miners</t>
  </si>
  <si>
    <t>4942 Hu</t>
  </si>
  <si>
    <t>Dauntinghorn</t>
  </si>
  <si>
    <t>Mining; Jewelry; Armor</t>
  </si>
  <si>
    <t>320 Dw</t>
  </si>
  <si>
    <t>Rallyhorn</t>
  </si>
  <si>
    <t>Adventuring equipment</t>
  </si>
  <si>
    <t>453 Gn</t>
  </si>
  <si>
    <t>Cartwrights</t>
  </si>
  <si>
    <t>Dwarven ales and Beers</t>
  </si>
  <si>
    <t>Halfhap</t>
  </si>
  <si>
    <t>Military Fortress-town; Lg Purple Dragon Fortress 2500PdK</t>
  </si>
  <si>
    <t>Emmarasks</t>
  </si>
  <si>
    <t>Customs and Taxes</t>
  </si>
  <si>
    <t>Cormaerils</t>
  </si>
  <si>
    <t>Silverswords</t>
  </si>
  <si>
    <t>High Horn</t>
  </si>
  <si>
    <t>Military Fortress-town; surrounded with trade-buildings</t>
  </si>
  <si>
    <t>Axehands</t>
  </si>
  <si>
    <t>Beldamy Axehand</t>
  </si>
  <si>
    <t>Mountaineering; mines</t>
  </si>
  <si>
    <t>Obarskyrs</t>
  </si>
  <si>
    <t>Jewelry, Armor &amp; wpns</t>
  </si>
  <si>
    <t>Hillmarch</t>
  </si>
  <si>
    <t>Small Purple Dragon Outpost; 500PdK</t>
  </si>
  <si>
    <t>Capt Francis Drake</t>
  </si>
  <si>
    <t>Wpnsmiths; Gem mines</t>
  </si>
  <si>
    <t>Mining, Armorsmiths</t>
  </si>
  <si>
    <t>Hilp</t>
  </si>
  <si>
    <t>Merchant Houses; Merchant Trade Route</t>
  </si>
  <si>
    <t>Doon Dzavar</t>
  </si>
  <si>
    <t>Dzavars</t>
  </si>
  <si>
    <t>Barrels and wagons</t>
  </si>
  <si>
    <t>Stelk plant prot vs Elec</t>
  </si>
  <si>
    <t>Furniture; Farming; Livestock</t>
  </si>
  <si>
    <t>Hornshield</t>
  </si>
  <si>
    <t>Royal Mines; Lg Purple Dragon Outpost; 1000PdK</t>
  </si>
  <si>
    <t>Angus Hornshield</t>
  </si>
  <si>
    <t>4300 Hu</t>
  </si>
  <si>
    <t>Hornshields</t>
  </si>
  <si>
    <t>Mountaineering; wpns</t>
  </si>
  <si>
    <t>3400 Dw</t>
  </si>
  <si>
    <t>Nelduks</t>
  </si>
  <si>
    <t>Magiks; Mining; Armor</t>
  </si>
  <si>
    <t>Soreshores</t>
  </si>
  <si>
    <t>Tilthars</t>
  </si>
  <si>
    <t>Hultail</t>
  </si>
  <si>
    <t>Dylvis Longbrooke</t>
  </si>
  <si>
    <t>Longbrookes</t>
  </si>
  <si>
    <t>Trindar Shipyards</t>
  </si>
  <si>
    <t>Oils, farming;candles</t>
  </si>
  <si>
    <t>Hawklins</t>
  </si>
  <si>
    <t>Shipwrights; fishing</t>
  </si>
  <si>
    <t>Livestock; Tannery</t>
  </si>
  <si>
    <t>Huthduth</t>
  </si>
  <si>
    <t>Small Military Keep</t>
  </si>
  <si>
    <t>Nvarim Lionsyn</t>
  </si>
  <si>
    <t>Lionsyns</t>
  </si>
  <si>
    <t>Farming, ranching, Dairy</t>
  </si>
  <si>
    <t>Immersea</t>
  </si>
  <si>
    <t>Shipping town; Travellers' Crossing</t>
  </si>
  <si>
    <t>Samtavan Sudacar</t>
  </si>
  <si>
    <t>Sudacar</t>
  </si>
  <si>
    <t>Shipwrights, warehouses</t>
  </si>
  <si>
    <t>Five Fine Fish Brewery (ales &amp; beer)Elminster's brew</t>
  </si>
  <si>
    <t>Cartwright; Nets</t>
  </si>
  <si>
    <t>Thunderswords</t>
  </si>
  <si>
    <t>Immersea Winery (NMH)</t>
  </si>
  <si>
    <t>Brewery; Winery</t>
  </si>
  <si>
    <t>Wyvernspur</t>
  </si>
  <si>
    <t>Mrastos (NMH)</t>
  </si>
  <si>
    <t>Fishing; shellfish</t>
  </si>
  <si>
    <t>Juniril</t>
  </si>
  <si>
    <t>Tiny-fishing community</t>
  </si>
  <si>
    <t>Braghun Santedul</t>
  </si>
  <si>
    <t>719 Hu</t>
  </si>
  <si>
    <t>Santeduls</t>
  </si>
  <si>
    <t>Cattle; Dairy; tar</t>
  </si>
  <si>
    <t>150 Hfl</t>
  </si>
  <si>
    <t>Fishing; farming; sheep</t>
  </si>
  <si>
    <t>Shellfish, shipwrights</t>
  </si>
  <si>
    <t>Kallamarn</t>
  </si>
  <si>
    <t>Breadbasket, Fishing hamlet</t>
  </si>
  <si>
    <t>Xavier Tapstorn</t>
  </si>
  <si>
    <t>450 Hu</t>
  </si>
  <si>
    <t>Tapstorns</t>
  </si>
  <si>
    <t>Fruits and farming</t>
  </si>
  <si>
    <t>240 Hfl</t>
  </si>
  <si>
    <t>Riverfishing</t>
  </si>
  <si>
    <t>Special green apples</t>
  </si>
  <si>
    <t>Kirinwood</t>
  </si>
  <si>
    <t>Breadbasket, great fruits and Herbs</t>
  </si>
  <si>
    <t>Belphondar Belstable</t>
  </si>
  <si>
    <t>Belstables</t>
  </si>
  <si>
    <t>Galandor's Glassworks</t>
  </si>
  <si>
    <t>Spearmint products</t>
  </si>
  <si>
    <t>Belstable Farms (NMH)</t>
  </si>
  <si>
    <t>Mushroom ale and gravy</t>
  </si>
  <si>
    <t>Tuskin's Herbs (NMH)</t>
  </si>
  <si>
    <t>Corn, oat, wheat</t>
  </si>
  <si>
    <t>Poultry and fruit; Apples,</t>
  </si>
  <si>
    <t>Raspberries, Blueberries</t>
  </si>
  <si>
    <t>Cormyrean Breadbasket</t>
  </si>
  <si>
    <t>Fern and mint wines</t>
  </si>
  <si>
    <t>Knightswood</t>
  </si>
  <si>
    <t>A Keep-town of Paladins</t>
  </si>
  <si>
    <t>Aunglar's Sawmill</t>
  </si>
  <si>
    <t>woodcrafting</t>
  </si>
  <si>
    <t>N/A</t>
  </si>
  <si>
    <t>herbalists, lumber;</t>
  </si>
  <si>
    <t>Marsember</t>
  </si>
  <si>
    <t>Infamous BlackMarket</t>
  </si>
  <si>
    <t>Ildool Kisbin</t>
  </si>
  <si>
    <t>Dauntinghorns</t>
  </si>
  <si>
    <t>Six Coffers (RMH)</t>
  </si>
  <si>
    <t>Spices; Perfumes, Seafood</t>
  </si>
  <si>
    <t>Truesilvers</t>
  </si>
  <si>
    <t>Maerun Stoutbold (NMH)</t>
  </si>
  <si>
    <t>Shipwright, Shellfish, oils</t>
  </si>
  <si>
    <t>Kisbins</t>
  </si>
  <si>
    <t>Sponges, Tar, Art pieces</t>
  </si>
  <si>
    <t>Scorils</t>
  </si>
  <si>
    <t>Bledryn Scoril</t>
  </si>
  <si>
    <t>Pearls, Jewelry</t>
  </si>
  <si>
    <t>Illances</t>
  </si>
  <si>
    <t>Minroe</t>
  </si>
  <si>
    <t>Huntcrowns</t>
  </si>
  <si>
    <t>Pixie Cap Traders (NMH) - Huntcrowns -</t>
  </si>
  <si>
    <t>Pixie Cap Mushrooms</t>
  </si>
  <si>
    <t>Furrier, Hides, Tannery</t>
  </si>
  <si>
    <t>Farming, Livestock, Dairy</t>
  </si>
  <si>
    <t>Moonever</t>
  </si>
  <si>
    <t>Smugglers Cove</t>
  </si>
  <si>
    <t>Klanshoun Goldwyn</t>
  </si>
  <si>
    <t>Goldwyns</t>
  </si>
  <si>
    <t>Hobble's Hooks; hooks, fishing equipment and wares</t>
  </si>
  <si>
    <t>Ropemakers</t>
  </si>
  <si>
    <t>netmakers</t>
  </si>
  <si>
    <t>shellfish; small wood boats; seafood</t>
  </si>
  <si>
    <t>Monksblade</t>
  </si>
  <si>
    <t>Spiritual holdfast, Travellers are controlled; Sealed environment</t>
  </si>
  <si>
    <t>Mouth O' Gargoyles</t>
  </si>
  <si>
    <t>Trade Route</t>
  </si>
  <si>
    <t>Deserei Ebonhawk</t>
  </si>
  <si>
    <t>Ebonhawks</t>
  </si>
  <si>
    <t>Thaelin's Fineworks (NMH) Nice wooden craftings</t>
  </si>
  <si>
    <t>Furniture; barrels</t>
  </si>
  <si>
    <t>Bendagar's barrels</t>
  </si>
  <si>
    <t>Woodcrafting; oils;</t>
  </si>
  <si>
    <t>Bows and Xbows</t>
  </si>
  <si>
    <t>Elven wares</t>
  </si>
  <si>
    <t>Nesmyth</t>
  </si>
  <si>
    <t>Small canal fed-township; Magical Glowlight</t>
  </si>
  <si>
    <t>Zultan Jacyllyth</t>
  </si>
  <si>
    <t>Jacyllyths</t>
  </si>
  <si>
    <t>Eels; farming; glowlight</t>
  </si>
  <si>
    <t>Horses; Livestock; Dairy</t>
  </si>
  <si>
    <t>Poultry</t>
  </si>
  <si>
    <t>Old Axe</t>
  </si>
  <si>
    <t>Mining Community</t>
  </si>
  <si>
    <t>Alatha Bloodil</t>
  </si>
  <si>
    <t>455 Hu</t>
  </si>
  <si>
    <t>Bloodil</t>
  </si>
  <si>
    <t>Tinkered goods, Artworks</t>
  </si>
  <si>
    <t>200 Dw</t>
  </si>
  <si>
    <t>Metalsmithing, Mining</t>
  </si>
  <si>
    <t>700 Gn</t>
  </si>
  <si>
    <t>Ongul's Water</t>
  </si>
  <si>
    <t>Ongul grist mill</t>
  </si>
  <si>
    <t>Flour; HermitsWood trackers</t>
  </si>
  <si>
    <t>Prosperous Miners</t>
  </si>
  <si>
    <t>Forestry, Lumber, Furniture</t>
  </si>
  <si>
    <t>Metalworking</t>
  </si>
  <si>
    <t>Proskur</t>
  </si>
  <si>
    <t>Major Trade Route</t>
  </si>
  <si>
    <t>Leonara Obarstal</t>
  </si>
  <si>
    <t>Seven Suns Trading Coaster</t>
  </si>
  <si>
    <t>Major City, Lot's of stuff</t>
  </si>
  <si>
    <t>Obarstal</t>
  </si>
  <si>
    <t>Red Spring</t>
  </si>
  <si>
    <t>Adventures Holdfast</t>
  </si>
  <si>
    <t>Bricks; Adv Charterhouse</t>
  </si>
  <si>
    <t>Merchant town</t>
  </si>
  <si>
    <t>Skull Crag</t>
  </si>
  <si>
    <t>Fortied Mountain-top Town, Royal Mines (iron &amp; gold)</t>
  </si>
  <si>
    <t>Travis Nelduk</t>
  </si>
  <si>
    <t>2768 Hu</t>
  </si>
  <si>
    <t>Mining; Adventuring</t>
  </si>
  <si>
    <t>Quarried Rock, Marble</t>
  </si>
  <si>
    <t>Slingdyke</t>
  </si>
  <si>
    <t>Major Trade Route, Horse-breeders, Advernturers Charter House</t>
  </si>
  <si>
    <t>Plandur Seshores</t>
  </si>
  <si>
    <t>Seshores</t>
  </si>
  <si>
    <t>Farming, Horse-breeding</t>
  </si>
  <si>
    <t>Livestock, Dairy, Breads</t>
  </si>
  <si>
    <t>Cheeses</t>
  </si>
  <si>
    <t>Smuggler's stone</t>
  </si>
  <si>
    <t>Major Blackmarket, pearls, seafood and shellfish</t>
  </si>
  <si>
    <t>356 Hu</t>
  </si>
  <si>
    <t>Bleths</t>
  </si>
  <si>
    <t>Iron House (RMH)</t>
  </si>
  <si>
    <t>Seafood; shellfish; pirate-booty</t>
  </si>
  <si>
    <t>452 Mf</t>
  </si>
  <si>
    <t>Iron Throne (RMH)</t>
  </si>
  <si>
    <t>Stag Steads</t>
  </si>
  <si>
    <t>Noble Hunting Lodge</t>
  </si>
  <si>
    <t>Fletcher Hawksong</t>
  </si>
  <si>
    <t>Crownsilvers</t>
  </si>
  <si>
    <t>Hawksongs</t>
  </si>
  <si>
    <t>Crown Tax: .25 on sales</t>
  </si>
  <si>
    <t>Huntsilvers</t>
  </si>
  <si>
    <t>Sales Tax: .15 on purchases</t>
  </si>
  <si>
    <t>Suzail</t>
  </si>
  <si>
    <t>Capital of Cormyr</t>
  </si>
  <si>
    <t>149,000 Hu</t>
  </si>
  <si>
    <t>Everything you'd possibly want</t>
  </si>
  <si>
    <t>2400 Elf</t>
  </si>
  <si>
    <t>Sthavars</t>
  </si>
  <si>
    <t>Firehands Group</t>
  </si>
  <si>
    <t>600 Dw</t>
  </si>
  <si>
    <t>Six Coffers Market Priakos</t>
  </si>
  <si>
    <t>673 Hfl</t>
  </si>
  <si>
    <t>Trueshields Trading Priakos</t>
  </si>
  <si>
    <t>430 Gn</t>
  </si>
  <si>
    <t>Truesilver</t>
  </si>
  <si>
    <t>Blacksilvers</t>
  </si>
  <si>
    <t>Baerlar Tradesons (NMH)</t>
  </si>
  <si>
    <t>Dragoneye Trading Coster (RMH)</t>
  </si>
  <si>
    <t>Goldsword</t>
  </si>
  <si>
    <t>Iron House Trading Emporioum (RMH)</t>
  </si>
  <si>
    <t>Belstable</t>
  </si>
  <si>
    <t>Ebonhawk</t>
  </si>
  <si>
    <t>Auantiver</t>
  </si>
  <si>
    <t>Emmarask</t>
  </si>
  <si>
    <t>Goldwyn</t>
  </si>
  <si>
    <t>Greenmantle</t>
  </si>
  <si>
    <t>Dzavar</t>
  </si>
  <si>
    <t>Hardcastle</t>
  </si>
  <si>
    <t>Greybeards</t>
  </si>
  <si>
    <t>Ireabor</t>
  </si>
  <si>
    <t>Jacyllyth</t>
  </si>
  <si>
    <t>Jarnuxlin</t>
  </si>
  <si>
    <t>Kranior</t>
  </si>
  <si>
    <t>Lionsyn</t>
  </si>
  <si>
    <t>Longbrooke</t>
  </si>
  <si>
    <t>Tilverton Horse Emporium (RMH)</t>
  </si>
  <si>
    <t>Tanalar's Fine Mounts (RMH)</t>
  </si>
  <si>
    <t>Dundar's Fine Blades (NMH)</t>
  </si>
  <si>
    <t>Rowanmantle</t>
  </si>
  <si>
    <t>Redbeard</t>
  </si>
  <si>
    <t>Santedul</t>
  </si>
  <si>
    <t>Scoril</t>
  </si>
  <si>
    <t>Sthavar</t>
  </si>
  <si>
    <t>Silverhorn</t>
  </si>
  <si>
    <t>Silversword</t>
  </si>
  <si>
    <t>Tapstorn</t>
  </si>
  <si>
    <t>Woodbrand</t>
  </si>
  <si>
    <t>Thunderstone</t>
  </si>
  <si>
    <t>1967 Hu</t>
  </si>
  <si>
    <t>Adventuring</t>
  </si>
  <si>
    <t>1200 Elf</t>
  </si>
  <si>
    <t>300 Hfl</t>
  </si>
  <si>
    <t>Tilverton</t>
  </si>
  <si>
    <t>Hunting; Adventuring</t>
  </si>
  <si>
    <t>Blackmarket; pottery</t>
  </si>
  <si>
    <t>gems; furs; Hardy Horses</t>
  </si>
  <si>
    <t>Prospecting; logging</t>
  </si>
  <si>
    <t>Tyrluk</t>
  </si>
  <si>
    <t>Pony-breeders, Mining, and Adventuring</t>
  </si>
  <si>
    <t>Suldag Kranior, the Boar</t>
  </si>
  <si>
    <t>Farming; Farmers market</t>
  </si>
  <si>
    <t>Cartwrights;Mtneering</t>
  </si>
  <si>
    <t>Mountain-scaling mounts</t>
  </si>
  <si>
    <t>Waymoot</t>
  </si>
  <si>
    <t>Filfar Woodbrand</t>
  </si>
  <si>
    <t>Woodbrands</t>
  </si>
  <si>
    <t>Jerlak (NMH)</t>
  </si>
  <si>
    <t>Cartwrights;Lumber</t>
  </si>
  <si>
    <t>Morlers</t>
  </si>
  <si>
    <t>Marker (NMH)</t>
  </si>
  <si>
    <t>Horsebreeders</t>
  </si>
  <si>
    <t>Wheloon</t>
  </si>
  <si>
    <t>Merchant houses; crafters, and industry</t>
  </si>
  <si>
    <t>Sarp Redbeard</t>
  </si>
  <si>
    <t>Redbeards</t>
  </si>
  <si>
    <t>Everything one needs</t>
  </si>
  <si>
    <t>Blackbard Docks and shipwright</t>
  </si>
  <si>
    <t>Cormyrean Coins Coaster (RMH)</t>
  </si>
  <si>
    <t>Falconstar Wayshipping (shipping / warehouses) (NMH)</t>
  </si>
  <si>
    <t>Haerldoun's Armors and Weapons (NMH)</t>
  </si>
  <si>
    <t>Sendever's Stables Equestrian house (NMH)</t>
  </si>
  <si>
    <t>Woumar's Grist Mill</t>
  </si>
  <si>
    <t>Wormtower</t>
  </si>
  <si>
    <t>Lance Tilthar</t>
  </si>
  <si>
    <t>Woodcraft, Furniture</t>
  </si>
  <si>
    <t>Carpentry, Cobblers</t>
  </si>
  <si>
    <t>Wyvernhunt</t>
  </si>
  <si>
    <t>Tiny waypoint and small Purple Dragon Keep</t>
  </si>
  <si>
    <t>Captain Nelgu</t>
  </si>
  <si>
    <t>Yeoman's Bridge</t>
  </si>
  <si>
    <t>Major Fishing Community, Wines, Royal Mines (emeralds)</t>
  </si>
  <si>
    <t>Osborne Silverhorn</t>
  </si>
  <si>
    <t>1763 Hu</t>
  </si>
  <si>
    <t>Silverhorns</t>
  </si>
  <si>
    <t>Rangulthyn Winery</t>
  </si>
  <si>
    <t>Inks; Dyes; oils</t>
  </si>
  <si>
    <t>436 Hfl</t>
  </si>
  <si>
    <t>Silverhorn Brewery and Vineyards</t>
  </si>
  <si>
    <t>Fishing; Farming</t>
  </si>
  <si>
    <t>Yeoman's Winery</t>
  </si>
  <si>
    <t>Herbs, Livestock, Dairy</t>
  </si>
  <si>
    <t>Blazing Bridge Vineyards</t>
  </si>
  <si>
    <t>Emeralds, wines</t>
  </si>
  <si>
    <t>Wyvern wines and Vineyard</t>
  </si>
  <si>
    <t>House</t>
  </si>
  <si>
    <t>Strongholds</t>
  </si>
  <si>
    <t>Remarks</t>
  </si>
  <si>
    <t>Obarskyr</t>
  </si>
  <si>
    <t>Cormyr</t>
  </si>
  <si>
    <t>Vangy</t>
  </si>
  <si>
    <t>Azoun V; Qn Filfaeril</t>
  </si>
  <si>
    <t>Royals</t>
  </si>
  <si>
    <t>Kimba Crownsilver</t>
  </si>
  <si>
    <t>Maestoon Huntsilver</t>
  </si>
  <si>
    <t>Suzai/Kings Forest</t>
  </si>
  <si>
    <t>Ayesunder Truesilver</t>
  </si>
  <si>
    <t>Suzail/Marsember/Arabel</t>
  </si>
  <si>
    <t>Joshua Blacksilver</t>
  </si>
  <si>
    <t>Suzail/Eagle Peak/Marsember/Proskur</t>
  </si>
  <si>
    <t>James Cormaeril</t>
  </si>
  <si>
    <t>Wide spread control in and out of Cormyr</t>
  </si>
  <si>
    <t>Jessteel Dauntinhorn</t>
  </si>
  <si>
    <t>Marsember; Greatgaunt</t>
  </si>
  <si>
    <t>Emlar Goldsword</t>
  </si>
  <si>
    <t>Suzail; haughty family; Investment brokers</t>
  </si>
  <si>
    <t>Serenity Huntcrown</t>
  </si>
  <si>
    <t>Suzail/Waymoot/Eagle Peak/Tilverton/OrdulinEspar/Minroe</t>
  </si>
  <si>
    <t>Kynston Illance</t>
  </si>
  <si>
    <t>Suzail/Dawngleam/Eagle Peak</t>
  </si>
  <si>
    <t>Gruen Bleth</t>
  </si>
  <si>
    <t>Suzail; very strong merchant family "Seven Suns"</t>
  </si>
  <si>
    <t>Previous Matriarch killed by Qn</t>
  </si>
  <si>
    <t>Mouth O'Gargoyles</t>
  </si>
  <si>
    <t>Alaphondar Emmarask</t>
  </si>
  <si>
    <t>Jurr Greenmantle</t>
  </si>
  <si>
    <t>Cormyr; weatlhy gentry</t>
  </si>
  <si>
    <t>Ildamoar Hardcastle</t>
  </si>
  <si>
    <t>Arabel; wealthy engineering and building family</t>
  </si>
  <si>
    <t>Ignatius Hawklin</t>
  </si>
  <si>
    <t>Suzail/Hultail/Eagle Peak/Castle Crag/Strong adventuring family</t>
  </si>
  <si>
    <t>Huthgogh Ireabor</t>
  </si>
  <si>
    <t>Marsember; Naval Family</t>
  </si>
  <si>
    <t>Gathdvan Jarnuxlin</t>
  </si>
  <si>
    <t>Eagle Peak/Skull Crag/Proskur/Yulash</t>
  </si>
  <si>
    <t>Raynaar Marliir</t>
  </si>
  <si>
    <t>Arabel/Suzail/Marsember</t>
  </si>
  <si>
    <t>Hornshield/Skull Crag</t>
  </si>
  <si>
    <t>Urthrin Rallyhorn</t>
  </si>
  <si>
    <t>Suzail/GreatGaunt/ High Horn; Military Family -- King's Swords</t>
  </si>
  <si>
    <t>Serenity SulptarRowanm.</t>
  </si>
  <si>
    <t>Shadowdale/Tilverton</t>
  </si>
  <si>
    <t>Suzail/Juniril</t>
  </si>
  <si>
    <t>Hornshields/ Slingdyke</t>
  </si>
  <si>
    <t>Grady Silversword</t>
  </si>
  <si>
    <t>Mikahin Thundersword</t>
  </si>
  <si>
    <t>Immersea/ Hultail/Yeoman's Bridge</t>
  </si>
  <si>
    <t>Hornshield/ Wormtower</t>
  </si>
  <si>
    <t>Giorgi Wyvernspur</t>
  </si>
  <si>
    <t>Wyvernflow/Thunderstone/Hultail/Wheloon</t>
  </si>
  <si>
    <t>Obadiah Zatchos</t>
  </si>
  <si>
    <t>Suzail/Highmoon/Ilipur/Daerlun/Blustich/EaglePeak</t>
  </si>
  <si>
    <t>Landed Lords</t>
  </si>
  <si>
    <t>Crazed House</t>
  </si>
  <si>
    <t>High Horn/ Castle Crag; military family</t>
  </si>
  <si>
    <t>Old Axe/Proskur</t>
  </si>
  <si>
    <t>Halfling Noble House</t>
  </si>
  <si>
    <t>Dhag Greybeard</t>
  </si>
  <si>
    <t>Waymoot/High Horn</t>
  </si>
  <si>
    <t>Fletcher Hawksongs</t>
  </si>
  <si>
    <t>Stags Steads/Battlerise/Waymoot</t>
  </si>
  <si>
    <t>Bogbrook</t>
  </si>
  <si>
    <t>Myrmeen Lhal</t>
  </si>
  <si>
    <t>Arabel/Noktil</t>
  </si>
  <si>
    <t>Gazthine Morler</t>
  </si>
  <si>
    <t>Arabel/Eveningstar</t>
  </si>
  <si>
    <t>Eagle Peak/Proskur</t>
  </si>
  <si>
    <t>Thunderstone/Wheloon</t>
  </si>
  <si>
    <t>Harcourt Sthavar</t>
  </si>
  <si>
    <t>Category</t>
  </si>
  <si>
    <t>Стовпець1</t>
  </si>
  <si>
    <t>CROWN ROYAL HOUSE </t>
  </si>
  <si>
    <t>ROYAL HOUSES </t>
  </si>
  <si>
    <t>Crownsilver</t>
  </si>
  <si>
    <t>MAJOR NOBLE HOUSES </t>
  </si>
  <si>
    <t>Thundersword</t>
  </si>
  <si>
    <t>MINOR NOBLE HOUSES </t>
  </si>
  <si>
    <t>Alamber</t>
  </si>
  <si>
    <t>Ambruar</t>
  </si>
  <si>
    <t>Ammaeth</t>
  </si>
  <si>
    <t>Aris</t>
  </si>
  <si>
    <t>Battlebar</t>
  </si>
  <si>
    <t>Battlestar</t>
  </si>
  <si>
    <t>Belorgan</t>
  </si>
  <si>
    <t>Blacksilver</t>
  </si>
  <si>
    <t>Blackwinter</t>
  </si>
  <si>
    <t>Blester</t>
  </si>
  <si>
    <t>Bracegauntlet</t>
  </si>
  <si>
    <t>Braerwinter</t>
  </si>
  <si>
    <t>Burnig</t>
  </si>
  <si>
    <t>Cordallar</t>
  </si>
  <si>
    <t>Creth</t>
  </si>
  <si>
    <t>Dagohnlar</t>
  </si>
  <si>
    <t>Darendaal</t>
  </si>
  <si>
    <t>Darstan</t>
  </si>
  <si>
    <t>Dawninghunt</t>
  </si>
  <si>
    <t>Delzuld</t>
  </si>
  <si>
    <t>Dracohorn</t>
  </si>
  <si>
    <t>Eldroon</t>
  </si>
  <si>
    <t>Erdusking</t>
  </si>
  <si>
    <t>Evenhand</t>
  </si>
  <si>
    <t>Everet</t>
  </si>
  <si>
    <t>Farrowbrace</t>
  </si>
  <si>
    <t>Flintfeather</t>
  </si>
  <si>
    <t>Harcourt</t>
  </si>
  <si>
    <t>Helmstone</t>
  </si>
  <si>
    <t>Hlombur</t>
  </si>
  <si>
    <t>Hornhold</t>
  </si>
  <si>
    <t>Huntingdown</t>
  </si>
  <si>
    <t>Huntinghorn</t>
  </si>
  <si>
    <t>Hyraken</t>
  </si>
  <si>
    <t>Imbranneth</t>
  </si>
  <si>
    <t>Immerdusk</t>
  </si>
  <si>
    <t>Indesm</t>
  </si>
  <si>
    <t>Indimber</t>
  </si>
  <si>
    <t>Kessemer</t>
  </si>
  <si>
    <t>Kraliqh</t>
  </si>
  <si>
    <t>Longflail</t>
  </si>
  <si>
    <t>Mistwind</t>
  </si>
  <si>
    <t>Monthor</t>
  </si>
  <si>
    <t>Mournsoul</t>
  </si>
  <si>
    <t>Muscalian</t>
  </si>
  <si>
    <t>Naerinth</t>
  </si>
  <si>
    <t>Orthwood</t>
  </si>
  <si>
    <t>Paertrover</t>
  </si>
  <si>
    <t>Phaulkon</t>
  </si>
  <si>
    <t>Pursenose</t>
  </si>
  <si>
    <t>Ravensgar</t>
  </si>
  <si>
    <t>Rayburton</t>
  </si>
  <si>
    <t>Redbow</t>
  </si>
  <si>
    <t>Roaringhorn</t>
  </si>
  <si>
    <t>Sauvrurn</t>
  </si>
  <si>
    <t>Scatterstars</t>
  </si>
  <si>
    <t>Spurbright</t>
  </si>
  <si>
    <t>Staglar</t>
  </si>
  <si>
    <t>Summerstar</t>
  </si>
  <si>
    <t>Summertree</t>
  </si>
  <si>
    <t>Talcontin</t>
  </si>
  <si>
    <t>Tammarast</t>
  </si>
  <si>
    <t>Tathcrown</t>
  </si>
  <si>
    <t>Tavernant</t>
  </si>
  <si>
    <t>Thandro</t>
  </si>
  <si>
    <t>Thistle</t>
  </si>
  <si>
    <t>Thorntower</t>
  </si>
  <si>
    <t>Tolon</t>
  </si>
  <si>
    <t>Torchtower</t>
  </si>
  <si>
    <t>Torchwinter</t>
  </si>
  <si>
    <t>Vaylan</t>
  </si>
  <si>
    <t>Wavegallant</t>
  </si>
  <si>
    <t>Wintersun</t>
  </si>
  <si>
    <t>Wolfwinter</t>
  </si>
  <si>
    <t>Wyrvar</t>
  </si>
  <si>
    <t>Yellander</t>
  </si>
  <si>
    <t>EXTINCT OR DISPOSSESSED NOBLE HOUSES </t>
  </si>
  <si>
    <t>Aurubaen</t>
  </si>
  <si>
    <t>Dheolur</t>
  </si>
  <si>
    <t>Dragonarl</t>
  </si>
  <si>
    <t>Drauthglas</t>
  </si>
  <si>
    <t>Garthhawk</t>
  </si>
  <si>
    <t>Goldfeather</t>
  </si>
  <si>
    <t>Janthrin</t>
  </si>
  <si>
    <t>Jarthoon</t>
  </si>
  <si>
    <t>Kirinar</t>
  </si>
  <si>
    <t>Merendil</t>
  </si>
  <si>
    <t>Narboot</t>
  </si>
  <si>
    <t>Turcassan</t>
  </si>
  <si>
    <t>UnnamedOne</t>
  </si>
  <si>
    <t>UnnamedTwo</t>
  </si>
  <si>
    <t>UnnamedThree</t>
  </si>
  <si>
    <t>category</t>
  </si>
  <si>
    <t>name</t>
  </si>
  <si>
    <t>Lord High Diplomat</t>
  </si>
  <si>
    <t>Oversees contacts and communications with other nations; supervises ambassadors and emissaries sent to other lands. The Lord High Diplimat generally stays in Cormyr to advise the king on foreign affairs, only travelling for very special events and leaving the great majority of the travel to the ambassadors and emissaries under him.</t>
  </si>
  <si>
    <t>Royal Chancellor</t>
  </si>
  <si>
    <t>Oversees the day-to-day operations of the government, and is the head of the civil service.</t>
  </si>
  <si>
    <t>Lord High Marshal</t>
  </si>
  <si>
    <t>Head of the Cormyrean military organization.</t>
  </si>
  <si>
    <t>Lord High Inquisitor</t>
  </si>
  <si>
    <t>Oversees intelligence-gathering and counterintelligence operations, and routinely shares the information with L.H.Diplomat and L.H.Marshal.</t>
  </si>
  <si>
    <t>Lord High Justice</t>
  </si>
  <si>
    <t>Oversees all aspects of the legal system, including the enforcement of the code of laws decreed by the King and the management of the lower courts and prisons.</t>
  </si>
  <si>
    <t>Chief Executioner</t>
  </si>
  <si>
    <t>carries out all executions for high crimes against King and Country.</t>
  </si>
  <si>
    <t>Lord High Treasurer</t>
  </si>
  <si>
    <t>Keeps the financial ledgers and budget books of the Kingdom. Oversees the inventory of the Royal Treasury, the coining of money, and the collection of taxes.</t>
  </si>
  <si>
    <t>Oversees the conservation and/or development of the land. Manages the forest and the game within, implements royal policies regarding the clearing development and reforesting of land, organizes new road town and fortification building, carries out surveying, mapping and exploration services.</t>
  </si>
  <si>
    <t>Royal Chamberlain</t>
  </si>
  <si>
    <t>The King's right-hand man (or woman, in this case), controlling all access to the King. Anyone wishing an audience with the King or Queen must make an appointment with, or otherwise go through, the Chamberlain. All correspondence also goes through the Chamberlain. the Chamberlain can also act on the King's behalf in any instance. Orders he issues are assumed to come directly from the King.</t>
  </si>
  <si>
    <t>Castellan</t>
  </si>
  <si>
    <t>Supervises basic cleaning and household management, plans and organizes formal affairs, and is an expert on etiquette.</t>
  </si>
  <si>
    <t>Chief Steward &amp; Cook:</t>
  </si>
  <si>
    <t>Oversees cooking staff, plans meals, insures the larders and pantries are well supplied.</t>
  </si>
  <si>
    <t>Chief Housekeeper:1</t>
  </si>
  <si>
    <t>Oversees the cleaning maids. Would also oversee the waiting women to the Queen, except that the Queen has none - Alynna and Storm generally tend to each other.</t>
  </si>
  <si>
    <t>Oversees and tends the Royal Gardens.</t>
  </si>
  <si>
    <t>Chief of the Royal Stables:</t>
  </si>
  <si>
    <t>Oversees the care and tending of all the Royal animals, including hunting animals as well as riding mounts.</t>
  </si>
  <si>
    <t>Royal Magician</t>
  </si>
  <si>
    <r>
      <t>Council Of Mages:</t>
    </r>
    <r>
      <rPr>
        <sz val="13.5"/>
        <color rgb="FF000000"/>
        <rFont val="Segoe UI"/>
        <family val="2"/>
        <charset val="204"/>
      </rPr>
      <t> </t>
    </r>
  </si>
  <si>
    <t>Chaired by the Royal Magician, or by the leader of the War Wizards in the Royal Magician's absence. Meets once per month in the Royal Court.</t>
  </si>
  <si>
    <t>(This position used to be called the Sage Most Learned of the Royal Court)</t>
  </si>
  <si>
    <t>Represents the religious communities, and manages the King's relations with them. Also the personal priest for the Royal Family when it shares the same faith as the Chaplain.</t>
  </si>
  <si>
    <t>Purple Dragon Rank</t>
  </si>
  <si>
    <t>Earth Equivalent</t>
  </si>
  <si>
    <t>Tassle Color</t>
  </si>
  <si>
    <t>Blade</t>
  </si>
  <si>
    <t>Private</t>
  </si>
  <si>
    <t>Green</t>
  </si>
  <si>
    <t>Telsword ("Sword")</t>
  </si>
  <si>
    <t>Corporal</t>
  </si>
  <si>
    <t>Brown</t>
  </si>
  <si>
    <t>First Sword</t>
  </si>
  <si>
    <t>Sergeant</t>
  </si>
  <si>
    <t>Black</t>
  </si>
  <si>
    <t>Swordcaptain</t>
  </si>
  <si>
    <t>Lieutenant</t>
  </si>
  <si>
    <t>Copper</t>
  </si>
  <si>
    <t>Lionar</t>
  </si>
  <si>
    <t>Captain</t>
  </si>
  <si>
    <t>Copper &amp; Silver Twist</t>
  </si>
  <si>
    <t>Ornrion</t>
  </si>
  <si>
    <t>Major</t>
  </si>
  <si>
    <t>Silver</t>
  </si>
  <si>
    <t>Constal</t>
  </si>
  <si>
    <t>Colonel</t>
  </si>
  <si>
    <t>Silver &amp; Gold Twist</t>
  </si>
  <si>
    <t>Oversword</t>
  </si>
  <si>
    <t>Gold</t>
  </si>
  <si>
    <t>Battlemaster</t>
  </si>
  <si>
    <t>Gold &amp; Rosegold Twist</t>
  </si>
  <si>
    <t>Rosegold</t>
  </si>
  <si>
    <t>Swordlord</t>
  </si>
  <si>
    <t>Unit commander; where this falls in the hierarchy varies with the size of the unit, from patrol to army.</t>
  </si>
  <si>
    <t>Royal Guard</t>
  </si>
  <si>
    <t>Purple Dragons who are the personal guards for Royal Family members</t>
  </si>
  <si>
    <t>add Red twist to normal rank tassle</t>
  </si>
  <si>
    <t>+6 in addition to rank</t>
  </si>
  <si>
    <t>Serving Dragons who are either immediate members of the Obarskyr family (king, queen, siblings of Obarskyr-blooded monarch, children or grandchildren of Obarskyr-blooded monarch) or the spouses of Obarskyr family members.</t>
  </si>
  <si>
    <t>add Purple twist to normal rank tassle</t>
  </si>
  <si>
    <t>Circle</t>
  </si>
  <si>
    <t>Name</t>
  </si>
  <si>
    <t>Level</t>
  </si>
  <si>
    <t>Title</t>
  </si>
  <si>
    <t>Diety</t>
  </si>
  <si>
    <t>Algn</t>
  </si>
  <si>
    <t>City</t>
  </si>
  <si>
    <t>Rmks</t>
  </si>
  <si>
    <t>Grand Vizier</t>
  </si>
  <si>
    <t>Caladnei</t>
  </si>
  <si>
    <t>Scr 15/rng 7</t>
  </si>
  <si>
    <t>Chair of WW &amp; CoM</t>
  </si>
  <si>
    <t>Azuth</t>
  </si>
  <si>
    <t>NG HF</t>
  </si>
  <si>
    <t>Ld High Advisor</t>
  </si>
  <si>
    <t>Vangerdahast</t>
  </si>
  <si>
    <t>W 28 / Ftr 5</t>
  </si>
  <si>
    <t>Co-Chair of WW &amp; CoM</t>
  </si>
  <si>
    <t>LN HM</t>
  </si>
  <si>
    <t>He is 28th because I said so.</t>
  </si>
  <si>
    <t>Laspeera</t>
  </si>
  <si>
    <t>W 21</t>
  </si>
  <si>
    <t>Council of Mages</t>
  </si>
  <si>
    <t>Oghma</t>
  </si>
  <si>
    <t>"</t>
  </si>
  <si>
    <t>Chief Scribe</t>
  </si>
  <si>
    <t>Valantha Shimmerstar</t>
  </si>
  <si>
    <t>W 13 / Brd 6</t>
  </si>
  <si>
    <t>CG HF</t>
  </si>
  <si>
    <t>Mage Expeditious</t>
  </si>
  <si>
    <t>Merula the Magnificant</t>
  </si>
  <si>
    <t>W 18</t>
  </si>
  <si>
    <t>LG HM</t>
  </si>
  <si>
    <t>Ld Justicar-magis</t>
  </si>
  <si>
    <t>Maxer Hlarr</t>
  </si>
  <si>
    <t>Scr 11</t>
  </si>
  <si>
    <t>Mystra</t>
  </si>
  <si>
    <t>NG HM</t>
  </si>
  <si>
    <t>War Wizard Purple Dragon Knights of Duty and Justice Guard</t>
  </si>
  <si>
    <t>High Justicar</t>
  </si>
  <si>
    <t>Kordil Faithwringer</t>
  </si>
  <si>
    <t>Ftr 8 PrKn 21</t>
  </si>
  <si>
    <t>WW Knight Guard</t>
  </si>
  <si>
    <t>Helm</t>
  </si>
  <si>
    <t>Justicar of Truth</t>
  </si>
  <si>
    <t>Nigel Truthson</t>
  </si>
  <si>
    <t>Pal 12 PrKn 17</t>
  </si>
  <si>
    <t>Tyr</t>
  </si>
  <si>
    <t>Justicar of Justice</t>
  </si>
  <si>
    <t>Gwyain Landoris</t>
  </si>
  <si>
    <t>Justicar of Duty</t>
  </si>
  <si>
    <t>Viktynta Hawktone</t>
  </si>
  <si>
    <t>Torm</t>
  </si>
  <si>
    <t>LG HF</t>
  </si>
  <si>
    <t>Justicar of Wisdom</t>
  </si>
  <si>
    <t>Khrend Jaggerkind</t>
  </si>
  <si>
    <t>Pal 10 C 14 PK 11</t>
  </si>
  <si>
    <t>5th Vizier</t>
  </si>
  <si>
    <t>Kurn Vortexen 'Xa</t>
  </si>
  <si>
    <t>W18</t>
  </si>
  <si>
    <t>Ki've Gwendoseux</t>
  </si>
  <si>
    <t>Ftr 7 / brd 4</t>
  </si>
  <si>
    <t>Advisor</t>
  </si>
  <si>
    <t>LN HF</t>
  </si>
  <si>
    <t>Himlee Hrathgin</t>
  </si>
  <si>
    <t>W 16 / Ftr5</t>
  </si>
  <si>
    <t>Jurnst Weln</t>
  </si>
  <si>
    <t>Pal 9/ PrpKn 4</t>
  </si>
  <si>
    <t>Vuptjeth E'guthyn</t>
  </si>
  <si>
    <t>W 16</t>
  </si>
  <si>
    <t>LN HEM</t>
  </si>
  <si>
    <t>Joshulyn Fairtongue</t>
  </si>
  <si>
    <t>Bard 9</t>
  </si>
  <si>
    <t>4th Vizier</t>
  </si>
  <si>
    <t>Hellena Norstrier</t>
  </si>
  <si>
    <t>Kris of the Enlightenment</t>
  </si>
  <si>
    <t>F 16 / P 11</t>
  </si>
  <si>
    <t>Siamorphe</t>
  </si>
  <si>
    <t>Cycorin Wynst'l</t>
  </si>
  <si>
    <t>Douria Philasconia</t>
  </si>
  <si>
    <t>C 15</t>
  </si>
  <si>
    <t>Deneir</t>
  </si>
  <si>
    <t>Utica Barat</t>
  </si>
  <si>
    <t>W 17</t>
  </si>
  <si>
    <t>Truys Hangordu</t>
  </si>
  <si>
    <t>Pal 12</t>
  </si>
  <si>
    <t>3rd Vizier</t>
  </si>
  <si>
    <t>Trass'lyryllyr Azulhue</t>
  </si>
  <si>
    <t>W 13</t>
  </si>
  <si>
    <t>LN HEF</t>
  </si>
  <si>
    <t>Drussi Vwu</t>
  </si>
  <si>
    <t>F4/W 9</t>
  </si>
  <si>
    <t>LG HEF</t>
  </si>
  <si>
    <t>Jasminxor Gardon</t>
  </si>
  <si>
    <t>Scr 20</t>
  </si>
  <si>
    <t>Noryth Sansassador</t>
  </si>
  <si>
    <t>Scr 14</t>
  </si>
  <si>
    <t>Lajorilath Margun</t>
  </si>
  <si>
    <t>Vilani Mythilweaver</t>
  </si>
  <si>
    <t>F3 / W 11</t>
  </si>
  <si>
    <t>Thavian birth</t>
  </si>
  <si>
    <t>2nd Vizier</t>
  </si>
  <si>
    <t>Xylew Schtleppurl</t>
  </si>
  <si>
    <t>Kristina Langfortin</t>
  </si>
  <si>
    <t>Scr 12</t>
  </si>
  <si>
    <t>Barnahurdt Yuggorth</t>
  </si>
  <si>
    <t>Tabbatha Ofzarat</t>
  </si>
  <si>
    <t>Strobe Philpotson</t>
  </si>
  <si>
    <t>W 14</t>
  </si>
  <si>
    <t>Corellon</t>
  </si>
  <si>
    <t>LG HEM</t>
  </si>
  <si>
    <t>Trilanus Sturgeon</t>
  </si>
  <si>
    <t>Ayneth L'llorynn</t>
  </si>
  <si>
    <t>W 23</t>
  </si>
  <si>
    <t>Angusin Harrowglade</t>
  </si>
  <si>
    <t>NG HEF</t>
  </si>
  <si>
    <t>1st Vizier</t>
  </si>
  <si>
    <t>Saernecca Phangtau</t>
  </si>
  <si>
    <t>Kyler Itucca</t>
  </si>
  <si>
    <t>W 12</t>
  </si>
  <si>
    <t>Laricia Tupticius</t>
  </si>
  <si>
    <t>K'asteryll Betulleriyllus</t>
  </si>
  <si>
    <t>LN EM</t>
  </si>
  <si>
    <t>Horrastuul Mylssterria</t>
  </si>
  <si>
    <t>Veno di Crasstian</t>
  </si>
  <si>
    <t>Pra'zulla Rephezaltau</t>
  </si>
  <si>
    <t>Scr 18</t>
  </si>
  <si>
    <t>LN EF</t>
  </si>
  <si>
    <t>Tsharliira of Blackthorne</t>
  </si>
  <si>
    <t>Lorryllaxx Stuynerrthylla</t>
  </si>
  <si>
    <t>Yarinna Nespeera</t>
  </si>
  <si>
    <t>W 11</t>
  </si>
  <si>
    <t>NG HEM</t>
  </si>
  <si>
    <t>Impervious Magis</t>
  </si>
  <si>
    <t>Garagg of Westgate</t>
  </si>
  <si>
    <t>Scr 10</t>
  </si>
  <si>
    <t>Surith Lanolare Xipheon</t>
  </si>
  <si>
    <t>W 8</t>
  </si>
  <si>
    <t>Quesyr Sardoil</t>
  </si>
  <si>
    <t>W 15</t>
  </si>
  <si>
    <t>Mylanthius Hiperboria</t>
  </si>
  <si>
    <t>Orax the Wise</t>
  </si>
  <si>
    <t>War Wizard Academy of Mages, Deans of Faculty</t>
  </si>
  <si>
    <t>(1st Viziers)</t>
  </si>
  <si>
    <t>Dean of WWA</t>
  </si>
  <si>
    <t>Tess Wyvernquill</t>
  </si>
  <si>
    <t>Wiz 22</t>
  </si>
  <si>
    <t>War Wizard Academy</t>
  </si>
  <si>
    <t>Chancellor of Magic</t>
  </si>
  <si>
    <t>Uhas of the weave</t>
  </si>
  <si>
    <t>Wiz 19</t>
  </si>
  <si>
    <t>Chancellor of Arcane</t>
  </si>
  <si>
    <t>Isillyth Bev'woanyrith</t>
  </si>
  <si>
    <t>W 25</t>
  </si>
  <si>
    <t>LG EM</t>
  </si>
  <si>
    <t>Chancellor of Research</t>
  </si>
  <si>
    <t>Veneux Silverhorn</t>
  </si>
  <si>
    <t>Chancellor of Library</t>
  </si>
  <si>
    <t>Hilde Vluystirn</t>
  </si>
  <si>
    <t>Wiz 15</t>
  </si>
  <si>
    <t>Chancellor of Tactics</t>
  </si>
  <si>
    <t>Gangfron Hammerin</t>
  </si>
  <si>
    <t>W 15 Ft 7 PKn 2</t>
  </si>
  <si>
    <t>Red Knight</t>
  </si>
  <si>
    <t>LN DM</t>
  </si>
  <si>
    <t>Chancellor of Education</t>
  </si>
  <si>
    <t>Y'lasturin V'lustri</t>
  </si>
  <si>
    <t>Chancellor of Crafting</t>
  </si>
  <si>
    <t>T'rla'styn Sly'vernyt</t>
  </si>
  <si>
    <t>Wiz 16</t>
  </si>
  <si>
    <t>Gond</t>
  </si>
  <si>
    <t>Chancellor of Alchemy</t>
  </si>
  <si>
    <t>Mordecai Alliston</t>
  </si>
  <si>
    <t>Wiz 17 / Alc 8</t>
  </si>
  <si>
    <t>Chancellor of Psionics</t>
  </si>
  <si>
    <t>Ognew Vruxism</t>
  </si>
  <si>
    <t>Ps 13</t>
  </si>
  <si>
    <t>WAR WIZARDS</t>
  </si>
  <si>
    <t>8th Circle</t>
  </si>
  <si>
    <t>Kyle Hlondaglus</t>
  </si>
  <si>
    <t>Master of Abjuration</t>
  </si>
  <si>
    <t>Phileaux Dahlgren</t>
  </si>
  <si>
    <t>W 20</t>
  </si>
  <si>
    <t>Master of Invocation</t>
  </si>
  <si>
    <t>Shannah Williamskind</t>
  </si>
  <si>
    <t>Master Transmuter</t>
  </si>
  <si>
    <t>Cyrriac Glasbugh</t>
  </si>
  <si>
    <t>W 19</t>
  </si>
  <si>
    <t>Master of Conjuration</t>
  </si>
  <si>
    <t>7th Circle</t>
  </si>
  <si>
    <t>Sebastian Glazgorgil</t>
  </si>
  <si>
    <t>Archmage</t>
  </si>
  <si>
    <t>Mellomir of Arabel</t>
  </si>
  <si>
    <t>W 27</t>
  </si>
  <si>
    <t>Sylvia Selustiriel</t>
  </si>
  <si>
    <t>W 28</t>
  </si>
  <si>
    <t>Orellienon Phratt</t>
  </si>
  <si>
    <t>Tyroria Kendrust</t>
  </si>
  <si>
    <t>Maarlilt Langh</t>
  </si>
  <si>
    <t>Scr 19</t>
  </si>
  <si>
    <t>6th Circle (18)</t>
  </si>
  <si>
    <t>Dariinarl Ulyss</t>
  </si>
  <si>
    <t>Mage</t>
  </si>
  <si>
    <t>6th Circle</t>
  </si>
  <si>
    <t>Teghir Curgaon</t>
  </si>
  <si>
    <t>CG HM</t>
  </si>
  <si>
    <t>Argul Marammas</t>
  </si>
  <si>
    <t>Gandro Wyn</t>
  </si>
  <si>
    <t>W 10</t>
  </si>
  <si>
    <t>Zulda Thar</t>
  </si>
  <si>
    <t>W 9</t>
  </si>
  <si>
    <t>Bethan Julstriel</t>
  </si>
  <si>
    <t>Cycorin Elustriel</t>
  </si>
  <si>
    <t>Hanthy Luskto</t>
  </si>
  <si>
    <t>Filfaeril Kilnslow</t>
  </si>
  <si>
    <t>Scr 15</t>
  </si>
  <si>
    <t>Y'rth L'kewdrin</t>
  </si>
  <si>
    <t>Ulysses Vanderhoop</t>
  </si>
  <si>
    <t>Elleri Ottraugh</t>
  </si>
  <si>
    <t>W 7</t>
  </si>
  <si>
    <t>Leightin Froch</t>
  </si>
  <si>
    <t>Connor McClain</t>
  </si>
  <si>
    <t>Mage Adventurous</t>
  </si>
  <si>
    <t>MIA</t>
  </si>
  <si>
    <t>Crusian Johnston</t>
  </si>
  <si>
    <t>W 6</t>
  </si>
  <si>
    <t>Nicklesk Harrt</t>
  </si>
  <si>
    <t>Clyde Ginnsburg</t>
  </si>
  <si>
    <t>Hurrold Creikta</t>
  </si>
  <si>
    <t>5th Circle (18)</t>
  </si>
  <si>
    <t>Y'rgol Luplet</t>
  </si>
  <si>
    <t>Wizard</t>
  </si>
  <si>
    <t>5th Circle</t>
  </si>
  <si>
    <t>Hans the Extreme</t>
  </si>
  <si>
    <t>Silverstone Gildedstein</t>
  </si>
  <si>
    <t>Colbert Harroughs</t>
  </si>
  <si>
    <t>Throndike Azounkind</t>
  </si>
  <si>
    <t>Jasper Tangletoes</t>
  </si>
  <si>
    <t>Scr 9</t>
  </si>
  <si>
    <t>Maarlilt Langh (7th) Suzail</t>
  </si>
  <si>
    <t>Walden Pfeifer</t>
  </si>
  <si>
    <t>Vindala Chalanther</t>
  </si>
  <si>
    <t>Michelle Phoenicia</t>
  </si>
  <si>
    <t>Vance Plinners</t>
  </si>
  <si>
    <t>Darkhlonn Dannortyn</t>
  </si>
  <si>
    <t>Sylvian Ilturanthi</t>
  </si>
  <si>
    <t>Amuroph Fahrl</t>
  </si>
  <si>
    <t>Baldask Delzantar</t>
  </si>
  <si>
    <t>W 5</t>
  </si>
  <si>
    <t>Alatha Korduis</t>
  </si>
  <si>
    <t>Bard 6</t>
  </si>
  <si>
    <t>Wynslt G'Burrnox</t>
  </si>
  <si>
    <t>Lord Gruen Bleth</t>
  </si>
  <si>
    <t>N HM</t>
  </si>
  <si>
    <t>Noble</t>
  </si>
  <si>
    <t>Lady Kimba Crownsilver</t>
  </si>
  <si>
    <t>W 3</t>
  </si>
  <si>
    <t>N HF</t>
  </si>
  <si>
    <t>4th Circle (32)</t>
  </si>
  <si>
    <t>Jestra</t>
  </si>
  <si>
    <t>Sorceror</t>
  </si>
  <si>
    <t>4th Circle</t>
  </si>
  <si>
    <t>Filfaeril Stormbillow</t>
  </si>
  <si>
    <t>Elhazir Burouq</t>
  </si>
  <si>
    <t>CN HM</t>
  </si>
  <si>
    <t>Solace Allyscot</t>
  </si>
  <si>
    <t>Trinity Wayfare</t>
  </si>
  <si>
    <t>Elmdaerle</t>
  </si>
  <si>
    <t>W 2</t>
  </si>
  <si>
    <t>Lon Wagturh</t>
  </si>
  <si>
    <t>Silvercap Mageson</t>
  </si>
  <si>
    <t>Rolandriel Tilver</t>
  </si>
  <si>
    <t>Lynzy Wistril</t>
  </si>
  <si>
    <t>Sebastian Url</t>
  </si>
  <si>
    <t>Brenda Mulhour</t>
  </si>
  <si>
    <t>Scr 6</t>
  </si>
  <si>
    <t>Jasper Tangletoes (5th) Marsember</t>
  </si>
  <si>
    <t>Pireus Souda</t>
  </si>
  <si>
    <t>John of Suzail</t>
  </si>
  <si>
    <t>Jestra of Suzail (4)</t>
  </si>
  <si>
    <t>Kandice Johns</t>
  </si>
  <si>
    <t>Ned of Arabel</t>
  </si>
  <si>
    <t>Simon D'clerck</t>
  </si>
  <si>
    <t>Camp of the East</t>
  </si>
  <si>
    <t>Sabahudin Glowerton</t>
  </si>
  <si>
    <t>Angel Blythe</t>
  </si>
  <si>
    <t>Teressa Hangdel</t>
  </si>
  <si>
    <t>Trerhlin Kaluhourand</t>
  </si>
  <si>
    <t>Xina Vabrein</t>
  </si>
  <si>
    <t>Jhansabella Nithrin</t>
  </si>
  <si>
    <t>Aluana Nithrin</t>
  </si>
  <si>
    <t>Hiorgi Vuxt</t>
  </si>
  <si>
    <t>Nilles Joryane</t>
  </si>
  <si>
    <t>Madrosk Fitzguon</t>
  </si>
  <si>
    <t>Clyde Ginnsburg (6th) Suzail</t>
  </si>
  <si>
    <t>Fractus</t>
  </si>
  <si>
    <t>Salvador Criado</t>
  </si>
  <si>
    <t>Tabrina Ilmunstrinal</t>
  </si>
  <si>
    <t>Scr 8</t>
  </si>
  <si>
    <t>Kir Stappletina</t>
  </si>
  <si>
    <t>Klydis Janos</t>
  </si>
  <si>
    <t>3rd Circle (66)</t>
  </si>
  <si>
    <t>Sygnwerg Thalusk</t>
  </si>
  <si>
    <t>Ward</t>
  </si>
  <si>
    <t>3rd Circle</t>
  </si>
  <si>
    <t>Kronos Tyrson</t>
  </si>
  <si>
    <t>Olexi Handran</t>
  </si>
  <si>
    <t>Pouritteirri</t>
  </si>
  <si>
    <t>Yandranka Papich</t>
  </si>
  <si>
    <t>Kanldron Brzt</t>
  </si>
  <si>
    <t>Dmetri Gronkin</t>
  </si>
  <si>
    <t>Scr 5</t>
  </si>
  <si>
    <t>Nicklesk of Evngstr (6)</t>
  </si>
  <si>
    <t>Krityp Erralyn</t>
  </si>
  <si>
    <t>Vragnor Mintho</t>
  </si>
  <si>
    <t>Quistl'rst Botheme</t>
  </si>
  <si>
    <t>W 4</t>
  </si>
  <si>
    <t>Candace Knowles</t>
  </si>
  <si>
    <t>Emmitt Raggerty</t>
  </si>
  <si>
    <t>Leissenbart</t>
  </si>
  <si>
    <t>Wynslt G'Burrnox (5th) Dhedluk</t>
  </si>
  <si>
    <t>Doncious Zavati</t>
  </si>
  <si>
    <t>Illytur Raisx</t>
  </si>
  <si>
    <t>Turba Krv</t>
  </si>
  <si>
    <t>Jako Debela</t>
  </si>
  <si>
    <t>Spe Kerhays</t>
  </si>
  <si>
    <t>Myles O'bryan</t>
  </si>
  <si>
    <t>CG HEM</t>
  </si>
  <si>
    <t>Julie Fracker</t>
  </si>
  <si>
    <t>Constancia Windbloen</t>
  </si>
  <si>
    <t>Kang the Destroyer</t>
  </si>
  <si>
    <t>Solace Allyscot (4th) Eagle Peak</t>
  </si>
  <si>
    <t>Abixcron</t>
  </si>
  <si>
    <t>Saernecca Phangtau (1stViz) Suzail</t>
  </si>
  <si>
    <t>Krytulr Mmarrantheon</t>
  </si>
  <si>
    <t>Jasper H'londagulas</t>
  </si>
  <si>
    <t>Kyle Myrtovy</t>
  </si>
  <si>
    <t>Agellyellann Hathsd</t>
  </si>
  <si>
    <t>Vectnicia Lylupod</t>
  </si>
  <si>
    <t>Presemet</t>
  </si>
  <si>
    <t>Nulthug Keoid</t>
  </si>
  <si>
    <t>Philip Degrasse</t>
  </si>
  <si>
    <t>Gladis Jyg</t>
  </si>
  <si>
    <t>Lyourdens Etyytos</t>
  </si>
  <si>
    <t>Plwertquel Isidov</t>
  </si>
  <si>
    <t>Xlave Sinoghar</t>
  </si>
  <si>
    <t>Graciz Poaerz</t>
  </si>
  <si>
    <t>CG HEF</t>
  </si>
  <si>
    <t>Oytn Othumlyrd</t>
  </si>
  <si>
    <t>Lkjoiraq Bd'lutsn</t>
  </si>
  <si>
    <t>Harbbuex Nolq</t>
  </si>
  <si>
    <t>Kljonaat Wanderrh</t>
  </si>
  <si>
    <t>Waterdeep</t>
  </si>
  <si>
    <t>Sebastian Wyf</t>
  </si>
  <si>
    <t>Jorse McQuain</t>
  </si>
  <si>
    <t>Lanjxaq</t>
  </si>
  <si>
    <t>Kylar Hortyu</t>
  </si>
  <si>
    <t>Kyrst Hortyu</t>
  </si>
  <si>
    <t>Krivak Hortyu</t>
  </si>
  <si>
    <t>Shantasal Newman</t>
  </si>
  <si>
    <t>Kyler Blackbone</t>
  </si>
  <si>
    <t>Spys on Ildool Lord of Marsember</t>
  </si>
  <si>
    <t>Kindra Hegaman</t>
  </si>
  <si>
    <t>Rick Williams</t>
  </si>
  <si>
    <t>Charles Tudor</t>
  </si>
  <si>
    <t>Garland Hlonorx</t>
  </si>
  <si>
    <t>Tyr'estrl Snythorill</t>
  </si>
  <si>
    <t>Su'kestrill Featherchild</t>
  </si>
  <si>
    <t>Sevain Hurquestll</t>
  </si>
  <si>
    <t>Franco de Vasque</t>
  </si>
  <si>
    <t>Syndair Thorn</t>
  </si>
  <si>
    <t>Jurintyll'e Y'llquestryll</t>
  </si>
  <si>
    <t>Frank Vilanis</t>
  </si>
  <si>
    <t>Loorrina of Tilverton</t>
  </si>
  <si>
    <t>Hanshuyt Papost</t>
  </si>
  <si>
    <t>R'tityl N'wgenthyl</t>
  </si>
  <si>
    <t>Ortpustan Tagar</t>
  </si>
  <si>
    <t>George Scribeson</t>
  </si>
  <si>
    <t>Tabathea Mcqua</t>
  </si>
  <si>
    <t>Seaspring</t>
  </si>
  <si>
    <t>Lionel Tregur</t>
  </si>
  <si>
    <t>2nd Circle (103)</t>
  </si>
  <si>
    <t>Istha Smith</t>
  </si>
  <si>
    <t>Spellcaster</t>
  </si>
  <si>
    <t>2nd Circle</t>
  </si>
  <si>
    <t>Conner McGwyer</t>
  </si>
  <si>
    <t>Bardoe Catlyn</t>
  </si>
  <si>
    <t>Shandu Hawkbittel</t>
  </si>
  <si>
    <t>Jovan Ogsbin</t>
  </si>
  <si>
    <t>Pfaza Iollo</t>
  </si>
  <si>
    <t>Harhansen</t>
  </si>
  <si>
    <t>Petak Ucinic</t>
  </si>
  <si>
    <t>Ravev Mostda</t>
  </si>
  <si>
    <t>Oporis Gantson</t>
  </si>
  <si>
    <t>Klystu B'vrtuneu</t>
  </si>
  <si>
    <t>Typerkon Dugsva</t>
  </si>
  <si>
    <t>Floriscia Weaver</t>
  </si>
  <si>
    <t>I'llyruti Byx'antiteau</t>
  </si>
  <si>
    <t>Ganhorf Volksman</t>
  </si>
  <si>
    <t>Roxy Hegaman</t>
  </si>
  <si>
    <t>Tranis Ru'ssyllur</t>
  </si>
  <si>
    <t>CG EM</t>
  </si>
  <si>
    <t>Wysl K'landoxonth</t>
  </si>
  <si>
    <t>CG EF</t>
  </si>
  <si>
    <t>D'at Faxiumar</t>
  </si>
  <si>
    <t>Samual Elliott</t>
  </si>
  <si>
    <t>Whondan H'londak</t>
  </si>
  <si>
    <t>Kristopher Rapsburg</t>
  </si>
  <si>
    <t>Christina Lep'larnux</t>
  </si>
  <si>
    <t>Leoff Rafttusk</t>
  </si>
  <si>
    <t>Jonathan Holloway</t>
  </si>
  <si>
    <t>Urlys Featherchild</t>
  </si>
  <si>
    <t>Krangor Hagferax</t>
  </si>
  <si>
    <t>LG DM</t>
  </si>
  <si>
    <t>Alison Ravenshelm</t>
  </si>
  <si>
    <t>Katrina Tyrtom</t>
  </si>
  <si>
    <t>Jodin Vansu</t>
  </si>
  <si>
    <t>Robin Sylvan</t>
  </si>
  <si>
    <t>Gloria Estevon</t>
  </si>
  <si>
    <t>Parfe N'yrrillin</t>
  </si>
  <si>
    <t>Naroguille Founz</t>
  </si>
  <si>
    <t>Lonpug Moquez</t>
  </si>
  <si>
    <t>Jamez Longhand</t>
  </si>
  <si>
    <t>Giles Marrowhead</t>
  </si>
  <si>
    <t>Courtney Roy</t>
  </si>
  <si>
    <t>Sandra Mantlshine</t>
  </si>
  <si>
    <t>Nefhin Kuri</t>
  </si>
  <si>
    <t>Angus Taklupa</t>
  </si>
  <si>
    <t>Haerld McKnight</t>
  </si>
  <si>
    <t>Scr 4</t>
  </si>
  <si>
    <t>Timothy Mandrake</t>
  </si>
  <si>
    <t>Pachelbahl</t>
  </si>
  <si>
    <t>Haswin Loqin</t>
  </si>
  <si>
    <t>Gustaphus Dabhur</t>
  </si>
  <si>
    <t>Mikha Vostok</t>
  </si>
  <si>
    <t>Alexander Raistor</t>
  </si>
  <si>
    <t>Alith Stardream</t>
  </si>
  <si>
    <t>Jennifer Champagne</t>
  </si>
  <si>
    <t>C'ycorin E'll Vin</t>
  </si>
  <si>
    <t>Hansom Blackson</t>
  </si>
  <si>
    <t>Tireni Jaxton</t>
  </si>
  <si>
    <t>Nolin</t>
  </si>
  <si>
    <t>L'yorr Wnorus</t>
  </si>
  <si>
    <t>Gyl'anna T'rhaegaerl</t>
  </si>
  <si>
    <t>L'yoqquil Whorus</t>
  </si>
  <si>
    <t>Utorok Wavebinder</t>
  </si>
  <si>
    <t>Flamerule</t>
  </si>
  <si>
    <t>James Strefh</t>
  </si>
  <si>
    <t>Impiltura Wateress</t>
  </si>
  <si>
    <t>Scr 7</t>
  </si>
  <si>
    <t>Charles Beyrbauer</t>
  </si>
  <si>
    <t>Ravneg Miphsto</t>
  </si>
  <si>
    <t>Vysrarla Q'wagnstul</t>
  </si>
  <si>
    <t>Grumnorh'gh Demonhand</t>
  </si>
  <si>
    <t>Shly the Enchantress</t>
  </si>
  <si>
    <t>Neilly the maimed</t>
  </si>
  <si>
    <t>Tektal Platonicus</t>
  </si>
  <si>
    <t>Troy Jenkins</t>
  </si>
  <si>
    <t>Za'aroun Pl'sarghlas</t>
  </si>
  <si>
    <t>Tantoune Nyest</t>
  </si>
  <si>
    <t>Larwen DeGuilles</t>
  </si>
  <si>
    <t>Jocart Stanton</t>
  </si>
  <si>
    <t>Par'sys Oguillain</t>
  </si>
  <si>
    <t>Highmoon</t>
  </si>
  <si>
    <t>Darilla V'busanna</t>
  </si>
  <si>
    <t>LG EF</t>
  </si>
  <si>
    <t>Georgi Tabathin</t>
  </si>
  <si>
    <t>Rigel Regalliaon</t>
  </si>
  <si>
    <t>S'nvua Quest'ova</t>
  </si>
  <si>
    <t>Finton Mudd</t>
  </si>
  <si>
    <t>Renee Hicks</t>
  </si>
  <si>
    <t>C'ghuron Sopiturllath</t>
  </si>
  <si>
    <t>Ghangis Olaggon</t>
  </si>
  <si>
    <t>Angelina Nabojnik</t>
  </si>
  <si>
    <t>Xlyrion Afgotun</t>
  </si>
  <si>
    <t>Simjaxto</t>
  </si>
  <si>
    <t>Mystor W'ravesq</t>
  </si>
  <si>
    <t>Bhereau Mythrilmind</t>
  </si>
  <si>
    <t>Fitzban the Great</t>
  </si>
  <si>
    <t>Douglas Radcliffe</t>
  </si>
  <si>
    <t>Glarissa</t>
  </si>
  <si>
    <t>Sampras Agassai</t>
  </si>
  <si>
    <t>Antaris the Mystical</t>
  </si>
  <si>
    <t>Langord Sparklefingers</t>
  </si>
  <si>
    <t>T'murroux Jangrow</t>
  </si>
  <si>
    <t>Hunter Kreoff</t>
  </si>
  <si>
    <t>Princella Trakotux</t>
  </si>
  <si>
    <t>Yanis Bleucroft</t>
  </si>
  <si>
    <t>Sewquest Dovechild</t>
  </si>
  <si>
    <t>Plymta Boubour</t>
  </si>
  <si>
    <t>Zi'eon Stormchild</t>
  </si>
  <si>
    <t>Olsycion Newmanschif</t>
  </si>
  <si>
    <t>U'tou Jaggumma</t>
  </si>
  <si>
    <t>Klymhau Oilpart</t>
  </si>
  <si>
    <t>1st Circle (172)</t>
  </si>
  <si>
    <t>Neomage</t>
  </si>
  <si>
    <t>1st Circle</t>
  </si>
  <si>
    <t>Jasmeril Wynsdor</t>
  </si>
  <si>
    <t>Kronos of Suzail (4)</t>
  </si>
  <si>
    <t>Bitz Vargul</t>
  </si>
  <si>
    <t>Susan Richtie</t>
  </si>
  <si>
    <t>Camp of East</t>
  </si>
  <si>
    <t>Jason Yarghul</t>
  </si>
  <si>
    <t>Hargorth Venesenth</t>
  </si>
  <si>
    <t>Tabatha Bisquet</t>
  </si>
  <si>
    <t>Malar</t>
  </si>
  <si>
    <t>Keith Surtin</t>
  </si>
  <si>
    <t>http://www.candlekeep.com/library/articles/warwiztab3ed.htm</t>
  </si>
  <si>
    <t>http://www.candlekeep.com/library/articles/warwiz2.htm</t>
  </si>
  <si>
    <t xml:space="preserve">Eagle Peak </t>
  </si>
  <si>
    <t>POPULATION</t>
  </si>
  <si>
    <t>LORD</t>
  </si>
  <si>
    <t>Crown Tax</t>
  </si>
  <si>
    <t>Sales Tax</t>
  </si>
  <si>
    <t>City township village</t>
  </si>
  <si>
    <t xml:space="preserve"> </t>
  </si>
  <si>
    <t>Bogbrook Winery; "Utterdark"  (Kuhtan family)</t>
  </si>
  <si>
    <t xml:space="preserve">Zathchos </t>
  </si>
  <si>
    <t xml:space="preserve">4 temple monk enclave; Chauntea, Tempus, Tymora, Umberlee </t>
  </si>
  <si>
    <t xml:space="preserve">Ongul </t>
  </si>
  <si>
    <t>Dragoneye Dealing Coster (RMH)   Bezenttar</t>
  </si>
  <si>
    <r>
      <t xml:space="preserve">Hurm Thiodor </t>
    </r>
    <r>
      <rPr>
        <sz val="8"/>
        <color indexed="10"/>
        <rFont val="Arial"/>
        <family val="2"/>
      </rPr>
      <t>Crn hrld</t>
    </r>
  </si>
  <si>
    <t xml:space="preserve">Potters; farming; </t>
  </si>
  <si>
    <t>Duties</t>
  </si>
  <si>
    <t>Alassra</t>
  </si>
  <si>
    <t>Alorae</t>
  </si>
  <si>
    <t>Alusair</t>
  </si>
  <si>
    <t>Amaelia</t>
  </si>
  <si>
    <t>Amarune</t>
  </si>
  <si>
    <t>Ambritha</t>
  </si>
  <si>
    <t>Ammuara</t>
  </si>
  <si>
    <t>Asla</t>
  </si>
  <si>
    <t>Baelarra</t>
  </si>
  <si>
    <t>Cymmarra</t>
  </si>
  <si>
    <t>Dalatha</t>
  </si>
  <si>
    <t>Daluthra</t>
  </si>
  <si>
    <t>Darantha</t>
  </si>
  <si>
    <t>Darlethra</t>
  </si>
  <si>
    <t>Deleira</t>
  </si>
  <si>
    <t>Drarra</t>
  </si>
  <si>
    <t>Embrurra</t>
  </si>
  <si>
    <t>Emsra</t>
  </si>
  <si>
    <t>Esheena</t>
  </si>
  <si>
    <t>Ethena</t>
  </si>
  <si>
    <t>Glathra</t>
  </si>
  <si>
    <t>Haelana</t>
  </si>
  <si>
    <t>Jalessa</t>
  </si>
  <si>
    <t>Laethla</t>
  </si>
  <si>
    <t>Lathdue</t>
  </si>
  <si>
    <t>Leece</t>
  </si>
  <si>
    <t>Lune</t>
  </si>
  <si>
    <t>Maeraedithe</t>
  </si>
  <si>
    <t>Maharantrae</t>
  </si>
  <si>
    <t>Maraedra</t>
  </si>
  <si>
    <t>Marantine</t>
  </si>
  <si>
    <t>Mrarie</t>
  </si>
  <si>
    <t>Mythandra</t>
  </si>
  <si>
    <t>Narmitra</t>
  </si>
  <si>
    <t>Narnra</t>
  </si>
  <si>
    <t>Nechelseiya</t>
  </si>
  <si>
    <t>Ospra</t>
  </si>
  <si>
    <t>Raedra</t>
  </si>
  <si>
    <t>Raereene</t>
  </si>
  <si>
    <t>Shalice</t>
  </si>
  <si>
    <t>Shamril</t>
  </si>
  <si>
    <t>Solatha</t>
  </si>
  <si>
    <t>Stornara</t>
  </si>
  <si>
    <t>Taerlene</t>
  </si>
  <si>
    <t>Talane</t>
  </si>
  <si>
    <t>Tamphara</t>
  </si>
  <si>
    <t>Targrael</t>
  </si>
  <si>
    <t>Thornleia</t>
  </si>
  <si>
    <t>Tress</t>
  </si>
  <si>
    <t>Varimbra</t>
  </si>
  <si>
    <t>Velyandra</t>
  </si>
  <si>
    <t>Yarauva</t>
  </si>
  <si>
    <t>Yelada</t>
  </si>
  <si>
    <t>Adarl</t>
  </si>
  <si>
    <t>Arbrace</t>
  </si>
  <si>
    <t>Arclath</t>
  </si>
  <si>
    <t>Asult</t>
  </si>
  <si>
    <t>Baerold</t>
  </si>
  <si>
    <t>Belnar</t>
  </si>
  <si>
    <t>Beltar</t>
  </si>
  <si>
    <t>Berent</t>
  </si>
  <si>
    <t>Blamreld</t>
  </si>
  <si>
    <t>Brabras</t>
  </si>
  <si>
    <t>Brandaeril</t>
  </si>
  <si>
    <t>Brorn</t>
  </si>
  <si>
    <t>Corlador</t>
  </si>
  <si>
    <t>Corleth</t>
  </si>
  <si>
    <t>Danthalus</t>
  </si>
  <si>
    <t>Darrake</t>
  </si>
  <si>
    <t>Delnor</t>
  </si>
  <si>
    <t>Elgorn</t>
  </si>
  <si>
    <t>Ellard</t>
  </si>
  <si>
    <t>Eskrel</t>
  </si>
  <si>
    <t>Essard</t>
  </si>
  <si>
    <t>Flamdar</t>
  </si>
  <si>
    <t>Foril</t>
  </si>
  <si>
    <t>Gaerond</t>
  </si>
  <si>
    <t>Halance</t>
  </si>
  <si>
    <t>Harmond</t>
  </si>
  <si>
    <t>Helharbras</t>
  </si>
  <si>
    <t>Ilstan</t>
  </si>
  <si>
    <t>Immaero</t>
  </si>
  <si>
    <t>Jassur</t>
  </si>
  <si>
    <t>Kathkote</t>
  </si>
  <si>
    <t>Kelgantor</t>
  </si>
  <si>
    <t>Markuld</t>
  </si>
  <si>
    <t>Mellast</t>
  </si>
  <si>
    <t>Neld</t>
  </si>
  <si>
    <t>Olgarth</t>
  </si>
  <si>
    <t>Orkrash</t>
  </si>
  <si>
    <t>Palaghard</t>
  </si>
  <si>
    <t>Raskival</t>
  </si>
  <si>
    <t>Rorsorn</t>
  </si>
  <si>
    <t>Rorstil</t>
  </si>
  <si>
    <t>Ruthgul</t>
  </si>
  <si>
    <t>Scamar</t>
  </si>
  <si>
    <t>Seszgar</t>
  </si>
  <si>
    <t>Shuldroon</t>
  </si>
  <si>
    <t>Skult</t>
  </si>
  <si>
    <t>Surgol</t>
  </si>
  <si>
    <t>Talonar</t>
  </si>
  <si>
    <t>Thol</t>
  </si>
  <si>
    <t>Tomarr</t>
  </si>
  <si>
    <t>Traevyn</t>
  </si>
  <si>
    <t>Unstrarr</t>
  </si>
  <si>
    <t>Welwyn</t>
  </si>
  <si>
    <t>Yarjack</t>
  </si>
  <si>
    <t>Female</t>
  </si>
  <si>
    <t>Male</t>
  </si>
  <si>
    <t>TYPE</t>
  </si>
  <si>
    <t>MARKET CLASS</t>
  </si>
  <si>
    <t>overall leader of large force</t>
  </si>
  <si>
    <t>only one has this rank at a time; sort of like Chairman of the Join Chiefs of Staff &amp; second only to King in military authority</t>
  </si>
  <si>
    <t>Village</t>
  </si>
  <si>
    <t>Crown Tax: .10</t>
  </si>
  <si>
    <t>Sales Tax: .15</t>
  </si>
  <si>
    <t>The Crown subsidizes all merchant construction costs</t>
  </si>
  <si>
    <t>Roll 1d20</t>
  </si>
  <si>
    <t>Interaction</t>
  </si>
  <si>
    <t>What was the last thing you two argued about?</t>
  </si>
  <si>
    <t>What do you admire most about them?</t>
  </si>
  <si>
    <t>What embarrassing thing did you see them doing?</t>
  </si>
  <si>
    <t>What was the last compliment they gave you?</t>
  </si>
  <si>
    <t>What's the most disgusting thing you've seen them doing?</t>
  </si>
  <si>
    <t>What was the last thing you heartily agreed about?</t>
  </si>
  <si>
    <t>What did you hear them say in their sleep?</t>
  </si>
  <si>
    <t>What's the last meal you shared and both enjoyed?</t>
  </si>
  <si>
    <t>What do they smell like?</t>
  </si>
  <si>
    <t>Tell us about the last time they made you laugh</t>
  </si>
  <si>
    <t>What did they say that insulted you?</t>
  </si>
  <si>
    <t>What's the nickname you call them?</t>
  </si>
  <si>
    <t>What do you find unsettling about their appearance or behavior?</t>
  </si>
  <si>
    <t>How have you recently bonded?</t>
  </si>
  <si>
    <t>How would you improve their appearance to help them find a mate?</t>
  </si>
  <si>
    <t>What's the last piece of advice they gave you?</t>
  </si>
  <si>
    <t>What did you overhear them saying about another person?</t>
  </si>
  <si>
    <t>What's the last piece of advice you gave them?</t>
  </si>
  <si>
    <t>Why do trust them?</t>
  </si>
  <si>
    <t>What common interest do you share?</t>
  </si>
  <si>
    <t>Roll 1d100</t>
  </si>
  <si>
    <t>What we learn about you</t>
  </si>
  <si>
    <t>What is your least favorite weather?</t>
  </si>
  <si>
    <t>What is your fondest childhood memory?</t>
  </si>
  <si>
    <t>What is your favorite animal?</t>
  </si>
  <si>
    <t>If you could change one physical detail about yourself, what would it be?</t>
  </si>
  <si>
    <t>Someone asks you to describe your family. How do you answer?</t>
  </si>
  <si>
    <t>What is your least favorite food?</t>
  </si>
  <si>
    <t>What is your favorite food?</t>
  </si>
  <si>
    <t>What is your favorite weather?</t>
  </si>
  <si>
    <t>Do you have any phobias?</t>
  </si>
  <si>
    <t>What is your earliest clear memory?</t>
  </si>
  <si>
    <t>How opinionated are you? Do you like to share your opinions with others?</t>
  </si>
  <si>
    <t>What hobby or side interest is most important to you?</t>
  </si>
  <si>
    <t>What do you do for recreation?</t>
  </si>
  <si>
    <t>How do you feel about growing old?</t>
  </si>
  <si>
    <t>What sort of diet do you eat?</t>
  </si>
  <si>
    <t>What was your last nightmare?</t>
  </si>
  <si>
    <t>What was your last pleasant dream?</t>
  </si>
  <si>
    <t>Who do you most love in all the world?</t>
  </si>
  <si>
    <t>How would your parents describe you?</t>
  </si>
  <si>
    <t>What is your relationship with your family like?</t>
  </si>
  <si>
    <t>Who is your worst enemy?</t>
  </si>
  <si>
    <t>What is your favorite holiday?</t>
  </si>
  <si>
    <t>Where do you feel most safe?</t>
  </si>
  <si>
    <t>What is your most treasured possession?</t>
  </si>
  <si>
    <t>What do you wish you could do that you can't?</t>
  </si>
  <si>
    <t>Do you like to cook? If so, what's your best dish?</t>
  </si>
  <si>
    <t>One of your parents said something to you that you'll never forget. What are the words that will always echo in your ears?</t>
  </si>
  <si>
    <t>Do you have any allergies or sensitivities?</t>
  </si>
  <si>
    <t>What is the one major regret you have about your life so far?</t>
  </si>
  <si>
    <t>Have you ever been arrested?</t>
  </si>
  <si>
    <t>Is there anything that can get a smile out of you no matter how sad or upset you are?</t>
  </si>
  <si>
    <t>What is the best meal you ever had?</t>
  </si>
  <si>
    <t>What is your romantic history?</t>
  </si>
  <si>
    <t>What is the best romantic relationship you have ever had?</t>
  </si>
  <si>
    <t>What is the worst romantic relationship you have ever had?</t>
  </si>
  <si>
    <t>Would you ever cheat on a romantic partner?</t>
  </si>
  <si>
    <t>What's the luckiest thing that ever happened to you?</t>
  </si>
  <si>
    <t>What's the worst stroke of fortune you ever had?</t>
  </si>
  <si>
    <t>If you had nearly unlimited wealth, what would you spend it on?</t>
  </si>
  <si>
    <t>Who's the craziest person you have ever known, and what was your relationship with them?</t>
  </si>
  <si>
    <t>What is the worst tragedy you have ever witnessed?</t>
  </si>
  <si>
    <t>What are your parents’ names?</t>
  </si>
  <si>
    <t>How do you celebrate your victories and successes?</t>
  </si>
  <si>
    <t>What sort of legacy do you wish to leave behind?</t>
  </si>
  <si>
    <t>What is the most embarrassing thing that ever happened to you?</t>
  </si>
  <si>
    <t>What person has most influenced your development as an adult?</t>
  </si>
  <si>
    <t>In romantic relationships, what is your "type"?</t>
  </si>
  <si>
    <t>Did you have any heroes as a child?</t>
  </si>
  <si>
    <t>What is the biggest lie you have ever told?</t>
  </si>
  <si>
    <t>Who was your best friend during childhood?</t>
  </si>
  <si>
    <t>Describe your dream home.</t>
  </si>
  <si>
    <t>What is the most cruel and hurtful thing you have ever said? Do you regret it?</t>
  </si>
  <si>
    <t>Describe your childhood home.</t>
  </si>
  <si>
    <t>What do you believe to be your purpose in life?</t>
  </si>
  <si>
    <t>How do you view the opposite sex?</t>
  </si>
  <si>
    <t>What do you consider to be the most beautiful thing you've ever seen?</t>
  </si>
  <si>
    <t>What do you consider to be the ugliest thing you've ever seen?</t>
  </si>
  <si>
    <t>Do you feel responsible for anyone besides yourself?</t>
  </si>
  <si>
    <t>Do you have a sense of "personal space"? How do you express it?</t>
  </si>
  <si>
    <t>Have you ever had a mentor? Who was it?</t>
  </si>
  <si>
    <t>How do you feel about the concepts of fate and destiny?</t>
  </si>
  <si>
    <t>Is there anyone whose forgiveness you desire? What for?</t>
  </si>
  <si>
    <t>Where is your home town? What is it called?</t>
  </si>
  <si>
    <t>Briefly describe a defining moment in your childhood and how it influenced your life.</t>
  </si>
  <si>
    <t>Do you have any siblings? If so, describe them.</t>
  </si>
  <si>
    <t>Do you have a notorious or celebrated ancestor?</t>
  </si>
  <si>
    <t>How do you think others generally perceive you?</t>
  </si>
  <si>
    <t>What would you die for?</t>
  </si>
  <si>
    <t>What do you expect to get out of being an adventurer (satisfaction, glory, money, redemption, etc.)?</t>
  </si>
  <si>
    <t>Do you have any dreams or ambitions?</t>
  </si>
  <si>
    <t>Are you greedy or generous?</t>
  </si>
  <si>
    <t>What are your most annoying habits?</t>
  </si>
  <si>
    <t>Do you believe in the gods?</t>
  </si>
  <si>
    <t>What is the one task you would absolutely refuse to do?</t>
  </si>
  <si>
    <t>Who trained you in your class?</t>
  </si>
  <si>
    <t>Did you have any pets as a child?</t>
  </si>
  <si>
    <t>What mystery do you wish you knew the answer to?</t>
  </si>
  <si>
    <t>Do you have any biases for or against certain races?</t>
  </si>
  <si>
    <t>Do you ever want to “settle down” with a spouse, children, house, etc.?</t>
  </si>
  <si>
    <t>What are you the most insecure about?</t>
  </si>
  <si>
    <t>Is there any particular weapon, item, etc. that you long to find?</t>
  </si>
  <si>
    <t>What do you think is the true meaning of life?</t>
  </si>
  <si>
    <t>What is your favorite spell/ personal weapon/combat maneuver/skill/etc.?</t>
  </si>
  <si>
    <t>What is your greatest achievement?</t>
  </si>
  <si>
    <t>What type of creature in the world are you the most intrigued by?</t>
  </si>
  <si>
    <t>Describe how you feel about the party’s current situation/objective/etc.</t>
  </si>
  <si>
    <t>What memory do you want to forget the most?</t>
  </si>
  <si>
    <t>What unusual talents do you possess?</t>
  </si>
  <si>
    <t>What is your guiltiest pleasure?</t>
  </si>
  <si>
    <t>How did you learn the languages that you speak?</t>
  </si>
  <si>
    <t>What is most important to you: health, wealth, or happiness?</t>
  </si>
  <si>
    <t>What advice would you give to a younger version of yourself?</t>
  </si>
  <si>
    <t>Do you believe in the existence of soul mates and/or true love?</t>
  </si>
  <si>
    <t>How do you deal with stress?</t>
  </si>
  <si>
    <t>Did you have a childhood nickname?</t>
  </si>
  <si>
    <t>Do you have someone you wish to impress? Why?</t>
  </si>
  <si>
    <t>Do you have children of your own? If so, what are they like?</t>
  </si>
  <si>
    <t>Do you have any catchphrases?</t>
  </si>
  <si>
    <t>Do you have any vices?</t>
  </si>
  <si>
    <t>How do you not fit your culture’s or race’s stereotype?</t>
  </si>
  <si>
    <t>d</t>
  </si>
  <si>
    <t>Aglathna</t>
  </si>
  <si>
    <t>Alaeya</t>
  </si>
  <si>
    <t>Alanstel</t>
  </si>
  <si>
    <t>Alathea</t>
  </si>
  <si>
    <t>Alazgrelle</t>
  </si>
  <si>
    <t>Andurlatha</t>
  </si>
  <si>
    <t>Anglorae</t>
  </si>
  <si>
    <t>Anthra</t>
  </si>
  <si>
    <t>Asdragarna</t>
  </si>
  <si>
    <t>Aumbrelle</t>
  </si>
  <si>
    <t>Beldrara</t>
  </si>
  <si>
    <t>Chaiass</t>
  </si>
  <si>
    <t>Dalutheera</t>
  </si>
  <si>
    <t>Embrelle</t>
  </si>
  <si>
    <t>Harellae</t>
  </si>
  <si>
    <t>Irenaera</t>
  </si>
  <si>
    <t>Jalessandra</t>
  </si>
  <si>
    <t>Janszeene</t>
  </si>
  <si>
    <t>Jeleskra</t>
  </si>
  <si>
    <t>Lysandlithe</t>
  </si>
  <si>
    <t>Malaerla</t>
  </si>
  <si>
    <t>Murleeme</t>
  </si>
  <si>
    <t>Mythandrarra</t>
  </si>
  <si>
    <t>Noenel</t>
  </si>
  <si>
    <t>Oloebrae</t>
  </si>
  <si>
    <t>Pheirauze</t>
  </si>
  <si>
    <t>Ravandralla</t>
  </si>
  <si>
    <t>Relavarra</t>
  </si>
  <si>
    <t>Resildra</t>
  </si>
  <si>
    <t>Ruvelle</t>
  </si>
  <si>
    <t>Sammereza</t>
  </si>
  <si>
    <t>Shayna</t>
  </si>
  <si>
    <t>Taerenthe</t>
  </si>
  <si>
    <t>Tamglaera</t>
  </si>
  <si>
    <t>Ulandra</t>
  </si>
  <si>
    <t>Vaerestra</t>
  </si>
  <si>
    <t>Yaraela</t>
  </si>
  <si>
    <t>Zarova</t>
  </si>
  <si>
    <t>Female Noble</t>
  </si>
  <si>
    <t>Male Noble</t>
  </si>
  <si>
    <t>Arkanon</t>
  </si>
  <si>
    <t>Arkeld</t>
  </si>
  <si>
    <t>Belarkus</t>
  </si>
  <si>
    <t>Belophar</t>
  </si>
  <si>
    <t>Broryn</t>
  </si>
  <si>
    <t>Corgrast</t>
  </si>
  <si>
    <t>Crimmon</t>
  </si>
  <si>
    <t>Delasko</t>
  </si>
  <si>
    <t>Deremoz</t>
  </si>
  <si>
    <t>Elbert</t>
  </si>
  <si>
    <t>Ergluth</t>
  </si>
  <si>
    <t>Eskult</t>
  </si>
  <si>
    <t>Haedro</t>
  </si>
  <si>
    <t>Helaerd</t>
  </si>
  <si>
    <t>Hornsar</t>
  </si>
  <si>
    <t>Hundarr</t>
  </si>
  <si>
    <t>Irlake</t>
  </si>
  <si>
    <t>Irlin</t>
  </si>
  <si>
    <t>Jeskren</t>
  </si>
  <si>
    <t>Kaerond</t>
  </si>
  <si>
    <t>Kreskur</t>
  </si>
  <si>
    <t>Landrar</t>
  </si>
  <si>
    <t>Lathlance</t>
  </si>
  <si>
    <t>Lhalaundrovam</t>
  </si>
  <si>
    <t>Lyrannus</t>
  </si>
  <si>
    <t>Maerclorn</t>
  </si>
  <si>
    <t>Marlin</t>
  </si>
  <si>
    <t>Melder</t>
  </si>
  <si>
    <t>Mulcaster</t>
  </si>
  <si>
    <t>Naeryk</t>
  </si>
  <si>
    <t>Obraerl</t>
  </si>
  <si>
    <t>Rauligus</t>
  </si>
  <si>
    <t>Relgadrar</t>
  </si>
  <si>
    <t>Rordurn</t>
  </si>
  <si>
    <t>Rorell</t>
  </si>
  <si>
    <t>Rothgar</t>
  </si>
  <si>
    <t>Sacrast</t>
  </si>
  <si>
    <t>Sorlthavarn</t>
  </si>
  <si>
    <t>Tantram</t>
  </si>
  <si>
    <t>Tarius</t>
  </si>
  <si>
    <t>Alsevir</t>
  </si>
  <si>
    <t>Ambershields</t>
  </si>
  <si>
    <t>Ambrival</t>
  </si>
  <si>
    <t>Andolphyn</t>
  </si>
  <si>
    <t>Arcantlet</t>
  </si>
  <si>
    <t>Armeld</t>
  </si>
  <si>
    <t>Bleyshar</t>
  </si>
  <si>
    <t>Braelbane</t>
  </si>
  <si>
    <t>Briarbroke</t>
  </si>
  <si>
    <t>Bryarn</t>
  </si>
  <si>
    <t>Buckfast</t>
  </si>
  <si>
    <t>Crakehall</t>
  </si>
  <si>
    <t>Crownrood</t>
  </si>
  <si>
    <t>Darendall</t>
  </si>
  <si>
    <t>Dathcloake</t>
  </si>
  <si>
    <t>Dawntard</t>
  </si>
  <si>
    <t>Delcastle</t>
  </si>
  <si>
    <t>Domrith</t>
  </si>
  <si>
    <t>Downshield</t>
  </si>
  <si>
    <t>Dragonwood</t>
  </si>
  <si>
    <t>Eveningspire</t>
  </si>
  <si>
    <t>Foulweather</t>
  </si>
  <si>
    <t>Gyrlond</t>
  </si>
  <si>
    <t>Haldoneir</t>
  </si>
  <si>
    <t>Halvaeron</t>
  </si>
  <si>
    <t>Handragon</t>
  </si>
  <si>
    <t>Hardivyper</t>
  </si>
  <si>
    <t>Harefollow</t>
  </si>
  <si>
    <t>Hargryphon</t>
  </si>
  <si>
    <t>Harkuldragon</t>
  </si>
  <si>
    <t>Hartalan</t>
  </si>
  <si>
    <t>Hartel</t>
  </si>
  <si>
    <t>Harvendur</t>
  </si>
  <si>
    <t>Helderstone</t>
  </si>
  <si>
    <t>Helstallion</t>
  </si>
  <si>
    <t>Hethemer</t>
  </si>
  <si>
    <t>Horncastle</t>
  </si>
  <si>
    <t>Huntinglance</t>
  </si>
  <si>
    <t>Indulshields</t>
  </si>
  <si>
    <t>Ironcastle</t>
  </si>
  <si>
    <t>Keskrel</t>
  </si>
  <si>
    <t>Lornsar</t>
  </si>
  <si>
    <t>Loround</t>
  </si>
  <si>
    <t>Mantlepard</t>
  </si>
  <si>
    <t>Melvir</t>
  </si>
  <si>
    <t>Mountwyrm</t>
  </si>
  <si>
    <t>Ormblade</t>
  </si>
  <si>
    <t>Ravenhill</t>
  </si>
  <si>
    <t>Ridinghound</t>
  </si>
  <si>
    <t>Sorndrake</t>
  </si>
  <si>
    <t>Sornstern</t>
  </si>
  <si>
    <t>Staghunt</t>
  </si>
  <si>
    <t>Steelaens</t>
  </si>
  <si>
    <t>Stonecastle</t>
  </si>
  <si>
    <t>Stonestable</t>
  </si>
  <si>
    <t>Stonetower</t>
  </si>
  <si>
    <t>Stormserpent</t>
  </si>
  <si>
    <t>Sundever</t>
  </si>
  <si>
    <t>Tantorn</t>
  </si>
  <si>
    <t>Thalthallow</t>
  </si>
  <si>
    <t>Thawnfaer</t>
  </si>
  <si>
    <t>Thornstag</t>
  </si>
  <si>
    <t>Torchmore</t>
  </si>
  <si>
    <t>Torith</t>
  </si>
  <si>
    <t>Windstag</t>
  </si>
  <si>
    <t>Wintercoats</t>
  </si>
  <si>
    <t>Barelder</t>
  </si>
  <si>
    <t>Gauntweather</t>
  </si>
  <si>
    <t>Haelbroke</t>
  </si>
  <si>
    <t>Kallowsar</t>
  </si>
  <si>
    <t>Mallowbridge</t>
  </si>
  <si>
    <t>Oldbridle</t>
  </si>
  <si>
    <t>Sarlival</t>
  </si>
  <si>
    <t>Vaeren</t>
  </si>
  <si>
    <t>Warblade</t>
  </si>
  <si>
    <t>Noble Family</t>
  </si>
  <si>
    <t>Dawningdown</t>
  </si>
  <si>
    <t>#</t>
  </si>
  <si>
    <t>Feature</t>
  </si>
  <si>
    <t>The Random Loot Generator</t>
  </si>
  <si>
    <t>usless items</t>
  </si>
  <si>
    <t>full range</t>
  </si>
  <si>
    <t>weapon exclusive</t>
  </si>
  <si>
    <t>armour exclusive</t>
  </si>
  <si>
    <t>mundane</t>
  </si>
  <si>
    <t>full</t>
  </si>
  <si>
    <t>amour</t>
  </si>
  <si>
    <t>weapons</t>
  </si>
  <si>
    <t>usless spells</t>
  </si>
  <si>
    <t>all spells</t>
  </si>
  <si>
    <t>comabt spells</t>
  </si>
  <si>
    <t>sentience</t>
  </si>
  <si>
    <t>elements</t>
  </si>
  <si>
    <t>resistance</t>
  </si>
  <si>
    <t>trove</t>
  </si>
  <si>
    <t>Gear</t>
  </si>
  <si>
    <t>shops</t>
  </si>
  <si>
    <t>race</t>
  </si>
  <si>
    <t>class</t>
  </si>
  <si>
    <t>trade tools</t>
  </si>
  <si>
    <t>leather +1 (8)</t>
  </si>
  <si>
    <t>dagger</t>
  </si>
  <si>
    <t>light</t>
  </si>
  <si>
    <t>hit 1</t>
  </si>
  <si>
    <t>law good</t>
  </si>
  <si>
    <t>acid</t>
  </si>
  <si>
    <t>none</t>
  </si>
  <si>
    <t>leather</t>
  </si>
  <si>
    <t>small goods</t>
  </si>
  <si>
    <t>human</t>
  </si>
  <si>
    <t>fighter</t>
  </si>
  <si>
    <t>water skin</t>
  </si>
  <si>
    <t>studded +2 (8)</t>
  </si>
  <si>
    <t>club</t>
  </si>
  <si>
    <t>clamour</t>
  </si>
  <si>
    <t>dmg 1</t>
  </si>
  <si>
    <t>good</t>
  </si>
  <si>
    <t>cold</t>
  </si>
  <si>
    <t>bludgeoning</t>
  </si>
  <si>
    <t>studded</t>
  </si>
  <si>
    <t>cleric</t>
  </si>
  <si>
    <t>Poor districts</t>
  </si>
  <si>
    <t>common districts</t>
  </si>
  <si>
    <t>Rich districts</t>
  </si>
  <si>
    <t>lantern</t>
  </si>
  <si>
    <t>robes</t>
  </si>
  <si>
    <t>javelin</t>
  </si>
  <si>
    <t>glamour</t>
  </si>
  <si>
    <t>hit 1 dmg 1</t>
  </si>
  <si>
    <t>neutral</t>
  </si>
  <si>
    <t>fire</t>
  </si>
  <si>
    <t>paladin</t>
  </si>
  <si>
    <t>gear range</t>
  </si>
  <si>
    <t>Plates</t>
  </si>
  <si>
    <t>hide +2 (2)</t>
  </si>
  <si>
    <t>mace</t>
  </si>
  <si>
    <t>fragrance</t>
  </si>
  <si>
    <t>1d4 elemental</t>
  </si>
  <si>
    <t>evil</t>
  </si>
  <si>
    <t>force</t>
  </si>
  <si>
    <t>hide</t>
  </si>
  <si>
    <t>warlock</t>
  </si>
  <si>
    <t>Magic loot</t>
  </si>
  <si>
    <t>metal bar</t>
  </si>
  <si>
    <t>chainshirt +3 (2)</t>
  </si>
  <si>
    <t>quarterstaff</t>
  </si>
  <si>
    <t>purify</t>
  </si>
  <si>
    <t>1d6 elemental</t>
  </si>
  <si>
    <t>chaotic</t>
  </si>
  <si>
    <t>lighting</t>
  </si>
  <si>
    <t>chainshirt</t>
  </si>
  <si>
    <t>leather works</t>
  </si>
  <si>
    <t>ruffian</t>
  </si>
  <si>
    <t>orb</t>
  </si>
  <si>
    <t>scalemail +4 (2)</t>
  </si>
  <si>
    <t>katana</t>
  </si>
  <si>
    <t>cooking</t>
  </si>
  <si>
    <t>1d4 drain</t>
  </si>
  <si>
    <t>psychotic</t>
  </si>
  <si>
    <t>necrotic</t>
  </si>
  <si>
    <t>lightning</t>
  </si>
  <si>
    <t>scalemail</t>
  </si>
  <si>
    <t>elf</t>
  </si>
  <si>
    <t>scrapper</t>
  </si>
  <si>
    <t>shoppe</t>
  </si>
  <si>
    <t>pot</t>
  </si>
  <si>
    <t>breastplate +4 (2)</t>
  </si>
  <si>
    <t>c-bow</t>
  </si>
  <si>
    <t>cutting</t>
  </si>
  <si>
    <t>extra attack</t>
  </si>
  <si>
    <t>stupid</t>
  </si>
  <si>
    <t>poison</t>
  </si>
  <si>
    <t>breastplate</t>
  </si>
  <si>
    <t>dwarf</t>
  </si>
  <si>
    <t>mage</t>
  </si>
  <si>
    <t>Item quality</t>
  </si>
  <si>
    <t>statue</t>
  </si>
  <si>
    <t>halfplate +5 (2)</t>
  </si>
  <si>
    <t>shortbow</t>
  </si>
  <si>
    <t>replenish</t>
  </si>
  <si>
    <t>debilitate</t>
  </si>
  <si>
    <t>erotic</t>
  </si>
  <si>
    <t>radiant</t>
  </si>
  <si>
    <t>pericing</t>
  </si>
  <si>
    <t>halfplate</t>
  </si>
  <si>
    <t>gnome</t>
  </si>
  <si>
    <t>ranger</t>
  </si>
  <si>
    <t>Times lootable</t>
  </si>
  <si>
    <t>sentient trait</t>
  </si>
  <si>
    <t>elemental type</t>
  </si>
  <si>
    <t>resistance type</t>
  </si>
  <si>
    <t>deck of cards</t>
  </si>
  <si>
    <t>chainmail +6 (0)</t>
  </si>
  <si>
    <t>battle axe</t>
  </si>
  <si>
    <t>rubber</t>
  </si>
  <si>
    <t>amour rend</t>
  </si>
  <si>
    <t>paranoid</t>
  </si>
  <si>
    <t>thunder</t>
  </si>
  <si>
    <t>chainmail</t>
  </si>
  <si>
    <t>food shop</t>
  </si>
  <si>
    <t>halfling</t>
  </si>
  <si>
    <t>rouge</t>
  </si>
  <si>
    <t>lockbox</t>
  </si>
  <si>
    <t>splint +7 (0)</t>
  </si>
  <si>
    <t>greataxe</t>
  </si>
  <si>
    <t>vanishing</t>
  </si>
  <si>
    <t>vorpal</t>
  </si>
  <si>
    <t>boring</t>
  </si>
  <si>
    <t>psychic</t>
  </si>
  <si>
    <t>splint</t>
  </si>
  <si>
    <t>teifling</t>
  </si>
  <si>
    <t>monk</t>
  </si>
  <si>
    <t>Royal districts</t>
  </si>
  <si>
    <t>Shop district</t>
  </si>
  <si>
    <t>holy symbol</t>
  </si>
  <si>
    <t>fullplate +8 (0)</t>
  </si>
  <si>
    <t>longsword</t>
  </si>
  <si>
    <t>shattering</t>
  </si>
  <si>
    <t>ac 1</t>
  </si>
  <si>
    <t>fullplate</t>
  </si>
  <si>
    <t>dragon born</t>
  </si>
  <si>
    <t>Type</t>
  </si>
  <si>
    <t>second spells opt.</t>
  </si>
  <si>
    <t>utility knife</t>
  </si>
  <si>
    <r>
      <t xml:space="preserve">shield </t>
    </r>
    <r>
      <rPr>
        <b/>
        <sz val="11"/>
        <color theme="1"/>
        <rFont val="Lato"/>
        <family val="1"/>
        <scheme val="minor"/>
      </rPr>
      <t>+2</t>
    </r>
  </si>
  <si>
    <t>greatsword</t>
  </si>
  <si>
    <t>ac 2</t>
  </si>
  <si>
    <t>slashing</t>
  </si>
  <si>
    <t>shield</t>
  </si>
  <si>
    <t>kenku</t>
  </si>
  <si>
    <t>trade goods</t>
  </si>
  <si>
    <t>rock</t>
  </si>
  <si>
    <t>ring</t>
  </si>
  <si>
    <t>maul</t>
  </si>
  <si>
    <t>0 damage</t>
  </si>
  <si>
    <t>thorne</t>
  </si>
  <si>
    <t>smith</t>
  </si>
  <si>
    <t>kobold</t>
  </si>
  <si>
    <t>item quality</t>
  </si>
  <si>
    <t>Other</t>
  </si>
  <si>
    <t>utensils</t>
  </si>
  <si>
    <t>amulet</t>
  </si>
  <si>
    <t>morningstar</t>
  </si>
  <si>
    <t>cleaning</t>
  </si>
  <si>
    <t>stealth</t>
  </si>
  <si>
    <t>blinded</t>
  </si>
  <si>
    <t>orc</t>
  </si>
  <si>
    <t>bank</t>
  </si>
  <si>
    <t>sentience trait</t>
  </si>
  <si>
    <t>bag</t>
  </si>
  <si>
    <t>gloves</t>
  </si>
  <si>
    <t>rapier</t>
  </si>
  <si>
    <t>locking</t>
  </si>
  <si>
    <t>wings</t>
  </si>
  <si>
    <t>charmed</t>
  </si>
  <si>
    <t>warforged</t>
  </si>
  <si>
    <t>scroll</t>
  </si>
  <si>
    <t>cloak</t>
  </si>
  <si>
    <t>halberd</t>
  </si>
  <si>
    <t>resting</t>
  </si>
  <si>
    <t>weightless</t>
  </si>
  <si>
    <t>deafened</t>
  </si>
  <si>
    <t>yuan-Ti</t>
  </si>
  <si>
    <t>circlet</t>
  </si>
  <si>
    <t>boots</t>
  </si>
  <si>
    <t>shortsword</t>
  </si>
  <si>
    <t>speed</t>
  </si>
  <si>
    <t>size class</t>
  </si>
  <si>
    <t>exhaustion</t>
  </si>
  <si>
    <t>catfolk</t>
  </si>
  <si>
    <t>1-30 poor/reversed</t>
  </si>
  <si>
    <t>instrument</t>
  </si>
  <si>
    <t>common clothes</t>
  </si>
  <si>
    <t>warhammer</t>
  </si>
  <si>
    <t>mirror img</t>
  </si>
  <si>
    <t>1d4 regen</t>
  </si>
  <si>
    <t>frightnened</t>
  </si>
  <si>
    <t>half orc</t>
  </si>
  <si>
    <t>31-70 good</t>
  </si>
  <si>
    <t>Special</t>
  </si>
  <si>
    <t>scribe tools</t>
  </si>
  <si>
    <t>longbow</t>
  </si>
  <si>
    <t>minor cantrip</t>
  </si>
  <si>
    <t>combat adv</t>
  </si>
  <si>
    <t>grappled</t>
  </si>
  <si>
    <t>stables</t>
  </si>
  <si>
    <t>drow</t>
  </si>
  <si>
    <t>71-99 superior/+1</t>
  </si>
  <si>
    <t>Trove item</t>
  </si>
  <si>
    <t>furniture</t>
  </si>
  <si>
    <t>wand</t>
  </si>
  <si>
    <t>illusion</t>
  </si>
  <si>
    <t>incapacitated</t>
  </si>
  <si>
    <t>magic emporia</t>
  </si>
  <si>
    <t>half elf</t>
  </si>
  <si>
    <t>100 epic/+2</t>
  </si>
  <si>
    <t>Trove number</t>
  </si>
  <si>
    <t>polymorph inanimate object</t>
  </si>
  <si>
    <t>invisible</t>
  </si>
  <si>
    <t>animal friendship</t>
  </si>
  <si>
    <t>paralysed</t>
  </si>
  <si>
    <t>The NPC Generator</t>
  </si>
  <si>
    <t>detect magic</t>
  </si>
  <si>
    <t>petrified</t>
  </si>
  <si>
    <t>healing word</t>
  </si>
  <si>
    <t>poisoned</t>
  </si>
  <si>
    <t>Race</t>
  </si>
  <si>
    <t>Personality trait</t>
  </si>
  <si>
    <t>quaterstaff</t>
  </si>
  <si>
    <t>mending</t>
  </si>
  <si>
    <t>prone</t>
  </si>
  <si>
    <t>Armour Class</t>
  </si>
  <si>
    <t>stunned</t>
  </si>
  <si>
    <t>Hit points</t>
  </si>
  <si>
    <t>surprised</t>
  </si>
  <si>
    <t>Speed</t>
  </si>
  <si>
    <t>short bow</t>
  </si>
  <si>
    <t>unconscious</t>
  </si>
  <si>
    <t>STR</t>
  </si>
  <si>
    <t>DEX</t>
  </si>
  <si>
    <t>CON</t>
  </si>
  <si>
    <t>INT</t>
  </si>
  <si>
    <t>WIS</t>
  </si>
  <si>
    <t>CHA</t>
  </si>
  <si>
    <t>great axe</t>
  </si>
  <si>
    <t>Armour</t>
  </si>
  <si>
    <t>Weapon</t>
  </si>
  <si>
    <t>thron</t>
  </si>
  <si>
    <t>Other loot</t>
  </si>
  <si>
    <t>Quality</t>
  </si>
  <si>
    <t>morning star</t>
  </si>
  <si>
    <t>fear</t>
  </si>
  <si>
    <t>bless</t>
  </si>
  <si>
    <t>polymorph &lt;CR 8</t>
  </si>
  <si>
    <t>identify</t>
  </si>
  <si>
    <t>W</t>
  </si>
  <si>
    <t>N</t>
  </si>
  <si>
    <t>C</t>
  </si>
  <si>
    <t>R</t>
  </si>
  <si>
    <t>D</t>
  </si>
  <si>
    <t>L</t>
  </si>
  <si>
    <t>V</t>
  </si>
  <si>
    <t>U</t>
  </si>
  <si>
    <t>S</t>
  </si>
  <si>
    <t>G</t>
  </si>
  <si>
    <t xml:space="preserve">Lorc &amp; Delapouite </t>
  </si>
  <si>
    <t>leather armor</t>
  </si>
  <si>
    <t>studded leather armor</t>
  </si>
  <si>
    <t>hide armor</t>
  </si>
  <si>
    <t>chain shirt</t>
  </si>
  <si>
    <t>scale mail</t>
  </si>
  <si>
    <t>half-plate</t>
  </si>
  <si>
    <r>
      <t>`</t>
    </r>
    <r>
      <rPr>
        <sz val="11"/>
        <color theme="6" tint="0.79998168889431442"/>
        <rFont val="rpg-awesome"/>
      </rPr>
      <t></t>
    </r>
    <r>
      <rPr>
        <sz val="11"/>
        <color theme="6" tint="0.79998168889431442"/>
        <rFont val="Lato"/>
        <family val="2"/>
        <scheme val="minor"/>
      </rPr>
      <t>resistance</t>
    </r>
  </si>
  <si>
    <r>
      <rPr>
        <sz val="11"/>
        <color theme="6" tint="0.79998168889431442"/>
        <rFont val="rpg-awesome"/>
      </rPr>
      <t></t>
    </r>
    <r>
      <rPr>
        <sz val="11"/>
        <color theme="6" tint="0.79998168889431442"/>
        <rFont val="Webdings"/>
        <family val="1"/>
        <charset val="2"/>
      </rPr>
      <t>g</t>
    </r>
    <r>
      <rPr>
        <sz val="11"/>
        <color theme="6" tint="0.79998168889431442"/>
        <rFont val="Lato"/>
        <family val="2"/>
        <scheme val="minor"/>
      </rPr>
      <t>trove</t>
    </r>
  </si>
  <si>
    <r>
      <rPr>
        <sz val="11"/>
        <color theme="6" tint="0.79998168889431442"/>
        <rFont val="Wingdings"/>
        <charset val="2"/>
      </rPr>
      <t>t</t>
    </r>
    <r>
      <rPr>
        <sz val="11"/>
        <color theme="6" tint="0.79998168889431442"/>
        <rFont val="Calibri"/>
        <family val="2"/>
      </rPr>
      <t xml:space="preserve">    </t>
    </r>
    <r>
      <rPr>
        <sz val="11"/>
        <color theme="6" tint="0.79998168889431442"/>
        <rFont val="Lato"/>
        <family val="2"/>
        <scheme val="minor"/>
      </rPr>
      <t>Gear</t>
    </r>
  </si>
  <si>
    <t>Notes</t>
  </si>
  <si>
    <t>d100</t>
  </si>
  <si>
    <t>low range</t>
  </si>
  <si>
    <t>quality</t>
  </si>
  <si>
    <t>1-30</t>
  </si>
  <si>
    <t>reversed</t>
  </si>
  <si>
    <t>31-70</t>
  </si>
  <si>
    <t>71-99</t>
  </si>
  <si>
    <t>superior</t>
  </si>
  <si>
    <t>epic</t>
  </si>
  <si>
    <t>Icons</t>
  </si>
  <si>
    <t>Random Noble Names</t>
  </si>
  <si>
    <t>Random Names</t>
  </si>
  <si>
    <t>1. Assault/Raid</t>
  </si>
  <si>
    <t>1. Fortress</t>
  </si>
  <si>
    <t>2. Town</t>
  </si>
  <si>
    <t>3. Ship</t>
  </si>
  <si>
    <t>4. Ambush</t>
  </si>
  <si>
    <t>5. Skirmish</t>
  </si>
  <si>
    <t>1. Extraction (Voluntary/Involuntary)</t>
  </si>
  <si>
    <t>1. Jail</t>
  </si>
  <si>
    <t>2. Prison camp</t>
  </si>
  <si>
    <t>3. Private prison</t>
  </si>
  <si>
    <t>4. Prisoner of war</t>
  </si>
  <si>
    <t>5. From employment (corporation/crown)</t>
  </si>
  <si>
    <t>6. Natural Disaster</t>
  </si>
  <si>
    <t>7. From hostile forces</t>
  </si>
  <si>
    <t>From</t>
  </si>
  <si>
    <t>1. Tower</t>
  </si>
  <si>
    <t>2. Dungeon</t>
  </si>
  <si>
    <t>3. Jail</t>
  </si>
  <si>
    <t>4. Camp</t>
  </si>
  <si>
    <t>5. Building</t>
  </si>
  <si>
    <t>1.  </t>
  </si>
  <si>
    <t>1. Theft</t>
  </si>
  <si>
    <t>1. Caravan</t>
  </si>
  <si>
    <t>2. Individual</t>
  </si>
  <si>
    <t>3. Building</t>
  </si>
  <si>
    <t>4. Hijacking</t>
  </si>
  <si>
    <t>5. Kidnapping</t>
  </si>
  <si>
    <t>6. Piracy (Tranfer of goods between vehicles)</t>
  </si>
  <si>
    <t>7. Salvage</t>
  </si>
  <si>
    <t>1. Bounty</t>
  </si>
  <si>
    <t>1. Monster</t>
  </si>
  <si>
    <t>3. Posse</t>
  </si>
  <si>
    <t>4. Pest-Control</t>
  </si>
  <si>
    <t>5. Hunting (Safari-style)</t>
  </si>
  <si>
    <t>6. Hunting (Commercial gain)</t>
  </si>
  <si>
    <t>1. Any of the above may be Dead or Alive</t>
  </si>
  <si>
    <t>1. Escort</t>
  </si>
  <si>
    <t>2. Caravan</t>
  </si>
  <si>
    <t>1. Commercial</t>
  </si>
  <si>
    <t>2. Pilgrimage</t>
  </si>
  <si>
    <t>3. Animal (Cattle)</t>
  </si>
  <si>
    <t>4. Object/Transport</t>
  </si>
  <si>
    <t>5. Message/Parcel</t>
  </si>
  <si>
    <t>6. Personnel</t>
  </si>
  <si>
    <t>7. Smuggling</t>
  </si>
  <si>
    <t>1. Goods</t>
  </si>
  <si>
    <t>2. Weapons</t>
  </si>
  <si>
    <t>3. People/Items</t>
  </si>
  <si>
    <t>Assault/Raid: </t>
  </si>
  <si>
    <t>You must attack and kill/retrieve a macguffin</t>
  </si>
  <si>
    <t>You must defend a structure that someone is planning to attack</t>
  </si>
  <si>
    <t>You attack the structure, but the 'victims' welcome you</t>
  </si>
  <si>
    <t>You attack the structure and the victims welcome you, but then try to kill you</t>
  </si>
  <si>
    <t>There are long term consequences of the Assault</t>
  </si>
  <si>
    <t>Extraction:</t>
  </si>
  <si>
    <t>You must recover or retrieve the macguffin</t>
  </si>
  <si>
    <t>You must insert or place the macguffin in the target area</t>
  </si>
  <si>
    <t>You are the macguffin to be retrieved</t>
  </si>
  <si>
    <t>You go to the macguffin and they want to stay or you see a reason retrieving it would be bad</t>
  </si>
  <si>
    <t>You go to the macguffin and they want to stay because they just wanted to expose weaknesses where they are (or some other method via they help their captors)</t>
  </si>
  <si>
    <t>You go to the macguffin and decide retrieving it would be bad, but really it's bad to not retrieve it because you were misinformed</t>
  </si>
  <si>
    <t>There is no macguffin and never was</t>
  </si>
  <si>
    <t>The maguffin is surprisingly difficult to retrieve</t>
  </si>
  <si>
    <t>Theft:</t>
  </si>
  <si>
    <t>You must steal a macguffin</t>
  </si>
  <si>
    <t>You must protect the macguffin from theft</t>
  </si>
  <si>
    <t>When you go to steal the macguffin it's not their or is not what you expected</t>
  </si>
  <si>
    <t>As above, except it secretly is (illusion, secret compartment)</t>
  </si>
  <si>
    <t>You go to steal the item and discover the owners are glad to part with it or the macguffin wants to be stolen</t>
  </si>
  <si>
    <t>There is no treasure to steal</t>
  </si>
  <si>
    <t>Bounty:</t>
  </si>
  <si>
    <t>You get paid for killing a creature</t>
  </si>
  <si>
    <t>You get paid for preventing people from poaching or killing a creature</t>
  </si>
  <si>
    <t>The bounty is on your head</t>
  </si>
  <si>
    <t>The creature or the reward is fictional</t>
  </si>
  <si>
    <t>No one believes the creature still exists but it does</t>
  </si>
  <si>
    <t>The bounty on a creature is very high, after killing many of them, the effects on the ecosystem become known</t>
  </si>
  <si>
    <t>Escort:</t>
  </si>
  <si>
    <t>You must accompany a macguffin to a destination</t>
  </si>
  <si>
    <t>You are the person to be escorted</t>
  </si>
  <si>
    <t>Something has affected the destination that makes completion of the mission impossible</t>
  </si>
  <si>
    <t>The macguffin is not what it appears, making delivery impossible</t>
  </si>
  <si>
    <t>Coup d'eat:</t>
  </si>
  <si>
    <t>You must unseat a person in power</t>
  </si>
  <si>
    <t>You are the person in power someone is attempting to unseat</t>
  </si>
  <si>
    <t>The person in power is actually the one who should be</t>
  </si>
  <si>
    <t>The person in power is the one who hired you to depose him</t>
  </si>
  <si>
    <t>You don't need to unseat the person in power because of their new position</t>
  </si>
  <si>
    <t>Performing the Coup d'eat destablizes the region and the fallout changes the shape of the campaign</t>
  </si>
  <si>
    <t>Duel/Contest:</t>
  </si>
  <si>
    <t>You must defeat an opponent</t>
  </si>
  <si>
    <t>Someone is trying to stop or defeat you</t>
  </si>
  <si>
    <t>Your opponent throws the match</t>
  </si>
  <si>
    <t>Your opponent loses, meanwhile he's accomplishing his goal while you're tied up with him</t>
  </si>
  <si>
    <t>The contest is called on account of weather</t>
  </si>
  <si>
    <t>The contest doesn't need to occur because of other developments that put you and your opponent on the same side</t>
  </si>
  <si>
    <t>Assassination:</t>
  </si>
  <si>
    <t>You must kill a target</t>
  </si>
  <si>
    <t>People have taken a contract out on your life</t>
  </si>
  <si>
    <t>The person is paying you to kill them</t>
  </si>
  <si>
    <t>The person is paying you to kill them, but is actually under the control of the players enemies</t>
  </si>
  <si>
    <t>When you go to kill them, they are removed in another way as an obstacle (or perhaps they leave the prime material) meaning it is no longer necessary to kill them</t>
  </si>
  <si>
    <t>Assassinating your target causes more problems then it solves</t>
  </si>
  <si>
    <t>Sabotage:</t>
  </si>
  <si>
    <t>You must sabotage a target</t>
  </si>
  <si>
    <t>You must protect a target from being sabotaged</t>
  </si>
  <si>
    <t>There is a non-functional device that must be repaired</t>
  </si>
  <si>
    <t>The target you set out to sabotage is already non-functional</t>
  </si>
  <si>
    <t>The non-functional target is actually just a ruse, the real danger is coming from another foreshadowed source</t>
  </si>
  <si>
    <t>The target due for sabotage fails of its own accord for entirly seperate reasons</t>
  </si>
  <si>
    <t>Sabotaging the target actually makes your own goals more difficult to achieve</t>
  </si>
  <si>
    <t>Exploration:</t>
  </si>
  <si>
    <t>You must explore an area</t>
  </si>
  <si>
    <t>You must prevent a group from finding out about an area</t>
  </si>
  <si>
    <t>You set out to explore an area only to discover it is already well mapped</t>
  </si>
  <si>
    <t>You discover a well mapped out area that you set out to explore but find that all the maps are very inaccurate</t>
  </si>
  <si>
    <t>Mysteries:</t>
  </si>
  <si>
    <t>You must solve a mystery</t>
  </si>
  <si>
    <t>You must prevent someone from discovering what you have done</t>
  </si>
  <si>
    <t>You set out to solve a mystery, but the solution is easily found. Knowing it causes a whole new set of problems</t>
  </si>
  <si>
    <t>Something happened with an obvious solution, a close examination will show that perhaps the obvious solution isn't correct</t>
  </si>
  <si>
    <t>Something that appears to be a mystery is clearly not when examined</t>
  </si>
  <si>
    <t>Skill:</t>
  </si>
  <si>
    <t>Your skill or work is tested</t>
  </si>
  <si>
    <t>You are needing to hire people for a project</t>
  </si>
  <si>
    <t>You set out to do a job, but it turns out there are bigger problems</t>
  </si>
  <si>
    <t>The bigger problems require a different skill you have</t>
  </si>
  <si>
    <t>It turns out that a skilled person wasn't needed at all</t>
  </si>
  <si>
    <t>Rarity Modifier</t>
  </si>
  <si>
    <t>Rarity</t>
  </si>
  <si>
    <t>Supply/Demand Modifier</t>
  </si>
  <si>
    <t>Supply/Demand</t>
  </si>
  <si>
    <t>Intim/Persuade:</t>
  </si>
  <si>
    <t>Reputation:</t>
  </si>
  <si>
    <t>Charisma bonus:</t>
  </si>
  <si>
    <t>Modifier -&gt;</t>
  </si>
  <si>
    <t>Legendary</t>
  </si>
  <si>
    <t>Honored</t>
  </si>
  <si>
    <t>Renowned</t>
  </si>
  <si>
    <t>Liked</t>
  </si>
  <si>
    <t>Known</t>
  </si>
  <si>
    <t>Disliked</t>
  </si>
  <si>
    <t>Reviled</t>
  </si>
  <si>
    <t>Hated</t>
  </si>
  <si>
    <t>Character modifier</t>
  </si>
  <si>
    <t>cp</t>
  </si>
  <si>
    <t>sp</t>
  </si>
  <si>
    <t>gp</t>
  </si>
  <si>
    <t>=</t>
  </si>
  <si>
    <t>Intimidation and Persuasion</t>
  </si>
  <si>
    <t>Charisma Bonus</t>
  </si>
  <si>
    <t>Reputation</t>
  </si>
  <si>
    <t>Marks and Cents</t>
  </si>
  <si>
    <t>Remaining</t>
  </si>
  <si>
    <t>Cost</t>
  </si>
  <si>
    <t>Character GP</t>
  </si>
  <si>
    <t>Cashier Calculator</t>
  </si>
  <si>
    <t>Orange highlighed cells are drop down menus. Select the bonus range for each and the table will adjust the price values.</t>
  </si>
  <si>
    <t>Total bonus</t>
  </si>
  <si>
    <t>Modifier</t>
  </si>
  <si>
    <t>Rarity of magic items in your world.</t>
  </si>
  <si>
    <t>Rarity of magic items in the region.</t>
  </si>
  <si>
    <t>Discount</t>
  </si>
  <si>
    <t>Value</t>
  </si>
  <si>
    <t>Magic Bonus</t>
  </si>
  <si>
    <t>Is the vendor being persuaded or intimidated?</t>
  </si>
  <si>
    <t>Intim/Persuade</t>
  </si>
  <si>
    <t>Reputation with vendor or town</t>
  </si>
  <si>
    <t>Character Rep</t>
  </si>
  <si>
    <t>Bonus</t>
  </si>
  <si>
    <t>Marks</t>
  </si>
  <si>
    <t>CP</t>
  </si>
  <si>
    <t>SP</t>
  </si>
  <si>
    <t>GP</t>
  </si>
  <si>
    <t>Your Price (gp)</t>
  </si>
  <si>
    <t xml:space="preserve"> Base Cost</t>
  </si>
  <si>
    <t>Modified Magic Equipment Costs</t>
  </si>
  <si>
    <t>Modified Basic Equipment Costs</t>
  </si>
  <si>
    <t>Lbs</t>
  </si>
  <si>
    <t>Plate mail</t>
  </si>
  <si>
    <t xml:space="preserve">Spyglass </t>
  </si>
  <si>
    <t xml:space="preserve">Half plate </t>
  </si>
  <si>
    <t xml:space="preserve">Breastplate </t>
  </si>
  <si>
    <t>Splint mail</t>
  </si>
  <si>
    <t xml:space="preserve">Magnifying glass </t>
  </si>
  <si>
    <t xml:space="preserve">Poison, basic (vial) </t>
  </si>
  <si>
    <t xml:space="preserve">Chain mail </t>
  </si>
  <si>
    <t xml:space="preserve">Crossbow, hand </t>
  </si>
  <si>
    <t xml:space="preserve">Alchemist’s fire (flask) </t>
  </si>
  <si>
    <t xml:space="preserve">Alchemist’s supplies </t>
  </si>
  <si>
    <t xml:space="preserve">Antitoxin (vial) </t>
  </si>
  <si>
    <t xml:space="preserve">Chain shirt </t>
  </si>
  <si>
    <t xml:space="preserve">Crossbow, heavy </t>
  </si>
  <si>
    <t xml:space="preserve">Greatsword </t>
  </si>
  <si>
    <t xml:space="preserve">Longbow </t>
  </si>
  <si>
    <t xml:space="preserve">Poisoner’s kit </t>
  </si>
  <si>
    <t xml:space="preserve">Potion of healing </t>
  </si>
  <si>
    <t xml:space="preserve">Scale mail </t>
  </si>
  <si>
    <t xml:space="preserve">Spellbook </t>
  </si>
  <si>
    <t xml:space="preserve">Tinker’s tools </t>
  </si>
  <si>
    <t>Studded leather armor</t>
  </si>
  <si>
    <t>Lute (Musical instrument)</t>
  </si>
  <si>
    <t>Bagpipes (Musical instrument)</t>
  </si>
  <si>
    <t xml:space="preserve">Glassblower’s tools </t>
  </si>
  <si>
    <t xml:space="preserve">Greataxe </t>
  </si>
  <si>
    <t>Lyre (Musical instrument)</t>
  </si>
  <si>
    <t xml:space="preserve">Ring mail </t>
  </si>
  <si>
    <t>Viol (Musical instrument)</t>
  </si>
  <si>
    <t xml:space="preserve">Acid (vial) </t>
  </si>
  <si>
    <t xml:space="preserve">Book </t>
  </si>
  <si>
    <t xml:space="preserve">Climber's kit </t>
  </si>
  <si>
    <t xml:space="preserve">Component pouch </t>
  </si>
  <si>
    <t xml:space="preserve">Crossbow, light </t>
  </si>
  <si>
    <t xml:space="preserve">Disguise kit </t>
  </si>
  <si>
    <t>Dulcimer (Musical instrument)</t>
  </si>
  <si>
    <t xml:space="preserve">Holy water (flask) </t>
  </si>
  <si>
    <t xml:space="preserve">Hourglass </t>
  </si>
  <si>
    <t xml:space="preserve">Jeweler’s tools </t>
  </si>
  <si>
    <t xml:space="preserve">Navigator’s tools </t>
  </si>
  <si>
    <t xml:space="preserve">Rapier </t>
  </si>
  <si>
    <t xml:space="preserve">Scimitar </t>
  </si>
  <si>
    <t xml:space="preserve">Shortbow </t>
  </si>
  <si>
    <t xml:space="preserve">Thieves’ tools </t>
  </si>
  <si>
    <t xml:space="preserve">Brewer’s supplies </t>
  </si>
  <si>
    <t xml:space="preserve">Glaive </t>
  </si>
  <si>
    <t xml:space="preserve">Halberd </t>
  </si>
  <si>
    <t>Orb (Arcane focus)</t>
  </si>
  <si>
    <t xml:space="preserve">Smith’s tools </t>
  </si>
  <si>
    <t xml:space="preserve">Cartographer’s tools </t>
  </si>
  <si>
    <t xml:space="preserve">Clothes, fine </t>
  </si>
  <si>
    <t xml:space="preserve">Forgery kit </t>
  </si>
  <si>
    <t xml:space="preserve">Longsword </t>
  </si>
  <si>
    <t xml:space="preserve">Morningstar </t>
  </si>
  <si>
    <t xml:space="preserve">Warhammer </t>
  </si>
  <si>
    <t>Pan flute (Musical instrument)</t>
  </si>
  <si>
    <t xml:space="preserve">Battleaxe </t>
  </si>
  <si>
    <t xml:space="preserve">Blowgun </t>
  </si>
  <si>
    <t xml:space="preserve">Calligrapher's supplies </t>
  </si>
  <si>
    <t>Crystal (Arcane focus)</t>
  </si>
  <si>
    <t xml:space="preserve">Flail </t>
  </si>
  <si>
    <t>Hide armor</t>
  </si>
  <si>
    <t xml:space="preserve">Ink (1 ounce bottle) </t>
  </si>
  <si>
    <t xml:space="preserve">Lance </t>
  </si>
  <si>
    <t xml:space="preserve">Lantern, bullseye </t>
  </si>
  <si>
    <t>Leather armor</t>
  </si>
  <si>
    <t xml:space="preserve">Lock </t>
  </si>
  <si>
    <t xml:space="preserve">Mason’s tools </t>
  </si>
  <si>
    <t xml:space="preserve">Maul </t>
  </si>
  <si>
    <t xml:space="preserve">Painter’s supplies </t>
  </si>
  <si>
    <t xml:space="preserve">Potter’s tools </t>
  </si>
  <si>
    <t>Rod (Arcane focus)</t>
  </si>
  <si>
    <t xml:space="preserve">Rope, silk (50 feet) </t>
  </si>
  <si>
    <t xml:space="preserve">Shield </t>
  </si>
  <si>
    <t xml:space="preserve">Shortsword </t>
  </si>
  <si>
    <t>Wand (Arcane focus)</t>
  </si>
  <si>
    <t>Yew wand (Druidic focus)</t>
  </si>
  <si>
    <t xml:space="preserve">Carpenter’s tools </t>
  </si>
  <si>
    <t>Drum (Musical instrument)</t>
  </si>
  <si>
    <t>Amulet (Holy symbol)</t>
  </si>
  <si>
    <t xml:space="preserve">Chain (10 feet) </t>
  </si>
  <si>
    <t xml:space="preserve">Chest </t>
  </si>
  <si>
    <t xml:space="preserve">Clothes, costume </t>
  </si>
  <si>
    <t xml:space="preserve">Cobbler’s tools </t>
  </si>
  <si>
    <t>Emblem (Holy symbol)</t>
  </si>
  <si>
    <t xml:space="preserve">Handaxe </t>
  </si>
  <si>
    <t xml:space="preserve">Healer’s kit </t>
  </si>
  <si>
    <t xml:space="preserve">Herbalism kit </t>
  </si>
  <si>
    <t xml:space="preserve">Hunting trap </t>
  </si>
  <si>
    <t xml:space="preserve">Lantern, hooded </t>
  </si>
  <si>
    <t xml:space="preserve">Leatherworker’s tools </t>
  </si>
  <si>
    <t xml:space="preserve">Mace </t>
  </si>
  <si>
    <t xml:space="preserve">Mirror, steel </t>
  </si>
  <si>
    <t>Padded armor</t>
  </si>
  <si>
    <t xml:space="preserve">Perfume (vial) </t>
  </si>
  <si>
    <t>Pike</t>
  </si>
  <si>
    <t>Reliquary (Holy symbol)</t>
  </si>
  <si>
    <t xml:space="preserve">Scale, merchant’s </t>
  </si>
  <si>
    <t xml:space="preserve">Signet ring </t>
  </si>
  <si>
    <t>Staff (Arcane focus)</t>
  </si>
  <si>
    <t>Trident</t>
  </si>
  <si>
    <t xml:space="preserve">War pick </t>
  </si>
  <si>
    <t>Wooden staff (Druidic focus)</t>
  </si>
  <si>
    <t xml:space="preserve">Ram, portable </t>
  </si>
  <si>
    <t>Horn (Musical instrument)</t>
  </si>
  <si>
    <t xml:space="preserve">Abacus </t>
  </si>
  <si>
    <t xml:space="preserve">Backpack </t>
  </si>
  <si>
    <t xml:space="preserve">Barrel </t>
  </si>
  <si>
    <t xml:space="preserve">Bottle, glass </t>
  </si>
  <si>
    <t xml:space="preserve">Clothes, traveler’s </t>
  </si>
  <si>
    <t xml:space="preserve">Crowbar </t>
  </si>
  <si>
    <t xml:space="preserve">Dagger </t>
  </si>
  <si>
    <t>Flute (Musical instrument)</t>
  </si>
  <si>
    <t xml:space="preserve">Grappling hook </t>
  </si>
  <si>
    <t xml:space="preserve">Hammer, sledge </t>
  </si>
  <si>
    <t>Light hammer</t>
  </si>
  <si>
    <t xml:space="preserve">Manacles </t>
  </si>
  <si>
    <t xml:space="preserve">Pick, miner’s </t>
  </si>
  <si>
    <t xml:space="preserve">Pot, iron </t>
  </si>
  <si>
    <t>Shawm (Musical instrument)</t>
  </si>
  <si>
    <t xml:space="preserve">Shovel </t>
  </si>
  <si>
    <t xml:space="preserve">Tent, two-person </t>
  </si>
  <si>
    <t xml:space="preserve">Whip </t>
  </si>
  <si>
    <t xml:space="preserve">Arrows (20) </t>
  </si>
  <si>
    <t xml:space="preserve">Ball bearings (bag o f 1,000) </t>
  </si>
  <si>
    <t xml:space="preserve">Bedroll </t>
  </si>
  <si>
    <t xml:space="preserve">Bell </t>
  </si>
  <si>
    <t xml:space="preserve">Block and tackle </t>
  </si>
  <si>
    <t xml:space="preserve">Blowgun needles (50) </t>
  </si>
  <si>
    <t xml:space="preserve">Caltrops (bag of 20) </t>
  </si>
  <si>
    <t xml:space="preserve">Case, crossbow bolt </t>
  </si>
  <si>
    <t xml:space="preserve">Case, map or scroll </t>
  </si>
  <si>
    <t xml:space="preserve">Cook’s utensils </t>
  </si>
  <si>
    <t xml:space="preserve">Crossbow bolts (20) </t>
  </si>
  <si>
    <t>Dragonchess set (Gaming set)</t>
  </si>
  <si>
    <t xml:space="preserve">Fishing tackle </t>
  </si>
  <si>
    <t xml:space="preserve">Hammer </t>
  </si>
  <si>
    <t>Net</t>
  </si>
  <si>
    <t xml:space="preserve">Quiver </t>
  </si>
  <si>
    <t xml:space="preserve">Robes </t>
  </si>
  <si>
    <t xml:space="preserve">Rope, hempen (50 feet) </t>
  </si>
  <si>
    <t>Sickle</t>
  </si>
  <si>
    <t>Spear</t>
  </si>
  <si>
    <t xml:space="preserve">Spikes, iron (10) </t>
  </si>
  <si>
    <t>Sprig of mistletoe (Druidic focus)</t>
  </si>
  <si>
    <t>Three-Dragon Ante set (Gaming set)</t>
  </si>
  <si>
    <t>Totem (Druidic focus)</t>
  </si>
  <si>
    <t xml:space="preserve">Vial </t>
  </si>
  <si>
    <t xml:space="preserve">Weaver’s tools </t>
  </si>
  <si>
    <t xml:space="preserve">Woodcarver's tools </t>
  </si>
  <si>
    <t xml:space="preserve">Blanket </t>
  </si>
  <si>
    <t xml:space="preserve">Clothes, common </t>
  </si>
  <si>
    <t xml:space="preserve">javelin </t>
  </si>
  <si>
    <t xml:space="preserve">Lamp </t>
  </si>
  <si>
    <t>Playing card set (Gaming set)</t>
  </si>
  <si>
    <t xml:space="preserve">Pouch </t>
  </si>
  <si>
    <t xml:space="preserve">Rations (1 day) </t>
  </si>
  <si>
    <t xml:space="preserve">Sealing wax </t>
  </si>
  <si>
    <t xml:space="preserve">Tinderbox </t>
  </si>
  <si>
    <t xml:space="preserve">Basket </t>
  </si>
  <si>
    <t>Greatclub</t>
  </si>
  <si>
    <t xml:space="preserve">Mess kit </t>
  </si>
  <si>
    <t xml:space="preserve">Paper (one sheet) </t>
  </si>
  <si>
    <t xml:space="preserve">Quarterstaff </t>
  </si>
  <si>
    <t>Waterskin (full)</t>
  </si>
  <si>
    <t xml:space="preserve">Club </t>
  </si>
  <si>
    <t>Dice set (Gaming set)</t>
  </si>
  <si>
    <t xml:space="preserve">Ladder (10-foot) </t>
  </si>
  <si>
    <t xml:space="preserve">Oil (flask) </t>
  </si>
  <si>
    <t xml:space="preserve">Parchment (one sheet) </t>
  </si>
  <si>
    <t xml:space="preserve">Sling </t>
  </si>
  <si>
    <t xml:space="preserve">Bucket </t>
  </si>
  <si>
    <t xml:space="preserve">Dart </t>
  </si>
  <si>
    <t xml:space="preserve">Piton </t>
  </si>
  <si>
    <t xml:space="preserve">Pole (10-foot) </t>
  </si>
  <si>
    <t xml:space="preserve">Signal whistle </t>
  </si>
  <si>
    <t xml:space="preserve">Sling bullets (20) </t>
  </si>
  <si>
    <t xml:space="preserve">Flask or tankard </t>
  </si>
  <si>
    <t xml:space="preserve">Ink pen </t>
  </si>
  <si>
    <t xml:space="preserve">Jug or pitcher </t>
  </si>
  <si>
    <t xml:space="preserve">Soap </t>
  </si>
  <si>
    <t xml:space="preserve">Candle </t>
  </si>
  <si>
    <t xml:space="preserve">Chalk (1 piece) </t>
  </si>
  <si>
    <t xml:space="preserve">Sack </t>
  </si>
  <si>
    <t xml:space="preserve">Torch </t>
  </si>
  <si>
    <t xml:space="preserve">Whetstone </t>
  </si>
  <si>
    <t xml:space="preserve">Unarmed strike </t>
  </si>
  <si>
    <t>1. Skill (Cooking/Leatherworking, etc.)</t>
  </si>
  <si>
    <t>1. Labor (Farmhand, General Labor)</t>
  </si>
  <si>
    <t>2. White Collar (Appraiser, Scribe)</t>
  </si>
  <si>
    <t>3. Black Market (Forger, Lockpicker)</t>
  </si>
  <si>
    <t>4. Service (Armor Tester, Waiter, Usher, Etc.)</t>
  </si>
  <si>
    <t>Hack &amp; Slash: On a Generator of Missions (hackslashmaster.blogspot.com)</t>
  </si>
  <si>
    <t>?</t>
  </si>
  <si>
    <t>Monster Manual</t>
  </si>
  <si>
    <t>Slam|3|1d6+1</t>
  </si>
  <si>
    <t>Melee Weapon Attack: +3 to hit, reach 5 ft., one target. Hit: 4 (1d6 + 1) bludgeoning damage.</t>
  </si>
  <si>
    <t>Slam</t>
  </si>
  <si>
    <t>Undead Fortitude</t>
  </si>
  <si>
    <t>If damage reduces the zombie to 0 hit points, it must make a Constitution saving throw with a DC of 5+the damage taken, unless the damage is radiant or from a critical hit. On a success, the zombie drops to 1 hit point instead.</t>
  </si>
  <si>
    <t>12:22</t>
  </si>
  <si>
    <t>1:21, 2:25, 4:23, 5:22</t>
  </si>
  <si>
    <t>-</t>
  </si>
  <si>
    <t>+3, 1d6+1</t>
  </si>
  <si>
    <t>NO</t>
  </si>
  <si>
    <t>NE</t>
  </si>
  <si>
    <t>Undead</t>
  </si>
  <si>
    <t>Medium</t>
  </si>
  <si>
    <t>Monster</t>
  </si>
  <si>
    <t>https://www.aidedd.org/dnd/monstres.php?vo=Zombie</t>
  </si>
  <si>
    <t>Zombie</t>
  </si>
  <si>
    <t>Cold Breath||10d8</t>
  </si>
  <si>
    <t>The dragon exhales an icy blast in a 30-foot cone. Each creature in that area must make a DC 15 Constitution saving throw, taking 45 (10d8) cold damage on a failed save, or half as much damage on a successful one.</t>
  </si>
  <si>
    <t>Cold Breath (Recharge 5-6)</t>
  </si>
  <si>
    <t>Claw|7|2d6+4</t>
  </si>
  <si>
    <t>Melee Weapon Attack: +7 to hit, reach 5 ft., one target. Hit: 11 (2d6 + 4) slashing damage.</t>
  </si>
  <si>
    <t>Claw</t>
  </si>
  <si>
    <t>Bite|7|2d10+4+1d8</t>
  </si>
  <si>
    <t>Melee Weapon Attack: +7 to hit, reach 10 ft., one target. Hit: 15 (2d10 + 4) piercing damage plus 4 (1d8) cold damage.</t>
  </si>
  <si>
    <t>Bite</t>
  </si>
  <si>
    <t>Multiattack</t>
  </si>
  <si>
    <t>The dragon makes three attacks: one with its bite and two with its claws.</t>
  </si>
  <si>
    <t>Ice Walk</t>
  </si>
  <si>
    <t>The dragon can move across and climb icy surfaces without needing to make an ability check. Additionally, difficult terrain composed of ice or snow doesn't cost it extra moment.</t>
  </si>
  <si>
    <t>+7, 1d8+4</t>
  </si>
  <si>
    <t>+7, 2d6+4</t>
  </si>
  <si>
    <t>+7, 2d10+4</t>
  </si>
  <si>
    <t>CE</t>
  </si>
  <si>
    <t>Dragon</t>
  </si>
  <si>
    <t>Large</t>
  </si>
  <si>
    <t>https://www.aidedd.org/dnd/monstres.php?vo=Young-White-Dragon</t>
  </si>
  <si>
    <t>Young-White-Dragon</t>
  </si>
  <si>
    <t>Young White Dragon</t>
  </si>
  <si>
    <t>Cold Breath||12d8</t>
  </si>
  <si>
    <t>The dragon uses one of the following breath weapons. ¶Cold Breath. The dragon exhales an icy blast in a 30-foot cone. Each creature in that area must make a DC 17 Constitution saving throw, taking 54 (12d8) cold damage on a failed save, or half as much damage on a successful one. ¶Paralyzing Breath. The dragon exhales paralyzing gas in a 30-foot cone. Each creature in that area must succeed on a DC 17 Constitution saving throw or be paralyzed for 1 minute. A creature can repeat the saving throw at the end of each of its turns, ending the effect on itself on a success.</t>
  </si>
  <si>
    <t>Breath Weapons (Recharge 5-6)</t>
  </si>
  <si>
    <t>Claw|10|2d6+6</t>
  </si>
  <si>
    <t>Melee Weapon Attack: +10 to hit, reach 5 ft., one target. Hit: 13 (2d6 + 6) slashing damage.</t>
  </si>
  <si>
    <t>Bite|10|2d10+6</t>
  </si>
  <si>
    <t>Melee Weapon Attack: +10 to hit, reach 10 ft., one target. Hit: 17 (2d10 + 6) piercing damage.</t>
  </si>
  <si>
    <t>+10, 2d6+6</t>
  </si>
  <si>
    <t>+10, 2d10+6</t>
  </si>
  <si>
    <t>LG</t>
  </si>
  <si>
    <t>https://www.aidedd.org/dnd/monstres.php?vo=Young-Silver-Dragon</t>
  </si>
  <si>
    <t>Young-Silver-Dragon</t>
  </si>
  <si>
    <t>Young Silver Dragon</t>
  </si>
  <si>
    <t>Fire Breath||16d6</t>
  </si>
  <si>
    <t>The dragon exhales fire in a 30-foot cone. Each creature in that area must make a DC 17 Dexterity saving throw, taking 56 (16d6) fire damage on a failed save, or half as much damage on a successful one.</t>
  </si>
  <si>
    <t>Fire Breath (Recharge 5-6)</t>
  </si>
  <si>
    <t>Bite|10|2d10+6+1d6</t>
  </si>
  <si>
    <t>Melee Weapon Attack: +10 to hit, reach 10 ft., one target. Hit: 17 (2d10 + 6) piercing damage plus 3 (1d6) fire damage.</t>
  </si>
  <si>
    <t>+10, 1d6+6</t>
  </si>
  <si>
    <t>https://www.aidedd.org/dnd/monstres.php?vo=Young-Red-Dragon</t>
  </si>
  <si>
    <t>Young-Red-Dragon</t>
  </si>
  <si>
    <t>Young Red Dragon</t>
  </si>
  <si>
    <t>Poison Breath||12d6</t>
  </si>
  <si>
    <t>The dragon exhales poisonous gas in a 30-foot cone. Each creature in that area must make a DC 14 Constitution saving throw, taking 42 (12d6) poison damage on a failed save, or half as much damage on a successful one.</t>
  </si>
  <si>
    <t>Poison Breath (Recharge 5-6)</t>
  </si>
  <si>
    <t>Bite|7|2d10+4+2d6</t>
  </si>
  <si>
    <t>Melee Weapon Attack: +7 to hit, reach 10 ft., one target. Hit: 15 (2d10 + 4) piercing damage plus 7 (2d6) poison damage.</t>
  </si>
  <si>
    <t>Amphibious</t>
  </si>
  <si>
    <t>The dragon can breathe air and water.</t>
  </si>
  <si>
    <t>LE</t>
  </si>
  <si>
    <t>https://www.aidedd.org/dnd/monstres.php?vo=Young-Green-Dragon</t>
  </si>
  <si>
    <t>Young-Green-Dragon</t>
  </si>
  <si>
    <t>Young Green Dragon</t>
  </si>
  <si>
    <t>Fire Breath||10d10</t>
  </si>
  <si>
    <t>The dragon uses one of the following breath weapons. ¶Fire Breath. The dragon exhales fire in a 30-foot cone. Each creature in that area must make a DC 17 Dexterity saving throw, taking 55 (10d10) fire damage on a failed save, or half as much damage on a successful one. ¶Weakening Breath. The dragon exhales gas in a 30-foot cone. Each creature in that area must succeed on a DC 17 Strength saving throw or have disadvantage on Strength-based attack rolls, Strength checks, and Strength saving throws for 1 minute. A creature can repeat the saving throw at the end of each of its turns, ending the effect on itself on a success.</t>
  </si>
  <si>
    <t>https://www.aidedd.org/dnd/monstres.php?vo=Young-Gold-Dragon</t>
  </si>
  <si>
    <t>Young-Gold-Dragon</t>
  </si>
  <si>
    <t>Young Gold Dragon</t>
  </si>
  <si>
    <t>Acid Breath||9d8</t>
  </si>
  <si>
    <t>The dragon uses one of the following breath weapons. ¶Acid Breath. The dragon exhales acid in an 40-foot line that is 5 feet wide. Each creature in that line must make a DC 14 Dexterity saving throw, taking 40 (9d8) acid damage on a failed save, or half as much damage on a successful one. ¶Slowing Breath. The dragon exhales gas in a 30-foot cone. Each creature in that area must succeed on a DC 14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</si>
  <si>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Bite|7|2d10+4</t>
  </si>
  <si>
    <t>Melee Weapon Attack: +7 to hit, reach 10 ft., one target. Hit: 15 (2d10 + 4) piercing damage.</t>
  </si>
  <si>
    <t>CG</t>
  </si>
  <si>
    <t>https://www.aidedd.org/dnd/monstres.php?vo=Young-Copper-Dragon</t>
  </si>
  <si>
    <t>Young-Copper-Dragon</t>
  </si>
  <si>
    <t>Young Copper Dragon</t>
  </si>
  <si>
    <t>Lightning Breath||10d10</t>
  </si>
  <si>
    <t>The dragon uses one of the following breath weapons. ¶Lightning Breath. The dragon exhales lightning in a 60-foot line that is 5 feet wide. Each creature in that line must make a DC 15 Dexterity saving throw, taking 55 (10d10) lightning damage on a failed save, or half as much damage on a successful one. ¶Repulsion Breath. The dragon exhales repulsion energy in a 30-foot cone. Each creature in that area must succeed on a DC 15 Strength saving throw. On a failed save, the creature is pushed 40 feet away from the dragon.</t>
  </si>
  <si>
    <t>Claw|8|2d6+5</t>
  </si>
  <si>
    <t>Melee Weapon Attack: +8 to hit, reach 5 ft., one target. Hit: 12 (2d6 + 5) slashing damage.</t>
  </si>
  <si>
    <t>Bite|8|2d10+5</t>
  </si>
  <si>
    <t>Melee Weapon Attack: +8 to hit, reach 10 ft., one target. Hit: 16 (2d10 + 5) piercing damage.</t>
  </si>
  <si>
    <t>+8, 2d6+5</t>
  </si>
  <si>
    <t>+8, 2d10+5</t>
  </si>
  <si>
    <t>https://www.aidedd.org/dnd/monstres.php?vo=Young-Bronze-Dragon</t>
  </si>
  <si>
    <t>Young-Bronze-Dragon</t>
  </si>
  <si>
    <t>Young Bronze Dragon</t>
  </si>
  <si>
    <t>Fire Breath||12d6</t>
  </si>
  <si>
    <t>The dragon uses one of the following breath weapons. ¶Fire Breath. The dragon exhales fire in a 40-foot line that is 5 feet wide. Each creature in that line must make a DC 14 Dexterity saving throw, taking 42 (12d6) fire damage on a failed save, or half as much damage on a successful one. ¶Sleep Breath. The dragon exhales sleep gas in a 30-foot cone. Each creature in that area must succeed on a DC 14 Constitution saving throw or fall unconscious for 5 minutes. This effect ends for a creature if the creature takes damage or someone uses an action to wake it.</t>
  </si>
  <si>
    <t>https://www.aidedd.org/dnd/monstres.php?vo=Young-Brass-Dragon</t>
  </si>
  <si>
    <t>Young-Brass-Dragon</t>
  </si>
  <si>
    <t>Young Brass Dragon</t>
  </si>
  <si>
    <t>The dragon exhales lightning in an 60-foot line that is 5 feet wide. Each creature in that line must make a DC 16 Dexterity saving throw, taking 55 (10d10) lightning damage on a failed save, or half as much damage on a successful one.</t>
  </si>
  <si>
    <t>Lightning Breath (Recharge 5-6)</t>
  </si>
  <si>
    <t>Claw|9|2d6+5</t>
  </si>
  <si>
    <t>Melee Weapon Attack: +9 to hit, reach 5 ft., one target. Hit: 12 (2d6 + 5) slashing damage.</t>
  </si>
  <si>
    <t>Bite|9|2d10+5+1d10</t>
  </si>
  <si>
    <t>Melee Weapon Attack: +9 to hit, reach 10 ft., one target. Hit: 16 (2d10 + 5) piercing damage plus 5 (1d10) lightning damage.</t>
  </si>
  <si>
    <t>+9, 2d6+5</t>
  </si>
  <si>
    <t>+9, 3d10+5</t>
  </si>
  <si>
    <t>https://www.aidedd.org/dnd/monstres.php?vo=Young-Blue-Dragon</t>
  </si>
  <si>
    <t>Young-Blue-Dragon</t>
  </si>
  <si>
    <t>Young Blue Dragon</t>
  </si>
  <si>
    <t>Acid Breath||11d8</t>
  </si>
  <si>
    <t>The dragon exhales acid in a 30-foot line that is 5 feet wide. Each creature in that line must make a DC 14 Dexterity saving throw, taking 49 (11d8) acid damage on a failed save, or half as much damage on a successful one.</t>
  </si>
  <si>
    <t>Acid Breath (Recharge 5-6)</t>
  </si>
  <si>
    <t>Melee Weapon Attack: +7 to hit, reach 10 ft., one target. Hit: 15 (2d10 + 4) piercing damage plus 4 (1d8) acid damage.</t>
  </si>
  <si>
    <t>12:29</t>
  </si>
  <si>
    <t>https://www.aidedd.org/dnd/monstres.php?vo=Young-Black-Dragon</t>
  </si>
  <si>
    <t>Young-Black-Dragon</t>
  </si>
  <si>
    <t>Young Black Dragon</t>
  </si>
  <si>
    <t>Chilling Gaze</t>
  </si>
  <si>
    <t>The yeti targets one creature it can see within 30 ft. of it. If the target can see the yeti, the target must succeed on a DC 13 Constitution saving throw against this magic or take 10 (3d6) cold damage and then be paralyzed for 1 minute, unless it is immune to cold damage. The target can repeat the saving throw at the end of each of its turns, ending the effect on itself on a success. If the target's saving throw is successful, or if the effect ends on it, the target is immune to the Chilling Gaze of all yetis (but not abominable yetis) for 1 hour.</t>
  </si>
  <si>
    <t>Claw|6|1d6+4+1d6</t>
  </si>
  <si>
    <t>Melee Weapon Attack: +6 to hit, reach 5 ft., one target. Hit: 7 (1d6 + 4) slashing damage plus 3 (1d6) cold damage.</t>
  </si>
  <si>
    <t>The yeti can use its Chilling Gaze and makes two claw attacks.</t>
  </si>
  <si>
    <t>Snow Camouflage</t>
  </si>
  <si>
    <t>The yeti has advantage on Dexterity (Stealth) checks made to hide in snowy terrain.</t>
  </si>
  <si>
    <t>Keen Smell</t>
  </si>
  <si>
    <t>The yeti has advantage on Wisdom (Perception) checks that rely on smell.</t>
  </si>
  <si>
    <t>Fear of Fire</t>
  </si>
  <si>
    <t>If the yeti takes fire damage, it has disadvantage on attack rolls and ability checks until the end of its next turn.</t>
  </si>
  <si>
    <t>4:27, 9:53</t>
  </si>
  <si>
    <t>+6, 2d6+4</t>
  </si>
  <si>
    <t>Monstrosity</t>
  </si>
  <si>
    <t>https://www.aidedd.org/dnd/monstres.php?vo=Yeti</t>
  </si>
  <si>
    <t>Yeti</t>
  </si>
  <si>
    <t>OGL</t>
  </si>
  <si>
    <t>dunno</t>
  </si>
  <si>
    <t>Heavy Crossbow|2|1d10</t>
  </si>
  <si>
    <t>Ranged Weapon Attack: +2 to hit, range 100/400 ft., one target. Hit: 5 (1d10) piercing damage.</t>
  </si>
  <si>
    <t>Heavy Crossbow</t>
  </si>
  <si>
    <t>Mace|4|1d6+2</t>
  </si>
  <si>
    <t>Melee Weapon Attack: +4 to hit, reach 5 ft., one creature. Hit: 5 (1d6 + 2) bludgeoning damage.</t>
  </si>
  <si>
    <t>Mace</t>
  </si>
  <si>
    <t>The thug makes two melee attacks.</t>
  </si>
  <si>
    <t>Pack Tactics</t>
  </si>
  <si>
    <t>The thug has advantage on an attack roll against a creature if at least one of the thug's allies is within 5 ft. of the creature and the ally isn't incapacitated.</t>
  </si>
  <si>
    <t>2:30, 5:24, 6:18, 9:27</t>
  </si>
  <si>
    <t>1:19, 2:21, 3:22/23, 4:25, 5:24, 6:35, 8:21, 9:55</t>
  </si>
  <si>
    <t>1:10, 2:25, 4:23, 6:28, 9:31, 11:35, 13:30/32, 14:22</t>
  </si>
  <si>
    <t>+4, 1d10</t>
  </si>
  <si>
    <t>+4, 1d6+2</t>
  </si>
  <si>
    <t>!G</t>
  </si>
  <si>
    <t>Any</t>
  </si>
  <si>
    <t>Humanoid</t>
  </si>
  <si>
    <t>NPC</t>
  </si>
  <si>
    <t>https://www.aidedd.org/dnd/monstres.php?vo=Thug</t>
  </si>
  <si>
    <t>Yagra -- 1/2 Orc Thug</t>
  </si>
  <si>
    <t>Yagra Stonefist</t>
  </si>
  <si>
    <t>Claw|6|1d6+3</t>
  </si>
  <si>
    <t>Melee Weapon Attack: +6 to hit, reach 5 ft., one target. Hit: 6 (1d6 + 3) slashing damage.</t>
  </si>
  <si>
    <t>Bite|6|3d6+3</t>
  </si>
  <si>
    <t>Melee Weapon Attack: +6 to hit, reach 5 ft., one target. Hit: 13 (3d6 + 3) piercing damage.</t>
  </si>
  <si>
    <t>The xorn makes three claw attacks and one bite attack.</t>
  </si>
  <si>
    <t>Treasure Sense</t>
  </si>
  <si>
    <t>The xorn can pinpoint, by scent, the location of precious metals and stones, such as coins and gems, within 60 ft. of it.</t>
  </si>
  <si>
    <t>Stone Camouflage</t>
  </si>
  <si>
    <t>The xorn has advantage on Dexterity (Stealth) checks made to hide in rocky terrain.</t>
  </si>
  <si>
    <t>Earth Glide</t>
  </si>
  <si>
    <t>The xorn can burrow through nonmagical, unworked earth and stone. While doing so, the xorn doesn't disturb the material it moves through.</t>
  </si>
  <si>
    <t>+6, 3d6+3</t>
  </si>
  <si>
    <t>+6, 1d6+3</t>
  </si>
  <si>
    <t>Elemental</t>
  </si>
  <si>
    <t>https://www.aidedd.org/dnd/monstres.php?vo=Xorn</t>
  </si>
  <si>
    <t>Xorn</t>
  </si>
  <si>
    <t>Poisoned Dart|4|1d4+2</t>
  </si>
  <si>
    <t>Ranged Weapon Attack: +4 to hit, range 30/120 ft., one creature. Hit: 4 (1d4 + 2) piercing damage, and the target must succeed on a DC 12 Constitution saving throw or be poisoned for 1 minute. The target can repeat the saving throw at the end of each of its turns, ending the effect on itself on a success</t>
  </si>
  <si>
    <t>Poisoned Dart</t>
  </si>
  <si>
    <t>War Pick|4|1d8+2</t>
  </si>
  <si>
    <t>Melee Weapon Attack: +4 to hit, reach 5 ft., one target. Hit: 6 (1d8 + 2) piercing damage.</t>
  </si>
  <si>
    <t>War Pick</t>
  </si>
  <si>
    <t>Innate Spellcasting</t>
  </si>
  <si>
    <t>The gnome's innate spellcasting ability is Intelligence (spell save DC 11). It can innately cast the following spells, requiring no material components: ¶At will: nondetection (self only) ¶1/day each: blindness/deafness, blur, disguise self</t>
  </si>
  <si>
    <t>Gnome Cunning</t>
  </si>
  <si>
    <t>The gnome has advantage on Intelligence, Wisdom, and Charisma saving throws against magic.</t>
  </si>
  <si>
    <t>The gnome has advantage on Dexterity (Stealth) checks made to hide in rocky terrain.</t>
  </si>
  <si>
    <t>11:21</t>
  </si>
  <si>
    <t/>
  </si>
  <si>
    <t>NG</t>
  </si>
  <si>
    <t>Gnome</t>
  </si>
  <si>
    <t>Small</t>
  </si>
  <si>
    <t>https://www.aidedd.org/dnd/monstres.php?vo=Deep-Gnome-(Svirfneblin)</t>
  </si>
  <si>
    <t>Xoblob</t>
  </si>
  <si>
    <t>Stinger|7|2d6+4</t>
  </si>
  <si>
    <t>Melee Weapon Attack: +7 to hit, reach 10 ft., one creature. Hit: 11 (2d6 + 4) piercing damage. The target must make a DC 15 Constitution saving throw, taking 24 (7d6) poison damage on a failed save, or half as much damage on a successful one.</t>
  </si>
  <si>
    <t>Stinger</t>
  </si>
  <si>
    <t>Claws|7|2d8+4</t>
  </si>
  <si>
    <t>Melee Weapon Attack: +7 to hit, reach 5 ft., one target. Hit: 13 (2d8 + 4) slashing damage.</t>
  </si>
  <si>
    <t>Claws</t>
  </si>
  <si>
    <t>Bite|7|2d6+4</t>
  </si>
  <si>
    <t>Melee Weapon Attack: +7 to hit, reach 10 ft., one creature. Hit: 11 (2d6 + 4) piercing damage.</t>
  </si>
  <si>
    <t>The wyvern makes two attacks: one with its bite and one with its stinger. While flying, it can use its claws in place of one other attack.</t>
  </si>
  <si>
    <t>10:36, 13:31</t>
  </si>
  <si>
    <t>+7, 2d8+4</t>
  </si>
  <si>
    <t>https://www.aidedd.org/dnd/monstres.php?vo=Wyvern</t>
  </si>
  <si>
    <t>Wyvern</t>
  </si>
  <si>
    <t>Create Specter</t>
  </si>
  <si>
    <t>The wraith targets a humanoid within 10 feet of it that has been dead for no longer than 1 minute and died violently. The target's spirit rises as a specter in the space of its corpse or in the nearest unoccupied space. The specter is under the wraith's control. The wraith can have no more than seven specters under its control at one time.</t>
  </si>
  <si>
    <t>Life Drain|6|4d8+3</t>
  </si>
  <si>
    <t>Melee Weapon Attack: +6 to hit, reach 5 ft., one creature. Hit: 21 (4d8 + 3) necrotic damage. The target must succeed on a DC 14 Constitution saving throw or its hit point maximum is reduced by an amount equal to the damage taken. This reduction lasts until the target finishes a long rest. The target dies if this effect reduces its hit point maximum to 0.</t>
  </si>
  <si>
    <t>Life Drain</t>
  </si>
  <si>
    <t>Sunlight Sensitivity</t>
  </si>
  <si>
    <t>While in sunlight, the wraith has disadvantage on attack rolls, as well as on Wisdom (Perception) checks that rely on sight.</t>
  </si>
  <si>
    <t>Incorporeal Movement</t>
  </si>
  <si>
    <t>The wraith can move through other creatures and objects as if they were difficult terrain. It takes 5 (1d10) force damage if it ends its turn inside an object.</t>
  </si>
  <si>
    <t>7:34</t>
  </si>
  <si>
    <t>+6, 4d8+3</t>
  </si>
  <si>
    <t>https://www.aidedd.org/dnd/monstres.php?vo=Wraith</t>
  </si>
  <si>
    <t>Wraith</t>
  </si>
  <si>
    <t>Bite |5|2d6+3</t>
  </si>
  <si>
    <t>Melee Weapon Attack: +5 to hit, reach 5 ft., one target. Hit: 10 (2d6 + 3) piercing damage. If the target is a creature, it must succeed on a DC 13 Strength saving throw or be knocked prone.</t>
  </si>
  <si>
    <t>Keen Hearing and Smell</t>
  </si>
  <si>
    <t>The worg has advantage on Wisdom (Perception) checks that rely on hearing or smell.</t>
  </si>
  <si>
    <t>5:26</t>
  </si>
  <si>
    <t>1:15, 9:31, 13:31</t>
  </si>
  <si>
    <t>+5, 2d6+3</t>
  </si>
  <si>
    <t>Creature</t>
  </si>
  <si>
    <t>https://www.aidedd.org/dnd/monstres.php?vo=Worg</t>
  </si>
  <si>
    <t>Worg</t>
  </si>
  <si>
    <t>Bite|4|2d4+2</t>
  </si>
  <si>
    <t>Melee Weapon Attack: +4 to hit, reach 5 ft., one target. Hit: 7 (2d4 + 2) piercing damage. If the target is a creature, it must succeed on a DC 11 Strength saving throw or be knocked prone.</t>
  </si>
  <si>
    <t>The wolf has advantage on an attack roll against a creature if at least one of the wolf's allies is within 5 ft. of the creature and the ally isn't incapacitated.</t>
  </si>
  <si>
    <t>The wolf has advantage on Wisdom (Perception) checks that rely on hearing or smell.</t>
  </si>
  <si>
    <t>9:26</t>
  </si>
  <si>
    <t>1:15/31</t>
  </si>
  <si>
    <t>+6, 2d4+4</t>
  </si>
  <si>
    <t>Beast</t>
  </si>
  <si>
    <t>https://www.aidedd.org/dnd/monstres.php?vo=Wolf</t>
  </si>
  <si>
    <t>Wolf</t>
  </si>
  <si>
    <t>Cold Breath (Recharge 5-6)||4d8</t>
  </si>
  <si>
    <t>The wolf exhales a blast of freezing wind in a 15-foot cone. Each creature in that area must make a DC 12 Dexterity saving throw, taking 18 (4d8) cold damage on a failed save, or half as much damage on a successful one.</t>
  </si>
  <si>
    <t>Bite |6|2d6+4</t>
  </si>
  <si>
    <t>Melee Weapon Attack: +6 to hit, reach 5 ft., one target. Hit: 11 (2d6 + 4) piercing damage. If the target is a creature, it must succeed on a DC 14 Strength saving throw or be knocked prone.</t>
  </si>
  <si>
    <t>The wolf has advantage on Dexterity (Stealth) checks made to hide in snowy terrain.</t>
  </si>
  <si>
    <t>9:53</t>
  </si>
  <si>
    <t>+6, 4d8</t>
  </si>
  <si>
    <t>https://www.aidedd.org/dnd/monstres.php?vo=Winter-Wolf</t>
  </si>
  <si>
    <t>Winter-Wolf</t>
  </si>
  <si>
    <t>Winter Wolf</t>
  </si>
  <si>
    <t>Invisibility</t>
  </si>
  <si>
    <t>The will-o'-wisp and its light magically become invisible until it attacks or uses its Consume Life, or until its concentration ends (as if concentrating on a spell).</t>
  </si>
  <si>
    <t>Shock |4|2d8</t>
  </si>
  <si>
    <t>Melee Spell Attack: +4 to hit, reach 5 ft., one creature. Hit: 9 (2d8) lightning damage.</t>
  </si>
  <si>
    <t>Shock</t>
  </si>
  <si>
    <t>The will-o'-wisp sheds bright light in a 5- to 20-foot radius and dim light for an additional number of ft. equal to the chosen radius. The will-o'-wisp can alter the radius as a bonus action.</t>
  </si>
  <si>
    <t>Variable Illumination</t>
  </si>
  <si>
    <t>The will-o'-wisp can move through other creatures and objects as if they were difficult terrain. It takes 5 (1d10) force damage if it ends its turn inside an object.</t>
  </si>
  <si>
    <t>Ephemeral</t>
  </si>
  <si>
    <t>The will-o'-wisp can't wear or carry anything.</t>
  </si>
  <si>
    <t>Consume Life</t>
  </si>
  <si>
    <t>As a bonus action, the will-o'-wisp can target one creature it can see within 5 ft. of it that has 0 hit points and is still alive. The target must succeed on a DC 10 Constitution saving throw against this magic or die. If the target dies, the will-o'-wisp regains 10 (3d6) hit points.</t>
  </si>
  <si>
    <t>7:32</t>
  </si>
  <si>
    <t>9:51</t>
  </si>
  <si>
    <t>12:29, 14:22</t>
  </si>
  <si>
    <t>+2, 2d8</t>
  </si>
  <si>
    <t>Tiny</t>
  </si>
  <si>
    <t>https://www.aidedd.org/dnd/monstres.php?vo=Will-o'-Wisp</t>
  </si>
  <si>
    <t>Will-o'-Wisp</t>
  </si>
  <si>
    <t>Longbow|4|1d8+2</t>
  </si>
  <si>
    <t>Ranged Weapon Attack: +4 to hit, range 150/600 ft., one target. Hit: 6 (1d8 + 2) piercing damage.</t>
  </si>
  <si>
    <t>Longbow</t>
  </si>
  <si>
    <t>Longsword|4|1d8+2</t>
  </si>
  <si>
    <t>Melee Weapon Attack: +4 to hit, reach 5 ft., one target. Hit: 6 (1d8 + 2) slashing damage, or 7 (1d10 + 2) slashing damage if used with two hands.</t>
  </si>
  <si>
    <t>Longsword</t>
  </si>
  <si>
    <t>Life Drain|4|1d6+2</t>
  </si>
  <si>
    <t>Melee Weapon Attack: +4 to hit, reach 5 ft., one creature. Hit: 5 (1d6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 ¶A humanoid slain by this attack rises 24 hours later as a zombie under the wight's control, unless the humanoid is restored to life or its body is destroyed. The wight can have no more than twelve zombies under its control at one time.</t>
  </si>
  <si>
    <t>The wight makes two longsword attacks or two longbow attacks. It can use its Life Drain in place of one longsword attack.</t>
  </si>
  <si>
    <t>While in sunlight, the wight has disadvantage on attack rolls, as well as on Wisdom (Perception) checks that rely on sight.</t>
  </si>
  <si>
    <t>5:21</t>
  </si>
  <si>
    <t>+4, 1d10+2</t>
  </si>
  <si>
    <t>https://www.aidedd.org/dnd/monstres.php?vo=Wight</t>
  </si>
  <si>
    <t>Wight</t>
  </si>
  <si>
    <t>Cold Breath||5d8</t>
  </si>
  <si>
    <t>The dragon exhales an icy blast of hail in a 15-foot cone. Each creature in that area must make a DC 12 Constitution saving throw, taking 22 (5d8) cold damage on a failed save, or half as much damage on a successful one.</t>
  </si>
  <si>
    <t>Bite|4|1d10+2+1d4</t>
  </si>
  <si>
    <t>Melee Weapon Attack: +4 to hit, reach 5 ft., one target. Hit: 7 (1d10 + 2) piercing damage plus 2 (1d4) cold damage.</t>
  </si>
  <si>
    <t>https://www.aidedd.org/dnd/monstres.php?vo=White-Dragon-Wyrmling</t>
  </si>
  <si>
    <t>White-Dragon-Wyrmling</t>
  </si>
  <si>
    <t>White Dragon Wyrmling</t>
  </si>
  <si>
    <t>One-Handed|4|1d6+2 Two-Handed|4|1d8+2</t>
  </si>
  <si>
    <t>Melee or Ranged Weapon Attack: +4 to hit, reach 5 ft. or range 20/60 ft., one creature. Hit: 5 (1d6 + 2) piercing damage, or 6 (1d8 + 2) piercing damage if used with two hands to make a melee attack.</t>
  </si>
  <si>
    <t>Spear (Humanoid Form Only)</t>
  </si>
  <si>
    <t>Claws|4|2d4+2</t>
  </si>
  <si>
    <t>Melee Weapon Attack: +4 to hit, reach 5 ft., one creature. Hit: 7 (2d4 + 2) slashing damage.</t>
  </si>
  <si>
    <t>Claws (Hybrid Form Only)</t>
  </si>
  <si>
    <t>Bite (Wolf or Hybrid Form Only)|4|1d8+2</t>
  </si>
  <si>
    <t>Melee Weapon Attack: +4 to hit, reach 5 ft., one target. Hit: 6 (1d8 + 2) piercing damage. If the target is a humanoid, it must succeed on a DC 12 Constitution saving throw or be cursed with werewolf lycanthropy.</t>
  </si>
  <si>
    <t>Bite (Wolf or Hybrid Form Only)</t>
  </si>
  <si>
    <t>Multiattack (Humanoid or Hybrid Form Only)</t>
  </si>
  <si>
    <t>The werewolf makes two attacks: one with its bite and one with its claws or spear.</t>
  </si>
  <si>
    <t>The werewolf has advantage on Wisdom (Perception) checks that rely on hearing or smell.</t>
  </si>
  <si>
    <t>Shapechanger</t>
  </si>
  <si>
    <t>The werewolf can use its action to polymorph into a wolf-humanoid hybrid or into a wolf, or back into its true form, which is humanoid. Its statistics, other than its AC, are the same in each form. Any equipment it is wearing or carrying isn't transformed. It reverts to its true form if it dies.</t>
  </si>
  <si>
    <t>+4, 2d4+2</t>
  </si>
  <si>
    <t>+4, 1d8+2</t>
  </si>
  <si>
    <t>Human</t>
  </si>
  <si>
    <t>https://www.aidedd.org/dnd/monstres.php?vo=Werewolf</t>
  </si>
  <si>
    <t>Werewolf</t>
  </si>
  <si>
    <t>Longbow (Humanoid or Hybrid Form Only)</t>
  </si>
  <si>
    <t>Scimitar|5|1d6+3</t>
  </si>
  <si>
    <t>Melee Weapon Attack: +5 to hit, reach 5 ft., one target. Hit: 6 (1d6 + 3) slashing damage.</t>
  </si>
  <si>
    <t>Scimitar (Humanoid or Hybrid Form Only)</t>
  </si>
  <si>
    <t>Claw|5|1d8+3</t>
  </si>
  <si>
    <t>Melee Weapon Attack: +5 to hit, reach 5 ft., one target. Hit: 7 (1d8 + 3) slashing damage.</t>
  </si>
  <si>
    <t>Claw (Tiger or Hybrid Form Only)</t>
  </si>
  <si>
    <t>Bite|5|1d10+3</t>
  </si>
  <si>
    <t>Melee Weapon Attack: +5 to hit, reach 5 ft., one target. Hit: 8 (1d10 + 3) piercing damage. If the target is a humanoid, it must succeed on a DC 13 Constitution saving throw or be cursed with weretiger lycanthropy.</t>
  </si>
  <si>
    <t>Bite (Tiger or Hybrid Form Only)</t>
  </si>
  <si>
    <t>In humanoid form, the weretiger makes two scimitar attacks or two longbow attacks. In hybrid form, it can attack like a humanoid or make two claw attacks.</t>
  </si>
  <si>
    <t>Pounce (Tiger or Hybrid Form Only)</t>
  </si>
  <si>
    <t>If the weretiger moves at least 15 feet straight toward a creature and then hits it with a claw attack on the same turn, that target must succeed on a DC 14 Strength saving throw or be knocked prone. If the target is prone, the weretiger can make one bite attack against it as a bonus action.</t>
  </si>
  <si>
    <t>The weretiger has advantage on Wisdom (Perception) checks that rely on hearing or smell.</t>
  </si>
  <si>
    <t>The weretiger can use its action to polymorph into a tiger-humanoid hybrid or into a tiger, or back into its true form, which is humanoid. Its statistics, other than its size, are the same in each form. Any equipment it is wearing or carrying isn't transformed. It reverts to its true form if it dies.</t>
  </si>
  <si>
    <t>+5, 1d8+3</t>
  </si>
  <si>
    <t>+5, 1d10+3</t>
  </si>
  <si>
    <t>https://www.aidedd.org/dnd/monstres.php?vo=Weretiger</t>
  </si>
  <si>
    <t>Weretiger</t>
  </si>
  <si>
    <t>Hand Crossbow|4|1d6+2</t>
  </si>
  <si>
    <t>Ranged Weapon Attack: +4 to hit, range 30/120 ft., one target. Hit: 5 (1d6 + 2) piercing damage.</t>
  </si>
  <si>
    <t>Hand Crossbow (Humanoid or Hybrid Form Only)</t>
  </si>
  <si>
    <t>Shortsword|4|1d6+2</t>
  </si>
  <si>
    <t>Melee Weapon Attack: +4 to hit, reach 5 ft., one target. Hit: 5 (1d6 + 2) piercing damage.</t>
  </si>
  <si>
    <t>Shortsword (Humanoid or Hybrid Form Only)</t>
  </si>
  <si>
    <t>Bite|4|1d4+2</t>
  </si>
  <si>
    <t>Melee Weapon Attack: +4 to hit, reach 5 ft., one target. Hit: 4 (1d4 + 2) piercing damage. If the target is a humanoid, it must succeed on a DC 11 Constitution saving throw or be cursed with wererat lycanthropy.</t>
  </si>
  <si>
    <t>Bite (Rat or Hybrid Form Only).</t>
  </si>
  <si>
    <t>The wererat makes two attacks, only one of which can be a bite.</t>
  </si>
  <si>
    <t>The wererat has advantage on Wisdom (Perception) checks that rely on smell.</t>
  </si>
  <si>
    <t>The wererat can use its action to polymorph into a rat-humanoid hybrid or into a giant rat, or back into its true form, which is humanoid. Its statistics, other than its size, are the same in each form. Any equipment it is wearing or carrying isn't transformed. It reverts to its true form if it dies.</t>
  </si>
  <si>
    <t>+4, 1d4+2</t>
  </si>
  <si>
    <t>https://www.aidedd.org/dnd/monstres.php?vo=Wererat</t>
  </si>
  <si>
    <t>Wererat</t>
  </si>
  <si>
    <t>Tusks|5|2d6+3</t>
  </si>
  <si>
    <t>Melee Weapon Attack: +5 to hit, reach 5 ft., one target. Hit: 10 (2d6 + 3) slashing damage. If the target is a humanoid, it must succeed on a DC 12 Constitution saving throw or be cursed with wereboar lycanthropy.</t>
  </si>
  <si>
    <t>Tusks (Boar or Hybrid Form Only)</t>
  </si>
  <si>
    <t>Maul|5|2d6+3</t>
  </si>
  <si>
    <t>Melee Weapon Attack: +5 to hit, reach 5 ft., one target. Hit: 10 (2d6 + 3) bludgeoning damage.</t>
  </si>
  <si>
    <t>Maul (Humanoid or Hybrid Form Only)</t>
  </si>
  <si>
    <t>The wereboar makes two attacks, only one of which can be with its tusks.</t>
  </si>
  <si>
    <t>Relentless (Recharges after a Short or Long Rest)</t>
  </si>
  <si>
    <t>If the wereboar takes 14 damage or less that would reduce it to 0 hit points, it is reduced to 1 hit point instead.</t>
  </si>
  <si>
    <t>Charge||2d6</t>
  </si>
  <si>
    <t>If the wereboar moves at least 15 feet straight toward a target and then hits it with its tusks on the same turn, the target takes an extra 7 (2d6) slashing damage. If the target is a creature, it must succeed on a DC 13 Strength saving throw or be knocked prone.</t>
  </si>
  <si>
    <t>Charge (Boar or Hybrid Form Only)</t>
  </si>
  <si>
    <t>The wereboar can use its action to polymorph into a boar-humanoid hybrid or into a boar, or back into its true form, which is humanoid. Its statistics, other than its AC, are the same in each form. Any equipment it is wearing or carrying isn't transformed. It reverts to its true form if it dies.</t>
  </si>
  <si>
    <t>https://www.aidedd.org/dnd/monstres.php?vo=Wereboar</t>
  </si>
  <si>
    <t>Wereboar</t>
  </si>
  <si>
    <t>Greataxe|7|1d12+4</t>
  </si>
  <si>
    <t>Melee Weapon Attack: +7 to hit, reach 5 ft., one target. Hit: 10 (1d12 + 4) slashing damage.</t>
  </si>
  <si>
    <t>Greataxe (Humanoid or Hybrid Form Only)</t>
  </si>
  <si>
    <t>Claw|7|2d8+4</t>
  </si>
  <si>
    <t>Claw (Bear or Hybrid Form Only)</t>
  </si>
  <si>
    <t>Melee Weapon Attack: +7 to hit, reach 5 ft., one target. Hit: 15 (2d10 + 4) piercing damage. If the target is a humanoid, it must succeed on a DC 14 Constitution saving throw or be cursed with were bear lycanthropy.</t>
  </si>
  <si>
    <t>Bite (Bear or Hybrid Form Only)</t>
  </si>
  <si>
    <t>In bear form, the werebear makes two claw attacks. In humanoid form, it makes two greataxe attacks. In hybrid form, it can attack like a bear or a humanoid.</t>
  </si>
  <si>
    <t>The werebear has advantage on WisGlom (Perception) checks that rely on smell.</t>
  </si>
  <si>
    <t>The werebear can use its action to polymorph into a Large bear-humanoid hybrid or into a Large bear, or back into its true form, which is humanoid. Its statistics, other than its size and AC, are the same in each form. Any equipment it. is wearing or carrying isn't transformed. It reverts to its true form if it dies.</t>
  </si>
  <si>
    <t>https://www.aidedd.org/dnd/monstres.php?vo=Werebear</t>
  </si>
  <si>
    <t>Werebear</t>
  </si>
  <si>
    <t>Bite|5|1</t>
  </si>
  <si>
    <t>Melee Weapon Attack: +5 to hit, reach 5 ft., one creature. Hit: 1 piercing damage.</t>
  </si>
  <si>
    <t>The weasel has advantage on Wisdom (Perception) checks that rely on hearing or smell.</t>
  </si>
  <si>
    <t>+2, 1</t>
  </si>
  <si>
    <t>https://www.aidedd.org/dnd/monstres.php?vo=Weasel</t>
  </si>
  <si>
    <t>Weasel</t>
  </si>
  <si>
    <t>Whelm (Recharge 4-6)</t>
  </si>
  <si>
    <t>Each creature in the elemental's space must make a DC 15 Strength saving throw. On a failure, a target takes 13 (2d8 + 4) bludgeoning damage. If it is Large or smaller, it is also grappled (escape DC 14). Until this grapple ends, the target is restrained and unable to breathe unless it can breathe water. If the saving throw is successful, the target is pushed out of the elemental's space. ¶The elemental can grapple one Large creature or up to two Medium or smaller creatures at one time. At the start of each of the elemental's turns, each target grappled by it takes 13 (2d8 + 4) bludgeoning damage. A creature within 5 feet of the elemental can pull a creature or object out of it by taking an action to make a DC 14 Strength and succeeding.</t>
  </si>
  <si>
    <t>Slam|7|2d8+4</t>
  </si>
  <si>
    <t>Melee Weapon Attack: +7 to hit, reach 5 ft., one target. Hit: 13 (2d8 + 4) bludgeoning damage.</t>
  </si>
  <si>
    <t>The elemental makes two slam attacks.</t>
  </si>
  <si>
    <t>Freeze</t>
  </si>
  <si>
    <t>If the elemental takes cold damage, it partially freezes; its speed is reduced by 20 ft. until the end of its next turn.</t>
  </si>
  <si>
    <t>Water Form</t>
  </si>
  <si>
    <t>The elemental can enter a hostile creature's space and stop there. It can move through a space as narrow as 1 inch wide without squeezing.</t>
  </si>
  <si>
    <t>3:25</t>
  </si>
  <si>
    <t>https://www.aidedd.org/dnd/monstres.php?vo=Water-Elemental</t>
  </si>
  <si>
    <t>Water-Elemental</t>
  </si>
  <si>
    <t>Water Elemental</t>
  </si>
  <si>
    <t>Hooves|6|2d6+4</t>
  </si>
  <si>
    <t>Melee Weapon Attack: +6 to hit, reach 5 ft., one target. Hit: 11 (2d6 + 4) bludgeoning damage.</t>
  </si>
  <si>
    <t>Hooves</t>
  </si>
  <si>
    <t>https://www.aidedd.org/dnd/monstres.php?vo=Warhorse-Skeleton</t>
  </si>
  <si>
    <t>Warhorse-Skeleton</t>
  </si>
  <si>
    <t>Warhorse Skeleton</t>
  </si>
  <si>
    <t>Trampling Charge</t>
  </si>
  <si>
    <t>If the horse moves at least 20 ft. straight toward a creature and then hits it with a hooves attack on the same turn, that target must succeed on a DC 14 Strength saving throw or be knocked prone. If the target is prone, the horse can make another attack with its hooves against it as a bonus action.</t>
  </si>
  <si>
    <t>https://www.aidedd.org/dnd/monstres.php?vo=Warhorse</t>
  </si>
  <si>
    <t>Warhorse</t>
  </si>
  <si>
    <t>Beak|2|1d4</t>
  </si>
  <si>
    <t>Melee Weapon Attack: +2 to hit, reach 5 ft., one target. Hit: 2 (1d4) piercing damage.</t>
  </si>
  <si>
    <t>Beak</t>
  </si>
  <si>
    <t>The vulture has advantage on an attack roll against a creature if at least one of the vulture's allies is within 5 ft. of the creature and the ally isn't incapacitated.</t>
  </si>
  <si>
    <t>Keen Sight and Smell</t>
  </si>
  <si>
    <t>The vulture has advantage on Wisdom (Perception) checks that rely on sight or smell.</t>
  </si>
  <si>
    <t>+2, 1d4</t>
  </si>
  <si>
    <t>https://www.aidedd.org/dnd/monstres.php?vo=Vulture</t>
  </si>
  <si>
    <t>Vulture</t>
  </si>
  <si>
    <t>Variant: Summon Demon (1/Day)</t>
  </si>
  <si>
    <t>The demon chooses what to summon and attempts a magical summoning. ¶A vrock has a 30 percent chance of summoning 2d4 dretches or one vrock. ¶A summoned demon appears in an unoccupied space within 60 feet of its summoner, acts as an ally of its summoner, and can't summon other demons. It remains for 1 minute, until it or its summoner dies, or until its summoner dismisses it as an action.</t>
  </si>
  <si>
    <t>Stunning Screech (1/Day)</t>
  </si>
  <si>
    <t>The vrock emits a horrific screech. Each creature within 20 feet of it that can hear it and that isn't a demon must succeed on a DC 14 Constitution saving throw or be stunned until the end of the vrock's next turn .</t>
  </si>
  <si>
    <t>Spores (Recharge 6)</t>
  </si>
  <si>
    <t>A 15-foot-radius cloud of toxic spores extends out from the vrock. The spores spread around corners. Each creature in that area must succeed on a DC 14 Constitution saving throw or become poisoned. While poisoned in this way, a target takes 5 (1d10) poison damage at the start of each of its turns. A target can repeat the saving throw at the end of each of its turns, ending the effect on itself on a success. Emptying a vial of holy water on the target also ends the effect on it.</t>
  </si>
  <si>
    <t>Talons|6|2d10+3</t>
  </si>
  <si>
    <t>Melee Weapon Attack: +6 to hit, reach 5 ft., one target. Hit: 14 (2d10 + 3) slashing damage.</t>
  </si>
  <si>
    <t>Talons</t>
  </si>
  <si>
    <t>Beak|6|2d6+3</t>
  </si>
  <si>
    <t>Melee Weapon Attack: +6 to hit, reach 5 ft., one target. Hit: 10 (2d6 + 3) piercing damage.</t>
  </si>
  <si>
    <t>The vrock makes two attacks: one with its beak and one with its talons.</t>
  </si>
  <si>
    <t>Magic Resistance</t>
  </si>
  <si>
    <t>The vrock has advantage on saving throws against spells and other magical effects.</t>
  </si>
  <si>
    <t>4:50</t>
  </si>
  <si>
    <t>+6, 2d10+3</t>
  </si>
  <si>
    <t>+6, 2d6+3</t>
  </si>
  <si>
    <t>Demon</t>
  </si>
  <si>
    <t>Fiend</t>
  </si>
  <si>
    <t>https://www.aidedd.org/dnd/monstres.php?vo=Vrock</t>
  </si>
  <si>
    <t>Vrock</t>
  </si>
  <si>
    <t>Rotting Touch|2|1d8</t>
  </si>
  <si>
    <t>Melee Weapon Attack: +2 to hit, reach 10 ft., one creature. Hit: 4 (1d8) necrotic damage.</t>
  </si>
  <si>
    <t>Rotting Touch</t>
  </si>
  <si>
    <t>The fungus makes 1d4 Rotting Touch attacks.</t>
  </si>
  <si>
    <t>False Appearance</t>
  </si>
  <si>
    <t>While the violet fungus remains motionless, it is indistinguishable from an ordinary fungus.</t>
  </si>
  <si>
    <t>7:21</t>
  </si>
  <si>
    <t>+2, 1d8</t>
  </si>
  <si>
    <t>Plant</t>
  </si>
  <si>
    <t>https://www.aidedd.org/dnd/monstres.php?vo=Violet-Fungus</t>
  </si>
  <si>
    <t>Violet-Fungus</t>
  </si>
  <si>
    <t>Violet Fungus</t>
  </si>
  <si>
    <t>Heavy Crossbow|3|1d10+1</t>
  </si>
  <si>
    <t>Ranged Weapon Attack: +3 to hit, range 100/400 ft., one target. Hit: 6 (1d10 + 1) piercing damage.</t>
  </si>
  <si>
    <t>Shortsword|5|1d6+3</t>
  </si>
  <si>
    <t>Melee Weapon Attack: +5 to hit, reach 5 ft., one target. Hit: 6 (1d6 + 3) piercing damage.</t>
  </si>
  <si>
    <t>Shortsword</t>
  </si>
  <si>
    <t>Longsword|5|1d8+3</t>
  </si>
  <si>
    <t>Melee Weapon Attack: +5 to hit, reach 5 ft., one target. Hit: 7 (1d8 + 3) slashing damage, or 8 (1d10 + 3) slashing damage if used with two hands.</t>
  </si>
  <si>
    <t>The veteran makes two longsword attacks. If it has a shortsword drawn, it can also make a shortsword attack.</t>
  </si>
  <si>
    <t>2:29, 3:30, 8:24, 9:27</t>
  </si>
  <si>
    <t>2:24, 4:25, 8:22</t>
  </si>
  <si>
    <t>3:29, 10:36, 11:45, 14:22</t>
  </si>
  <si>
    <t>+5, 1d6+3</t>
  </si>
  <si>
    <t>https://www.aidedd.org/dnd/monstres.php?vo=Veteran</t>
  </si>
  <si>
    <t>Veteran</t>
  </si>
  <si>
    <t>Claws|6|2d4+3</t>
  </si>
  <si>
    <t>Melee Weapon Attack: +6 to hit, reach 5 ft., one creature. Hit: 8 (2d4 + 3) slashing damage. Instead of dealing damage, the vampire can grapple the target (escape DC 13).</t>
  </si>
  <si>
    <t>Bite|6|1d6+3+2d6</t>
  </si>
  <si>
    <t>Melee Weapon Attack: +6 to hit, reach 5 ft., one willing creature, or a creature that is grappled by the vampire, incapacitated, or restrained. Hit: 6 (1d6 + 3) piercing damage plus 7 (2d6)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t>
  </si>
  <si>
    <t>The vampire makes two attacks, only one of which can be a bite attack.</t>
  </si>
  <si>
    <t>Vampire Weaknesses</t>
  </si>
  <si>
    <t>The vampire has the following flaws: ¶Forbiddance. The vampire can't enter a residence without an invitation from one of the occupants. ¶Harmed by Running Water. The vampire takes 20 acid damage when it ends its turn in running water. ¶Stake to the Heart. The vampire is destroyed if a piercing weapon made of wood is driven into its heart while it is incapacitated in its resting place. ¶Sunlight Hypersensitivity. The vampire takes 20 radiant damage when it starts its turn in sunlight. While in sunlight, it has disadvantage on attack rolls and ability checks.</t>
  </si>
  <si>
    <t>Spider Climb</t>
  </si>
  <si>
    <t>The vampire can climb difficult surfaces, including upside down on ceilings, without needing to make an ability check.</t>
  </si>
  <si>
    <t>Regeneration</t>
  </si>
  <si>
    <t>The vampire regains 10 hit points at the start of its turn if it has at least 1 hit point and isn't in sunlight or running water. If the vampire takes radiant damage or damage from holy water, this trait doesn't function at the start of the vampire's next turn.</t>
  </si>
  <si>
    <t>+6, 2d4+3</t>
  </si>
  <si>
    <t>Vampire</t>
  </si>
  <si>
    <t>https://www.aidedd.org/dnd/monstres.php?vo=Vampire-Spawn</t>
  </si>
  <si>
    <t>Vampire-Spawn</t>
  </si>
  <si>
    <t>Vampire Spawn</t>
  </si>
  <si>
    <t>The vampire makes one bite attack.</t>
  </si>
  <si>
    <t>Bite (Costs 2 Actions)</t>
  </si>
  <si>
    <t>The vampire makes one unarmed strike.</t>
  </si>
  <si>
    <t>Unarmed Strike</t>
  </si>
  <si>
    <t>The vampire moves up to its speed without provoking opportunity attacks.</t>
  </si>
  <si>
    <t>Move</t>
  </si>
  <si>
    <t>Children of the Night (1/Day)</t>
  </si>
  <si>
    <t>The vampire magically calls 2d4 swarms of bats or rats, provided that the sun isn't up. While outdoors, the vampire can call 3d6 wolves instead. The called creatures arrive in 1d4 rounds, acting as allies of the vampire and obeying its spoken commands. The beasts remain for 1 hour, until the vampire dies, or until the vampire dismisses them as a bonus action.</t>
  </si>
  <si>
    <t>Charm</t>
  </si>
  <si>
    <t>The vampire targets one humanoid it can see within 30 ft. of it. If the target can see the vampire, the target must succeed on a DC 17 Wisdom saving throw against this magic or be charmed by the vampire. The charmed target regards the vampire as a trusted friend to be heeded and protected. Although the target isn't under the vampire's control, it takes the vampire's requests or actions in the most favorable way it can, and it is a willing target for the vampire's bit attack. ¶Each time the vampire or the vampire's companions do anything harmful to the target, it can repeat the saving throw, ending the effect on itself on a success. Otherwise, the effect lasts 24 hours or until the vampire is destroyed, is on a different plane of existence than the target, or takes a bonus action to end the effect</t>
  </si>
  <si>
    <t>Bite (Bat or Vampire Form Only)|9|1d6+4+3d6</t>
  </si>
  <si>
    <t>Melee Weapon Attack: +9 to hit, reach 5 ft., one willing creature, or a creature that is grappled by the vampire, incapacitated, or restrained. Hit: 7 (1d6 + 4) piercing damage plus 10 (3d6)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A humanoid slain in this way and then buried in the ground rises the following night as a vampire spawn under the vampire's control.</t>
  </si>
  <si>
    <t>Bite (Bat or Vampire Form Only)</t>
  </si>
  <si>
    <t>Unarmed Strike (Vampire Form Only)|9|1d8+4</t>
  </si>
  <si>
    <t>Melee Weapon Attack: +9 to hit, reach 5 ft., one creature. Hit: 8 (1d8 + 4) bludgeoning damage. Instead of dealing damage, the vampire can grapple the target (escape DC 18).</t>
  </si>
  <si>
    <t>Unarmed Strike (Vampire Form Only)</t>
  </si>
  <si>
    <t>Multiattack (Vampire Form Only)</t>
  </si>
  <si>
    <t>The vampire has the following flaws: ¶Forbiddance. The vampire can't enter a residence without an invitation from one of the occupants. ¶Harmed by Running Water. The vampire takes 20 acid damage if it ends its turn in running water. ¶Stake to the Heart. If a piercing weapon made of wood is driven into the vampire's heart while the vampire is incapacitated in its resting place, the vampire is paralyzed until the stake is removed. ¶Sunlight Hypersensitivity. The vampire takes 20 radiant damage when it starts its turn in sunlight. While in sunlight, it has disadvantage on attack rolls and ability checks.</t>
  </si>
  <si>
    <t>The vampire regains 20 hit points at the start of its turn if it has at least 1 hit point and isn't in sunlight or running water. If the vampire takes radiant damage or damage from holy water, this trait doesn't function at the start of the vampire's next turn.</t>
  </si>
  <si>
    <t>Misty Escape</t>
  </si>
  <si>
    <t>When it drops to 0 hit points outside its resting place, the vampire transforms into a cloud of mist (as in the Shapechanger trait) instead of falling unconscious, provided that it isn't in sunlight or running water. If it can't transform, it is destroyed. ¶While it has 0 hit points in mist form, it can't revert to its vampire form, and it must reach its resting place within 2 hours or be destroyed. Once in its resting place, it reverts to its vampire form. It is then paralyzed until it regains at least 1 hit point. After spending 1 hour in its resting place with 0 hit points, it regains 1 hit point.</t>
  </si>
  <si>
    <t>Legendary Resistance (3/Day)</t>
  </si>
  <si>
    <t>If the vampire fails a saving throw, it can choose to succeed instead.</t>
  </si>
  <si>
    <t>If the vampire isn't in sun light or running water, it can use its action to polymorph into a Tiny bat or a Medium cloud of mist, or back into its true form. ¶While in bat form, the vampire can't speak, its walking speed is 5 feet, and it has a flying speed of 30 feet. Its statistics, other than its size and speed, are unchanged. Anything it is wearing transforms with it, but nothing it is carrying does. It reverts to its true form if it dies. ¶While in mist form, the vampire can't take any actions, speak, or manipulate objects. It is weightless, has a flying speed of 20 feet, can hover, and can enter a hostile creature's space and stop there. In addition, if air can pass through a space, the mist can do so without squeezing, and it can't pass through water. It has advantage on Strength, Dexterity, and Constitution saving throws, and it is immune to all nonmagical damage, except the damage it takes from sunlight.</t>
  </si>
  <si>
    <t>+9, 4d6+4</t>
  </si>
  <si>
    <t>https://www.aidedd.org/dnd/monstres.php?vo=Vampire</t>
  </si>
  <si>
    <t>The unicorn magically regains 11 (2d8 + 2) hit points.</t>
  </si>
  <si>
    <t>Heal Self (Costs 3 Actions)</t>
  </si>
  <si>
    <t>The unicorn creates a shimmering, magical field around itself or another creature it can see within 60 ft. of it. The target gains a +2 bonus to AC until the end of the unicorn's next turn.</t>
  </si>
  <si>
    <t>Shimmering Shield (Costs 2 Actions)</t>
  </si>
  <si>
    <t>The unicorn makes one attack with its hooves.</t>
  </si>
  <si>
    <t>Teleport (1/Day)</t>
  </si>
  <si>
    <t>The unicorn magically teleports itself and up to three willing creatures it can see within 5 ft. of it, along with any equipment they are wearing or carrying, to a location the unicorn is familiar with, up to 1 mile away.</t>
  </si>
  <si>
    <t>Healing Touch (3/Day)</t>
  </si>
  <si>
    <t>The unicorn touches another creature with its horn. The target magically regains 11 (2d8 + 2) hit points. In addition, the touch removes all diseases and neutralizes all poisons afflicting the target.</t>
  </si>
  <si>
    <t>Horn|7|1d8+4</t>
  </si>
  <si>
    <t>Melee Weapon Attack: +7 to hit, reach 5 ft ., one target. Hit: 8 (1d8 + 4) piercing damage.</t>
  </si>
  <si>
    <t>Horn</t>
  </si>
  <si>
    <t>Hooves|7|2d6+4</t>
  </si>
  <si>
    <t>Melee Weapon Attack: +7 to hit, reach 5 ft ., one target. Hit: 11 (2d6 + 4) bludgeoning damage.</t>
  </si>
  <si>
    <t>The unicorn makes two attacks: one with its hooves and one with its horn.</t>
  </si>
  <si>
    <t>The unicorn's weapon attacks are magical.</t>
  </si>
  <si>
    <t>Magic Weapons</t>
  </si>
  <si>
    <t>The unicorn has advantage on saving throws against spells and other magical effects.</t>
  </si>
  <si>
    <t>The unicorn's innate spellcasting ability is Charisma (spell save DC 14). The unicorn can innately cast the following spells, requiring no components: At will: detect evil and good, druidcraft, pass without trace ¶1/day each: calm emotions, dispel evil and good, entangle</t>
  </si>
  <si>
    <t>Charge||2d8</t>
  </si>
  <si>
    <t>If the unicorn moves at least 20 ft. straight toward a target and then hits it with a horn attack on the same turn, the target takes an extra 9 (2d8) piercing damage. If the target is a creature, it must succeed on a DC 15 Strength saving throw or be knocked prone.</t>
  </si>
  <si>
    <t>Charge</t>
  </si>
  <si>
    <t>YES</t>
  </si>
  <si>
    <t>Celestial</t>
  </si>
  <si>
    <t>https://www.aidedd.org/dnd/monstres.php?vo=Unicorn</t>
  </si>
  <si>
    <t>Unicorn</t>
  </si>
  <si>
    <t>Tail|10|3d8+7</t>
  </si>
  <si>
    <t>Melee Weapon Attack: +10 to hit, reach 10 ft., one target. Hit: 20 (3d8 + 7) bludgeoning damage.</t>
  </si>
  <si>
    <t>Tail</t>
  </si>
  <si>
    <t>Bite|10|4d12+7</t>
  </si>
  <si>
    <t>Melee Weapon Attack: +10 to hit, reach 10 ft., one target. Hit: 33 (4d12 + 7) piercing damage. If the target is a Medium or smaller creature, it is grappled (escape DC 17). Until this grapple ends, the target is restrained, and the tyrannosaurus can't bite another target.</t>
  </si>
  <si>
    <t>The tyrannosaurus makes two attacks: one with its bite and one with its tail. It can't make both attacks against the same target.</t>
  </si>
  <si>
    <t>+10, 3d8+7</t>
  </si>
  <si>
    <t>+10, 4d12+7</t>
  </si>
  <si>
    <t>Dinosaur</t>
  </si>
  <si>
    <t>Huge</t>
  </si>
  <si>
    <t>https://www.aidedd.org/dnd/monstres.php?vo=Tyrannosaurus-Rex</t>
  </si>
  <si>
    <t>Tyrannosaurus-Rex</t>
  </si>
  <si>
    <t>Tyrannosaurus Rex</t>
  </si>
  <si>
    <t>Claws|3|1d4+1</t>
  </si>
  <si>
    <t>Melee Weapon Attack: +3 to hit, reach 5 ft., one target. Hit: 3 (1d4 + 1) piercing damage.</t>
  </si>
  <si>
    <t>While the blight remains motionless, it is indistinguishable from a dead shrub.</t>
  </si>
  <si>
    <t>+3, 1d4+1</t>
  </si>
  <si>
    <t>https://www.aidedd.org/dnd/monstres.php?vo=Twig-Blight</t>
  </si>
  <si>
    <t>Twig-Blight</t>
  </si>
  <si>
    <t>Twig Blight</t>
  </si>
  <si>
    <t>Bite|7|1d6+4</t>
  </si>
  <si>
    <t>Melee Weapon Attack: +7 to hit, reach 5 ft., one target. Hit: 7 (1d6 + 4) piercing damage.</t>
  </si>
  <si>
    <t>The troll makes three attacks: one with its bite and two with its claws.</t>
  </si>
  <si>
    <t>Variant: Loathsome Limbs</t>
  </si>
  <si>
    <t>Whenever the troll takes at least 15 slashing damage at one time, roll a d20 to determine what else happens to it: ¶1-10: Nothing else happens. ¶11-14: One leg is severed from the troll if it has any legs left. ¶15- 18: One arm is severed from the troll if it has any arms left. ¶19-20: The troll is decapitated, but the troll dies only if it can't regenerate. If it dies, so does the severed head. ¶If the troll finishes a short or long rest without reattaching a severed limb or head, the part regrows. At that point, the severed part dies. Until then, a severed part acts on the troll's initiative and has its own action and movement. A severed part has AC 13, 10 hit points, and the troll's Regeneration trait. ¶A severed leg is unable to attack and has a speed of 5 feet. ¶A severed arm has a speed of 5 feet and can make one claw attack on its turn, with disadvantage on the attack roll unless the troll can see the arm and its target. Each time the troll loses an arm, it loses a claw attack. ¶If its head is severed, the troll loses its bite attack and its body is blinded unless the head can see it. The severed head has a speed of 0 feet and the troll's Keen Smell trait. It can make a bite attack but only against a target in its space. ¶The troll's speed is halved if it's missing a leg. If it loses both legs, it falls prone. If it has both arms, it can crawl. With only one arm, it can still crawl, but its speed is halved. With no arms or legs, its speed is 0, and it can't benefit from bonuses to speed.</t>
  </si>
  <si>
    <t>The troll regains 10 hit points at the start of its turn. If the troll takes acid or fire damage, this trait doesn't function at the start of the troll's next turn. The troll dies only if it starts its turn with 0 hit points and doesn't regenerate.</t>
  </si>
  <si>
    <t>The troll has advantage on Wisdom (Perception) checks that rely on smell.</t>
  </si>
  <si>
    <t>12:28</t>
  </si>
  <si>
    <t>+7, 1d6+4</t>
  </si>
  <si>
    <t>Giant</t>
  </si>
  <si>
    <t>https://www.aidedd.org/dnd/monstres.php?vo=Troll</t>
  </si>
  <si>
    <t>Troll</t>
  </si>
  <si>
    <t>Stomp|9|3d10+6</t>
  </si>
  <si>
    <t>Melee Weapon Attack: +9 to hit, reach 5 ft., one prone creature. Hit: 22 (3d10 + 6) bludgeoning damage</t>
  </si>
  <si>
    <t>Stomp</t>
  </si>
  <si>
    <t>Gore|9|4d8+6</t>
  </si>
  <si>
    <t>Melee Weapon Attack: +9 to hit, reach 5 ft., one target. Hit: 24 (4d8 + 6) piercing damage.</t>
  </si>
  <si>
    <t>Gore</t>
  </si>
  <si>
    <t>If the triceratops moves at least 20 ft. straight toward a creature and then hits it with a gore attack on the same turn, that target must succeed on a DC 13 Strength saving throw or be knocked prone. If the target is prone, the triceratops can make one stomp attack against it as a bonus action.</t>
  </si>
  <si>
    <t>+9, 3d10+6</t>
  </si>
  <si>
    <t>+9, 4d8+6</t>
  </si>
  <si>
    <t>https://www.aidedd.org/dnd/monstres.php?vo=Triceratops</t>
  </si>
  <si>
    <t>Triceratops</t>
  </si>
  <si>
    <t>One Handed|3|1d6+1 Two Handed|3|1d8+1</t>
  </si>
  <si>
    <t>Melee or Ranged Weapon Attack: +3 to hit, reach 5 ft. or range 20/60 ft., one target. Hit: 4 (1d6 + 1) piercing damage, or 5 (1d8 + 1) piercing damage if used with two hands to make a melee attack.</t>
  </si>
  <si>
    <t>The warrior has advantage on an attack roll against a creature if at least one of the warrior's allies is within 5 ft. of the creature and the ally isn't incapacitated.</t>
  </si>
  <si>
    <t>8:28</t>
  </si>
  <si>
    <t>+3, 1d8+1</t>
  </si>
  <si>
    <t>https://www.aidedd.org/dnd/monstres.php?vo=Tribal-Warrior</t>
  </si>
  <si>
    <t>Tribal-Warrior</t>
  </si>
  <si>
    <t>Tribal Warrior</t>
  </si>
  <si>
    <t>Animate Trees (1/Day)</t>
  </si>
  <si>
    <t>The treant magically animates one or two trees it can see within 60 feet of it. These trees have the same statistics as a treant, except they have Intelligence and Charisma scores of 1, they can't speak, and they have only the Slam action option. An animated tree acts as an ally of the treant. The tree remains animate for 1 day or until it dies; until the treant dies or is more than 120 feet from the tree; or until the treant takes a bonus action to turn it back into an inanimate tree. The tree then takes root if possible.</t>
  </si>
  <si>
    <t>Rock|10|4d10+6</t>
  </si>
  <si>
    <t>Ranged Weapon Attack: +10 to hit, range 60/180 ft., one target. Hit: 28 (4d10 + 6) bludgeoning damage.</t>
  </si>
  <si>
    <t>Rock</t>
  </si>
  <si>
    <t>Slam|10|3d6+6</t>
  </si>
  <si>
    <t>Melee Weapon Attack: +10 to hit, reach 5 ft., one target. Hit: 16 (3d6 + 6) bludgeoning damage.</t>
  </si>
  <si>
    <t>The treant makes two slam attacks.</t>
  </si>
  <si>
    <t>Siege Monster</t>
  </si>
  <si>
    <t>The treant deals double damage to objects and structures.</t>
  </si>
  <si>
    <t>While the treant remains motionless, it is indistinguishable from a normal tree.</t>
  </si>
  <si>
    <t>7:29</t>
  </si>
  <si>
    <t>+10, 4d10+6</t>
  </si>
  <si>
    <t>+10, 3d6+6</t>
  </si>
  <si>
    <t>https://www.aidedd.org/dnd/monstres.php?vo=Treant</t>
  </si>
  <si>
    <t>Treant</t>
  </si>
  <si>
    <t>Melee Weapon Attack: +5 to hit, reach 5 ft., one target. Hit: 8 (1d10 + 3) piercing damage.</t>
  </si>
  <si>
    <t>Pounce</t>
  </si>
  <si>
    <t>If the tiger moves at least 20 ft. straight toward a creature and then hits it with a claw attack on the same turn, that target must succeed on a DC 13 Strength saving throw or be knocked prone. If the target is prone, the tiger can make one bite attack against it as a bonus action.</t>
  </si>
  <si>
    <t>The tiger has advantage on Wisdom (Perception) checks that rely on smell.</t>
  </si>
  <si>
    <t>https://www.aidedd.org/dnd/monstres.php?vo=Tiger</t>
  </si>
  <si>
    <t>Tiger</t>
  </si>
  <si>
    <t>Thug</t>
  </si>
  <si>
    <t>The tarrasque makes one bite attack or uses its Swallow.</t>
  </si>
  <si>
    <t>Chomp (Costs 2 Actions)</t>
  </si>
  <si>
    <t>The tarrasque moves up to half its speed.</t>
  </si>
  <si>
    <t>The tarrasque makes one claw attack or tail attack.</t>
  </si>
  <si>
    <t>Attack</t>
  </si>
  <si>
    <t>Swallow</t>
  </si>
  <si>
    <t>The tarrasque makes one bite attack against a Large or smaller creature it is grappling. If the attack hits, the target takes the bite's damage, the target is swallowed, and the grapple ends. While swallowed, the creature is blinded and restrained, it has total cover against attacks and other effects outside the tarrasque, and it takes 56 (16d6) acid damage at the start of each of the tarrasque's turns. ¶If the tarrasque takes 60 damage or more on a single turn from a creature inside it, the tarrasque must succeed on a DC 20 Constitution saving throw at the end of that turn or regurgitate all swallowed creatures, which fall prone in a space within 10 feet of the tarrasque. If the tarrasque dies, a swallowed creature is no longer restrained by it and can escape from the corpse by using 30 feet of movement, exiting prone.</t>
  </si>
  <si>
    <t>Frightful Presence</t>
  </si>
  <si>
    <t>Each creature of the tarrasque's choice within 120 feet of it and aware of it must succeed on a DC 17 Wisdom saving throw or become frightened for 1 minute. A creature can repeat the saving throw at the end of each of its turns, with disadvantage if the tarrasque is within line of sight, ending the effect on itself on a success. If a creature's saving throw is successful or the effect ends for it, the creature is immune to the tarrasque's Frightful Presence for the next 24 hours.</t>
  </si>
  <si>
    <t>Tail|19|4d6+10</t>
  </si>
  <si>
    <t>Melee Weapon Attack: +19 to hit, reach 20 ft., one target. Hit: 24 (4d6 + 10) bludgeoning damage. If the target is a creature, it must succeed on a DC 20 Strength saving throw or be knocked prone.</t>
  </si>
  <si>
    <t>Horns|19|4d10+10</t>
  </si>
  <si>
    <t>Melee Weapon Attack: +19 to hit, reach 10 ft., one target. Hit: 32 (4d10 + 10) piercing damage.</t>
  </si>
  <si>
    <t>Horns</t>
  </si>
  <si>
    <t>Claw|19|4d8+10</t>
  </si>
  <si>
    <t>Melee Weapon Attack: +19 to hit, reach 15 ft., one target. Hit: 28 (4d8 + 10) slashing damage.</t>
  </si>
  <si>
    <t>Bite|19|4d12+10</t>
  </si>
  <si>
    <t>Melee Weapon Attack: +19 to hit, reach 10 ft., one target. Hit: 36 (4d12 + 10) piercing damage. If the target is a creature, it is grappled (escape DC 20). Until this grapple ends, the target is restrained, and the tarrasque can't bite another target.</t>
  </si>
  <si>
    <t>The tarrasque can use its Frightful Presence. It then makes five attacks: one with its bite, two with its claws, one with its horns, and one with its tai l. It can use its Swallow instead of its bite.</t>
  </si>
  <si>
    <t>The tarrasque deals double damage to objects and structures.</t>
  </si>
  <si>
    <t>Reflective Carapace</t>
  </si>
  <si>
    <t>Any time the tarrasque is targeted by a magic missile spell, a line spell, or a spell that requires a ranged attack roll, roll a d6. On a 1 to 5, the tarrasque is unaffected. On a 6, the tarrasque is unaffected, and the effect is reflected back at the caster as though it originated from the tarrasque, turning the caster into the target.</t>
  </si>
  <si>
    <t>The tarrasque has advantage on saving throws against spells and other magical effects.</t>
  </si>
  <si>
    <t>If the tarrasque fails a saving throw, it can choose to succeed instead.</t>
  </si>
  <si>
    <t>+19, 4d10+10</t>
  </si>
  <si>
    <t>+19, 4d8+10</t>
  </si>
  <si>
    <t>Titan</t>
  </si>
  <si>
    <t>Gargantuan</t>
  </si>
  <si>
    <t>https://www.aidedd.org/dnd/monstres.php?vo=Tarrasque</t>
  </si>
  <si>
    <t>Tarrasque</t>
  </si>
  <si>
    <t>Full|4|2d6 Half|4|1d6</t>
  </si>
  <si>
    <t>Melee Weapon Attack: +4 to hit, reach 5 ft., one target in the swarm's space. Hit: 7 (2d6) piercing damage, or 3 (1d6) piercing damage if the swarm has half of its hit points or fewer.</t>
  </si>
  <si>
    <t>Beaks</t>
  </si>
  <si>
    <t>Swarm</t>
  </si>
  <si>
    <t>The swarm can occupy another creature's space and vice versa, and the swarm can move through any opening large enough for a Tiny raven. The swarm can't regain hit points or gain temporary hit points.</t>
  </si>
  <si>
    <t>6:35</t>
  </si>
  <si>
    <t>+2, VARIES</t>
  </si>
  <si>
    <t>https://www.aidedd.org/dnd/monstres.php?vo=Swarm-of-Ravens</t>
  </si>
  <si>
    <t>Swarm-of-Ravens</t>
  </si>
  <si>
    <t>Swarm of Ravens</t>
  </si>
  <si>
    <t>Full|2|2d6 Half|2|1d6</t>
  </si>
  <si>
    <t>Melee Weapon Attack: +2 to hit, reach 0 ft., one target in the swarm's space. Hit: 7 (2d6) piercing damage, or 3 (1d6) piercing damage if the swarm has half of its hit points or fewer.</t>
  </si>
  <si>
    <t>Bites</t>
  </si>
  <si>
    <t>The swarm can occupy another creature's space and vice versa, and the swarm can move through any opening large enough for a Tiny rat. The swarm can't regain hit points or gain temporary hit points.</t>
  </si>
  <si>
    <t>The swarm has advantage on Wisdom (Perception) checks that rely on smell.</t>
  </si>
  <si>
    <t>6:18</t>
  </si>
  <si>
    <t>3:24, 10:27</t>
  </si>
  <si>
    <t>https://www.aidedd.org/dnd/monstres.php?vo=Swarm-of-Rats</t>
  </si>
  <si>
    <t>Swarm-of-Rats</t>
  </si>
  <si>
    <t>Swarm of Rats</t>
  </si>
  <si>
    <t>Full|5|4d6 Half|5|2d6</t>
  </si>
  <si>
    <t>Melee Weapon Attack: +5 to hit, reach 0 ft., one creature in the swarm's space. Hit: 14 (4d6) piercing damage, or 7 (2d6) piercing damage if the swarm has half of its hit points or fewer.</t>
  </si>
  <si>
    <t>Water Breathing</t>
  </si>
  <si>
    <t>The swarm can breathe only underwater.</t>
  </si>
  <si>
    <t>The swarm can occupy another creature's space and vice versa, and the swarm can move through any opening large enough for a Tiny quipper. The swarm can't regain hit points or gain temporary hit points.</t>
  </si>
  <si>
    <t>Blood Frenzy</t>
  </si>
  <si>
    <t>The swarm has advantage on melee attack rolls against any creature that doesn't have all its hit points.</t>
  </si>
  <si>
    <t>2:29, 9:30</t>
  </si>
  <si>
    <t>8:21</t>
  </si>
  <si>
    <t>11:44</t>
  </si>
  <si>
    <t>https://www.aidedd.org/dnd/monstres.php?vo=Swarm-of-Quippers</t>
  </si>
  <si>
    <t>Swarm-of-Quippers</t>
  </si>
  <si>
    <t>Swarm of Quippers</t>
  </si>
  <si>
    <t>Full|6|2d6 Half|6|1d6</t>
  </si>
  <si>
    <t>Melee Weapon Attack: +6 to hit, reach 0 ft., one creature in the swarm's space. Hit: 7 (2d6) piercing damage, or 3 (1d6) piercing damage if the swarm has half of its hit points or fewer. The target must make a DC 10 Constitution saving throw, taking 14 (4d6) poison damage on a failed save, or half as much damage on a successful one.</t>
  </si>
  <si>
    <t>The swarm can occupy another creature's space and vice versa, and the swarm can move through any opening large enough for a Tiny snake. The swarm can't regain hit points or gain temporary hit points.</t>
  </si>
  <si>
    <t>https://www.aidedd.org/dnd/monstres.php?vo=Swarm-of-Poisonous-Snakes</t>
  </si>
  <si>
    <t>Swarm-of-Poisonous-Snakes</t>
  </si>
  <si>
    <t>Swarm of Poisonous Snakes</t>
  </si>
  <si>
    <t>Full|3|4d4 Half|3|2d4</t>
  </si>
  <si>
    <t>Melee Weapon Attack: +3 to hit, reach 0 ft., one target in the swarm's space. Hit: 10 (4d4) piercing damage, or 5 (2d4) piercing damage if the swarm has half of its hit points or fewer.</t>
  </si>
  <si>
    <t>The swarm can occupy another creature's space and vice versa, and the swarm can move through any opening large enough for a Tiny insect. The swarm can't regain hit points or gain temporary hit points.</t>
  </si>
  <si>
    <t>3:24, 9:50</t>
  </si>
  <si>
    <t>https://www.aidedd.org/dnd/monstres.php?vo=Swarm-of-Insects</t>
  </si>
  <si>
    <t>Swarm-of-Insects</t>
  </si>
  <si>
    <t>Swarm of Insects</t>
  </si>
  <si>
    <t>Full|4|2d4 Half|4|1d4</t>
  </si>
  <si>
    <t>Melee Weapon Attack: +4 to hit, reach 0 ft., one creature in the swarm's space. Hit: 5 (2d4) piercing damage, or 2 (1d4) piercing damage if the swarm has half of its hit points or fewer.</t>
  </si>
  <si>
    <t>The swarm can occupy another creature's space and vice versa, and the swarm can move through any opening large enough for a Tiny bat. The swarm can't regain hit points or gain temporary hit points.</t>
  </si>
  <si>
    <t>Keen Hearing</t>
  </si>
  <si>
    <t>The swarm has advantage on Wisdom (Perception) checks that rely on hearing.</t>
  </si>
  <si>
    <t>Echolocation</t>
  </si>
  <si>
    <t>The swarm can't use its blindsight while deafened.</t>
  </si>
  <si>
    <t>https://www.aidedd.org/dnd/monstres.php?vo=Swarm-of-Bats</t>
  </si>
  <si>
    <t>Swarm-of-Bats</t>
  </si>
  <si>
    <t>Swarm of Bats</t>
  </si>
  <si>
    <t>Lightning Strike||12d8</t>
  </si>
  <si>
    <t>The giant hurls a magical lightning bolt at a point it can see within 500 feet of it. Each creature within 10 feet of that point must make a DC 17 Dexterity saving throw, taking 54 (12d8) lightning damage on a failed save, or half as much damage on a successful one.</t>
  </si>
  <si>
    <t>Lightning Strike (Recharge 5-6)</t>
  </si>
  <si>
    <t>Rock|14|4d12+9</t>
  </si>
  <si>
    <t>Ranged Weapon Attack: +14 to hit, range 60/240 ft., one target. Hit: 35 (4d12 + 9) bludgeoning damage.</t>
  </si>
  <si>
    <t>Greatsword|14|6d6+9</t>
  </si>
  <si>
    <t>Melee Weapon Attack: +14 to hit, reach 10 ft., one target. Hit: 30 (6d6 + 9) slashing damage.</t>
  </si>
  <si>
    <t>Greatsword</t>
  </si>
  <si>
    <t>The giant makes two greatsword attacks.</t>
  </si>
  <si>
    <t>The giant's innate spellcasting ability is Charisma (spell save DC 17). It can innately cast the following spells, requiring no material components: At will: detect magic, feather fall, levitate, light ¶3/day each: control weather, water breathing</t>
  </si>
  <si>
    <t>The giant can breathe air and water.</t>
  </si>
  <si>
    <t>+14, 4d12+9</t>
  </si>
  <si>
    <t>+14, 6d6+9</t>
  </si>
  <si>
    <t>https://www.aidedd.org/dnd/monstres.php?vo=Storm-Giant</t>
  </si>
  <si>
    <t>Storm-Giant</t>
  </si>
  <si>
    <t>Storm Giant</t>
  </si>
  <si>
    <t>Slow (Recharge 5-6)</t>
  </si>
  <si>
    <t>The golem targets one or more creatures it can see within 10 ft. of it. Each target must make a DC 17 Wisdom saving throw against this magic. On a failed save, a target can't use reactions, its speed is halved, and it can't make more than one attack on its turn. In addition, the target can take either an action or a bonus action on its turn, not both. These effects last for 1 minute. A target can repeat the saving throw at the end of each of its turns, ending the effect on itself on a success.</t>
  </si>
  <si>
    <t>Slam|10|3d8+6</t>
  </si>
  <si>
    <t>Melee Weapon Attack: +10 to hit, reach 5 ft., one target. Hit: 19 (3d8 + 6) bludgeoning damage.</t>
  </si>
  <si>
    <t>The golem makes two slam attacks.</t>
  </si>
  <si>
    <t>The golem's weapon attacks are magical.</t>
  </si>
  <si>
    <t>The golem has advantage on saving throws against spells and other magical effects.</t>
  </si>
  <si>
    <t>Immutable Form</t>
  </si>
  <si>
    <t>The golem is immune to any spell or effect that would alter its form.</t>
  </si>
  <si>
    <t>4:44</t>
  </si>
  <si>
    <t>+10, 3d8+6</t>
  </si>
  <si>
    <t>Golem</t>
  </si>
  <si>
    <t>Construct</t>
  </si>
  <si>
    <t>https://www.aidedd.org/dnd/monstres.php?vo=Stone-Golem</t>
  </si>
  <si>
    <t>Stone-Golem</t>
  </si>
  <si>
    <t>Stone Golem</t>
  </si>
  <si>
    <t>If a rock or similar object is hurled at the giant, the giant can, with a successful DC 10 Dexterity saving throw, catch the missile and take no bludgeoning damage from it.</t>
  </si>
  <si>
    <t>Rock Catching</t>
  </si>
  <si>
    <t>Rock|9|4d10+</t>
  </si>
  <si>
    <t>Ranged Weapon Attack: +9 to hit, range 60/240 ft., one target. Hit: 28 (4d10 + 6) bludgeoning damage. If the target is a creature, it must succeed on a DC 17 Strength saving throw or be knocked prone.</t>
  </si>
  <si>
    <t>Greatclub|9|3d8+6</t>
  </si>
  <si>
    <t>Melee Weapon Attack: +9 to hit, reach 15 ft., one target. Hit: 19 (3d8 + 6) bludgeoning damage.</t>
  </si>
  <si>
    <t>The giant makes two greatclub attacks.</t>
  </si>
  <si>
    <t>Rolling Rock||3d10+6</t>
  </si>
  <si>
    <t>The giant sends a rock tumbling along the ground in a 30-foot line that is 5 feet wide. Each creature in that line must make a DC 17 Dexterity saving throw, taking 22 (3d10 + 6) bludgeoning damage and falling prone on a failed save</t>
  </si>
  <si>
    <t>Rolling Rock</t>
  </si>
  <si>
    <t>Fling</t>
  </si>
  <si>
    <t>The giant tries to throw a Small or Medium creature within 10 feet of it. The target must succeed on a DC 17 Dexterity saving throw or be hurled up to 60 feet horizontally in a direction of the giant's choice. and land prone, taking 1d6 bludgeoning damage for every 10 feet it was thrown.</t>
  </si>
  <si>
    <t>The giant has advantage on Dexterity (Stealth) checks made to hide in rocky terrain.</t>
  </si>
  <si>
    <t>13:30</t>
  </si>
  <si>
    <t>+9, 4d10+6</t>
  </si>
  <si>
    <t>+9, 3d8+6</t>
  </si>
  <si>
    <t>https://www.aidedd.org/dnd/monstres.php?vo=Stone-Giant</t>
  </si>
  <si>
    <t>Stone-Giant</t>
  </si>
  <si>
    <t>Stone Giant</t>
  </si>
  <si>
    <t>Blood Drain|5|1d4+3</t>
  </si>
  <si>
    <t>Melee Weapon Attack: +5 to hit, reach 5 ft., one creature. Hit: 5 (1d4 + 3) piercing damage, and the stirge attaches to the target. While attached, the stirge doesn't attack. Instead, at the start of each of the stirge's turns, the target loses 5 (1d4 + 3) hit points due to blood loss. ¶The stirge can detach itself by spending 5 feet of its movement. It does so after it drains 10 hit points of blood from the target or the target dies. A creature, including the target, can use its action to detach the stirge</t>
  </si>
  <si>
    <t>Blood Drain</t>
  </si>
  <si>
    <t>11:22</t>
  </si>
  <si>
    <t>+5, 1d4+3</t>
  </si>
  <si>
    <t>https://www.aidedd.org/dnd/monstres.php?vo=Stirge</t>
  </si>
  <si>
    <t>Stirge</t>
  </si>
  <si>
    <t>Variant: Summon Mephits (1/Day)</t>
  </si>
  <si>
    <t>The mephit has a 25 percent chance of summoning 1d4 mephits of its kind. A summoned mephit appears in an unoccupied space within 60 feet of its summoner, acts as an ally of its summoner, and can't summon other mephits. It remains for 1 minute, until it or its summoner dies, or until its summoner dismisses it as an action.</t>
  </si>
  <si>
    <t>Steam Breath (Recharge 6)</t>
  </si>
  <si>
    <t>The mephit exhales a 15-foot cone of scalding steam. Each creature in that area must succeed on a DC 10 Dexterity saving throw, taking 4 (1d8) fire damage on a failed save, or half as much damage on a successful one.</t>
  </si>
  <si>
    <t>Claws|2|1d4+1d4</t>
  </si>
  <si>
    <t>Melee Weapon Attack: +2 to hit, reach 5 ft., one creature. Hit: 2 (1d4) slashing damage plus 2 (1d4) fire damage.</t>
  </si>
  <si>
    <t>Innate Spellcasting (1/Day)</t>
  </si>
  <si>
    <t>The mephit can innately cast blur, requiring no material components. Its innate spellcasting ability is Charisma.</t>
  </si>
  <si>
    <t>Death Burst||1d8</t>
  </si>
  <si>
    <t>When the mephit dies, it explodes in a cloud of steam. Each creature within 5 ft. of the mephit must succeed on a DC 10 Dexterity saving throw or take 4 (1d8) fire damage.</t>
  </si>
  <si>
    <t>Death Burst</t>
  </si>
  <si>
    <t>2:24, 9:59</t>
  </si>
  <si>
    <t>+2, 2d4</t>
  </si>
  <si>
    <t>Mephit</t>
  </si>
  <si>
    <t>https://www.aidedd.org/dnd/monstres.php?vo=Steam-Mephit</t>
  </si>
  <si>
    <t>Steam-Mephit</t>
  </si>
  <si>
    <t>Steam Mephit</t>
  </si>
  <si>
    <t>Hand Crossbow</t>
  </si>
  <si>
    <t>The spy makes two melee attacks.</t>
  </si>
  <si>
    <t>Sneak Attack||2d6</t>
  </si>
  <si>
    <t>The spy deals an extra 7 (2d6) damage when it hits a target with a weapon attack and has advantage on the attack roll, or when the target is within 5 ft. of an ally of the spy that isn't incapacitated and the spy doesn't have disadvantage on the attack roll.</t>
  </si>
  <si>
    <t>Sneak Attack (1/Turn)</t>
  </si>
  <si>
    <t>Cunning Action</t>
  </si>
  <si>
    <t>On each of its turns, the spy can use a bonus action to take the Dash, Disengage, or Hide action.</t>
  </si>
  <si>
    <t>2:27, 8:24</t>
  </si>
  <si>
    <t>2:21, 5:24, 6:35, 7:23</t>
  </si>
  <si>
    <t>1:10, 4:23, 6:28, 8:28, 11:44</t>
  </si>
  <si>
    <t>https://www.aidedd.org/dnd/monstres.php?vo=Spy</t>
  </si>
  <si>
    <t>Spy</t>
  </si>
  <si>
    <t>The sprite magically turns invisible until it attacks or casts a spell, or until its concentration ends (as if concentrating on a spell). Any equipment the sprite wears or carries is invisible with it.</t>
  </si>
  <si>
    <t>Heart Sight</t>
  </si>
  <si>
    <t>The sprite touches a creature and magically knows the creature's current emotional state. If the target fails a DC 10 Charisma saving throw, the sprite also knows the creature's alignment. Celestials, fiends, and undead automatically fail the saving throw.</t>
  </si>
  <si>
    <t>Shortbow|6|1</t>
  </si>
  <si>
    <t>Ranged Weapon Attack: +6 to hit, range 40/160 ft., one target. Hit: 1 piercing damage, and the target must succeed on a DC 10 Constitution saving throw or become poisoned for 1 minute. If its saving throw result is 5 or lower, the poisoned target falls unconscious for the same duration, or until it takes damage or another creature takes an action to shake it awake.</t>
  </si>
  <si>
    <t>Shortbow</t>
  </si>
  <si>
    <t>Longsword|2|1</t>
  </si>
  <si>
    <t>Melee Weapon Attack: +2 to hit, reach 5 ft., one target. Hit: 1 slashing damage.</t>
  </si>
  <si>
    <t>Fey</t>
  </si>
  <si>
    <t>https://www.aidedd.org/dnd/monstres.php?vo=Sprite</t>
  </si>
  <si>
    <t>Sprite</t>
  </si>
  <si>
    <t>Melee Weapon Attack: +7 to hit, reach 10 ft., one creature. Hit: 7 (1d6 + 4) piercing damage, and the target must make a DC 13 Constitution saving throw, taking 31 (7d8) poison damage on a failed save, or half as much damage on a successful one.</t>
  </si>
  <si>
    <t>Spellcasting</t>
  </si>
  <si>
    <t>The naga is a 10th-level spellcaster. Its spellcasting ability is Intelligence (spell save DC 14, +6 to hit with spell attacks), and it needs only verbal components to cast its spells. It has the following wizard spells prepared: ‚Ä¢ Cantrips (at will): mage hand, minor illusion, ray of frost ¶‚Ä¢ 1st level (4 slots): charm person, detect magic, sleep ¶‚Ä¢ 2nd level (3 slots): detect thoughts, hold person ¶‚Ä¢ 3rd level (3 slots): lightning bolt, water breathing ¶‚Ä¢ 4th level (3 slots): blight, dimension door ¶‚Ä¢ 5th level (2 slots): dominate person</t>
  </si>
  <si>
    <t>Rejuvenation</t>
  </si>
  <si>
    <t>If it dies, the naga returns to life in 1d6 days and regains all its hit points. Only a wish spell can prevent this trait from functioning.</t>
  </si>
  <si>
    <t>Naga</t>
  </si>
  <si>
    <t>https://www.aidedd.org/dnd/monstres.php?vo=Spirit-Naga</t>
  </si>
  <si>
    <t>Spirit-Naga</t>
  </si>
  <si>
    <t>Spirit Naga</t>
  </si>
  <si>
    <t>Bite|4|1</t>
  </si>
  <si>
    <t>Melee Weapon Attack: +4 to hit, reach 5 ft., one creature. Hit: 1 piercing damage, and the target must succeed on a DC 9 Constitution saving throw or take 2 (1d4) poison damage.</t>
  </si>
  <si>
    <t>Web Walker</t>
  </si>
  <si>
    <t>The spider ignores movement restrictions caused by webbing.</t>
  </si>
  <si>
    <t>Web Sense</t>
  </si>
  <si>
    <t>While in contact with a web, the spider knows the exact location of any other creature in contact with the same web.</t>
  </si>
  <si>
    <t>The spider can climb difficult surfaces, including upside down on ceilings, without needing to make an ability check.</t>
  </si>
  <si>
    <t>9:31</t>
  </si>
  <si>
    <t>Spider</t>
  </si>
  <si>
    <t>https://www.aidedd.org/dnd/monstres.php?vo=Spider</t>
  </si>
  <si>
    <t>Life Drain|4|3d6</t>
  </si>
  <si>
    <t>Melee Spell Attack: +4 to hit, reach 5 ft., one creature. Hit: 10 (3d6) necrotic damage. The target must succeed on a DC 10 Constitution saving throw or its hit point maximum is reduced by an amount equal to the damage taken. This reduction lasts until the creature finishes a long rest. The target dies if this effect reduces its hit point maximum to 0.</t>
  </si>
  <si>
    <t>While in sunlight, the specter has disadvantage on attack rolls, as well as on Wisdom (Perception) checks that rely on sight.</t>
  </si>
  <si>
    <t>The specter can move through other creatures and objects as if they were difficult terrain. It takes 5 (1d10) force damage if it ends its turn inside an object.</t>
  </si>
  <si>
    <t>11:20</t>
  </si>
  <si>
    <t>6:28, 11:40</t>
  </si>
  <si>
    <t>+2, 1d6</t>
  </si>
  <si>
    <t>https://www.aidedd.org/dnd/monstres.php?vo=Specter</t>
  </si>
  <si>
    <t>Specter</t>
  </si>
  <si>
    <t>The solar targets one creature it can see within 30 ft. of it. If the target can see it, the target must succeed on a DC 15 Constitution saving throw or be blinded until magic such as the lesser restoration spell removes the blindness.</t>
  </si>
  <si>
    <t>Blinding Gaze (Costs 3 Actions)</t>
  </si>
  <si>
    <t>The solar emits magical, divine energy. Each creature of its choice in a 10 -foot radius must make a DC 23 Dexterity saving throw, taking 14 (4d6) fire damage plus 14 (4d6) radiant damage on a failed save, or half as much damage on a successful one.</t>
  </si>
  <si>
    <t>Searing Burst (Costs 2 Actions)</t>
  </si>
  <si>
    <t>The solar magically teleports, along with any equipment it is wearing or carrying, up to 120 ft. to an unoccupied space it can see.</t>
  </si>
  <si>
    <t>Teleport</t>
  </si>
  <si>
    <t>Healing Touch (4/Day)</t>
  </si>
  <si>
    <t>The solar touches another creature. The target magically regains 40 (8d8 + 4) hit points and is freed from any curse, disease, poison, blindness, or deafness.</t>
  </si>
  <si>
    <t>Flying Sword</t>
  </si>
  <si>
    <t>The solar releases its greatsword to hover magically in an unoccupied space within 5 ft. of it. If the solar can see the sword, the solar can mentally command it as a bonus action to fly up to 50 ft. and either make one attack against a target or return to the solar's hands. If the hovering sword is targeted by any effect, the solar is considered to be holding it. The hovering sword falls if the solar dies.</t>
  </si>
  <si>
    <t>Slaying Longbow|13|2d8+6+6d8</t>
  </si>
  <si>
    <t>Ranged Weapon Attack: +13 to hit, range 150/600 ft., one target. Hit: 15 (2d8 + 6) piercing damage plus 27 (6d8) radiant damage. If the target is a creature that has 190 hit points or fewer, it must succeed on a DC 15 Constitution saving throw or die.</t>
  </si>
  <si>
    <t>Slaying Longbow</t>
  </si>
  <si>
    <t>Greatsword|15|4d6+8+6d8</t>
  </si>
  <si>
    <t>Melee Weapon Attack: +15 to hit, reach 5 ft., one target. Hit: 22 (4d6 + 8) slashing damage plus 27 (6d8) radiant damage.</t>
  </si>
  <si>
    <t>The solar makes two greatsword attacks.</t>
  </si>
  <si>
    <t>The solar has advantage on saving throws against spells and other magical effects.</t>
  </si>
  <si>
    <t>The solar's spell casting ability is Charisma (spell save DC 25). It can innately cast the following spells, requiring no material components: ¶At will: detect evil and good, invisibility (self only) ¶3/day each: blade barrier, dispel evil and good, resurrection ¶1/day each: commune, control weather</t>
  </si>
  <si>
    <t>Divine Awareness</t>
  </si>
  <si>
    <t>The solar knows if it hears a lie.</t>
  </si>
  <si>
    <t>Angelic Weapons</t>
  </si>
  <si>
    <t>The solar's weapon attacks are magical. When the solar hits with any weapon, the weapon deals an extra 6d8 radiant damage (included in the attack).</t>
  </si>
  <si>
    <t>+13, 6d8+8</t>
  </si>
  <si>
    <t>+15, 8d8+6</t>
  </si>
  <si>
    <t>+15, 4d6+8</t>
  </si>
  <si>
    <t>https://www.aidedd.org/dnd/monstres.php?vo=Solar</t>
  </si>
  <si>
    <t>Solar</t>
  </si>
  <si>
    <t>Cinder Breath (Recharge 6)</t>
  </si>
  <si>
    <t>The mephit exhales a 15-foot cone of smoldering ash. Each creature in that area must succeed on a DC 10 Dexterity saving throw or be blinded until the end of the mephit's next turn .</t>
  </si>
  <si>
    <t>Claws|4|1d4+2</t>
  </si>
  <si>
    <t>Melee Weapon Attack: +4 to hit, reach 5 ft., one creature. Hit: 4 (1d4 + 2) slashing damage.</t>
  </si>
  <si>
    <t>The mephit can innately cast dancing lights, requiring no material components. Its innate spellcasting ability is Charisma.</t>
  </si>
  <si>
    <t>When the mephit dies, it leaves behind a cloud of smoke that fills a 5-foot-radius sphere centered on its space. The sphere is heavily obscured. Wind disperses the cloud, which otherwise lasts for 1 minute.</t>
  </si>
  <si>
    <t>2:22, 9:59</t>
  </si>
  <si>
    <t>https://www.aidedd.org/dnd/monstres.php?vo=Smoke-Mephit</t>
  </si>
  <si>
    <t>Smoke-Mephit</t>
  </si>
  <si>
    <t>Smoke Mephit</t>
  </si>
  <si>
    <t>Shortbow|4|1d6+2</t>
  </si>
  <si>
    <t>Ranged Weapon Attack: +4 to hit, range 80/320 ft., one target. Hit: 5 (1d6 + 2) piercing damage.</t>
  </si>
  <si>
    <t>3:26, 8:21</t>
  </si>
  <si>
    <t>1:21, 2:25, 4:23, 5:21, 11:43</t>
  </si>
  <si>
    <t>https://www.aidedd.org/dnd/monstres.php?vo=Skeleton</t>
  </si>
  <si>
    <t>Skeleton</t>
  </si>
  <si>
    <t>Cold Breath||4d8</t>
  </si>
  <si>
    <t>The dragon uses one of the following breath weapons. ¶Cold Breath. The dragon exhales an icy blast in a 15-foot cone. Each creature in that area must make a DC 13 Constitution saving throw, taking 18 (4d8) cold damage on a failed save, or half as much damage on a successful one. ¶Paralyzing Breath. The dragon exhales paralyzing gas in a 15-foot cone. Each creature in that area must succeed on a DC 13 Constitution saving throw or be paralyzed for 1 minute. A creature can repeat the saving throw at the end of each of its turns, ending the effect on itself on a success.</t>
  </si>
  <si>
    <t>Bite|6|1d10+4</t>
  </si>
  <si>
    <t>Melee Weapon Attack: +6 to hit, reach 5 ft., one target. Hit: 9 (1d10 + 4) piercing damage.</t>
  </si>
  <si>
    <t>https://www.aidedd.org/dnd/monstres.php?vo=Silver-Dragon-Wyrmling</t>
  </si>
  <si>
    <t>Silver-Dragon-Wyrmling</t>
  </si>
  <si>
    <t>Silver Dragon Wyrmling</t>
  </si>
  <si>
    <t>Shriek</t>
  </si>
  <si>
    <t>When bright light or a creature is within 30 feet of the shrieker, it emits a shriek audible within 300 feet of it. The shrieker continues to shriek until the disturbance moves out of range and for 1d4 of the shrieker's turns afterward</t>
  </si>
  <si>
    <t>While the shrieker remains motionless, it is indistinguishable from an ordinary fungus.</t>
  </si>
  <si>
    <t>https://www.aidedd.org/dnd/monstres.php?vo=Shrieker</t>
  </si>
  <si>
    <t>Shrieker</t>
  </si>
  <si>
    <t>When a creature makes an attack against the wearer of the guardian's amulet, the guardian grants a +2 bonus to the wearer's AC if the guardian is within 5 feet of the wearer.</t>
  </si>
  <si>
    <t>Shield</t>
  </si>
  <si>
    <t>Fist|7|2d6+4</t>
  </si>
  <si>
    <t>Melee Weapon Attack: +7 to hit, reach 5 ft., one target. Hit: 11 (2d6 + 4) bludgeoning damage.</t>
  </si>
  <si>
    <t>Fist</t>
  </si>
  <si>
    <t>The guardian makes two fist attacks.</t>
  </si>
  <si>
    <t>Spell Storing</t>
  </si>
  <si>
    <t>A spellcaster who wears the shield guardian's amulet can cause the guardian to store one spell of 4th level or lower. To do so, the wearer must cast the spell on the guardian. The spell has no effect but is stored within the guardian. When commanded to do so by the wearer or when a situation arises that was predefined by the spellcaster, the guardian casts the stored spell with any parameters set by the original caster, requiring no components. When the spell is cast or a new spell is stored, any previously stored spell is lost.</t>
  </si>
  <si>
    <t>The shield guardian regains 10 hit points at the start of its turn if it has at least 1 hit. point.</t>
  </si>
  <si>
    <t>Bound</t>
  </si>
  <si>
    <t>The shield guardian is magically bound to an amulet. As long as the guardian and its amulet are on the same plane of existence, the amulet's wearer can telepathically call the guardian to travel to it, and the guardian knows the distance and direction to the amulet. If the guardian is within 60 feet of the amulet's wearer, half of any damage the wearer takes (rounded up) is transferred to the guardian.</t>
  </si>
  <si>
    <t>4:45</t>
  </si>
  <si>
    <t>10:35</t>
  </si>
  <si>
    <t>https://www.aidedd.org/dnd/monstres.php?vo=Shield-Guardian</t>
  </si>
  <si>
    <t>Shield-Guardian</t>
  </si>
  <si>
    <t>Shield Guardian</t>
  </si>
  <si>
    <t>Engulf</t>
  </si>
  <si>
    <t>The shambling mound engulfs a Medium or smaller creature grappled by it. The engulfed target is blinded, restrained, and unable to breathe, and it must succeed on a DC 14 Constitution saving throw at the start of each of the mound's turns or take 13 (2d8 + 4) bludgeoning damage. If the mound moves, the engulfed target moves with it. The mound can have only one creature engulfed at a time.</t>
  </si>
  <si>
    <t>The shambling mound makes two slam attacks. If both attacks hit a Medium or smaller target, the target is grappled (escape DC 14), and the shambling mound uses its Engulf on it.</t>
  </si>
  <si>
    <t>Lightning Absorption</t>
  </si>
  <si>
    <t>Whenever the shambling mound is subjected to lightning damage, it takes no damage and regains a number of hit points equal to the lightning damage dealt.</t>
  </si>
  <si>
    <t>12:28, 14:21</t>
  </si>
  <si>
    <t>https://www.aidedd.org/dnd/monstres.php?vo=Shambling-Mound</t>
  </si>
  <si>
    <t>Shambling-Mound</t>
  </si>
  <si>
    <t>Shambling Mound</t>
  </si>
  <si>
    <t>Strength Drain|4|2d6+2</t>
  </si>
  <si>
    <t>Melee Weapon Attack: +4 to hit, reach 5 ft., one creature. Hit: 9 (2d6 + 2) necrotic damage, and the target's Strength score is reduced by 1d4. The target dies if this reduces its Strength to 0. Otherwise, the reduction lasts until the target finishes a short or long rest. ¶If a non-evil humanoid dies from this attack, a new shadow rises from the corpse 1d4 hours later</t>
  </si>
  <si>
    <t>Strength Drain</t>
  </si>
  <si>
    <t>Sunlight Weakness</t>
  </si>
  <si>
    <t>While in sunlight, the shadow has disadvantage on attack rolls, ability checks, and saving throws.</t>
  </si>
  <si>
    <t>Shadow Stealth</t>
  </si>
  <si>
    <t>While in dim light or darkness, the shadow can take the Hide action as a bonus action. Its stealth bonus is also improved to +6.</t>
  </si>
  <si>
    <t>Amorphous</t>
  </si>
  <si>
    <t>The shadow can move through a space as narrow as 1 inch wide without squeezing.</t>
  </si>
  <si>
    <t>1:42</t>
  </si>
  <si>
    <t>6:27, 13:30</t>
  </si>
  <si>
    <t>+4, 2d6+2</t>
  </si>
  <si>
    <t>https://www.aidedd.org/dnd/monstres.php?vo=Shadow</t>
  </si>
  <si>
    <t>Shadow</t>
  </si>
  <si>
    <t>The sea horse can breathe only underwater.</t>
  </si>
  <si>
    <t>https://www.aidedd.org/dnd/monstres.php?vo=Sea-Horse</t>
  </si>
  <si>
    <t>Sea-Horse</t>
  </si>
  <si>
    <t>Sea Horse</t>
  </si>
  <si>
    <t>Illusory Appearance</t>
  </si>
  <si>
    <t>The hag covers herself and anything she is wearing or carrying with a magical illusion that makes her look like an ugly creature of her general size and humanoid shape. The effect ends if the hag takes a bonus action to end it or if she dies. ¶The changes wrought by this effect fail to hold up to physical inspection. For example, the hag could appear to have no claws, but someone touching her hand might feel the claws. Otherwise, a creature must take an action to visually inspect the illusion and succeed on a DC 16 Intelligence (Investigation) check to discern that the hag is disguised.</t>
  </si>
  <si>
    <t>Death Glare</t>
  </si>
  <si>
    <t>The hag targets one frightened creature she can see within 30 ft. of her. If the target can see the hag, it must succeed on a DC 11 Wisdom saving throw against this magic or drop to 0 hit points.</t>
  </si>
  <si>
    <t>Claws|5|2d6+3</t>
  </si>
  <si>
    <t>Melee Weapon Attack: +5 to hit, reach 5 ft., one target. Hit: 10 (2d6 + 3) slashing damage.</t>
  </si>
  <si>
    <t>A hag coven can craft a magic item called a hag eye, which is made from a real eye coated in varnish and often fitted to a pendant or other wearable item. The hag eye is usually entrusted to a minion for safekeeping and transport. A hag in the coven can take an action to see what the hag eye sees if the hag eye is on the same plane of existence. A hag eye has AC 10, 1 hit point, and darkvision with a radius of 60 feet. If it is destroyed, each coven member takes 3d10 psychic damage and is blinded for 24 hours. ¶A hag coven can have only one hag eye at a time, and creating a new one requires all three members of the coven to perform a ritual. The ritual takes 1 hour, and the hags can't perform it while blinded. During the ritual, if the hags take any action other than performing the ritual, they must start over.</t>
  </si>
  <si>
    <t>Hag Eye (Coven Only)</t>
  </si>
  <si>
    <t>While all three members of a hag coven are within 30 feet of one another, they can each cast the following spells from the wizard's spell list but must share the spell slots among themselves: ‚Ä¢ 1st level (4 slots): identify, ray of sickness ¶‚Ä¢ 2nd level (3 slots): hold person, locate object ¶‚Ä¢ 3rd level (3 slots): bestow curse, counterspell, lightning bolt ¶‚Ä¢ 4th level (3 slots): phantasmal killer, polymorph ¶‚Ä¢ 5th level (2 slots): contact other plane, scrying ¶‚Ä¢ 6th level (1 slot): eye bite For casting these spells, each hag is a 12th-level spellcaster that uses Intelligence as her spellcasting ability. The spell save DC is 12+the hag's Intelligence modifier, and the spell attack bonus is 4+the hag's Intelligence modifier</t>
  </si>
  <si>
    <t>Shared Spellcasting (Coven Only)</t>
  </si>
  <si>
    <t>Hag Coven</t>
  </si>
  <si>
    <t>When hags must work together, they form covens, in spite of their selfish natures. A coven is made up of hags of any type, all of whom are equals within the group. However, each of the hags continues to desire more personal power. ¶A coven consists of three hags so that any arguments between two hags can be settled by the third. If more than three hags ever come together, as might happen if two covens come into conflict, the result is usually chaos.</t>
  </si>
  <si>
    <t>Horrific Appearance</t>
  </si>
  <si>
    <t>Any humanoid that starts its turn within 30 feet of the hag and can see the hag's true form must make a DC 11 Wisdom saving throw. On a failed save, the creature is frightened for 1 minute. A creature can repeat the saving throw at the end of each of its turns, with disadvantage if the hag is within line of sight, ending the effect on itself on a success. If a creature's saving throw is successful or the effect ends for it, the creature is immune to the hag's Horrific Appearance for the next 24 hours. ¶Unless the target is surprised or the revelation of the hag's true form is sudden, the target can avert its eyes and avoid making the initial saving throw. Until the start of its next turn, a creature that averts its eyes has disadvantage on attack rolls against the hag.</t>
  </si>
  <si>
    <t>The hag can breathe air and water.</t>
  </si>
  <si>
    <t>Hag</t>
  </si>
  <si>
    <t>https://www.aidedd.org/dnd/monstres.php?vo=Sea-Hag</t>
  </si>
  <si>
    <t>Sea-Hag</t>
  </si>
  <si>
    <t>Sea Hag</t>
  </si>
  <si>
    <t>Ranged Weapon Attack: +4 to hit, ranged 150/600 ft., one target. Hit: 6 (1d8 + 2) piercing damage.</t>
  </si>
  <si>
    <t>The scout makes two melee attacks or two ranged attacks.</t>
  </si>
  <si>
    <t>Keen Hearing and Sight</t>
  </si>
  <si>
    <t>The scout has advantage on Wisdom (Perception) checks that rely on hearing or sight.</t>
  </si>
  <si>
    <t>2:26</t>
  </si>
  <si>
    <t>7:20, 8:21, 9:56</t>
  </si>
  <si>
    <t>1:31, 3:31, 8:27, 9:28/30, 11:43</t>
  </si>
  <si>
    <t>https://www.aidedd.org/dnd/monstres.php?vo=Scout</t>
  </si>
  <si>
    <t>Scout</t>
  </si>
  <si>
    <t>Sting|2|1</t>
  </si>
  <si>
    <t>Melee Weapon Attack: +2 to hit, reach 5 ft., one creature. Hit: 1 piercing damage, and the target must make a DC 9 Constitution saving throw, taking 4 (1d8) poison damage on a failed save, or half as much damage on a successful one.</t>
  </si>
  <si>
    <t>Sting</t>
  </si>
  <si>
    <t>https://www.aidedd.org/dnd/monstres.php?vo=Scorpion</t>
  </si>
  <si>
    <t>Scorpion</t>
  </si>
  <si>
    <t>Variant: Panpipes</t>
  </si>
  <si>
    <t>Gentle Lullaby. The creature falls asleep and is unconscious for 1 minute. The effect ends if the creature takes damage or if someone takes an action to shake the creature awake.</t>
  </si>
  <si>
    <t>Shortbow|5|1d6+3</t>
  </si>
  <si>
    <t>Ranged Weapon Attack: +5 to hit, range 80/320 ft., one target. Hit: 6 (1d6 + 3) piercing damage.</t>
  </si>
  <si>
    <t>Melee Weapon Attack: +5 to hit, reach 5 ft., one target. Hit: 6 (1 d6 + 3) piercing damage.</t>
  </si>
  <si>
    <t>Ram|3|2d4+1</t>
  </si>
  <si>
    <t>Melee Weapon Attack: +3 to hit, reach 5 ft., one target. Hit: 6 (2d4 + 1) bludgeoning damage.</t>
  </si>
  <si>
    <t>Ram</t>
  </si>
  <si>
    <t>The satyr has advantage on saving throws against spells and other magical effects.</t>
  </si>
  <si>
    <t>+3, 1d6+3</t>
  </si>
  <si>
    <t>+3, 2d4+1</t>
  </si>
  <si>
    <t>CN</t>
  </si>
  <si>
    <t>https://www.aidedd.org/dnd/monstres.php?vo=Satyr</t>
  </si>
  <si>
    <t>Satyr</t>
  </si>
  <si>
    <t>Tail|7|2d6+4+2d6</t>
  </si>
  <si>
    <t>Melee Weapon Attack: +7 to hit, reach 10 ft., one target. Hit: 11 (2d6 + 4) bludgeoning damage plus 7 (2d6) fire damage, and the target is grappled (escape DC 14). Until this grapple ends, the target is restrained, the salamander can automatically hit the target with its tail, and the salamander can't make tail attacks against other targets.</t>
  </si>
  <si>
    <t>Spear|7|2d6+4+1d6</t>
  </si>
  <si>
    <t>Melee or Ranged Weapon Attack: +7 to hit, reach 5 ft. or range 20 ft./60 ft., one target. Hit: 11 (2d6 + 4) piercing damage, or 13 (2d8 + 4) piercing damage if used with two hands to make a melee attack, plus 3 (1d6) fire damage.</t>
  </si>
  <si>
    <t>The salamander makes two attacks: one with its spear and one with its tail.</t>
  </si>
  <si>
    <t>Heated Weapons</t>
  </si>
  <si>
    <t>Any metal melee weapon the salamander wields deals an extra 3 (1d6) fire damage on a hit (included in the attack).</t>
  </si>
  <si>
    <t>Heated Body||2d6</t>
  </si>
  <si>
    <t>A creature that touches the salamander or hits it with a melee attack while within 5 ft. of it takes 7 (2d6) fire damage.</t>
  </si>
  <si>
    <t>Heated Body</t>
  </si>
  <si>
    <t>+7, 4d6+4</t>
  </si>
  <si>
    <t>https://www.aidedd.org/dnd/monstres.php?vo=Salamander</t>
  </si>
  <si>
    <t>Salamander</t>
  </si>
  <si>
    <t>Melee Weapon Attack: +3 to hit, reach 5 ft., one target. Hit: 3 (1d4 + 1) slashing damage.</t>
  </si>
  <si>
    <t>Bite|3|1d4+1</t>
  </si>
  <si>
    <t>The sahuagin makes two melee attacks: one with its bite and one with its claws or spear.</t>
  </si>
  <si>
    <t>Shark Telepathy</t>
  </si>
  <si>
    <t>The sahuagin can magically command any shark within 120 feet of it, using a limited telepathy.</t>
  </si>
  <si>
    <t>Limited Amphibiousness</t>
  </si>
  <si>
    <t>The sahuagin can breathe air and water, but it needs to be submerged at least once every 4 hours to avoid suffocating.</t>
  </si>
  <si>
    <t>The sahuagin has advantage on melee attack rolls against any creature that doesn't have all its hit points.</t>
  </si>
  <si>
    <t>11:42</t>
  </si>
  <si>
    <t>Sahuagin</t>
  </si>
  <si>
    <t>https://www.aidedd.org/dnd/monstres.php?vo=Sahuagin</t>
  </si>
  <si>
    <t>Claw|6|2d6+5</t>
  </si>
  <si>
    <t>Melee Weapon Attack: +6 to hit, reach 5 ft., one target. Hit: 12 (2d6 + 5) slashing damage.</t>
  </si>
  <si>
    <t>Bite|6|1d10+5</t>
  </si>
  <si>
    <t>Melee Weapon Attack: +6 to hit, reach 5 ft., one target. Hit: 10 (1d10 + 5) piercing damage.</t>
  </si>
  <si>
    <t>If the tiger moves at least 20 ft. straight toward a creature and then hits it with a claw attack on the same turn, that target must succeed on a DC 14 Strength saving throw or be knocked prone. If the target is prone, the tiger can make one bite attack against it as a bonus action.</t>
  </si>
  <si>
    <t>13:29</t>
  </si>
  <si>
    <t>+7, 2d6+5</t>
  </si>
  <si>
    <t>+7, 1d10+5</t>
  </si>
  <si>
    <t>https://www.aidedd.org/dnd/monstres.php?vo=Saber-Toothed-Tiger</t>
  </si>
  <si>
    <t>Saber-Toothed-Tiger</t>
  </si>
  <si>
    <t>Saber-Toothed Tiger</t>
  </si>
  <si>
    <t>Antennae</t>
  </si>
  <si>
    <t>The rust monster corrodes a nonmagical ferrous metal object it can see within 5 feet of it. If the object isn't being worn or carried, the touch destroys a 1-foot cube of it. If the object is being worn or carried by a creature, the creature can make a DC 11 Dexterity saving throw to avoid the rust monster's touch. ¶If the object touched is either metal armor or a metal shield being worn or carried, its takes a permanent and cumulative -1 penalty to the AC it offers. Armor reduced to an AC of 10 or a shield that drops to a +0 bonus is destroyed. If the object touched is a held metal weapon, it rusts as described in the Rust Metal trait.</t>
  </si>
  <si>
    <t>Bite|3|1d8+1</t>
  </si>
  <si>
    <t>Melee Weapon Attack: +3 to hit, reach 5 ft., one target. Hit: 5 (1d8 + 1) piercing damage.</t>
  </si>
  <si>
    <t>Rust Metal</t>
  </si>
  <si>
    <t>Any nonmagical weapon made of metal that hits the rust monster corrodes. After dealing damage, the weapon takes a permanent and cumulative -1 penalty to damage rolls. If its penalty drops to -5, the weapon is destroyed. Non magical ammunition made of metal that hits the rust monster is destroyed after dealing damage.</t>
  </si>
  <si>
    <t>Iron Scent</t>
  </si>
  <si>
    <t>The rust monster can pinpoint, by scent, the location of ferrous metal within 30 feet of it.</t>
  </si>
  <si>
    <t>https://www.aidedd.org/dnd/monstres.php?vo=Rust-Monster</t>
  </si>
  <si>
    <t>Rust-Monster</t>
  </si>
  <si>
    <t>Rust Monster</t>
  </si>
  <si>
    <t>Smother|5|2d6+3</t>
  </si>
  <si>
    <t>Melee Weapon Attack: +5 to hit, reach 5 ft., one Medium or smaller creature. Hit: The creature is grappled (escape DC 13). Until this grapple ends, the target is restrained, blinded, and at risk of suffocating, and the rug can't smother another target. In addition, at the start of each of the target's turns, the target takes 10 (2d6 + 3) bludgeoning damage.</t>
  </si>
  <si>
    <t>Smother</t>
  </si>
  <si>
    <t>While the rug remains motionless, it is indistinguishable from a normal rug.</t>
  </si>
  <si>
    <t>Damage Transfer</t>
  </si>
  <si>
    <t>While it is grappling a creature, the rug takes only half the damage dealt to it, and the creature grappled by the rug takes the other half.</t>
  </si>
  <si>
    <t>Antimagic Susceptibility</t>
  </si>
  <si>
    <t>The rug is incapacitated while in the area of an antimagic field. If targeted by dispel magic, the rug must succeed on a Constitution saving throw against the caster's spell save DC or fall unconscious for 1 minute.</t>
  </si>
  <si>
    <t>https://www.aidedd.org/dnd/monstres.php?vo=Rug-of-Smothering</t>
  </si>
  <si>
    <t>Rug-of-Smothering</t>
  </si>
  <si>
    <t>Rug of Smothering</t>
  </si>
  <si>
    <t>Reel</t>
  </si>
  <si>
    <t>The roper pulls each creature grappled by it up to 25 ft. straight toward it.</t>
  </si>
  <si>
    <t>Tendril|7|</t>
  </si>
  <si>
    <t>Melee Weapon Attack: +7 to hit, reach 50 ft., one creature. Hit: The target is grappled (escape DC 15). Until the grapple ends, the target is restrained and has disadvantage on Strength checks and Strength saving throws, and the roper can't use the same tendril on another target.</t>
  </si>
  <si>
    <t>Tendril</t>
  </si>
  <si>
    <t>Bite|7|4d8+4</t>
  </si>
  <si>
    <t>Melee Weapon Attack: +7 to hit, reach 5 ft., one target. Hit: 22 (4d8 + 4) piercing damage.</t>
  </si>
  <si>
    <t>The roper makes four attacks with its tendrils, uses Reel, and makes one attack with its bite.</t>
  </si>
  <si>
    <t>The roper can climb difficult surfaces, including upside down on ceilings, without needing to make an ability check.</t>
  </si>
  <si>
    <t>Grasping Tendrils</t>
  </si>
  <si>
    <t>The roper can have up to six tendrils at a time. Each tendril can be attacked (AC 20; 10 hit points; immunity to poison and psychic damage). Destroying a tendril deals no damage to the roper, which can extrude a replacement tendril on its next turn. A tendril can also be broken if a creature takes an action and succeeds on a DC 15 Strength check against it.</t>
  </si>
  <si>
    <t>While the roper remains motionless, it is indistinguishable from a normal cave formation, such as a stalagmite.</t>
  </si>
  <si>
    <t>4:40</t>
  </si>
  <si>
    <t>+7, 4d8+4</t>
  </si>
  <si>
    <t>https://www.aidedd.org/dnd/monstres.php?vo=Roper</t>
  </si>
  <si>
    <t>Roper</t>
  </si>
  <si>
    <t>Talons|13|4d6+9</t>
  </si>
  <si>
    <t>Melee Weapon Attack: +13 to hit, reach 5 ft., one target. Hit: 23 (4d6 + 9) slashing damage, and the target is grappled (escape DC 19). Until this grapple ends, the target is restrained, and the roc can't use its talons on another target.</t>
  </si>
  <si>
    <t>Beak|13|4d8+9</t>
  </si>
  <si>
    <t>Melee Weapon Attack: +13 to hit, reach 10 ft., one target. Hit: 27 (4d8 + 9) piercing damage.</t>
  </si>
  <si>
    <t>The roc makes two attacks: one with its beak and one with its talons.</t>
  </si>
  <si>
    <t>Keen Sight</t>
  </si>
  <si>
    <t>The roc has advantage on Wisdom (Perception) checks that rely on sight.</t>
  </si>
  <si>
    <t>+13, 4d6+9</t>
  </si>
  <si>
    <t>+13, 4d8+9</t>
  </si>
  <si>
    <t>https://www.aidedd.org/dnd/monstres.php?vo=Roc</t>
  </si>
  <si>
    <t>Roc</t>
  </si>
  <si>
    <t>Hooves|5|2d4+3</t>
  </si>
  <si>
    <t>Melee Weapon Attack: +5 to hit, reach 5 ft., one target. Hit: 8 (2d4 + 3) bludgeoning damage.</t>
  </si>
  <si>
    <t>+5, 2d4+3</t>
  </si>
  <si>
    <t>https://www.aidedd.org/dnd/monstres.php?vo=Riding-Horse</t>
  </si>
  <si>
    <t>Riding-Horse</t>
  </si>
  <si>
    <t>Riding Horse</t>
  </si>
  <si>
    <t>Gore|7|2d8+5</t>
  </si>
  <si>
    <t>Melee Weapon Attack: +7 to hit, reach 5 ft., one target. Hit: 14 (2d8 + 5) bludgeoning damage.</t>
  </si>
  <si>
    <t>If the rhinoceros moves at least 20 ft. straight toward a target and then hits it with a gore attack on the same turn, the target takes an extra 9 (2d8) bludgeoning damage. If the target is a creature, it must succeed on a DC 15 Strength saving throw or be knocked prone.</t>
  </si>
  <si>
    <t>+7, 2d8+5</t>
  </si>
  <si>
    <t>https://www.aidedd.org/dnd/monstres.php?vo=Rhinoceros</t>
  </si>
  <si>
    <t>Rhinoceros</t>
  </si>
  <si>
    <t>The remorhaz makes one bite attack against a Medium or smaller creature it is grappling. If the attack hits, that creature takes the bite's damage and is swallowed, and the grapple ends. While swallowed, the creature is blinded and restrained, it has total cover against attacks and other effects outside the remorhaz, and it takes 21 (6d6) acid damage at the start of each of the remorhaz's turns. ¶If the remorhaz takes 30 damage or more on a single turn from a creature inside it, the remorhaz must succeed on a DC 15 Constitution saving throw at the end of that turn or regurgitate all swallowed creatures, which fall prone in a space within 10 feet oft he remorhaz. If the remorhaz dies, a swallowed creature is no longer restrained by it and can escape from the corpse using 15 feet of movement, exiting prone.</t>
  </si>
  <si>
    <t>Bite|11|6d10+7+3d6</t>
  </si>
  <si>
    <t>Melee Weapon Attack: +11 to hit, reach 10 ft., one target. Hit: 40 (6d10 + 7) piercing damage plus 10 (3d6) fire damage. If the target is a creature, it is grappled (escape DC 17). Until this grapple ends, the target is restrained, and the remorhaz can't bite another target.</t>
  </si>
  <si>
    <t>Heated Body||3d6</t>
  </si>
  <si>
    <t>A creature that touches the remorhaz or hits it with a melee attack while within 5 feet of it takes 10 (3d6) fire damage.</t>
  </si>
  <si>
    <t>+4, 3d6+7</t>
  </si>
  <si>
    <t>+11, 6d10+7</t>
  </si>
  <si>
    <t>https://www.aidedd.org/dnd/monstres.php?vo=Remorhaz</t>
  </si>
  <si>
    <t>Remorhaz</t>
  </si>
  <si>
    <t>Bite|4|1d8+2</t>
  </si>
  <si>
    <t>The shark can breathe only underwater.</t>
  </si>
  <si>
    <t>The shark has advantage on an attack roll against a creature if at least one of the shark's allies is within 5 ft. of the creature and the ally isn't incapacitated.</t>
  </si>
  <si>
    <t>https://www.aidedd.org/dnd/monstres.php?vo=Reef-Shark</t>
  </si>
  <si>
    <t>Reef-Shark</t>
  </si>
  <si>
    <t>Reef Shark</t>
  </si>
  <si>
    <t>Fire Breath||7d6</t>
  </si>
  <si>
    <t>The dragon exhales fire in a 15-foot cone. Each creature in that area must make a DC l3 Dexterity saving throw, taking 24 (7d6) fire damage on a failed save, or half as much damage on a successful one.</t>
  </si>
  <si>
    <t>Bite|6|1d10+4+1d6</t>
  </si>
  <si>
    <t>Melee Weapon Attack: +6 to hit, reach 5 ft., one target. Hit: 9 (1d10 + 4) piercing damage plus 3 (1d6) fire damage.</t>
  </si>
  <si>
    <t>https://www.aidedd.org/dnd/monstres.php?vo=Red-Dragon-Wyrmling</t>
  </si>
  <si>
    <t>Red-Dragon-Wyrmling</t>
  </si>
  <si>
    <t>Red Dragon Wyrmling</t>
  </si>
  <si>
    <t>Beak|4|1</t>
  </si>
  <si>
    <t>Melee Weapon Attack: +4 to hit, reach 5 ft., one target. Hit: 1 piercing damage.</t>
  </si>
  <si>
    <t>Mimicry</t>
  </si>
  <si>
    <t>The raven can mimic simple sounds it has heard, such as a person whispering, a baby crying, or an animal chittering. A creature that hears the sounds can tell they are imitations with a successful DC 10 Wisdom (Insight) check.</t>
  </si>
  <si>
    <t>https://www.aidedd.org/dnd/monstres.php?vo=Raven</t>
  </si>
  <si>
    <t>Raven</t>
  </si>
  <si>
    <t>Bite|0|1</t>
  </si>
  <si>
    <t>Melee Weapon Attack: +0 to hit, reach 5 ft., one target. Hit: 1 piercing damage.</t>
  </si>
  <si>
    <t>The rat has advantage on Wisdom (Perception) checks that rely on smell.</t>
  </si>
  <si>
    <t>https://www.aidedd.org/dnd/monstres.php?vo=Rat</t>
  </si>
  <si>
    <t>Rat</t>
  </si>
  <si>
    <t>The swashbuckler makes three attacks: one with a dagger and two with its rapier.</t>
  </si>
  <si>
    <t>Suave Defense</t>
  </si>
  <si>
    <t>While the swashbuckler is wearing light or no armor and wielding no shield, its AC includes its Charisma modifier.</t>
  </si>
  <si>
    <t>Lightfooted</t>
  </si>
  <si>
    <t>The swashbuckler can take the Dash or Disengage action as a bonus action on each of its turns.</t>
  </si>
  <si>
    <t>+6, 1d8+4</t>
  </si>
  <si>
    <t>+6, 1d6+4</t>
  </si>
  <si>
    <t>creature</t>
  </si>
  <si>
    <t>Ranaer Neverember (Swashbuckler)</t>
  </si>
  <si>
    <t>Ranaer Neverember</t>
  </si>
  <si>
    <t>Claw|7|2d6+2</t>
  </si>
  <si>
    <t>Melee Weapon Attack: +7 to hit, reach 5 ft., one target. Hit: 9 (2d6 + 2) slashing damage, and the target is cursed if it is a creature. The magical curse takes effect whenever the target takes a short or long rest, filling the target's thoughts with horrible images and dreams. The cursed target gains no benefit from finishing a short or long rest. The curse lasts until it is lifted by a remove curse spell or similar magic.</t>
  </si>
  <si>
    <t>The rakshasa makes two claw attacks</t>
  </si>
  <si>
    <t>The rakshasa's innate spellcasting ability is Charisma (spell save DC 18, +10 to hit with spell attacks). The rakshasa can innately cast the following spells, requiring no material components: At will: detect thoughts, disguise self, mage hand, minor illusion ¶3/day each: charm person, detect magic, invisibility, major image, suggestion ¶1/day each: dominate person, fly, plane shift, true seeing</t>
  </si>
  <si>
    <t>Limited Magic Immunity</t>
  </si>
  <si>
    <t>The rakshasa can't be affected or detected by spells of 6th level or lower unless it wishes to be. It has advantage on saving throws against all other spells and magical effects.</t>
  </si>
  <si>
    <t>+7, 2d6+2</t>
  </si>
  <si>
    <t>https://www.aidedd.org/dnd/monstres.php?vo=Rakshasa</t>
  </si>
  <si>
    <t>Rakshasa</t>
  </si>
  <si>
    <t>Melee Weapon Attack: +5 to hit, reach 5 ft., one target. Hit: 1 piercing damage.</t>
  </si>
  <si>
    <t>The quipper can breathe only underwater.</t>
  </si>
  <si>
    <t>The quipper has advantage on melee attack rolls against any creature that doesn't have all its hit points.</t>
  </si>
  <si>
    <t>https://www.aidedd.org/dnd/monstres.php?vo=Quipper</t>
  </si>
  <si>
    <t>Quipper</t>
  </si>
  <si>
    <t>The quasit magically turns invisible until it attacks or uses Scare, or until its concentration ends (as if concentrating on a spell). Any equipment the quasit wears or carries is invisible with it.</t>
  </si>
  <si>
    <t>Scare (1/day)</t>
  </si>
  <si>
    <t>One creature of the quasit's choice within 20 ft. of it must succeed on a DC 10 Wisdom saving throw or be frightened for 1 minute. The target can repeat the saving throw at the end of each of its turns, with disadvantage if the quasit is within line of sight, ending the effect on itself on a success.</t>
  </si>
  <si>
    <t>Claw/Bite|4|1d4+3</t>
  </si>
  <si>
    <t>Melee Weapon Attack: +4 to hit, reach 5 ft ., one target. Hit: 5 (1d4 + 3) piercing damage, and the target must succeed on a DC 10 Constitution saving throw or take 5 (2d4) poison damage and become poisoned for 1 minute. The target can repeat the saving throw at the end of each of its turns, ending the effect on itself on a success.</t>
  </si>
  <si>
    <t>Claw (Bite in Beast Form)</t>
  </si>
  <si>
    <t>Variant: Familiar</t>
  </si>
  <si>
    <t>The quasit can serve another creature as a familiar, forming a telepathic bond with its willing master. While the two are bonded, the master can sense what the quasit senses as long as they are within 1 mile of each other. While the quasit is within 10 feet of its master, the master shares the quasit's Magic Resistance trait. At any time and for any reason, the quasit can end its service as a familiar, ending the telepathic bond.</t>
  </si>
  <si>
    <t>The quasit has advantage on saving throws against spells and other magical effects.</t>
  </si>
  <si>
    <t>The quasit can use its action to polymorph into a beast form that resembles a bat (speed 10 ft. fly 40 ft.), a centipede (40 ft., climb 40 ft.), or a toad (40 ft., swim 40 ft.), or back into its true form . Its statistics are the same in each form, except for the speed changes noted. Any equipment it is wearing or carrying isn't transformed . It reverts to its true form if it dies.</t>
  </si>
  <si>
    <t>5:25</t>
  </si>
  <si>
    <t>1:39</t>
  </si>
  <si>
    <t>https://www.aidedd.org/dnd/monstres.php?vo=Quasit</t>
  </si>
  <si>
    <t>Quasit</t>
  </si>
  <si>
    <t>Tail Stinger|9|3d6+9</t>
  </si>
  <si>
    <t>Melee Weapon Attack: +9 to hit, reach 10 ft., one creature. Hit: 19 (3d6 + 9) piercing damage, and the target must make a DC 19 Constitution saving throw, taking 42 (12d6) poison damage on a failed save, or half as much damage on a successful one.</t>
  </si>
  <si>
    <t>Tail Stinger</t>
  </si>
  <si>
    <t>Bite|9|3d8+9</t>
  </si>
  <si>
    <t>Melee Weapon Attack: +9 to hit, reach 10 ft., one target. Hit: 22 (3d8 + 9) piercing damage. If the target is a Large or smaller creature, it must succeed on a DC 19 Dexterity saving throw or be swallowed by the worm. A swallowed creature is blinded and restrained, it has total cover against attacks and other effects outside the worm, and it takes 21 (6d6) acid damage at the start of each of the worm's turns. ¶If the worm takes 30 damage or more on a single turn from a creature inside it, the worm must succeed on a DC 21 Constitution saving throw at the end of that turn or regurgitate all swallowed creatures, which fall prone in a space within 10 feet of the worm. If the worm dies, a swallowed creature is no longer restrained by it and can escape from the corpse by using 20 feet of movement, exiting prone.</t>
  </si>
  <si>
    <t>The worm makes two attacks: one with its bite and one with its stinger.</t>
  </si>
  <si>
    <t>Tunneler</t>
  </si>
  <si>
    <t>The worm can burrow through solid rock at half its burrow speed and leaves a 10-foot-diameter tunnel in its wake.</t>
  </si>
  <si>
    <t>+14, 15d6+9</t>
  </si>
  <si>
    <t>+14, 3d8+9</t>
  </si>
  <si>
    <t>https://www.aidedd.org/dnd/monstres.php?vo=Purple-Worm</t>
  </si>
  <si>
    <t>Purple-Worm</t>
  </si>
  <si>
    <t>Purple Worm</t>
  </si>
  <si>
    <t>Bite|3|2d4+1</t>
  </si>
  <si>
    <t>Melee Weapon Attack: +3 to hit, reach 5 ft., one target. Hit: 6 (2d4 + 1) piercing damage</t>
  </si>
  <si>
    <t>Flyby</t>
  </si>
  <si>
    <t>The pteranodon doesn't provoke opportunity attacks when it flies out of an enemy's reach.</t>
  </si>
  <si>
    <t>https://www.aidedd.org/dnd/monstres.php?vo=Pteranodon</t>
  </si>
  <si>
    <t>Pteranodon</t>
  </si>
  <si>
    <t>Sting|4|1d4+2</t>
  </si>
  <si>
    <t>Melee Weapon Attack: +4 to hit, reach 5 ft., one creature. Hit: 4 (1d4 + 2) piercing damage, and the target must succeed on a DC 11 Constitution saving throw or become poisoned for 1 hour. If the saving throw fails by 5 or more, the target falls unconscious for the same duration, or until it takes damage or another creature uses an action to shake it awake.</t>
  </si>
  <si>
    <t>Melee Weapon Attack: +4 to hit, reach 5 ft., one target. Hit: 4 (1d4 + 2) piercing damage.</t>
  </si>
  <si>
    <t>The pseudodragon can serve another creature as a familiar, forming a magic, telepathic bond with that willing companion. While the two are bonded, the companion can sense what the pseudodragon senses as long as they are within 1 mile of each other. While the pseudodragon is within 10 feet of its companion, the companion shares the pseudodragon's Magic Resistance trait. At any time and for any reason, the pseudodragon can end its service as a familiar, ending the telepathic bond.</t>
  </si>
  <si>
    <t>Limited Telepathy</t>
  </si>
  <si>
    <t>The pseudodragon can magically communicate simple ideas, emotions, and images telepathically with any creature within 100 ft. of it that can understand a language.</t>
  </si>
  <si>
    <t>The pseudodragon has advantage on saving throws against spells and other magical effects.</t>
  </si>
  <si>
    <t>Keen Senses</t>
  </si>
  <si>
    <t>The pseudodragon has advantage on Wisdom (Perception) checks that rely on sight, hearing, or smell.</t>
  </si>
  <si>
    <t>https://www.aidedd.org/dnd/monstres.php?vo=Pseudodragon</t>
  </si>
  <si>
    <t>Pseudodragon</t>
  </si>
  <si>
    <t>Mace|2|1d6</t>
  </si>
  <si>
    <t>Melee Weapon Attack: +2 to hit, reach 5 ft., one target. Hit: 3 (1d6) bludgeoning damage.</t>
  </si>
  <si>
    <t>The priest is a 5th-level spellcaster. Its spellcasting ability is Wisdom (spell save DC 13, +5 to hit with spell attacks). The priest has the following cleric spells prepared: ‚Ä¢ Cantrips (at will): light, sacred flame, thaumaturgy ¶‚Ä¢ 1st level (4 slots): cure wounds, guiding bolt, sanctuary ¶‚Ä¢ 2nd level (3 slots): lesser restoration, spiritual weapon ¶‚Ä¢ 3rd level (2 slots): dispel magic, spirit guardians</t>
  </si>
  <si>
    <t>Divine Eminence||3d6</t>
  </si>
  <si>
    <t>As a bonus action, the priest can expend a spell slot to cause its melee weapon attacks to magically deal an extra 10 (3d6) radiant damage to a target on a hit. This benefit lasts until the end of the turn. If the priest expends a spell slot of 2nd level or higher, the extra damage increases by 1d6 for each level above 1st.</t>
  </si>
  <si>
    <t>Divine Eminence</t>
  </si>
  <si>
    <t>10:34</t>
  </si>
  <si>
    <t>https://www.aidedd.org/dnd/monstres.php?vo=Priest</t>
  </si>
  <si>
    <t>Priest</t>
  </si>
  <si>
    <t>Hooves|4|2d4+2</t>
  </si>
  <si>
    <t>Melee Weapon Attack: +4 to hit, reach 5 ft., one target. Hit: 7 (2d4 + 2) bludgeoning damage.</t>
  </si>
  <si>
    <t>https://www.aidedd.org/dnd/monstres.php?vo=Pony</t>
  </si>
  <si>
    <t>Pony</t>
  </si>
  <si>
    <t>Claws|7|2d6+5</t>
  </si>
  <si>
    <t>Melee Weapon Attack: +7 to hit, reach 5 ft., one target. Hit: 12 (2d6 + 5) slashing damage.</t>
  </si>
  <si>
    <t>Bite|7|1d8+5</t>
  </si>
  <si>
    <t>Melee Weapon Attack: +7 to hit, reach 5 ft., one target. Hit: 9 (1d8 + 5) piercing damage.</t>
  </si>
  <si>
    <t>The bear makes two attacks: one with its bite and one with its claws.</t>
  </si>
  <si>
    <t>The bear has advantage on Wisdom (Perception) checks that rely on smell.</t>
  </si>
  <si>
    <t>9:54</t>
  </si>
  <si>
    <t>+7, 1d8+5</t>
  </si>
  <si>
    <t>https://www.aidedd.org/dnd/monstres.php?vo=Polar-Bear</t>
  </si>
  <si>
    <t>Polar-Bear</t>
  </si>
  <si>
    <t>Polar Bear</t>
  </si>
  <si>
    <t>Melee Weapon Attack: +5 to hit, reach 5 ft., one target. Hit: 1 piercing damage, and the target must make a DC 10 Constitution saving throw, taking 5 (2d4) poison damage on a failed save, or half as much damage on a successful one.</t>
  </si>
  <si>
    <t>https://www.aidedd.org/dnd/monstres.php?vo=Poisonous-Snake</t>
  </si>
  <si>
    <t>Poisonous-Snake</t>
  </si>
  <si>
    <t>Poisonous Snake</t>
  </si>
  <si>
    <t>Bite|6|3d6+4</t>
  </si>
  <si>
    <t>Melee Weapon Attack: +6 to hit, reach 10 ft., one target. Hit: 14 (3d6 + 4) piercing damage.</t>
  </si>
  <si>
    <t>Hold Breath</t>
  </si>
  <si>
    <t>The plesiosaurus can hold its breath for 1 hour.</t>
  </si>
  <si>
    <t>+6, 3d6+4</t>
  </si>
  <si>
    <t>https://www.aidedd.org/dnd/monstres.php?vo=Plesiosaurus</t>
  </si>
  <si>
    <t>Plesiosaurus</t>
  </si>
  <si>
    <t>The planetar touches another creature. The target magically regains 30 (6d8 + 3) hit points and is freed from any curse, disease, poison, blindness, or deafness.</t>
  </si>
  <si>
    <t>Greatsword|12|4d6+7+5d8</t>
  </si>
  <si>
    <t>Melee Weapon Attack: +12 to hit, reach 5 ft., one target. Hit: 21 (4d6 + 7) slashing damage plus 22 (5d8) radiant damage.</t>
  </si>
  <si>
    <t>The planetar makes two melee attacks.</t>
  </si>
  <si>
    <t>The planetar has advantage on saving throws against spells and other magical effects.</t>
  </si>
  <si>
    <t>The planetar's spellcasting ability is Charisma (spell save DC 20). The planetar can innately cast the following spells, requiring no material components: ¶At will: detect evil and good, invisibility (self only) ¶3/day each: blade barrier, dispel evil and good, flame strike, raise dead ¶1/day each: commune, control weather, insect plague</t>
  </si>
  <si>
    <t>The planetar knows if it hears a lie.</t>
  </si>
  <si>
    <t>The planetar's weapon attacks are magical. When the planetar hits with any weapon, the weapon deals an extra 5d8 radiant damage (included in the attack).</t>
  </si>
  <si>
    <t>+5, 5d8+7</t>
  </si>
  <si>
    <t>+12, 4d6+7</t>
  </si>
  <si>
    <t>https://www.aidedd.org/dnd/monstres.php?vo=Planetar</t>
  </si>
  <si>
    <t>Planetar</t>
  </si>
  <si>
    <t>Tail|14|3d10+8</t>
  </si>
  <si>
    <t>Melee Weapon Attack: +14 to hit, reach 10ft., one target. Hit: 24 (3d10 + 8) bludgeoning damage.</t>
  </si>
  <si>
    <t>Mace|14|2d6+8+6d6</t>
  </si>
  <si>
    <t>Melee Weapon Attack: +14 to hit, reach 10ft., one target. Hit: 15 (2d6 + 8) bludgeoning damage plus 21 (6d6) fire damage.</t>
  </si>
  <si>
    <t>Claw|14|2d8+8</t>
  </si>
  <si>
    <t>Melee Weapon Attack: +14 to hit, reach 10 ft. , one target. Hit: 17 (2d8 + 8) slashing damage.</t>
  </si>
  <si>
    <t>Bite|14|4d6+8</t>
  </si>
  <si>
    <t>Melee Weapon Attack: +14 to hit, reach 5 ft., one target. Hit: 22 (4d6 + 8) piercing damage. The target must succeed on a DC 21 Constitution saving throw or become poisoned. While poisoned in this way, the target can't regain hit points, and it takes 21 (6d6) poison damage at the start of each of its turns. The poisoned target can repeat the saving throw at the end of each of its turns, ending the effect on itself on a success.</t>
  </si>
  <si>
    <t>The pit fiend makes four attacks: one with its bite, one with its claw, one with its mace, and one with its tail.</t>
  </si>
  <si>
    <t>The pit fiend's spellcasting ability is Charisma (spell save DC 21). The pit fiend can innately cast the following spells, requiring no material components: ¶At will: detect magic, fireball ¶3/day each: hold monster, wall of fire</t>
  </si>
  <si>
    <t>The pit fiend's weapon attacks are magical.</t>
  </si>
  <si>
    <t>The pit fiend has advantage on saving throws against spells and other magical effects.</t>
  </si>
  <si>
    <t>Fear Aura</t>
  </si>
  <si>
    <t>Any creature hostile to the pit fiend that starts its turn within 20 feet of the pit fiend must make a DC 21 Wisdom saving throw, unless the pit fiend is incapacitated. On a failed save, the creature is frightened until the start of its next turn. If a creature's saving throw is successful, the creature is immune to the pit fiend's Fear Aura for the next 24 hours.</t>
  </si>
  <si>
    <t>+14, 2d8+8</t>
  </si>
  <si>
    <t>+14, 4d6+8</t>
  </si>
  <si>
    <t>Devil</t>
  </si>
  <si>
    <t>https://www.aidedd.org/dnd/monstres.php?vo=Pit-Fiend</t>
  </si>
  <si>
    <t>Pit-Fiend</t>
  </si>
  <si>
    <t>Pit Fiend</t>
  </si>
  <si>
    <t>Bite|4|1d10+2 Poison||4d8</t>
  </si>
  <si>
    <t>Melee Weapon Attack: +4 to hit, reach 5 ft., one creature. Hit: 7 (1d10 + 2) piercing damage, and the target must make a DC 11 Constitution saving throw, taking 18 (4d8) poison damage on a failed save, or half as much damage on a successful one. If the poison damage reduces the target to 0 hit points, the target is stable but poisoned for 1 hour, even after regaining hit points, and is paralyzed while poisoned in this way.</t>
  </si>
  <si>
    <t>Ethereal Jaunt</t>
  </si>
  <si>
    <t>As a bonus action, the spider can magically shift from the Material Plane to the Ethereal Plane, or vice versa.</t>
  </si>
  <si>
    <t>https://www.aidedd.org/dnd/monstres.php?vo=Phase-Spider</t>
  </si>
  <si>
    <t>Phase-Spider</t>
  </si>
  <si>
    <t>Phase Spider</t>
  </si>
  <si>
    <t>https://www.aidedd.org/dnd/monstres.php?vo=Pegasus</t>
  </si>
  <si>
    <t>Pegasus</t>
  </si>
  <si>
    <t>Claw|4|1d4+2</t>
  </si>
  <si>
    <t>Melee Weapon Attack: +4 to hit, reach 5 ft., one target. Hit: 4 (1d4 + 2) slashing damage.</t>
  </si>
  <si>
    <t>Bite|4|1d6+2</t>
  </si>
  <si>
    <t>If the panther moves at least 20 ft. straight toward a creature and then hits it with a claw attack on the same turn, that target must succeed on a DC 12 Strength saving throw or be knocked prone. If the target is prone, the panther can make one bite attack against it as a bonus action.</t>
  </si>
  <si>
    <t>The panther has advantage on Wisdom (Perception) checks that rely on smell.</t>
  </si>
  <si>
    <t>8:26</t>
  </si>
  <si>
    <t>https://www.aidedd.org/dnd/monstres.php?vo=Panther</t>
  </si>
  <si>
    <t>Panther</t>
  </si>
  <si>
    <t>Claws|7|2d8+5</t>
  </si>
  <si>
    <t>Melee Weapon Attack: +7 to hit, reach 5 ft., one target. Hit: 14 (2d8 + 5) slashing damage.</t>
  </si>
  <si>
    <t>Beak|7|1d10+5</t>
  </si>
  <si>
    <t>Melee Weapon Attack: +7 to hit, reach 5 ft., one creature. Hit: 10 (1d10 + 5) piercing damage.</t>
  </si>
  <si>
    <t>The owlbear makes two attacks: one with its beak and one with its claws.</t>
  </si>
  <si>
    <t>The owlbear has advantage on Wisdom (Perception) checks that rely on sight or smell.</t>
  </si>
  <si>
    <t>9:29</t>
  </si>
  <si>
    <t>https://www.aidedd.org/dnd/monstres.php?vo=Owlbear</t>
  </si>
  <si>
    <t>Owlbear</t>
  </si>
  <si>
    <t>Talons|3|1</t>
  </si>
  <si>
    <t>Melee Weapon Attack: +3 to hit, reach 5 ft., one target. Hit: 1 slashing damage.</t>
  </si>
  <si>
    <t>The owl has advantage on Wisdom (Perception) checks that rely on hearing or sight.</t>
  </si>
  <si>
    <t>The owl doesn't provoke opportunity attacks when it flies out of an enemy's reach.</t>
  </si>
  <si>
    <t>https://www.aidedd.org/dnd/monstres.php?vo=Owl</t>
  </si>
  <si>
    <t>Owl</t>
  </si>
  <si>
    <t>Tentacle Slam</t>
  </si>
  <si>
    <t>The otyugh slams creatures grappled by it into each other or a solid surface. Each creature must succeed on a DC 14 Constitution saving throw or take 10 (2d6 + 3) bludgeoning damage and be stunned until the end of the otyugh's next turn. On a successful save, the target takes half the bludgeoning damage and isn't stunned.</t>
  </si>
  <si>
    <t>Tentacle|6|1d8+3+1d8</t>
  </si>
  <si>
    <t>Melee Weapon Attack: +6 to hit, reach 10 ft., one target. Hit: 7 (1d8 + 3) bludgeoning damage plus 4 (1d8) piercing damage. If the target is Medium or smaller, it is grappled (escape DC 13) and restrained until the grapple ends. The otyugh has two tentacles, each of which can grapple one target.</t>
  </si>
  <si>
    <t>Tentacle</t>
  </si>
  <si>
    <t>Bite|6|2d8+3</t>
  </si>
  <si>
    <t>Melee Weapon Attack: +6 to hit, reach 5 ft., one target. Hit: 12 (2d8 + 3) piercing damage. If the target is a creature, it must succeed on a DC 15 Constitution saving throw against disease or become poisoned until the disease is cured. Every 24 hours that elapse, the target must repeat the saving throw, reducing its hit point maximum by 5 (1d10) on a failure. The disease is cured on a success. The target dies if the disease reduces its hit point maximum to 0. This reduction to the target's hit point maximum lasts until the disease is cured.</t>
  </si>
  <si>
    <t>The otyugh makes three attacks: one with its bite and two with its tentacles.</t>
  </si>
  <si>
    <t>The otyugh can magically transmit simple messages and images to any creature within 120 ft. of it that can understand a language. This form of telepathy doesn't allow the receiving creature to telepathically respond.</t>
  </si>
  <si>
    <t>9:50</t>
  </si>
  <si>
    <t>+6, 2d8+3</t>
  </si>
  <si>
    <t>Aberration</t>
  </si>
  <si>
    <t>https://www.aidedd.org/dnd/monstres.php?vo=Otyugh</t>
  </si>
  <si>
    <t>Otyugh</t>
  </si>
  <si>
    <t>Javelin|5|1d6+3</t>
  </si>
  <si>
    <t>Melee or Ranged Weapon Attack: +5 to hit, reach 5 ft. or range 30/120 ft., one target. Hit: 6 (1d6 + 3) piercing damage.</t>
  </si>
  <si>
    <t>Javelin</t>
  </si>
  <si>
    <t>Greataxe|5|1d12+3</t>
  </si>
  <si>
    <t>Melee Weapon Attack: +5 to hit, reach 5 ft., one target. Hit: 9 (1d12 + 3) slashing damage.</t>
  </si>
  <si>
    <t>Greataxe</t>
  </si>
  <si>
    <t>Aggressive</t>
  </si>
  <si>
    <t>As a bonus action, the orc can move up to its speed toward a hostile creature that it can see.</t>
  </si>
  <si>
    <t>9:29, 13:28</t>
  </si>
  <si>
    <t>+5, 1d12+3</t>
  </si>
  <si>
    <t>Orc</t>
  </si>
  <si>
    <t>https://www.aidedd.org/dnd/monstres.php?vo=Orc</t>
  </si>
  <si>
    <t>Change Shape</t>
  </si>
  <si>
    <t>The oni magically polymorphs into a Small or Medium humanoid, into a Large giant, or back into its true form. Other than its size, its statistics are the same in each form. The only equipment that is transformed is its glaive, which shrinks so that it can be wielded in humanoid form. If the oni dies, it reverts to its true form, and its glaive reverts to its normal size.</t>
  </si>
  <si>
    <t>Large Form|7|2d10+4 Small or Medium Form|7|1d10+4</t>
  </si>
  <si>
    <t>Melee Weapon Attack: +7 to hit, reach 10 ft., one target. Hit: 15 (2d10 + 4) slashing damage, or 9 (1d10 + 4) slashing damage in Small or Medium form.</t>
  </si>
  <si>
    <t>Glaive</t>
  </si>
  <si>
    <t>Claw|7|1d8+4</t>
  </si>
  <si>
    <t>Melee Weapon Attack: +7 to hit, reach 5 ft., one target. Hit: 8 (1d8 + 4) slashing damage.</t>
  </si>
  <si>
    <t>Claw (Oni Form Only)</t>
  </si>
  <si>
    <t>The oni makes two attacks, either with its claws or its glaive.</t>
  </si>
  <si>
    <t>The oni regains 10 hit points at the start of its turn if it has at least 1 hit point.</t>
  </si>
  <si>
    <t>The oni's weapon attacks are magical.</t>
  </si>
  <si>
    <t>The oni's innate spellcasting ability is Charisma (spell save DC 13). The oni can innately cast the following spells, requiring no material components: At will: darkness, invisibility ¶1/day each: charm person, cone of cold, gaseous form, sleep</t>
  </si>
  <si>
    <t>https://www.aidedd.org/dnd/monstres.php?vo=Oni</t>
  </si>
  <si>
    <t>Oni</t>
  </si>
  <si>
    <t>Morningstar|6|2d8+4</t>
  </si>
  <si>
    <t>Melee Weapon Attack: +6 to hit, reach 5 ft., one target. Hit: 13 (2d8 + 4) bludgeoning damage.</t>
  </si>
  <si>
    <t>Morningstar</t>
  </si>
  <si>
    <t>+8, 2d8+6</t>
  </si>
  <si>
    <t>https://www.aidedd.org/dnd/monstres.php?vo=Ogre-Zombie</t>
  </si>
  <si>
    <t>Ogre-Zombie</t>
  </si>
  <si>
    <t>Ogre Zombie</t>
  </si>
  <si>
    <t>Javelin|6|2d6+4</t>
  </si>
  <si>
    <t>Melee or Ranged Weapon Attack: +6 to hit, reach 5 ft. or range 30/120 ft., one target. Hit: 11 (2d6 + 4) piercing damage.</t>
  </si>
  <si>
    <t>Greatclub|6|2d8+4</t>
  </si>
  <si>
    <t>4:49</t>
  </si>
  <si>
    <t>+6, 2d8+4</t>
  </si>
  <si>
    <t>https://www.aidedd.org/dnd/monstres.php?vo=Ogre</t>
  </si>
  <si>
    <t>Ogre</t>
  </si>
  <si>
    <t>Ink Cloud (Recharges after a Short or Long Rest)</t>
  </si>
  <si>
    <t>A 5-foot-radius cloud of ink extends all around the octopus if it is underwater. The area is heavily obscured for 1 minute, although a significant current can disperse the ink. After releasing the ink, the octopus can use the Dash action as a bonus action.</t>
  </si>
  <si>
    <t>Tentacles|4|1</t>
  </si>
  <si>
    <t>Melee Weapon Attack: +4 to hit, reach 5 ft., one target. Hit: 1 bludgeoning damage, and the target is grappled (escape DC 10). Until this grapple ends, the octopus can't use its tentacles on another target.</t>
  </si>
  <si>
    <t>Tentacles</t>
  </si>
  <si>
    <t>The octopus can breathe only underwater.</t>
  </si>
  <si>
    <t>Underwater Camouflage</t>
  </si>
  <si>
    <t>The octopus has advantage on Dexterity (Stealth) checks made while underwater.</t>
  </si>
  <si>
    <t>While out of water, the octopus can hold its breath for 30 minutes.</t>
  </si>
  <si>
    <t>https://www.aidedd.org/dnd/monstres.php?vo=Octopus</t>
  </si>
  <si>
    <t>Octopus</t>
  </si>
  <si>
    <t>When a jelly that is Medium or larger is subjected to lightning or slashing damage, it splits into two new jellies if it has at least 10 hit points. Each new jelly has hit points equal to half the original jelly's, rounded down. New jellies are one size smaller than the original jelly.</t>
  </si>
  <si>
    <t>Split</t>
  </si>
  <si>
    <t>Pseudopod|4|2d6+2+1d6</t>
  </si>
  <si>
    <t>Melee Weapon Attack: +4 to hit, reach 5 ft., one target. Hit: 9 (2d6 + 2) bludgeoning damage plus 3 (1d6) acid damage.</t>
  </si>
  <si>
    <t>Pseudopod</t>
  </si>
  <si>
    <t>The jelly can climb difficult surfaces, including upside down on ceilings, without needing to make an ability check.</t>
  </si>
  <si>
    <t>The jelly can move through a space as narrow as 1 inch wide without squeezing.</t>
  </si>
  <si>
    <t>11:40</t>
  </si>
  <si>
    <t>+4, 3d6+2</t>
  </si>
  <si>
    <t>Ooze</t>
  </si>
  <si>
    <t>https://www.aidedd.org/dnd/monstres.php?vo=Ochre-Jelly</t>
  </si>
  <si>
    <t>Ochre-Jelly</t>
  </si>
  <si>
    <t>Ochre Jelly</t>
  </si>
  <si>
    <t>The noble adds 2 to its AC against one melee attack that would hit it. To do so, the noble must see the attacker and be wielding a melee weapon.</t>
  </si>
  <si>
    <t>Parry</t>
  </si>
  <si>
    <t>Rapier|3|1d8+1</t>
  </si>
  <si>
    <t>Rapier</t>
  </si>
  <si>
    <t>6:34, 10:29</t>
  </si>
  <si>
    <t>https://www.aidedd.org/dnd/monstres.php?vo=Noble</t>
  </si>
  <si>
    <t>Ethereal Stride</t>
  </si>
  <si>
    <t>The nightmare and up to three willing creatures within 5 feet of it magically enter the Ethereal Plane from the Material Plane, or vice versa.</t>
  </si>
  <si>
    <t>Hooves|6|2d8+4+2d6</t>
  </si>
  <si>
    <t>Melee Weapon Attack: +6 to hit, reach 5 ft., one target. Hit: 13 (2d8 + 4) bludgeoning damage plus 7 (2d6) fire damage.</t>
  </si>
  <si>
    <t>Illumination</t>
  </si>
  <si>
    <t>The nightmare sheds bright light in a 10-foot radius and dim light for an additional 10 feet.</t>
  </si>
  <si>
    <t>Confer Fire Resistance</t>
  </si>
  <si>
    <t>The nightmare can grant resistance to fire damage to anyone riding it.</t>
  </si>
  <si>
    <t>4:29</t>
  </si>
  <si>
    <t>+2, 2d6+4</t>
  </si>
  <si>
    <t>https://www.aidedd.org/dnd/monstres.php?vo=Nightmare</t>
  </si>
  <si>
    <t>Nightmare</t>
  </si>
  <si>
    <t>Nightmare Haunting (1/Day)</t>
  </si>
  <si>
    <t>While on the Ethereal Plane, the hag magically touches a sleeping humanoid on the Material Plane. A protection from evil and good spell cast on the target prevents this contact, as does a magic circle. As long as the contact persists, the target has dreadful visions. If these visions last for at least 1 hour, the target gains no benefit from its rest, and its hit point maximum is reduced by 5 (1d10). If this effect reduces the target's hit point maximum to 0, the target dies, and if the target was evil, its soul is trapped in the hag's soul bag. The reduction to the target's hit point maximum lasts until removed by the greater restoration spell or similar magic.</t>
  </si>
  <si>
    <t>Etherealness</t>
  </si>
  <si>
    <t>The hag magically enters the Ethereal Plane from the Material Plane, or vice versa. To do so, the hag must have a heartstone in her possession.</t>
  </si>
  <si>
    <t>The hag magically polymorphs into a Small or Medium female humanoid, or back into her true form. Her statistics are the same in each form. Any equipment she is wearing or carrying isn't transformed. She reverts to her true form if she dies.</t>
  </si>
  <si>
    <t>Claws (Hag Form Only)</t>
  </si>
  <si>
    <t>While all three members of a hag coven are within 30 feet of one another, they can each cast the following spells from the wizard's spell list but must share the spell slots among themselves: ‚Ä¢ 1st level (4 slots): identify, ray of sickness ¶‚Ä¢ 2nd level (3 slots): hold person, locate object ¶‚Ä¢ 3rd level (3 slots): bestow curse, counterspell, lightning bolt ¶‚Ä¢ 4th level (3 slots): phantasmal killer, polymorph ¶‚Ä¢ 5th level (2 slots): contact other plane, scrying ¶‚Ä¢ 6th level (1 slot): eye bite For casting these spells, each hag is a 12th-level spellcaster that uses Intelligence as her spellcasting ability. The spell save DC is 12+the hag's Intelligence modifier, and the spell attack bonus is 4+the hag's Intelligence modifier.</t>
  </si>
  <si>
    <t>Night Hag Items</t>
  </si>
  <si>
    <t>A night hag carries two very rare magic items that she must craft for herself If either object is lost, the night hag will go to great lengths to retrieve it, as creating a new tool takes time and effort. ¶Heartstone: This lustrous black gem allows a night hag to become ethereal while it is in her possession. The touch of a heartstone also cures any disease. Crafting a heartstone takes 30 days. ¶Soul Bag: When an evil humanoid dies as a result of a night hag's Nightmare Haunting, the hag catches the soul in this black sack made of stitched flesh. A soul bag can hold only one evil soul at a time, and only the night hag who crafted the bag can catch a soul with it. Crafting a soul bag takes 7 days and a humanoid sacrifice (whose flesh is used to make the bag).</t>
  </si>
  <si>
    <t>The hag has advantage on saving throws against spells and other magical effects.</t>
  </si>
  <si>
    <t>The hag's innate spellcasting ability is Charisma (spell save DC 14, +6 to hit with spell attacks). She can innately cast the following spells, requiring no material components: At will: detect magic, magic missile ¶2/day each: plane shift (self only), ray of enfeeblement, sleep</t>
  </si>
  <si>
    <t>https://www.aidedd.org/dnd/monstres.php?vo=Night-Hag</t>
  </si>
  <si>
    <t>Night-Hag</t>
  </si>
  <si>
    <t>Night Hag</t>
  </si>
  <si>
    <t>The demon chooses what to summon and attempts a magical summoning. ¶A nalfeshnee has a 50 percent chance of summoning 1d4 vrocks, 1d3 hezrous, 1d2 glabrezus, or one nalfeshnee. ¶A summoned demon appears in an unoccupied space within 60 feet of its summoner, acts as an ally of its summoner, and can't summon other demons. It remains for 1 minute, until it or its summoner dies, or until its summoner dismisses it as an action.</t>
  </si>
  <si>
    <t>The nalfeshnee magically teleports, along with any equipment it is wearing or carrying, up to 120 feet to an unoccupied space it can see.</t>
  </si>
  <si>
    <t>Horror Nimbus (Recharge 5-6)</t>
  </si>
  <si>
    <t>The nalfeshnee magically emits scintillating, multicolored light. Each creature within 15 feet of the nalfeshnee that can see the light must succeed on a DC 15 Wisdom saving throw or be frightened for 1 minute. A creature can repeat the saving throw at the end of each of its turns, ending the effect on itself on a success. If a creature's saving throw is successful or the effect ends for it, the creature is immune to the nalfeshnee's Horror Nimbus for the next 24 hours.</t>
  </si>
  <si>
    <t>Claw|10|3d6+5</t>
  </si>
  <si>
    <t>Melee Weapon Attack: +10 to hit, reach 10 ft., one target. Hit: 15 (3d6 + 5) slashing damage.</t>
  </si>
  <si>
    <t>Bite|10|5d10+5</t>
  </si>
  <si>
    <t>Melee Weapon Attack: +10 to hit, reach 5 ft., one target. Hit: 32 (5d10 + 5) piercing damage.</t>
  </si>
  <si>
    <t>The nalfeshnee uses Horror Nimbus if it can.  It then makes three attacks: one with its bite and two with its claws.</t>
  </si>
  <si>
    <t>The nalfeshnee has advantage on saving throws against spells and other magical effects.</t>
  </si>
  <si>
    <t>+10, 3d6+5</t>
  </si>
  <si>
    <t>+10, 5d10+5</t>
  </si>
  <si>
    <t>https://www.aidedd.org/dnd/monstres.php?vo=Nalfeshnee</t>
  </si>
  <si>
    <t>Nalfeshnee</t>
  </si>
  <si>
    <t>The mummy lord magically transforms into a whirlwind of sand, moves up to 60 feet, and reverts to its normal form. While in whirlwind form, the mummy lord is immune to all damage, and it can't be grappled, petrified, knocked prone, restrained, or stunned. Equipment worn or carried by the mummy lord remain in its possession.</t>
  </si>
  <si>
    <t>Whirlwind of Sand (Costs 2 Actions)</t>
  </si>
  <si>
    <t>The mummy lord magically unleashes negative energy. Creatures within 60 feet of the mummy lord, including ones behind barriers and around corners, can't regain hit points until the end of the mummy lord's next turn.</t>
  </si>
  <si>
    <t>Channel Negative Energy (Costs 2 Actions)</t>
  </si>
  <si>
    <t>The mummy lord utters a blasphemous word. Each non-undead creature within 10 feet of the mummy lord that can hear the magical utterance must succeed on a DC 16 Constitution saving throw or be stunned until the end of the mummy lord's next turn.</t>
  </si>
  <si>
    <t>Blasphemous Word (Costs 2 Actions)</t>
  </si>
  <si>
    <t>Blinding dust and sand swirls magically around the mummy lord. Each creature within 5 feet of the mummy lord must succeed on a DC 16 Constitution saving throw or be blinded until the end of the creature's next turn.</t>
  </si>
  <si>
    <t>Blinding Dust</t>
  </si>
  <si>
    <t>The mummy lord makes one attack with its rotting fist or uses its Dreadful Glare.</t>
  </si>
  <si>
    <t>Dreadful Glare</t>
  </si>
  <si>
    <t>The mummy lord targets one creature it can see within 60 feet of it. If the target can see the mummy lord, it must succeed on a DC 16 Wisdom saving throw against this magic or become frightened until the end of the mummy's next turn. If the target fails the saving throw by 5 or more, it is also paralyzed for the same duration. A target that succeeds on the saving throw is immune to the Dreadful Glare of all mummies and mummy lords for the next 24 hours.</t>
  </si>
  <si>
    <t>Rotting Fist|9|3d6+4+6d6</t>
  </si>
  <si>
    <t>Melee Weapon Attack: +9 to hit, reach 5 ft., one target. Hit: 14 (3d6 + 4) bludgeoning damage plus 21 (6d6) necrotic damage. If the target is a creature, it must succeed on a DC 16 Constitution saving throw or be cursed with mummy rot. The cursed target can't regain hit points, and its hit point maximum decreases by 10 (3d6) for every 24 hours that elapse. If the curse reduces the target's hit point maximum to 0, the target dies, and its body turns to dust. The curse lasts until removed by the remove curse spell or other magic.</t>
  </si>
  <si>
    <t>Rotting Fist</t>
  </si>
  <si>
    <t>The mummy can use its Dreadful Glare and makes one attack with its rotting fist.</t>
  </si>
  <si>
    <t>The mummy lord is a 10th-level spellcaster. Its spellcasting ability is Wisdom (spell save DC 17, +9 to hit with spell attacks). The mummy lord has the following cleric spells prepared: ‚Ä¢ Cantrips (at will): sacred flame, thaumaturgy ¶‚Ä¢ 1st level (4 slots): command, guiding bolt, shield of faith ¶‚Ä¢ 2nd level (3 slots): hold person, silence, spiritual weapon ¶‚Ä¢ 3rd level (3 slots): animate dead, dispel magic ¶‚Ä¢ 4th level (3 slots): divination, guardian of faith ¶‚Ä¢ 5th level (2 slots): contagion, insect plague ¶‚Ä¢ 6th level (1 slot): harm</t>
  </si>
  <si>
    <t>A destroyed mummy lord gains a new body in 24 hours if its heart is intact, regaining all its hit points and becoming active again. The new body appears within 5 feet of the mummy lord's heart.</t>
  </si>
  <si>
    <t>The mummy lord has advantage on saving throws against spells and other magical effects.</t>
  </si>
  <si>
    <t>+9, 9d6+4</t>
  </si>
  <si>
    <t>https://www.aidedd.org/dnd/monstres.php?vo=Mummy-Lord</t>
  </si>
  <si>
    <t>Mummy-Lord</t>
  </si>
  <si>
    <t>Mummy Lord</t>
  </si>
  <si>
    <t>The mummy targets one creature it can see within 60 ft. of it. If the target can see the mummy, it must succeed on a DC 11 Wisdom saving throw against this magic or become frightened until the end of the mummy's next turn. If the target fails the saving throw by 5 or more, it is also paralyzed for the same duration. A target that succeeds on the saving throw is immune to the Dreadful Glare of all mummies (but not mummy lords) for the next 24 hours.</t>
  </si>
  <si>
    <t>Rotting Fist|5|2d6+3+3d6</t>
  </si>
  <si>
    <t>Melee Weapon Attack: +5 to hit, reach 5 ft., one target. Hit: 10 (2d6 + 3) bludgeoning damage plus 10 (3d6) necrotic damage. If the target is a creature, it must succeed on a DC 12 Constitution saving throw or be cursed with mummy rot. The cursed target can't regain hit points, and its hit point maximum decreases by 10 (3d6) for every 24 hours that elapse. If the curse reduces the target's hit point maximum to 0, the target dies, and its body turns to dust. The curse lasts until removed by the remove curse spell or other magic.</t>
  </si>
  <si>
    <t>+5, 5d6+3</t>
  </si>
  <si>
    <t>https://www.aidedd.org/dnd/monstres.php?vo=Mummy</t>
  </si>
  <si>
    <t>Mummy</t>
  </si>
  <si>
    <t>Hooves|2|1d4+2</t>
  </si>
  <si>
    <t>Melee Weapon Attack: +2 to hit, reach 5 ft., one target. Hit: 4 (1d4 + 2) bludgeoning damage.</t>
  </si>
  <si>
    <t>Sure-Footed</t>
  </si>
  <si>
    <t>The mule has advantage on Strength and Dexterity saving throws made against effects that would knock it prone.</t>
  </si>
  <si>
    <t>Beast of Burden</t>
  </si>
  <si>
    <t>The mule is considered to be a Large animal for the purpose of determining its carrying capacity.</t>
  </si>
  <si>
    <t>https://www.aidedd.org/dnd/monstres.php?vo=Mule</t>
  </si>
  <si>
    <t>Mule</t>
  </si>
  <si>
    <t>Mud Breath (Recharge 6)</t>
  </si>
  <si>
    <t>The mephit belches viscid mud onto one creature within 5 ft. of it. If the target is Medium or smaller, it must succeed on a DC 11 Dexterity saving throw or be restrained for 1 minute. A creature can repeat the saving throw at the end of each of its turns, ending the effect on itself on a success.</t>
  </si>
  <si>
    <t>Fists|3|1d6+1</t>
  </si>
  <si>
    <t>Melee Weapon Attack: +3 to hit, reach 5 ft., one creature. Hit: 4 (1d6 + 1) bludgeoning damage.</t>
  </si>
  <si>
    <t>Fists</t>
  </si>
  <si>
    <t>While the mephit remains motionless, it is indistinguishable from an ordinary mound of mud.</t>
  </si>
  <si>
    <t>When the mephit dies, it explodes in a burst of sticky mud. Each Medium or smaller creature within 5 ft. of it must succeed on a DC 11 Dexterity saving throw or be restrained until the end of the creature's next turn.</t>
  </si>
  <si>
    <t>7:21, 12:20</t>
  </si>
  <si>
    <t>https://www.aidedd.org/dnd/monstres.php?vo=Mud-Mephit</t>
  </si>
  <si>
    <t>Mud-Mephit</t>
  </si>
  <si>
    <t>Mud Mephit</t>
  </si>
  <si>
    <t>Gore|6|2d8+4</t>
  </si>
  <si>
    <t>Melee Weapon Attack: +6 to hit, reach 5 ft., one target. Hit: 13 (2d8 + 4) piercing damage.</t>
  </si>
  <si>
    <t>Greataxe|6|2d12+4</t>
  </si>
  <si>
    <t>Melee Weapon Attack: +6 to hit, reach 5 ft., one target. Hit: 17 (2d12 + 4) slashing damage.</t>
  </si>
  <si>
    <t>If the skeleton moves at least 10 feet straight toward a target and then hits it with a gore attack on the same turn, the target takes an extra 9 (2d8) piercing damage. If the target is a creature, it must succeed on a DC 14 Strength saving throw or be pushed up to 10 feet away and knocked prone.</t>
  </si>
  <si>
    <t>11:39</t>
  </si>
  <si>
    <t>+6, 2d12+4</t>
  </si>
  <si>
    <t>https://www.aidedd.org/dnd/monstres.php?vo=Minotaur-Skeleton</t>
  </si>
  <si>
    <t>Minotaur-Skeleton</t>
  </si>
  <si>
    <t>Minotaur Skeleton</t>
  </si>
  <si>
    <t>Reckless</t>
  </si>
  <si>
    <t>At the start of its turn, the minotaur can gain advantage on all melee weapon attack rolls it makes during that turn, but attack rolls against it have advantage until the start of its next turn.</t>
  </si>
  <si>
    <t>Labyrinthine Recall</t>
  </si>
  <si>
    <t>The minotaur can perfectly recall any path it has traveled.</t>
  </si>
  <si>
    <t>If the minotaur moves at least 10 ft. straight toward a target and then hits it with a gore attack on the same turn, the target takes an extra 9 (2d8) piercing damage. If the target is a creature, it must succeed on a DC 14 Strength saving throw or be pushed up to 10 ft. away and knocked prone.</t>
  </si>
  <si>
    <t>9:28</t>
  </si>
  <si>
    <t>https://www.aidedd.org/dnd/monstres.php?vo=Minotaur</t>
  </si>
  <si>
    <t>Minotaur</t>
  </si>
  <si>
    <t>Bite|5|1d8+3+1d8</t>
  </si>
  <si>
    <t>Melee Weapon Attack: +5 to hit, reach 5 ft., one target. Hit: 7 (1d8 + 3) piercing damage plus 4 (1d8) acid damage.</t>
  </si>
  <si>
    <t>Pseudopod|5|1d8+3</t>
  </si>
  <si>
    <t>Melee Weapon Attack: +5 to hit, reach 5 ft., one target. Hit: 7 (1d8 + 3) bludgeoning damage. If the mimic is in object form, the target is subjected to its Adhesive trait.</t>
  </si>
  <si>
    <t>The mimic has advantage on attack rolls against any creature grappled by it.</t>
  </si>
  <si>
    <t>Grappler</t>
  </si>
  <si>
    <t>False Appearance (Object Form Only)</t>
  </si>
  <si>
    <t>While the mimic remains motionless, it is indistinguishable from an ordinary object.</t>
  </si>
  <si>
    <t>Adhesive (Object Form Only)</t>
  </si>
  <si>
    <t>The mimic adheres to anything that touches it. A Huge or smaller creature adhered to the mimic is also grappled by it (escape DC 13). Ability checks made to escape this grapple have disadvantage.</t>
  </si>
  <si>
    <t>The mimic can use its action to polymorph into an object or back into its true, amorphous form. Its statistics are the same in each form. Any equipment it is wearing or carrying isn 't transformed. It reverts to its true form if it dies.</t>
  </si>
  <si>
    <t>+5, 2d8+3</t>
  </si>
  <si>
    <t>https://www.aidedd.org/dnd/monstres.php?vo=Mimic</t>
  </si>
  <si>
    <t>Mimic</t>
  </si>
  <si>
    <t>Harpoon|6|2d6+4</t>
  </si>
  <si>
    <t>Melee or Ranged Weapon Attack: +6 to hit, reach 5 ft. or range 20/60 ft., one target. Hit: 11 (2d6 + 4) piercing damage. If the target is a Huge or smaller creature, it must succeed on a Strength contest against the merrow or be pulled up to 20 feet toward the merrow.</t>
  </si>
  <si>
    <t>Harpoon</t>
  </si>
  <si>
    <t>Claws|6|2d4+4</t>
  </si>
  <si>
    <t>Melee Weapon Attack: +6 to hit, reach 5 ft., one target. Hit: 9 (2d4 + 4) slashing damage.</t>
  </si>
  <si>
    <t>Bite|6|1d8+4</t>
  </si>
  <si>
    <t>Melee Weapon Attack: +6 to hit, reach 5 ft., one target. Hit: 8 (1d8 + 4) piercing damage.</t>
  </si>
  <si>
    <t>The merrow makes two attacks: one with its bite and one with its claws or harpoon.</t>
  </si>
  <si>
    <t>The merrow can breathe air and water.</t>
  </si>
  <si>
    <t>https://www.aidedd.org/dnd/monstres.php?vo=Merrow</t>
  </si>
  <si>
    <t>Merrow</t>
  </si>
  <si>
    <t>Spear|2|1d6</t>
  </si>
  <si>
    <t>Melee or Ranged Weapon Attack: +2 to hit, reach 5 ft. or range 20/60 ft., one target. Hit: 3 (1d6) piercing damage, or 4 (1d8) piercing damage if used with two hands to make a melee attack.</t>
  </si>
  <si>
    <t>The merfolk can breathe air and water.</t>
  </si>
  <si>
    <t>Merfolk</t>
  </si>
  <si>
    <t>https://www.aidedd.org/dnd/monstres.php?vo=Merfolk</t>
  </si>
  <si>
    <t>Longbow|5|1d8+2+2d6</t>
  </si>
  <si>
    <t>Ranged Weapon Attack: +5 to hit, range 150/600 ft., one target. Hit: 6 (1d8 + 2) piercing damage plus 7 (2d6) poison damage.</t>
  </si>
  <si>
    <t>Shortsword|5|1d6+2</t>
  </si>
  <si>
    <t>Melee Weapon Attack: +5 to hit, reach 5 ft., one target. Hit: 5 (1d6 + 2) piercing damage.</t>
  </si>
  <si>
    <t>Snake Hair|5|1d4+2+4d6</t>
  </si>
  <si>
    <t>Melee Weapon Attack: +5 to hit, reach 5 ft., one creature. Hit: 4 (1d4 + 2) piercing damage plus 14 (4d6) poison damage.</t>
  </si>
  <si>
    <t>Snake Hair</t>
  </si>
  <si>
    <t>The medusa makes either three melee attacks ‚Äî  one with its snake hair and two with its shortsword ‚Äî or two ranged attacks with its longbow.</t>
  </si>
  <si>
    <t>Petrifying Gaze</t>
  </si>
  <si>
    <t>When a creature that can see the medusa's eyes starts its turn within 30 ft. of the medusa, the medusa can force it to make a DC 14 Constitution saving throw if the medusa isn't incapacitated and can see the creature. If the saving throw fails by 5 or more, the creature is instantly petrified. Otherwise, a creature that fails the save begins to turn to stone and is restrained. The restrained creature must repeat the saving throw at the end of its next turn, becoming petrified on a failure or ending the effect on a success. The petrification lasts until the creature is freed by the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ft. of it and in an area of bright light, the medusa is, due to its curse, affected by its own gaze.</t>
  </si>
  <si>
    <t>+5, 4d6+2</t>
  </si>
  <si>
    <t>+5, 1d6+2</t>
  </si>
  <si>
    <t>+5, 1d4+2</t>
  </si>
  <si>
    <t>https://www.aidedd.org/dnd/monstres.php?vo=Medusa</t>
  </si>
  <si>
    <t>Medusa</t>
  </si>
  <si>
    <t>Bite|3|1d6+1</t>
  </si>
  <si>
    <t>Melee Weapon Attack: +3 to hit, reach 5 ft., one target. Hit: 4 (1d6 + 1) piercing damage. If the target is a creature, it must succeed on a DC 11 Strength saving throw or be knocked prone.</t>
  </si>
  <si>
    <t>The mastiff has advantage on Wisdom (Perception) checks that rely on hearing or smell.</t>
  </si>
  <si>
    <t>1:14</t>
  </si>
  <si>
    <t>2:22, 10:26</t>
  </si>
  <si>
    <t>https://www.aidedd.org/dnd/monstres.php?vo=Mastiff</t>
  </si>
  <si>
    <t>Mastiff</t>
  </si>
  <si>
    <t>The marilith adds 5 to its AC against one melee attack that would hit it. To do so, the marilith must see the attacker and be wielding a melee weapon.</t>
  </si>
  <si>
    <t>The demon chooses what to summon and attempts a magical summoning. ¶A marilith has a 50 percent chance of summoning 1d6 vrocks, 1d4 hezrous, 1d3 glabrezus, 1d2 nalfeshnees, or one marilith. ¶A summoned demon appears in an unoccupied space within 60 feet of its summoner, acts as an ally of its summoner, and can't summon other demons. It remains for 1 minute, until it or its summoner dies, or until its summoner dismisses it as an action.</t>
  </si>
  <si>
    <t>The marilith magically teleports, along with any equipment it is wearing or carrying, up to 120 feet to an unoccupied space it can see.</t>
  </si>
  <si>
    <t>Tail|9|2d10+4</t>
  </si>
  <si>
    <t>Melee Weapon Attack: +9 to hit, reach 10 ft., one creature. Hit: 15 (2d10 + 4) bludgeoning damage. If the target is Medium or smaller, it is grappled (escape DC 19). Until this grapple ends, the target is restrained, the marilith can automatically hit the target with its tail, and the marilith can't make tail attacks against other targets.</t>
  </si>
  <si>
    <t>Longsword|9|2d8+4</t>
  </si>
  <si>
    <t>Melee Weapon Attack: +9 to hit, reach 5 ft., one target. Hit: 13 (2d8 + 4) slashing damage.</t>
  </si>
  <si>
    <t>The marilith can make seven attacks: six with its longswords and one with its tail.</t>
  </si>
  <si>
    <t>Reactive</t>
  </si>
  <si>
    <t>The marilith can take one reaction on every turn in combat.</t>
  </si>
  <si>
    <t>The marilith's weapon attacks are magical.</t>
  </si>
  <si>
    <t>The marilith has advantage on saving throws against spells and other magical effects.</t>
  </si>
  <si>
    <t>+9, 2d10+4</t>
  </si>
  <si>
    <t>+9, 2d8+4</t>
  </si>
  <si>
    <t>https://www.aidedd.org/dnd/monstres.php?vo=Marilith</t>
  </si>
  <si>
    <t>Marilith</t>
  </si>
  <si>
    <t>Tail Spike|5|1d8+3</t>
  </si>
  <si>
    <t>Ranged Weapon Attack: +5 to hit, range 100/200 ft., one target. Hit: 7 (1d8 + 3) piercing damage.</t>
  </si>
  <si>
    <t>Tail Spike</t>
  </si>
  <si>
    <t>Claw|5|1d6+3</t>
  </si>
  <si>
    <t>Bite|5|1d8+3</t>
  </si>
  <si>
    <t>Melee Weapon Attack: +5 to hit, reach 5 ft., one target. Hit: 7 (1d8 + 3) piercing damage.</t>
  </si>
  <si>
    <t>The manticore makes three attacks: one with its bite and two with its claws or three with its tail spikes.</t>
  </si>
  <si>
    <t>Tail Spike Regrowth</t>
  </si>
  <si>
    <t>The manticore has twenty-four tail spikes. Used spikes regrow when the manticore finishes a long rest.</t>
  </si>
  <si>
    <t>13:34</t>
  </si>
  <si>
    <t>https://www.aidedd.org/dnd/monstres.php?vo=Manticore</t>
  </si>
  <si>
    <t>Manticore</t>
  </si>
  <si>
    <t>Stomp|10|4d10+7</t>
  </si>
  <si>
    <t>Melee Weapon Attack: +10 to hit, reach 5 ft., one prone creature. Hit: 29 (4d10 + 7) bludgeoning damage.</t>
  </si>
  <si>
    <t>Gore|10|4d8+7</t>
  </si>
  <si>
    <t>Melee Weapon Attack: +10 to hit, reach 10 ft., one target. Hit: 25 (4d8 + 7) piercing damage.</t>
  </si>
  <si>
    <t>If the mammoth moves at least 20 ft. straight toward a creature and then hits it with a gore attack on the same turn, that target must succeed on a DC 18 Strength saving throw or be knocked prone. If the target is prone, the mammoth can make one stomp attack against it as a bonus action.</t>
  </si>
  <si>
    <t>+10, 4d10+7</t>
  </si>
  <si>
    <t>+10, 4d8+7</t>
  </si>
  <si>
    <t>https://www.aidedd.org/dnd/monstres.php?vo=Mammoth</t>
  </si>
  <si>
    <t>Mammoth</t>
  </si>
  <si>
    <t>Touch|4|2d6</t>
  </si>
  <si>
    <t>Melee Weapon Attack: +4 to hit, reach 5 ft., one target. Hit: 7 (2d6) fire damage. If the target is a creature or a flammable object, it ignites. Until a target takes an action to douse the fire, the target takes 3 (1d6) fire damage at the end of each of its turns.</t>
  </si>
  <si>
    <t>Touch</t>
  </si>
  <si>
    <t>Ignited Illumination</t>
  </si>
  <si>
    <t>As a bonus action, the magmin can set itself ablaze or extinguish its flames. While ablaze, the magmin sheds bright light in a 10-foot radius and dim light for an additional 10 ft.</t>
  </si>
  <si>
    <t>Death Burst||2d6</t>
  </si>
  <si>
    <t>When the magmin dies, it explodes in a burst of fire and magma. Each creature within 10 ft. of it must make a DC 11 Dexterity saving throw, taking 7 (2d6) fire damage on a failed save, or half as much damage on a successful one. Flammable objects that aren't being worn or carried in that area are ignited.</t>
  </si>
  <si>
    <t>2:23, 5:26</t>
  </si>
  <si>
    <t>+2, 2d6</t>
  </si>
  <si>
    <t>https://www.aidedd.org/dnd/monstres.php?vo=Magmin</t>
  </si>
  <si>
    <t>Magmin</t>
  </si>
  <si>
    <t>Fire Breath (Recharge 6)</t>
  </si>
  <si>
    <t>The mephit exhales a 15-foot cone of fire. Each creature in that area must make a DC 11 Dexterity saving throw, taking 7 (2d6) fire damage on a failed save, or half as much damage on a successful one.</t>
  </si>
  <si>
    <t>Claws|3|1d4+1+1d4</t>
  </si>
  <si>
    <t>Melee Weapon Attack: +3 to hit, reach 5 ft ., one creature. Hit: 3 (1d4 + 1) slashing damage plus 2 (1d4) fire damage.</t>
  </si>
  <si>
    <t>The mephit can innately cast heat metal (spell save DC 10), requiring no material components. Its innate spellcasting ability is Charisma.</t>
  </si>
  <si>
    <t>While the mephit remains motionless, it is indistinguishable from an ordinary mound of magma.</t>
  </si>
  <si>
    <t>When the mephit dies, it explodes in a burst of lava. Each creature within 5 ft. of it must make a DC 11 Dexterity saving throw, taking 7 (2d6) fire damage on a failed save, or half as much damage on a successful one.</t>
  </si>
  <si>
    <t>2:25</t>
  </si>
  <si>
    <t>https://www.aidedd.org/dnd/monstres.php?vo=Magma-Mephit</t>
  </si>
  <si>
    <t>Magma-Mephit</t>
  </si>
  <si>
    <t>Magma Mephit</t>
  </si>
  <si>
    <t>Dagger|5|1d4+2</t>
  </si>
  <si>
    <t>Melee or Ranged Weapon Attack: +5 to hit, reach 5 ft. or range 20/60 ft., one target. Hit: 4 (1d4 + 2) piercing damage.</t>
  </si>
  <si>
    <t>Dagger</t>
  </si>
  <si>
    <t>The mage is a 9th-level spellcaster. Its spellcasting ability is Intelligence (spell save DC 14, +6 to hit with spell attacks). The mage has the following wizard spells prepared: ‚Ä¢ Cantrips (at will): fire bolt, light, mage hand, prestidigitation ¶‚Ä¢ 1st level (4 slots): detect magic, mage armor, magic missile, shield ¶‚Ä¢ 2nd level (3 slots): misty step, suggestion ¶‚Ä¢ 3rd level (3 slots): counterspell, fireball, fly ¶‚Ä¢ 4th level (3 slots): greater invisibility, ice storm ¶‚Ä¢ 5th level (1 slot): cone of cold</t>
  </si>
  <si>
    <t>4:43, 8:24</t>
  </si>
  <si>
    <t>10:34, 11:39/41, 13:27, 14:21</t>
  </si>
  <si>
    <t>https://www.aidedd.org/dnd/monstres.php?vo=Mage</t>
  </si>
  <si>
    <t>Spiked Shield|4|1d6+</t>
  </si>
  <si>
    <t>Spiked Shield</t>
  </si>
  <si>
    <t>Javelin|4|1d6+2</t>
  </si>
  <si>
    <t>Melee or Ranged Weapon Attack: +4 to hit, reach 5 ft. or range 30/120 ft., one target. Hit: 5 (1d6 + 2) piercing damage.</t>
  </si>
  <si>
    <t>Heavy Club|4|1d6+2</t>
  </si>
  <si>
    <t>Melee Weapon Attack: +4 to hit, reach 5 ft., one target. Hit: 5 (1d6 + 2) bludgeoning damage.</t>
  </si>
  <si>
    <t>Heavy Club</t>
  </si>
  <si>
    <t>The lizardfolk makes two melee attacks, each one with a different weapon.</t>
  </si>
  <si>
    <t>The lizardfolk can hold its breath for 15 minutes.</t>
  </si>
  <si>
    <t>7:20</t>
  </si>
  <si>
    <t>6:27, 7:22</t>
  </si>
  <si>
    <t>Lizardfolk</t>
  </si>
  <si>
    <t>https://www.aidedd.org/dnd/monstres.php?vo=Lizardfolk</t>
  </si>
  <si>
    <t>https://www.aidedd.org/dnd/monstres.php?vo=Lizard</t>
  </si>
  <si>
    <t>Lizard</t>
  </si>
  <si>
    <t>With a 10-foot running start, the lion can long jump up to 25 ft..</t>
  </si>
  <si>
    <t>Running Leap</t>
  </si>
  <si>
    <t>If the lion moves at least 20 ft. straight toward a creature and then hits it with a claw attack on the same turn, that target must succeed on a DC 13 Strength saving throw or be knocked prone. If the target is prone, the lion can make one bite attack against it as a bonus action.</t>
  </si>
  <si>
    <t>The lion has advantage on an attack roll against a creature if at least one of the lion's allies is within 5 ft. of the creature and the ally isn't incapacitated.</t>
  </si>
  <si>
    <t>The lion has advantage on Wisdom (Perception) checks that rely on smell.</t>
  </si>
  <si>
    <t>4:26</t>
  </si>
  <si>
    <t>https://www.aidedd.org/dnd/monstres.php?vo=Lion</t>
  </si>
  <si>
    <t>Lion</t>
  </si>
  <si>
    <t>Disrupt Life||6d6</t>
  </si>
  <si>
    <t>Each non-undead creature within 20 feet of the lich must make a DC 18 Constitution saving throw against this magic, taking 21 (6d6) necrotic damage on a failed save, or half as much damage on a successful one.</t>
  </si>
  <si>
    <t>Disrupt Life (Costs 3 Actions)</t>
  </si>
  <si>
    <t>The lich fixes its gaze on one creature it can see within 10 feet of it. The target must succeed on a DC 18 Wisdom saving throw against this magic or become frightened for 1 minute. The frightened target can repeat the saving throw at the end of each of its turns, ending the effect on itself on a success. If a target's saving throw is successful or the effect ends for it, the target is immune to the lich's gaze for the next 24 hours.</t>
  </si>
  <si>
    <t>Frightening Gaze (Costs 2 Actions)</t>
  </si>
  <si>
    <t>The lich uses its Paralyzing Touch.</t>
  </si>
  <si>
    <t>Paralyzing Touch (Costs 2 Actions)</t>
  </si>
  <si>
    <t>The lich casts a cantrip.</t>
  </si>
  <si>
    <t>Cantrip</t>
  </si>
  <si>
    <t>Paralyzing Touch|12|3d6</t>
  </si>
  <si>
    <t>Melee Spell Attack: +12 to hit, reach 5 ft., one creature. Hit: 10 (3d6) cold damage. The target must succeed on a DC 18 Constitution saving throw or be paralyzed for 1 minute. The target can repeat the saving throw at the end of each of its turns, ending the effect on itself on a success.</t>
  </si>
  <si>
    <t>Paralyzing Touch</t>
  </si>
  <si>
    <t>The lich has advantage on saving throws against any effect that turns undead.</t>
  </si>
  <si>
    <t>Turn Resistance</t>
  </si>
  <si>
    <t>The lich is an 18th-level spellcaster. Its spellcasting ability is Intelligence (spell save DC 20, +12 to hit with spell attacks). The lich has the following wizard spells prepared: ‚Ä¢ Cantrips (at will): mage hand, prestidigitation, ray of frost ¶‚Ä¢ 1st level (4 slots): detect magic, magic missile, shield, thunderwave ¶‚Ä¢ 2nd level (3 slots): detect thoughts, invisibility, Melf's acid arrow, mirror image ¶‚Ä¢ 3rd level (3 slots): animate dead, counterspell, dispel magic, fireball ¶‚Ä¢ 4th level (3 slots): blight, dimension door ¶‚Ä¢ 5th level (3 slots): cloudkill, scrying ¶‚Ä¢ 6th level (1 slot): disintegrate, globe of invulnerability ¶‚Ä¢ 7th level (1 slot): finger of death, plane shift ¶‚Ä¢ 8th level (1 slot): dominate monster, power word stun ¶‚Ä¢ 9th level (1 slot): power word kill</t>
  </si>
  <si>
    <t>If it has a phylactery, a destroyed lich gains a new body in 1d10 days, regaining all its hit points and becoming active again. The new body appears within 5 feet of the phylactery.</t>
  </si>
  <si>
    <t>If the lich fails a saving throw, it can choose to succeed instead.</t>
  </si>
  <si>
    <t>+7, 3d6</t>
  </si>
  <si>
    <t>*E</t>
  </si>
  <si>
    <t>https://www.aidedd.org/dnd/monstres.php?vo=Lich</t>
  </si>
  <si>
    <t>Lich</t>
  </si>
  <si>
    <t>Fist|3|1d4</t>
  </si>
  <si>
    <t>Melee Weapon Attack: +3 to hit, reach 5 ft., one target. Hit: 2 (1d4) bludgeoning damage</t>
  </si>
  <si>
    <t>Hellish Rejuvenation</t>
  </si>
  <si>
    <t>A lemure that dies in the Nine Hells comes back to life with all its hit points in 1d10 days unless it is killed by a good-aligned creature with a bless spell cast on that creature or its remains are sprinkled with holy water.</t>
  </si>
  <si>
    <t>Devil's Sight</t>
  </si>
  <si>
    <t>Magical darkness doesn't impede the lemure's darkvision.</t>
  </si>
  <si>
    <t>3:30</t>
  </si>
  <si>
    <t>https://www.aidedd.org/dnd/monstres.php?vo=Lemure</t>
  </si>
  <si>
    <t>Lemure</t>
  </si>
  <si>
    <t>Intoxicating Touch</t>
  </si>
  <si>
    <t>Melee Spell Attack: +5 to hit, reach 5 ft., one creature. Hit: The target is magically cursed for 1 hour. Until the curse ends, the target has disadvantage on Wisdom saving throws and all ability checks.</t>
  </si>
  <si>
    <t>Dagger|5|1d4+3</t>
  </si>
  <si>
    <t>Melee Weapon Attack: +5 to hit, reach 5 ft., one target. Hit: 5 (1d4 + 3) piercing damage.</t>
  </si>
  <si>
    <t>Claws|5|2d10+3</t>
  </si>
  <si>
    <t>Melee Weapon Attack: +5 to hit, reach 5 ft., one target. Hit: 14 (2d10 + 3) slashing damage.</t>
  </si>
  <si>
    <t>The lamia makes two attacks: one with its claws and one with its dagger or Intoxicating Touch.</t>
  </si>
  <si>
    <t>The lamia's innate spellcasting ability is Charisma (spell save DC 13). It can innately cast the following spells, requiring no material components. At will: disguise self (any humanoid form), major image 3/day each: charm person, mirror image, scrying, suggestion 1/day: geas</t>
  </si>
  <si>
    <t>+5, 2d10+3</t>
  </si>
  <si>
    <t>https://www.aidedd.org/dnd/monstres.php?vo=Lamia</t>
  </si>
  <si>
    <t>Lamia</t>
  </si>
  <si>
    <t>While underwater, the kraken expels an ink cloud in a 60-foot radius. The cloud spreads around corners, and that area is heavily obscured to creatures other than the kraken. Each creature other than the kraken that ends its turn there must succeed on a DC 23 Constitution saving throw, taking 16 (3d10) poison damage on a failed save, or half as much damage on a successful one. A strong current disperses the cloud, which otherwise disappears at the end of the kraken's next turn.</t>
  </si>
  <si>
    <t>Ink Cloud (Costs 3 Actions)</t>
  </si>
  <si>
    <t>The kraken uses Lightning Storm.</t>
  </si>
  <si>
    <t>Lightning Storm (Costs 2 Actions)</t>
  </si>
  <si>
    <t>The kraken makes one tentacle attack or uses its Fling.</t>
  </si>
  <si>
    <t>Tentacle Attack or Fling</t>
  </si>
  <si>
    <t>Lightning Storm||4d10</t>
  </si>
  <si>
    <t>The kraken magically creates three bolts of lightning, each of which can strike a target the kraken can see within 120 feet of it. A target must make a DC 23 Dexterity saving throw, taking 22 (4d10) lightning damage on a failed save, or half as much damage on a successful one.</t>
  </si>
  <si>
    <t>Lightning Storm</t>
  </si>
  <si>
    <t>One Large or smaller object held or creature grappled by the kraken is thrown up to 60 feet in a random direction and knocked prone. If a thrown target strikes a solid surface, the target takes 3 (1d6) bludgeoning damage for every 10 feet it was thrown. If the target is thrown at another creature, that creature must succeed on a DC 18 Dexterity saving throw or take the same damage and be knocked prone.</t>
  </si>
  <si>
    <t>Tentacle|7|3d6+10</t>
  </si>
  <si>
    <t>Melee Weapon Attack: +7 to hit, reach 30 ft., one target. Hit: 20 (3d6 + 10) bludgeoning damage, and the target is grappled (escape DC 18). Until this grapple ends, the target is restrained. The kraken has ten tentacles, each of which can grapple one target.</t>
  </si>
  <si>
    <t>Bite|7|3d8+10</t>
  </si>
  <si>
    <t>Melee Weapon Attack: +7 to hit, reach 5 ft., one target. Hit: 23 (3d8 + 10) piercing damage. If the target is a Large or smaller creature grappled by the kraken, that creature is swallowed, and the grapple ends. While swallowed, the creature is blinded and restrained, it has total cover against attacks and other effects outside the kraken, and it takes 42 (12d6) acid damage at the start of each of the kraken's turns. If the kraken takes 50 damage or more on a single turn from a creature inside it, the kraken must succeed on a DC 25 Constitution saving throw at the end of that turn or regurgitate all swallowed creatures, which fall prone in a space within 10 feet of the kraken. If the kraken dies, a swallowed creature is no longer restrained by it and can escape from the corpse using 15 feet of movement, exiting prone.</t>
  </si>
  <si>
    <t>The kraken makes three tentacle attacks, each of which it can replace with one use of Fling.</t>
  </si>
  <si>
    <t>The kraken deals double damage to objects and structures.</t>
  </si>
  <si>
    <t>Freedom of Movement</t>
  </si>
  <si>
    <t>The kraken ignores difficult terrain, and magical effects can't reduce its speed or cause it to be restrained. It can spend 5 feet of movement to escape from nonmagical restraints or being grappled.</t>
  </si>
  <si>
    <t>The kraken can breathe air and water.</t>
  </si>
  <si>
    <t>+17, 3d6+10</t>
  </si>
  <si>
    <t>+17, 3d8+10</t>
  </si>
  <si>
    <t>https://www.aidedd.org/dnd/monstres.php?vo=Kraken</t>
  </si>
  <si>
    <t>Kraken</t>
  </si>
  <si>
    <t>Sling|4|1d4+2</t>
  </si>
  <si>
    <t>Ranged Weapon Attack: +4 to hit, range 30/120 ft., one target. Hit: 4 (1d4 + 2) bludgeoning damage.</t>
  </si>
  <si>
    <t>Sling</t>
  </si>
  <si>
    <t>Dagger|4|1d4+2</t>
  </si>
  <si>
    <t>The kobold has advantage on an attack roll against a creature if at least one of the kobold's allies is within 5 ft. of the creature and the ally isn't incapacitated.</t>
  </si>
  <si>
    <t>While in sunlight, the kobold has disadvantage on attack rolls, as well as on Wisdom (Perception) checks that rely on sight.</t>
  </si>
  <si>
    <t>3:30, 4:22, 5:20, 9:28, 10:35, 11:39, 12:26</t>
  </si>
  <si>
    <t>Kobold</t>
  </si>
  <si>
    <t>https://www.aidedd.org/dnd/monstres.php?vo=Kobold</t>
  </si>
  <si>
    <t>The knight adds 2 to its AC against one melee attack that would hit it. To do so, the knight must see the attacker and be wielding a melee weapon.</t>
  </si>
  <si>
    <t>Leadership (Recharges after a Short or Long Rest)</t>
  </si>
  <si>
    <t>For 1 minute, the knight can utter a special command or warning whenever a nonhostile creature that it can see within 30 ft. of it makes an attack roll or a saving throw. The creature can add a d4 to its roll provided it can hear and understand the knight. A creature can benefit from only one Leadership die at a time. This effect ends if the knight is incapacitated.</t>
  </si>
  <si>
    <t>Greatsword|5|2d6+3</t>
  </si>
  <si>
    <t>The knight makes two melee attacks.</t>
  </si>
  <si>
    <t>Brave</t>
  </si>
  <si>
    <t>The knight has advantage on saving throws against being frightened.</t>
  </si>
  <si>
    <t>2:28</t>
  </si>
  <si>
    <t>9:57</t>
  </si>
  <si>
    <t>4:22, 9:30, 14:21</t>
  </si>
  <si>
    <t>+5, 1d10</t>
  </si>
  <si>
    <t>https://www.aidedd.org/dnd/monstres.php?vo=Knight</t>
  </si>
  <si>
    <t>Knight</t>
  </si>
  <si>
    <t>Bite|6|5d6+4</t>
  </si>
  <si>
    <t>Melee Weapon Attack: +6 to hit, reach 5 ft., one target. Hit: 21 (5d6 + 4) piercing damage.</t>
  </si>
  <si>
    <t>The whale has advantage on Wisdom (Perception) checks that rely on hearing.</t>
  </si>
  <si>
    <t>The whale can hold its breath for 30 minutes</t>
  </si>
  <si>
    <t>The whale can't use its blindsight while deafened.</t>
  </si>
  <si>
    <t>+6, 5d6+4</t>
  </si>
  <si>
    <t>https://www.aidedd.org/dnd/monstres.php?vo=Killer-Whale</t>
  </si>
  <si>
    <t>Killer-Whale</t>
  </si>
  <si>
    <t>Killer Whale</t>
  </si>
  <si>
    <t>Bite|1|1d4-1</t>
  </si>
  <si>
    <t>Melee Weapon Attack: +1 to hit, reach 5 ft., one target. Hit: 1 (1d4 - 1) piercing damage.</t>
  </si>
  <si>
    <t>The jackal has advantage on an attack roll against a creature if at least one of the jackal's allies is within 5 ft. of the creature and the ally isn't incapacitated.</t>
  </si>
  <si>
    <t>The jackal has advantage on Wisdom (Perception) checks that rely on hearing or smell.</t>
  </si>
  <si>
    <t>1:29</t>
  </si>
  <si>
    <t>+2, 1d4-1</t>
  </si>
  <si>
    <t>https://www.aidedd.org/dnd/monstres.php?vo=Jackal</t>
  </si>
  <si>
    <t>Jackal</t>
  </si>
  <si>
    <t>Poison Breath||10d8</t>
  </si>
  <si>
    <t>The golem exhales poisonous gas in a 15-foot cone. Each creature in that area must make a DC 19 Constitution saving throw, taking 45 (l0d8) poison damage on a failed save, or half as much damage on a successful one.</t>
  </si>
  <si>
    <t>Sword|13|3d10+7</t>
  </si>
  <si>
    <t>Melee Weapon Attack: +13 to hit, reach 10 ft., one target. Hit: 23 (3d10 + 7) slashing damage.</t>
  </si>
  <si>
    <t>Sword</t>
  </si>
  <si>
    <t>Slam|13|3d8+7</t>
  </si>
  <si>
    <t>Melee Weapon Attack: +13 to hit, reach 5 ft., one target. Hit: 20 (3d8 + 7) bludgeoning damage.</t>
  </si>
  <si>
    <t>The golem makes two melee attacks.</t>
  </si>
  <si>
    <t>Fire Absorption</t>
  </si>
  <si>
    <t>Whenever the golem is subjected to fire damage, it takes no damage and instead regains a number of hit points equal to the fire damage dealt.</t>
  </si>
  <si>
    <t>+12, 3d10+7</t>
  </si>
  <si>
    <t>+12, 3d8+7</t>
  </si>
  <si>
    <t>https://www.aidedd.org/dnd/monstres.php?vo=Iron-Golem</t>
  </si>
  <si>
    <t>Iron-Golem</t>
  </si>
  <si>
    <t>Iron Golem</t>
  </si>
  <si>
    <t>Slam|6|2d6+3</t>
  </si>
  <si>
    <t>Melee Weapon Attack: +6 to hit, reach 5 ft., one target. Hit: 10 (2d6 + 3) bludgeoning damage.</t>
  </si>
  <si>
    <t>The stalker makes two slam attacks.</t>
  </si>
  <si>
    <t>Faultless Tracker</t>
  </si>
  <si>
    <t>The stalker is given a quarry by its summoner. The stalker knows the direction and distance to its quarry as long as the two of them are on the same plane of existence. The stalker also knows the location of its summoner.</t>
  </si>
  <si>
    <t>The stalker is invisible.</t>
  </si>
  <si>
    <t>9:55, 13:35</t>
  </si>
  <si>
    <t>https://www.aidedd.org/dnd/monstres.php?vo=Invisible-Stalker</t>
  </si>
  <si>
    <t>Invisible-Stalker</t>
  </si>
  <si>
    <t>Invisible Stalker</t>
  </si>
  <si>
    <t>The imp magically turns invisible until it attacks, or until its concentration ends (as if concentrating on a spell). Any equipment the imp wears or carries is invisible with it.</t>
  </si>
  <si>
    <t>Sting/Bite|5|1d4+3</t>
  </si>
  <si>
    <t>Melee Weapon Attack: +5 to hit, reach 5 ft ., one target. Hit: 5 (1d4 + 3) piercing damage, and the target must make on a DC 11 Constitution saving throw, taking 10 (3d6) poison damage on a failed save, or half as much damage on a successful one.</t>
  </si>
  <si>
    <t>Sting (Bite in Beast Form)</t>
  </si>
  <si>
    <t>The imp can serve another creature as a familiar, forming a telepathic bond with its willing master. While the two are bonded, the master can sense what the quasit senses as long as they are within 1 mile of each other. While the imp is within 10 feet of its master, the master shares the quasit's Magic Resistance trait. At any time and for any reason, the imp can end its service as a familiar, ending the telepathic bond.</t>
  </si>
  <si>
    <t>The imp has advantage on saving throws against spells and other magical effects.</t>
  </si>
  <si>
    <t>Magical darkness doesn't impede the imp's darkvision.</t>
  </si>
  <si>
    <t>The imp can use its action to polymorph into a beast form that resembles a rat (speed 20 ft.), a raven (20 ft., fly 60 ft.), or a spider (20 ft., climb 20 ft.), or back into its true form. Its statistics are the same in each form, except for the speed changes noted. Any equipment it is wearing or carrying isn't transformed. It reverts to its true form if it dies.</t>
  </si>
  <si>
    <t>https://www.aidedd.org/dnd/monstres.php?vo=Imp</t>
  </si>
  <si>
    <t>Imp</t>
  </si>
  <si>
    <t>Frost Breath (Recharge 6)</t>
  </si>
  <si>
    <t>The mephit exhales a 15-foot cone of cold air. Each creature in that area must succeed on a DC 10 Dexterity saving throw, taking 5 (2d4) cold damage on a failed save, or half as much damage on a successful one.</t>
  </si>
  <si>
    <t>Melee Weapon Attack: +3 to hit, reach 5 ft., one creature. Hit: 3 (1d4 + 1) slashing damage plus 2 (1d4) cold damage.</t>
  </si>
  <si>
    <t>The mephit can innately cast fog cloud, requiring no material components. Its innate spellcasting ability is Charisma.</t>
  </si>
  <si>
    <t>While the mephit remains motionless, it is indistinguishable from an ordinary shard of ice.</t>
  </si>
  <si>
    <t>When the mephit dies, it explodes in a burst of jagged ice. Each creature within 5 ft. of it must make a DC 10 Dexterity saving throw, taking 4 (1d8) slashing damage on a failed save, or half as much damage on a successful one.</t>
  </si>
  <si>
    <t>9:52</t>
  </si>
  <si>
    <t>+3, 2d4</t>
  </si>
  <si>
    <t>https://www.aidedd.org/dnd/monstres.php?vo=Ice-Mephit</t>
  </si>
  <si>
    <t>Ice-Mephit</t>
  </si>
  <si>
    <t>Ice Mephit</t>
  </si>
  <si>
    <t>Wall of Ice</t>
  </si>
  <si>
    <t>The devil magically forms an opaque wall of ice on a solid surface it can see within 60 feet of it. The wall is 1 foot thick and up to 30 feet long and 10 feet high, or it's a hemispherical dome up to 20 feet in diameter. ¶When the wall appears, each creature in its space is pushed out of it by the shortest route. The creature chooses which side of the wall to end up on, unless the creature is incapacitated. The creature then makes a DC 17 Dexterity saving throw, taking 35 (10d6) cold damage on a failed save, or half as much damage on a successful one. ¶The wall lasts for 1 minute or until the devil is incapacitated or dies. The wall can be damaged and breached; each 10-foot section has AC 5, 30 hit points, vulnerability to fire damage, and immunity to acid, cold, necrotic, poison, and psychic damage. If a section is destroyed, it leaves behind a sheet of frigid air in the space the wall occupied. Whenever a creature finishes moving through the frigid air on a turn, willingly or otherwise, the creature must make a DC 17 Constitution saving throw, taking 17 (5d6) cold damage on a failed save, or half as much damage on a successful one. The frigid air dissipates when the rest of the wall vanishes.</t>
  </si>
  <si>
    <t>Tail|10|2d6+5+3d6</t>
  </si>
  <si>
    <t>Melee Weapon Attack:+10 to hit, reach 10 ft., one target. Hit: 12 (2d6 + 5) bludgeoning damage plus 10 (3d6) cold damage.</t>
  </si>
  <si>
    <t>Claws|10|2d4+5+3d6</t>
  </si>
  <si>
    <t>Melee Weapon Attack: +10 to hit, reach 5 ft., one target. Hit: 10 (2d4 + 5) slashing damage plus 10 (3d6) cold damage.</t>
  </si>
  <si>
    <t>Bite|10|2d6+5+3d6</t>
  </si>
  <si>
    <t>Melee Weapon Attack: +10 to hit, reach 5 ft., one target. Hit: 12 (2d6 + 5) piercing damage plus 10 (3d6) cold damage.</t>
  </si>
  <si>
    <t>The devil makes three attacks: one with its bite, one with its claws, and one with its tail.</t>
  </si>
  <si>
    <t>The devil has advantage on saving throws against spells and other magical effects.</t>
  </si>
  <si>
    <t>Magical darkness doesn't impede the devil's darkvision.</t>
  </si>
  <si>
    <t>+10, 2d4+5</t>
  </si>
  <si>
    <t>+10, 5d6+5</t>
  </si>
  <si>
    <t>https://www.aidedd.org/dnd/monstres.php?vo=Ice-Devil</t>
  </si>
  <si>
    <t>Ice-Devil</t>
  </si>
  <si>
    <t>Ice Devil</t>
  </si>
  <si>
    <t>Bite|2|1d6</t>
  </si>
  <si>
    <t>Weapon Attack: +2 to hit, reach 5 ft., one target. Hit: 3 (1d6) piercing damage.</t>
  </si>
  <si>
    <t>The hyena has advantage on an attack roll against a creature if at least one of the hyena's allies is within 5 ft. of the creature and the ally isn't incapacitated.</t>
  </si>
  <si>
    <t>https://www.aidedd.org/dnd/monstres.php?vo=Hyena</t>
  </si>
  <si>
    <t>Hyena</t>
  </si>
  <si>
    <t>Bite|8|1d10+5</t>
  </si>
  <si>
    <t>Melee Weapon Attack: +8 to hit, reach 10 ft., one target. Hit: 10 (1d10 + 5) piercing damage.</t>
  </si>
  <si>
    <t>The hydra makes as many bite attacks as it has heads.</t>
  </si>
  <si>
    <t>While the hydra sleeps, at least one of its heads is awake.</t>
  </si>
  <si>
    <t>Wakeful</t>
  </si>
  <si>
    <t>Reactive Heads</t>
  </si>
  <si>
    <t>For each head the hydra has beyond one, it gets an extra reaction that can be used only for opportunity attacks.</t>
  </si>
  <si>
    <t>Multiple Heads</t>
  </si>
  <si>
    <t>The hydra has five heads. While it has more than one head, the hydra has advantage on saving throws against being blinded, charmed, deafened, frightened, stunned, and knocked unconscious. ¶Whenever the hydra takes 25 or more damage in a single turn, one of its heads dies. If all its heads die, the hydra dies. ¶At the end of its turn, it grows two heads for each of its heads that died since its last turn, unless it has taken fire damage since its last turn. The hydra regains 10 hit points for each head regrown in this way.</t>
  </si>
  <si>
    <t>The hydra can hold its breath for 1 hour.</t>
  </si>
  <si>
    <t>3:27</t>
  </si>
  <si>
    <t>+8, 1d10+5</t>
  </si>
  <si>
    <t>https://www.aidedd.org/dnd/monstres.php?vo=Hydra</t>
  </si>
  <si>
    <t>Hydra</t>
  </si>
  <si>
    <t>Bite|6|2d8+4</t>
  </si>
  <si>
    <t>The shark has advantage on melee attack rolls against any creature that doesn't have all its hit points.</t>
  </si>
  <si>
    <t>https://www.aidedd.org/dnd/monstres.php?vo=Hunter-Shark</t>
  </si>
  <si>
    <t>Hunter-Shark</t>
  </si>
  <si>
    <t>Hunter Shark</t>
  </si>
  <si>
    <t>Flame|7|4d6</t>
  </si>
  <si>
    <t>Ranged Spell Attack: +7 to hit, range 150 ft., one target. Hit: 14 (4d6) fire damage. If the target is a flammable object that isn't being worn or carried, it also catches fire.</t>
  </si>
  <si>
    <t>Hurl Flame</t>
  </si>
  <si>
    <t>Tail|10|1d8+6</t>
  </si>
  <si>
    <t>Melee Weapon Attack: +10 to hit, reach 10 ft., one target. Hit: 10 (1d8 + 6) piercing damage. If the target is a creature other than an undead or a construct, it must succeed on a DC 17 Constitution saving throw or lose 10 (3d6) hit points at the start of each of its turns due to an infernal wound. Each time the devil hits the wounded target with this attack, the damage dealt by the wound increases by 10 (3d6). Any creature can take an action to stanch the wound with a successful DC 12 Wisdom (Medicine) check. The wound also closes if the target receives magical healing.</t>
  </si>
  <si>
    <t>Fork|10|2d8+6</t>
  </si>
  <si>
    <t>Melee Weapon Attack: +10 to hit, reach 10 ft., one target. Hit: 15 (2d8 + 6) piercing damage.</t>
  </si>
  <si>
    <t>Fork</t>
  </si>
  <si>
    <t>The devil makes three melee attacks: two with its fork and one with its tail. It can use Hurl Flame in place of any melee attack.</t>
  </si>
  <si>
    <t>+10, 1d8+6</t>
  </si>
  <si>
    <t>+10, 2d8+6</t>
  </si>
  <si>
    <t>https://www.aidedd.org/dnd/monstres.php?vo=Horned-Devil</t>
  </si>
  <si>
    <t>Horned-Devil</t>
  </si>
  <si>
    <t>Horned Devil</t>
  </si>
  <si>
    <t>Melee Weapon Attack: +4 to hit, reach 5 ft., one creature. Hit: 1 piercing damage, and the target must succeed on a DC 10 Constitution saving throw or be poisoned for 1 minute. If the saving throw fails by 5 or more, the target is instead poisoned for 5 (1d10) minutes and unconscious while poisoned in this way.</t>
  </si>
  <si>
    <t>Telepathic Bond</t>
  </si>
  <si>
    <t>While the homunculus is on the same plane of existence as its master, it can magically convey what it senses to its master, and the two can communicate telepathically.</t>
  </si>
  <si>
    <t>https://www.aidedd.org/dnd/monstres.php?vo=Homunculus</t>
  </si>
  <si>
    <t>Homunculus</t>
  </si>
  <si>
    <t>Longbow|3|1d8+1</t>
  </si>
  <si>
    <t>Ranged Weapon Attack: +3 to hit, range 150/600 ft., one target. Hit: 5 (1d8 + 1) piercing damage.</t>
  </si>
  <si>
    <t>Longsword|3|1d8+1</t>
  </si>
  <si>
    <t>Melee Weapon Attack: +3 to hit, reach 5 ft., one target. Hit: 5 (1d8 + 1) slashing damage, or 6 (1d10 + 1) slashing damage if used with two hands.</t>
  </si>
  <si>
    <t>Martial Advantage||2d6</t>
  </si>
  <si>
    <t>Once per turn, the hobgoblin can deal an extra 7 (2d6) damage to a creature it hits with a weapon attack if that creature is within 5 ft. of an ally of the hobgoblin that isn't incapacitated.</t>
  </si>
  <si>
    <t>Martial Advantage</t>
  </si>
  <si>
    <t>+3, 1d10+1</t>
  </si>
  <si>
    <t>Goblinoid</t>
  </si>
  <si>
    <t>https://www.aidedd.org/dnd/monstres.php?vo=Hobgoblin</t>
  </si>
  <si>
    <t>Hobgoblin</t>
  </si>
  <si>
    <t>Beak|5|1d10+3</t>
  </si>
  <si>
    <t>The hippogriff makes two attacks: one with its beak and one with its claws.</t>
  </si>
  <si>
    <t>The hippogriff has advantage on Wisdom (Perception) checks that rely on sight.</t>
  </si>
  <si>
    <t>1:12</t>
  </si>
  <si>
    <t>https://www.aidedd.org/dnd/monstres.php?vo=Hippogriff</t>
  </si>
  <si>
    <t>Hippogriff</t>
  </si>
  <si>
    <t>Rock|8|3d10+5</t>
  </si>
  <si>
    <t>Ranged Weapon Attack: +8 to hit, range 60/240 ft., one target. Hit: 21 (3d10 + 5) bludgeoning damage.</t>
  </si>
  <si>
    <t>Greatclub|8|3d8+5</t>
  </si>
  <si>
    <t>Melee Weapon Attack: +8 to hit, reach 10 ft., one target. Hit: 18 (3d8 + 5) bludgeoning damage.</t>
  </si>
  <si>
    <t>Squash|8|6d6+5</t>
  </si>
  <si>
    <t>Melee Weapon Attack: +8 to hit, reach 5 ft., one Medium or Smaller creature. Hit: 26 (6d6 + 5) bludgeoning damage, the giant lands prone in the target's space, and the target is grappled (escape DC 15). Until this grapple ends, the target is prone. The grapple ends early if the giant stands up.</t>
  </si>
  <si>
    <t>Squash</t>
  </si>
  <si>
    <t>7:28</t>
  </si>
  <si>
    <t>+8, 3d10+5</t>
  </si>
  <si>
    <t>+8, 3d8+5</t>
  </si>
  <si>
    <t>https://www.aidedd.org/dnd/monstres.php?vo=Hill-Giant</t>
  </si>
  <si>
    <t>Hill-Giant</t>
  </si>
  <si>
    <t>Hill Giant</t>
  </si>
  <si>
    <t>The demon chooses what to summon and attempts a magical summoning. ¶A hezrou has a 30 percent chance of summoning 2d6 dretches or one hezrou. ¶A summoned demon appears in an unoccupied space within 60 feet of its summoner, acts as an ally of its summoner, and can't summon other demons. It remains for 1 minute, until it or its summoner dies, or until its summoner dismisses it as an action.</t>
  </si>
  <si>
    <t>Melee Weapon Attack: +7 to hit, reach 5 ft., one target. Hit: 15 (2d10 + 4) piercing damage.</t>
  </si>
  <si>
    <t>The hezrou makes three attacks: one with its bite and two with its claws.</t>
  </si>
  <si>
    <t>Stench</t>
  </si>
  <si>
    <t>Any creature that starts its turn within 10 feet of the hezrou must succeed on a DC 14 Constitution saving throw or be poisoned until the start of its next turn. On a successful saving throw, the creature is immune to the hezrou's stench for 24 hours.</t>
  </si>
  <si>
    <t>The hezrou has advantage on saving throws against spells and other magical effects.</t>
  </si>
  <si>
    <t>3:30, 4:43, 9:30</t>
  </si>
  <si>
    <t>https://www.aidedd.org/dnd/monstres.php?vo=Hezrou</t>
  </si>
  <si>
    <t>Hezrou</t>
  </si>
  <si>
    <t>Fire Breath (Recharge 5-6)||6d6</t>
  </si>
  <si>
    <t>The hound exhales fire in a 15-foot cone. Each creature in that area must make a DC 12 Dexterity saving throw, taking 21 (6d6) fire damage on a failed save, or half as much damage on a successful one.</t>
  </si>
  <si>
    <t>Bite|5|1d8+3+2d6</t>
  </si>
  <si>
    <t>Melee Weapon Attack: +5 to hit, reach 5 ft., one target. Hit: 7 (1d8 + 3) piercing damage plus 7 (2d6) fire damage.</t>
  </si>
  <si>
    <t>The hound has advantage on an attack roll against a creature if at least one of the hound's allies is within 5 ft. of the creature and the ally isn't incapacitated.</t>
  </si>
  <si>
    <t>The hound has advantage on Wisdom (Perception) checks that rely on hearing or smell.</t>
  </si>
  <si>
    <t>13:27</t>
  </si>
  <si>
    <t>+2, 2d6+3</t>
  </si>
  <si>
    <t>+5, 6d6</t>
  </si>
  <si>
    <t>https://www.aidedd.org/dnd/monstres.php?vo=Hell-Hound</t>
  </si>
  <si>
    <t>Hell-Hound</t>
  </si>
  <si>
    <t>Hell Hound</t>
  </si>
  <si>
    <t>Talons|5|1</t>
  </si>
  <si>
    <t>Melee Weapon Attack: +5 to hit, reach 5 ft., one target. Hit: 1 slashing damage.</t>
  </si>
  <si>
    <t>The hawk has advantage on Wisdom (Perception) checks that rely on sight.</t>
  </si>
  <si>
    <t>https://www.aidedd.org/dnd/monstres.php?vo=Hawk</t>
  </si>
  <si>
    <t>Hawk</t>
  </si>
  <si>
    <t>Luring Song</t>
  </si>
  <si>
    <t>The harpy sings a magical melody. Every humanoid and giant within 300 ft. of the harpy that can hear the song must succeed on a DC 11 Wisdom saving throw or be charmed until the song ends. The harpy must take a bonus action on its subsequent turns to continue singing. It can stop singing at any time. The song ends if the harpy is incapacitated. ¶While charmed by the harpy, a target is incapacitated and ignores the songs of other harpies. If the charmed target is more than 5 ft. away from the harpy, the must move on its turn toward the harpy by the most direct route. It doesn't avoid opportunity attacks, but before moving into damaging terrain, such as lava or a pit, and whenever it takes damage from a source other than the harpy, a target can repeat the saving throw. A creature can also repeat the saving throw at the end of each of its turns. If a creature's saving throw is successful, the effect ends on it. ¶A target that successfully saves is immune to this harpy's song for the next 24 hours.</t>
  </si>
  <si>
    <t>Club|3|1d4+1</t>
  </si>
  <si>
    <t>Melee Weapon Attack: +3 to hit, reach 5 ft., one target. Hit: 3 (1d4 + 1) bludgeoning damage.</t>
  </si>
  <si>
    <t>Club</t>
  </si>
  <si>
    <t>Claws|3|2d4+1</t>
  </si>
  <si>
    <t>Melee Weapon Attack: +3 to hit, reach 5 ft., one target. Hit: 6 (2d4 + 1) slashing damage.</t>
  </si>
  <si>
    <t>The harpy makes two attacks: one with its claws and one with its club.</t>
  </si>
  <si>
    <t>https://www.aidedd.org/dnd/monstres.php?vo=Harpy</t>
  </si>
  <si>
    <t>Harpy</t>
  </si>
  <si>
    <t>The sphinx casts a spell from its list of prepared spells, using a spell slot as normal.</t>
  </si>
  <si>
    <t>Cast a Spell (Costs 3 Actions)</t>
  </si>
  <si>
    <t>The sphinx magically teleports, along with any equipment it is wearing or carrying, up to 120 feet to an unoccupied space it can see.</t>
  </si>
  <si>
    <t>Teleport (Costs 2 Actions)</t>
  </si>
  <si>
    <t>The sphinx makes one claw attack.</t>
  </si>
  <si>
    <t>Claw Attack</t>
  </si>
  <si>
    <t>Claw|9|2d8+4</t>
  </si>
  <si>
    <t>The sphinx makes two claw attacks.</t>
  </si>
  <si>
    <t>The sphinx is a 9th-level spellcaster. Its spellcasting ability is Intelligence (spell save DC 16, +8 to hit with spell attacks). It requires no material components to cast its spells. The sphinx has the following wizard spells prepared: ‚Ä¢ Cantrips (at will): mage hand, minor illusion, prestidigitation ¶‚Ä¢ 1st level (4 slots): detect magic, identify, shield ¶‚Ä¢ 2nd level (3 slots): darkness, locate object, suggestion ¶‚Ä¢ 3rd level (3 slots): dispel magic, remove curse, tongues ¶‚Ä¢ 4th level (3 slots): banishment, greater invisibility ¶‚Ä¢ 5th level (1 slot): legend lore</t>
  </si>
  <si>
    <t>The sphinx's weapon attacks are magical.</t>
  </si>
  <si>
    <t>Inscrutable</t>
  </si>
  <si>
    <t>The sphinx is immune to any effect that would sense its emotions or read its thoughts, as well as any divination spell that it refuses. Wisdom (Insight) checks made to ascertain the sphinx's intentions or sincerity have disadvantage.</t>
  </si>
  <si>
    <t>+8, 2d8+4</t>
  </si>
  <si>
    <t>LN</t>
  </si>
  <si>
    <t>https://www.aidedd.org/dnd/monstres.php?vo=Gynosphinx</t>
  </si>
  <si>
    <t>Gynosphinx</t>
  </si>
  <si>
    <t>Spit Poison|8|10d8</t>
  </si>
  <si>
    <t>Ranged Weapon Attack: +8 to hit, range 15/30 ft., one creature. Hit: The target must make a DC 15 Constitution saving throw, taking 45 (10d8) poison damage on a failed save, or half as much damage on a successful one.</t>
  </si>
  <si>
    <t>Spit Poison</t>
  </si>
  <si>
    <t>Bite|8|1d8+4</t>
  </si>
  <si>
    <t>Melee Weapon Attack: +8 to hit, reach 10 ft., one creature. Hit: 8 (1d8 + 4) piercing damage, and the target must make a DC 15 Constitution saving throw, taking 45 (10d8) poison damage on a failed save, or half as much damage on a successful one.</t>
  </si>
  <si>
    <t>The naga is an 11th-level spellcaster. Its spellcasting ability is Wisdom (spell save DC 16, +8 to hit with spell attacks), and it needs only verbal components to cast its spells. It has the following cleric spells prepared: ‚Ä¢ Cantrips (at will): mending, sacred flame, thaumaturgy ¶‚Ä¢ 1st level (4 slots): command, cure wounds, shield of faith ¶‚Ä¢ 2nd level (3 slots): calm emotions, hold person ¶‚Ä¢ 3rd level (3 slots): bestow curse, clairvoyance ¶‚Ä¢ 4th level (3 slots): banishment, freedom of movement ¶‚Ä¢ 5th level (2 slots): flame strike, geas ¶‚Ä¢ 6th level (1 slot): true seeing</t>
  </si>
  <si>
    <t>+8, 1d8+4</t>
  </si>
  <si>
    <t>https://www.aidedd.org/dnd/monstres.php?vo=Guardian-Naga</t>
  </si>
  <si>
    <t>Guardian-Naga</t>
  </si>
  <si>
    <t>Guardian Naga</t>
  </si>
  <si>
    <t>Melee or Ranged Weapon Attack: +3 to hit, reach 5 ft. or range 20/60 ft., one target. Hit: 4 (1d6 + 1) piercing damage or 5 (1d8 + 1) piercing damage if used with two hands to make a melee attack.</t>
  </si>
  <si>
    <t>1:22, 2:28, 5:23</t>
  </si>
  <si>
    <t>1:12, 2:21, 5:24, 6:34, 8:20, 10:26</t>
  </si>
  <si>
    <t>1:10/31, 2:24, 3:30, 6:27, 9:27, 11:38</t>
  </si>
  <si>
    <t>https://www.aidedd.org/dnd/monstres.php?vo=Guard</t>
  </si>
  <si>
    <t>Guard</t>
  </si>
  <si>
    <t>Spiked Bone Club|5|1d4+3+1d4</t>
  </si>
  <si>
    <t>Melee Weapon Attack: +5 to hit, reach 5 ft., one target. Hit: 5 (1d4 + 3) bludgeoning damage plus 2 (1d4) piercing damage.</t>
  </si>
  <si>
    <t>Spiked Bone Club</t>
  </si>
  <si>
    <t>The grimlock has advantage on Dexterity (Stealth) checks made to hide in rocky terrain.</t>
  </si>
  <si>
    <t>The grimlock has advantage on Wisdom (Perception) checks that rely on hearing or smell.</t>
  </si>
  <si>
    <t>Blind Senses</t>
  </si>
  <si>
    <t>The grimlock can't use its blindsight while deafened and unable to smell.</t>
  </si>
  <si>
    <t>Grimlock</t>
  </si>
  <si>
    <t>https://www.aidedd.org/dnd/monstres.php?vo=Grimlock</t>
  </si>
  <si>
    <t>Claws|6|2d6+4</t>
  </si>
  <si>
    <t>Melee Weapon Attack: +6 to hit, reach 5 ft., one target. Hit: 11 (2d6 + 4) slashing damage.</t>
  </si>
  <si>
    <t>Beak|6|1d8+4</t>
  </si>
  <si>
    <t>The griffon makes two attacks: one with its beak and one with its claws.</t>
  </si>
  <si>
    <t>The griffon has advantage on Wisdom (Perception) checks that rely on sight.</t>
  </si>
  <si>
    <t>6:34</t>
  </si>
  <si>
    <t>https://www.aidedd.org/dnd/monstres.php?vo=Griffon</t>
  </si>
  <si>
    <t>Griffon</t>
  </si>
  <si>
    <t>Beak|4|1d6+2</t>
  </si>
  <si>
    <t>Tentacles|4|2d6+2</t>
  </si>
  <si>
    <t>Melee Weapon Attack: +4 to hit, reach 5 ft., one target. Hit: 9 (2d6 + 2) slashing damage.</t>
  </si>
  <si>
    <t>The grick makes one attack with its tentacles. If that attack hits, the grick can make one beak attack against the same target.</t>
  </si>
  <si>
    <t>The grick has advantage on Dexterity (Stealth) checks made to hide in rocky terrain.</t>
  </si>
  <si>
    <t>1:31</t>
  </si>
  <si>
    <t>https://www.aidedd.org/dnd/monstres.php?vo=Grick</t>
  </si>
  <si>
    <t>Grick</t>
  </si>
  <si>
    <t>Invisible Passage</t>
  </si>
  <si>
    <t>The hag magically turns invisible until she attacks or casts a spell, or until her concentration ends (as if concentrating on a spell). While invisible, she leaves no physical evidence of her passage, so she can be tracked only by magic. Any equipment she wears or carries is invisible with her.</t>
  </si>
  <si>
    <t>The hag covers herself and anything she is wearing or carrying with a magical illusion that makes her look like another creature of her general size and humanoid shape. The illusion ends if the hag takes a bonus action to end it or if she dies. ¶The changes wrought by this effect fail to hold up to physical inspection. For example, the hag could appear to have smooth skin, but someone touching her would feel her rough flesh. Otherwise, a creature must take an action to visually inspect the illusion and succeed on a DC 20 Intelligence (Investigation) check to discern that the hag is disguised.</t>
  </si>
  <si>
    <t>Claws|6|2d8+4</t>
  </si>
  <si>
    <t>Melee Weapon Attack: +6 to hit, reach 5 ft., one target. Hit: 13 (2d8 + 4) slashing damage.</t>
  </si>
  <si>
    <t>The hag can mimic animal sounds and humanoid voices. A creature that hears the sounds can tell they are imitations with a successful DC 14 Wisdom (Insight) check.</t>
  </si>
  <si>
    <t>The hag's innate spellcasting ability is Charisma (spell save DC 12). She can innately cast the following spells, requiring no material components: At will: dancing lights, minor illusion, vicious mockery</t>
  </si>
  <si>
    <t>8:25, 12:25</t>
  </si>
  <si>
    <t>https://www.aidedd.org/dnd/monstres.php?vo=Green-Hag</t>
  </si>
  <si>
    <t>Green-Hag</t>
  </si>
  <si>
    <t>Green Hag</t>
  </si>
  <si>
    <t>Poison Breath||6d6</t>
  </si>
  <si>
    <t>The dragon exhales poisonous gas in a 15-foot cone. Each creature in that area must make a DC 11 Constitution saving throw, taking 21 (6d6) poison damage on a failed save, or half as much damage on a successful one.</t>
  </si>
  <si>
    <t>Bite|4|1d10+2+1d6</t>
  </si>
  <si>
    <t>Melee Weapon Attack: +4 to hit, reach 5 ft., one target. Hit: 7 (1d10 + 2) piercing damage plus 3 (1d6) poison damage.</t>
  </si>
  <si>
    <t>https://www.aidedd.org/dnd/monstres.php?vo=Green-Dragon-Wyrmling</t>
  </si>
  <si>
    <t>Green-Dragon-Wyrmling</t>
  </si>
  <si>
    <t>Green Dragon Wyrmling</t>
  </si>
  <si>
    <t>Pseudopod|3|1d6+1+2d6</t>
  </si>
  <si>
    <t>Melee Weapon Attack: +3 to hit, reach 5 ft., one target. Hit: 4 (1d6 + 1) bludgeoning damage plus 7 (2d6) acid damage, and if the target is wearing nonmagical metal armor, its armor is partly corroded and takes a permanent and cumulative -1 penalty to the AC it offers. The armor is destroyed if the penalty reduces its AC to 10.</t>
  </si>
  <si>
    <t>While the ooze remains motionless, it is indistinguishable from an oily pool or wet rock.</t>
  </si>
  <si>
    <t>Corrode Metal</t>
  </si>
  <si>
    <t>Any nonmagical weapon made of metal that hits the ooze corrodes. After dealing damage, the weapon takes a permanent and cumulative -1 penalty to damage rolls. If its penalty drops to -5, the weapon is destroyed. Nonmagical ammunition made of metal that hits the ooze is destroyed after dealing damage. ¶The ooze can eat through 2-inch-thick, nonmagical metal in 1 round.</t>
  </si>
  <si>
    <t>The ooze can move through a space as narrow as 1 inch wide without squeezing.</t>
  </si>
  <si>
    <t>7:22</t>
  </si>
  <si>
    <t>5:20</t>
  </si>
  <si>
    <t>+3, 3d6+1</t>
  </si>
  <si>
    <t>https://www.aidedd.org/dnd/monstres.php?vo=Gray-Ooze</t>
  </si>
  <si>
    <t>Gray-Ooze</t>
  </si>
  <si>
    <t>Gray Ooze</t>
  </si>
  <si>
    <t>Petrifying Breath (Recharge 5-6)</t>
  </si>
  <si>
    <t>The gorgon exhales petrifying gas in a 30-foot cone. Each creature in that area must succeed on a DC 13 Constitution saving throw. On a failed save, a target begins to turn to stone and is restrained. The restrained target must repeat the saving throw at the end of its next turn. On a success, the effect ends on the target. On a failure, the target is petrified until freed by the greater restoration spell or other magic.</t>
  </si>
  <si>
    <t>Hooves|8|2d10+5</t>
  </si>
  <si>
    <t>Melee Weapon Attack: +8 to hit, reach 5 ft., one target. Hit: 16 (2d10 + 5) bludgeoning damage.</t>
  </si>
  <si>
    <t>Gore|8|2d12+5</t>
  </si>
  <si>
    <t>Melee Weapon Attack: +8 to hit, reach 5 ft., one target. Hit: 18 (2d12 + 5) piercing damage.</t>
  </si>
  <si>
    <t>If the gorgon moves at least 20 feet straight toward a creature and then hits it with a gore attack on the same turn, that target must succeed on a DC 16 Strength saving throw or be knocked prone. If the target is prone, the gorgon can make one attack with its hooves against it as a bonus action.</t>
  </si>
  <si>
    <t>+8, 2d12+5</t>
  </si>
  <si>
    <t>https://www.aidedd.org/dnd/monstres.php?vo=Gorgon</t>
  </si>
  <si>
    <t>Gorgon</t>
  </si>
  <si>
    <t>Fire Breath||4d10</t>
  </si>
  <si>
    <t>The dragon uses one of the following breath weapons. ¶Fire Breath. The dragon exhales fire in a 15-foot cone. Each creature in that area must make a DC 13 Dexterity saving throw, taking 22 (4d10) fire damage on a failed save, or half as much damage on a successful one. ¶Weakening Breath. The dragon exhales gas in a 15-foot cone. Each creature in that area must succeed on a DC 13 Strength saving throw or have disadvantage on Strength-based attack rolls, Strength checks, and Strength saving throws for 1 minute. A creature can repeat the saving throw at the end of each of its turns, ending the effect on itself on a success.</t>
  </si>
  <si>
    <t>https://www.aidedd.org/dnd/monstres.php?vo=Gold-Dragon-Wyrmling</t>
  </si>
  <si>
    <t>Gold-Dragon-Wyrmling</t>
  </si>
  <si>
    <t>Gold Dragon Wyrmling</t>
  </si>
  <si>
    <t>Scimitar|4|1d6+2</t>
  </si>
  <si>
    <t>Melee Weapon Attack: +4 to hit, reach 5 ft., one target. Hit: 5 (1d6 + 2) slashing damage.</t>
  </si>
  <si>
    <t>Scimitar</t>
  </si>
  <si>
    <t>Nimble Escape</t>
  </si>
  <si>
    <t>The goblin can take the Disengage or Hide action as a bonus action on each of its turns.</t>
  </si>
  <si>
    <t>1:15, 12:25, 13:28</t>
  </si>
  <si>
    <t>https://www.aidedd.org/dnd/monstres.php?vo=Goblin</t>
  </si>
  <si>
    <t>Goblin</t>
  </si>
  <si>
    <t>Ram|3|1d4+1</t>
  </si>
  <si>
    <t>The goat has advantage on Strength and Dexterity saving throws made against effects that would knock it prone.</t>
  </si>
  <si>
    <t>Charge||1d4</t>
  </si>
  <si>
    <t>If the goat moves at least 20 ft. straight toward a target and then hits it with a ram attack on the same turn, the target takes an extra 2 (1d4) bludgeoning damage. If the target is a creature, it must succeed on a DC 10 Strength saving throw or be knocked prone.</t>
  </si>
  <si>
    <t>https://www.aidedd.org/dnd/monstres.php?vo=Goat</t>
  </si>
  <si>
    <t>Goat</t>
  </si>
  <si>
    <t>Spear|4|1d6+2</t>
  </si>
  <si>
    <t>Melee or Ranged Weapon Attack: +4 to hit, reach 5 ft. or range 20/60 ft., one target. Hit: 5 (1d6 + 2) piercing damage, or 6 (1d8 + 2) piercing damage if used with two hands to make a melee attack.</t>
  </si>
  <si>
    <t>Melee Weapon Attack: +4 to hit, reach 5 ft., one creature. Hit: 4 (1d4 + 2) piercing damage.</t>
  </si>
  <si>
    <t>Rampage</t>
  </si>
  <si>
    <t>When the gnoll reduces a creature to 0 hit points with a melee attack on its turn, the gnoll can take a bonus action to move up to half its speed and make a bite attack.</t>
  </si>
  <si>
    <t>Gnoll</t>
  </si>
  <si>
    <t>https://www.aidedd.org/dnd/monstres.php?vo=Gnoll</t>
  </si>
  <si>
    <t>The gladiator adds 3 to its AC against one melee attack that would hit it. To do so, the gladiator must see the attacker and be wielding a melee weapon.</t>
  </si>
  <si>
    <t>Shield Bash|7|2d4+4</t>
  </si>
  <si>
    <t>Melee Weapon Attack: +7 to hit, reach 5 ft., one creature. Hit: 9 (2d4 + 4) bludgeoning damage. If the target is a Medium or smaller creature, it must succeed on a DC 15 Strength saving throw or be knocked prone.</t>
  </si>
  <si>
    <t>Shield Bash</t>
  </si>
  <si>
    <t>One Handed|7|2d6+4 Two Handed|7|2d8+4</t>
  </si>
  <si>
    <t>Melee or Ranged Weapon Attack: +7 to hit, reach 5 ft. and range 20/60 ft., one target. Hit: 11 (2d6 + 4) piercing damage, or 13 (2d8 + 4) piercing damage if used with two hands to make a melee attack.</t>
  </si>
  <si>
    <t>The gladiator makes three melee attacks or two ranged attacks.</t>
  </si>
  <si>
    <t>Brute</t>
  </si>
  <si>
    <t>A melee weapon deals one extra die of its damage when the gladiator hits with it (included in the attack).</t>
  </si>
  <si>
    <t>The gladiator has advantage on saving throws against being frightened.</t>
  </si>
  <si>
    <t>11:38</t>
  </si>
  <si>
    <t>+7, 2d4+4</t>
  </si>
  <si>
    <t>https://www.aidedd.org/dnd/monstres.php?vo=Gladiator</t>
  </si>
  <si>
    <t>Gladiator</t>
  </si>
  <si>
    <t>The demon chooses what to summon and attempts a magical summoning. ¶A glabrezu has a 30 percent chance of summoning 1d3 vrocks, 1d2 hezrous, or one glabrezu. ¶A summoned demon appears in an unoccupied space within 60 feet of its summoner, acts as an ally of its summoner, and can't summon other demons. It remains for 1 minute, until it or its summoner dies, or until its summoner dismisses it as an action.</t>
  </si>
  <si>
    <t>Fist|9|2d4+2</t>
  </si>
  <si>
    <t>Melee Weapon Attack: +9 to hit, reach 5 ft., one target. Hit: 7 (2d4 + 2) bludgeoning damage.</t>
  </si>
  <si>
    <t>Pincer|9|2d10+5</t>
  </si>
  <si>
    <t>Melee Weapon Attack: +9 to hit, reach 10 ft., one target. Hit: 16 (2d10 + 5) bludgeoning damage. If the target is a Medium or smaller creature, it is grappled (escape DC 15). The glabrezu has two pincers, each of which can grapple only one target.</t>
  </si>
  <si>
    <t>Pincer</t>
  </si>
  <si>
    <t>The glabrezu makes four attacks: two with its pincers and two with its fists. Alternatively, it makes two attacks with its pincers and casts one spell.</t>
  </si>
  <si>
    <t>The glabrezu has advantage on saving throws against spells and other magical effects.</t>
  </si>
  <si>
    <t>The glabrezu's spellcasting ability is Intelligence (spell save DC 16). The glabrezu can innately cast the following spells, requiring no material components: ¶At will: darkness, detect magic, dispel magic ¶1/day each: confusion, fly, power word stun</t>
  </si>
  <si>
    <t>4:42, 8:30</t>
  </si>
  <si>
    <t>+9, 2d4+2</t>
  </si>
  <si>
    <t>+9, 2d10+5</t>
  </si>
  <si>
    <t>https://www.aidedd.org/dnd/monstres.php?vo=Glabrezu</t>
  </si>
  <si>
    <t>Glabrezu</t>
  </si>
  <si>
    <t>Blinding Spittle (Recharge 5-6)</t>
  </si>
  <si>
    <t>The mouther spits a chemical glob at a point it can see within 15 feet of it. The glob explodes in a blinding flash of light on impact. Each creature within 5 feet of the flash must succeed on a DC 13 Dexterity saving throw or be blinded until the end of the mouther's next turn.</t>
  </si>
  <si>
    <t>Bites|2|5d6</t>
  </si>
  <si>
    <t>Melee Weapon Attack: +2 to hit, reach 5 ft., one creature. Hit: 17 (5d6) piercing damage. If the target is Medium or smaller, it must succeed on a DC 10 Strength saving throw or be knocked prone. If the target is killed by this damage, it is absorbed into the mouther.</t>
  </si>
  <si>
    <t>The gibbering mouther makes one bite attack and, if it can, uses its Blinding Spittle.</t>
  </si>
  <si>
    <t>Gibbering</t>
  </si>
  <si>
    <t>The mouther babbles incoherently while it can see any creature and isn't incapacitated. Each creature that starts its turn within 20 feet of the mouther and can hear the gibbering must succeed on a DC 10 Wisdom saving throw. On a failure, the creature can't take reactions until the start of its next turn and rolls a d8 to determine what it does during its turn. On a 1 to 4, the creature does nothing. On a 5 or 6, the creature takes no action or bonus action and uses all its movement to move in a randomly determined direction. On a 7 or 8, the creature makes a melee attack against a randomly determined creature within its reach or does nothing if it can't make such an attack.</t>
  </si>
  <si>
    <t>Aberrant Ground</t>
  </si>
  <si>
    <t>The ground in a 10-foot radius around the mouther is doughlike difficult terrain. Each creature that starts its turn in that area must succeed on a DC 10 Strength saving throw or have its speed reduced to 0 until the start of its next turn.</t>
  </si>
  <si>
    <t>+2, 5d6</t>
  </si>
  <si>
    <t>https://www.aidedd.org/dnd/monstres.php?vo=Gibbering-Mouther</t>
  </si>
  <si>
    <t>Gibbering-Mouther</t>
  </si>
  <si>
    <t>Gibbering Mouther</t>
  </si>
  <si>
    <t>Weapon Attack: +3 to hit, reach 5 ft., one creature. Hit: 4 (1d6 + 1) piercing damage, and the target must make a DC 11 Constitution saving throw, taking 7 (2d6)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</si>
  <si>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https://www.aidedd.org/dnd/monstres.php?vo=Giant-Wolf-Spider</t>
  </si>
  <si>
    <t>Giant-Wolf-Spider</t>
  </si>
  <si>
    <t>Giant Wolf Spider</t>
  </si>
  <si>
    <t>Bite|5|1d4+3</t>
  </si>
  <si>
    <t>Weapon Attack: +5 to hit, reach 5 ft., one target. Hit: 5 (1d4 + 3) piercing damage.</t>
  </si>
  <si>
    <t>https://www.aidedd.org/dnd/monstres.php?vo=Giant-Weasel</t>
  </si>
  <si>
    <t>Giant-Weasel</t>
  </si>
  <si>
    <t>Giant Weasel</t>
  </si>
  <si>
    <t>Sting|4|1d6+2</t>
  </si>
  <si>
    <t>Sting. Melee Weapon Attack: +4 to hit, reach 5 ft., one creature. Hit: 5 (1d6 + 2) piercing damage, and the target must make a DC 11 Constitution saving throw, taking 10 (3d6)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</si>
  <si>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https://www.aidedd.org/dnd/monstres.php?vo=Giant-Wasp</t>
  </si>
  <si>
    <t>Giant-Wasp</t>
  </si>
  <si>
    <t>Giant Wasp</t>
  </si>
  <si>
    <t>Talons|4|2d6+2</t>
  </si>
  <si>
    <t>Beak|4|2d4+2</t>
  </si>
  <si>
    <t>Melee Weapon Attack: +4 to hit, reach 5 ft., one target. Hit: 7 (2d4 + 2) piercing damage.</t>
  </si>
  <si>
    <t>The vulture makes two attacks: one with its beak and one with its talons.</t>
  </si>
  <si>
    <t>+6, 2d6+2</t>
  </si>
  <si>
    <t>https://www.aidedd.org/dnd/monstres.php?vo=Giant-Vulture</t>
  </si>
  <si>
    <t>Giant-Vulture</t>
  </si>
  <si>
    <t>Giant Vulture</t>
  </si>
  <si>
    <t>The toad makes one bite attack against a Medium or smaller target it is grappling. If the attack hits, the target is swallowed, and the grapple ends. The swallowed target is blinded and restrained, it has total cover against attacks and other effects outside the toad, and it takes 10 (3d6) acid damage at the start of each of the toad's turns. The toad can have only one target swallowed at a time. ¶If the toad dies, a swallowed creature is no longer restrained by it and can escape from the corpse using 5 feet of movement, exiting prone.</t>
  </si>
  <si>
    <t>Bite|4|1d10+2+1d10</t>
  </si>
  <si>
    <t>Melee Weapon Attack: +4 to hit, reach 5 ft., one target. Hit: 7 (1d10 + 2) piercing damage plus 5 (1d10) poison damage, and the target is grappled (escape DC 13). Until this grapple ends, the target is restrained, and the toad can't bite another target.</t>
  </si>
  <si>
    <t>Standing Leap</t>
  </si>
  <si>
    <t>The toad's long jump is up to 20 ft. and its high jump is up to 10 ft., with or without a running start.</t>
  </si>
  <si>
    <t>The toad can breathe air and water</t>
  </si>
  <si>
    <t>+4, 2d10+2</t>
  </si>
  <si>
    <t>https://www.aidedd.org/dnd/monstres.php?vo=Giant-Toad</t>
  </si>
  <si>
    <t>Giant-Toad</t>
  </si>
  <si>
    <t>Giant Toad</t>
  </si>
  <si>
    <t>Web|5|0</t>
  </si>
  <si>
    <t>Ranged Weapon Attack: +5 to hit, range 30/60 ft., one creature. Hit: The target is restrained by webbing. As an action, the restrained target can make a DC 12 Strength check, bursting the webbing on a success. The webbing can also be attacked and destroyed (AC 10; hp 5; vulnerability to fire damage; immunity to bludgeoning, poison, and psychic damage).</t>
  </si>
  <si>
    <t>Web (Recharge 5-6)</t>
  </si>
  <si>
    <t>Melee Weapon Attack: +5 to hit, reach 5 ft., one creature. Hit: 7 (1d8 + 3) piercing damage, and the target must make a DC 11 Constitution saving throw, taking 9 (2d8)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</si>
  <si>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https://www.aidedd.org/dnd/monstres.php?vo=Giant-Spider</t>
  </si>
  <si>
    <t>Giant-Spider</t>
  </si>
  <si>
    <t>Giant Spider</t>
  </si>
  <si>
    <t>Bite|9|3d10+6</t>
  </si>
  <si>
    <t>Weapon Attack: +9 to hit, reach 5 ft., one target. Hit: 22 (3d10 + 6) piercing damage.</t>
  </si>
  <si>
    <t>https://www.aidedd.org/dnd/monstres.php?vo=Giant-Shark</t>
  </si>
  <si>
    <t>Giant-Shark</t>
  </si>
  <si>
    <t>Giant Shark</t>
  </si>
  <si>
    <t>Ram|3|1d6+1</t>
  </si>
  <si>
    <t>If the sea horse moves at least 20 ft. straight toward a target and then hits it with a ram attack on the same turn, the target takes an extra 7 (2d6) bludgeoning damage. If the target is a creature, it must succeed on a DC 11 Strength saving throw or be knocked prone.</t>
  </si>
  <si>
    <t>https://www.aidedd.org/dnd/monstres.php?vo=Giant-Sea-Horse</t>
  </si>
  <si>
    <t>Giant-Sea-Horse</t>
  </si>
  <si>
    <t>Giant Sea Horse</t>
  </si>
  <si>
    <t>Sting|4|1d10+2</t>
  </si>
  <si>
    <t>Melee Weapon Attack: +4 to hit, reach 5 ft., one creature. Hit: 7 (1d10 + 2) piercing damage, and the target must make a DC 12 Constitution saving throw, taking 22 (4d10) poison damage on a failed save, or half as much damage on a successful one.</t>
  </si>
  <si>
    <t>The scorpion makes three attacks: two with its claws and one with its sting.</t>
  </si>
  <si>
    <t>Claw|4|1d8+2</t>
  </si>
  <si>
    <t>Melee Weapon Attack: +4 to hit, reach 5 ft., one target. Hit: 6 (1d8 + 2) bludgeoning damage, and the target is grappled (escape DC 12). The scorpion has two claws, each of which can grapple only one target.</t>
  </si>
  <si>
    <t>https://www.aidedd.org/dnd/monstres.php?vo=Giant-Scorpion</t>
  </si>
  <si>
    <t>Giant-Scorpion</t>
  </si>
  <si>
    <t>Giant Scorpion</t>
  </si>
  <si>
    <t>The rat has advantage on an attack roll against a creature if at least one of the rat's allies is within 5 ft. of the creature and the ally isn't incapacitated.</t>
  </si>
  <si>
    <t>https://www.aidedd.org/dnd/monstres.php?vo=Giant-Rat</t>
  </si>
  <si>
    <t>Giant-Rat</t>
  </si>
  <si>
    <t>Giant Rat</t>
  </si>
  <si>
    <t>Bite|6|1d4+4</t>
  </si>
  <si>
    <t>Melee Weapon Attack: +6 to hit, reach 10 ft., one target. Hit: 6 (1d4 + 4) piercing damage, and the target must make a DC 11 Constitution saving throw, taking 10 (3d6) poison damage on a failed save, or half as much damage on a successful one.</t>
  </si>
  <si>
    <t>+6, 1d4+4</t>
  </si>
  <si>
    <t>https://www.aidedd.org/dnd/monstres.php?vo=Giant-Poisonous-Snake</t>
  </si>
  <si>
    <t>Giant-Poisonous-Snake</t>
  </si>
  <si>
    <t>Giant Poisonous Snake</t>
  </si>
  <si>
    <t>Talons|3|2d6+1</t>
  </si>
  <si>
    <t>Melee Weapon Attack: +3 to hit, reach 5 ft., one target. Hit: 8 (2d6 + 1) slashing damage.</t>
  </si>
  <si>
    <t>+3, 2d6+1</t>
  </si>
  <si>
    <t>https://www.aidedd.org/dnd/monstres.php?vo=Giant-Owl</t>
  </si>
  <si>
    <t>Giant-Owl</t>
  </si>
  <si>
    <t>Giant Owl</t>
  </si>
  <si>
    <t>A 20-foot-radius cloud of ink extends all around the octopus if it is underwater. The area is heavily obscured for 1 minute, although a significant current can disperse the ink. After releasing the ink, the octopus can use the Dash action as a bonus action.</t>
  </si>
  <si>
    <t>Tentacles|5|2d6+3</t>
  </si>
  <si>
    <t>Melee Weapon Attack: +5 to hit, reach 15 ft., one target. Hit: 10 (2d6 + 3) bludgeoning damage. If the target is a creature, it is grappled (escape DC 16). Until this grapple ends, the target is restrained, and the octopus can't use its tentacles on another target.</t>
  </si>
  <si>
    <t>While out of water, the octopus can hold its breath for 1 hour.</t>
  </si>
  <si>
    <t>9:30</t>
  </si>
  <si>
    <t>11:36</t>
  </si>
  <si>
    <t>https://www.aidedd.org/dnd/monstres.php?vo=Giant-Octopus</t>
  </si>
  <si>
    <t>Giant-Octopus</t>
  </si>
  <si>
    <t>Giant Octopus</t>
  </si>
  <si>
    <t>Variant: Spider Climb</t>
  </si>
  <si>
    <t>The lizard can climb difficult surfaces, including upside down on ceilings, without needing to make an ability check.</t>
  </si>
  <si>
    <t>Variant: Hold Breath</t>
  </si>
  <si>
    <t>The lizard can hold its breath for 15 minutes. (A lizard that has this trait also has a swimming speed of 30 feet.)</t>
  </si>
  <si>
    <t>https://www.aidedd.org/dnd/monstres.php?vo=Giant-Lizard</t>
  </si>
  <si>
    <t>Giant-Lizard</t>
  </si>
  <si>
    <t>Giant Lizard</t>
  </si>
  <si>
    <t>Bite|5|2d6+3</t>
  </si>
  <si>
    <t>Melee Weapon Attack: +5 to hit, reach 5 ft., one target. Hit: 10 (2d6 + 3) piercing damage.</t>
  </si>
  <si>
    <t>When the hyena reduces a creature to 0 hit points with a melee attack on its turn, the hyena can take a bonus action to move up to half its speed and make a bite attack.</t>
  </si>
  <si>
    <t>https://www.aidedd.org/dnd/monstres.php?vo=Giant-Hyena</t>
  </si>
  <si>
    <t>Giant-Hyena</t>
  </si>
  <si>
    <t>Giant Hyena</t>
  </si>
  <si>
    <t>Ram|5|2d4+3</t>
  </si>
  <si>
    <t>Charge||2d4</t>
  </si>
  <si>
    <t>If the goat moves at least 20 ft. straight toward a target and then hits it with a ram attack on the same turn, the target takes an extra 5 (2d4) bludgeoning damage. If the target is a creature, it must succeed on a DC 13 Strength saving throw or be knocked prone.</t>
  </si>
  <si>
    <t>7:21, 13:26</t>
  </si>
  <si>
    <t>https://www.aidedd.org/dnd/monstres.php?vo=Giant-Goat</t>
  </si>
  <si>
    <t>Giant-Goat</t>
  </si>
  <si>
    <t>Giant Goat</t>
  </si>
  <si>
    <t>The frog makes one bite attack against a Small or smaller target it is grappling. If the attack hits, the target is swallowed, and the grapple ends. The swallowed target is blinded and restrained, it has total cover against attacks and other effects outside the frog, and it takes 5 (2d4) acid damage at the start of each of the frog's turns. The frog can have only one target swallowed at a time. If the frog dies, a swallowed creature is no longer restrained by it and can escape from the corpse using 5 ft. of movement, exiting prone.</t>
  </si>
  <si>
    <t>Melee Weapon Attack: +3 to hit, reach 5 ft., one target. Hit: 4 (1d6 + 1) piercing damage, and the target is grappled (escape DC 11). Until this grapple ends, the target is restrained, and the frog can't bite another target.</t>
  </si>
  <si>
    <t>The frog's long jump is up to 20 ft. and its high jump is up to 10 ft., with or without a running start.</t>
  </si>
  <si>
    <t>The frog can breathe air and water</t>
  </si>
  <si>
    <t>1:32</t>
  </si>
  <si>
    <t>https://www.aidedd.org/dnd/monstres.php?vo=Giant-Frog</t>
  </si>
  <si>
    <t>Giant-Frog</t>
  </si>
  <si>
    <t>Giant Frog</t>
  </si>
  <si>
    <t>Bite|1|1d6-1</t>
  </si>
  <si>
    <t>Melee Weapon Attack: +1 to hit, reach 5 ft., one target. Hit: 2 (1d6 - 1) slashing damage.</t>
  </si>
  <si>
    <t>The beetle sheds bright light in a 10-foot radius and dim light for an additional 10 ft..</t>
  </si>
  <si>
    <t>+2, 1d6-1</t>
  </si>
  <si>
    <t>https://www.aidedd.org/dnd/monstres.php?vo=Giant-Fire-Beetle</t>
  </si>
  <si>
    <t>Giant-Fire-Beetle</t>
  </si>
  <si>
    <t>Giant Fire Beetle</t>
  </si>
  <si>
    <t>Hooves|6|4d8+4</t>
  </si>
  <si>
    <t>Melee Weapon Attack: +6 to hit, reach 5 ft., one prone creature. Hit: 22 (4d8 + 4) bludgeoning damage.</t>
  </si>
  <si>
    <t>Ram|6|2d6+4</t>
  </si>
  <si>
    <t>Melee Weapon Attack: +6 to hit, reach 10 ft., one target. Hit: 11 (2d6 + 4) bludgeoning damage.</t>
  </si>
  <si>
    <t>If the elk moves at least 20 ft. straight toward a target and then hits it with a ram attack on the same turn, the target takes an extra 7 (2d6) damage. If the target is a creature, it must succeed on a DC 14 Strength saving throw or be knocked prone.</t>
  </si>
  <si>
    <t>+6, 4d8+4</t>
  </si>
  <si>
    <t>https://www.aidedd.org/dnd/monstres.php?vo=Giant-Elk</t>
  </si>
  <si>
    <t>Giant-Elk</t>
  </si>
  <si>
    <t>Giant Elk</t>
  </si>
  <si>
    <t>Talons|5|2d6+3</t>
  </si>
  <si>
    <t>Beak|5|1d6+3</t>
  </si>
  <si>
    <t>The eagle makes two attacks: one with its beak and one with its talons.</t>
  </si>
  <si>
    <t>The eagle has advantage on Wisdom (Perception) checks that rely on sight.</t>
  </si>
  <si>
    <t>https://www.aidedd.org/dnd/monstres.php?vo=Giant-Eagle</t>
  </si>
  <si>
    <t>Giant-Eagle</t>
  </si>
  <si>
    <t>Giant Eagle</t>
  </si>
  <si>
    <t>Tail|8|2d8+5</t>
  </si>
  <si>
    <t>Melee Weapon Attack: +8 to hit, reach 10 ft., one target not grappled by the crocodile. Hit: 14 (2d8 + 5) bludgeoning damage. If the target is a creature, it must succeed on a DC 16 Strength saving throw or be knocked prone.</t>
  </si>
  <si>
    <t>Bite|8|3d10+5</t>
  </si>
  <si>
    <t>Melee Weapon Attack: +8 to hit, reach 5 ft., one target. Hit: 21 (3d10 + 5) piercing damage, and the target is grappled (escape DC 16). Until this grapple ends, the target is restrained, and the crocodile can't bite another target.</t>
  </si>
  <si>
    <t>The crocodile makes two attacks: one with its bite and one with its tail.</t>
  </si>
  <si>
    <t>The crocodile can hold its breath for 30 minutes.</t>
  </si>
  <si>
    <t>+8, 2d8+5</t>
  </si>
  <si>
    <t>https://www.aidedd.org/dnd/monstres.php?vo=Giant-Crocodile</t>
  </si>
  <si>
    <t>Giant-Crocodile</t>
  </si>
  <si>
    <t>Giant Crocodile</t>
  </si>
  <si>
    <t>Claw|3|1d6+1</t>
  </si>
  <si>
    <t>Melee Weapon Attack: +3 to hit, reach 5 ft., one target. Hit: 4 (1d6 + 1) bludgeoning damage, and the target is grappled (escape DC 11). The crab has two claws, each of which can grapple only one target.</t>
  </si>
  <si>
    <t>The crab can breathe air and water.</t>
  </si>
  <si>
    <t>12:19</t>
  </si>
  <si>
    <t>https://www.aidedd.org/dnd/monstres.php?vo=Giant-Crab</t>
  </si>
  <si>
    <t>Giant-Crab</t>
  </si>
  <si>
    <t>Giant Crab</t>
  </si>
  <si>
    <t>Constrict|6|2d8+4</t>
  </si>
  <si>
    <t>Melee Weapon Attack: +6 to hit, reach 5 ft., one creature. Hit: 13 (2d8 + 4) bludgeoning damage, and the target is grappled (escape DC 16). Until this grapple ends, the creature is restrained, and the snake can't constrict another target.</t>
  </si>
  <si>
    <t>Constrict</t>
  </si>
  <si>
    <t>Bite|6|2d6+4</t>
  </si>
  <si>
    <t>Melee Weapon Attack: +6 to hit, reach 10 ft., one creature. Hit: 11 (2d6 + 4) piercing damage.</t>
  </si>
  <si>
    <t>https://www.aidedd.org/dnd/monstres.php?vo=Giant-Constrictor-Snake</t>
  </si>
  <si>
    <t>Giant-Constrictor-Snake</t>
  </si>
  <si>
    <t>Giant Constrictor Snake</t>
  </si>
  <si>
    <t>Bite. Melee Weapon Attack: +4 to hit, reach 5 ft., one creature. Hit: 4 (1d4 + 2) piercing damage, and the target must succeed on a DC 11 Constitution saving throw or take 10 (3d6) poison damage. If the poison damage reduces the target to 0 hit points, the target is stable but poisoned for 1 hour, even after regaining hit points, and is paralyzed while poisoned in this way.</t>
  </si>
  <si>
    <t>https://www.aidedd.org/dnd/monstres.php?vo=Giant-Centipede</t>
  </si>
  <si>
    <t>Giant-Centipede</t>
  </si>
  <si>
    <t>Giant Centipede</t>
  </si>
  <si>
    <t>Tusk|5|2d6+3</t>
  </si>
  <si>
    <t>Tusk</t>
  </si>
  <si>
    <t>If the boar takes 10 damage or less that would reduce it to 0 hit points, it is reduced to 1 hit point instead.</t>
  </si>
  <si>
    <t>If the boar moves at least 20 ft. straight toward a target and then hits it with a tusk attack on the same turn, the target takes an extra 7 (2d6) slashing damage. If the target is a creature, it must succeed on a DC 13 Strength saving throw or be knocked prone.</t>
  </si>
  <si>
    <t>+5, 10d6+3</t>
  </si>
  <si>
    <t>https://www.aidedd.org/dnd/monstres.php?vo=Giant-Boar</t>
  </si>
  <si>
    <t>Giant-Boar</t>
  </si>
  <si>
    <t>Giant Boar</t>
  </si>
  <si>
    <t>Melee Weapon Attack: +4 to hit, reach 5 ft., one creature. Hit: 5 (1d6 + 2) piercing damage.</t>
  </si>
  <si>
    <t>The bat has advantage on Wisdom (Perception) checks that rely on hearing.</t>
  </si>
  <si>
    <t>The bat can't use its blindsight while deafened.</t>
  </si>
  <si>
    <t>https://www.aidedd.org/dnd/monstres.php?vo=Giant-Bat</t>
  </si>
  <si>
    <t>Giant-Bat</t>
  </si>
  <si>
    <t>Giant Bat</t>
  </si>
  <si>
    <t>Melee Weapon Attack: +3 to hit, reach 5 ft., one target. Hit: 4 (1d6 + 1) piercing damage.</t>
  </si>
  <si>
    <t>The badger makes two attacks: one with its bite and one with its claws.</t>
  </si>
  <si>
    <t>The badger has advantage on Wisdom (Perception) checks that rely on smell.</t>
  </si>
  <si>
    <t>1:25, 7:22, 11:21</t>
  </si>
  <si>
    <t>https://www.aidedd.org/dnd/monstres.php?vo=Giant-Badger</t>
  </si>
  <si>
    <t>Giant-Badger</t>
  </si>
  <si>
    <t>Giant Badger</t>
  </si>
  <si>
    <t>Rock|9|7d6+6</t>
  </si>
  <si>
    <t>Ranged Weapon Attack: +9 to hit, range 50/100 ft., one target. Hit: 30 (7d6 + 6) bludgeoning damage.</t>
  </si>
  <si>
    <t>Fist|9|3d10+6</t>
  </si>
  <si>
    <t>Melee Weapon Attack: +9 to hit, reach 10 ft., one target. Hit: 22 (3d10 + 6) bludgeoning damage.</t>
  </si>
  <si>
    <t>The ape makes two fist attacks.</t>
  </si>
  <si>
    <t>+9, 7d6+6</t>
  </si>
  <si>
    <t>https://www.aidedd.org/dnd/monstres.php?vo=Giant-Ape</t>
  </si>
  <si>
    <t>Giant-Ape</t>
  </si>
  <si>
    <t>Giant Ape</t>
  </si>
  <si>
    <t>Melee Weapon Attack: +4 to hit, reach 5 ft., one target. Hit: 7 (2d4 + 2) slashing damage. If the target is a creature other than an elf or undead, it must succeed on a DC 10 Constitution saving throw or be paralyzed for 1 minute. The target can repeat the saving throw at the end of each of its turns, ending the effect on itself on a success.</t>
  </si>
  <si>
    <t>Bite|2|2d6+2</t>
  </si>
  <si>
    <t>Melee Weapon Attack: +2 to hit, reach 5 ft., one creature. Hit: 9 (2d6 + 2) piercing damage.</t>
  </si>
  <si>
    <t>2:24, 4:21, 5:19, 11:37</t>
  </si>
  <si>
    <t>https://www.aidedd.org/dnd/monstres.php?vo=Ghoul</t>
  </si>
  <si>
    <t>Ghoul</t>
  </si>
  <si>
    <t>Possession (Recharge 6)</t>
  </si>
  <si>
    <t>One humanoid that the ghost can see within 5 ft. of it must succeed on a DC 13 Charisma saving throw or be possessed by the ghost; the ghost then disappears, and the target is incapacitated and loses control of its body. The ghost now controls the body but doesn't deprive the target of awareness. The ghost can't be targeted by any attack, spell, or other effect, except ones that turn undead, and it retains its alignment, Intelligence, Wisdom, Charisma, and immunity to being charmed and frightened. It otherwise uses the possessed target's statistics, but doesn't gain access to the target's knowledge, class features, or proficiencies. ¶The possession lasts until the body drops to 0 hit points, the ghost ends it as a bonus action, or the ghost is turned or forced out by an effect like the dispel evil and good spell. When the possession ends, the ghost reappears in an unoccupied space within 5 ft. of the body. The target is immune to this ghost's Possession for 24 hours after succeeding on the saving throw or after the possession ends</t>
  </si>
  <si>
    <t>Horrifying Visage</t>
  </si>
  <si>
    <t>Each non-undead creature within 60 ft. of the ghost that can see it must succeed on a DC 13 Wisdom saving throw or be frightened for 1 minute. If the save fails by 5 or more, the target also ages 1d4 _ 10 years. A frightened target can repeat the saving throw at the end of each of its turns, ending the frightened condition on itself on a success. If a target's saving throw is successful or the effect ends for it, the target is immune to this ghost's Horrifying Visage for the next 24 hours. The aging effect can be reversed with a greater restoration spell, but only within 24 hours of it occurring.</t>
  </si>
  <si>
    <t>The ghost enters the Ethereal Plane from the Material Plane, or vice versa. It is visible on the Material Plane while it is in the Border Ethereal, and vice versa, yet it can't affect or be affected by anything on the other plane.</t>
  </si>
  <si>
    <t>Withering Touch|5|4d6+3</t>
  </si>
  <si>
    <t>Melee Weapon Attack: +5 to hit, reach 5 ft., one target. Hit: 17 (4d6 + 3) necrotic damage.</t>
  </si>
  <si>
    <t>Withering Touch</t>
  </si>
  <si>
    <t>The ghost can move through other creatures and objects as if they were difficult terrain. It takes 5 (1d10) force damage if it ends its turn inside an object.</t>
  </si>
  <si>
    <t>Ethereal Sight</t>
  </si>
  <si>
    <t>The ghost can see 60 ft. into the Ethereal Plane when it is on the Material Plane, and vice versa.</t>
  </si>
  <si>
    <t>7:33</t>
  </si>
  <si>
    <t>11:37, 13:26</t>
  </si>
  <si>
    <t>+5, 4d6+3</t>
  </si>
  <si>
    <t>https://www.aidedd.org/dnd/monstres.php?vo=Ghost</t>
  </si>
  <si>
    <t>Ghost</t>
  </si>
  <si>
    <t>Melee Weapon Attack: +5 to hit, reach 5 ft., one target. Hit: 10 (2d6 + 3) slashing damage. If the target is a creature other than an undead, it must succeed on a DC 10 Constitution saving throw or be paralyzed for 1 minute. The target can repeat the saving throw at the end of each of its turns, ending the effect on itself on a success.</t>
  </si>
  <si>
    <t>Bite|3|2d8+3</t>
  </si>
  <si>
    <t>Melee Weapon Attack: +3 to hit, reach 5 ft., one creature. Hit: 12 (2d8 + 3) piercing damage.</t>
  </si>
  <si>
    <t>Turn Defiance</t>
  </si>
  <si>
    <t>The ghast and any ghouls within 30 ft. of it have advantage on saving throws against effects that turn undead.</t>
  </si>
  <si>
    <t>Any creature that starts its turn within 5 ft. of the ghast must succeed on a DC 10 Constitution saving throw or be poisoned until the start of its next turn. On a successful saving throw, the creature is immune to the ghast's Stench for 24 hours.</t>
  </si>
  <si>
    <t>5:19</t>
  </si>
  <si>
    <t>https://www.aidedd.org/dnd/monstres.php?vo=Ghast</t>
  </si>
  <si>
    <t>Ghast</t>
  </si>
  <si>
    <t>The cube moves up to its speed. While doing so, it can enter Large or smaller creatures' spaces. Whenever the cube enters a creature's space, the creature must make a DC 12 Dexterity saving throw. ¶On a successful save, the creature can choose to be pushed 5 feet back or to the side of the cube. A creature that chooses not to be pushed suffers the consequences of a failed saving throw. ¶On a failed save, the cube enters the creature's space, and the creature takes 10 (3d6) acid damage and is engulfed. The engulfed creature can't breathe, is restrained, and takes 21 (6d6) acid damage at the start of each of the cube's turns. When the cube moves, the engulfed creature moves with it. ¶An engulfed creature can try to escape by taking an action to make a DC 12 Strength check. On a success, the creature escapes and enters a space of its choice within 5 feet of the cube.</t>
  </si>
  <si>
    <t>Pseudopod|4|3d6</t>
  </si>
  <si>
    <t>Melee Weapon Attack: +4 to hit, reach 5 ft., one creature. Hit: 10 (3d6) acid damage.</t>
  </si>
  <si>
    <t>Transparent</t>
  </si>
  <si>
    <t>Even when the cube is in plain sight, it takes a successful DC 15 Wisdom (Perception) check to spot a cube that has neither moved nor attacked. A creature that tries to enter the cube's space while unaware of the cube is surprised by the cube.</t>
  </si>
  <si>
    <t>Ooze Cube</t>
  </si>
  <si>
    <t>The cube takes up its entire space. Other creatures can enter the space, but a creature that does so is subjected to the cube's Engulf and has disadvantage on the saving throw. ¶Creatures inside the cube can be seen but have total cover. ¶A creature within 5 feet of the cube can take an action to pull a creature or object out of the cube. Doing so requires a successful DC 12 Strength check, and the creature making the attempt takes 10 (3d6) acid damage. ¶The cube can hold only one Large creature or up to four Medium or smaller creatures inside it at a time.</t>
  </si>
  <si>
    <t>+2, 3d6</t>
  </si>
  <si>
    <t>https://www.aidedd.org/dnd/monstres.php?vo=Gelatinous-Cube</t>
  </si>
  <si>
    <t>Gelatinous-Cube</t>
  </si>
  <si>
    <t>Gelatinous Cube</t>
  </si>
  <si>
    <t>Eye Rays</t>
  </si>
  <si>
    <t>The gazer shoot two of the following magical eye rays at random (reroll duplicates), choosing one or two targets it can see within 60 feet of it:
1. Dazing
2. Fear
3. Frost
4. Teleinetic</t>
  </si>
  <si>
    <t>The gazer can mimic simple sounds of speech it has heard, in any language. A creature that hears the sounds can tell they are imitations with a successful DC 10 Wisdom (Insight) check.</t>
  </si>
  <si>
    <t>As a bonus action, the gazer can move up to its speed toward a hostile ccreature that it can see.</t>
  </si>
  <si>
    <t>+5, 1</t>
  </si>
  <si>
    <t>Gazer</t>
  </si>
  <si>
    <t>Claws|4|1d6+2</t>
  </si>
  <si>
    <t>The gargoyle makes two attacks: one with its bite and one with its claws.</t>
  </si>
  <si>
    <t>While the gargoyle remains motion less, it is indistinguishable from an inanimate statue.</t>
  </si>
  <si>
    <t>https://www.aidedd.org/dnd/monstres.php?vo=Gargoyle</t>
  </si>
  <si>
    <t>Gargoyle</t>
  </si>
  <si>
    <t>Rock|9|4d10+6</t>
  </si>
  <si>
    <t>Ranged Weapon Attack: +9 to hit, range 60/240 ft., one target. Hit: 28 (4d10 + 6) bludgeoning damage.</t>
  </si>
  <si>
    <t>Greataxe|9|3d12+6</t>
  </si>
  <si>
    <t>Melee Weapon Attack: +9 to hit, reach 10 ft., one target. Hit: 25 (3d12 + 6) slashing damage.</t>
  </si>
  <si>
    <t>The giant makes two greataxe attacks.</t>
  </si>
  <si>
    <t>Weighted Net|5|</t>
  </si>
  <si>
    <t>Ranged Weapon Attack: +5 to hit, ranged 20/60 ft., one Small, Medium, or Large creature. Hit: The target is restrained until it escapes the net. Any creature can use its action to make a DC 17 Strength check to free itself or another creature in the net, ending the effect on a success. Dealing 15 slashing damage to the net (AC 12) destroys the net and frees the target.</t>
  </si>
  <si>
    <t>Weighted Net</t>
  </si>
  <si>
    <t>+9, 3d12+6</t>
  </si>
  <si>
    <t>https://www.aidedd.org/dnd/monstres.php?vo=Frost-Giant</t>
  </si>
  <si>
    <t>Frost-Giant</t>
  </si>
  <si>
    <t>Frost Giant</t>
  </si>
  <si>
    <t>The frog's long jump is up to 10 ft. and its high jump is up to 5 ft., with or without a running start.</t>
  </si>
  <si>
    <t>https://www.aidedd.org/dnd/monstres.php?vo=Frog</t>
  </si>
  <si>
    <t>Frog</t>
  </si>
  <si>
    <t>Melee Weapon Attack: +3 to hit, reach 5 ft., one target. Hit: 5 (1d8 + 1) slashing damage.</t>
  </si>
  <si>
    <t>While the sword remains motionless and isn't flying, it is indistinguishable from a normal sword.</t>
  </si>
  <si>
    <t>The sword is incapacitated while in the area of an antimagic field. If targeted by dispel magic, the sword must succeed on a Constitution saving throw against the caster's spell save DC or fall unconscious for 1 minute.</t>
  </si>
  <si>
    <t>9:26, 11:35</t>
  </si>
  <si>
    <t>https://www.aidedd.org/dnd/monstres.php?vo=Flying-Sword</t>
  </si>
  <si>
    <t>Flying-Sword</t>
  </si>
  <si>
    <t>Bite|6|1+3d4</t>
  </si>
  <si>
    <t>Melee Weapon Attack: +6 to hit, reach 5 ft., one target. Hit: 1 piercing damage plus 7 (3d4) poison damage.</t>
  </si>
  <si>
    <t>The snake doesn't provoke opportunity attacks when it flies out of an enemy's reach.</t>
  </si>
  <si>
    <t>+3, 3d4+1</t>
  </si>
  <si>
    <t>https://www.aidedd.org/dnd/monstres.php?vo=Flying-Snake</t>
  </si>
  <si>
    <t>Flying-Snake</t>
  </si>
  <si>
    <t>Flying Snake</t>
  </si>
  <si>
    <t>Whenever the golem is subjected to lightning damage, it takes no damage and instead regains a number of hit points equal to the lightning damage dealt.</t>
  </si>
  <si>
    <t>Aversion of Fire</t>
  </si>
  <si>
    <t>If the golem takes fire damage, it has disadvantage on attack rolls and ability checks until the end of its next turn.</t>
  </si>
  <si>
    <t>Berserk</t>
  </si>
  <si>
    <t>Whenever the golem starts its turn with 40 hit points or fewer, roll a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¶The golem's creator, if within 60 feet of the berserk golem, can try to calm it by speaking firmly and persuasively. The golem must be able to hear its creator, who must take an action to make a DC 15 Charisma (Persuasion) check. If the check succeeds, the golem ceases being berserk. If it takes damage while still at 40 hit points or fewer, the golem might go berserk again.</t>
  </si>
  <si>
    <t>4:28, 13:33</t>
  </si>
  <si>
    <t>10:33</t>
  </si>
  <si>
    <t>https://www.aidedd.org/dnd/monstres.php?vo=Flesh-Golem</t>
  </si>
  <si>
    <t>Flesh-Golem</t>
  </si>
  <si>
    <t>Flesh Golem</t>
  </si>
  <si>
    <t>Fire Ray|5|3d6</t>
  </si>
  <si>
    <t>Ranged Spell Attack: +5 to hit, range 30 ft., one target. Hit: 10 (3d6) fire damage.</t>
  </si>
  <si>
    <t>Fire Ray</t>
  </si>
  <si>
    <t>The flameskull uses Fire Ray twice.</t>
  </si>
  <si>
    <t>The flameskull is a 5th-level spellcaster. Its spellcasting ability is Intelligence (spell save DC 13, +5 to hit with spell attacks). It requires no somatic or material components to cast its spells. The flameskull has the following wizard spells prepared: ‚Ä¢ Cantrips (at will): mage hand ¶‚Ä¢ 1st level (3 slots): magic missile, shield ¶‚Ä¢ 2nd level (2 slots): blur, flaming sphere ¶‚Ä¢ 3rd level (1 slot): fireball</t>
  </si>
  <si>
    <t>If the flameskull is destroyed, it regains all its hit points in 1 hour unless holy water is sprinkled on its remains or a dispel magic or remove curse spell is cast on them.</t>
  </si>
  <si>
    <t>The flameskull has advantage on saving throws against spells and other magical effects.</t>
  </si>
  <si>
    <t>The flameskull sheds either dim light in a 15- foot radius, or bright light in a 15-foot radius and dim light for an additional 15 ft.. It can switch between the options as an action.</t>
  </si>
  <si>
    <t>2:24</t>
  </si>
  <si>
    <t>https://www.aidedd.org/dnd/monstres.php?vo=Flameskull</t>
  </si>
  <si>
    <t>Flameskull</t>
  </si>
  <si>
    <t>Rock|11|4d10+7</t>
  </si>
  <si>
    <t>Ranged Weapon Attack: +11 to hit, range 60/240 ft., one target. Hit: 29 (4d10 + 7) bludgeoning damage.</t>
  </si>
  <si>
    <t>Greatsword|11|6d6+7</t>
  </si>
  <si>
    <t>Melee Weapon Attack: +11 to hit, reach 10 ft., one target. Hit: 28 (6d6 + 7) slashing damage.</t>
  </si>
  <si>
    <t>Tackle</t>
  </si>
  <si>
    <t>When the giant enters any enemy's space for the first time on a turn, the enemy must succeed on a DC 19 Strength saving throw or be knocked prone.</t>
  </si>
  <si>
    <t>The giant deals double damage to objects and structures.</t>
  </si>
  <si>
    <t>3:30, 4:42</t>
  </si>
  <si>
    <t>+11, 4d10+7</t>
  </si>
  <si>
    <t>+11, 6d6+7</t>
  </si>
  <si>
    <t>https://www.aidedd.org/dnd/monstres.php?vo=Fire-Giant</t>
  </si>
  <si>
    <t>Fire-Giant</t>
  </si>
  <si>
    <t>Fire Giant</t>
  </si>
  <si>
    <t>Touch|6|2d6+3</t>
  </si>
  <si>
    <t>Melee Weapon Attack: +6 to hit, reach 5 ft., one target. Hit: 10 (2d6 + 3) fire damage. If the target is a creature or a flammable object, it ignites. Until a creature takes an action to douse the fire, the target takes 5 (1d10) fire damage at the start of each of its turns.</t>
  </si>
  <si>
    <t>The elemental makes two touch attacks.</t>
  </si>
  <si>
    <t>Water Susceptibility</t>
  </si>
  <si>
    <t>For every 5 ft. the elemental moves in water, or for every gallon of water splashed on it, it takes 1 cold damage.</t>
  </si>
  <si>
    <t>The elemental sheds bright light in a 30-foot radius and dim light in an additional 30 ft..</t>
  </si>
  <si>
    <t>Fire Form||5d10
Burn Damage||1d10</t>
  </si>
  <si>
    <t>The elemental can move through a space as narrow as 1 inch wide without squeezing. A creature that touches the elemental or hits it with a melee attack while within 5 ft. of it takes 5 (1d10) fire damage. In addition, the elemental can enter a hostile creature's space and stop there. The first time it enters a creature's space on a turn, that creature takes 5 (1d10) fire damage and catches fire; until someone takes an action to douse the fire, the creature takes 5 (1d10) fire damage at the start of each of its turns.</t>
  </si>
  <si>
    <t>Fire Form</t>
  </si>
  <si>
    <t>https://www.aidedd.org/dnd/monstres.php?vo=Fire-Elemental</t>
  </si>
  <si>
    <t>Fire-Elemental</t>
  </si>
  <si>
    <t>Fire Elemental</t>
  </si>
  <si>
    <t>Morningstar|7|2d8+5</t>
  </si>
  <si>
    <t>Melee Weapon Attack: +7 to hit, reach 5 ft., one target. Hit: 14 (2d8 + 5) piercing damage.</t>
  </si>
  <si>
    <t>Battleaxe|7|2d8+5</t>
  </si>
  <si>
    <t>Battleaxe</t>
  </si>
  <si>
    <t>The ettin makes two attacks: one with its battleaxe and one with its morningstar.</t>
  </si>
  <si>
    <t>When one of the ettin's heads is asleep, its other head is awake.</t>
  </si>
  <si>
    <t>Two Heads</t>
  </si>
  <si>
    <t>The ettin has advantage on Wisdom (Perception) checks and on saving throws against being blinded, charmed, deafened, frightened, stunned, and knocked unconscious.</t>
  </si>
  <si>
    <t>https://www.aidedd.org/dnd/monstres.php?vo=Ettin</t>
  </si>
  <si>
    <t>Ettin</t>
  </si>
  <si>
    <t>Garrote|4|1d4+2</t>
  </si>
  <si>
    <t>Melee Weapon Attack: +4 to hit, reach 5 ft., one Medium or Small creature against which the ettercap has advantage on the attack roll. Hit: 4 (1d4 + 2) bludgeoning damage, and the target is grappled (escape DC 12). Until this grapple ends, the target can't breathe, and the ettercap has advantage on attack rolls against it.</t>
  </si>
  <si>
    <t>Variant: Web Garrote</t>
  </si>
  <si>
    <t>Ranged Weapon Attack: +4 to hit, range 30/60 ft., one Large or smaller creature. Hit: The creature is restrained by webbing. As an action, the restrained creature can make a DC 11 Strength check, escaping from the webbing on a success. The effect ends if the webbing is destroyed. The webbing has AC 10, 5 hit points, is vulnerable to fire damage and immune to bludgeoning damage.</t>
  </si>
  <si>
    <t>Melee Weapon Attack: +4 to hit, reach 5 ft., one target. Hit: 7 (2d4 + 2) slashing damage.</t>
  </si>
  <si>
    <t>Bite|4|1d8+2+1d8</t>
  </si>
  <si>
    <t>Melee Weapon Attack: +4 to hit, reach 5 ft., one creature. Hit: 6 (1d8 + 2) piercing damage plus 4 (1d8) poison damage. The target must succeed on a DC 11 Constitution saving throw or be poisoned for 1 minute. The creature can repeat the saving throw at the end of each of its turns, ending the effect on itself on a success.</t>
  </si>
  <si>
    <t>The ettercap makes two attacks: one with its bite and one with its claws.</t>
  </si>
  <si>
    <t>The ettercap ignores movement restrictions caused by webbing.</t>
  </si>
  <si>
    <t>While in contact with a web, the ettercap knows the exact location of any other creature in contact with the same web.</t>
  </si>
  <si>
    <t>The ettercap can climb difficult surfaces, including upside down on ceilings, without needing to make an ability check.</t>
  </si>
  <si>
    <t>+4, 2d8+2</t>
  </si>
  <si>
    <t>https://www.aidedd.org/dnd/monstres.php?vo=Ettercap</t>
  </si>
  <si>
    <t>Ettercap</t>
  </si>
  <si>
    <t>The erinyes adds 4 to its AC against one melee attack that would hit it. To do so, the erinyes must see the attacker and be wielding a melee weapon.</t>
  </si>
  <si>
    <t>Variant: Rope of Entanglement</t>
  </si>
  <si>
    <t>Some erinyes carry a rope of entanglement (detailed in the Dungeon Master's Guide). When such an erinyes uses its Multiattack, the erinyes can use the rope in place of two of the attacks.</t>
  </si>
  <si>
    <t>Longbow|7|1d8+3+3d8</t>
  </si>
  <si>
    <t>Ranged Weapon Attack: +7 to hit, range 150/600 ft., one target. Hit: 7 (1d8 + 3) piercing damage plus 13 (3d8) poison damage, and the target must succeed on a DC 14 Constitution saving throw or be poisoned. The poison lasts until it is removed by the lesser restoration spell or similar magic.</t>
  </si>
  <si>
    <t>One Handed|8|1d8+4+3d8 Two Handed|8|1d10+4+3d8</t>
  </si>
  <si>
    <t>Melee Weapon Attack: +8 to hit, reach 5 ft., one target. Hit: 8 (1d8 + 4) slashing damage, or 9 (1d10 + 4) slashing damage if used with two hands, plus 13 (3d8) poison damage.</t>
  </si>
  <si>
    <t>The erinyes makes three attacks</t>
  </si>
  <si>
    <t>The erinyes has advantage on saving throws against spells and other magical effects.</t>
  </si>
  <si>
    <t>Hellish Weapons</t>
  </si>
  <si>
    <t>The erinyes's weapon attacks are magical and deal an extra 13 (3d8) poison damage on a hit (included in the attacks).</t>
  </si>
  <si>
    <t>+7, 1d10+4</t>
  </si>
  <si>
    <t>+8, 4d8+3</t>
  </si>
  <si>
    <t>+8, 3d8+4</t>
  </si>
  <si>
    <t>https://www.aidedd.org/dnd/monstres.php?vo=Erinyes</t>
  </si>
  <si>
    <t>Erinyes</t>
  </si>
  <si>
    <t>Melee Weapon Attack: +5 to hit, reach 5 ft., one prone creature. Hit: 8 (2d4 + 3) bludgeoning damage.</t>
  </si>
  <si>
    <t>Ram|5|1d6+3</t>
  </si>
  <si>
    <t>Melee Weapon Attack: +5 to hit, reach 5 ft., one target. Hit: 6 (1d6 + 3) bludgeoning damage.</t>
  </si>
  <si>
    <t>If the elk moves at least 20 ft. straight toward a target and then hits it with a ram attack on the same turn, the target takes an extra 7 (2d6) damage. If the target is a creature, it must succeed on a DC 13 Strength saving throw or be knocked prone.</t>
  </si>
  <si>
    <t>https://www.aidedd.org/dnd/monstres.php?vo=Elk</t>
  </si>
  <si>
    <t>Elk</t>
  </si>
  <si>
    <t>Stomp|8|3d10+6</t>
  </si>
  <si>
    <t>Melee Weapon Attack: +8 to hit, reach 5 ft., one prone creature. Hit: 22 (3d10 + 6) bludgeoning damage.</t>
  </si>
  <si>
    <t>Gore|8|3d8+6</t>
  </si>
  <si>
    <t>Melee Weapon Attack: +8 to hit, reach 5 ft., one target. Hit: 19 (3d8 + 6) piercing damage.</t>
  </si>
  <si>
    <t>If the elephant moves at least 20 ft. straight toward a creature and then hits it with a gore attack on the same turn, that target must succeed on a DC 12 Strength saving throw or be knocked prone. If the target is prone, the elephant can make one stomp attack against it as a bonus action.</t>
  </si>
  <si>
    <t>+7, 3d10+5</t>
  </si>
  <si>
    <t>+7, 3d8+5</t>
  </si>
  <si>
    <t>https://www.aidedd.org/dnd/monstres.php?vo=Elephant</t>
  </si>
  <si>
    <t>Elephant</t>
  </si>
  <si>
    <t>Flame|7|5d6</t>
  </si>
  <si>
    <t>Ranged Spell Attack: +7 to hit, range 120 ft., one target. Hit: 17 (5d6) fire damage.</t>
  </si>
  <si>
    <t>Scimitar|10|2d6+6+2d6</t>
  </si>
  <si>
    <t>Melee Weapon Attack: +10 to hit, reach 5 ft., one target. Hit: 13 (2d6 + 6) slashing damage plus 7 (2d6) fire damage.</t>
  </si>
  <si>
    <t>The efreeti makes two scimitar attacks or uses its Hurl Flame twice.</t>
  </si>
  <si>
    <t>Variant: Genie Powers</t>
  </si>
  <si>
    <t>Genies have a variety of magical capabilities, including spells. A few have even greater powers that allow them to alter their appearance or the nature of reality. Disguises. ¶Some genies can veil themselves in illusion to pass as other similarly shaped creatures. Such genies can innately cast the disguise self spell at will, often with a longer duration than is normal for that spell. Mightier genies can cast the true polymorph spell one to three times per day, possibly with a longer duration than normal. Such genies can change only their own shape, but a rare few can use the spell on other creatures and objects as well. ¶Wishes.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wish spell on the creature's behalf to bring about the effect. Depending on the genie's nature, the genie might try to pervert the intent of the wish by exploiting the wish's poor wording. The perversion of the wording is usually crafted to be to the genie's benefit.</t>
  </si>
  <si>
    <t>The efreeti's innate spell casting ability is Charisma (spell save DC 15, +7 to hit with spell attacks). It can innately cast the following spells, requiring no material components: At will: detect magic ¶3/day: enlarge/reduce, tongues ¶1/day each: conjure elemental (fire elemental only), gaseous form, invisibility, major image, plane shift, wall of fire</t>
  </si>
  <si>
    <t>Elemental Demise</t>
  </si>
  <si>
    <t>If the efreeti dies, its body disintegrates in a flash of fire and puff of smoke, leaving behind only equipment the djinni was wearing or carrying.</t>
  </si>
  <si>
    <t>+10, 5d6</t>
  </si>
  <si>
    <t>Genie</t>
  </si>
  <si>
    <t>https://www.aidedd.org/dnd/monstres.php?vo=Efreeti</t>
  </si>
  <si>
    <t>Efreeti</t>
  </si>
  <si>
    <t>Slam|8|2d8+5</t>
  </si>
  <si>
    <t>Melee Weapon Attack: +8 to hit, reach 10 ft., one target. Hit: 14 (2d8 + 5) bludgeoning damage.</t>
  </si>
  <si>
    <t>The elemental deals double damage to objects and structures.</t>
  </si>
  <si>
    <t>The elemental can burrow through nonmagical, unworked earth and stone. While doing so, the elemental doesn't disturb the material it moves through.</t>
  </si>
  <si>
    <t>https://www.aidedd.org/dnd/monstres.php?vo=Earth-Elemental</t>
  </si>
  <si>
    <t>Earth-Elemental</t>
  </si>
  <si>
    <t>Earth Elemental</t>
  </si>
  <si>
    <t>Talons|4|1d4+2</t>
  </si>
  <si>
    <t>https://www.aidedd.org/dnd/monstres.php?vo=Eagle</t>
  </si>
  <si>
    <t>Eagle</t>
  </si>
  <si>
    <t>Blinding Breath (Recharge 6)</t>
  </si>
  <si>
    <t>The mephit exhales a 15-foot cone of blinding dust. Each creature in that area must succeed on a DC 10 Dexterity saving throw or be blinded for 1 minute. A creature can repeat the saving throw at the end of each of its turns, ending the effect on itself on a success.</t>
  </si>
  <si>
    <t>The mephit can innately cast sleep, requiring no material components. Its innate spellcasting ability is Charisma.</t>
  </si>
  <si>
    <t>When the mephit dies, it explodes in a burst of dust. Each creature within 5 ft. of it must then succeed on a DC 10 Constitution saving throw or be blinded for 1 minute. A blinded creature can repeat the saving throw on each of its turns, ending the effect on itself on a success.</t>
  </si>
  <si>
    <t>6:33, 9:58, 10:27</t>
  </si>
  <si>
    <t>https://www.aidedd.org/dnd/monstres.php?vo=Dust-Mephit</t>
  </si>
  <si>
    <t>Dust-Mephit</t>
  </si>
  <si>
    <t>Dust Mephit</t>
  </si>
  <si>
    <t>Special Equipment -- Second Column</t>
  </si>
  <si>
    <t>Durnan wields a sword of sharpness (great-sword) called Grimvault. He wears boots of striding and springing, elven chain, and a ring of spell turning.</t>
  </si>
  <si>
    <t>Special Equipment</t>
  </si>
  <si>
    <t>Double-Crossbox -- second column</t>
  </si>
  <si>
    <t>ranged Weapon Attack: +6 to hit, range 60/240 fr., one target. Hit: 13 (2d10 + 2) piercing damage.</t>
  </si>
  <si>
    <t>Double Crossbow</t>
  </si>
  <si>
    <t>Melee Weapon Attack: +8 to hit, reach 5ft., one target. Hit:11 (2d6 + 4) slashing damage. If the target is an object, the hit instead deals 16 slashing damage. If the target is an object, the hit instead deals 16 slashing damage. If the target is a creature and Durnan rolls a  20 on the d20 for the attack rol, the target takes an extra 14 slashing damage, and Durnan rolls another d20. On a roll of 20, he lops off one of the target's limbs, or some other part of its body if it is limbless.</t>
  </si>
  <si>
    <t>Grimvault</t>
  </si>
  <si>
    <t>Durnan makes four melee weapon attacks.</t>
  </si>
  <si>
    <t>Spell Turning -- Second Column</t>
  </si>
  <si>
    <t>While wearing his ring of spell turning, Durnan has advantage on saving throws against any spell that targets only him (not in an area of effect). If Durnan rolls a 20 for the save and the spell is 7th level or lower, the spell has no effect on him and instead targets the caster, using the slot level, spell save DC, attack bonus, and spellcasting ability of the caster.</t>
  </si>
  <si>
    <t>Spell Turning</t>
  </si>
  <si>
    <t>Indomitable -- second column</t>
  </si>
  <si>
    <t>(Recharges after a Long Rest.) Durnan can reroll a saving throw that he failes. He must use the new roll.</t>
  </si>
  <si>
    <t>Indomitable</t>
  </si>
  <si>
    <t>Durnan</t>
  </si>
  <si>
    <t>Invisibility (Recharges after a Short or Long Rest)</t>
  </si>
  <si>
    <t>The duergar magically turns invisible until it attacks, casts a spell, or uses its Enlarge, or until its concentration is broken, up to 1 hour (as if concentrating on a spell). Any equipment the duergar wears or carries is invisible with it .</t>
  </si>
  <si>
    <t>Javelin|4|1d6+2 Enlarged|4|2d6+2</t>
  </si>
  <si>
    <t>Melee or Ranged Weapon Attack: +4 to hit, reach 5 ft. or range 30/120 ft., one target. Hit: 5 (1d6 + 2) piercing damage, or 9 (2d6 + 2) piercing damage while enlarged.</t>
  </si>
  <si>
    <t>War Pick|4|1d8+2 Enlarged|4|2d8+2</t>
  </si>
  <si>
    <t>Melee Weapon Attack: +4 to hit, reach 5 ft., one target. Hit: 6 (1d8 + 2) piercing damage, or 11 (2d8 + 2) piercing damage while enlarged.</t>
  </si>
  <si>
    <t>Enlarge (Recharges after a Short or Long Rest)</t>
  </si>
  <si>
    <t>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t>
  </si>
  <si>
    <t>While in sunlight, the duergar has disadvantage on attack rolls, as well as on Wisdom (Perception) checks that rely on sight.</t>
  </si>
  <si>
    <t>Duergar Resilience</t>
  </si>
  <si>
    <t>The duergar has advantage on saving throws against poison, spells, and illusions, as well as to resist being charmed or paralyzed.</t>
  </si>
  <si>
    <t>1:22, 5:27, 8:27</t>
  </si>
  <si>
    <t>Dwarf</t>
  </si>
  <si>
    <t>https://www.aidedd.org/dnd/monstres.php?vo=Duergar</t>
  </si>
  <si>
    <t>Duergar</t>
  </si>
  <si>
    <t>Fey Charm</t>
  </si>
  <si>
    <t>The dryad targets one humanoid or beast that she can see within 30 feet of her. If the target can see the dryad, it must succeed on a DC 14 Wisdom saving throw or be magically charmed. The charmed creature regards the dryad as a trusted friend to be heeded and protected. Although the target isn't under the dryad's control, it takes the dryad's requests or actions in the most favorable way it can. ¶Each time the dryad or its allies do anything harmful to the target, it can repeat the saving throw, ending the effect on itself on a success. Otherwise, the effect lasts 24 hours or until the dryad dies, is on a different plane of existence from the target, or ends the effect as a bonus action. If a target's saving throw is successful, the target is immune to the dryad's Fey Charm for the next 24 hours. ¶The dryad can have no more than one humanoid and up to three beasts charmed at a time.</t>
  </si>
  <si>
    <t>Club|2|1d4 Shillelagh|6|1d8+4</t>
  </si>
  <si>
    <t>Melee Weapon Attack: +2 to hit (+6 to hit with shillelagh), reach 5 ft., one target. Hit: 2 (1d4) bludgeoning damage, or 8 (1d8 + 4) bludgeoning damage with shillelagh.</t>
  </si>
  <si>
    <t>Once on her turn, the dryad can use 10 ft. of her movement to step magically into one living tree within her reach and emerge from a second living tree within 60 ft. of the first tree, appearing in an unoccupied space within 5 ft. of the second tree. Both trees must be large or bigger.</t>
  </si>
  <si>
    <t>Tree Stride</t>
  </si>
  <si>
    <t>Speak with Beasts and Plants</t>
  </si>
  <si>
    <t>The dryad can communicate with beasts and plants as if they shared a language.</t>
  </si>
  <si>
    <t>The dryad has advantage on saving throws against spells and other magical effects.</t>
  </si>
  <si>
    <t>The dryad's innate spellcasting ability is Charisma (spell save DC 14). The dryad can innately cast the following spells, requiring no material components: At will: druidcraft ¶3/day each: entangle, goodberry ¶1/day each: barkskin, pass without trace, shillelagh</t>
  </si>
  <si>
    <t>https://www.aidedd.org/dnd/monstres.php?vo=Dryad</t>
  </si>
  <si>
    <t>Dryad</t>
  </si>
  <si>
    <t>Quarterstaff|2|1d6 Shillelagh|4|1d8+2</t>
  </si>
  <si>
    <t>Melee Weapon Attack: +2 to hit (+4 to hit with shillelagh), reach 5 ft., one target. Hit: 3 (1d6) bludgeoning damage, or 6 (1d8 + 2) bludgeoning damage with shillelagh or if wielded with two hands.</t>
  </si>
  <si>
    <t>Quarterstaff</t>
  </si>
  <si>
    <t>The druid is a 4th-level spellcaster. Its spellcasting ability is Wisdom (spell save DC 12, +4 to hit with spell attacks). It has the following druid spells prepared: ‚Ä¢ Cantrips (at will): druidcraft, produce flame, shillelagh ¶‚Ä¢ 1st level (4 slots): entangle, longstrider, speak with animals, thunderwave ¶‚Ä¢ 2nd level (3 slots): animal messenger, barkskin</t>
  </si>
  <si>
    <t>2:29</t>
  </si>
  <si>
    <t>8:20</t>
  </si>
  <si>
    <t>11:35, 13:25</t>
  </si>
  <si>
    <t>https://www.aidedd.org/dnd/monstres.php?vo=Druid</t>
  </si>
  <si>
    <t>Druid</t>
  </si>
  <si>
    <t>Ranged Weapon Attack: +4 to hit, range 30/120 ft., one target. Hit: 5 (1d6 + 2) piercing damage, and the target must succeed on a DC 13 Constitution saving throw or be poisoned for 1 hour. If the saving throw fails by 5 or more, the target is also unconscious while poisoned in this way. The target wakes up if it takes damage or if another creature takes an action to shake it awake.</t>
  </si>
  <si>
    <t>While in sunlight, the drow has disadvantage on attack rolls, as well as on Wisdom (Perception) checks that rely on sight.</t>
  </si>
  <si>
    <t>The drow's spellcasting ability is Charisma (spell save DC 11). It can innately cast the following spells, requiring no material components: ¶At will: dancing lights ¶1/day each: darkness, faerie fire</t>
  </si>
  <si>
    <t>Fey Ancestry</t>
  </si>
  <si>
    <t>The drow has advantage on saving throws against being charmed, and magic can't put the drow to sleep.</t>
  </si>
  <si>
    <t>3:24, 7:30</t>
  </si>
  <si>
    <t>Elf</t>
  </si>
  <si>
    <t>https://www.aidedd.org/dnd/monstres.php?vo=Drow</t>
  </si>
  <si>
    <t>Drow</t>
  </si>
  <si>
    <t>Longbow|6|1d8+3+1d8</t>
  </si>
  <si>
    <t>Ranged Weapon Attack: +6 to hit, range 150/600 ft., one target. Hit: 7 (1d8 + 3) piercing damage plus 4 (1d8) poison damage.</t>
  </si>
  <si>
    <t>One Handed|6|1d8+3 Two Handed|6|1d10+3</t>
  </si>
  <si>
    <t>Melee Weapon Attack: +6 to hit, reach 5 ft., one target. Hit: 7 (1d8 + 3) slashing damage, or 8 (1d10 + 3) slashing damage if used with two hands.</t>
  </si>
  <si>
    <t>Bite|6|1d4+2d8</t>
  </si>
  <si>
    <t>Melee Weapon Attack: +6 to hit, reach 5 ft., one creature. Hit: 2 (1d4) piercing damage plus 9 (2d8) poison damage.</t>
  </si>
  <si>
    <t>The drider makes three attacks, either with its longsword or its longbow. It can replace one of those attacks with a bite attack.</t>
  </si>
  <si>
    <t>The drider ignores movement restrictions caused by webbing.</t>
  </si>
  <si>
    <t>While in sunlight, the drider has disadvantage on attack rolls, as well as on Wisdom (Perception) checks that rely on sight.</t>
  </si>
  <si>
    <t>The drider can climb difficult surfaces, including upside down on ceilings, without needing to make an ability check.</t>
  </si>
  <si>
    <t>The drider's innate spellcasting ability is Wisdom (spell save DC 13). The drider can innately cast the following spells, requiring no material components: ¶At will: dancing lights ¶1/day each: darkness, faerie fire</t>
  </si>
  <si>
    <t>The drider has advantage on saving throws against being charmed, and magic can't put the drider to sleep.</t>
  </si>
  <si>
    <t>+6, 1d4</t>
  </si>
  <si>
    <t>+3, 1d10+3</t>
  </si>
  <si>
    <t>+3, 2d8</t>
  </si>
  <si>
    <t>https://www.aidedd.org/dnd/monstres.php?vo=Drider</t>
  </si>
  <si>
    <t>Drider</t>
  </si>
  <si>
    <t>Fetid Cloud (1/Day)</t>
  </si>
  <si>
    <t>A 10-foot radius of disgusting green gas extends out from the dretch. The gas spreads around corners, and its area is lightly obscured. It lasts for 1 minute or until a strong wind disperses it. Any creature that starts its turn in that area must succeed on a DC 11 Constitution saving throw or be poisoned until the start of its next turn. While poisoned in this way, the target can take either an action or a bonus action on its turn, not both, and can't take reactions.</t>
  </si>
  <si>
    <t>Claws|2|2d4</t>
  </si>
  <si>
    <t>Melee Weapon Attack: +2 to hit, reach 5 ft., one target. Hit: 5 (2d4) slashing damage.</t>
  </si>
  <si>
    <t>Melee Weapon Attack: +2 to hit, reach 5 ft., one target. Hit: 3 (1d6) piercing damage.</t>
  </si>
  <si>
    <t>The dretch makes two attacks: one with its bite and one with its claws.</t>
  </si>
  <si>
    <t>1:36, 3:28</t>
  </si>
  <si>
    <t>https://www.aidedd.org/dnd/monstres.php?vo=Dretch</t>
  </si>
  <si>
    <t>Dretch</t>
  </si>
  <si>
    <t>Steam Breath||15d6</t>
  </si>
  <si>
    <t>The dragon turtle exhales scalding steam in a 60-foot cone. Each creature in that area must make a DC 18 Constitution saving throw, taking 52 (15d6) fire damage on a failed save, or half as much damage on a successful one. Being underwater doesn't grant resistance against this damage.</t>
  </si>
  <si>
    <t>Steam Breath (Recharge 5-6)</t>
  </si>
  <si>
    <t>Tail|13|3d12+7</t>
  </si>
  <si>
    <t>Melee Weapon Attack: +13 to hit, reach 15 ft., one target. Hit: 26 (3d12 + 7) bludgeoning damage. If the target is a creature, it must succeed on a DC 20 Strength saving throw or be pushed up to 10 feet away from the dragon turtle and knocked prone.</t>
  </si>
  <si>
    <t>Claw|13|2d8+7</t>
  </si>
  <si>
    <t>Melee Weapon Attack: +13 to hit, reach 10 ft., one target. Hit: 16 (2d8 + 7) slashing damage.</t>
  </si>
  <si>
    <t>Bite|13|3d12+7</t>
  </si>
  <si>
    <t>Melee Weapon Attack: +13 to hit, reach 15 ft., one target. Hit: 26 (3d12 + 7) piercing damage.</t>
  </si>
  <si>
    <t>The dragon turtle makes three attacks: one with its bite and two with its claws. It can make one tail attack in place of its two claw attacks.</t>
  </si>
  <si>
    <t>The dragon turtle can breathe air and water.</t>
  </si>
  <si>
    <t>+13, 2d8+7</t>
  </si>
  <si>
    <t>+13, 3d12+7</t>
  </si>
  <si>
    <t>https://www.aidedd.org/dnd/monstres.php?vo=Dragon-Turtle</t>
  </si>
  <si>
    <t>Dragon-Turtle</t>
  </si>
  <si>
    <t>Dragon Turtle</t>
  </si>
  <si>
    <t>Hooves|6|2d4+4</t>
  </si>
  <si>
    <t>Melee Weapon Attack: +6 to hit, reach 5 ft., one target. Hit: 9 (2d4 + 4) bludgeoning damage.</t>
  </si>
  <si>
    <t>https://www.aidedd.org/dnd/monstres.php?vo=Draft-Horse</t>
  </si>
  <si>
    <t>Draft-Horse</t>
  </si>
  <si>
    <t>Draft Horse</t>
  </si>
  <si>
    <t>Read Thoughts</t>
  </si>
  <si>
    <t>The doppelganger magically reads the surface thoughts of one creature within 60 ft. of it. The effect can penetrate barriers, but 3 ft. of wood or dirt, 2 ft. of stone, 2 inches of metal, or a thin sheet of lead blocks it. While the target is in range, the doppelganger can continue reading its thoughts, as long as the doppelganger's concentration isn't broken (as if concentrating on a spell). While reading the target's mind, the doppelganger has advantage on Wisdom (Insight) and Charisma (Deception, Intimidation, and Persuasion) checks against the target.</t>
  </si>
  <si>
    <t>Slam|6|1d6+4</t>
  </si>
  <si>
    <t>Melee Weapon Attack: +6 to hit, reach 5 ft., one target. Hit: 7 (1d6 + 4) bludgeoning damage.</t>
  </si>
  <si>
    <t>The doppelganger makes two melee attacks.</t>
  </si>
  <si>
    <t>Surprise Attack||3d6</t>
  </si>
  <si>
    <t>If the doppelganger surprises a creature and hits it with an attack during the first round of combat, the target takes an extra 10 (3d6) damage from the attack.</t>
  </si>
  <si>
    <t>Surprise Attack</t>
  </si>
  <si>
    <t>Ambusher</t>
  </si>
  <si>
    <t>In the first round of a combat, the doppelganger has advantage on attack rolls against any creature it surprised</t>
  </si>
  <si>
    <t>The doppelganger can use its action to polymorph into a Small or Medium humanoid it has seen, or back into its true form. Its statistics, other than its size, are the same in each form. Any equipment it is wearing or carrying isn't transformed. It reverts to its true form if it dies.</t>
  </si>
  <si>
    <t>3:19</t>
  </si>
  <si>
    <t>4:30</t>
  </si>
  <si>
    <t>https://www.aidedd.org/dnd/monstres.php?vo=Doppelganger</t>
  </si>
  <si>
    <t>Doppelganger</t>
  </si>
  <si>
    <t>Create Whirlwind</t>
  </si>
  <si>
    <t>A 5-foot-radius, 30-foot-tall cylinder of swirling air magically forms on a point the djinni can see within 120 feet of it. The whirlwind lasts as long as the djinni maintains concentration (as if concentrating on a spell). Any creature but the djinni that enters the whirlwind must succeed on a DC 18 Strength saving throw or be restrained by it. The djinni can move the whirlwind up to 60 feet as an action, and creatures restrained by the whirlwind move with it. The whirlwind ends if the djinni loses sight of it. ¶A creature can use its action to free a creature restrained by the whirlwind, including itself, by succeeding on a DC 18 Strength check. If the check succeeds, the creature is no longer restrained and moves to the nearest space outside the whirlwind.</t>
  </si>
  <si>
    <t>Scimitar|9|2d6+5+1d6</t>
  </si>
  <si>
    <t>Melee Weapon Attack: +9 to hit, reach 5 ft., one target. Hit: 12 (2d6 + 5) slashing damage plus 3 (1d6) lightning or thunder damage (djinni's choice).</t>
  </si>
  <si>
    <t>The djinni makes three scimitar attacks.</t>
  </si>
  <si>
    <t>The djinni's innate spellcasting ability is Charisma (spell save DC 17, +9 to hit with spell attacks). It can innately cast the following spells, requiring no material components: At will: detect evil and good, detect magic, thunderwave 3/day each: create food and water (can create wine instead of water), tongues, wind walk ¶1/day each: conjure elemental (air elemental only), creation, gaseous form, invisibility, major image, plane shift</t>
  </si>
  <si>
    <t>If the djinni dies, its body disintegrates into a warm breeze, leaving behind only equipment the djinni was wearing or carrying.</t>
  </si>
  <si>
    <t>https://www.aidedd.org/dnd/monstres.php?vo=Djinni</t>
  </si>
  <si>
    <t>Djinni</t>
  </si>
  <si>
    <t>3:29</t>
  </si>
  <si>
    <t>https://www.aidedd.org/dnd/monstres.php?vo=Dire-Wolf</t>
  </si>
  <si>
    <t>Dire-Wolf</t>
  </si>
  <si>
    <t>Dire Wolf</t>
  </si>
  <si>
    <t>The deva magically polymorphs into a humanoid or beast that has a challenge rating equal to or less than its own, or back into its true form. It reverts to its true form if it dies. Any equipment it is wearing or carrying is absorbed or borne by the new form (the deva's choice). ¶In a new form, the deva retains its game statistics and ability to speak, but its AC, movement modes, Strength, Dexterity, and special senses are replaced by those of the new form, and it gains any statistics and capabilities (except class features, legendary actions, and lair actions) that the new form has but that it lacks</t>
  </si>
  <si>
    <t>The deva touches another creature. The target magically regains 20 (4d8 + 2) hit points and is freed from any curse, disease, poison, blindness, or deafness.</t>
  </si>
  <si>
    <t>Mace|8|1d6+4+4d8</t>
  </si>
  <si>
    <t>Melee Weapon Attack: +8 to hit, reach 5 ft., one target. Hit: 7 (1d6 + 4) bludgeoning damage plus 18 (4d8) radiant damage.</t>
  </si>
  <si>
    <t>The deva makes two melee attacks.</t>
  </si>
  <si>
    <t>The deva has advantage on saving throws against spells and other magical effects.</t>
  </si>
  <si>
    <t>The deva's spellcasting ability is Charisma (spell save DC 17). The deva can innately cast the following spells, requiring only verbal components: ¶At will: detect evil and good ¶1/day each: commune, raise dead</t>
  </si>
  <si>
    <t>The deva's weapon attacks are magical. When the deva hits with any weapon, the weapon deals an extra 4d8 radiant damage (included in the attack).</t>
  </si>
  <si>
    <t>+8, 1d6+4</t>
  </si>
  <si>
    <t>+8, 4d8+4</t>
  </si>
  <si>
    <t>https://www.aidedd.org/dnd/monstres.php?vo=Deva</t>
  </si>
  <si>
    <t>Deva</t>
  </si>
  <si>
    <t>Bite|2|1d4</t>
  </si>
  <si>
    <t>https://www.aidedd.org/dnd/monstres.php?vo=Deer</t>
  </si>
  <si>
    <t>Deer</t>
  </si>
  <si>
    <t>Deep-Gnome-(Svirfneblin)</t>
  </si>
  <si>
    <t>Deep Gnome (Svirfneblin)</t>
  </si>
  <si>
    <t>Melee Weapon Attack: +4 to hit, reach 5 ft., one target. Hit: 5 (1d6 + 2) piercing damage. If the target is a creature, it must succeed on a DC 12 Constitution saving throw against disease or become poisoned until the disease is cured. Every 24 hours that elapse, the creature must repeat the saving throw, reducing its hit point maximum by 5 (1d10) on a failure. This reduction lasts until the disease is cured. The creature dies if the disease reduces its hit point maximum to 0.</t>
  </si>
  <si>
    <t>The dog makes two bite attacks.</t>
  </si>
  <si>
    <t>Two-Headed</t>
  </si>
  <si>
    <t>The dog has advantage on Wisdom (Perception) checks and on saving throws against being blinded, charmed, deafened, frightened, stunned, or knocked unconscious.</t>
  </si>
  <si>
    <t>11:34, 13:24</t>
  </si>
  <si>
    <t>https://www.aidedd.org/dnd/monstres.php?vo=Death-Dog</t>
  </si>
  <si>
    <t>Death-Dog</t>
  </si>
  <si>
    <t>Death Dog</t>
  </si>
  <si>
    <t>Darkness Aura (1/day)</t>
  </si>
  <si>
    <t>A 15-foot radius of magical darkness extends out from the darkmantle, moves with it, and spreads around corners. The darkness lasts as long as the darkmantle maintains concentration, up to 10 minutes (as if concentrating on a spell). Darkvision can't penetrate this darkness, and no natural light can illuminate it. If any of the darkness overlaps with an area of light created by a spell of 2nd level or lower, the spell creating the light is dispelled.</t>
  </si>
  <si>
    <t>Crush|5|1d6+3</t>
  </si>
  <si>
    <t>Melee Weapon Attack: +5 to hit, reach 5 ft., one creature. Hit: 6 (1d6 + 3) bludgeoning damage, and the darkmantle attaches to the target. If the target is Medium or smaller and the darkmantle has advantage on the attack roll, it attaches by engulfing the target's head, and the target is also blinded and unable to breathe while the darkmantle is attached in this way. ¶While attached to the target, the darkmantle can attack no other creature except the target but has advantage on its attack rolls. The darkmantle's speed also becomes 0, it can't benefit from any bonus to its speed, and it moves with the target. ¶A creature can detach the darkmantle by making a successful DC 13 Strength check as an action. On its turn, the darkmantle can detach itself from the target by using 5 feet of movement.</t>
  </si>
  <si>
    <t>Crush</t>
  </si>
  <si>
    <t>While the darkmantle remains motionless, it is indistinguishable from a cave formation such as a stalactite or stalagmite.</t>
  </si>
  <si>
    <t>The darkmantle can't use its blindsight while deafened.</t>
  </si>
  <si>
    <t>https://www.aidedd.org/dnd/monstres.php?vo=Darkmantle</t>
  </si>
  <si>
    <t>Darkmantle</t>
  </si>
  <si>
    <t>Ranged Weapon Attack: +9 to hit, range 30/120 ft., one target. Hit: 28 (4d10 + 6) bludgeoning damage.</t>
  </si>
  <si>
    <t>Melee Weapon Attack: +9 to hit, reach 10 ft., one target. Hit: 19 (3d8 + 6) bludgeoning damage.</t>
  </si>
  <si>
    <t>The cyclops makes two greatclub attacks.</t>
  </si>
  <si>
    <t>Poor Depth Perception</t>
  </si>
  <si>
    <t>The cyclops has disadvantage on any attack roll against a target more than 30 ft. away.</t>
  </si>
  <si>
    <t>13:35</t>
  </si>
  <si>
    <t>13:24</t>
  </si>
  <si>
    <t>https://www.aidedd.org/dnd/monstres.php?vo=Cyclops</t>
  </si>
  <si>
    <t>Cyclops</t>
  </si>
  <si>
    <t>Scimitar|3|1d6+1</t>
  </si>
  <si>
    <t>Melee Weapon Attack: +3 to hit, reach 5 ft., one creature. Hit: 4 (1d6 + 1) slashing damage.</t>
  </si>
  <si>
    <t>Dark Devotion</t>
  </si>
  <si>
    <t>The cultist has advantage on saving throws against being charmed or frightened.</t>
  </si>
  <si>
    <t>2:23, 5:26, 9:56, 10:29, 12:20</t>
  </si>
  <si>
    <t>4:21</t>
  </si>
  <si>
    <t>https://www.aidedd.org/dnd/monstres.php?vo=Cultist</t>
  </si>
  <si>
    <t>Cultist</t>
  </si>
  <si>
    <t>Melee or Ranged Weapon Attack: +4 to hit, reach 5 ft. or range 20/60 ft., one creature. Hit: 4 (1d4 + 2) piercing damage.</t>
  </si>
  <si>
    <t>The fanatic makes two melee attacks.</t>
  </si>
  <si>
    <t>The fanatic is a 4th-level spellcaster. Its spell casting ability is Wisdom (spell save DC 11, +3 to hit with spell attacks). The fanatic has the following cleric spells prepared: Cantrips (at will): light, sacred flame, thaumaturgy ¶‚Ä¢ 1st level (4 slots): command, inflict wounds, shield of faith ¶‚Ä¢ 2nd level (3 slots): hold person, spiritual weapon</t>
  </si>
  <si>
    <t>The fanatic has advantage on saving throws against being charmed or frightened.</t>
  </si>
  <si>
    <t>2:23, 9:57</t>
  </si>
  <si>
    <t>3:30, 5:21, 10:35/36, 12:27</t>
  </si>
  <si>
    <t>https://www.aidedd.org/dnd/monstres.php?vo=Cult-Fanatic</t>
  </si>
  <si>
    <t>Cult-Fanatic</t>
  </si>
  <si>
    <t>Cult Fanatic</t>
  </si>
  <si>
    <t>Bite|4|1d10+2</t>
  </si>
  <si>
    <t>Melee Weapon Attack: +4 to hit, reach 5 ft., one creature. Hit: 7 (1d10 + 2) piercing damage, and the target is grappled (escape DC 12). Until this grapple ends, the target is restrained, and the crocodile can't bite another target</t>
  </si>
  <si>
    <t>The crocodile can hold its breath for 15 minutes.</t>
  </si>
  <si>
    <t>https://www.aidedd.org/dnd/monstres.php?vo=Crocodile</t>
  </si>
  <si>
    <t>Crocodile</t>
  </si>
  <si>
    <t>Claw||1</t>
  </si>
  <si>
    <t>Melee Weapon Attack: +0 to hit, reach 5 ft., one target. Hit: 1 bludgeoning damage.</t>
  </si>
  <si>
    <t>https://www.aidedd.org/dnd/monstres.php?vo=Crab</t>
  </si>
  <si>
    <t>Crab</t>
  </si>
  <si>
    <t>The couatl magically polymorphs into a humanoid or beast that has a challenge rating equal to or less than its own, or back into its true form. It reverts to its true form if it dies. Any equipment it is wearing or carrying is absorbed or borne by the new form (the couatl's choice). ¶In a new form, the couatl retains its game statistics and ability to speak, but its AC, movement modes, Strength, Dexterity, and other actions are replaced by those of the new form, and it gains any statistics and capabilities (except class features, legendary actions, and lair actions) that the new form has but that it lacks. If the new form has a bite attack, the couatl can use its bite in that form.</t>
  </si>
  <si>
    <t>Constrict|6|2d6+3</t>
  </si>
  <si>
    <t>Melee Weapon Attack: +6 to hit, reach 10 ft., one Medium or smaller creature. Hit: 10 (2d6 + 3) bludgeoning damage, and the target is grappled (escape DC 15). Until this grapple ends, the target is restrained, and the couatl can't constrict another target.</t>
  </si>
  <si>
    <t>Bite|8|1d6+5</t>
  </si>
  <si>
    <t>Melee Weapon Attack: +8 to hit, reach 5 ft., one creature. Hit: 8 (1d6 + 5) piercing damage, and the target must succeed on a DC 13 Constitution saving throw or be poisoned for 24 hours. Until this poison ends, the target is unconscious. Another creature can use an action to shake the target awake.</t>
  </si>
  <si>
    <t>Shielded Mind</t>
  </si>
  <si>
    <t>The couatl is immune to scrying and to any effect that would sense its emotions, read its thoughts, or detect its location.</t>
  </si>
  <si>
    <t>The couatl's weapon attacks are magical.</t>
  </si>
  <si>
    <t>The couatl's spellcasting ability is Charisma (spell save DC 14). It can innately cast the following spells, requiring only verbal components: At will: detect evil and good, detect magic, detect thoughts ¶3/day each: bless, create food and water, cure wounds, lesser restoration, protection from poison, sanctuary, shield ¶1/day each: dream, greater restoration, scrying</t>
  </si>
  <si>
    <t>+7, 2d6+3</t>
  </si>
  <si>
    <t>+7, 1d6+5</t>
  </si>
  <si>
    <t>https://www.aidedd.org/dnd/monstres.php?vo=Couatl</t>
  </si>
  <si>
    <t>Couatl</t>
  </si>
  <si>
    <t>Acid Breath||4d8</t>
  </si>
  <si>
    <t>The dragon uses one of the following breath weapons. ¶Acid Breath. The dragon exhales acid in an 20-foot line that is 5 feet wide. Each creature in that line must make a DC 11 Dexterity saving throw, taking 18 (4d8) acid damage on a failed save, or half as much damage on a successful one. ¶Slowing Breath. The dragon exhales gas in a 1 5-foot cone. Each creature in that area must succeed on a DC 11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</si>
  <si>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Melee Weapon Attack: +4 to hit, reach 5 ft., one target. Hit: 7 (1d10 + 2) piercing damage.</t>
  </si>
  <si>
    <t>https://www.aidedd.org/dnd/monstres.php?vo=Copper-Dragon-Wyrmling</t>
  </si>
  <si>
    <t>Copper-Dragon-Wyrmling</t>
  </si>
  <si>
    <t>Copper Dragon Wyrmling</t>
  </si>
  <si>
    <t>Constrict|4|1d8+2</t>
  </si>
  <si>
    <t>Melee Weapon Attack: +4 to hit, reach 5 ft., one creature. Hit: 6 (1d8 + 2) bludgeoning damage, and the target is grappled (escape DC 14). Until this grapple ends, the creature is restrained, and the snake can't constrict another target.</t>
  </si>
  <si>
    <t>https://www.aidedd.org/dnd/monstres.php?vo=Constrictor-Snake</t>
  </si>
  <si>
    <t>Constrictor-Snake</t>
  </si>
  <si>
    <t>Constrictor Snake</t>
  </si>
  <si>
    <t>Club|2|1d4</t>
  </si>
  <si>
    <t>Melee Weapon Attack: +2 to hit, reach 5 ft., one target. Hit: 2 (1d4) bludgeoning damage.</t>
  </si>
  <si>
    <t>2:26, 3:24, 4:40, 5:24, 6:18, 9:26</t>
  </si>
  <si>
    <t>2:21, 3:23, 5:26</t>
  </si>
  <si>
    <t>2:24, 3:29, 7:21, 9:26</t>
  </si>
  <si>
    <t>https://www.aidedd.org/dnd/monstres.php?vo=Commoner</t>
  </si>
  <si>
    <t>Commoner</t>
  </si>
  <si>
    <t>Melee Weapon Attack: +3 to hit, reach 5 ft., one creature. Hit: 3 (1d4 + 1) piercing damage, and the target must succeed on a DC 11 Constitution saving throw against being magically petrified. On a failed save, the creature begins to turn to stone and is restrained. It must repeat the saving throw at the end of its next turn. On a success, the effect ends. On a failure, the creature is petrified for 24 hours.</t>
  </si>
  <si>
    <t>https://www.aidedd.org/dnd/monstres.php?vo=Cockatrice</t>
  </si>
  <si>
    <t>Cockatrice</t>
  </si>
  <si>
    <t>Rock|12|4d10+8</t>
  </si>
  <si>
    <t>Ranged Weapon Attack: +12 to hit, range 60/240 ft., one target. Hit: 30 (4d10 + 8) bludgeoning damage.</t>
  </si>
  <si>
    <t>Morningstar|12|3d8+8</t>
  </si>
  <si>
    <t>Melee Weapon Attack: +12 to hit, reach 10 ft., one target. Hit: 21 (3d8 + 8) piercing damage.</t>
  </si>
  <si>
    <t>The giant makes two morningstar attacks.</t>
  </si>
  <si>
    <t>Wind Aura</t>
  </si>
  <si>
    <t>A magical aura of wind surrounds the giant. The aura is a 10-foot-radius sphere that lasts as long as the giant maintains concentration on it (as if concentrating on a spell). While the aura is in effect, the giant gains a +2 bonus to its AC against ranged weapon attacks, and all open flames within the aura are extinguished unless they are magical.</t>
  </si>
  <si>
    <t>The giant tries to throw a Small or Medium creature within 10 feet of it. The target must succeed on a DC 20 Dexterity saving throw or be hurled up to 60 feet horizontally in a direction of the giant's choice and land prone, taking 1d8 bludgeoning damage for every 10 feet it was thrown.</t>
  </si>
  <si>
    <t>The giant's innate spellcasting ability is Charisma. It can innately cast the following spells, requiring no material components: At will: detect magic, fog cloud, light ¶3/day each: feather fall, fly, misty step, telekinesis ¶1/day each: control weather, gaseous form</t>
  </si>
  <si>
    <t>The giant has advantage on Wisdom (Perception) checks that rely on smell.</t>
  </si>
  <si>
    <t>+12, 4d10+8</t>
  </si>
  <si>
    <t>+12, 3d8+8</t>
  </si>
  <si>
    <t>NG|NE</t>
  </si>
  <si>
    <t>https://www.aidedd.org/dnd/monstres.php?vo=Cloud-Giant</t>
  </si>
  <si>
    <t>Cloud-Giant</t>
  </si>
  <si>
    <t>Cloud Giant</t>
  </si>
  <si>
    <t>Phantasms (Recharges after a Short or Long Rest)</t>
  </si>
  <si>
    <t>The cloaker magically creates three illusory duplicates of itself if it isn't in bright light. The duplicates move with it and mimic its actions, shifting position so as to make it impossible to track which cloaker is the real one. If the cloaker is ever in an area of bright light, the duplicates disappear. ¶Whenever any creature targets the cloaker with an attack or a harmful spell while a duplicate remains, that creature rolls randomly to determine whether it targets the cloaker or one of the duplicates. A creature is unaffected by this magical effect if it can't see or if it relies on senses other than sight. ¶A duplicate has the cloaker's AC and uses its saving throws. If an attack hits a duplicate, or if a duplicate fails a saving throw against an effect that deals damage, the duplicate disappears.</t>
  </si>
  <si>
    <t>Moan</t>
  </si>
  <si>
    <t>Each creature within 60 feet of the cloaker that can hear its moan and that isn't an aberration must succeed on a DC 13 Wisdom saving throw or become frightened until the end of the cloaker's next turn. If a creature's saving throw is successful, the creature is immune to the cloaker's moan for the next 24 hours.</t>
  </si>
  <si>
    <t>Tail|6|1d8+3</t>
  </si>
  <si>
    <t>Melee Weapon Attack: +6 to hit, reach 10 ft., one creature. Hit: 7 (1d8 + 3) slashing damage.</t>
  </si>
  <si>
    <t>Bite|6|2d6+3</t>
  </si>
  <si>
    <t>Melee Weapon Attack: +6 to hit, reach 5 ft., one creature. Hit: 10 (2d6 + 3) piercing damage, and if the target is Large or smaller, the cloaker attaches to it. If the cloaker has advantage against the target, the cloaker attaches to the target's head, and the target is blinded and unable to breathe while the cloaker is attached. While attached, the cloaker can make this attack only against the target and has advantage on the attack roll. The cloaker can detach itself by spending 5 feet of its movement. A creature, including the target, can take its action to detach the cloaker by succeeding on a DC 16 Strength check.</t>
  </si>
  <si>
    <t>The cloaker makes two attacks: one with its bite and one with its tail.</t>
  </si>
  <si>
    <t>Light Sensitivity</t>
  </si>
  <si>
    <t>While in bright light, the cloaker has disadvantage on attack rolls and Wisdom (Perception) checks that rely on sight.</t>
  </si>
  <si>
    <t>While the cloaker remains motionless without its underside exposed, it is indistinguishable from a dark leather cloak.</t>
  </si>
  <si>
    <t>While attached to a creature, the cloaker takes only half the damage dealt to it (rounded down). and that creature takes the other half.</t>
  </si>
  <si>
    <t>4:41</t>
  </si>
  <si>
    <t>+6, 1d8+3</t>
  </si>
  <si>
    <t>https://www.aidedd.org/dnd/monstres.php?vo=Cloaker</t>
  </si>
  <si>
    <t>Cloaker</t>
  </si>
  <si>
    <t>Haste (Recharge 5-6)</t>
  </si>
  <si>
    <t>Until the end of its next turn, the golem magically gains a +2 bonus to its AC, has advantage on Dexterity saving throws, and can use its slam attack as a bonus action.</t>
  </si>
  <si>
    <t>Slam|8|2d10+5</t>
  </si>
  <si>
    <t>Melee Weapon Attack: +8 to hit, reach 5 ft., one target. Hit: 16 (2d10 + 5) bludgeoning damage. If the target is a creature, it must succeed on a DC 15 Constitution saving throw or have its hit point maximum reduced by an amount equal to the damage taken. The target dies if this attack reduces its hit point maximum to 0. The reduction lasts until removed by the greater restoration spell or other magic.</t>
  </si>
  <si>
    <t>Whenever the golem starts its turn with 60 hit points or fewer, roll a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t>
  </si>
  <si>
    <t>Acid Absorption</t>
  </si>
  <si>
    <t>Whenever the golem is subjected to acid damage, it takes no damage and instead regains a number of hit points equal to the acid damage dealt.</t>
  </si>
  <si>
    <t>4:44, 9:27</t>
  </si>
  <si>
    <t>https://www.aidedd.org/dnd/monstres.php?vo=Clay-Golem</t>
  </si>
  <si>
    <t>Clay-Golem</t>
  </si>
  <si>
    <t>Clay Golem</t>
  </si>
  <si>
    <t>One creature grappled by the chuul must succeed on a DC 13 Constitution saving throw or be poisoned for 1 minute. Until this poison ends, the target is paralyzed. The target can repeat the saving throw at the end of each of its turns, ending the effect on itself on a success.</t>
  </si>
  <si>
    <t>Pincer|6|2d6+4</t>
  </si>
  <si>
    <t>Melee Weapon Attack: +6 to hit, reach 10 ft., one target. Hit: 11 (2d6 + 4) bludgeoning damage. The target is grappled (escape DC 14) if it is a Large or smaller creature and the chuul doesn't have two other creatures grappled.</t>
  </si>
  <si>
    <t>The chuul makes two pincer attacks. If the chuul is grappling a creature, the chuul can also use its tentacles once.</t>
  </si>
  <si>
    <t>Sense Magic</t>
  </si>
  <si>
    <t>The chuul senses magic within 120 feet of it at will. This trait otherwise works like the detect magic spell but isn't itself magical.</t>
  </si>
  <si>
    <t>The chuul can breathe air and water.</t>
  </si>
  <si>
    <t>https://www.aidedd.org/dnd/monstres.php?vo=Chuul</t>
  </si>
  <si>
    <t>Chuul</t>
  </si>
  <si>
    <t>Fire Breath (Recharge 5-6)||7d</t>
  </si>
  <si>
    <t>The dragon head exhales fire in a 15-foot cone. Each creature in that area must make a DC 15 Dexterity saving throw, taking 31 (7d8) fire damage on a failed save, or half as much damage on a successful one.</t>
  </si>
  <si>
    <t>Claws|7|2d6+4</t>
  </si>
  <si>
    <t>Horns|7|1d12+4</t>
  </si>
  <si>
    <t>Melee Weapon Attack: +7 to hit, reach 5 ft., one target. Hit: 10 (1d12 + 4) bludgeoning damage.</t>
  </si>
  <si>
    <t>Melee Weapon Attack: +7 to hit, reach 5 ft., one target. Hit: 11 (2d6 + 4) piercing damage.</t>
  </si>
  <si>
    <t>The chimera makes three attacks: one with its bite, one with its horns, and one with its claws. When its fire breath is available, it can use the breath in place of its bite or horns.</t>
  </si>
  <si>
    <t>11:34</t>
  </si>
  <si>
    <t>+7, 1d12+4</t>
  </si>
  <si>
    <t>https://www.aidedd.org/dnd/monstres.php?vo=Chimera</t>
  </si>
  <si>
    <t>Chimera</t>
  </si>
  <si>
    <t>When a creature the devil can see starts its turn within 30 feet of the devil, the devil can create the illusion that it looks like one of the creature's departed loved ones or bitter enemies. If the creature can see the devil, it must succeed on a DC 14 Wisdom saving throw or be frightened until the end of its turn.</t>
  </si>
  <si>
    <t>Unnerving Mask</t>
  </si>
  <si>
    <t>Animate Chains (Recharges after a Short or Long Rest)</t>
  </si>
  <si>
    <t>Up to four chains the devil can see within 60 feet of it magically sprout razor-edged barbs and animate under the devil's control, provided that the chains aren't being worn or carried. ¶Each animated chain is an object with AC 20, 20 hit points, resistance to piercing damage, and immunity to psychic and thunder damage. When the devil uses Multiattack on its turn, it can use each animated chain to make one additional chain attack. An animated chain can grapple one creature of its own but can't make attacks while grappling. An animated chain reverts to its inanimate state if reduced to 0 hit points or if the devil is incapacitated or dies.</t>
  </si>
  <si>
    <t>Chain|8|2d6+4</t>
  </si>
  <si>
    <t>Melee Weapon Attack: +8 to hit, reach 10 ft., one target. Hit: 11 (2d6 + 4) slashing damage. The target is grappled (escape DC 14) if the devil isn't already grappling a creature. Until this grapple ends, the target is restrained and takes 7 (2d6) piercing damage at the start of each of its turns.</t>
  </si>
  <si>
    <t>Chain</t>
  </si>
  <si>
    <t>The devil makes two attacks with its chains.</t>
  </si>
  <si>
    <t>https://www.aidedd.org/dnd/monstres.php?vo=Chain-Devil</t>
  </si>
  <si>
    <t>Chain-Devil</t>
  </si>
  <si>
    <t>Chain Devil</t>
  </si>
  <si>
    <t>Hooves |6|2d6+4</t>
  </si>
  <si>
    <t>Pike|6|1d10+4</t>
  </si>
  <si>
    <t>Melee Weapon Attack: +6 to hit, reach 10 ft., one target. Hit: 9 (1d10 + 4) piercing damage.</t>
  </si>
  <si>
    <t>The centaur makes two attacks: one with its pike and one with its hooves or two with its longbow.</t>
  </si>
  <si>
    <t>Charge||3d6</t>
  </si>
  <si>
    <t>If the centaur moves at least 30 ft. straight toward a target and then hits it with a pike attack on the same turn, the target takes an extra 10 (3d6) piercing damage.</t>
  </si>
  <si>
    <t>+6, 1d10+4</t>
  </si>
  <si>
    <t>https://www.aidedd.org/dnd/monstres.php?vo=Centaur</t>
  </si>
  <si>
    <t>Centaur</t>
  </si>
  <si>
    <t>Claws||1</t>
  </si>
  <si>
    <t>Melee Weapon Attack: +0 to hit, reach 5 ft., one target. Hit: 1 slashing damage.</t>
  </si>
  <si>
    <t>The cat has advantage on Wisdom (Perception) checks that rely on smell.</t>
  </si>
  <si>
    <t>https://www.aidedd.org/dnd/monstres.php?vo=Cat</t>
  </si>
  <si>
    <t>Cat</t>
  </si>
  <si>
    <t>Bite|5|1d4</t>
  </si>
  <si>
    <t>Melee Weapon Attack: +5 to hit, reach 5 ft., one target. Hit: 2 (1d4) bludgeoning damage.</t>
  </si>
  <si>
    <t>https://www.aidedd.org/dnd/monstres.php?vo=Camel</t>
  </si>
  <si>
    <t>Camel</t>
  </si>
  <si>
    <t>Deadly Leap</t>
  </si>
  <si>
    <t>If the bulette jumps at least 15 ft. as part of its movement, it can then use this action to land on its ft. in a space that contains one or more other creatures. Each of those creatures must succeed on a DC 16 Strength or Dexterity saving throw (target's choice) or be knocked prone and take 14 (3d6 + 4) bludgeoning damage plus 14 (3d6 + 4) slashing damage. On a successful save, the creature takes only half the damage, isn't knocked prone, and is pushed 5 ft. out of the bulette's space into an unoccupied space of the creature's choice. If no unoccupied space is within range, the creature instead falls prone in the bulette's space.</t>
  </si>
  <si>
    <t>Bite|7|4d12+4</t>
  </si>
  <si>
    <t>Melee Weapon Attack: +7 to hit, reach 5 ft., one target. Hit: 30 (4d12 + 4) piercing damage.</t>
  </si>
  <si>
    <t>The bulette's long jump is up to 30 ft. and its high jump is up to 15 ft., with or without a running start.</t>
  </si>
  <si>
    <t>4:28</t>
  </si>
  <si>
    <t>+7, 4d12+4</t>
  </si>
  <si>
    <t>https://www.aidedd.org/dnd/monstres.php?vo=Bulette</t>
  </si>
  <si>
    <t>Bulette</t>
  </si>
  <si>
    <t>Melee|4|2d6+2 Ranged|4|1d6+2</t>
  </si>
  <si>
    <t>Melee or Ranged Weapon Attack: +4 to hit, reach 5 ft. or range 30/120 ft., one target. Hit: 9 (2d6 + 2) piercing damage in melee or 5 (1d6 + 2) piercing damage at range.</t>
  </si>
  <si>
    <t>Morningstar|4|2d8+2</t>
  </si>
  <si>
    <t>Melee Weapon Attack: +4 to hit, reach 5 ft., one target. Hit: 11 (2d8 + 2) piercing damage.</t>
  </si>
  <si>
    <t>Surprise Attack||2d6</t>
  </si>
  <si>
    <t>If the bugbear surprises a creature and hits it with an attack during the first round of combat, the target takes an extra 7 (2d6) damage from the attack.</t>
  </si>
  <si>
    <t>A melee weapon deals one extra die of its damage when the bugbear hits with it (included in the attack).</t>
  </si>
  <si>
    <t>9:56</t>
  </si>
  <si>
    <t>1:15</t>
  </si>
  <si>
    <t>https://www.aidedd.org/dnd/monstres.php?vo=Bugbear</t>
  </si>
  <si>
    <t>Bugbear</t>
  </si>
  <si>
    <t>Claws|5|2d6+4</t>
  </si>
  <si>
    <t>Melee Weapon Attack: +5 to hit, reach 5 ft., one target. Hit: 11 (2d6 + 4) slashing damage.</t>
  </si>
  <si>
    <t>Bite|5|1d8+4</t>
  </si>
  <si>
    <t>Weapon Attack: +5 to hit, reach 5 ft., one target. Hit: 8 (1d8 + 4) piercing damage.</t>
  </si>
  <si>
    <t>https://www.aidedd.org/dnd/monstres.php?vo=Brown-Bear</t>
  </si>
  <si>
    <t>Brown-Bear</t>
  </si>
  <si>
    <t>Brown Bear</t>
  </si>
  <si>
    <t>Lightning Breath||3d10</t>
  </si>
  <si>
    <t>The dragon uses one of the following breath weapons. ¶Lightning Breath. The dragon exhales lightning in a 40-foot line that is 5 feet wide. Each creature in that line must make a DC 12 Dexterity saving throw, taking 16 (3d10) lightning damage on a failed save, or half as much damage on a successful one. ¶Repulsion Breath. The dragon exhales repulsion energy in a 30-foot cone. Each creature in that area must succeed on a DC 12 Strength saving throw. On a failed save, the creature is pushed 30 feet away from the dragon.</t>
  </si>
  <si>
    <t>https://www.aidedd.org/dnd/monstres.php?vo=Bronze-Dragon-Wyrmling</t>
  </si>
  <si>
    <t>Bronze-Dragon-Wyrmling</t>
  </si>
  <si>
    <t>Bronze Dragon Wyrmling</t>
  </si>
  <si>
    <t>Fire Breath||4d6</t>
  </si>
  <si>
    <t>The dragon uses one of the following breath weapons. ¶Fire Breath. The dragon exhales fire in an 20-foot line that is 5 feet wide. Each creature in that line must make a DC 11 Dexterity saving throw, taking 14 (4d6) fire damage on a failed save, or half as much damage on a successful one. ¶Sleep Breath. The dragon exhales sleep gas in a 15-foot cone. Each creature in that area must succeed on a DC 11 Constitution saving throw or fall unconscious for 1 minute. This effect ends for a creature if the creature takes damage or someone uses an action to wake it.</t>
  </si>
  <si>
    <t>https://www.aidedd.org/dnd/monstres.php?vo=Brass-Dragon-Wyrmling</t>
  </si>
  <si>
    <t>Brass-Dragon-Wyrmling</t>
  </si>
  <si>
    <t>Brass Dragon Wyrmling</t>
  </si>
  <si>
    <t>Sting|8|2d8+4+5d6</t>
  </si>
  <si>
    <t>Melee Weapon Attack: +8 to hit, reach 10 ft., one target. Hit: 13 (2d8 + 4) piercing damage plus 17 (5d6) poison damage, and the target must succeed on a DC 14 Constitution saving throw or become poisoned for 1 minute. The target can repeat the saving throw at the end of each of its turns, ending the effect on itself on a success .</t>
  </si>
  <si>
    <t>Claw|8|1d8+4</t>
  </si>
  <si>
    <t>Melee Weapon Attack: +8 to hit, reach 10 ft., one target. Hit: 8 (1d8 + 4) slashing damage.</t>
  </si>
  <si>
    <t>The devil makes three attacks: two with its claws and one with its sting.</t>
  </si>
  <si>
    <t>https://www.aidedd.org/dnd/monstres.php?vo=Bone-Devil</t>
  </si>
  <si>
    <t>Bone-Devil</t>
  </si>
  <si>
    <t>Bone Devil</t>
  </si>
  <si>
    <t>Tusk|3|1d6+1</t>
  </si>
  <si>
    <t>Weapon Attack: +3 to hit, reach 5 ft., one target. Hit: 4 (1d6 + 1) slashing damage.</t>
  </si>
  <si>
    <t>If the boar takes 7 damage or less that would reduce it to 0 hit points, it is reduced to 1 hit point instead.</t>
  </si>
  <si>
    <t>Charge||1d6</t>
  </si>
  <si>
    <t>If the boar moves at least 20 ft. straight toward a target and then hits it with a tusk attack on the same turn, the target takes an extra 3 (1d6) slashing damage. If the target is a creature, it must succeed on a DC 11 Strength saving throw or be knocked prone.</t>
  </si>
  <si>
    <t>11:33</t>
  </si>
  <si>
    <t>https://www.aidedd.org/dnd/monstres.php?vo=Boar</t>
  </si>
  <si>
    <t>Boar</t>
  </si>
  <si>
    <t>Lightning Breath||4d10</t>
  </si>
  <si>
    <t>The dragon exhales lightning in a 30-foot line that is 5 feet wide. Each creature in that line must make a DC 12 Dexterity saving throw, taking 22 (4d10) lightning damage on a failed save, or half as much damage on a successful one.</t>
  </si>
  <si>
    <t>Bite|5|1d10+3+1d6</t>
  </si>
  <si>
    <t>Melee Weapon Attack: +5 to hit, reach 5 ft., one target. Hit: 8 (1d10 + 3) piercing damage plus 3 (1d6) lightning damage.</t>
  </si>
  <si>
    <t>https://www.aidedd.org/dnd/monstres.php?vo=Blue-Dragon-Wyrmling</t>
  </si>
  <si>
    <t>Blue-Dragon-Wyrmling</t>
  </si>
  <si>
    <t>Blue Dragon Wyrmling</t>
  </si>
  <si>
    <t>Beak|4|1d4+2</t>
  </si>
  <si>
    <t>The hawk has advantage on an attack roll against a creature if at least one of the hawk's allies is within 5 ft. of the creature and the ally isn't incapacitated.</t>
  </si>
  <si>
    <t>https://www.aidedd.org/dnd/monstres.php?vo=Blood-Hawk</t>
  </si>
  <si>
    <t>Blood-Hawk</t>
  </si>
  <si>
    <t>Blood Hawk</t>
  </si>
  <si>
    <t>Teleport (Recharge 4-6)</t>
  </si>
  <si>
    <t>The dog magically teleports, along with any equipment it is wearing or carrying, up to 40 ft. to an unoccupied space it can see. Before or after teleporting, the dog can make one bite attack.</t>
  </si>
  <si>
    <t>The dog has advantage on Wisdom (Perception) checks that rely on hearing or smell.</t>
  </si>
  <si>
    <t>https://www.aidedd.org/dnd/monstres.php?vo=Blink-Dog</t>
  </si>
  <si>
    <t>Blink-Dog</t>
  </si>
  <si>
    <t>Blink Dog</t>
  </si>
  <si>
    <t>When a pudding that is Medium or larger is subjected to lightning or slashing damage, it splits into two new puddings if it has at least 10 hit points. Each new pudding has hit points equal to half the original pudding's, rounded down. New puddings are one size smaller than the original pudding.</t>
  </si>
  <si>
    <t>Pseudopod|5|1d6+3+4d8</t>
  </si>
  <si>
    <t>Melee Weapon Attack: +5 to hit, reach 5 ft., one target. Hit: 6 (1d6 + 3) bludgeoning damage plus 18 (4d8) acid damage. In addition, nonmagical armor worn by the target is partly dissolved and takes a permanent and cumulative -1 penalty to the AC it offers. The armor is destroyed if the penalty reduces its AC to 10.</t>
  </si>
  <si>
    <t>The pudding can climb difficult surfaces, including upside down on ceilings, without needing to make an ability check.</t>
  </si>
  <si>
    <t>Corrosive Form||1d8</t>
  </si>
  <si>
    <t>A creature that touches the pudding or hits it with a melee attack while within 5 feet of it takes 4 (1d8) acid damage. Any nonmagical weapon made of metal or wood that hits the pudding corrodes. After dealing damage, the weapon takes a permanent and cumulative -1 penalty to damage rolls. If its penalty drops to -5, the weapon is destroyed. Nonmagical ammunition made of metal or wood that hits the pudding is destroyed after dealing damage. The pudding can eat through 2-inch-thick, nonmagical wood or metal in 1 round.</t>
  </si>
  <si>
    <t>Corrosive Form</t>
  </si>
  <si>
    <t>The pudding can move through a space as narrow as 1 inch wide without squeezing.</t>
  </si>
  <si>
    <t>3:24, 7:33</t>
  </si>
  <si>
    <t>3:24, 4:27</t>
  </si>
  <si>
    <t>+5, 4d8+3</t>
  </si>
  <si>
    <t>https://www.aidedd.org/dnd/monstres.php?vo=Black-Pudding</t>
  </si>
  <si>
    <t>Black-Pudding</t>
  </si>
  <si>
    <t>Black Pudding</t>
  </si>
  <si>
    <t>Acid Breath||5d8</t>
  </si>
  <si>
    <t>The dragon exhales acid in a 15-foot line that is 5 feet wide. Each creature in that line must make a DC 11 Dexterity saving throw, taking 22 (Sd8) acid damage on a failed save, or half as much damage on a successful one.</t>
  </si>
  <si>
    <t>Melee Weapon Attack: +4 to hit, reach 5 ft., one target. Hit: 7 (1d10 + 2) piercing damage plus 2 (1d4) acid damage.</t>
  </si>
  <si>
    <t>6:26</t>
  </si>
  <si>
    <t>https://www.aidedd.org/dnd/monstres.php?vo=Black-Dragon-Wyrmling</t>
  </si>
  <si>
    <t>Black-Dragon-Wyrmling</t>
  </si>
  <si>
    <t>Black Dragon Wyrmling</t>
  </si>
  <si>
    <t>Claws|3|2d4+2</t>
  </si>
  <si>
    <t>Melee Weapon Attack: +3 to hit, reach 5 ft., one target. Hit: 7 (2d4 + 2) slashing damage.</t>
  </si>
  <si>
    <t>Bite|3|1d6+2</t>
  </si>
  <si>
    <t>Melee Weapon Attack: +3 to hit, reach 5 ft., one target. Hit: 5 (1d6 + 2) piercing damage.</t>
  </si>
  <si>
    <t>https://www.aidedd.org/dnd/monstres.php?vo=Black-Bear</t>
  </si>
  <si>
    <t>Black-Bear</t>
  </si>
  <si>
    <t>Black Bear</t>
  </si>
  <si>
    <t>Greataxe |5|1d12+3</t>
  </si>
  <si>
    <t>At the start of its turn, the berserker can gain advantage on all melee weapon attack rolls during that turn, but attack rolls against it have advantage until the start of its next turn.</t>
  </si>
  <si>
    <t>3:22</t>
  </si>
  <si>
    <t>9:29, 12:25, 12:27</t>
  </si>
  <si>
    <t>*C</t>
  </si>
  <si>
    <t>https://www.aidedd.org/dnd/monstres.php?vo=Berserker</t>
  </si>
  <si>
    <t>Berserker</t>
  </si>
  <si>
    <t>Acid Damage||6d6</t>
  </si>
  <si>
    <t>The behir makes one bite attack against a Medium or smaller target it is grappling. If the attack hits, the target is also swallowed, and the grapple ends. While swallowed, the target is blinded and restrained, it has total cover against attacks and other effects outside the behir, and it takes 21 (6d6) acid damage at the start of each of the behir's turns. A behir can have only one creature swallowed at a time. ¶If the behir takes 30 damage or more on a single turn from the swallowed creature, the behir must succeed on a DC 14 Constitution saving throw at the end of that turn or regurgitate the creature, which falls prone in a space within 10 ft. of the behir. If the behir dies, a swallowed creature is no longer restrained by it and can escape from the corpse by using 15 ft. of movement, exiting prone</t>
  </si>
  <si>
    <t>Lightning Breath||12d10</t>
  </si>
  <si>
    <t>The behir exhales a line of lightning that is 20 ft. long and 5 ft. wide. Each creature in that line must make a DC 16 Dexterity saving throw, taking 66 (12d10) lightning damage on a failed save, or half as much damage on a successful one.</t>
  </si>
  <si>
    <t>Constrict|10|2d10+6+2d10+6</t>
  </si>
  <si>
    <t>Melee Weapon Attack: +10 to hit, reach 5 ft., one Large or smaller creature. Hit: 17 (2d10 + 6) bludgeoning damage plus 17 (2d10 + 6) slashing damage. The target is grappled (escape DC 16) if the behir isn't already constricting a creature, and the target is restrained until this grapple ends.</t>
  </si>
  <si>
    <t>Bite|10|3d10+6</t>
  </si>
  <si>
    <t>Melee Weapon Attack: +10 to hit, reach 10 ft., one target. Hit: 22 (3d10 + 6) piercing damage.</t>
  </si>
  <si>
    <t>The behir makes two attacks: one with its bite and one to constrict.</t>
  </si>
  <si>
    <t>13:36</t>
  </si>
  <si>
    <t>+10, 4d10+12</t>
  </si>
  <si>
    <t>+10, 3d10+6</t>
  </si>
  <si>
    <t>https://www.aidedd.org/dnd/monstres.php?vo=Behir</t>
  </si>
  <si>
    <t>Behir</t>
  </si>
  <si>
    <t>Glaive|5|1d10+3</t>
  </si>
  <si>
    <t>Melee Weapon Attack: +5 to hit, reach 10 ft., one target. Hit: 8 (1d10 + 3) slashing damage. If the target is a creature other than an undead or a construct, it must succeed on a DC 12 Constitution saving throw or lose 5 (1d10) hit points at the start of each of its turns due to an infernal wound. Each time the devil hits the wounded target with this attack, the damage dealt by the wound increases by 5 (1d10). Any creature can take an action to stanch the wound with a successful DC 12 Wisdom (Medicine) check. The wound also closes if the target receives magical healing.</t>
  </si>
  <si>
    <t>Beard|5|1d8+2</t>
  </si>
  <si>
    <t>Melee Weapon Attack: +5 to hit, reach 5 ft., one creature. Hit: 6 (1d8 + 2) piercing damage, and the target must succeed on a DC 12 Constitution saving throw or be poisoned for 1 minute. While poisoned in this way, the target can't regain hit points. The target can repeat the saving throw at the end of each of its turns, ending the effect on itself on a success.</t>
  </si>
  <si>
    <t>Beard</t>
  </si>
  <si>
    <t>The devil makes two attacks: one with its beard and one with its glaive.</t>
  </si>
  <si>
    <t>Steadfast</t>
  </si>
  <si>
    <t>The devil can't be frightened while it can see an allied creature within 30 feet of it.</t>
  </si>
  <si>
    <t>+4, 1d10+3</t>
  </si>
  <si>
    <t>https://www.aidedd.org/dnd/monstres.php?vo=Bearded-Devil</t>
  </si>
  <si>
    <t>Bearded-Devil</t>
  </si>
  <si>
    <t>Bearded Devil</t>
  </si>
  <si>
    <t>Melee Weapon Attack: +0 to hit, reach 5 ft., one creature. Hit: 1 piercing damage.</t>
  </si>
  <si>
    <t>10:30</t>
  </si>
  <si>
    <t>https://www.aidedd.org/dnd/monstres.php?vo=Bat</t>
  </si>
  <si>
    <t>Bat</t>
  </si>
  <si>
    <t>Bite |5|2d6+3+2d6</t>
  </si>
  <si>
    <t>Melee Weapon Attack: +5 to hit, reach 5 ft., one target. Hit: 10 (2d6 + 3) piercing damage plus 7 (2d6) poison damage.</t>
  </si>
  <si>
    <t>If a creature starts its turn within 30 ft. of the basilisk and the two of them can see each other, the basilisk can force the creature to make a DC 12 Constitution saving throw if the basilisk isn't incapacitated. On a failed save, the creature magically begins to turn to stone and is restrained. It must repeat the saving throw at the end of its next turn. On a success, the effect ends. On a failure, the creature is petrified until freed by the greater restoration spell or other magic. ¶A creature that isn't surprised can avert its eyes to avoid the saving throw at the start of its turn. If it does so, it can't see the basilisk until the start of its next turn, when it can avert its eyes again. If it looks at the basilisk in the meantime, it must immediately make the save. ¶If the basilisk sees its reflection within 30 ft. of it in bright light, it mistakes itself for a rival and targets itself with its gaze.</t>
  </si>
  <si>
    <t>10:31</t>
  </si>
  <si>
    <t>https://www.aidedd.org/dnd/monstres.php?vo=Basilisk</t>
  </si>
  <si>
    <t>Basilisk</t>
  </si>
  <si>
    <t>Flame|5|3d6</t>
  </si>
  <si>
    <t>Ranged Spell Attack: +5 to hit, range 150 ft., one target. Hit: 10 (3d6) fire damage. If the target is a flammable object that isn't being worn or carried, it also catches fire.</t>
  </si>
  <si>
    <t>Tail|6|2d6+3</t>
  </si>
  <si>
    <t>Melee Weapon Attack: +6 to hit, reach 5 ft ., one target. Hit: 6 (1d6 + 3) piercing damage.</t>
  </si>
  <si>
    <t>The devil makes three melee attacks: one with its tail and two with its claws. Alternatively, it can use Hurl Flame twice.</t>
  </si>
  <si>
    <t>Barbed Hide||1d10</t>
  </si>
  <si>
    <t>At the start of each of its turns, the barbed devil deals 5 (1d10) piercing damage to any creature grappling it.</t>
  </si>
  <si>
    <t>Barbed Hide</t>
  </si>
  <si>
    <t>https://www.aidedd.org/dnd/monstres.php?vo=Barbed-Devil</t>
  </si>
  <si>
    <t>Barbed-Devil</t>
  </si>
  <si>
    <t>Barbed Devil</t>
  </si>
  <si>
    <t>Wail (1/Day)</t>
  </si>
  <si>
    <t>The banshee releases a mournful wail, provided that she isn't in sunlight. This wail has no effect on constructs and undead. All other creatures within 30 ft. of her that can hear her must make a DC 13 Constitution saving throw. On a failure, a creature drops to 0 hit points. On a success, a creature takes 10 (3d6) psychic damage.The woeful banshee is a spiteful creature formed from the spirit of a female elf. Its face is wreathed in a wild tangle of hair, its body clad in wispy rags that flutter and stream around it.</t>
  </si>
  <si>
    <t>Each non-undead creature within 60 ft. of the banshee that can see her must succeed on a DC 13 Wisdom saving throw or be frightened for 1 minute. A frightened target can repeat the saving throw at the end of each of its turns, with disadvantage if the banshee is within line of sight, ending the effect on itself on a success. If a target's saving throw is successful or the effect ends for it, the target is immune to the banshee's Horrifying Visage for the next 24 hours.</t>
  </si>
  <si>
    <t>Corrupting Touch|4|3d6+2</t>
  </si>
  <si>
    <t>Melee Spell Attack: +4 to hit, reach 5 ft., one target. Hit: 12 (3d6 + 2) necrotic damage.</t>
  </si>
  <si>
    <t>Corrupting Touch</t>
  </si>
  <si>
    <t>The banshee can move through other creatures and objects as if they were difficult terrain. She takes 5 (1d10) force damage if she ends her turn inside an object.</t>
  </si>
  <si>
    <t>Detect Life</t>
  </si>
  <si>
    <t>The banshee can magically sense the presence of living creatures up to 5 miles away that aren't  undead or constructs. She knows the general direction they're in but not their exact locations.</t>
  </si>
  <si>
    <t>https://www.aidedd.org/dnd/monstres.php?vo=Banshee</t>
  </si>
  <si>
    <t>Banshee</t>
  </si>
  <si>
    <t>The captain adds 2 to its AC against one melee attack that would hit it. To do so, the captain must see the attacker and be wielding a melee weapon.</t>
  </si>
  <si>
    <t>Melee or Ranged Weapon Attack: +5 to hit, reach 5 ft. or range 20/60 ft., one target. Hit: 5 (1d4 + 3) piercing damage.</t>
  </si>
  <si>
    <t>The captain makes three melee attacks: two with its scimitar and one with its dagger. Or the captain makes two ranged attacks with its daggers.</t>
  </si>
  <si>
    <t>5:24</t>
  </si>
  <si>
    <t>5:19, 6:26, 14:20</t>
  </si>
  <si>
    <t>!L</t>
  </si>
  <si>
    <t>https://www.aidedd.org/dnd/monstres.php?vo=Bandit-Captain</t>
  </si>
  <si>
    <t>Bandit-Captain</t>
  </si>
  <si>
    <t>Bandit Captain</t>
  </si>
  <si>
    <t>Light Crossbow|3|1d8+1</t>
  </si>
  <si>
    <t>Ranged Weapon Attack: +3 to hit, range 80 ft./320 ft., one target. Hit: 5 (1d8 + 1) piercing damage.</t>
  </si>
  <si>
    <t>Light Crossbow</t>
  </si>
  <si>
    <t>Melee Weapon Attack: +3 to hit, reach 5 ft., one target. Hit: 4 (1d6 + 1) slashing damage.</t>
  </si>
  <si>
    <t>5:23</t>
  </si>
  <si>
    <t>1:19, 2:22, 3:22/23, 7:20</t>
  </si>
  <si>
    <t>1:10, 3:29, 4:21, 9:26</t>
  </si>
  <si>
    <t>https://www.aidedd.org/dnd/monstres.php?vo=Bandit</t>
  </si>
  <si>
    <t>Bandit</t>
  </si>
  <si>
    <t>The demon chooses what to summon and attempts a magical summoning. ¶A balor has a 50 percent chance of summoning 1d8 vrocks, 1d6 hezrous, 1d4 glabrezus, 1d3 nalfeshnees, 1d2 mariliths, or one goristro. ¶A summoned demon appears in an unoccupied space within 60 feet of its summoner, acts as an ally of its summoner, and can't summon other demons. It remains for 1 minute, until it or its summoner dies, or until its summoner dismisses it as an action.</t>
  </si>
  <si>
    <t>The balor magically teleports, along with any equipment it is wearing or carrying, up to 120 feet to an unoccupied space it can see.</t>
  </si>
  <si>
    <t>Whip|14|2d6+8+3d6</t>
  </si>
  <si>
    <t>Melee Weapon Attack: +14 to hit, reach 30 ft., one target. Hit: 15 (2d6 + 8) slashing damage plus 10 (3d6) fire damage, and the target must succeed on a DC 20 Strength saving throw or be pulled up to 25 feet toward the balor.</t>
  </si>
  <si>
    <t>Whip</t>
  </si>
  <si>
    <t>Longsword|14|3d8+8+3d8</t>
  </si>
  <si>
    <t>Melee Weapon Attack: +14 to hit, reach 10 ft., one target. Hit: 21 (3d8 + 8) slashing damage plus 13 (3d8) lightning damage. If the balor scores a critical hit, it rolls damage dice three times, instead of twice.</t>
  </si>
  <si>
    <t>The balor makes two attacks: one with its longsword and one with its whip.</t>
  </si>
  <si>
    <t>The balor's weapon attacks are magical.</t>
  </si>
  <si>
    <t>The balor has advantage on saving throws against spells and other magical effects.</t>
  </si>
  <si>
    <t>Fire Aura||3d6</t>
  </si>
  <si>
    <t>At the start of each of the balor's turns, each creature within 5 feet of it takes 10 (3d6) fire damage, and flammable objects in the aura that aren't being worn or carried ignite. A creature that touches the balor or hits it with a melee attack while within 5 feet of it takes 10 (3d6) fire damage.</t>
  </si>
  <si>
    <t>Fire Aura</t>
  </si>
  <si>
    <t>Death Throes||20d6</t>
  </si>
  <si>
    <t>When the balor dies, it explodes, and each creature within 30 feet of it must make a DC 20 Dexterity saving throw, taking 70 (20d6) fire damage on a failed save, or half as much damage on a successful one. The explosion ignites flammable objects in that area that aren't being worn or carried, and it destroys the balor's weapons.</t>
  </si>
  <si>
    <t>Death Throes</t>
  </si>
  <si>
    <t>+14, 2d6+8</t>
  </si>
  <si>
    <t>+14, 3d8+8</t>
  </si>
  <si>
    <t>https://www.aidedd.org/dnd/monstres.php?vo=Balor</t>
  </si>
  <si>
    <t>Balor</t>
  </si>
  <si>
    <t>Bite|2|1</t>
  </si>
  <si>
    <t>Melee Weapon Attack: +2 to hit, reach 5 ft., one target. Hit: 1 piercing damage.</t>
  </si>
  <si>
    <t>https://www.aidedd.org/dnd/monstres.php?vo=Badger</t>
  </si>
  <si>
    <t>Badger</t>
  </si>
  <si>
    <t>The baboon has advantage on an attack roll against a creature if at least one of the baboon's allies is within 5 ft. of the creature and the ally isn't incapacitated.</t>
  </si>
  <si>
    <t>https://www.aidedd.org/dnd/monstres.php?vo=Baboon</t>
  </si>
  <si>
    <t>Baboon</t>
  </si>
  <si>
    <t>Warhammer|5|1d8+3+1d6</t>
  </si>
  <si>
    <t>Melee Weapon Attack: +5 to hit, reach 5 ft., one target. Hit: 7 (1d8 + 3) bludgeoning damage, or 8 (1d10 + 3) bludgeoning damage if used with two hands to make a melee attack, plus 3 (1d6) fire damage.</t>
  </si>
  <si>
    <t>Warhammer</t>
  </si>
  <si>
    <t>The azer sheds bright light in a 10-foot radius and dim light for an additional 10 ft..</t>
  </si>
  <si>
    <t>When the azer hits with a metal melee weapon, it deals an extra 3 (1d6) fire damage (included in the attack).</t>
  </si>
  <si>
    <t>Heated Body||1d10</t>
  </si>
  <si>
    <t>A creature that touches the azer or hits it with a melee attack while within 5 ft. of it takes 5 (1d10) fire damage.</t>
  </si>
  <si>
    <t>https://www.aidedd.org/dnd/monstres.php?vo=Azer</t>
  </si>
  <si>
    <t>Azer</t>
  </si>
  <si>
    <t>Beak|4|1d8+2</t>
  </si>
  <si>
    <t>Melee Weapon Attack: +4 to hit, reach 5 ft., one target. Hit: 6 (1d8 + 2) slashing damage.</t>
  </si>
  <si>
    <t>6:33</t>
  </si>
  <si>
    <t>https://www.aidedd.org/dnd/monstres.php?vo=Axe-Beak</t>
  </si>
  <si>
    <t>Axe-Beak</t>
  </si>
  <si>
    <t>Axe Beak</t>
  </si>
  <si>
    <t>Slam|6|3d6+4</t>
  </si>
  <si>
    <t>Melee Weapon Attack: +6 to hit, reach 10 ft., one target. Hit: 14 (3d6 + 4) bludgeoning damage.</t>
  </si>
  <si>
    <t>While the tree remains motionless, it is indistinguishable from a normal tree.</t>
  </si>
  <si>
    <t>12:25</t>
  </si>
  <si>
    <t>https://www.aidedd.org/dnd/monstres.php?vo=Awakened-Tree</t>
  </si>
  <si>
    <t>Awakened-Tree</t>
  </si>
  <si>
    <t>Awakened Tree</t>
  </si>
  <si>
    <t>Rake|1|1d4-1</t>
  </si>
  <si>
    <t>Melee Weapon Attack: +1 to hit, reach 5 ft., one target. Hit: 1 (1d4 - 1) slashing damage.</t>
  </si>
  <si>
    <t>Rake</t>
  </si>
  <si>
    <t>While the shrub remains motionless, it is indistinguishable from a normal shrub.</t>
  </si>
  <si>
    <t>https://www.aidedd.org/dnd/monstres.php?vo=Awakened-Shrub</t>
  </si>
  <si>
    <t>Awakened-Shrub</t>
  </si>
  <si>
    <t>Awakened Shrub</t>
  </si>
  <si>
    <t>Light Crossbow|6|1d8+3</t>
  </si>
  <si>
    <t>Ranged Weapon Attack: +6 to hit, range 80/320 ft., one target. Hit: 7 (1d8 + 3) piercing damage, and the target must make a DC 15 Constitution saving throw, taking 24 (7d6) poison damage on a failed save, or half as much damage on a successful one.</t>
  </si>
  <si>
    <t>Shortsword|6|1d6+3</t>
  </si>
  <si>
    <t>Melee Weapon Attack: +6 to hit, reach 5 ft., one target. Hit: 6 (1d6 + 3) piercing damage, and the target must make a DC 15 Constitution saving throw, taking 24 (7d6) poison damage on a failed save, or half as much damage on a successful one.</t>
  </si>
  <si>
    <t>The assassin makes two shortsword attacks.</t>
  </si>
  <si>
    <t>Sneak Attack||4d6</t>
  </si>
  <si>
    <t>The assassin deals an extra 13 (4d6) damage when it hits a target with a weapon attack and has advantage on the attack roll, or when the target is within 5 ft. of an ally of the assassin that isn't incapacitated and the assassin doesn't have disadvantage on the attack roll.</t>
  </si>
  <si>
    <t>Evasion</t>
  </si>
  <si>
    <t>If the assassin is subjected to an effect that allows it to make a Dexterity saving throw to take only half damage, the assassin instead takes no damage if it succeeds on the saving throw, and only half damage if it fails.</t>
  </si>
  <si>
    <t>Assassinate</t>
  </si>
  <si>
    <t>During its first turn, the assassin has advantage on attack rolls against any creature that hasn't taken a turn. Any hit the assassin scores against a surprised creature is a critical hit.</t>
  </si>
  <si>
    <t>https://www.aidedd.org/dnd/monstres.php?vo=Assassin</t>
  </si>
  <si>
    <t>Assassin</t>
  </si>
  <si>
    <t>Dagger|6|1d4+2</t>
  </si>
  <si>
    <t>Melee or Ranged Weapon Attack: +6 to hit, reach 5 ft. or range 20/60 ft., one target. Hit: 4 (1d4 + 2) piercing damage.</t>
  </si>
  <si>
    <t>The archmage is an 18th-level spellcaster. Its spellcasting ability is Intelligence (spell save DC 17, +9 to hit with spell attacks). The archmage can cast disguise self and invisibility at will and has the following wizard spells prepared: ‚Ä¢ Cantrips (at will): fire bolt, light, mage hand, prestidigitation, shocking grasp ¶‚Ä¢ 1st level (4 slots): detect magic, identify, mage armor*, magic missile ¶‚Ä¢ 2nd level (3 slots): detect thoughts, mirror image, misty step ¶‚Ä¢ 3rd level (3 slots): counterspell,fly, lightning bolt ¶‚Ä¢ 4th level (3 slots): banishment, fire shield, stoneskin* ¶‚Ä¢ 5th level (3 slots): cone of cold, scrying, wall of force ¶‚Ä¢ 6th level (1 slot): globe of invulnerability ¶‚Ä¢ 7th level (1 slot): teleport ¶‚Ä¢ 8th level (1 slot): mind blank* ¶‚Ä¢ 9th level (1 slot): time stop ¶* The archmage casts these spells on itself before combat.</t>
  </si>
  <si>
    <t>The archmage has advantage on saving throws against spells and other magical effects.</t>
  </si>
  <si>
    <t>+6, 1d4+2</t>
  </si>
  <si>
    <t>https://www.aidedd.org/dnd/monstres.php?vo=Archmage</t>
  </si>
  <si>
    <t>The apprentices is a 1st-level spellcaster. Its spellcasting ability is Intelligence (spell save DC 12, +4 to hit with spell attacks). Spells on p194</t>
  </si>
  <si>
    <t>Apprentice Wizard</t>
  </si>
  <si>
    <t>Rock|5|1d6+3</t>
  </si>
  <si>
    <t>Ranged Weapon Attack: +5 to hit, range 25/50 ft., one target. Hit: 6 (1d6 + 3) bludgeoning damage.</t>
  </si>
  <si>
    <t>Fist|5|1d6+3</t>
  </si>
  <si>
    <t>https://www.aidedd.org/dnd/monstres.php?vo=Ape</t>
  </si>
  <si>
    <t>Ape</t>
  </si>
  <si>
    <t>Tail|7|4d6+4</t>
  </si>
  <si>
    <t>Melee Weapon Attack: +7 to hit, reach 10 ft., one target. Hit: 18 (4d6 + 4) bludgeoning damage. If the target is a creature, it must succeed on a DC 14 Strength saving throw or be knocked prone.</t>
  </si>
  <si>
    <t>+6, 4d6+4</t>
  </si>
  <si>
    <t>https://www.aidedd.org/dnd/monstres.php?vo=Ankylosaurus</t>
  </si>
  <si>
    <t>Ankylosaurus</t>
  </si>
  <si>
    <t>Acid Spray||3d6</t>
  </si>
  <si>
    <t>The ankheg spits acid in a line that is 30 ft. long and 5 ft. wide, provided that it has no creature grappled. Each creature in that line must make a DC 13 Dexterity saving throw, taking 10 (3d6) acid damage on a failed save, or half as much damage on a successful one.</t>
  </si>
  <si>
    <t>Acid Spray (Recharge 6)</t>
  </si>
  <si>
    <t>Bite|5|2d6+3+1d6</t>
  </si>
  <si>
    <t>Melee Weapon Attack: +5 to hit, reach 5 ft., one target. Hit: 10 (2d6 + 3) slashing damage plus 3 (1d6) acid damage. If the target is a Large or smaller creature, it is grappled (escape DC 13). Until this grapple ends, the ankheg can bite only the grappled creature and has advantage on attack rolls to do so.</t>
  </si>
  <si>
    <t>1:25</t>
  </si>
  <si>
    <t>+5, 3d6</t>
  </si>
  <si>
    <t>+5, 3d6+3</t>
  </si>
  <si>
    <t>https://www.aidedd.org/dnd/monstres.php?vo=Ankheg</t>
  </si>
  <si>
    <t>Ankheg</t>
  </si>
  <si>
    <t>Slam|4|1d6+2</t>
  </si>
  <si>
    <t>The armor makes two melee attacks.</t>
  </si>
  <si>
    <t>While the armor remains motionless, it is indistinguishable from a normal suit of armor.</t>
  </si>
  <si>
    <t>The armor is incapacitated while in the area of an antimagic field. If targeted by dispel magic, the armor must succeed on a Constitution saving throw against the caster's spell save DC or fall unconscious for 1 minute.</t>
  </si>
  <si>
    <t>2:24, 11:33</t>
  </si>
  <si>
    <t>https://www.aidedd.org/dnd/monstres.php?vo=Animated-Armor</t>
  </si>
  <si>
    <t>Animated-Armor</t>
  </si>
  <si>
    <t>Animated Armor</t>
  </si>
  <si>
    <t>Roar (3/Day)</t>
  </si>
  <si>
    <t>The sphinx emits a magical roar. Each time it roars before finishing a long rest, the roar is louder and the effect is different, as detailed below. Each creature within 500 feet of the sphinx and able to hear the roar must make a saving throw. First Roar. Each creature that fails a DC 18 Wisdom saving throw is frightened for 1 minute. A frightened creature can repeat the saving throw at the end of each of its turns, ending the effect on itself on a success. Second Roar. Each creature that fails a DC 18 Wisdom saving throw is deafened and frightened for 1 minute. A frightened creature is paralyzed and can repeat the saving throw at the end of each of its turns, ending the effect on itself on a success. Third Roar. Each creature makes a DC 18 Constitution saving throw. On a failed save, a creature takes 44 (8d10) thunder damage and is knocked prone. On a successful save, the creature takes half as much damage and isn't knocked prone.</t>
  </si>
  <si>
    <t>Claw|12|2d10+6</t>
  </si>
  <si>
    <t>Melee Weapon Attack: +12 to hit, reach 5 ft., one target. Hit: 17 (2d10 + 6) slashing damage.</t>
  </si>
  <si>
    <t>The sphinx is a 12th-level spellcaster. Its spellcasting ability is Wisdom (spell save DC 18, +10 to hit with spell attacks). It requires no material components to cast its spells. The sphinx has the following cleric spells prepared: ‚Ä¢ Cantrips (at will): sacred flame, spare the dying, thaumaturgy ¶‚Ä¢ 1st level (4 slots): command, detect evil and good, detect magic ¶‚Ä¢ 2nd level (3 slots): lesser restoration, zone of truth ¶‚Ä¢ 3rd level (3 slots): dispel magic, tongues ¶‚Ä¢ 4th level (3 slots): banishment, freedom of movement ¶‚Ä¢ 5th level (2 slots): flame strike, greater restoration ¶‚Ä¢ 6th level (1 slot): heroes' feast</t>
  </si>
  <si>
    <t>+12, 2d10+6</t>
  </si>
  <si>
    <t>https://www.aidedd.org/dnd/monstres.php?vo=Androsphinx</t>
  </si>
  <si>
    <t>Androsphinx</t>
  </si>
  <si>
    <t>Cold Breath||16d8</t>
  </si>
  <si>
    <t>The dragon exhales an icy blast in a 90-foot cone. Each creature in that area must make a DC 22 Constitution saving throw, taking 72 (l6d8) cold damage on a failed save, or half as much damage on a successful one.</t>
  </si>
  <si>
    <t>Each creature of the dragon's choice that is within 120 feet of the dragon and aware of it must succeed on a DC 16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t>
  </si>
  <si>
    <t>Tail|14|2d8+8</t>
  </si>
  <si>
    <t>Melee Weapon Attack: +14 to hit, reach 20 ft., one target. Hit: 17 (2d8 + 8) bludgeoning damage.</t>
  </si>
  <si>
    <t>Claw|14|2d6+8</t>
  </si>
  <si>
    <t>Melee Weapon Attack: +14 to hit, reach 10 ft., one target. Hit: 15 (2d6 + 8) slashing damage.</t>
  </si>
  <si>
    <t>Bite|14|2d10+8+2d8</t>
  </si>
  <si>
    <t>Melee Weapon Attack: +14 to hit, reach 15 ft., one target. Hit: 19 (2d10 + 8) piercing damage plus 9 (2d8) cold damage.</t>
  </si>
  <si>
    <t>The dragon can use its Frightful Presence. It then makes three attacks: one with its bite and two with its claws.</t>
  </si>
  <si>
    <t>If the dragon fails a saving throw, it can choose to succeed instead.</t>
  </si>
  <si>
    <t>+14, 2d10+8</t>
  </si>
  <si>
    <t>https://www.aidedd.org/dnd/monstres.php?vo=Ancient-White-Dragon</t>
  </si>
  <si>
    <t>Ancient-White-Dragon</t>
  </si>
  <si>
    <t>Ancient White Dragon</t>
  </si>
  <si>
    <t>The dragon beats its wings. Each creature within 15 ft. of the dragon must succeed on a DC 25 Dexterity saving throw or take 17 (2d6 + 10) bludgeoning damage and be knocked prone. The dragon can then fly up to half its flying speed.</t>
  </si>
  <si>
    <t>Wing Attack (Costs 2 Actions)</t>
  </si>
  <si>
    <t>The dragon makes a tail attack.</t>
  </si>
  <si>
    <t>Tail Attack</t>
  </si>
  <si>
    <t>The dragon makes a Wisdom (Perception) check.</t>
  </si>
  <si>
    <t>Detect</t>
  </si>
  <si>
    <t>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</si>
  <si>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Cold Breath||15d8</t>
  </si>
  <si>
    <t>The dragon uses one of the following breath weapons. ¶Cold Breath. The dragon exhales an icy blast in a 90-foot cone. Each creature in that area must make a DC 24 Constitution saving throw, taking 67 (15d8) cold damage on a failed save, or half as much damage on a successful one. ¶Paralyzing Breath. The dragon exhales paralyzing gas in a 90- foot cone. Each creature in that area must succeed on a DC 24 Constitution saving throw or be paralyzed for 1 minute. A creature can repeat the saving throw at the end of each of its turns, ending the effect on itself on a success.</t>
  </si>
  <si>
    <t>Each creature of the dragon's choice that is within 120 feet of the dragon and aware of it must succeed on a DC 21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</si>
  <si>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Tail|17|2d8+10</t>
  </si>
  <si>
    <t>Melee Weapon Attack: +17 to hit, reach 20 ft., one target. Hit: 19 (2d8 + 10) bludgeoning damage.</t>
  </si>
  <si>
    <t>Claw|17|2d6+10</t>
  </si>
  <si>
    <t>Melee Weapon Attack: +17 to hit, reach 10 ft., one target. Hit: 17 (2d6 + 10) slashing damage.</t>
  </si>
  <si>
    <t>Bite|17|2d10+10</t>
  </si>
  <si>
    <t>Melee Weapon Attack: +17 to hit, reach 15 ft., one target. Hit: 21 (2d10 + 10) piercing damage.</t>
  </si>
  <si>
    <t>+17, 2d6+10</t>
  </si>
  <si>
    <t>+17, 2d10+10</t>
  </si>
  <si>
    <t>https://www.aidedd.org/dnd/monstres.php?vo=Ancient-Silver-Dragon</t>
  </si>
  <si>
    <t>Ancient-Silver-Dragon</t>
  </si>
  <si>
    <t>Ancient Silver Dragon</t>
  </si>
  <si>
    <t>Fire Breath||26d6</t>
  </si>
  <si>
    <t>The dragon exhales fire in a 90-foot cone. Each creature in that area must make a DC 24 Dexterity saving throw, taking 91 (26d6) fire damage on a failed save, or half as much damage on a successful one.</t>
  </si>
  <si>
    <t>Bite|17|2d10+10+4d6</t>
  </si>
  <si>
    <t>Melee Weapon Attack: +17 to hit, reach 15 ft., one target. Hit: 21 (2d10 + 10) piercing damage plus 14 (4d6) fire damage.</t>
  </si>
  <si>
    <t>+17, 4d6+10</t>
  </si>
  <si>
    <t>https://www.aidedd.org/dnd/monstres.php?vo=Ancient-Red-Dragon</t>
  </si>
  <si>
    <t>Ancient-Red-Dragon</t>
  </si>
  <si>
    <t>Ancient Red Dragon</t>
  </si>
  <si>
    <t>The dragon beats its wings. Each creature within 15 ft. of the dragon must succeed on a DC 23 Dexterity saving throw or take 15 (2d6 + 8) bludgeoning damage and be knocked prone. The dragon can then fly up to half its flying speed.</t>
  </si>
  <si>
    <t>Poison Breath||22d6</t>
  </si>
  <si>
    <t>The dragon exhales poisonous gas in a 90-foot cone. Each creature in that area must make a DC 22 Constitution saving throw, taking 77 (22d6) poison damage on a failed save, or half as much damage on a successful one.</t>
  </si>
  <si>
    <t>Each creature of the dragon's choice that is within 120 feet of the dragon and aware of it must succeed on a DC 19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</si>
  <si>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Tail|15|2d8+8</t>
  </si>
  <si>
    <t>Melee Weapon Attack: +15 to hit, reach 20 ft., one target. Hit: 17 (2d8 + 8) bludgeoning damage.</t>
  </si>
  <si>
    <t>Claw|15|4d6+8</t>
  </si>
  <si>
    <t>Melee Weapon Attack: +15 to hit, reach 10 ft., one target. Hit: 22 (4d6 + 8) slashing damage.</t>
  </si>
  <si>
    <t>Bite|15|2d10+8+3d6</t>
  </si>
  <si>
    <t>Melee Weapon Attack: +15 to hit, reach 15 ft., one target. Hit: 19 (2d10 + 8) piercing damage plus 10 (3d6) poison damage.</t>
  </si>
  <si>
    <t>+15, 3d6+8</t>
  </si>
  <si>
    <t>+15, 2d10+8</t>
  </si>
  <si>
    <t>https://www.aidedd.org/dnd/monstres.php?vo=Ancient-Green-Dragon</t>
  </si>
  <si>
    <t>Ancient-Green-Dragon</t>
  </si>
  <si>
    <t>Ancient Green Dragon</t>
  </si>
  <si>
    <t>Fire Breath||13d10</t>
  </si>
  <si>
    <t>The dragon uses one of the following breath weapons. ¶Fire Breath. The dragon exhales fire in a 90-foot cone. Each creature in that area must make a DC 24 Dexterity saving throw, taking 71 (13d10) fire damage on a failed save, or half as much damage on a successful one. ¶Weakening Breath. The dragon exhales gas in a 90-foot cone. Each creature in that area must succeed on a DC 24 Strength saving throw or have disadvantage on Strength-based attack rolls, Strength checks, and Strength saving throws for 1 minute. A creature can repeat the saving throw at the end of each of its turns, ending the effect on itself on a success.</t>
  </si>
  <si>
    <t>Each creature of the dragon's choice that is within 120 feet of the dragon and aware of it must succeed on a DC 24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</si>
  <si>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https://www.aidedd.org/dnd/monstres.php?vo=Ancient-Gold-Dragon</t>
  </si>
  <si>
    <t>Ancient-Gold-Dragon</t>
  </si>
  <si>
    <t>Ancient Gold Dragon</t>
  </si>
  <si>
    <t>Acid Breath||14d8</t>
  </si>
  <si>
    <t>The dragon uses one of the following breath weapons. ¶Acid Breath. The dragon exhales acid in an 90-foot line that is 10 feet wide. Each creature in that line must make a DC 22 Dexterity saving throw, taking 63 (14d8) acid damage on a failed save, or half as much damage on a successful one. ¶Slowing Breath. The dragon exhales gas in a 90-foot cone. Each creature in that area must succeed on a DC 22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</si>
  <si>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Claw|15|2d6+8</t>
  </si>
  <si>
    <t>Melee Weapon Attack: +15 to hit, reach 10 ft., one target. Hit: 15 (2d6 + 8) slashing damage.</t>
  </si>
  <si>
    <t>Bite|15|2d10+8</t>
  </si>
  <si>
    <t>Melee Weapon Attack: +15 to hit, reach 15 ft., one target. Hit: 19 (2d10 + 8) piercing damage.</t>
  </si>
  <si>
    <t>+15, 2d6+8</t>
  </si>
  <si>
    <t>https://www.aidedd.org/dnd/monstres.php?vo=Ancient-Copper-Dragon</t>
  </si>
  <si>
    <t>Ancient-Copper-Dragon</t>
  </si>
  <si>
    <t>Ancient Copper Dragon</t>
  </si>
  <si>
    <t>The dragon beats its wings. Each creature within 15 ft. of the dragon must succeed on a DC 24 Dexterity saving throw or take 16 (2d6 + 9) bludgeoning damage and be knocked prone. The dragon can then fly up to half its flying speed.</t>
  </si>
  <si>
    <t>Lightning Breath||16d10</t>
  </si>
  <si>
    <t>The dragon uses one of the following breath weapons. ¶Lightning Breath. The dragon exhales lightning in a 120-foot line that is 10 feet wide. Each creature in that line must make a DC 23 Dexterity saving throw, taking 88 (16d10) lightning damage on a failed save, or half as much damage on a successful one. ¶Repulsion Breath. The dragon exhales repulsion energy in a 30-foot cone. Each creature in that area must succeed on a DC 23 Strength saving throw. On a failed save, the creature is pushed 60 feet away from the dragon.</t>
  </si>
  <si>
    <t>Each creature of the dragon's choice that is within 120 feet of the dragon and aware of it must succeed on a DC 20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</si>
  <si>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Tail|16|2d8+9</t>
  </si>
  <si>
    <t>Melee Weapon Attack: +16 to hit, reach 20 ft., one target. Hit: 18 (2d8 + 9) bludgeoning damage.</t>
  </si>
  <si>
    <t>Claw|16|2d6+9</t>
  </si>
  <si>
    <t>Melee Weapon Attack: +16 to hit, reach 10 ft., one target. Hit: 16 (2d6 + 9) slashing damage.</t>
  </si>
  <si>
    <t>Bite|16|2d10+9</t>
  </si>
  <si>
    <t>Melee Weapon Attack: +16 to hit, reach 15 ft., one target. Hit: 20 (2d10 + 9) piercing damage.</t>
  </si>
  <si>
    <t>+16, 2d6+9</t>
  </si>
  <si>
    <t>+16, 2d10+9</t>
  </si>
  <si>
    <t>https://www.aidedd.org/dnd/monstres.php?vo=Ancient-Bronze-Dragon</t>
  </si>
  <si>
    <t>Ancient-Bronze-Dragon</t>
  </si>
  <si>
    <t>Ancient Bronze Dragon</t>
  </si>
  <si>
    <t>The dragon beats its wings. Each creature within 15 ft. of the dragon must succeed on a DC 22 Dexterity saving throw or take 15 (2d6 + 8) bludgeoning damage and be knocked prone. The dragon can then fly up to half its flying speed.</t>
  </si>
  <si>
    <t>The dragon uses one of the following breath weapons: ¶Fire Breath. The dragon exhales fire in an 90-foot line that is 10 feet wide. Each creature in that line must make a DC 21 Dexterity saving throw, taking 56 (16d6) fire damage on a failed save, or half as much damage on a successful one. ¶Sleep Breath. The dragon exhales sleep gas in a 90-foot cone. Each creature in that area must succeed on a DC 21 Constitution saving throw or fall unconscious for 10 minutes. This effect ends for a creature if the creature takes damage or someone uses an action to wake it.</t>
  </si>
  <si>
    <t>Each creature of the dragon's choice that is within 120 feet of the dragon and aware of it must succeed on a DC 18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</si>
  <si>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Bite|14|2d10+8</t>
  </si>
  <si>
    <t>Melee Weapon Attack: +14 to hit, reach 15 ft., one target. Hit: 19 (2d10 + 8) piercing damage.</t>
  </si>
  <si>
    <t>https://www.aidedd.org/dnd/monstres.php?vo=Ancient-Brass-Dragon</t>
  </si>
  <si>
    <t>Ancient-Brass-Dragon</t>
  </si>
  <si>
    <t>Ancient Brass Dragon</t>
  </si>
  <si>
    <t>The dragon exhales lightning in a 120-foot line that is 10 feet wide. Each creature in that line must make a DC 23 Dexterity saving throw, taking 88 (16d10) lightning damage on a failed save, or half as much damage on a successful one.</t>
  </si>
  <si>
    <t>Bite|16|2d10+9+2d10</t>
  </si>
  <si>
    <t>Melee Weapon Attack: +16 to hit, reach 15 ft., one target. Hit: 20 (2d10 + 9) piercing damage plus 11 (2d10) lightning damage.</t>
  </si>
  <si>
    <t>+16, 4d10+9</t>
  </si>
  <si>
    <t>https://www.aidedd.org/dnd/monstres.php?vo=Ancient-Blue-Dragon</t>
  </si>
  <si>
    <t>Ancient-Blue-Dragon</t>
  </si>
  <si>
    <t>Ancient Blue Dragon</t>
  </si>
  <si>
    <t>The dragon exhales acid in a 90-foot line that is 10 feet wide. Each creature in that line must make a DC 22 Dexterity saving throw, taking 67 (15d8) acid damage on a failed save, or half as much damage on a successful one.</t>
  </si>
  <si>
    <t>Melee Weapon Attack: +15 to hit, reach 20 ft ., one target. Hit: 17 (2d8 + 8) bludgeoning damage.</t>
  </si>
  <si>
    <t>Bite|15|2d10+8+2d8</t>
  </si>
  <si>
    <t>Melee Weapon Attack: +15 to hit, reach 15 ft., one target. Hit: 19 (2d10 + 8) piercing damage plus 9 (2d8) acid damage.</t>
  </si>
  <si>
    <t>+15, 2d8+8</t>
  </si>
  <si>
    <t>https://www.aidedd.org/dnd/monstres.php?vo=Ancient-Black-Dragon</t>
  </si>
  <si>
    <t>Ancient-Black-Dragon</t>
  </si>
  <si>
    <t>Ancient Black Dragon</t>
  </si>
  <si>
    <t>Claw|6|1d8+4</t>
  </si>
  <si>
    <t>Melee Weapon Attack: +6 to hit, reach 5 ft., one target. Hit: 8 (1d8 + 4) slashing damage.</t>
  </si>
  <si>
    <t>Bite|6|2d10+4</t>
  </si>
  <si>
    <t>Melee Weapon Attack: +6 to hit, reach 5 ft., one target. Hit: 15 (2d10 + 4) piercing damage.</t>
  </si>
  <si>
    <t>If the allosaurus moves at least 30 ft. straight toward a creature and then hits it with a claw attack on the same turn, that target must succeed on a DC 13 Strength saving throw or be knocked prone. If the target is prone, the allosaurus can make one bite attack against it as a bonus action.</t>
  </si>
  <si>
    <t>+6, 2d10+4</t>
  </si>
  <si>
    <t>https://www.aidedd.org/dnd/monstres.php?vo=Allosaurus</t>
  </si>
  <si>
    <t>Allosaurus</t>
  </si>
  <si>
    <t>Whirlwind (Recharge 4-6)</t>
  </si>
  <si>
    <t>Each creature in the elemental's space must make a DC 13 Strength saving throw. On a failure, a target takes 15 (3d8 + 2) bludgeoning damage and is flung up 20 feet away from the elemental in a random direction and knocked prone. If a thrown target strikes an object, such as a wall or floor, the target takes 3 (1d6) bludgeoning damage for every 10 feet it was thrown. If the target is thrown at another creature, that creature must succeed on a DC 13 Dexterity saving throw or take the same damage and be knocked prone. ¶If the saving throw is successful, the target takes half the bludgeoning damage and isn't flung away or knocked prone.</t>
  </si>
  <si>
    <t>Melee Weapon Attack: +8 to hit, reach 5 ft., one target. Hit: 14 (2d8 + 5) bludgeoning damage.</t>
  </si>
  <si>
    <t>Air Form</t>
  </si>
  <si>
    <t>6:33, 9:55, 13:31</t>
  </si>
  <si>
    <t>+8, 3d8+2</t>
  </si>
  <si>
    <t>https://www.aidedd.org/dnd/monstres.php?vo=Air-Elemental</t>
  </si>
  <si>
    <t>Air-Elemental</t>
  </si>
  <si>
    <t>Air Elemental</t>
  </si>
  <si>
    <t>The dragon beats its wings. Each creature within 10 ft. of the dragon must succeed on a DC 19 Dexterity saving throw or take 13 (2d6 + 6) bludgeoning damage and be knocked prone. The dragon can then fly up to half its flying speed.</t>
  </si>
  <si>
    <t>The dragon exhales an icy blast in a 60-foot cone. Each creature in that area must make a DC 19 Constitution saving throw, taking 54 (12d8) cold damage on a failed save, or half as much damage on a successful one.</t>
  </si>
  <si>
    <t>Each creature of the dragon's choice that is within 120 ft. of the dragon and aware of it must succeed on a DC 14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</si>
  <si>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Tail|11|2d8+6</t>
  </si>
  <si>
    <t>Melee Weapon Attack: +11 to hit, reach 15 ft., one target. Hit: 15 (2d8 + 6) bludgeoning damage.</t>
  </si>
  <si>
    <t>Claw|11|2d6+6</t>
  </si>
  <si>
    <t>Melee Weapon Attack: +11 to hit, reach 5 ft., one target. Hit: 13 (2d6 + 6) slashing damage.</t>
  </si>
  <si>
    <t>Bite|11|2d10+6+1d8</t>
  </si>
  <si>
    <t>Melee Weapon Attack: +11 to hit, reach 10 ft., one target. Hit: 17 (2d10 + 6) piercing damage plus 4 (1d8) cold damage.</t>
  </si>
  <si>
    <t>+11, 1d8+6</t>
  </si>
  <si>
    <t>+11, 2d6+6</t>
  </si>
  <si>
    <t>+11, 2d10+6</t>
  </si>
  <si>
    <t>https://www.aidedd.org/dnd/monstres.php?vo=Adult-White-Dragon</t>
  </si>
  <si>
    <t>Adult-White-Dragon</t>
  </si>
  <si>
    <t>Adult White Dragon</t>
  </si>
  <si>
    <t>The dragon beats its wings. Each creature within 10 ft. of the dragon must succeed on a DC 22 Dexterity saving throw or take 15 (2d6 + 8) bludgeoning damage and be knocked prone. The dragon can then fly up to half its flying speed.</t>
  </si>
  <si>
    <t>Cold Breath||13d8</t>
  </si>
  <si>
    <t>The dragon uses one of the following breath weapons. ¶Cold Breath. The dragon exhales an icy blast in a 60-foot cone. Each creature in that area must make a DC 20 Constitution saving throw, taking 58 (13d8) cold damage on a failed save, or half as much damage on a successful one. ¶Paralyzing Breath. The dragon exhales paralyzing gas in a 60-foot cone. Each creature in that area must succeed on a DC 20 Constitution saving throw or be paralyzed for 1 minute. A creature can repeat the saving throw at the end of each of its turns, ending the effect on itself on a success.</t>
  </si>
  <si>
    <t>Tail|13|2d8+8</t>
  </si>
  <si>
    <t>Melee Weapon Attack: +13 to hit, reach 15 ft., one target. Hit: 17 (2d8 + 8) bludgeoning damage.</t>
  </si>
  <si>
    <t>Claw|13|2d6+8</t>
  </si>
  <si>
    <t>Melee Weapon Attack: +13 to hit, reach 5 ft., one target. Hit: 15 (2d6 + 8) slashing damage.</t>
  </si>
  <si>
    <t>Bite|13|2d10+8</t>
  </si>
  <si>
    <t>Melee Weapon Attack: +13 to hit, reach 10 ft., one target. Hit: 19 (2d10 + 8) piercing damage.</t>
  </si>
  <si>
    <t>+13, 2d6+8</t>
  </si>
  <si>
    <t>+13, 2d10+8</t>
  </si>
  <si>
    <t>https://www.aidedd.org/dnd/monstres.php?vo=Adult-Silver-Dragon</t>
  </si>
  <si>
    <t>Adult-Silver-Dragon</t>
  </si>
  <si>
    <t>Adult Silver Dragon</t>
  </si>
  <si>
    <t>Magma Eruption||6d6</t>
  </si>
  <si>
    <t>On initiative count 20 (losing initiative ties), the dragon takes a lair action to cause one of the following effects: the dragon can't use the same effect two rounds in a row: ¶‚Ä¢ Magma erupts from a point on the ground the dragon can see within 120 feet of it, creating a 20-foot-high, 5-foot-radius geyser. Each creature in the geyser's area must make a DC 15 Dexterity saving throw, taking 21 (6d6) fire damage on a failed save, or half as much damage on a successful one. ¶‚Ä¢ A tremor shakes the lair in a 60-foot-radius around the dragon. Each creature other than the dragon on the ground in that area must succeed on a DC 15 Dexterity saving throw or be knocked prone. ¶‚Ä¢ Volcanic gases form a cloud in a 20-foot-radius sphere centered on a point the dragon can see within 120 feet of it. The sphere spreads around corners, and its area is lightly obscured. It lasts until initiative count 20 on the next round. Each creature that starts its turn in the cloud must succeed on a DC 13 Constitution saving throw or be poisoned until the end of its turn. While poisoned in this way, a creature is incapacitated.</t>
  </si>
  <si>
    <t>Lair Actions</t>
  </si>
  <si>
    <t>Fire Breath||18d6</t>
  </si>
  <si>
    <t>The dragon exhales fire in a 60-foot cone. Each creature in that area must make a DC 21 Dexterity saving throw, taking 63 (18d6) fire damage on a failed save, or half as much damage on a successful one.</t>
  </si>
  <si>
    <t>Each creature of the dragon's choice that is within 120 ft. of the dragon and aware of it must succeed on a DC 19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</si>
  <si>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Melee Weapon Attack: +14 to hit, reach 15 ft., one target. Hit: 17 (2d8 + 8) bludgeoning damage.</t>
  </si>
  <si>
    <t>Melee Weapon Attack: +14 to hit, reach 5 ft., one target. Hit: 15 (2d6 + 8) slashing damage.</t>
  </si>
  <si>
    <t>Bite|14|2d10+8+2d6</t>
  </si>
  <si>
    <t>Melee Weapon Attack: +14 to hit, reach 10 ft., one target. Hit: 19 (2d10 + 8) piercing damage plus 7 (2d6) fire damage.</t>
  </si>
  <si>
    <t>https://www.aidedd.org/dnd/monstres.php?vo=Adult-Red-Dragon</t>
  </si>
  <si>
    <t>Adult-Red-Dragon</t>
  </si>
  <si>
    <t>Adult Red Dragon</t>
  </si>
  <si>
    <t>Poison Breath||16d6</t>
  </si>
  <si>
    <t>The dragon exhales poisonous gas in a 60-foot cone. Each creature in that area must make a DC 18 Constitution saving throw, taking 56 (16d6) poison damage on a failed save, or half as much damage on a successful one.</t>
  </si>
  <si>
    <t>Bite|11|2d10+6+2d6</t>
  </si>
  <si>
    <t>Melee Weapon Attack: +11 to hit, reach 10 ft., one target. Hit: 17 (2d10 + 6) piercing damage plus 7 (2d6) poison damage.</t>
  </si>
  <si>
    <t>14:23</t>
  </si>
  <si>
    <t>https://www.aidedd.org/dnd/monstres.php?vo=Adult-Green-Dragon</t>
  </si>
  <si>
    <t>Adult-Green-Dragon</t>
  </si>
  <si>
    <t>Adult Green Dragon</t>
  </si>
  <si>
    <t>Fire Breath||12d10</t>
  </si>
  <si>
    <t>The dragon uses one of the following breath weapons. ¶Fire Breath. The dragon exhales fire in a 60-foot cone. Each creature in that area must make a DC 21 Dexterity saving throw, taking 66 (12d10) fire damage on a failed save, or half as much damage on a successful one. ¶Weakening Breath. The dragon exhales gas in a 60-foot cone. Each creature in that area must succeed on a DC 21 Strength saving throw or have disadvantage on Strength-based attack rolls, Strength checks, and Strength saving throws for 1 minute. A creature can repeat the saving throw at the end of each of its turns, ending the effect on itself on a success.</t>
  </si>
  <si>
    <t>Melee Weapon Attack: +14 to hit, reach 10 ft., one target. Hit: 19 (2d10 + 8) piercing damage.</t>
  </si>
  <si>
    <t>https://www.aidedd.org/dnd/monstres.php?vo=Adult-Gold-Dragon</t>
  </si>
  <si>
    <t>Adult-Gold-Dragon</t>
  </si>
  <si>
    <t>Adult Gold Dragon</t>
  </si>
  <si>
    <t>Acid Breath||12d8</t>
  </si>
  <si>
    <t>The dragon uses one of the following breath weapons. ¶Acid Breath. The dragon exhales acid in an 60-foot line that is 5 feet wide. Each creature in that line must make a DC 18 Dexterity saving throw, taking 54 (12d8) acid damage on a failed save, or half as much damage on a successful one. ¶Slowing Breath. The dragon exhales gas in a 60-foot cone. Each creature in that area must succeed on a DC 18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</si>
  <si>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Each creature of the dragon's choice that is within 120 feet of the dragon and aware of it must succeed on a DC 16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</si>
  <si>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Bite|11|2d10+6</t>
  </si>
  <si>
    <t>Melee Weapon Attack: +11 to hit, reach 10 ft., one target. Hit: 17 (2d10 + 6) piercing damage.</t>
  </si>
  <si>
    <t>https://www.aidedd.org/dnd/monstres.php?vo=Adult-Copper-Dragon</t>
  </si>
  <si>
    <t>Adult-Copper-Dragon</t>
  </si>
  <si>
    <t>Adult Copper Dragon</t>
  </si>
  <si>
    <t>The dragon beats its wings. Each creature within 10 ft. of the dragon must succeed on a DC 20 Dexterity saving throw or take 14 (2d6 + 7) bludgeoning damage and be knocked prone. The dragon can then fly up to half its flying speed.</t>
  </si>
  <si>
    <t>The dragon uses one of the following breath weapons. ¶Lightning Breath. The dragon exhales lightning in a 90-foot line that is 5 feet wide. Each creature in that line must make a DC 19 Dexterity saving throw, taking 66 (12d10) lightning damage on a failed save, or half as much damage on a successful one. ¶Repulsion Breath. The dragon exhales repulsion energy in a 30-foot cone. Each creature in that area must succeed on a DC 19 Strength saving throw. On a failed save, the creature is pushed 60 feet away from the dragon.</t>
  </si>
  <si>
    <t>Each creature of the dragon's choice that is within 120 feet of the dragon and aware of it must succeed on a DC 17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</si>
  <si>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Tail|12|2d8+7</t>
  </si>
  <si>
    <t>Melee Weapon Attack: +12 to hit, reach 15 ft., one target. Hit: 16 (2d8 + 7) bludgeoning damage.</t>
  </si>
  <si>
    <t>Claw|12|2d6+7</t>
  </si>
  <si>
    <t>Melee Weapon Attack: +12 to hit, reach 5 ft., one target. Hit: 14 (2d6 + 7) slashing damage.</t>
  </si>
  <si>
    <t>Bite|12|2d10+7</t>
  </si>
  <si>
    <t>Melee Weapon Attack: +12 to hit, reach 10 ft., one target. Hit: 18 (2d10 + 7) piercing damage.</t>
  </si>
  <si>
    <t>+12, 2d6+7</t>
  </si>
  <si>
    <t>+12, 2d10+7</t>
  </si>
  <si>
    <t>https://www.aidedd.org/dnd/monstres.php?vo=Adult-Bronze-Dragon</t>
  </si>
  <si>
    <t>Adult-Bronze-Dragon</t>
  </si>
  <si>
    <t>Adult Bronze Dragon</t>
  </si>
  <si>
    <t>Fire Breath||13d6</t>
  </si>
  <si>
    <t>The dragon uses one of the following breath weapons. ¶Fire Breath. The dragon exhales fire in an 60-foot line that is 5 feet wide. Each creature in that line must make a DC 18 Dexterity saving throw, taking 45 (13d6) fire damage on a failed save, or half as much damage on a successful one. ¶Sleep Breath. The dragon exhales sleep gas in a 60-foot cone. Each creature in that area must succeed on a DC 18 Constitution saving throw or fall unconscious for 10 minutes. This effect ends for a creature if the creature takes damage or someone uses an action to wake it.</t>
  </si>
  <si>
    <t>Melee Weapon Attack: +11 to hit, reach,.0 ft., one target. Hit: 17 (2d10 + 6) piercing damage.</t>
  </si>
  <si>
    <t>https://www.aidedd.org/dnd/monstres.php?vo=Adult-Brass-Dragon</t>
  </si>
  <si>
    <t>Adult-Brass-Dragon</t>
  </si>
  <si>
    <t>Adult Brass Dragon</t>
  </si>
  <si>
    <t>The dragon exhales lightning in a 90-foot line that is 5 ft. wide. Each creature in that line must make a DC 19 Dexterity saving throw, taking 66 (12d10) lightning damage on a failed save, or half as much damage on a successful one.</t>
  </si>
  <si>
    <t>Each creature of the dragon's choice that is within 120 ft. of the dragon and aware of it must succeed on a DC 17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</si>
  <si>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Bite|12|2d10+7+1d10</t>
  </si>
  <si>
    <t>Melee Weapon Attack: +12 to hit, reach 10 ft., one target. Hit: 18 (2d10 + 7) piercing damage plus 5 (1d10) lightning damage.</t>
  </si>
  <si>
    <t>https://www.aidedd.org/dnd/monstres.php?vo=Adult-Blue-Dragon</t>
  </si>
  <si>
    <t>Adult-Blue-Dragon</t>
  </si>
  <si>
    <t>Adult Blue Dragon</t>
  </si>
  <si>
    <t>The dragon exhales acid in a 60-foot line that is 5 feet wide. Each creature in that line must make a DC 18 Dexterity saving throw, taking 54 (12d8) acid damage on a failed save, or half as much damage on a successful one.</t>
  </si>
  <si>
    <t>Melee Weapon Attack: +11 to hit, reach 10 ft., one target. Hit: 17 (2d10 + 6) piercing damage plus 4 (1d8) acid damage.</t>
  </si>
  <si>
    <t>https://www.aidedd.org/dnd/monstres.php?vo=Adult-Black-Dragon</t>
  </si>
  <si>
    <t>Adult-Black-Dragon</t>
  </si>
  <si>
    <t>Adult Black Dragon</t>
  </si>
  <si>
    <t>The acolyte is a 1st-level spellcaster. Its spellcasting ability is Wisdom (spell save DC 12, +4 to hit with spell attacks). The acolyte has following cleric spells prepared: ‚Ä¢ Cantrips (at will): light, sacred flame, thaumaturgy ¶‚Ä¢ 1st level (3 slots): bless, cure wounds, sanctuary</t>
  </si>
  <si>
    <t>https://www.aidedd.org/dnd/monstres.php?vo=Acolyte</t>
  </si>
  <si>
    <t>Acolyte</t>
  </si>
  <si>
    <t>One creature charmed by the aboleth takes 10 (3d6) psychic damage, and the aboleth regains hit points equal to the damage the creature takes.</t>
  </si>
  <si>
    <t>Psychic Drain (Costs 2 Actions)</t>
  </si>
  <si>
    <t>The aboleth makes one tail attack.</t>
  </si>
  <si>
    <t>Tail Swipe</t>
  </si>
  <si>
    <t>The aboleth makes a Wisdom (Perception) check.</t>
  </si>
  <si>
    <t>Enslave (3/day)</t>
  </si>
  <si>
    <t>The aboleth targets one creature it can see within 30 ft. of it. The target must succeed on a DC 14 Wisdom saving throw or be magically charmed by the aboleth until the aboleth dies or until it is on a different plane of existence from the target. The charmed target is under the aboleth's control and can't take reactions, and the aboleth and the target can communicate telepathically with each other over any distance. ¶Whenever the charmed target takes damage, the target can repeat the saving throw. On a success, the effect ends. No more than once every 24 hours, the target can also repeat the saving throw when it is at least 1 mile away from the aboleth</t>
  </si>
  <si>
    <t>Tail|9|3d6+5</t>
  </si>
  <si>
    <t>Melee Weapon Attack: +9 to hit, reach 10 ft. one target. Hit: 15 (3d6 + 5) bludgeoning damage.</t>
  </si>
  <si>
    <t>Tentacle|9|2d6+5</t>
  </si>
  <si>
    <t>Melee Weapon Attack: +9 to hit, reach 10 ft., one target. Hit: 12 (2d6 + 5) bludgeoning damage. If the target is a creature, it must succeed on a DC 14 Constitution saving throw or become diseased. The disease has no effect for 1 minute and can be removed by any magic that cures disease. After 1 minute, the diseased creature's skin becomes translucent and slimy, the creature can't regain hit points unless it is underwater, and the disease can be removed only by heal or another disease-curing spell of 6th level or higher. When the creature is outside a body of water, it takes 6 (1d12) acid damage every 10 minutes unless moisture is applied to the skin before 10 minutes have passed.</t>
  </si>
  <si>
    <t>The aboleth makes three tentacle attacks.</t>
  </si>
  <si>
    <t>Probing Telepathy</t>
  </si>
  <si>
    <t>If a creature communicates telepathically with the aboleth, the aboleth learns the creature's greatest desires if the aboleth can see the creature.</t>
  </si>
  <si>
    <t>Mucous Cloud</t>
  </si>
  <si>
    <t>While underwater, the aboleth is surrounded by transformative mucus. A creature that touches the aboleth or that hits it with a melee attack while within 5 ft. of it must make a DC 14 Constitution saving throw. On a failure, the creature is diseased for 1d4 hours. The diseased creature can breathe only underwater.</t>
  </si>
  <si>
    <t>The aboleth can breathe air and water.</t>
  </si>
  <si>
    <t>+9, 3d6+5</t>
  </si>
  <si>
    <t>https://www.aidedd.org/dnd/monstres.php?vo=Aboleth</t>
  </si>
  <si>
    <t>Aboleth</t>
  </si>
  <si>
    <t>License</t>
  </si>
  <si>
    <t>Page</t>
  </si>
  <si>
    <t>Source</t>
  </si>
  <si>
    <t>Text</t>
  </si>
  <si>
    <t>DDEX3</t>
  </si>
  <si>
    <t>DDEN3</t>
  </si>
  <si>
    <t>DDEX2</t>
  </si>
  <si>
    <t>DDEN2</t>
  </si>
  <si>
    <t>POA</t>
  </si>
  <si>
    <t>DDEX1</t>
  </si>
  <si>
    <t>DDEN1</t>
  </si>
  <si>
    <t>ROT</t>
  </si>
  <si>
    <t>HDQ</t>
  </si>
  <si>
    <t>SRD</t>
  </si>
  <si>
    <t>Basic</t>
  </si>
  <si>
    <t>LMP</t>
  </si>
  <si>
    <t>DMG</t>
  </si>
  <si>
    <t>PHB</t>
  </si>
  <si>
    <t>MM</t>
  </si>
  <si>
    <t>Cha</t>
  </si>
  <si>
    <t>Wis</t>
  </si>
  <si>
    <t>Int</t>
  </si>
  <si>
    <t>Con</t>
  </si>
  <si>
    <t>Dex</t>
  </si>
  <si>
    <t>Str</t>
  </si>
  <si>
    <t>swim</t>
  </si>
  <si>
    <t>fly</t>
  </si>
  <si>
    <t>climb</t>
  </si>
  <si>
    <t>burrow</t>
  </si>
  <si>
    <t>walk</t>
  </si>
  <si>
    <t>Atk 3</t>
  </si>
  <si>
    <t>Atk 2</t>
  </si>
  <si>
    <t>Atk 1</t>
  </si>
  <si>
    <t>Spell</t>
  </si>
  <si>
    <t>+</t>
  </si>
  <si>
    <t>HP</t>
  </si>
  <si>
    <t>AC</t>
  </si>
  <si>
    <t>C?</t>
  </si>
  <si>
    <t>C#</t>
  </si>
  <si>
    <t>AL</t>
  </si>
  <si>
    <t>SC</t>
  </si>
  <si>
    <t>Tag</t>
  </si>
  <si>
    <t>Size</t>
  </si>
  <si>
    <t>CR</t>
  </si>
  <si>
    <t>URL</t>
  </si>
  <si>
    <t>Creatures URL Name</t>
  </si>
  <si>
    <t>Reaction</t>
  </si>
  <si>
    <t>Legendary 5</t>
  </si>
  <si>
    <t>Legendary 4</t>
  </si>
  <si>
    <t>Legendary 3</t>
  </si>
  <si>
    <t>Legendary 2</t>
  </si>
  <si>
    <t>Legendary 1</t>
  </si>
  <si>
    <t>Action 7</t>
  </si>
  <si>
    <t>Action 6</t>
  </si>
  <si>
    <t>Action 5</t>
  </si>
  <si>
    <t>Action 4</t>
  </si>
  <si>
    <t>Action 3</t>
  </si>
  <si>
    <t>Action 2</t>
  </si>
  <si>
    <t>Action 1</t>
  </si>
  <si>
    <t>Trait 7</t>
  </si>
  <si>
    <t>Trait 6</t>
  </si>
  <si>
    <t>Trait 5</t>
  </si>
  <si>
    <t>Trait 4</t>
  </si>
  <si>
    <t>Trait 3</t>
  </si>
  <si>
    <t>Trait 2</t>
  </si>
  <si>
    <t>Trait 1</t>
  </si>
  <si>
    <t>Free PDF sources</t>
  </si>
  <si>
    <t>Books</t>
  </si>
  <si>
    <t>Ability Scores</t>
  </si>
  <si>
    <t>To Hit, Damage</t>
  </si>
  <si>
    <t>Hit Points</t>
  </si>
  <si>
    <t>Properties</t>
  </si>
  <si>
    <t>Filters</t>
  </si>
  <si>
    <t>XP</t>
  </si>
  <si>
    <t>Hoard of the Dragon Queen</t>
  </si>
  <si>
    <t>D&amp;D Encounters:</t>
  </si>
  <si>
    <t>Rise of Tiamat Supplement</t>
  </si>
  <si>
    <t>Hoard of the Dragon Queen Supplement</t>
  </si>
  <si>
    <t>System Reference Document</t>
  </si>
  <si>
    <t>DM's Basic Rules</t>
  </si>
  <si>
    <t>Princes of the Apocalypse</t>
  </si>
  <si>
    <t>Lost Mine of Phandelver</t>
  </si>
  <si>
    <t>Dungeon Master's Guide</t>
  </si>
  <si>
    <t>Player's Handbook</t>
  </si>
  <si>
    <t>Source Long</t>
  </si>
  <si>
    <t>Exploring</t>
  </si>
  <si>
    <t>Hunting</t>
  </si>
  <si>
    <t>Foraging</t>
  </si>
  <si>
    <t>Hustle</t>
  </si>
  <si>
    <t>ForageHuntMod</t>
  </si>
  <si>
    <t>NavMod</t>
  </si>
  <si>
    <t>SpeedMod</t>
  </si>
  <si>
    <t>TravelEffort</t>
  </si>
  <si>
    <t>ElementalGalleon</t>
  </si>
  <si>
    <t>Airship</t>
  </si>
  <si>
    <t>LightningRail</t>
  </si>
  <si>
    <t>Clipper</t>
  </si>
  <si>
    <t>Schooner</t>
  </si>
  <si>
    <t>SmallBoat</t>
  </si>
  <si>
    <t>Raft</t>
  </si>
  <si>
    <t>CartWagon</t>
  </si>
  <si>
    <t>FlyingMount</t>
  </si>
  <si>
    <t>RidingDog</t>
  </si>
  <si>
    <t>HeavyWarhorse</t>
  </si>
  <si>
    <t>MediumWarhorse</t>
  </si>
  <si>
    <t>LightHorse</t>
  </si>
  <si>
    <t>DraftHorse</t>
  </si>
  <si>
    <t>Marching</t>
  </si>
  <si>
    <t>ModeOfTravel</t>
  </si>
  <si>
    <t>Storm, powerful</t>
  </si>
  <si>
    <t>Storm</t>
  </si>
  <si>
    <t>Snow cover, heavy</t>
  </si>
  <si>
    <t>Snow cover</t>
  </si>
  <si>
    <t>River crossing</t>
  </si>
  <si>
    <t>Poor visibility (fog, darkness)</t>
  </si>
  <si>
    <t>Hurricane</t>
  </si>
  <si>
    <t>Giant terrain</t>
  </si>
  <si>
    <t>Temperate</t>
  </si>
  <si>
    <t>Cold or hot climate</t>
  </si>
  <si>
    <t>Weather</t>
  </si>
  <si>
    <t>Frozen Tundra</t>
  </si>
  <si>
    <t>Swamp</t>
  </si>
  <si>
    <t>Plains</t>
  </si>
  <si>
    <t>Mountains</t>
  </si>
  <si>
    <t>Moor</t>
  </si>
  <si>
    <t>Jungle</t>
  </si>
  <si>
    <t>Hills</t>
  </si>
  <si>
    <t>Forest (dense)</t>
  </si>
  <si>
    <t>Forest (medium)</t>
  </si>
  <si>
    <t>Forest (sparse)</t>
  </si>
  <si>
    <t>Desert</t>
  </si>
  <si>
    <t>Grasslands</t>
  </si>
  <si>
    <t>ForageHuntDC</t>
  </si>
  <si>
    <t>NavDC</t>
  </si>
  <si>
    <t>WILD</t>
  </si>
  <si>
    <t>ROAD</t>
  </si>
  <si>
    <t>HIGHWAY</t>
  </si>
  <si>
    <t>TERRAIN</t>
  </si>
  <si>
    <t>Downpour</t>
  </si>
  <si>
    <r>
      <t>Windstorm, blizzard</t>
    </r>
    <r>
      <rPr>
        <vertAlign val="superscript"/>
        <sz val="10"/>
        <color rgb="FF000000"/>
        <rFont val="Trebuchet MS"/>
        <family val="2"/>
        <charset val="204"/>
      </rPr>
      <t>4</t>
    </r>
    <r>
      <rPr>
        <sz val="10"/>
        <color rgb="FF000000"/>
        <rFont val="Trebuchet MS"/>
        <family val="2"/>
        <charset val="204"/>
      </rPr>
      <t>, hurricane, tornado</t>
    </r>
  </si>
  <si>
    <t>Blizzard</t>
  </si>
  <si>
    <t>Powerful storm</t>
  </si>
  <si>
    <t>Duststorm</t>
  </si>
  <si>
    <r>
      <t>Thunderstorm, snowstorm</t>
    </r>
    <r>
      <rPr>
        <vertAlign val="superscript"/>
        <sz val="10"/>
        <color rgb="FF000000"/>
        <rFont val="Trebuchet MS"/>
        <family val="2"/>
        <charset val="204"/>
      </rPr>
      <t>3</t>
    </r>
  </si>
  <si>
    <t>Snowstorm</t>
  </si>
  <si>
    <t>91-99</t>
  </si>
  <si>
    <t>Hot, windy</t>
  </si>
  <si>
    <t>Precipitation (normal for season)</t>
  </si>
  <si>
    <t>Precipitation (snow)</t>
  </si>
  <si>
    <t>Inclement weather</t>
  </si>
  <si>
    <t>81-90</t>
  </si>
  <si>
    <t>cold snap (51-100)</t>
  </si>
  <si>
    <t>cold snap (31-100)</t>
  </si>
  <si>
    <t>Heat wave (01-50) or</t>
  </si>
  <si>
    <t>Heat wave (01-30) or</t>
  </si>
  <si>
    <t>Abnormal weather</t>
  </si>
  <si>
    <t>71-80</t>
  </si>
  <si>
    <t>Hot, calm</t>
  </si>
  <si>
    <t>Normal for season</t>
  </si>
  <si>
    <t>Cold, calm</t>
  </si>
  <si>
    <t>Normal weather</t>
  </si>
  <si>
    <t>01-70</t>
  </si>
  <si>
    <t>Temperate Climate</t>
  </si>
  <si>
    <t>Cold Climate</t>
  </si>
  <si>
    <t>Weather d100</t>
  </si>
  <si>
    <t>Foraging/Hunting DC</t>
  </si>
  <si>
    <t>Navigation DC</t>
  </si>
  <si>
    <t>Miles Per Watch</t>
  </si>
  <si>
    <t>Miles Per Hour</t>
  </si>
  <si>
    <t>Tracks</t>
  </si>
  <si>
    <t>Terrain</t>
  </si>
  <si>
    <t>Cautious</t>
  </si>
  <si>
    <t>ModeofTravel</t>
  </si>
  <si>
    <t>Forage/Hunt DC Modifier</t>
  </si>
  <si>
    <t>Navigation DC Modifier</t>
  </si>
  <si>
    <t>Speed Modifier</t>
  </si>
  <si>
    <t>CLASS</t>
  </si>
  <si>
    <t>Weapons</t>
  </si>
  <si>
    <t>Armor</t>
  </si>
  <si>
    <t>Tools</t>
  </si>
  <si>
    <t>Cleric</t>
  </si>
  <si>
    <t>None</t>
  </si>
  <si>
    <t>Fighter</t>
  </si>
  <si>
    <t>Rogue</t>
  </si>
  <si>
    <t>Barbarian</t>
  </si>
  <si>
    <t>Bard</t>
  </si>
  <si>
    <t>Monk</t>
  </si>
  <si>
    <t>Paladin</t>
  </si>
  <si>
    <t>Ranger</t>
  </si>
  <si>
    <t>Sorcerer</t>
  </si>
  <si>
    <t>Warlock</t>
  </si>
  <si>
    <t>LEVEL</t>
  </si>
  <si>
    <t>TOTAL</t>
  </si>
  <si>
    <t>Total</t>
  </si>
  <si>
    <t>Foe Slayer</t>
  </si>
  <si>
    <t>???</t>
  </si>
  <si>
    <t>Champion</t>
  </si>
  <si>
    <t>Thief</t>
  </si>
  <si>
    <t>Swashbuckler</t>
  </si>
  <si>
    <t>Bear</t>
  </si>
  <si>
    <t>Forest</t>
  </si>
  <si>
    <t>Mountain</t>
  </si>
  <si>
    <t>Class</t>
  </si>
  <si>
    <t>Light</t>
  </si>
  <si>
    <t>Nature</t>
  </si>
  <si>
    <t>Arcana</t>
  </si>
  <si>
    <t>Relentless</t>
  </si>
  <si>
    <t>Rank</t>
  </si>
  <si>
    <t>Random</t>
  </si>
  <si>
    <t>1d4</t>
  </si>
  <si>
    <t>1d10</t>
  </si>
  <si>
    <t>Aberrations</t>
  </si>
  <si>
    <t>Beasts</t>
  </si>
  <si>
    <t>Celestials</t>
  </si>
  <si>
    <t>Elementals</t>
  </si>
  <si>
    <t>Fiends</t>
  </si>
  <si>
    <t>Giants</t>
  </si>
  <si>
    <t>Plants</t>
  </si>
  <si>
    <t>Aarakocra</t>
  </si>
  <si>
    <t>Divination</t>
  </si>
  <si>
    <t>RACE</t>
  </si>
  <si>
    <t>Acrobatics</t>
  </si>
  <si>
    <t>Animal Handling</t>
  </si>
  <si>
    <t>Athletics</t>
  </si>
  <si>
    <t>Deception</t>
  </si>
  <si>
    <t>History</t>
  </si>
  <si>
    <t>Insight</t>
  </si>
  <si>
    <t>Intimidation</t>
  </si>
  <si>
    <t>Investigation</t>
  </si>
  <si>
    <t>Medicine</t>
  </si>
  <si>
    <t>Perception</t>
  </si>
  <si>
    <t>Performance</t>
  </si>
  <si>
    <t>Persuasion</t>
  </si>
  <si>
    <t>Religion</t>
  </si>
  <si>
    <t>Sleight of Hand</t>
  </si>
  <si>
    <t>Stealth</t>
  </si>
  <si>
    <t>Survival</t>
  </si>
  <si>
    <t>SKILLS</t>
  </si>
  <si>
    <t>Proficiency</t>
  </si>
  <si>
    <t>ABILITY</t>
  </si>
  <si>
    <t>Handaxe</t>
  </si>
  <si>
    <t>Flail</t>
  </si>
  <si>
    <t>Lance</t>
  </si>
  <si>
    <t>Maul</t>
  </si>
  <si>
    <t>LANGUAGES</t>
  </si>
  <si>
    <t>Common</t>
  </si>
  <si>
    <t>Sylvan</t>
  </si>
  <si>
    <t>Spells</t>
  </si>
  <si>
    <t>CANTRIPS</t>
  </si>
  <si>
    <t>Blade Ward</t>
  </si>
  <si>
    <t>Animal Friendship</t>
  </si>
  <si>
    <t>Animal Messenger</t>
  </si>
  <si>
    <t>Bestow Curse</t>
  </si>
  <si>
    <t>Compulsion</t>
  </si>
  <si>
    <t>Eyebite</t>
  </si>
  <si>
    <t>Dominate Monster</t>
  </si>
  <si>
    <t>Foresight</t>
  </si>
  <si>
    <t>Dancing Lights</t>
  </si>
  <si>
    <t>Bane</t>
  </si>
  <si>
    <t>Blindness/Deafness</t>
  </si>
  <si>
    <t>Clairvoyance</t>
  </si>
  <si>
    <t>Confusion</t>
  </si>
  <si>
    <t>Awaken</t>
  </si>
  <si>
    <t>Find the Path</t>
  </si>
  <si>
    <t>Forcecage</t>
  </si>
  <si>
    <t>Feeblemind</t>
  </si>
  <si>
    <t>Power Word Heal</t>
  </si>
  <si>
    <t>Friends</t>
  </si>
  <si>
    <t>Charm Person</t>
  </si>
  <si>
    <t>Calm Emotions</t>
  </si>
  <si>
    <t>Dispel Magic</t>
  </si>
  <si>
    <t>Dimension Door</t>
  </si>
  <si>
    <t>Dominate Person</t>
  </si>
  <si>
    <t>Guards and Wards</t>
  </si>
  <si>
    <t>Mirage Arcane</t>
  </si>
  <si>
    <t>Glibness</t>
  </si>
  <si>
    <t>Power Word Kill</t>
  </si>
  <si>
    <t>Comprehend Languages</t>
  </si>
  <si>
    <t>Cloud of Daggers</t>
  </si>
  <si>
    <t>Fear</t>
  </si>
  <si>
    <t>Dream</t>
  </si>
  <si>
    <t>Mass Suggestion</t>
  </si>
  <si>
    <t>Mind Blank</t>
  </si>
  <si>
    <t>True Polymorph</t>
  </si>
  <si>
    <t>Cure Wounds</t>
  </si>
  <si>
    <t>Crown of Madness</t>
  </si>
  <si>
    <t>Feign Death</t>
  </si>
  <si>
    <t>Greater Invisibility</t>
  </si>
  <si>
    <t>Geas</t>
  </si>
  <si>
    <t>Otto's Irresistible Dance</t>
  </si>
  <si>
    <t>Power Word Stun</t>
  </si>
  <si>
    <t>Mending</t>
  </si>
  <si>
    <t>Detect Magic</t>
  </si>
  <si>
    <t>Detect Thoughts</t>
  </si>
  <si>
    <t>Glyph of Warding</t>
  </si>
  <si>
    <t>Hallucinatory Terrain</t>
  </si>
  <si>
    <t>Greater Restoration</t>
  </si>
  <si>
    <t>Programmed Illusion</t>
  </si>
  <si>
    <t>Project Image</t>
  </si>
  <si>
    <t>Message</t>
  </si>
  <si>
    <t>Disguise Self</t>
  </si>
  <si>
    <t>Enhance Ability</t>
  </si>
  <si>
    <t>Hypnotic Pattern</t>
  </si>
  <si>
    <t>Locate Creature</t>
  </si>
  <si>
    <t>Hold Monster</t>
  </si>
  <si>
    <t>True Seeing</t>
  </si>
  <si>
    <t>Regenerate</t>
  </si>
  <si>
    <t>Minor Illusion</t>
  </si>
  <si>
    <t>Dissonant Whispers</t>
  </si>
  <si>
    <t>Enthrall</t>
  </si>
  <si>
    <t>Leomund's Tiny Hut</t>
  </si>
  <si>
    <t>Polymorph</t>
  </si>
  <si>
    <t>Legend Lore</t>
  </si>
  <si>
    <t>Resurrection</t>
  </si>
  <si>
    <t>Heat Metal</t>
  </si>
  <si>
    <t>Major Image</t>
  </si>
  <si>
    <t>Mass Cure Wounds</t>
  </si>
  <si>
    <t>Symbol</t>
  </si>
  <si>
    <t>Faerie Fire</t>
  </si>
  <si>
    <t>Hold Person</t>
  </si>
  <si>
    <t>Nondetection</t>
  </si>
  <si>
    <t>Mislead</t>
  </si>
  <si>
    <t>True Strike</t>
  </si>
  <si>
    <t>Feather Fall</t>
  </si>
  <si>
    <t>Plant Growth</t>
  </si>
  <si>
    <t>Modify Memory</t>
  </si>
  <si>
    <t>Vicious Mockery</t>
  </si>
  <si>
    <t>Healing Word</t>
  </si>
  <si>
    <t>Knock</t>
  </si>
  <si>
    <t>Sending</t>
  </si>
  <si>
    <t>Planar Binding</t>
  </si>
  <si>
    <t>Heroism</t>
  </si>
  <si>
    <t>Lesser Restoration</t>
  </si>
  <si>
    <t>Speak with Dead</t>
  </si>
  <si>
    <t>Raise Dead</t>
  </si>
  <si>
    <t>Identify</t>
  </si>
  <si>
    <t>Locate Animals or Plants</t>
  </si>
  <si>
    <t>Speak with Plants</t>
  </si>
  <si>
    <t>Scrying</t>
  </si>
  <si>
    <t>Illusory Script</t>
  </si>
  <si>
    <t>Locate Object</t>
  </si>
  <si>
    <t>Stinking Cloud</t>
  </si>
  <si>
    <t>Seeming</t>
  </si>
  <si>
    <t>Longstrider</t>
  </si>
  <si>
    <t>Magic Mouth</t>
  </si>
  <si>
    <t>Tongues</t>
  </si>
  <si>
    <t>Teleportation Circle</t>
  </si>
  <si>
    <t>Silent Image</t>
  </si>
  <si>
    <t>Phantasmal Force</t>
  </si>
  <si>
    <t>Sleep</t>
  </si>
  <si>
    <t>Pyrotechnics</t>
  </si>
  <si>
    <t>Speak with Animals</t>
  </si>
  <si>
    <t>See Invisibility</t>
  </si>
  <si>
    <t>Tasha's Hideous Laughter</t>
  </si>
  <si>
    <t>Shatter</t>
  </si>
  <si>
    <t>Thunderwave</t>
  </si>
  <si>
    <t>Silence</t>
  </si>
  <si>
    <t>Unseen Servant</t>
  </si>
  <si>
    <t>Skywrite</t>
  </si>
  <si>
    <t>Suggestion</t>
  </si>
  <si>
    <t>Warding Wind</t>
  </si>
  <si>
    <t>Zone of Truth</t>
  </si>
  <si>
    <t>Guidance</t>
  </si>
  <si>
    <t>Aid</t>
  </si>
  <si>
    <t>Animate Dead</t>
  </si>
  <si>
    <t>Banishment</t>
  </si>
  <si>
    <t>Commune</t>
  </si>
  <si>
    <t>Blade Barrier</t>
  </si>
  <si>
    <t>Conjure Celestial</t>
  </si>
  <si>
    <t>Antimagic Field</t>
  </si>
  <si>
    <t>Astral Projection</t>
  </si>
  <si>
    <t>Command</t>
  </si>
  <si>
    <t>Bless</t>
  </si>
  <si>
    <t>Burning Hands</t>
  </si>
  <si>
    <t>Fog Cloud</t>
  </si>
  <si>
    <t>Divine Favor</t>
  </si>
  <si>
    <t>Augury</t>
  </si>
  <si>
    <t>Beacon of Hope</t>
  </si>
  <si>
    <t>Control Water</t>
  </si>
  <si>
    <t>Contagion</t>
  </si>
  <si>
    <t>Create Undead</t>
  </si>
  <si>
    <t>Divine Word</t>
  </si>
  <si>
    <t>Control Weather</t>
  </si>
  <si>
    <t>Gate</t>
  </si>
  <si>
    <t>Shield of Faith</t>
  </si>
  <si>
    <t>Death Ward</t>
  </si>
  <si>
    <t>Dispel Evil and Good</t>
  </si>
  <si>
    <t>Earthquake</t>
  </si>
  <si>
    <t>Mass Heal</t>
  </si>
  <si>
    <t>Flaming Sphere</t>
  </si>
  <si>
    <t>Barkskin</t>
  </si>
  <si>
    <t>Gust of Wind</t>
  </si>
  <si>
    <t>Mirror Image</t>
  </si>
  <si>
    <t>Magic Weapon</t>
  </si>
  <si>
    <t>Resistance</t>
  </si>
  <si>
    <t>Create or Destroy Water</t>
  </si>
  <si>
    <t>Flame Strike</t>
  </si>
  <si>
    <t>Forbiddance</t>
  </si>
  <si>
    <t>Fire Storm</t>
  </si>
  <si>
    <t>Holy Aura</t>
  </si>
  <si>
    <t>Prismatic Wall</t>
  </si>
  <si>
    <t>Spiritual Weapon</t>
  </si>
  <si>
    <t>Scorching Ray</t>
  </si>
  <si>
    <t>Spike Growth</t>
  </si>
  <si>
    <t>Sacred Flame</t>
  </si>
  <si>
    <t>Continual Flame</t>
  </si>
  <si>
    <t>Create Food and Water</t>
  </si>
  <si>
    <t>Harm</t>
  </si>
  <si>
    <t>Plane Shift</t>
  </si>
  <si>
    <t>Daylight</t>
  </si>
  <si>
    <t>Call Lightning</t>
  </si>
  <si>
    <t>Blink</t>
  </si>
  <si>
    <t>Crusader's Mantle</t>
  </si>
  <si>
    <t>Spare the Dying</t>
  </si>
  <si>
    <t>Detect Evil and Good</t>
  </si>
  <si>
    <t>Guardian of Faith</t>
  </si>
  <si>
    <t>Heal</t>
  </si>
  <si>
    <t>Revivify</t>
  </si>
  <si>
    <t>Fireball</t>
  </si>
  <si>
    <t>Wind Wall</t>
  </si>
  <si>
    <t>Sleet Storm</t>
  </si>
  <si>
    <t>Thaumaturgy</t>
  </si>
  <si>
    <t>Find Traps</t>
  </si>
  <si>
    <t>Hallow</t>
  </si>
  <si>
    <t>Arcane Eye</t>
  </si>
  <si>
    <t>Dominate Beast</t>
  </si>
  <si>
    <t>Detect Poison and Disease</t>
  </si>
  <si>
    <t>Gentle Repose</t>
  </si>
  <si>
    <t>Stone Shape</t>
  </si>
  <si>
    <t>Insect Plague</t>
  </si>
  <si>
    <t>Planar Ally</t>
  </si>
  <si>
    <t>Wall of Fire</t>
  </si>
  <si>
    <t>Grasping Vine</t>
  </si>
  <si>
    <t>Ice Storm</t>
  </si>
  <si>
    <t>Stoneskin</t>
  </si>
  <si>
    <t>Guiding Bolt</t>
  </si>
  <si>
    <t>Destructive Wave</t>
  </si>
  <si>
    <t>Magic Circle</t>
  </si>
  <si>
    <t>Word of Recall</t>
  </si>
  <si>
    <t>Inflict Wounds</t>
  </si>
  <si>
    <t>Mass Healing Word</t>
  </si>
  <si>
    <t>Prayer of Healing</t>
  </si>
  <si>
    <t>Purify Food and Drink</t>
  </si>
  <si>
    <t>Sanctuary</t>
  </si>
  <si>
    <t>Remove Curse</t>
  </si>
  <si>
    <t>Warding Bond</t>
  </si>
  <si>
    <t>Water Walk</t>
  </si>
  <si>
    <t>Control Flames</t>
  </si>
  <si>
    <t>Absorb Elements</t>
  </si>
  <si>
    <t>Blight</t>
  </si>
  <si>
    <t>Antilife Shell</t>
  </si>
  <si>
    <t>Bones of the Earth</t>
  </si>
  <si>
    <t>Animal Shapes</t>
  </si>
  <si>
    <t>Blur</t>
  </si>
  <si>
    <t>Melf's Acid Arrow</t>
  </si>
  <si>
    <t>Create Bonfire</t>
  </si>
  <si>
    <t>Conjure Animals</t>
  </si>
  <si>
    <t>Conjure Fey</t>
  </si>
  <si>
    <t>Antipathy/Sympathy</t>
  </si>
  <si>
    <t>Shapechange</t>
  </si>
  <si>
    <t>Misty Step</t>
  </si>
  <si>
    <t>Darkness</t>
  </si>
  <si>
    <t>Web</t>
  </si>
  <si>
    <t>Druidcraft</t>
  </si>
  <si>
    <t>Beast Bond</t>
  </si>
  <si>
    <t>Beast Sense</t>
  </si>
  <si>
    <t>Conjure Minor Elementals</t>
  </si>
  <si>
    <t>Commune with Nature</t>
  </si>
  <si>
    <t>Storm of Vengeance</t>
  </si>
  <si>
    <t>Lightning Bolt</t>
  </si>
  <si>
    <t>Gaseous Form</t>
  </si>
  <si>
    <t>Frostbite</t>
  </si>
  <si>
    <t>Darkvision</t>
  </si>
  <si>
    <t>Conjure Woodland Beings</t>
  </si>
  <si>
    <t>Conjure Elemental</t>
  </si>
  <si>
    <t>True Resurrection</t>
  </si>
  <si>
    <t>Slow</t>
  </si>
  <si>
    <t>Protection from Energy</t>
  </si>
  <si>
    <t>Haste</t>
  </si>
  <si>
    <t>Meld into Stone</t>
  </si>
  <si>
    <t>Dust Devil</t>
  </si>
  <si>
    <t>Erupting Earth</t>
  </si>
  <si>
    <t>Reverse Gravity</t>
  </si>
  <si>
    <t>Gust</t>
  </si>
  <si>
    <t>Earthbind</t>
  </si>
  <si>
    <t>Control Winds</t>
  </si>
  <si>
    <t>Investiture of Flame</t>
  </si>
  <si>
    <t>Whirlwind</t>
  </si>
  <si>
    <t>Sunburst</t>
  </si>
  <si>
    <t>Magic Stone</t>
  </si>
  <si>
    <t>Flame Arrows</t>
  </si>
  <si>
    <t>Elemental Bane</t>
  </si>
  <si>
    <t>Investiture of Ice</t>
  </si>
  <si>
    <t>Tsunami</t>
  </si>
  <si>
    <t>Passwall</t>
  </si>
  <si>
    <t>Cloudkill</t>
  </si>
  <si>
    <t>Investiture of Stone</t>
  </si>
  <si>
    <t>Cone of Cold</t>
  </si>
  <si>
    <t>Wall of Stone</t>
  </si>
  <si>
    <t>Mold Earth</t>
  </si>
  <si>
    <t>Earth Tremor</t>
  </si>
  <si>
    <t>Flame Blade</t>
  </si>
  <si>
    <t>Giant Insect</t>
  </si>
  <si>
    <t>Investiture of Wind</t>
  </si>
  <si>
    <t>Poison Spray</t>
  </si>
  <si>
    <t>Entangle</t>
  </si>
  <si>
    <t>Maelstrom</t>
  </si>
  <si>
    <t>Move Earth</t>
  </si>
  <si>
    <t>Produce Flame</t>
  </si>
  <si>
    <t>Primordial Ward</t>
  </si>
  <si>
    <t>Sunbeam</t>
  </si>
  <si>
    <t>Shape Water</t>
  </si>
  <si>
    <t>Goodberry</t>
  </si>
  <si>
    <t>Tidal Wave</t>
  </si>
  <si>
    <t>Reincarnate</t>
  </si>
  <si>
    <t>Shillelagh</t>
  </si>
  <si>
    <t>Wall of Water</t>
  </si>
  <si>
    <t>Wall of Thorns</t>
  </si>
  <si>
    <t>Thorn Whip</t>
  </si>
  <si>
    <t>Ice Knife</t>
  </si>
  <si>
    <t>Transmute Rock</t>
  </si>
  <si>
    <t>Wind Walk</t>
  </si>
  <si>
    <t>Thunderclap</t>
  </si>
  <si>
    <t>Jump</t>
  </si>
  <si>
    <t>Moonbeam</t>
  </si>
  <si>
    <t>Watery Sphere</t>
  </si>
  <si>
    <t>Protection from Poison</t>
  </si>
  <si>
    <t>Aganazzar's Scorcher</t>
  </si>
  <si>
    <t>Counterspell</t>
  </si>
  <si>
    <t>Alarm</t>
  </si>
  <si>
    <t>Arcane Lock</t>
  </si>
  <si>
    <t>Fire Shield</t>
  </si>
  <si>
    <t>Fire Bolt</t>
  </si>
  <si>
    <t>Chromatic Orb</t>
  </si>
  <si>
    <t>Mordenkainen's Private Sanctum</t>
  </si>
  <si>
    <t>Otiluke's Resilient Sphere</t>
  </si>
  <si>
    <t>Ray of Frost</t>
  </si>
  <si>
    <t>Mage Armor</t>
  </si>
  <si>
    <t>Shocking Grasp</t>
  </si>
  <si>
    <t>Magic Missile</t>
  </si>
  <si>
    <t>Storm Sphere</t>
  </si>
  <si>
    <t>Protection from Evil and Good</t>
  </si>
  <si>
    <t>Melf's Minute Meteors</t>
  </si>
  <si>
    <t>Vitriolic Sphere</t>
  </si>
  <si>
    <t>Snilloc's Snowball Swarm</t>
  </si>
  <si>
    <t>Witch Bolt</t>
  </si>
  <si>
    <t>Wall of Sand</t>
  </si>
  <si>
    <t>Aura of Vitality</t>
  </si>
  <si>
    <t>Aura of Life</t>
  </si>
  <si>
    <t>Banishing Smite</t>
  </si>
  <si>
    <t>Branding Smite</t>
  </si>
  <si>
    <t>Blinding Smite</t>
  </si>
  <si>
    <t>Aura of Purity</t>
  </si>
  <si>
    <t>Circle of Power</t>
  </si>
  <si>
    <t>Compelled Duel</t>
  </si>
  <si>
    <t>Find Steed</t>
  </si>
  <si>
    <t>Staggering Smite</t>
  </si>
  <si>
    <t>Elemental Weapon</t>
  </si>
  <si>
    <t>Ensnaring Strike</t>
  </si>
  <si>
    <t>Searing Smite</t>
  </si>
  <si>
    <t>Thunderous Smite</t>
  </si>
  <si>
    <t>Wrathful Smite</t>
  </si>
  <si>
    <t>Hunter's Mark</t>
  </si>
  <si>
    <t>Conjure Barrage</t>
  </si>
  <si>
    <t>Conjure Volley</t>
  </si>
  <si>
    <t>Swift Quiver</t>
  </si>
  <si>
    <t>Cordon of Arrows</t>
  </si>
  <si>
    <t>Lightning Arrow</t>
  </si>
  <si>
    <t>Pass Without Trace</t>
  </si>
  <si>
    <t>Hail of Thorns</t>
  </si>
  <si>
    <t>Mage Hand</t>
  </si>
  <si>
    <t>Acid Splash</t>
  </si>
  <si>
    <t>Alter Self</t>
  </si>
  <si>
    <t>Chill Touch</t>
  </si>
  <si>
    <t>Color Spray</t>
  </si>
  <si>
    <t>Evard's Black Tentacles</t>
  </si>
  <si>
    <t>Expeditious Retreat</t>
  </si>
  <si>
    <t>Fabricate</t>
  </si>
  <si>
    <t>False Life</t>
  </si>
  <si>
    <t>Fly</t>
  </si>
  <si>
    <t>Enlarge/Reduce</t>
  </si>
  <si>
    <t>Prestidigitation</t>
  </si>
  <si>
    <t>Find Familiar</t>
  </si>
  <si>
    <t>Grease</t>
  </si>
  <si>
    <t>Leomund's Secret Chest</t>
  </si>
  <si>
    <t>Levitate</t>
  </si>
  <si>
    <t>Phantasmal Killer</t>
  </si>
  <si>
    <t>Ray of Sickness</t>
  </si>
  <si>
    <t>Nystul's Magic Aura</t>
  </si>
  <si>
    <t>Tenser's Floating Disk</t>
  </si>
  <si>
    <t>Ray of Enfeeblement</t>
  </si>
  <si>
    <t>Rope Trick</t>
  </si>
  <si>
    <t>Vampiric Touch</t>
  </si>
  <si>
    <t>Arcane Gate</t>
  </si>
  <si>
    <t>Delayed Blast Fireball</t>
  </si>
  <si>
    <t>Chain Lightning</t>
  </si>
  <si>
    <t>Meteor Swarm</t>
  </si>
  <si>
    <t>Circle of Death</t>
  </si>
  <si>
    <t>Finger of Death</t>
  </si>
  <si>
    <t>Incendiary Cloud</t>
  </si>
  <si>
    <t>Creation</t>
  </si>
  <si>
    <t>Disintegrate</t>
  </si>
  <si>
    <t>Time Stop</t>
  </si>
  <si>
    <t>Wish</t>
  </si>
  <si>
    <t>Globe of Invulnerability</t>
  </si>
  <si>
    <t>Prismatic Spray</t>
  </si>
  <si>
    <t>Telekinesis</t>
  </si>
  <si>
    <t>Armor of Agathys</t>
  </si>
  <si>
    <t>Contact Other Plane</t>
  </si>
  <si>
    <t>Demiplane</t>
  </si>
  <si>
    <t>Arms of Hadar</t>
  </si>
  <si>
    <t>Eldritch Blast</t>
  </si>
  <si>
    <t>Imprisonment</t>
  </si>
  <si>
    <t>Hellish Rebuke</t>
  </si>
  <si>
    <t>Hunger of Hadar</t>
  </si>
  <si>
    <t>Flesh to Stone</t>
  </si>
  <si>
    <t>Hex</t>
  </si>
  <si>
    <t>Bigby's Hand</t>
  </si>
  <si>
    <t>Clone</t>
  </si>
  <si>
    <t>Contingency</t>
  </si>
  <si>
    <t>Drawmij's Instant Summon</t>
  </si>
  <si>
    <t>Maze</t>
  </si>
  <si>
    <t>Weird</t>
  </si>
  <si>
    <t>Magic Jar</t>
  </si>
  <si>
    <t>Sequester</t>
  </si>
  <si>
    <t>Simulacrum</t>
  </si>
  <si>
    <t>Telepathy</t>
  </si>
  <si>
    <t>Rary's Telepathic Bond</t>
  </si>
  <si>
    <t>Wall of Force</t>
  </si>
  <si>
    <t>FEATS</t>
  </si>
  <si>
    <t>ABILITIES</t>
  </si>
  <si>
    <t>DAMAGE</t>
  </si>
  <si>
    <t>SPEED</t>
  </si>
  <si>
    <t>Athlete</t>
  </si>
  <si>
    <t>Mage Slayer</t>
  </si>
  <si>
    <t>Sentinel</t>
  </si>
  <si>
    <t>War Caster</t>
  </si>
  <si>
    <t>ARMOR</t>
  </si>
  <si>
    <t>Hide</t>
  </si>
  <si>
    <t>ITEM</t>
  </si>
  <si>
    <t>WEIGHT</t>
  </si>
  <si>
    <t>Neutral</t>
  </si>
  <si>
    <t>Orb</t>
  </si>
  <si>
    <t>Rod</t>
  </si>
  <si>
    <t>Staff</t>
  </si>
  <si>
    <t>Wand</t>
  </si>
  <si>
    <t>Backpack</t>
  </si>
  <si>
    <t>Barrel</t>
  </si>
  <si>
    <t>Basket</t>
  </si>
  <si>
    <t>Bucket</t>
  </si>
  <si>
    <t>Chest</t>
  </si>
  <si>
    <t>Climber's kit</t>
  </si>
  <si>
    <t>Component pouch</t>
  </si>
  <si>
    <t>25 gp</t>
  </si>
  <si>
    <t>Crowbar</t>
  </si>
  <si>
    <t>2 gp</t>
  </si>
  <si>
    <t>1 lb.</t>
  </si>
  <si>
    <t>1 sp</t>
  </si>
  <si>
    <t>10 gp</t>
  </si>
  <si>
    <t>1/2 lb.</t>
  </si>
  <si>
    <t>Pot, iron</t>
  </si>
  <si>
    <t>Potion of healing</t>
  </si>
  <si>
    <t>Pouch</t>
  </si>
  <si>
    <t>1 gp</t>
  </si>
  <si>
    <t>Waterskin</t>
  </si>
  <si>
    <t>2 sp</t>
  </si>
  <si>
    <t>Padded</t>
  </si>
  <si>
    <t>Leather</t>
  </si>
  <si>
    <t>Studded leather</t>
  </si>
  <si>
    <t>Chain shirt</t>
  </si>
  <si>
    <t>Scale mail</t>
  </si>
  <si>
    <t>Breastplate</t>
  </si>
  <si>
    <t>Splint</t>
  </si>
  <si>
    <t>Plate</t>
  </si>
  <si>
    <t>Rslt:</t>
  </si>
  <si>
    <t>Wretched</t>
  </si>
  <si>
    <t>2d6</t>
  </si>
  <si>
    <t>WEALTH</t>
  </si>
  <si>
    <t>TRINKETS</t>
  </si>
  <si>
    <t>JEWELERY</t>
  </si>
  <si>
    <t xml:space="preserve">CLASS: </t>
  </si>
  <si>
    <t>Ornamental Stones</t>
  </si>
  <si>
    <t>Semiprecious Stones</t>
  </si>
  <si>
    <t>Fancy Stones</t>
  </si>
  <si>
    <t>Precious Stones</t>
  </si>
  <si>
    <t>Gem Stones</t>
  </si>
  <si>
    <t>Jewel Stones</t>
  </si>
  <si>
    <t>Hardstones</t>
  </si>
  <si>
    <t>Shells</t>
  </si>
  <si>
    <t xml:space="preserve">LEVEL: </t>
  </si>
  <si>
    <t>A shard of obsidian that always feels warm to the</t>
  </si>
  <si>
    <t>Copper Bracelet</t>
  </si>
  <si>
    <t>Agni Mani</t>
  </si>
  <si>
    <t>Agate</t>
  </si>
  <si>
    <t>Alexandrite</t>
  </si>
  <si>
    <t>Aquamarine</t>
  </si>
  <si>
    <t>Black Opal</t>
  </si>
  <si>
    <t>Amaratha</t>
  </si>
  <si>
    <t>Alabaser</t>
  </si>
  <si>
    <t>Abalone, Red</t>
  </si>
  <si>
    <t xml:space="preserve">GPV TOTAL: </t>
  </si>
  <si>
    <t>A mummified goblin hand touch</t>
  </si>
  <si>
    <t>Agate inlaid copper armband</t>
  </si>
  <si>
    <t>Algae</t>
  </si>
  <si>
    <t>Alestone</t>
  </si>
  <si>
    <t>Amber</t>
  </si>
  <si>
    <t>Euclase</t>
  </si>
  <si>
    <t>Fire Opal</t>
  </si>
  <si>
    <t>Beljuril</t>
  </si>
  <si>
    <t>Archon</t>
  </si>
  <si>
    <t>Abalone, Green</t>
  </si>
  <si>
    <t>COINS</t>
  </si>
  <si>
    <t>% DIST</t>
  </si>
  <si>
    <t xml:space="preserve">A piece of crystal that faintly glows in the moonlight </t>
  </si>
  <si>
    <t>Amber and emerald tree pendant</t>
  </si>
  <si>
    <t>Augelite</t>
  </si>
  <si>
    <t>Andar</t>
  </si>
  <si>
    <t>Amethyst</t>
  </si>
  <si>
    <t>Flamedance</t>
  </si>
  <si>
    <t>Jasmal</t>
  </si>
  <si>
    <t>Black Sapphire</t>
  </si>
  <si>
    <t>Horbill Ivory</t>
  </si>
  <si>
    <t>Black Helmet</t>
  </si>
  <si>
    <t>A dragon's bony talon hanging from a plain leather</t>
  </si>
  <si>
    <t>Brass bumblebee brooch</t>
  </si>
  <si>
    <t>Azurite</t>
  </si>
  <si>
    <t>Aventurine</t>
  </si>
  <si>
    <t>Angels Skin</t>
  </si>
  <si>
    <t>Garnet</t>
  </si>
  <si>
    <t>Moonbar</t>
  </si>
  <si>
    <t>Diamond</t>
  </si>
  <si>
    <t>Iris Agate</t>
  </si>
  <si>
    <t>Conch</t>
  </si>
  <si>
    <t>A gold coin minted in an unknown land necklace</t>
  </si>
  <si>
    <t>Carved ivory mask inlaid with jet</t>
  </si>
  <si>
    <t>Banded Agate</t>
  </si>
  <si>
    <t>Bloodstone</t>
  </si>
  <si>
    <t>Brandeen</t>
  </si>
  <si>
    <t>Heliodor</t>
  </si>
  <si>
    <t>Opal</t>
  </si>
  <si>
    <t>Emerald</t>
  </si>
  <si>
    <t>Ivory</t>
  </si>
  <si>
    <t>Cowrie, Tiger</t>
  </si>
  <si>
    <t>EP</t>
  </si>
  <si>
    <t xml:space="preserve">A diary written in a language you don’t know </t>
  </si>
  <si>
    <t>Carved sapphire bluebird pendant</t>
  </si>
  <si>
    <t>Blue Quartz</t>
  </si>
  <si>
    <t>Boakhar</t>
  </si>
  <si>
    <t>Cairngorm</t>
  </si>
  <si>
    <t>Horn Coral</t>
  </si>
  <si>
    <t>Orange Sapphire</t>
  </si>
  <si>
    <t>Jacinth</t>
  </si>
  <si>
    <t>Lumachella</t>
  </si>
  <si>
    <t>Cowrie, Pearl</t>
  </si>
  <si>
    <t>A  living worm with a head on each end of its body</t>
  </si>
  <si>
    <t>Carved tiger-eye lion pendant</t>
  </si>
  <si>
    <t>Bluestone</t>
  </si>
  <si>
    <t>Carnelian</t>
  </si>
  <si>
    <t>Chrysoberyl</t>
  </si>
  <si>
    <t>Orbaline</t>
  </si>
  <si>
    <t>Orblen</t>
  </si>
  <si>
    <t>Kings Tears</t>
  </si>
  <si>
    <t>Luspeel</t>
  </si>
  <si>
    <t>Cowrie, Opal</t>
  </si>
  <si>
    <t>PP</t>
  </si>
  <si>
    <t xml:space="preserve">A brass ring that never tarnishes </t>
  </si>
  <si>
    <t>Copper pegasus pendant</t>
  </si>
  <si>
    <t>Chrysocolla</t>
  </si>
  <si>
    <t>Chalcedony</t>
  </si>
  <si>
    <t>Chrysolite</t>
  </si>
  <si>
    <t>Pearl</t>
  </si>
  <si>
    <t>Orl</t>
  </si>
  <si>
    <t>Rogue Stone</t>
  </si>
  <si>
    <t>Marble</t>
  </si>
  <si>
    <t>Cowrie, Purple Star</t>
  </si>
  <si>
    <t>GEMS</t>
  </si>
  <si>
    <t>A blank book whose pages refuse to hold ink, chalk,</t>
  </si>
  <si>
    <t>Coral and pearl prayer beads</t>
  </si>
  <si>
    <t>Corstal</t>
  </si>
  <si>
    <t>Chrysoprase</t>
  </si>
  <si>
    <t>coral</t>
  </si>
  <si>
    <t>Peridot</t>
  </si>
  <si>
    <t>Purple Sapphire</t>
  </si>
  <si>
    <t>Ruby</t>
  </si>
  <si>
    <t>Meerschaum</t>
  </si>
  <si>
    <t>Flame Helmet</t>
  </si>
  <si>
    <t>An old chess piece made from glass graphite, or any other substance or marking</t>
  </si>
  <si>
    <t>Crystal sphere containing a black crystal sphere</t>
  </si>
  <si>
    <t>Crown of Silver</t>
  </si>
  <si>
    <t>Citrine</t>
  </si>
  <si>
    <t>Golden Sapphire</t>
  </si>
  <si>
    <t>Raindrop</t>
  </si>
  <si>
    <t>Ravenar</t>
  </si>
  <si>
    <t>Shou Lung Emerald</t>
  </si>
  <si>
    <t>Pipestone</t>
  </si>
  <si>
    <t>Horned Helmet</t>
  </si>
  <si>
    <t>A pair of knucklebone dice, each with a skull symbol on the side that would normally show six pips</t>
  </si>
  <si>
    <t>Detailed pearl mermaid pendant</t>
  </si>
  <si>
    <t>Disthene</t>
  </si>
  <si>
    <t>Clelophane</t>
  </si>
  <si>
    <t>Green Sapphire</t>
  </si>
  <si>
    <t>Rusteen</t>
  </si>
  <si>
    <t>Red Tears</t>
  </si>
  <si>
    <t>Star Ruby</t>
  </si>
  <si>
    <t>Psaedros</t>
  </si>
  <si>
    <t>Mother of Pearl</t>
  </si>
  <si>
    <t>GEMS:</t>
  </si>
  <si>
    <t>A silver badge in the shape of a five-pointed star</t>
  </si>
  <si>
    <t>Emerald pendant on a platinum chain</t>
  </si>
  <si>
    <t>Epidote</t>
  </si>
  <si>
    <t>Datchas</t>
  </si>
  <si>
    <t>Heliotrope</t>
  </si>
  <si>
    <t>Sphene</t>
  </si>
  <si>
    <t>Rhodolite</t>
  </si>
  <si>
    <t>Star Sapphire</t>
  </si>
  <si>
    <t>Serpentine Stone</t>
  </si>
  <si>
    <t>Nacre</t>
  </si>
  <si>
    <t>MISC GP</t>
  </si>
  <si>
    <t>ADD TO GP</t>
  </si>
  <si>
    <t>A knife that belonged to a relative</t>
  </si>
  <si>
    <t>Fine gemstone pendant on a golden chain</t>
  </si>
  <si>
    <t>Eye Agate</t>
  </si>
  <si>
    <t>Dioptase</t>
  </si>
  <si>
    <t>Hyacinth</t>
  </si>
  <si>
    <t>Spinel</t>
  </si>
  <si>
    <t>Sapphire</t>
  </si>
  <si>
    <t>Soapstone</t>
  </si>
  <si>
    <t>Nautilus</t>
  </si>
  <si>
    <t>A small idol depicting a nightmarish creature that gives you unsettling dreams when you sleep near it</t>
  </si>
  <si>
    <t>Finely wrought gold bracelet</t>
  </si>
  <si>
    <t>Fire Agate</t>
  </si>
  <si>
    <t>Gold Sheen</t>
  </si>
  <si>
    <t>Jade</t>
  </si>
  <si>
    <t>Topaz</t>
  </si>
  <si>
    <t>Sard</t>
  </si>
  <si>
    <t>Sulabra</t>
  </si>
  <si>
    <t>Red Helmet</t>
  </si>
  <si>
    <t>JEWELERY:</t>
  </si>
  <si>
    <t>A glass vial filled with nail clippings</t>
  </si>
  <si>
    <t>Fire opal inlaid luminar locket</t>
  </si>
  <si>
    <t>Fluorspar</t>
  </si>
  <si>
    <t>Hambergyle</t>
  </si>
  <si>
    <t>Jargoon</t>
  </si>
  <si>
    <t>Achroite</t>
  </si>
  <si>
    <t>Shou Lung Topaz</t>
  </si>
  <si>
    <t>Tempskya</t>
  </si>
  <si>
    <t>Sardonyx Helmet</t>
  </si>
  <si>
    <t>A rectangular metal device with two tiny metal cups</t>
  </si>
  <si>
    <t>Intricately linked snowflake necklace</t>
  </si>
  <si>
    <t>Frost Agate</t>
  </si>
  <si>
    <t>Hydrophane</t>
  </si>
  <si>
    <t>Jet</t>
  </si>
  <si>
    <t>Shou Lung Amethyst</t>
  </si>
  <si>
    <t>Turritella</t>
  </si>
  <si>
    <t>Shambos</t>
  </si>
  <si>
    <t xml:space="preserve">A rope necklace from which dangles four mummified on one end that throws sparks when wet elf fingers </t>
  </si>
  <si>
    <t>Jeweled ring</t>
  </si>
  <si>
    <t>Goldline</t>
  </si>
  <si>
    <t>Hypersthene</t>
  </si>
  <si>
    <t>Kornerupine</t>
  </si>
  <si>
    <t>Tomb Jade</t>
  </si>
  <si>
    <t>Xylopal</t>
  </si>
  <si>
    <t>Trochus</t>
  </si>
  <si>
    <t>QC User choice:</t>
  </si>
  <si>
    <t>A white, sequined glove sized for a human</t>
  </si>
  <si>
    <t>Malachite inlaid battleaxe on a bronze chain</t>
  </si>
  <si>
    <t>Greenstone</t>
  </si>
  <si>
    <t>Iol</t>
  </si>
  <si>
    <t>Laerals Tears</t>
  </si>
  <si>
    <t>Water Opal</t>
  </si>
  <si>
    <t>Star Metal</t>
  </si>
  <si>
    <t>Turbo</t>
  </si>
  <si>
    <t>The deed for a parcel of land in a realm unknown to you</t>
  </si>
  <si>
    <t>Moonstone lotus blossom pendant</t>
  </si>
  <si>
    <t>Hematite</t>
  </si>
  <si>
    <t>Irtios</t>
  </si>
  <si>
    <t>Mocca Stone</t>
  </si>
  <si>
    <t>Zendalure</t>
  </si>
  <si>
    <t>Unio</t>
  </si>
  <si>
    <t>A vest with one hundred tiny pockets</t>
  </si>
  <si>
    <t>Pearl inlaid mirrored locket</t>
  </si>
  <si>
    <t>Hyaline</t>
  </si>
  <si>
    <t>Jasper</t>
  </si>
  <si>
    <t>Octel</t>
  </si>
  <si>
    <t>WEALTH by class</t>
  </si>
  <si>
    <t xml:space="preserve">Max </t>
  </si>
  <si>
    <t>A small, weightless stone block</t>
  </si>
  <si>
    <t>Raven-headed silver torc</t>
  </si>
  <si>
    <t>Lapis Lazuli</t>
  </si>
  <si>
    <t>Luriyl</t>
  </si>
  <si>
    <t>Precious Cats-Eye</t>
  </si>
  <si>
    <t>Starting GP</t>
  </si>
  <si>
    <t xml:space="preserve">A 1-ounce block made from an unknown material </t>
  </si>
  <si>
    <t>Ruby-eyed moonsilver snake torc</t>
  </si>
  <si>
    <t>Lynx Eye</t>
  </si>
  <si>
    <t>Malacon</t>
  </si>
  <si>
    <t>Scapra</t>
  </si>
  <si>
    <t>A tiny sketch portrait of a goblin</t>
  </si>
  <si>
    <t>Rune engraved hammered silver bracelet</t>
  </si>
  <si>
    <t>Malachite</t>
  </si>
  <si>
    <t>Mellochrysos</t>
  </si>
  <si>
    <t>Shandon</t>
  </si>
  <si>
    <t xml:space="preserve">A small cloth doll skewered with needles </t>
  </si>
  <si>
    <t>Silver dragon minature pendant</t>
  </si>
  <si>
    <t>Microcline</t>
  </si>
  <si>
    <t>Moonstone</t>
  </si>
  <si>
    <t>Sinhalite</t>
  </si>
  <si>
    <t>An empty glass vial that smells of perfume when</t>
  </si>
  <si>
    <t>Silver hourglass pendant</t>
  </si>
  <si>
    <t>Moss Agate</t>
  </si>
  <si>
    <t>Mykaro</t>
  </si>
  <si>
    <t>Star Diopside</t>
  </si>
  <si>
    <t>A tooth from an unknown beast opened</t>
  </si>
  <si>
    <t>Emerald-eyed wolfs-head ring</t>
  </si>
  <si>
    <t>Nelvine</t>
  </si>
  <si>
    <t>Mynteer</t>
  </si>
  <si>
    <t>Tourmaline</t>
  </si>
  <si>
    <t xml:space="preserve">An enormous scale, perhaps from a dragon </t>
  </si>
  <si>
    <t>Jade eyed serpentine ring</t>
  </si>
  <si>
    <t>Nune</t>
  </si>
  <si>
    <t>Onyx</t>
  </si>
  <si>
    <t>Temair</t>
  </si>
  <si>
    <t>A gemstone that looks like a lump of coal when</t>
  </si>
  <si>
    <t>Silver ring etched with dice</t>
  </si>
  <si>
    <t>Obsidian</t>
  </si>
  <si>
    <t>Orprase</t>
  </si>
  <si>
    <t>Ulvaen</t>
  </si>
  <si>
    <t>A bright green feather examined by anyone but you</t>
  </si>
  <si>
    <t>Grimsilver ring emblazoned with an etched ruby eye and flame</t>
  </si>
  <si>
    <t>Oolite</t>
  </si>
  <si>
    <t>Phenalope</t>
  </si>
  <si>
    <t>Waterstar</t>
  </si>
  <si>
    <t xml:space="preserve">An old divination card bearing your likeness </t>
  </si>
  <si>
    <t>Steel ring with a battle-axe etched bloodstone</t>
  </si>
  <si>
    <t>Ophealine</t>
  </si>
  <si>
    <t>Rainbow Obsidian</t>
  </si>
  <si>
    <t>Ziose</t>
  </si>
  <si>
    <t>A scrap of cloth from an old banner</t>
  </si>
  <si>
    <t>Etched ivory ring set with a freshwater pearl</t>
  </si>
  <si>
    <t>Rhodocrhrosite</t>
  </si>
  <si>
    <t>Rock Crystal</t>
  </si>
  <si>
    <t>Danburite</t>
  </si>
  <si>
    <t xml:space="preserve">A glass orb filled with moving smoke </t>
  </si>
  <si>
    <t>Bluesteel joined-hands ring</t>
  </si>
  <si>
    <t>Rosaline</t>
  </si>
  <si>
    <t>Samarskite</t>
  </si>
  <si>
    <t>Cerussite</t>
  </si>
  <si>
    <t>A rank insignia from a lost legionnaire</t>
  </si>
  <si>
    <t>Silver ring set with a triquerta-etched lapis lazuli</t>
  </si>
  <si>
    <t>Sagenite</t>
  </si>
  <si>
    <t>Sardonyx</t>
  </si>
  <si>
    <t>Morganite</t>
  </si>
  <si>
    <t xml:space="preserve">A 1-pound egg with a bright red shell </t>
  </si>
  <si>
    <t>Onyx ring carved with a jackal's head</t>
  </si>
  <si>
    <t>Sanidine</t>
  </si>
  <si>
    <t>Serpentine</t>
  </si>
  <si>
    <t>Kunzite</t>
  </si>
  <si>
    <t>A tiny silver bell without a clapper</t>
  </si>
  <si>
    <t>Black dragonhide weapon's harness</t>
  </si>
  <si>
    <t>Sarbossa</t>
  </si>
  <si>
    <t>Skydrop</t>
  </si>
  <si>
    <t>Almadine</t>
  </si>
  <si>
    <t>A pipe that blows bubbles</t>
  </si>
  <si>
    <t>Blue and green honey-leather tabard</t>
  </si>
  <si>
    <t>Satin Spar</t>
  </si>
  <si>
    <t>Smoky Quartz</t>
  </si>
  <si>
    <t>Watermelon Tourmaline</t>
  </si>
  <si>
    <t>WEALTH by Level</t>
  </si>
  <si>
    <t>A mechanical canary inside a gnomish lamp</t>
  </si>
  <si>
    <t>Brillantly red spidersilk shawl</t>
  </si>
  <si>
    <t>Sharpstone</t>
  </si>
  <si>
    <t>Spodumene</t>
  </si>
  <si>
    <t>Titanite</t>
  </si>
  <si>
    <t>Cost of Equip</t>
  </si>
  <si>
    <t>Cost of Magic</t>
  </si>
  <si>
    <t>Adjusted GP</t>
  </si>
  <si>
    <t>A glass jar containing a weird bit of flesh floating in pickling fluid</t>
  </si>
  <si>
    <t>Dragon-embossed leather bracers</t>
  </si>
  <si>
    <t>Sheen</t>
  </si>
  <si>
    <t>Star Rose Quartz</t>
  </si>
  <si>
    <t>Pink Tourmaline</t>
  </si>
  <si>
    <t>1ST LEVEL</t>
  </si>
  <si>
    <t>A tiny chest carved to look like it has numerous feet on the bottom</t>
  </si>
  <si>
    <t>Embroidered gray velvet slippers</t>
  </si>
  <si>
    <t>Silkstone</t>
  </si>
  <si>
    <t>Tabasheer</t>
  </si>
  <si>
    <t>Padparadscha</t>
  </si>
  <si>
    <t>2ND LEVEL</t>
  </si>
  <si>
    <t>A tiny gnome-crafted music box that plays a song you dimly remember from your childhood</t>
  </si>
  <si>
    <t>Exquisite off-white spidersilk gown</t>
  </si>
  <si>
    <t>Snowflake Obsidian</t>
  </si>
  <si>
    <t>Tehazar</t>
  </si>
  <si>
    <t>Axinite</t>
  </si>
  <si>
    <t>3RD LEVEL</t>
  </si>
  <si>
    <t>A dead sprite inside a clear glass bottle</t>
  </si>
  <si>
    <t>Garnet inlaid bronze bracers</t>
  </si>
  <si>
    <t>Sunstone</t>
  </si>
  <si>
    <t>Witherite</t>
  </si>
  <si>
    <t>Prase</t>
  </si>
  <si>
    <t>4th LEVEL</t>
  </si>
  <si>
    <t>A metal can that has no opening but sounds as if it is filled with liquid, sand, spiders, or broken glass (your choice)</t>
  </si>
  <si>
    <t>Honey-leather baldric</t>
  </si>
  <si>
    <t>Thuparlial</t>
  </si>
  <si>
    <t>Zircon</t>
  </si>
  <si>
    <t>Lavender Jade</t>
  </si>
  <si>
    <t>5th LEVEL</t>
  </si>
  <si>
    <t>A small wooden statuette of a smug halfling</t>
  </si>
  <si>
    <t>Honey-leather vest with hidden pockets</t>
  </si>
  <si>
    <t>Tiger Eye Agate</t>
  </si>
  <si>
    <t>Petalite</t>
  </si>
  <si>
    <t>Yellow Jade</t>
  </si>
  <si>
    <t>6th LEVEL</t>
  </si>
  <si>
    <t>A brass orb etched with strange runes</t>
  </si>
  <si>
    <t>Rune-embroidered gray spidersilk robes</t>
  </si>
  <si>
    <t>Turquoise</t>
  </si>
  <si>
    <t>Datolite</t>
  </si>
  <si>
    <t>Purple Jade</t>
  </si>
  <si>
    <t>7th LEVEL</t>
  </si>
  <si>
    <t>A multicolored stone disk</t>
  </si>
  <si>
    <t>Silver constellation embroidered black spidersilk cloak</t>
  </si>
  <si>
    <t>Variscite</t>
  </si>
  <si>
    <t>Scheelite</t>
  </si>
  <si>
    <t>Blue Topaz</t>
  </si>
  <si>
    <t>8th LEVEL</t>
  </si>
  <si>
    <t>A glass orb filled with water, in which swims a</t>
  </si>
  <si>
    <t>Silver-embroidered black velvet cloak</t>
  </si>
  <si>
    <t>Violane</t>
  </si>
  <si>
    <t>Celestine</t>
  </si>
  <si>
    <t>9th LEVEL</t>
  </si>
  <si>
    <t>A tiny silver icon of a raven clockwork goldfish</t>
  </si>
  <si>
    <t>Snowflake etched silver goblets</t>
  </si>
  <si>
    <t>Webstone</t>
  </si>
  <si>
    <t>10th LEVEL</t>
  </si>
  <si>
    <t>A bag containing forty-seven humanoid teeth, one of which is rotten</t>
  </si>
  <si>
    <t>Winter wolf-skin vest</t>
  </si>
  <si>
    <t>Wonderstone</t>
  </si>
  <si>
    <t>11TH LEVEL</t>
  </si>
  <si>
    <t>A silver spoon with an M engraved on the handle</t>
  </si>
  <si>
    <t>Elegantly drapping white velvet cloak</t>
  </si>
  <si>
    <t>Woodtine</t>
  </si>
  <si>
    <t>12th LEVEL</t>
  </si>
  <si>
    <t>A whistle made from gold-colored wood</t>
  </si>
  <si>
    <t>Silver spiderweb embroidered gray spiderspilk robes</t>
  </si>
  <si>
    <t>Zarbrina</t>
  </si>
  <si>
    <t>13th LEVEL</t>
  </si>
  <si>
    <t xml:space="preserve">A dead scarab beetle the size of your hand </t>
  </si>
  <si>
    <t>Translucent black spidersilk cloak</t>
  </si>
  <si>
    <t>14th LEVEL</t>
  </si>
  <si>
    <t>An invitation to a party where a murder happened</t>
  </si>
  <si>
    <t>15th LEVEL</t>
  </si>
  <si>
    <t xml:space="preserve">Two toy soldiers, one with a missing head </t>
  </si>
  <si>
    <t>16th LEVEL</t>
  </si>
  <si>
    <t>A bronze pentacle with an etching of a rat's head</t>
  </si>
  <si>
    <t>17th LEVEL</t>
  </si>
  <si>
    <t>A small box filled with different-sized buttons in its center</t>
  </si>
  <si>
    <t>18th LEVEL</t>
  </si>
  <si>
    <t xml:space="preserve">A candle that can’t be lit </t>
  </si>
  <si>
    <t>19th LEVEL</t>
  </si>
  <si>
    <t>A purple handkerchief embroidered with the name of</t>
  </si>
  <si>
    <t>20TH LEVEL</t>
  </si>
  <si>
    <t>A tiny cage with no door a powerful archmage</t>
  </si>
  <si>
    <t xml:space="preserve">An old key </t>
  </si>
  <si>
    <t>Half of a floorplan for a temple, castle, or some other</t>
  </si>
  <si>
    <t>An indecipherable treasure map structure</t>
  </si>
  <si>
    <t xml:space="preserve">A hilt from a broken sword </t>
  </si>
  <si>
    <t>A bit of folded cloth that, when unfolded, turns into</t>
  </si>
  <si>
    <t>A rabbit’s foot a stylish cap</t>
  </si>
  <si>
    <t xml:space="preserve">A glass eye </t>
  </si>
  <si>
    <t>A receipt of deposit at a bank in a far-flung city</t>
  </si>
  <si>
    <t xml:space="preserve">A cameo carved in the likeness of a hideous person </t>
  </si>
  <si>
    <t>A diary with seven missing pages</t>
  </si>
  <si>
    <t xml:space="preserve">A silver skull the size of a coin </t>
  </si>
  <si>
    <t>An empty silver snuffbox bearing an inscription on</t>
  </si>
  <si>
    <t>An alabaster mask the surface that says “dreams’’</t>
  </si>
  <si>
    <t xml:space="preserve">A pyramid of sticky black incense that smells very bad </t>
  </si>
  <si>
    <t>An iron holy symbol devoted to an unknown god</t>
  </si>
  <si>
    <t>A nightcap that, when worn, gives you pleasant dreams</t>
  </si>
  <si>
    <t>A book that tells the story of a legendary hero's rise and fall, with the last chapter missing</t>
  </si>
  <si>
    <t xml:space="preserve">A single caltrop made from bone </t>
  </si>
  <si>
    <t>A vial of dragon blood</t>
  </si>
  <si>
    <t>A gold monocle frame without the lens</t>
  </si>
  <si>
    <t>An ancient arrow of elven design</t>
  </si>
  <si>
    <t>A 1-inch cube, each side painted a different color</t>
  </si>
  <si>
    <t>A needle that never bends</t>
  </si>
  <si>
    <t xml:space="preserve">A crystal knob from a door </t>
  </si>
  <si>
    <t>An ornate brooch of dwarven design</t>
  </si>
  <si>
    <t xml:space="preserve">A small packet filled with pink dust </t>
  </si>
  <si>
    <t>An empty wine bottle bearing a pretty label that says, “The Wizard of Wines Winery, Red Dragon Crush, 331422-W"</t>
  </si>
  <si>
    <t>A fragment of a beautiful song, written as musical notes on two pieces of parchment</t>
  </si>
  <si>
    <t xml:space="preserve">A silver teardrop earring made from a real teardrop </t>
  </si>
  <si>
    <t>A mosaic tile with a multicolored, glazed surface</t>
  </si>
  <si>
    <t>The shell of an egg painted with scenes of human misery in disturbing detail</t>
  </si>
  <si>
    <t>A petrified mouse</t>
  </si>
  <si>
    <t>A black pirate flag adorned with a dragon's skull</t>
  </si>
  <si>
    <t>A fan that, when unfolded, shows a sleeping cat and crossbones</t>
  </si>
  <si>
    <t xml:space="preserve">A set of bone pipes </t>
  </si>
  <si>
    <t>A tiny mechanical crab or spider that moves about</t>
  </si>
  <si>
    <t>A four-leaf clover pressed inside a book discussing when it’s not being observed manners and etiquette</t>
  </si>
  <si>
    <t>A glass jar containing lard with a label that reads,</t>
  </si>
  <si>
    <t>A sheet of parchment upon which is drawn a complex “Griffon Grease” mechanical contraption</t>
  </si>
  <si>
    <t>A wooden box with a ceramic bottom that holds a</t>
  </si>
  <si>
    <t>An ornate scabbard that fits no blade you have found so far</t>
  </si>
  <si>
    <t>A metal urn containing the ashes of a hero</t>
  </si>
  <si>
    <t>MAGIC ITEMS</t>
  </si>
  <si>
    <t>COMMON/UNCOMMON ITEMS</t>
  </si>
  <si>
    <t>Attune</t>
  </si>
  <si>
    <t>AC Bonus</t>
  </si>
  <si>
    <t>LEVEL (OR 0)</t>
  </si>
  <si>
    <t>COMMON/UNCOMMON</t>
  </si>
  <si>
    <t>RARE</t>
  </si>
  <si>
    <t>VERY RARE</t>
  </si>
  <si>
    <t>LEGENDARY</t>
  </si>
  <si>
    <t>Potion of Climbing</t>
  </si>
  <si>
    <t>Potion</t>
  </si>
  <si>
    <t>Climb 1 hr. = Walk speed</t>
  </si>
  <si>
    <t>dmg 187</t>
  </si>
  <si>
    <t>Potion of Healing - Common</t>
  </si>
  <si>
    <t>Healing  (2D4+2)</t>
  </si>
  <si>
    <t>NOTES</t>
  </si>
  <si>
    <t>SOURCE</t>
  </si>
  <si>
    <t>Spell Scroll, 1st Level</t>
  </si>
  <si>
    <t>Scroll</t>
  </si>
  <si>
    <t>dmg 200</t>
  </si>
  <si>
    <t>ITEM#1</t>
  </si>
  <si>
    <t>Spell Scroll, Cantrip</t>
  </si>
  <si>
    <t>ITEM#2</t>
  </si>
  <si>
    <t>Adamantine Armor</t>
  </si>
  <si>
    <t>Uncommon</t>
  </si>
  <si>
    <t>dmg 150</t>
  </si>
  <si>
    <t>ITEM#3</t>
  </si>
  <si>
    <t>Mariner's Armor</t>
  </si>
  <si>
    <t>dmg 181</t>
  </si>
  <si>
    <t>ITEM#4</t>
  </si>
  <si>
    <t>Mithral Armor</t>
  </si>
  <si>
    <t>dmg 182</t>
  </si>
  <si>
    <t>ITEM#5</t>
  </si>
  <si>
    <t>Sentinel Shield</t>
  </si>
  <si>
    <t xml:space="preserve">Advantage on Initiative and Perception </t>
  </si>
  <si>
    <t>dmg 199</t>
  </si>
  <si>
    <t>ITEM#6</t>
  </si>
  <si>
    <t>Shield, +1</t>
  </si>
  <si>
    <t>ITEM#7</t>
  </si>
  <si>
    <t>Oil of Slipperiness</t>
  </si>
  <si>
    <t>Freedom of movement - 8 hrs.</t>
  </si>
  <si>
    <t>dmg 184</t>
  </si>
  <si>
    <t>Philter of Love</t>
  </si>
  <si>
    <t>Cursed - Charmed by first creature you see - 1 hr.</t>
  </si>
  <si>
    <t>Potion of Animal Friendship</t>
  </si>
  <si>
    <t>Animal Friendship - 1 hr.</t>
  </si>
  <si>
    <t>RARE ITEMS</t>
  </si>
  <si>
    <t>Potion of Fire Breath</t>
  </si>
  <si>
    <t>30' Fire - 4D6 damage (3X or 1 hr.)</t>
  </si>
  <si>
    <t>Potion of Greater Healing</t>
  </si>
  <si>
    <t>Healing  (4D4+4)</t>
  </si>
  <si>
    <t>Potion of Growth</t>
  </si>
  <si>
    <t>Enlarge - 4 hrs.</t>
  </si>
  <si>
    <t>Potion of Hill Giant Strength</t>
  </si>
  <si>
    <t>Strength 21 - 1 hr.</t>
  </si>
  <si>
    <t>Potion of Poison</t>
  </si>
  <si>
    <t>Drink - 3d6,  -1d6 per save</t>
  </si>
  <si>
    <t>dmg 188</t>
  </si>
  <si>
    <t>Potion of Resistance</t>
  </si>
  <si>
    <t>Potion of Water Breathing</t>
  </si>
  <si>
    <t>Breath underwater - 1 hr.</t>
  </si>
  <si>
    <t>Ring of Jumping</t>
  </si>
  <si>
    <t>Ring</t>
  </si>
  <si>
    <t>yes</t>
  </si>
  <si>
    <t>Jump - bonus action - at will</t>
  </si>
  <si>
    <t>dmg 191</t>
  </si>
  <si>
    <t>Ring of Mind Shielding</t>
  </si>
  <si>
    <t>Immune to mind reading/alignmen/lying - Die soul enters ring</t>
  </si>
  <si>
    <t>VERY RARE ITEMS</t>
  </si>
  <si>
    <t>Ring of Swimming</t>
  </si>
  <si>
    <t>Swim 40' / turn</t>
  </si>
  <si>
    <t>dmg 193</t>
  </si>
  <si>
    <t>Ring of Warmth</t>
  </si>
  <si>
    <t>Resistant to cold damage</t>
  </si>
  <si>
    <t>Ring of Water Walking</t>
  </si>
  <si>
    <t>Stand/Move on any liquid</t>
  </si>
  <si>
    <t>Immovable Rod</t>
  </si>
  <si>
    <t>Push button - Rod immovable - DC 30 to move rod 10'</t>
  </si>
  <si>
    <t>dmg 175</t>
  </si>
  <si>
    <t>Rod of the Pact Keeper, +1</t>
  </si>
  <si>
    <t>Warlock - Spell attack +1, Saves +1</t>
  </si>
  <si>
    <t>dmg 197</t>
  </si>
  <si>
    <t>Spell Scroll, 2nd Level</t>
  </si>
  <si>
    <t>Spell Scroll, 3rd Level</t>
  </si>
  <si>
    <t>LEGENDARY ITEMS</t>
  </si>
  <si>
    <t>Staff of the Adder</t>
  </si>
  <si>
    <t>dmg 203</t>
  </si>
  <si>
    <t>Staff of the Python</t>
  </si>
  <si>
    <t>Cleric, Druid, or Warlock - Turns into Giant Constrictor Snake</t>
  </si>
  <si>
    <t>dmg 204</t>
  </si>
  <si>
    <t>Wand of Magic Detection</t>
  </si>
  <si>
    <t>3 Charges/day - (1 chg.) Dect. Magic   ( +1d3 charge/day)</t>
  </si>
  <si>
    <t>dmg 211</t>
  </si>
  <si>
    <t>Wand of Magic Missiles</t>
  </si>
  <si>
    <t>7 Charges/day - (1 chg.) Magic Missle - (can increase power)</t>
  </si>
  <si>
    <t>Reistance Potion</t>
  </si>
  <si>
    <t>Wand of Secrets</t>
  </si>
  <si>
    <t>3 Charges/day - (1 chg.) Dect. Secret door - 30'   ( +1d3 charge/day)</t>
  </si>
  <si>
    <t>Acid</t>
  </si>
  <si>
    <t>Wand of Web</t>
  </si>
  <si>
    <t>Spellcaster - 7 Charges - DC15 to dodge/escape</t>
  </si>
  <si>
    <t>dmg 212</t>
  </si>
  <si>
    <t>Cold</t>
  </si>
  <si>
    <t>Wand of the War Mage, +1</t>
  </si>
  <si>
    <t>Spellcaster - (+1 to attack rolls)</t>
  </si>
  <si>
    <t>Fire</t>
  </si>
  <si>
    <t>Magic Ammunition</t>
  </si>
  <si>
    <t>Force</t>
  </si>
  <si>
    <t>Javelin of Lightning</t>
  </si>
  <si>
    <t>Lightning - 120' x 5' - DC13 - 1d6+4d6   -  1/day</t>
  </si>
  <si>
    <t>dmg 178</t>
  </si>
  <si>
    <t>Lightning</t>
  </si>
  <si>
    <t>Sword of Vengeance</t>
  </si>
  <si>
    <t>dmg 206</t>
  </si>
  <si>
    <t>Necrotic</t>
  </si>
  <si>
    <t>Trident of Fish Command</t>
  </si>
  <si>
    <t>3 Charges/day - (1 chg.) Dominate Beast   ( +1d3 charge/day)</t>
  </si>
  <si>
    <t>dmg 209</t>
  </si>
  <si>
    <t>Poison</t>
  </si>
  <si>
    <t>Weapon of Warning</t>
  </si>
  <si>
    <t>Adv. on Init. rolls, Party not surprised in 30', wakes if sleeping</t>
  </si>
  <si>
    <t>dmg 213</t>
  </si>
  <si>
    <t>Psychic</t>
  </si>
  <si>
    <t>Radiant</t>
  </si>
  <si>
    <t>Alchemy Jug</t>
  </si>
  <si>
    <t>Wondrous Item</t>
  </si>
  <si>
    <t>Produce many liquids on command - 1/day</t>
  </si>
  <si>
    <t>Thunder</t>
  </si>
  <si>
    <t>Amulet of Proof Against Detection and Location</t>
  </si>
  <si>
    <t>Hidden from divination magic</t>
  </si>
  <si>
    <t>Bag of Holding</t>
  </si>
  <si>
    <t>Hold 500 lbs. - always weighs 15 lbs.</t>
  </si>
  <si>
    <t>dmg 153</t>
  </si>
  <si>
    <t>Swords</t>
  </si>
  <si>
    <t>Bag of Tricks</t>
  </si>
  <si>
    <t>dmg 154</t>
  </si>
  <si>
    <t>Boots of Elvenkind</t>
  </si>
  <si>
    <t>Make no sound - Advantage Dex &amp; Stealth checks</t>
  </si>
  <si>
    <t>dmg 155</t>
  </si>
  <si>
    <t>Boots of Striding and Springing</t>
  </si>
  <si>
    <t>Walk 30'/turn, Jump 3X normal</t>
  </si>
  <si>
    <t>dmg 156</t>
  </si>
  <si>
    <t>Boots of the Winterlands</t>
  </si>
  <si>
    <t>Resistant to cold damage, ignore ice/snow, tolerate -50</t>
  </si>
  <si>
    <t>Scimiter</t>
  </si>
  <si>
    <t>Bracers of Archery</t>
  </si>
  <si>
    <t>Proficency with Longbow &amp; Shortbow, +2 damage</t>
  </si>
  <si>
    <t>Brooch of Shielding</t>
  </si>
  <si>
    <t>Reistance to Force Damage, Immunity to Magic Missile</t>
  </si>
  <si>
    <t>Broom of Flying</t>
  </si>
  <si>
    <t>Fly 50'/turn, carrying 200 lbs or less, 30' Fly if over 200 (400 Max)</t>
  </si>
  <si>
    <t>Cap of Water Breathing</t>
  </si>
  <si>
    <t>Breath underwater</t>
  </si>
  <si>
    <t>dmg 157</t>
  </si>
  <si>
    <t>Gray Bag</t>
  </si>
  <si>
    <t>Circlet of Blasting</t>
  </si>
  <si>
    <t>Scorching Ray 1/day, +5 to hit</t>
  </si>
  <si>
    <t>dmg 158</t>
  </si>
  <si>
    <t>Cloak of Elvenkind</t>
  </si>
  <si>
    <t>Perc. Rolls disadantage, Stealth Adv. Rolls</t>
  </si>
  <si>
    <t>Rust Bag</t>
  </si>
  <si>
    <t>Cloak of Protection</t>
  </si>
  <si>
    <t>"+1 AC and +1 Saves"</t>
  </si>
  <si>
    <t>dmg 159</t>
  </si>
  <si>
    <t>Tan Bag</t>
  </si>
  <si>
    <t>Cloak of the Manta Ray</t>
  </si>
  <si>
    <t>Breath underwater, Swim 60'/turn</t>
  </si>
  <si>
    <t>Decanter of Endless Water</t>
  </si>
  <si>
    <t>Stream - 1 Gal, Fountain - 5 Gal, Geyser - 30 Gal.(1d4 dam.)</t>
  </si>
  <si>
    <t>dmg 161</t>
  </si>
  <si>
    <t>Elemental Gem</t>
  </si>
  <si>
    <t>Deck of Illusions</t>
  </si>
  <si>
    <t>Illusions - (1d20-1) Cards - See DMG.</t>
  </si>
  <si>
    <t>Air</t>
  </si>
  <si>
    <t>Driftglobe</t>
  </si>
  <si>
    <t>Light or Daylight 1/day - floats around you</t>
  </si>
  <si>
    <t>dmg 166</t>
  </si>
  <si>
    <t>Earth</t>
  </si>
  <si>
    <t>Dust of Disappearance</t>
  </si>
  <si>
    <t>10' sq. of invisibility - 2d4 Min.</t>
  </si>
  <si>
    <t>Dust of Dryness</t>
  </si>
  <si>
    <t>Turn 15' sq. of water into small pellet</t>
  </si>
  <si>
    <t>Water</t>
  </si>
  <si>
    <t>Dust of Sneezing and Choking</t>
  </si>
  <si>
    <t>30' area, DC 15 Con or incapacited until save</t>
  </si>
  <si>
    <t>dmg 167</t>
  </si>
  <si>
    <t>Eversmoking Bottle</t>
  </si>
  <si>
    <t>60' radius Thick Cloud - expands to 120' - Ends when closed</t>
  </si>
  <si>
    <t>dmg 168</t>
  </si>
  <si>
    <t>Eyes of Charming</t>
  </si>
  <si>
    <t>3 Charges/day - (1 chg.) Charm Person (save DC 13)</t>
  </si>
  <si>
    <t>Eyes of Minute Seeing</t>
  </si>
  <si>
    <t>Advantage on Investigation (Searching Check)</t>
  </si>
  <si>
    <t>Eyes of the Eagle</t>
  </si>
  <si>
    <t>Advantage on Perception Check - Long distance</t>
  </si>
  <si>
    <t>Figurine of Wondrous Power, Silver Raven</t>
  </si>
  <si>
    <t>Lasts 12 hrs. - every other day - Animal Messenger spell</t>
  </si>
  <si>
    <t>dmg 170</t>
  </si>
  <si>
    <t>Gauntlets of Ogre Power</t>
  </si>
  <si>
    <t>Strength 19 (no effect if NPC is stronger)</t>
  </si>
  <si>
    <t>dmg 171</t>
  </si>
  <si>
    <t>Gem of Brightness</t>
  </si>
  <si>
    <t>50 charges - 30 to 60 light - or Blinding beam or 30' blinding sph.</t>
  </si>
  <si>
    <t>Gloves of Missile Snaring</t>
  </si>
  <si>
    <t>dmg 172</t>
  </si>
  <si>
    <t>Gloves of Swimming and Climbing</t>
  </si>
  <si>
    <t>Climb and Swim at walk speed, +5 str check when Swim or climb</t>
  </si>
  <si>
    <t>Gloves of Thievery</t>
  </si>
  <si>
    <t>Invis. When worn, +5 to Sleight of Hand and Pick locks</t>
  </si>
  <si>
    <t>Goggles of Night</t>
  </si>
  <si>
    <t>Darkvision 60'</t>
  </si>
  <si>
    <t>Hat of Disguise</t>
  </si>
  <si>
    <t>Disguse self - at will</t>
  </si>
  <si>
    <t>dmg 173</t>
  </si>
  <si>
    <t>Headband of Intellect</t>
  </si>
  <si>
    <t>Int = 19</t>
  </si>
  <si>
    <t>Helm of Comprehending Languages</t>
  </si>
  <si>
    <t>Comprehend Languages at will</t>
  </si>
  <si>
    <t>Helm of Telepathy</t>
  </si>
  <si>
    <t>Dect. Thoughts (DC 13) + send telepathic messages, Suggestion 1/day</t>
  </si>
  <si>
    <t>dmg 174</t>
  </si>
  <si>
    <t>Instrument of the Bards, Doss Lute</t>
  </si>
  <si>
    <t>Bard - Fly, Invis, Levitate, Prot. Good &amp; Evil, Animal Friendship, Prot. Fire &amp; Posion 1/day</t>
  </si>
  <si>
    <t>dmg 176</t>
  </si>
  <si>
    <t>Instrument of the Bards, Fochlucan Bandore</t>
  </si>
  <si>
    <t>Bard - Fly, Invis, Levitate, Prot. Good &amp; Evil, Entangle, Faire Fire, Shillelagh, Speak w/ Animals - 1/day</t>
  </si>
  <si>
    <t>Instrument of the Bards, Mac-Fuirmidh Cittern</t>
  </si>
  <si>
    <t>Bard - Fly, Invis, Levitate, Prot. Good &amp; Evil, Barkskin, cure wounds, fog cloud  - 1/day</t>
  </si>
  <si>
    <t>Keoghtom's Ointment</t>
  </si>
  <si>
    <t>1d4+1 doses, 2d8+2 healing, cures poison and disease</t>
  </si>
  <si>
    <t>dmg 179</t>
  </si>
  <si>
    <t>Lantern of Revealing</t>
  </si>
  <si>
    <t>30' bright light, +30' dim light, see invisible in light - 6 hrs./pint of oil</t>
  </si>
  <si>
    <t>Medallion of Thoughts</t>
  </si>
  <si>
    <t xml:space="preserve">3 charges - Dect. Thoughts (DC 13) (recharges 1d3/day) </t>
  </si>
  <si>
    <t>Necklace of Adaptation</t>
  </si>
  <si>
    <t>Breath in any environment, saving throw vs. gases &amp; breath weapons</t>
  </si>
  <si>
    <t>Pearl of Power</t>
  </si>
  <si>
    <t>Spellcaster only - Regain 1 spell up to 3rd level - 1/day</t>
  </si>
  <si>
    <t>Periapt of Health</t>
  </si>
  <si>
    <t>Immune to disease</t>
  </si>
  <si>
    <t>Periapt of Wound Closure</t>
  </si>
  <si>
    <t>Stabilize when dying - regain HP at double rate</t>
  </si>
  <si>
    <t>Pipes of Haunting</t>
  </si>
  <si>
    <t>3 Charges/day - (1 chg.) Fear 30'  (save DC 15 Wis.)</t>
  </si>
  <si>
    <t>dmg 185</t>
  </si>
  <si>
    <t>Pipes of the Sewers</t>
  </si>
  <si>
    <t xml:space="preserve">Prof. with wind instruments only - 3 charges - summons rats </t>
  </si>
  <si>
    <t>Quiver of Ehlonna</t>
  </si>
  <si>
    <t>Holds extra ammo - bolts, arrows, javelins and bows, staffs or spears</t>
  </si>
  <si>
    <t>dmg 189</t>
  </si>
  <si>
    <t>Robe of Useful Items</t>
  </si>
  <si>
    <t>Robe w/ 4d4 patches - Random items see DMG</t>
  </si>
  <si>
    <t>dmg 195</t>
  </si>
  <si>
    <t>Rope of Climbing</t>
  </si>
  <si>
    <t>60' rope, hold 3,000 lbs, rope animates, advantage on climb</t>
  </si>
  <si>
    <t>Saddle of the Cavalier</t>
  </si>
  <si>
    <t>can't be dismounted, disadvantange attacks against mount</t>
  </si>
  <si>
    <t>Sending Stones</t>
  </si>
  <si>
    <t>Pair of stones, cast Sending 1/day to person with other stone</t>
  </si>
  <si>
    <t>Slippers of Spider Climbing</t>
  </si>
  <si>
    <t>Climb walls - hands free @ walking speed</t>
  </si>
  <si>
    <t>Stone of Good Luck</t>
  </si>
  <si>
    <t>Ability checks and saves +1</t>
  </si>
  <si>
    <t>dmg 205</t>
  </si>
  <si>
    <t>Wind Fan</t>
  </si>
  <si>
    <t>Cast Gust of Wind (DC 13) 1/day</t>
  </si>
  <si>
    <t>Winged Boots</t>
  </si>
  <si>
    <t>Fly speed equal to walk speed - 4 hrs./day</t>
  </si>
  <si>
    <t>dmg 214</t>
  </si>
  <si>
    <t>Rare</t>
  </si>
  <si>
    <t>dmg 152</t>
  </si>
  <si>
    <t>Armor of Reistance</t>
  </si>
  <si>
    <t>Plate Armor of Vulnerability</t>
  </si>
  <si>
    <t>Magic Armor</t>
  </si>
  <si>
    <t>Arrow-catching Shield</t>
  </si>
  <si>
    <t>"+2 vs. ranged attacks, +normal shield AC"</t>
  </si>
  <si>
    <t>Elven Chain</t>
  </si>
  <si>
    <t>Automatically proficient with medium armor, +2 AC</t>
  </si>
  <si>
    <t>Glamoured Studded Leather</t>
  </si>
  <si>
    <t>Command word - looks like normal clothes, +1 AC</t>
  </si>
  <si>
    <t>Shield of Missile Attraction</t>
  </si>
  <si>
    <t>CURSED - Any ranged attack within 10', attacks you instead</t>
  </si>
  <si>
    <t>Shield, +2</t>
  </si>
  <si>
    <t>"+2 AC, +normal shield AC"</t>
  </si>
  <si>
    <t>Elixir of Health</t>
  </si>
  <si>
    <t>Cures any disease, poison, blindness, deafened, or paralyzed</t>
  </si>
  <si>
    <t>Oil of Etherealness</t>
  </si>
  <si>
    <t>10 minutes to apply - Cast Etherealness</t>
  </si>
  <si>
    <t>dmg 183</t>
  </si>
  <si>
    <t>Potion of Clairvoyance</t>
  </si>
  <si>
    <t>Clairvoyance spell</t>
  </si>
  <si>
    <t>Potion of Diminution</t>
  </si>
  <si>
    <t>"Reduce" spell - 1d4 hours</t>
  </si>
  <si>
    <t>Potion of Fire Giant Strength</t>
  </si>
  <si>
    <t>25  Strength - 1 hr.</t>
  </si>
  <si>
    <t>Potion of Frost Giant Strength</t>
  </si>
  <si>
    <t>23  Strength - 1 hr.</t>
  </si>
  <si>
    <t>Heavy</t>
  </si>
  <si>
    <t>Potion of Gaseous Form</t>
  </si>
  <si>
    <t>"Gaseous Form" - 1 hr.</t>
  </si>
  <si>
    <t>Potion of Heroism</t>
  </si>
  <si>
    <t>10 temporary HP and "Bless" - 1 hr.</t>
  </si>
  <si>
    <t>Armor of Vulnerability</t>
  </si>
  <si>
    <t>Potion of Invulnerability</t>
  </si>
  <si>
    <t>Invulnerablity - 1 min.</t>
  </si>
  <si>
    <t>Bludgeoning</t>
  </si>
  <si>
    <t>Potion of Mind Reading</t>
  </si>
  <si>
    <t>"Dect. Thoughts" (DC 13)</t>
  </si>
  <si>
    <t>Piercing</t>
  </si>
  <si>
    <t>Potion of Stone Giant Strength</t>
  </si>
  <si>
    <t>Slashing</t>
  </si>
  <si>
    <t>Potion of Superior Healing</t>
  </si>
  <si>
    <t>Healing (8d4+8)</t>
  </si>
  <si>
    <t>Ring of Animal Influence</t>
  </si>
  <si>
    <t>3 Charges - Animal Friendship (DC 13), Fear (Int. 3 or lower), Speak w/ Animals</t>
  </si>
  <si>
    <t>Armor Types</t>
  </si>
  <si>
    <t>Ring of Evasion</t>
  </si>
  <si>
    <t>3 Charges - Failed Dex. Roll succeeds (recharge 1d3/day)</t>
  </si>
  <si>
    <t>Ring of Feather Falling</t>
  </si>
  <si>
    <t>Descend 60' round - take no damage</t>
  </si>
  <si>
    <t>Ring of Free Action</t>
  </si>
  <si>
    <t>Terrain doesn't slow you, Magic cannot reduce speed or paralyze</t>
  </si>
  <si>
    <t>Studded Leather</t>
  </si>
  <si>
    <t>Ring of Protection</t>
  </si>
  <si>
    <t>"+1 AC"</t>
  </si>
  <si>
    <t>Ring of Resistance</t>
  </si>
  <si>
    <t>dmg 192</t>
  </si>
  <si>
    <t>Chain Shirt</t>
  </si>
  <si>
    <t>Ring of Spell Storing</t>
  </si>
  <si>
    <t>Scale Shirt</t>
  </si>
  <si>
    <t>Ring of X-ray Vision</t>
  </si>
  <si>
    <t>See through solid matter - (1' stone, 1" Metal, 3' wood or dirt) (30' radius) - 1 min.</t>
  </si>
  <si>
    <t>Ring of the Ram</t>
  </si>
  <si>
    <t>3 charges - Spectral Ram head - 60' radius, +7 to hit, 2d10 force dmg.,knockback 5'</t>
  </si>
  <si>
    <t>Half Plate</t>
  </si>
  <si>
    <t>Rod of Rulership</t>
  </si>
  <si>
    <t>Command creature - 120', (DC 15 - Wis.) - lasts 8 hrs. - Harm breaks spell</t>
  </si>
  <si>
    <t>Ring Mail</t>
  </si>
  <si>
    <t>Rod of the Pact Keeper, +2</t>
  </si>
  <si>
    <t>Warlock - Spell attack +2, Saves +2</t>
  </si>
  <si>
    <t>Chain Mail</t>
  </si>
  <si>
    <t>Tentacle Rod</t>
  </si>
  <si>
    <t>3 Tentacles - 15' rad. - +9 to hit, 1d6 Bludg dmg., If all 3 tentacles hit - See DMG.</t>
  </si>
  <si>
    <t>dmg 208</t>
  </si>
  <si>
    <t>Scroll of Protection</t>
  </si>
  <si>
    <t>Spell Scroll, 4th Level</t>
  </si>
  <si>
    <t>Spell Scroll, 5th Level</t>
  </si>
  <si>
    <t>Staff/Weapon</t>
  </si>
  <si>
    <t>dmg 201</t>
  </si>
  <si>
    <t>dmg 202</t>
  </si>
  <si>
    <t>Wand of Binding</t>
  </si>
  <si>
    <t>Spellcaster - 7 Chg. - Hold Monster (5 chg.) - Hold Person (2 chg.) - Advantage (1 chg.)</t>
  </si>
  <si>
    <t>Wand of Enemy Detection</t>
  </si>
  <si>
    <t>7 charges - Dect. Hostile - 60', 1 min.</t>
  </si>
  <si>
    <t>dmg 210</t>
  </si>
  <si>
    <t>Wand of Fear</t>
  </si>
  <si>
    <t>7 charges - Flee or Grovel (1 chg), Cone of Fear - 60' - (2 chg.) (DC 15 Wis.)</t>
  </si>
  <si>
    <t>Wand of Fireballs</t>
  </si>
  <si>
    <t>spellcaster - 7 Charges - Fireball (lvl. 3 - 1 chg.) extra chg = extra dmg.</t>
  </si>
  <si>
    <t>Wand of Lightning Bolts</t>
  </si>
  <si>
    <t>spellcaster - 7 Charges - Lightning Bolt (lvl. 3 - 1 chg.) extra chg = extra dmg.</t>
  </si>
  <si>
    <t>Staff of Charming</t>
  </si>
  <si>
    <t>Wand of Paralysis</t>
  </si>
  <si>
    <t>spellcaster - 7 Charges, 60' - spell attack, paralyzed 1 min.</t>
  </si>
  <si>
    <t>Wand of Wonder</t>
  </si>
  <si>
    <t>spellcaster - 7 Charges,  See DMG</t>
  </si>
  <si>
    <t>Swords &amp; Axes</t>
  </si>
  <si>
    <t>Wand of the War Mage, +2</t>
  </si>
  <si>
    <t>Spell attacks +2 while holding wand</t>
  </si>
  <si>
    <t>Magic ammo</t>
  </si>
  <si>
    <t>CURSED - When hit, go berserk.  Attack target until it's dead.</t>
  </si>
  <si>
    <t>Dagger of Venom</t>
  </si>
  <si>
    <t>1d10 dmg. Poison (DC 15 Con) +1 hit and dmg.</t>
  </si>
  <si>
    <t>Extra 3d6 dmg. to all dragons, +1 to hit and dmg.</t>
  </si>
  <si>
    <t>Extra 2d6 fire dmg. - Light 40' - 60'</t>
  </si>
  <si>
    <t>Hand Axe</t>
  </si>
  <si>
    <t>Extra 2d6 dmg. to Giants (DC 15 or fall prone), +1 hit and dmg.</t>
  </si>
  <si>
    <t>Mace of Disruption</t>
  </si>
  <si>
    <t>Extra 2d6 dmg. To Undead &amp; Fiends (DC 15 Wis. Or destroyed), Light 20' - 40'</t>
  </si>
  <si>
    <t>Great Axe</t>
  </si>
  <si>
    <t>Mace of Smiting</t>
  </si>
  <si>
    <t>On 20 roll, +7 dmg.(dbl. vs. construct) - +1 to hit (+3 vs. construct),</t>
  </si>
  <si>
    <t>Mace of Terror</t>
  </si>
  <si>
    <t>3 Charges - Wave of Terror (1 Chg) - 30' radius (DC 15 Wis.) Lasts 1 min.</t>
  </si>
  <si>
    <t>dmg 180</t>
  </si>
  <si>
    <t>Sun Blade - Longsword</t>
  </si>
  <si>
    <t>Looks like sword hilt - grants finesse - must be prof. with short or long sword</t>
  </si>
  <si>
    <t>On 20 roll, extra 10 dmg (except undead or construct) +10 temp HP</t>
  </si>
  <si>
    <t>1d4 necrotic dmg/turn/hit - can only heal over time… not magical healing</t>
  </si>
  <si>
    <t>dmg 207</t>
  </si>
  <si>
    <t>Vicious Weapon</t>
  </si>
  <si>
    <t>On 20 roll, extra 7 dmg.</t>
  </si>
  <si>
    <t>Magic weapon</t>
  </si>
  <si>
    <t>Amulet of Health</t>
  </si>
  <si>
    <t>Con = 19</t>
  </si>
  <si>
    <t>Bag of Beans</t>
  </si>
  <si>
    <t>3d4 beans, Dump bag = 5d4 fire explosion - Plant seed = random (see DMG)</t>
  </si>
  <si>
    <t>Bead of Force</t>
  </si>
  <si>
    <t>Black sphere - 3/4", 1d4+4 beads, throw 60', 5d4 force dmg. (See DMG)</t>
  </si>
  <si>
    <t>Belt of Dwarvenkind</t>
  </si>
  <si>
    <t>Con +2, Max. 20 - Adv. On Persuasion Chk. - 50%/day growing full beard (See DMG)</t>
  </si>
  <si>
    <t>Belt of Hill Giant Strength</t>
  </si>
  <si>
    <t>Str = 21</t>
  </si>
  <si>
    <t>Boots of Levitation</t>
  </si>
  <si>
    <t>Levitate at will</t>
  </si>
  <si>
    <t>Boots of Speed</t>
  </si>
  <si>
    <t>Dbl. walking speed as bonus action - lasts 10 min total/day</t>
  </si>
  <si>
    <t>Bowl of Commanding Water Elementals</t>
  </si>
  <si>
    <t>Summon Water Elemental 1/day</t>
  </si>
  <si>
    <t>Bracers of Defense</t>
  </si>
  <si>
    <t>AC +2 if wearing no armor or shield</t>
  </si>
  <si>
    <t>Brazier of Commanding Fire Elementals</t>
  </si>
  <si>
    <t>Summon Fire Elemental 1/day</t>
  </si>
  <si>
    <t>Cape of the Mountebank</t>
  </si>
  <si>
    <t>Dimension Door - 1/day (Smells like Brimstone)</t>
  </si>
  <si>
    <t>Censer of Controlling Air Elementals</t>
  </si>
  <si>
    <t>Summon Air Elemental 1/day</t>
  </si>
  <si>
    <t>Chime of Opening</t>
  </si>
  <si>
    <t>10 uses - point at object within 120', it will open</t>
  </si>
  <si>
    <t>Cloak of Displacement</t>
  </si>
  <si>
    <t>Creatues illusion - attacks are disadvantaged against you</t>
  </si>
  <si>
    <t>Cloak of the Bat</t>
  </si>
  <si>
    <t>Adv. On Dex rolls - Fly 40' in dim light - Polymorph into bat in dim light</t>
  </si>
  <si>
    <t>Cube of Force</t>
  </si>
  <si>
    <t>36 Charges - creates walls (See DMG)</t>
  </si>
  <si>
    <t>Daern's Instant Fortress</t>
  </si>
  <si>
    <t>1" metal cube - Creates large tower</t>
  </si>
  <si>
    <t>dmg 160</t>
  </si>
  <si>
    <t>Dimensional Shackles</t>
  </si>
  <si>
    <t>Use on incapacited creature - cannot teleport or use extradimensional travel</t>
  </si>
  <si>
    <t>dmg 165</t>
  </si>
  <si>
    <t>Figurine of Wondrous Power, Bronze Griffon</t>
  </si>
  <si>
    <t>Lasts 6 hours - Use once/5 days</t>
  </si>
  <si>
    <t>dmg 169</t>
  </si>
  <si>
    <t>Figurine of Wondrous Power, Ebony Fly</t>
  </si>
  <si>
    <t>Lasts 12 hrs. - can be ridden - Use once/2 days</t>
  </si>
  <si>
    <t>Figurine of Wondrous Power, Golden Lions</t>
  </si>
  <si>
    <t>Lasts 1 hour - Use 1/7 days (Pair of lions)</t>
  </si>
  <si>
    <t>Figurine of Wondrous Power, Ivory Goats</t>
  </si>
  <si>
    <t>3 goats (Traveling, Travail and terror) (See DMG)</t>
  </si>
  <si>
    <t>Figurine of Wondrous Power, Marble Elephant</t>
  </si>
  <si>
    <t>Lasts 24 hrs. - Use 1/7 days</t>
  </si>
  <si>
    <t>Figurine of Wondrous Power, Onyx Dog</t>
  </si>
  <si>
    <t>Lasts 6 hrs. - Mastif, can speak common, darkvision 60', see invis, Use 1/7 days</t>
  </si>
  <si>
    <t>Figurine of Wondrous Power, Serpentine Owl</t>
  </si>
  <si>
    <t>Folding Boat</t>
  </si>
  <si>
    <t>Gem of Seeing</t>
  </si>
  <si>
    <t>Helm of Teleportation</t>
  </si>
  <si>
    <t>Heward's Handy Haversack</t>
  </si>
  <si>
    <t>Horn of Blasting</t>
  </si>
  <si>
    <t>Horn of Valhalla, Brass</t>
  </si>
  <si>
    <t>Horn of Valhalla, Silver</t>
  </si>
  <si>
    <t>Horseshoes of Speed</t>
  </si>
  <si>
    <t>Instrument of the Bards, Canaith Mandolin</t>
  </si>
  <si>
    <t>bard</t>
  </si>
  <si>
    <t>Instrument of the Bards, Cli Lyre</t>
  </si>
  <si>
    <t>Ioun Stone, Awareness</t>
  </si>
  <si>
    <t>Ioun Stone, Protection</t>
  </si>
  <si>
    <t>Ioun Stone, Reserve</t>
  </si>
  <si>
    <t>Ioun Stone, Sustenance</t>
  </si>
  <si>
    <t>Iron Bands of Bilarro</t>
  </si>
  <si>
    <t>dmg 177</t>
  </si>
  <si>
    <t>Mantle of Spell Resistance</t>
  </si>
  <si>
    <t>Necklace of Fireballs</t>
  </si>
  <si>
    <t>Necklace of Prayer Beads</t>
  </si>
  <si>
    <t>cleric, druid, or paladin</t>
  </si>
  <si>
    <t>Periapt of Proof Against Poison</t>
  </si>
  <si>
    <t>Portable Hole</t>
  </si>
  <si>
    <t>Quaal's Feather Token</t>
  </si>
  <si>
    <t>Robe of Eyes</t>
  </si>
  <si>
    <t>Rope of Entanglement</t>
  </si>
  <si>
    <t>Stone of Controlling Earth Elementals</t>
  </si>
  <si>
    <t>Wings of Flying</t>
  </si>
  <si>
    <t>Ring of Regeneration</t>
  </si>
  <si>
    <t>Very Rare</t>
  </si>
  <si>
    <t>Ring of Shooting Stars</t>
  </si>
  <si>
    <t>Ring of Telekinesis</t>
  </si>
  <si>
    <t>Oil of Sharpness</t>
  </si>
  <si>
    <t>Potion of Cloud Giant Strength</t>
  </si>
  <si>
    <t>Potion of Flying</t>
  </si>
  <si>
    <t>Potion of Invisibility</t>
  </si>
  <si>
    <t>Potion of Longevity</t>
  </si>
  <si>
    <t>Age reduced 1D6+6 years</t>
  </si>
  <si>
    <t>Potion of Speed</t>
  </si>
  <si>
    <t>Haste spell - 1 Min.</t>
  </si>
  <si>
    <t>Potion of Supreme Healing</t>
  </si>
  <si>
    <t>Healing (10d4+20)</t>
  </si>
  <si>
    <t>Potion of Vitality</t>
  </si>
  <si>
    <t>Cures any disease or poison</t>
  </si>
  <si>
    <t>Rod of Absorption</t>
  </si>
  <si>
    <t>Rod of Alertness</t>
  </si>
  <si>
    <t>dmg 196</t>
  </si>
  <si>
    <t>Rod of Security</t>
  </si>
  <si>
    <t>Rod of the Pact Keeper, +3</t>
  </si>
  <si>
    <t>Spell Scroll, 6th Level</t>
  </si>
  <si>
    <t>Spell Scroll, 7th Level</t>
  </si>
  <si>
    <t>Spell Scroll, 8th Level</t>
  </si>
  <si>
    <t>Staff of Fire</t>
  </si>
  <si>
    <t>druid, sorcerer, warlock, or wizard</t>
  </si>
  <si>
    <t>Staff of Frost</t>
  </si>
  <si>
    <t>Staff of Power</t>
  </si>
  <si>
    <t>sorcerer, warlock, or wizard</t>
  </si>
  <si>
    <t>Staff of Striking</t>
  </si>
  <si>
    <t>Staff of Thunder and Lightning</t>
  </si>
  <si>
    <t>Wand of Polymorph</t>
  </si>
  <si>
    <t>spellcaster</t>
  </si>
  <si>
    <t>Wand of the War Mage, +3</t>
  </si>
  <si>
    <t>Ammuntion, +3</t>
  </si>
  <si>
    <t>any ammuntion</t>
  </si>
  <si>
    <t>Arrow of Slaying</t>
  </si>
  <si>
    <t>arrow</t>
  </si>
  <si>
    <t>Dancing Sword</t>
  </si>
  <si>
    <t>any sword</t>
  </si>
  <si>
    <t>Dwarven Thrower</t>
  </si>
  <si>
    <t>warhammer, dwarf</t>
  </si>
  <si>
    <t>Frost Brand</t>
  </si>
  <si>
    <t>Nine Lives Stealer</t>
  </si>
  <si>
    <t>Oathbow</t>
  </si>
  <si>
    <t>Scimitar of Speed</t>
  </si>
  <si>
    <t>scimitar</t>
  </si>
  <si>
    <t>Sword of Sharpness</t>
  </si>
  <si>
    <t>any sword that deals slashing damage</t>
  </si>
  <si>
    <t>Weapon, +3</t>
  </si>
  <si>
    <t>Animated Shield</t>
  </si>
  <si>
    <t>dmg 151</t>
  </si>
  <si>
    <t>Armor, +2</t>
  </si>
  <si>
    <t>Demon Armor</t>
  </si>
  <si>
    <t>plate</t>
  </si>
  <si>
    <t>Dragon Scale Mail</t>
  </si>
  <si>
    <t>Dwarven Plate</t>
  </si>
  <si>
    <t>Shield, +3</t>
  </si>
  <si>
    <t>Spellguard Shield</t>
  </si>
  <si>
    <t>Amulet of the Planes</t>
  </si>
  <si>
    <t>Bag of Devouring</t>
  </si>
  <si>
    <t>Belt of Fire Giant Strength</t>
  </si>
  <si>
    <t>Belt of Frost Giant Strength</t>
  </si>
  <si>
    <t>Belt of Stone Giant Strength</t>
  </si>
  <si>
    <t>Candle of Invocation</t>
  </si>
  <si>
    <t>Carpet of Flying</t>
  </si>
  <si>
    <t>Cloak of Arachnida</t>
  </si>
  <si>
    <t>Crystal Ball</t>
  </si>
  <si>
    <t>Efreeti Bottle</t>
  </si>
  <si>
    <t>Figurine of Wondrous Power, Obsidian Steed</t>
  </si>
  <si>
    <t>Helm of Brilliance</t>
  </si>
  <si>
    <t>Horn of Valhalla, Bronze</t>
  </si>
  <si>
    <t>Horseshoes of a Zephyr</t>
  </si>
  <si>
    <t>Instrument of the Bards, Anstruth Harp</t>
  </si>
  <si>
    <t>Ioun Stone, Absorption</t>
  </si>
  <si>
    <t>Ioun Stone, Agility</t>
  </si>
  <si>
    <t>Ioun Stone, Fortitude</t>
  </si>
  <si>
    <t>Ioun Stone, Insight</t>
  </si>
  <si>
    <t>Ioun Stone, Intellect</t>
  </si>
  <si>
    <t>Ioun Stone, Leadership</t>
  </si>
  <si>
    <t>Ioun Stone, Strength</t>
  </si>
  <si>
    <t>Manual of Bodily Health</t>
  </si>
  <si>
    <t>Manual of Gainful Exercise</t>
  </si>
  <si>
    <t>Manual of Golems</t>
  </si>
  <si>
    <t>Manual of Quickness of Action</t>
  </si>
  <si>
    <t>Mirror of Life Trapping</t>
  </si>
  <si>
    <t>Nolzur's Marvelous Pigments</t>
  </si>
  <si>
    <t>Robe of Scintillating Colors</t>
  </si>
  <si>
    <t>dmg 194</t>
  </si>
  <si>
    <t>Robe of Stars</t>
  </si>
  <si>
    <t>Tome of Clear Thought</t>
  </si>
  <si>
    <t>Tome of Leadership and Influence</t>
  </si>
  <si>
    <t>Tome of Understanding</t>
  </si>
  <si>
    <t>Armor of Invulnerability</t>
  </si>
  <si>
    <t>Armor, +3</t>
  </si>
  <si>
    <t>Efreeti Chain</t>
  </si>
  <si>
    <t>chain mail</t>
  </si>
  <si>
    <t>Plate Armor of Etherealness</t>
  </si>
  <si>
    <t>Potion of Storm Giant Strength</t>
  </si>
  <si>
    <t>Ring of Djinni Summoning</t>
  </si>
  <si>
    <t>dmg 190</t>
  </si>
  <si>
    <t>Ring of Elemental Command</t>
  </si>
  <si>
    <t>Ring of Invisibility</t>
  </si>
  <si>
    <t>Ring of Spell Turning</t>
  </si>
  <si>
    <t>Ring of Three Wishes</t>
  </si>
  <si>
    <t>Rod of Lordly Might</t>
  </si>
  <si>
    <t>Rod of Resurrection</t>
  </si>
  <si>
    <t>Spell Scroll, 9th Level</t>
  </si>
  <si>
    <t>Staff of the Magi</t>
  </si>
  <si>
    <t>Defender</t>
  </si>
  <si>
    <t>dmg 164</t>
  </si>
  <si>
    <t>Hammer of Thunderbolts</t>
  </si>
  <si>
    <t>Holy Avenger</t>
  </si>
  <si>
    <t>any sword, paladin</t>
  </si>
  <si>
    <t>Luck Blade</t>
  </si>
  <si>
    <t>Sword of Answering</t>
  </si>
  <si>
    <t>longsword, by alignment</t>
  </si>
  <si>
    <t>Vorpal Sword</t>
  </si>
  <si>
    <t>Apparatus of Kwalish</t>
  </si>
  <si>
    <t>Belt of Cloud Giant Strength</t>
  </si>
  <si>
    <t>Belt of Storm Giant Strength</t>
  </si>
  <si>
    <t>Cloak of Invisibility</t>
  </si>
  <si>
    <t>Crystal Ball of Mind Reading</t>
  </si>
  <si>
    <t>Crystal Ball of Telepathy</t>
  </si>
  <si>
    <t>Crystal Ball of True Seeing</t>
  </si>
  <si>
    <t>Cubic Gate</t>
  </si>
  <si>
    <t>Deck of Many Things</t>
  </si>
  <si>
    <t>dmg 162</t>
  </si>
  <si>
    <t>Horn of Valhalla, Iron</t>
  </si>
  <si>
    <t>Instrument of the Bards, Ollamh Harp</t>
  </si>
  <si>
    <t>Ioun Stone, Greater Absorption</t>
  </si>
  <si>
    <t>Ioun Stone, Mastery</t>
  </si>
  <si>
    <t>Ioun Stone, Regeneration</t>
  </si>
  <si>
    <t>Iron Flask</t>
  </si>
  <si>
    <t>Robe of the Archmagi</t>
  </si>
  <si>
    <t>Scarab of Protection</t>
  </si>
  <si>
    <t>Sovereign Glue</t>
  </si>
  <si>
    <t>Sphere of Annihilation</t>
  </si>
  <si>
    <t>Talisman of Pure Good</t>
  </si>
  <si>
    <t>good alignment</t>
  </si>
  <si>
    <t>Talisman of Ultimate Evil</t>
  </si>
  <si>
    <t>evil alignment</t>
  </si>
  <si>
    <t>Talisman of the Sphere</t>
  </si>
  <si>
    <t>Tome of the Stilled Tongue</t>
  </si>
  <si>
    <t>wizard</t>
  </si>
  <si>
    <t>Universal Solvent</t>
  </si>
  <si>
    <t>Well of Many Worlds</t>
  </si>
  <si>
    <t>Harpers</t>
  </si>
  <si>
    <t>Pin</t>
  </si>
  <si>
    <t>Modest</t>
  </si>
  <si>
    <t>Comfortable</t>
  </si>
  <si>
    <t>Month #</t>
  </si>
  <si>
    <t>Zhentarim</t>
  </si>
  <si>
    <t>Common Name</t>
  </si>
  <si>
    <t>Hammer</t>
  </si>
  <si>
    <t>(Deepwinter)</t>
  </si>
  <si>
    <t xml:space="preserve">Alturiak </t>
  </si>
  <si>
    <t>(Claw of Winter)</t>
  </si>
  <si>
    <t>Wealthy</t>
  </si>
  <si>
    <t xml:space="preserve">Ches </t>
  </si>
  <si>
    <t>(Claw of Sunsets)</t>
  </si>
  <si>
    <t>Poor</t>
  </si>
  <si>
    <t xml:space="preserve">Tarsahk </t>
  </si>
  <si>
    <t>(Claw of Storms)</t>
  </si>
  <si>
    <t>Sage</t>
  </si>
  <si>
    <t xml:space="preserve">Mirtul </t>
  </si>
  <si>
    <t>(Melting)</t>
  </si>
  <si>
    <t xml:space="preserve">Kythorn </t>
  </si>
  <si>
    <t xml:space="preserve">(Time of Flowers) </t>
  </si>
  <si>
    <t xml:space="preserve">Flamerule </t>
  </si>
  <si>
    <t>(Summertide)</t>
  </si>
  <si>
    <t xml:space="preserve">Eleasis </t>
  </si>
  <si>
    <t>(Highsun)</t>
  </si>
  <si>
    <t xml:space="preserve">Elient </t>
  </si>
  <si>
    <t>(Fading)</t>
  </si>
  <si>
    <t xml:space="preserve">Marpenoth </t>
  </si>
  <si>
    <t>(Leaffall)</t>
  </si>
  <si>
    <t xml:space="preserve">Uktar </t>
  </si>
  <si>
    <t>(Rotting)</t>
  </si>
  <si>
    <t xml:space="preserve">Nightal </t>
  </si>
  <si>
    <t>(Drawing Down)</t>
  </si>
  <si>
    <t>Skills</t>
  </si>
  <si>
    <t>Soldier</t>
  </si>
  <si>
    <t>Hermit</t>
  </si>
  <si>
    <t>Herbalism kit</t>
  </si>
  <si>
    <t>Sailor</t>
  </si>
  <si>
    <t>IDEALS</t>
  </si>
  <si>
    <t>Temple</t>
  </si>
  <si>
    <t>Alchemist</t>
  </si>
  <si>
    <t xml:space="preserve">Officer </t>
  </si>
  <si>
    <t>Quartermaster</t>
  </si>
  <si>
    <t>Pilgrim</t>
  </si>
  <si>
    <t>Infantry</t>
  </si>
  <si>
    <t>Cavalry</t>
  </si>
  <si>
    <t>Scribe</t>
  </si>
  <si>
    <t>Urban</t>
  </si>
  <si>
    <t>PANTHEON</t>
  </si>
  <si>
    <t>PATRON DEITY</t>
  </si>
  <si>
    <t>HIT POINTS</t>
  </si>
  <si>
    <t>NAME</t>
  </si>
  <si>
    <t>HEIGHT</t>
  </si>
  <si>
    <t>AGE  &amp;  SEX</t>
  </si>
  <si>
    <t>ALIGNMENT</t>
  </si>
  <si>
    <t>APPEARANCE</t>
  </si>
  <si>
    <t>DEMEANOR</t>
  </si>
  <si>
    <t>SPECIAL RACIAL ABILITIES</t>
  </si>
  <si>
    <t>STRENGTH</t>
  </si>
  <si>
    <t>PROFICIENCY</t>
  </si>
  <si>
    <t>INITIATIVE</t>
  </si>
  <si>
    <t>FEATURES &amp; TRAITS</t>
  </si>
  <si>
    <t>LVL.</t>
  </si>
  <si>
    <t>SAVES</t>
  </si>
  <si>
    <t>ANIMAL COMPANION</t>
  </si>
  <si>
    <t>Strength</t>
  </si>
  <si>
    <t>HIT BONUS</t>
  </si>
  <si>
    <t>Dexterity</t>
  </si>
  <si>
    <t>DEXTERITY</t>
  </si>
  <si>
    <t>Constitution</t>
  </si>
  <si>
    <t>Intelligence</t>
  </si>
  <si>
    <t>Wisdom</t>
  </si>
  <si>
    <t>Charisma</t>
  </si>
  <si>
    <t>HD</t>
  </si>
  <si>
    <t>CONSTITUTION</t>
  </si>
  <si>
    <t>EQUIPMENT</t>
  </si>
  <si>
    <t>TREASURE / GEMS / JEWELRY</t>
  </si>
  <si>
    <t>INTELLIGENCE</t>
  </si>
  <si>
    <t>DEATH SAVES</t>
  </si>
  <si>
    <t>SUCCESSES</t>
  </si>
  <si>
    <t>SPELLCASTING CLASS</t>
  </si>
  <si>
    <t>SPELLCASTING ABILITY</t>
  </si>
  <si>
    <t>SPELL ATTACK BONUS</t>
  </si>
  <si>
    <t>SPELL SAVE DC</t>
  </si>
  <si>
    <t>□  □  □</t>
  </si>
  <si>
    <t>FAILURES</t>
  </si>
  <si>
    <t>WISDOM</t>
  </si>
  <si>
    <t>INSPIRATION</t>
  </si>
  <si>
    <t>SPELLS  KNOWN</t>
  </si>
  <si>
    <t>RACIAL</t>
  </si>
  <si>
    <t>CHARISMA</t>
  </si>
  <si>
    <t>BACKGROUNDS</t>
  </si>
  <si>
    <t>RACIAL ABILITIES</t>
  </si>
  <si>
    <t>USUAL LIFESTYLE</t>
  </si>
  <si>
    <t>PASSIVE PERCEPTION</t>
  </si>
  <si>
    <t>PERSONALITY TRAITS</t>
  </si>
  <si>
    <t>OTHER NOTES</t>
  </si>
  <si>
    <t>WEAPON PROFICIENCIES</t>
  </si>
  <si>
    <t>4TH LEVEL</t>
  </si>
  <si>
    <t>BONDS</t>
  </si>
  <si>
    <t>FLAWS</t>
  </si>
  <si>
    <t>ARMOR PROFICIENCIES</t>
  </si>
  <si>
    <t>5TH LEVEL</t>
  </si>
  <si>
    <t>SKILL PROFICIENCIES</t>
  </si>
  <si>
    <t>6TH LEVEL</t>
  </si>
  <si>
    <t>ATTACK SUMMARY</t>
  </si>
  <si>
    <t>7TH LEVEL</t>
  </si>
  <si>
    <t>OTHER</t>
  </si>
  <si>
    <t>8TH LEVEL</t>
  </si>
  <si>
    <t>JWLRY</t>
  </si>
  <si>
    <t>9TH LEVEL</t>
  </si>
  <si>
    <t>Yes</t>
  </si>
  <si>
    <t>Powerful Build</t>
  </si>
  <si>
    <t>Carry Mod</t>
  </si>
  <si>
    <t>Y</t>
  </si>
  <si>
    <t>https://www.dndbeyond.com/magic-items/portable-hole</t>
  </si>
  <si>
    <t>https://www.dndbeyond.com/magic-items/handy-haversack</t>
  </si>
  <si>
    <t>↪ Handy Haversack, left pouch</t>
  </si>
  <si>
    <t>↪ Handy Haversack, right pouch</t>
  </si>
  <si>
    <t>Handy Haversack, central pouch</t>
  </si>
  <si>
    <t>https://www.dndbeyond.com/magic-items/efficient-quiver</t>
  </si>
  <si>
    <t>↪ Efficient Quiver, large compartment for bows, quarterstaffs, spears, etc.</t>
  </si>
  <si>
    <t>↪ Efficient Quiver, medium compartment for javelins, etc.</t>
  </si>
  <si>
    <t>Efficient Quiver, small compartment for arrows, bolts, etc</t>
  </si>
  <si>
    <t>https://www.dndbeyond.com/magic-items/bag-of-holding</t>
  </si>
  <si>
    <t>---</t>
  </si>
  <si>
    <t>https://www.dndbeyond.com/equipment/waterskin</t>
  </si>
  <si>
    <t>https://www.dndbeyond.com/equipment/vial</t>
  </si>
  <si>
    <t>Vial</t>
  </si>
  <si>
    <t>https://www.dndbeyond.com/equipment/saddlebags</t>
  </si>
  <si>
    <t>Saddlebags</t>
  </si>
  <si>
    <t>https://www.dndbeyond.com/equipment/sack</t>
  </si>
  <si>
    <t>Sack</t>
  </si>
  <si>
    <t>https://www.dndbeyond.com/equipment/quiver</t>
  </si>
  <si>
    <t>Quiver</t>
  </si>
  <si>
    <t>https://www.dndbeyond.com/equipment/pouch</t>
  </si>
  <si>
    <t>Pouch, blowgun needles</t>
  </si>
  <si>
    <t>Pouch, sling bullets</t>
  </si>
  <si>
    <t>https://www.dndbeyond.com/equipment/pot-iron</t>
  </si>
  <si>
    <t>https://www.dndbeyond.com/equipment/jug-or-pitcher</t>
  </si>
  <si>
    <t>Jug or Pitcher</t>
  </si>
  <si>
    <t>https://www.dndbeyond.com/equipment/flask-or-tankard</t>
  </si>
  <si>
    <t>Flask or Tankard</t>
  </si>
  <si>
    <t>https://www.dndbeyond.com/equipment/chest</t>
  </si>
  <si>
    <t>https://www.dndbeyond.com/equipment/case-map-or-scroll</t>
  </si>
  <si>
    <t>Case, paper sheets</t>
  </si>
  <si>
    <t>Case, parchment rolls</t>
  </si>
  <si>
    <t>Magic Items</t>
  </si>
  <si>
    <t>https://www.dndbeyond.com/equipment/case-crossbow-bolt</t>
  </si>
  <si>
    <t>Case, crossbow bolt</t>
  </si>
  <si>
    <t>https://www.dndbeyond.com/equipment/bucket</t>
  </si>
  <si>
    <t>https://www.dndbeyond.com/equipment/bottle-glass</t>
  </si>
  <si>
    <t>Bottle, glass</t>
  </si>
  <si>
    <t>https://www.dndbeyond.com/equipment/basket</t>
  </si>
  <si>
    <t>https://www.dndbeyond.com/equipment/barrel</t>
  </si>
  <si>
    <t>https://www.dndbeyond.com/equipment/backpack</t>
  </si>
  <si>
    <t>↪ Backpack - Strapped On Coiled Rope</t>
  </si>
  <si>
    <t>↪ Backpack - Strapped On Bedroll</t>
  </si>
  <si>
    <t>Extradim?</t>
  </si>
  <si>
    <t>Slots?</t>
  </si>
  <si>
    <t>Capacity</t>
  </si>
  <si>
    <t>Weight</t>
  </si>
  <si>
    <t>Link</t>
  </si>
  <si>
    <t>Containers</t>
  </si>
  <si>
    <t>Mount</t>
  </si>
  <si>
    <t>Stored Away</t>
  </si>
  <si>
    <t>Equipped</t>
  </si>
  <si>
    <t>Stock Total Wts</t>
  </si>
  <si>
    <t>Item Total Wts</t>
  </si>
  <si>
    <t>Cntnr Wt/Qts</t>
  </si>
  <si>
    <t>Mt. Item Wts</t>
  </si>
  <si>
    <t>Eq. Item Wts</t>
  </si>
  <si>
    <t>Mt. Stock Wts</t>
  </si>
  <si>
    <t>Eq. Stock Wts</t>
  </si>
  <si>
    <t>Total Gem Wts</t>
  </si>
  <si>
    <t>Total Coin Wts</t>
  </si>
  <si>
    <t>Mt. Mgc Itm Wt</t>
  </si>
  <si>
    <t>Eq. Mgc Itm Wt</t>
  </si>
  <si>
    <t>Locations</t>
  </si>
  <si>
    <t>Clear Skies</t>
  </si>
  <si>
    <t>No Wind</t>
  </si>
  <si>
    <t>Weather Hazard Reference</t>
  </si>
  <si>
    <t>No additional effects.</t>
  </si>
  <si>
    <t>Light Rain</t>
  </si>
  <si>
    <t>Disadvantage on ability checks to climb or scale objects and ability checks made to maintain balance or keep one’s footing.</t>
  </si>
  <si>
    <t>Light Snow</t>
  </si>
  <si>
    <t>The area becomes lightly obscured.
Advantage on Wisdom (Survival) checks to track creatures.</t>
  </si>
  <si>
    <t>Heavy Rain</t>
  </si>
  <si>
    <t>Disadvantage on ability checks made to climb or scale objects and ability checks made to maintain balance or keep one’s footing.
The area becomes lightly obscured.
Open flames are extinguished.
Disadvantage on Wisdom (Perception) checks relying on hearing or scent.
Disadvantage on Wisdom (Survival) checks to track creatures.
Advantage on Wisdom (Survival) checks to forage for water.</t>
  </si>
  <si>
    <t>Heavy Snow</t>
  </si>
  <si>
    <t>The area becomes lightly obscured.
Advantage on Wisdom (Survival) checks to track creatures.
The area becomes difficult terrain.
Wisdom (Survival) checks to forage for water automatically succeed.</t>
  </si>
  <si>
    <t>Low Winds</t>
  </si>
  <si>
    <t>Clears light fog, smoke, or fumes.</t>
  </si>
  <si>
    <t>High Winds</t>
  </si>
  <si>
    <t>Disadvantage on ranged weapon attacks.
Clears all fog, smoke, or fumes.
Extinguishes open flames.
Disadvantage on Wisdom (Perception) checks relying on hearing.
Medium and smaller creatures with a fly speed must return to the ground at the end of their turn, or fall. Creatures with a hover speed have their speed halved.</t>
  </si>
  <si>
    <t>The area becomes heavily obscured.
The area becomes difficult terrain. </t>
  </si>
  <si>
    <t>Extreme Heat</t>
  </si>
  <si>
    <t>Constitution save every hour, failure brings exhaustion.</t>
  </si>
  <si>
    <t>DC starts at 5 and increases by 1 every hour, or 2 if wearing medium or heavy armor.</t>
  </si>
  <si>
    <t>Insufficient water provokes disadvantage on this save.</t>
  </si>
  <si>
    <t>Resistance or immunity to fire damage, or being naturally adapted to hot-weather climates means automatic success.</t>
  </si>
  <si>
    <t>Extreme Cold</t>
  </si>
  <si>
    <t>DC 10 Constitution save every hour, failure brings exhaustion.</t>
  </si>
  <si>
    <t>Resistance or immunity to cold, is natural adaption to cold-weather climates, or cold-weather gear means automatic success.</t>
  </si>
  <si>
    <t>🌑</t>
  </si>
  <si>
    <t>New Moon</t>
  </si>
  <si>
    <t>No Roll</t>
  </si>
  <si>
    <t>🌒</t>
  </si>
  <si>
    <t>Waxing Crescent</t>
  </si>
  <si>
    <t>🌓</t>
  </si>
  <si>
    <t>Waxing Half</t>
  </si>
  <si>
    <t>19,20</t>
  </si>
  <si>
    <t>🌔</t>
  </si>
  <si>
    <t>Waxing</t>
  </si>
  <si>
    <t>18-20</t>
  </si>
  <si>
    <t>🌕</t>
  </si>
  <si>
    <t>Full Moon</t>
  </si>
  <si>
    <t>Peak Full</t>
  </si>
  <si>
    <t>🌖</t>
  </si>
  <si>
    <t>Waning Gibbous</t>
  </si>
  <si>
    <t>🌗</t>
  </si>
  <si>
    <t>Waning Half</t>
  </si>
  <si>
    <t>🌘</t>
  </si>
  <si>
    <t>Waning Crescent</t>
  </si>
  <si>
    <t>period</t>
  </si>
  <si>
    <t>%</t>
  </si>
  <si>
    <t>Roll</t>
  </si>
  <si>
    <t>MOON</t>
  </si>
  <si>
    <t>Royal Family 1-5</t>
  </si>
  <si>
    <t>Rakasta Tiger Riders (Chain, Swords):</t>
  </si>
  <si>
    <t>Rakasta Battle Dancers (Leather, Swords):</t>
  </si>
  <si>
    <t>Troll:</t>
  </si>
  <si>
    <t>Ogre (Club):</t>
  </si>
  <si>
    <t>Lizard Man Crocodile Rider (Spear):</t>
  </si>
  <si>
    <t>Hill Giant:</t>
  </si>
  <si>
    <t>Harpy:</t>
  </si>
  <si>
    <t>Griffon Rider (Plate, Lance, Mace):</t>
  </si>
  <si>
    <t>Elite Cavalry (Heavy Horse, Plate, Lance, Sword):</t>
  </si>
  <si>
    <t>Elite Elven Archer (Chain, Longbows):</t>
  </si>
  <si>
    <t>Elite Halfling Slinger (Leather, Sling+1):</t>
  </si>
  <si>
    <t>Dwarven Defender (Plate, Shield, Axe):</t>
  </si>
  <si>
    <t>Bugbear (Morning Star):</t>
  </si>
  <si>
    <t>GP / MONTH</t>
  </si>
  <si>
    <t>HIRELING</t>
  </si>
  <si>
    <t>ELITE MERCENARIES AND COST IN GP/MONTH</t>
  </si>
  <si>
    <t>Lizard Man Raider (Spear):</t>
  </si>
  <si>
    <t>ARCHMAGE</t>
  </si>
  <si>
    <t>Gnoll Archer (Chain, Longbows):</t>
  </si>
  <si>
    <t>Gnoll Raider (Chain, Flails):</t>
  </si>
  <si>
    <t>Topography &amp; Cartography</t>
  </si>
  <si>
    <t>Orc Crossbowman (Chain, Heavy X-bow)</t>
  </si>
  <si>
    <t>Physics</t>
  </si>
  <si>
    <t>Orc Archer (Leather, Shortbows):</t>
  </si>
  <si>
    <t>Oceanography</t>
  </si>
  <si>
    <t>Reptiles</t>
  </si>
  <si>
    <t>Secular World</t>
  </si>
  <si>
    <t>Orc Raider (Chain, Shield, Sword):</t>
  </si>
  <si>
    <t>Meteorology &amp; Climatology</t>
  </si>
  <si>
    <t>Marsupials</t>
  </si>
  <si>
    <t>Orc Infantry (Leather, Scimitar):</t>
  </si>
  <si>
    <t>Mathematics</t>
  </si>
  <si>
    <t>Planes (Inner)</t>
  </si>
  <si>
    <t>Mammals</t>
  </si>
  <si>
    <t>Weeds</t>
  </si>
  <si>
    <t>Supernatural</t>
  </si>
  <si>
    <t>MAGE</t>
  </si>
  <si>
    <t>Goblin Wolf Rider (Leather, Spear):</t>
  </si>
  <si>
    <t>Geology &amp; Mineralogy</t>
  </si>
  <si>
    <t>Planes (Outer)</t>
  </si>
  <si>
    <t>Insects</t>
  </si>
  <si>
    <t>Trees</t>
  </si>
  <si>
    <t>Goblin Archer (Leather, Shortbow):</t>
  </si>
  <si>
    <t>Geography</t>
  </si>
  <si>
    <t>Ichthyoids</t>
  </si>
  <si>
    <t>Mosses and Ferns</t>
  </si>
  <si>
    <t>Fauna</t>
  </si>
  <si>
    <t>Goblin Skirmisher (Leather, Knife): .</t>
  </si>
  <si>
    <t>Chemistry</t>
  </si>
  <si>
    <t>Heraldry, Signs &amp; Sigils</t>
  </si>
  <si>
    <t>Crustaceans &amp; Mollusks</t>
  </si>
  <si>
    <t>Herbs</t>
  </si>
  <si>
    <t>Flora</t>
  </si>
  <si>
    <t>KNIGHT</t>
  </si>
  <si>
    <t>Hobgoblin Heavy Infantry (Plate, Shield, Axe)</t>
  </si>
  <si>
    <t>Business and Economics</t>
  </si>
  <si>
    <t>Dweomercraft</t>
  </si>
  <si>
    <t>Cephalopods &amp; Echinoderms</t>
  </si>
  <si>
    <t>Grasses and Grains</t>
  </si>
  <si>
    <t>Humanoids</t>
  </si>
  <si>
    <t>BERSERKER</t>
  </si>
  <si>
    <t>Hobgoblin Infantry (Chain, Sword):</t>
  </si>
  <si>
    <t>Astronomy</t>
  </si>
  <si>
    <t>Avians</t>
  </si>
  <si>
    <t>Fungi</t>
  </si>
  <si>
    <t>Humans/Demi-humans</t>
  </si>
  <si>
    <t>SOLDIER</t>
  </si>
  <si>
    <t>Dwarf Cranequinier (Mule, Chain, Light X-bow):</t>
  </si>
  <si>
    <t>Engineering &amp; Architecture</t>
  </si>
  <si>
    <t>Arachnids</t>
  </si>
  <si>
    <t>Flowers</t>
  </si>
  <si>
    <t>SCOUT</t>
  </si>
  <si>
    <t>1/4 and 1/2</t>
  </si>
  <si>
    <t>Dwarven Heavy Crossbow (Chain, Heavy X-bow):</t>
  </si>
  <si>
    <t>Alchemy</t>
  </si>
  <si>
    <t>Amphibians</t>
  </si>
  <si>
    <t>Bushes &amp; Shrubs</t>
  </si>
  <si>
    <t>GUARD</t>
  </si>
  <si>
    <t>Dwarf Infantry (Chain, Axe):</t>
  </si>
  <si>
    <t>d12</t>
  </si>
  <si>
    <t>d8</t>
  </si>
  <si>
    <t>d10</t>
  </si>
  <si>
    <t>Field of Lore</t>
  </si>
  <si>
    <t>GP / DAY</t>
  </si>
  <si>
    <t>Challenge        </t>
  </si>
  <si>
    <t>Elven Mounted Bowmen (Leather Shortbow):</t>
  </si>
  <si>
    <t>Elven Light Horse (Leather, Lance):</t>
  </si>
  <si>
    <t>Elf Archer (Leather, Longbow):</t>
  </si>
  <si>
    <t>Elf Medium Infantry (Chain, Sword):</t>
  </si>
  <si>
    <t>per mission</t>
  </si>
  <si>
    <t>Spies</t>
  </si>
  <si>
    <t>Elf Light Foot (Leather, Sword):</t>
  </si>
  <si>
    <t>Smith, Assistant:</t>
  </si>
  <si>
    <t>Halfling Slingers (Leather, Short Sword, Sling):</t>
  </si>
  <si>
    <t>Seneschal</t>
  </si>
  <si>
    <t>Halfling Light Foot (Leather, Sword):</t>
  </si>
  <si>
    <t>Navigator</t>
  </si>
  <si>
    <t>Seamen</t>
  </si>
  <si>
    <t>Mounted Bowman (Leather, Shortbow):</t>
  </si>
  <si>
    <t>Heavy Horseman (Plate, Sword, Lance):</t>
  </si>
  <si>
    <t>Medium Horseman (Chain, Lance):</t>
  </si>
  <si>
    <t>Rower</t>
  </si>
  <si>
    <t>Light Horseman (Leather, Lance):</t>
  </si>
  <si>
    <t>Major Specialization</t>
  </si>
  <si>
    <t>Longbowman (Chain, Longbow and Sword):</t>
  </si>
  <si>
    <t>Minor Expertise</t>
  </si>
  <si>
    <t>apprentice</t>
  </si>
  <si>
    <t>Miner</t>
  </si>
  <si>
    <t>Crossbowman (Chain, Heavy X-bow):</t>
  </si>
  <si>
    <t>2d6 roll</t>
  </si>
  <si>
    <t>expert</t>
  </si>
  <si>
    <t>Archer (Leather, Shortbow, Sword):</t>
  </si>
  <si>
    <t>master</t>
  </si>
  <si>
    <t>Heavy Foot (Chain, Shield, Sword):</t>
  </si>
  <si>
    <t>Attraction</t>
  </si>
  <si>
    <t>26+</t>
  </si>
  <si>
    <t>Gem-cutter (</t>
  </si>
  <si>
    <t>Light Foot (Leather, Shield, Sword):</t>
  </si>
  <si>
    <t>Specialization</t>
  </si>
  <si>
    <t>Like</t>
  </si>
  <si>
    <t>16-25</t>
  </si>
  <si>
    <t>Engineer</t>
  </si>
  <si>
    <t>100/lvl</t>
  </si>
  <si>
    <r>
      <t>Captain 4</t>
    </r>
    <r>
      <rPr>
        <i/>
        <vertAlign val="superscript"/>
        <sz val="11"/>
        <color rgb="FF000000"/>
        <rFont val="Arial"/>
        <family val="2"/>
        <charset val="204"/>
      </rPr>
      <t>th</t>
    </r>
    <r>
      <rPr>
        <i/>
        <sz val="11"/>
        <color rgb="FF000000"/>
        <rFont val="Arial"/>
        <family val="2"/>
        <charset val="204"/>
      </rPr>
      <t xml:space="preserve"> to 6</t>
    </r>
    <r>
      <rPr>
        <i/>
        <vertAlign val="superscript"/>
        <sz val="11"/>
        <color rgb="FF000000"/>
        <rFont val="Arial"/>
        <family val="2"/>
        <charset val="204"/>
      </rPr>
      <t>th</t>
    </r>
    <r>
      <rPr>
        <i/>
        <sz val="11"/>
        <color rgb="FF000000"/>
        <rFont val="Arial"/>
        <family val="2"/>
        <charset val="204"/>
      </rPr>
      <t xml:space="preserve"> level (required per 100 men):</t>
    </r>
  </si>
  <si>
    <t>Major expertise</t>
  </si>
  <si>
    <t>—</t>
  </si>
  <si>
    <t>11-15</t>
  </si>
  <si>
    <t>Animal Trainer</t>
  </si>
  <si>
    <r>
      <t>Lieutenant 2</t>
    </r>
    <r>
      <rPr>
        <i/>
        <vertAlign val="superscript"/>
        <sz val="11"/>
        <color rgb="FF000000"/>
        <rFont val="Arial"/>
        <family val="2"/>
        <charset val="204"/>
      </rPr>
      <t>nd</t>
    </r>
    <r>
      <rPr>
        <i/>
        <sz val="11"/>
        <color rgb="FF000000"/>
        <rFont val="Arial"/>
        <family val="2"/>
        <charset val="204"/>
      </rPr>
      <t xml:space="preserve"> to 3</t>
    </r>
    <r>
      <rPr>
        <i/>
        <vertAlign val="superscript"/>
        <sz val="11"/>
        <color rgb="FF000000"/>
        <rFont val="Arial"/>
        <family val="2"/>
        <charset val="204"/>
      </rPr>
      <t>rd</t>
    </r>
    <r>
      <rPr>
        <i/>
        <sz val="11"/>
        <color rgb="FF000000"/>
        <rFont val="Arial"/>
        <family val="2"/>
        <charset val="204"/>
      </rPr>
      <t xml:space="preserve"> level (required per 30 men):</t>
    </r>
  </si>
  <si>
    <t>Minor expertise</t>
  </si>
  <si>
    <t>Dislike</t>
  </si>
  <si>
    <t>6-10</t>
  </si>
  <si>
    <t>Armorer/Blacksmith</t>
  </si>
  <si>
    <r>
      <t xml:space="preserve">10 </t>
    </r>
    <r>
      <rPr>
        <i/>
        <vertAlign val="superscript"/>
        <sz val="11"/>
        <color rgb="FF000000"/>
        <rFont val="Arial"/>
        <family val="2"/>
        <charset val="204"/>
      </rPr>
      <t xml:space="preserve">x </t>
    </r>
    <r>
      <rPr>
        <i/>
        <sz val="11"/>
        <color rgb="FF000000"/>
        <rFont val="Arial"/>
        <family val="2"/>
        <charset val="204"/>
      </rPr>
      <t>cost of troops</t>
    </r>
  </si>
  <si>
    <t>Sergeant (required per 10 men):</t>
  </si>
  <si>
    <t>Out of fields of expertise</t>
  </si>
  <si>
    <t>Aversion</t>
  </si>
  <si>
    <r>
      <t>&lt;</t>
    </r>
    <r>
      <rPr>
        <sz val="11"/>
        <color rgb="FF000000"/>
        <rFont val="Arial"/>
        <family val="2"/>
        <charset val="204"/>
      </rPr>
      <t>5</t>
    </r>
  </si>
  <si>
    <t>1</t>
  </si>
  <si>
    <t>Non-fighter (peasant):</t>
  </si>
  <si>
    <t>Exacting</t>
  </si>
  <si>
    <t>Specific</t>
  </si>
  <si>
    <t>General</t>
  </si>
  <si>
    <t>Price Modifier</t>
  </si>
  <si>
    <t>Check</t>
  </si>
  <si>
    <t>Стовпець3</t>
  </si>
  <si>
    <t>Стовпець2</t>
  </si>
  <si>
    <t>MERCENARIES AND COST IN GP/MONTH</t>
  </si>
  <si>
    <t>Firm</t>
  </si>
  <si>
    <t>Sweeping</t>
  </si>
  <si>
    <t>Ending(s)</t>
  </si>
  <si>
    <t>Brilliant</t>
  </si>
  <si>
    <t>Discovered</t>
  </si>
  <si>
    <t>Academy of the</t>
  </si>
  <si>
    <t>Ready</t>
  </si>
  <si>
    <t>Whirling</t>
  </si>
  <si>
    <t>Hand(s)</t>
  </si>
  <si>
    <t>[MONSTER]</t>
  </si>
  <si>
    <t>Drunken</t>
  </si>
  <si>
    <t>School of the</t>
  </si>
  <si>
    <t>Rigid</t>
  </si>
  <si>
    <t>Nimble</t>
  </si>
  <si>
    <t>Hammer(s)</t>
  </si>
  <si>
    <t>[BEAST]</t>
  </si>
  <si>
    <t>Dark</t>
  </si>
  <si>
    <t>Order of the</t>
  </si>
  <si>
    <t>Fluid</t>
  </si>
  <si>
    <t>Powerful</t>
  </si>
  <si>
    <t>Shield(s)</t>
  </si>
  <si>
    <t>Correct</t>
  </si>
  <si>
    <t>Bloody</t>
  </si>
  <si>
    <t>Manual of the</t>
  </si>
  <si>
    <t>Help</t>
  </si>
  <si>
    <t>Evasive</t>
  </si>
  <si>
    <t>Swift</t>
  </si>
  <si>
    <t>Death(s)</t>
  </si>
  <si>
    <t>Stone</t>
  </si>
  <si>
    <t>Predatory</t>
  </si>
  <si>
    <t>Army of the</t>
  </si>
  <si>
    <t>Dodge</t>
  </si>
  <si>
    <t>Silent</t>
  </si>
  <si>
    <t>Question(s)</t>
  </si>
  <si>
    <t>Brigand</t>
  </si>
  <si>
    <t>Lost</t>
  </si>
  <si>
    <t>Way of the</t>
  </si>
  <si>
    <t>Perpendicular</t>
  </si>
  <si>
    <t>Brutal</t>
  </si>
  <si>
    <t>Method(s)</t>
  </si>
  <si>
    <t>River</t>
  </si>
  <si>
    <t>Once</t>
  </si>
  <si>
    <t>Hypnotic</t>
  </si>
  <si>
    <t>Smashing</t>
  </si>
  <si>
    <t>Science(s)</t>
  </si>
  <si>
    <t>Mistakenly</t>
  </si>
  <si>
    <t>System of the</t>
  </si>
  <si>
    <t>Climb</t>
  </si>
  <si>
    <t>Rushing</t>
  </si>
  <si>
    <t>Precise</t>
  </si>
  <si>
    <t>Technique(s)</t>
  </si>
  <si>
    <t>Heart</t>
  </si>
  <si>
    <t>Half</t>
  </si>
  <si>
    <t>Answer to the</t>
  </si>
  <si>
    <t>Shoving</t>
  </si>
  <si>
    <t>Linear</t>
  </si>
  <si>
    <t>Quick</t>
  </si>
  <si>
    <t>Manuever(s)</t>
  </si>
  <si>
    <t>Breath</t>
  </si>
  <si>
    <t>Utterly</t>
  </si>
  <si>
    <t>Opponents of the</t>
  </si>
  <si>
    <t>an unpuffed dried saffron is worth 2d20 gp</t>
  </si>
  <si>
    <t>0 (0)</t>
  </si>
  <si>
    <t>Percept 12</t>
  </si>
  <si>
    <t>vulnerable to everything</t>
  </si>
  <si>
    <t>suicidal puff of hallucinogens (DC 15), dies after puffing to save it's flower-bed-mates</t>
  </si>
  <si>
    <t>1d4 (2)</t>
  </si>
  <si>
    <t>Day: 1d8, Night: 0</t>
  </si>
  <si>
    <t>The precious sniffing saffron is cultivated around Puerto Safran and used as a spice by many wizards, particularly diviners and necromancers, to increase the potency of their spells—or so they say. It is also used as an inebriant. The wild version is sometimes more potent, if exposed to Vulcana's wiles, and actually boosts caster level by +1d4. Wis vs. DC 12 to avoid hallucinations (act as confusion)</t>
  </si>
  <si>
    <t>tiny</t>
  </si>
  <si>
    <t>Vulcana's Sniffing Saffron</t>
  </si>
  <si>
    <t>Flamboyant</t>
  </si>
  <si>
    <t>Methodical</t>
  </si>
  <si>
    <t>Strike(s)</t>
  </si>
  <si>
    <t>Ancient</t>
  </si>
  <si>
    <t>Damned</t>
  </si>
  <si>
    <t>Children of the</t>
  </si>
  <si>
    <t>a few worn pieces of jewelry embedded in the tree's branches and roots</t>
  </si>
  <si>
    <t>2 (450)</t>
  </si>
  <si>
    <t>Percept 10</t>
  </si>
  <si>
    <t>vulnerable fire, resistant piercing, bludgeoning</t>
  </si>
  <si>
    <t>bodily fluid stealing roots: +6 piercing 3d6 + 4, reach 10'</t>
  </si>
  <si>
    <t>7d12+14 (59)</t>
  </si>
  <si>
    <t>Day: 1, Night: 2d4</t>
  </si>
  <si>
    <t>Trees are rare in the Yellowland velds because the Yellowlanders cut them down religiously in the wild, trusting only those they plant themselves and consecrate to the Green god. The native red-leaves are said to be inspired by fiery Vulcana to seek water and life fluids from the walking creatures, gone mad in their desire to keep the Yellow Goddess alone for Vulcana in her land. They move only at night, creeping stealthily and striking with aerial tap roots to drain the vital bodily fluids of living creatures.</t>
  </si>
  <si>
    <t>huge</t>
  </si>
  <si>
    <t>Creeping Tree</t>
  </si>
  <si>
    <t>blissful (+4)</t>
  </si>
  <si>
    <t>24+</t>
  </si>
  <si>
    <t>Laugh(s)</t>
  </si>
  <si>
    <t>Scholastic</t>
  </si>
  <si>
    <t>Holy</t>
  </si>
  <si>
    <t>Practioners of the</t>
  </si>
  <si>
    <t>nil</t>
  </si>
  <si>
    <t>0 (10)</t>
  </si>
  <si>
    <t>ulnerable fire, resistant piercing</t>
  </si>
  <si>
    <t>waterdrinking root: +1 piercing 1d4 - 1</t>
  </si>
  <si>
    <t>3d6 (10)</t>
  </si>
  <si>
    <t>Day: 1–2, Night: 5d12</t>
  </si>
  <si>
    <t>Yellowlanders say the tumbling weeds are awakened by Vulcana's scheming distrust of the Yellow Goddess. During the day they tumble harmlessly, but at night they congregate in large numbers to subdue weakened animals—or humans. They are said to drink water from their victims with bladed root appendages.</t>
  </si>
  <si>
    <t>small</t>
  </si>
  <si>
    <t>Tumbling Weeds</t>
  </si>
  <si>
    <t>a lookout point, the (2d4: 2 top of an abandoned and cracked monolith, 3 crown of a tangled growth of dessicated plants, 4 windswept hilltop, 5 panoramic concealed outcrop, 6 the top of a small mesa, 7 a flat shelf on a cliff face, 8 brow of a giant bone)</t>
  </si>
  <si>
    <t>serene (+2)</t>
  </si>
  <si>
    <t>21–23</t>
  </si>
  <si>
    <t>Spinning</t>
  </si>
  <si>
    <t>Graceful</t>
  </si>
  <si>
    <t>Whisper(s)</t>
  </si>
  <si>
    <t>Unyielding</t>
  </si>
  <si>
    <t>Geometrical</t>
  </si>
  <si>
    <t>Disciples of the</t>
  </si>
  <si>
    <t>each shooting cactus has 2d20 ripe soporiffic pears, each of which is worth 1d10 gp to tequila makers in towns and inns</t>
  </si>
  <si>
    <t>1/2 (100)</t>
  </si>
  <si>
    <t>Perception 13</t>
  </si>
  <si>
    <t>Keen tremorsense, has advantage on perception checks against walking targets. Prickly skin: deals 1d4 damage to anyone who attacks it in melee.</t>
  </si>
  <si>
    <t>Multiattack: the pricklier pear makes two ranged attacks (lobbed pear +2 piercing 1d4, burst 5, Con vs. DC 10 or knocked unconscious) or two prickly clubbing melee attacks (+3 bludgeoning 1d6 + 2).</t>
  </si>
  <si>
    <t>3d10 + 6 (22)</t>
  </si>
  <si>
    <t>Day: 1d8, Night: 1d2</t>
  </si>
  <si>
    <t>A pricklier pear cactus, imbued by Vulcana's suspicious possessiveness of the Yellow Goddess, it shoots soporiffic spiked pears at creatures that approach it. Once they are knocked out, it creeps up to them and slowly drains their vital bodily fluids.</t>
  </si>
  <si>
    <t>large</t>
  </si>
  <si>
    <t>Shooting Cactus</t>
  </si>
  <si>
    <t>fantastic shelter, saves at advantage and soothing, +1 hp regained per HD</t>
  </si>
  <si>
    <t>a feast (1d6: 1 veldt gazelle, 2 yellow cabbage, 3 fish, 4 eggs, 5 fruit, 6 lost tins of spam), enough to replenish rations right here!</t>
  </si>
  <si>
    <t>mineral water, +1 hp regained per HD</t>
  </si>
  <si>
    <t>7+</t>
  </si>
  <si>
    <t>a cave or hole (2d4: 2 a cracked egg-like structure half buried, 3 an abandoned mine shaft, 4 a natural wind canyon, 5 a cleft in a hill, 6 a dry spring, 7 a crater, 8 a rusted metal vault)</t>
  </si>
  <si>
    <t>very safe (+1)</t>
  </si>
  <si>
    <t>18–20</t>
  </si>
  <si>
    <t>Grappling</t>
  </si>
  <si>
    <t>Leaping</t>
  </si>
  <si>
    <t>Rapid-fire</t>
  </si>
  <si>
    <t>Secret(s)</t>
  </si>
  <si>
    <t>Hidden</t>
  </si>
  <si>
    <t>Unbreakable</t>
  </si>
  <si>
    <t>Sisterhood of the</t>
  </si>
  <si>
    <t>2d20 silvers each, hunting equipment, 10% chance of a map</t>
  </si>
  <si>
    <t>Nature +4, Perception 15, Stealth +6, Survival +6</t>
  </si>
  <si>
    <t>Keen hearing and sight</t>
  </si>
  <si>
    <t>Multiattack: two melee or ranged attacks. Longbow: +4 piercing 1d8 + 2, range 150/600. Axe: +2 slashing 1d8. Dagger: +4 piercing 1d4 + 2, range 20/60</t>
  </si>
  <si>
    <t>3d8 + 3 (16)</t>
  </si>
  <si>
    <t>Day: 1d2, Night: 1d6 (camp)</t>
  </si>
  <si>
    <t>The Yellowlands teem with gazelles, antelope and stripe-horses, which the local hunters will, well, hunt. They are also skilled trackers.</t>
  </si>
  <si>
    <t>medium</t>
  </si>
  <si>
    <t>Yellowlander Hunters</t>
  </si>
  <si>
    <t>good shelter, in bad weather, saves are at an advantage</t>
  </si>
  <si>
    <t>good food (1d6: 1 veldt rats or rabbits, 2 nuts, 3 berries, 4 succulent tubers, 5 sweetmeat grubs, 6 frogs)</t>
  </si>
  <si>
    <t>good water</t>
  </si>
  <si>
    <t>5–6</t>
  </si>
  <si>
    <t>a water source (2d4: 2 an old pumping station, 3 a secluded gorge and pool, 4 a muddy creek, 5 a herdsman cistern, 6 an animal watering hole, 7 a fine well, 8 a deep cenote with a spiralling staircase)</t>
  </si>
  <si>
    <t>safe (-)</t>
  </si>
  <si>
    <t>11–17</t>
  </si>
  <si>
    <t>Minimal</t>
  </si>
  <si>
    <t>Furious</t>
  </si>
  <si>
    <t>Touch(es)</t>
  </si>
  <si>
    <t>Everlasting</t>
  </si>
  <si>
    <t>Nine</t>
  </si>
  <si>
    <t>Brotherhood of the</t>
  </si>
  <si>
    <t>2d100 gp, potion of healing, saffron pouch worth 1d100 gp</t>
  </si>
  <si>
    <t>Perception 10</t>
  </si>
  <si>
    <t>Saves Str +5, Dex +5, Wis +2.</t>
  </si>
  <si>
    <t>Multiattack: three melee attacks, two with axe (+5 slashing 1d8 + 3) and one with dagger (+5 piercing 1d4 + 3, range 20/60). Bow: +5 piercing 1d6 + 3, range 60/120.</t>
  </si>
  <si>
    <t>10d8 + 20 (65)</t>
  </si>
  <si>
    <t>A larger group of herders will be accompanied by a herdmaster, generally the most experienced warrior and herder of their clan. Each herdmaster is accompanied by 3d10 herders, 5d20 additional cows and 2d6 additional commoners. Herdmaster names: Don Jusco de Velder, Dona Pinta la Guapa, Don Brasco el Viejo, Dona Nuna de la Nina</t>
  </si>
  <si>
    <t>Yellowlander Herdmaster</t>
  </si>
  <si>
    <t>poor shelter, but passable</t>
  </si>
  <si>
    <t>poor food (1d6: 1 lost dried rations, 2 tubers, 3 bugs, 4 semi-edible nuts, 5 cacti, 6 lichen)</t>
  </si>
  <si>
    <t>bad water</t>
  </si>
  <si>
    <t>3–4</t>
  </si>
  <si>
    <t>an abandoned dwelling of (2d4: 2 fine marble, 3 granite blocks, 4 rough sandstone, 5 bleached planks, 6 adobe, 7 woven thorn and branches, 8 porcelain)</t>
  </si>
  <si>
    <t>unsafe (-1)</t>
  </si>
  <si>
    <t>6–10</t>
  </si>
  <si>
    <t>Flowing</t>
  </si>
  <si>
    <t>Dance(s)</t>
  </si>
  <si>
    <t>Enlightened</t>
  </si>
  <si>
    <t>Universal</t>
  </si>
  <si>
    <t>Students of the</t>
  </si>
  <si>
    <t>1d10 silvers each, herding equipment</t>
  </si>
  <si>
    <t>1/8 (25)</t>
  </si>
  <si>
    <t>Perception 12</t>
  </si>
  <si>
    <t>Pack Tactics: advantage if at least one ally is attacking same target</t>
  </si>
  <si>
    <t>Bow: +3 piercing 1d6+1, range 60/120. Axe: +3 slashing 1d8+1. Burning oil: +3 fire 2d6, range 20/60, burst 5</t>
  </si>
  <si>
    <t>2d8 + 2 (11)</t>
  </si>
  <si>
    <t>Day: 1d4, Night: 2d8 (camp)</t>
  </si>
  <si>
    <t>The armed herders of the Veld always carry axes and flammable oil, in addition to their bows, to scare away Vulcana's evil vegetation. Each herder has 3d20 cows and 1d6 commoners.</t>
  </si>
  <si>
    <t>Yellowlander Herders</t>
  </si>
  <si>
    <t>no shelter</t>
  </si>
  <si>
    <t>no food</t>
  </si>
  <si>
    <t>no water</t>
  </si>
  <si>
    <t>1–2</t>
  </si>
  <si>
    <t>a copse of trees (2d4*), they are (2d4: 2 dragon trees, 3 baobabs, 4 acacias, 5 palms, 6 saguaros, 7 flame trees, 8 ebony)</t>
  </si>
  <si>
    <t>dangerous (-2)</t>
  </si>
  <si>
    <t>2–5</t>
  </si>
  <si>
    <t>Staccato</t>
  </si>
  <si>
    <t>Calculated</t>
  </si>
  <si>
    <t>Path(s)</t>
  </si>
  <si>
    <t>Three</t>
  </si>
  <si>
    <t>1d10 coppers each</t>
  </si>
  <si>
    <t>Sling: +2 bludgeoning 1d4. Hand axe: +2 slashing 1d6.</t>
  </si>
  <si>
    <t>1d8 (4)</t>
  </si>
  <si>
    <t>Day: 1d6, Night: in camp with herders.</t>
  </si>
  <si>
    <t>Rarely encountered alone, the commoners of the Yellowlander pastoralists are hardy folk, ready to spring to action against the many dangers of the Veld.</t>
  </si>
  <si>
    <t>medium or small</t>
  </si>
  <si>
    <t>Yellowlander Commoners</t>
  </si>
  <si>
    <t>treacherous, in bad weather saves are at a disadvantage</t>
  </si>
  <si>
    <t>poisonous or diseased foods (1d6: 1 berries, 2 grubs, 3 rats, 4 locusts, 5 roots, 6 nuts)</t>
  </si>
  <si>
    <t>poisonous or disease-bearing water</t>
  </si>
  <si>
    <t>0 or less</t>
  </si>
  <si>
    <t>ancient standing stones (2d4*) of (2d4: 2 jade, 3 marble, 4 sandstone, 5 granite, 6 basalt, 7 obsidian, 8 quartz)</t>
  </si>
  <si>
    <t>very dangerous (-4)</t>
  </si>
  <si>
    <t>1 or less</t>
  </si>
  <si>
    <t>Dash</t>
  </si>
  <si>
    <t>Dancing</t>
  </si>
  <si>
    <t>Savage</t>
  </si>
  <si>
    <t>Master(s)</t>
  </si>
  <si>
    <t>Golden</t>
  </si>
  <si>
    <t>Six</t>
  </si>
  <si>
    <t>Masters of the</t>
  </si>
  <si>
    <t>Treasure</t>
  </si>
  <si>
    <t>Traits</t>
  </si>
  <si>
    <t>Actions</t>
  </si>
  <si>
    <t>Number</t>
  </si>
  <si>
    <t>Detail</t>
  </si>
  <si>
    <t>Encounter</t>
  </si>
  <si>
    <t>Shelter</t>
  </si>
  <si>
    <t>Food</t>
  </si>
  <si>
    <t>d6 + Safety (once for each)</t>
  </si>
  <si>
    <t>d6</t>
  </si>
  <si>
    <t>Safety</t>
  </si>
  <si>
    <t>Survival (d20)</t>
  </si>
  <si>
    <t>Strategic</t>
  </si>
  <si>
    <t>Flashy</t>
  </si>
  <si>
    <t>Blade(s)</t>
  </si>
  <si>
    <t>Adamantine</t>
  </si>
  <si>
    <t>Dozen</t>
  </si>
  <si>
    <t>Cyclical</t>
  </si>
  <si>
    <t>Subtle</t>
  </si>
  <si>
    <t>Truth(s)</t>
  </si>
  <si>
    <t>Broken</t>
  </si>
  <si>
    <t>Hundred</t>
  </si>
  <si>
    <t>Джерело: &lt;http://cauldronsandclerics.blogspot.com/search/label/D%26D5E&gt;</t>
  </si>
  <si>
    <t>Джерело: &lt;http://cauldronsandclerics.blogspot.com/2014/12/campsites-table-where-do-your-pcs-rest.html&gt;</t>
  </si>
  <si>
    <t>Favored Combat Action</t>
  </si>
  <si>
    <t>Footwork</t>
  </si>
  <si>
    <t>Adjective</t>
  </si>
  <si>
    <t>d20</t>
  </si>
  <si>
    <t>Name Element 4</t>
  </si>
  <si>
    <t>Name Element 3</t>
  </si>
  <si>
    <t>Name Element 2</t>
  </si>
  <si>
    <t>Name Element 1</t>
  </si>
  <si>
    <t>3'x4'</t>
  </si>
  <si>
    <t>200 gp</t>
  </si>
  <si>
    <t>Window, Glass</t>
  </si>
  <si>
    <t>20 gp</t>
  </si>
  <si>
    <t>Window, Bars</t>
  </si>
  <si>
    <t>15 gp</t>
  </si>
  <si>
    <t>Window, Shutters</t>
  </si>
  <si>
    <t>Window, Open</t>
  </si>
  <si>
    <t>Lucky*</t>
  </si>
  <si>
    <t>99-100</t>
  </si>
  <si>
    <t>10'x10'x1'</t>
  </si>
  <si>
    <t>2,000 gp</t>
  </si>
  <si>
    <t>Roofing/Floor, Marble</t>
  </si>
  <si>
    <t>Ill-Fortuned*</t>
  </si>
  <si>
    <t>97-98</t>
  </si>
  <si>
    <t>Stone Flagstone/Tile</t>
  </si>
  <si>
    <t>60' base, 90' high</t>
  </si>
  <si>
    <t>75,000 gp</t>
  </si>
  <si>
    <t>Square keep</t>
  </si>
  <si>
    <t>Superior Weapon Placement</t>
  </si>
  <si>
    <t>93-96</t>
  </si>
  <si>
    <t>10'x10'x1"</t>
  </si>
  <si>
    <t>100 gp</t>
  </si>
  <si>
    <t>Roofing/Floor,</t>
  </si>
  <si>
    <t>30' base, 45' high</t>
  </si>
  <si>
    <t>30,000 gp</t>
  </si>
  <si>
    <t>Round Tower</t>
  </si>
  <si>
    <t>Bad Weapon Placement</t>
  </si>
  <si>
    <t>89-92</t>
  </si>
  <si>
    <t>40 gp</t>
  </si>
  <si>
    <t>Roofing/Floor, Fine Wood</t>
  </si>
  <si>
    <t>20' base, 30' high</t>
  </si>
  <si>
    <t>15,000 gp</t>
  </si>
  <si>
    <t>Superior Field of Fire</t>
  </si>
  <si>
    <t>85-88</t>
  </si>
  <si>
    <t>Camouflaged</t>
  </si>
  <si>
    <t>97-100</t>
  </si>
  <si>
    <r>
      <t>3'x4</t>
    </r>
    <r>
      <rPr>
        <vertAlign val="superscript"/>
        <sz val="11"/>
        <color rgb="FF000000"/>
        <rFont val="Arial"/>
        <family val="2"/>
        <charset val="204"/>
      </rPr>
      <t>z</t>
    </r>
  </si>
  <si>
    <t>x2</t>
  </si>
  <si>
    <t>Door, Trap</t>
  </si>
  <si>
    <t>40'x80'x45'</t>
  </si>
  <si>
    <t>3,500 gp</t>
  </si>
  <si>
    <t>Wooden Building, Grand</t>
  </si>
  <si>
    <t>Poor Field of Fire</t>
  </si>
  <si>
    <t>81-84</t>
  </si>
  <si>
    <t>Wind Vulnerability</t>
  </si>
  <si>
    <t>3'x7'</t>
  </si>
  <si>
    <t>x5</t>
  </si>
  <si>
    <t>Door, Secret</t>
  </si>
  <si>
    <t>20'x40'x30'</t>
  </si>
  <si>
    <t>1,500 gp</t>
  </si>
  <si>
    <t>Wooden Building, Great</t>
  </si>
  <si>
    <t>Sturdy Ram</t>
  </si>
  <si>
    <t>77-80</t>
  </si>
  <si>
    <t>Superior Artillery Placement</t>
  </si>
  <si>
    <t>50 gp</t>
  </si>
  <si>
    <t>Door Stone</t>
  </si>
  <si>
    <t>20'x40'x15'</t>
  </si>
  <si>
    <t>750 gp</t>
  </si>
  <si>
    <t>Wooden Building, Medium</t>
  </si>
  <si>
    <t>Loose Ram*</t>
  </si>
  <si>
    <t>73-76</t>
  </si>
  <si>
    <t>Bad Artillery Placement</t>
  </si>
  <si>
    <t>83-87</t>
  </si>
  <si>
    <t>Door, Sturdy</t>
  </si>
  <si>
    <t>20'x20'x15</t>
  </si>
  <si>
    <t>250 gp</t>
  </si>
  <si>
    <t>Wooden Building, Small</t>
  </si>
  <si>
    <t>Sleek Ram*</t>
  </si>
  <si>
    <t>69-72</t>
  </si>
  <si>
    <t>78-82</t>
  </si>
  <si>
    <t>15' high</t>
  </si>
  <si>
    <t>500 gp</t>
  </si>
  <si>
    <t>Portcullis, Steel</t>
  </si>
  <si>
    <r>
      <t>10</t>
    </r>
    <r>
      <rPr>
        <sz val="11"/>
        <color rgb="FF000000"/>
        <rFont val="Arial"/>
        <family val="2"/>
        <charset val="204"/>
      </rPr>
      <t xml:space="preserve"> gp</t>
    </r>
  </si>
  <si>
    <t>Door, Wooden</t>
  </si>
  <si>
    <t>10,000 gp</t>
  </si>
  <si>
    <t>Stone Building, Grand</t>
  </si>
  <si>
    <t>Bulky Ram*</t>
  </si>
  <si>
    <t>65-68</t>
  </si>
  <si>
    <t>re-roll.</t>
  </si>
  <si>
    <t>*If this quirk is rolled again,</t>
  </si>
  <si>
    <t>73-77</t>
  </si>
  <si>
    <t>Portcullis, Wooden</t>
  </si>
  <si>
    <t>3'x10'x15</t>
  </si>
  <si>
    <t>60 gp</t>
  </si>
  <si>
    <t>Stairs, Stone</t>
  </si>
  <si>
    <t>3,000 gp</t>
  </si>
  <si>
    <t>Stone Building, Great</t>
  </si>
  <si>
    <t>again, re-roll.</t>
  </si>
  <si>
    <t>*If this quirk is rolled</t>
  </si>
  <si>
    <t>Efficient Rigging</t>
  </si>
  <si>
    <t>59-64</t>
  </si>
  <si>
    <t>Superior Firing Platform*</t>
  </si>
  <si>
    <t>91-100</t>
  </si>
  <si>
    <t>Bomb Lobby*</t>
  </si>
  <si>
    <r>
      <t>10</t>
    </r>
    <r>
      <rPr>
        <vertAlign val="superscript"/>
        <sz val="11"/>
        <color rgb="FF000000"/>
        <rFont val="Arial"/>
        <family val="2"/>
        <charset val="204"/>
      </rPr>
      <t>z</t>
    </r>
    <r>
      <rPr>
        <sz val="11"/>
        <color rgb="FF000000"/>
        <rFont val="Arial"/>
        <family val="2"/>
        <charset val="204"/>
      </rPr>
      <t>x4'</t>
    </r>
  </si>
  <si>
    <t>Battlements*</t>
  </si>
  <si>
    <t>Stairs, Wooden</t>
  </si>
  <si>
    <t>Stone Building Medium</t>
  </si>
  <si>
    <t>Roll on Vehicle Type sub-table</t>
  </si>
  <si>
    <t>61-100</t>
  </si>
  <si>
    <t>Inefficient Rigging</t>
  </si>
  <si>
    <t>43-58</t>
  </si>
  <si>
    <t>Inferior Firing Platform*</t>
  </si>
  <si>
    <t>Unsafe Seating</t>
  </si>
  <si>
    <t>10' long</t>
  </si>
  <si>
    <t>Catwalk, Wooden</t>
  </si>
  <si>
    <t>10'x10'x10'</t>
  </si>
  <si>
    <t>Stone Dungeon Corridor</t>
  </si>
  <si>
    <t>20'x20'x15'</t>
  </si>
  <si>
    <t>1,000 gp</t>
  </si>
  <si>
    <t>Stone Building, Small</t>
  </si>
  <si>
    <t>High-Quality Armor *</t>
  </si>
  <si>
    <t>56-60</t>
  </si>
  <si>
    <t>Smooth Handling</t>
  </si>
  <si>
    <t>47-52</t>
  </si>
  <si>
    <t>Well-Fitting Harness*</t>
  </si>
  <si>
    <t>Efficient Engines*</t>
  </si>
  <si>
    <t>57-64</t>
  </si>
  <si>
    <r>
      <t>10</t>
    </r>
    <r>
      <rPr>
        <vertAlign val="superscript"/>
        <sz val="11"/>
        <color rgb="FF000000"/>
        <rFont val="Arial"/>
        <family val="2"/>
        <charset val="204"/>
      </rPr>
      <t>z</t>
    </r>
    <r>
      <rPr>
        <sz val="11"/>
        <color rgb="FF000000"/>
        <rFont val="Arial"/>
        <family val="2"/>
        <charset val="204"/>
      </rPr>
      <t>x20</t>
    </r>
    <r>
      <rPr>
        <vertAlign val="superscript"/>
        <sz val="11"/>
        <color rgb="FF000000"/>
        <rFont val="Arial"/>
        <family val="2"/>
        <charset val="204"/>
      </rPr>
      <t>z</t>
    </r>
    <r>
      <rPr>
        <sz val="11"/>
        <color rgb="FF000000"/>
        <rFont val="Arial"/>
        <family val="2"/>
        <charset val="204"/>
      </rPr>
      <t>x6" thick</t>
    </r>
  </si>
  <si>
    <t>Drawbridge</t>
  </si>
  <si>
    <t>Dimension</t>
  </si>
  <si>
    <t>Underground/interior</t>
  </si>
  <si>
    <r>
      <t>Dimensions L</t>
    </r>
    <r>
      <rPr>
        <sz val="11"/>
        <color rgb="FF000000"/>
        <rFont val="Arial"/>
        <family val="2"/>
        <charset val="204"/>
      </rPr>
      <t>x</t>
    </r>
    <r>
      <rPr>
        <b/>
        <sz val="11"/>
        <color rgb="FF000000"/>
        <rFont val="Arial"/>
        <family val="2"/>
        <charset val="204"/>
      </rPr>
      <t>W</t>
    </r>
    <r>
      <rPr>
        <sz val="11"/>
        <color rgb="FF000000"/>
        <rFont val="Arial"/>
        <family val="2"/>
        <charset val="204"/>
      </rPr>
      <t>x</t>
    </r>
    <r>
      <rPr>
        <b/>
        <sz val="11"/>
        <color rgb="FF000000"/>
        <rFont val="Arial"/>
        <family val="2"/>
        <charset val="204"/>
      </rPr>
      <t xml:space="preserve">H </t>
    </r>
  </si>
  <si>
    <t>Buildings</t>
  </si>
  <si>
    <t>Ablative Armor *</t>
  </si>
  <si>
    <t>51-55</t>
  </si>
  <si>
    <t>Cumbersome Handling</t>
  </si>
  <si>
    <t>41-46</t>
  </si>
  <si>
    <t>Ill-Fitting Harness*</t>
  </si>
  <si>
    <t>61-70</t>
  </si>
  <si>
    <t>Fuel-Hungry Engines*</t>
  </si>
  <si>
    <t>49-56</t>
  </si>
  <si>
    <t>500+ gp</t>
  </si>
  <si>
    <t>Fountains</t>
  </si>
  <si>
    <t>Flawless Frame *</t>
  </si>
  <si>
    <t>46-50</t>
  </si>
  <si>
    <t>Good Sight Lines*</t>
  </si>
  <si>
    <t>35-40</t>
  </si>
  <si>
    <t>Lightweight Wheels*</t>
  </si>
  <si>
    <t>51-60</t>
  </si>
  <si>
    <t>Superior Aerodynamics*</t>
  </si>
  <si>
    <t>41-48</t>
  </si>
  <si>
    <t>Shrine</t>
  </si>
  <si>
    <r>
      <t>10'x15'x5</t>
    </r>
    <r>
      <rPr>
        <vertAlign val="superscript"/>
        <sz val="11"/>
        <color rgb="FF000000"/>
        <rFont val="Arial"/>
        <family val="2"/>
        <charset val="204"/>
      </rPr>
      <t>z</t>
    </r>
  </si>
  <si>
    <t>5,000[*] gp</t>
  </si>
  <si>
    <t>Ice Walls</t>
  </si>
  <si>
    <t>Flawed Frame</t>
  </si>
  <si>
    <t>41-45</t>
  </si>
  <si>
    <t>Bad Sight Lines*</t>
  </si>
  <si>
    <t>29-34</t>
  </si>
  <si>
    <t>Oversized Wheels*</t>
  </si>
  <si>
    <t>41-50</t>
  </si>
  <si>
    <t>Inferior Aerodynamics*</t>
  </si>
  <si>
    <t>33-40</t>
  </si>
  <si>
    <t>Maximum 300'</t>
  </si>
  <si>
    <t>100 gp per 10'</t>
  </si>
  <si>
    <t>Bridge, Stone</t>
  </si>
  <si>
    <t>100'x-x10'</t>
  </si>
  <si>
    <t>150 gp</t>
  </si>
  <si>
    <t>Road, Paved</t>
  </si>
  <si>
    <t>Metal Walls</t>
  </si>
  <si>
    <t>Quality Materials</t>
  </si>
  <si>
    <t>31-40</t>
  </si>
  <si>
    <t>Easy to Maintain*</t>
  </si>
  <si>
    <t>23-28</t>
  </si>
  <si>
    <t>Comfortable*</t>
  </si>
  <si>
    <t>25-32</t>
  </si>
  <si>
    <t>Maximum 150'</t>
  </si>
  <si>
    <t>10 gp per 10'</t>
  </si>
  <si>
    <t>Bridge, Wooden</t>
  </si>
  <si>
    <t>Road, Dirt</t>
  </si>
  <si>
    <t>10'x20'x10'</t>
  </si>
  <si>
    <t>Castle Walls</t>
  </si>
  <si>
    <t>Inferior Materials</t>
  </si>
  <si>
    <t>21-30</t>
  </si>
  <si>
    <t>Hard to Maintain*</t>
  </si>
  <si>
    <t>17-22</t>
  </si>
  <si>
    <t>Loud*</t>
  </si>
  <si>
    <t>17-24</t>
  </si>
  <si>
    <t>Maximum 100'</t>
  </si>
  <si>
    <t>5 gp per 10'</t>
  </si>
  <si>
    <t>Bridge, Rope</t>
  </si>
  <si>
    <t>10'x5'x10'</t>
  </si>
  <si>
    <t>Motte</t>
  </si>
  <si>
    <t>10'x6'x1'</t>
  </si>
  <si>
    <t>Metal Fencing</t>
  </si>
  <si>
    <t>Sturdy Construction</t>
  </si>
  <si>
    <t>Solidly Seaworthy*</t>
  </si>
  <si>
    <t>Easy to Repair</t>
  </si>
  <si>
    <t>Low-Altitude Flight Ceiling*</t>
  </si>
  <si>
    <t>x2 Normal Building Cost</t>
  </si>
  <si>
    <t xml:space="preserve">Mill/Windmill </t>
  </si>
  <si>
    <t>10'x20'x20'</t>
  </si>
  <si>
    <t>Moat[†]</t>
  </si>
  <si>
    <t>10'x15'x5'</t>
  </si>
  <si>
    <t>Stone/Bone Walls</t>
  </si>
  <si>
    <t>Shoddy Construction</t>
  </si>
  <si>
    <t>01-08    Leaking Hull*</t>
  </si>
  <si>
    <t>Prone to Break Down</t>
  </si>
  <si>
    <t>High-Altitude Flight Ceiling*</t>
  </si>
  <si>
    <t xml:space="preserve">Improvements    </t>
  </si>
  <si>
    <r>
      <t>10'x20'x5</t>
    </r>
    <r>
      <rPr>
        <vertAlign val="superscript"/>
        <sz val="11"/>
        <color rgb="FF000000"/>
        <rFont val="Arial"/>
        <family val="2"/>
        <charset val="204"/>
      </rPr>
      <t>z</t>
    </r>
  </si>
  <si>
    <t>Ditch</t>
  </si>
  <si>
    <t>10'x15'x1'</t>
  </si>
  <si>
    <r>
      <t>5</t>
    </r>
    <r>
      <rPr>
        <sz val="11"/>
        <color rgb="FF000000"/>
        <rFont val="Arial"/>
        <family val="2"/>
        <charset val="204"/>
      </rPr>
      <t xml:space="preserve"> gp</t>
    </r>
  </si>
  <si>
    <t>Wooden Walls</t>
  </si>
  <si>
    <t>List of Quirks</t>
  </si>
  <si>
    <t>Roll (1d100)</t>
  </si>
  <si>
    <t>Roll (1d100)    Vehicle Type: Sea</t>
  </si>
  <si>
    <t>Vehicle Type: Land</t>
  </si>
  <si>
    <t>Vehicle Type: Air</t>
  </si>
  <si>
    <t>Dimensions LxH/DxW</t>
  </si>
  <si>
    <t>Earthen Works</t>
  </si>
  <si>
    <r>
      <t>10'</t>
    </r>
    <r>
      <rPr>
        <vertAlign val="superscript"/>
        <sz val="11"/>
        <color rgb="FF000000"/>
        <rFont val="Arial"/>
        <family val="2"/>
        <charset val="204"/>
      </rPr>
      <t>x</t>
    </r>
    <r>
      <rPr>
        <sz val="11"/>
        <color rgb="FF000000"/>
        <rFont val="Arial"/>
        <family val="2"/>
        <charset val="204"/>
      </rPr>
      <t>10'</t>
    </r>
    <r>
      <rPr>
        <vertAlign val="superscript"/>
        <sz val="11"/>
        <color rgb="FF000000"/>
        <rFont val="Arial"/>
        <family val="2"/>
        <charset val="204"/>
      </rPr>
      <t>x</t>
    </r>
    <r>
      <rPr>
        <sz val="11"/>
        <color rgb="FF000000"/>
        <rFont val="Arial"/>
        <family val="2"/>
        <charset val="204"/>
      </rPr>
      <t>15'</t>
    </r>
  </si>
  <si>
    <t>Earthen Rampart</t>
  </si>
  <si>
    <t>Palisade (Wooden)</t>
  </si>
  <si>
    <r>
      <t xml:space="preserve">Dimensions LxHxW </t>
    </r>
    <r>
      <rPr>
        <sz val="11"/>
        <color rgb="FF000000"/>
        <rFont val="Arial"/>
        <family val="2"/>
        <charset val="204"/>
      </rPr>
      <t>10'X10'X1'</t>
    </r>
  </si>
  <si>
    <t>Walls</t>
  </si>
  <si>
    <t>A brilliant sky lights up the streets.</t>
  </si>
  <si>
    <t>You come upon a lost leather coin pouch.</t>
  </si>
  <si>
    <t>You hear the loud laughter of an inn.</t>
  </si>
  <si>
    <t>The streets are bustling with colour.</t>
  </si>
  <si>
    <t>The scent of spiced meat is in the air.</t>
  </si>
  <si>
    <t>A few urchin children follow you, laughing.</t>
  </si>
  <si>
    <t>You pass a guard dozing at his post.</t>
  </si>
  <si>
    <t>You pick up the sound of a lute nearby.</t>
  </si>
  <si>
    <t>The streets here are curtained and black.</t>
  </si>
  <si>
    <t>Two guardsmen nod gravely as you pass.</t>
  </si>
  <si>
    <t>The night is still and strangely quiet.</t>
  </si>
  <si>
    <t>The air is full of expectation.</t>
  </si>
  <si>
    <t>Owl eyes watch you from the dark.</t>
  </si>
  <si>
    <t>Rats scurry underfoot, their fangs gleaming.</t>
  </si>
  <si>
    <t>The driving rain is the only sound.</t>
  </si>
  <si>
    <t>The smell of sewage is overwhelming.</t>
  </si>
  <si>
    <t>The smell of incense lingers.</t>
  </si>
  <si>
    <t>The rain floods the gutters and streets.</t>
  </si>
  <si>
    <t>You think you hear steps behind you.</t>
  </si>
  <si>
    <t>A group of cloaked figures watch you pass.</t>
  </si>
  <si>
    <t>Night Description</t>
  </si>
  <si>
    <t>| Day Description</t>
  </si>
  <si>
    <t>Through a hole you spot the night sky.</t>
  </si>
  <si>
    <t>Faint sunlight filters through the roof.</t>
  </si>
  <si>
    <t>You find a small keg of red wine.</t>
  </si>
  <si>
    <t>You find a small box of food supplies.</t>
  </si>
  <si>
    <t>An elven voice can be heard singing.</t>
  </si>
  <si>
    <t>You think you can hear laughter.</t>
  </si>
  <si>
    <t>You come across an old helmet.</t>
  </si>
  <si>
    <t>There's a faint scent of roses near.</t>
  </si>
  <si>
    <t>There's a smell of wet moss about.</t>
  </si>
  <si>
    <t>You find some luminous mushrooms.</t>
  </si>
  <si>
    <t>You hear the sound of footsteps...</t>
  </si>
  <si>
    <t>A strange mist covers the floor.</t>
  </si>
  <si>
    <t>You come upon some odd slime.</t>
  </si>
  <si>
    <t>You can smell brimstone and smoke.</t>
  </si>
  <si>
    <t>Shadows dance upon the walls.</t>
  </si>
  <si>
    <t>There's a sound of scuttling nearby.</t>
  </si>
  <si>
    <t>Strange whispers float on the breeze.</t>
  </si>
  <si>
    <t>You spot movement in the shdaows.</t>
  </si>
  <si>
    <t>The scent of blood is in the air.</t>
  </si>
  <si>
    <t>Eerie cries echo through the corridors.</t>
  </si>
  <si>
    <t>Dungeons</t>
  </si>
  <si>
    <t>Bright constellations guide the way.</t>
  </si>
  <si>
    <t>You happen upon a floating barrel of ale.</t>
  </si>
  <si>
    <t>The moon hangs low and large tonight.</t>
  </si>
  <si>
    <t>You hear melodious singing from far off.</t>
  </si>
  <si>
    <t>You spot blue lights in the distance.</t>
  </si>
  <si>
    <t>A cool breeze brushes your cheeks.</t>
  </si>
  <si>
    <t>The scent of fresh fruit lingers.</t>
  </si>
  <si>
    <t>The seas are calm and collected today.</t>
  </si>
  <si>
    <t>A chill wind glides over the waves.</t>
  </si>
  <si>
    <t>You chase a patch of blue sky overhead.</t>
  </si>
  <si>
    <t>The night is eerily still and silent.</t>
  </si>
  <si>
    <t>The ship bobs rhythmically.</t>
  </si>
  <si>
    <t>Tonight there are no stars to guide you.</t>
  </si>
  <si>
    <t>The scent of rotten fish is on the wind.</t>
  </si>
  <si>
    <t>Bizarrely, you can smell peat and mud.</t>
  </si>
  <si>
    <t>The salt air is coarse and cutting.</t>
  </si>
  <si>
    <t>Strange cries sound in the deep.</t>
  </si>
  <si>
    <t>The churning waves batter your boat.</t>
  </si>
  <si>
    <t>Lightning pierces the midnight dark.</t>
  </si>
  <si>
    <t>Sleet and driving rain hit like stones.</t>
  </si>
  <si>
    <t>the sky tonight.</t>
  </si>
  <si>
    <t>invigorating.</t>
  </si>
  <si>
    <t>Constellations cover</t>
  </si>
  <si>
    <t>The scent of wet moss is</t>
  </si>
  <si>
    <t>The full moon hangs low and bright.</t>
  </si>
  <si>
    <t>A traveller trades a few jokes with you.</t>
  </si>
  <si>
    <t>You hear soft singing on the wind.</t>
  </si>
  <si>
    <t>The ground is firmer here, the air softer.</t>
  </si>
  <si>
    <t>The glittering stars offer comfort.</t>
  </si>
  <si>
    <t>You come across an empty cottage.</t>
  </si>
  <si>
    <t>The night is hot and uncomfortable.</t>
  </si>
  <si>
    <t>The air is humid and heavy as you walk.</t>
  </si>
  <si>
    <t>You spy odd lights in the distance.</t>
  </si>
  <si>
    <t>Flies are constantly nibbling your skin.</t>
  </si>
  <si>
    <t>The earth smells wet and rotten.</t>
  </si>
  <si>
    <t>A huge creature darts into the clouds.</t>
  </si>
  <si>
    <t>Strange cries pierce the night air.</t>
  </si>
  <si>
    <t>You think you see faces in the waters.</t>
  </si>
  <si>
    <t>You hear squelching in the dark.</t>
  </si>
  <si>
    <t>The stench of mud is overwhelming.</t>
  </si>
  <si>
    <t>Thunder crashes over the marshland.</t>
  </si>
  <si>
    <t>At each step the bog tries to drag you in.</t>
  </si>
  <si>
    <t>The hills resound with the music of owls.</t>
  </si>
  <si>
    <t>You find an unopened keg of ale.</t>
  </si>
  <si>
    <t>Constellations glimmer above the hilltops.</t>
  </si>
  <si>
    <t>The hills seem to hum pleasantly.</t>
  </si>
  <si>
    <t>The land is still and quiet tonight.</t>
  </si>
  <si>
    <t>A passing rider bids you good day.</t>
  </si>
  <si>
    <t>A midnight traveller tells you a tale.</t>
  </si>
  <si>
    <t>A drizzle cools and calms your skin.</t>
  </si>
  <si>
    <t>You spy a flurry of bats among the crags.</t>
  </si>
  <si>
    <t>The air is fresh and sweet up here.</t>
  </si>
  <si>
    <t>The air smells of mud and loam tonight.</t>
  </si>
  <si>
    <t>You come across a burnt-out campsite.</t>
  </si>
  <si>
    <t>Wolves howl at the low-hanging moon.</t>
  </si>
  <si>
    <t>The smell of sulphur lingers here.</t>
  </si>
  <si>
    <t>The air is humid and thick tonight.</t>
  </si>
  <si>
    <t>You spot vultures following your path.</t>
  </si>
  <si>
    <t>A crescent moon casts shadows on the rocks.</t>
  </si>
  <si>
    <t>The road is uneven and steep here.</t>
  </si>
  <si>
    <t>Strange cries echo through the valleys.</t>
  </si>
  <si>
    <t>Thunder clashes atop the mountains.</t>
  </si>
  <si>
    <t>Silver moonlight illuminates the wood.</t>
  </si>
  <si>
    <t>You come across a tranquil glade.</t>
  </si>
  <si>
    <t>The forest is utterly still tonight.</t>
  </si>
  <si>
    <t>Small green flags mark out a safe path.</t>
  </si>
  <si>
    <t>Fireflies glimmer through the trees.</t>
  </si>
  <si>
    <t>The scent of lavender follows you.</t>
  </si>
  <si>
    <t>Adult white dragon 1 3</t>
  </si>
  <si>
    <t>You pass an old wooden shrine.</t>
  </si>
  <si>
    <t>The air is heavy and hot under the sun.</t>
  </si>
  <si>
    <t>An acrid smell - sulphur? - lingers.</t>
  </si>
  <si>
    <t>A drizzle makes a quiet symphony.</t>
  </si>
  <si>
    <t>Tundra roc</t>
  </si>
  <si>
    <t>The air is lanquid with humidity.</t>
  </si>
  <si>
    <t>Thunder rumbles above the foliage.</t>
  </si>
  <si>
    <t>Frost giant</t>
  </si>
  <si>
    <t>Distant thunder heralds a storm.</t>
  </si>
  <si>
    <t>The stench of wet moss hangs in th air.</t>
  </si>
  <si>
    <t>Yng. white dragon</t>
  </si>
  <si>
    <t>The cries of owls penetrate the night.</t>
  </si>
  <si>
    <t>A huge beast has trampled trees here.</t>
  </si>
  <si>
    <t>Tundra troll</t>
  </si>
  <si>
    <t>A dense mist envelopes you.</t>
  </si>
  <si>
    <t>The trees draw suffocatingly close.</t>
  </si>
  <si>
    <t>Young remorhaz</t>
  </si>
  <si>
    <t>The wood's denziens sulk in the dark.</t>
  </si>
  <si>
    <t>Yellow light filters through the foliage.</t>
  </si>
  <si>
    <t>Winter wolves</t>
  </si>
  <si>
    <t>1d102</t>
  </si>
  <si>
    <t>Day Description</t>
  </si>
  <si>
    <t>Tundra veteran</t>
  </si>
  <si>
    <t>Hills &amp; Mountains</t>
  </si>
  <si>
    <t>Saber-toothed tiger</t>
  </si>
  <si>
    <t>The aurora bathes the tundra in a medley of light and colour.</t>
  </si>
  <si>
    <t>A solitary fishermen offers you a fresh catch.</t>
  </si>
  <si>
    <t>Polar bear</t>
  </si>
  <si>
    <t>The full moon makes the snowy landscape seem like a dream.</t>
  </si>
  <si>
    <t>You catch a glimpse of a polar bear tending its young.</t>
  </si>
  <si>
    <t>Tundra griffon</t>
  </si>
  <si>
    <t>Bizarrely, you swear you can hear a child's laugh somewhere...</t>
  </si>
  <si>
    <t>Various fish are preserved in the ice underfoot.</t>
  </si>
  <si>
    <t>Arctic Cirlce druids</t>
  </si>
  <si>
    <t>In the dark, someone has left you a fresh fish. But who...?</t>
  </si>
  <si>
    <t>A woman on a dog sled passes without comment.</t>
  </si>
  <si>
    <t>Half-ogre</t>
  </si>
  <si>
    <t>It's especially cold and silent tonight.</t>
  </si>
  <si>
    <t>You hear the barking of wolves in the distance.</t>
  </si>
  <si>
    <t>Tundra orcs</t>
  </si>
  <si>
    <t>Somehow you can sense something moving below the ice.</t>
  </si>
  <si>
    <t>The strange scent of oil lingers in your nose for a while.</t>
  </si>
  <si>
    <t>Ice mephits</t>
  </si>
  <si>
    <t>All night the scent of burning follows you relentlessly.</t>
  </si>
  <si>
    <t>It's probably just the wind, but it sounds like crying...</t>
  </si>
  <si>
    <t>Giant tundra owl</t>
  </si>
  <si>
    <t>The night is full of the howls of wolves in the darkness.</t>
  </si>
  <si>
    <t>You hallucinate seeing a face appear under the ice.</t>
  </si>
  <si>
    <t>White kobolds</t>
  </si>
  <si>
    <t>A single stars shines red tonight. An omen, perhaps...?</t>
  </si>
  <si>
    <t>Jagged ice underfoot makes the terrain hard to traverse.</t>
  </si>
  <si>
    <t>Tundra tribal warr.</t>
  </si>
  <si>
    <t>There is no moonlight tonight, and your steps are uncertain.</t>
  </si>
  <si>
    <t>You spot a huge shard of ice that looks like an arrow.</t>
  </si>
  <si>
    <t>Forests</t>
  </si>
  <si>
    <t>Потерять (сломать) ногу или ступню - ваша скорость передвижения уменьшается вдвое, и у вас есть помехи для всех проверок способностей, основанных на ловкости, из-за отсутствия баланса.</t>
  </si>
  <si>
    <t>Потерять (сломать) руку или кисть - вы можете держать только один предмет за раз, и вы не можете совершать атаки двумя руками.</t>
  </si>
  <si>
    <t>Потерять глаз (затуманенное зрение) - у вас есть недостаток при проверках восприятия на основе зрения и дальних атаках.</t>
  </si>
  <si>
    <t>Потеря уха (звон в ушах) - у вас есть недостаток при проверке восприятия на основе слуха.</t>
  </si>
  <si>
    <t>Проколотое или проколотое легкое - вы можете выполнить действие или бонусное действие, только когда этот объект находится внутри вас. После удаления у вас теперь есть «внутренняя травма» (см. 10 ниже).</t>
  </si>
  <si>
    <t>Перелом черепа или другие переломы костей - у вас есть помехи на броски атаки и все проверки способностей, основанные на силе, ловкости и телосложении (включая заклинания). Кроме того, вы всегда терпите неудачу в проверках концентрации.</t>
  </si>
  <si>
    <t>Гнойная рана - ваше максимальное здоровье уменьшается на 1 каждый день.</t>
  </si>
  <si>
    <t>Хрупкое - Каждый раз, когда вы получаете урон, вы получаете дополнительно 1d6 урона того же типа.</t>
  </si>
  <si>
    <t xml:space="preserve"> Большое сотрясение мозга - у вас есть недостаток в проверках умственных способностей (проверки интеллекта, мудрости и харизмы, не связанные с боем).</t>
  </si>
  <si>
    <t>Внутренняя травма - Вы совершаете с помехой все броски атаки.</t>
  </si>
  <si>
    <t>Слабое место или болезненный шрам - вы получаете дополнительно 1d6 повреждений при попадании в точку травмы.</t>
  </si>
  <si>
    <t>Ушиб или глубокий синяк - вы теряете способность действовать быстро. Вы больше не можете реагировать.</t>
  </si>
  <si>
    <t>Незначительное сотрясение - у вас есть недостаток в проверках умений, основанных на интеллекте, которые не связаны с боем.</t>
  </si>
  <si>
    <t>Сломанные ребра - у вас есть недостаток при проверках способностей, основанных на силе и ловкости.</t>
  </si>
  <si>
    <t>Потеря пальца (сломанная рука) - у вас есть недостаток при проверках ловкости рук и любой проверке способностей, которая включает использование воровских инструментов.</t>
  </si>
  <si>
    <t>Limp - Ваша базовая скорость передвижения снижена на 5.</t>
  </si>
  <si>
    <t>Ужасный шрам</t>
  </si>
  <si>
    <t>выбитых зубов, большой шрам</t>
  </si>
  <si>
    <t>Незначительный небольшой шрам</t>
  </si>
  <si>
    <t>Всплеск адреналина: вы получаете количество временных хитов, равное 1 от вашего хита + модификатор телосложения. Кроме того, в следующих двух раундах вы можете бонусным действием совершить рывок, а ваш модификатор силы удвоится.</t>
  </si>
  <si>
    <t>ТРАВМА</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</si>
  <si>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</si>
  <si>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</si>
  <si>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</si>
  <si>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</si>
  <si>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</si>
  <si>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</si>
  <si>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</si>
  <si>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</si>
  <si>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</si>
  <si>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</si>
  <si>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</si>
  <si>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</si>
  <si>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</si>
  <si>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</si>
  <si>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</si>
  <si>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</si>
  <si>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</si>
  <si>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</si>
  <si>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</si>
  <si>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</si>
  <si>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</si>
  <si>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</si>
  <si>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</si>
  <si>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</si>
  <si>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</si>
  <si>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</si>
  <si>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</si>
  <si>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</si>
  <si>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</si>
  <si>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</si>
  <si>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</si>
  <si>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</si>
  <si>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</si>
  <si>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</si>
  <si>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</si>
  <si>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</si>
  <si>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</si>
  <si>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</si>
  <si>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</si>
  <si>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</si>
  <si>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</si>
  <si>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</si>
  <si>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</si>
  <si>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</si>
  <si>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</si>
  <si>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</si>
  <si>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</si>
  <si>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</si>
  <si>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</si>
  <si>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</si>
  <si>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</si>
  <si>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</si>
  <si>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</si>
  <si>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</si>
  <si>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</si>
  <si>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</si>
  <si>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</si>
  <si>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</si>
  <si>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</si>
  <si>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</si>
  <si>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</si>
  <si>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</si>
  <si>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</si>
  <si>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</si>
  <si>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</si>
  <si>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</si>
  <si>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</si>
  <si>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</si>
  <si>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</si>
  <si>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</si>
  <si>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</si>
  <si>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</si>
  <si>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</si>
  <si>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</si>
  <si>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</si>
  <si>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</si>
  <si>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</si>
  <si>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</si>
  <si>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</si>
  <si>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</si>
  <si>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</si>
  <si>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</si>
  <si>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</si>
  <si>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</si>
  <si>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</si>
  <si>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</si>
  <si>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</si>
  <si>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</si>
  <si>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</si>
  <si>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</si>
  <si>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</si>
  <si>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</si>
  <si>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</si>
  <si>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</si>
  <si>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</si>
  <si>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</si>
  <si>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</si>
  <si>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</si>
  <si>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</si>
  <si>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</si>
  <si>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</si>
  <si>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</si>
  <si>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</si>
  <si>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</si>
  <si>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PARAMETR</t>
  </si>
  <si>
    <t>VALUE</t>
  </si>
  <si>
    <t>⦿2</t>
  </si>
  <si>
    <t>⦿3</t>
  </si>
  <si>
    <t>⦿4</t>
  </si>
  <si>
    <t>⦿5</t>
  </si>
  <si>
    <t>⦿6</t>
  </si>
  <si>
    <t>⦿7</t>
  </si>
  <si>
    <t>⦿8</t>
  </si>
  <si>
    <t>⦿9</t>
  </si>
  <si>
    <t>⦿10</t>
  </si>
  <si>
    <t>⦿11</t>
  </si>
  <si>
    <t>⦿12</t>
  </si>
  <si>
    <t>⦿13</t>
  </si>
  <si>
    <t>⦿14</t>
  </si>
  <si>
    <t>⦿15</t>
  </si>
  <si>
    <t>⦿16</t>
  </si>
  <si>
    <t>⦿17</t>
  </si>
  <si>
    <t>⦿18</t>
  </si>
  <si>
    <t>⦿19</t>
  </si>
  <si>
    <t>⦿20</t>
  </si>
  <si>
    <t>Cormyrian Noble Houses By Kris Metz</t>
  </si>
  <si>
    <t>Timeline</t>
  </si>
  <si>
    <t>23000 Hu
700 Elf
1200 Dw
2100 Hfl
200 Gn</t>
  </si>
  <si>
    <t>DEMOGRAPHICS</t>
  </si>
  <si>
    <t>1400 Hu 350 Dw</t>
  </si>
  <si>
    <t>House Lord 3e</t>
  </si>
  <si>
    <t>Lord 5e</t>
  </si>
  <si>
    <t>Charter, adventuring party</t>
  </si>
  <si>
    <t>Charter, Mercenary Companies</t>
  </si>
  <si>
    <t>up to 6</t>
  </si>
  <si>
    <t>soldier</t>
  </si>
  <si>
    <t>officer</t>
  </si>
  <si>
    <t>Garrison commanders and leaders of fortifications</t>
  </si>
  <si>
    <t>Warden of the Eastern Marches</t>
  </si>
  <si>
    <t>Warvred Emmarask</t>
  </si>
  <si>
    <t>Alarphon</t>
  </si>
  <si>
    <t>The only formal rank within the War Wizards is that 
of alarphon. The internal investigators of the War 
Wizards, alarphons are empowered to ask questions 
and engage in magical interrogation of their own 
number in order to ferret out treachery and learn 
whether other members of the brotherhood have not 
been forthcoming with information important to the 
protection of the realm. Whether this reluctance is 
due to perfidy or mere stupidity, sometimes the realm 
must be defended from its own protectors, and the 
alarphons are charged with that defense.</t>
  </si>
  <si>
    <t>Warder Vainrence</t>
  </si>
  <si>
    <t>battlefield commander of the War Wizards, reinforcing the brotherhood’s new role in the active defense of the realm</t>
  </si>
  <si>
    <t>Lord Warder</t>
  </si>
  <si>
    <t xml:space="preserve">Dalatha of Monksblade </t>
  </si>
  <si>
    <t>Mordgrandgur</t>
  </si>
  <si>
    <t>Orm</t>
  </si>
  <si>
    <t>Randelio</t>
  </si>
  <si>
    <t>Rasalra of the Many Daggers</t>
  </si>
  <si>
    <t xml:space="preserve">Tamphras Bloodcandle </t>
  </si>
  <si>
    <t>Voruld</t>
  </si>
  <si>
    <t>Feldran “Doraunk” Durvorkar</t>
  </si>
  <si>
    <t xml:space="preserve">Gemstone Market Rate </t>
  </si>
  <si>
    <t xml:space="preserve">Immerstones 10 gp </t>
  </si>
  <si>
    <t>Nightskies 500 gp – 1,000 gp*</t>
  </si>
  <si>
    <t xml:space="preserve">Riverstars 50 gp – 100 gp* </t>
  </si>
  <si>
    <t>Matthew Lee Myers</t>
  </si>
  <si>
    <t>• Netheril attacks Cormyr from the north sacking much of the northeast and laying siege to Arabel. 
• Wheloon is sacked and prisoners are released. 
• King Foril dies of old age. 
• Marsember is sacked. 
• King Irvel is killed by the Purple Dragon Reborn during the siege of Suzail. 
• Raedra defeats the Purple Dragon Reborn in single combat and Cormyr routs the Shadovar army. 
• Baerovus abdicates the throne to Raedra.</t>
  </si>
  <si>
    <t>• War against Sembia erupts. 
• Cormyr captures Daerlun and Urmlaspyr.</t>
  </si>
  <si>
    <t>Year of the Heretic’s Rampage</t>
  </si>
  <si>
    <t>• Cormyr declares Proskur a protectorate of Cormyr.</t>
  </si>
  <si>
    <t>• Azoun V restores the Goldfeather family to nobility.</t>
  </si>
  <si>
    <t>• Marriage of Prince Irvel to Ospra Goldfeather.</t>
  </si>
  <si>
    <t>• Death of King Azoun V. 
• Coronation of King Foril.</t>
  </si>
  <si>
    <t>• Birth of Baerovus Obarskyr, son of Crown Prince Irvel and Princess Ospra</t>
  </si>
  <si>
    <t>• Birth of Raedra Obarskyr, daughter of Crown Prince Irvel and Princess Ospra.</t>
  </si>
  <si>
    <t>Edwin Morahan</t>
  </si>
  <si>
    <t>Desc</t>
  </si>
  <si>
    <t>Eleanor Thond</t>
  </si>
  <si>
    <t>Gyles Hawklin</t>
  </si>
  <si>
    <t>Lavartes Dauntinghorn</t>
  </si>
  <si>
    <t>Luckmaster Olane Davanac</t>
  </si>
  <si>
    <t>High Namer Wyndel Sedranis</t>
  </si>
  <si>
    <t>BogBrook</t>
  </si>
  <si>
    <t>village</t>
  </si>
  <si>
    <t>Draegur High</t>
  </si>
  <si>
    <t>Aeson Truesilver</t>
  </si>
  <si>
    <t>Heldul's Rest</t>
  </si>
  <si>
    <t>Jester’s Green</t>
  </si>
  <si>
    <t>Etain Stagblade</t>
  </si>
  <si>
    <t>Jester's Green</t>
  </si>
  <si>
    <t>Ossten Delaire</t>
  </si>
  <si>
    <t>Ella Redbeard</t>
  </si>
  <si>
    <t>Jerrick Valwater</t>
  </si>
  <si>
    <t>Sir Severin, the White Knight of Arabel</t>
  </si>
  <si>
    <t xml:space="preserve">Secret Plots </t>
  </si>
  <si>
    <t>The Illance Bastard</t>
  </si>
  <si>
    <t xml:space="preserve">Tarmel Drouth is the bastard son of Rancelair Illance, </t>
  </si>
  <si>
    <t xml:space="preserve">the middle brother of the three Illance heirs. Exiled </t>
  </si>
  <si>
    <t xml:space="preserve">from Cormyr after numerous brushes with the law, </t>
  </si>
  <si>
    <t xml:space="preserve">including a number of hushed-up murders and the </t>
  </si>
  <si>
    <t xml:space="preserve">attempted arson of House Illance’s manor in Suzail, </t>
  </si>
  <si>
    <t xml:space="preserve">Tarmel became a brigand in Sembia before returning </t>
  </si>
  <si>
    <t>to Cormyr to exact his revenge on his family. His as-</t>
  </si>
  <si>
    <t xml:space="preserve">sassination attempt was less than successful, but he </t>
  </si>
  <si>
    <t xml:space="preserve">managed to rob the treasury which allowed him to </t>
  </si>
  <si>
    <t>establish himself as a bandit lord along the border</t>
  </si>
  <si>
    <t>Sunset's Hill</t>
  </si>
  <si>
    <t>Sister Linora</t>
  </si>
  <si>
    <t>Thair Coalstriker</t>
  </si>
  <si>
    <t>Lord Padraig</t>
  </si>
  <si>
    <t>Redwolf</t>
  </si>
  <si>
    <t>Cora Inyn</t>
  </si>
  <si>
    <t>Lord Ordamon Thorland</t>
  </si>
  <si>
    <t>arl Bryton Taysith</t>
  </si>
  <si>
    <t>Crownpost</t>
  </si>
  <si>
    <t>Description</t>
  </si>
  <si>
    <t></t>
  </si>
  <si>
    <t></t>
  </si>
  <si>
    <t></t>
  </si>
  <si>
    <t>Major General</t>
  </si>
  <si>
    <t>Lieutenant General</t>
  </si>
  <si>
    <t>Palant’s Guide to Combat</t>
  </si>
  <si>
    <t>https://www.dmsguild.com/product/305891/Palants-Guide-to-Combat?affiliate_id=759617</t>
  </si>
  <si>
    <t>Auril Frostmaiden’s Holy Symbol</t>
  </si>
  <si>
    <t>https://www.dmsguild.com/product/317569/Auril-Frostmaidens-Holy-Symbol?affiliate_id=759617</t>
  </si>
  <si>
    <t>Press of Eberron</t>
  </si>
  <si>
    <t>https://www.dmsguild.com/product/297874/Press-of-Eberron?affiliate_id=759617</t>
  </si>
  <si>
    <t>Baldur’s Mouth Newspaper Template</t>
  </si>
  <si>
    <t>https://www.dmsguild.com/product/315373/Baldurs-Mouth-Newspaper-Template?affiliate_id=759617</t>
  </si>
  <si>
    <t>Broadsheets of Waterdeep</t>
  </si>
  <si>
    <t>https://www.dmsguild.com/product/290786/Broadsheets-of-Waterdeep?affiliate_id=759617</t>
  </si>
  <si>
    <t>Waterdeep in tables</t>
  </si>
  <si>
    <t>https://www.dmsguild.com/product/247012/Waterdeep-in-tables?affiliate_id=759617</t>
  </si>
  <si>
    <t>Palant’s guide to Exploring Sword Coast</t>
  </si>
  <si>
    <t>https://www.dmsguild.com/product/314810/Palants-guide-to-Exploring-Sword-Coast?affiliate_id=759617</t>
  </si>
  <si>
    <t>Salvation bases and missions in tables</t>
  </si>
  <si>
    <t>https://www.dmsguild.com/product/309280/Salvation-bases-and-missions-in-tables?affiliate_id=759617</t>
  </si>
  <si>
    <t>Flaming Fist</t>
  </si>
  <si>
    <t>https://www.dmsguild.com/product/289077/Flaming-Fist?affiliate_id=759617</t>
  </si>
  <si>
    <t>Sorcerous Sundries — Compendium of Magic Items from Baldur’s Gate — Armors and Helmets</t>
  </si>
  <si>
    <t>https://www.dmsguild.com/product/278467/Sorcerous-Sundries—Compendium-of-Magic-Items-from-Baldurs-Gate—Armors-and-Helmets?affiliate_id=759617</t>
  </si>
  <si>
    <t>Herbs of Forgotten Realms</t>
  </si>
  <si>
    <t>https://www.dmsguild.com/product/291511/Herbs-of-Forgotten-Realms?affiliate_id=759617</t>
  </si>
  <si>
    <t>Coins of Forgotten Realms in tables</t>
  </si>
  <si>
    <t>https://www.dmsguild.com/product/314838/Coins-of-Forgotten-Realms-in-tables?affiliate_id=759617</t>
  </si>
  <si>
    <t>Sorcerous Sundries — Compendium of Magic Items from Baldur’s Gate — Boots</t>
  </si>
  <si>
    <t>https://www.dmsguild.com/product/296982/Sorcerous-Sundries—Compendium-of-Magic-Items-from-Baldurs-Gate—Boots?affiliate_id=759617</t>
  </si>
  <si>
    <t>Languages of Forgotten Realms in Table</t>
  </si>
  <si>
    <t>https://www.dmsguild.com/product/308995/Languages-of-Forgotten-Realms-in-Table?affiliate_id=759617</t>
  </si>
  <si>
    <t>Baldur’s Gate in Tables</t>
  </si>
  <si>
    <t>https://www.dmsguild.com/product/294548/Baldurs-Gate-in-Tables?affiliate_id=759617</t>
  </si>
  <si>
    <t>City Watch of Baldur’s Gate</t>
  </si>
  <si>
    <t>https://www.dmsguild.com/product/294551/City-Watch-of-Baldurs-Gate?affiliate_id=759617</t>
  </si>
  <si>
    <t>Sorcerous Sundries — Compendium of Magic Items from Baldur’s Gate</t>
  </si>
  <si>
    <t>https://www.dmsguild.com/product/276163/Sorcerous-Sundries—Compendium-of-Magic-Items-from-Baldurs-Gate?affiliate_id=759617</t>
  </si>
  <si>
    <t>Palant Excel Inventory template</t>
  </si>
  <si>
    <t>https://www.dmsguild.com/product/247019/Palant-Excel-Inventory-template?affiliate_id=759617</t>
  </si>
  <si>
    <t>СОБЫТИЕ/</t>
  </si>
  <si>
    <t>Thistleflame Keep</t>
  </si>
  <si>
    <t>Kythorn</t>
  </si>
  <si>
    <t>Manshoon plans to conquer Cormyr via a conspiracy of unsatisfied nobles he influences, as Cormyr is on the brink of civil war. To further his goals he also secretly starts killing War Wizards.(E: EE)
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</si>
  <si>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The 'Council of Dragons' is canceled and Cormyr tethers on the brink of civil war.(E: EE)</t>
  </si>
  <si>
    <t>Storm Silverhand travels through the Forest Kingdom, recruiting new Harpers. Meanwhile her sister, the Simbul uses bluefire artifacts to close planar rifts.</t>
  </si>
  <si>
    <t>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t>
  </si>
  <si>
    <t>House Delcastle is attacked by nobles influenced by Manshoon, Delcastles' Matriarch and retainers are killed in the fight, but most of the attacking nobles die as well. </t>
  </si>
  <si>
    <t>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t>
  </si>
  <si>
    <t>Storm, Elminster and Mirt the Moneylender start training the new Harpers. (E: EE)</t>
  </si>
  <si>
    <t>Turmish</t>
  </si>
  <si>
    <t>Uktar</t>
  </si>
  <si>
    <t>Festival of the Feast of the Moon</t>
  </si>
  <si>
    <t>Crown prince Baerovus abdicts the throne in favor of his sister Raedra Obarskyr, who is to be officially crowned in a tenday.</t>
  </si>
  <si>
    <t>Marpenoth</t>
  </si>
  <si>
    <t>The Second Fall of Myth Drannor</t>
  </si>
  <si>
    <t>High Prince Tanthul and his arcanist begin the ward-drain ritual devised by Prince Drathan Tanthul to drain the Mythal of Myth Drannor. (S:TH pg.)</t>
  </si>
  <si>
    <t>Sea of Fallen Stars</t>
  </si>
  <si>
    <t xml:space="preserve">Vilhon Wilds/Reach: </t>
  </si>
  <si>
    <t>soldier (1)</t>
  </si>
  <si>
    <t>Lancelord</t>
  </si>
  <si>
    <t>This title is bestowed on the leader of a force of archers. This title is usually an officer or officer-equivalent (if the archers are militia or lord's men), but could also be applied to a senior enlisted person for a small force of archers. The reason that officers are called 'arrowmasters' instead of 'arrowlords' is that those who serve in archery units are commoners (or, at best, disgraced nobles or nobles going incognito) whereas nobles make up a sizeable proportion of the officer corps.</t>
  </si>
  <si>
    <t>Warden</t>
  </si>
  <si>
    <t>a Warden is not really a military title in and of itself; a warden is simply an official appointed by the King to enforce Crown laws and regulations in a specified area. The title of Warden is mentioned here because the majority of the holders of this title happen to also be military general officers. A Warden is empowered to appoint and deputize lesser officers and crown servants to help him in enforcing said laws and regulations, and when a warden is also a military officer he will use the Purple Dragons in his command in this capacity. The title of Warden is entirely separate from any other military titles and positions the holder may have; for example, that Battlemaster Baron Thomdor is Warden of the Eastern Marches means he is empowered to enforce the civil laws within the Eastern Marches and that is an entirely separate responsibility from his post as commander of the Army of the East despite the fact he uses his army as an instrument to enforce these civil laws and regulations as well as provide for the military security of the region. The Warden of the Port of Marsember is another example of this, as Lord Admiral Ayesunder Truesilver has the power to collect customs duties as well as enforce the civil laws of the port as well as the military authority of the garrison and fleet. An example of a warden that is not a military officer is Maestoon Huntsilver, the Warden of the King's Forest. Maestoon is responsible for the health of the forest and the game within and has the power to enforce the King's regulations on logging and hunting and employs many foresters, rangers and guides to help him, but he has no responsibility for military security nor does he have any military forces under his command. The King may grant the title of Warden to anyone he wishes, but historically it is granted almost entirely to nobles with the only exceptions being non-nobles of exceptional ability to do the job. In these few latter cases, more often than not a noble title will also accompany the title of Warden</t>
  </si>
  <si>
    <t>Warden of the Port of Marsember</t>
  </si>
  <si>
    <t>Boldshield</t>
  </si>
  <si>
    <t>the position of guidon is usually given to a blade or, in larger units, a first sword. The guidon is the one who carries the unit's standard — a flag, banner or some other sort of heraldry. It is considered a great honor to be a unit's standard bearer because the standard is the symbol of the unit itself, and some say it is even the heart and soul of a unit. If the standard falls or is captured, it is damaging to the morale of the entire unit. The standard also serves a more practical purpose: it indicates the location of the unit, and where it is to form up or rally, so it is a way to maintain some semblance of order and control on the battlefield. For this reason, the guidon is always near the commanding officer of the unit.</t>
  </si>
  <si>
    <t>Guidon</t>
  </si>
  <si>
    <t xml:space="preserve">Suggested Pay (gp/month) ||| 1372 </t>
  </si>
  <si>
    <t>Abbr.</t>
  </si>
  <si>
    <t>Squad</t>
  </si>
  <si>
    <t>First Sword leads 10 blades and a Royal Scout.</t>
  </si>
  <si>
    <t>Company</t>
  </si>
  <si>
    <t>CPY</t>
  </si>
  <si>
    <t>Kadrath</t>
  </si>
  <si>
    <t>KDR</t>
  </si>
  <si>
    <t>Battalion</t>
  </si>
  <si>
    <t>Regiment</t>
  </si>
  <si>
    <t>RGT</t>
  </si>
  <si>
    <t>SQD</t>
  </si>
  <si>
    <t>BTN</t>
  </si>
  <si>
    <t>Composition</t>
  </si>
  <si>
    <t>Orderly</t>
  </si>
  <si>
    <t>An enlisted soldier assigned to attend and perform various tasks for a senior officer; a soldier who serves as an attendant to a senior officer. Orderlies are usually blades, but a senior officer with several orderlies usually has a first sword as a lead orderly.</t>
  </si>
  <si>
    <t>Company Swordmajor</t>
  </si>
  <si>
    <t>this position is filled by an experienced soldier with the rank of swordmajor. He acts as a second-in-command of a company under the swordcaptain, and is also an advisor to the swordcaptain. Swordcaptains are usually unseasoned and young officers, and it falls to the company swordmajor to gently and tactfully guide them in matters of small-unit tactics and leadership. When these young men are wise enough to listen to their company swordmajors, they often turn out to be fine officers. Those swordcaptains who don't listen to the words of their company swordmajor (usually young high-nose nobles) end up dead in combat with regretful frequency along with many of their men.</t>
  </si>
  <si>
    <t>Drillmaster</t>
  </si>
  <si>
    <t xml:space="preserve"> this position is one almost always filled by one with the rank of swordmajor, and this senior enlisted position has the task of training the soldiers both in military maneuvers and marches and in weapon use. When not functioning in this capacity, the drillmaster functions as a guard for the headquarters and unit commander.</t>
  </si>
  <si>
    <t>Campmaster</t>
  </si>
  <si>
    <t>this position is one almost always filled by one with the rank of swordmajor, and this senior enlisted position has the task of supervising the set-up and tear-down of camps and bivouacs when the unit is on the move. The campmaster's particular concerns are the organization, security and sanitation of the camp. He will insure that the tents and facilities are arranged in manner that will not obstruct the functioning of the camp, schedule round-the-clock watches, and see to it that proper privies and garbage disposal pits are dug to minimize the spread of disease among the soldiers. When not functioning in this capacity, the drillmaster functions as a guard for the headquarters and unit commander.</t>
  </si>
  <si>
    <t>the quartermaster is a vital duty that no large military formation can function without. A unit's quartermaster is the one in charge of all matters logistical — supplies, transport and the like — and is in charge of the supply train of wagons that always follow any large unit on the march. It is the quartermaster's duty to make sure that everyone in the unit has the supplies needed to function and fight, from food to tents to weapons and armor. Normally, the quartermaster will hire on (at crown expense of course) a number of civilian drovers, armorers, weaponsmiths, blacksmiths, wagonwrights, canvas-sewers and so forth to provide the need for such skills that any large military unit requires. This does not count the larger number of civilian camp followers (of various and often unseemly callings) that often accompany large units on the march that the quartermaster does not authorize request or pay for, much to the chagrin of some officers. Such an important responsibility would seem to justify an officer rank, and does in many other militaries, but it is a long-held tradition in the Purple Dragons to assign this task to a senior swordmajor of many years of service so that the officers can concentrate on more combat-oriented matters. The swordmajors assigned this vital task have perhaps more authority than any other enlisted person save the regimental swordmajor.</t>
  </si>
  <si>
    <t>Regimental swordmajor</t>
  </si>
  <si>
    <t>the swordmajor holding this position is the single most senior enlisted person in the regiment. He represents the interests of all the enlisted people to the commander of the regiment and advises him on matters that concern them. The regimental swordmajor also keeps an eye on the morale of the enlisted soldiers and can keep the constal appraised of any potential problems, or solve those problems without needing to involve the officers. The regimental swordmajor is also responsible for overseeing and evaluating the performance of the other swordmajors and can advise the officers about which are ready for more responsibility. Although the drillmaster of the kadrath has the immediate day-to-day responsibility for training the soldiers, it is the regimental swordmajor who is finally responsible to the constal for the training performance and conduct of all the regiment's enlisted personnel.</t>
  </si>
  <si>
    <t>Aide-de-camp (sometimes called an adjutant)</t>
  </si>
  <si>
    <t>An aide-de-camp is a commissioned officer who serves a general officer as a secretary and confidential assistant. The aide helps the general officer with administrative duties, often handling lesser details for the general officer.</t>
  </si>
  <si>
    <t>Yeoman Bridge</t>
  </si>
  <si>
    <t>Mootpost</t>
  </si>
  <si>
    <t>Gnollpost</t>
  </si>
  <si>
    <t>GARRISON</t>
  </si>
  <si>
    <t>INFANTRY</t>
  </si>
  <si>
    <t>CAVALRY</t>
  </si>
  <si>
    <t>OTHERS</t>
  </si>
  <si>
    <t>Mounted Airborne Regiment</t>
  </si>
  <si>
    <t>Archer Battery</t>
  </si>
  <si>
    <t xml:space="preserve">Royal Corps of Monster Hunters </t>
  </si>
  <si>
    <t xml:space="preserve">Unit Type </t>
  </si>
  <si>
    <t># Units</t>
  </si>
  <si>
    <t>Average # of soldiers</t>
  </si>
  <si>
    <t>Total in Unit Type</t>
  </si>
  <si>
    <t>GRAND TOTAL</t>
  </si>
  <si>
    <t>GROUP</t>
  </si>
  <si>
    <t>Lady Tessaril Winter</t>
  </si>
  <si>
    <t>Personality</t>
  </si>
  <si>
    <t>Goals</t>
  </si>
  <si>
    <t>The lord of Eveningstar is the former adventurer and one-time consort of King Azoun IV known as Tessaril Winter. She is attentive, considerate, and utterly loyal to the crown, serving as wise counsel to four generations of Obarskyr monarchs. She is particularly attentive to the new queen, Raedra, and frequently hosts the young queen at her home. Despite her advanced age, the lord is quite striking. She stands six feet in height, with long ilver hair and piercing blue eyes. Her once slim, muscular build has grown frail with age, but she still walks rigidly upright and carries herself with poise and dignity. She typically wears simple dark robes while at home in er tower or a leather jacket and riding breeches when out amongst the people. Perched on her shoulder is her ever-present companion, her tressym familiar, who insists on tasting all of her food and drink and has saved her from poisoning more times than anyone can count.</t>
  </si>
  <si>
    <t>friendly, loyal, assertive</t>
  </si>
  <si>
    <t>prosperity and well-being of Eveningstar</t>
  </si>
  <si>
    <t>Harlaen Jerlak</t>
  </si>
  <si>
    <t>Maloren's Rest</t>
  </si>
  <si>
    <t>Terrrinton</t>
  </si>
  <si>
    <t>Priapurl</t>
  </si>
  <si>
    <t>Teziir</t>
  </si>
  <si>
    <t>1915 Hu
469 Mf</t>
  </si>
  <si>
    <t>GARRISON size</t>
  </si>
  <si>
    <t>489 Hu 151 Hlf</t>
  </si>
  <si>
    <t>678 Hu 215 Elf 300 Dw</t>
  </si>
  <si>
    <t>Collinwood</t>
  </si>
  <si>
    <t>1255 Hu 1750 Hfl</t>
  </si>
  <si>
    <t>789 Hu 450 Dw 643 Hfl</t>
  </si>
  <si>
    <t>SAGES</t>
  </si>
  <si>
    <t>FENCERS</t>
  </si>
  <si>
    <t>SAGE</t>
  </si>
  <si>
    <t>fencer specialization</t>
  </si>
  <si>
    <t>group</t>
  </si>
  <si>
    <t>fencer specialization group</t>
  </si>
  <si>
    <t>fencer cost</t>
  </si>
  <si>
    <t>MINOR FIELDS</t>
  </si>
  <si>
    <t>Min</t>
  </si>
  <si>
    <t>Reaction2</t>
  </si>
  <si>
    <t>FIELD</t>
  </si>
  <si>
    <t>SPECIALIZATION</t>
  </si>
  <si>
    <t>Sage generation</t>
  </si>
  <si>
    <t>Armor </t>
  </si>
  <si>
    <t>Weapons, Armors, Metalwork</t>
  </si>
  <si>
    <t>Dice Score</t>
  </si>
  <si>
    <t>Minor Fields</t>
  </si>
  <si>
    <t>Special Categories In Major Field</t>
  </si>
  <si>
    <t>Fine metalwork</t>
  </si>
  <si>
    <t>Poisons and Alchemy</t>
  </si>
  <si>
    <t>Poisons </t>
  </si>
  <si>
    <t>Coins &amp; gems</t>
  </si>
  <si>
    <t>Forbidden alchemical substances</t>
  </si>
  <si>
    <t>Regalia</t>
  </si>
  <si>
    <t>Delivery systems of such </t>
  </si>
  <si>
    <t>Carving</t>
  </si>
  <si>
    <t>Coins </t>
  </si>
  <si>
    <t>Furniture &amp; households</t>
  </si>
  <si>
    <t>Gems </t>
  </si>
  <si>
    <t xml:space="preserve">Exotic </t>
  </si>
  <si>
    <t>Regalia &amp; Uniforms</t>
  </si>
  <si>
    <t>Spices, drugs, wines</t>
  </si>
  <si>
    <t>Carvings </t>
  </si>
  <si>
    <t>Magic items</t>
  </si>
  <si>
    <t>Field of Knowledge</t>
  </si>
  <si>
    <t>Field of Knowledge of Sage</t>
  </si>
  <si>
    <t>Probabilty</t>
  </si>
  <si>
    <t>Statuary </t>
  </si>
  <si>
    <t>Horses</t>
  </si>
  <si>
    <t>Physical Universe</t>
  </si>
  <si>
    <t xml:space="preserve">Architecture &amp; Engineering </t>
  </si>
  <si>
    <t>Humankind</t>
  </si>
  <si>
    <t>Furniture </t>
  </si>
  <si>
    <t>Ships</t>
  </si>
  <si>
    <t>Humanoid races</t>
  </si>
  <si>
    <t>Distinctive Household Goods </t>
  </si>
  <si>
    <t>Books, scrolls</t>
  </si>
  <si>
    <t>Humanoid &amp; Giants</t>
  </si>
  <si>
    <t>Exotic Creatures •</t>
  </si>
  <si>
    <t xml:space="preserve">Geology &amp; Mineralogy </t>
  </si>
  <si>
    <t>Exotic Plants</t>
  </si>
  <si>
    <t xml:space="preserve">Meteorology &amp; Climatology </t>
  </si>
  <si>
    <t>Slaves </t>
  </si>
  <si>
    <t>Spices</t>
  </si>
  <si>
    <t>Scents </t>
  </si>
  <si>
    <t>Wines </t>
  </si>
  <si>
    <t>D10</t>
  </si>
  <si>
    <t>Drugs </t>
  </si>
  <si>
    <t>Humans/Demihumans</t>
  </si>
  <si>
    <t>Tapestries</t>
  </si>
  <si>
    <t>Law &amp; Customs</t>
  </si>
  <si>
    <t>Perfumes </t>
  </si>
  <si>
    <t>Philosophy &amp; Ethics</t>
  </si>
  <si>
    <t>Politics &amp; Genealogy</t>
  </si>
  <si>
    <t>Horses </t>
  </si>
  <si>
    <t>Psychology</t>
  </si>
  <si>
    <t>Harnesses </t>
  </si>
  <si>
    <t>Sociology</t>
  </si>
  <si>
    <t>Theology &amp; Myth</t>
  </si>
  <si>
    <t>Shipboard Equipment </t>
  </si>
  <si>
    <t>Art &amp; Music</t>
  </si>
  <si>
    <t>Cargos </t>
  </si>
  <si>
    <t>Humanoids and Giants</t>
  </si>
  <si>
    <t xml:space="preserve">Biology </t>
  </si>
  <si>
    <t>Scrolls</t>
  </si>
  <si>
    <t>D20</t>
  </si>
  <si>
    <t xml:space="preserve">Languages </t>
  </si>
  <si>
    <t>Demography</t>
  </si>
  <si>
    <t>Biology</t>
  </si>
  <si>
    <t>Languages</t>
  </si>
  <si>
    <t>Legends &amp; Folklore</t>
  </si>
  <si>
    <t>Theology, Religion, and Myth</t>
  </si>
  <si>
    <t>D8</t>
  </si>
  <si>
    <t>Martial Hirelings Costs</t>
  </si>
  <si>
    <t>Spellcasting Hirelings Costs</t>
  </si>
  <si>
    <t>CHARACTER</t>
  </si>
  <si>
    <t>Challenge</t>
  </si>
  <si>
    <t>ECL</t>
  </si>
  <si>
    <t>EQUIPMENT COST (5E)</t>
  </si>
  <si>
    <t>DESCRIPTION</t>
  </si>
  <si>
    <t>LINK TO STATBLOCK</t>
  </si>
  <si>
    <t>PAY PER DAY, GP</t>
  </si>
  <si>
    <t>WAGES, GP</t>
  </si>
  <si>
    <t>UPKEEP, GP</t>
  </si>
  <si>
    <t>ONE JOB, GP</t>
  </si>
  <si>
    <t>PAY PER MONTH, GP</t>
  </si>
  <si>
    <t>PAY PER MONTH (IN GARRISON), GP</t>
  </si>
  <si>
    <t>NPC stat block</t>
  </si>
  <si>
    <t>SPELLCASTING LEVEL</t>
  </si>
  <si>
    <t>Описание</t>
  </si>
  <si>
    <t>Pay per day, gp</t>
  </si>
  <si>
    <t>MORALE  MODIFIERS</t>
  </si>
  <si>
    <t>Archer</t>
  </si>
  <si>
    <t>https://www.dndbeyond.com/monsters/archer</t>
  </si>
  <si>
    <t>VGtM 210</t>
  </si>
  <si>
    <t>Abjurer</t>
  </si>
  <si>
    <t>VGtM 209</t>
  </si>
  <si>
    <t>Attitude</t>
  </si>
  <si>
    <t>Means</t>
  </si>
  <si>
    <t>Possible Actions</t>
  </si>
  <si>
    <t>Enlistment Or Association</t>
  </si>
  <si>
    <t>Training Or Status Level</t>
  </si>
  <si>
    <t>Pay Or Treasure Shared</t>
  </si>
  <si>
    <t>Discipline/Activity</t>
  </si>
  <si>
    <t>General Treatment By Liege</t>
  </si>
  <si>
    <t>Alignment of Liege</t>
  </si>
  <si>
    <t>Special Considerations</t>
  </si>
  <si>
    <t>Situation Modifiers</t>
  </si>
  <si>
    <t>Archer (long bow)</t>
  </si>
  <si>
    <t>PALANT'S GUIDE TO COMBAT</t>
  </si>
  <si>
    <t>https://www.dndbeyond.com/monsters/acolyte</t>
  </si>
  <si>
    <t>MM 342</t>
  </si>
  <si>
    <t>Hostile</t>
  </si>
  <si>
    <t>Will take risks to hurt you.</t>
  </si>
  <si>
    <t>Attack, interfere, berate, flee.</t>
  </si>
  <si>
    <t>associated non-player character</t>
  </si>
  <si>
    <t>untrained or peasant</t>
  </si>
  <si>
    <t>none/one</t>
  </si>
  <si>
    <t>inhuman and heartless</t>
  </si>
  <si>
    <t>lawful good</t>
  </si>
  <si>
    <t>killed faithful henchman or hireling in front of a witness(es)</t>
  </si>
  <si>
    <t>liege dead or surrounded and outnumbered</t>
  </si>
  <si>
    <t>Archer (short bow)</t>
  </si>
  <si>
    <t>https://www.dndbeyond.com/monsters/apprentice-wizard</t>
  </si>
  <si>
    <t>Unfriendly</t>
  </si>
  <si>
    <t>Wishes you ill.</t>
  </si>
  <si>
    <t>Mislead, gossip, avoid, watch suspiciously, insult.</t>
  </si>
  <si>
    <t>captured and enlisted</t>
  </si>
  <si>
    <t>little training, levied troops</t>
  </si>
  <si>
    <t>partial, late, or unfair</t>
  </si>
  <si>
    <t>lax/little</t>
  </si>
  <si>
    <t>cruel and domineering</t>
  </si>
  <si>
    <t>lawful neutral</t>
  </si>
  <si>
    <t>tortured faithful henchman or hireling in front of a witeness(es)</t>
  </si>
  <si>
    <t>liege hors de combat</t>
  </si>
  <si>
    <t>scimitar, light crossbow, bolt case, 20 bolts, traveler clothes, bedroll, mess kit, backpack, waterskin x2</t>
  </si>
  <si>
    <t>https://www.dndbeyond.com/monsters/bandit</t>
  </si>
  <si>
    <t>MM 343</t>
  </si>
  <si>
    <t>https://www.dndbeyond.com/monsters/bard</t>
  </si>
  <si>
    <t>VGtM 211</t>
  </si>
  <si>
    <t>Indifferent</t>
  </si>
  <si>
    <t>Doesn't much care.</t>
  </si>
  <si>
    <t>Socially expected interaction.</t>
  </si>
  <si>
    <t>henchman</t>
  </si>
  <si>
    <t>newly recruited regulars</t>
  </si>
  <si>
    <t>average</t>
  </si>
  <si>
    <t>firm and harsh/occasional</t>
  </si>
  <si>
    <t>indifferent and uncaring or variable</t>
  </si>
  <si>
    <t>lawful evil</t>
  </si>
  <si>
    <t>reputed to have slain faithful henchmen or hirelings or actually left them to die</t>
  </si>
  <si>
    <t>each henchman dead or hors de combat</t>
  </si>
  <si>
    <t>https://www.dndbeyond.com/monsters/bandit-captain</t>
  </si>
  <si>
    <t>MM 344</t>
  </si>
  <si>
    <t>Conjurer</t>
  </si>
  <si>
    <t>VGtM 212</t>
  </si>
  <si>
    <t>Friendly</t>
  </si>
  <si>
    <t>Wishes you well.</t>
  </si>
  <si>
    <t>Chat, advise, offer limited help, advocate.</t>
  </si>
  <si>
    <t>hired mercenary</t>
  </si>
  <si>
    <t>trained regulars</t>
  </si>
  <si>
    <t>above average, choice shares</t>
  </si>
  <si>
    <t>firm and fair/often</t>
  </si>
  <si>
    <t>just and invariable</t>
  </si>
  <si>
    <t>neutral good</t>
  </si>
  <si>
    <t>foresworn or oath breaker or deserter</t>
  </si>
  <si>
    <t>each hit die or level dead, friendly</t>
  </si>
  <si>
    <t>https://www.dndbeyond.com/monsters/berserker</t>
  </si>
  <si>
    <t>https://www.dndbeyond.com/monsters/cult-fanatic</t>
  </si>
  <si>
    <t>Helpful</t>
  </si>
  <si>
    <t>Will take risks to help you.</t>
  </si>
  <si>
    <t>Protect, back up, heal,aid.</t>
  </si>
  <si>
    <t>hired mercenary, short term</t>
  </si>
  <si>
    <t>elite, sub-officers, minor officials/expert hireling</t>
  </si>
  <si>
    <t>exceptional, bonuses, gift items*</t>
  </si>
  <si>
    <t>just, kind, and invariable</t>
  </si>
  <si>
    <t>rumored to have tortured faithful henchmen or hirelings</t>
  </si>
  <si>
    <t>each hit die or level alive, enemy</t>
  </si>
  <si>
    <t>Blackguard</t>
  </si>
  <si>
    <t>Diviner</t>
  </si>
  <si>
    <t>VGtM 213</t>
  </si>
  <si>
    <t>slave</t>
  </si>
  <si>
    <t>guards, officers, or major officials/henchmen</t>
  </si>
  <si>
    <t>chaotic good</t>
  </si>
  <si>
    <t>discharged faithful henchmen or hirelings without cause</t>
  </si>
  <si>
    <t>each hit die or level dead, enemy</t>
  </si>
  <si>
    <t>https://www.dndbeyond.com/monsters/druid</t>
  </si>
  <si>
    <t>MM 346</t>
  </si>
  <si>
    <t>Initial Attitude</t>
  </si>
  <si>
    <t xml:space="preserve">Unfriendly </t>
  </si>
  <si>
    <t>less than 1 month</t>
  </si>
  <si>
    <t>chaotic neutral</t>
  </si>
  <si>
    <t>given a choice gift or bonus within last two months (hireling) or three months (henchman)</t>
  </si>
  <si>
    <t>each hit die or level alive, friendly</t>
  </si>
  <si>
    <t>Crossbowman</t>
  </si>
  <si>
    <t>Enchanter</t>
  </si>
  <si>
    <t>Less than 20</t>
  </si>
  <si>
    <t>less than 1 year</t>
  </si>
  <si>
    <t>neutral evil</t>
  </si>
  <si>
    <t>risked life for within last six months (hireling) or one year (henchman)</t>
  </si>
  <si>
    <t>each henchman present, in sight, alive</t>
  </si>
  <si>
    <t>Elite thug</t>
  </si>
  <si>
    <t>Evoker</t>
  </si>
  <si>
    <t>VGtM 214</t>
  </si>
  <si>
    <t>Less than 5</t>
  </si>
  <si>
    <t>1 to 5 years</t>
  </si>
  <si>
    <t>chaotic evil</t>
  </si>
  <si>
    <t>ransomed or rescued within one year</t>
  </si>
  <si>
    <t>liege present, in sight, alive</t>
  </si>
  <si>
    <t>Elite veteran</t>
  </si>
  <si>
    <t>Illusionist</t>
  </si>
  <si>
    <t>Less than 1</t>
  </si>
  <si>
    <t>more than 5 years</t>
  </si>
  <si>
    <t>saved life directly or personally</t>
  </si>
  <si>
    <t>Elvish veteran archer</t>
  </si>
  <si>
    <t>MM 347</t>
  </si>
  <si>
    <t>uses and diminishes his or her own magic to benefit the NPC (including use of spells, especially cures).</t>
  </si>
  <si>
    <t>Field medic</t>
  </si>
  <si>
    <t>Necromancer</t>
  </si>
  <si>
    <t>VGtM 217</t>
  </si>
  <si>
    <t>returned henchman or hireling to normal state from death-like state, had raised or resurrected</t>
  </si>
  <si>
    <t>https://www.dndbeyond.com/monsters/priest</t>
  </si>
  <si>
    <t>MM 348</t>
  </si>
  <si>
    <t>Adjusted Loyalty Score</t>
  </si>
  <si>
    <t>Loyalty</t>
  </si>
  <si>
    <t>Behavior of henchmen or hireling</t>
  </si>
  <si>
    <t>chainshirt, shield, short sword, spear, light crossbow, bolt case, 20 bolts, traveler clothes, bedroll, mess kit, backpack, waterskin x2</t>
  </si>
  <si>
    <t>https://www.dndbeyond.com/monsters/guard</t>
  </si>
  <si>
    <t>Transmuter</t>
  </si>
  <si>
    <t>Less than 01</t>
  </si>
  <si>
    <t xml:space="preserve"> will attempt to kill, capture, harm, or desert at first possible opportunity</t>
  </si>
  <si>
    <t>Heavy cavalry</t>
  </si>
  <si>
    <t>Heavy warhorse with chainmail barding</t>
  </si>
  <si>
    <t>Uthgardt Shaman</t>
  </si>
  <si>
    <t>https://www.dndbeyond.com/monsters/uthgardt-shaman</t>
  </si>
  <si>
    <t>&lt;5</t>
  </si>
  <si>
    <t>Disloyal</t>
  </si>
  <si>
    <t xml:space="preserve"> will always seek own advantage regardless of circumstances</t>
  </si>
  <si>
    <t>Heavy infantry</t>
  </si>
  <si>
    <t>War priest</t>
  </si>
  <si>
    <t>5-10</t>
  </si>
  <si>
    <t>Little</t>
  </si>
  <si>
    <t xml:space="preserve"> will seek own advantage at first sign of weakness</t>
  </si>
  <si>
    <t>https://www.dndbeyond.com/monsters/knight</t>
  </si>
  <si>
    <t>Warlock, archfey</t>
  </si>
  <si>
    <t>VGtM 219</t>
  </si>
  <si>
    <t>Fair</t>
  </si>
  <si>
    <t xml:space="preserve"> will support cause if no great risk is involved</t>
  </si>
  <si>
    <t>Light cavalry</t>
  </si>
  <si>
    <t>Light warhorse,</t>
  </si>
  <si>
    <t>Warlock, fiend</t>
  </si>
  <si>
    <t>15-20</t>
  </si>
  <si>
    <t>Loyal</t>
  </si>
  <si>
    <t>will always attempt to further the ends of the liege, even at great risk</t>
  </si>
  <si>
    <t>Light infantry</t>
  </si>
  <si>
    <t>Warlock, great old one</t>
  </si>
  <si>
    <t>VGtM 220</t>
  </si>
  <si>
    <t>&gt;20</t>
  </si>
  <si>
    <t>Fanatical</t>
  </si>
  <si>
    <t xml:space="preserve"> will serve unquestioningly and lay down own life if necessary without hesitation</t>
  </si>
  <si>
    <t>Martial arts adept</t>
  </si>
  <si>
    <t>VGtM 216</t>
  </si>
  <si>
    <t>Master Thief</t>
  </si>
  <si>
    <t>night blade</t>
  </si>
  <si>
    <t>https://www.dndbeyond.com/monsters/master-thief</t>
  </si>
  <si>
    <t>Medium cavalry</t>
  </si>
  <si>
    <t>Goblins, Unorganized Folk</t>
  </si>
  <si>
    <t>Mounted archer</t>
  </si>
  <si>
    <t>Peasant Militia 6 Barbarian “Horde”</t>
  </si>
  <si>
    <t>Pirate Captain</t>
  </si>
  <si>
    <t>https://www.dndbeyond.com/monsters/pirate-captain</t>
  </si>
  <si>
    <t>Men-at-arms, Viking Raiders</t>
  </si>
  <si>
    <t>leather, longbow, quiver, 40 arrows, shortsword, traveler clothes, bedroll, mess kit, backpack, waterskin x2</t>
  </si>
  <si>
    <t>https://www.dndbeyond.com/monsters/scout</t>
  </si>
  <si>
    <t>MM 349</t>
  </si>
  <si>
    <t xml:space="preserve">Mounted </t>
  </si>
  <si>
    <t>+1</t>
  </si>
  <si>
    <t>Soldier, Archer</t>
  </si>
  <si>
    <t>https://critterdb.com:443/#/creature/view/5e115c77e5d4ba45eab9aff8</t>
  </si>
  <si>
    <t>Elite</t>
  </si>
  <si>
    <t>Soldier, Infantry</t>
  </si>
  <si>
    <t>chainmail, shield, longsword, dagger, light crossbow, bolt case, 20 bolts, traveler clothes, bedroll, mess kit, backpack, waterskin x2 </t>
  </si>
  <si>
    <t>https://critterdb.com:443/#/creature/view/5e11427de5d4ba45eab9aed3</t>
  </si>
  <si>
    <t>Fanatic</t>
  </si>
  <si>
    <t>+2</t>
  </si>
  <si>
    <t>Soldier, standard</t>
  </si>
  <si>
    <t>Spearman</t>
  </si>
  <si>
    <t>https://critterdb.com:443/#/creature/view/5e95844ab60f5b2a15c91164</t>
  </si>
  <si>
    <t>https://www.dndbeyond.com/monsters/spy</t>
  </si>
  <si>
    <t>https://www.dndbeyond.com/monsters/swashbuckler</t>
  </si>
  <si>
    <t>studded leather, mace, heavy crossbow, bolt case, 20 bolts, traveler clothes, bedroll, mess kit, backpack, waterskin x2</t>
  </si>
  <si>
    <t>https://www.dndbeyond.com/monsters/thug</t>
  </si>
  <si>
    <t>MM 350</t>
  </si>
  <si>
    <t>Tribal warrior</t>
  </si>
  <si>
    <t>https://www.dndbeyond.com/monsters/veteran</t>
  </si>
  <si>
    <t>Warrior</t>
  </si>
  <si>
    <t>https://critterdb.com/#/creature/view/5e9578bcb60f5b2a15c9107b</t>
  </si>
  <si>
    <t>Warrior (Thayan warrior)</t>
  </si>
  <si>
    <t>*If paid to create a a specific item, use item prices and working times instead. Price listed is for long-term retention of services. Prices do not include materials, tools, or weapons.</t>
  </si>
  <si>
    <t>Hireling</t>
  </si>
  <si>
    <t>Per Day</t>
  </si>
  <si>
    <t>*</t>
  </si>
  <si>
    <t>Animal tender/groom</t>
  </si>
  <si>
    <t>Architect/engineer</t>
  </si>
  <si>
    <t>Barrister</t>
  </si>
  <si>
    <t>Clerk</t>
  </si>
  <si>
    <t>Cook</t>
  </si>
  <si>
    <t>Entertainer/ performer</t>
  </si>
  <si>
    <t>Laborer</t>
  </si>
  <si>
    <t>Limner</t>
  </si>
  <si>
    <t>Maid</t>
  </si>
  <si>
    <t>Mason/craftsman</t>
  </si>
  <si>
    <t>Mercenary</t>
  </si>
  <si>
    <t>Mercenary horseman</t>
  </si>
  <si>
    <t>Mercenary leader</t>
  </si>
  <si>
    <t>+3 sp per level after 2nd.</t>
  </si>
  <si>
    <t>20 lvl - 24 sp per day</t>
  </si>
  <si>
    <t>Porter</t>
  </si>
  <si>
    <t>Smith</t>
  </si>
  <si>
    <t>Teamster</t>
  </si>
  <si>
    <t>Valet/lackey</t>
  </si>
  <si>
    <t>Market Class</t>
  </si>
  <si>
    <t>Toll</t>
  </si>
  <si>
    <t>Merchants</t>
  </si>
  <si>
    <t>Loads of Merchandise</t>
  </si>
  <si>
    <t>Passengers</t>
  </si>
  <si>
    <t>Shipping Contracts</t>
  </si>
  <si>
    <t>Cargo to be Shipped</t>
  </si>
  <si>
    <t>Range of Trade (Road)</t>
  </si>
  <si>
    <t>Range of Trade (Water)</t>
  </si>
  <si>
    <t>I</t>
  </si>
  <si>
    <t>1d6+15gp</t>
  </si>
  <si>
    <t>2d6+2</t>
  </si>
  <si>
    <t>6d8 loads</t>
  </si>
  <si>
    <t>2d4+1</t>
  </si>
  <si>
    <t>168 miles (28 hexes)</t>
  </si>
  <si>
    <t>480 miles (80 hexes)</t>
  </si>
  <si>
    <t>II</t>
  </si>
  <si>
    <t>1d10+10gp</t>
  </si>
  <si>
    <t>4d6 loads</t>
  </si>
  <si>
    <t>2d4</t>
  </si>
  <si>
    <t>144 miles (24 hexes)</t>
  </si>
  <si>
    <t>360 miles (60 hexes)</t>
  </si>
  <si>
    <t>III</t>
  </si>
  <si>
    <t>1d8+5gp</t>
  </si>
  <si>
    <t>3d4 loads</t>
  </si>
  <si>
    <t>96 miles (18 hexes)</t>
  </si>
  <si>
    <t>240 miles (40 hexes)</t>
  </si>
  <si>
    <t>IV</t>
  </si>
  <si>
    <t>1d6+3gp</t>
  </si>
  <si>
    <t>2d4 loads</t>
  </si>
  <si>
    <t>1d4-1</t>
  </si>
  <si>
    <t>72 miles (12 hexes)</t>
  </si>
  <si>
    <t>120 miles (20 hexes)</t>
  </si>
  <si>
    <t>1d6gp</t>
  </si>
  <si>
    <t>1d4 loads</t>
  </si>
  <si>
    <t>1d3-1</t>
  </si>
  <si>
    <t>48 miles (8 hexes)</t>
  </si>
  <si>
    <t>96 miles (16 hexes)</t>
  </si>
  <si>
    <t>VI</t>
  </si>
  <si>
    <t>1d3gp</t>
  </si>
  <si>
    <t>1d2 loads</t>
  </si>
  <si>
    <t>1d2-1</t>
  </si>
  <si>
    <t>24 miles (4 hexes)</t>
  </si>
  <si>
    <t>ПРАВИЛА ПО ТОРГОВЛЕ</t>
  </si>
  <si>
    <t>Предложение</t>
  </si>
  <si>
    <t>Спрос отсутствует</t>
  </si>
  <si>
    <t>Спрос низкий</t>
  </si>
  <si>
    <t>Спрос базовый</t>
  </si>
  <si>
    <t>Спрос Высокий</t>
  </si>
  <si>
    <t>Спрос крайне высокий</t>
  </si>
  <si>
    <t>Отсутствует</t>
  </si>
  <si>
    <t>Низкая</t>
  </si>
  <si>
    <t>Базовая</t>
  </si>
  <si>
    <t>Высокая</t>
  </si>
  <si>
    <t>Крайне высокая</t>
  </si>
  <si>
    <t>Спрос</t>
  </si>
  <si>
    <t>Поселок</t>
  </si>
  <si>
    <t>Деревня</t>
  </si>
  <si>
    <t>Небольшой город</t>
  </si>
  <si>
    <t>Город</t>
  </si>
  <si>
    <t>Мегаполис</t>
  </si>
  <si>
    <t>НАСЕЛЕНИЕ</t>
  </si>
  <si>
    <t>До 200</t>
  </si>
  <si>
    <t>До 1000</t>
  </si>
  <si>
    <t>До 5000</t>
  </si>
  <si>
    <t>До 25000</t>
  </si>
  <si>
    <t>Больше 25000</t>
  </si>
  <si>
    <t>х</t>
  </si>
  <si>
    <t>Низкий</t>
  </si>
  <si>
    <t>Базовый</t>
  </si>
  <si>
    <t>Высокий</t>
  </si>
  <si>
    <t>Крайне высокий</t>
  </si>
  <si>
    <t>к6</t>
  </si>
  <si>
    <t>Осложнение</t>
  </si>
  <si>
    <t xml:space="preserve">Low Value Goods    </t>
  </si>
  <si>
    <t>High Value Goods</t>
  </si>
  <si>
    <t>D100</t>
  </si>
  <si>
    <t>GOODS</t>
  </si>
  <si>
    <t>01-08</t>
  </si>
  <si>
    <t>Cotton/Wool/Flax</t>
  </si>
  <si>
    <t>Armor/Weapons</t>
  </si>
  <si>
    <t>Furs/Hides/Skins</t>
  </si>
  <si>
    <t>13-16</t>
  </si>
  <si>
    <t>Coffee/Tea</t>
  </si>
  <si>
    <t>19-22</t>
  </si>
  <si>
    <t>Ingots: Iron/Copper/Lead/Tin</t>
  </si>
  <si>
    <t>17-20</t>
  </si>
  <si>
    <t>Exotic Fruits</t>
  </si>
  <si>
    <t>23-26</t>
  </si>
  <si>
    <t>Lumber</t>
  </si>
  <si>
    <t>Leathers/Silks/Fabrics</t>
  </si>
  <si>
    <t>27-35</t>
  </si>
  <si>
    <t>Wine/Ale/Beer/Liquor</t>
  </si>
  <si>
    <t>31-33</t>
  </si>
  <si>
    <t>Gold/Silver/Electrum/Platinum Bars</t>
  </si>
  <si>
    <t>36-48</t>
  </si>
  <si>
    <t>Grain/Foodstuffs</t>
  </si>
  <si>
    <t>34- 37</t>
  </si>
  <si>
    <t>49-52</t>
  </si>
  <si>
    <t>Livestock/Slaves</t>
  </si>
  <si>
    <t>38-40</t>
  </si>
  <si>
    <t>Narcotics/Medicine</t>
  </si>
  <si>
    <t>53-65</t>
  </si>
  <si>
    <t>Sugar/Spices/Hemp/Jute/</t>
  </si>
  <si>
    <t>Perfumes</t>
  </si>
  <si>
    <t>Pipeweed/Herbs/Salt*</t>
  </si>
  <si>
    <t>47-48</t>
  </si>
  <si>
    <t>Ingots, Rare Metals</t>
  </si>
  <si>
    <t>66-69</t>
  </si>
  <si>
    <t>Dressed Stone</t>
  </si>
  <si>
    <t>49-50</t>
  </si>
  <si>
    <t>Rare Woods</t>
  </si>
  <si>
    <t>70-73</t>
  </si>
  <si>
    <t>Cloth/Fabric*</t>
  </si>
  <si>
    <t>51-63</t>
  </si>
  <si>
    <t>Religious Artifacts</t>
  </si>
  <si>
    <t>74-79</t>
  </si>
  <si>
    <t>Leather Goods</t>
  </si>
  <si>
    <t>64-85</t>
  </si>
  <si>
    <t>Scrolls/Books</t>
  </si>
  <si>
    <t>80-87</t>
  </si>
  <si>
    <t>Pewter/Bronze/Copperware/</t>
  </si>
  <si>
    <t>86-90</t>
  </si>
  <si>
    <t>Ingots: Electrum/Silver/Gold/ Platinum</t>
  </si>
  <si>
    <t>Ceramics</t>
  </si>
  <si>
    <t>91-98</t>
  </si>
  <si>
    <t>Laboratory Items</t>
  </si>
  <si>
    <t>88-95</t>
  </si>
  <si>
    <t>Wooden Items</t>
  </si>
  <si>
    <t>99-00</t>
  </si>
  <si>
    <t>Magical Components</t>
  </si>
  <si>
    <t>TRADING STATUS</t>
  </si>
  <si>
    <t>AVAILABILITY</t>
  </si>
  <si>
    <t>COST REGULATION</t>
  </si>
  <si>
    <t>Переизбыток</t>
  </si>
  <si>
    <t>Всегда</t>
  </si>
  <si>
    <t>область производит этот товар круглый год или очень часто, и вероятно экспортирует его в другие области.</t>
  </si>
  <si>
    <t>Излишек</t>
  </si>
  <si>
    <t>область производит этот товар сезонно или около главного источника производства. Торговцы часто покупают товар здесь и транспортируют его к областям более высокого требования.</t>
  </si>
  <si>
    <t>Обычно</t>
  </si>
  <si>
    <t>Обычная</t>
  </si>
  <si>
    <t>0%-10%</t>
  </si>
  <si>
    <t>Цены как в РИ. Товар вероятно производится и потребляется в данной области.</t>
  </si>
  <si>
    <t>Зависит от поставки</t>
  </si>
  <si>
    <t>Обычно всегда</t>
  </si>
  <si>
    <t>область производит товар, но мало. Торговцы транспортируют товар из соседних областей, чтобы продавать здесь.</t>
  </si>
  <si>
    <t>Разыскиваемый</t>
  </si>
  <si>
    <t>товар или не производится в местном масштабе, или в нём очень большая потребность. Торговцы мчатся, чтобы привезти товар в акую области.</t>
  </si>
  <si>
    <t>Популярный</t>
  </si>
  <si>
    <t>Иногда</t>
  </si>
  <si>
    <t>на товар в настоящее время очень большой спрос. Торговцы с большими поставками товара становятся очень богатыми.</t>
  </si>
  <si>
    <t>Требуется</t>
  </si>
  <si>
    <t>товар находится в большом дефиците, и даже богатые не могут иметь его в достатке. Большие города испытывают это условие чаще всего к еде из-за экологических опасностей. Торговцы путешествуют на большие расстояния, чтобы привезти товар в нужную область.</t>
  </si>
  <si>
    <t>Дефицит</t>
  </si>
  <si>
    <t>Чёрный рынок</t>
  </si>
  <si>
    <t xml:space="preserve"> Пища во время голода, медицинские препараты во времена эпидемий, оружие во время войны. Есть большая потребность и нет никаких поставок – те, кто имеет доступ к даже маленькому количеству товара может назначать свою цену, если только смогут защитить товар от тех, кому он нужен. Это условие возникает чаще всего, когда правительство полностью захватывает один тип товара. Для того, чтобы возникла такая ситуация, торговцы должны быть неспособны доставить товар в область. Поступление товара в область осуществляется посредством контрабандистов или людей с мощной магической поддержкой.</t>
  </si>
  <si>
    <t>CARAVANS OF SETTLEMENTS VARIOUS SIZES</t>
  </si>
  <si>
    <t>SETTLEMENT SIZE</t>
  </si>
  <si>
    <t>POPULATION LOW</t>
  </si>
  <si>
    <t>POPULATION HIGH</t>
  </si>
  <si>
    <t>GP LIMIT</t>
  </si>
  <si>
    <t>MERCHANT WEALTH</t>
  </si>
  <si>
    <t>CARAVAN WEALTH</t>
  </si>
  <si>
    <t>DC</t>
  </si>
  <si>
    <t>CARAVANGUARDS</t>
  </si>
  <si>
    <t>Thorpe</t>
  </si>
  <si>
    <t>Guards x2</t>
  </si>
  <si>
    <t>Hamlet</t>
  </si>
  <si>
    <t>Small town</t>
  </si>
  <si>
    <t>Guards x3, Soldier x1</t>
  </si>
  <si>
    <t>Large town</t>
  </si>
  <si>
    <t>Guards x9, Soldier x1, Veteran x1</t>
  </si>
  <si>
    <t>Small city</t>
  </si>
  <si>
    <t>Veteran x2, Soldier x4, Guards x12</t>
  </si>
  <si>
    <t>Large city</t>
  </si>
  <si>
    <t>Knight, Veteran x2, Priest x2, Soldier x10, Guards x12</t>
  </si>
  <si>
    <t>Metropolis</t>
  </si>
  <si>
    <t>Knight, Veteran x4, Priest x4, Soldier x14, Guards x24</t>
  </si>
  <si>
    <t>Market and Merchants</t>
  </si>
  <si>
    <t>Ship/Caravan</t>
  </si>
  <si>
    <t>Upfront Cost</t>
  </si>
  <si>
    <t>Ship Crew / Caravaneers</t>
  </si>
  <si>
    <t>Average Cargo Weight Carried</t>
  </si>
  <si>
    <t>Average Cargo Value Carried (Treasure Type)</t>
  </si>
  <si>
    <t>Average Monthly Costs</t>
  </si>
  <si>
    <t>Average Monthly Profits</t>
  </si>
  <si>
    <t>Small sailing ship</t>
  </si>
  <si>
    <t>10 sailors, 1 navigator, 1 captain</t>
  </si>
  <si>
    <t>10000 stone</t>
  </si>
  <si>
    <t>20000 (Q)</t>
  </si>
  <si>
    <t>Large sailing ship</t>
  </si>
  <si>
    <t>17 sailors, 2 navigators, 1 captain</t>
  </si>
  <si>
    <t>30000 stone</t>
  </si>
  <si>
    <t>64000 (R+Q)</t>
  </si>
  <si>
    <t>10 wagons</t>
  </si>
  <si>
    <t>20 guards, 2 sergeants, 1 leader</t>
  </si>
  <si>
    <t>6400 stone</t>
  </si>
  <si>
    <t>15000 (N+L)</t>
  </si>
  <si>
    <t>20 wagons</t>
  </si>
  <si>
    <t>40 guards, 4 sergeants, 1 leader</t>
  </si>
  <si>
    <t>12800 stone</t>
  </si>
  <si>
    <t>25000 (Q+H)</t>
  </si>
  <si>
    <t>30 wagons</t>
  </si>
  <si>
    <t>60 guards, 6 sergeants, 1 leader</t>
  </si>
  <si>
    <t>19200 stone</t>
  </si>
  <si>
    <t>40000 (Q+P)</t>
  </si>
  <si>
    <t>40 wagons</t>
  </si>
  <si>
    <t>80 guards, 8 sergeants, 1 leader</t>
  </si>
  <si>
    <t>25600 stone</t>
  </si>
  <si>
    <t>55000 (R+N)</t>
  </si>
  <si>
    <t>Common Merchandise</t>
  </si>
  <si>
    <t>Merchandise</t>
  </si>
  <si>
    <t>1 Load</t>
  </si>
  <si>
    <t>Enc. per Load (stone)</t>
  </si>
  <si>
    <t>Base Price</t>
  </si>
  <si>
    <t>01-04</t>
  </si>
  <si>
    <t>Grain, vegetables</t>
  </si>
  <si>
    <t>20 bags</t>
  </si>
  <si>
    <t>05-08</t>
  </si>
  <si>
    <t>Fish, preserved</t>
  </si>
  <si>
    <t>10 barrels</t>
  </si>
  <si>
    <t>09-12</t>
  </si>
  <si>
    <t>Wood, common</t>
  </si>
  <si>
    <t>1 cord of logs</t>
  </si>
  <si>
    <t>Animals</t>
  </si>
  <si>
    <t>(Roll 1d6 on Animals)</t>
  </si>
  <si>
    <t>By Animal</t>
  </si>
  <si>
    <t>Salt</t>
  </si>
  <si>
    <t>150 bricks</t>
  </si>
  <si>
    <t>21-25</t>
  </si>
  <si>
    <t>Beer, ale</t>
  </si>
  <si>
    <t>26-30</t>
  </si>
  <si>
    <t>Oil, lamp</t>
  </si>
  <si>
    <t>5 jars</t>
  </si>
  <si>
    <t>31-35</t>
  </si>
  <si>
    <t>Textiles</t>
  </si>
  <si>
    <t>4 bags</t>
  </si>
  <si>
    <t>36-39</t>
  </si>
  <si>
    <t>Hides, furs</t>
  </si>
  <si>
    <t>10 bundles</t>
  </si>
  <si>
    <t>150</t>
  </si>
  <si>
    <t>40-43</t>
  </si>
  <si>
    <t>Tea or coffee</t>
  </si>
  <si>
    <t>2 bags</t>
  </si>
  <si>
    <t>44-47</t>
  </si>
  <si>
    <t>Metals, common</t>
  </si>
  <si>
    <t>200 ingots</t>
  </si>
  <si>
    <t>200</t>
  </si>
  <si>
    <t>48-51</t>
  </si>
  <si>
    <t>Meats, preserved</t>
  </si>
  <si>
    <t>52-54</t>
  </si>
  <si>
    <t>Cloth</t>
  </si>
  <si>
    <t>20 rolls</t>
  </si>
  <si>
    <t>55-60</t>
  </si>
  <si>
    <t>Wine, spirits</t>
  </si>
  <si>
    <t>1 barrel</t>
  </si>
  <si>
    <t>61-63</t>
  </si>
  <si>
    <t>Pottery</t>
  </si>
  <si>
    <t>2 crates</t>
  </si>
  <si>
    <t>64-68</t>
  </si>
  <si>
    <t>1 crate</t>
  </si>
  <si>
    <t>69-73</t>
  </si>
  <si>
    <t>Armor, weapons</t>
  </si>
  <si>
    <t>225</t>
  </si>
  <si>
    <t>74-75</t>
  </si>
  <si>
    <t>Dye &amp; pigments</t>
  </si>
  <si>
    <t>250</t>
  </si>
  <si>
    <t>76-80</t>
  </si>
  <si>
    <t>Glassware</t>
  </si>
  <si>
    <t>400</t>
  </si>
  <si>
    <t>81-85</t>
  </si>
  <si>
    <t>Mounts</t>
  </si>
  <si>
    <t>(Roll 1d4+4 on Animals)</t>
  </si>
  <si>
    <t>86-100</t>
  </si>
  <si>
    <t>Roll on Precious Merchandise</t>
  </si>
  <si>
    <t>Precious Merchandise</t>
  </si>
  <si>
    <t>01-10</t>
  </si>
  <si>
    <t>Monster parts*</t>
  </si>
  <si>
    <t>300</t>
  </si>
  <si>
    <t>11-25</t>
  </si>
  <si>
    <t>Wood, rare</t>
  </si>
  <si>
    <t>1 cord</t>
  </si>
  <si>
    <t>500</t>
  </si>
  <si>
    <t>26-35</t>
  </si>
  <si>
    <t>Furs, rare</t>
  </si>
  <si>
    <t>1 bundle</t>
  </si>
  <si>
    <t>36-45</t>
  </si>
  <si>
    <t>Metals, precious</t>
  </si>
  <si>
    <t>2 ingots</t>
  </si>
  <si>
    <t>600</t>
  </si>
  <si>
    <t>46-60</t>
  </si>
  <si>
    <t>1 tusk</t>
  </si>
  <si>
    <t>800</t>
  </si>
  <si>
    <t>61-65</t>
  </si>
  <si>
    <t>1 jar</t>
  </si>
  <si>
    <t>66-70</t>
  </si>
  <si>
    <t>Porcelain, fine</t>
  </si>
  <si>
    <t>1000</t>
  </si>
  <si>
    <t>71-75</t>
  </si>
  <si>
    <t>Books, rare</t>
  </si>
  <si>
    <t>1 box</t>
  </si>
  <si>
    <t>76-90</t>
  </si>
  <si>
    <t>Silk</t>
  </si>
  <si>
    <t>5 rolls</t>
  </si>
  <si>
    <t>2000</t>
  </si>
  <si>
    <t>91-95</t>
  </si>
  <si>
    <t>Semiprecious stones</t>
  </si>
  <si>
    <t>96-100</t>
  </si>
  <si>
    <t>Gems</t>
  </si>
  <si>
    <t>3000</t>
  </si>
  <si>
    <t>Animal</t>
  </si>
  <si>
    <t>Encumbrance per Animal, stone</t>
  </si>
  <si>
    <t>Animals per Load</t>
  </si>
  <si>
    <t>Fodder Cost per Load (10 stone)</t>
  </si>
  <si>
    <t>Price per Load</t>
  </si>
  <si>
    <t>Rabbit, hen</t>
  </si>
  <si>
    <t>1/2</t>
  </si>
  <si>
    <t>200 (100 stone)</t>
  </si>
  <si>
    <t>5gp/wk</t>
  </si>
  <si>
    <t>Sheep</t>
  </si>
  <si>
    <t>30 (180 stone)</t>
  </si>
  <si>
    <t>Pig, goat</t>
  </si>
  <si>
    <t>20 (240 stone)</t>
  </si>
  <si>
    <t>Cattle</t>
  </si>
  <si>
    <t>5 (250 stone)</t>
  </si>
  <si>
    <t>5-6</t>
  </si>
  <si>
    <t>Horse, yak</t>
  </si>
  <si>
    <t>2 (300 stone)</t>
  </si>
  <si>
    <t>2 (400 stone)</t>
  </si>
  <si>
    <t>7gp/wk</t>
  </si>
  <si>
    <t>1 (1,000 stone)</t>
  </si>
  <si>
    <t>20gp/wk</t>
  </si>
  <si>
    <t>1500</t>
  </si>
  <si>
    <t>ЗАЧАРОВАНИЕ ПРЕДМЕТОВ</t>
  </si>
  <si>
    <t>№</t>
  </si>
  <si>
    <t>Этап</t>
  </si>
  <si>
    <t>Заклинание</t>
  </si>
  <si>
    <t>Начало</t>
  </si>
  <si>
    <t>Подготовка фокальных камней</t>
  </si>
  <si>
    <t>Зачарование фокальных камней</t>
  </si>
  <si>
    <t>dweomerflow</t>
  </si>
  <si>
    <t>Увеличение длительности хранения заклинаний в фокальных камнях</t>
  </si>
  <si>
    <t>abeyance</t>
  </si>
  <si>
    <t>Создание материальной формы</t>
  </si>
  <si>
    <t>Если материальная составляющая несет предыдущий двеомер, то она должна быть очищена</t>
  </si>
  <si>
    <t>Azundel's purification</t>
  </si>
  <si>
    <t>Все остальные материальные субстанции также должны быть очищены</t>
  </si>
  <si>
    <t>Obar's lesser purification</t>
  </si>
  <si>
    <t>Чтобы предмет был в целом одинаково прочный, слабые части зачаровываются</t>
  </si>
  <si>
    <t>органические составляющие - Nulathoe's ninemen
неорганические Veladar's vambrace</t>
  </si>
  <si>
    <t>Составные элементы зачаровываются на неразъемное соединение</t>
  </si>
  <si>
    <t>Merald's meld</t>
  </si>
  <si>
    <t xml:space="preserve">Закрепляется соединение </t>
  </si>
  <si>
    <t>Crown Meld</t>
  </si>
  <si>
    <t>Enstarment</t>
  </si>
  <si>
    <t>Рисование схемы на неорганической поверхности</t>
  </si>
  <si>
    <t>Соединение схемы с фокальными камнями</t>
  </si>
  <si>
    <t>Если предмет связан с лечением или некромантей</t>
  </si>
  <si>
    <t>Применить соответсвующее покрытие</t>
  </si>
  <si>
    <t>Завершение подготовки материальной формы</t>
  </si>
  <si>
    <t>Eternal flame + wondrous web / holy vesting</t>
  </si>
  <si>
    <t>Mastering</t>
  </si>
  <si>
    <t>Присвоение истинного имени</t>
  </si>
  <si>
    <t>Указание способов активации с помощью слов активации</t>
  </si>
  <si>
    <t>Слова активации</t>
  </si>
  <si>
    <t>Awakening</t>
  </si>
  <si>
    <t>Пробуждение предмета</t>
  </si>
  <si>
    <t>awakening</t>
  </si>
  <si>
    <t>Veiling</t>
  </si>
  <si>
    <t>permanency</t>
  </si>
  <si>
    <t>Написание свитков</t>
  </si>
  <si>
    <t>Spell Level</t>
  </si>
  <si>
    <t>Time</t>
  </si>
  <si>
    <t>SPECIAL COMPONENTS</t>
  </si>
  <si>
    <r>
      <t>Base duration of 1 workweek</t>
    </r>
    <r>
      <rPr>
        <sz val="10.5"/>
        <color theme="1"/>
        <rFont val="Lato"/>
        <family val="2"/>
        <charset val="204"/>
        <scheme val="minor"/>
      </rPr>
      <t xml:space="preserve"> = 5 days.</t>
    </r>
  </si>
  <si>
    <r>
      <t>1 tenday</t>
    </r>
    <r>
      <rPr>
        <sz val="10.5"/>
        <color theme="1"/>
        <rFont val="Lato"/>
        <family val="2"/>
        <charset val="204"/>
        <scheme val="minor"/>
      </rPr>
      <t xml:space="preserve"> = 2 workweeks</t>
    </r>
  </si>
  <si>
    <t>1st</t>
  </si>
  <si>
    <t>2nd</t>
  </si>
  <si>
    <t>3rd</t>
  </si>
  <si>
    <t>4th</t>
  </si>
  <si>
    <t>5th</t>
  </si>
  <si>
    <t>6th</t>
  </si>
  <si>
    <t>7th</t>
  </si>
  <si>
    <t>8th</t>
  </si>
  <si>
    <t>9th</t>
  </si>
  <si>
    <t>Magic research</t>
  </si>
  <si>
    <t>RULES FOR CREATING MAGIC ITEMS AND MAGIC RESEARCHES V02.docx</t>
  </si>
  <si>
    <t>TASK</t>
  </si>
  <si>
    <t>TIME, PER SL</t>
  </si>
  <si>
    <t>Research existing spell</t>
  </si>
  <si>
    <t>15+SL\</t>
  </si>
  <si>
    <t>Research new</t>
  </si>
  <si>
    <t>20+SL</t>
  </si>
  <si>
    <t>IF FORMULA EXIST</t>
  </si>
  <si>
    <t>X0,5</t>
  </si>
  <si>
    <t>PER 0.5 SL</t>
  </si>
  <si>
    <t>Library</t>
  </si>
  <si>
    <t>Minimal value of single book</t>
  </si>
  <si>
    <t>For each subsequent SL</t>
  </si>
  <si>
    <t>SPELL LEVEL</t>
  </si>
  <si>
    <t>MINIMAL LIBRARY COST</t>
  </si>
  <si>
    <t>RESEARCH COST</t>
  </si>
  <si>
    <t>TIME</t>
  </si>
  <si>
    <t>SL</t>
  </si>
  <si>
    <t>total library cost</t>
  </si>
  <si>
    <t>WORKSHOP</t>
  </si>
  <si>
    <t>BASE COST</t>
  </si>
  <si>
    <t>FOR EACH SUBSEQUENT SL</t>
  </si>
  <si>
    <t>BONUS +1 PER ADDITIONAL COST</t>
  </si>
  <si>
    <t xml:space="preserve">MAX BONUS </t>
  </si>
  <si>
    <t>Item Rarity</t>
  </si>
  <si>
    <t>Creation Cost</t>
  </si>
  <si>
    <t>Minimum Level</t>
  </si>
  <si>
    <t>Bonus for cost, +1 per</t>
  </si>
  <si>
    <t>Very rare</t>
  </si>
  <si>
    <t>Item Type</t>
  </si>
  <si>
    <t>Base Cost</t>
  </si>
  <si>
    <t>One Use Effect</t>
  </si>
  <si>
    <t>500gp x spell level</t>
  </si>
  <si>
    <t>1 work week x spell level</t>
  </si>
  <si>
    <t>Charged Effect</t>
  </si>
  <si>
    <t>500gp x spell level x charges*</t>
  </si>
  <si>
    <t>2 days x spell level x charges</t>
  </si>
  <si>
    <t>Permanent Effect, Unlimited Use</t>
  </si>
  <si>
    <t>500gp x spell level x 50</t>
  </si>
  <si>
    <t>100 days x spell level</t>
  </si>
  <si>
    <t>Permanent Effect, Use 1/turn</t>
  </si>
  <si>
    <t>500gp x spell level x 33</t>
  </si>
  <si>
    <t>80 days x spell level</t>
  </si>
  <si>
    <t>Permanent Effect, Use 1/3 turns</t>
  </si>
  <si>
    <t>500gp x spell level x 25</t>
  </si>
  <si>
    <t>70 days x spell level</t>
  </si>
  <si>
    <t>Permanent Effect, Use 1/hour</t>
  </si>
  <si>
    <t>500gp x spell level x 16</t>
  </si>
  <si>
    <t>60 days x spell level</t>
  </si>
  <si>
    <t>Permanent Effect, Use 3/day</t>
  </si>
  <si>
    <t>500gp x spell level x 12</t>
  </si>
  <si>
    <t>50 days x spell level</t>
  </si>
  <si>
    <t>Permanent Effect, Use 1/day</t>
  </si>
  <si>
    <t>500gp x spell level x 10</t>
  </si>
  <si>
    <t>40 days x spell level</t>
  </si>
  <si>
    <t>Permanent Effect, Use 1/week</t>
  </si>
  <si>
    <t>500gp x spell level x 6</t>
  </si>
  <si>
    <t>30 days x spell level</t>
  </si>
  <si>
    <t>Magical Weapon +1</t>
  </si>
  <si>
    <t>5000gp**</t>
  </si>
  <si>
    <t>30 DAYS x weapon base cost / 10***</t>
  </si>
  <si>
    <t>MAGICAL WEAPON +1</t>
  </si>
  <si>
    <t>A Increase bonus from +1 to +2</t>
  </si>
  <si>
    <t>+10,000gp**</t>
  </si>
  <si>
    <t>MAGICAL WEAPON +2</t>
  </si>
  <si>
    <t>A Increase bonus from +2 to +3</t>
  </si>
  <si>
    <t>+20,000gp**</t>
  </si>
  <si>
    <t>MAGICAL WEAPON +3</t>
  </si>
  <si>
    <t>Magical Armor +1</t>
  </si>
  <si>
    <t>30 DAYS x Armor Class</t>
  </si>
  <si>
    <t>PLATE ARMOR +1</t>
  </si>
  <si>
    <t>+10000gp**</t>
  </si>
  <si>
    <t>+30 DAYS</t>
  </si>
  <si>
    <t>PLATE ARMOR +2</t>
  </si>
  <si>
    <t>PLATE ARMOR +3</t>
  </si>
  <si>
    <t>Possible Special Components</t>
  </si>
  <si>
    <t>Potion of Healing</t>
  </si>
  <si>
    <t>Blood of 1 troll</t>
  </si>
  <si>
    <t>Scroll of Fly</t>
  </si>
  <si>
    <t>Feathers of 3 griffons</t>
  </si>
  <si>
    <t>Wand of Fireball (20 charges)</t>
  </si>
  <si>
    <t>Fangs of 20 hellhounds</t>
  </si>
  <si>
    <t>Ring of Invisibility (1/turn)</t>
  </si>
  <si>
    <t>Ichor of 150 invisible stalkers</t>
  </si>
  <si>
    <t>Sword +1</t>
  </si>
  <si>
    <t>Skulls of 25 ogres or heroes</t>
  </si>
  <si>
    <t>Sword +2</t>
  </si>
  <si>
    <t>Skulls of 75 ogres or heroes</t>
  </si>
  <si>
    <t>Sword +1, +2 vs. spellcasters</t>
  </si>
  <si>
    <t>Skulls of 25 ogres and 25 spellcasters</t>
  </si>
  <si>
    <t>Plate Armor + 1</t>
  </si>
  <si>
    <t>Iron hides of 5 gorgons</t>
  </si>
  <si>
    <t>CRAFT</t>
  </si>
  <si>
    <t>https://drive.google.com/file/d/0B8XAiXpOfz9cMWt1RTBicmpmUDg/view</t>
  </si>
  <si>
    <t>challenge, min</t>
  </si>
  <si>
    <t>challenge, max</t>
  </si>
  <si>
    <t>19+</t>
  </si>
  <si>
    <t>Schema Creation Requirements</t>
  </si>
  <si>
    <t>Days</t>
  </si>
  <si>
    <t>Minimum Skill bonus</t>
  </si>
  <si>
    <t>Magic Item Crafting Time and Cost</t>
  </si>
  <si>
    <t>Cost*</t>
  </si>
  <si>
    <t>*Halved for a consumable item like a potion or scroll</t>
  </si>
  <si>
    <t>Complication</t>
  </si>
  <si>
    <t>A Dragonmarked House takes an interest in your work. Do they view you as a threat, or are they impressed by your techniques? Do they want to buy the item, and what will happen if you refuse?</t>
  </si>
  <si>
    <t>Rumors swirl that what you’re working on is unstable and a threat to the community.*</t>
  </si>
  <si>
    <t>A mishap creates a temporary manifest zone.</t>
  </si>
  <si>
    <t>Your tools are stolen, forcing you to buy new ones.*</t>
  </si>
  <si>
    <t>You need to acquire an additional rare component.</t>
  </si>
  <si>
    <t>A local wizard shows keen interest in your work and insists on observing you.</t>
  </si>
  <si>
    <t>The shifting balance of the planes interferes with your work; you must wait for the current planar alignment to change.</t>
  </si>
  <si>
    <t>A powerful noble offers a hefty price for your work and is not interested in hearing no for an answer.*</t>
  </si>
  <si>
    <t>Your efforts draw the attention of one of the conspiracies of Eberron—such as the Chamber, the Aurum, the Emerald Claw, or the Lords of Dust.</t>
  </si>
  <si>
    <t>A dwarf clan accuses you of stealing its secret lore to fuel your work.*</t>
  </si>
  <si>
    <t>Your item unexpectedly becomes sentient.</t>
  </si>
  <si>
    <t>A competitor spreads rumors that your work is shoddy and prone to failure.*</t>
  </si>
  <si>
    <t>TOOLS FOR CRAFT</t>
  </si>
  <si>
    <t>Items</t>
  </si>
  <si>
    <t>Antitoxin, potion of healing</t>
  </si>
  <si>
    <t>Leatherworker’s tools</t>
  </si>
  <si>
    <t>Leather armor, boots</t>
  </si>
  <si>
    <t>Smith’s tools</t>
  </si>
  <si>
    <t>Weaver’s tools</t>
  </si>
  <si>
    <t>Cloaks, robes</t>
  </si>
  <si>
    <t>POTIONS OF HEALING</t>
  </si>
  <si>
    <t>Healing</t>
  </si>
  <si>
    <t>Greater healing</t>
  </si>
  <si>
    <t>Superior healing</t>
  </si>
  <si>
    <t>Supreme healing</t>
  </si>
  <si>
    <t>RESEARCH</t>
  </si>
  <si>
    <t>Research Complications</t>
  </si>
  <si>
    <t>You accidentally damage a rare book.</t>
  </si>
  <si>
    <t>You offend a sage, who demands an extravagant gift.*</t>
  </si>
  <si>
    <t>If you had known that book was cursed, you never would have opened it.</t>
  </si>
  <si>
    <t>A sage becomes obsessed with convincing you of a number of strange theories about reality.*</t>
  </si>
  <si>
    <t>Your actions cause you to be banned from a library until you make reparations.*</t>
  </si>
  <si>
    <t>You uncovered useful lore, but only by promising to complete a dangerous task in return.</t>
  </si>
  <si>
    <t>*Might involve a rival</t>
  </si>
  <si>
    <t>Ы</t>
  </si>
  <si>
    <t>Spell Scroll Costs</t>
  </si>
  <si>
    <t>RARITY</t>
  </si>
  <si>
    <t>UC</t>
  </si>
  <si>
    <t>VR</t>
  </si>
  <si>
    <t>Scribe a Scroll Complications</t>
  </si>
  <si>
    <t>You bought up the last of the rare ink used to craft scrolls, angering a wizard in town.</t>
  </si>
  <si>
    <t>The priest of a temple of good accuses you of trafficking in dark magic.*</t>
  </si>
  <si>
    <t>A wizard eager to collect one of your spells in a book presses you to sell the scroll.</t>
  </si>
  <si>
    <t>Due to a strange error in creating the scroll, it is instead a random spell of the same level.</t>
  </si>
  <si>
    <t>The rare parchment you bought for your scroll has a barely visible map on it.</t>
  </si>
  <si>
    <t>A thief attempts to break into your workroom.*</t>
  </si>
  <si>
    <t>DESIGNING AND BUILDING A CONSTRUCT</t>
  </si>
  <si>
    <t>COST, PER CHALLENGE</t>
  </si>
  <si>
    <t>COST, PER TRAIT</t>
  </si>
  <si>
    <t>5000 X PROFICIENCY BONUS</t>
  </si>
  <si>
    <t>MAX CHALLENGE</t>
  </si>
  <si>
    <t>2 X MAX SPELLCASTER'S LEVEL</t>
  </si>
  <si>
    <t>TIME, PER HD</t>
  </si>
  <si>
    <t>15+PROFICIENCY BONUS OF CONSTRUCT</t>
  </si>
  <si>
    <t>WORKSHOP COST</t>
  </si>
  <si>
    <t>VALUE OF CONSTRUCT</t>
  </si>
  <si>
    <t>BONUS +1 PER ADDITIIONAL</t>
  </si>
  <si>
    <t>ANGRYGM MAGIC ITEMS</t>
  </si>
  <si>
    <t>MATERIAL COST, GP</t>
  </si>
  <si>
    <t>LABOR COST, GP</t>
  </si>
  <si>
    <t>MIN</t>
  </si>
  <si>
    <t>MAX</t>
  </si>
  <si>
    <t>BASE PRICE</t>
  </si>
  <si>
    <t>BASE COMISSION PRICE</t>
  </si>
  <si>
    <t>MINOR</t>
  </si>
  <si>
    <t>MAJOR</t>
  </si>
  <si>
    <t>Uncommon 150 gp – 500 gp</t>
  </si>
  <si>
    <t>SINGLE</t>
  </si>
  <si>
    <t>Rare 1,500 gp – 5,000 gp</t>
  </si>
  <si>
    <t>minor</t>
  </si>
  <si>
    <t>LIMITED</t>
  </si>
  <si>
    <t>Very Rare 15,000 gp – 50,000 gp</t>
  </si>
  <si>
    <t>major</t>
  </si>
  <si>
    <t>CHARGED</t>
  </si>
  <si>
    <t>Legendary 150,000 gp – 500,000 gp</t>
  </si>
  <si>
    <t>attunement</t>
  </si>
  <si>
    <t>PERMANENT</t>
  </si>
  <si>
    <t>FORMULAE</t>
  </si>
  <si>
    <t>XXX RARITY1 MATERIALS (YYY RARITY2 MATERIAL1)</t>
  </si>
  <si>
    <t>8 Very Rare Materials (6 Very Rare Metals)</t>
  </si>
  <si>
    <t>must have a minimum of 8 units of very rare materials and at least 6 of those materials must be very rare metals</t>
  </si>
  <si>
    <t>XXX2 RARITY2 MATERIALS2</t>
  </si>
  <si>
    <t>4 Cold Materials</t>
  </si>
  <si>
    <t>needs to supply 4 materials with the cold quality</t>
  </si>
  <si>
    <t>cursed</t>
  </si>
  <si>
    <t>CANNOT USE: RARITY, TYPE</t>
  </si>
  <si>
    <t>min price</t>
  </si>
  <si>
    <t>max price</t>
  </si>
  <si>
    <t>ITEM QUALITY</t>
  </si>
  <si>
    <t>Acidic</t>
  </si>
  <si>
    <t>Acidic. Associated with acid damage, evocation spells that deal acid damage, conjuring acid, acid resistance, rusting, and corrosion.</t>
  </si>
  <si>
    <t>Chaotic</t>
  </si>
  <si>
    <t>Chaotic (Wild Magic). Associated with wild magic, randomness, unpredictability, and be used as a substitute for other qualities.</t>
  </si>
  <si>
    <t>Cold. Associated with cold damage, evocation spells that deal cold damage, conjuring ice, and cold resistance.</t>
  </si>
  <si>
    <t>Dimensional</t>
  </si>
  <si>
    <t>Dimensional (Planar, Extraplanar). Associated with teleportation, portals, conjuration magic, summoning, bigger-on-the-inside spaces, and pocket dimensions.</t>
  </si>
  <si>
    <t>Fiendish</t>
  </si>
  <si>
    <t>Fiendish. Associated with fiends, the lower planes, evil effects, and the warlock fiend pact.</t>
  </si>
  <si>
    <t>Fiery</t>
  </si>
  <si>
    <t>Fiery. Associated with fire damage, evocation spells that deal fire damage, conjuring fire, fire resistance, the element of fire, and fire elemental creatures.</t>
  </si>
  <si>
    <t>Forceful</t>
  </si>
  <si>
    <t>Forceful. Associated with force damage, evocation spells that deal force damage, force resistance, force fields, many abjuration spells that ward or hedge, pushing or shoving, and the Strength ability.</t>
  </si>
  <si>
    <t>Inert</t>
  </si>
  <si>
    <t>Inert (Antimagic). Associated with magic resistance, antimagic, magic deflection, the element of earth, earth elemental creatures, and giants. Also associated with resilience and immovability.</t>
  </si>
  <si>
    <t>Lightning. Associated with lightning damage, evocation spells that deal lightning damage, and lightning resistance.</t>
  </si>
  <si>
    <t>Mercurial</t>
  </si>
  <si>
    <t>Mercurial. Associated with transmutation magic, shapeshifting, fluidity, the element of water, and the Dexterity ability.</t>
  </si>
  <si>
    <t>Necrotic. Associated with necromancy magic, necrotic damage, necrotic resistance, and animating or summoning undead creatures.</t>
  </si>
  <si>
    <t>Phantasmal</t>
  </si>
  <si>
    <t>Phantasmal (Fey, Glamered). Associated with illusion magic, senses, awareness, perception, music, the fey, the Feywild, the Wisdom ability, and the warlock archfey pact.</t>
  </si>
  <si>
    <t>Poisonous</t>
  </si>
  <si>
    <t>Poisonous. Associated with poison damage, evocation spells that deal poison damage, poison resistance, conjuring poison, inflicting the poison condition, or protecting from and neutralizing poison.</t>
  </si>
  <si>
    <t>Pyschic. Associated with psychic damage, enchantment magic, spells that deal psychic damage, mind reading, mind shielding, and the Charisma ability.</t>
  </si>
  <si>
    <t>Radiant. Associated with radiant damage, evocation spells that deal radiant damage, light, celestials and upper-planar creatures, the gods, divine blessings, and good.</t>
  </si>
  <si>
    <t>Theurgic</t>
  </si>
  <si>
    <t>Theurgic (Metamagic). Associated with the rules of magic, spell slots, magical storage, divination, knowledge, and the Intelligence ability. Associated with construct creatures and permanent animated objects. Required for any item that has charges and can recharge itself.</t>
  </si>
  <si>
    <t>Thundering</t>
  </si>
  <si>
    <t>Thundering. Associated with thunder damage, evocation spells that deal thunder damage, thunder resistance, and loud noises or explosive sound.</t>
  </si>
  <si>
    <t>Vital</t>
  </si>
  <si>
    <t>Vital (Quickened, Living, Life-Giving). Associated with healing, regeneration, purification, treatment of disease, longevity, and the Constitution ability.</t>
  </si>
  <si>
    <t>Void</t>
  </si>
  <si>
    <t>Void. Darkness, destruction, madness, nonexistence, aberrant creatures, and the warlock Great Old One pact.</t>
  </si>
  <si>
    <t>Zephyrous</t>
  </si>
  <si>
    <t>Zephyrous (Windy, Airy). Associated with wind, elemental air, air elemental creatures, flight, breathing, and objects that can float or hover under their own power.</t>
  </si>
  <si>
    <t>SANE MAGIC ITEM PRICES</t>
  </si>
  <si>
    <t>Item</t>
  </si>
  <si>
    <t>Price (gp)</t>
  </si>
  <si>
    <t>Items that Won't be priced</t>
  </si>
  <si>
    <t>+1 Armor</t>
  </si>
  <si>
    <t>Candle of Invocation: Because we've learned a thing or two from 3.5</t>
  </si>
  <si>
    <t>+1 Shield</t>
  </si>
  <si>
    <t>Deck of Many Things: Because lolrandom</t>
  </si>
  <si>
    <t>+1 Weapon</t>
  </si>
  <si>
    <t>Efreeti Bottle: Because Wishes</t>
  </si>
  <si>
    <t>+2 Armor</t>
  </si>
  <si>
    <t>Iron flask: Because Wishes</t>
  </si>
  <si>
    <t>+2 Shield</t>
  </si>
  <si>
    <t>Ring of Three Wishes: Because Wishes</t>
  </si>
  <si>
    <t>+2 Weapon</t>
  </si>
  <si>
    <t>Luck Blade: Because Wishes</t>
  </si>
  <si>
    <t>+3 Armor</t>
  </si>
  <si>
    <t>Well of Many Worlds: Because if the GM wants you to have a TARDIS you'll have one and if they don't you won't</t>
  </si>
  <si>
    <t>+3 Shield</t>
  </si>
  <si>
    <t>Wand of Wonder: Because lolrandom</t>
  </si>
  <si>
    <t>+3 Weapon</t>
  </si>
  <si>
    <t>Ring of Djinni Summoning: It's pretty much everything from the gamechanging list in a single item. I can't see anyone selling these.</t>
  </si>
  <si>
    <t>Bag of Tricks: Creating permanent living creatures does absolutley silly things to the economy.</t>
  </si>
  <si>
    <t>Tome of the Stilled Tongue: No wizard would ever sell this.</t>
  </si>
  <si>
    <t>Ammunition +1 (each)</t>
  </si>
  <si>
    <t>Manuals and tomes +2: If these come up, the GM is probably giving them to the whole party as a "level up" type thing</t>
  </si>
  <si>
    <t>Ammunition +2 (each)</t>
  </si>
  <si>
    <t>Belt of Giant Strength: Breaks bounded Accuracy</t>
  </si>
  <si>
    <t>Ammunition +3 (each)</t>
  </si>
  <si>
    <t>Potion of Giant Strength: Breaks bounded accuracy</t>
  </si>
  <si>
    <t>Rod of Resurrection: Plot device</t>
  </si>
  <si>
    <t>Helm of Brilliance: Lolrandom</t>
  </si>
  <si>
    <t>Bag of Beans: Lolrandom (Seriously, it summons mummy lords with treasure filled crypts)</t>
  </si>
  <si>
    <t>Staff of the Magi: Too much power</t>
  </si>
  <si>
    <t>Manual of Golems: This is a blueprint, not an item. Use whatever rules go into pricing blueprints for your campaign and adjust the golem crafting prices as needed.</t>
  </si>
  <si>
    <t>Cursed items</t>
  </si>
  <si>
    <t>Armor of Resistance</t>
  </si>
  <si>
    <t>Arrow of Slaying (each)</t>
  </si>
  <si>
    <t>Arrow-Catching Shield</t>
  </si>
  <si>
    <t>Bronze Griffon</t>
  </si>
  <si>
    <t>Dragon Slayer</t>
  </si>
  <si>
    <t>Dust of Dryness (1 pellet)</t>
  </si>
  <si>
    <t>Ebony Fly</t>
  </si>
  <si>
    <t>Flame Tongue</t>
  </si>
  <si>
    <t>Giant Slayer</t>
  </si>
  <si>
    <t>Golden Lion (each)</t>
  </si>
  <si>
    <t>Ivory Goat (Terror)</t>
  </si>
  <si>
    <t>Ivory Goat (Travail)</t>
  </si>
  <si>
    <t>Ivory Goat (Traveling)</t>
  </si>
  <si>
    <t>Keoghtom's Ointment (Per dose)</t>
  </si>
  <si>
    <t>Marble Elephant</t>
  </si>
  <si>
    <t>Necklace of Fireballs (Five beads)</t>
  </si>
  <si>
    <t>Necklace of Fireballs (Four beads)</t>
  </si>
  <si>
    <t>Necklace of Fireballs (One bead)</t>
  </si>
  <si>
    <t>Necklace of Fireballs (Six beads)</t>
  </si>
  <si>
    <t>Necklace of Fireballs (Three beads)</t>
  </si>
  <si>
    <t>Necklace of Fireballs (Two beads)</t>
  </si>
  <si>
    <t>Nine Lives Stealer (Fully Charged)</t>
  </si>
  <si>
    <t>Obsidian Steed</t>
  </si>
  <si>
    <t>Onyx Dog</t>
  </si>
  <si>
    <t>Prayer Bead - Bless</t>
  </si>
  <si>
    <t>Prayer Bead - Curing</t>
  </si>
  <si>
    <t>Prayer Bead - Favor</t>
  </si>
  <si>
    <t>Prayer Bead - Smiting</t>
  </si>
  <si>
    <t>Prayer Bead - Summons</t>
  </si>
  <si>
    <t>Prayer Bead - Wind Walking</t>
  </si>
  <si>
    <t>Quaal's Feather Token, Anchor</t>
  </si>
  <si>
    <t>Quaal's Feather Token, Bird</t>
  </si>
  <si>
    <t>Quaal's Feather Token, Fan</t>
  </si>
  <si>
    <t>Quaal's Feather Token, Swan Boat</t>
  </si>
  <si>
    <t>Quaal's Feather Token, Whip</t>
  </si>
  <si>
    <t>Ring of Air Elemental Command</t>
  </si>
  <si>
    <t>Ring of Earth Elemental Command</t>
  </si>
  <si>
    <t>Ring of Fire Elemental Command</t>
  </si>
  <si>
    <t>Ring of Water Elemental Command</t>
  </si>
  <si>
    <t>Ring of X-Ray Vision</t>
  </si>
  <si>
    <t>Serpentine Owl</t>
  </si>
  <si>
    <t>Silver Raven</t>
  </si>
  <si>
    <t>Spell Scroll, Level 1</t>
  </si>
  <si>
    <t>Spell Scroll, Level 2</t>
  </si>
  <si>
    <t>Spell Scroll, Level 3</t>
  </si>
  <si>
    <t>Spell Scroll, Level 4</t>
  </si>
  <si>
    <t>Spell Scroll, Level 5</t>
  </si>
  <si>
    <t>Spell Scroll, Level 6</t>
  </si>
  <si>
    <t>Spell Scroll, Level 7</t>
  </si>
  <si>
    <t>Spell Scroll, Level 8</t>
  </si>
  <si>
    <t>Spell Scroll, Level 9</t>
  </si>
  <si>
    <t>Staff of Healing</t>
  </si>
  <si>
    <t>Staff of Swarming Insects</t>
  </si>
  <si>
    <t>Staff of the Woodlands</t>
  </si>
  <si>
    <t>Staff of Withering</t>
  </si>
  <si>
    <t>Sun Blade</t>
  </si>
  <si>
    <t>Sword of Life Stealing</t>
  </si>
  <si>
    <t>Sword of Wounding</t>
  </si>
  <si>
    <t>SPELLCASTING SERVICES</t>
  </si>
  <si>
    <t>RITUAL</t>
  </si>
  <si>
    <t>ARCANE</t>
  </si>
  <si>
    <t>DIVINE</t>
  </si>
  <si>
    <t>COST OF RITUAL, % OF COST</t>
  </si>
  <si>
    <t>UP TO 5TH LEVEL</t>
  </si>
  <si>
    <t>TIER AND LEVELS</t>
  </si>
  <si>
    <t>Tier</t>
  </si>
  <si>
    <t>LEVELS</t>
  </si>
  <si>
    <t>Proficiency bonus</t>
  </si>
  <si>
    <t>Apprentice</t>
  </si>
  <si>
    <t>1-2</t>
  </si>
  <si>
    <t>Journeyman</t>
  </si>
  <si>
    <t>3-4</t>
  </si>
  <si>
    <t>AdventureR</t>
  </si>
  <si>
    <t>5-8</t>
  </si>
  <si>
    <t>VeteraN</t>
  </si>
  <si>
    <t>9-11</t>
  </si>
  <si>
    <t>12-14</t>
  </si>
  <si>
    <t>Heroic</t>
  </si>
  <si>
    <t>15-17</t>
  </si>
  <si>
    <t>Adventurer</t>
  </si>
  <si>
    <t>1-4</t>
  </si>
  <si>
    <t>9-12</t>
  </si>
  <si>
    <t>SSS</t>
  </si>
  <si>
    <t>75 gp</t>
  </si>
  <si>
    <t>375 gp</t>
  </si>
  <si>
    <t>3,750 gp</t>
  </si>
  <si>
    <t>37,500 gp</t>
  </si>
  <si>
    <t>375,000 gp</t>
  </si>
  <si>
    <t>125 gp</t>
  </si>
  <si>
    <t>1,250 gp</t>
  </si>
  <si>
    <t>12,500 gp</t>
  </si>
  <si>
    <t>125,000 gp</t>
  </si>
  <si>
    <t>AS</t>
  </si>
  <si>
    <r>
      <t>Бонус</t>
    </r>
    <r>
      <rPr>
        <b/>
        <sz val="10"/>
        <color rgb="FFFFFFFF"/>
        <rFont val="Scaly Sans"/>
      </rPr>
      <t xml:space="preserve"> </t>
    </r>
    <r>
      <rPr>
        <b/>
        <sz val="10"/>
        <color rgb="FFFFFFFF"/>
        <rFont val="Calibri"/>
        <family val="2"/>
        <charset val="204"/>
      </rPr>
      <t>владения</t>
    </r>
  </si>
  <si>
    <r>
      <t>Редкость</t>
    </r>
    <r>
      <rPr>
        <b/>
        <sz val="10"/>
        <color rgb="FFFFFFFF"/>
        <rFont val="Scaly Sans"/>
      </rPr>
      <t xml:space="preserve"> </t>
    </r>
    <r>
      <rPr>
        <b/>
        <sz val="10"/>
        <color rgb="FFFFFFFF"/>
        <rFont val="Calibri"/>
        <family val="2"/>
        <charset val="204"/>
      </rPr>
      <t>рецептов</t>
    </r>
    <r>
      <rPr>
        <b/>
        <sz val="10"/>
        <color rgb="FFFFFFFF"/>
        <rFont val="Scaly Sans"/>
      </rPr>
      <t xml:space="preserve"> </t>
    </r>
    <r>
      <rPr>
        <b/>
        <sz val="10"/>
        <color rgb="FFFFFFFF"/>
        <rFont val="Calibri"/>
        <family val="2"/>
        <charset val="204"/>
      </rPr>
      <t>или</t>
    </r>
    <r>
      <rPr>
        <b/>
        <sz val="10"/>
        <color rgb="FFFFFFFF"/>
        <rFont val="Scaly Sans"/>
      </rPr>
      <t xml:space="preserve"> </t>
    </r>
    <r>
      <rPr>
        <b/>
        <sz val="10"/>
        <color rgb="FFFFFFFF"/>
        <rFont val="Calibri"/>
        <family val="2"/>
        <charset val="204"/>
      </rPr>
      <t>схем</t>
    </r>
  </si>
  <si>
    <t>Обычный</t>
  </si>
  <si>
    <t>Необычный</t>
  </si>
  <si>
    <t>Редкий</t>
  </si>
  <si>
    <t>Очень редкий</t>
  </si>
  <si>
    <t>Легендарный</t>
  </si>
  <si>
    <t>Обычные</t>
  </si>
  <si>
    <t>Ремесленник знает все распространенные рецепты или схемы изготовления предметов</t>
  </si>
  <si>
    <t xml:space="preserve">Необычные </t>
  </si>
  <si>
    <t xml:space="preserve">Редкие </t>
  </si>
  <si>
    <t>Очень редкие</t>
  </si>
  <si>
    <t>Легендарные</t>
  </si>
  <si>
    <t>Эпические</t>
  </si>
  <si>
    <t>Мифические</t>
  </si>
  <si>
    <r>
      <t>Редкость</t>
    </r>
    <r>
      <rPr>
        <b/>
        <sz val="10"/>
        <color rgb="FFFFFFFF"/>
        <rFont val="Scaly Sans"/>
      </rPr>
      <t xml:space="preserve"> </t>
    </r>
    <r>
      <rPr>
        <b/>
        <sz val="10"/>
        <color rgb="FFFFFFFF"/>
        <rFont val="Calibri"/>
        <family val="2"/>
        <charset val="204"/>
      </rPr>
      <t>рецепта</t>
    </r>
  </si>
  <si>
    <r>
      <t>Редкость</t>
    </r>
    <r>
      <rPr>
        <b/>
        <sz val="10"/>
        <color rgb="FFFFFFFF"/>
        <rFont val="Scaly Sans"/>
      </rPr>
      <t xml:space="preserve"> </t>
    </r>
    <r>
      <rPr>
        <b/>
        <sz val="10"/>
        <color rgb="FFFFFFFF"/>
        <rFont val="Calibri"/>
        <family val="2"/>
        <charset val="204"/>
      </rPr>
      <t>его</t>
    </r>
    <r>
      <rPr>
        <b/>
        <sz val="10"/>
        <color rgb="FFFFFFFF"/>
        <rFont val="Scaly Sans"/>
      </rPr>
      <t xml:space="preserve"> </t>
    </r>
    <r>
      <rPr>
        <b/>
        <sz val="10"/>
        <color rgb="FFFFFFFF"/>
        <rFont val="Calibri"/>
        <family val="2"/>
        <charset val="204"/>
      </rPr>
      <t>нахождения</t>
    </r>
  </si>
  <si>
    <t>Широко известны</t>
  </si>
  <si>
    <t>Эпическй</t>
  </si>
  <si>
    <t>Уровень опасности</t>
  </si>
  <si>
    <t>Редкость</t>
  </si>
  <si>
    <t>1/8 – 1/2</t>
  </si>
  <si>
    <t>Обыденный</t>
  </si>
  <si>
    <t>Очень Редкий</t>
  </si>
  <si>
    <t>21-24</t>
  </si>
  <si>
    <t>Эпический</t>
  </si>
  <si>
    <t>25+</t>
  </si>
  <si>
    <t>Мифический</t>
  </si>
  <si>
    <t>УС нахождения</t>
  </si>
  <si>
    <t>Обыденные</t>
  </si>
  <si>
    <t>Необычные</t>
  </si>
  <si>
    <t>Редкие</t>
  </si>
  <si>
    <t>Lifestyle</t>
  </si>
  <si>
    <t>Price/Day</t>
  </si>
  <si>
    <t>Squalid</t>
  </si>
  <si>
    <t>4 gp</t>
  </si>
  <si>
    <t>Aristocratic</t>
  </si>
  <si>
    <t>10 gp minimum</t>
  </si>
  <si>
    <t>Предмет</t>
  </si>
  <si>
    <t>Старая цена</t>
  </si>
  <si>
    <t>Вес</t>
  </si>
  <si>
    <t>Новая цена</t>
  </si>
  <si>
    <t>Acid (vial)</t>
  </si>
  <si>
    <t>10 зм</t>
  </si>
  <si>
    <t>Alchemist's fire (flask)</t>
  </si>
  <si>
    <t>20 зм</t>
  </si>
  <si>
    <t>Poison, basic (vial)</t>
  </si>
  <si>
    <t>—25 зм</t>
  </si>
  <si>
    <t>Antitoxin (vial)</t>
  </si>
  <si>
    <t>50 зм</t>
  </si>
  <si>
    <t>Качество предметов</t>
  </si>
  <si>
    <t>Качество</t>
  </si>
  <si>
    <t>УС изготовления*</t>
  </si>
  <si>
    <t>Обычное</t>
  </si>
  <si>
    <t>Как у базового предмета</t>
  </si>
  <si>
    <t>Отличное</t>
  </si>
  <si>
    <t>Исключительное</t>
  </si>
  <si>
    <t>Превосходное</t>
  </si>
  <si>
    <t>Шедевр</t>
  </si>
  <si>
    <t>ппп</t>
  </si>
  <si>
    <t>Время создания</t>
  </si>
  <si>
    <t>Кислота</t>
  </si>
  <si>
    <t>Алхимический огонь</t>
  </si>
  <si>
    <t>Антитоксин</t>
  </si>
  <si>
    <t>Духи</t>
  </si>
  <si>
    <t>Мыло</t>
  </si>
  <si>
    <t>Стрелы (20 шт)</t>
  </si>
  <si>
    <t>Одежда, простая</t>
  </si>
  <si>
    <t>Размер</t>
  </si>
  <si>
    <t>Малеьникй</t>
  </si>
  <si>
    <t>Средний</t>
  </si>
  <si>
    <t>Большой</t>
  </si>
  <si>
    <t>Огромный</t>
  </si>
  <si>
    <t>Стоимость</t>
  </si>
  <si>
    <t>Средний размер</t>
  </si>
  <si>
    <t>Гигантский</t>
  </si>
  <si>
    <t>Колоссальный</t>
  </si>
  <si>
    <t>1к4</t>
  </si>
  <si>
    <t>2к4</t>
  </si>
  <si>
    <t>3к4</t>
  </si>
  <si>
    <t>4к4</t>
  </si>
  <si>
    <t>5к4</t>
  </si>
  <si>
    <t>1к8</t>
  </si>
  <si>
    <t>2к8</t>
  </si>
  <si>
    <t>3к8</t>
  </si>
  <si>
    <t>4к8</t>
  </si>
  <si>
    <t>5к8</t>
  </si>
  <si>
    <t>2к6</t>
  </si>
  <si>
    <t>4к6</t>
  </si>
  <si>
    <t>6к6</t>
  </si>
  <si>
    <t>8к6</t>
  </si>
  <si>
    <t>10к6</t>
  </si>
  <si>
    <t>6к4 или 4к6</t>
  </si>
  <si>
    <t>9к4 или 6к6</t>
  </si>
  <si>
    <t>12к4 или 8к6</t>
  </si>
  <si>
    <t>15к4 или 10к6</t>
  </si>
  <si>
    <t>И т.д.</t>
  </si>
  <si>
    <t>Добавить один набор костей Среднего размера</t>
  </si>
  <si>
    <t>влияние на оружие</t>
  </si>
  <si>
    <t>нет</t>
  </si>
  <si>
    <t>у оружия ухудшилось точность, оружие получает -1 на попадание</t>
  </si>
  <si>
    <t>у оружия ухудшился урон, оружие получает -1 к урону</t>
  </si>
  <si>
    <t>оружие сломано и бесполезно</t>
  </si>
  <si>
    <t>Точность (weapon)</t>
  </si>
  <si>
    <t xml:space="preserve">Accurate: bonus +1 to hit. </t>
  </si>
  <si>
    <t xml:space="preserve">Double: bonus +2 to hit. </t>
  </si>
  <si>
    <t>Triple: bonus +3 to hit.</t>
  </si>
  <si>
    <t>Баланс (shield or weapon)</t>
  </si>
  <si>
    <t>Щит или оружие</t>
  </si>
  <si>
    <t>A weapon or shield with above average balance makes it easier to move in combat.</t>
  </si>
  <si>
    <t>While this item is in hand and readied, the wielder gains a +1 quality bonus to his initiative total.</t>
  </si>
  <si>
    <t>Double: Tie quality bonus increases to +2.</t>
  </si>
  <si>
    <t>Triple : The quality bonus increases to +3.</t>
  </si>
  <si>
    <t>Concealable (any item)</t>
  </si>
  <si>
    <t>Тайного ношения</t>
  </si>
  <si>
    <t>These items are particularly easy to secret on ones person.</t>
  </si>
  <si>
    <t>The bearer gains a bonus +2 to Dexterity (Sleight of Hand) checks to hide this item on his person. Benefits of several grades of this property stack.</t>
  </si>
  <si>
    <t>Crushing (any bludgeoning weapon)</t>
  </si>
  <si>
    <t>This weapon deals 2 bonus damage with every successful attack.</t>
  </si>
  <si>
    <t>Double:The additional damage inflicted increases to +4.</t>
  </si>
  <si>
    <t>Triple :Thc additional damage inflicted increases to +6</t>
  </si>
  <si>
    <t>Guard (any weapon or shield)</t>
  </si>
  <si>
    <t>weapon or shield is easy to use defensively.</t>
  </si>
  <si>
    <t>The wielder may reduce his attack rolls by 1 for the entire round to gain an equal bonus to Armor Class for that round. If this item is shield you gain additional bonus +1 to AC (for total +2)</t>
  </si>
  <si>
    <t>Double: The wielder may reduce his attack rolls by up to 2 to gain an equal deflection bonus to Armor Class. If this item is shield you gain additional bonus +1 to AC (for total +3)</t>
  </si>
  <si>
    <t>Triple: The wieldcr may reduce his attack roils by up to 3 to gain an equal deflection bonus to Armor Class. If this item is shield you gain additional bonus +1 to AC (for total +4)</t>
  </si>
  <si>
    <t>Ornate (any item)</t>
  </si>
  <si>
    <t>Украшенное</t>
  </si>
  <si>
    <t>This item is heavily decorated, possibly with precious metals and/or jewels* and is far more valuable and impressive than other items of its sort even those of similar quality.</t>
  </si>
  <si>
    <t>ORNAMENTATION</t>
  </si>
  <si>
    <t>Most suits of armor have decoration of some sort, be it engraving, scrollwork, stylization, or some other simple beautification. Usually these changes have no game effects. However, adding precious materials or applying serious artistic changes translates into a substantial increase in the object's value, something called “ornamentation.”</t>
  </si>
  <si>
    <t>A crafter needs proficiency with jeweler's tools to add ornamentation to an existing suit of armor. However, if the crafter does not also have proficiency with smith's tools, the suit takes on the ersatz armor quality when modified. A crafter proficient with smith's tools and jeweler's tools can ornament existing armor without weakening it or can create new ornamented armor.</t>
  </si>
  <si>
    <t>Benefit: The cost multiplier for this item is increased by 5. It also adds a bonus +2 to Charisma (Persuassion) checks when given as a gift.</t>
  </si>
  <si>
    <t>Double: Tie cost multiplier for this item is increased by 10. It also adds a bonus +3 to Charisma (Persuassion) checks when given as a gift.</t>
  </si>
  <si>
    <t>Tripl e: The cost multiplier for this item is increased by 15. It also adds a bonus +4 to Charisma (Persuassion) checks when given as a gift.</t>
  </si>
  <si>
    <t>Lethal (any weapon)</t>
  </si>
  <si>
    <t>Смертоносное</t>
  </si>
  <si>
    <t>You deal extra weapon damage on critical hit (1d6 for shortsword, 2d6 for greatsword).</t>
  </si>
  <si>
    <t>Double: You deal two extra weapon damage on critical hit (2d6 for shortsword, 4d6 for greatsword)</t>
  </si>
  <si>
    <t>Triple: You deal three extra weapon damage on critical hit (3d6 for shortsword, 6d6 for greatsword)</t>
  </si>
  <si>
    <t>Subtle Armor</t>
  </si>
  <si>
    <t>Affected armor takes on the appearance of normal, bulky clothing. Leather padding can be</t>
  </si>
  <si>
    <t>sewn inside canvas tunics and baggy trousers. Chain can be disguised with quilting. Even narrow plates and splinting can be incorporated into the lining of heavy coats. Alternately, the armor is crafted for easy concealment under normal clothing.</t>
  </si>
  <si>
    <t>This modification can apply to most armor suits, excluding half plate and plate. Heavy or medium armor with this addition can be identified with a DC 20 Wisdom (Perception) check by anyone within 30 feet. Physically handling any kind of subtle armor reveals its nature without a check. A suit of subtle armor costs twice its normal price.</t>
  </si>
  <si>
    <t>Sharp (slashing or piercing weapon)</t>
  </si>
  <si>
    <t>Острое</t>
  </si>
  <si>
    <t>This weapon has a fine edge on it*</t>
  </si>
  <si>
    <t>Benefit: Add a bonus +1 to all damage rolls with this weapon.</t>
  </si>
  <si>
    <t>Double: The quality bonus increases to +2.</t>
  </si>
  <si>
    <t>Triple: Tie quality bonus increases to +3.</t>
  </si>
  <si>
    <t>Thick (any armor)</t>
  </si>
  <si>
    <t>Толстый</t>
  </si>
  <si>
    <t>This armor is able to absorb some punishment so the wearer doesn’t have to</t>
  </si>
  <si>
    <t>A suit of medium or heavy armor provides Damage Threshold l/- against melee and ranged weapons.</t>
  </si>
  <si>
    <t>Double: A suit of light armor provides Damage Reduction 1/- against melee and ranged weapons.</t>
  </si>
  <si>
    <t>Triple: Any suit armor provides Damage Reduction 2/- against melee and ranged weapons.</t>
  </si>
  <si>
    <t>Well-crafted (any gear)</t>
  </si>
  <si>
    <t>This trait can apply to nearly any tool or device that is employed when using a skill. For example, a well-cratted dark cloak could provide an equipment bonus to Stealth checks, for instance.</t>
  </si>
  <si>
    <t>Benefit: This item provides a bonus +1 to one skill when used for its intended purpose.</t>
  </si>
  <si>
    <t>Triple: The quality bonus increases to +3.</t>
  </si>
  <si>
    <t>MASTERCRAFT ARMOR, WEAPONS</t>
  </si>
  <si>
    <t>Absorbent (armor)</t>
  </si>
  <si>
    <t>Efficient (armor)</t>
  </si>
  <si>
    <t>Enclosed (armor)</t>
  </si>
  <si>
    <t>Layered (armor)</t>
  </si>
  <si>
    <t>Lightweight (armor)</t>
  </si>
  <si>
    <t>Quick-escape (armor)</t>
  </si>
  <si>
    <t>Reinforced (armor)</t>
  </si>
  <si>
    <t>Вид яда</t>
  </si>
  <si>
    <t>Тип</t>
  </si>
  <si>
    <t>Цена 1 порции, зм</t>
  </si>
  <si>
    <t>Бледная настойка</t>
  </si>
  <si>
    <t>Поглощаемый</t>
  </si>
  <si>
    <t>Дым жжёного отура</t>
  </si>
  <si>
    <t>Вдыхаемый</t>
  </si>
  <si>
    <t>Злоба</t>
  </si>
  <si>
    <t>Змеиный яд</t>
  </si>
  <si>
    <t>Оружейный</t>
  </si>
  <si>
    <t>Кровь ассасина</t>
  </si>
  <si>
    <t>Масло таггита</t>
  </si>
  <si>
    <t>Контактный</t>
  </si>
  <si>
    <t>Полуночные слёзы</t>
  </si>
  <si>
    <t>Слизь ползающего падальщика</t>
  </si>
  <si>
    <t>Ступор</t>
  </si>
  <si>
    <t>Сыворотка правды</t>
  </si>
  <si>
    <t>Эссенция эфира</t>
  </si>
  <si>
    <t>Яд виверны</t>
  </si>
  <si>
    <t>Яд дроу</t>
  </si>
  <si>
    <t>Яд лилового червя</t>
  </si>
  <si>
    <t>Яды</t>
  </si>
  <si>
    <t>DC/Dice</t>
  </si>
  <si>
    <t>Assassin vine</t>
  </si>
  <si>
    <t>305 gp</t>
  </si>
  <si>
    <t>—/6d6</t>
  </si>
  <si>
    <t>Basilisk oil</t>
  </si>
  <si>
    <t>Bone devil's sting</t>
  </si>
  <si>
    <t>120 gp</t>
  </si>
  <si>
    <t>14/—</t>
  </si>
  <si>
    <t>Bone naga venom</t>
  </si>
  <si>
    <t>220 gp</t>
  </si>
  <si>
    <t>—/3d6</t>
  </si>
  <si>
    <t>Carrion crawler mucus</t>
  </si>
  <si>
    <t>140 gp</t>
  </si>
  <si>
    <t>13/—</t>
  </si>
  <si>
    <t>Catoblepas musk</t>
  </si>
  <si>
    <t>VGM</t>
  </si>
  <si>
    <t>225 gp</t>
  </si>
  <si>
    <t>16/—</t>
  </si>
  <si>
    <t>Choldrith poison</t>
  </si>
  <si>
    <t>Chuul saliva</t>
  </si>
  <si>
    <t>Coon</t>
  </si>
  <si>
    <t>115 gp</t>
  </si>
  <si>
    <t>—/2d6</t>
  </si>
  <si>
    <t>Couatl venom</t>
  </si>
  <si>
    <t>275 gp</t>
  </si>
  <si>
    <t>Death dog saliva</t>
  </si>
  <si>
    <t>12/1d10</t>
  </si>
  <si>
    <t>Dretch wretch</t>
  </si>
  <si>
    <t>11/—</t>
  </si>
  <si>
    <t>Erinyes poison</t>
  </si>
  <si>
    <t>370 gp</t>
  </si>
  <si>
    <t>14/3d8</t>
  </si>
  <si>
    <t>Ettercap venom</t>
  </si>
  <si>
    <t>Euphoric OotA</t>
  </si>
  <si>
    <t>OotA</t>
  </si>
  <si>
    <t>12/—</t>
  </si>
  <si>
    <t>Flumph stench</t>
  </si>
  <si>
    <t>—/—</t>
  </si>
  <si>
    <t>Flying snake</t>
  </si>
  <si>
    <t>—/3d4</t>
  </si>
  <si>
    <t>Fungi gas spore</t>
  </si>
  <si>
    <t>170 gp</t>
  </si>
  <si>
    <t>15/3d6</t>
  </si>
  <si>
    <t>Giant centipede</t>
  </si>
  <si>
    <t>145 gp</t>
  </si>
  <si>
    <t>11/3d6</t>
  </si>
  <si>
    <t>Giant scorpion</t>
  </si>
  <si>
    <t>190 gp</t>
  </si>
  <si>
    <t>12/4d10</t>
  </si>
  <si>
    <t>Giant spider</t>
  </si>
  <si>
    <t>130 gp</t>
  </si>
  <si>
    <t>11/2d8</t>
  </si>
  <si>
    <t>Giant wasp</t>
  </si>
  <si>
    <t>Giant wolf spider</t>
  </si>
  <si>
    <t>11/2d6</t>
  </si>
  <si>
    <t>Gnoll spittle</t>
  </si>
  <si>
    <t>110 gp</t>
  </si>
  <si>
    <t>12/2d6</t>
  </si>
  <si>
    <t>Green dragon breath Adult</t>
  </si>
  <si>
    <t>2,600 gp</t>
  </si>
  <si>
    <t>18/16d6</t>
  </si>
  <si>
    <t>Green dragon breath Ancient</t>
  </si>
  <si>
    <t>5,200 gp</t>
  </si>
  <si>
    <t>22/22d6</t>
  </si>
  <si>
    <t>Green dragon breath Wyrmling</t>
  </si>
  <si>
    <t>210 gp</t>
  </si>
  <si>
    <t>11/6d6</t>
  </si>
  <si>
    <t>Green dragon breath Young</t>
  </si>
  <si>
    <t>605 gp</t>
  </si>
  <si>
    <t>14/12d6</t>
  </si>
  <si>
    <t>Green dragon poison</t>
  </si>
  <si>
    <t>Grell venom</t>
  </si>
  <si>
    <t>Grung sweat</t>
  </si>
  <si>
    <t>Guardian naga venom</t>
  </si>
  <si>
    <t>600 gp</t>
  </si>
  <si>
    <t>—/10d8</t>
  </si>
  <si>
    <t>Hallucinogenic OotA</t>
  </si>
  <si>
    <t>300 gp</t>
  </si>
  <si>
    <t>Homunculus saliva</t>
  </si>
  <si>
    <t>400 gp</t>
  </si>
  <si>
    <t>10/—</t>
  </si>
  <si>
    <t>Imp sting</t>
  </si>
  <si>
    <t>Iron golem fumes</t>
  </si>
  <si>
    <t>1,350 gp</t>
  </si>
  <si>
    <t>19/10d8</t>
  </si>
  <si>
    <t>Kamadan's snakes</t>
  </si>
  <si>
    <t>ToA</t>
  </si>
  <si>
    <t>155 gp</t>
  </si>
  <si>
    <t>12/6d6</t>
  </si>
  <si>
    <t>Medusa venom</t>
  </si>
  <si>
    <t>235 gp</t>
  </si>
  <si>
    <t>—/4d6</t>
  </si>
  <si>
    <t>Myconid spore</t>
  </si>
  <si>
    <t>Neogi venom</t>
  </si>
  <si>
    <t>12/4d6</t>
  </si>
  <si>
    <t>Neogi venom, hatchling</t>
  </si>
  <si>
    <t>10/2d6</t>
  </si>
  <si>
    <t>Phase spider</t>
  </si>
  <si>
    <t>165 gp</t>
  </si>
  <si>
    <t>11/4d8</t>
  </si>
  <si>
    <t>Pit fiend venom</t>
  </si>
  <si>
    <t>1,280 gp</t>
  </si>
  <si>
    <t>21/6d6</t>
  </si>
  <si>
    <t>Poisonous snake</t>
  </si>
  <si>
    <t>105 gp</t>
  </si>
  <si>
    <t>10/2d4</t>
  </si>
  <si>
    <t>Pseudodragon sting</t>
  </si>
  <si>
    <t>Purple worm poison</t>
  </si>
  <si>
    <t>dmg</t>
  </si>
  <si>
    <t>19/12d6</t>
  </si>
  <si>
    <t>Purple wormling poison</t>
  </si>
  <si>
    <t>SKT</t>
  </si>
  <si>
    <t>13/3d6</t>
  </si>
  <si>
    <t>Quasit crud</t>
  </si>
  <si>
    <t>9/1d8</t>
  </si>
  <si>
    <t>Sea spawn quills</t>
  </si>
  <si>
    <t>12/1d6</t>
  </si>
  <si>
    <t>Serpent</t>
  </si>
  <si>
    <t>Shoosuva poison</t>
  </si>
  <si>
    <t>95 gp</t>
  </si>
  <si>
    <t>9/1d4</t>
  </si>
  <si>
    <t>Spirit naga venom</t>
  </si>
  <si>
    <t>770 gp</t>
  </si>
  <si>
    <t>—/7d8</t>
  </si>
  <si>
    <t>Sprite spit</t>
  </si>
  <si>
    <t>Stench kow breath</t>
  </si>
  <si>
    <t>Thri-kreen venom</t>
  </si>
  <si>
    <t>Tlincalli sting</t>
  </si>
  <si>
    <t>745 gp</t>
  </si>
  <si>
    <t>14/4d6</t>
  </si>
  <si>
    <t>Tressym tongue</t>
  </si>
  <si>
    <t>55 gp</t>
  </si>
  <si>
    <t>Tri-Flower</t>
  </si>
  <si>
    <t>Troglodyte stench</t>
  </si>
  <si>
    <t>Unicorn horn</t>
  </si>
  <si>
    <t>Vegepygmy chief spores</t>
  </si>
  <si>
    <t>450 gp</t>
  </si>
  <si>
    <t>12/2d8</t>
  </si>
  <si>
    <t>Vrock spores</t>
  </si>
  <si>
    <t>295 gp</t>
  </si>
  <si>
    <t>14/1d10</t>
  </si>
  <si>
    <t>Wyvern poison ,</t>
  </si>
  <si>
    <t>DMG, MM</t>
  </si>
  <si>
    <t>1,200 gp</t>
  </si>
  <si>
    <t>15/7d6</t>
  </si>
  <si>
    <t>Yahcha beetle</t>
  </si>
  <si>
    <t>Yochlol mist</t>
  </si>
  <si>
    <t>Yuan-ti Abomination</t>
  </si>
  <si>
    <t>Yuan-ti Anathema VGM</t>
  </si>
  <si>
    <t>Алхимические товары</t>
  </si>
  <si>
    <t>Alchemical Copper</t>
  </si>
  <si>
    <t>Alchemical Copper,</t>
  </si>
  <si>
    <t>Armor Filigree</t>
  </si>
  <si>
    <t>Lightning Rod</t>
  </si>
  <si>
    <t>Alchemical Gold</t>
  </si>
  <si>
    <t>Alchemical Gold,</t>
  </si>
  <si>
    <t>Alchemical Gold, Magic Item Enchantment</t>
  </si>
  <si>
    <t>varies</t>
  </si>
  <si>
    <t>Alchemical Lead</t>
  </si>
  <si>
    <t>Alchemical Lead,</t>
  </si>
  <si>
    <t>50gp</t>
  </si>
  <si>
    <t>Seal</t>
  </si>
  <si>
    <t>Alchemical Silver</t>
  </si>
  <si>
    <t>Alchemical Silver,</t>
  </si>
  <si>
    <t>Ч</t>
  </si>
  <si>
    <t>Alchemical</t>
  </si>
  <si>
    <t>Cosmetics Kit</t>
  </si>
  <si>
    <t>Hair Dye</t>
  </si>
  <si>
    <t>Hair Growth Tonic</t>
  </si>
  <si>
    <t>Scar and Blemish</t>
  </si>
  <si>
    <t>Remover</t>
  </si>
  <si>
    <t>Ointment</t>
  </si>
  <si>
    <t>Skin Dye</t>
  </si>
  <si>
    <t>Wrinkle Remover</t>
  </si>
  <si>
    <t>Acid (vial)*</t>
  </si>
  <si>
    <t>Alchemical glue (vial)</t>
  </si>
  <si>
    <t>Alchemical silver (vial)</t>
  </si>
  <si>
    <t>Alchemical solvent (vial)</t>
  </si>
  <si>
    <t>Alchemist's fire (flask)*</t>
  </si>
  <si>
    <t>Bladefire (vial)</t>
  </si>
  <si>
    <t>Blastpatch (flask)</t>
  </si>
  <si>
    <t>Blend cream (vial)</t>
  </si>
  <si>
    <t>Catstink (flask)</t>
  </si>
  <si>
    <t>Clearwater solution (vial)</t>
  </si>
  <si>
    <t>Defoliant (flask)</t>
  </si>
  <si>
    <t>Eggshell grenade</t>
  </si>
  <si>
    <t>Dust</t>
  </si>
  <si>
    <t>Flash</t>
  </si>
  <si>
    <t>Pepper</t>
  </si>
  <si>
    <t>Smoke</t>
  </si>
  <si>
    <t>Embalming cream (flask)</t>
  </si>
  <si>
    <t>Fireworks*</t>
  </si>
  <si>
    <t>Flash powder (paper packet)*</t>
  </si>
  <si>
    <t>8 gp</t>
  </si>
  <si>
    <t>Flash pellet*</t>
  </si>
  <si>
    <t>Flash rocket*</t>
  </si>
  <si>
    <t>Ghoststrike oil (vial)</t>
  </si>
  <si>
    <t>Ink, dark (1-ounce bottle)</t>
  </si>
  <si>
    <t>Ink, glowing (1-ounce bottle)</t>
  </si>
  <si>
    <t>Instant rope (flask)</t>
  </si>
  <si>
    <t>Lockgrip grease (vial)</t>
  </si>
  <si>
    <t>Longbreath (vial)</t>
  </si>
  <si>
    <t>Mirage powder (vial)</t>
  </si>
  <si>
    <t>Moonrod</t>
  </si>
  <si>
    <t>Motelight (vial)</t>
  </si>
  <si>
    <t>Oil, slow-burning (flask)</t>
  </si>
  <si>
    <t>Potion of climbing (small flask)</t>
  </si>
  <si>
    <t>Salve of slipperiness (flask)</t>
  </si>
  <si>
    <t>Smokestick</t>
  </si>
  <si>
    <t>Stonebreaker acid (vial)</t>
  </si>
  <si>
    <t>Sunrod</t>
  </si>
  <si>
    <t>Tanglefoot bag</t>
  </si>
  <si>
    <t>Tangler grenade</t>
  </si>
  <si>
    <t>Thermal grease (flask)</t>
  </si>
  <si>
    <t>Tindertwig</t>
  </si>
  <si>
    <t>Torch, alchemical</t>
  </si>
  <si>
    <t>Tracking dust (vial)</t>
  </si>
  <si>
    <t>Whistling box*</t>
  </si>
  <si>
    <t>Vicious bleeder (vial)</t>
  </si>
  <si>
    <t>Anti-Rust</t>
  </si>
  <si>
    <t>Treatment</t>
  </si>
  <si>
    <t>Darkeye Oil</t>
  </si>
  <si>
    <t>(bottle)</t>
  </si>
  <si>
    <t>Salamander Salve</t>
  </si>
  <si>
    <t>Silver Treatment</t>
  </si>
  <si>
    <t>Softfoot</t>
  </si>
  <si>
    <t>Storm Salve</t>
  </si>
  <si>
    <t>Suregrip</t>
  </si>
  <si>
    <t>Травничество</t>
  </si>
  <si>
    <t>Вид</t>
  </si>
  <si>
    <t>Способ применения</t>
  </si>
  <si>
    <t>Мазь</t>
  </si>
  <si>
    <t>Зелье</t>
  </si>
  <si>
    <t>Чай</t>
  </si>
  <si>
    <t>Отвар</t>
  </si>
  <si>
    <t>Настойка</t>
  </si>
  <si>
    <t>Припарка</t>
  </si>
  <si>
    <t>Credits</t>
  </si>
  <si>
    <t>Playtest</t>
  </si>
  <si>
    <t>Introduction</t>
  </si>
  <si>
    <t>Adventure Premise</t>
  </si>
  <si>
    <t> The captain is a shipboard position as well as an actual rank and as a position refers to the individual who has command of a ship. When on board ship, the one who commands a ship is always called captain regardless of his actual rank. A lieutenant given command of a ship taken as a prize is called captain while on board the prize. A commander on board the sloop he commands is called captain, and of course an officer having the rank captain is called captain while on board his galleon. There can only be one captain of a ship; any officer having the rank of captain who visits a ship not his own is always given and honorary promotion and called Commodore, even if that ship be a prize commanded by a lieutenant or a sloop commanded by a commander. Ultimately all authority on board ship rests with the captain. The captain is as much an absolute authority on his ship at sea as a king is of a kingdom. Even if an admiral is on board a ship, the admiral may only assign the mission the ship is to carry out and the captain has the full authority over the details of how his ship and crew carry out that mission; despite their higher rank, Admirals by custom and tradition are not allowed to involve themselves in the routine operations of the ship.</t>
  </si>
  <si>
    <t>Flag Captain</t>
  </si>
  <si>
    <t>In squadron operations, the captain of the commodore's flagship is called the Flag Captain. The flag captain is normally privy to the plans and intentions of his commodore. If the commodore of the squadron should be killed or incapacitated, then the flag captain would assume acting command of the squadron until such time as the commodore is capable of resuming command or a replacement is appointed. The commodore may choose whatever ship of his squadron he wishes as his flagship, so there is no guarantee that the flag captain will be the seniormost captain of the squadron; the position is solely one of convenience for the orderly continuity of command. (Some commodores prefer to choose the ship with the seniormost captain as their flagship, while others prefer a particular ship or ship type, although all commodores will at least select a large ship commanded by a captain by rank rather than a commander. No commander by rank will ever have the position of flag captain.)</t>
  </si>
  <si>
    <t>First Lieutenant</t>
  </si>
  <si>
    <t> The most senior lieutenant on board (i.e. the one to hold the rank of lieutenant the longest) is called the First Lieutenant and is the captain's executive officer. If anything were to happen to the captain, the First Lieutenant would take command of the ship for the remainder of the voyage.</t>
  </si>
  <si>
    <t>Purser</t>
  </si>
  <si>
    <t> this officer is a warrant officer who acts as sort of a clerk for the captain. He is in charge of the ship's ledgers and accounts, and handles monetary receipts and disbursements. He is responsible for purchasing supplies for the ship and making sure the ship has sufficient supplies for whatever mission it is sent on. The ship's purser is always someone who is both literate and numerate, and can be expected to have ranks in Appraise, Profession (bookkeeper) and Profession (scribe).</t>
  </si>
  <si>
    <t>Chaplain</t>
  </si>
  <si>
    <t> this position is held by a warrant officer who is a cleric. The chaplain will tend to the spiritual needs of the captain and crew and will often help the Surgeon in tending to the crew's health as well. Most ship's chaplains also have levels in the Battlepriest prestige class. (See Thomas M. Costa's article Heroes of Cormyr, in Dragon #307, for more detail of the Battlepriest prestige class.)</t>
  </si>
  <si>
    <t>Surgeon</t>
  </si>
  <si>
    <t> The ship's surgeon is a warrant officer who is responsible for the health of the crew. He inspects the provisions the purser obtains to make sure they are fit for consumption, and he treats the diseases and wounds of the crew. Ship's surgeons will usually have levels in the Expert class with ranks in the Heal and Profession (Apothecary) skills (if the surgeon is a NPC), but some ships are lucky enough to have clerics serve as surgeons who can heal with spells (if the campaign is a sea-based one and a PC plays the surgeon). Clerics who serve as ship's surgeons are generally not battlepriests. Medical care can be a chancy thing on board ship, especially in the chaos of ship-to-ship battle where the surgeon is often overloaded with casualties in cramped, unsanitary, hurried conditions in which the noise of battle and the moving of the ship can be distracting. In such times, good care is necessarily replaced with rapid care; amputations are the norm for severe wounds, and if the surgeon is a cleric healing spells are usually reserved for officers.</t>
  </si>
  <si>
    <t> Every ship of the Imperial Navy will have at least one ship's wizard. These are always War Wizards. They are neither commissioned officers nor warrant officers, strictly speaking, and do not receive their pay from the Navy, but they are accorded the social status of a lieutenant. The wizard is under the captain's authority and must obey orders, of course, but captains usually ask the wizard to accomplish arcane tasks and don't micromanage exactly how the wizard plies his Art. The ship's wizard, being a War Wizard, is generally as independent-minded as he is allowed to be under ship's discipline and also serves as eyes and ears for the Royal Magician, giving some oversight to the captain's actions that some captains tend to dislike.</t>
  </si>
  <si>
    <t>Boatswain</t>
  </si>
  <si>
    <t> The boatswain (pronounced bosun) is responsible for the sail and rigging of the ship and for the discipline of the enlisted crew. The boatswain has the rank of master on most ships, but occasionally on larger ships may be a warrant officer. In such cases, a warrant officer boatswain will nearly always have served before as a boatswain with the rank of master. The sailmaker, ropemaker and quartermaster will generally be under his authority. If the captain decrees that an offense of a sailor merits some form of corporal punishment such as flogging, it will be the boatswain or one of his mates who administers the punishment. Profession (sailor) is the primary skill for this rating, and ranks in Intimidate often serve well in his role as disciplinarian.</t>
  </si>
  <si>
    <t>Coxswain</t>
  </si>
  <si>
    <t> The coxswain (pronounced coxsun) has the rank of master and is responsible for the operation and maintenance of all the small boats that a larger ship will carry, such as launches, rowboats, and the captain's gig. Whenever a boat is launched, it will be the coxswain or one of his mates whose hand is on the tiller. The coxswain himself will usually con a boat that the captain of the ship is on. Profession (Boater) is the primary skill for this rating.</t>
  </si>
  <si>
    <t> The quartermaster of a naval ship serves a quite different function than the quartermaster of a Purple Dragon unit despite having the same name. The quartermaster will have a rank of master, and is the "master of the quarterdeck". He or his mates are responsible for actually manning the helm and conning the ship (i.e. manning the wheel that steers the ship), is responsible for the ship's instruments (the compass and hourglass in the binnacle), and is responsible for hoisting the ships colors and signal flags. Although the officers of the ship will be the ones who mainly read the signals of other ships, the quartermaster and his mates are also expected to know how to read them. Profession (sailor) is the primary skill for this rating.</t>
  </si>
  <si>
    <t>Carpenter</t>
  </si>
  <si>
    <t> The ship's carpenter has the rank of master and is responsible for all repairs to the hull, structure or masts of the ship, and will have several mates to help him. The carpenter and his mates will have ranks in the carpentry, shipmaking, and woodcarving crafts. On larger ships, a wealthy captain may invest his own money in obtaining the services of an engineer (a NPC with ranks in Engineer as well as the wood-type crafts aforementioned) as a warrant officer to serve as the ship's carpenter.</t>
  </si>
  <si>
    <t>Sailmaker</t>
  </si>
  <si>
    <t> The sailmaker is responsible for the maintenance and repair of the ship's sails. If a ship's sails are too badly damaged by storm or battle, he is responsible for making new ones using canvas from the ship's stores. He has the rank of master, and will normally have a few mates to assist him. He may also be called upon to make flags. Profession (sailor) and Craft (sewing) are the primary skills for this rating.</t>
  </si>
  <si>
    <t>Ropemaker</t>
  </si>
  <si>
    <t> The ropemaker is responsible for the maintenance and repair of all the ships ropes. A large ship can easily have miles of length of ropes of various sizes for the rigging and stays that keep the masts and sails in place. He has the rank of master, and will normally have one or two mates to assist him.</t>
  </si>
  <si>
    <t> Each ship will have one man designated as the ship's cook. On large ships the ship's cook may have the rank of master, but on smaller ships he is only a mate by rank and is assisted by a couple of more junior mates. The ship's cook is responsible for preparing the meals for the crew and the officers of rank commander and below. Profession (Cook) is the primary skill for this rating.</t>
  </si>
  <si>
    <t>Steward</t>
  </si>
  <si>
    <t> Officers who have the rank of captain or higher will have a steward to serve as a personal manservant. The steward is often a master by rank, but occasionally can be a civilian that a noble or wealthy commoner captain hires to act as his manservant. Captains of noble birth will often bring an experienced manservant from their house along to continue such service. In those cases where the captain brings a personal hireling as a steward rather than using a master, the steward is just a personal hireling and is not a warrant officer. (Only positions that are needful by the ship as a whole are given royal warrants.) The steward will cook the captain's meals from the captain's personal store of foodstuffs that is normally of higher quality than the crew's food, keep the captain's uniforms clean and repaired, and keep the captain's cabin as clean as he can, and generally fulfill the other functions that a manservant usually does. Profession (cook) is the most primary skill for this rating, but Craft (sewing) or Profession (butler) would be secondarily useful. A steward, whether a Blue Dragon master or a civilian hireling, will usually be assisted by one or two mates.</t>
  </si>
  <si>
    <t>Mate</t>
  </si>
  <si>
    <t>Master</t>
  </si>
  <si>
    <t>Midshipman</t>
  </si>
  <si>
    <t>Commander</t>
  </si>
  <si>
    <t>Commodore</t>
  </si>
  <si>
    <t>Admiral</t>
  </si>
  <si>
    <t>Lord High Admiral</t>
  </si>
  <si>
    <t>Payment</t>
  </si>
  <si>
    <t>Warrant Officers</t>
  </si>
  <si>
    <t>Masters</t>
  </si>
  <si>
    <t>Captain (captain by rank)</t>
  </si>
  <si>
    <t>Lieutenants</t>
  </si>
  <si>
    <t>Midshipmen</t>
  </si>
  <si>
    <t>War Wizards</t>
  </si>
  <si>
    <t>Engineer/Carpenter</t>
  </si>
  <si>
    <t>Mates</t>
  </si>
  <si>
    <t>Sailors</t>
  </si>
  <si>
    <t>Total Crew</t>
  </si>
  <si>
    <t>Marines</t>
  </si>
  <si>
    <t>Total Wartime Complement</t>
  </si>
  <si>
    <t>Large War Galleon</t>
  </si>
  <si>
    <t>War Galleon</t>
  </si>
  <si>
    <t>Fast Galleon</t>
  </si>
  <si>
    <t>Carrack</t>
  </si>
  <si>
    <t>Royal Galleon</t>
  </si>
  <si>
    <t>War Caravel</t>
  </si>
  <si>
    <t>Coastal Runner</t>
  </si>
  <si>
    <t>Cog</t>
  </si>
  <si>
    <t>Training Ship</t>
  </si>
  <si>
    <t>Supporting Ships</t>
  </si>
  <si>
    <t>Capital Ships</t>
  </si>
  <si>
    <t>Total Marines</t>
  </si>
  <si>
    <r>
      <t>Crown of Cormyr</t>
    </r>
    <r>
      <rPr>
        <sz val="11"/>
        <color rgb="FF979797"/>
        <rFont val="Arial"/>
        <family val="2"/>
        <charset val="204"/>
      </rPr>
      <t> </t>
    </r>
  </si>
  <si>
    <t xml:space="preserve"> [VGtC,p.16]</t>
  </si>
  <si>
    <t>[VGtC,p.16]</t>
  </si>
  <si>
    <t>Welleran</t>
  </si>
  <si>
    <t xml:space="preserve"> [Crus,p.99-101]</t>
  </si>
  <si>
    <r>
      <t>Filfaeril</t>
    </r>
    <r>
      <rPr>
        <sz val="11"/>
        <color rgb="FF979797"/>
        <rFont val="Arial"/>
        <family val="2"/>
        <charset val="204"/>
      </rPr>
      <t> </t>
    </r>
  </si>
  <si>
    <t>[EdG1]</t>
  </si>
  <si>
    <r>
      <t>Warstrike</t>
    </r>
    <r>
      <rPr>
        <sz val="11"/>
        <color rgb="FF979797"/>
        <rFont val="Arial"/>
        <family val="2"/>
        <charset val="204"/>
      </rPr>
      <t> </t>
    </r>
  </si>
  <si>
    <t>Edrel's Chain</t>
  </si>
  <si>
    <t xml:space="preserve"> [EdG1]</t>
  </si>
  <si>
    <r>
      <t>Triumphant</t>
    </r>
    <r>
      <rPr>
        <sz val="11"/>
        <color rgb="FF979797"/>
        <rFont val="Arial"/>
        <family val="2"/>
        <charset val="204"/>
      </rPr>
      <t>†</t>
    </r>
  </si>
  <si>
    <t>The Helm of Serpents</t>
  </si>
  <si>
    <r>
      <t>Blade of Espar</t>
    </r>
    <r>
      <rPr>
        <sz val="11"/>
        <color rgb="FF979797"/>
        <rFont val="Arial"/>
        <family val="2"/>
        <charset val="204"/>
      </rPr>
      <t> </t>
    </r>
  </si>
  <si>
    <t>Shield of Suzail</t>
  </si>
  <si>
    <r>
      <t>Iliphar's Legacy</t>
    </r>
    <r>
      <rPr>
        <sz val="11"/>
        <color rgb="FF979797"/>
        <rFont val="Arial"/>
        <family val="2"/>
        <charset val="204"/>
      </rPr>
      <t>†</t>
    </r>
  </si>
  <si>
    <t>Flame of Esparin</t>
  </si>
  <si>
    <t>[Gar1]</t>
  </si>
  <si>
    <t>Lance of Wheloon</t>
  </si>
  <si>
    <r>
      <t>Sword of Arabel</t>
    </r>
    <r>
      <rPr>
        <sz val="11"/>
        <color rgb="FF979797"/>
        <rFont val="Arial"/>
        <family val="2"/>
        <charset val="204"/>
      </rPr>
      <t> </t>
    </r>
  </si>
  <si>
    <t>Squadron</t>
  </si>
  <si>
    <t>Base</t>
  </si>
  <si>
    <r>
      <t>Morningstar</t>
    </r>
    <r>
      <rPr>
        <sz val="11"/>
        <color rgb="FF979797"/>
        <rFont val="Arial"/>
        <family val="2"/>
        <charset val="204"/>
      </rPr>
      <t>,</t>
    </r>
  </si>
  <si>
    <r>
      <t>Mace of Fire</t>
    </r>
    <r>
      <rPr>
        <sz val="11"/>
        <color rgb="FF979797"/>
        <rFont val="Arial"/>
        <family val="2"/>
        <charset val="204"/>
      </rPr>
      <t>,</t>
    </r>
  </si>
  <si>
    <r>
      <t>Sea Snake</t>
    </r>
    <r>
      <rPr>
        <sz val="11"/>
        <color rgb="FF979797"/>
        <rFont val="Arial"/>
        <family val="2"/>
        <charset val="204"/>
      </rPr>
      <t>,</t>
    </r>
  </si>
  <si>
    <t xml:space="preserve"> [VGtC,p.35]</t>
  </si>
  <si>
    <r>
      <t>Palaghard's Banner</t>
    </r>
    <r>
      <rPr>
        <sz val="11"/>
        <color rgb="FF979797"/>
        <rFont val="Arial"/>
        <family val="2"/>
        <charset val="204"/>
      </rPr>
      <t>,</t>
    </r>
  </si>
  <si>
    <r>
      <t>Thomdor's Fist</t>
    </r>
    <r>
      <rPr>
        <sz val="11"/>
        <color rgb="FF979797"/>
        <rFont val="Arial"/>
        <family val="2"/>
        <charset val="204"/>
      </rPr>
      <t>, (</t>
    </r>
  </si>
  <si>
    <t>[VGtC,p.35]</t>
  </si>
  <si>
    <r>
      <t>Helm of Marsember</t>
    </r>
    <r>
      <rPr>
        <sz val="11"/>
        <color rgb="FF979797"/>
        <rFont val="Arial"/>
        <family val="2"/>
        <charset val="204"/>
      </rPr>
      <t>,</t>
    </r>
  </si>
  <si>
    <r>
      <t>Ansiber's Wrath</t>
    </r>
    <r>
      <rPr>
        <sz val="11"/>
        <color rgb="FF979797"/>
        <rFont val="Arial"/>
        <family val="2"/>
        <charset val="204"/>
      </rPr>
      <t>,</t>
    </r>
  </si>
  <si>
    <r>
      <t>Queen Besmra</t>
    </r>
    <r>
      <rPr>
        <sz val="11"/>
        <color rgb="FF979797"/>
        <rFont val="Arial"/>
        <family val="2"/>
        <charset val="204"/>
      </rPr>
      <t>,</t>
    </r>
  </si>
  <si>
    <t xml:space="preserve"> [SoFS,p.15]</t>
  </si>
  <si>
    <r>
      <t>Hlombur's Blade</t>
    </r>
    <r>
      <rPr>
        <sz val="11"/>
        <color rgb="FF979797"/>
        <rFont val="Arial"/>
        <family val="2"/>
        <charset val="204"/>
      </rPr>
      <t>,</t>
    </r>
  </si>
  <si>
    <t>[AJA1, VGtC,p.22]</t>
  </si>
  <si>
    <r>
      <t>Warrior King</t>
    </r>
    <r>
      <rPr>
        <sz val="11"/>
        <color rgb="FF979797"/>
        <rFont val="Arial"/>
        <family val="2"/>
        <charset val="204"/>
      </rPr>
      <t>†,</t>
    </r>
  </si>
  <si>
    <t>Training</t>
  </si>
  <si>
    <t>Heavy Infantry</t>
  </si>
  <si>
    <t>splint or banded mail with shields, armed with halberds and amixture of swords maces or morningstars.</t>
  </si>
  <si>
    <t xml:space="preserve"> splint or banded mail with shields, or some form of plate if they can afford it, armed with sword.</t>
  </si>
  <si>
    <t>Medium Infantry</t>
  </si>
  <si>
    <t>Light Infantry</t>
  </si>
  <si>
    <t>Officer</t>
  </si>
  <si>
    <t>Unit Type</t>
  </si>
  <si>
    <t xml:space="preserve"> Abbr.</t>
  </si>
  <si>
    <t xml:space="preserve"> # Men</t>
  </si>
  <si>
    <t xml:space="preserve"> First Sword leads 6 blades and a Royal Scout.</t>
  </si>
  <si>
    <t xml:space="preserve">Squadron </t>
  </si>
  <si>
    <t xml:space="preserve"> SQN </t>
  </si>
  <si>
    <t>Lionars (6 TRP CO's and 2 SQN XO's)</t>
  </si>
  <si>
    <t>Ornrions (2 SQN CO's and 1 RGT XO)</t>
  </si>
  <si>
    <t>Light Cavalry</t>
  </si>
  <si>
    <t>Medium Cavalry</t>
  </si>
  <si>
    <t>Equipment</t>
  </si>
  <si>
    <t xml:space="preserve"> Composition</t>
  </si>
  <si>
    <t>First Sword leads 4 blades and a Royal Scout.</t>
  </si>
  <si>
    <t>Mounted airborne</t>
  </si>
  <si>
    <t xml:space="preserve">Flight </t>
  </si>
  <si>
    <t xml:space="preserve"> BTY</t>
  </si>
  <si>
    <t>Archers</t>
  </si>
  <si>
    <t>Suzail Garrison</t>
  </si>
  <si>
    <t>Regimental Headquarters and 1 squadron of the 1st Mounted Airborne Regiment</t>
  </si>
  <si>
    <t>1st Suzail Infantry Regiment (heavy)</t>
  </si>
  <si>
    <t xml:space="preserve"> light cavalry regiment</t>
  </si>
  <si>
    <t>medium infantry regiment</t>
  </si>
  <si>
    <t xml:space="preserve"> light infantry regiments</t>
  </si>
  <si>
    <t>archer batteries</t>
  </si>
  <si>
    <t>1 kadrath of infantry</t>
  </si>
  <si>
    <t>Marsember Garrison</t>
  </si>
  <si>
    <t xml:space="preserve"> light infantry regiment</t>
  </si>
  <si>
    <t xml:space="preserve"> archer battery</t>
  </si>
  <si>
    <t>Arabel Garrison</t>
  </si>
  <si>
    <t>Thunder Gap border outpost</t>
  </si>
  <si>
    <t>Castle Crag Garrison</t>
  </si>
  <si>
    <t>Regimental Headquarters and 1 squadron of the 2nd Mounted Airborne Regiment</t>
  </si>
  <si>
    <t>Minor garrisons or detachments supported out of the Castle Crag garrison</t>
  </si>
  <si>
    <t xml:space="preserve"> squadron of the 2nd Mounted Airborne Regiment</t>
  </si>
  <si>
    <t>archer battery</t>
  </si>
  <si>
    <t>Halfhap Garrison</t>
  </si>
  <si>
    <t>Minor garrisons or detachments supported out of the Skull Crag garrison</t>
  </si>
  <si>
    <t>Regimental Headquarters and 1 squadron of light cavalry</t>
  </si>
  <si>
    <t>High Horn Garrison</t>
  </si>
  <si>
    <t>Regimental Headquarters and 1 battalion of light infantry</t>
  </si>
  <si>
    <t>Eagle Peak Garrison</t>
  </si>
  <si>
    <t xml:space="preserve"> squadron of light cavalry (under Rgt. HQ at Skull Crag)</t>
  </si>
  <si>
    <t>battalion of light infantry (under Rgt. HQ at High Horn)</t>
  </si>
  <si>
    <t>squadron of the 1st Mounted Airborne Regiment</t>
  </si>
  <si>
    <t>Skull Crag Garrison</t>
  </si>
  <si>
    <t>one infantry kadrath and one cavalry troop under command of the senior lionar of the two C.O.'s of those units. The Greatgaunt detachment frequently patrols as far as the Bridge of Fallen Men, and consideration is being given to continually stationing 1 squad at the bridge on a tenday rotation.</t>
  </si>
  <si>
    <t>Wheloon Garrison</t>
  </si>
  <si>
    <t>1st Wheloon Infantry Regiment (light infantry)</t>
  </si>
  <si>
    <t>Minor garrisons or detachments supported out of the Wheloon garrison</t>
  </si>
  <si>
    <t>1 kadrath of infantry plus battalion headquarters</t>
  </si>
  <si>
    <t>Position</t>
  </si>
  <si>
    <t>C9410:</t>
  </si>
  <si>
    <t>VGtC:</t>
  </si>
  <si>
    <t>FR12:</t>
  </si>
  <si>
    <t>HHEv:</t>
  </si>
  <si>
    <t>FFC:</t>
  </si>
  <si>
    <t>PoFS:</t>
  </si>
  <si>
    <t>SoFS:</t>
  </si>
  <si>
    <t>FoMD:</t>
  </si>
  <si>
    <t>Fall of Myth Drannor, Steven E. Schend</t>
  </si>
  <si>
    <t>Crus:</t>
  </si>
  <si>
    <t>PoL:</t>
  </si>
  <si>
    <t>Stmlt:</t>
  </si>
  <si>
    <t>CaN:</t>
  </si>
  <si>
    <t>BtHR:</t>
  </si>
  <si>
    <t>DotD:</t>
  </si>
  <si>
    <t>AtD:</t>
  </si>
  <si>
    <t>FRCS:</t>
  </si>
  <si>
    <t>Dragon Magazine #307, May 2003</t>
  </si>
  <si>
    <t>online document Bestiary of the Realms Volume 1,</t>
  </si>
  <si>
    <t>©2003 Eric L. Boyd &amp; Thomas M. Costa</t>
  </si>
  <si>
    <t>http://www.ericlboyd.com/dnd/monsters.html</t>
  </si>
  <si>
    <t>OSaS:</t>
  </si>
  <si>
    <t>Correspondence on the REALMS-L mailing list</t>
  </si>
  <si>
    <t>written by Ed Greenwood on Wed 11 Aug 2004</t>
  </si>
  <si>
    <t>http://oracle.wizards.com/scripts/wa.exe?A2=ind0408b&amp;L=realms-l&amp;P=1902</t>
  </si>
  <si>
    <t>written by Ed Greenwood on Thu 12 Aug 2004</t>
  </si>
  <si>
    <t>http://oracle.wizards.com/scripts/wa.exe?A2=ind0408b&amp;L=realms-l&amp;P=4547</t>
  </si>
  <si>
    <t>written by Ed Greenwood on Sat 14 Aug 2004</t>
  </si>
  <si>
    <t>http://oracle.wizards.com/scripts/wa.exe?A2=ind0408b&amp;L=realms-l&amp;P=6658</t>
  </si>
  <si>
    <t>written by Garen on Thu 12 Jun 2003</t>
  </si>
  <si>
    <t>http://oracle.wizards.com/scripts/wa.exe?A2=ind0306B&amp;L=realms-l&amp;P=R10395</t>
  </si>
  <si>
    <t>written by AJA on Mon 16 Aug 2004</t>
  </si>
  <si>
    <t>http://oracle.wizards.com/scripts/wa.exe?A2=ind0408C&amp;L=realms-l&amp;P=R1109</t>
  </si>
  <si>
    <t>Of Ships and the Sea, AD&amp;D Rules Supplement, Keith Francis Strohm (TSR 2170) ©1997 TSR, Inc.</t>
  </si>
  <si>
    <t>Dragon Magazine #250, August 1998, article "Warships of the Sea" by Keith Francis Strohm, pp.44-52 article supplements OSaS</t>
  </si>
  <si>
    <t>Year of Dwarvenkind Reborn</t>
  </si>
  <si>
    <t>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</si>
  <si>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BA III pg 443</t>
  </si>
  <si>
    <t>King Irvil Obarskyr of Cormyr dies</t>
  </si>
  <si>
    <t>Year of the Rune Lords Triumphant</t>
  </si>
  <si>
    <t>Year of the Warrior Princess</t>
  </si>
  <si>
    <t>SCAG pg. 18</t>
  </si>
  <si>
    <t>Year of the Ageless One</t>
  </si>
  <si>
    <t>Year of the Nether Mountain Scrolls</t>
  </si>
  <si>
    <t>Year of the Awakend Sleepers</t>
  </si>
  <si>
    <t>Year of the Deep Water Drifting</t>
  </si>
  <si>
    <t xml:space="preserve"> # Men </t>
  </si>
  <si>
    <t>Ornrion leads three kadrathen and has a staff consisting of a lionar as an executive officer, three orderlies, a guidon, one swordmajor (a quartermaster), three Royal Scouts and three battlepriests.</t>
  </si>
  <si>
    <t xml:space="preserve"> Constal leads two battalions and has a staff consisting of an ornrion as an executive officer, six orderlies, a guidon, a regimental swordmajor, six Royal Scouts and six battlepriests.</t>
  </si>
  <si>
    <t xml:space="preserve"> RDE </t>
  </si>
  <si>
    <t xml:space="preserve"> RGT </t>
  </si>
  <si>
    <t xml:space="preserve"> WNG </t>
  </si>
  <si>
    <t xml:space="preserve">SQN </t>
  </si>
  <si>
    <t xml:space="preserve">Battery </t>
  </si>
  <si>
    <t>chain shirts or occasionally scalemail or chainmail, armed with sword.</t>
  </si>
  <si>
    <t xml:space="preserve">Ride </t>
  </si>
  <si>
    <t xml:space="preserve">Troop </t>
  </si>
  <si>
    <t xml:space="preserve"> TRP </t>
  </si>
  <si>
    <t xml:space="preserve">Talon </t>
  </si>
  <si>
    <t xml:space="preserve">Wing </t>
  </si>
  <si>
    <t xml:space="preserve"> FLT </t>
  </si>
  <si>
    <t>mostly studded leather armor with remainder being plain leather, shields optional, armed with sword and longbow, and sometimes with halberds during defensive actions.</t>
  </si>
  <si>
    <t xml:space="preserve">Swordcaptains (18 LNC CO's) </t>
  </si>
  <si>
    <t xml:space="preserve"> LNC </t>
  </si>
  <si>
    <t xml:space="preserve"> TLN </t>
  </si>
  <si>
    <t xml:space="preserve">Constal (RGT CO)  </t>
  </si>
  <si>
    <t>scalemail or chainmail armor with shields, armed with sword and halberd.</t>
  </si>
  <si>
    <t xml:space="preserve"> scalemail or chainmail typically, or breastplate if they can afford it, armed with sword.</t>
  </si>
  <si>
    <t xml:space="preserve"> mostly studded leather armor with remainder being plain leather, shields optional, armed with sword, light lance and longbow. Mounts will be either Golden Trotter, Duskwood Skewbald, or Emberhawk breeds of light warhorse. A rare few enlisted men might afford their own superior mounts such as Dambraii or Raurin light warhorses.</t>
  </si>
  <si>
    <t>chain shirts or occasionally scalemail or chainmail, armed with sword, light lance and longbow. Mounts will be the same as that of the enlisted men for officers of less wealth, while wealthier officers will ride on Dambraii or Raurin light warhorses or even an occasional Cormyrean Destrier or Tharurr heavy warhorses.</t>
  </si>
  <si>
    <t>scalemail or chainmail armor and barding with shields, armed with sword, heavy lance, and longbow. Mounts will typically be either Amphailian black charger or Tantan Destrier breeds of heavy warhorse. A rare few enlisted men might afford their own superior mounts such as Cormyrean Destrier or Tharurr heavy warhorses.</t>
  </si>
  <si>
    <t xml:space="preserve"> plate armor of some sort, scale or chain barding for the horse, armed with sword, heavy lance and longbow. Mounts will be the same as that of the enlisted men for officers of lesser wealth, while wealthier officers will ride Cormyrean Destrier or Tharurr heavy warhorses.</t>
  </si>
  <si>
    <t xml:space="preserve"> mostly studded leather armor with remainder being plain leather, armed with longbow and a sword for self-defense.</t>
  </si>
  <si>
    <t xml:space="preserve"> chain shirts or occasionally scalemail or chainmail, armed with longbow and sword.</t>
  </si>
  <si>
    <t xml:space="preserve"> Lionar leads three lances and has a staff consisting of a guidon, two swordmajors (a drillmaster and a campmaster), two Royal Scouts, two battlepriests, a blacksmith and assistant, and is served by a squire.</t>
  </si>
  <si>
    <t xml:space="preserve"> Ornrion leads three troops and has a staff consisting of a lionar as an executive officer, two orderlies, a guidon, one swordmajor (a quartermaster), three Royal Scouts, two battlepriests, and a blacksmith and assistant. Both the ornrion and the executive lionar are served by a squire each.</t>
  </si>
  <si>
    <t xml:space="preserve">Constal (RGT CO) </t>
  </si>
  <si>
    <t xml:space="preserve"> Constal leads two squadrons and has a staff consisting of an ornrion as an executive officer, four orderlies, a guidon, a regimental swordmajor, six Royal Scouts, six battlepriests, and a blacksmith and assistant. Both the constal and the executive ornrion are served by a squire each.</t>
  </si>
  <si>
    <t>Swordcaptain leads two talons, a swordmajor, a Royal Scout and a hippogriff handler. The swordmajor fills the same role as an Earth platoon sergeant.</t>
  </si>
  <si>
    <t xml:space="preserve"> Lionar leads two wings and has a staff consisting of two swordmajors (a drillmaster and a campmaster), two Royal Scouts, two battlepriests, and two hippogriff handlers.</t>
  </si>
  <si>
    <t xml:space="preserve"> Ornrion leads two flights and has a staff consisting of a lionar as an executive officer, two orderlies, one swordmajor (a quartermaster), four Royal Scouts, two battlepriests, and four hippogriff handlers.</t>
  </si>
  <si>
    <t xml:space="preserve"> Constal leads two squadrons and has a staff consisting of an ornrion as an executive officer, four orderlies, a regimental swordmajor, six Royal Scouts, four battlepriests, and three hippogriff handlers.</t>
  </si>
  <si>
    <t xml:space="preserve"> Lionar leads 4 flights and has a staff consisting of a guidon, a campmaster, and a battlepriest.</t>
  </si>
  <si>
    <t>24 gp</t>
  </si>
  <si>
    <t>Abracadabrus</t>
  </si>
  <si>
    <t>Absorbing Tattoo</t>
  </si>
  <si>
    <t>Acheron Blade</t>
  </si>
  <si>
    <t>Alchemical Compendium</t>
  </si>
  <si>
    <t>Ammunition +1 (Ea)</t>
  </si>
  <si>
    <t>Ammunition +2 (Ea)</t>
  </si>
  <si>
    <t>Ammunition +3 (Ea)</t>
  </si>
  <si>
    <t>Amulet Of Health</t>
  </si>
  <si>
    <t>Amulet Of Proof Against Detection And Location</t>
  </si>
  <si>
    <t>Amulet Of Protection From Turning</t>
  </si>
  <si>
    <t>Amulet Of The Black Skull</t>
  </si>
  <si>
    <t>Amulet of the Drunkard</t>
  </si>
  <si>
    <t>Amulet Of The Planes</t>
  </si>
  <si>
    <t>Apparatus Of Kwalish</t>
  </si>
  <si>
    <t>Apparatus Of The Crab</t>
  </si>
  <si>
    <t>Arcane Cannon</t>
  </si>
  <si>
    <t>Arcane Propulsion Arm</t>
  </si>
  <si>
    <t>Arcanomechanical Armor</t>
  </si>
  <si>
    <t>Armblade</t>
  </si>
  <si>
    <t>Armor Of Gleaming (any medium or heavy)</t>
  </si>
  <si>
    <t>Armor Of Invulnerability</t>
  </si>
  <si>
    <t>Armor Of Resistance</t>
  </si>
  <si>
    <t>Armor Of Vulnerability</t>
  </si>
  <si>
    <t>Armor, +1</t>
  </si>
  <si>
    <t>Arrow Of Slaying (Ea)</t>
  </si>
  <si>
    <t>Astral Shard</t>
  </si>
  <si>
    <t>Astronomy Archive</t>
  </si>
  <si>
    <t>Atlas of Endless Horizons</t>
  </si>
  <si>
    <t>Azuredge (battleaxe)</t>
  </si>
  <si>
    <t>Badge Of The Watch</t>
  </si>
  <si>
    <t>Bag Of Beans</t>
  </si>
  <si>
    <t>Bag Of Bounty</t>
  </si>
  <si>
    <t>Bag Of Devouring</t>
  </si>
  <si>
    <t>Bag Of Holding</t>
  </si>
  <si>
    <t>Bag Of Tricks</t>
  </si>
  <si>
    <t>Balance Of Harmony</t>
  </si>
  <si>
    <t>Balloon Pack</t>
  </si>
  <si>
    <t>Band Of Loyalty</t>
  </si>
  <si>
    <t>Banner Of The Krig Rune</t>
  </si>
  <si>
    <t>Battering Shield</t>
  </si>
  <si>
    <t>Battle Standard Of Infernal Power</t>
  </si>
  <si>
    <t>Bead Of Force</t>
  </si>
  <si>
    <t>Bead Of Nourishment</t>
  </si>
  <si>
    <t>Bead Of Refreshment</t>
  </si>
  <si>
    <t>Belashyrras Beholder Crown</t>
  </si>
  <si>
    <t>Bell Branch</t>
  </si>
  <si>
    <t>Belt Of Dwarvenkind</t>
  </si>
  <si>
    <t>Belt Of Giant Strength (Cloud)</t>
  </si>
  <si>
    <t>Belt Of Giant Strength (Fire)</t>
  </si>
  <si>
    <t>Belt Of Giant Strength (Hill)</t>
  </si>
  <si>
    <t>Belt Of Giant Strength (Stone/Frost)</t>
  </si>
  <si>
    <t>Belt Of Giant Strength (Storm)</t>
  </si>
  <si>
    <t>Berserker Axe</t>
  </si>
  <si>
    <t>Black Crystal Tablet</t>
  </si>
  <si>
    <t>Black Dragon Mask</t>
  </si>
  <si>
    <t>Blackrazor</t>
  </si>
  <si>
    <t>Blackstaff</t>
  </si>
  <si>
    <t>Blade Of The Medusa</t>
  </si>
  <si>
    <t>Blast Scepter</t>
  </si>
  <si>
    <t>Blod Stone</t>
  </si>
  <si>
    <t>Blood Fury Tattoo</t>
  </si>
  <si>
    <t>Blood Spear</t>
  </si>
  <si>
    <t>Bloodaxe</t>
  </si>
  <si>
    <t>Blue Dragon Mask</t>
  </si>
  <si>
    <t>Bonecounter</t>
  </si>
  <si>
    <t>Bookmark (dagger)</t>
  </si>
  <si>
    <t>Boomerang +1</t>
  </si>
  <si>
    <t>Boomerang +2</t>
  </si>
  <si>
    <t>Boomerang +3</t>
  </si>
  <si>
    <t>Boots Of Elvenkind</t>
  </si>
  <si>
    <t>Boots Of False Tracks</t>
  </si>
  <si>
    <t>Boots Of Levitation</t>
  </si>
  <si>
    <t>Boots Of Speed</t>
  </si>
  <si>
    <t>Boots Of Striding And Springing</t>
  </si>
  <si>
    <t>Boots Of The Winterlands</t>
  </si>
  <si>
    <t>Bottled Breath</t>
  </si>
  <si>
    <t>Bowl Of Commanding Water Elementals</t>
  </si>
  <si>
    <t>Bracelet Of Rock Magic</t>
  </si>
  <si>
    <t>Bracer Of Flying Daggers</t>
  </si>
  <si>
    <t>Bracers Of Archery</t>
  </si>
  <si>
    <t>Bracers Of Defense</t>
  </si>
  <si>
    <t>Brazier Of Commanding Fire Elementals</t>
  </si>
  <si>
    <t>Breathing Bubble</t>
  </si>
  <si>
    <t>Brooch of Living Essence</t>
  </si>
  <si>
    <t>Brooch Of Shielding</t>
  </si>
  <si>
    <t>Broom Of Flying</t>
  </si>
  <si>
    <t>Butchers Bib</t>
  </si>
  <si>
    <t>Candle Of Invocation</t>
  </si>
  <si>
    <t>Candle Of The Deep</t>
  </si>
  <si>
    <t>Cap Of Water Breathing</t>
  </si>
  <si>
    <t>Cape Of The Mountebank</t>
  </si>
  <si>
    <t>Carpet Of Flying</t>
  </si>
  <si>
    <t>Cartographers Map Case</t>
  </si>
  <si>
    <t>Cast Off Armor</t>
  </si>
  <si>
    <t>Cauldron of Plenty</t>
  </si>
  <si>
    <t>Cauldron of Rebirth</t>
  </si>
  <si>
    <t>Censer Of Controlling Air Elementals</t>
  </si>
  <si>
    <t>Charlatan's Die</t>
  </si>
  <si>
    <t>Charm Of Plant Command</t>
  </si>
  <si>
    <t>Chest Of Preserving</t>
  </si>
  <si>
    <t>Chime Of Opening</t>
  </si>
  <si>
    <t>Chronolometer</t>
  </si>
  <si>
    <t>Circlet Of Blasting</t>
  </si>
  <si>
    <t>Circlet Of Human Perfection</t>
  </si>
  <si>
    <t>Claw Of The Wyrm Rune</t>
  </si>
  <si>
    <t>Claws Of The Umber Hulk</t>
  </si>
  <si>
    <t>Cleansing Stone</t>
  </si>
  <si>
    <t>Cloak Of Arachnida</t>
  </si>
  <si>
    <t>Cloak Of Billowing</t>
  </si>
  <si>
    <t>Cloak Of Displacement</t>
  </si>
  <si>
    <t>Cloak Of Elvenkind</t>
  </si>
  <si>
    <t>Cloak Of Invisibility</t>
  </si>
  <si>
    <t>Cloak Of Many Fashions</t>
  </si>
  <si>
    <t>Cloak Of Protection</t>
  </si>
  <si>
    <t>Cloak Of The Bat</t>
  </si>
  <si>
    <t>Cloak Of The Manta Ray</t>
  </si>
  <si>
    <t>Clockwork Amulet</t>
  </si>
  <si>
    <t>Clothes Of Mending</t>
  </si>
  <si>
    <t>Coiling Grasp Tattoo</t>
  </si>
  <si>
    <t>Coin of Delving</t>
  </si>
  <si>
    <t>Conch Of Teleportation</t>
  </si>
  <si>
    <t>Corpse Slayer</t>
  </si>
  <si>
    <t>Crystal Ball Of Mind Reading</t>
  </si>
  <si>
    <t>Crystal Ball Of Telepathy</t>
  </si>
  <si>
    <t>Crystal Ball Of True Seeing</t>
  </si>
  <si>
    <t>Crystalline Chronicle</t>
  </si>
  <si>
    <t>Cube Of Force</t>
  </si>
  <si>
    <t>Cursed Luckstone</t>
  </si>
  <si>
    <t>Dagger Of Blindsight</t>
  </si>
  <si>
    <t>Dagger Of Venom</t>
  </si>
  <si>
    <t>Dancing Sword (any sword)</t>
  </si>
  <si>
    <t>Danoth's Visor</t>
  </si>
  <si>
    <t>Dark Shard Amulet</t>
  </si>
  <si>
    <t>Dawnbringer (longsword)</t>
  </si>
  <si>
    <t>Decanter Of Endless Water</t>
  </si>
  <si>
    <t>Deck Of Illusions</t>
  </si>
  <si>
    <t>Deck Of Many Things</t>
  </si>
  <si>
    <t>Deck Of Several Things</t>
  </si>
  <si>
    <t>Defender (any sword)</t>
  </si>
  <si>
    <t>Demon Armor (plate) (cursed)</t>
  </si>
  <si>
    <t>Devastation Orb (Air)</t>
  </si>
  <si>
    <t>Devastation Orb (Earth)</t>
  </si>
  <si>
    <t>Devastation Orb (Fire)</t>
  </si>
  <si>
    <t>Devastation Orb (Water)</t>
  </si>
  <si>
    <t>Devotee's Censer</t>
  </si>
  <si>
    <t>Dimensional Loop</t>
  </si>
  <si>
    <t>Dimensional Seal</t>
  </si>
  <si>
    <t>Dispelling Stone</t>
  </si>
  <si>
    <t>Docent</t>
  </si>
  <si>
    <t>Dodecahedron Of Doom</t>
  </si>
  <si>
    <t>Dragon Slayer (any sword)</t>
  </si>
  <si>
    <t>Dragonguard</t>
  </si>
  <si>
    <t>Dragonstaff Of Ahghairon</t>
  </si>
  <si>
    <t>Dragontooth Dagger</t>
  </si>
  <si>
    <t>Dread Helm</t>
  </si>
  <si>
    <t>Drown (trident)</t>
  </si>
  <si>
    <t>Duplicitous Manuscript</t>
  </si>
  <si>
    <t>Duskcrusher</t>
  </si>
  <si>
    <t>Dust of Deliciousness</t>
  </si>
  <si>
    <t>Dust Of Disappearance</t>
  </si>
  <si>
    <t>Dust Of Dryness (1 pellet)</t>
  </si>
  <si>
    <t>Dust Of Sneezing And Choking</t>
  </si>
  <si>
    <t>Dwarven Thrower (warhammer)</t>
  </si>
  <si>
    <t>Dyrrns Tentacle Whip</t>
  </si>
  <si>
    <t>Eagle Whistle</t>
  </si>
  <si>
    <t>Ear Horn Of Hearing</t>
  </si>
  <si>
    <t>Earworm</t>
  </si>
  <si>
    <t>Efficient Quiver</t>
  </si>
  <si>
    <t>Efreeti Chain (chain mail)</t>
  </si>
  <si>
    <t>Elder Cartographers Glossography</t>
  </si>
  <si>
    <t>Eldritch Claw Tattoo</t>
  </si>
  <si>
    <t>Elemental Essence Shard</t>
  </si>
  <si>
    <t>Elixir Of Health</t>
  </si>
  <si>
    <t>Enduring Spellbook</t>
  </si>
  <si>
    <t>Ersatz Eye</t>
  </si>
  <si>
    <t>Everbright Lantern</t>
  </si>
  <si>
    <t>Eyes Of Charming</t>
  </si>
  <si>
    <t>Eyes Of Minute Seeing</t>
  </si>
  <si>
    <t>Eyes Of The Eagle</t>
  </si>
  <si>
    <t>Failed Experiment Wand</t>
  </si>
  <si>
    <t>Fane-Eater</t>
  </si>
  <si>
    <t>Far Gear</t>
  </si>
  <si>
    <t>Far Realm Shard</t>
  </si>
  <si>
    <t>Feather Of Diatryma Summoning</t>
  </si>
  <si>
    <t>Feather Token</t>
  </si>
  <si>
    <t>Feather Token (Feather Fall)</t>
  </si>
  <si>
    <t>Feather Token Feather Fall</t>
  </si>
  <si>
    <t>Fernian Ash Focus</t>
  </si>
  <si>
    <t>Feywild Shard</t>
  </si>
  <si>
    <t>Figurine of Wondrous Power (Bronze Griffon)</t>
  </si>
  <si>
    <t>Figurine of Wondrous Power (Ebony Fly)</t>
  </si>
  <si>
    <t>Figurine of Wondrous Power (Golden Lions)</t>
  </si>
  <si>
    <t>Figurine of Wondrous Power (Ivory Goats - Terror)</t>
  </si>
  <si>
    <t>Figurine of Wondrous Power (Ivory Goats - Travail)</t>
  </si>
  <si>
    <t>Figurine of Wondrous Power (Ivory Goats - Travelling)</t>
  </si>
  <si>
    <t>Figurine of Wondrous Power (Marble Elephant)</t>
  </si>
  <si>
    <t>Figurine of Wondrous Power (Obsidian Steed)</t>
  </si>
  <si>
    <t>Figurine of Wondrous Power (Onyx Dog)</t>
  </si>
  <si>
    <t>Figurine of Wondrous Power (Serpentine Owl)</t>
  </si>
  <si>
    <t>Figurine of Wondrous Power (Silver Raven)</t>
  </si>
  <si>
    <t>Finders Goggles</t>
  </si>
  <si>
    <t>Flying Chariot</t>
  </si>
  <si>
    <t>Frost Brand (any sword)</t>
  </si>
  <si>
    <t>Fulminating Treatise</t>
  </si>
  <si>
    <t>Galder's Bubble Pipe</t>
  </si>
  <si>
    <t>Gamblers Blade</t>
  </si>
  <si>
    <t>Gauntlets Of Flaming Fury</t>
  </si>
  <si>
    <t>Gauntlets Of Ogre Power</t>
  </si>
  <si>
    <t>Gavel Of The Venn Rune</t>
  </si>
  <si>
    <t>Gem Of Brightness</t>
  </si>
  <si>
    <t>Gem Of Seeing</t>
  </si>
  <si>
    <t>Ghost Lantern</t>
  </si>
  <si>
    <t>Ghost Step Tattoo</t>
  </si>
  <si>
    <t>Giant Slayer (any sword or axe)</t>
  </si>
  <si>
    <t>Glamerweave (Common)</t>
  </si>
  <si>
    <t>Glamerweave (Uncommon)</t>
  </si>
  <si>
    <t>Gloves Of Missile Snaring</t>
  </si>
  <si>
    <t>Gloves Of Swimming And Climbing</t>
  </si>
  <si>
    <t>Gloves Of Thievery</t>
  </si>
  <si>
    <t>Goggles Of Night</t>
  </si>
  <si>
    <t>Goggles of Object Reading</t>
  </si>
  <si>
    <t>Greater Silver Sword</t>
  </si>
  <si>
    <t>Green Dragon Mask</t>
  </si>
  <si>
    <t>Grimoire Infinitus</t>
  </si>
  <si>
    <t>Guardian Emblem</t>
  </si>
  <si>
    <t>Guild Charms</t>
  </si>
  <si>
    <t>Guild Keyrune (Azorius)</t>
  </si>
  <si>
    <t>Guild Keyrune (Boros)</t>
  </si>
  <si>
    <t>Guild Keyrune (Dimir)</t>
  </si>
  <si>
    <t>Guild Keyrune (Golgari)</t>
  </si>
  <si>
    <t>Guild Keyrune (Gruul)</t>
  </si>
  <si>
    <t>Guild Keyrune (Izzet)</t>
  </si>
  <si>
    <t>Guild Keyrune (Orzhov)</t>
  </si>
  <si>
    <t>Guild Keyrune (Rakdos)</t>
  </si>
  <si>
    <t>Guild Keyrune (Selesnya)</t>
  </si>
  <si>
    <t>Guild Keyrune (Simic)</t>
  </si>
  <si>
    <t>Guild Signet</t>
  </si>
  <si>
    <t>Gulthias Staff</t>
  </si>
  <si>
    <t>Gurt's Greataxe</t>
  </si>
  <si>
    <t>Hammer Of Thunderbolts (maul)</t>
  </si>
  <si>
    <t>Handy Haversack</t>
  </si>
  <si>
    <t>Hat Of Disguise</t>
  </si>
  <si>
    <t>Hat Of Vermin</t>
  </si>
  <si>
    <t>Hat Of Wizardry</t>
  </si>
  <si>
    <t>Hazirawn (greatsword)</t>
  </si>
  <si>
    <t>Headband Of Intellect</t>
  </si>
  <si>
    <t>Heart Weaver's Primer</t>
  </si>
  <si>
    <t>Hell Hound Cloak</t>
  </si>
  <si>
    <t>Hellfire Weapon</t>
  </si>
  <si>
    <t>Helm Of Brilliance</t>
  </si>
  <si>
    <t>Helm Of Comprehending Languages</t>
  </si>
  <si>
    <t>Helm Of Devil Command</t>
  </si>
  <si>
    <t>Helm Of Telepathy</t>
  </si>
  <si>
    <t>Helm Of Teleportation</t>
  </si>
  <si>
    <t>Helm of the Gods</t>
  </si>
  <si>
    <t>Helm Of The Scavenger</t>
  </si>
  <si>
    <t>Helm Of Underwater Action</t>
  </si>
  <si>
    <t>Hew</t>
  </si>
  <si>
    <t>Heward's Handy Spice Pouch</t>
  </si>
  <si>
    <t>Heward's Hireling Armor</t>
  </si>
  <si>
    <t>Hide of the Feral Guardian</t>
  </si>
  <si>
    <t>Holy Avenger (any sword)</t>
  </si>
  <si>
    <t>Holy Symbol Of Ravenkind</t>
  </si>
  <si>
    <t>Hook of Fisher's Delight</t>
  </si>
  <si>
    <t>Horn Of Blasting</t>
  </si>
  <si>
    <t>Horn Of Silent Alarm</t>
  </si>
  <si>
    <t>Horn Of The Endless Maze</t>
  </si>
  <si>
    <t>Horn Of Valhalla (Brass)</t>
  </si>
  <si>
    <t>Horn Of Valhalla (Bronze)</t>
  </si>
  <si>
    <t>Horn Of Valhalla (Iron)</t>
  </si>
  <si>
    <t>Horn Of Valhalla (Silver)</t>
  </si>
  <si>
    <t>Horned Ring</t>
  </si>
  <si>
    <t>Horseshoes Of A Zephyr</t>
  </si>
  <si>
    <t>Horseshoes Of Speed</t>
  </si>
  <si>
    <t>Hunter's Coat</t>
  </si>
  <si>
    <t>Icon Of Ravenloft</t>
  </si>
  <si>
    <t>Illuminator's Tattoo</t>
  </si>
  <si>
    <t>Illusionists Bracers</t>
  </si>
  <si>
    <t>Imbued Wood Focus</t>
  </si>
  <si>
    <t>Infernal Puzzle Box</t>
  </si>
  <si>
    <t>Infernal Tack</t>
  </si>
  <si>
    <t>Infiltrator's Key</t>
  </si>
  <si>
    <t>Ingot Of The Skold Rune</t>
  </si>
  <si>
    <t>Inquisitives Goggles</t>
  </si>
  <si>
    <t>Insignia Of Claws</t>
  </si>
  <si>
    <t>Instant Fortress</t>
  </si>
  <si>
    <t>Instrument Of Illusions</t>
  </si>
  <si>
    <t>Instrument Of Scribing</t>
  </si>
  <si>
    <t>Instrument of the Bards (Anstruth Harp)</t>
  </si>
  <si>
    <t>Instrument of the Bards (Canaith Mandolin)</t>
  </si>
  <si>
    <t>Instrument of the Bards (Cli Lyre)</t>
  </si>
  <si>
    <t>Instrument of the Bards (Doss Lute)</t>
  </si>
  <si>
    <t>Instrument of the Bards (Fochulan Bandore)</t>
  </si>
  <si>
    <t>Instrument of the Bards (Mac-Fuirmidh Cittern)</t>
  </si>
  <si>
    <t>Instrument of the Bards (Ollamh Harp)</t>
  </si>
  <si>
    <t>Ioun Stone (Absorption)</t>
  </si>
  <si>
    <t>Ioun Stone (Agility)</t>
  </si>
  <si>
    <t>Ioun Stone (Awareness)</t>
  </si>
  <si>
    <t>Ioun Stone (Fortitude)</t>
  </si>
  <si>
    <t>Ioun Stone (Greater Absorption)</t>
  </si>
  <si>
    <t>Ioun Stone (Insight)</t>
  </si>
  <si>
    <t>Ioun Stone (Intellect)</t>
  </si>
  <si>
    <t>Ioun Stone (Leadership)</t>
  </si>
  <si>
    <t>Ioun Stone (Mastery)</t>
  </si>
  <si>
    <t>Ioun Stone (Protection)</t>
  </si>
  <si>
    <t>Ioun Stone (Regeneration)</t>
  </si>
  <si>
    <t>Ioun Stone (Reserve)</t>
  </si>
  <si>
    <t>Ioun Stone (Strength)</t>
  </si>
  <si>
    <t>Ioun Stone (Sustenance)</t>
  </si>
  <si>
    <t>Ioun Stone Of Historical Knowledge</t>
  </si>
  <si>
    <t>Ioun Stone Of Language Knowledge</t>
  </si>
  <si>
    <t>Ioun Stone Of Natural Knowledge</t>
  </si>
  <si>
    <t>Ioun Stone Of Religious Knowledge</t>
  </si>
  <si>
    <t>Ioun Stone Of Self Preservation</t>
  </si>
  <si>
    <t>Ioun Stone Of Supreme Intellect</t>
  </si>
  <si>
    <t>Irian Rosewood Focus</t>
  </si>
  <si>
    <t>Iron Bands Of Bilarro</t>
  </si>
  <si>
    <t>Iron Bands Of Binding</t>
  </si>
  <si>
    <t>Ironfang (war pick)</t>
  </si>
  <si>
    <t>Javelin Of Backbiting</t>
  </si>
  <si>
    <t>Javelin Of Lightning</t>
  </si>
  <si>
    <t>Keoghtom's Ointment (Per Dose)</t>
  </si>
  <si>
    <t>Keycharm</t>
  </si>
  <si>
    <t>Knave's Eye Patch</t>
  </si>
  <si>
    <t>Korolnor Scepter</t>
  </si>
  <si>
    <t>Kyrzins Ooze</t>
  </si>
  <si>
    <t>Kythrian Manchineel Focus</t>
  </si>
  <si>
    <t>Lamannian Oak Focus</t>
  </si>
  <si>
    <t>Lantern Of Revealing</t>
  </si>
  <si>
    <t>Lantern of Tracking</t>
  </si>
  <si>
    <t>Last Stand Armor</t>
  </si>
  <si>
    <t>Leather Golem Armor</t>
  </si>
  <si>
    <t>Libram of Souls and Flesh</t>
  </si>
  <si>
    <t>Lifewell Tattoo</t>
  </si>
  <si>
    <t>Lightbringer</t>
  </si>
  <si>
    <t>Living Armor</t>
  </si>
  <si>
    <t>Living Gloves</t>
  </si>
  <si>
    <t>Loadstone</t>
  </si>
  <si>
    <t>Lock Of Trickery</t>
  </si>
  <si>
    <t>Lord's Ensemble</t>
  </si>
  <si>
    <t>Lost Crown Of Besilmer</t>
  </si>
  <si>
    <t>Luxon Beacon</t>
  </si>
  <si>
    <t>Lyre of Building</t>
  </si>
  <si>
    <t>Mabaran Ebony Focus</t>
  </si>
  <si>
    <t>Mabaran Resonator</t>
  </si>
  <si>
    <t>Mace Of Disruption</t>
  </si>
  <si>
    <t>Mace Of Smiting</t>
  </si>
  <si>
    <t>Mace Of Terror</t>
  </si>
  <si>
    <t>Mantle Of Spell Resistance</t>
  </si>
  <si>
    <t>Manual Of Bodily Health</t>
  </si>
  <si>
    <t>Manual Of Gainful Exercise</t>
  </si>
  <si>
    <t>Manual Of Golems</t>
  </si>
  <si>
    <t>Manual Of Quickness Of Action</t>
  </si>
  <si>
    <t>Marvelous Pigments</t>
  </si>
  <si>
    <t>Mask Of The Beast</t>
  </si>
  <si>
    <t>Mask Of The Dragon Queen</t>
  </si>
  <si>
    <t>Masquerade Tattoo</t>
  </si>
  <si>
    <t>Master's Amulet</t>
  </si>
  <si>
    <t>Masters Call</t>
  </si>
  <si>
    <t>Master's Call</t>
  </si>
  <si>
    <t>Matalotok</t>
  </si>
  <si>
    <t>Medallion Of Thoughts</t>
  </si>
  <si>
    <t>Mind Blade</t>
  </si>
  <si>
    <t>Mind Carapace Armor</t>
  </si>
  <si>
    <t>Mind Lash</t>
  </si>
  <si>
    <t>Mirror Of Life Trapping</t>
  </si>
  <si>
    <t>Mirror Of The Past</t>
  </si>
  <si>
    <t>Mithral Armor (medium or heavy, not hide)</t>
  </si>
  <si>
    <t>Mithral Half Plate, +1</t>
  </si>
  <si>
    <t>Mizzium Apparatus</t>
  </si>
  <si>
    <t>Mizzium Armor</t>
  </si>
  <si>
    <t>Mizzium Mortar</t>
  </si>
  <si>
    <t>Molten Bronze Skin</t>
  </si>
  <si>
    <t>Moodmark Paint</t>
  </si>
  <si>
    <t>Moonblade</t>
  </si>
  <si>
    <t>Moon-Touched Sword</t>
  </si>
  <si>
    <t>Mystery Key</t>
  </si>
  <si>
    <t>Nature's Mantle</t>
  </si>
  <si>
    <t>Navigation Orb</t>
  </si>
  <si>
    <t>Necklace Of Adaptation</t>
  </si>
  <si>
    <t>Necklace of Fireballs (1 Bead)</t>
  </si>
  <si>
    <t>Necklace of Fireballs (2 Beads)</t>
  </si>
  <si>
    <t>Necklace of Fireballs (3 Beads)</t>
  </si>
  <si>
    <t>Necklace of Fireballs (4 Beads)</t>
  </si>
  <si>
    <t>Necklace of Fireballs (5 Beads)</t>
  </si>
  <si>
    <t>Necklace of Fireballs (6 Beads)</t>
  </si>
  <si>
    <t>Necklace Of Prayer Beads (Blessing)</t>
  </si>
  <si>
    <t>Necklace Of Prayer Beads (Curing)</t>
  </si>
  <si>
    <t>Necklace Of Prayer Beads (Favor)</t>
  </si>
  <si>
    <t>Necklace Of Prayer Beads (Smiting)</t>
  </si>
  <si>
    <t>Necklace Of Prayer Beads (Summons)</t>
  </si>
  <si>
    <t>Necklace Of Prayer Beads (Wind Walking)</t>
  </si>
  <si>
    <t>Needle of Mending</t>
  </si>
  <si>
    <t>Night Caller</t>
  </si>
  <si>
    <t>Nightfall Pearl</t>
  </si>
  <si>
    <t>Nine Lives Stealer (Fully Charged) (any sword)</t>
  </si>
  <si>
    <t>Oathbow (longbow)</t>
  </si>
  <si>
    <t>Obsidian Flint Dragon Plate</t>
  </si>
  <si>
    <t>Oil Of Etherealness</t>
  </si>
  <si>
    <t>Oil Of Sharpness</t>
  </si>
  <si>
    <t>Oil Of Slipperiness</t>
  </si>
  <si>
    <t>Opal Of The Ild Rune</t>
  </si>
  <si>
    <t>Orb Of Direction</t>
  </si>
  <si>
    <t>Orb Of Gonging</t>
  </si>
  <si>
    <t>Orb Of Shielding</t>
  </si>
  <si>
    <t>Orb Of The Stein Rune</t>
  </si>
  <si>
    <t>Orb of the Veil</t>
  </si>
  <si>
    <t>Orb Of Time</t>
  </si>
  <si>
    <t>Orcsplitter (greataxe)</t>
  </si>
  <si>
    <t>Outer Essence Shard</t>
  </si>
  <si>
    <t>Paper Bird</t>
  </si>
  <si>
    <t>Pariah's Shield</t>
  </si>
  <si>
    <t>Pearl Of Power</t>
  </si>
  <si>
    <t>Pennant Of The Vind Rune</t>
  </si>
  <si>
    <t>Peregrine Mask</t>
  </si>
  <si>
    <t>Perfume Of Bewitching</t>
  </si>
  <si>
    <t>Periapt Of Health</t>
  </si>
  <si>
    <t>Periapt Of Proof Against Poison</t>
  </si>
  <si>
    <t>Periapt Of Wound Closure</t>
  </si>
  <si>
    <t>Philter Of Love</t>
  </si>
  <si>
    <t>Piercer</t>
  </si>
  <si>
    <t>Pipe Of Remembrance</t>
  </si>
  <si>
    <t>Pipe Of Smoke Monsters</t>
  </si>
  <si>
    <t>Pipes Of Haunting</t>
  </si>
  <si>
    <t>Pipes Of The Sewers</t>
  </si>
  <si>
    <t>Piwafwi (Cloak Of Elvenkind)</t>
  </si>
  <si>
    <t>Piwafwi Of Fire Resistance</t>
  </si>
  <si>
    <t>Planecaller's Codex</t>
  </si>
  <si>
    <t>Plate Armor Of Etherealness</t>
  </si>
  <si>
    <t>Pole Of Angling</t>
  </si>
  <si>
    <t>Pole Of Collapsing</t>
  </si>
  <si>
    <t>Polymorph Blade</t>
  </si>
  <si>
    <t>Pot Of Awakening</t>
  </si>
  <si>
    <t>Potion Of Animal Friendship</t>
  </si>
  <si>
    <t>Potion of Aqueous Form</t>
  </si>
  <si>
    <t>Potion Of Clairvoyance</t>
  </si>
  <si>
    <t>Potion Of Climbing</t>
  </si>
  <si>
    <t>Potion Of Comprehension</t>
  </si>
  <si>
    <t>Potion Of Diminution</t>
  </si>
  <si>
    <t>Potion Of Fire Breath</t>
  </si>
  <si>
    <t>Potion Of Flying</t>
  </si>
  <si>
    <t>Potion Of Gaseous Form</t>
  </si>
  <si>
    <t>Potion Of Giant Size</t>
  </si>
  <si>
    <t>Potion Of Giant Strength (Cloud)</t>
  </si>
  <si>
    <t>Potion Of Giant Strength (Fire)</t>
  </si>
  <si>
    <t>Potion Of Giant Strength (Frost/Stone)</t>
  </si>
  <si>
    <t>Potion Of Giant Strength (Hill)</t>
  </si>
  <si>
    <t>Potion Of Giant Strength (Storm)</t>
  </si>
  <si>
    <t>Potion Of Growth</t>
  </si>
  <si>
    <t>Potion Of Healing</t>
  </si>
  <si>
    <t>Potion Of Healing (Greater)</t>
  </si>
  <si>
    <t>Potion Of Healing (Superior)</t>
  </si>
  <si>
    <t>Potion Of Healing (Supreme)</t>
  </si>
  <si>
    <t>Potion Of Heroism</t>
  </si>
  <si>
    <t>Potion Of Invisibility</t>
  </si>
  <si>
    <t>Potion Of Invulnerability</t>
  </si>
  <si>
    <t>Potion Of Longevity</t>
  </si>
  <si>
    <t>Potion of Maximum Power</t>
  </si>
  <si>
    <t>Potion Of Mind Control (Beast)</t>
  </si>
  <si>
    <t>Potion Of Mind Control (Humanoid)</t>
  </si>
  <si>
    <t>Potion Of Mind Control (Monster)</t>
  </si>
  <si>
    <t>Potion Of Mind Reading</t>
  </si>
  <si>
    <t>Potion Of Poison</t>
  </si>
  <si>
    <t>Potion of Possibility</t>
  </si>
  <si>
    <t>Potion Of Resistance</t>
  </si>
  <si>
    <t>Potion Of Speed</t>
  </si>
  <si>
    <t>Potion Of Vitality</t>
  </si>
  <si>
    <t>Potion Of Watchful Rest</t>
  </si>
  <si>
    <t>Potion Of Water Breathing</t>
  </si>
  <si>
    <t>Powered Armor</t>
  </si>
  <si>
    <t>Pressure Capsule</t>
  </si>
  <si>
    <t>Professor Orb</t>
  </si>
  <si>
    <t>Propeller Helm</t>
  </si>
  <si>
    <t>Prosthetic Limb</t>
  </si>
  <si>
    <t>Protective Verses</t>
  </si>
  <si>
    <t>Psi Crystal</t>
  </si>
  <si>
    <t>Pyroconverger</t>
  </si>
  <si>
    <t>Pyxis of Pandemonium</t>
  </si>
  <si>
    <t>Quaals Feather Token (Anchor)</t>
  </si>
  <si>
    <t>Quaals Feather Token (Bird)</t>
  </si>
  <si>
    <t>Quaals Feather Token (Fan)</t>
  </si>
  <si>
    <t>Quaals Feather Token (Swan Boat)</t>
  </si>
  <si>
    <t>Quaals Feather Token (Whip)</t>
  </si>
  <si>
    <t>Quiver Of Ehlonna</t>
  </si>
  <si>
    <t>Quori Beech Focus</t>
  </si>
  <si>
    <t>Rakdos Riteknife (dagger)</t>
  </si>
  <si>
    <t>Red Dragon Mask</t>
  </si>
  <si>
    <t>Reincarnation Dust</t>
  </si>
  <si>
    <t>Restorative Ointment</t>
  </si>
  <si>
    <t>Reveler's Concertina</t>
  </si>
  <si>
    <t>Revenant Double Bladed Scimitar</t>
  </si>
  <si>
    <t>Revenant Double-Bladed Scimitar</t>
  </si>
  <si>
    <t>Ring Of Air Elemental Command</t>
  </si>
  <si>
    <t>Ring Of Animal Influence</t>
  </si>
  <si>
    <t>Ring Of Djinni Summoning</t>
  </si>
  <si>
    <t>Ring Of Earth Elemental Command</t>
  </si>
  <si>
    <t>Ring Of Elemental Command</t>
  </si>
  <si>
    <t>Ring Of Evasion</t>
  </si>
  <si>
    <t>Ring Of Feather Falling</t>
  </si>
  <si>
    <t>Ring Of Fire Elemental Command</t>
  </si>
  <si>
    <t>Ring Of Free Action</t>
  </si>
  <si>
    <t>Ring Of Invisibility</t>
  </si>
  <si>
    <t>Ring Of Jumping</t>
  </si>
  <si>
    <t>Ring Of Mind Shielding</t>
  </si>
  <si>
    <t>Ring of Obscuring</t>
  </si>
  <si>
    <t>Ring Of Protection</t>
  </si>
  <si>
    <t>Ring Of Regeneration</t>
  </si>
  <si>
    <t>Ring Of Resistance</t>
  </si>
  <si>
    <t>Ring Of Shooting Stars</t>
  </si>
  <si>
    <t>Ring Of Spell Storing</t>
  </si>
  <si>
    <t>Ring Of Spell Turning</t>
  </si>
  <si>
    <t>Ring Of Swimming</t>
  </si>
  <si>
    <t>Ring Of Telekinesis</t>
  </si>
  <si>
    <t>Ring of Temporal Salvation</t>
  </si>
  <si>
    <t>Ring Of The Ram</t>
  </si>
  <si>
    <t>Ring Of Three Wishes</t>
  </si>
  <si>
    <t>Ring Of Truth Telling</t>
  </si>
  <si>
    <t>Ring Of Warmth</t>
  </si>
  <si>
    <t>Ring Of Water Elemental Command</t>
  </si>
  <si>
    <t>Ring Of Water Walking</t>
  </si>
  <si>
    <t>Ring Of X-Ray Vision</t>
  </si>
  <si>
    <t>Rings Of Shared Suffering</t>
  </si>
  <si>
    <t>Risian Pine Focus</t>
  </si>
  <si>
    <t>Robe Of Eyes</t>
  </si>
  <si>
    <t>Robe Of Scintillating Colors</t>
  </si>
  <si>
    <t>Robe Of Serpents</t>
  </si>
  <si>
    <t>Robe Of Stars</t>
  </si>
  <si>
    <t>Robe Of Summer</t>
  </si>
  <si>
    <t>Robe Of The Archmagi</t>
  </si>
  <si>
    <t>Robe Of Useful Items</t>
  </si>
  <si>
    <t>Rod Of Absorption</t>
  </si>
  <si>
    <t>Rod Of Alertness</t>
  </si>
  <si>
    <t>Rod Of Lordly Might</t>
  </si>
  <si>
    <t>Rod Of Resurrection</t>
  </si>
  <si>
    <t>Rod of Retribution</t>
  </si>
  <si>
    <t>Rod Of Rulership</t>
  </si>
  <si>
    <t>Rod Of Security</t>
  </si>
  <si>
    <t>Rod Of The Pact Keeper +1</t>
  </si>
  <si>
    <t>Rod Of The Pact Keeper +2</t>
  </si>
  <si>
    <t>Rod Of The Pact Keeper +3</t>
  </si>
  <si>
    <t>Rod Of The Vonindod</t>
  </si>
  <si>
    <t>Rope Of Climbing</t>
  </si>
  <si>
    <t>Rope Of Entanglement</t>
  </si>
  <si>
    <t>Rope Of Mending</t>
  </si>
  <si>
    <t>Rotor Of Return</t>
  </si>
  <si>
    <t>Ruby Of The War Mage</t>
  </si>
  <si>
    <t>Saddle Of The Cavalier</t>
  </si>
  <si>
    <t>Saint Markovia's Thighbone</t>
  </si>
  <si>
    <t>Scarab Of Protection</t>
  </si>
  <si>
    <t>Scimitar Of Speed</t>
  </si>
  <si>
    <t>Scorpion Armor (plate)</t>
  </si>
  <si>
    <t>Scribes Pen</t>
  </si>
  <si>
    <t>Scribe's Pen</t>
  </si>
  <si>
    <t>Scroll Of Protection</t>
  </si>
  <si>
    <t>Scroll of Tarrasque Summoning</t>
  </si>
  <si>
    <t>Scroll of the Comet</t>
  </si>
  <si>
    <t>Seeker Dart</t>
  </si>
  <si>
    <t>Sekolahian Worshiping Statuette</t>
  </si>
  <si>
    <t>Sending Stone</t>
  </si>
  <si>
    <t>Shadowfell Brand Tattoo</t>
  </si>
  <si>
    <t>Shadowfell Shard</t>
  </si>
  <si>
    <t>Shard Of The Ise Rune</t>
  </si>
  <si>
    <t>Shatterspike (longsword)</t>
  </si>
  <si>
    <t>Shavaran Birch Focus</t>
  </si>
  <si>
    <t>Shavarran Birch Focus</t>
  </si>
  <si>
    <t>Shield Of Expression</t>
  </si>
  <si>
    <t>Shield Of Far Sight</t>
  </si>
  <si>
    <t>Shield Of Missile Attraction</t>
  </si>
  <si>
    <t>Shield Of The Hidden Lord</t>
  </si>
  <si>
    <t>Shield Of The Uven Rune</t>
  </si>
  <si>
    <t>Shiftweave</t>
  </si>
  <si>
    <t>Siren Song Lyre</t>
  </si>
  <si>
    <t>Skyblinder Staff</t>
  </si>
  <si>
    <t>Sling Bullets of Althemone</t>
  </si>
  <si>
    <t>Slippers Of Spider Climbing</t>
  </si>
  <si>
    <t>Smokepowder</t>
  </si>
  <si>
    <t>Smoldering Armor</t>
  </si>
  <si>
    <t>Soul Coin</t>
  </si>
  <si>
    <t>Speaking Stone</t>
  </si>
  <si>
    <t>Spear Of Backbiting (javelin or spear)</t>
  </si>
  <si>
    <t>Spell Bottle</t>
  </si>
  <si>
    <t>Spell Gem (Amber, Level 4)</t>
  </si>
  <si>
    <t>Spell Gem (Bloodstone, Level 3)</t>
  </si>
  <si>
    <t>Spell Gem (Diamond, Level 9)</t>
  </si>
  <si>
    <t>Spell Gem (Jade, Level 5)</t>
  </si>
  <si>
    <t>Spell Gem (Lapis Lazuli, Level 1)</t>
  </si>
  <si>
    <t>Spell Gem (Obsidian, Level 0)</t>
  </si>
  <si>
    <t>Spell Gem (Quartz ,Level 2)</t>
  </si>
  <si>
    <t>Spell Gem (Ruby, Level 8)</t>
  </si>
  <si>
    <t>Spell Gem (Star Ruby, Level 7)</t>
  </si>
  <si>
    <t>Spell Gem (Topaz, Level 6)</t>
  </si>
  <si>
    <t>Spell Scroll (Level 0)</t>
  </si>
  <si>
    <t>Spell Scroll (Level 1)</t>
  </si>
  <si>
    <t>Spell Scroll (Level 2)</t>
  </si>
  <si>
    <t>Spell Scroll (Level 3)</t>
  </si>
  <si>
    <t>Spell Scroll (Level 4)</t>
  </si>
  <si>
    <t>Spell Scroll (Level 5)</t>
  </si>
  <si>
    <t>Spell Scroll (Level 6)</t>
  </si>
  <si>
    <t>Spell Scroll (Level 7)</t>
  </si>
  <si>
    <t>Spell Scroll (Level 8)</t>
  </si>
  <si>
    <t>Spell Scroll (Level 9)</t>
  </si>
  <si>
    <t>Spell Sink</t>
  </si>
  <si>
    <t>Spellshard</t>
  </si>
  <si>
    <t>Sphere Of Annihilation</t>
  </si>
  <si>
    <t>Spider Staff</t>
  </si>
  <si>
    <t>Spies' Murmur</t>
  </si>
  <si>
    <t>Spyglass Of Clairvoyance</t>
  </si>
  <si>
    <t>Staff Of Adornment</t>
  </si>
  <si>
    <t>Staff Of Birdcalls</t>
  </si>
  <si>
    <t>Staff Of Charming</t>
  </si>
  <si>
    <t>Staff Of Defense</t>
  </si>
  <si>
    <t>Staff of Dunamancy</t>
  </si>
  <si>
    <t>Staff Of Fire</t>
  </si>
  <si>
    <t>Staff Of Flowers</t>
  </si>
  <si>
    <t>Staff Of Frost</t>
  </si>
  <si>
    <t>Staff Of Healing</t>
  </si>
  <si>
    <t>Staff Of Power</t>
  </si>
  <si>
    <t>Staff Of Striking</t>
  </si>
  <si>
    <t>Staff Of Swarming Insects</t>
  </si>
  <si>
    <t>Staff Of The Adder</t>
  </si>
  <si>
    <t>Staff of the Ivory Claw</t>
  </si>
  <si>
    <t>Staff Of The Magi</t>
  </si>
  <si>
    <t>Staff Of The Python</t>
  </si>
  <si>
    <t>Staff Of The Woodlands</t>
  </si>
  <si>
    <t>Staff Of Thunder And Lightning</t>
  </si>
  <si>
    <t>Staff Of Withering</t>
  </si>
  <si>
    <t>Stone Of Controlling Earth Elementals</t>
  </si>
  <si>
    <t>Stone Of Good Luck (Luckstone)</t>
  </si>
  <si>
    <t>Stone Of Ill Luck</t>
  </si>
  <si>
    <t>Stonespeaker Crystal</t>
  </si>
  <si>
    <t>Storm Boomerang</t>
  </si>
  <si>
    <t>Storm Spire</t>
  </si>
  <si>
    <t>Stormgirdle</t>
  </si>
  <si>
    <t>Sun Blade (longsword)</t>
  </si>
  <si>
    <t>Sunforger (warhammer)</t>
  </si>
  <si>
    <t>Sunsword (longsword)</t>
  </si>
  <si>
    <t>Sword Of Answering</t>
  </si>
  <si>
    <t>Sword Of Life Stealing (any sword)</t>
  </si>
  <si>
    <t>Sword Of Sharpness (slashing swords)</t>
  </si>
  <si>
    <t>Sword Of The Paruns (longsword)</t>
  </si>
  <si>
    <t>Sword Of Vengeance (any sword)</t>
  </si>
  <si>
    <t>Sword Of Wounding (any sword)</t>
  </si>
  <si>
    <t>Talisman Of Pure Good</t>
  </si>
  <si>
    <t>Talisman Of The Sphere</t>
  </si>
  <si>
    <t>Talisman Of Ultimate Evil</t>
  </si>
  <si>
    <t>Talking Doll</t>
  </si>
  <si>
    <t>Tankard Of Plenty</t>
  </si>
  <si>
    <t>Tankard Of Sobriety</t>
  </si>
  <si>
    <t>Thermal Cube</t>
  </si>
  <si>
    <t>Timepiece Of Travel</t>
  </si>
  <si>
    <t>Tinderstrike (dagger)</t>
  </si>
  <si>
    <t>Tome Of Clear Thought</t>
  </si>
  <si>
    <t>Tome Of Leadership And Influence</t>
  </si>
  <si>
    <t>Tome Of The Stilled Tongue</t>
  </si>
  <si>
    <t>Tome Of Understanding</t>
  </si>
  <si>
    <t>Travel Alchemical Kit</t>
  </si>
  <si>
    <t>Trident Of Fish Command</t>
  </si>
  <si>
    <t>Two-Birds Sling</t>
  </si>
  <si>
    <t>Unbreakable Arrow</t>
  </si>
  <si>
    <t>Ventilating Lungs</t>
  </si>
  <si>
    <t>Verminshroud</t>
  </si>
  <si>
    <t>Veteran's Cane</t>
  </si>
  <si>
    <t>Vicious Rapier, +1</t>
  </si>
  <si>
    <t>Vicious Weapon (any weapon)</t>
  </si>
  <si>
    <t>Voting Kit</t>
  </si>
  <si>
    <t>Vox Seeker</t>
  </si>
  <si>
    <t>Voyager Staff</t>
  </si>
  <si>
    <t>Walloping Ammunition</t>
  </si>
  <si>
    <t>Wand Of Binding</t>
  </si>
  <si>
    <t>Wand Of Conducting</t>
  </si>
  <si>
    <t>Wand Of Enemy Detection</t>
  </si>
  <si>
    <t>Wand Of Entangle</t>
  </si>
  <si>
    <t>Wand Of Fear</t>
  </si>
  <si>
    <t>Wand Of Fireballs</t>
  </si>
  <si>
    <t>Wand Of Lightning Bolts</t>
  </si>
  <si>
    <t>Wand Of Magic Detection</t>
  </si>
  <si>
    <t>Wand Of Magic Missiles</t>
  </si>
  <si>
    <t>Wand Of Paralysis</t>
  </si>
  <si>
    <t>Wand Of Polymorph</t>
  </si>
  <si>
    <t>Wand Of Pyrotechnics</t>
  </si>
  <si>
    <t>Wand Of Scowls</t>
  </si>
  <si>
    <t>Wand Of Secrets</t>
  </si>
  <si>
    <t>Wand Of Smiles</t>
  </si>
  <si>
    <t>Wand Of The War Mage +1</t>
  </si>
  <si>
    <t>Wand Of The War Mage +2</t>
  </si>
  <si>
    <t>Wand Of The War Mage +3</t>
  </si>
  <si>
    <t>Wand Of Viscid Globs</t>
  </si>
  <si>
    <t>Wand Of Web</t>
  </si>
  <si>
    <t>Wand Of Winter</t>
  </si>
  <si>
    <t>Wand Of Wonder</t>
  </si>
  <si>
    <t>Wand Sheath</t>
  </si>
  <si>
    <t>Wave</t>
  </si>
  <si>
    <t>Waythe (greatsword)</t>
  </si>
  <si>
    <t>Weapon of Certain Death</t>
  </si>
  <si>
    <t>Weapon Of Warning</t>
  </si>
  <si>
    <t>Weapon, +1</t>
  </si>
  <si>
    <t>Weapon, +2</t>
  </si>
  <si>
    <t>Weird Tank</t>
  </si>
  <si>
    <t>Well Of Many Worlds</t>
  </si>
  <si>
    <t>Wheel Of Stars</t>
  </si>
  <si>
    <t>Wheel Of Wind And Water</t>
  </si>
  <si>
    <t>Whelm</t>
  </si>
  <si>
    <t>White Dragon Mask</t>
  </si>
  <si>
    <t>Windvane</t>
  </si>
  <si>
    <t>Wings Of Flying</t>
  </si>
  <si>
    <t>Wingwear</t>
  </si>
  <si>
    <t>Winters Dark Bite</t>
  </si>
  <si>
    <t>Wreath of the Prism</t>
  </si>
  <si>
    <t>Xorian Wenge Focus</t>
  </si>
  <si>
    <t>Yklwa, +1</t>
  </si>
  <si>
    <t>Yklwa, +2</t>
  </si>
  <si>
    <t>Yklwa, +3</t>
  </si>
  <si>
    <t>Mounted Airborne</t>
  </si>
  <si>
    <t>Siege Weapons</t>
  </si>
  <si>
    <t>A defunct title, equivalent in rank to earl. Now used derisively to refer to the useless husband of a noblewoman of any rank.</t>
  </si>
  <si>
    <t>Highnose: An effete or snooty noble.</t>
  </si>
  <si>
    <t xml:space="preserve">Lackshield: </t>
  </si>
  <si>
    <t>A Purple Dragon that has been stripped of rank. Or, a noble in command of Purple Dragons who holds no true rank.</t>
  </si>
  <si>
    <t>Oldblood</t>
  </si>
  <si>
    <t>Said of a noble house of great age and respected reputation.</t>
  </si>
  <si>
    <t xml:space="preserve">Red Dragon </t>
  </si>
  <si>
    <t>A traitor to the kingdom (from the device of Salember, the Rebel Prince).</t>
  </si>
  <si>
    <t>Spellbeggar</t>
  </si>
  <si>
    <t>A War Wizard’s insulting term for clerics and other divine spellcasters</t>
  </si>
  <si>
    <t>Blood of Gordroun</t>
  </si>
  <si>
    <t>Shield of Aunkspeear</t>
  </si>
  <si>
    <t>Sword of Ilbratha</t>
  </si>
  <si>
    <t>Rock of Hlundadim</t>
  </si>
  <si>
    <t>Scale of Nalavtoryl</t>
  </si>
  <si>
    <t>Crusader of Thesk</t>
  </si>
  <si>
    <t>Witch Lords Lament</t>
  </si>
  <si>
    <t>Heart of the Purple Dragon</t>
  </si>
  <si>
    <t>Ribbon</t>
  </si>
  <si>
    <t>Badge</t>
  </si>
  <si>
    <t>Medal</t>
  </si>
  <si>
    <t>wound</t>
  </si>
  <si>
    <t>periapt</t>
  </si>
  <si>
    <t>Horn of Magrath</t>
  </si>
  <si>
    <t>campaign</t>
  </si>
  <si>
    <t>training</t>
  </si>
  <si>
    <t>service (battle)</t>
  </si>
  <si>
    <t>Points</t>
  </si>
  <si>
    <t>Group</t>
  </si>
  <si>
    <t>Officers</t>
  </si>
  <si>
    <t>Fireteam</t>
  </si>
  <si>
    <t xml:space="preserve"> lowest commissioned rank In addition to commanding over one hundred soldiers trained to fight for the realm, lionars can promote or strip of rank any subordinate Purple Dragon (although, in the case of a swordcaptain, only on a temporary basis), can accept soldiers into service, and can requisition from the Crown additional supplies of food, tents, and weapons.</t>
  </si>
  <si>
    <t xml:space="preserve">Sea Snake </t>
  </si>
  <si>
    <t xml:space="preserve">Thomdo'r Fist </t>
  </si>
  <si>
    <t>Fast galleon</t>
  </si>
  <si>
    <t>Coastal runner</t>
  </si>
  <si>
    <t>Training ship</t>
  </si>
  <si>
    <t>Organization name</t>
  </si>
  <si>
    <t>Leader</t>
  </si>
  <si>
    <t>Headquarter</t>
  </si>
  <si>
    <t>Activity</t>
  </si>
  <si>
    <t>Sculptors and Masons Guild</t>
  </si>
  <si>
    <t>Guild</t>
  </si>
  <si>
    <t>Knightly Order</t>
  </si>
  <si>
    <t>Order of the Golden Way</t>
  </si>
  <si>
    <t>Purple Dragon Knights</t>
  </si>
  <si>
    <t>dissolved</t>
  </si>
  <si>
    <t>Order of the Draconic Wars</t>
  </si>
  <si>
    <t>controls stonework, statuary, quarrying, plastering, and waterproofing</t>
  </si>
  <si>
    <t>Count</t>
  </si>
  <si>
    <t>Bastion</t>
  </si>
  <si>
    <t>BST</t>
  </si>
  <si>
    <t>BTY</t>
  </si>
  <si>
    <t>FTM</t>
  </si>
  <si>
    <t>Swordcaptain leads a swordmajor, two first swords, and 20 blades.</t>
  </si>
  <si>
    <t>Swordcaptains serve as the heads of companies of soldiers, as lieutenants to commissioned officers, as patrol captains and shift officers, and in ny number of other roles within the military. Swordcaptains have the right to wear weapons unbound when they’re not on official duty, and can swear soldiers into the service of the Crown. They also have the power to promote a blade to the rank of telsword, and to recmmend the promotion of a elsword to firstsword.</t>
  </si>
  <si>
    <t>Commander of siege weapon team</t>
  </si>
  <si>
    <t>Arrowmaster</t>
  </si>
  <si>
    <t>Siegemaster</t>
  </si>
  <si>
    <t>Total Cost</t>
  </si>
  <si>
    <t>Siege Weapons Batteries</t>
  </si>
  <si>
    <t>First sword commanding team of siege weapon specialists</t>
  </si>
  <si>
    <t>Swordcaptain, swordmajor, 4 fireteams, siege weapons engineer</t>
  </si>
  <si>
    <t>Lionar, 4, 4 bastions</t>
  </si>
  <si>
    <t>Wheelon</t>
  </si>
  <si>
    <t>course, courteous, wistful</t>
  </si>
  <si>
    <t>serve with distinction and get reassigned to Suzail</t>
  </si>
  <si>
    <t>Ossten is the sergeant in command of the Purple Dragon garrison at Wheloon. His husband lives in Suzail, and Ossten wishes to prove his worth so that he can return home to the capital.</t>
  </si>
  <si>
    <t>wise, calculating, weary</t>
  </si>
  <si>
    <t>return some semblance of dignity and honor to her city</t>
  </si>
  <si>
    <t>The daughter of Sarp Redbeard is a skeptical and cautious woman who runs the reopened Wheloon with calm efficiency. She can often be found standing on one of the many balconies of Oldstone Hall, looking out over her city and making notes in a small notebook that she keeps with her at all times</t>
  </si>
  <si>
    <t>self effacing, helpful, cunning</t>
  </si>
  <si>
    <t>restore his good name</t>
  </si>
  <si>
    <t xml:space="preserve">Jerrick Valwater was a prisoner in Wheloon for his part in an assassination attempt on King Foril, but was freed shortly before the war with the Shadovar. He spent the intervening years serving as an un-cial spy for the crown in Sembia, and after the war he was granted clemency for his aid in the war effort and returned to Wheloon. Disinherited from his noble house, he now runs a small mercantile business employing former convicts in the city. </t>
  </si>
  <si>
    <t>[C9410, inside cover says there are only militia here, but VGtC,p.173 mentions a local garrison of 14 men and 4 women, and VGtC,p.172 also mentions that war wizards are assigned to local guardhouses and are ordered to accompany road patrols.]</t>
  </si>
  <si>
    <t>[VGtC,p.179 mentions that the Waymoot garrison has a hundred-strong force of Purple Dragons, even though C9410 says there are only militia here.]</t>
  </si>
  <si>
    <t>[VGtC,p.191: the Purple Dragons keep a seven-sword contingent in the village, most are veteran female officers. Objection: most are veteran officers, meaning only a couple are enlisted? More officers than grunts? Don't bloody well bet on it! Once this bit of Volo's silliness is disregarded, this is most likely an mostly-female squad of infantry that Volo didn't see all of.]
[VGtC,p.189: the fish hatchery here is guarded by no less than 40 Purple Dragons. 40 men does not mesh well with the force structure I've developed, so perhaps Volo miscounted or didn't see everyone.]
[VGtC,p.182)Ghars: village of 1,200 folk boasts a respectable Purple Dragon garrison.]</t>
  </si>
  <si>
    <t>Wheloon Garrison
part of the Army of the Heartlands
1st Wheloon Infantry Regiment (light infantry)
Minor garrisons or detachments supported out of the Wheloon garrison:
• Juniril: 1 squad of infantry from the kadrath at Hultail
• Hultail: 1 kadrath of infantry less one squad at Juniril
• Ghars: 1 kadrath of infantry plus battalion headquarters
• Battlerise: 1 kadrath of infantry
• Kirinwood: 1 kadrath of infantry plus battalion headquarters
• Dawngleam: 1 kadrath of infantry</t>
  </si>
  <si>
    <t>[C9410: the inside cover claims there is no Purple Dragon garrison here (militia only), but VGtC,pp.152-153 mentions a detachment of unspecified size.]</t>
  </si>
  <si>
    <t>Region</t>
  </si>
  <si>
    <t>Marine</t>
  </si>
  <si>
    <t>Board</t>
  </si>
  <si>
    <t>BRD</t>
  </si>
  <si>
    <t>Assault</t>
  </si>
  <si>
    <t>AST</t>
  </si>
  <si>
    <t>Corporal and 9 Marines</t>
  </si>
  <si>
    <t>Unit</t>
  </si>
  <si>
    <t>Abbr</t>
  </si>
  <si>
    <t>Sailor equivavelnt</t>
  </si>
  <si>
    <t>Ship Class</t>
  </si>
  <si>
    <t>Ship Type</t>
  </si>
  <si>
    <t>Ship Group</t>
  </si>
  <si>
    <t>Base of Navy</t>
  </si>
  <si>
    <t>Grand total</t>
  </si>
  <si>
    <t>Ship Types</t>
  </si>
  <si>
    <t>Palace Guard</t>
  </si>
  <si>
    <t>Ornirons</t>
  </si>
  <si>
    <t>Divisions</t>
  </si>
  <si>
    <t>Shifts</t>
  </si>
  <si>
    <t>Palace Guards</t>
  </si>
  <si>
    <t>Personal Guards</t>
  </si>
  <si>
    <t>Person</t>
  </si>
  <si>
    <t>Royal Guards</t>
  </si>
  <si>
    <t>Lionars (4 FLT CO's and 2 SQN XO's)</t>
  </si>
  <si>
    <t>Constal (RGT CO)</t>
  </si>
  <si>
    <t xml:space="preserve">Swordcaptains (18 CPY CO's) </t>
  </si>
  <si>
    <t xml:space="preserve">Lionars (6 KDR CO's and 2 BTN XO's) </t>
  </si>
  <si>
    <t xml:space="preserve">Ornrions (2 BTN CO's and 1 RGT XO)  </t>
  </si>
  <si>
    <t xml:space="preserve">Swordcaptains (8 WNG CO's) </t>
  </si>
  <si>
    <t>Enlisted</t>
  </si>
  <si>
    <t>Artillery</t>
  </si>
  <si>
    <t>Light warhorse</t>
  </si>
  <si>
    <t>Heavy warhorse</t>
  </si>
  <si>
    <t>Hippogrif</t>
  </si>
  <si>
    <t>Barding</t>
  </si>
  <si>
    <t>Chainmail, shield</t>
  </si>
  <si>
    <t>Studded leather, shield</t>
  </si>
  <si>
    <t>Plate armor, shield</t>
  </si>
  <si>
    <t>Chainshirt barding</t>
  </si>
  <si>
    <t>Studded Leather barding</t>
  </si>
  <si>
    <t>Chainmail barding</t>
  </si>
  <si>
    <t>Longsword, lance, repeating light crossbow</t>
  </si>
  <si>
    <t xml:space="preserve"> chain shirts or occasionally scalemail or chainmail, armed with sword, light lance and repeating light crossbow</t>
  </si>
  <si>
    <t>mostly studded leather armor with remainder being plain leather, shields optional, armed with sword, light lance and repeating light crossbow.</t>
  </si>
  <si>
    <t>Chain shirts shield</t>
  </si>
  <si>
    <t>Longbow, shortsword</t>
  </si>
  <si>
    <t>Chainshirt, shield</t>
  </si>
  <si>
    <t>Longsword, halberd</t>
  </si>
  <si>
    <t>Splint, shield</t>
  </si>
  <si>
    <t>Halberd, morningstar</t>
  </si>
  <si>
    <t>Royal Scout</t>
  </si>
  <si>
    <t>Royal Corps of Monster Hunters</t>
  </si>
  <si>
    <t>Palaggar </t>
  </si>
  <si>
    <t>Prespur, Sea of Fallen Stars</t>
  </si>
  <si>
    <t>Blue Dragons base</t>
  </si>
  <si>
    <t>[Two quotes from SoFS — p.11: "The main island houses two small towns that act as the main ports and shipyards for Cormyr's Blue Dragons as well as the begrudging presence of some Sembian freesails as well (each group in separate towns on opposite ends of the isle). Palaggar is the Cormyrean shipyard and garrison town..." and p.8: "... the best shipbuilders reside in Prespur and work officially for Cormyr's crown." indicate a strong and official Cormyrean military presence on Prespur. However, Ed Greenwood's words strongly contraindicate this. In EdG2 he states "Cormyr patrols the Lake of Dragons and commands the Neck; beyond chasing pirates east of that narrow throat and providing ship escorts, they leave the rest of the Sea of Fallen Stars alone." In EdG3 he states "The 'fleet' based in Prespur is almost entirely chartered vessels", "So the 'real' Imperial vessels usually operate in the Neck and westwards, trying to make it a 'no go' zone for pirates and smugglers. Outside of these waters, they're most likely to be met with off the Sembian coast, escorting important ships. Regular resupply runs are made to Prespur...", and finally "So, yes, the navy IS being neglected." All of these quotes clearly contradict SoFS. In my considered opinion, there is no way in any of the Nine Hells that the Blue Dragons or any King less mad than Boldovar would put their main shipyard and the best shipbuilders of the Inner Sea in a place so far outside of Cormyr without permanently assigning a STRONG official military presence here to defend such valuable assets — to do so would stretch believability several nautical miles past the shattering point! Given that Ed is the ultimate Realms authority, we simply must disregard much of what SoFS says about Prespur and Palaggar. The 26-ship Imperial Navy plainly and simply does not have the resources to maintain such a base.]</t>
  </si>
  <si>
    <t>Blue Dragons</t>
  </si>
  <si>
    <t>[VGtC,p.16: The largest ship based in Suzail is the Crown of Cormyr, a floating palace used by the Royal Family, while the largest warship is Dragon. Both of these are well-equipped with ballistae and firepot-hurlers. I don't specify the numbers of weapons on the ship because the only FR rule mechanics for the fitting out of ships are in PoFS and I'm not at all happy with those rules; ships in that book seem to be woefully underweaponed.]
[Dr250,p.47: the Crown of Cormyr would be a third-rate galleon by the rules here.]</t>
  </si>
  <si>
    <t> 73 berths (7 squads, 2 sergeants and a lieutenant) </t>
  </si>
  <si>
    <t>Royal Assault</t>
  </si>
  <si>
    <t>RAS</t>
  </si>
  <si>
    <t>[Dr250,p.47: the large war galleon would be close to a fourth-rate galleon by these rules.]</t>
  </si>
  <si>
    <t>[PoFS,p.80 refers to "...the late Renaissance galleons of Cormyr and Sembia.]
[PoFS,p.85: "Galleons are most frequently used in Cormyr, Sembia, and Impiltur. However, they are not common even there." If galleons are not common then they must be only a minority of the ships. Since in real life galleons are the latest and most advanced of the ship types mentioned in FR sourcebooks, that implies the galleon is a recent development in shipbuilding. This, in turn, implies that Cormyr Sembia and Impiltur have the most advanced shipbuilding technology.]
[VGtC,p.16: The largest ship based in Suzail is the Crown of Cormyr, a floating palace used by the Royal Family, while the largest warship is Dragon. Both of these are well-equipped with ballistae and firepot-hurlers. I don't specify the numbers of weapons on the ship because the only FR rule mechanics for the fitting out of ships are in PoFS and I'm not at all happy with those rules; ships in that book seem to be woefully underweaponed.]
[Dr250,p.47: the war galleon, as a standard galleon, would be a fifth-rate galleon.]</t>
  </si>
  <si>
    <r>
      <t>[EdG1: Ed Greenwood gives some detail of the fast galleon </t>
    </r>
    <r>
      <rPr>
        <sz val="12"/>
        <color rgb="FFFFFFFF"/>
        <rFont val="Arial"/>
        <family val="2"/>
        <charset val="204"/>
      </rPr>
      <t>Filfaeril</t>
    </r>
    <r>
      <rPr>
        <i/>
        <sz val="12"/>
        <color rgb="FFFFFFFF"/>
        <rFont val="Arial"/>
        <family val="2"/>
        <charset val="204"/>
      </rPr>
      <t> here.]</t>
    </r>
  </si>
  <si>
    <t>Length</t>
  </si>
  <si>
    <t>Beam</t>
  </si>
  <si>
    <t>Draft</t>
  </si>
  <si>
    <t>[VGtC,p.35 mentions the recognizability of the metal rams of the two caravels in Marsember.]
[PoFS,p.82: "The caravel is used by the nations of Cormyr, Sembia, and Impiltur extensively, and is somewhat less common in Turmish and Chondath. It normally has two masts and square sails; no oars are used. The normal crew is from 30 to 40 men."]</t>
  </si>
  <si>
    <t>The Imperial Navy has in the past couple of decades sailed a small fast ship it calls a coastal runner, but is known in some other lands as a xebec. These coastal runners are newer and more advanced ships than the older caravels, and are gradually replacing the caravels over time. The coastal runner is a lateen-rigged ship, which makes it maneuverable and capable of sailing in more unfavorable winds than a square-rigged ship. It is built narrow for speed — indeed, it is one of the fastest sailing ships on the seas — and has a shallow draft enabling it to travel in shallow waters, yet it is sufficiently seaworthy for blue-water travel as long as the seas aren't too rough. The coastal runner is 90 feet long, 24 feet in beam, has a 2 foot draft, and is sailed by a crew of 50. The crew breakdown of a typical Imperial Navy coastal runner is given in Table 3-9.</t>
  </si>
  <si>
    <t xml:space="preserve">The cog is too slow and relatively unmaneuverable to serve as an effective warship, but the Imperial Navy has need of supply ships and the cog serves adequately in this capacity. The Imperial Navy currently operates two rather old-fashioned clinker-built cogs as supply ships. There are no plans to replace these with more modern ships, as these normally serve the supply needs of the fleet. On those occasions where a greater supply capacity is needed, the Imperial Navy will charter additional ships for the duration of the need. These naval supply cogs are the most cramped and uncomfortable ships in the Navy to serve on, for they are considerably overmanned in comparison to merchant cogs. Merchant cogs usually sail with only a sailing crew and depend on port longshoremen to load and unload the ship, but the Imperial Navy requires its cogs to carry enough sailors both to handle loading and unloading for those situations where supplies must be disembarked without benefit of a port and to fight in defense of the ship if attacked. Imperial Navy cogs will never be seen alone at sea, as they are always escorted by warships to their destinations. Cogs vary widely in specific design, but the two in the service of the Imperial Navy are both of a class. The Imperial navy cogs are somewhat larger than the average merchant cog at 90 feet long, 25 feet in beam, and drawing a draft of 5 feet. </t>
  </si>
  <si>
    <t>[VGtC,p.35 details the particularly sad shape of the Ansiber's Wrath.]</t>
  </si>
  <si>
    <t>The Training Squadron in Marsember sails four obsolete carracks as training vessels. These ships are similar in size and general configuration to the carracks that serve as fighting ships, but they are older and in decrepit shape. One, the Ansiber's Wrath, is old enough to be clinker-built rather than carvel-built. These ships operate a reduced crew of 100 to make room for the recruits they train. The crew breakdown of the Imperial Navy training ship, not including recruits, is given in Table 3-11.</t>
  </si>
  <si>
    <r>
      <t>[SoFS,p.15: "All of Cormyr's official naval vessels are named for the monarchy's rulers. Some are given fanciful like </t>
    </r>
    <r>
      <rPr>
        <sz val="12"/>
        <rFont val="Arial"/>
        <family val="2"/>
        <charset val="204"/>
      </rPr>
      <t>Valashar's Bane</t>
    </r>
    <r>
      <rPr>
        <i/>
        <sz val="12"/>
        <rFont val="Arial"/>
        <family val="2"/>
        <charset val="204"/>
      </rPr>
      <t> while others sport actual names such as </t>
    </r>
    <r>
      <rPr>
        <sz val="12"/>
        <rFont val="Arial"/>
        <family val="2"/>
        <charset val="204"/>
      </rPr>
      <t>Queen Besmra</t>
    </r>
    <r>
      <rPr>
        <i/>
        <sz val="12"/>
        <rFont val="Arial"/>
        <family val="2"/>
        <charset val="204"/>
      </rPr>
      <t>." VGtC.16 gives names that seem to break this pattern, though, with the coastal runners </t>
    </r>
    <r>
      <rPr>
        <sz val="12"/>
        <rFont val="Arial"/>
        <family val="2"/>
        <charset val="204"/>
      </rPr>
      <t>Blade of Espar</t>
    </r>
    <r>
      <rPr>
        <i/>
        <sz val="12"/>
        <rFont val="Arial"/>
        <family val="2"/>
        <charset val="204"/>
      </rPr>
      <t> and </t>
    </r>
    <r>
      <rPr>
        <sz val="12"/>
        <rFont val="Arial"/>
        <family val="2"/>
        <charset val="204"/>
      </rPr>
      <t>Lance of Wheloon</t>
    </r>
    <r>
      <rPr>
        <i/>
        <sz val="12"/>
        <rFont val="Arial"/>
        <family val="2"/>
        <charset val="204"/>
      </rPr>
      <t> on p.16 and the war caravel </t>
    </r>
    <r>
      <rPr>
        <sz val="12"/>
        <rFont val="Arial"/>
        <family val="2"/>
        <charset val="204"/>
      </rPr>
      <t>Thomdor's Fist</t>
    </r>
    <r>
      <rPr>
        <i/>
        <sz val="12"/>
        <rFont val="Arial"/>
        <family val="2"/>
        <charset val="204"/>
      </rPr>
      <t> on p.35 seems unlikely to refer to a past king. In EdG1, however, Ed Greenwood clarified that SoFS "got (as usual) edited to say something different from what they originally meant. From Sea of Fallen Stars: "All of Cormyr's official naval vessels are named for the monarchy's rulers" originally read: "All of Cormyr's official naval vessels are now named for the monarchy's rulers" and SHOULD actually read: "All official Cormyrean naval vessels 'set forth' (commissioned) in the rule of Azoun IV have been named for past rulers of the Forest Kingdom, with one exception: the ship named for his queen, </t>
    </r>
    <r>
      <rPr>
        <sz val="12"/>
        <rFont val="Arial"/>
        <family val="2"/>
        <charset val="204"/>
      </rPr>
      <t>Filfaeril</t>
    </r>
    <r>
      <rPr>
        <i/>
        <sz val="12"/>
        <rFont val="Arial"/>
        <family val="2"/>
        <charset val="204"/>
      </rPr>
      <t>.""]</t>
    </r>
  </si>
  <si>
    <t>[EdG1 states these further naming limitations.]</t>
  </si>
  <si>
    <r>
      <t>[SoFS,p.19 speaks of the first </t>
    </r>
    <r>
      <rPr>
        <sz val="7.5"/>
        <rFont val="Arial"/>
        <family val="2"/>
        <charset val="204"/>
      </rPr>
      <t>Valashar's Bane</t>
    </r>
    <r>
      <rPr>
        <i/>
        <sz val="7.5"/>
        <rFont val="Arial"/>
        <family val="2"/>
        <charset val="204"/>
      </rPr>
      <t> and its loss.]</t>
    </r>
  </si>
  <si>
    <t>[Crus,p.100 states that the carracks of the expeditionary fleet are "spectacularly rigged". SoFS,p.16 has three relevant clauses: (1) "Cormyr objects to any who use purple sails, as they use it themselves and most folk assume that ships with purple sails are Cormyr's ships. (Some pirates count on that to disguise their vessels).", (2) "Most ships' hulls are painted in dull colors. Black, however, is reserved for official vessels owned by heads of state. (Such ships are often sent ahead of the actual vessel upon which a ruler sails, to attract the attentions of both pirates and assassins).", and (3) "Cormyr's official "Blue Dragons" navy paints the gunnels, mainmast, and the bowsprit a bright blue so pirates and blackguards know that the eye of Cormyr is on them."]</t>
  </si>
  <si>
    <t>[SoFS,p.16, discusses the flags flown by Imperial Navy ships.]</t>
  </si>
  <si>
    <t>[Crus,pp.101,109,110,111 mention that two-masted cogs were also part of the fleet sailing for Thesk, which are most likely just serving as troop transports rather than warships since cogs are even older technology than caravels. P.112 also mentions coasters as being part of the fleet.]</t>
  </si>
  <si>
    <t>[SoFS,p.16: "Ships can signal other ships with their flags. Cormyr's ship flags all have the Purple Dragon facing away from the mast, the opposite side of the flag holding the captain's (or highest-ranking officer's) personal mark. To turn the flag around and have the dragon face the mast signals that the ship wishes to come alongside and talk. Most ships' flags have a symbol on one side that, when reversed, sends a similar message to passing ships. Multiple flags on the main mast and from the stern of the ship communicate numerous things, though most powers wish to keep such codes secret so their enemies cannot decipher their meaning. Cormyr and Thay, most of all, use an elaborate system of no less than four flags beneath their main colors to signal other ships."]</t>
  </si>
  <si>
    <t>[Both GTR and C9410,p.55 state that the Imperial Navy has 25 ships, with 14 based in Suzail and 12 based in Marsember. These add up to 26, not 25. This error slipped by two different sets of authors and editors into by two different books. I resolve this discrepancy by keeping the Crown of Cormyr out of the squadrons and reserved for the King's use.]</t>
  </si>
  <si>
    <t>[PoFS,p.36: "Cormyr's Royal Navy (boasting thirty caravels and over 5,500 men)..." This cite is of highly dubious reliability for a few reasons. One, it's been explicitly stated elsewhere (including other cites in this same source) that Cormyr operates galleons and carracks, which are larger and more capable than caravels. Two, if the technology exists to build larger and more capable ships like galleons it would be absurd for the Navy to sail nothing better than caravels. Three, even if the Imperial Navy was made up of 30 caravels, that doesn't correspond with 5,500 men. This many men on 30 ships would average out to 183 men per ship, and caravels are nowhere nearly large enough to support such a crew. The manpower totals (backed up elsewhere by cites of 2,500 in Suzail and 2,200 in Marsember) plainly and simply mandate that the ships of the Navy have to have a significant number of larger ships. Four, in EdG1 Ed Greenwood specifically gives a list of the names and types of most of the ships in the Imperial Navy and only three of them are caravels. For these reasons the PoFS cite must be disregarded.]</t>
  </si>
  <si>
    <t>Royal Admiral</t>
  </si>
  <si>
    <t>[GTR,p.53 and C9410,p.13 both state there is a 12-ship detachment in Marsember, which I interpret to refer to just the capital ships.]</t>
  </si>
  <si>
    <t>[VGtC,p.34 says that the Imperial Navy detachment of 12 major ships in Marsember are manned by "in excess of 2,200 trained sea warriors."]</t>
  </si>
  <si>
    <t>[C9410,p.49: Ayesunder Truesilver heads the largest part of the Imperial Navy. Hmmm... elsewhere in this same book (not to mention other sources) it states that Marsember has only 12 ships while Suzail has 14. Largest part? Since several other canon cites contradict this and no others support this, disregard it as literally stated. I pay some homage to it by letting him (and Marsember) have more of the new galleons than Suzail has.]</t>
  </si>
  <si>
    <t>[C9410,p.58: Ayesunder Trusilver is generally regarded as the head of the Cormyrean Navy. See notes on him in the description of the Marsember Purple Dragon garrison but in review there is no such thing "generally regarded head", as the commander of any major branch of the military will be specifically appointed by the government rather than having command by default or general acclimation, and this means that Ayesunder is a Blue Dragon officer.]</t>
  </si>
  <si>
    <t>[According to the C9410,p.58, "Ayesunder Truesilver is the commander of these forces and is generally regarded as the head of the Cormyrean Navy." This is contradicted by another source (PoFS,p.34&amp;36) and doesn't seem consistent with other facts. One would think that the overall commander of the fleet would be at the largest naval base, where the largest numbers of ships are, or where the military high command is, and that would be Suzail. There are more ships in Suzail, and even if Marsember's Starwater Keep is physically a bit bigger than the facilities of the Citadel of the Purple Dragon in Suzail, to use a real life analogy the commander of the British Royal Navy is in London, not Portsmouth. Still, all sources other than PoFS indicated he is the commander of the Imperial Navy so that's what I'm sticking with.]</t>
  </si>
  <si>
    <t>[PoFS,p.36: Since the most recent pirate incursions, Marsember has established some harbor chains, but like much in Marsember these are in poor repair. Unfortunately, while Starwater Keep has several ballistae and catapults, the topography of the city makes these virtually useless for defense of the outer harbor islands." Also, "The most recent significant pirate raid was on the city of Marsember in 1344 DR."]</t>
  </si>
  <si>
    <t>[VGtC,p.35: "Most of the regular ships of the line stationed here are small, fast coast-boats, though two large and well-armed war caravels, the 'Sea Snake' and 'Thomdor's Fist' also call Marsember home. The visitor can easily recognize these two by the long, wicked metal rams low on their bows." There is some good information in this quote, but Volo's statement referring to small coastboats as "ships of the line" is not accurate. Indeed, when the first copies of the Guide were available in Suzail and Marsember, midshipmen had giggling fits and senior officers reacted in ways varying from laughter to consternation. One galleon captain was rumored to have remarked "Next time Volothamp Geddarm is in town, we'll keelhaul him first on a coastal runner then on my galleon! That'll teach him what 'ship of the line' means!" Also, coastal runners are actually larger than caravels; caravels can simply appear larger to the untutored eye due to their fore and aft castles which coastal runners do not have.]</t>
  </si>
  <si>
    <t>[VGtC,p.83: The Cormyrean Navy is in the process of establishing a base in Dawngleam for use against pirates operating in the Neck.]</t>
  </si>
  <si>
    <t>[EdG3: "So the 'real' Imperial vessels usually operate in the Neck and westwards, trying to make it a 'no go' zone for pirates and smugglers. Outside of these waters, they're most likely to be met with off the Sembian coast, escorting important ships. Regular resupply runs are made to Prespur..."]</t>
  </si>
  <si>
    <t>[SoFS,p.15 states that fishing in territorial waters without paying the authorities is illegal and that this is actually enforced in Cormyr and Sembia.]</t>
  </si>
  <si>
    <t>[Numerous cites support the idea of a winter freeze:
C9410,p.12: "However, the sewage has the positive effect of inhibiting ice from forming during winter, keeping the city's commerce lines open." This refers to the canals of Marsember, and implies if not for the filth in the canals they would freeze in winter.
VGtC,p.37: The following refers to the canals of Marsember: "Their stench is incredible during hot, dry summers, and the heat of unseen things rotting in the depths keeps their steaming waters clear of ice even in the coldest winters."
VGtC,p.39 "The Breaking is a wild feast held to celebrate the arrival of the first foreign ship into port after the ice breaks up..."
SoFS,p.8: "After the spring storms each year, many ships from Cormyr, Sembia, and other ports make mad dashes east toward Thesk and Aglarond, for fortunes can be made by those who arrive in port first."
PoFS,p.49: "Unfortunately, for nearly half the year the Neck (the narrow portion of the mouth of the Lake of Dragons) is frozen, preventing any ship traffic from entering or leaving Teziir."]</t>
  </si>
  <si>
    <t>Hard to Wound (Su): Blue Dragon Marines have a reputation of being able to take wounds and pain and keep fighting, but the most experienced veteran Marine become so tough that it's harder to actually seriously wound him.</t>
  </si>
  <si>
    <t>Toughness (Ex): Blue Dragon Marines are tougher than normal and harder to incapacitate.</t>
  </si>
  <si>
    <t>[GTR,p.43 &amp; C9410,p.55: The palace guard numbers some 150 trained elite warriors.]</t>
  </si>
  <si>
    <t>The Military Forces of Cormyr Version 1.2, By Jerry Davis</t>
  </si>
  <si>
    <t>Grand Tour of the Realms booklet, Ed Greenwood &amp; Jeff Grubb from the 2nd Ed. Forgotten Realms Campaign Setting boxed set. (TSR 1085) ©1993 TSR, Inc.</t>
  </si>
  <si>
    <t>MFC</t>
  </si>
  <si>
    <t>GTR</t>
  </si>
  <si>
    <t>Beyond the High Road, Troy Denning first paperback printing, ©1999 TSR, Inc.</t>
  </si>
  <si>
    <t>Death of the Dragon, Ed Greenwood &amp; Troy Denning first hardcover printing, ©2000 Wizards of the Coast, Inc.</t>
  </si>
  <si>
    <t>After the Dragon, article in Dragon Annual 5 (2000) by Ed Greenwood, pp.58-68</t>
  </si>
  <si>
    <t>Forgotten Realms Campaign Setting 3rd Edition Ed Greenwood, Sean K. Reynolds, Skip Williams, Rob Heinsoo (WTC 11836) ©2001 Wizards of the Coast, Inc.</t>
  </si>
  <si>
    <t>2nd Ed. Cormyr accessory, Eric Haddock (TSR 9410) ©1994 TSR, Inc.</t>
  </si>
  <si>
    <t>Volo's Guide to Cormyr, Ed Greenwood (TSR 9486) ©1995 TSR, Inc.</t>
  </si>
  <si>
    <t>Horde Campaign campaign accessory (TSR 9324) ©1991 TSR, Inc.</t>
  </si>
  <si>
    <t>Haunted Halls of Eveningstar, FRQ1 adventure, Ed Greenwood (TSR 9354) ©1992 TSR, Inc.</t>
  </si>
  <si>
    <t>Four From Cormyr, John Terra (TSR 9531) ©1997 TSR, Inc.</t>
  </si>
  <si>
    <t>Pirates of the Fallen Stars, FOR3 accessory, Curtis Scott (TSR 9346) ©1992 TSR, Inc.</t>
  </si>
  <si>
    <t>Army of East</t>
  </si>
  <si>
    <t>Army of Heartlands</t>
  </si>
  <si>
    <t>Army</t>
  </si>
  <si>
    <t>HQ</t>
  </si>
  <si>
    <t>New Tilverton Keep</t>
  </si>
  <si>
    <t>Regimental Headquarters of 2nd light cavalry regiment</t>
  </si>
  <si>
    <t>1 squad of infantry</t>
  </si>
  <si>
    <t>Minor garrisons or detachments supported out of the Suzail Garrison</t>
  </si>
  <si>
    <t>Calantar's Bridge waypost</t>
  </si>
  <si>
    <t>Minor garrisons or detachments supported out of the Arabel Garrison</t>
  </si>
  <si>
    <t>Redspring</t>
  </si>
  <si>
    <t>Goblin Mountain Outpost</t>
  </si>
  <si>
    <t>Masoner's Bridge waypost</t>
  </si>
  <si>
    <t>East Way waypost</t>
  </si>
  <si>
    <t xml:space="preserve"> light infantry battalion</t>
  </si>
  <si>
    <t>1 company of infantry</t>
  </si>
  <si>
    <t>halfway between Arabel and Masoner's Bridge</t>
  </si>
  <si>
    <t>1 squad from Masoner's Bridge Company led by the swordcaptain</t>
  </si>
  <si>
    <t>1 squad from Masoner's Bridge Company led by the swordmajor</t>
  </si>
  <si>
    <t>1 squad of light infantry</t>
  </si>
  <si>
    <t>1 squad of infantry from the kadrath at Hultail</t>
  </si>
  <si>
    <t>1 kadrath of infantry less one squad at Juniril</t>
  </si>
  <si>
    <t xml:space="preserve">Royal Corps of Monster Hunters, commanded by Oversword </t>
  </si>
  <si>
    <t>Castle Irlingstar</t>
  </si>
  <si>
    <t>Irlingstar</t>
  </si>
  <si>
    <t>Main bases of Purple Dragons</t>
  </si>
  <si>
    <t>which patrols all ar­eas north of the Stormhorn mountains including the Goblin Marches and the Stonelands</t>
  </si>
  <si>
    <t>The nation’s navy, the Blue Dragons, uses the same ranks as the army does, although most sailors are telswords, and swordcaptains are not often present on board  ships. The Blue Dragons use a blue dragon device on their tabards, which are seldom worn except in port.</t>
  </si>
  <si>
    <t>Highknight</t>
  </si>
  <si>
    <t>A highknight of Cormyr is a recently created rank of service to the Crown. Trained in Court etiquette and realm law as well as in the use of weapons, highknights are regularly mind-read by War Wizards to guarantee their continued loyalty, as well as to guard against magical influences or impostors posing as real knights. Highknights usually draw difficult duties, such as investigating suspected traitors among the ranks of superior Purple Dragon officers or the nobility, or guarding royalty or unpopular visiting envoys. In Cormyr, highknights speak with royal authority, and they can always gain audience to any royal or Court personage (though they'll face penalties for frivolous use of this privilege). Most highknights are fighters, but Filfaeril and Vangerdahast (joint creators of this rank) desire the office to be open to bards, rangers, and other persons difficult to fit into the normal Court hierarchy. Rowen Cormaeril, for example, has been accorded the rank of highknight, as has his brother Beliard, bladebrother to Alusair and bastard son of Azoun IV. Both would otherwise share exile with the rest of their family. Highknights can be encountered anywhere in the Dragonreach and Dragon Coast, but they are most likely to be found in Cormyr proper.</t>
  </si>
  <si>
    <t>command full brigades of troops, and are either of noble birth or invested with a title of full nobility before being assigned such a weighty task. A constal can issue and strip commissions of lower officers, and can overturn the decisions of lesser officers.</t>
  </si>
  <si>
    <t>Lord Commander</t>
  </si>
  <si>
    <t>a lord commander is the commander of a major fortress or garrison. A Lord Commander is always a serving Purple Dragon officer, and is almost always a general officer although if the force is small enough the position may be appointed to a constal. The position is usually an annual appointment by the king, although the king can (and in some cases does) re-appoint the same person each year. If the officer appointed as lord commander is not already of noble birth, then his social status is the same as that of a town's local lord for the duration of his appointment. Lord Commanders also have heralds as assistants, just as town local lords do. Examples of lord commanders are the commanders of the High Horn and Castle Crag fortresses.</t>
  </si>
  <si>
    <t>Military Specialty</t>
  </si>
  <si>
    <t>Battlepriests</t>
  </si>
  <si>
    <t>Royal Scouts</t>
  </si>
  <si>
    <t>King's Messengers</t>
  </si>
  <si>
    <t>The very best of the Royal Scouts are assigned to a special unit composed entirely of Royal Scouts called the King's Messengers</t>
  </si>
  <si>
    <t>Royal Scouts are another special kind of Purple Dragon. The Royal Scouts are an elite force of Purple Dragons who have demonstrated skill at stealthy movement and survival. Royal scouts serve a variety of functions. Many Royal Scouts are fully integrated into the unit structure and serve with all units of any size, and often serve as point men or flankers to units as they move so that the unit commander knows what is about him and can avoid ambushes, or in larger units serve as messengers to relay orders to subordinate units and return replies to the unit commander. They are also deployed individually or in small groups on special missions of their own, in which case they are used as messengers and spies. In the latter role, they can be found anywhere in the Dragonreach and along the Dragon coast.</t>
  </si>
  <si>
    <t>Solatha Boldtree</t>
  </si>
  <si>
    <t>Solatha Boldtree, Countess of Dhedluk
Daughter of a traveling merchant known only as Boldtree (he shared his given name with no one, not even his daughter), Solatha is a stern-faced woman whose appearance has not improved with age. She looks less like a countess than a broad-shouldered tavernkeeper, though her green eyes shine with a kindness most miss on first glance.
If not for a fateful night in 1437, Solatha would be of no importance to the history of Cormyr. While leading a military expedition to the Vast Swamp, Foril's older brother Prince Emvar came across Sol- atha and her father's camp. The dashing prince and the merchant's daughter enjoyed one another's com¬pany before the Purple Dragons struck out again. It was not until months later, long after Emvar was slain in ambush, that Solatha realized she was carrying a royal child.
When her son Erzoured was born, Solatha brought him to the royal palace. There, after repeated confir¬mation through spell and prayer, the boy's paternity was confirmed. Azoun V invested Solatha as Count¬ess of Dhedluk, after her birthplace.
Solatha still lives at court, but her relations with her son have become strained. Erzoured's secretive dealings have led his mother to believe that he will bring shame both to her and to his father's name.</t>
  </si>
  <si>
    <t>Erzoured Obarskyr</t>
  </si>
  <si>
    <t>Lord Erzoured Obarskyr,
Baron Boldtree
The son of the late Prince Emvar, Erzoured spent his early life in the royal palace, raised near his cousin Irvel but titled “lord” rather than “prince.” Despite the confirmation of his birth, Erzoured was not officially recognized as Emvar's son until 1450 DR—after Foril had ascended the throne and ensured his own legacy.
Despite his luxurious upbringing, Erzoured is resentful of House Obarskyr. He styles himself Baron Boldtree to dissociate himself from the king,</t>
  </si>
  <si>
    <t>Baerovus</t>
  </si>
  <si>
    <t>Prince Baerovus
Only twenty-five years of age, Baerovus Azoun Obar- skyr is the son of Crown Prince Irvel and Princess Ospra, and is second in the line of succession. A slim, meek young man, Baerovus hides his features behind his long hair whenever he is not making a public appearance with the royal family. Baerovus enjoys his large stable of light horses (the Calimite is by far his favorite breed), and he is known to care for wounded animals he finds during royal hunts. The prince has no love for magic or for the battlefield. He is nearly useless with any blade longer than a hunting knife, though his skill with a bow is said to exceed that of anyone else in the royal family.
Baerovus does not relish the idea of ruling Cormyr. Though he will not abdicate if the crown falls to him, he secretly hopes that his father lives a long, healthy life, or that his or his sister's children become Irvel's heir, just as the fifth Azoun succeeded the fourth.</t>
  </si>
  <si>
    <t>Ossani Eveningspire</t>
  </si>
  <si>
    <t>Ossani Eveningspire, Sage Royal
Few would guess that the quiet, dark-haired woman of forty who serves as the Sage Royal is the great-grand¬daughter of Laspeera Naerinth. Although she possesses none of her ancestor's beauty or presence—and little of her magical talent—Ossani Eveningspire is a bril¬liant thinker with an incisive wit and a sharp tongue. Perhaps more than even the Royal Magician, Lady Eve¬ningspire understands the importance of magic to the history of Cormyr, and the sacrifices that the realm's magical defenders have made for the kingdom.
The Sage Royal does her best to avoid matters of politics, leaving those to her sisters Aceeta Naerinth, Earilde Inthre, and Icaura Thralos. (Each sister chose a different family name from among those they inher¬ited.) An exception to this rule is made for rumors regarding magic treasures of great age and unknown power, which prompt Ossani's undivided interest and attention.</t>
  </si>
  <si>
    <t xml:space="preserve">Battlepriests are the clerics that serve right beside the regular soldiers, using their divine magic in combat support and to heal the wounded. Unlike the War Wizards who are a completely separate organization, the battlepriests are fully integrated into the Purple Dragons and are assigned among the various units. Battlepriests share the same quarters and rations as the soldiers, have ranks and draw the same pay; they are every bit as much Purple Dragons as the soldiers themselves. As a courtesy to their status as holy men and women, battlepriests are never given the rank of blade. They are always at least First Swords and are often officers, although they are not in the chain of command nor are they given command of units.
Cormyr's War Wizards might be more famous and respected, but the Forest Kingdom's battlepriests have always been an integral part of the Purple Dragons. Their magic kept the Purple Dragons moving quickly during the Crusade of 1360 DR and during the recent war against the goblin and orc hordes of Nalavara the Red's army.
Most battlepriests of Cormyr are clerics of Helm, Lathander, Selûne, Tempus, Torm, Tymora, or Tyr, although a few multiclassed paladins have also joined the order. The Steel Regent, Princess Alusair, a follower of Torm, is known to consider several Torm-worshiping battlepriests close friends.
Cormyr's battlepriests are fully integrated into the Purple Dragons, sharing rank and quarters with their battle-ready companions, unlike the War Wizards who retain a special status. Consequently, battlepriests are well appreciated by their Purple Dragon comrades, and the War Wizards are always on watch to ensure their unique position with the Crown is never threatened by emerging battlepriests, who they sometimes and quietly deride as spellbeggars. The battlepriests constantly work to bolster their companions with rallying cries to war, healing magics, and the benefits of their wisdom, all the while praying for the peace Cormyr so dearly needs to recover.
</t>
  </si>
  <si>
    <t>Purple Dragons Equivalent</t>
  </si>
  <si>
    <t>Warship</t>
  </si>
  <si>
    <t>Capital ships</t>
  </si>
  <si>
    <t>Royal</t>
  </si>
  <si>
    <t>Axe of Crags</t>
  </si>
  <si>
    <t>New Tilverton's Anger</t>
  </si>
  <si>
    <t>Maskard's Caltrop</t>
  </si>
  <si>
    <t>Rhigaerd's Gauntlet</t>
  </si>
  <si>
    <t>Suzail Fleet</t>
  </si>
  <si>
    <t>Marsember Fleet</t>
  </si>
  <si>
    <t>Dawngleam Rapid Response Fleet</t>
  </si>
  <si>
    <t>Palaggar Fleet</t>
  </si>
  <si>
    <t>Armaments</t>
  </si>
  <si>
    <t>Blue Dragons Garrison</t>
  </si>
  <si>
    <t>War Wizards in Navy</t>
  </si>
  <si>
    <t>War Wizards in Army</t>
  </si>
  <si>
    <t>kadrath of medium infantry</t>
  </si>
  <si>
    <t>Siege Weapons Battery</t>
  </si>
  <si>
    <t>Queen's Cavalry Regiment</t>
  </si>
  <si>
    <t>[VGtC,p.184: an outpost in the heart of Gnoll Pass.]</t>
  </si>
  <si>
    <t>Citadel</t>
  </si>
  <si>
    <t>[VGtC,p.184: a tiny Purple Dragon garrison in tiny Hillmarch Keep, and at least one war wizard.]</t>
  </si>
  <si>
    <t>[VGtC,p.184: an outpost halfway between Halfhap and Tilverton.]</t>
  </si>
  <si>
    <t xml:space="preserve">1 squad of infantry
</t>
  </si>
  <si>
    <t>Eagle Peak Garrison
1 squadron of light cavalry (under Rgt. HQ at Skull Crag)
1 battalion of light infantry (under Rgt. HQ at High Horn)
1 archer battery</t>
  </si>
  <si>
    <t>Founded after war with Cult of the Dragon</t>
  </si>
  <si>
    <t>Fire Knives</t>
  </si>
  <si>
    <t>Originally a band of assassins based in Cormyr, the Fire Knives were driven from that land in 1341 DR after their ties to the assassination of a local lord were revealed. The current group Consists mostly of exiled nobles of Cormyr's house Bleth and Cormaeril, who rebuilt the organization after adventurers broke its power in 1357 DR. Now they scheme to assassinate those Cormyrians who oppose their return, reserving their special hatred for House Obarskyr.
The Fire Knives are based in Westgate, existing there with the permission of the Night Masks (the assassins' guild that runs the city). The guild's new headquarters is under Castle Cormaeril in Westgate. Bitter about their exile, the former nobles of the Fire Knives have a strict hierarchy under the Grandfather of Assassins. Lord Tagreth Cormaeril (LE male human Ftr3/Rog7/Asn7) tolerates no dissent among the ranks of his followers. Agents of the guild exist in all of the major cities in Cormyr and many of the smaller towns, with a few scattered among Sembia, the Dales, and Chessenta. Since Cormyr is unaware of the rebirth of the guild and has its own problems, the Fire Knives have been able to act unopposed, placing assassins close to targets who only await a command from the Grandfather.
Because most of the Fire Knives were born to the nobility, they are schooled in diplomacy, subtle language, and high society. Most of have acquired some skill at disguise. Forced to flee Cormyr with what they could carry, many have heirloom magic items and jewelry, some of which they were forced to pawn in the months before the guild was formed. Fire Knives tend to use giant wasp poison on their weapons when performing an assassination, but don't shy from poisoning their target's food and drink when possible.
Recently Lord Tagreth has been urging his followers to dissociate themselves from the Night Masks, sensing trouble on the horizon as the vampire leader of the Masks exerts his influence more force fully upon the Knives. Tagreth has purchased a large mansion and a scroll with teleportation circle, which he plans to use to evacuate his followers should the Masks turn against them.
The Fire Knives are dangerous due to their ability to blend in with elite society and their fixation on the destruction of Cormyr's house Obarskyr. They are willing to accept other assassinations at very low rates just for the opportunity to hone their skills. This eagerness makes them popular with those who would otherwise be unable to afford such services.</t>
  </si>
  <si>
    <t>Red Raven Mercenary Company</t>
  </si>
  <si>
    <t>Based in Arabel, the Red Ravens are by far the largest chartered adventuring band in Cormyr, with membership exceeding one hundred. Led by Rayanna the Rose (LN female human fighter 16), the group has for almost a decade been under contract to the crown of Cormyr to scour the Stonelands of evil creatures, and can triple its membership for short durations given the right mission and sufficient funds from an employer. The Red Ravens are primarily fighters or multiclassed fighters with levels in barbarian, ranger, or rogue. They include a small number of sorcerers and clerics, but wizards, paladins, bards, monks, and druids are scarce.</t>
  </si>
  <si>
    <t>Barbarians, Mir</t>
  </si>
  <si>
    <t>These horsemen in the Tunlands around the Marsh of Tun fight both the forces of Darkhold and the Purple Dragons of Cormyr for control of the surrounding territory. The Mir have a secret base on the northern edge of the Marsh of Tun, where their women and children are secluded. The Mir are hunters and scavengers, living off the land and stealing from Zhent caravans that travel the northern trade routes. They seldom trust outsiders since the time a group of Zhentarim spies infiltrated their tribe and killed many of their women. Those who are accepted into the tribe are expected to give a blood oath of loyalty to the tralmir (tribal leader) and defend the lands of the Mir to the death.</t>
  </si>
  <si>
    <t>Alliance of Freesailors</t>
  </si>
  <si>
    <t>The Company of the Errant Gauntlet</t>
  </si>
  <si>
    <t>Harbold’s Hellraisers</t>
  </si>
  <si>
    <t>The Company of the Crimson Manticore</t>
  </si>
  <si>
    <t>Friends of the Ghost Knight</t>
  </si>
  <si>
    <t>The Maidenseekers of Purdrim</t>
  </si>
  <si>
    <t>Cellarer</t>
  </si>
  <si>
    <t>Clerk of the Shield</t>
  </si>
  <si>
    <t>Clerk of Vigilance</t>
  </si>
  <si>
    <t>Court Alchemist</t>
  </si>
  <si>
    <t>Court Sage</t>
  </si>
  <si>
    <t>Court Wizard</t>
  </si>
  <si>
    <t>Crown Herald</t>
  </si>
  <si>
    <t>Dragonfang Lord Investigator</t>
  </si>
  <si>
    <t>Gentleman Usher</t>
  </si>
  <si>
    <t>High Chatelaine</t>
  </si>
  <si>
    <t>Lady of Graces</t>
  </si>
  <si>
    <t>Mage Royal</t>
  </si>
  <si>
    <t>Master of Revels</t>
  </si>
  <si>
    <t>Royal Cook of the Low Kitchens</t>
  </si>
  <si>
    <t>Royal High Scribe of the Realm</t>
  </si>
  <si>
    <t>Palace Steward</t>
  </si>
  <si>
    <t>Royal Sage Most Learned</t>
  </si>
  <si>
    <t>Scepter of Justice</t>
  </si>
  <si>
    <t>Steward of the Regalia</t>
  </si>
  <si>
    <t>Underclerk of Protocol</t>
  </si>
  <si>
    <t>Undercook</t>
  </si>
  <si>
    <t>Understeward</t>
  </si>
  <si>
    <t>The Lalya Maurshanta</t>
  </si>
  <si>
    <t>Seven Suns Trading Coster</t>
  </si>
  <si>
    <t xml:space="preserve">
A coalition of merchants held by seven partners, the Seven Suns operated throughout the Western Heartlands and Sembia, with regional bases in Baldur’s Gate, Suzail, Everlund, Almraiven, Calaunt, Ormpetarr, Sheirtalar, and Milvarune. </t>
  </si>
  <si>
    <t>Thousandheads Trading Coster</t>
  </si>
  <si>
    <t>The Thousandheads Trading Coster connects the 
cities of Waterdeep to Hillsfar, passing through 
Scornubel, Berdusk, Iriabor, Priapurl, Arabel, and 
Escambia. Thousands of caravans run along this 
route, with hired adventurers and mercenaries 
guarding each one. It is based out of the Bhaer-
kantos stronghold near Riatvin.</t>
  </si>
  <si>
    <t>Queen Filfaeril’s Blades</t>
  </si>
  <si>
    <t>Brewers and Cheesemakers Guild</t>
  </si>
  <si>
    <t>made up of brewers, spirit blenders and importers, and chee­semakers</t>
  </si>
  <si>
    <t>Roofers, Thatchers, and Glaziers GuilD</t>
  </si>
  <si>
    <t>made up of roofers, slate masons, shingle cutters, thatch­ers, glaziers, sandglass makers, and glass stainers T</t>
  </si>
  <si>
    <t>Freesails</t>
  </si>
  <si>
    <t>While the Alliance of Freesails has been dissolved, Cormyr still recruits privateers, known as freesails, to hunt pirates and help defend Cormyrean mer­chant vessels from attack. Freesails must be char­tered, which costs 1,000 gp and there is an annual renewal fee of 300 gp. Freesails are also expected to turn over the Crown's portion of any loot they ac­quire, amounting to fifty percent of the total value.
Those who would wear weapons in Cormyr, in­cluding chartered adventurers and mercenaries, are required by law to wear peacestrings about their sword hilts, preventing them from being unsheathed. Peacestrings are brightly colored and tasseled cords, and the proper tying of peacestrings is considered to be something of an art among Cormyrean nobles and adventurers alike. A proper knot is one that appears extremely complex, but can be undone with a single tug to free the weapon. The Purple Dragons regularly keep an eye out for those bearing weapons that are not peace-bonded, and stop such individuals to inform them of the local “custom”. Those who refuse or who persistently violate the custom are subject to imprisonment and having their weapons seized.</t>
  </si>
  <si>
    <t>Guild of Carpenters and Joiners</t>
  </si>
  <si>
    <t>• : controls wood cutting, curing, staining, furniture making, fitted carpentry, and joinery</t>
  </si>
  <si>
    <t>YEAR</t>
  </si>
  <si>
    <t>MONTH</t>
  </si>
  <si>
    <t>CLACK</t>
  </si>
  <si>
    <t xml:space="preserve">	• Word has spread from distant High Horn that a second mountainside has collapsed in the vicinity or Tyrluk, revealing the honeycombed interior of a (presumably) abandoned dwarven mine. That two mountain faces have fallen down within a six month period has left the commander of High Horn little choice but to dispatch men into the harsh winter weather to warn villages and hamlets that lay on or near mountain slopes of the potential danger. Several adventuring companies wintering in Tyrluk have departed with the intent to be the first to explore this new ruin, while another company made for nearby Sagekeep to learn which other mountains might house abandoned dwarven settlements.
	• A curious effect of the many chapbooks sold in Arabel has left residents of the Caravan city to wonder who or what is working magic on readables: about one in three of the simple written works sold at market stalls within the city that is read cover to cover emanates warmth for several hours after--a few hastily read chapbooks being enough to warm a room. Rumors claim such books continue to radiate heat upwards of four or five readings.
Arabel is experiencing heavier than usual snowfall. Already great mounds of snow are piled high near each of the city gates, and the residents of Arabel are being forced to move snow about with whatever tools are at hand. Crown mages are casting spells to clear the main roads and the Purple Dragons have formed work gangs to clear snow, but the snowfall continues unabated.</t>
  </si>
  <si>
    <t xml:space="preserve">	• Essard, longtime factor and representative of the reclusive Arabellan alchemist Mordgrandgur, has issued a wintertime call for chartered adventuring companies. Notices have been posted throughout Arabel. Interested parties are advised to purchase fresh horses or other magical means of transportation, as rumors are circulating that the alchemist is in dire need of rare moss and other specimens found only in the caverns beneath Plungepool, due east of far away Espar.
	• On the orders of the commander of High Horn and over the protestations of the local lord, purple dragons garrisoned for the winter in Tyrluk have departed to begin patrolling the nearby mountain valleys and trails for any sign of the imminent collapse of mountainsides.</t>
  </si>
  <si>
    <t>• News has reached Eveningstar of a brewing conflict in Tyrluk: The purported theft of a dwarven-made hammer of pure gold from the rooms of an adventuring company staying at the Read Bear’s Delight (a hastily built inn and rooming house located in Tyrluk and established in the heart of winter last year) has set the residents of that establishment against their fellows living across the way at the just as hastily built Serpent Triumphant. “Only malcontents, thieves and two-faced scoundrels stay at the Serpent!” This according to Baerstus “Red Bear” Sulphander, owner and sole proprietor of the Read Bear’s Delight. These accusation show no sign of effecting Tamthrice, owner and sole proprietor of the Serpent, or his guests: “What need has anyone for a mere hammer of gold, when our capable guests already possess a matched set of golden gauntlets, a golden helm and boots?”</t>
  </si>
  <si>
    <t>CURRENT TIME</t>
  </si>
  <si>
    <t>CKP</t>
  </si>
  <si>
    <t>CANDLEKEEP</t>
  </si>
  <si>
    <t>LINKS</t>
  </si>
  <si>
    <t>AETHAN GUIDE TO SEAFARING</t>
  </si>
  <si>
    <t>PALANT GUIDE TO COMBAT</t>
  </si>
  <si>
    <t>Cormyr: a Novel, Ed Greenwood &amp; Jeff Grubb first paperback printing, ©1996,1998 TSR, Inc.</t>
  </si>
  <si>
    <t>Stormlight, Ed Greenwood first paperback printing, ©1996 TSR, Inc.</t>
  </si>
  <si>
    <t>Sea of Fallen Stars, FR Campaign Expansion, Steven E. Schend (TSR 11393) ©1999 TSR, Inc.</t>
  </si>
  <si>
    <t>ABBR</t>
  </si>
  <si>
    <t>LINK</t>
  </si>
  <si>
    <r>
      <t xml:space="preserve">Crusade, Empires Trilogy Book 3, James Lowder </t>
    </r>
    <r>
      <rPr>
        <b/>
        <sz val="11"/>
        <color theme="1"/>
        <rFont val="Lato"/>
        <family val="2"/>
        <charset val="204"/>
        <scheme val="minor"/>
      </rPr>
      <t>first paperback printing, ©1991 TSR, Inc.</t>
    </r>
  </si>
  <si>
    <t>Prince of Lies, Avatar Series Book IV, James Lowder first paperback printing, ©1993 TSR, Inc., ©2003, WotC, Inc.</t>
  </si>
  <si>
    <t>[VGtC,p.188: While there is no mention of an actual garrison or keep, there are local Purple Dragons.]</t>
  </si>
  <si>
    <t>Castle Aris</t>
  </si>
  <si>
    <t>Minor garrisons or detachments supported out of the Eagle Peak garrison</t>
  </si>
  <si>
    <t>fort</t>
  </si>
  <si>
    <t xml:space="preserve"> [VGtC,p.184: an outpost halfway between Halfhap and Tilverton.]</t>
  </si>
  <si>
    <t>outpost</t>
  </si>
  <si>
    <t>Noktil</t>
  </si>
  <si>
    <t>1st Suzailan</t>
  </si>
  <si>
    <t>decisive, blunt, loyal</t>
  </si>
  <si>
    <t xml:space="preserve">The current Lord Magister of Suzail distinguished 
himself as a paladin and Purple Dragon during the 
war with Sembia, and has served as the Lord Magis-
ter since his retirement. He is stalwart and loyal to 
the crown, and is an efficient and decisive leader. </t>
  </si>
  <si>
    <t>driven, focused, diligent</t>
  </si>
  <si>
    <t>charming, intelligent, ambitious</t>
  </si>
  <si>
    <t>The senior member of House Hawklin frequently hires adventurers to patrol the borders of Cormyr and engage in acts of espionage within Sembia. He is always in the market for rare artifacts and information.</t>
  </si>
  <si>
    <t>Lavartes is a handsome and rugged young scion 
of House Dauntinghorn who oversees the family’s 
dealings with adventuring companies and freesails. 
He will gladly pay bounties for wanted pirates, and 
keeps well informed on the movements of pirates 
throughout the Dragonmere and beyond.</t>
  </si>
  <si>
    <t xml:space="preserve">A human courtier from an Arabellen merchant family, Lady Eleanor Thond is an intelligent and ambitious woman with an eye for detail and a silver tongue. She compliments Lord Morahan well, providing a subtle touch that the gruff military man lacks. Lady Eleanor was once a bard and has a soft spot for dashing young men. While she enjoys the prestige of her current position, she secretly dreams of marrying into a noble house. </t>
  </si>
  <si>
    <t>adventurous, cunning, brash</t>
  </si>
  <si>
    <t xml:space="preserve"> wise, nostalgic, forgetful</t>
  </si>
  <si>
    <t>An older Arabellen priestess of Tymora, Luckmaster Olane is widely travelled and well respected among the people of Suzail, particularly the nobility and merchants of the city. She has a soft spot for ad-ventures, and is rumored to have been a bit of an adventurer herself in her younger years.</t>
  </si>
  <si>
    <t>wise, caring, calculating</t>
  </si>
  <si>
    <t xml:space="preserve">The leader of the Oghmanyte Church in Suzail and distant relative to the Emmarask family, High Namer Wyndel Sedranis offers fair prices to adventurers for any unique tomes that they uncover. </t>
  </si>
  <si>
    <t>small hamlet</t>
  </si>
  <si>
    <t>small caravan stop</t>
  </si>
  <si>
    <t>Arvel Kraligh</t>
  </si>
  <si>
    <t xml:space="preserve">scheming, ambitious, cunning </t>
  </si>
  <si>
    <t xml:space="preserve">wealth and riches </t>
  </si>
  <si>
    <t>The local lord of Arabel and second son of the for-
mer lord, Arvel is a scheming drunkard and not well 
liked by the people of Arabel. He is, however, quite 
cunning and has prevented any rivals from rising 
to challenge him. Unlike former lords of Arabel, 
Arvel has a combative relationship with the local 
adventuring companies, seeing them as an unlawful 
menace that needs to be reigned in. Whether he 
can succeed when no one else in the city shares this 
opinion has yet to be seen.</t>
  </si>
  <si>
    <t>Sven Vaylan</t>
  </si>
  <si>
    <t>cheerful, adventurous, brave</t>
  </si>
  <si>
    <t>Ophira Santedul</t>
  </si>
  <si>
    <t xml:space="preserve"> whimsical, inquisitive, observant</t>
  </si>
  <si>
    <t>The current local lord of Juniril is the eldest daughter of old Lord Santedul, a young adult who spent her youth studying to be a mage. She fought in the war against Sembia, and after the death of her father was recalled to Juniril to serve as the local lord. She chafes at the responsibility and dislikes being cooped up in the small fishtown, but regularly shipments of books by the wagonload to help her pass the time</t>
  </si>
  <si>
    <t>Highcastle</t>
  </si>
  <si>
    <t>Pegasus Archery Company</t>
  </si>
  <si>
    <t>mercenary militia of highcastle</t>
  </si>
  <si>
    <t>Winterhaven</t>
  </si>
  <si>
    <t>lazy, dull, spoiled</t>
  </si>
  <si>
    <t>humble, alert, confident</t>
  </si>
  <si>
    <t>Sister Linora manages the town’s temple along with 
her acolyte, Gevarn. She is humble, quiet, and soft 
spoken, but is constantly on the lookout for any 
signs of the return of the Sharran cult.</t>
  </si>
  <si>
    <t>Thair is the town’s dwarven blacksmith and also 
took over the sundries shop shortly after the retire-
ment of its previous owner. He is quick to anger and 
has a long memory for those who have wronged 
him, but cuts a fair deal and doesn’t believe in 
taking advantage of those who are in need. Being 
the patriarch of the only dwarven family in Win-
terhaven, Thair is always happy to meet another 
dwarf, particularly young dwarven men who might 
be suitable matches for his young adult daughters 
(both of whom are accomplished blacksmiths in 
their own right and neither of whom have the least 
bit of interest in being married off to some scruffy 
adventurers).</t>
  </si>
  <si>
    <t>gruff, short tempered, professional</t>
  </si>
  <si>
    <t>Oris Grenfeld</t>
  </si>
  <si>
    <t>wise, tactical, brave</t>
  </si>
  <si>
    <t>found a city that will allow Cormyr to begin taming and settling the Stonelands</t>
  </si>
  <si>
    <t>Oris is a master of tactics and one of the two knights who, along with a small group of adventurers, drove the Crimson Wolf bandits out of their camp in the name of the crown.</t>
  </si>
  <si>
    <t>brash, hotheaded, strong</t>
  </si>
  <si>
    <t>bring honor to herself and rise to the ranks of true nobility</t>
  </si>
  <si>
    <t>Cora is a skilled and ferocious warrior who leads the city guard of Redwolf. She assisted Oris in clear-ing the bandit camp and they have since become engaged. She is hoping that their hard work establishing the town of Redwolf will allow her to become true nobility as she rightly deserves.</t>
  </si>
  <si>
    <t>private, stoic, focused</t>
  </si>
  <si>
    <t>One of Cormyr’s few mining magnates, Thorland 
owns at least six rich iron and silver mines in west-
ernmost Cormyr. His blazon, a gold anvil split by a 
three-zag gold lightning bolt, on a pale blue field, 
commemorates the defeat of a dwarven clan, cen-
turies ago, that helped one of his ancestors retain 
one of the family’s first mines. The Thorlands are 
reclusive, having a great distaste for Suzail and for 
politic</t>
  </si>
  <si>
    <t>Dragonmere</t>
  </si>
  <si>
    <t>Stonelands</t>
  </si>
  <si>
    <t>Stormhorns</t>
  </si>
  <si>
    <t>Thunder Peaks</t>
  </si>
  <si>
    <t>Hullack Forest</t>
  </si>
  <si>
    <t>Wyvernwater</t>
  </si>
  <si>
    <t>Vast Swamp</t>
  </si>
  <si>
    <t>King's Forest</t>
  </si>
  <si>
    <t>Farsea Swamps and Tunlands</t>
  </si>
  <si>
    <t>Lightning Steppes and Horse Prairie</t>
  </si>
  <si>
    <t>Armorers Guild</t>
  </si>
  <si>
    <t xml:space="preserve"> controls armor- and weap-on-making, as well as the crafting of any tem-pered steel items</t>
  </si>
  <si>
    <t>Guild of Coachlars, Carriers, Waymen, and Locksters</t>
  </si>
  <si>
    <t xml:space="preserve"> controls wagon makers, wagon owners,locksmiths, coach drovers, carters, and draymen,as well as warehouses</t>
  </si>
  <si>
    <t>Truebreeds Guild</t>
  </si>
  <si>
    <t xml:space="preserve"> controls breeding, training,and trade in horses, oxen, sheep, cattle, and dogs</t>
  </si>
  <si>
    <t>Seafarers Guild</t>
  </si>
  <si>
    <t xml:space="preserve"> includes sailors, captains, shipowners, sail-makers, navigators, mapmakers,rope-makers, shipwrights, and ship repairers</t>
  </si>
  <si>
    <t>Vintners and Falconers Guild</t>
  </si>
  <si>
    <t xml:space="preserve"> controls falcon-ry, raptor breeding and trading, wine making,vineyard owning and tending, and the sale anddistribution of wine</t>
  </si>
  <si>
    <t xml:space="preserve"> made up ofbrewers, spirit blenders and importers, and chee-semakers</t>
  </si>
  <si>
    <t>Roofers, Thatchers, and Glaziers Guild</t>
  </si>
  <si>
    <t xml:space="preserve"> made upof roofers, slate masons, shingle cutters, thatch-ers, glaziers, sandglass makers, and glass stainers</t>
  </si>
  <si>
    <t>Tanners and Leatherers Guild</t>
  </si>
  <si>
    <t xml:space="preserve"> composed of tan-ners, dyers, corvisers, cobblers, harness makers,battle leatherers, trimmers, weatherdarrs, andleatherwork repairers and alterers</t>
  </si>
  <si>
    <t>Guild of Weavers and Coopers</t>
  </si>
  <si>
    <t xml:space="preserve"> made up ofcoopers, weavers, textile dyers, garment cutters,embroiderers, clothiers, and drapers</t>
  </si>
  <si>
    <t>Guild of Naturalists</t>
  </si>
  <si>
    <t xml:space="preserve"> controls medicinal, edible,lubricant, dye-source, and craft-worthy uses forplants and animal matter</t>
  </si>
  <si>
    <t>[VGtC,p.185 states a Purple Dragon garrison has been installed in its own tiny keep.]</t>
  </si>
  <si>
    <t>[VGtC,p.186: a Purple Dragon guardpost is located in a little walled compound with a small keep just east of the ruins, and one of the two farms is rumored to actually house a war wizard with a bodyguard of poorly disguised purple dragons.]</t>
  </si>
  <si>
    <t>Anvilstone</t>
  </si>
  <si>
    <t>Arcantur</t>
  </si>
  <si>
    <t>Bloodbright</t>
  </si>
  <si>
    <t>Haelwing</t>
  </si>
  <si>
    <t>Loroun</t>
  </si>
  <si>
    <t>Bracebolt</t>
  </si>
  <si>
    <t>EXILED</t>
  </si>
  <si>
    <t>🕐</t>
  </si>
  <si>
    <t>🕑  </t>
  </si>
  <si>
    <t>🕒</t>
  </si>
  <si>
    <t>🕓</t>
  </si>
  <si>
    <t>🕔 </t>
  </si>
  <si>
    <t>🕕</t>
  </si>
  <si>
    <t>🕖</t>
  </si>
  <si>
    <t>🕗</t>
  </si>
  <si>
    <t>🕘  </t>
  </si>
  <si>
    <t>🕙 </t>
  </si>
  <si>
    <t>🕚</t>
  </si>
  <si>
    <t>🕛 </t>
  </si>
  <si>
    <t>SYMBOL</t>
  </si>
  <si>
    <t>DAY</t>
  </si>
  <si>
    <t>REGION</t>
  </si>
  <si>
    <t>Marpenoth </t>
  </si>
  <si>
    <t>Eleint</t>
  </si>
  <si>
    <t>Nightal</t>
  </si>
  <si>
    <t xml:space="preserve">King Foril Obarskyr dies in his sleep. </t>
  </si>
  <si>
    <t>(BA III pg.252)</t>
  </si>
  <si>
    <t xml:space="preserve">The Sakkors Enclave crashes into the ruins of Ordulin. The Netherese princes Brennus Tanthul and Rivalen Tanthul, Shar's Nightseer, are killed by the falling city. </t>
  </si>
  <si>
    <t>(S:TG pg 319)</t>
  </si>
  <si>
    <t xml:space="preserve">The shores of Cormyr are still flooded because of the Great Rain </t>
  </si>
  <si>
    <t>(S:TH pg 180)</t>
  </si>
  <si>
    <t xml:space="preserve">Rumors that Myth Drannor and the Dales have fallen reach Suzail, but not everyone believes in them. </t>
  </si>
  <si>
    <t>(S:TH pg.178)</t>
  </si>
  <si>
    <t>Shade Enclave: The city of Shade itself is moved against Myth Drannor.</t>
  </si>
  <si>
    <t xml:space="preserve"> (S:TH pg.312)</t>
  </si>
  <si>
    <t xml:space="preserve">Vangerdhast is returned to human form by Mystra </t>
  </si>
  <si>
    <t>(S:TH pg.358)</t>
  </si>
  <si>
    <t xml:space="preserve">Abeir and Toril are apart again. The Sundering has ended. </t>
  </si>
  <si>
    <t>(S:TH pg.355)</t>
  </si>
  <si>
    <t>Throughout much of Faerun, the winter of 1487 and 1488 lasted longer than any on record. The solstices and equinoxes had somehow drifted. Later seasons followed suit, with each starting and ending later than expected.</t>
  </si>
  <si>
    <t xml:space="preserve"> (SCAG pg.18)</t>
  </si>
  <si>
    <t>(E:S pg.27)   (E:S pg.56-63).</t>
  </si>
  <si>
    <t>Sembia dissolves into a collection of city-states.</t>
  </si>
  <si>
    <t xml:space="preserve">Tabra, a female archmage and last apprentice of the netherese arcanist Ioulaum, who had been captured, tortured and disfigured by Telamont Tantul, is freed from stasis by the death of the High Prince. In revenge she sets out to destroy surviving Shadovar arcanists. </t>
  </si>
  <si>
    <t>(E:S pg.45)</t>
  </si>
  <si>
    <t>(FtR:TDaCF)</t>
  </si>
  <si>
    <t xml:space="preserve">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t>
  </si>
  <si>
    <t>(S:TH pg350-352)</t>
  </si>
  <si>
    <t xml:space="preserve">The Srinshee sacrifices herself to wrest the magical energies from Larloch and High Prince Tanthul and strengthens the Weave with the power of the city's mythal and the wards of Candlekeep. </t>
  </si>
  <si>
    <t>(S:TH pg.348-349)</t>
  </si>
  <si>
    <t xml:space="preserve">Cormyr: Shadowwalkers from the Hall of Shadows reinforce the Shadowvar army besieging Suzail. Suzails walls are briefly breached by the shades. Although the shadow warriors kill many not one of them is able to open the gates before being slain. </t>
  </si>
  <si>
    <t>(BA III pg 447)</t>
  </si>
  <si>
    <t>(BA III pg 448)</t>
  </si>
  <si>
    <t>Prince Vattick Tanthul of Netheril is killed by Dove Falconhand</t>
  </si>
  <si>
    <t xml:space="preserve"> (S:TH pg)</t>
  </si>
  <si>
    <t xml:space="preserve">Dove Falconhand succumbs to her injuries after she called the baelnorns of Myth Drannors' tombs to defend the city. </t>
  </si>
  <si>
    <t>(S:TH pg316, 321,323,325)</t>
  </si>
  <si>
    <t xml:space="preserve">The Srinshee appears to defend Myth Drannor. </t>
  </si>
  <si>
    <t>(S:TH pg 246, 326-327)</t>
  </si>
  <si>
    <t>Prince Mattick Thantul, witnessing the power of the Srinshee, flees the fight of Myth Drannor</t>
  </si>
  <si>
    <t xml:space="preserve"> (S:TH pg.328)</t>
  </si>
  <si>
    <t>As the baelnorn of Myth Drannor fight the mercenary army, the dead of Myth Drannor begin to sing.</t>
  </si>
  <si>
    <t>(S:TH pg 325, 329)</t>
  </si>
  <si>
    <t xml:space="preserve">Larloch shatters the minds of many of shade's finest arcanists, among them Prince Aglarel. </t>
  </si>
  <si>
    <t>(S:TH pg. 336-338)</t>
  </si>
  <si>
    <t xml:space="preserve">The Shrinshee orders the baelnorn to protect the 'Tree of Souls'. They form a magical shield around the tree, that even shields the tree from the later impact of the Shade Enclave. </t>
  </si>
  <si>
    <t xml:space="preserve">The last remaining defenders of the City of Song, among them Coronal Ilsevele Miritar and her consort Flar Starbrow, were rescued by the Srinshee and transported to Semberholme. The living elves temporarily abandon Myth Drannor. </t>
  </si>
  <si>
    <t>(FtR:TDaCF)  (S:TH pg.352)</t>
  </si>
  <si>
    <t xml:space="preserve">Only few Shadovar survive the fall of their city, among them the sisters Manarlume and Lelavdra Tanthul and the arcanist Gwelt who later form a secret society, collecting surviving Thulthantans within the 'Court of the Three', which is located within the least damaged ruins of the former Citadel of the Raven. They also plan to retake surving netherese cities. </t>
  </si>
  <si>
    <t xml:space="preserve">(FtR:TDaCF) (S:TH pg. 353) </t>
  </si>
  <si>
    <t>Terrible monsters appear within the lines of the netherese mercenaries.</t>
  </si>
  <si>
    <t>(S:TH pg.280&gt;)</t>
  </si>
  <si>
    <t xml:space="preserve">Larloch attacks the baelnorns and magics of Myth Drannor. </t>
  </si>
  <si>
    <t>(S:TH pg.)</t>
  </si>
  <si>
    <t xml:space="preserve"> War wizards close the portal within the Forgotten Keep, cutting of Netheril's supplies in the region, breaking the siege of Arabel.</t>
  </si>
  <si>
    <t xml:space="preserve">Shadowwalkers from the Hall of Shadows reinforce the Shadowvar army besieging Suzail. Suzails walls are briefly breached by the shades. Although the shadow warriors kill many not one of them is able to open the gates before being slain. </t>
  </si>
  <si>
    <t xml:space="preserve">The god Helm returns to the Realms due to the faith of his Chosen Kleef Kenric.Prince Yder Tanthul is slain in battle against Helm's Chosen Kleef Kenric.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t>
  </si>
  <si>
    <t>(S:TS pg.279)  (S:TS pg.264-266) (S:TS pg.295)</t>
  </si>
  <si>
    <t xml:space="preserve">The shadow fiends of Wheloon escape their prison and march on Marsember. </t>
  </si>
  <si>
    <t>(S:TS pg.6)</t>
  </si>
  <si>
    <t>The city of Marsember is sacked by the Shadovar. Grand Duke Farninger Seasilver wants to flee to Elversult but is slain by Prince Yder Tanthul of Netheril.</t>
  </si>
  <si>
    <t>(S:TS 1&gt;, 62)</t>
  </si>
  <si>
    <t>(S:TS pg.155)</t>
  </si>
  <si>
    <t xml:space="preserve">The river Arrabar is in slow flood as the Sea of Fallen Stars seeps back into the Vilhon Reach, only slowed by a line of earthmotes the goddess Chauntea had dropped across the valley, allowing her faithful time to bring in the harvest. </t>
  </si>
  <si>
    <t xml:space="preserve">: After months the 'Great Rain' comes to an end. The waters of the Sea of Fallen Stars have swollen so greatly, that it's shores now resemble something akin to the shoreline from before the Spellplague again. </t>
  </si>
  <si>
    <t>(S:TR pg 323/ S:TH pg. 180)</t>
  </si>
  <si>
    <t>The Turmish fleet battles an pirate armada under the command of Umberlee's Chosen, the undead pirate Evendure. The pirates are beaten and Evendur is apparently killed by the turmish pirate captain Anton Marivaldi.</t>
  </si>
  <si>
    <t>(S:TR pg.321)</t>
  </si>
  <si>
    <t xml:space="preserve">The Chosen of Lathander Stedd Whitehorn heals the mental deterioration of the Emerald Enclave's elven leader Lady Cindermoon, now Shadowmoon, longtime Chosen of Silvanus.  Due to the Great Rain the holy island of Ilighôn is reborn and Turmish's capital Alaghôn becomes a port again. </t>
  </si>
  <si>
    <t>(S:TR pg. 263-264) (S:TR pg.254).</t>
  </si>
  <si>
    <t>Although the shroud over Sembia remains, cracks begin to show in its gloom.</t>
  </si>
  <si>
    <t xml:space="preserve"> (S:TG pg 323)</t>
  </si>
  <si>
    <t xml:space="preserve">The god Mask returns into the Realms through his Chosen Riven. Shar's Cycle of Night is broken and the Ordulin-Maelstrom is closed. </t>
  </si>
  <si>
    <t>(S:TG pg 316)</t>
  </si>
  <si>
    <t xml:space="preserve">The sanctuary 'Abby of the Sword' within the Valley of the Rose is destroyed by minions of Mephistopheles, although only the Oracle Elden Corrinthal alone is killed, as he sent the remaining brothers away to Arabel. </t>
  </si>
  <si>
    <t>(S:TG 140/244)</t>
  </si>
  <si>
    <t xml:space="preserve">The Dales have already endured months of attacks by sembian forces. </t>
  </si>
  <si>
    <t>(S:TG pg 125)</t>
  </si>
  <si>
    <t xml:space="preserve">Sembian forces block the road between Daerlun and Cormyr and are massed all along the borders of the Dalelands </t>
  </si>
  <si>
    <t>(S:TG pg 46/55)</t>
  </si>
  <si>
    <t>Sembian villages suffer as in addition to the hardships of the ever gloomy, monster-infested sembian plainlands, ever more mercenaries are called upon by Sembia for it's war.</t>
  </si>
  <si>
    <t>(S:TG pg 62)</t>
  </si>
  <si>
    <t xml:space="preserve">As the Spellplague ends, the post-Weeping spells stop to function and the old ways of magic return. Spellscars start to lose their powers. </t>
  </si>
  <si>
    <t>('Summer started', S:TC pg.260)</t>
  </si>
  <si>
    <t>RIME OF THE FROSTMAIDEN</t>
  </si>
  <si>
    <t>TYRANNY OF DRAGONS HODQ</t>
  </si>
  <si>
    <t>TYRANNY OF DRAGONS ROT</t>
  </si>
  <si>
    <t>OOTA</t>
  </si>
  <si>
    <t>POTA</t>
  </si>
  <si>
    <t>LOST TALES OF MYTH DRANNOR</t>
  </si>
  <si>
    <t>Thren Hills</t>
  </si>
  <si>
    <t>[VGtC,p.186: a Purple Dragon guardpost is located in a little walled compound with a small keep just east of the ruins, and one of the two farms is rumored to actually house a war wizard with a bodyguard of poorly disguised purple dragons.] [VGtC,p.184: a tiny Purple Dragon garrison in tiny Hillmarch Keep, and at least one war wizard.] [VGtC,p.184: an outpost in the heart of Gnoll Pass.]</t>
  </si>
  <si>
    <t xml:space="preserve">commanded by the Lord Commander of Castle Crag, Oversword 
1 medium infantry regiment
Regimental Headquarters and 1 squadron of the 2nd Mounted Airborne Regiment
Minor garrisons or detachments supported out of the Castle Crag garrison
Slingdyke: 1 squad of infantry
Hillmarch: 1 squad of infantry
Gnollpost: 1 squad of infantry
</t>
  </si>
  <si>
    <t xml:space="preserve">2 company of light infantry currently commanded by Swordcaptain </t>
  </si>
  <si>
    <t>2 company of medium infantry. HQ of 1st Kadrath of 2nd Battalion of 2nd Regiment of Medium Infantry, commanded by Lionar High Knight Kherick Neovok, 1 battlepriest, 1 Royal scout</t>
  </si>
  <si>
    <t>Evening star</t>
  </si>
  <si>
    <t>Eastern Expedition Force</t>
  </si>
  <si>
    <t>Western Expediiton Force</t>
  </si>
  <si>
    <t>Daerlun</t>
  </si>
  <si>
    <t>Swordmajor</t>
  </si>
  <si>
    <t>Storn</t>
  </si>
  <si>
    <t>Mahrsara</t>
  </si>
  <si>
    <t>Taen</t>
  </si>
  <si>
    <t>European Title</t>
  </si>
  <si>
    <t>Cormyrean Title</t>
  </si>
  <si>
    <t>Pron.</t>
  </si>
  <si>
    <t>King</t>
  </si>
  <si>
    <t>Queen</t>
  </si>
  <si>
    <t>Prince</t>
  </si>
  <si>
    <t>Princess</t>
  </si>
  <si>
    <t>Duke</t>
  </si>
  <si>
    <t>Duchess</t>
  </si>
  <si>
    <t>Marchion</t>
  </si>
  <si>
    <t>Marchioness</t>
  </si>
  <si>
    <t>Earl</t>
  </si>
  <si>
    <t>Countess</t>
  </si>
  <si>
    <t>Viscount</t>
  </si>
  <si>
    <t>Viscountess</t>
  </si>
  <si>
    <t>Baron</t>
  </si>
  <si>
    <t>Baroness</t>
  </si>
  <si>
    <t>Lord</t>
  </si>
  <si>
    <t>Lady</t>
  </si>
  <si>
    <t>Sir</t>
  </si>
  <si>
    <t>Staerra</t>
  </si>
  <si>
    <t>Ardess</t>
  </si>
  <si>
    <t>Mahrsar</t>
  </si>
  <si>
    <t>Обстрел (Аз-трелл)</t>
  </si>
  <si>
    <t>Аронна (Ар-аун-на)</t>
  </si>
  <si>
    <t>Ардир (Ар-диир)</t>
  </si>
  <si>
    <t>Ардесс (Ар-десс)</t>
  </si>
  <si>
    <t>Сторн</t>
  </si>
  <si>
    <t>Стаирра</t>
  </si>
  <si>
    <t>Марсар (Мар-сар)</t>
  </si>
  <si>
    <t>Марсара (Мар-сара)</t>
  </si>
  <si>
    <t>Велм</t>
  </si>
  <si>
    <t>Велана</t>
  </si>
  <si>
    <t>Тларвельм (Та-лар-вельм)</t>
  </si>
  <si>
    <t>Тларвелана</t>
  </si>
  <si>
    <t>Таэн</t>
  </si>
  <si>
    <t>Таэня (Таэ-ня)</t>
  </si>
  <si>
    <t>Тахар (Та-хар)</t>
  </si>
  <si>
    <t>Эйро</t>
  </si>
  <si>
    <t>Эйрона</t>
  </si>
  <si>
    <t>Сэир</t>
  </si>
  <si>
    <t>Европейский титул</t>
  </si>
  <si>
    <t>Кормирский аналог</t>
  </si>
  <si>
    <t xml:space="preserve">Король </t>
  </si>
  <si>
    <t>Королева</t>
  </si>
  <si>
    <t xml:space="preserve">Принц </t>
  </si>
  <si>
    <t>Принцесса</t>
  </si>
  <si>
    <t xml:space="preserve">Герцог </t>
  </si>
  <si>
    <t>Герцогиня</t>
  </si>
  <si>
    <t xml:space="preserve">Маркиз </t>
  </si>
  <si>
    <t>Маркиза</t>
  </si>
  <si>
    <t xml:space="preserve">Граф </t>
  </si>
  <si>
    <t>Графиня</t>
  </si>
  <si>
    <t xml:space="preserve">Виконт </t>
  </si>
  <si>
    <t>Виконтесса</t>
  </si>
  <si>
    <t xml:space="preserve">Барон (в Кормире, включая баронета) </t>
  </si>
  <si>
    <t>Баронесса (в Кормире, включая баронетту)</t>
  </si>
  <si>
    <t xml:space="preserve">Рыцарь </t>
  </si>
  <si>
    <t>Лорд</t>
  </si>
  <si>
    <t xml:space="preserve">Леди </t>
  </si>
  <si>
    <t>Сир</t>
  </si>
  <si>
    <t>Taenya</t>
  </si>
  <si>
    <t>Tahar</t>
  </si>
  <si>
    <t>Aro</t>
  </si>
  <si>
    <t>Arauna</t>
  </si>
  <si>
    <t>Saer</t>
  </si>
  <si>
    <t>Tlarvelana</t>
  </si>
  <si>
    <t>Tlarvelm</t>
  </si>
  <si>
    <t>Araunna</t>
  </si>
  <si>
    <t>Astrel</t>
  </si>
  <si>
    <t>Ardyr</t>
  </si>
  <si>
    <t>Velm</t>
  </si>
  <si>
    <t>Velana</t>
  </si>
  <si>
    <t>“Tayn”</t>
  </si>
  <si>
    <t>“Aztrell”</t>
  </si>
  <si>
    <t>“Arrawnah”</t>
  </si>
  <si>
    <t>“Ardeer”</t>
  </si>
  <si>
    <t>“Ardess”</t>
  </si>
  <si>
    <t>“Stairah”</t>
  </si>
  <si>
    <t>“Marsarr”</t>
  </si>
  <si>
    <t>“Velmm”</t>
  </si>
  <si>
    <t>“Vellanna”</t>
  </si>
  <si>
    <t>“Tahlarvelm”</t>
  </si>
  <si>
    <t>“Tahlarvelanna”</t>
  </si>
  <si>
    <t>“Taynyah”</t>
  </si>
  <si>
    <t>“Tahhar”</t>
  </si>
  <si>
    <t>“Airo”</t>
  </si>
  <si>
    <t>“Aironah”</t>
  </si>
  <si>
    <t>“Sayur”</t>
  </si>
  <si>
    <t>Royal Court</t>
  </si>
  <si>
    <t>Duchy</t>
  </si>
  <si>
    <t>Barony</t>
  </si>
  <si>
    <t>Kingdom</t>
  </si>
  <si>
    <t>Heir of Kingdom</t>
  </si>
  <si>
    <t>County</t>
  </si>
  <si>
    <t>March</t>
  </si>
  <si>
    <t>vicecomtés</t>
  </si>
  <si>
    <t>Land</t>
  </si>
  <si>
    <t>Lord High Warden</t>
  </si>
  <si>
    <t>Royal Chaplain</t>
  </si>
  <si>
    <t>Crown Prince</t>
  </si>
  <si>
    <t>Даже самые влиятельные аристократы редко получают этот титул, который обычно дается родственникам короля (в том числе главам рода Трусильвер и Кроунсильвер, которые издревле находятся в близком родстве с монархами). Но иногда великому герою может быть пожалован статус герцога, и его дети унаследуют потом какой-нибудь из младших титулов.</t>
  </si>
  <si>
    <t>в оригинальном тексте, когда речь идет о местной аристократии автор статьи упоминает термин «earl» обозначающий «граф», применительно к землям Англии. В случае же с пришлыми аристократами автор употребляет титул «count», который тоже означает графа, но этот титул применялся в Европе, поэтому по аналогии этот титул был заменен на близкий по значению титул «Князя».</t>
  </si>
  <si>
    <t>В аристократических семьях, переживших три поколения от своего создания, большинство дворян наделены именно титулами барона или баронессы, в основном благодаря тому, что этот титул обязательно кому-нибудь передается после смерти его обладателя.</t>
  </si>
  <si>
    <t>У самого основания социальной лестницы стоит титул рыцаря. Это звание универсально в применении, как к мужчине, так и к женщине. Но к женщине обычно обращаются «Леди Рыцарь». Титул рыцаря не наследуется и не передается потомкам, потому как выдается только по личным заслугам во благо Кормира</t>
  </si>
  <si>
    <t>Дворяне в зависимости от ранга и позиции могут командовать Пурпурными Драконами во времена кризисов и войн. Рядовые повинуются аристократам, как если бы те были Капитанами Меча, потому что практически каждый аристократ имеет статус хотя бы баронета. Графы могут командовать Орнрионами, так же как и главы благородных домов. Герцоги королевства могут командовать Сверхмечами.</t>
  </si>
  <si>
    <t>A noble is not required to tie a peace string around their sword (to keep it from being drawn swiftly in anger).</t>
  </si>
  <si>
    <t>A noble may detain lawbreakers on their family lands.</t>
  </si>
  <si>
    <t>A noble may arrest someone for breaking Crown law if the crime occurs in the noble’s presence.</t>
  </si>
  <si>
    <t>A noble must turn lawbreakers over to the Crown for trial and punishment.</t>
  </si>
  <si>
    <t>A noble may temporarily hire mercenaries.</t>
  </si>
  <si>
    <t>A noble may build and occupy fortified residences.</t>
  </si>
  <si>
    <t>A noble may not swear fealty to anyone besides Cormyr’s ruling monarch.</t>
  </si>
  <si>
    <t>A noble may not accept oaths of fealty from anyone else— even another noble.</t>
  </si>
  <si>
    <t>A noble may not punish or try someone for their crimes.</t>
  </si>
  <si>
    <t>A noble may not raise up a private army loyal to them alone.</t>
  </si>
  <si>
    <t>Can</t>
  </si>
  <si>
    <t>Cannot</t>
  </si>
  <si>
    <t>Оссани Ивнинспайр</t>
  </si>
  <si>
    <t>Коронт в переводе со старого общего языка - руководитель, придворный или военный командир, временно произведенный Короной в ранг после того, как законный владелец титула или звания внезапно скончался, пропал без вести или стал нетрудоспособен и Трон назначает ему временного приемника, пока не будет найдена постоянная замена.</t>
  </si>
  <si>
    <t>Этим почетным титулом Корона награждает тех, кого хочет наделить особым статусом, примерно таким же, как и дворянин, имеющий звание военной структуры. Хотя Защитник может принять любой дворянский титул или любое звание Пурпурных Драконов, по своей сути он равен в привилегиях Барону со стороны аристократических титулов и Консталу со стороны званий Пурпурных Драконов.</t>
  </si>
  <si>
    <t>Duke Royal</t>
  </si>
  <si>
    <t>Duchess Rpyal</t>
  </si>
  <si>
    <t>Corount</t>
  </si>
  <si>
    <t>Baronet</t>
  </si>
  <si>
    <t>Baronetess</t>
  </si>
  <si>
    <t>Баронет</t>
  </si>
  <si>
    <t>Баронетта</t>
  </si>
  <si>
    <t>constal</t>
  </si>
  <si>
    <t>oversword</t>
  </si>
  <si>
    <t>wardship</t>
  </si>
  <si>
    <t>Vainrence</t>
  </si>
  <si>
    <t>Baerovus Azoun</t>
  </si>
  <si>
    <t>Lord Erzoured Obarskyr, Baron Boldtree</t>
  </si>
  <si>
    <t>Ganrahast Aeiulvana</t>
  </si>
  <si>
    <t>Ganrahast’s second-in-command, closest friend, 
and the true leader of the War Wizards is the Lord 
Warder. Vainrence is a direct, honest man. He 
believes in serving Cormyr to the best of his abilities, 
not in soothing the egos of childish nobles or his War 
Wizard charges. A veteran of the wars with Sembia, 
he distinguished himself through the careful appli-
cation of battle magic, his willingness to pick up a 
sword when necessary, and his understanding of tac-
tics beyond the level of most War Wizards. King Foril 
took notice of those tactical abilities, which increased 
his standing until he was finally elevated to his cur-
rent position by Ganrahast.
 In his tenure at court, Vainrence has pushed King 
Foril to allow the War Wizards to live up to their 
name and take a more direct role in combat. Gan-
rahast remains unsure of this new direction, but the 
influence of the late Caladnei (who sought to increase 
the utility of the War Wizards to the Crown) has thus 
far kept him from reining Vainrence in.</t>
  </si>
  <si>
    <t>Few would guess that the quiet, dark-haired woman of 
forty who serves as the Sage Royal is the great-grand-
daughter of Laspeera Naerinth. Although she possesses 
none of her ancestor’s beauty or presence—and little 
of her magical talent—Ossani Eveningspire is a bril-
liant thinker with an incisive wit and a sharp tongue. 
Perhaps more than even the Royal Magician, Lady Eve-
ningspire understands the importance of magic to the 
history of Cormyr, and the sacrifices that the realm’s 
magical defenders have made for the kingdom.
 The Sage Royal does her best to avoid matters of 
politics, leaving those to her sisters Aceeta Naerinth, 
Earilde Inthré, and Icaura Thralos. (Each sister chose 
a different family name from among those they inher-
ited.) An exception to this rule is made for rumors 
regarding magic treasures of great age and unknown 
power, which prompt Ossani’s undivided interest and 
attention.</t>
  </si>
  <si>
    <t>saha tovan</t>
  </si>
  <si>
    <t>Nobles do and don't</t>
  </si>
  <si>
    <t>Military analog</t>
  </si>
  <si>
    <t>High Marshal</t>
  </si>
  <si>
    <t>which patrols all areas east of Arabel, including the Hullack and Tilverton Pass Castle Crag</t>
  </si>
  <si>
    <t>guard (1/4) | 1</t>
  </si>
  <si>
    <t>soldier (1/2) | 2 -6</t>
  </si>
  <si>
    <t>usually &lt;12, max 20. A firstsword has the authority to make reports, give testimony, disarm and detain unchartered adventurers, and otherwise operate without strict supervision</t>
  </si>
  <si>
    <t xml:space="preserve"> | min 10</t>
  </si>
  <si>
    <t>Knight (3) | 6</t>
  </si>
  <si>
    <t>2nd Suzailan</t>
  </si>
  <si>
    <t>1st Airborne</t>
  </si>
  <si>
    <t>2nd Airobrne</t>
  </si>
  <si>
    <t>1st Crown</t>
  </si>
  <si>
    <t>2nd Crown</t>
  </si>
  <si>
    <t>Royal Corps</t>
  </si>
  <si>
    <t>Minor garrisons or detachments supported out of the Daerloon garrison</t>
  </si>
  <si>
    <t>Urlamspyr</t>
  </si>
  <si>
    <t>Sembia</t>
  </si>
  <si>
    <t>Dragon Coast</t>
  </si>
  <si>
    <t xml:space="preserve">commanded by the Lord Commander of High Horn, Oversword part of the Army of the West
Regimental Headquarters and 1 battalion of light infantry
1 archer battery
Minor garrisons or detachments supported out of the High Horn garrison
Tyrluk: 1 company of infantry
</t>
  </si>
  <si>
    <t>New Tilverton</t>
  </si>
  <si>
    <t>[GTR,p.53, Ayesunder's classes modified by new classes described in section 3.5.]
part of the Army of the Heartlands 5 light infantry regiments</t>
  </si>
  <si>
    <t xml:space="preserve">Marsember Garrison commanded by Lord Admiral , Warden of the Port of Marsember </t>
  </si>
  <si>
    <t xml:space="preserve">Jester's Green: 1 troop of cavalry is stationed here and rotated periodically but there are almost always additional Purple Dragons passing through.
</t>
  </si>
  <si>
    <t>[VGtC,p.159: Jester's Green contains permanent Purple Dragon barracks, and it stands to reason that a permanent barracks would be permanently occupied. There is a once-a-tenday horse auction, so it would make sense for at least some of the garrison to be cavalry.]</t>
  </si>
  <si>
    <t xml:space="preserve">Arabel Garrison (1,300 men, less detachments)
[Army of the Heartlands]
commanded by Oversword
• 1 medium infantry regiment
• 1 light infantry regiment
• 1 archer battery
Minor garrisons or detachments supported out of the Arabel Garrison:
• Immersea: 1 company of infantry
</t>
  </si>
  <si>
    <t>have imported wizardly tutors to instruct their children in the use of magic</t>
  </si>
  <si>
    <t>Durgarthyn's Adventures Hut, Silturr Shadowshield Mounts (NMH)</t>
  </si>
  <si>
    <t>Criminal Guild</t>
  </si>
  <si>
    <t>Mercenary Company</t>
  </si>
  <si>
    <t>Adventuring Party</t>
  </si>
  <si>
    <t>Elves racists</t>
  </si>
  <si>
    <t>Trading Coster</t>
  </si>
  <si>
    <t>Raedra Obarskyer</t>
  </si>
  <si>
    <t>Stronghold</t>
  </si>
  <si>
    <t>1 troop of cavalry</t>
  </si>
  <si>
    <t xml:space="preserve">1 kadrath of infantry
</t>
  </si>
  <si>
    <t>Minor garrisons or detachments supported out of the Wheloon garrison:</t>
  </si>
  <si>
    <t>• Juniril: 1 squad of infantry from the kadrath at Hultail</t>
  </si>
  <si>
    <t>• Hultail: 1 kadrath of infantry less one squad at Juniril</t>
  </si>
  <si>
    <t>• Ghars: 1 kadrath of infantry plus battalion headquarters</t>
  </si>
  <si>
    <t>• Battlerise: 1 kadrath of infantry</t>
  </si>
  <si>
    <t>• Kirinwood: 1 kadrath of infantry plus battalion headquarters</t>
  </si>
  <si>
    <t>Minor garrisons or detachments supported out of the Marsember Garrison</t>
  </si>
  <si>
    <t>1 kadrath of light infantry</t>
  </si>
  <si>
    <t>Special Forces</t>
  </si>
  <si>
    <t>Royal Advisor</t>
  </si>
  <si>
    <t>Chief Gardener</t>
  </si>
  <si>
    <t>Lord Admiral</t>
  </si>
  <si>
    <t>PALANT GUIDE TO EXPLORATINO</t>
  </si>
  <si>
    <t>Year of the Purple Dragons</t>
  </si>
  <si>
    <t>TYRANNY OF DRAGONS, Elemental Evil</t>
  </si>
  <si>
    <t>Rage of Demons</t>
  </si>
  <si>
    <t>Red War</t>
  </si>
  <si>
    <t>Faction alliance begun counter-operation against Red Wizards of Thay</t>
  </si>
  <si>
    <t>LToMD</t>
  </si>
  <si>
    <t>RW</t>
  </si>
  <si>
    <t>Homebrew</t>
  </si>
  <si>
    <t>• King Foril orders city of Wheloon sealed and turned into a prison colony for worship of Shar and conspiring with the Netherese.</t>
  </si>
  <si>
    <t>Army of Western Marches</t>
  </si>
  <si>
    <t xml:space="preserve"> Kleef Kenric</t>
  </si>
  <si>
    <t>Grand Duchess of Marsember</t>
  </si>
  <si>
    <t>Arietta Seasilver</t>
  </si>
  <si>
    <t>Seasilver</t>
  </si>
  <si>
    <t>Lady Arietta Seasilver, Grand Duchess of Marsember</t>
  </si>
  <si>
    <t>Year of Resurrections Rampant</t>
  </si>
  <si>
    <t>Treaty of Griffonfang Bridge: Pressured on  all sides, Sembia (with approval from its  Netherese governors) agree to a cessation  of hostilities with Cormyr, the Dalelands,  and Cormanthor. The uneasy cease- fire endures to this day. Daerlun and  Urmlaspyr gain their independence from  both nations.</t>
  </si>
  <si>
    <r>
      <t>The Dragon Rampant Club is burned to the ground after a wild spell duel between Manshoon and Shaaan the Serpent Queen. They fought over the mind of Lord Sardasper Halaunt who came to Suzail, offering to sell the legendary Lost Spell of the god Azuth.</t>
    </r>
    <r>
      <rPr>
        <sz val="12"/>
        <color rgb="FF00B0F0"/>
        <rFont val="Lato"/>
        <family val="2"/>
        <charset val="204"/>
        <scheme val="minor"/>
      </rPr>
      <t xml:space="preserve"> Lord Halaunt is left a drooling idiot</t>
    </r>
    <r>
      <rPr>
        <sz val="12"/>
        <color theme="1"/>
        <rFont val="Lato"/>
        <family val="2"/>
        <charset val="204"/>
        <scheme val="minor"/>
      </rPr>
      <t xml:space="preserve"> and is returned to his home by his servants. Drawn by rumors, that the legendary Lost Spell of the late god Azuth has been found several archmages meet at '</t>
    </r>
    <r>
      <rPr>
        <sz val="12"/>
        <color rgb="FF00B0F0"/>
        <rFont val="Lato"/>
        <family val="2"/>
        <charset val="204"/>
        <scheme val="minor"/>
      </rPr>
      <t>Oldspires</t>
    </r>
    <r>
      <rPr>
        <sz val="12"/>
        <color theme="1"/>
        <rFont val="Lato"/>
        <family val="2"/>
        <charset val="204"/>
        <scheme val="minor"/>
      </rPr>
      <t xml:space="preserve">', the home of </t>
    </r>
    <r>
      <rPr>
        <sz val="12"/>
        <color rgb="FF00B0F0"/>
        <rFont val="Lato"/>
        <family val="2"/>
        <charset val="204"/>
        <scheme val="minor"/>
      </rPr>
      <t>Lord Sardasper Halaunt</t>
    </r>
    <r>
      <rPr>
        <sz val="12"/>
        <color theme="1"/>
        <rFont val="Lato"/>
        <family val="2"/>
        <charset val="204"/>
        <scheme val="minor"/>
      </rPr>
      <t xml:space="preserve">. The manor is curtained by a Spellstorm and the wizards find that they can't leave and that their magic is diminished by the storm. The archmages assembled are </t>
    </r>
    <r>
      <rPr>
        <sz val="12"/>
        <color theme="9" tint="-0.499984740745262"/>
        <rFont val="Lato"/>
        <family val="2"/>
        <charset val="204"/>
        <scheme val="minor"/>
      </rPr>
      <t>Elminster of Shadowdale,</t>
    </r>
    <r>
      <rPr>
        <sz val="12"/>
        <color theme="1"/>
        <rFont val="Lato"/>
        <family val="2"/>
        <charset val="204"/>
        <scheme val="minor"/>
      </rPr>
      <t xml:space="preserve"> </t>
    </r>
    <r>
      <rPr>
        <sz val="12"/>
        <color theme="9" tint="-0.499984740745262"/>
        <rFont val="Lato"/>
        <family val="2"/>
        <charset val="204"/>
        <scheme val="minor"/>
      </rPr>
      <t>Manshoon (once of the Zhentarim), Malchor Harpel (once of Longsaddle and still of the returned Twilight Tower), Tabra</t>
    </r>
    <r>
      <rPr>
        <sz val="12"/>
        <color theme="1"/>
        <rFont val="Lato"/>
        <family val="2"/>
        <charset val="204"/>
        <scheme val="minor"/>
      </rPr>
      <t xml:space="preserve">, </t>
    </r>
    <r>
      <rPr>
        <sz val="12"/>
        <color rgb="FFFF0000"/>
        <rFont val="Lato"/>
        <family val="2"/>
        <charset val="204"/>
        <scheme val="minor"/>
      </rPr>
      <t>Maraunth Torr</t>
    </r>
    <r>
      <rPr>
        <sz val="12"/>
        <color theme="1"/>
        <rFont val="Lato"/>
        <family val="2"/>
        <charset val="204"/>
        <scheme val="minor"/>
      </rPr>
      <t>,</t>
    </r>
    <r>
      <rPr>
        <sz val="12"/>
        <color rgb="FFFF0000"/>
        <rFont val="Lato"/>
        <family val="2"/>
        <charset val="204"/>
        <scheme val="minor"/>
      </rPr>
      <t xml:space="preserve"> Skouloun and Yusendre</t>
    </r>
    <r>
      <rPr>
        <sz val="12"/>
        <color theme="1"/>
        <rFont val="Lato"/>
        <family val="2"/>
        <charset val="204"/>
        <scheme val="minor"/>
      </rPr>
      <t xml:space="preserve"> (two surviving Elders of Nimbral),</t>
    </r>
    <r>
      <rPr>
        <sz val="12"/>
        <color rgb="FFFF0000"/>
        <rFont val="Lato"/>
        <family val="2"/>
        <charset val="204"/>
        <scheme val="minor"/>
      </rPr>
      <t xml:space="preserve"> Runemaster Calathlarra of the Twisted Rune, Shaaan the Serpent Queen, Alastra Hathwinter of the Harpers</t>
    </r>
    <r>
      <rPr>
        <sz val="12"/>
        <color theme="1"/>
        <rFont val="Lato"/>
        <family val="2"/>
        <charset val="204"/>
        <scheme val="minor"/>
      </rPr>
      <t>,</t>
    </r>
    <r>
      <rPr>
        <sz val="12"/>
        <color rgb="FFFFFF00"/>
        <rFont val="Lato"/>
        <family val="2"/>
        <charset val="204"/>
        <scheme val="minor"/>
      </rPr>
      <t xml:space="preserve"> Laragunt of Threskel and an unnamed Red Wizard. </t>
    </r>
    <r>
      <rPr>
        <sz val="12"/>
        <color theme="1"/>
        <rFont val="Lato"/>
        <family val="2"/>
        <charset val="204"/>
        <scheme val="minor"/>
      </rPr>
      <t xml:space="preserve">The later two, spooked by their loss of magical power flee back into the Spellstorm and are turned </t>
    </r>
    <r>
      <rPr>
        <sz val="12"/>
        <color rgb="FFFFFF00"/>
        <rFont val="Lato"/>
        <family val="2"/>
        <charset val="204"/>
        <scheme val="minor"/>
      </rPr>
      <t>insane</t>
    </r>
    <r>
      <rPr>
        <sz val="12"/>
        <color theme="1"/>
        <rFont val="Lato"/>
        <family val="2"/>
        <charset val="204"/>
        <scheme val="minor"/>
      </rPr>
      <t xml:space="preserve"> by it. The 'negotiations' for the ownership of the Lost Spell that take place inside 'Oldspires'</t>
    </r>
    <r>
      <rPr>
        <sz val="12"/>
        <color rgb="FFFF0000"/>
        <rFont val="Lato"/>
        <family val="2"/>
        <charset val="204"/>
        <scheme val="minor"/>
      </rPr>
      <t xml:space="preserve"> claim the live</t>
    </r>
    <r>
      <rPr>
        <sz val="12"/>
        <color theme="1"/>
        <rFont val="Lato"/>
        <family val="2"/>
        <charset val="204"/>
        <scheme val="minor"/>
      </rPr>
      <t>s of archmages Maraunth Torr, Skouloun and Yusendre of Nimbral, Runemaster Calathlarra, Shaaan the Serpent Queen and Alastra Hathwinter.</t>
    </r>
  </si>
  <si>
    <t>Paladin of Helm</t>
  </si>
  <si>
    <t>Imdar the Stout</t>
  </si>
  <si>
    <t>Population0</t>
  </si>
  <si>
    <t>Type of settlement</t>
  </si>
  <si>
    <t>Assets</t>
  </si>
  <si>
    <t>CALCULATED GP LIMIT</t>
  </si>
  <si>
    <t>ASSETS</t>
  </si>
  <si>
    <t>Woodcarvers; herbalists, Farming, Dairy, livestock</t>
  </si>
  <si>
    <t>574 Hu, 215 Elf</t>
  </si>
  <si>
    <t>Farming; Farmers market, Cartwrights;Mtneering, Mountain-scaling mounts</t>
  </si>
  <si>
    <t>Farming and Ranching Village</t>
  </si>
  <si>
    <t>SUZAIL</t>
  </si>
  <si>
    <t>[VGtC,p.179 mentions that the Waymoot garrison has a hundred-strong force of Purple Dragons, even though C9410 says there are only militia here.] [C9410 claims there is no Purple Dragon detachment in Eveningstar, but VGtC mentions them on several occasions: p.143 refers to "Tessaril and her Purple Dragons," and the key to the map on p.144 mentions both a barracks for the 9-man local detachment and a barracks for visiting forces. HHEv,p.8 also refers to "nin</t>
  </si>
  <si>
    <t>Suzail Garrison
commanded by Battlemaster
1 Queen's Cavalry Regiment (medium)
Regimental Headquarters and 1 squadron of the 1st Mounted Airborne Regiment
1st Suzail Infantry Regiment (heavy)
1 light cavalry regiment
1 medium infantry regiment
3 light infantry regiments
3 archer batteries
King's Messengers
Minor garrisons or detachments supported out of the Suzail Garrison:
Waymoot: 1 kadrath of infantry
Jester's Green: 1 troop of cavalry
Calantar's Bridge waypost: 1 squad of infantry.</t>
  </si>
  <si>
    <t xml:space="preserve">Skull Crag Garrison
part of the Army of the West
Regimental Headquarters and 1 squadron of light cavalry
1 squadron of the 1st Mounted Airborne Regiment
1 light infantry regiment
1 archer battery
Minor garrisons or detachments supported out of the Skull Crag garrison
Greatgaunt: 1 infantry kadrath and 1 cavalry troop under command of the senior lionar of the two C.O.'s of those units. 
</t>
  </si>
  <si>
    <t>[VGtC,p.210: an unspecified number of Purple Dragons garrison this town.] The Greatgaunt detachment frequently patrols as far as the Bridge of Fallen Men, and consideration is being given to continually stationing 1 squad at the bridge on a tenday rotation.</t>
  </si>
  <si>
    <t>Halfhap Garrison
part of the Army of the East under 
1 light cavalry squadron (under the Rgt. HQ at Halfnap)
1 squadron of the 2nd Mounted Airborne Regiment
1 light infantry regiment
1 archer battery
Minor garrisons or detachments supported out of the Skull Crag garrison
Mootpost: 1 squad of light infantry</t>
  </si>
  <si>
    <t>Proskyr garrison</t>
  </si>
  <si>
    <t>The Purple Dragons wear a basic uniform composed of a white tabard emblazoned with the purple dragon device of Cormyr. On the left shoulder is embroidered a shield-shaped badge depicting the soldier’s rank, which is sewn and outlined so that it is clearly visible and recognizable from a short distance. Other markers—such as a company badge, or representations of honors received by a soldier—appear on the left breast, above the edge of the shield device.  Nobles who are serving with the Purple Dragons (with or without formal rank) have war helms specially constructed to represent their crown of noble title, so they are easily recognized in the chaos of the battlefield.</t>
  </si>
  <si>
    <t>Army of Eastern Marches</t>
  </si>
  <si>
    <t>Eastern Expedition Forces</t>
  </si>
  <si>
    <t>Western Expedition Forces</t>
  </si>
  <si>
    <t xml:space="preserve">1st Crag </t>
  </si>
  <si>
    <t>2nd Arabelian</t>
  </si>
  <si>
    <t>1st Arabelian</t>
  </si>
  <si>
    <t>Suzails Batteries</t>
  </si>
  <si>
    <t>Marsember Batteries</t>
  </si>
  <si>
    <t>Arabelian Batteris</t>
  </si>
  <si>
    <t>3rd  Suzailan</t>
  </si>
  <si>
    <t>Western Expedition Force</t>
  </si>
  <si>
    <t xml:space="preserve">part of the </t>
  </si>
  <si>
    <t>Army of the Heartlands</t>
  </si>
  <si>
    <t>Url</t>
  </si>
  <si>
    <t>Flagship</t>
  </si>
  <si>
    <t>Commodor</t>
  </si>
  <si>
    <t>Guard Team</t>
  </si>
  <si>
    <t>Patrol or Section</t>
  </si>
  <si>
    <t>Dragon Unit</t>
  </si>
  <si>
    <t>Cohort</t>
  </si>
  <si>
    <t>Brigade</t>
  </si>
  <si>
    <t>Battle Group</t>
  </si>
  <si>
    <t>Alternative roster of Purple dragons</t>
  </si>
  <si>
    <t>Этот титул встречается еще реже нежели «герцог». Зачастую этим титулом награждаются дворяне, которые служат короне лордами пограничных территорий - хотя надобность в этой службе уже не стоит так остро. Получить такой титул - великая честь, но наследники носителя титула обычно получают меньший титул - графа или барона, и не наследуют всех привилегий своих родителей.
The title of marchion is not a hereditary title nor even one that lasts until death. It is a temporary title that one may receive from the crown while in service as a lord of a frontier territory. On its face, the title of marchion is quite prestigious, falling directly below the dukes and duchesses. This title is not always an honor, however, as nobles are occa­sionally appointed marchion of some distant land to get them out of Suzail to spare either the crown or the marchion's family from some sort of embarrass­ment. In some ways the title of marchion is similar to exile, albeit an exile that comes with some degree of prestige.</t>
  </si>
  <si>
    <t>http://forum.candlekeep.com/topic.asp?TOPIC_ID=22659&amp;whichpage=22&amp;SearchTerms=HIGHKNIGHTS&gt;</t>
  </si>
  <si>
    <t>[badge: an oval, long axis vertical, of thin black thornbranch, zigzagging gently from joint to joint, with a single red thorn protruding outwards from each joint, the lowest two thorns having large teardrops of blood about to fall from them, and the thornbranch framing a four-pointed blue star, long points vertical, all on a steel-gray field, or a steel-gray symmetrical shield shaped like the shield in the arms depicted on page 73 of POWER OF FAERUN]</t>
  </si>
  <si>
    <t xml:space="preserve">The noble is Lord Erephrand Downshield (the Earl of Downshield), the son of Roryn Downshield, who was ennobled by Azoun IV very early in Azoun's reign for personal loyalty to the king (read: defeating an assassination attempt and taking wounds in the process). Erephrand is a mild-mannered, middle-aged, single man who rode with Alusair and has his own fierce personal loyalty to her. He's not a rebel or any sort of foe of Cormyr, he simply dislikes the meddling of the Wizards of War, whom he regarded as the REAL traitors to the realm, under Vangerdahast. When young and vigorous and busy making many trips to, and later extended stays in, Suzail on his father's business (enriching the family through shrewd trading deals and investments in the prosperous, ever-expanding Sembian economy of the time), he discovered that he had a natural, hitherto hidden talent for the Art, and decided to hire tutors and take some training so as to be able to hold his own against passing hedge-wizards, overbearing minor priests, and, yes, overly officious War Wizards (of lesser magical accomplishments; he never intended nor expected to be a match for a group of wizards or a senior War Wizard). Again, let me stress that Erephrand Downshield is NOT a rebel. He simply wanted the confidence of knowing his own abilities, and of being able to control them, to hold his own in defending his shousehold and his family interests - - rather than having the War Wizards clamp down on him the moment his facility for magic was discovered.
The confrontation was just that: upon ascending to the lordship (earldom, that is, but I've used the customary colloquial Cormyrean term of "lordship"), on the death of his father, Erephrand politely but very firmly disagreed with the War Wizard who had been serving as his father's "house wizard" on how family business should be conducted. The particular low-level wizard was a rather sneering, superior sort, and Erephrand took some delight in publicly astonishing - - and besting - - him in a minor trading of warning (as in "shot across your bows") magics. Which earned him a swift visit from Vangerdahast, and a quite amicable understanding being reached, involving the installation of a new house wizard. :}
The confrontation took place in the hall (great room or feasting hall, but Downshield Keep has just the one large room, so it's simply called "the hall") of the family seat, which is a three-storey walled stone manor house that boasts a lone crenellated stone tower, located on a lane running north off The Way of the Manticore, about a day's easy ride east of the Wyvernflow (or of Wheloon, if you prefer), about a sixth of a day's ride up that lane, in the heart of the rolling farm and ranch countryside of eastern Cormyr.
Erephrand hasn't yet (just pre-Spellplague) married, and has outlived his father, mother, and one sister, so he might well be the second and last Earl of Downshield - - or he might sire a large next generation of Downshields; we just don't know yet. (However, we do know that he's very fond of Alusair and that he enjoys the company of women.)
</t>
  </si>
  <si>
    <t>shield of forest green, with a face-on wide and splendid rack of stag's antlers, in silver, centered right across the upper third of the shield. The point of the shield is crimson to denote blood, with the upper "edge" of this hue, where it meets the forest green, being an irregular spattering.</t>
  </si>
  <si>
    <t>shield of scarlet, with a slender purple border ("edge") all around. Diagonally across the shield from the lower left corner (hilt) to upper right (point) is a stylized silver sword: it has a small handgrip and quillons, an extremely wide blade like a chef's cleaver that is curved like a scimitar.</t>
  </si>
  <si>
    <t xml:space="preserve">http://forum.candlekeep.com/topic.asp?TOPIC_ID=9685&amp;whichpage=9&amp;SearchTerms=HIGHKNIGHTS&gt; </t>
  </si>
  <si>
    <t>Jeremy, Ed will have to answer most of your questions about Malivur Stonecastle, but I can confirm from my notes that the Stonecastles are a minor Cormyrean noble family, ennobled in the reign of Duar (so presumably a Stonecastle aided that king in the civil war) and so long-established, and mainly resident in the southern coastal part of the Forest Kingdom. Their arms are a white-with-gray-detailings crenellated stone castle tower (like a chess rook) with two arrow-slit windows visible at differing heights, on an emerald green field (with a white border, on a shield of the shape sometimes called "elegant" in heraldry, and often in the USA referred to as a "police shield" because it's the shape of some classic police badges). Duke Bhereu (of the ruling family in the time of Azoun IV)was romantically linked to Ashlaelra Stonecastle in his youth, but she died tragically (and he was reportedly heartbroken).</t>
  </si>
  <si>
    <t xml:space="preserve">http://forum.candlekeep.com/topic.asp?TOPIC_ID=9685&amp;whichpage=17&amp;SearchTerms=HIGHKNIGHTS&gt; </t>
  </si>
  <si>
    <t>Bleth [GTR,p.56]
* Seat in Suzail [GTR,p.56]
* Bleth Estate in Suzail [C9410,p.9]
* control one of the largest merchant companies in Cormyr, the
  Seven Suns trading company. [C9410,p.46]
* the family's chief adversary is the Rowanmantle family; a low
  level feud between the two has existed for quite some time.
  [C9410,p.46]
* some members of the family plotted with Luthax against King
  Draxius in 629 DR. [CaN,p.273]
* were among those who fought with Arangor and Azoun II against
  Thauglor in 1018 DR. [CaN,p.322]
* dispossessed and exiled due to the events of CaN in 1369 DR.
* Family Members Currently Alive
  - Gruen Bleth (N hm W6) is family head [C9410,p.46], a gentle
    person [FFC,p.51]
  - Lady Amarsa Bleth (hf) is Gruen's wife, also a gentle person
    [FFC,p.51]
  - Faern Bleth, older brother to Aunadar. [CaN,p.392]
  - Dlothtar Bleth, older brother to Aunadar. [CaN,p.392]
  - Arphoind Bleth (LE hm Ftr9), leader of the Bleths, a
    discontented exile plotting against the crown from Westgate
    [DrA5,p.65]
* Family Members Recently Alive
  - Aunadar Bleth (hm)(d.1369), prospective husband for
    Tanalasta, revealed to be a traitor in the Abraxus Affair in
    1369 DR and was killed. [CaN]
  - Maerlyn Bleth (hm)(d.1372), plots with Halvundrar Cormaeril
    and a phaerimm to kill Caladnei to sieze some magical item
    with the ultimate goal of bringing the Obarskyr's down
    [RlmSh,p.262-263], exiled noble [RlmSh,p.276], killed in
    attempt on Alusair and Caladnei [RlmSh,p.276-278]
* Historical Family Members
  - Mondar Bleth, initial Bleth settler before the Kingdom
    formed, killed in 16 DR. [CaN,p.124]
  - unnamed wife of Mondar Bleth, died giving birth to Arphoind
    [CaN,p.129]
  - Minda Bleth, Mondar's sister, arrived in Suzail in 15 DR,
    eventually married Ondeth Obarskyr. [CaN,p.125-130]
  - Arphoind Bleth, youngest son of Mondar who is 8 winters old
    in 16 DR, but 16 years old in 26 DR (math discrepancy; 16 in
    26DR more likely because Mondar arrived in 10DR and Ondeth
    Obarskyr was present for Arphoind's birth), first man
    knighted by Faerlthann [CaN,p.125,144,151]
  - Kallimar Bleth, alive in 245 DR, considered by Sagrast
    Dracohorn to be a suitable mate for Gantharly despite being
    large, dark-haired, proud, crude, violent, bad-tempered, and
    vicious. [CaN,p.179]
  - Dintheron Bleth, loyal to King Duar and fought with him in
    432 DR. [CaN,p.241]
  - unnamed Bleth sacrifices himself to save Galaghard in the
    final battle against the Witch-Lords in 900 DR. [CaN,p.307]</t>
  </si>
  <si>
    <t>Merendil [CaN,p.149]
* recently arrived from the South in 26 DR, among first men
  Faerlthann knighted. [CaN,p.149-151]
* Family Members Recently Alive
  - Ilryn Merendil (hm)(d.1372), exiled noble [RlmSh,p.276],
    killed in attempt on Alusair and Caladnei [RlmSh,p.276-278]
* Historical Family Members
  - Lady Merendil of 376 DR conspired to kill Prince Azoun, was
    foiled, and fled Cormyr.  Her duaghters were already
    out-of-country [CaN,p.212-217], her first name is given as
    Mirabelle [BtHR,p.250], became a Ghazneth [BtHR,p.249], her
    first name is given as Ryndala [DotD,p.76,257-258]
  - Orndar Oulamn Merendil (-14DR to 29 DR), swashbuckling,
    handsome, and the most hot-tempered of the human warlords
    when Cormyr was founded, came alone from the Vilhon reach, a
    deadly swordsman; long, curly black hair and a moustache to
    match, pale brown eyes, very hairy chest [Dr278,p.89]</t>
  </si>
  <si>
    <t>Janthrin [VGtC,p.38]
* extinct noble house of Marsember [VGtC,p.38]
* the last of this house perished fighting Cormyr in 1227 DR.
  [CaN,p.378]</t>
  </si>
  <si>
    <t>Aurubaen [VGtC,p.38]
* extinct noble house of Marsember [VGtC,p.38]
* the last of this house perished fighting Cormyr in 1227 DR.
  [CaN,p.378]</t>
  </si>
  <si>
    <t>Dragonarl [VGtC,p.63]
* extinct noble house of Arabel [VGtC,p.63]
Narboot [VGtC,p.63]
* extinct noble house of Arabel [VGtC,p.63]</t>
  </si>
  <si>
    <t>Auantiver [VGtC,p.78]
* extinct noble house of Battlerise [VGtC,p.78]
* the remains of the castle, on a hill, are widely reputed to be
  haunted or frequented by smugglers and dark cults.</t>
  </si>
  <si>
    <t>Bogbrook [VGtC,p.81]
* extinct noble line; a 'bumpkin' ennobled some decades ago by a
  Cormyrean monarch for loyal service in great danger, the man
  vanished in his sixtieth summer.  The term 'Lord Bogbrook' is
  now a derisive nickname. [VGtC,p.81]</t>
  </si>
  <si>
    <t>Kirinar [VGtC,p.93]
* extinct noble house of Kirinwood, destroyed in spell duel
  between mages at wizards' college Ardest built. [VGtC,p.93]
* Historical Family Members
  - Ardest Kirinar, family head when destroyed. [VGtC,p.93]</t>
  </si>
  <si>
    <t>Dheolur [VGtC,p.135, CaN,p.204]
* extinct noble house after siding against the Crown once too
  often; seat was in namesake town now called Dhedluk.
  [VGtC,p.135]
* was noble in 376 DR, but considered an upstart family in
  comparison to the three Silvers, the Turcassans or the Bleths.
  [CaN,p.204]
* house was made noble by King Duar's grandfather. [CaN,p.242]
* threw in with Magrath the Minotaur and his pirates when they
  took Suzail in 429 DR. [CaN,p.242]
* Historical Family Members
  - Pella Dheolur, sister to Lord Dheolur described as "loathsome
    and reptilian", killed in King Duar's attack in 432 DR.
    [CaN,p.244-251]</t>
  </si>
  <si>
    <t>Goldfeather [VGtC,p.169,CaN,p.273]
* extinct noble house [VGtC,p.169]
* some members of the family plotted with Luthax against King
  Draxius in 629 DR. [CaN,p.273]
* a minor house from a few hundred years before 1324 DR that
  fomented an unsuccessful rebellion in Arabel and were stripped
  of rank and lands. [CaN,p.436]
* stripped of lands and title in 1069 DR [FRFAQ] (this
  contradicts the VGtC,p.169 reference; I'd give VGtC greater
  weight than FRFAQ.)
* once owned a hunting lodge in Stag Steads until the last noble
  was executed [VGtC,p.169]
* Historical Family Members
  - unnamed noble, last of the line, was executed for treason by
    King Dhalmass in the Year of the Bone Helm (1191 DR).
    [VGtC,p.169]</t>
  </si>
  <si>
    <t>Hornshield [VGtC,p.212]
* extinct noble house based in Hornshield Keep, a mountain keep
  in the Storm Horns. [VGtC,p.212]
* King Rhigaerd II awarded the family a dukedom in recognition of
  its efforts in driving brigands out of the surrounding peaks.
  [VGtC,p.212]
* died out some 70-odd winters ago. [VGtC,p.212]</t>
  </si>
  <si>
    <t>Drauthglas [Dr281,p.76]
* family claimed lordship over Hullack Forest in the days before
  it was part of Cormyr [Dr281,p.76]
* family home was Hullack Hall [Dr281,p.76], which is at about
  the center of the forest east-west and about a mile south of
  the northern edge [EdG2005,p.61]
* fought for independence against King Pryntaler then surrendered
  and was allowed to retain title and power [Dr281,p.76], the
  fight was "close to" 1190 DR (read "close to" as plus or minus
  a couple of years) [EdG2005,p.61]
* went extinct because Eltrym lost all his sons fighting Cormyr
  and had only daughters left [Dr281,p.76]
* Historical Family Members
  - Eltrym Drauthglas (1128-1202), Lord of Hullack, lost four
    sons fighting Cormyr, surrendered to Pryntaler to keep his
    six daughters from being slain or ravished if Hullack Hall
    ever fell, Pryntaler allowed him to keep title and powers, he
    and Pryntaler became friends [Dr281,p.76]
  - Jalalla Drauthglas, 1st and eldest daughter of Eltrym
    Drauthglas [Dr281,p.76]
  - Theera Drauthglas, 2nd daughter of Eltrym Drauthglas
    [Dr281,p.76]
  - Ghaunyl Drauthglas, 3rd daughter of Eltrym Drauthglas
    [Dr281,p.76]
  - Ileeyra Drauthglas, 4th daughter of Eltrym Drauthglas
    [Dr281,p.76]
  - Ormarra Drauthglas, 5th daughter of Eltrym Drauthglas
    [Dr281,p.76]
  - Yolara Drauthglas, 6th and youngest daughter of Eltrym
    Drauthglas [Dr281,p.76]</t>
  </si>
  <si>
    <t>Jarthoon [Dr281,p.76]
* owned Jarthoon [Dr281,p.76], a now-vanished hold which stood
  west of Suzail on the northern shore of the Lake of Dragons, on
  what is now a rock-strewn but otherwise bare ridge
  [Dr279,p.82-83]
* Historical Family Members
  - Ongmar Jarthoon (hm), Lord of Jarthoon, was alive during
    Donder Cormaeril's lifetime (1155-1206) because Donder once
    escaped from him after he gave Donder the choice of death or
    defying King Pryntaler [Dr281,p.76], rebelled against
    Pryntaler and was foiled [Dr281,p.77</t>
  </si>
  <si>
    <t>Garthhawk [FRFAQ]
* outlawed by Azoun III</t>
  </si>
  <si>
    <t>UnnamedThree [FoMD,p.19]
* one of three noble families believed dead but most taken into
  slavery by drow in the Year of the Toppled Throne (710 DR)</t>
  </si>
  <si>
    <t>UnnamedTwo [FoMD,p.19]
* one of three noble families believed dead but most taken into
  slavery by drow in the Year of the Toppled Throne (710 DR)</t>
  </si>
  <si>
    <t>UnnamedOne [FoMD,p.19]
* one of three noble families believed dead but most taken into
  slavery by drow in the Year of the Toppled Throne (710 DR)</t>
  </si>
  <si>
    <t>CycR:</t>
  </si>
  <si>
    <t>FRA:</t>
  </si>
  <si>
    <t>Forgotten Realms Adventures, Ed Greenwood &amp; Jeff Grubb</t>
  </si>
  <si>
    <t>(TSR 2106) ©1990 TSR, Inc.</t>
  </si>
  <si>
    <t>GTR:</t>
  </si>
  <si>
    <t>Grand Tour of the Realms booklet, Ed Greenwood &amp; Jeff Grubb</t>
  </si>
  <si>
    <t>from the 2nd Ed. Forgotten Realms Campaign Setting boxed set.</t>
  </si>
  <si>
    <t>(TSR 1085) ©1993 TSR, Inc.</t>
  </si>
  <si>
    <t>2nd Ed. Cormyr accessory, Eric Haddock</t>
  </si>
  <si>
    <t>(TSR 9410) ©1994 TSR, Inc.</t>
  </si>
  <si>
    <t>Volo's Guide to Cormyr, Ed Greenwood</t>
  </si>
  <si>
    <t>(TSR 9486) ©1995 TSR, Inc.</t>
  </si>
  <si>
    <t>Four From Cormyr, John Terra</t>
  </si>
  <si>
    <t>(TSR 9531) ©1997 TSR, Inc.</t>
  </si>
  <si>
    <t>(TSR 9558) ©1998 TSR, Inc.</t>
  </si>
  <si>
    <t>CoS3:</t>
  </si>
  <si>
    <t>City of Splendors Book III: Adventurer's Guide to the City</t>
  </si>
  <si>
    <t>Steven Schend &amp; Ed Greenwood</t>
  </si>
  <si>
    <t>(TSR 1109) ©1994 TSR, Inc.</t>
  </si>
  <si>
    <t>CoS4:</t>
  </si>
  <si>
    <t>City of Splendors Book IV: Secrets of the City</t>
  </si>
  <si>
    <t>Calim:</t>
  </si>
  <si>
    <t>Calimport, FR Campaign Expansion, Stephen E. Schend</t>
  </si>
  <si>
    <t>(TSR 9589) ©1998 TSR, Inc.</t>
  </si>
  <si>
    <t>CotH:</t>
  </si>
  <si>
    <t>Code of the Harpers, Ed Greenwood</t>
  </si>
  <si>
    <t>(TSR 9390) ©1993 TSR, Inc.</t>
  </si>
  <si>
    <t>VGATM:</t>
  </si>
  <si>
    <t>Volo's Guide to All Things Magical, Ed Greenwood &amp; Eric L. Boyd</t>
  </si>
  <si>
    <t>(TSR 9535) ©1996 TSR, Inc.</t>
  </si>
  <si>
    <t>C&amp;D:</t>
  </si>
  <si>
    <t>Cloak &amp; Dagger, FR Campaign Expansion</t>
  </si>
  <si>
    <t>Eric L. Boyd, Sean K. Reynolds, Steven E. Schend</t>
  </si>
  <si>
    <t>(TSR11627) ©2000 Wizards of the Coast, Inc.</t>
  </si>
  <si>
    <t>Crusade, Empires Trilogy Book 3, James Lowder</t>
  </si>
  <si>
    <t>first paperback printing,  ©1991 TSR, Inc.</t>
  </si>
  <si>
    <t>Stormlight, Ed Greenwood</t>
  </si>
  <si>
    <t>first paperback printing, ©1996 TSR, Inc.</t>
  </si>
  <si>
    <t>Cormyr; a Novel, Ed Greenwood &amp; Jeff Grubb</t>
  </si>
  <si>
    <t>first paperback printing, ©1996,1998 TSR, Inc.</t>
  </si>
  <si>
    <t>Beyond the High Road, Troy Denning</t>
  </si>
  <si>
    <t>first paperback printing,  ©1999 TSR, Inc.</t>
  </si>
  <si>
    <t>Death of the Dragon, Ed Greenwood &amp; Troy Denning</t>
  </si>
  <si>
    <t>first hardcover printing, ©2000 Wizards of the Coast, Inc.</t>
  </si>
  <si>
    <t>ItDL:</t>
  </si>
  <si>
    <t>Into the Dragon's Lair, Sean K. Reynolds &amp; Steve Miller</t>
  </si>
  <si>
    <t>(TSR11634), ©2000 Wizards of the Coast, Inc.</t>
  </si>
  <si>
    <t>RlmSh:</t>
  </si>
  <si>
    <t>Realms of Shadow: Return of the Archwizards Anthology</t>
  </si>
  <si>
    <t>first paperback printing,  ©2002 WotC, Inc.</t>
  </si>
  <si>
    <t>ElHel:</t>
  </si>
  <si>
    <t>Elminster In Hell</t>
  </si>
  <si>
    <t>Ed Greenwood, first paperback printing, ©2002 WotC, Inc.</t>
  </si>
  <si>
    <t>ElDau:</t>
  </si>
  <si>
    <t>Elminster's Daughter, Ed Greenwood</t>
  </si>
  <si>
    <t>first hardcover printing, ©2004 Wizards of the Coast, Inc.</t>
  </si>
  <si>
    <t>BotR2:</t>
  </si>
  <si>
    <t>Best of the Realms Book 2, Ed Greenwood</t>
  </si>
  <si>
    <t>first paperback printing, ©2005 WotC, Inc.</t>
  </si>
  <si>
    <t>PoF:</t>
  </si>
  <si>
    <t>Power of Faerûn, FR Campaign Supplement, Ed Greenwood &amp; Eric L. Boyd</t>
  </si>
  <si>
    <t>©2006 Wizards of the Coast, Inc.</t>
  </si>
  <si>
    <t>Dr276:</t>
  </si>
  <si>
    <t>Dragon Magazine #276, October 2000,</t>
  </si>
  <si>
    <t>article "The Adventures of Volo: Cormyrean Contacts"</t>
  </si>
  <si>
    <t>by Ed Greenwood, pp.76-79</t>
  </si>
  <si>
    <t>DrA5:</t>
  </si>
  <si>
    <t>Dragon Annual #5, 2000,</t>
  </si>
  <si>
    <t>article "After the Dragon: the Kingdom of Cormyr Today"</t>
  </si>
  <si>
    <t>by Ed Greenwood, pp.58-68</t>
  </si>
  <si>
    <t>Dr278:</t>
  </si>
  <si>
    <t>Dragon Magazine #278, December 2000,</t>
  </si>
  <si>
    <t>article "The Adventures of Volo: Lost Treasures of Cormyr"</t>
  </si>
  <si>
    <t>by Ed Greenwood, pp.80-83</t>
  </si>
  <si>
    <t>Dr279:</t>
  </si>
  <si>
    <t>Dragon Magazine #279, January 2001,</t>
  </si>
  <si>
    <t>article "The Adventures of Volo: Lost Treasures of Cormyr, Part 2"</t>
  </si>
  <si>
    <t>Dr280: Dragon Magazine #280, February 2001,</t>
  </si>
  <si>
    <t>article "The Adventures of Volo: Lost Treasures of Cormyr, Part 3"</t>
  </si>
  <si>
    <t>by Ed Greenwood, pp.84-87</t>
  </si>
  <si>
    <t>Dr281:</t>
  </si>
  <si>
    <t>Dragon Magazine #281, March 2001,</t>
  </si>
  <si>
    <t>article "The Adventures of Volo: Lost Treasures of Cormyr, Part 4"</t>
  </si>
  <si>
    <t>by Ed Greenwood, pp.76-78</t>
  </si>
  <si>
    <t>Du113:</t>
  </si>
  <si>
    <t>Dungeon Magazine #113, August 2004,</t>
  </si>
  <si>
    <t>article "Practical Magic"</t>
  </si>
  <si>
    <t>by Jason Nelson, pp.35-53</t>
  </si>
  <si>
    <t>EdG2004:</t>
  </si>
  <si>
    <t>Ed Greenwood's replies to questions in the Candlekeep forum</t>
  </si>
  <si>
    <t>'Questions for Ed Greenwood (2004)'</t>
  </si>
  <si>
    <t>Link http://www.candlekeep.com/forum/topic.asp?TOPIC_ID=1901</t>
  </si>
  <si>
    <t>EdG2005:</t>
  </si>
  <si>
    <t>'Questions for Ed Greenwood (2005)'</t>
  </si>
  <si>
    <t>Link http://www.candlekeep.com/forum/topic.asp?TOPIC_ID=3684</t>
  </si>
  <si>
    <t>Py142:</t>
  </si>
  <si>
    <t>Polyhedron #142, June 2000</t>
  </si>
  <si>
    <t>article "Men of the Basilisk" by Eric L. Boyd, pp.20-27</t>
  </si>
  <si>
    <t>(unverified source)</t>
  </si>
  <si>
    <t>WySp:</t>
  </si>
  <si>
    <t>Wyvern's Spur (Finder's Stone Trilogy, Book 2)</t>
  </si>
  <si>
    <t>Kim Novack &amp; Jeff Grubb, ©1990 TSR, Inc. (unverified source)</t>
  </si>
  <si>
    <t>FRFAQ:</t>
  </si>
  <si>
    <t>FR FAQ 4.15.2.  Who are the nobles of Cormyr</t>
  </si>
  <si>
    <t>hosted on Candlekeep</t>
  </si>
  <si>
    <t>(http://www.candlekeep.com/fr_faq.htm#_Toc16090561)</t>
  </si>
  <si>
    <t>Cyclopedia of the Realms, Ed Greenwood, Jeff Grubb &amp; Karen S. Martin from the 1st Ed. Forgotten Realms Campaign Set boxed set (the "Old Gray Box") (TSR 1031) ©1987 TSR, Inc.</t>
  </si>
  <si>
    <t>&lt;http://web.archive.org/web/20150131011913/http://oracle.wizards.com/scripts/wa.exe?A2=ind0603c&amp;L=realms-l&amp;D=1&amp;F=&amp;S=&amp;P=1264</t>
  </si>
  <si>
    <t>MINOR NOBLE HOUSES (RESTORED)</t>
  </si>
  <si>
    <t>Late in his reign in the 1440s DR, King Azoun V restored the Cormaeril's titles but not their lands. As of 1479 DR, the family was attempting to restore their reputation through generosity to the poor and patronage of the Arts.  
Cormaeril [GTR,p.56]
* Seat in Suzail [GTR,p.56]
* ancestral seat in Immersea called High Towers; larger, taller
  and many-towered pile standing on a lower hill due east of
  Redstone Castle [VGtC,p.153,154]
* Cormaeril Compound in Suzail [C9410,p.9]
* largest house in Cormyr, with hangers-on and fringe nobility in
  every court and council in Cormyr, and a strong heritage of
  second- and third-born children going adventuring. [GTR,p.56]
* have a manor in Immersea known as the High Towers; the
  Cormaerils of Immersea are considered a minor branch of the
  family. [GTR,p.51]
* biggest land owner in Cormyr except for the Crown; most of the
  holdings are farmland, largely in rich areas that provide
  plentiful income. [C9410,p.46]
* holdings in Eveningstar [C9410,cover]
* holdings in Hilp [C9410,cover]
* holdings in Tyrluk [C9410,cover]
* one of the most secretive noble families, keeping out of the
  public eye as much as possible and interact with other noble
  families only during official functions. [C9410,p.47]
* was noble in 376 DR, but considered an upstart family in
  comparison to the three Silvers, the Turcassans or the Bleths.
  [CaN,p.204]
* multiple Cormaerils die in final battle against the Witch-Lords
  in 900 DR, along with "half the nobles of the Glory of Cormyr".
  [CaN,p.307]
* wealthy enough in 1369 DR to hre two Calishite and one Nimbran
  mage to work for them as house mages, any two of which are
  together powerful enough to defeat Vangerdahast in spell
  battle. [CaN,p.312]
* recently opened a dining hall in Suzail named the Cormaeril
  Club. [CaN,p.317]
* entire family stripped of titles and lands and exiled due to
  their heavy involvement in the Abraxus Affair; the formerly
  Cormaeril lands are given to House Wyvernspur [CaN,p.483]
* until Gaspar dishonored the family, it was less a family of
  politics than of land, so most venerate Chauntea [BtHR,164]
* older branch of family typically have jet-black hair
  [ElDau,p.26]
* dispossessed and exiled due to the events of CaN in 1369 DR.
* Family Members Currently Alive
  - Lord Barrit Cormaeril (hm), husband of Lady Alise and a
    relative of Lord Thistle and implied to be head of the
    Cormaerils [FFC,p.51] (Author's Note: although there's no
    mention of his death in published lore, he may be either dead
    or deposed as head of house since Ohlmer was head of house at
    the start of CaN.)
  - Lady Alise Cormaeril (hm), wife of Lord Barrit and a relative
    of Lord Thistle [FFC,p.51]
  - Lamiril Cormaeril (NF hm T6) is the family's financial expert
    and is an exception to the general seclusion, but never
    speaks to the rest of the family.  [C9410,p.47]
  - unnamed sons closely resemble Azoun IV; all approached by
    veteran Purple Dragon officers with handsome offers of
    careers and most accepted and remain in service to this day.
    [VGtC,p.154]
  - Rowan Cormaeril, Purple Dragon, cousin to Gaspar, once a
    knight but his knighthood was forfieit with the rest of the
    family's lands and titles after the Abraxus incident
    [BtHR,p.142-143], a worshipper of Chauntea [BtHR,p.141-143],
    a ranger [BtHR,p.152], a scout [BtHR,p.275], became a
    ghazneth [DotD]
  - Thaerilon Cormaeril, adventured and found mainly trouble
    outside of Cormyr [BtHR,p.247]
  - Boront Cormaeril, adventured and found mainly trouble outside
    of Cormyr, met an unspecified unhappy fate [BtHR,p.247]
  - Cheldrin Cormaeril, adventured and found mainly trouble
    outside of Cormyr, met an unspecified unhappy fate
    [BtHR,p.247]
  - Flaram Cormaeril, adventured and found mainly trouble outside
    of Cormyr [BtHR,p.247]
  - Horontor Cormaeril, adventured and found mainly trouble
    outside of Cormyr, now makes his livelihood cleaning the
    cesspits of Darkhold [BtHR,p.247]
  - Sabran Cormaeril (hm)(b.1350), young, ambitious and scheming
    blade who slew or tried to slay several nobles during the
    Abraxus Affair, now in exile and goes back and forth between
    Westgate and Selgaunt [Dr276,p.79]
  - Beliard Cormaeril (hm), half-brother to Rowan and bastard son
    of Azoun IV, bladebrother to Aluzair, accorded rank of
    Highknight, apparently not suffering the exile of the rest of
    his family [DrA5,p.62]
  - Kargerth Bleth (N hm Rog7), head of the Cormaeril house in
    exile, thought to be sponsoring smuggling through Marsember
    [DrA5,p.65]
* Family Members Recently Alive
  - Gaspar Cormaeril (hm)(d.1369), is a young an not prominent
    member of his house but has ambition to change that, and is
    plotting with Aunadar Bleth [CaN,p.313-319], killed by
    Aunadar Bleth to power Abraxus [CaN,p.472]
  - Ohlmer Cormaeril (hm)(d.1369), patriarch of house until
    Gaspar arranges his death. [CaN,p.317]
  - Xanthon Cormaeril, a lookalike cousin of Gaspar, became a
    ghazneth [BtHR,p.246]
  - Halvundrar Cormaeril (hm)(d.1372), male, plots with Maerlyn
    Bleth and a phaerimm to kill Caladnei to sieze some magical
    item with the ultimate goal of bringing the Obarskyr's down
    [RlmSh,p.262-263], killed in attempt on Alusair and Caladnei
    [RlmSh,p.276-278]
* Historical Family Members
  - Threena Cormaeril (hf)(432), blonde haired woman, married
    Lord Dheolur but is King Duar's agent in House Dheolur and
    seems more than fond of Duar himself  [CaN,p.244-251], lived
    410-474 [FRFAQ]
  - Jhaunadyl Cormaeril (hf), one of Elminster's lovers
    [ElDau,p.35]
  - Donder Cormaeril (hf)(1155-1206), head of House Cormaeril in
    his time, brown hair and green eyes, tall, laconic,
    moustachioed, deadly swordsman [Dr281,p.76]
  - Lady Auleethaea Cormaeril (hf)(1176-1264), quiet plain and
    observant petite lady who had ash-blonde hair green eyes and
    delicate features and skin, lady-in-waiting to Queen
    Alvandira who had full access to her and King Pryntaler, kept
    diaries on the events of Pryntaler's reign [Dr281,p.77]
  - Orngrym Cormaeril (hm)(1196-1249), head of House Cormaeril in
    his time; effete, slim-moustachioed raven-haired warrior and
    veteran battle-knight who rode at the King's shoulder, was
    made a Duke as a life-title (the title lasted only for
    Orngrym's life and was not hereditary) [Dr281,p.77-78]
* Servants
  - Elios, a servant of Gaspar in 1369 DR. [CaN,p.370]
  - Tuthtar, a servant of Gaspar in 1369 DR whom Gaspar has
    killed for hearing too much. [CaN,p.370]
Turcassan [CaN,p.149]
* recently arrived from the South in 26 DR, among first men
  Faerlthann knighted. [CaN,p.149-151]
* Most of the Turcassans were killed at the hands of their
  treacherous 'allies' later in the year after they betrayed King
  Duar. [CaN,p.241]
* Historical Family Members
  - Melineth Turcassan, father-in-law to King Duar, betrayed him
    and sold Suzail to the pirate Magrath the Minotaur in 429 DR
    [CaN,p.241], became a Ghazneth [BtHR,p.246], lived 364-432 DR
    [FRFAQ]
  - Daverna, daughter of Melineth Turcassan is wife and Queen to
    King Duar [CaN,p.241], lived 389-432 DR [FRFAQ]
  - Jotor Turcassan, broke from his traitorous family to stay
    loyal to King Duar and fight for him in 432 DR. [CaN,p.241]
  - Relve Turcassan (-46DR to 38DR), most capable human battle
    leader in Cormyr at the founding of the realm, a competent
    bladesman and a good tactician [Dr278,p.89]</t>
  </si>
  <si>
    <t>Eric Menge (January 2012). “Backdrop: Suzail”. Dungeon #198 (Wizards of the Coast). Archived from the original on 2015-11-02. Retrieved on 2017-07-07.</t>
  </si>
  <si>
    <t>https://static.wikia.nocookie.net/forgottenrealms/images/e/ed/CoatOfCormaeril.jpg</t>
  </si>
  <si>
    <t>Coat of Arms</t>
  </si>
  <si>
    <t>Allies</t>
  </si>
  <si>
    <t>Enemies</t>
  </si>
  <si>
    <t>House Alsevir, House Goldfeather, House Marliir</t>
  </si>
  <si>
    <t>House Crownsilver</t>
  </si>
  <si>
    <t>House Crownsliver</t>
  </si>
  <si>
    <t>House Crownsilver was a royal noble house of Cormyr whose estate was situated beyond the Royal Gardens in Suzail, Cormyr.[1][2] The family crest was three silver crowns that appeared to be falling, but were pierced by a downward-pointing silver sword, on a dusky-blue field.[3]
As of the Year of the Ageless One, 1479 DR, the family was one of two remaining royal houses in Cormyr. The Crownsilvers disliked the younger noble houses' mercantile activities and held House Alsevir, House Goldfeather, and House Marliir in particular disdain.
The three "Silver" families were originally one family, the
Silver family, who settled in Suzail before Faerlthann became
king.  The two Silver brothers and their eldest sons were the
among the first knights dubbed by Faerlthann. [CaN,p.149]
* arrived in Suzail in 10 DR, just ahead of Mondar Bleth
  [CaN,p.128]
* Historical Family Members
  - Jaquor Silver (hm)(16DR,26DR), twin brother to Tristan
    [CaN,p.128], one of the original knights dubbed by
    Faerlthann. [CaN,p.153]
  - Tristan Silver (hm)(16DR,26DR), twin brother to Jaquor
    [CaN,p.128], one of the original knights dubbed by
    Faerlthann. [CaN,p.153]
  - unnamed eldest son of Jaquor (hm)(26DR), one of the original
    knights dubbed by Faerlthann. [CaN,p.153]
  - unnamed eldest son of Tristan (hm)(26DR), one of the original
    knights dubbed by Faerlthann. [CaN,p.153]
Crownsilver [GTR,p.56]
* of the Royal House of Cormyr [GTR,p.56]
* exists as of 245 DR, which means the Silver family split
  sometime between 26 DR and 245 DR. [CaN,p.177]
* founded by marriage of Rhiiman Obarskyr (younger brother of
  Faerlthann, not the later king) married a daughter of the
  Silvers, 1st of noble families [FRFAQ]
* Crownsilver Castle in Suzail [C9410,p.9]
* confine their activities mainly to the Royal Court
  [C9410,p.47]
* automatically ally with King Azoun in any dispute [C9410,p.47]
* one or two minor members of the family plotted with Luthax
  against King Draxius in 629 DR. [CaN,p.273]
* multiple Crownsilvers die in final battle against the
  Witch-Lords in 900 DR, along with "half the nobles of the Glory
  of Cormyr". [CaN,p.307]
* were among those who fought with Arangor and Azoun II against
  Thauglor in 1018 DR. [CaN,p.322]
* didn't want to take sides in civil war between Salember and
  Rhigaerd II; they equivocated and minced when Salember pressed
  for troops and aid. [CaN,p.405]
* in the event of Azoun IV's death during the Abraxus incident,
  the family favored a ruling council for Cormyr rather than any
  regency as a way out from under Obarskyr tyranny. [CaN,p.426]
* family has a country manor [DotD,p.235-236]
* Family Members Currently Alive
  - Kimba Crownsilver (N hf W3) is the authoritarian matriarch of
    the family [C9410,p.47]
  - Sardyl Crownsilver, female wizard, in Alturiak 1365 was
    Vangerdahast's latest apprentice, personal messenger and
    scribe, whom he trusts implicitly. [ElHel,p.85,88]
  - Embryn Crownsilver, a traitorous man who in 1369 is willing
    to fight for the downfall of the Obarskyrs and support a
    Vangerdahast regency. [CaN,p.253]
  - Reth Crownsilver, involved with Gaspar Cormaeril and Aunadar
    Bleth in the Abraxus Affair [CaN,p.464]
  - Ilberd Crownsilver, young man never before in battle but now
    fights with Azoun [DotD,p.309]
* Family Members Recently Alive
  - Maniol Crownsilver, killed by poison [DotD,p.166-168]
* Historical Family Members
  - Elvarin Crownsilver (hf)(432), lady loyal to King Duar and
    fought with him against the Turcassans and Magrath the
    Minotaur [CaN,p.239]
  - Elvrin Crownsilver (hm)(427-475), an urbane and perceptive
    veteran courier at the time of his disappearance, all that
    was found was his right hand still clutching his sword, he
    probably died defending the Kuthor Lagarr's treasure being
    taken to Suzail from Kuthor's hold Irongates Gard (a
    now-vanished castle northeast of Wheloon) [Dr279,p.83-84]
  - Aubleth Crownsilver (hm)(989-1066), was for some years the
    youngest member of King Arangor's elite Griffon Guard (an
    order of griffon-riding knights), helped slay Thauglor, had
    blonde hair and amber eyes, close friend to Gardrath
    Roaringhorn [Dr280,p.84]
  - Juarkin Crownsilver (hm)(1188), close to King Pryntaler
    [CaN,p.360]
  - Thessilion Crownsilver (hm)(1188), close to King Pryntaler
    [CaN,p.360]
  - Althallan Crownsilver (hm)(1157-1212), briefly patriarch of
    the Crownsilvers, small catlike man with almost feminine good
    looks (large indigo eyes and magnificent red hair) and a
    quick wit, a prodigious capacity for drink, favorite weapons
    were two slim needle-like longsword and many tankards
    [Dr281,p.76]
  - Alvandira Crownsilver (1165-1204), married King Pryntaler,
    mother of King Dhalmass. [CycR,p.34]
* Servants
  - Maniol of Suzail (LN hm F4) tends the large family estate
    near town [C9410,p.47] (Author's Note: this may be the same
    person as the Maniol Crownsilver mentioned in DotD,p.166-168,
    but in C9410 his last name is not given and is only referred
    to as a custodian who tends the family's estate.  I had
    doubts at the time of writing this note that a member of a
    noble family would be referred to as a 'custodian'.)</t>
  </si>
  <si>
    <t>Huntsilver [GTR,p.56]
* of the Royal House of Cormyr [GTR,p.56]
* exists as of 245 DR, which means the Silver family split
  sometime between 26 DR and 245 DR. [CaN,p.177]
* of Huntyn and Silver, by Gavrund Huntyn, brother-in-law of
  second king, 3rd of noble families [FRFAQ]
* Huntsilver Palace in Suzail [C9410,p.9]
* holdings in Dhedluk [C9410,cover]
* holdings in Thunderstone [C9410,cover]
* long associated with managing the realm's forest resources
  [C9410,p.48]
* historically the family who organized the systematic
  development of forests for farmland. [C9410,p.48]
* has prominent role in supervising the clearing of Hullack
  Forest [C9410,p.48]
* appear rarely at Royal Court, only at major occasions or on
  matters relating to Cormyr's forests. [C9410,p.48]
* didn't want to take sides in civil war between Salember and
  Rhigaerd II; they equivocated and minced when Salember pressed
  for troops and aid. [CaN,p.405]
* in the event of Azoun IV's death during the Abraxus incident,
  the family favored a ruling council for Cormyr rather than any
  regency as a way out from under Obarskyr tyranny. [CaN,p.426]
* family described as aloof [BtHR,p.37]
* Family Members Currently Alive
  - Maestoon Huntsilver (LF hm D7) is current head of family and
    game warden of the King's Forest [C9410,p.48]
  - Cordryn Huntsilver, involved with Gaspar Cormaeril and
    Aunadar Bleth in the Abraxus Affair [CaN,p.464], Maestoon's
    last surviving son, was exiled and disinhereted for his
    involvement in the Abraxus Affair [DotD,p.119]
  - Elanna Huntsilver, Maestoon's wife, much younger than
    Maestoon and a Dauntinghorn by birth, ash blond of thin and
    devastating beauty who uses her beauty to toy with others
    [DotD,p.119-120]
  - Shalanna Huntsilver, Maestoon's daughter, fat and sullen,
    resents pretty much everyone [DotD,p.120]
  - Hundilavatar Huntsilver, rumored to have pursued Tanalasta
    for courting [CaN,p.138]
  - Jostlyn Huntsilver (LG hm Ftr9/Highknight5), Knight Royal of
    Cormyr, once a personal guard of Azoun IV but now a loyal
    personal bodyguard to Filfaeril [DrA5,p.62]
* Family Members Recently Alive
* Historical Family Members
  - Gavrund Huntyn, founder of house by marriage to a Silver,
    brother-in-law to second King [FRFAQ]
  - Agrast Huntsilver, cousin to Elvarin Crownsilver, commands
    High Horn in 432 DR and will ally with King Duar if he
    achieves a victory. [CaN,p.242]
  - Jhalass Huntsilver, married to King Dhalmass and died on the
    same day as he in 1227 DR [CaN,p.378-387], mother of Proster,
    King Palaghard II, Ellira, and Pelarra. [CycR,p.34]
  - Lareth Huntsilver (996-1059), slender and sardonic man, had
    ash-blonde hair and thin moustache, befriended Halartan
    Wyvernspur, married Roatha Ildraen (a innkeeper's daughter of
    common birth) [Dr280,p.84-85]
  - Chanthar Huntsilver (1162-1203), longtime head of his house;
    a proud man with red moustache, hair banished by disease (and
    sensitive to his baldness), once took an assassin's blade for
    King Pryntaler [Dr281,p.76]</t>
  </si>
  <si>
    <t>Truesilver [GTR,p.56]
* of the Royal House of Cormyr [GTR,p.56]
* exists as of 245 DR, which means the Silver family split
  sometime between 26 DR and 245 DR. [CaN,p.177]
* founded by second marriage of Villiam Obarskyr to a Silver, 2nd
  of noble families [FRFAQ]
* Truesilver Castle in Suzail [C9410,p.9]
* holdings in Marsember [C9410,cover]
* most active of the three royal families. [C9410,p.49]
* distinguished themselves for generations by loyalty to the king
  and by military exploits. [C9410,p.49]
* members have commanded the Purple Dragons several times in
  history. [C9410,p.49]
* represented at court by retired family members, which both
  makes the family most dependably loyal and ensures its
  representative lacks the vigor to give the family much
  political clout. [C9410,p.49]
* were among those who fought with Arangor and Azoun II against
  Thauglor in 1018 DR. [CaN,p.322]
* didn't want to take sides in civil war between Salember and
  Rhigaerd II; they equivocated and minced when Salember pressed
  for troops and aid. [CaN,p.405]
* in the event of Azoun IV's death during the Abraxus incident,
  the family favored a ruling council for Cormyr rather than any
  regency as a way out from under Obarskyr tyranny. [CaN,p.426]
* family was impoverished enough to make possession of the family
  keep a cause for concern in Beldarm Truesilver's lifetime
  [Dr281,p.76-77]
* Family Members Currently Alive
  - Ayesunder Truesilver, Warden of the Port of Marsember (LG hm
    F14) [GTR,p.53], current head of the family [C9410,p.49],
    head of the Imperial Navy [C9410,p.58]
  - Beldred Truesilver, one of the knights who rides with
    Princess Alusair, may be a leader under Alusair.
    [CaN,p.105-106]
  - Taldeth Truesilver, rumored to have pursued Tanalasta for
    courting. [CaN,p.138]
  - Braegor Truesilver, involved with Gaspar Cormaeril and
    Aunadar Bleth in the Abraxus Affair [CaN,p.464]
  - Ilbreth Truesilver (LG hm Ftr9/Highknight5), Knight Royal of
    Cormyr, once a personal guard of Azoun IV but now a loyal
    personal bodyguard to Filfaeril [DrA5,p.62]
* Family Members Recently Alive
* Historical Family Members
  - Glorin Truesilver (hm)(432), cousin to Elvarin Truesilver,
    loyal to King Duar and fought by his side against the
    Turcassans and Magrath the Minotaur, and seemed to have been
    killed during the fight. [CaN,p.241,249]
  - Aosinin Truesilver (hm)(900), cousin to King Galaghard
    (implies that Galaghard's mother is a Truesilver, if direct
    cousin), fought with King Galaghard against the Witch-Lords
    [CaN,p.294], a great strategist who once wrote that a
    commander sending troops into battle owes it to them to be
    sober at the time [BtHR,p.279-280]
  - Beldarm Truesilver (hm)(1169-1235), burly broken-nosed
    good-natured warrior, once played along with an assassin then
    reported it to King Pryntaler in loyalty, is likely to have
    been the "Hullack Hawk" who raided estates in Sembia and
    plundered them [Dr281,p.76-77]
  - Damia Truesilver (hf)(1286), a Truesilver by marriage not
    blood, widow of Lord Truesilver who died in the civil war
    between Salmeber and Rhigaerd II, pregnant with Lord
    Truesilver's child, Damia is on Rhigaerd II's side
    [CaN,p.408], grandmother to Azoun IV. [CaN,p.433]
  - Tanalusta Truesilver (hf)(1286-1332), daughter of Damia
    Truesilver, married King Rhigaerd II, mother of Sulesta and
    King Azoun IV. [CycR,p.34]</t>
  </si>
  <si>
    <t>http://web.archive.org/web/20150131011912/http://oracle.wizards.com/scripts/wa.exe?A2=ind0603c&amp;L=realms-l&amp;D=1&amp;F=&amp;S=&amp;P=737</t>
  </si>
  <si>
    <t>Hawklin [C9410,p.11,48]
* Hawklin House in Suzail [C9410,p.9]
* holdings in Thunderstone [C9410,cover]
* generations have entered the Purple Dragons or adventured in
  service to the Crown [C9410,p.48]
* lack income-producing estates or businesses, but rumored to
  have amassed a fortune from adventuring [C9410,p.48]
* ennobled by Rhigaerd II [FRFAQ]
* Barandos owns the Leaning Post Inn in Suzail, on the north side
  of Garth Street where it meets the Hunt Ride. [VGtC,p.32]
* Family Members Currently Alive
  - Barandos Hawklin (LN hm F7) is only the third generation to
    be considered noble, and head of crown-chartered adventuring
    groups [C9410,p.11,48], currently in favor with the crown and
    has held his integrity through several covert War Wizard
    tests, an unshakably honest man who is also a pleasant
    person, but when wronged likes to hire adventurers to get
    even for him [DrA5,p.67]
  - a younger Lady Hawklin who, in 1356 DR, cannot hold her wine.
    [ElHel,p.242]
  - Tenshorn Hawklin (LE hm Ari1/Ftr7), younger and less
    well-known brother of Barandos, is rumored to be cruel,
    privately a member of the Men of the Basilisk [Py142]</t>
  </si>
  <si>
    <t>Morler [C9410,cover]
* holdings in Waymoot [C9410,cover]</t>
  </si>
  <si>
    <t>Tavernant [VGtC,p.24 ??]
* Family Members Currently Alive
  - Lady Tavernant, elderly and eccentric owner of Tavernant's
    Tellings in Suzail, last of her line, gives parties for young
    noblemen (does this make her a nobleman?  Would young
    noblemen bother to attend parties by an elderly commoner?)
    [VGtC,p.24 ??]</t>
  </si>
  <si>
    <t>Hlombur [VGtC,p.22]
* Family Members Currently Alive
  - Baron Hlombur wielded a 7-foot-long boar blade to split the
    skull of the orc lord Aragh. [VGtC,p.22]</t>
  </si>
  <si>
    <t>Scoril [VGtC,p.38]
* holdings in Marsember [VGtC,p.38]
* only noblilty of local prominence in Marsember [VGtC,p.38]
* members have served the Crown loyally as factors, wardens, and
  naval officers [VGtC,p.38]
* was Marsemban noble before Cormyr gained city, encouraged
  Marliirs to fight then switched sides to help Cormyr in 1227 DR
  [CaN,p.378]
* Family Members Currently Alive
  - Bledryn Scoril (LG hm F4), head of family and king's herald
    for local Lord Ildool [VGtC,p.38]</t>
  </si>
  <si>
    <t>Spurbright [VGtC,p.141]
* seat in Espar [VGtC,p.141]
* owns 20 or so miles of small tenanted farms along either side
  of the Way of the Dragon just north of Espar [VGtC,p.141]
* has a circle of four crowns at the heart of the family's arms
  [VGtC,p.141]
* Historical Family Members
  - Aglara Spurbright; lived some centuries ago and once fell
    afoul of the Four Floating Crowns. [VGtC,p.141]</t>
  </si>
  <si>
    <t>Greatgaunt [VGtC,p.209]
* founded the fortified town of Greatgaunt [VGtC,p.209]
* family home is a small castle called Greatgates Manor, at the
  north end of the plateau above a ravine. [VGtC,p.209]
* faimily arms are a right-handed gauntlet clutching a dove in
  its fist. [VGtC,p.209]
* the family has been around for centuries. [VGtC,p.209]
* members of this family today serve as battlemasters and
  garrison commanders in the Purple Dragons. [VGtC,p.209]</t>
  </si>
  <si>
    <t>Dawninghunt [VGtC,p.226]
* had a transdimensional refuge created by the Sword Heralds that
  was rediscovered in 1346 DR. (May be extinct line, since it's
  not mentioned that any family reasserted rights to the refuge
  or the recovered contents) [VGtC,p.226]
* Historical Family Members
  - Lady Rhyndaera Dawninghunt; lived about 200 years before 1346
    DR. [VGtC,p.226]
  - Harglast Dawninghunt; a deceased sage entombed in the
    Dawninghunt refuge. [VGtC,p.226]</t>
  </si>
  <si>
    <t>Harcourt [Crus,p.102-103]
* Family Members Recently Alive
  - Lord Harcourt (no other names known) was the commander of
    Cormyr's cavalry on the Crusade against the Tuigan in 1360
    DR, and he died in the first battle of the Golden Way.</t>
  </si>
  <si>
    <t>Darstan [Crus,p.240]
* Family Members Recently Alive
  - Lord Darstan (no other names known) was the noble cavalryman    who led the charge without orders that got the cavalry wiped     out in the first battle of the Golden Way. [Crus,p.240]</t>
  </si>
  <si>
    <t>Firefall Keep</t>
  </si>
  <si>
    <t xml:space="preserve"> arc of three golden stars on a field of deep
  blue. [Stmlt,p.26]</t>
  </si>
  <si>
    <t>Summerstar [Stmlt]
* seat is Firefall Keep in Firefall Vale, where the Hullack   Forest meets the western slopes of the Thunder Peaks, in the  Northtrees March district. [Stmlt,p.1,11]
* castle of Firefall Keep is at the western end of Firefall Vale.  [EdG2004,p.5]
* Turnwyrm Brook flows down heart of vale to join the Immerflow.  [Stmlt,p.56]
* considered a backwater family in Suzail. [Stmlt,p.2]* heraldry is an arc of three golden stars on a field of deep
  blue. [Stmlt,p.26]
* Family Members Currently Alive
  - Lady Shayna Summerstar, younger sister of Athlan and head of    house upon his death; had numerous dalliances before this,    married war wizard Sir Broglan Sarmyn who was created Lord    Summerstar. [Stmlt,p.9;EdG2004,p.5]
  - Lady Zarova Summerstar, born to the Battlestar house, widow
    of Pyramus and mother to Athlan and Shayna. [Stmlt,p.28]
  - Erlander Summerstar, uncle to Shayna and Athlan, brother to
    Pyramus and Orm Hlannan, rogue, 5th child of Rauvor &amp;
    Pheirauze. [Stmlt,p.51, EdG2004,p.5]
  - Thalance Summerstar, cousin to Shayna and Athlan, bastard son
    of Lady Dalestra and a local commoner. [Stmlt,p.53,
    EdG2004,p.5]
  - Ileira, daughter &amp; 1st child of Shayna &amp; Broglan, now 4 years
    old. [EdG2004,p.5]
  - Storm, daughter &amp; 2nd child of Shayna &amp; Broglan, now 2 years
    old. [EdG2004,p.5]
  - Rauvoril, son &amp; 3rd child of Shayna &amp; Broglan, now just
    approaching 1 year old. [EdG2004,p.5]
* Family Members Recently Alive
  - Lord Athlan Summerstar, head of house until death on 4
    Flamerule 1365, was also a harper and a knight.
    [Stmlt,p.1-4]
  - Dowager Lady Pheirauze Summerstar, sixty winters old in 1365,
    grandmother to Athlan and mother to Pyramys and Orm Hlannan,
    killed. [Stmlt,p.9,143]
  - Margot Summerstar, maiden aunt to Shayna and Athlan, 6th
    child of Pheirauze, died shortly after Storm Summerstar was
    born. [Stmlt,p.52, EdG2004,p.5]
  - Nalanna Summerstar, maiden aunt to Shayna and Athlan, 7th
    child of Pheirauze, died sometime between novel and now.
    [Stmlt,p.52, EdG2004,p.5]
* Historical Family Members
  - Glothgam Summerstar, first noble of the house, ennobled
    centuries ago. [Stmlt,p.55-56]
  - unnamed Summerstar who was with King Galaghard and Othorion
    at the battle against the Witch-Lords. [Stmlt,p.123]
  - Lord Rauvor Summerstar, husband of Pheirauze and Athlan's
    grandfather, died of a wasting fever decades before 1365.
    [EdG2004,p.5]
  - Hergrest Summerstar, Rauvor's brother, married a Harper
    sorceress and commoner, no children. [EdG2004,p.5]
  - Darander Summerstar, warrior, son, and 3rd child of Rauvor;
    deceased. [EdG2004,p.5]
  - Brezm Summerstar, warrior, son, and 4th child of Rauvor;
    deceased. [EdG2004,p.5]
  - Dalestra, daughter and 5th child of Rauvor; deceased.
    [EdG2004,p.5]
  - Lord Pyramus Summerstar, head of house before Athlan, was
    Athlan's father and Orm Hlannan's brother, 1st child of
    Rauvor; now deceased. [Stmlt,p.2, EdG2004,p.5]
  - Orm Hlannan Summerstar, Athlan's uncle and Pyramus' brother;
    now deceased, a mage, 2nd child of Rauvor. [Stmlt,p.2,
    EdG2004,p.5]
* Servants
  - Renglar Baerest, seneschal, a retired Purple Dragon veteran.
    [Stmlt,p.2]
  - Jenrath, a house servant [Stmlt,p.15]
  - Ilgreth Drimmer, steward, former Purple Dragon. [Stmlt,p.66]
  - Narlargus, a man, is Pheirauze's dresser and lover.
    [Stmlt,p.140]</t>
  </si>
  <si>
    <t xml:space="preserve">    family. [Stmlt,p.28]</t>
  </si>
  <si>
    <t>Wolfwinter [Stmlt,p.28]
* Family Members Recently Alive
  - Hundarr Wolfwinter is a War Wizard of the Sevensash
    investigative team, killed in Firefall Keep.
    [Stmlt,p.28,125]</t>
  </si>
  <si>
    <t>Indesm [Stmlt,p.267]
* owns the hold of Hawkhar, north and east of the Wyvernwater,
  northwest of Firefall Vale. [Stmlt,p.267, EdG]
* noble family of Arabel [CaN,p.454]
* supported Gondegal in his brief claim to empire in 1352 DR
  [CaN,p.454]
* in the event of Azoun IV's death during the Abraxus incident,
  like most of the families with country estates this family
  favored a Vangerdahast regency instead of a ruling council.
  [CaN,p.426]
* Family Members Currently Alive
  - Lady Amantha Indesm (hf), of Suzail, also a Harper spy who
    keeps an eye on Lady Ambruar of Marsember [ElDau,p.143]</t>
  </si>
  <si>
    <t>Hawkhar</t>
  </si>
  <si>
    <t>Yellander [Stmlt,p.267]
* seat in Galdyn's Gorge, north and east of the Wyvernwater and
  south along the Immerflow from Firefall Vale. [Stmlt,p.267,
  EdG]
* in the event of Azoun IV's death during the Abraxus incident,
  the family favored a ruling council for Cormyr rather than any
  regency or rule by a female. [CaN,p.426]</t>
  </si>
  <si>
    <t xml:space="preserve"> Galdyn's Gorge</t>
  </si>
  <si>
    <t>Imbranneth [CaN,p.106]
* Family Members Currently Alive
  - Threldryn Imbranneth, one of the knights who rides with
    Princess Alusair. [CaN,p.105-106]
* Family Members Recently Alive
* Historical Family Members</t>
  </si>
  <si>
    <t>Rallyhorn [CaN,p.426]
* in the event of Azoun IV's death during the Abraxus incident,  like most of the families with country estates this family  favored a Vangerdahast regency instead of a ruling council.
  [CaN,p.426]
* a fortune Theldrin gained from two uncles was entombed with his
  own body and that of his daughter and grandson Obrynn, but when
  the vault was later opened the treasure was gone and its fate
  is unknown to this day [Dr279,p.81-82]
* Family Members Currently Alive
  - Korvarr Rallyhorn (LG hm Ftr9)[DrA5,p.67], lionar and leader
    of Tanalasta's palace guards [DotD,p.50], resigned his
    commission after Orvendel's betrayal [DotD,p.220] but his
    rank was personally reinstated by Alusair (whom he's now
    hopelessly in love with) [DrA5,p.67]
  - Urthrin Rallyhorn, father of Korvarr and loyal to the
    Obarskyrs [DotD,p.100]
* Family Members Recently Alive
  - Orvendel Rallyhorn, younger brother of Korvarr and son of
    Urthrin, is about 17 years old [DotD,p.124], revealed as spy
    for the ghazneths [DotD,p.213], was executed painlessly by
    order of Tanalasta [DotD,p.235]
* Historical Family Members
  - Lord Theldrin Rallyhorn (92-147), father of Emrylara, rose
    rapidly in royal service through a variety of positions to
    become nearly indispensible to Kings Daravvan, Dorglor,
    Embrold and Irbruin, had raven black hair and deep green
    eyes, was of average height, dressed richly but
    conservatively, inheritor of fabulous fortunes from two
    uncles [Dr279,p.80-81]
  - Emrylara Etharr (nee Rallyhorn) (131-162), married Aulard
    Etharr (who was son of Baergast Etharr and grandson of
    Baerauble Etharr) and bore him two children - a son Obrynn
    and a daughter Narnytha, had green eyes and raven-black hair
    and bone-white skin, and was tall, grave, quiet and beautiful
    [Dr279,p.80-81]
  - Malithra Undra Shalrin Rallyhorn, currently an archlich
    portrayed in the short story "Moonrise over Myth Drannor"
    [EdG2004,p.64] (the short story is from the computer game
    "Eye of the Beholder 3: Assault on Myth Drannor" and was
    written by Ed Greenwood.)</t>
  </si>
  <si>
    <t>Battlestar [Stmlt,p.28,58]  * seat on the West Shore not far west of Suzail. [Stmlt,p.58,</t>
  </si>
  <si>
    <t>Wyvernshores, Mossfarms</t>
  </si>
  <si>
    <t>Lowbridge</t>
  </si>
  <si>
    <t>Fallturret</t>
  </si>
  <si>
    <t>Castle</t>
  </si>
  <si>
    <t>Windkeep</t>
  </si>
  <si>
    <t>Dracohorn [CaN,p.174]
* a family of middling power in 245 DR. [CaN,p.177]
* a more established 'city' nobility than families like the
  Skatterhaws or Wintersuns. [CaN,p.255]
* were among those who fought with Arangor and Azoun II against
  Thauglor in 1018 DR. [CaN,p.322]
* Family Members Currently Alive
  - Omalra Dracohorn, loyal to and fought for King Duar in 432
    DR. [CaN,p.241]
* Family Members Recently Alive
  - Ondrin Dracohorn, male, alive in 1369 DR, scheming noble from     eastern Cormyr; rapidly gained wealth and moved from
    obscurity to prominence.  His main source of wealth are his
    busy fleets in Marsember and Suzail, he's rumored to engage
    in smuggling, piracy and slaving.  He is also one of the     loosest tongues in the kingdom, incapable of keeping secrets
    [CaN,p.196]; affects to wear medallions that resemble but do
    not exactly duplicate soldier's medals [CaN,p.255], death was
    arranged by Gaspar Cormaeril [CaN,p.370]
  - Aldeth Dracohorn (hm)(d.1372), exiled noble [RlmSh,p.276],
    killed in attempt on Alusair and Caladnei [RlmSh,p.276-278]
  - unnamed Dracohorn (hm)(d.1373), member of the Rightful
    Conspiracy and killed by Queen Filfaeril [ElDau,p.364]
* Historical Family Members
  - Keolan Dracohorn was founder of his noble line, and earned
    the family name by killing a blue dragon at Soldier's Green
    (now Jester's Green). Actually he found it already dead and
    only claimed to kill it.  [CaN,p.206,209]
  - Sagrast Dragohorn, male, nobleman and steward of the Royal
    House of Obarskyr in the Year of the Dun Dragon (245 DR).
    [CaN,p.174]</t>
  </si>
  <si>
    <t>Eldroon [CaN,p.161]
* seat in Marsember, minor noble family. [CaN,p.161]
* was Marsemban noble before Cormyr gained city, encouraged
  Marliirs to fight then switched sides to help Cormyr in 1227 DR
  [CaN,p.378]
* Family Members Currently Alive
  - Blundebel Eldroon [CaN,p.161]
  - Durmeth Eldroon, doesn't like Azoun's order to fight at that
    spot [DotD,p.307]
* Family Members Recently Alive
* Historical Family Members</t>
  </si>
  <si>
    <t>The house had reason to regard the Bleth house in a bad light; however, it had been this way for centuries before the 14th century DR, so nobody remembered why.[1][3] They also despised Royal Mage Vangerdahast
Roaringhorn [CaN,p.139]
* family does not think will of the Bleths, for forgotten
  centuries-old reasons. [CaN,p.139]
* in the event of Azoun IV's death during the Abraxus incident,
  this family wants a king or ruling council but no ruling queen.
  [CaN,p.426]
* the Roaringhorns detest both the Bleth family and the Royal
  Mage Vangerdahast. [CaN,p.426]
* family was already considered noble in Waterdeep when Gardrath
  was elevated to nobility in Cormyr [Dr280,p.84]
* Family Members Currently Alive
  - Blaerla Roaringhorn (hf)(b.1326), lady-in-waiting to Alusair,
    a spiteful, judgemental loosetongue who is friends with the
    commoner palace servant Darlutheene Ambershields
    [CaN,Dr276,p.77]
* Family Members Recently Alive
* Historical Family Members
  - Gardrath Roaringhorn (hm)(984-1019), a tall thin knight of
    the Griffon Guard (an order of griffon-riding knights),
    helped slay Thauglor, had raven-black hair and piercing blue
    eyes, close friend to Aubleth Crownsilver, was the first
    Cormyrean Roaringhorn nobility, died by getting off his
    deathbed and fighting wolves while fevered [Dr280,p.84]
  - Tharim Roaringhorn (hm)(1185-1227), head of his house, long
    brown hair with brown eyes and huge &amp; bristling moustache, a
    loud hearty and burly man and an inspiration in battle
    [Dr281,p.78]</t>
  </si>
  <si>
    <t>Creth [CaN,p.425]
* Family Members Recently Alive
  - unnamed Creth, one of five young men who attempted to
    assassinate Princess Tanalasta during the Abraxus Affair in
    1369 DR and was killed in the attempt. [CaN,p.425]</t>
  </si>
  <si>
    <t>Flintfeather [CaN,p.426]
* a young upstart noble house.
* in the event of Azoun IV's death during the Abraxus incident,
  the family favored a ruling council for Cormyr rather than any
  regency or rule by a female. [CaN,p.426]</t>
  </si>
  <si>
    <t>Indimber [CaN,p.426]
* in the event of Azoun IV's death during the Abraxus incident,
  like most of the families with country estates this family
  favored a Vangerdahast regency instead of a ruling council.
  [CaN,p.426]</t>
  </si>
  <si>
    <t xml:space="preserve">  EdG2004,p.5] Bhela [GTR,p.45, VGtC,p.57]
* seat in Arabel [GTR,p.45]
* weapons &amp; armor [C9410,p.16]
* head of house is a young noble with the title of Count who
  wants the crown to build a system of cobble-paved merchant
  roads [BtHR,p.78]</t>
  </si>
  <si>
    <t>Wintersun [CaN,p.254]
* minor nobility and country nobles to boot. [CaN,p.255]
* in the event of Azoun IV's death during the Abraxus incident,
  like most of the families with country estates this family
  favored a Vangerdahast regency instead of a ruling council.
  [CaN,p.426]
* Family Members Currently Alive
  - Sardyn Wintersun is a nobleman [CaN,p.254], he is with
    Alusair in battle [DotD,p.352]</t>
  </si>
  <si>
    <t>Muscalian [CaN,p.180]
* a noble family in 245 DR. [CaN,p.180]</t>
  </si>
  <si>
    <t>badge: the black silhouette of an upright, stylized (not recognizable as any particular known breed; it has a long, slender, almost crocodile-like snout) dragon’s head, facing to the left and with jaws parted to show the tip of a forked tongue and a ragged jet of flame spewing out of the mouth, that ends in a severed straight line at its bottom, said line having three teardrops of black blood depending from it, and a horizontal sword, point to the left, right underneath it; this device has always been known in the family as “the Wyrmdeath,” so the sword is clearly meant to have just severed the head from an unseen draconic body</t>
  </si>
  <si>
    <t>A very old human family of Cormyr, the Haldoneirs have tended to be tall, slender, and strikingly handsome, and have always been associated with warfare; hardy and long-lived, but few in numbers due to battlefield losses.
An archer, farmer, and sometime hiresword named Ryneth Haldoneir was part of Ondeth Obarskyr’s fledgling “farms by the shore” settlement, on the site of the future Suzail, and although the Haldoneirs were never leaders or particularly staunch loyalists, and weren’t ennobled for centuries after their arrival in what became Cormyr, nowadays they proudly claim to be one of the “founding families” of the Forest Kingdom, with “blood as regal as any family of the realm” (which of course carefully falls JUST shy of claiming to have blood as royal as the Obarskyrs, while trying to give the impression of that very claim).
Haldoneirs fought on behalf of the early Obarskyr kings, but it’s clear from the hereditary family height and build—plus occasional family members whose features look very elven—that more than a few early Haldoneirs reached their own “separate peace” with elves, taking elves as mates and bringing “much elven moonbright” into the family bloodlines.
There are also old family legends of dragontaming, but these are utter fiction (though the Haldoneirs of today may genuinely not know this), spun by minstrels of the family households centuries back because more than a dozen early Haldoneirs had suits of scale mail made for them that had dragonhead helms, barbs at their elbows, and other “dragonlike” stylings and accoutrements.
Haldoneirs have been members of the Purple Dragons down the centuries, and at times reached high ranks and positions of trust; at least three male Haldoneirs (Amandras, in the reign of Galaghard III; Baerlon, in the reign of Proster; and Galard, in the reign of Palaghard I) have served as Highknights (or equivalents; that is, knights who were trusted personal agents of the monarch).
One widowed Haldoneir, Lady Vaerestra, was a trusted advisor of King Dhalmass, (rightly) entrusted with secrets of the realm and as highly regarded by Jorunhast, the High Wizard of the day, as she was by the reigning monarch. She died deliberately shielding the king’s body, taking a poisoned dagger meant for him. (In recognition of this, Dhalmass ennobled the family, making her “plain soldier” son, Mreldon, the first Lord Haldoneir.)
Although almost every generation of Haldoneirs have sent sons into the ranks of the Purple Dragons (some rendering distinguished service, and some not), most latter-day Haldoneirs enjoy lives of ease, kept in abundant coin by the rents from their many urban properties (scores in Suzail, but hundreds in both Selgaunt and Urmlaspyr). They tend to maintain very haughty manners, literally sneering down their noses at most commoners they meet, and serve as the living epitome of the ridiculously overblown “proper highnoses” (that’s the Realms term; we might say “snotty noble”), exhibiting arrogance without any accomplishment—or in some cases, even basic competence—to back it up.
That’s not to say recent Haldoneirs have been entirely idle. This is a family whose members like to entertain themselves with mistresses or “brightlads” (male lovers set up in their own Suzailan houses just as mistresses are), dabble in various cults, conspiracies, and businesses (usually fads that fail, but including the occasional moneyspinning “hit”), and covertly giving coin to every merchant or noble cabal that seeks to curtail or circumvent royal powers.
Since early in the reign of Rhigaerd II, House Haldoneir has bitterly resented the demotion of Lord Esmarl Haldoneir from the post of Royal Privy Advisor (though Esmarl richly deserved his expulsion from power and favour at Court, being as he was supposed to be finding out truths for the king and instead had started taking bribes in return for passing the lies of the briber’s choice into the royal ear as “thoroughly-investigated and attested truths”). Since Esmarl’s disgrace, the Haldoneirs have been among the most energetic whisperers (in private, among nobles) of the view that “the Obarskyrs are not rightful rulers, they’re just the old-blood family that grasped the throne most ruthlessly, and have long since become so decadent and self-absorbed that they’ve lost all moral right to retain the Dragon Throne.” The royal family, thanks to Vangerdahast and his War Wizards as well as the personal reports of certain loyal nobles, are well aware of the views of the Haldoneirs, which is why they remain “shut out” of Court and largely ignored by the Crown.
The Haldoneirs, as a group, aren’t energetic enough to do anything active against the Crown; they merely bankroll others in small seditions and obstructions. Nevertheless, they are not far from being stripped of their noble status and exiled, though it’s rumoured that no less than two Lady Haldoneirs in a row begged Azoun IV not to disgrace their house in this manner, seducing him to give their pleadings great force. (This rumour is true; Azoun became VERY fond of Lady Aglathna, and came to regard her successor, Lady Ulandra, as a good and trusted friend, and did “stay his hand” at their behest - - though it’s also true that he allowed Vangerdahast to enspell him so that he’d father no Haldoneirs during his dalliances with either lady; something he very rarely allowed the Royal Magician to do to him.)
Throughout their history, the Haldoneirs have had some violent family quarrels, usually kept VERY quiet to keep “wider Cormyr” from gaining any hint of them, and several family members have been quietly murdered by kin.
Recently, a charismatic and clever family heir, Marluke Haldoneir, was slain slowly and painfully (dismembered over a period of days, with all his joints broken and the severings cauterized to keep him from bleeding to death and escaping all the suffering they had planned) by the rest of his family sometime in the summer of 1367 DR, in a Haldoneir-owned Sembian hunting lodge, because he’d gambled away (or lost in foolish business deals) many of the family properties in Sembia, leaving the freely-spending Haldoneirs suddenly very short of funds. The surviving Haldoneirs took to shadier business dealings in Sembia (with the Fire Knives and others) to try to swiftly make a lot of coin; for a year this made them profits - - and then plunged them into deeper debt the next year, which was when the most ruthless Haldoneirs decided to sell some of their family members (notably four daughters and two nieces) into slavery, and let the Fire Knives kill others (including the bookish, “hopelessly upright” second son, Flaernd [Daviot, if this family is your chosen one, this is Lorna’s guy] and two wealthy and successful Sembian-resident uncles) and take their property to offset much of the family debt.
As of the deaths of Flaernd and the two uncles, Baerand and Thruleon, House Haldoneir consists of an unknown number of “vanished” members down the years (most killed by misadventure or in battle, but some merely fled their family and Cormyr for better lives elsewhere, under new names - - or were sold into slavery, like the six young Haldoneir women who vanished in early 1369 DR: the daughters Asmrella, Dorlarra, Feaenrelle, and Paerelle, and the nieces Borlatha and Daunameire) and the following:
Lord Daeromur, the coldly sardonic, elegantly-moustachioed, wine and liqueur “aeravair” (we would say “connoisseur”) and patriarch of the family, a man driven by his cold, ardent hunger for various revenges, and opportunities to indulge his sadism (horsewhipping servants or family members when they’ve erred or displeased him is a common practice).
Under iron self-control when in public, he is oh-so-correct in his Court etiquette and remarks about the Crown and the royal family, but will spend coin and whisper suggestions and rumours in a flash if he believes he can create difficulties or “incidents” to make courtiers, War Wizards, or the Obarskyrs look bad or be exposed to danger.
Daeromur believes the Haldoneirs, as “true” nobles, have the right to do just as they please; laws are for lesser Cormyreans. Yet with another family on the Dragon Throne and their spies the War Wizards prying everywhere, he recognizes that his house must obey laws and royal authority in public, or pay the final price.
Daeromur would cheerfully kill any weak, foolish, or disloyal Haldoneir without hesitation, believing he can always sire replacements - - and he secretly believes the Obarskyrs should have long ago taken up the same view and habits (which would have served Cormyr far better).
Lady Taerenthe is a strikingly-beautiful, clever, swift-tongued and swifter-witted woman who is utterly ruthless, but believes the path to shining success is to endlessly entice and bewitch her lord husband and support his every whim, so that he values her above all other beings (besides himself).
In this she has succeeded, though she has spent small fortunes on various potions and magical procedures (often involving the lives of young, beautiful kidnapped females) on trying to retain youthful-looking beauty. She has ankle-length, glossy and wavy jet-black hair, large and liquid brown eyes, and ivory-white skin - - and she has Lord Daeromur wrapped around her little fingers, manipulating him so skillfully that he’s scarcely aware of it. When rage rises to consume him in the privacy of a Haldoneir home, she doffs her garments in an instant and offers herself to his whip until his arm is tired, whereupon he always thanks her for “knowing him so well,” and professes his love anew. Lady Taerenthe always carries healing potions with her, usually in chased metal containers hidden in her boots or worked into her belt or pectoral jewelry - - and she always carries a spare whip for her lord’s use, usually attached to her belt.
Taerenthe has some small natural sorcerous talent, which she keeps utterly secret from everyone. She has cached disguises, wealth, and even small useful magic items in dozens of places, in case she needs them in an emergency to flee her husband, her family, or even the realm.
She hopes to end her life wealthy and happy, either sharing the Dragon Throne with her husband or with the two of them holding high Court posts and the gratitude and trust of the ruler of Cormyr - - but she suspects the days of House Haldoneir retaining its noble standing in the Forest Kingdom are numbered, and is prepared to carve out a new life of luxury and status somewhere else.
Along the way, she is perfectly prepared to poison, stab, manipulate, lie, and otherwise glibly and unhesitatingly eliminate all impediments to her desires or House Haldoneir.
Lord Raskrel is (he believes) the sole surviving Haldoneir son, and the heir of the House. The laziest and most spineless of a family without scruples, he was a tirelessly wenching, drinking, prank-playing wastrel until his parents recently told him in private that he would die in agony if he didn’t become their loyal, diligent tool to further the family fortunes. If he would become utterly loyal to them, concealing NOTHING from them, and doing as they told him, he would inherit all. He agreed - - and was then plunged into helping to slay Marluke and watching Flaernd and “all the laughing ladies” of the family disposed of, leaving only himself. It was a sobering lesson, and ever since he has been VERY careful to obey his parents. This has led him to do more real work than ever in his life before, and made him glance over his shoulder every breath or so; he doesn’t even drop coins on a bed-lass for the night without obtaining his mother’s permission.
Although a handful of ruthless, carefully diplomatic factors (trade agents) hired by his mother do most of the family’s business deals (legitimate and otherwise) these days, Raskrel has several times been sent to murder or frame factors his mother wants to be rid of, and has done so, with ever-increasing confidence and competence.
If the Haldoneirs flourish for another six seasons or so, and he continues in his newfound roles of service, Raskrel might just become a formidable foe in his own right, rather than just a frightened wastrel doing what he’s told.
Lord Eldaun is “the hidden Haldoneir.” He vanished in a house fire when young, and all of his family except his mother Taerenthe (who spirited him away to be raised ignorant of his true name and heritage by a commoner couple in Westgate who believe she’s a fell mage named “Aumtelarra” rather than a Cormyrean noblewoman) think him dead and gone. Even the War Wizards don’t suspect Eldaun Haldoneir is still alive.
To Taerenthe, Eldaun is her “heir up her sleeve,” to restore the house if anyone tries to exterminate it, or even to lead an army to claim the Dragon Throne if the Obarskyrs strip the Haldoneirs of their status or execute the male Haldoneirs. If in time to come Daeromur should die and Raskrel die or turn against her, Eldaun will be Taerenthe’s replacement - - she’ll even marry him if she thinks that will be the best means of controlling him. She’s thought of many schemes for the future involving him, but of course circumstances will suggest the best one, if any.
As of 1369 DR, the Haldoneir family holdings are much diminished (what with Marluke’s losses and what the Fire Knives took after the death of Flaernd and the grand houses the nieces had dwelt in), but they still retain Wyrmdown, a large country estate and mansion in Cormyr (due northeast of Immersea; on the foldout colour map that came with the 2e CORMYR sourcebook, it’s straight north of the “R” in the “Immersea” tag on the map, about a third of the way between the Immer Trail and the oval denoting Blisterfoot Inn); Ormvraezel Keep, a small castle with a hunting forest and extensive farms, in upland northwestern Sembia; Boarhunt Towers, a hunting lodge in upland central Sembia that has its own expansive wild forest; High Oronel, a grand Suzail mansion; and also secretly maintain at least three more modest townhomes in Suzail (plus more than a dozen abodes of mistresses and brightlads) as well as two apartments (in their own rental-quarters buildings) in Marsember.</t>
  </si>
  <si>
    <t>http://forum.candlekeep.com/topic.asp?TOPIC_ID=9685&amp;whichpage=13&amp;SearchTerms=HIGHKNIGHTS
http://forum.candlekeep.com/topic.asp?TOPIC_ID=9685&amp;whichpage=13&amp;SearchTerms=HIGHKNIGHTS</t>
  </si>
  <si>
    <t>Shieldwall Baron</t>
  </si>
  <si>
    <t xml:space="preserve">Shieldwall barons have territories, usually centered on whatever home they dwell in (which is almost always fortified or at least "defensible"), and these are known as "baronies" out of convenience. They aren't "baronies" (chunks of land) in the European real-world sense, but are really "your part of the frontier to try to hold for Cormyr" if you're a Shieldwall baron. Although there are feuds and stony disagreements, wise barons work with their neighbouring barons for mutual survival.
A handful of Shieldwall baron names from Ed's notes, as of 1362 DR: Jalaskar Mueryn is Baron Snowshar, Bereld Rethammur is Baron Blackmount, and Larandarr Tathond is Baron Hawkril. All prime-of-life, burly warrior sorts installed in their "baronies" by Azoun IV after predecessors (to whom they were not related) fell in battle.
I get the sense from Ed that there are at least two dozen Shieldwall barons as of the 1350s and 1360s. As far as typical dwellings: just about anything, from caves with fortified front entrances through wooden forts with palisades, fortified stone manor houses, and, yes, the "ruins of a previous baron patched up" you mention. Not much stone castle building goes on, but a lot of repair work (winters are hard, so lots of ice "shoving" that forces walls apart occurs) happens with all stone structures.
Any baron fortunate enough to find ore deposits (or an abandoned mine, according to Ed's notes, though I've never heard of one in that area) in "their" territory is entitled to exclusively work it, and keep 80 percent of the proceeds, 20 percent going to the Crown.
There's no "claim," because the Crown owns everything. Yes, there's a LOT of mineral wealth in western Cormyr, but very little of it is easily found/worked (small veins and deposits, buried under a LOT of rock that must be removed, in monster-haunted dangerous territory with severe weather).
The Court heralds (i.e. the Crown) name all baronies; if a newly ennobled Baron is being given a "new" territory rather than taking over an existing barony (the name of which will be retained unless, in rare instances such as a noble family being exiled and stripped of their titles, the Crown doesn't want it to), that baron gets to suggest/cajole the heralds, but the Crown always has the final say, not the baron.
Because I am always loath to step on Ed's lore that I haven't peeked at, I'll hang off on naming specific nobles of families just yet. Still, I can help with a few of your queries.
1) What are the typical dwellings for ennobled barons? wooden forts with pallisades, fortified manor houses, ruins of a previous baron patched up? How much stone castle building goes on?
In the Storm Horns, which seem to be your area of concern, shieldwall barons make due with whatever they can manage, from tent cities and hastily-constructed spear-walls to wooden keeps. The region (given its location, the difficulty of quarrying and distance from reliable sources, and the difficulty of getting skilled crews anywhere) makes stone construction very difficult.
2) If a baron is lucky enough to find a gold/silver/copper/tin/gem mine on his/her land, how do they go about registering the claim? Does the claim stay with them only or can it be passed to an heir? Is there much mineral wealth in western Cormyr?
Our Hooded Lady has answered this one fairly well. There is mineral wealth to be found in the Storm Horns, but a great majority of it is one of two types: highly concentrated lower metals in small and easily spent deposits (copper is a primary one, but also some tin and sometimes iron), and larger but spread-out veins of more valuable metals (primarily silver), which take a long time to mine before any return can be found.
3) Who decides what a barony will be called? Does the Crown and/or Heralds have a list of 'accepted' barony names or can the newly ennobled Baron Swillbuckets name himself Baron Swillbuckets of Greysword Vale (the small nameless valley he was given by the crown)? If he doesn't survive the first winter would the name be honoured by the Heralds/Crown or can a newly enobled Baron (Aerith Falcondown) rename it to the Barony of Falcondown when it is given to him?
As always, the Heralds (Crown heralds, in this case) name all baronies and other place-titles. The Crown might very well let Lord Swillbuckets become Baron of Greysword Vale, but that vale will have been named by some Herald or courtier long before the good baron has any idea what to call himself. Titles that are inherited also include their appropriate places, so the next Baron would also be of Greysword Vale.
Keep in mind, however, that Cormyr is not a feudal system but a central monarchy. There is no barony of Greysword as such, with borders and an area of authority invested in a baron. Titles in Cormyr aren't attached to any specific grant of land or tied in any way but formal declaration to a location. There's no such thing as a Cormyrean "barony."
[A brief note about titles: In Cormyr, nobles get titles that might, in the real world, by accompanied by a land grant of appropriate size and the possibility of nobles of lower rank swearing fealty to the noble. Barons gain baronial titles, but not an actual barony; similarly, dukes are given dukedoms (a ducal title) but not duchies (an assignment of land). It's easy to confuse the two, I know, but it's still the case.]
4) Can a succesful baron of good standing and years of succesful building of his barony take over the land of a new baron adjacent to his land who died within his first winter because he/she couldn't protect his land from orc attacks etc? If not what measures might the Crown take? Could the Baron buy the land rather than send his troop in to patrol/take over?
In such a case, the deceased baron's heirs (as determined by his desendants, the grant of title, and Crown decree) inherit his lands, his titles, and his responsibilities. If no heirs exist, the title and the land revert to the Crown, who might assign it to the above-mentioned baron, or might send Purple Dragons to administer the lands.
Джерело: &lt;http://forum.candlekeep.com/topic.asp?TOPIC_ID=9685&amp;whichpage=11&amp;SearchTerms=HIGHKNIGHTS&gt; 
Considering these barons occupy much the same place in lore as 'frontier Forts' (of Kelnore? ), I would assume the decision by the crown would be based more upon an aspirant's ability to defend Cormyr's border adequately, unlike interior titles (and lands) that could be more 'casually' doled-out (for political favors and what-not).
What this means is that IF a Baron wanted his son (OR daughter - this is the Realms) to 'inherit' his parcel of land, he would have to make damn sure his progeny was ready to uphold its requirements, and be well-trained in several areas. In that case, if the child is then considered a worthy successor, he/she would move to the forefront of the list.
Bare-in-mind that this is no light matter, and some of these holds are held in a state of constant readiness - many barons mat NOT want their children to hold this office. They may have chosen this in order to win favor with the crown, in hopes of a more permanent title and land grant on the interior for their heirs.
These are also just the sort of positions and titles held by adventurers that have 'carved-out' their own niche on Cormyr's frontier. These are not your typical slothful nobles, but rather rugged warriors and frontiersmen all. It is canon that Cormyr operates in just this fashion - using adventurers to expand its marches - so as not to overly jeapardize its own soldiers and nobility while still remaining a growing and prosperous power.
This is why Cormyr embraces adventurers -something most nations frown upon as 'trouble makers' - and gives-out those adventuring charters. You get them out of the interior where they could cause problems, and have them do your dirty work for you.
Sorry for giving my own answer - Cormyr has recently become my main area of interest - any corrections or editions would be most welcome and appreciated, Ed and THO.
Right on, Markustay: Ed and I agree with all of your comments re. the Shieldwall barons. You've "got it" precisely.
Джерело: &lt;http://forum.candlekeep.com/topic.asp?TOPIC_ID=9685&amp;whichpage=11&amp;SearchTerms=HIGHKNIGHTS&gt; 
Джерело: &lt;http://forum.candlekeep.com/topic.asp?TOPIC_ID=9685&amp;whichpage=11&amp;SearchTerms=HIGHKNIGHTS&gt; </t>
  </si>
  <si>
    <t>Джерело: &lt;http://web.archive.org/web/20140822081805/http://home.swipnet.se/~w-21845/ROYAL.htm&gt;</t>
  </si>
  <si>
    <t>By 1479 DR the Bleyshars have dwindled to two family members. The first is Shalice Bleyshar, an elderly and frail woman and head of her small House, and aunt to her adult nephew Tantram, himself a bored wastrel, a cruel prankster, and something of a nobody as far as Cormyrean courtiers and other members of the nobility are concerned.
The extent of Shalice's daily activities is limited to a portion of upper floor rooms in the family's ancestral home of Bleys Hard, itself located not far from the village of Gray Oaks. Other than one trusted servant, she interacts with no one else day in and day out. She has left control of Bleyshar business interests to a handful of trustworthy factors that avoid Tantram and are instructed to ignore his demands.
Tantram has the run of the family's remaining properties in Cormyr, which he uses to house his growing cadre of sycophants. Tantram portrays himself as head of his House whenever he can get away with it. Although Tantram remains an impatient heir, he is unwilling to do anything to hasten the demise of his aunt for fear of being blamed for her death and losing the considerable family wealth he stands to inherit.
The beholder mages of the Xraunrarr influence Tantram's decisions through his hangers on, each of whom the Xraunrans control mind and body. Already they have curbed the young nobleman's worst impulses. The Xraunrans intend to make something useful out of Tantram for their benefit. It remains an open question among the beholders as two which of them will get to consume Tantram when he is no longer of use to the hive.</t>
  </si>
  <si>
    <t>https://www.enworld.org/wiki/bleyshar/</t>
  </si>
  <si>
    <t xml:space="preserve">Between the Thunderflow and (a line of hills that borders) the Vast Swamp is a verdant band of farming and ranching country (rolling, grassy hillsides, hedgerows, wandering dirt lanes and small woodlots) and it’s also what’s sometimes referred to in our real world as “karst” country (springs rise, run along the surface, and then disappear down sinkholes, and there are lots of subterranean streams, hidden caves, and limestone, which means most waters run clear and pure). It’s well-watered by meltwater streams running southwest, down from the Thunder Peaks, and the prevailing winds (usually fairly constant, steady, mild breezes) mean it gets a lot of sun; clouds tend to scud swiftly across the sky, not settle in and cause overcasts. As a result, crops grow well and livestock fattens up swiftly, so a lot of wealthy Cormyrean families (and that of course includes the nobles) have holdings here, even if they’re only farms worked by commoner tenants.
That doesn’t mean that the same “lot” of noble families visit Thunderstone often, or own dwellings in or near the village.
In Thunderstone proper, the Hawklin family owns a row of stores along “the Rise,” the main street (that parallels the Thunder River), and two homes: a modest dwelling with stables in its own small walled orchard and garden, hight “Thundershaws” and used for putting up guests, business clients, and sometimes by certain Hawklins who want to entertain away from the rest of their kin; and Hawklinforce, a stone mansion with its own high stone walls, stables, wagon sheds, and brewhouse. From “the Force,” local factors (trade agents) of the Hawklins administer the dozen ranches and crop farms (cabbages, barley, oats, and parsnips) owned by the family, and rent out family coaches and wagons to locals for divers purposes. As a result, the Hawklins are prominent locally, their views respected and heeded.
The Huntsilvers maintain a lower local profile. Their tall-towered stone mansion is known as Hunting Castle, and has an impressive stone wall and stout front gates, but isn’t otherwise fortified. It is perhaps the most defensible large building in Thunderstone, but its small enclosed grounds are crowded with large, old trees (oaks and duskwoods), the boughs of some of which offer easy access to some of the lower Castle windows. There are persistent local rumors of secret tunnels connecting the cellars of Hunting Castle (which are said to contain all manner of gruesome sacrificial cult altars or Loviatar-loving flogging and trysting “dungeons”) with secret passages in the walls of scores of local buildings. According to Elminster, there are two secret passages, meant to allow olden-day Huntsilvers to arrive and depart without being seen by kin or slayers hired by rival noble families, they are guarded by helmed horrors, and there are no altars or pleasure-dens.
In Thunderstone, the Huntsilvers generally keep to themselves, moving about the village in closed coaches or on fast horses. They use Hunting Castle very much as a retreat, in which to read and catch up on hobbies (such as, for several Huntsilver ladies, crafting gowns and practicing at the lute, handharp, and with voice, and reportedly for some Huntsilver males, wenching with “laugh-pretties” brought up from Suzail for such purposes). The family owns about thirty farms, all worked by tenants, well to the south and southwest of Thunderstone.
Hunting Castle and Hawklinforce both back onto the Thunderflow, having their own (modest and largely disused) docks and boathouses, and face onto the “best” street in Thunderstone, the winding Nightcloak Ride, which is lined with most of the better old stone dwellings in the village. It lies largely north and west of the Rise, but hooks sharply south just west of Stag Skull’s Bridge, to intersect with, and end at, the Rise.
The Illances, Naerinths, Summerstars, and Wyvernspurs all own modest walled stone homes in Thunderstone, but visit them seldom (in the general way of nobility, such “nighthearth” houses are used as overnight way-stops when travelling, to host occasional meetings with business associates, and as retreats or trysting sites by individual family members. These four families are locally most active elsewhere (the Summerstars in Firefall Vale, which I shared lore about back in the 2004 replies here at the Keep, I believe [Sage or Wooly or Kuje, please jump in and correct my dating if I’m misremembering], and the other three noble houses largely to the north of the Hullack, or at least of the Thunderflow.
The Immerdusk noble family owns four old but solidly-built homes in Thunderstone, and owns six farms just south of the village proper. All are worked or inhabited by tenants, and Immerdusks are so seldom seen in this region that many locals believe them to be extinct, and that the factors speaking for them are actually courtiers working for the Crown, who just won’t admit that they’ve taken over the chattels and holdings of the Immerdusks.
House Indesm owns a shop on the Rise and maintains very modest lodgings (a suite of four rooms, occupying an entire floor) above it, with the shopkeeper and his family dwelling in the gabled and dormered attic above them. However, they are seen in Thunderstone seldom, and come and go without fanfare or much in the way of coaches, outriders, servants, and the like. The Indesms own sixteen ranches and farms, mainly east of Thunderstone. All are worked by tenants, though the Indesms visit and inspect them often. This family keeps mainly to the hold of Hawkhar (sometimes called Hawkhar Keep or more often and formally “Hawkhar Hall,” though most folk these days now call it simply “Hawkhar”), consisting of a fortified stone mansion and tower at the heart of a walled horse-farm where many fine mounts are bred, reared, and trained. The walls also enclose a small woodlot and orchard, and have an outer “thrust” or loop of wall, pierced by two always-open gates, that cradles the hamlet of Hawkhar, a small settlement dominated by the families of Indesm servants.
The Indesms are typical of most Cormyrean nobility in the countryside; they have and dominate their own settlement or hold, and only visit and rent or own dwellings in the villages, towns, and cities of the realm. The other three Thunderstone-home-owning noble families follow this pattern, too; they are the Houses of Buckfast, Haelbroke, and Yellander.
For more about the Yellanders, interested readers are directed to SWORDS OF DRAGONFIRE. This House did not end with the execution of the lord who featured therein, because King Azoun would not hear of the three estranged and blameless-of-treason Yellander nieces who dwelt in Suzail being shamed and paupered by the actions of Lord Prester Yellander. The War Wizards had already thoroughly upset the three with sudden, brusque mind-reamings (which confirmed their utter innocence; they were wholly unaware of Lord Prester’s drug-smugglings, or his assembling of a private army and the murders he directed them to do). One of the three nieces, Anathae, was a longtime friend and confidant of Queen Filfaeril, who took charge of the rather dazed Anathae and briskly steered her into marriage to a commoner she’d long had eyes on, a Palace courtier by the name of Hresker Falbruin. So there’s now a capable and tactful Lord Hresker Falbruin, charged by Queen Fee with finding suitable and happy mates for Anathae’s two sisters, Paerile and Tannaura (a process that is taking years because both of them are rather shy, delicate ladies and Hresker, Anathae, and Filfaeril are all agreed that the very last thing that should happen is settling them with less than ideal partners).
Hresker and Anathae Yellander now dwell in Whitewings (the renamed Yellander seat in Galdyn's Gorge, a modest, unwalled keep-and-attached stone mansion surrounded by gardens and a deep, wooden-spike-filled ditch to discourage marauding wilderland monsters; its new name comes from all the doves raised for food by Anathae’s longtime maids, who came from farming families known for their flavourful dove pies), visiting Suzail only for major Councils and at the end of summer. Prester Yellander’s simple, rustic hunting lodge on the edge of the Hullack Forest sits disused, and will soon fall into ruin if not maintained.
Less well known in Suzail are the poorer, more rustic local noble families of Buckfast and Haelbroke. These “true bloods of the Thunderflow” lead lusty lives of running their farms directly, brewing and distilling, imbibing the results, and hunting from the saddle.
They also seem to have “ridden” great numbers of willing local lasses, and are impoverished in part because of all the bastard offspring they help to support - - which has linked them, time and again, to divers local families, businesses, and farms.
Their byblows have been sent literally by the score into the ranks of local Purple Dragons, who are inclined to look the other way at Buckfast and Halebroke indiscretions, which in turn has encouraged male members of these houses to becoming accomplished rakes, drunkards, and local “rowdies” behind many a local brawl, wildly whooping midnight gallop, accidental fire, and prank.
The current patriarch of the Buckfasts is Lord Rothtil Buckfast, whose hardy, lusty, fun-loving mate is Lady Suvreene Buckfast, and they dwell with three sons (including the family heir, Ravance) and five daughters at the family seat of Buckhaven Hall, a walled manor house and ‘home farm’ in the countryside east of Thunderstone. This “heart of the Buckfasts” household also rents rent two rooms above a chandler’s (“Maerikho Hayhondlow, Chandler to High and Low”) on the south front of the Rise.
Other prominent Buckfasts include Melhard, a fat and blustering old bellower of a rake with a legendary capacity for drink, and Sargram, an aging but still deadly fighter-of-duels and bedder of anyone female and handy (the reason for a lot of those duels; noble wives are his favourite quarry, and his outrageously leering flirtatiousness [or “charm” as the ladies tend to prefer to call it] seems to conquer many of them).
The current head of House Haelbroke is Lord Larandyr Haelbroke, a haughty, humourless retired soldier (he recently departed the rank of ornrion, a West Reach posting, in the Purple Dragons when his father Lord Uskarr Haelbroke died, his mother Dardorra having predeceased Uskarr). Larandyr’s stunningly beautiful wife is Lady Mirljarla Haelbroke (formerly a Truesilver), and they dwell with their two daughters, Tasharra (the family heir) and Raedaera at the family seat of Buckhaven Hall, a rather spartan walled keep and ‘home farm’ in the countryside west of Thunderstone. They also rent a luxurious house on Nightcloak Ride in Thunderstone (Nightowl Roost, which is owned by Storm Silverhand but managed for her by the suave estate manager Maland Orlstand of Suzail, a secret Harper) where Lady Mirljarla spends increasing amounts of time entertaining noble lady friends “come out from Suzail to see the rustics.” A glowering Lord Larandyr rarely attends these visits, and the couple’s two daughters are caught in a tussle between their parents for their time and attention (although Tasharra and Raedaera, who have both inherited their mother’s raven-black hair and smoky-eyed good looks and buxom curves, dearly want to see the latest “cityside” fashions and manners, they both LOVE riding, ruling, weapons-practice, and all the other “lordly” stuff their father wants to teach them and do with them, that are more often the province of male nobles when their female counterparts are confined to empty-headed chatter in parlors and “lace-chambers”).
Other prominent Haelbrokes include Galragar, Mresper, and Borlingar. Galragar, the eldest, is Larandyr’s uncle, and the other two are his cousins. Galragar is a fair-haired, unshaven, rollicking meaty bull of a man, load and coarse and jovial. Borlingar is a younger, dark-haired echo of Galragar, whereas Mresper is sly, witty, slender, and agile. All three are tirelessly-energetic roisterers, wenchers (Mresper may on occasion also prefer young and handsome male partners), and fun-seekers, the bright stars of every revel they take part in. They are always thinking up some new “society” or club or prank, some entertainment for themselves and those who “ride with them” to take part in; Larandyr’s last attempt to host a solemn feast for Suzailan lords he desired to impress was “pranced” (in the real world, we would say “crashed”) by Galragar and Borlingar leading a dozen strapping local lads, most of them wealthy or highborn or both, all riding horses and wearing heavy makeup and beautiful womens’ gowns, garters, and all, into the ballroom to a skidding dismount and wild dance with the attending - - and utterly astonished - - noble lords. This is a typical prank, neither a highlight or lowlight, but it strengthened Larandyr’s cold distaste towards all three of his “wild wolves” of kin, whom he disowns and shuns at every opportunity. (His house wizard, a lean and homely mage by the name of Baerglan Dunstag, who is of course a War Wizard, refuses to let Larandyr bar his gates to the three or move to try to legally dispossess them [an effort that would fail, anyway, as only the Crown can strip someone of their rightful heritage, and then only by exiling them and taking away their citizenship as well], but Larandyr refuses to recognize or speak to them, always addressing cutting remarks to any of the three to any handy servant or statue or potted plant, loudly enough for the shunned kin he wants to hear, to do so. For their parts, the three are amused at Larandyr’s attitude, not upset or ashamed.)
Those are the living nobles. There are indeed a handful of extinct ones that will serve for answering your second question. For now, enjoy (I hope) this lore.
So saith Ed, whose deep love for Cormyr shows.
love to all,
THO
Джерело: &lt;http://forum.candlekeep.com/topic.asp?TOPIC_ID=9685&amp;whichpage=6&amp;SearchTerms=HIGHKNIGHTS&gt; </t>
  </si>
  <si>
    <t>DESTROYED</t>
  </si>
  <si>
    <t>For sorting</t>
  </si>
  <si>
    <t xml:space="preserve">Ring of Feather Fall: </t>
  </si>
  <si>
    <t xml:space="preserve">Purple Dragon Ring: </t>
  </si>
  <si>
    <t>Normally provided to First Swords and Swordmajors (non-commissioned ranks), and Swordcaptains or higher (all commissioned ranks).</t>
  </si>
  <si>
    <t xml:space="preserve">Commander’s Ring; </t>
  </si>
  <si>
    <t>Normally provided to Lionar’s or higher rank in the Purple Dragons</t>
  </si>
  <si>
    <t xml:space="preserve">Peacemaker’s Rod: </t>
  </si>
  <si>
    <t>Starlight</t>
  </si>
  <si>
    <t>Warcaptain</t>
  </si>
  <si>
    <t>“War captains” (as two words) is a collective term for officers, really meaning “battlefield unit commanders, acting and permanent, plus their lancelords, here in this location [usually: at a battle or a meeting] at this time.” Warcaptain as a single word is the title given to any acting commander, serving because of the death or incapacity (due to wounding, disease, captivity, or magical affliction or curse) of the “real” commander. By “commander” I mean the leader of any official military unit or force (aside from patrols and other usual divisions of an army).
For example, if a large cavalry unit is assembled and dubbed the Riders of High Horn, it will be commanded by an Oversword (or higher rank) who will be known as Swordlord of the Riders of High Horn. If that Swordlord falls in battle, and his Lancelord finds himself the highest-ranking surviving officer of the Riders, the Lancelord will take the title Warcaptain (and instantly cease to be known as a Lancelord; he probably still has a “real” rank, remember), and go on leading the unit. Even if he’s confirmed as the commander by other Purple Dragon commanders, it’s customary for him to continue to be called “Warcaptain” until an Obarskyr officially bestows a new rank on him. Commoners, adventurers, or War Wizards who “step into the breach” and rally leaderless Dragons, give them orders, and so lead them in battle, are by tradition called Warcaptain. If they so serve with distinction, they are given (afterwards) the pay of an Oversword for the day, and either offered a position in the ranks, or knighted.</t>
  </si>
  <si>
    <t> boldshield is the enforcing authority of the King's law and will within a district (i.e. a local regional territory within Cormyr). The territory that a Warden is responsible for will usually be divided into several districts and a person appointed the boldshield of that district to take care of the day-to-day enforcement tasks. Boldshields will often, but not necessarily, be Purple Dragon officers that are garrisoned within the district. One example of a boldshield is the Purple Dragon officer Ergluth Rowanmantle, who is the boldshield of the Northtrees March district (which is in the foothills of the Thunder Peaks north of the Immerflow.] This title, still in current use, doesn’t appear in the POWER OF FAERUN table because the other militaries compared in that table don’t have an equivalent rank. A boldshield is ranked just above a Lionar, while in his or her district ONLY (and is otherwise just beneath a Lionar in the chain of command). Boldshields are wardens: officers stationed in districts or regions of the realm (usually on the frontiers) that require some military oversight but lack garrisons - - and therefore lack any nearby Purple Dragon officers. Their job is to observe events (including the arrivals and departures of “persons of interest”) in their assigned territory; maintain up-to-date maps (right down to the “game trails” level) of the territory; report anything suspicious or of note to superior Purple Dragon officers elsewhere; brief (and pass on standing orders, sealed orders, and commands from on high) and act as liaison for any War Wizards and Purple Dragon units and personnel entering the territory; and act as a temporary bailiff, lawsword (police), and spokesman for Crown law in the territory, until higher-ranking or properly appointed individuals holding such duties can be summoned. They are regularly (and often: at least once a tenday, and usually twice a tenday, or more when “known trouble” is afoot) visited by lancelords, Highknights, and other Court envoys or Purple Dragon officers to receive their reports, check if they need aid or messages or items sent, and so on. There are only a dozen to sixteen boldshields, and they tend to be stationed in the household of local nobility (to keep an eye on said nobles, whose wealth and activities tend to be magnets for a lot of shady business in frontier locales, even if they aren’t themselves disloyal to the Crown or dismissive of Crown law).</t>
  </si>
  <si>
    <t>A lancelord is simply the seniormost cavalry officer within tactically effective communication range (within range of guidon signals or at most a few minutes gallop of a messenger), and may be any commissioned officer but is usually at least a lionar. There is only one lancelord in any given place and situation.
This title, still in current use, doesn’t appear in the POWER OF FAERUN table because it doesn’t ‘fit’ as a strict rank. It means “messenger” or “envoy” of a battlefield commander (of the rank of Oversword or higher, plus any royal, or any War Wizard assigned to serve with a military unit). Some real-world armies would use the term “aide-de-camp” for a lancelord. In short, it’s a temporary service rank that trumps the holder’s everyday rank (or lack of military rank), and puts them a shade below the rank of the person they’re speaking (or running errands) for. So the Lancelord of an Oversword outranks any Constal, but is outranked by any Oversword.</t>
  </si>
  <si>
    <t>A swordlord is simply the seniormost infantry officer within tactically effective communication range (within range of guidon signals or at most a few minutes gallop of a messenger), and may be any commissioned officer but is usually at least a lionar. There is only one swordlord in any given place and situation.
This title, still in current use, also doesn’t appear in the POWER OF FAERUN table because it doesn’t ‘fit’ as a strict rank. “Swordlord” is a title that means “unit commander,” but where it falls in the rank hierarchy varies with the size of the unit, from patrol to army. In other words, Swordlord Heldrar Aeron may be Swordlord of a small local militia patrol and be outranked by a First Sword, but Swordlord Jaeroevan Blackfeather may command a hastily-mustered (in the face of an orc horde attack) Army of the West Reaches, and be more or less equivalent to a Battlemaster.
A respected Purple Dragon officer (or a noble serving as commander of Purple Dragons); used to elevate the subject in the eyes of the listener.</t>
  </si>
  <si>
    <t>Swordcaptain leads three squads, a swordmajor, a Royal Scout and a guidon. The company swordmajor fills the same role as an Earth platoon sergeant.</t>
  </si>
  <si>
    <t>Lionar leads three companies and has a staff consisting of a guidon, two swordmajors (a drillmaster and a campmaster), two Royal Scouts,two battlepriests, 1  orderly.</t>
  </si>
  <si>
    <t xml:space="preserve"> Swordcaptain leads three rides, a swordmajor, a Royal Scout and a guidon, and is served by a squire. The company swordmajor fills the same role as an Earth platoon sergeant.</t>
  </si>
  <si>
    <t xml:space="preserve"> Ornrion leads three batteries and has a staff consisting of a lionar as an executive officer, one orderly, a guidon, one swordmajor (a quartermaster),  two battlepriests, and a blacksmith and assistant. </t>
  </si>
  <si>
    <t>Archers Regiment</t>
  </si>
  <si>
    <t>Heavy Cavalry</t>
  </si>
  <si>
    <t>2nd Suzalian</t>
  </si>
  <si>
    <t>PD</t>
  </si>
  <si>
    <t>RS</t>
  </si>
  <si>
    <t>BP</t>
  </si>
  <si>
    <t>Longsword, light crossbow</t>
  </si>
  <si>
    <t>Longsword, lance, shortbow</t>
  </si>
  <si>
    <t>Longsword, Heavy Crossbow or Longbow</t>
  </si>
  <si>
    <t>Queen's Cavalry Regiment (neavy)</t>
  </si>
  <si>
    <t>1st   Eastern</t>
  </si>
  <si>
    <t>2nd Eastern</t>
  </si>
  <si>
    <t>1st Western</t>
  </si>
  <si>
    <t>1st Eastern</t>
  </si>
  <si>
    <t>2nd Western</t>
  </si>
  <si>
    <t>3rd Western</t>
  </si>
  <si>
    <t>Urlmaspyr</t>
  </si>
  <si>
    <t>Suzailan</t>
  </si>
  <si>
    <t>Arabelian</t>
  </si>
  <si>
    <t>Western</t>
  </si>
  <si>
    <t>Western EF</t>
  </si>
  <si>
    <t>Eastern EF</t>
  </si>
  <si>
    <t>Provided to all Purple Dragon Airborne</t>
  </si>
  <si>
    <t>Magic Item</t>
  </si>
  <si>
    <t>To whom</t>
  </si>
  <si>
    <t>Multiplier</t>
  </si>
  <si>
    <t>Long swords</t>
  </si>
  <si>
    <t>Short swords</t>
  </si>
  <si>
    <t>Wooden swords</t>
  </si>
  <si>
    <t>3 y</t>
  </si>
  <si>
    <t>During this time they serve as guards to non-essential locations (walls, gates, local lords, etc), engage in patrols (around the settled areas), and serve alongside veteran Purple Dragons (see below)</t>
  </si>
  <si>
    <t>Those that serve with distinction and survive 4 or more combats are given the "Long Sword". At which point they become permanent members of the Purple Dragons. These members form the core of the Purple Dragons soldiery (some 4000 strong) and are given to guard essential locations (High Horn, Citadel of the Purple Dragon, Royal Court, Royal Palace), they also patrol the border regions where combat is likely (west reach, east reach, etc).</t>
  </si>
  <si>
    <t>5 y</t>
  </si>
  <si>
    <t>tenday / month up to 3 months</t>
  </si>
  <si>
    <t>Lastly are the part time members (known as the "Wooden Swords) which form the militia. These serve a tenday a month, or 3 months continuous service in a year. When active they make up the majority of the Watch in a settlement (supported by Short Swords).</t>
  </si>
  <si>
    <t>Purple Dragons</t>
  </si>
  <si>
    <t>Milita</t>
  </si>
  <si>
    <t>[GTR,p.57 describes a Cormyrean patrol as being 12 1st-level fighters led by a 4th-level fighter with a chance of a war wizard.
This is 14 men total. HHEv,p.13 describes a road patrol as being 12+1d12 mounted soldiers, with a chance of having a priest, a war wizard, or 1d6 trainees. This can range from 13 to 30 men. A lance of 21 men is a good compromise between these two. The latter source also says the patrol is led by a patrol captain, and that nomenclature matches nicely with the rank of swordcaptain that normally commands a lance.]</t>
  </si>
  <si>
    <t>Steel Princess</t>
  </si>
  <si>
    <t xml:space="preserve">Purple Dragon Ring </t>
  </si>
  <si>
    <t>Normally provided to Marine Lieutenants (non-commissioned ranks), and Lieutenants or higher (all commissioned ranks).</t>
  </si>
  <si>
    <t>Commander’s Ring;</t>
  </si>
  <si>
    <t xml:space="preserve"> Normally provided to Commander or higher rank in the Blue Dragons</t>
  </si>
  <si>
    <t>Normally provided to Commander or higher rank in the Blue Dragons</t>
  </si>
  <si>
    <t>Suzail’s Honor</t>
  </si>
  <si>
    <t>Might of Arabel</t>
  </si>
  <si>
    <t>First to Fight</t>
  </si>
  <si>
    <t>Dragon Shields</t>
  </si>
  <si>
    <t>Storm Horn Sentries</t>
  </si>
  <si>
    <t>Strike Regiment</t>
  </si>
  <si>
    <t>2nd Marsembrian</t>
  </si>
  <si>
    <t>3rd Marsembrian</t>
  </si>
  <si>
    <t>Army of the Eastern Marches</t>
  </si>
  <si>
    <t xml:space="preserve">Army of Northern Marches </t>
  </si>
  <si>
    <t>Fleet</t>
  </si>
  <si>
    <t>Rapid Forces</t>
  </si>
  <si>
    <t>Ironclad</t>
  </si>
  <si>
    <t>Swordcaptain, 2 swordmajors, 7 squads</t>
  </si>
  <si>
    <t>Swordcaptain, 1 swordmajor, 3 squads</t>
  </si>
  <si>
    <t>Swordcaptain, 2 swordmajors, 6 squads</t>
  </si>
  <si>
    <t xml:space="preserve">flagship of the Cormyrean  </t>
  </si>
  <si>
    <t>3-4 Full Bellies. You find plentiful food and water. You gain the benefit of a long rest.</t>
  </si>
  <si>
    <t>5-7</t>
  </si>
  <si>
    <t>8-9</t>
  </si>
  <si>
    <t>11-12</t>
  </si>
  <si>
    <t>14-16</t>
  </si>
  <si>
    <t>21+</t>
  </si>
  <si>
    <t>1-2 Friendly Encounter. You encounter a group of fellow travelers. If you wish to avoid them, the Scout may make a Dexterity (Stealth) check. Otherwise, any member of the group can make a Charisma (Persuasion) check to establish friendly relations with them. If this check is successful, you gain the benefit of a long rest and the travelers share their experiences on the trail ahead, granting advantage on your next encounter roll.</t>
  </si>
  <si>
    <t>5-7 Caravan. You encounter a large group of travelers who have escaped from some peril. You may choose wheth- er or not you wish to help them. If you choose to help, you must make three different ability checks to aid them. The types of ability checks are determined by the Dungeon Master and depend on the type of misfortune they have encountered. Each check must be made by a different character and will typically be one of the following: Wisdom (Animal Handling), Strength (Athletics), Wisdom (Carpentry), Wisdom (Cooking), Wisdom (Herbalism), Wisdom (Insight), Intelli- gence (Investigation), Wisdom (Medicine), Intelligence (Nature), Wisdom (Perception), Charisma (Persuasion), Wisdom (Survival), or Wisdom (Woodcarving). If all the checks are successful, each character gains Inspiration and may gain the benefit of a long rest. If more than half of the checks are successful, each character gains the benefit of a long rest. If at least one check is successful, that character gains the benefit of a long rest. If no checks are successful, each character must make a successful Constitution save or gain 1 level of exhaus- tion.</t>
  </si>
  <si>
    <t>8-9 Obstacle. You encounter a natural obstacle of some kind, such as a river, rockslide, mire, or canyon. The Scout may make a Wisdom (Survival) check and the entire party must make a group Strength (Athletics) check, with advantage if the Scout’s roll was successful. If less than half of the group succeeds on this check, each charac- ter must make a successful Constitution save or suffer 1 level of exhaustion. If the group has horses or mounts, someone in the group must make a Wisdom (Animal Handling) check. On a failure, the group loses their mounts. They may recover them, but must make 1 additional encounter roll to do so.</t>
  </si>
  <si>
    <t>10 Natural Wonder. You encounter a particularly beautiful view, such as a picturesque clearing, clear brook, tow- ering mountain range, or beautiful sunset. Each character may make a Charisma check. If the check is success- ful, that character gains Inspiration.</t>
  </si>
  <si>
    <t>11-12 Noteworthy Campsite. The Scout must make a Wisdom (Survival) check. If the roll is a success, he finds an adequate campsite, and each character gains the benefit of a long rest.</t>
  </si>
  <si>
    <t>13 An Ill Omen. You encounter some type of ill omen: a snake eating its own tail, a rotting corpse, skulls and bones strung from tree branches, or another sign of trouble. The Guide must make a Wisdom (Insight) check. If the check is a failure, immediately roll on the encounter table with a +5 to the roll.</t>
  </si>
  <si>
    <t>14-16 Trouble Ahead. You encounter signs of an enemy. The Scout may make a Dexterity (Stealth) check to lead the group around them. If the check fails, the characters face a group of enemies determined by the DM with an Encounter Rating equal to the Average Party Level – 2.*</t>
  </si>
  <si>
    <t>17-20 An Enemy Approaches. Enemies have caught signs of your passing and are closing on your position. The enemies have an Encounter Rating equal to the Average Party Level – 1. A Look-Out may make a Wisdom (Perception) check to notice the enemy before they become aware of you. If this roll is successful, your group can choose to sneak past the force by making a group Dexterity (Stealth) check against the enemy’s Passive Perception or turn to face them. If the Look-Out’s check fails, the hostile creatures are able to catch you off guard, triggering combat with the hostile creatures having surprise.*</t>
  </si>
  <si>
    <t>21+ Enemy Ambush. Enemies have found you and are poised to attack. The enemies have an Encounter Rating equal to your Average Party Level. A Look-Out may make a Wisdom (Perception) check to notice the enemy before combat begins. If this check fails, the enemies have surprise.*</t>
  </si>
  <si>
    <t>d20+</t>
  </si>
  <si>
    <t>D20 high</t>
  </si>
  <si>
    <t>d20 low</t>
  </si>
  <si>
    <t>Towns and Cities</t>
  </si>
  <si>
    <t>Dragonmere Coast</t>
  </si>
  <si>
    <t>Wyvernwater Coast</t>
  </si>
  <si>
    <t>King’s Forest</t>
  </si>
  <si>
    <t>Farsea Swamp</t>
  </si>
  <si>
    <t>Tunlands</t>
  </si>
  <si>
    <t>Result</t>
  </si>
  <si>
    <t>VS</t>
  </si>
  <si>
    <t>Simple</t>
  </si>
  <si>
    <t>Easy</t>
  </si>
  <si>
    <t>Moderate</t>
  </si>
  <si>
    <t>Hard</t>
  </si>
  <si>
    <t>Very Hard</t>
  </si>
  <si>
    <t>Difficulty</t>
  </si>
  <si>
    <t>Encounter modifier</t>
  </si>
  <si>
    <t>Modifier of check</t>
  </si>
  <si>
    <t>Area</t>
  </si>
  <si>
    <t>Look on table of encounters</t>
  </si>
  <si>
    <t xml:space="preserve">Armed Force </t>
  </si>
  <si>
    <t xml:space="preserve">Herald: </t>
  </si>
  <si>
    <t>Temples</t>
  </si>
  <si>
    <t>militia only</t>
  </si>
  <si>
    <t>Lliira, Tymora</t>
  </si>
  <si>
    <t>Jerlak, Marker</t>
  </si>
  <si>
    <t>“Tooth” Nzal Tursa</t>
  </si>
  <si>
    <t xml:space="preserve"> “Yellow Hand” Yespar</t>
  </si>
  <si>
    <t>Ildul</t>
  </si>
  <si>
    <t>Crownsilver, Hawksong, Huntsilvers,
Truesilver</t>
  </si>
  <si>
    <t>Kranior, Nelduk</t>
  </si>
  <si>
    <t>Blackwagon, Calantar</t>
  </si>
  <si>
    <t>Battlestorm Brewery (NMH), Jaarginaarg Hlugnorgyn Tradekind (dwarfMerchants)</t>
  </si>
  <si>
    <t>Stone, Granite, Marble, Copper, Tin, Iron, Nickel, Gold, silver, Emeralds,, Rubies, diamonds, garnet, Beer; Mining equipment, Armor and Weapons, Lumber and Furniture</t>
  </si>
  <si>
    <t>woodcrafting, herbalists, lumber;</t>
  </si>
  <si>
    <t>Bricks; Adv Charterhouse, Merchant town</t>
  </si>
  <si>
    <t xml:space="preserve"> Naval Bases</t>
  </si>
  <si>
    <t>Ship statistics</t>
  </si>
  <si>
    <t>Cormyrean fleets</t>
  </si>
  <si>
    <t>Ships statistics</t>
  </si>
  <si>
    <t>Ships crew in Cormyrean Fleet</t>
  </si>
  <si>
    <t>Structure of Fleet</t>
  </si>
  <si>
    <t>Ranks of BD</t>
  </si>
  <si>
    <t>Equivalency of ranks</t>
  </si>
  <si>
    <t>Description of Ranks</t>
  </si>
  <si>
    <t>BLOG</t>
  </si>
  <si>
    <t>DMSGUILD</t>
  </si>
  <si>
    <t>TWITCH</t>
  </si>
  <si>
    <t>YOUTUBE</t>
  </si>
  <si>
    <t>FACEBOOK</t>
  </si>
  <si>
    <t>VK</t>
  </si>
  <si>
    <t>TELEGRAM</t>
  </si>
  <si>
    <t xml:space="preserve"> ~ 40 local men if the militia is called in Thren Hills, potentially ~300 militia if nearby outlying militia are called upon. | 40 warrior men-at-arms of Vidam </t>
  </si>
  <si>
    <t>Ravensclaw</t>
  </si>
  <si>
    <t>Hallas Delaman, High Vidame</t>
  </si>
  <si>
    <t>Dragonwatch Duchy</t>
  </si>
  <si>
    <t>Noble land</t>
  </si>
  <si>
    <t>Settlement or Landmark</t>
  </si>
  <si>
    <t>Bleys Hard</t>
  </si>
  <si>
    <t>Thornthar</t>
  </si>
  <si>
    <t>Nestiir</t>
  </si>
  <si>
    <t>Chessian Duchy</t>
  </si>
  <si>
    <t>Archduke Crownsilver</t>
  </si>
  <si>
    <t>~ 8 Purple Dragons ~ 40 local men if the militia is called in Nestiir, potentially ~300 militia if nearby outlying militia are called upon.</t>
  </si>
  <si>
    <t>Overview:
The old manor house is built about a 1/8 of a mile north of the eastern trade route, east of the city of Suzail by about 4 hours ride. Its lands around are filled with farms, husbandry’s, and small fisheries for the many, small, local lakes. The old Silversword manor house itself sits on about 10 acres of land, and is on the southern side of Aril’s Lake, a picturesque lake, which is not allowed to be commercially fished on by King’s law. Many nobles have small summer houses on the lake. The lot contains the manor house, which has about 20 rooms, and a large vault in the cellar, a servants quarters, barracks, stables, and storage building.
Regular Forces:
The Silversword manor house 4 hours east of Suzail consists of:
 5 house guards (Maythor’s and Morthrou’s)
 4 Servants
 5 horses (light war)</t>
  </si>
  <si>
    <t>Blade Keep</t>
  </si>
  <si>
    <t>Tower</t>
  </si>
  <si>
    <t>The resting place of Aunkspear's namesake is marked by a stone bearing his name, his arms (a two-headed flying falcon with the motto “I see both sides, and say so”), and the following inscription:Here lies a man who served Cormyr well</t>
  </si>
  <si>
    <t>Pixie Cap Mushrooms, Furrier, Hides, Tannery, Farming, Livestock, Dairy</t>
  </si>
  <si>
    <t>Quantity</t>
  </si>
  <si>
    <t>Men in Unit</t>
  </si>
  <si>
    <t>Total, men-at-arms</t>
  </si>
  <si>
    <t>Deployed</t>
  </si>
  <si>
    <t>Just north of Moonever stands the ruins of what was once a fortified castle built by the Marendil noble family. After their exile, the small fortress was reduced to only three towers surrounded by rubble. One of the surviving towers, now known as the Moontower, has been claimed by the War Wizards for use as a waystop shelter and is home to a handful of War Wizards and a few Purple Dragons who assist in the maintaining of the tower as well as serving as guards.
The other two towers were leased for a time 
to Moonever merchants before being aban-
doned and left to ruin. Only one of those towers 
survives today, and has been restored for use 
as a private retreat for the Ridinghound family. 
Rumors of a subterranean complex beneath the 
old fortress has led the Ridinghounds to begin 
excavating the surrounding land, though as of 
yet they have found nothing of note.</t>
  </si>
  <si>
    <t>95% human, 4% half elf</t>
  </si>
  <si>
    <t>Северо-западный Фаэрун</t>
  </si>
  <si>
    <t>Иллусканцы</t>
  </si>
  <si>
    <t>Юго-западный Фаэрун</t>
  </si>
  <si>
    <t>Тетирианцы</t>
  </si>
  <si>
    <t>Северно-центральный Фаэрун</t>
  </si>
  <si>
    <t>Чондатанцы</t>
  </si>
  <si>
    <t>Южио-цеитралвный Фаэрун</t>
  </si>
  <si>
    <t>Шаарцы</t>
  </si>
  <si>
    <t>Северо-восточный Фаэрун</t>
  </si>
  <si>
    <t>Дамарцы</t>
  </si>
  <si>
    <t>Юго-восточный Фаэрун</t>
  </si>
  <si>
    <t>Дурпары</t>
  </si>
  <si>
    <t>Калимшан</t>
  </si>
  <si>
    <t>Калишиты</t>
  </si>
  <si>
    <t>Старые Империи</t>
  </si>
  <si>
    <t>Мулан</t>
  </si>
  <si>
    <t>Рашемен</t>
  </si>
  <si>
    <t>Рашеми</t>
  </si>
  <si>
    <t>Регион</t>
  </si>
  <si>
    <t>Раса</t>
  </si>
  <si>
    <t>Первичный (50% +)</t>
  </si>
  <si>
    <t>Вторичный (от 5% до 49%)</t>
  </si>
  <si>
    <t>Третичный (от 0% до 4%)</t>
  </si>
  <si>
    <t>Первичный Язык</t>
  </si>
  <si>
    <t>Алфавит(ы)</t>
  </si>
  <si>
    <t>Агларонд</t>
  </si>
  <si>
    <t>Дамарпы (65%)</t>
  </si>
  <si>
    <t>Чондатанпы (15%), Рашеми (14%)</t>
  </si>
  <si>
    <t>Мулан (4%)</t>
  </si>
  <si>
    <t>Агларондский</t>
  </si>
  <si>
    <t>Эспруар</t>
  </si>
  <si>
    <t>Алтумбел</t>
  </si>
  <si>
    <t>Дамарпы (55%)</t>
  </si>
  <si>
    <t>Чондатанпы (30%), Мулан (12%)</t>
  </si>
  <si>
    <t>Тёрами (3%)</t>
  </si>
  <si>
    <t>Дамарский</t>
  </si>
  <si>
    <t>Детек</t>
  </si>
  <si>
    <t>Амн</t>
  </si>
  <si>
    <t>Тетирианпы (65%)</t>
  </si>
  <si>
    <t>Калишиты (30%)</t>
  </si>
  <si>
    <t>Чондатанпы (4%)</t>
  </si>
  <si>
    <t>Чондатанский</t>
  </si>
  <si>
    <t>Торасс</t>
  </si>
  <si>
    <t>Анорач и Шейд</t>
  </si>
  <si>
    <t>Бедайн (75%)</t>
  </si>
  <si>
    <t>Нетерезы (18%)</t>
  </si>
  <si>
    <t>Ваасанпы (4%)</t>
  </si>
  <si>
    <t>Мидани (Анорач)</t>
  </si>
  <si>
    <t>Торасс (Анорач), Лоросс (Шейд), Драконий (Шейд)</t>
  </si>
  <si>
    <t>Граничные Королевства</t>
  </si>
  <si>
    <t>Калишиты (50%)</t>
  </si>
  <si>
    <t>Шаарпы (30%), Чондатанпы (15%)</t>
  </si>
  <si>
    <t>Ташаланпы (3%), Чалтане (1%)</t>
  </si>
  <si>
    <t>Алжедо</t>
  </si>
  <si>
    <t>Калишиты (52%)</t>
  </si>
  <si>
    <t>Тетирианпы (43%)</t>
  </si>
  <si>
    <t>Шаарпы (4%)</t>
  </si>
  <si>
    <t>Чессента</t>
  </si>
  <si>
    <t>Мулан (75%)</t>
  </si>
  <si>
    <t>Тёрами (20%)</t>
  </si>
  <si>
    <t>Чессентский</t>
  </si>
  <si>
    <t>Чондат</t>
  </si>
  <si>
    <t>Чондатанпы (92%)</t>
  </si>
  <si>
    <t>Тёрами (5%)</t>
  </si>
  <si>
    <t>Шаарпы (2%)</t>
  </si>
  <si>
    <t>Чалт</t>
  </si>
  <si>
    <t>Чалтане (90%)</t>
  </si>
  <si>
    <t>Ташаланпы (8%)</t>
  </si>
  <si>
    <t>Калишиты (1%)</t>
  </si>
  <si>
    <t>Чалтский</t>
  </si>
  <si>
    <t>Драконий</t>
  </si>
  <si>
    <t>Кормир и Остров Преспур</t>
  </si>
  <si>
    <t>Чондатанпы (85%)</t>
  </si>
  <si>
    <t>Тетирианпы (12%)</t>
  </si>
  <si>
    <t>Ваасанпы (2%), Тёрами (1%)</t>
  </si>
  <si>
    <t>Долины, Северные (Даггердейл)</t>
  </si>
  <si>
    <t>Ваасанпы (60%)</t>
  </si>
  <si>
    <t>Чондатанпы (35%)</t>
  </si>
  <si>
    <t>Дамарпы (4%)</t>
  </si>
  <si>
    <t>Долины, Южные (все ост. Долины)</t>
  </si>
  <si>
    <t>Ваасанпы (10%)</t>
  </si>
  <si>
    <t>Тетирианпы (4%)</t>
  </si>
  <si>
    <t>Дамара</t>
  </si>
  <si>
    <t>Дамарпы (70%)</t>
  </si>
  <si>
    <t>Чондатанпы (20%), Нары (5%)</t>
  </si>
  <si>
    <t>Ваасанпы (2%), Рашеми (2%)</t>
  </si>
  <si>
    <t>Дамбрат</t>
  </si>
  <si>
    <t>Иллусканпы (58%)</t>
  </si>
  <si>
    <t>Шаарпы (36%)</t>
  </si>
  <si>
    <t>Дурпары (4%)</t>
  </si>
  <si>
    <t>Дамбратский</t>
  </si>
  <si>
    <t>Побережье Дракона</t>
  </si>
  <si>
    <t>Чондатанпы (70%)</t>
  </si>
  <si>
    <t>Тетирианпы (23%), калишиты (5%)</t>
  </si>
  <si>
    <t>Тёрами (1%)</t>
  </si>
  <si>
    <t>Дурпар</t>
  </si>
  <si>
    <t>Дурпары (96%)</t>
  </si>
  <si>
    <t>Шаарпы (3%)</t>
  </si>
  <si>
    <t>Дурпари</t>
  </si>
  <si>
    <t>Бескрайняя Пустошь</t>
  </si>
  <si>
    <t>Туйганы (70%)</t>
  </si>
  <si>
    <t>Рашеми (24%)</t>
  </si>
  <si>
    <t>Ромвиран (4%)</t>
  </si>
  <si>
    <t>Туйган</t>
  </si>
  <si>
    <t>Истганд</t>
  </si>
  <si>
    <t>Дурпары (78%)</t>
  </si>
  <si>
    <t>Иллусканпы (18%)</t>
  </si>
  <si>
    <t>Великая Долина</t>
  </si>
  <si>
    <t>Чондатанпы (50%)</t>
  </si>
  <si>
    <t>Дамарпы (30%), Нары (15%)</t>
  </si>
  <si>
    <t>Рашеми (4%)</t>
  </si>
  <si>
    <t>Великий Ледник</t>
  </si>
  <si>
    <t>Улутиуны (90%)</t>
  </si>
  <si>
    <t>Соссрим (5%)</t>
  </si>
  <si>
    <t>Дамарпы (2%), Ваасанпы (2%)</t>
  </si>
  <si>
    <t>Улуйк</t>
  </si>
  <si>
    <t>Халруаа</t>
  </si>
  <si>
    <t>Халруанпы (80%)</t>
  </si>
  <si>
    <t>Шаарпы (10%), Ташаланпы (8%)</t>
  </si>
  <si>
    <t>Чалтане (1%)</t>
  </si>
  <si>
    <t>Высокий Лес</t>
  </si>
  <si>
    <t>Иллусканпы (95%)</t>
  </si>
  <si>
    <t>Чондатанпы (1%), Тетирианпы (1%)</t>
  </si>
  <si>
    <t>Иллусканский</t>
  </si>
  <si>
    <t>Хлондет и север Вилонского Предела</t>
  </si>
  <si>
    <t>Чондатанпы (55%)</t>
  </si>
  <si>
    <t>Тёрами (44%)</t>
  </si>
  <si>
    <t>Импилтур</t>
  </si>
  <si>
    <t>Чондатанпы (30%)</t>
  </si>
  <si>
    <t>Нары (4%)</t>
  </si>
  <si>
    <t>Озеро Пара</t>
  </si>
  <si>
    <t>Шаарпы (33%),</t>
  </si>
  <si>
    <t>Шаарский</t>
  </si>
  <si>
    <t>Чондаганцы (10%)</t>
  </si>
  <si>
    <t>Лантан</t>
  </si>
  <si>
    <t>Лантанна (98%)</t>
  </si>
  <si>
    <t>Лантанский</t>
  </si>
  <si>
    <t>Лапалийя</t>
  </si>
  <si>
    <t>Шааранцы (50%)</t>
  </si>
  <si>
    <t>Калишиты (35%), Ташаланцы (12%)</t>
  </si>
  <si>
    <t>Чалтане (1%), Халруанцы (1%)</t>
  </si>
  <si>
    <t>Область Лунного Моря</t>
  </si>
  <si>
    <t>Ваасанцы (74%)</t>
  </si>
  <si>
    <t>Дамарцы (15%), Чондатанцы (8%)</t>
  </si>
  <si>
    <t>Муншаес</t>
  </si>
  <si>
    <t>Ффолки (55%)</t>
  </si>
  <si>
    <t>Иллусканцы (44%)</t>
  </si>
  <si>
    <t>Малхоранд</t>
  </si>
  <si>
    <t>Мулан (92%)</t>
  </si>
  <si>
    <t>Дурпары (6%)</t>
  </si>
  <si>
    <t>Тёрами (2%)</t>
  </si>
  <si>
    <t>Малхорандский</t>
  </si>
  <si>
    <t>Селестиал</t>
  </si>
  <si>
    <t>Мархом</t>
  </si>
  <si>
    <t>Мулан (85%)</t>
  </si>
  <si>
    <t>Дурпары (10%)</t>
  </si>
  <si>
    <t>Туйганы (4%)</t>
  </si>
  <si>
    <t>Нарфелл</t>
  </si>
  <si>
    <t>Нары (81%)</t>
  </si>
  <si>
    <t>Дамарцы (14%)</t>
  </si>
  <si>
    <t>Острова Нелантер</t>
  </si>
  <si>
    <t>Калишиты (75%)</t>
  </si>
  <si>
    <t>Чондатанцы (10%), Иллусканцы (10%)</t>
  </si>
  <si>
    <t>Лантанна (1%)</t>
  </si>
  <si>
    <t>Нимбрал</t>
  </si>
  <si>
    <t>Халруанцы (99%)</t>
  </si>
  <si>
    <t>Пиратские Острова</t>
  </si>
  <si>
    <t>Чондатанцы (70%)</t>
  </si>
  <si>
    <t>Дамарцы (18%), Ваасанцы (7%)</t>
  </si>
  <si>
    <t>Тёрами (4%)</t>
  </si>
  <si>
    <t>Рашеми (92%)</t>
  </si>
  <si>
    <t>Нары (6%)</t>
  </si>
  <si>
    <t>Туйган (1%)</t>
  </si>
  <si>
    <t>Сембия</t>
  </si>
  <si>
    <t>Чондатанцы (95%)</t>
  </si>
  <si>
    <t>Тетирианцы (3%), Дамарцы (1%)</t>
  </si>
  <si>
    <t>Семфар</t>
  </si>
  <si>
    <t>Мулан (50%)</t>
  </si>
  <si>
    <t>Дурпары (35%), Туйганы (10%)</t>
  </si>
  <si>
    <t>Шу (4%)</t>
  </si>
  <si>
    <t>Сеспеч</t>
  </si>
  <si>
    <t>Чондатанцы (65%)</t>
  </si>
  <si>
    <t>Шаарцы (25%), калишиты (5%)</t>
  </si>
  <si>
    <t>Шаар</t>
  </si>
  <si>
    <t>Шаарцы (80%)</t>
  </si>
  <si>
    <t>Калишиты (10%), Ташаланцы (5%)</t>
  </si>
  <si>
    <t>Дурпары (3%), Халруанцы (1%)</t>
  </si>
  <si>
    <t>Серебряные Марши</t>
  </si>
  <si>
    <t>Иллусканцы (83%)</t>
  </si>
  <si>
    <t>Чондатанцы (10%), Ваасанцы (5%)</t>
  </si>
  <si>
    <t>Тетирианцы (1%)</t>
  </si>
  <si>
    <t>Соссал</t>
  </si>
  <si>
    <t>Соссримы (93%)</t>
  </si>
  <si>
    <t>Нары (5%)</t>
  </si>
  <si>
    <t>Улутиуны (2%)</t>
  </si>
  <si>
    <t>Север Побережья Меча и Долина Ледяного Ветера</t>
  </si>
  <si>
    <t>Иллусканцы (88%)</t>
  </si>
  <si>
    <t>Улутиуны (8%)</t>
  </si>
  <si>
    <t>Тетирианцы (5%)</t>
  </si>
  <si>
    <t>Ташалар, Самарач и Тиндол</t>
  </si>
  <si>
    <t>Ташаланцы (80%)</t>
  </si>
  <si>
    <t>Чалтане (13%), Шаарцы (5%)</t>
  </si>
  <si>
    <t>Халруанцы (1%)</t>
  </si>
  <si>
    <t>Ташаланский</t>
  </si>
  <si>
    <t>Тетир</t>
  </si>
  <si>
    <t>Тетирианцы (63%)</t>
  </si>
  <si>
    <t>Калишиты (32%)</t>
  </si>
  <si>
    <t>Чондатанцы (4%)</t>
  </si>
  <si>
    <t>Тарсулт</t>
  </si>
  <si>
    <t>Калишиты (16%)</t>
  </si>
  <si>
    <t>Шаарцы (3%)</t>
  </si>
  <si>
    <t>Тэй</t>
  </si>
  <si>
    <t>Рашеми (65%)</t>
  </si>
  <si>
    <t>Мулан (30%)</t>
  </si>
  <si>
    <t>Туйган (2%)</t>
  </si>
  <si>
    <t>Адский</t>
  </si>
  <si>
    <t>Теск</t>
  </si>
  <si>
    <t>Дамарцы (60%)</t>
  </si>
  <si>
    <t>Рашеми (20%), Туйганы (10%)</t>
  </si>
  <si>
    <t>Нары (4%), Мулан (4%)</t>
  </si>
  <si>
    <t>Тёрмиш</t>
  </si>
  <si>
    <t>Тёрами (95%)</t>
  </si>
  <si>
    <t>Чондаганцы (4%)</t>
  </si>
  <si>
    <t>Тёрмский</t>
  </si>
  <si>
    <t>Унтер</t>
  </si>
  <si>
    <t>Мулан (80%)</t>
  </si>
  <si>
    <t>Тёрами (15%)</t>
  </si>
  <si>
    <t>Унтерский</t>
  </si>
  <si>
    <t>Вааса</t>
  </si>
  <si>
    <t>Ваасанцы (85%)</t>
  </si>
  <si>
    <t>Дамарцы (10%)</t>
  </si>
  <si>
    <t>Соссрим (4%)</t>
  </si>
  <si>
    <t>Вар Золотой</t>
  </si>
  <si>
    <t>Иллусканцы (3%)</t>
  </si>
  <si>
    <t>Васт</t>
  </si>
  <si>
    <t>Дамарцы (63%)</t>
  </si>
  <si>
    <t>Чондатанцы (33%)</t>
  </si>
  <si>
    <t>Ваасанцы (3%)</t>
  </si>
  <si>
    <t>Велдорн</t>
  </si>
  <si>
    <t>Дурпары (88%)</t>
  </si>
  <si>
    <t>Шаарцы (8%)</t>
  </si>
  <si>
    <t>Мулан (3%)</t>
  </si>
  <si>
    <t>Уотердип</t>
  </si>
  <si>
    <t>Тетирианцы (51%)</t>
  </si>
  <si>
    <t>Иллусканцы (23%), Чондатанцы (22%)</t>
  </si>
  <si>
    <t>Калишиты (2%)</t>
  </si>
  <si>
    <t>Западное Сердцеземье</t>
  </si>
  <si>
    <t>Тетирианцы (80%)</t>
  </si>
  <si>
    <t>Калишиты (10%), Чондатанцы (5%)</t>
  </si>
  <si>
    <t>Иллусканцы (3%), Гуры (1%)</t>
  </si>
  <si>
    <t>Калишиты -55%</t>
  </si>
  <si>
    <t>Ship Rank </t>
  </si>
  <si>
    <t>Gives sailing directions and navigates.</t>
  </si>
  <si>
    <t>First Mate</t>
  </si>
  <si>
    <t>Executes captain´s orders.</t>
  </si>
  <si>
    <t xml:space="preserve"> Oversees ship´s supplies and cargo.</t>
  </si>
  <si>
    <t>Ship´s Healer</t>
  </si>
  <si>
    <t>Heal the sick and cares for the injured.</t>
  </si>
  <si>
    <t>Is in charge of the crew.</t>
  </si>
  <si>
    <t>Second Mate</t>
  </si>
  <si>
    <t>Relays first mate´s order and supervises the work.</t>
  </si>
  <si>
    <t xml:space="preserve"> Carry out the Boatswain´s order and enforces discipline.</t>
  </si>
  <si>
    <t>Third Mate</t>
  </si>
  <si>
    <t>Only found on large ships.</t>
  </si>
  <si>
    <t xml:space="preserve"> Makes and repairs sail.</t>
  </si>
  <si>
    <t>Ship´s Carpenter</t>
  </si>
  <si>
    <t xml:space="preserve"> In charge of ship´s repair.</t>
  </si>
  <si>
    <t>Ship´s Cook</t>
  </si>
  <si>
    <t xml:space="preserve"> Keeps track of provision and feeds the crew.</t>
  </si>
  <si>
    <t>Helmsman</t>
  </si>
  <si>
    <t>Steers the ship.</t>
  </si>
  <si>
    <t>Able Seamen</t>
  </si>
  <si>
    <t xml:space="preserve"> The crew on the ship.</t>
  </si>
  <si>
    <t xml:space="preserve">Boatswain´s Mate </t>
  </si>
  <si>
    <t>Cost, gp / month</t>
  </si>
  <si>
    <t>Year of the Three Ships Sailing</t>
  </si>
  <si>
    <t>shield of deep royal blue, with a slender silver border ("edge") all around, and a circle of six silver edge-on simple crowns in the center of the shield. The edge-on crowns are a side-view of a horizontal piece of brow-metal with an upper edge scalloped into five points: two flaring endpoints, a central point, and a point in between the center and each end point. (In other words, the crowns don't appear as circlets, or as having detailed ornamentation.)</t>
  </si>
  <si>
    <t>Payment, gp/month</t>
  </si>
  <si>
    <t>1 company of light infantry</t>
  </si>
  <si>
    <t>Not Deployed</t>
  </si>
  <si>
    <t>Thunder Peaks,</t>
  </si>
  <si>
    <t>Northern Region, contb.</t>
  </si>
  <si>
    <t>d8+d12 Roll Encounter</t>
  </si>
  <si>
    <t>Wolf, winter</t>
  </si>
  <si>
    <t>Lion, spotted</t>
  </si>
  <si>
    <t>DM's Special (roll on or choose from any table in this section)</t>
  </si>
  <si>
    <t>Thunber Peaks, Mid-Region</t>
  </si>
  <si>
    <t>Dragon, copper or red</t>
  </si>
  <si>
    <t>Bear, cave, or hydra</t>
  </si>
  <si>
    <t>Bear, brown or lyc., bear</t>
  </si>
  <si>
    <t>Wolf or worg</t>
  </si>
  <si>
    <t>Orc tribesman</t>
  </si>
  <si>
    <t>Troglodyte tribesman</t>
  </si>
  <si>
    <t>Giant, hill</t>
  </si>
  <si>
    <t>Giant, hill or stone</t>
  </si>
  <si>
    <t>Ogre or troll</t>
  </si>
  <si>
    <t>Goblin or orc</t>
  </si>
  <si>
    <t>Ghoul or wight</t>
  </si>
  <si>
    <t>Hobgoblin or troll</t>
  </si>
  <si>
    <t>Will-o-wisp</t>
  </si>
  <si>
    <t>Giant, frost or fire</t>
  </si>
  <si>
    <t>Pyrolisk</t>
  </si>
  <si>
    <t>Herd animal</t>
  </si>
  <si>
    <t>Merchant</t>
  </si>
  <si>
    <t>Dog, wild or wolf</t>
  </si>
  <si>
    <t>Bandit (slaver)</t>
  </si>
  <si>
    <t>Leopard</t>
  </si>
  <si>
    <t>Snake, poisonous</t>
  </si>
  <si>
    <t>Yuan ti</t>
  </si>
  <si>
    <t>Manticora</t>
  </si>
  <si>
    <t>Storm Horns, Northern Region</t>
  </si>
  <si>
    <t>Dragon, white</t>
  </si>
  <si>
    <t>Tribesman or NPC party</t>
  </si>
  <si>
    <t>Bear, cave</t>
  </si>
  <si>
    <t>Owl, giant (night)</t>
  </si>
  <si>
    <t>Ogre or ogre mage</t>
  </si>
  <si>
    <t>Troll or troll, 2-headed</t>
  </si>
  <si>
    <t>Giant, frost</t>
  </si>
  <si>
    <t>Storm Horns, Southern Region</t>
  </si>
  <si>
    <t>High Hills</t>
  </si>
  <si>
    <t>d8+d12 Roll</t>
  </si>
  <si>
    <t>NPC party</t>
  </si>
  <si>
    <t>Bear, brown</t>
  </si>
  <si>
    <t>Owl, giant or rat, giant</t>
  </si>
  <si>
    <t>Verbeeg</t>
  </si>
  <si>
    <t>Cat, big</t>
  </si>
  <si>
    <t>Lyc., wolf or wolfwere</t>
  </si>
  <si>
    <t>Giant badger</t>
  </si>
  <si>
    <t>Snake, poisonous or spitting</t>
  </si>
  <si>
    <t>Mountain dwarf</t>
  </si>
  <si>
    <t>Griffon or hippogriff</t>
  </si>
  <si>
    <t>Orc or gnoll</t>
  </si>
  <si>
    <t>Hobgoblin or goblin</t>
  </si>
  <si>
    <t>Aerial encounter</t>
  </si>
  <si>
    <t>Spider, large</t>
  </si>
  <si>
    <t>Weather. Conditions, Thunder Peaks and Storm Horns</t>
  </si>
  <si>
    <t>Spring/Fall</t>
  </si>
  <si>
    <t>Summer</t>
  </si>
  <si>
    <t>Sunny</t>
  </si>
  <si>
    <t>Light breeze</t>
  </si>
  <si>
    <t>Overcast</t>
  </si>
  <si>
    <t>Windy</t>
  </si>
  <si>
    <t>Rain</t>
  </si>
  <si>
    <t>Mild storm</t>
  </si>
  <si>
    <t>Heavy storm, hail</t>
  </si>
  <si>
    <t>Lightning storm</t>
  </si>
  <si>
    <t>The Fansea Marshes Encounters</t>
  </si>
  <si>
    <t>Trolls</t>
  </si>
  <si>
    <t>Leech (roll 1d4: l-2 = giant, 3-4 = swarm)</t>
  </si>
  <si>
    <t>Hydra (roll 1d6: 1-3 = common, 4-5 = pyrohydra, 6 = lernaean)</t>
  </si>
  <si>
    <t>Catoblepas (domesticated)</t>
  </si>
  <si>
    <t>Man (Marsh Drover)</t>
  </si>
  <si>
    <t>Mammal, small (roll 1d10: 1-2 = beaver, 3-4 = chipmunk, 5-6 = muskrat, 7 = otter, 8 = rabbit, 9 = raccoon, 10 = squirrel)</t>
  </si>
  <si>
    <t>Bully wugs</t>
  </si>
  <si>
    <t>Cat, great (roll 1d6: 1-4 = moun­tain lion, 5-6 = lynx)</t>
  </si>
  <si>
    <t>15-16</t>
  </si>
  <si>
    <t>Insect (roll 1d10: 1-2 = worker bee, 3 = soldier bee, 4 = bumble­bee, 5-6 = giant dragonfly, 7 = fyre- fly, 8 = pernicon, 9 = giant tick, 10 = giant wasp)</t>
  </si>
  <si>
    <t>Giant frog</t>
  </si>
  <si>
    <t>Undead (roll 1d10: 1-5 = skele­tons, 6-8 = zombies, 9 = wraith, 10 = lich)</t>
  </si>
  <si>
    <t>Giant crayfish</t>
  </si>
  <si>
    <t>DM's Special</t>
  </si>
  <si>
    <t>Marsh of Tun Encounters</t>
  </si>
  <si>
    <t>Black dragon (Skurge)</t>
  </si>
  <si>
    <t>Darktentacles</t>
  </si>
  <si>
    <t>Gibbering mouther</t>
  </si>
  <si>
    <t>Men (Tun bandits)</t>
  </si>
  <si>
    <t>Lizard man</t>
  </si>
  <si>
    <t>Mammal (roll 1d10: 1 = badger, 2-3 = goat, 4 = osquip, 5-6 = por­cupine, 7 = skunk, 8 = sleek, 9 = weasel, 10 = wolverine)</t>
  </si>
  <si>
    <t>Leech (roll 1d4: 1-2 = giant, 3-4 = swarm)</t>
  </si>
  <si>
    <t>Bird (roll 1d6: 1 = wild eagle, 2-3 = falcon, 4 = kingfisher, 5 = owl, 6 = talking owl)</t>
  </si>
  <si>
    <t>Hobgoblins</t>
  </si>
  <si>
    <t>Beholder</t>
  </si>
  <si>
    <t>Mind flayer</t>
  </si>
  <si>
    <t>Meazel</t>
  </si>
  <si>
    <t>Muckdweller</t>
  </si>
  <si>
    <t>Goblins</t>
  </si>
  <si>
    <t>Leech (roll 1d6: 1-4 = giant, 5-6 = swarm)</t>
  </si>
  <si>
    <t>Grell</t>
  </si>
  <si>
    <t>Black dragon</t>
  </si>
  <si>
    <t>d100 Roll</t>
  </si>
  <si>
    <t>Giant toad</t>
  </si>
  <si>
    <t>Giant rat</t>
  </si>
  <si>
    <t>Flind</t>
  </si>
  <si>
    <t>17-18</t>
  </si>
  <si>
    <t>Ice toad</t>
  </si>
  <si>
    <t>19-21</t>
  </si>
  <si>
    <t>22-24</t>
  </si>
  <si>
    <t>25-27</t>
  </si>
  <si>
    <t>Oliphant</t>
  </si>
  <si>
    <t>Known NPC</t>
  </si>
  <si>
    <t>Ogre mage</t>
  </si>
  <si>
    <t>Cyanohydra</t>
  </si>
  <si>
    <t>Lernaean hydra</t>
  </si>
  <si>
    <t>Hailstorm</t>
  </si>
  <si>
    <t>Storm giant</t>
  </si>
  <si>
    <t>Talking owl</t>
  </si>
  <si>
    <t>38-39</t>
  </si>
  <si>
    <t>Catoblepas, domesticated</t>
  </si>
  <si>
    <t>Man (Marsh drover)</t>
  </si>
  <si>
    <t>Hill giant</t>
  </si>
  <si>
    <t>42-45</t>
  </si>
  <si>
    <t>Wild cattle</t>
  </si>
  <si>
    <t>46-47</t>
  </si>
  <si>
    <t>Constrictor snake</t>
  </si>
  <si>
    <t>Giant owl (night)</t>
  </si>
  <si>
    <t>53-54</t>
  </si>
  <si>
    <t>Giant lizard</t>
  </si>
  <si>
    <t>55-56</t>
  </si>
  <si>
    <t>Poisonous toad</t>
  </si>
  <si>
    <t>57-66</t>
  </si>
  <si>
    <t>67-70</t>
  </si>
  <si>
    <t>71-72</t>
  </si>
  <si>
    <t>73-82</t>
  </si>
  <si>
    <t>83-90</t>
  </si>
  <si>
    <t>91-92</t>
  </si>
  <si>
    <t>93-94</t>
  </si>
  <si>
    <t>Roll on or choose from Vast Swamp table</t>
  </si>
  <si>
    <t>95-97</t>
  </si>
  <si>
    <t>Roll on or choose from Farsea</t>
  </si>
  <si>
    <t>Marshes table</t>
  </si>
  <si>
    <t>98-99</t>
  </si>
  <si>
    <t>Roll on or choose from Marsh of</t>
  </si>
  <si>
    <t>Tun table</t>
  </si>
  <si>
    <t>Goblin Marches Encounters: Open Plains</t>
  </si>
  <si>
    <t>Day</t>
  </si>
  <si>
    <t>Night</t>
  </si>
  <si>
    <t>Small animal</t>
  </si>
  <si>
    <t>Small bird</t>
  </si>
  <si>
    <t>Hawk/ eagle</t>
  </si>
  <si>
    <t>15-22</t>
  </si>
  <si>
    <t>13-18</t>
  </si>
  <si>
    <t>Spider, poisonous</t>
  </si>
  <si>
    <t>23-25</t>
  </si>
  <si>
    <t>19-23</t>
  </si>
  <si>
    <t>24-30</t>
  </si>
  <si>
    <t>Snake</t>
  </si>
  <si>
    <t>31-32</t>
  </si>
  <si>
    <t>33-34</t>
  </si>
  <si>
    <t>36-40</t>
  </si>
  <si>
    <t>41-44</t>
  </si>
  <si>
    <t>Wild horse</t>
  </si>
  <si>
    <t>Antelope</t>
  </si>
  <si>
    <t>45-46</t>
  </si>
  <si>
    <t>47-51</t>
  </si>
  <si>
    <t>48-50</t>
  </si>
  <si>
    <t>52-55</t>
  </si>
  <si>
    <t>Wemic</t>
  </si>
  <si>
    <t>56-59</t>
  </si>
  <si>
    <t>Goblin Marches Encounters: Hills</t>
  </si>
  <si>
    <t>14-18</t>
  </si>
  <si>
    <t>16-18</t>
  </si>
  <si>
    <t>22-25</t>
  </si>
  <si>
    <t>19-25</t>
  </si>
  <si>
    <t>26-29</t>
  </si>
  <si>
    <t>30-33</t>
  </si>
  <si>
    <t>30-34</t>
  </si>
  <si>
    <t>35-37</t>
  </si>
  <si>
    <t>38-42</t>
  </si>
  <si>
    <t>43-44</t>
  </si>
  <si>
    <t>43-45</t>
  </si>
  <si>
    <t>45-47</t>
  </si>
  <si>
    <t>Giant owl</t>
  </si>
  <si>
    <t>57-59</t>
  </si>
  <si>
    <t>Giant eagle</t>
  </si>
  <si>
    <t>61-62</t>
  </si>
  <si>
    <t>63-64</t>
  </si>
  <si>
    <t>64-67</t>
  </si>
  <si>
    <t>69-70</t>
  </si>
  <si>
    <t>68-70</t>
  </si>
  <si>
    <t>76-77</t>
  </si>
  <si>
    <t>76-79</t>
  </si>
  <si>
    <t>78-79</t>
  </si>
  <si>
    <t>80-81</t>
  </si>
  <si>
    <t>81-82</t>
  </si>
  <si>
    <t>83-84</t>
  </si>
  <si>
    <t>Giant, ettin</t>
  </si>
  <si>
    <t>Peryton</t>
  </si>
  <si>
    <t>Doppleganger</t>
  </si>
  <si>
    <t>87-89</t>
  </si>
  <si>
    <t>89-90</t>
  </si>
  <si>
    <t>Leucrotta</t>
  </si>
  <si>
    <t>Hieracosphinx</t>
  </si>
  <si>
    <t>Dragon, silver</t>
  </si>
  <si>
    <t>Dragon, red</t>
  </si>
  <si>
    <t>94-95</t>
  </si>
  <si>
    <t>Dragon, mist</t>
  </si>
  <si>
    <t>Firedrake</t>
  </si>
  <si>
    <t>96-97</t>
  </si>
  <si>
    <t>Giant animal</t>
  </si>
  <si>
    <t>Goblin Marches Encounters: Hills, contb.</t>
  </si>
  <si>
    <t>52-56</t>
  </si>
  <si>
    <t>53-57</t>
  </si>
  <si>
    <t>57-60</t>
  </si>
  <si>
    <t>58-59</t>
  </si>
  <si>
    <t>60-63</t>
  </si>
  <si>
    <t>63-66</t>
  </si>
  <si>
    <t>64-69</t>
  </si>
  <si>
    <t>71-74</t>
  </si>
  <si>
    <t>74-76</t>
  </si>
  <si>
    <t>75-76</t>
  </si>
  <si>
    <t>77-78</t>
  </si>
  <si>
    <t>84-85</t>
  </si>
  <si>
    <t>86-87</t>
  </si>
  <si>
    <t>88-89</t>
  </si>
  <si>
    <t>92-93</t>
  </si>
  <si>
    <t>95-96</t>
  </si>
  <si>
    <r>
      <t xml:space="preserve">Goblin Marches Encounters: </t>
    </r>
    <r>
      <rPr>
        <b/>
        <i/>
        <sz val="16"/>
        <color theme="1"/>
        <rFont val="Times New Roman"/>
        <family val="1"/>
        <charset val="204"/>
      </rPr>
      <t>Caves</t>
    </r>
  </si>
  <si>
    <t>13-14</t>
  </si>
  <si>
    <t>13-15</t>
  </si>
  <si>
    <t>16-17</t>
  </si>
  <si>
    <t>18-25</t>
  </si>
  <si>
    <t>26-32</t>
  </si>
  <si>
    <t>36-37</t>
  </si>
  <si>
    <t>33-36</t>
  </si>
  <si>
    <t>37-38</t>
  </si>
  <si>
    <t>39-41</t>
  </si>
  <si>
    <t>42-44</t>
  </si>
  <si>
    <t>45-48</t>
  </si>
  <si>
    <t>48-49</t>
  </si>
  <si>
    <t>50-54</t>
  </si>
  <si>
    <t>51-52</t>
  </si>
  <si>
    <t>60-69</t>
  </si>
  <si>
    <t>55-66</t>
  </si>
  <si>
    <t>70-75</t>
  </si>
  <si>
    <t>67-69</t>
  </si>
  <si>
    <t>76-78</t>
  </si>
  <si>
    <t>79-82</t>
  </si>
  <si>
    <t>74-78</t>
  </si>
  <si>
    <t>79-80</t>
  </si>
  <si>
    <t>85-87</t>
  </si>
  <si>
    <t>81-83</t>
  </si>
  <si>
    <t>StoneLanbs Encounters:</t>
  </si>
  <si>
    <t>Open Areas</t>
  </si>
  <si>
    <t>Spider, pois.</t>
  </si>
  <si>
    <t>18-23</t>
  </si>
  <si>
    <t>24-26</t>
  </si>
  <si>
    <t>33-39</t>
  </si>
  <si>
    <t>27-28</t>
  </si>
  <si>
    <t>40-44</t>
  </si>
  <si>
    <t>35-36</t>
  </si>
  <si>
    <t>39-40</t>
  </si>
  <si>
    <t>Border raiders</t>
  </si>
  <si>
    <t>56-58</t>
  </si>
  <si>
    <t>61-64</t>
  </si>
  <si>
    <t>60-62</t>
  </si>
  <si>
    <t>65-67</t>
  </si>
  <si>
    <t>50-53</t>
  </si>
  <si>
    <t>54-55</t>
  </si>
  <si>
    <t>73-75</t>
  </si>
  <si>
    <t>60-61</t>
  </si>
  <si>
    <t>78-80</t>
  </si>
  <si>
    <t>62-64</t>
  </si>
  <si>
    <t>65-66</t>
  </si>
  <si>
    <t>Giant, cloud</t>
  </si>
  <si>
    <t>Giant, storm</t>
  </si>
  <si>
    <t>74-83</t>
  </si>
  <si>
    <t>Giant, stone</t>
  </si>
  <si>
    <t>84-88</t>
  </si>
  <si>
    <t>87-88</t>
  </si>
  <si>
    <t>90-91</t>
  </si>
  <si>
    <t>Dragon, copper</t>
  </si>
  <si>
    <t>Dragon, amethyst 94</t>
  </si>
  <si>
    <r>
      <t xml:space="preserve">STdMelaMÔs </t>
    </r>
    <r>
      <rPr>
        <i/>
        <sz val="15"/>
        <color theme="1"/>
        <rFont val="Arial"/>
        <family val="2"/>
        <charset val="204"/>
      </rPr>
      <t>Encounters: Caves</t>
    </r>
  </si>
  <si>
    <t>26-33</t>
  </si>
  <si>
    <t>34-35</t>
  </si>
  <si>
    <t>42-47</t>
  </si>
  <si>
    <t>51-54</t>
  </si>
  <si>
    <t>57-58</t>
  </si>
  <si>
    <t>60-67</t>
  </si>
  <si>
    <t>68-73</t>
  </si>
  <si>
    <t>77-79</t>
  </si>
  <si>
    <t>71-73</t>
  </si>
  <si>
    <t>80-83</t>
  </si>
  <si>
    <t>Giant stone</t>
  </si>
  <si>
    <t>86-88</t>
  </si>
  <si>
    <t>Climatic Averages for The Stonetands and Goblin</t>
  </si>
  <si>
    <t>Marches</t>
  </si>
  <si>
    <t>Temperature (Spring)</t>
  </si>
  <si>
    <t>Temperature (Summer)</t>
  </si>
  <si>
    <t>Temperature (Autumn)</t>
  </si>
  <si>
    <t>Temperature (Winter)</t>
  </si>
  <si>
    <t>Low Temperature (Year)</t>
  </si>
  <si>
    <t>High Temperature (Year)</t>
  </si>
  <si>
    <t>Annual Precipitation</t>
  </si>
  <si>
    <t>Days With Snow on Ground</t>
  </si>
  <si>
    <t>18 days</t>
  </si>
  <si>
    <t>Irlingstar, Orthwood</t>
  </si>
  <si>
    <t>a diamond-shaped scarlet shield transfixed at the center by two black arrows, running diagonally to upper left and upper right (where the white fletchings are visible</t>
  </si>
  <si>
    <t xml:space="preserve">on a white field, X of lower-left-to-upper-right gray quill pen (point down, in front) over a silver dagger (point down). </t>
  </si>
  <si>
    <t>The Irlingstars are stylish, sophisticated fashion-plates and dilettantes who indulge in many hobbies (collecting exotic monsters as pets, for example). They are scattered all over Cormyr, Sembia, Westgate, Berdusk, Iriaebor, and Athkatla, are usually local investors, adventurer sponsors (occasionally for shadywork), and landlords, but shouldn’t be confused with the non-noble Amnian and Tethyrian Irlingstar families (there are at least three, all unrelated, who are to be found up and down the Sword coast, always in cities, usually as moderately successful local merchants).</t>
  </si>
  <si>
    <t>Huntwood</t>
  </si>
  <si>
    <t xml:space="preserve">Please note: the Huntwoods MIGHT not be extinct, because some early younger sons and daughters fled the strife of Esparin to forge new lives in distant corners of Faerûn, and may not all have died out in later generations. Known as hunters, their heraldic badge was a descending-to-the-right diagonal row of three face-on brown stag’s heads (overlapping antlers), on a silver field. </t>
  </si>
  <si>
    <t>a descending-to-the-right diagonal row of three face-on brown stag’s heads (overlapping antlers), on a silver field</t>
  </si>
  <si>
    <t>Waymoot, Suzail</t>
  </si>
  <si>
    <t>Merchant House</t>
  </si>
  <si>
    <t>Secret</t>
  </si>
  <si>
    <t>Belgor</t>
  </si>
  <si>
    <t>Brace</t>
  </si>
  <si>
    <t>Bran</t>
  </si>
  <si>
    <t>Corl</t>
  </si>
  <si>
    <t>Daern</t>
  </si>
  <si>
    <t>Dorn</t>
  </si>
  <si>
    <t>Engor</t>
  </si>
  <si>
    <t>Farl</t>
  </si>
  <si>
    <t>Foreth</t>
  </si>
  <si>
    <t>Garth</t>
  </si>
  <si>
    <t>Harl</t>
  </si>
  <si>
    <t>Ivarn</t>
  </si>
  <si>
    <t>Jeth</t>
  </si>
  <si>
    <t>Joran</t>
  </si>
  <si>
    <t>Landryn</t>
  </si>
  <si>
    <t>Lorn</t>
  </si>
  <si>
    <t>Maerand</t>
  </si>
  <si>
    <t>Marl</t>
  </si>
  <si>
    <t>Narn</t>
  </si>
  <si>
    <t>Noke</t>
  </si>
  <si>
    <t>Owyn</t>
  </si>
  <si>
    <t>Randal</t>
  </si>
  <si>
    <t>Randral</t>
  </si>
  <si>
    <t>Robrorn</t>
  </si>
  <si>
    <t>Rorn</t>
  </si>
  <si>
    <t>Tal</t>
  </si>
  <si>
    <t>Tanth</t>
  </si>
  <si>
    <t>Taran</t>
  </si>
  <si>
    <t>Vran</t>
  </si>
  <si>
    <t>Wend.</t>
  </si>
  <si>
    <t>Bondra (usually “Bonnie”)</t>
  </si>
  <si>
    <t>Bryndra</t>
  </si>
  <si>
    <t>Cathnae</t>
  </si>
  <si>
    <t>Darthra</t>
  </si>
  <si>
    <t>Dove</t>
  </si>
  <si>
    <t>Eveene</t>
  </si>
  <si>
    <t>Filfarra</t>
  </si>
  <si>
    <t>Genice</t>
  </si>
  <si>
    <t>Imdue</t>
  </si>
  <si>
    <t>Jansra</t>
  </si>
  <si>
    <t>Joyra</t>
  </si>
  <si>
    <t>Kathyl</t>
  </si>
  <si>
    <t>Korva</t>
  </si>
  <si>
    <t>Marra</t>
  </si>
  <si>
    <t>Nansyl</t>
  </si>
  <si>
    <t>Pipra (“Pip”)</t>
  </si>
  <si>
    <t>Sarue</t>
  </si>
  <si>
    <t>Soora</t>
  </si>
  <si>
    <t>Tana</t>
  </si>
  <si>
    <t>Tala</t>
  </si>
  <si>
    <t>Tansy</t>
  </si>
  <si>
    <t>Vae</t>
  </si>
  <si>
    <t>Zora.</t>
  </si>
  <si>
    <t>Alys</t>
  </si>
  <si>
    <t>Alavondor</t>
  </si>
  <si>
    <t>Barontor</t>
  </si>
  <si>
    <t>Clarandal</t>
  </si>
  <si>
    <t>Dauncrown</t>
  </si>
  <si>
    <t>Dragonhumbler</t>
  </si>
  <si>
    <t>Galashen</t>
  </si>
  <si>
    <t>Goldcloak</t>
  </si>
  <si>
    <t>Kordrivvar</t>
  </si>
  <si>
    <t>Maerimmon</t>
  </si>
  <si>
    <t>Ondravar</t>
  </si>
  <si>
    <t>Sardar</t>
  </si>
  <si>
    <t>Tarlroyal</t>
  </si>
  <si>
    <t>Tazrilysk</t>
  </si>
  <si>
    <t>Tulcont</t>
  </si>
  <si>
    <t>Vorauth</t>
  </si>
  <si>
    <t>Wyndarr</t>
  </si>
  <si>
    <t>Zunderzorn</t>
  </si>
  <si>
    <t>Sembian surnames</t>
  </si>
  <si>
    <t>Sembian male names</t>
  </si>
  <si>
    <t>Sembian female names</t>
  </si>
  <si>
    <t>Aldan</t>
  </si>
  <si>
    <t>Alvaerus</t>
  </si>
  <si>
    <t>Andor</t>
  </si>
  <si>
    <t>Andarl</t>
  </si>
  <si>
    <t>Andorl</t>
  </si>
  <si>
    <t>Avrel</t>
  </si>
  <si>
    <t>Boldyn</t>
  </si>
  <si>
    <t>Cathal</t>
  </si>
  <si>
    <t>Corandor</t>
  </si>
  <si>
    <t>Dalandar</t>
  </si>
  <si>
    <t>Elbastion</t>
  </si>
  <si>
    <t>Farntrond</t>
  </si>
  <si>
    <t>Galagar</t>
  </si>
  <si>
    <t>Halvond</t>
  </si>
  <si>
    <t>Indrus</t>
  </si>
  <si>
    <t>Jathar</t>
  </si>
  <si>
    <t>Ontar</t>
  </si>
  <si>
    <t>Prendryk</t>
  </si>
  <si>
    <t>Roakyn</t>
  </si>
  <si>
    <t>Saldvur</t>
  </si>
  <si>
    <t>Toroke</t>
  </si>
  <si>
    <t>Torvil</t>
  </si>
  <si>
    <t>Varandor</t>
  </si>
  <si>
    <t>Barantra</t>
  </si>
  <si>
    <t>Coeluthmra</t>
  </si>
  <si>
    <t>Darla</t>
  </si>
  <si>
    <t>Emsharandra</t>
  </si>
  <si>
    <t>Filfidelra</t>
  </si>
  <si>
    <t>Galiyra (pronounced “Gal-LIE-rah”)</t>
  </si>
  <si>
    <t>Haelra</t>
  </si>
  <si>
    <t>Letrythria</t>
  </si>
  <si>
    <t>Lornra</t>
  </si>
  <si>
    <t>Maura</t>
  </si>
  <si>
    <t>Norone</t>
  </si>
  <si>
    <t>Raedurla</t>
  </si>
  <si>
    <t>Telshara</t>
  </si>
  <si>
    <t>Vorovelarra</t>
  </si>
  <si>
    <t>Warundra</t>
  </si>
  <si>
    <t>Yalauntra</t>
  </si>
  <si>
    <t>Zalorla</t>
  </si>
  <si>
    <t>Cormyrean Male</t>
  </si>
  <si>
    <t>Cormyrean  Female</t>
  </si>
  <si>
    <t>Netherese male</t>
  </si>
  <si>
    <t>Netherese female</t>
  </si>
  <si>
    <t>Althyroun</t>
  </si>
  <si>
    <t>Aelroune</t>
  </si>
  <si>
    <t>Cathaele</t>
  </si>
  <si>
    <t>Ethree</t>
  </si>
  <si>
    <t>Haele</t>
  </si>
  <si>
    <t>Jounraele</t>
  </si>
  <si>
    <t>Kalathe</t>
  </si>
  <si>
    <t>Maeraele</t>
  </si>
  <si>
    <t>Nyrindral</t>
  </si>
  <si>
    <t>Noeene</t>
  </si>
  <si>
    <t>Olone</t>
  </si>
  <si>
    <t>Ryndra</t>
  </si>
  <si>
    <t>Saaraunra</t>
  </si>
  <si>
    <t>Tylue</t>
  </si>
  <si>
    <t>Uele (pronounced “Oo-ell”)</t>
  </si>
  <si>
    <t>Vyruil</t>
  </si>
  <si>
    <t>Woave</t>
  </si>
  <si>
    <t>Yakla</t>
  </si>
  <si>
    <t>Yariil</t>
  </si>
  <si>
    <t>Zoale</t>
  </si>
  <si>
    <t>Zoare</t>
  </si>
  <si>
    <t>Zorele</t>
  </si>
  <si>
    <t>Eirol</t>
  </si>
  <si>
    <t>Mlaarol</t>
  </si>
  <si>
    <t>Naraeyn</t>
  </si>
  <si>
    <t>Orthol</t>
  </si>
  <si>
    <t>Yulvaun.</t>
  </si>
  <si>
    <t>Brannon</t>
  </si>
  <si>
    <t>Brennan ("Bran" or even "Bram")</t>
  </si>
  <si>
    <t>Daerent ("Daer")</t>
  </si>
  <si>
    <t>Garlin ("Garl")</t>
  </si>
  <si>
    <t>Hargath ("Gath")</t>
  </si>
  <si>
    <t>Ilmer</t>
  </si>
  <si>
    <t>Jurusk ("Jusk")</t>
  </si>
  <si>
    <t>Larthlan ("Larth")</t>
  </si>
  <si>
    <t>Melsarl ("Sarl")</t>
  </si>
  <si>
    <t>Naryk ("Nar")</t>
  </si>
  <si>
    <t>Rory</t>
  </si>
  <si>
    <t>Sanraven</t>
  </si>
  <si>
    <t>Sorbrar</t>
  </si>
  <si>
    <t>Tellond ("Tuth")</t>
  </si>
  <si>
    <t>Vornyn ("Vorn").</t>
  </si>
  <si>
    <t>Argatha ("Gatha" or "Gath")</t>
  </si>
  <si>
    <t>Baerla</t>
  </si>
  <si>
    <t>Bremma</t>
  </si>
  <si>
    <t>Claela or Claera</t>
  </si>
  <si>
    <t>Dethra</t>
  </si>
  <si>
    <t>Flarra ("Larra")</t>
  </si>
  <si>
    <t>Haela</t>
  </si>
  <si>
    <t>Hilbremma ("Bremma")</t>
  </si>
  <si>
    <t>Imsra ("Issa")</t>
  </si>
  <si>
    <t>Jalyth</t>
  </si>
  <si>
    <t>Laritha ("Lara")</t>
  </si>
  <si>
    <t>Maethe</t>
  </si>
  <si>
    <t>Naneesa ("Neese")</t>
  </si>
  <si>
    <t>Orarra</t>
  </si>
  <si>
    <t>Orprelle ("Pel")</t>
  </si>
  <si>
    <t>Parella ("Rella")</t>
  </si>
  <si>
    <t>Sartranna ("Tana")</t>
  </si>
  <si>
    <t>Tethyl</t>
  </si>
  <si>
    <t>Umbra</t>
  </si>
  <si>
    <t>Vaerl</t>
  </si>
  <si>
    <t>Beliard</t>
  </si>
  <si>
    <t>Dannon</t>
  </si>
  <si>
    <t>Danrask</t>
  </si>
  <si>
    <t>Jeth [and its local variant “Juth”]</t>
  </si>
  <si>
    <t>Morland [not a typo for “Morlan,” but the local variant on “Morlan”]</t>
  </si>
  <si>
    <t>Roth</t>
  </si>
  <si>
    <t xml:space="preserve">Wendur </t>
  </si>
  <si>
    <t>Baera</t>
  </si>
  <si>
    <t>Calatha</t>
  </si>
  <si>
    <t>Dalorna</t>
  </si>
  <si>
    <t>Delendra</t>
  </si>
  <si>
    <t>Labrelle</t>
  </si>
  <si>
    <t>Raele</t>
  </si>
  <si>
    <t>Sulue [or Tassulue]</t>
  </si>
  <si>
    <t xml:space="preserve">Thorn </t>
  </si>
  <si>
    <t>Sembian Names</t>
  </si>
  <si>
    <t>Surname</t>
  </si>
  <si>
    <t>Netherese names</t>
  </si>
  <si>
    <t>Druidic Circle</t>
  </si>
  <si>
    <t>Knightswood Nine</t>
  </si>
  <si>
    <t>Fang Circle</t>
  </si>
  <si>
    <t>Goblinoid tribe</t>
  </si>
  <si>
    <t>Orcish tribe</t>
  </si>
  <si>
    <t>Lizardfolk tribe</t>
  </si>
  <si>
    <t>Aaracokra tribe</t>
  </si>
  <si>
    <t>Type of Organisation</t>
  </si>
  <si>
    <t>Illuskan</t>
  </si>
  <si>
    <t>Tethyrian</t>
  </si>
  <si>
    <t>Chondathan</t>
  </si>
  <si>
    <t>Shaaren</t>
  </si>
  <si>
    <t>Damaran</t>
  </si>
  <si>
    <t>Calishite</t>
  </si>
  <si>
    <t>Rashemi</t>
  </si>
  <si>
    <t>Mulan</t>
  </si>
  <si>
    <t>Eng</t>
  </si>
  <si>
    <t>Описание вненшности</t>
  </si>
  <si>
    <t>CORMYREAN ENCOUNTERS</t>
  </si>
  <si>
    <t>SETTLEMENT OR LOCATION</t>
  </si>
  <si>
    <t>SHORT DESCRIPTION</t>
  </si>
  <si>
    <t>GAME MECHANIC</t>
  </si>
  <si>
    <t>*Swordlord</t>
  </si>
  <si>
    <t>*Member of Royal Family</t>
  </si>
  <si>
    <t>==Swordmajor</t>
  </si>
  <si>
    <t>==Warden of the Eastern Marches</t>
  </si>
  <si>
    <t>==Warden the Northern Marches</t>
  </si>
  <si>
    <t>PAYMENT</t>
  </si>
  <si>
    <t>+15 GP/month</t>
  </si>
  <si>
    <t>Cormyrean Surnames</t>
  </si>
  <si>
    <t>Allaghar</t>
  </si>
  <si>
    <t>Amryntur</t>
  </si>
  <si>
    <t>Adratha</t>
  </si>
  <si>
    <t>Applecrown</t>
  </si>
  <si>
    <t>Ardruth</t>
  </si>
  <si>
    <t>Askalan</t>
  </si>
  <si>
    <t>Azmuir</t>
  </si>
  <si>
    <t>Barcantle</t>
  </si>
  <si>
    <t>Barloun</t>
  </si>
  <si>
    <t>Bearslayer</t>
  </si>
  <si>
    <t>Boldtree</t>
  </si>
  <si>
    <t>Breakblade</t>
  </si>
  <si>
    <t>Dardulkyn</t>
  </si>
  <si>
    <t>Dawntard*</t>
  </si>
  <si>
    <t>Downdagger</t>
  </si>
  <si>
    <t>Downtlurk</t>
  </si>
  <si>
    <t>Drakehar</t>
  </si>
  <si>
    <t>Drouth</t>
  </si>
  <si>
    <t>Dunstrand</t>
  </si>
  <si>
    <t>Fentable</t>
  </si>
  <si>
    <t>Fireweather</t>
  </si>
  <si>
    <t>Gaerld</t>
  </si>
  <si>
    <t>Gauntur</t>
  </si>
  <si>
    <t>Ghalhunt</t>
  </si>
  <si>
    <t>Glavreth</t>
  </si>
  <si>
    <t>Haeleth</t>
  </si>
  <si>
    <t>Halgontar</t>
  </si>
  <si>
    <t>Hallowdant</t>
  </si>
  <si>
    <t>Hallort</t>
  </si>
  <si>
    <t>Halorth</t>
  </si>
  <si>
    <t>Hammerslyn</t>
  </si>
  <si>
    <t>Handmane</t>
  </si>
  <si>
    <t>Harbrow</t>
  </si>
  <si>
    <t>Harnwood</t>
  </si>
  <si>
    <t>Harrowsar</t>
  </si>
  <si>
    <t>Hawkblade</t>
  </si>
  <si>
    <t>Hawkgar</t>
  </si>
  <si>
    <t>Hawkhorn</t>
  </si>
  <si>
    <t>Hawkmantle</t>
  </si>
  <si>
    <t>Hawksoun</t>
  </si>
  <si>
    <t>Heldeth</t>
  </si>
  <si>
    <t>Helhondreth</t>
  </si>
  <si>
    <t>Hethel</t>
  </si>
  <si>
    <t>Hondor</t>
  </si>
  <si>
    <t>Houndfyre</t>
  </si>
  <si>
    <t>Ilgund</t>
  </si>
  <si>
    <t>Ilmbrights</t>
  </si>
  <si>
    <t>Ironhand</t>
  </si>
  <si>
    <t>Ironhorn</t>
  </si>
  <si>
    <t>Ironstone</t>
  </si>
  <si>
    <t>Jamrathrar</t>
  </si>
  <si>
    <t>Kordran</t>
  </si>
  <si>
    <t>Laklantur</t>
  </si>
  <si>
    <t>Larandur</t>
  </si>
  <si>
    <t>Lorthond</t>
  </si>
  <si>
    <t>Mallowfaer</t>
  </si>
  <si>
    <t>Manycoats</t>
  </si>
  <si>
    <t>Marshfall</t>
  </si>
  <si>
    <t>Meldrake</t>
  </si>
  <si>
    <t>Merritree</t>
  </si>
  <si>
    <t>Moonmantle</t>
  </si>
  <si>
    <t>Morand</t>
  </si>
  <si>
    <t>Moumbelrow</t>
  </si>
  <si>
    <t>Murenstur</t>
  </si>
  <si>
    <t>Narbrace</t>
  </si>
  <si>
    <t>Nordroun</t>
  </si>
  <si>
    <t>Nurennanthur</t>
  </si>
  <si>
    <t>Paerdoavur</t>
  </si>
  <si>
    <t>Ravensilver</t>
  </si>
  <si>
    <t>Raventree</t>
  </si>
  <si>
    <t>Ravenwynd</t>
  </si>
  <si>
    <t>Reignwynd</t>
  </si>
  <si>
    <t>Rendarth</t>
  </si>
  <si>
    <t>Rhardantan</t>
  </si>
  <si>
    <t>Rhauligan</t>
  </si>
  <si>
    <t>Rhendever</t>
  </si>
  <si>
    <t>Rhauntagar</t>
  </si>
  <si>
    <t>Roeble</t>
  </si>
  <si>
    <t>Roray</t>
  </si>
  <si>
    <t>Roril</t>
  </si>
  <si>
    <t>Saldar</t>
  </si>
  <si>
    <t>Sammartael</t>
  </si>
  <si>
    <t>Sammurth</t>
  </si>
  <si>
    <t>Sandrael</t>
  </si>
  <si>
    <t>Snardren</t>
  </si>
  <si>
    <t>Sraunter</t>
  </si>
  <si>
    <t>Starbridge</t>
  </si>
  <si>
    <t>Steelhond</t>
  </si>
  <si>
    <t>Steelshorn</t>
  </si>
  <si>
    <t>Tallfyre</t>
  </si>
  <si>
    <t>Tarandar</t>
  </si>
  <si>
    <t>Thalamond</t>
  </si>
  <si>
    <t>Thallowood</t>
  </si>
  <si>
    <t>Tharbanner</t>
  </si>
  <si>
    <t>Thormil</t>
  </si>
  <si>
    <t>Thorntentur</t>
  </si>
  <si>
    <t>Tracegar</t>
  </si>
  <si>
    <t>Trollbreeder</t>
  </si>
  <si>
    <t>Troon</t>
  </si>
  <si>
    <t>Turward</t>
  </si>
  <si>
    <t>Velard</t>
  </si>
  <si>
    <t>Vandurn</t>
  </si>
  <si>
    <t>Vorlsummer</t>
  </si>
  <si>
    <t>Vrabant</t>
  </si>
  <si>
    <t>Vyathar</t>
  </si>
  <si>
    <t>Wanderwyrm</t>
  </si>
  <si>
    <t>Whitewave</t>
  </si>
  <si>
    <t>Yestrel</t>
  </si>
  <si>
    <t>Female 53</t>
  </si>
  <si>
    <t>Male 54</t>
  </si>
  <si>
    <t>Surname 180</t>
  </si>
  <si>
    <t>Female 51</t>
  </si>
  <si>
    <t>Male 51</t>
  </si>
  <si>
    <t>Surname 60</t>
  </si>
  <si>
    <t>Transport via Plants</t>
  </si>
  <si>
    <t>Sword Burst</t>
  </si>
  <si>
    <t>Spirit Guardians</t>
  </si>
  <si>
    <t>Phantom Steed</t>
  </si>
  <si>
    <t>Otiluke's Freezing Sphere</t>
  </si>
  <si>
    <t>Mordenkainen's Sword</t>
  </si>
  <si>
    <t>Mordenkainen's Magnificent Mansion</t>
  </si>
  <si>
    <t>Mordenkainen's Faithful Hound</t>
  </si>
  <si>
    <t>Maximilian's Earthen Grasp</t>
  </si>
  <si>
    <t>Lightning Lure</t>
  </si>
  <si>
    <t>Immolation</t>
  </si>
  <si>
    <t>Heroes' Feast</t>
  </si>
  <si>
    <t>Green-Flame Blade</t>
  </si>
  <si>
    <t>Laundry/Bath-house</t>
  </si>
  <si>
    <t>Magic Items/Components</t>
  </si>
  <si>
    <t>Moneychanger/Bank</t>
  </si>
  <si>
    <t>Castle/Keep</t>
  </si>
  <si>
    <t>Blacksmith</t>
  </si>
  <si>
    <t>Bridge</t>
  </si>
  <si>
    <t>Locksmith</t>
  </si>
  <si>
    <t>Ruins</t>
  </si>
  <si>
    <t>Pipeweed Shop</t>
  </si>
  <si>
    <t>Theatre/Playhouse</t>
  </si>
  <si>
    <t>Glassblower</t>
  </si>
  <si>
    <t>Barracks</t>
  </si>
  <si>
    <t>Talismonger</t>
  </si>
  <si>
    <t>Construction Site</t>
  </si>
  <si>
    <t>Gaol/Prison</t>
  </si>
  <si>
    <t>Guild Hall</t>
  </si>
  <si>
    <t>School/Academy</t>
  </si>
  <si>
    <t>of Weave</t>
  </si>
  <si>
    <t>Warehouse/Storage Vault</t>
  </si>
  <si>
    <t>of Warding</t>
  </si>
  <si>
    <t>Worm</t>
  </si>
  <si>
    <t>of Wings</t>
  </si>
  <si>
    <t>of the Zephyr</t>
  </si>
  <si>
    <t>Watcher</t>
  </si>
  <si>
    <t>Leatherworker/Saddlemaker</t>
  </si>
  <si>
    <t>of Undying</t>
  </si>
  <si>
    <t>of Wind Wall</t>
  </si>
  <si>
    <t>of Withering</t>
  </si>
  <si>
    <t>Catapult</t>
  </si>
  <si>
    <t>Fishing Wharf</t>
  </si>
  <si>
    <t>of Thunder</t>
  </si>
  <si>
    <t>War Mage</t>
  </si>
  <si>
    <t>General Store/Supplier</t>
  </si>
  <si>
    <t>of Terror</t>
  </si>
  <si>
    <t>of the Vanguard</t>
  </si>
  <si>
    <t>of Venom</t>
  </si>
  <si>
    <t>Wailing</t>
  </si>
  <si>
    <t>Tower/Guardpost</t>
  </si>
  <si>
    <t>of Spell Turning</t>
  </si>
  <si>
    <t>of Vengeance</t>
  </si>
  <si>
    <t>Vicious</t>
  </si>
  <si>
    <t>Grainery</t>
  </si>
  <si>
    <t>of Spell Storing</t>
  </si>
  <si>
    <t>Unholy</t>
  </si>
  <si>
    <t>of Vanguard</t>
  </si>
  <si>
    <t>Cemetery</t>
  </si>
  <si>
    <t>of Smoke</t>
  </si>
  <si>
    <t>of Untamed Force</t>
  </si>
  <si>
    <t>Trainer</t>
  </si>
  <si>
    <t>Booming Blade</t>
  </si>
  <si>
    <t>Potter</t>
  </si>
  <si>
    <t>of Shielding</t>
  </si>
  <si>
    <t>Thrower</t>
  </si>
  <si>
    <t>Public Park</t>
  </si>
  <si>
    <t>of Searching</t>
  </si>
  <si>
    <t>of True Strikes</t>
  </si>
  <si>
    <t>Wheelwright/Cooper</t>
  </si>
  <si>
    <t>of School Specialization</t>
  </si>
  <si>
    <t>Steady</t>
  </si>
  <si>
    <t>Souvenir Shop</t>
  </si>
  <si>
    <t>of the Savior</t>
  </si>
  <si>
    <t>Spell Duelist</t>
  </si>
  <si>
    <t>of the Shark</t>
  </si>
  <si>
    <t>of Thorns</t>
  </si>
  <si>
    <t>Cobbler/Shoemaker</t>
  </si>
  <si>
    <t>of Restoration</t>
  </si>
  <si>
    <t>of Shadowfell</t>
  </si>
  <si>
    <t>Skirmisher</t>
  </si>
  <si>
    <t>Weaver</t>
  </si>
  <si>
    <t>of Power</t>
  </si>
  <si>
    <t>Shadowtop</t>
  </si>
  <si>
    <t>of the Swarm</t>
  </si>
  <si>
    <t>Shocking</t>
  </si>
  <si>
    <t>Clothier/Tailor</t>
  </si>
  <si>
    <t>of the Ocean</t>
  </si>
  <si>
    <t>Seer</t>
  </si>
  <si>
    <t>of Striking Lightning</t>
  </si>
  <si>
    <t>Shattering</t>
  </si>
  <si>
    <t>Copper/Silversmith</t>
  </si>
  <si>
    <t>of Nullification</t>
  </si>
  <si>
    <t>of Reflection</t>
  </si>
  <si>
    <t>Scornful</t>
  </si>
  <si>
    <t>Spellbreaker</t>
  </si>
  <si>
    <t>Diviner/Oracle/Fortuneteller</t>
  </si>
  <si>
    <t>of Night</t>
  </si>
  <si>
    <t>Protective</t>
  </si>
  <si>
    <t>of Spell Absorption</t>
  </si>
  <si>
    <t>Sacred</t>
  </si>
  <si>
    <t>Mason</t>
  </si>
  <si>
    <t>of Misleading</t>
  </si>
  <si>
    <t>Pugilist</t>
  </si>
  <si>
    <t>Phaser</t>
  </si>
  <si>
    <t>of Soul Theft</t>
  </si>
  <si>
    <t>Profane</t>
  </si>
  <si>
    <t>Sage/Scholar/Wiseman</t>
  </si>
  <si>
    <t>of Mirrors</t>
  </si>
  <si>
    <t>Prodigy</t>
  </si>
  <si>
    <t>of the Night</t>
  </si>
  <si>
    <t>of Shadow</t>
  </si>
  <si>
    <t>Weaponsmith</t>
  </si>
  <si>
    <t>of Metamagic</t>
  </si>
  <si>
    <t>Mithral</t>
  </si>
  <si>
    <t>of Seeking</t>
  </si>
  <si>
    <t>Scribe/Notary</t>
  </si>
  <si>
    <t>of Luck</t>
  </si>
  <si>
    <t>Mind</t>
  </si>
  <si>
    <t>Marid</t>
  </si>
  <si>
    <t>of Roiling Clouds</t>
  </si>
  <si>
    <t>[3d6:h] Bullets (20)</t>
  </si>
  <si>
    <t>Shanties</t>
  </si>
  <si>
    <t>of Invisibility</t>
  </si>
  <si>
    <t>Magnetic</t>
  </si>
  <si>
    <t>of Roaring Fire</t>
  </si>
  <si>
    <t>Petrifying</t>
  </si>
  <si>
    <t>[3d6:h] Bolts (20)</t>
  </si>
  <si>
    <t>Physician/Surgeon</t>
  </si>
  <si>
    <t>of Hope</t>
  </si>
  <si>
    <t>of the Rising Sun</t>
  </si>
  <si>
    <t>Momentous</t>
  </si>
  <si>
    <t>[3d6:h] Arrows (20)</t>
  </si>
  <si>
    <t>Temple/Shrine</t>
  </si>
  <si>
    <t>of Hells</t>
  </si>
  <si>
    <t>Invigorating</t>
  </si>
  <si>
    <t>Living</t>
  </si>
  <si>
    <t>Mocking</t>
  </si>
  <si>
    <t>Repeating crossbow</t>
  </si>
  <si>
    <t>Herbalist</t>
  </si>
  <si>
    <t>of the Heavens</t>
  </si>
  <si>
    <t>Inquisitor</t>
  </si>
  <si>
    <t>Legion</t>
  </si>
  <si>
    <t>Heavy crossbow</t>
  </si>
  <si>
    <t>Townhouse/Villa</t>
  </si>
  <si>
    <t>of Healing</t>
  </si>
  <si>
    <t>Independent</t>
  </si>
  <si>
    <t>Liar</t>
  </si>
  <si>
    <t>Jeweler/Gem Dealer</t>
  </si>
  <si>
    <t>of Haunting</t>
  </si>
  <si>
    <t>Illithid</t>
  </si>
  <si>
    <t>of Haste</t>
  </si>
  <si>
    <t>Keen</t>
  </si>
  <si>
    <t>War hammer</t>
  </si>
  <si>
    <t>Apartment</t>
  </si>
  <si>
    <t>Healthy</t>
  </si>
  <si>
    <t>of the Gorgon</t>
  </si>
  <si>
    <t>Improviser</t>
  </si>
  <si>
    <t>of the Master</t>
  </si>
  <si>
    <t>Warpick</t>
  </si>
  <si>
    <t>Goldsmith</t>
  </si>
  <si>
    <t>of the Giant</t>
  </si>
  <si>
    <t>Hawkish</t>
  </si>
  <si>
    <t>Demon/Devil</t>
  </si>
  <si>
    <t>Poorhouse/Almshouse</t>
  </si>
  <si>
    <t>of the Ghost</t>
  </si>
  <si>
    <t>Fugitive</t>
  </si>
  <si>
    <t>of Lightning</t>
  </si>
  <si>
    <t>Undeads</t>
  </si>
  <si>
    <t>Tavern/Pub</t>
  </si>
  <si>
    <t>of the Fey</t>
  </si>
  <si>
    <t>Foe Guard</t>
  </si>
  <si>
    <t>Grasping</t>
  </si>
  <si>
    <t>of Intrusion</t>
  </si>
  <si>
    <t>Freezing</t>
  </si>
  <si>
    <t>Asylum</t>
  </si>
  <si>
    <t>of Feather</t>
  </si>
  <si>
    <t>Empowering</t>
  </si>
  <si>
    <t>of Inevitable End</t>
  </si>
  <si>
    <t>Tribesmen</t>
  </si>
  <si>
    <t>Inn/Hostel</t>
  </si>
  <si>
    <t>of Far Step</t>
  </si>
  <si>
    <t>Emissary</t>
  </si>
  <si>
    <t>Glamoured</t>
  </si>
  <si>
    <t>of the Hunter</t>
  </si>
  <si>
    <t>Flaming</t>
  </si>
  <si>
    <t>Robbers</t>
  </si>
  <si>
    <t>Butcher</t>
  </si>
  <si>
    <t>of Enhancement</t>
  </si>
  <si>
    <t>Executioner</t>
  </si>
  <si>
    <t>Scepter</t>
  </si>
  <si>
    <t>Herdsman</t>
  </si>
  <si>
    <t>Mortuary/Crematorium</t>
  </si>
  <si>
    <t>of Empathy</t>
  </si>
  <si>
    <t>Duskwood</t>
  </si>
  <si>
    <t>Random monster//2</t>
  </si>
  <si>
    <t>Candlemaker</t>
  </si>
  <si>
    <t>of the Dretch</t>
  </si>
  <si>
    <t>Dragonscale</t>
  </si>
  <si>
    <t>of the Elemental</t>
  </si>
  <si>
    <t>Duelist</t>
  </si>
  <si>
    <t>Rangers</t>
  </si>
  <si>
    <t>Dyer/Tannery</t>
  </si>
  <si>
    <t>of the Dragon</t>
  </si>
  <si>
    <t>Disruptive</t>
  </si>
  <si>
    <t>Wild animal</t>
  </si>
  <si>
    <t>Dentist/Barber</t>
  </si>
  <si>
    <t>of the Doppelganger</t>
  </si>
  <si>
    <t>Displacer</t>
  </si>
  <si>
    <t>Cap</t>
  </si>
  <si>
    <t>Humanoid raiders</t>
  </si>
  <si>
    <t>Bricklayer</t>
  </si>
  <si>
    <t>of Divination</t>
  </si>
  <si>
    <t>Deflecting</t>
  </si>
  <si>
    <t>Hat</t>
  </si>
  <si>
    <t>Blank spellbook</t>
  </si>
  <si>
    <t>Injured knight</t>
  </si>
  <si>
    <t>Canteen/Restaurant</t>
  </si>
  <si>
    <t>of Dawn</t>
  </si>
  <si>
    <t>Darksteel</t>
  </si>
  <si>
    <t>of the Devil</t>
  </si>
  <si>
    <t>Corrosive</t>
  </si>
  <si>
    <t>Helmet</t>
  </si>
  <si>
    <t>Potion of storm giant strength</t>
  </si>
  <si>
    <t>Tower shield</t>
  </si>
  <si>
    <t>Solitary bandit</t>
  </si>
  <si>
    <t>Brewery/Winery</t>
  </si>
  <si>
    <t>of Damnation</t>
  </si>
  <si>
    <t>of the Demon</t>
  </si>
  <si>
    <t>of the Elements</t>
  </si>
  <si>
    <t>Talisman</t>
  </si>
  <si>
    <t>Potion of frost giant strength</t>
  </si>
  <si>
    <t>Steel shield</t>
  </si>
  <si>
    <t>[2d6:h] Rations (1 day)</t>
  </si>
  <si>
    <t>Farmers</t>
  </si>
  <si>
    <t>High level of travel and traffic, many caravans and chariots</t>
  </si>
  <si>
    <t>Animate Objects</t>
  </si>
  <si>
    <t>Animal Handler</t>
  </si>
  <si>
    <t>[F:2@4:Shop:h]</t>
  </si>
  <si>
    <t>[F:1:Taverns:h]</t>
  </si>
  <si>
    <t>[750@1500:h]</t>
  </si>
  <si>
    <t>Fortress</t>
  </si>
  <si>
    <t>[15d100:h]</t>
  </si>
  <si>
    <t>Fire//Earth//Water//Air//Abyss//Hell//</t>
  </si>
  <si>
    <t>Planar</t>
  </si>
  <si>
    <t>of Contingency</t>
  </si>
  <si>
    <t>Convenient</t>
  </si>
  <si>
    <t>Booming</t>
  </si>
  <si>
    <t>Scarab</t>
  </si>
  <si>
    <t>Potion of fire giant strength</t>
  </si>
  <si>
    <t>Wooden shield</t>
  </si>
  <si>
    <t>Flask of oil</t>
  </si>
  <si>
    <t>Solitary hunter</t>
  </si>
  <si>
    <t>Well travelled and patrolled, occasional mounted patrols</t>
  </si>
  <si>
    <t>Market</t>
  </si>
  <si>
    <t>[F:1@3:Shop:h]</t>
  </si>
  <si>
    <t>[R:1d8+3:Building:h]</t>
  </si>
  <si>
    <t>[300@750:h]</t>
  </si>
  <si>
    <t>[0:h]</t>
  </si>
  <si>
    <t>Sea//Ocean//</t>
  </si>
  <si>
    <t>Sea</t>
  </si>
  <si>
    <t>of Command</t>
  </si>
  <si>
    <t>of Discord</t>
  </si>
  <si>
    <t>Blinding</t>
  </si>
  <si>
    <t>Periapt</t>
  </si>
  <si>
    <t>Potion of hill giant strength//2</t>
  </si>
  <si>
    <t>Full-plate</t>
  </si>
  <si>
    <t>[3d6:h] Darts (20)</t>
  </si>
  <si>
    <t>Common clothes</t>
  </si>
  <si>
    <t>Diseased animal corpse</t>
  </si>
  <si>
    <t>Guarhouse with checkpoint every 5 miles</t>
  </si>
  <si>
    <t>Tornado//1</t>
  </si>
  <si>
    <t>Arena/Fighting Pit</t>
  </si>
  <si>
    <t>[R:3d6:Items-Potion:h]</t>
  </si>
  <si>
    <t>Apothecary</t>
  </si>
  <si>
    <t>Tomb</t>
  </si>
  <si>
    <t>[F:1@2:Shop:h]</t>
  </si>
  <si>
    <t>[R:1d4+2:Building:h]</t>
  </si>
  <si>
    <t>[125@300:h]</t>
  </si>
  <si>
    <t>Moathouse</t>
  </si>
  <si>
    <t>[1d100:h]</t>
  </si>
  <si>
    <t>Gorges//Rift//Valley//Canyon//</t>
  </si>
  <si>
    <t>Depression</t>
  </si>
  <si>
    <t>of Cleansing</t>
  </si>
  <si>
    <t>Blueleaf</t>
  </si>
  <si>
    <t>Amulet</t>
  </si>
  <si>
    <t>Elixir of health</t>
  </si>
  <si>
    <t>Half-plate</t>
  </si>
  <si>
    <t>Light crossbow</t>
  </si>
  <si>
    <t>Pearl necklace</t>
  </si>
  <si>
    <t>Small merchant caravan</t>
  </si>
  <si>
    <t>Occasional patrols and camps</t>
  </si>
  <si>
    <t>Thunderstorm//1</t>
  </si>
  <si>
    <t>Shipbuilder</t>
  </si>
  <si>
    <t>[R:5d6:Items-Common:h]</t>
  </si>
  <si>
    <t>[F:0@1:Shop:h]</t>
  </si>
  <si>
    <t>[R:1d4+1:Building:h]</t>
  </si>
  <si>
    <t>[75@250:h]</t>
  </si>
  <si>
    <t>Keep</t>
  </si>
  <si>
    <t>Pools//Tarns//Lakes//</t>
  </si>
  <si>
    <t>Pond</t>
  </si>
  <si>
    <t>of Charm</t>
  </si>
  <si>
    <t>Bloodied</t>
  </si>
  <si>
    <t>of Dancing</t>
  </si>
  <si>
    <t>Potion of supreme healing</t>
  </si>
  <si>
    <t>Platinum bracelet</t>
  </si>
  <si>
    <t>Dead body</t>
  </si>
  <si>
    <t>Cracked and poorly maintained</t>
  </si>
  <si>
    <t>6 days//1</t>
  </si>
  <si>
    <t>Snowstorm//3</t>
  </si>
  <si>
    <t>Storeroom</t>
  </si>
  <si>
    <t>Brothel/Whorehouse</t>
  </si>
  <si>
    <t>Grocery</t>
  </si>
  <si>
    <t>Wild beasts</t>
  </si>
  <si>
    <t>[R:1d2:Building:h]</t>
  </si>
  <si>
    <t>[5@50:h]</t>
  </si>
  <si>
    <t>[10d100:h]</t>
  </si>
  <si>
    <t>Fens//Sloughs//Swamps//Bogs//Mires//Quagmires//Morasses//</t>
  </si>
  <si>
    <t>Marsh</t>
  </si>
  <si>
    <t>of Celebration</t>
  </si>
  <si>
    <t>of the Champion</t>
  </si>
  <si>
    <t>of Curses</t>
  </si>
  <si>
    <t>Avenger</t>
  </si>
  <si>
    <t>Cape</t>
  </si>
  <si>
    <t>Potion of superior healing</t>
  </si>
  <si>
    <t>Torch</t>
  </si>
  <si>
    <t>Jeweled gold crown</t>
  </si>
  <si>
    <t>Itinerant priest</t>
  </si>
  <si>
    <t>Occasional townsigns and crossroads</t>
  </si>
  <si>
    <t>5 days//1</t>
  </si>
  <si>
    <t>Snow//4</t>
  </si>
  <si>
    <t>Armory</t>
  </si>
  <si>
    <t>Carpenter/Woodworker</t>
  </si>
  <si>
    <t>[R:1d4:Items-Books:h]</t>
  </si>
  <si>
    <t>[F:4@8:Shop:h]</t>
  </si>
  <si>
    <t>[F:2d3:Taverns:h]</t>
  </si>
  <si>
    <t>[R:3d8+4:Building:h]</t>
  </si>
  <si>
    <t>[4000@10000:h]</t>
  </si>
  <si>
    <t>Halflings//2</t>
  </si>
  <si>
    <t>Rock mountains//Mesas//Glaciers//Tors//</t>
  </si>
  <si>
    <t>of Brilliance</t>
  </si>
  <si>
    <t>of Creeping Cold</t>
  </si>
  <si>
    <t>Cloak</t>
  </si>
  <si>
    <t>Potion of greater healing//2</t>
  </si>
  <si>
    <t>Gold ring with gemstone</t>
  </si>
  <si>
    <t>Hoard</t>
  </si>
  <si>
    <t>Bandit toll</t>
  </si>
  <si>
    <t>Canopy trees provide cover</t>
  </si>
  <si>
    <t>4 days//1</t>
  </si>
  <si>
    <t>Shower//1</t>
  </si>
  <si>
    <t>Arrow trap</t>
  </si>
  <si>
    <t>Leatherworker</t>
  </si>
  <si>
    <t>Hall</t>
  </si>
  <si>
    <t>Books/Scrolls</t>
  </si>
  <si>
    <t>Bazar</t>
  </si>
  <si>
    <t>Shaman</t>
  </si>
  <si>
    <t>Sewers</t>
  </si>
  <si>
    <t>[F:3@6:Shop:h]</t>
  </si>
  <si>
    <t>[F:2d2:Taverns:h]</t>
  </si>
  <si>
    <t>[R:2d8+4:Building:h]</t>
  </si>
  <si>
    <t>[1500@4000:h]</t>
  </si>
  <si>
    <t>Lizardfolk//1</t>
  </si>
  <si>
    <t>[20d100:h]</t>
  </si>
  <si>
    <t>Hills//Ridges//Bluffs//Dunes//</t>
  </si>
  <si>
    <t>of Antimagic</t>
  </si>
  <si>
    <t>Ascetic</t>
  </si>
  <si>
    <t>Bashing</t>
  </si>
  <si>
    <t>Arcane</t>
  </si>
  <si>
    <t>Gloves</t>
  </si>
  <si>
    <t>Potion of invulnerability</t>
  </si>
  <si>
    <t>[R:0@1:Universal-Prefix:h] [R:1:Items-Equipment:h] [R:0@1:Universal-Suffix:h]</t>
  </si>
  <si>
    <t>Silver chain</t>
  </si>
  <si>
    <t>Magic</t>
  </si>
  <si>
    <t>Escaped convicts</t>
  </si>
  <si>
    <t>Horsegrooves and bootprints</t>
  </si>
  <si>
    <t>3 days//1</t>
  </si>
  <si>
    <t>Rain//3</t>
  </si>
  <si>
    <t>Rain//4</t>
  </si>
  <si>
    <t>Spiked pit trap</t>
  </si>
  <si>
    <t>Secret chamber</t>
  </si>
  <si>
    <t>Fletcher/Bowyer</t>
  </si>
  <si>
    <t>[R:1d6+2:Items-Potion:h], [R:2d6+2:Items-Scroll:h]</t>
  </si>
  <si>
    <t>High priest</t>
  </si>
  <si>
    <t>[F:2@5:Shop:h]</t>
  </si>
  <si>
    <t>[F:1d2+1:Taverns:h]</t>
  </si>
  <si>
    <t>[R:2d6+2:Building:h]</t>
  </si>
  <si>
    <t>[900@1500:h]</t>
  </si>
  <si>
    <t>Town</t>
  </si>
  <si>
    <t>[F:1:Hazard:h]</t>
  </si>
  <si>
    <t>Goblins//1</t>
  </si>
  <si>
    <t>[5d100:h]</t>
  </si>
  <si>
    <t>Sand desert//Barrens//Wastes//Flats//Snowfields//</t>
  </si>
  <si>
    <t>of Agathys</t>
  </si>
  <si>
    <t>Arrow-Catching</t>
  </si>
  <si>
    <t>of Animation</t>
  </si>
  <si>
    <t>Answering</t>
  </si>
  <si>
    <t>Bracers</t>
  </si>
  <si>
    <t>Potion of heroism</t>
  </si>
  <si>
    <t>[R:0@1:Armor-Prefix:h] [R:1:Items-Armor:h] [R:0@1:Armor-Suffix:h] +[0@3:h]</t>
  </si>
  <si>
    <t>Saphirre</t>
  </si>
  <si>
    <t>Silver chalice</t>
  </si>
  <si>
    <t>[1d4+1:h] Gnolls</t>
  </si>
  <si>
    <t>NPC adventuring party</t>
  </si>
  <si>
    <t>High vegetation on either sides</t>
  </si>
  <si>
    <t>Paved road</t>
  </si>
  <si>
    <t>2 days//2</t>
  </si>
  <si>
    <t>Drizzle//4</t>
  </si>
  <si>
    <t>Drizzle//5</t>
  </si>
  <si>
    <t>Falling boulder</t>
  </si>
  <si>
    <t>Extreme temperature</t>
  </si>
  <si>
    <t>Innkeeper</t>
  </si>
  <si>
    <t>Vestibule</t>
  </si>
  <si>
    <t>Clay Pit</t>
  </si>
  <si>
    <t>[R:2d6:Items-Magic:h]</t>
  </si>
  <si>
    <t>Premium</t>
  </si>
  <si>
    <t>Cavern</t>
  </si>
  <si>
    <t>[F:1d2:Taverns:h]</t>
  </si>
  <si>
    <t>[R:1d6+3:Building:h]</t>
  </si>
  <si>
    <t>[250@750:h]</t>
  </si>
  <si>
    <t>Shops</t>
  </si>
  <si>
    <t>[F:1:Encounter:h]</t>
  </si>
  <si>
    <t>Orcs//1</t>
  </si>
  <si>
    <t>Badlands//</t>
  </si>
  <si>
    <t>Rough</t>
  </si>
  <si>
    <t>of Absorption</t>
  </si>
  <si>
    <t>Arachnid</t>
  </si>
  <si>
    <t>of Awakening Mind</t>
  </si>
  <si>
    <t>Ambushing</t>
  </si>
  <si>
    <t>Armband</t>
  </si>
  <si>
    <t>Potion of [R:1:Element:h] resistance</t>
  </si>
  <si>
    <t>[R:0@1:Weapon-Prefix:h] [R:1:Items-Weapon:h] [R:0@1:Weapon-Suffix:h] +[0@3:h]</t>
  </si>
  <si>
    <t>Thieve's tools</t>
  </si>
  <si>
    <t>[R:1:Items-Armor:h]</t>
  </si>
  <si>
    <t>Gold bracelet</t>
  </si>
  <si>
    <t>Consumables</t>
  </si>
  <si>
    <t>[1d2+1:h] Ettins</t>
  </si>
  <si>
    <t>[2d6+2:h] Xvarts</t>
  </si>
  <si>
    <t>Hunting party</t>
  </si>
  <si>
    <t>Blood and tracks along the way</t>
  </si>
  <si>
    <t>Cobblestone road</t>
  </si>
  <si>
    <t>Riding path</t>
  </si>
  <si>
    <t>Forest trail</t>
  </si>
  <si>
    <t>Road</t>
  </si>
  <si>
    <t>1 day and [1d12:h] hours//2</t>
  </si>
  <si>
    <t>Cloudy//6</t>
  </si>
  <si>
    <t>Spear trap</t>
  </si>
  <si>
    <t>Mudslide</t>
  </si>
  <si>
    <t>Lunar/Solar eclipse</t>
  </si>
  <si>
    <t>Trap</t>
  </si>
  <si>
    <t>Throne room</t>
  </si>
  <si>
    <t>Armorsmith</t>
  </si>
  <si>
    <t>[R:5d6:Items-Armor:h]</t>
  </si>
  <si>
    <t>Good</t>
  </si>
  <si>
    <t>Brothel</t>
  </si>
  <si>
    <t>Evil humanoid</t>
  </si>
  <si>
    <t>Prison</t>
  </si>
  <si>
    <t>Church</t>
  </si>
  <si>
    <t>[N:0:Elf:h], a level [1d4+1:h] Elf [R:1:Class:h]</t>
  </si>
  <si>
    <t>[100@400:h]</t>
  </si>
  <si>
    <t>Taverns</t>
  </si>
  <si>
    <t>[R:1:Structure:h]</t>
  </si>
  <si>
    <t>Elves//3</t>
  </si>
  <si>
    <t>Forest//Woods//Jungle//Groves//Copses//</t>
  </si>
  <si>
    <t>of [R:1:Element:h]</t>
  </si>
  <si>
    <t>Adept</t>
  </si>
  <si>
    <t>Ally</t>
  </si>
  <si>
    <t>Belt</t>
  </si>
  <si>
    <t>Antidote//4</t>
  </si>
  <si>
    <t>[R:1:Items-Armor:h] +[1@3:h]</t>
  </si>
  <si>
    <t>Artisan's tools</t>
  </si>
  <si>
    <t>[R:1:Items-Weapon:h]</t>
  </si>
  <si>
    <t>[R:1:Items-Scroll:h]</t>
  </si>
  <si>
    <t>Amethyst//3</t>
  </si>
  <si>
    <t>Bone statuette</t>
  </si>
  <si>
    <t>[1d4+2:h] Ogres</t>
  </si>
  <si>
    <t>[1d6+2:h] Goblins</t>
  </si>
  <si>
    <t>Traveling peddler</t>
  </si>
  <si>
    <t>Overgrown with weeds</t>
  </si>
  <si>
    <t>Droveway</t>
  </si>
  <si>
    <t>Ritual path</t>
  </si>
  <si>
    <t>Hunter's trail</t>
  </si>
  <si>
    <t>Event</t>
  </si>
  <si>
    <t>Path</t>
  </si>
  <si>
    <t>1 day//2</t>
  </si>
  <si>
    <t>Partly Cloudy//8</t>
  </si>
  <si>
    <t>Poison needle</t>
  </si>
  <si>
    <t>Avalanche</t>
  </si>
  <si>
    <t>Flashflood</t>
  </si>
  <si>
    <t>Woodworker</t>
  </si>
  <si>
    <t>Guardhall</t>
  </si>
  <si>
    <t>Solicitor/Lawyer</t>
  </si>
  <si>
    <t>[R:5d6:Items-Weapon:h]</t>
  </si>
  <si>
    <t>Average//2</t>
  </si>
  <si>
    <t>Inn</t>
  </si>
  <si>
    <t>[R:6@12:Room:h]</t>
  </si>
  <si>
    <t>Rooms</t>
  </si>
  <si>
    <t>Lair</t>
  </si>
  <si>
    <t>Renowed smith</t>
  </si>
  <si>
    <t>[N:0:Dwarf:h], a level [1d4+1:h] Dwarven [R:1:Class:h]</t>
  </si>
  <si>
    <t>[R:1d4:Building:h]</t>
  </si>
  <si>
    <t>[50@200:h]</t>
  </si>
  <si>
    <t>[F:1:Dungeon:h]</t>
  </si>
  <si>
    <t>Dwarf//3</t>
  </si>
  <si>
    <t>Brush//Veldt//Bush//Thickets//Brackens//</t>
  </si>
  <si>
    <t>Features</t>
  </si>
  <si>
    <t>Scrub</t>
  </si>
  <si>
    <t>of Quality</t>
  </si>
  <si>
    <t>Masterwork</t>
  </si>
  <si>
    <t>of Life</t>
  </si>
  <si>
    <t>of Bleeding</t>
  </si>
  <si>
    <t>Fencing</t>
  </si>
  <si>
    <t>Boots</t>
  </si>
  <si>
    <t>Spellbook ([R:1d6+1:Spells:h])</t>
  </si>
  <si>
    <t>Scroll of [R:1:Spells:h]</t>
  </si>
  <si>
    <t>Potion of healing//6</t>
  </si>
  <si>
    <t>[R:1:Items-Weapon:h] +[1@3:h]</t>
  </si>
  <si>
    <t>Robe</t>
  </si>
  <si>
    <t>Lantern</t>
  </si>
  <si>
    <t>[R:1d2:Treasure-Art:h], [R:1d3+1:Treasure-Gems:h], [R:1d3:Treasure-Consumables:h], [R:0@2:Treasure-Items:h], [R:0@1:Treasure-Magic:h]</t>
  </si>
  <si>
    <t>[R:1:Items-Magic:h]</t>
  </si>
  <si>
    <t>[R:1:Items-Common:h]</t>
  </si>
  <si>
    <t>[R:1:Items-Potion:h]</t>
  </si>
  <si>
    <t>Topaz//3</t>
  </si>
  <si>
    <t>A golden idol</t>
  </si>
  <si>
    <t>Art</t>
  </si>
  <si>
    <t>[1d3+1:h] Hill giants</t>
  </si>
  <si>
    <t>[2d4+1:h] Bandits</t>
  </si>
  <si>
    <t>Border patrol</t>
  </si>
  <si>
    <t>Recently used</t>
  </si>
  <si>
    <t>Crossroads</t>
  </si>
  <si>
    <t>Dirt path</t>
  </si>
  <si>
    <t>Animal trail</t>
  </si>
  <si>
    <t>Traffic</t>
  </si>
  <si>
    <t>Trail</t>
  </si>
  <si>
    <t>[1d12:h] hours//2</t>
  </si>
  <si>
    <t>Clear//6</t>
  </si>
  <si>
    <t>Clear//8</t>
  </si>
  <si>
    <t>Duration</t>
  </si>
  <si>
    <t>Pit trap</t>
  </si>
  <si>
    <t>Quicksand</t>
  </si>
  <si>
    <t>Abi-Dalzim's Horrid Wilting</t>
  </si>
  <si>
    <t>Farmer</t>
  </si>
  <si>
    <t>Empty room</t>
  </si>
  <si>
    <t>Apothecary/Druggist</t>
  </si>
  <si>
    <t>[R:5d6:Items-Common:h], [R:2d4:Items-Weapon:h]</t>
  </si>
  <si>
    <t>Inventory</t>
  </si>
  <si>
    <t>Tavern</t>
  </si>
  <si>
    <t>[R:3@6:Room:h]</t>
  </si>
  <si>
    <t>Mine</t>
  </si>
  <si>
    <t>Ale, Grain, Spices</t>
  </si>
  <si>
    <t>[N:0:Human:h], a level [1d4+1:h] Human [R:1:Class:h]//4</t>
  </si>
  <si>
    <t>[10@60:h]</t>
  </si>
  <si>
    <t>Camp</t>
  </si>
  <si>
    <t>[F:1:Settlement:h]</t>
  </si>
  <si>
    <t>[F:1:Settlement:h]//2</t>
  </si>
  <si>
    <t>[S:1d4+1:Discovery:h]</t>
  </si>
  <si>
    <t>Human//10</t>
  </si>
  <si>
    <t>[25d100:h]</t>
  </si>
  <si>
    <t>Tundra//Steppe//Savannah//Prairie//Heath//Moor//Downs//Meadow//</t>
  </si>
  <si>
    <t>Subtype</t>
  </si>
  <si>
    <t>Plain</t>
  </si>
  <si>
    <t>Universal-Suffix</t>
  </si>
  <si>
    <t>Universal-Prefix</t>
  </si>
  <si>
    <t>Armor-Suffix</t>
  </si>
  <si>
    <t>Armor-Prefix</t>
  </si>
  <si>
    <t>Weapon-Suffix</t>
  </si>
  <si>
    <t>Weapon-Prefix</t>
  </si>
  <si>
    <t>Items-Equipment</t>
  </si>
  <si>
    <t>Items-Books</t>
  </si>
  <si>
    <t>Items-Scroll</t>
  </si>
  <si>
    <t>Items-Potion</t>
  </si>
  <si>
    <t>Items-Magic</t>
  </si>
  <si>
    <t>Items-Armor</t>
  </si>
  <si>
    <t>Items-Weapon</t>
  </si>
  <si>
    <t>Items-Common</t>
  </si>
  <si>
    <t>Treasure-Hoard</t>
  </si>
  <si>
    <t>Treasure-Magic</t>
  </si>
  <si>
    <t>Treasure-Items</t>
  </si>
  <si>
    <t>Treasure-Consumables</t>
  </si>
  <si>
    <t>Treasure-Gems</t>
  </si>
  <si>
    <t>Treasure-Art</t>
  </si>
  <si>
    <t>Encounter-Giants</t>
  </si>
  <si>
    <t>Encounter-Humanoids</t>
  </si>
  <si>
    <t>Road-Event</t>
  </si>
  <si>
    <t>Path-Event</t>
  </si>
  <si>
    <t>Trail-Event</t>
  </si>
  <si>
    <t>Road-Traffic</t>
  </si>
  <si>
    <t>Path-Traffic</t>
  </si>
  <si>
    <t>Trail-Traffic</t>
  </si>
  <si>
    <t>Travel-Road</t>
  </si>
  <si>
    <t>Travel-Path</t>
  </si>
  <si>
    <t>Travel-Trail</t>
  </si>
  <si>
    <t>Travel-Subcat</t>
  </si>
  <si>
    <t>Travel</t>
  </si>
  <si>
    <t>Weather-Duration</t>
  </si>
  <si>
    <t>Weather-Winter</t>
  </si>
  <si>
    <t>Weather-Summer</t>
  </si>
  <si>
    <t>Weather-Category</t>
  </si>
  <si>
    <t>Hazard-Trap</t>
  </si>
  <si>
    <t>Hazard-Terrain</t>
  </si>
  <si>
    <t>Hazard-Weather</t>
  </si>
  <si>
    <t>Hazard</t>
  </si>
  <si>
    <t>Element</t>
  </si>
  <si>
    <t>Occupation</t>
  </si>
  <si>
    <t>Room</t>
  </si>
  <si>
    <t>Building</t>
  </si>
  <si>
    <t>Structure</t>
  </si>
  <si>
    <t>Shop-Inventory</t>
  </si>
  <si>
    <t>Shop-Base</t>
  </si>
  <si>
    <t>Shop</t>
  </si>
  <si>
    <t>Taverns-Quality</t>
  </si>
  <si>
    <t>Taverns-Category</t>
  </si>
  <si>
    <t>Dungeon-Rooms</t>
  </si>
  <si>
    <t>Dungeon-Master</t>
  </si>
  <si>
    <t>Dungeon-Category</t>
  </si>
  <si>
    <t>Dungeon-Base</t>
  </si>
  <si>
    <t>Dungeon</t>
  </si>
  <si>
    <t>Settlement-Feature</t>
  </si>
  <si>
    <t>Settlement-Leader</t>
  </si>
  <si>
    <t>Settlement-Shops</t>
  </si>
  <si>
    <t>Settlement-Taverns</t>
  </si>
  <si>
    <t>Settlement-Buildings</t>
  </si>
  <si>
    <t>Settlement-Population</t>
  </si>
  <si>
    <t>Settlement-Category</t>
  </si>
  <si>
    <t>Settlement-Base</t>
  </si>
  <si>
    <t>Settlement</t>
  </si>
  <si>
    <t>Planar-Event</t>
  </si>
  <si>
    <t>Sea-Event</t>
  </si>
  <si>
    <t>Depression-Event</t>
  </si>
  <si>
    <t>Pond-Event</t>
  </si>
  <si>
    <t>Marsh-Event</t>
  </si>
  <si>
    <t>Mountains-Event</t>
  </si>
  <si>
    <t>Hills-Event</t>
  </si>
  <si>
    <t>Desert-Event</t>
  </si>
  <si>
    <t>Rough-Event</t>
  </si>
  <si>
    <t>Forest-Event</t>
  </si>
  <si>
    <t>Scrub-Event</t>
  </si>
  <si>
    <t>Plain-Event</t>
  </si>
  <si>
    <t>Wilderness-Features</t>
  </si>
  <si>
    <t>Wilderness-Race</t>
  </si>
  <si>
    <t>Wilderness-Population</t>
  </si>
  <si>
    <t>Wilderness-Subtype</t>
  </si>
  <si>
    <t>Wilderness-Subcat</t>
  </si>
  <si>
    <t>Wilderness-Category</t>
  </si>
  <si>
    <t>Wilderness-Base</t>
  </si>
  <si>
    <t>Wilderness</t>
  </si>
  <si>
    <t>20-80</t>
  </si>
  <si>
    <t>201-900</t>
  </si>
  <si>
    <t>901-2000</t>
  </si>
  <si>
    <t>2001-5000</t>
  </si>
  <si>
    <t>5001-12000</t>
  </si>
  <si>
    <t>12001-25000</t>
  </si>
  <si>
    <t>25001-1000000</t>
  </si>
  <si>
    <t>81-200</t>
  </si>
  <si>
    <t>-p</t>
  </si>
  <si>
    <t>5-50</t>
  </si>
  <si>
    <t>75-250</t>
  </si>
  <si>
    <t>125-300</t>
  </si>
  <si>
    <t>300-750</t>
  </si>
  <si>
    <t>750-1500</t>
  </si>
  <si>
    <t>Settlement type</t>
  </si>
  <si>
    <t>Thorp</t>
  </si>
  <si>
    <t>Attributes</t>
  </si>
  <si>
    <t>Alignment</t>
  </si>
  <si>
    <t>Names</t>
  </si>
  <si>
    <t>Dwarven</t>
  </si>
  <si>
    <t>Dwarven Males</t>
  </si>
  <si>
    <t>Dwarven Females</t>
  </si>
  <si>
    <t>Dwarven Clan</t>
  </si>
  <si>
    <t>Chondathan Males</t>
  </si>
  <si>
    <t>Chondathan Females</t>
  </si>
  <si>
    <t>Chondathan Surnames</t>
  </si>
  <si>
    <t>Illuskan Males</t>
  </si>
  <si>
    <t>Illuskan Females</t>
  </si>
  <si>
    <t>Illuskan Surnames</t>
  </si>
  <si>
    <t>Tethyrian Males</t>
  </si>
  <si>
    <t>Tethyrian Females</t>
  </si>
  <si>
    <t>Tethyrian Surnames</t>
  </si>
  <si>
    <t>Elvish Males</t>
  </si>
  <si>
    <t>Elvish Surnames</t>
  </si>
  <si>
    <t>Elvish Females</t>
  </si>
  <si>
    <t>Goblin Males</t>
  </si>
  <si>
    <t>Goblin Females</t>
  </si>
  <si>
    <t>Bugbear Males</t>
  </si>
  <si>
    <t>Bugbear Females</t>
  </si>
  <si>
    <t>Hobgoblin Males</t>
  </si>
  <si>
    <t>Hobgoblin Females</t>
  </si>
  <si>
    <t>Hobgoblin Title</t>
  </si>
  <si>
    <t>Variables (using ";" as delimiter)</t>
  </si>
  <si>
    <t>Gnoll Males</t>
  </si>
  <si>
    <t>Gnoll Females</t>
  </si>
  <si>
    <t>Small Town</t>
  </si>
  <si>
    <t>Large Town</t>
  </si>
  <si>
    <t>Fortification</t>
  </si>
  <si>
    <t>Fort</t>
  </si>
  <si>
    <t>Garrison</t>
  </si>
  <si>
    <t>Leader of Garrison</t>
  </si>
  <si>
    <t>Illuska</t>
  </si>
  <si>
    <t>Elvish</t>
  </si>
  <si>
    <t>Bugbears</t>
  </si>
  <si>
    <t>Gnolls</t>
  </si>
  <si>
    <t>Orcish</t>
  </si>
  <si>
    <t>Orc Males</t>
  </si>
  <si>
    <t>Orc Females</t>
  </si>
  <si>
    <t>10;20;30;40;50;60;70;80</t>
  </si>
  <si>
    <t>90;100;110;120;130;140;150;160;170;180;190;200;</t>
  </si>
  <si>
    <t>200;250;300;350;400;450;500;550;600;650;700;750;800;850;900</t>
  </si>
  <si>
    <t>Alignment of Settlement</t>
  </si>
  <si>
    <t>Aarokacra</t>
  </si>
  <si>
    <t>Dragonborn</t>
  </si>
  <si>
    <t>Gnome (Deep)</t>
  </si>
  <si>
    <t>Halfling</t>
  </si>
  <si>
    <t>Half-Orc</t>
  </si>
  <si>
    <t>Shou</t>
  </si>
  <si>
    <t>Turami</t>
  </si>
  <si>
    <t>Tiefling</t>
  </si>
  <si>
    <t>Triton</t>
  </si>
  <si>
    <t>Yuan-Ti</t>
  </si>
  <si>
    <t>Any gender</t>
  </si>
  <si>
    <t>Chromatic</t>
  </si>
  <si>
    <t>Metallic</t>
  </si>
  <si>
    <t>Prefix</t>
  </si>
  <si>
    <t>Suffix</t>
  </si>
  <si>
    <t>Child</t>
  </si>
  <si>
    <t>Meaning</t>
  </si>
  <si>
    <t>Clan</t>
  </si>
  <si>
    <t>Nickname</t>
  </si>
  <si>
    <t>Family</t>
  </si>
  <si>
    <t>Epithet</t>
  </si>
  <si>
    <t>Virtue</t>
  </si>
  <si>
    <t>Male Pre</t>
  </si>
  <si>
    <t>Male Suf</t>
  </si>
  <si>
    <t>Female Pre</t>
  </si>
  <si>
    <t>Female Suf</t>
  </si>
  <si>
    <t>Part 1</t>
  </si>
  <si>
    <t>Part 2</t>
  </si>
  <si>
    <t>Part 3</t>
  </si>
  <si>
    <t>Aera</t>
  </si>
  <si>
    <t>Arjhan</t>
  </si>
  <si>
    <t>Akra</t>
  </si>
  <si>
    <t>Brass</t>
  </si>
  <si>
    <t>Adrik</t>
  </si>
  <si>
    <t>hammer</t>
  </si>
  <si>
    <t>Adran</t>
  </si>
  <si>
    <t>Adrie</t>
  </si>
  <si>
    <t>Ara</t>
  </si>
  <si>
    <t>Ama</t>
  </si>
  <si>
    <t>flower</t>
  </si>
  <si>
    <t>kiir</t>
  </si>
  <si>
    <t>Gem</t>
  </si>
  <si>
    <t>Alston</t>
  </si>
  <si>
    <t>Bimpnottin</t>
  </si>
  <si>
    <t>Beren</t>
  </si>
  <si>
    <t>Aleslosh</t>
  </si>
  <si>
    <t>Belwar</t>
  </si>
  <si>
    <t>Beliss</t>
  </si>
  <si>
    <t>Crystal</t>
  </si>
  <si>
    <t>fist</t>
  </si>
  <si>
    <t>Alton</t>
  </si>
  <si>
    <t>Andry</t>
  </si>
  <si>
    <t>Brushgather</t>
  </si>
  <si>
    <t>Dench</t>
  </si>
  <si>
    <t>Baggi</t>
  </si>
  <si>
    <t>Aseir</t>
  </si>
  <si>
    <t>Atala</t>
  </si>
  <si>
    <t>Basha</t>
  </si>
  <si>
    <t>Darvin</t>
  </si>
  <si>
    <t>Arveene</t>
  </si>
  <si>
    <t>Amble</t>
  </si>
  <si>
    <t>crown</t>
  </si>
  <si>
    <t>Bor</t>
  </si>
  <si>
    <t>Alethra</t>
  </si>
  <si>
    <t>Bersk</t>
  </si>
  <si>
    <t>Ander</t>
  </si>
  <si>
    <t>Amafrey</t>
  </si>
  <si>
    <t>Bright</t>
  </si>
  <si>
    <t>wood</t>
  </si>
  <si>
    <t>Aoth</t>
  </si>
  <si>
    <t>Arizima</t>
  </si>
  <si>
    <t>Ankhalab</t>
  </si>
  <si>
    <t>Borivik</t>
  </si>
  <si>
    <t>Kyevarra</t>
  </si>
  <si>
    <t>Chergoba</t>
  </si>
  <si>
    <t>An</t>
  </si>
  <si>
    <t>Bai</t>
  </si>
  <si>
    <t>Chien</t>
  </si>
  <si>
    <t>Anton</t>
  </si>
  <si>
    <t>Balama</t>
  </si>
  <si>
    <t>Agosto</t>
  </si>
  <si>
    <t>Achuak (green)</t>
  </si>
  <si>
    <t>Grutok</t>
  </si>
  <si>
    <t>Kansif</t>
  </si>
  <si>
    <t>The Filthy</t>
  </si>
  <si>
    <t>Akmenos</t>
  </si>
  <si>
    <t>Akta</t>
  </si>
  <si>
    <t>Co</t>
  </si>
  <si>
    <t>rus</t>
  </si>
  <si>
    <t>A</t>
  </si>
  <si>
    <t>ryn</t>
  </si>
  <si>
    <t>As</t>
  </si>
  <si>
    <t>ut</t>
  </si>
  <si>
    <t>ali</t>
  </si>
  <si>
    <t>Aial</t>
  </si>
  <si>
    <t>Balasar</t>
  </si>
  <si>
    <t>Biri</t>
  </si>
  <si>
    <t>Blue</t>
  </si>
  <si>
    <t>Bronze</t>
  </si>
  <si>
    <t>Alberich</t>
  </si>
  <si>
    <t>Artin</t>
  </si>
  <si>
    <t>anvil</t>
  </si>
  <si>
    <t>Aelar</t>
  </si>
  <si>
    <t>Althaea</t>
  </si>
  <si>
    <t>Bryn</t>
  </si>
  <si>
    <t>Gala</t>
  </si>
  <si>
    <t>whisper</t>
  </si>
  <si>
    <t>stacia</t>
  </si>
  <si>
    <t>Star</t>
  </si>
  <si>
    <t>Alvyn</t>
  </si>
  <si>
    <t>Breena</t>
  </si>
  <si>
    <t>Daergel</t>
  </si>
  <si>
    <t>Ashhearth</t>
  </si>
  <si>
    <t>Brickers</t>
  </si>
  <si>
    <t>Durthee</t>
  </si>
  <si>
    <t>cutter</t>
  </si>
  <si>
    <t>Bree</t>
  </si>
  <si>
    <t>Goodbarrel</t>
  </si>
  <si>
    <t>Feng</t>
  </si>
  <si>
    <t>Emen</t>
  </si>
  <si>
    <t>Bardeid</t>
  </si>
  <si>
    <t>Ceidil</t>
  </si>
  <si>
    <t>Dumein</t>
  </si>
  <si>
    <t>Esvele</t>
  </si>
  <si>
    <t>Buck</t>
  </si>
  <si>
    <t>man</t>
  </si>
  <si>
    <t>Fodel</t>
  </si>
  <si>
    <t>Kara</t>
  </si>
  <si>
    <t>Chernin</t>
  </si>
  <si>
    <t>Blath</t>
  </si>
  <si>
    <t>Betha</t>
  </si>
  <si>
    <t>Hel</t>
  </si>
  <si>
    <t>der</t>
  </si>
  <si>
    <t>Bareris</t>
  </si>
  <si>
    <t>Chathi</t>
  </si>
  <si>
    <t>Anskuld</t>
  </si>
  <si>
    <t>Faurgar</t>
  </si>
  <si>
    <t>Hulmarra</t>
  </si>
  <si>
    <t>Dyernina</t>
  </si>
  <si>
    <t>Chen</t>
  </si>
  <si>
    <t>Chao</t>
  </si>
  <si>
    <t>Huang</t>
  </si>
  <si>
    <t>Diero</t>
  </si>
  <si>
    <t>Dona</t>
  </si>
  <si>
    <t>Astorio</t>
  </si>
  <si>
    <t>Aryte (war)</t>
  </si>
  <si>
    <t>Lorthar</t>
  </si>
  <si>
    <t>Ownka</t>
  </si>
  <si>
    <t>Skull Cleaver</t>
  </si>
  <si>
    <t>Amnon</t>
  </si>
  <si>
    <t>Anakis</t>
  </si>
  <si>
    <t>Carrion</t>
  </si>
  <si>
    <t>Del</t>
  </si>
  <si>
    <t>nis</t>
  </si>
  <si>
    <t>Bel</t>
  </si>
  <si>
    <t>thyn</t>
  </si>
  <si>
    <t>E</t>
  </si>
  <si>
    <t>zt</t>
  </si>
  <si>
    <t>li</t>
  </si>
  <si>
    <t>Aur</t>
  </si>
  <si>
    <t>Bharash</t>
  </si>
  <si>
    <t>Daar</t>
  </si>
  <si>
    <t>Baern</t>
  </si>
  <si>
    <t>Audhild</t>
  </si>
  <si>
    <t>forge</t>
  </si>
  <si>
    <t>Aramil</t>
  </si>
  <si>
    <t>Anastrianna</t>
  </si>
  <si>
    <t>Holi</t>
  </si>
  <si>
    <t>dew</t>
  </si>
  <si>
    <t>nodel</t>
  </si>
  <si>
    <t>Moon</t>
  </si>
  <si>
    <t>Boddynock</t>
  </si>
  <si>
    <t>Caramip</t>
  </si>
  <si>
    <t>Folkor</t>
  </si>
  <si>
    <t>Durthmeck</t>
  </si>
  <si>
    <t>Fricknarti</t>
  </si>
  <si>
    <t>Iron</t>
  </si>
  <si>
    <t>foot</t>
  </si>
  <si>
    <t>Cade</t>
  </si>
  <si>
    <t>Callie</t>
  </si>
  <si>
    <t>Greenbottle</t>
  </si>
  <si>
    <t>Gell</t>
  </si>
  <si>
    <t>Engong</t>
  </si>
  <si>
    <t>Hasied</t>
  </si>
  <si>
    <t>Hama</t>
  </si>
  <si>
    <t>Jassan</t>
  </si>
  <si>
    <t>Evendur</t>
  </si>
  <si>
    <t>Jhessail</t>
  </si>
  <si>
    <t>Dun</t>
  </si>
  <si>
    <t>dragon</t>
  </si>
  <si>
    <t>Glar</t>
  </si>
  <si>
    <t>Katernin</t>
  </si>
  <si>
    <t>Dotsk</t>
  </si>
  <si>
    <t>Cefrey</t>
  </si>
  <si>
    <t>raven</t>
  </si>
  <si>
    <t>Ehputoki</t>
  </si>
  <si>
    <t>Nephis</t>
  </si>
  <si>
    <t>Fezim</t>
  </si>
  <si>
    <t>Jandar</t>
  </si>
  <si>
    <t>Immith</t>
  </si>
  <si>
    <t>Iltazyara</t>
  </si>
  <si>
    <t>Chi</t>
  </si>
  <si>
    <t>Jia</t>
  </si>
  <si>
    <t>Kao</t>
  </si>
  <si>
    <t>Marcon</t>
  </si>
  <si>
    <t>Faila</t>
  </si>
  <si>
    <t>Calabra</t>
  </si>
  <si>
    <t>Baeshra (animal)</t>
  </si>
  <si>
    <t>Abzug</t>
  </si>
  <si>
    <t>Eye Gouger</t>
  </si>
  <si>
    <t>Barakas</t>
  </si>
  <si>
    <t>Bryseis</t>
  </si>
  <si>
    <t>Chant</t>
  </si>
  <si>
    <t>Jhi</t>
  </si>
  <si>
    <t>mas</t>
  </si>
  <si>
    <t>Du</t>
  </si>
  <si>
    <t>ren</t>
  </si>
  <si>
    <t>Hes</t>
  </si>
  <si>
    <t>sa</t>
  </si>
  <si>
    <t>tal</t>
  </si>
  <si>
    <t>Deekek</t>
  </si>
  <si>
    <t>Donaar</t>
  </si>
  <si>
    <t>Farideh</t>
  </si>
  <si>
    <t>Red</t>
  </si>
  <si>
    <t>Barendd</t>
  </si>
  <si>
    <t>Bardryn</t>
  </si>
  <si>
    <t>Deep</t>
  </si>
  <si>
    <t>beard</t>
  </si>
  <si>
    <t>Arannis</t>
  </si>
  <si>
    <t>Andraste</t>
  </si>
  <si>
    <t>Eryn</t>
  </si>
  <si>
    <t>Ilphel</t>
  </si>
  <si>
    <t>blossom</t>
  </si>
  <si>
    <t>mion</t>
  </si>
  <si>
    <t>Brocc</t>
  </si>
  <si>
    <t>Carlin</t>
  </si>
  <si>
    <t>Garrik</t>
  </si>
  <si>
    <t>Firble</t>
  </si>
  <si>
    <t>Ivridda</t>
  </si>
  <si>
    <t>hewer</t>
  </si>
  <si>
    <t>Corrin</t>
  </si>
  <si>
    <t>Cora</t>
  </si>
  <si>
    <t>High-hill</t>
  </si>
  <si>
    <t>Henk</t>
  </si>
  <si>
    <t>Khemed</t>
  </si>
  <si>
    <t>Khalid</t>
  </si>
  <si>
    <t>Gorstag</t>
  </si>
  <si>
    <t>Kerri</t>
  </si>
  <si>
    <t>Even</t>
  </si>
  <si>
    <t>Grigor</t>
  </si>
  <si>
    <t>Mara</t>
  </si>
  <si>
    <t>Kulenov</t>
  </si>
  <si>
    <t>Frath</t>
  </si>
  <si>
    <t>Kethra</t>
  </si>
  <si>
    <t>Lack</t>
  </si>
  <si>
    <t>Kethoth</t>
  </si>
  <si>
    <t>Nulara</t>
  </si>
  <si>
    <t>Hahpet</t>
  </si>
  <si>
    <t>Kanithar</t>
  </si>
  <si>
    <t>Imzel</t>
  </si>
  <si>
    <t>Murnyethara</t>
  </si>
  <si>
    <t>Fai</t>
  </si>
  <si>
    <t>Lei</t>
  </si>
  <si>
    <t>Kung</t>
  </si>
  <si>
    <t>Pieron</t>
  </si>
  <si>
    <t>Jalana</t>
  </si>
  <si>
    <t>Domine</t>
  </si>
  <si>
    <t>Darastrix (dragon)</t>
  </si>
  <si>
    <t>Shugog</t>
  </si>
  <si>
    <t>Sutha</t>
  </si>
  <si>
    <t>Iron Tusk</t>
  </si>
  <si>
    <t>Damakos</t>
  </si>
  <si>
    <t>Criella</t>
  </si>
  <si>
    <t>Creed</t>
  </si>
  <si>
    <t>Ke</t>
  </si>
  <si>
    <t>ros</t>
  </si>
  <si>
    <t>Felo</t>
  </si>
  <si>
    <t>lyn</t>
  </si>
  <si>
    <t>Hi</t>
  </si>
  <si>
    <t>to</t>
  </si>
  <si>
    <t>tee</t>
  </si>
  <si>
    <t>Errk</t>
  </si>
  <si>
    <t>Ghesh</t>
  </si>
  <si>
    <t>Harann</t>
  </si>
  <si>
    <t>White</t>
  </si>
  <si>
    <t>Brottor</t>
  </si>
  <si>
    <t>Dagnal</t>
  </si>
  <si>
    <t>Ever</t>
  </si>
  <si>
    <t>Aust</t>
  </si>
  <si>
    <t>Antinua</t>
  </si>
  <si>
    <t>Faen</t>
  </si>
  <si>
    <t>Lia</t>
  </si>
  <si>
    <t>frond</t>
  </si>
  <si>
    <t>don</t>
  </si>
  <si>
    <t>Burgell</t>
  </si>
  <si>
    <t>Donella</t>
  </si>
  <si>
    <t>Nackle</t>
  </si>
  <si>
    <t>Doublelock</t>
  </si>
  <si>
    <t>Krieger</t>
  </si>
  <si>
    <t>Krivi</t>
  </si>
  <si>
    <t>Seam</t>
  </si>
  <si>
    <t>finder</t>
  </si>
  <si>
    <t>Eldon</t>
  </si>
  <si>
    <t>Euphemia</t>
  </si>
  <si>
    <t>Hilltopple</t>
  </si>
  <si>
    <t>Holg</t>
  </si>
  <si>
    <t>Myev</t>
  </si>
  <si>
    <t>Mehmen</t>
  </si>
  <si>
    <t>Meilil</t>
  </si>
  <si>
    <t>Mostana</t>
  </si>
  <si>
    <t>Grim</t>
  </si>
  <si>
    <t>Lureene</t>
  </si>
  <si>
    <t>Grey</t>
  </si>
  <si>
    <t>castle</t>
  </si>
  <si>
    <t>Igan</t>
  </si>
  <si>
    <t>Natali</t>
  </si>
  <si>
    <t>Marsk</t>
  </si>
  <si>
    <t>Geth</t>
  </si>
  <si>
    <t>wind</t>
  </si>
  <si>
    <t>Mumed</t>
  </si>
  <si>
    <t>Murithi</t>
  </si>
  <si>
    <t>Nathandem</t>
  </si>
  <si>
    <t>Madislak</t>
  </si>
  <si>
    <t>Navarra</t>
  </si>
  <si>
    <t>Stayanoga</t>
  </si>
  <si>
    <t>Jiang</t>
  </si>
  <si>
    <t>Mei</t>
  </si>
  <si>
    <t>Lao</t>
  </si>
  <si>
    <t>Rimardo</t>
  </si>
  <si>
    <t>Luisa</t>
  </si>
  <si>
    <t>Falone</t>
  </si>
  <si>
    <t>Garurt (axe)</t>
  </si>
  <si>
    <t>Urzul</t>
  </si>
  <si>
    <t>Skin Flayer</t>
  </si>
  <si>
    <t>Ekemon</t>
  </si>
  <si>
    <t>Damaia</t>
  </si>
  <si>
    <t>Despair</t>
  </si>
  <si>
    <t>Mo</t>
  </si>
  <si>
    <t>los</t>
  </si>
  <si>
    <t>Otan</t>
  </si>
  <si>
    <t>Is</t>
  </si>
  <si>
    <t>nu</t>
  </si>
  <si>
    <t>hu</t>
  </si>
  <si>
    <t>Heehk</t>
  </si>
  <si>
    <t>Heskan</t>
  </si>
  <si>
    <t>Havilar</t>
  </si>
  <si>
    <t>Bruenor</t>
  </si>
  <si>
    <t>Diesa</t>
  </si>
  <si>
    <t>shard</t>
  </si>
  <si>
    <t>Beiro</t>
  </si>
  <si>
    <t>Bethrynna</t>
  </si>
  <si>
    <t>Innil</t>
  </si>
  <si>
    <t>Meli</t>
  </si>
  <si>
    <t>heel</t>
  </si>
  <si>
    <t>amne</t>
  </si>
  <si>
    <t>Oaken</t>
  </si>
  <si>
    <t>Dimble</t>
  </si>
  <si>
    <t>Duvamil</t>
  </si>
  <si>
    <t>Murnig</t>
  </si>
  <si>
    <t>Flichbatter</t>
  </si>
  <si>
    <t>Kronthud</t>
  </si>
  <si>
    <t>Lulthiss</t>
  </si>
  <si>
    <t>Errich</t>
  </si>
  <si>
    <t>Jillian</t>
  </si>
  <si>
    <t>Leagallow</t>
  </si>
  <si>
    <t>Imsh</t>
  </si>
  <si>
    <t>Neega</t>
  </si>
  <si>
    <t>Sudeiman</t>
  </si>
  <si>
    <t>Seipora</t>
  </si>
  <si>
    <t>Pashar</t>
  </si>
  <si>
    <t>Miri</t>
  </si>
  <si>
    <t>Tall</t>
  </si>
  <si>
    <t>stag</t>
  </si>
  <si>
    <t>Ivor</t>
  </si>
  <si>
    <t>Olma</t>
  </si>
  <si>
    <t>Nemetsk</t>
  </si>
  <si>
    <t>Lander</t>
  </si>
  <si>
    <t>Olga</t>
  </si>
  <si>
    <t>Wind</t>
  </si>
  <si>
    <t>rivver</t>
  </si>
  <si>
    <t>Ramas</t>
  </si>
  <si>
    <t>Sefris</t>
  </si>
  <si>
    <t>Sepret</t>
  </si>
  <si>
    <t>Ralmevik</t>
  </si>
  <si>
    <t>Shevarra</t>
  </si>
  <si>
    <t>Ulmokina</t>
  </si>
  <si>
    <t>Jun</t>
  </si>
  <si>
    <t>Qiao</t>
  </si>
  <si>
    <t>Ling</t>
  </si>
  <si>
    <t>Romero</t>
  </si>
  <si>
    <t>Marta</t>
  </si>
  <si>
    <t>Marivaldi</t>
  </si>
  <si>
    <t>Irhtos (secret)</t>
  </si>
  <si>
    <t>Ruhk</t>
  </si>
  <si>
    <t>Bone Crusher</t>
  </si>
  <si>
    <t>Iados</t>
  </si>
  <si>
    <t>Ea</t>
  </si>
  <si>
    <t>Excellence</t>
  </si>
  <si>
    <t>Na</t>
  </si>
  <si>
    <t>dos</t>
  </si>
  <si>
    <t>Shal</t>
  </si>
  <si>
    <t>Ma</t>
  </si>
  <si>
    <t>tl</t>
  </si>
  <si>
    <t>ya</t>
  </si>
  <si>
    <t>Ikki</t>
  </si>
  <si>
    <t>Kriv</t>
  </si>
  <si>
    <t>Jheri</t>
  </si>
  <si>
    <t>Dain</t>
  </si>
  <si>
    <t>Eldeth</t>
  </si>
  <si>
    <t>Hack</t>
  </si>
  <si>
    <t>helm</t>
  </si>
  <si>
    <t>Berrian</t>
  </si>
  <si>
    <t>Birel</t>
  </si>
  <si>
    <t>Lael</t>
  </si>
  <si>
    <t>Naï</t>
  </si>
  <si>
    <t>breeze</t>
  </si>
  <si>
    <t>lo</t>
  </si>
  <si>
    <t>Ella</t>
  </si>
  <si>
    <t>Ningel</t>
  </si>
  <si>
    <t>Fnipper</t>
  </si>
  <si>
    <t>Schneltheck</t>
  </si>
  <si>
    <t>Nalvarti</t>
  </si>
  <si>
    <t>Finnan</t>
  </si>
  <si>
    <t>Kithri</t>
  </si>
  <si>
    <t>Tealeaf</t>
  </si>
  <si>
    <t>Keth</t>
  </si>
  <si>
    <t>Ovak</t>
  </si>
  <si>
    <t>Zasheir</t>
  </si>
  <si>
    <t>Yaseira</t>
  </si>
  <si>
    <t>Rein</t>
  </si>
  <si>
    <t>Malark</t>
  </si>
  <si>
    <t>Rowan</t>
  </si>
  <si>
    <t>Kosef</t>
  </si>
  <si>
    <t>Shemov</t>
  </si>
  <si>
    <t>Luth</t>
  </si>
  <si>
    <t>Silifrey</t>
  </si>
  <si>
    <t>So-Kehur</t>
  </si>
  <si>
    <t>Thola</t>
  </si>
  <si>
    <t>Uuthrakt</t>
  </si>
  <si>
    <t>Shaumar</t>
  </si>
  <si>
    <t>Tammith</t>
  </si>
  <si>
    <t>Lian</t>
  </si>
  <si>
    <t>Shui</t>
  </si>
  <si>
    <t>Salazar</t>
  </si>
  <si>
    <t>Quara</t>
  </si>
  <si>
    <t>Pisacar</t>
  </si>
  <si>
    <t>Jhank (hammer)</t>
  </si>
  <si>
    <t>Mobad</t>
  </si>
  <si>
    <t>Flesh Ripper</t>
  </si>
  <si>
    <t>Kairon</t>
  </si>
  <si>
    <t>Kallista</t>
  </si>
  <si>
    <t>Vo</t>
  </si>
  <si>
    <t>Vla</t>
  </si>
  <si>
    <t>Me</t>
  </si>
  <si>
    <t>kash</t>
  </si>
  <si>
    <t>eh</t>
  </si>
  <si>
    <t>Kleeck</t>
  </si>
  <si>
    <t>Medrash</t>
  </si>
  <si>
    <t>Kava</t>
  </si>
  <si>
    <t>Darrak</t>
  </si>
  <si>
    <t>Falkrunn</t>
  </si>
  <si>
    <t>hearth</t>
  </si>
  <si>
    <t>Carric</t>
  </si>
  <si>
    <t>Caelynn</t>
  </si>
  <si>
    <t>Mella</t>
  </si>
  <si>
    <t>Sian</t>
  </si>
  <si>
    <t>brook</t>
  </si>
  <si>
    <t>scient</t>
  </si>
  <si>
    <t>Erky</t>
  </si>
  <si>
    <t>Ellyjobell</t>
  </si>
  <si>
    <t>Raulnor</t>
  </si>
  <si>
    <t>Ku</t>
  </si>
  <si>
    <t>Schnicktick</t>
  </si>
  <si>
    <t>Schnella</t>
  </si>
  <si>
    <t>Garret</t>
  </si>
  <si>
    <t>Lavinia</t>
  </si>
  <si>
    <t>Thorngage</t>
  </si>
  <si>
    <t>Krush</t>
  </si>
  <si>
    <t>Zasheida</t>
  </si>
  <si>
    <t>Morn</t>
  </si>
  <si>
    <t>Shandri</t>
  </si>
  <si>
    <t>Mival</t>
  </si>
  <si>
    <t>Zora</t>
  </si>
  <si>
    <t>Starag</t>
  </si>
  <si>
    <t>Malcer</t>
  </si>
  <si>
    <t>Westra</t>
  </si>
  <si>
    <t>Thazar-De</t>
  </si>
  <si>
    <t>Umara</t>
  </si>
  <si>
    <t>Vladislak</t>
  </si>
  <si>
    <t>Yuldra</t>
  </si>
  <si>
    <t>Long</t>
  </si>
  <si>
    <t>Tai</t>
  </si>
  <si>
    <t>Umbero</t>
  </si>
  <si>
    <t>Selise</t>
  </si>
  <si>
    <t>Ramondo</t>
  </si>
  <si>
    <t>Kepesk (storm)</t>
  </si>
  <si>
    <t>Shamog</t>
  </si>
  <si>
    <t>Shautha</t>
  </si>
  <si>
    <t>Doom Hammer</t>
  </si>
  <si>
    <t>Leucis</t>
  </si>
  <si>
    <t>Lerissa</t>
  </si>
  <si>
    <t>Glory</t>
  </si>
  <si>
    <t>Zu</t>
  </si>
  <si>
    <t>Wo</t>
  </si>
  <si>
    <t>O</t>
  </si>
  <si>
    <t>ta</t>
  </si>
  <si>
    <t>lah</t>
  </si>
  <si>
    <t>Oorr</t>
  </si>
  <si>
    <t>Mehen</t>
  </si>
  <si>
    <t>Korinn</t>
  </si>
  <si>
    <t>Delg</t>
  </si>
  <si>
    <t>Finellen</t>
  </si>
  <si>
    <t>mead</t>
  </si>
  <si>
    <t>Enialis</t>
  </si>
  <si>
    <t>Drusilia</t>
  </si>
  <si>
    <t>Naill</t>
  </si>
  <si>
    <t>Xilo</t>
  </si>
  <si>
    <t>petal</t>
  </si>
  <si>
    <t>Fonkin</t>
  </si>
  <si>
    <t>Ellywick</t>
  </si>
  <si>
    <t>Sheppen</t>
  </si>
  <si>
    <t>Nim</t>
  </si>
  <si>
    <t>Thulwar</t>
  </si>
  <si>
    <t>Thulmarra</t>
  </si>
  <si>
    <t>Lindal</t>
  </si>
  <si>
    <t>Lidda</t>
  </si>
  <si>
    <t>Tosscobble</t>
  </si>
  <si>
    <t>Mhurren</t>
  </si>
  <si>
    <t>Tessele</t>
  </si>
  <si>
    <t>Orel</t>
  </si>
  <si>
    <t>Stor</t>
  </si>
  <si>
    <t>Urthur</t>
  </si>
  <si>
    <t>Zolis</t>
  </si>
  <si>
    <t>Meng</t>
  </si>
  <si>
    <t>Shin</t>
  </si>
  <si>
    <t>Vonda</t>
  </si>
  <si>
    <t>Kethend (gem)</t>
  </si>
  <si>
    <t>Mugrub</t>
  </si>
  <si>
    <t>Elf Butcher</t>
  </si>
  <si>
    <t>Melech</t>
  </si>
  <si>
    <t>Makaria</t>
  </si>
  <si>
    <t>Hope</t>
  </si>
  <si>
    <t>mal</t>
  </si>
  <si>
    <t>va</t>
  </si>
  <si>
    <t>Quaf</t>
  </si>
  <si>
    <t>Nadarr</t>
  </si>
  <si>
    <t>Mishann</t>
  </si>
  <si>
    <t>Eberk</t>
  </si>
  <si>
    <t>Gunnloda</t>
  </si>
  <si>
    <t>Erdan</t>
  </si>
  <si>
    <t>Enna</t>
  </si>
  <si>
    <t>Naeris</t>
  </si>
  <si>
    <t>Frug</t>
  </si>
  <si>
    <t>Lilli</t>
  </si>
  <si>
    <t>Timbers</t>
  </si>
  <si>
    <t>Oneshoe</t>
  </si>
  <si>
    <t>Walschud</t>
  </si>
  <si>
    <t>Wirsidda</t>
  </si>
  <si>
    <t>Lyle</t>
  </si>
  <si>
    <t>Merla</t>
  </si>
  <si>
    <t>Underbough</t>
  </si>
  <si>
    <t>Ront</t>
  </si>
  <si>
    <t>Stedd</t>
  </si>
  <si>
    <t>Pavel</t>
  </si>
  <si>
    <t>Taman</t>
  </si>
  <si>
    <t>On</t>
  </si>
  <si>
    <t>Sum</t>
  </si>
  <si>
    <t>Korth (danger)</t>
  </si>
  <si>
    <t>Bajok</t>
  </si>
  <si>
    <t>Vola</t>
  </si>
  <si>
    <t>Spine Snapper</t>
  </si>
  <si>
    <t>Mordai</t>
  </si>
  <si>
    <t>Nemeia</t>
  </si>
  <si>
    <t>Ideal</t>
  </si>
  <si>
    <t>Si</t>
  </si>
  <si>
    <t>l</t>
  </si>
  <si>
    <t>kosh</t>
  </si>
  <si>
    <t>Quierk</t>
  </si>
  <si>
    <t>Pandjed</t>
  </si>
  <si>
    <t>Nala</t>
  </si>
  <si>
    <t>Einkil</t>
  </si>
  <si>
    <t>Gurdis</t>
  </si>
  <si>
    <t>Erevan</t>
  </si>
  <si>
    <t>Felosia</t>
  </si>
  <si>
    <t>Phann</t>
  </si>
  <si>
    <t>Gerbo</t>
  </si>
  <si>
    <t>Loopmottin</t>
  </si>
  <si>
    <t>Turen</t>
  </si>
  <si>
    <t>Pock</t>
  </si>
  <si>
    <t>Merric</t>
  </si>
  <si>
    <t>Nedda</t>
  </si>
  <si>
    <t>Shump</t>
  </si>
  <si>
    <t>Sergor</t>
  </si>
  <si>
    <t>Urth</t>
  </si>
  <si>
    <t>Shan</t>
  </si>
  <si>
    <t>Tan</t>
  </si>
  <si>
    <t>Kosj (small)</t>
  </si>
  <si>
    <t>Rhorog</t>
  </si>
  <si>
    <t>Death Spear</t>
  </si>
  <si>
    <t>Morthos</t>
  </si>
  <si>
    <t>Orianna</t>
  </si>
  <si>
    <t>Music</t>
  </si>
  <si>
    <t>So</t>
  </si>
  <si>
    <t>a</t>
  </si>
  <si>
    <t>ash</t>
  </si>
  <si>
    <t>Salleek</t>
  </si>
  <si>
    <t>Patrin</t>
  </si>
  <si>
    <t>Perra</t>
  </si>
  <si>
    <t>Fargrim</t>
  </si>
  <si>
    <t>Helja</t>
  </si>
  <si>
    <t>Galinndan</t>
  </si>
  <si>
    <t>Ielenia</t>
  </si>
  <si>
    <t>Rael</t>
  </si>
  <si>
    <t>Gimble</t>
  </si>
  <si>
    <t>Lorilla</t>
  </si>
  <si>
    <t>Sparklegem</t>
  </si>
  <si>
    <t>Milo</t>
  </si>
  <si>
    <t>Paela</t>
  </si>
  <si>
    <t>Thokk</t>
  </si>
  <si>
    <t>Volen</t>
  </si>
  <si>
    <t>Wan</t>
  </si>
  <si>
    <t>Kothar (demon)</t>
  </si>
  <si>
    <t>Jahrukk</t>
  </si>
  <si>
    <t>The Brutal</t>
  </si>
  <si>
    <t>Pelaios</t>
  </si>
  <si>
    <t>Phalaia</t>
  </si>
  <si>
    <t>Nowhere</t>
  </si>
  <si>
    <t>Ssi</t>
  </si>
  <si>
    <t>o</t>
  </si>
  <si>
    <t>shi</t>
  </si>
  <si>
    <t>Urreek</t>
  </si>
  <si>
    <t>Rhogar</t>
  </si>
  <si>
    <t>Raiann</t>
  </si>
  <si>
    <t>Flint</t>
  </si>
  <si>
    <t>Hlin</t>
  </si>
  <si>
    <t>Battle</t>
  </si>
  <si>
    <t>harvest</t>
  </si>
  <si>
    <t>Hadarai</t>
  </si>
  <si>
    <t>Jelenneth</t>
  </si>
  <si>
    <t>Rinn</t>
  </si>
  <si>
    <t>Glim</t>
  </si>
  <si>
    <t>Mardnab</t>
  </si>
  <si>
    <t>Stumbleduck</t>
  </si>
  <si>
    <t>Osborn</t>
  </si>
  <si>
    <t>Portia</t>
  </si>
  <si>
    <t>Yevelda</t>
  </si>
  <si>
    <t>Wen</t>
  </si>
  <si>
    <t>Litrix (armor)</t>
  </si>
  <si>
    <t>Skamos</t>
  </si>
  <si>
    <t>Rieta</t>
  </si>
  <si>
    <t>Open</t>
  </si>
  <si>
    <t>Sui</t>
  </si>
  <si>
    <t>h</t>
  </si>
  <si>
    <t>u</t>
  </si>
  <si>
    <t>Zeed</t>
  </si>
  <si>
    <t>Shamash</t>
  </si>
  <si>
    <t>Sora</t>
  </si>
  <si>
    <t>Gardain</t>
  </si>
  <si>
    <t>Kathra</t>
  </si>
  <si>
    <t>Brawn</t>
  </si>
  <si>
    <t>brew</t>
  </si>
  <si>
    <t>Heian</t>
  </si>
  <si>
    <t>Keyleth</t>
  </si>
  <si>
    <t>Sai</t>
  </si>
  <si>
    <t>Jebeddo</t>
  </si>
  <si>
    <t>Nissa</t>
  </si>
  <si>
    <t>Perrin</t>
  </si>
  <si>
    <t>Seraphina</t>
  </si>
  <si>
    <t>Mirik (song)</t>
  </si>
  <si>
    <t>Therai</t>
  </si>
  <si>
    <t>Poetry</t>
  </si>
  <si>
    <t>Ta</t>
  </si>
  <si>
    <t>s</t>
  </si>
  <si>
    <t>Shedinn</t>
  </si>
  <si>
    <t>Surina</t>
  </si>
  <si>
    <t>Harbek</t>
  </si>
  <si>
    <t>Kristryd</t>
  </si>
  <si>
    <t>buckle</t>
  </si>
  <si>
    <t>Himo</t>
  </si>
  <si>
    <t>Leshanna</t>
  </si>
  <si>
    <t>Syllin</t>
  </si>
  <si>
    <t>Kellen</t>
  </si>
  <si>
    <t>Nyx</t>
  </si>
  <si>
    <t>Reed</t>
  </si>
  <si>
    <t>Shaena</t>
  </si>
  <si>
    <t>Othokent (smart)</t>
  </si>
  <si>
    <t>Quest</t>
  </si>
  <si>
    <t>Te</t>
  </si>
  <si>
    <t>Tarhun</t>
  </si>
  <si>
    <t>Thava</t>
  </si>
  <si>
    <t>Kildrak</t>
  </si>
  <si>
    <t>Ilde</t>
  </si>
  <si>
    <t>Frost</t>
  </si>
  <si>
    <t>sword</t>
  </si>
  <si>
    <t>Immeral</t>
  </si>
  <si>
    <t>Thia</t>
  </si>
  <si>
    <t>Namfoodle</t>
  </si>
  <si>
    <t>Oda</t>
  </si>
  <si>
    <t>Roscoe</t>
  </si>
  <si>
    <t>Trym</t>
  </si>
  <si>
    <t>Sauriv (eye)</t>
  </si>
  <si>
    <t>Ya</t>
  </si>
  <si>
    <t>Torinn</t>
  </si>
  <si>
    <t>Uadjit</t>
  </si>
  <si>
    <t>Morgran</t>
  </si>
  <si>
    <t>Liftrasa</t>
  </si>
  <si>
    <t>pike</t>
  </si>
  <si>
    <t>Ivellios</t>
  </si>
  <si>
    <t>Meriele</t>
  </si>
  <si>
    <t>Vall</t>
  </si>
  <si>
    <t>Orryn</t>
  </si>
  <si>
    <t>Orla</t>
  </si>
  <si>
    <t>Wellby</t>
  </si>
  <si>
    <t>Vani</t>
  </si>
  <si>
    <t>Throden (many)</t>
  </si>
  <si>
    <t>Reverence</t>
  </si>
  <si>
    <t>Zi</t>
  </si>
  <si>
    <t>Andujar</t>
  </si>
  <si>
    <t>Artana</t>
  </si>
  <si>
    <t>Orsik</t>
  </si>
  <si>
    <t>Mardred</t>
  </si>
  <si>
    <t>bringer</t>
  </si>
  <si>
    <t>Laucian</t>
  </si>
  <si>
    <t>Mialee</t>
  </si>
  <si>
    <t>Roondar</t>
  </si>
  <si>
    <t>Roywyn</t>
  </si>
  <si>
    <t>Verna</t>
  </si>
  <si>
    <t>Thurkear (night)</t>
  </si>
  <si>
    <t>Sorrow</t>
  </si>
  <si>
    <t>Armagan</t>
  </si>
  <si>
    <t>Kalas</t>
  </si>
  <si>
    <t>Oskar</t>
  </si>
  <si>
    <t>Riswynn</t>
  </si>
  <si>
    <t>born</t>
  </si>
  <si>
    <t>Mindartis</t>
  </si>
  <si>
    <t>Naivara</t>
  </si>
  <si>
    <t>Seebo</t>
  </si>
  <si>
    <t>Shamil</t>
  </si>
  <si>
    <t>Usk (iron)</t>
  </si>
  <si>
    <t>Temerity</t>
  </si>
  <si>
    <t>Armek</t>
  </si>
  <si>
    <t>Khagra</t>
  </si>
  <si>
    <t>Rangrim</t>
  </si>
  <si>
    <t>Sannl</t>
  </si>
  <si>
    <t>Paelias</t>
  </si>
  <si>
    <t>Quelenna</t>
  </si>
  <si>
    <t>Sindri</t>
  </si>
  <si>
    <t>Valignat (burn)</t>
  </si>
  <si>
    <t>Torment</t>
  </si>
  <si>
    <t>Arzan</t>
  </si>
  <si>
    <t>Leytra</t>
  </si>
  <si>
    <t>Rurik</t>
  </si>
  <si>
    <t>Torbera</t>
  </si>
  <si>
    <t>Peren</t>
  </si>
  <si>
    <t>Quillathe</t>
  </si>
  <si>
    <t>Warryn</t>
  </si>
  <si>
    <t>Waywocket</t>
  </si>
  <si>
    <t>Vargach (battle)</t>
  </si>
  <si>
    <t>Weary</t>
  </si>
  <si>
    <t>Axaran</t>
  </si>
  <si>
    <t>Myrka</t>
  </si>
  <si>
    <t>Taklinn</t>
  </si>
  <si>
    <t>Torgga</t>
  </si>
  <si>
    <t>Quarion</t>
  </si>
  <si>
    <t>Sariel</t>
  </si>
  <si>
    <t>Wrenn</t>
  </si>
  <si>
    <t>Zanna</t>
  </si>
  <si>
    <t>Verthica (mountain)</t>
  </si>
  <si>
    <t>Belaxarim</t>
  </si>
  <si>
    <t>Naya</t>
  </si>
  <si>
    <t>Thoradin</t>
  </si>
  <si>
    <t>Vistra</t>
  </si>
  <si>
    <t>Riardon</t>
  </si>
  <si>
    <t>Shanairra</t>
  </si>
  <si>
    <t>Zook</t>
  </si>
  <si>
    <t>Vutha (black)</t>
  </si>
  <si>
    <t>Brevarr</t>
  </si>
  <si>
    <t>Sarcha</t>
  </si>
  <si>
    <t>Thorin</t>
  </si>
  <si>
    <t>Beyla</t>
  </si>
  <si>
    <t>Rolen</t>
  </si>
  <si>
    <t>Shava</t>
  </si>
  <si>
    <t>Vyth (steel)</t>
  </si>
  <si>
    <t>Djemidor</t>
  </si>
  <si>
    <t>Shirren</t>
  </si>
  <si>
    <t>Tordek</t>
  </si>
  <si>
    <t>Fenryl</t>
  </si>
  <si>
    <t>Soveliss</t>
  </si>
  <si>
    <t>Silaqui</t>
  </si>
  <si>
    <t>Draxan</t>
  </si>
  <si>
    <t>Sirivistra</t>
  </si>
  <si>
    <t>Traubon</t>
  </si>
  <si>
    <t>Grenenzel</t>
  </si>
  <si>
    <t>Thamior</t>
  </si>
  <si>
    <t>Theirastra</t>
  </si>
  <si>
    <t>Fayal</t>
  </si>
  <si>
    <t>Sufana</t>
  </si>
  <si>
    <t>Travok</t>
  </si>
  <si>
    <t>Krystolari</t>
  </si>
  <si>
    <t>Tharivol</t>
  </si>
  <si>
    <t>Grax</t>
  </si>
  <si>
    <t>Tamara</t>
  </si>
  <si>
    <t>Ulfgar</t>
  </si>
  <si>
    <t>Lokara</t>
  </si>
  <si>
    <t>Theren</t>
  </si>
  <si>
    <t>Vadania</t>
  </si>
  <si>
    <t>Iojad</t>
  </si>
  <si>
    <t>Vrumadi</t>
  </si>
  <si>
    <t>Veit</t>
  </si>
  <si>
    <t>Lurka</t>
  </si>
  <si>
    <t>Varis</t>
  </si>
  <si>
    <t>Valanthe</t>
  </si>
  <si>
    <t>Inzul</t>
  </si>
  <si>
    <t>Zovra</t>
  </si>
  <si>
    <t>Vondal</t>
  </si>
  <si>
    <t>Marnia</t>
  </si>
  <si>
    <t>Alarcion</t>
  </si>
  <si>
    <t>Xanaphia</t>
  </si>
  <si>
    <t>Khiraj</t>
  </si>
  <si>
    <t>Agaro</t>
  </si>
  <si>
    <t>Praxana</t>
  </si>
  <si>
    <t>Alathar</t>
  </si>
  <si>
    <t>Aryllan</t>
  </si>
  <si>
    <t>Krevtzen</t>
  </si>
  <si>
    <t>Arnan</t>
  </si>
  <si>
    <t>Rokel</t>
  </si>
  <si>
    <t>Ariandar</t>
  </si>
  <si>
    <t>Atalya</t>
  </si>
  <si>
    <t>Lejek</t>
  </si>
  <si>
    <t>Auxlan</t>
  </si>
  <si>
    <t>Roksana</t>
  </si>
  <si>
    <t>Arromar</t>
  </si>
  <si>
    <t>Aythwil</t>
  </si>
  <si>
    <t>Mar</t>
  </si>
  <si>
    <t>Avamir</t>
  </si>
  <si>
    <t>Thurlfara</t>
  </si>
  <si>
    <t>Borel</t>
  </si>
  <si>
    <t>Irva</t>
  </si>
  <si>
    <t>Nazir</t>
  </si>
  <si>
    <t>Baelnar</t>
  </si>
  <si>
    <t>Vauldra</t>
  </si>
  <si>
    <t>Bvachan</t>
  </si>
  <si>
    <t>Lyfalia</t>
  </si>
  <si>
    <t>Nedam</t>
  </si>
  <si>
    <t>Balfam</t>
  </si>
  <si>
    <t>Veklani</t>
  </si>
  <si>
    <t>Carydion</t>
  </si>
  <si>
    <t>Ronefel</t>
  </si>
  <si>
    <t>Nevek</t>
  </si>
  <si>
    <t>Bariken</t>
  </si>
  <si>
    <t>Vronwe</t>
  </si>
  <si>
    <t>Elgoth</t>
  </si>
  <si>
    <t>Thirya</t>
  </si>
  <si>
    <t>Ravaran</t>
  </si>
  <si>
    <t>Borkûl</t>
  </si>
  <si>
    <t>Zebel</t>
  </si>
  <si>
    <t>Farlien</t>
  </si>
  <si>
    <t>Velene</t>
  </si>
  <si>
    <t>Razaan</t>
  </si>
  <si>
    <t>Darkûl</t>
  </si>
  <si>
    <t>Ferel</t>
  </si>
  <si>
    <t>Venefiq</t>
  </si>
  <si>
    <t>Sarax</t>
  </si>
  <si>
    <t>Dolmen</t>
  </si>
  <si>
    <t>Gaerlan</t>
  </si>
  <si>
    <t>Zereni</t>
  </si>
  <si>
    <t>Sarram</t>
  </si>
  <si>
    <t>Dyrnar</t>
  </si>
  <si>
    <t>Iafalior</t>
  </si>
  <si>
    <t>Savaxis</t>
  </si>
  <si>
    <t>Erag</t>
  </si>
  <si>
    <t>Kaelthorn</t>
  </si>
  <si>
    <t>Siangar</t>
  </si>
  <si>
    <t>Ezegan</t>
  </si>
  <si>
    <t>Laethan</t>
  </si>
  <si>
    <t>Sunan</t>
  </si>
  <si>
    <t>Ferrek</t>
  </si>
  <si>
    <t>Leliar</t>
  </si>
  <si>
    <t>Szuran</t>
  </si>
  <si>
    <t>Garmûl</t>
  </si>
  <si>
    <t>Leodor</t>
  </si>
  <si>
    <t>Tajan</t>
  </si>
  <si>
    <t>Glint</t>
  </si>
  <si>
    <t>Lorak</t>
  </si>
  <si>
    <t>Tamajon</t>
  </si>
  <si>
    <t>Ghorvas</t>
  </si>
  <si>
    <t>Lorifir</t>
  </si>
  <si>
    <t>Tenahn</t>
  </si>
  <si>
    <t>Grimmalk</t>
  </si>
  <si>
    <t>Morian</t>
  </si>
  <si>
    <t>Toxal</t>
  </si>
  <si>
    <t>Haeltar</t>
  </si>
  <si>
    <t>Oleran</t>
  </si>
  <si>
    <t>Tzegyr</t>
  </si>
  <si>
    <t>Halagmar</t>
  </si>
  <si>
    <t>Rylef</t>
  </si>
  <si>
    <t>Vantajar</t>
  </si>
  <si>
    <t>Halzar</t>
  </si>
  <si>
    <t>Savian</t>
  </si>
  <si>
    <t>Vharkus</t>
  </si>
  <si>
    <t>Hlant</t>
  </si>
  <si>
    <t>Seylas</t>
  </si>
  <si>
    <t>Xafiq</t>
  </si>
  <si>
    <t>Korlag</t>
  </si>
  <si>
    <t>Tevior</t>
  </si>
  <si>
    <t>Zarkhil</t>
  </si>
  <si>
    <t>Krag</t>
  </si>
  <si>
    <t>Veyas</t>
  </si>
  <si>
    <t>Krim</t>
  </si>
  <si>
    <t>Kurman</t>
  </si>
  <si>
    <t>Lurtrum</t>
  </si>
  <si>
    <t>Malagar</t>
  </si>
  <si>
    <t>Mardam</t>
  </si>
  <si>
    <t>Maulnar</t>
  </si>
  <si>
    <t>Melgar</t>
  </si>
  <si>
    <t>Morak</t>
  </si>
  <si>
    <t>Orobok</t>
  </si>
  <si>
    <t>Rogath</t>
  </si>
  <si>
    <t>Roken</t>
  </si>
  <si>
    <t>Rozag</t>
  </si>
  <si>
    <t>Sabakzar</t>
  </si>
  <si>
    <t>Sharak</t>
  </si>
  <si>
    <t>Smethykk</t>
  </si>
  <si>
    <t>Swargar</t>
  </si>
  <si>
    <t>Thorbalt</t>
  </si>
  <si>
    <t>Tredigar</t>
  </si>
  <si>
    <t>Vabûl</t>
  </si>
  <si>
    <t>Vistrum</t>
  </si>
  <si>
    <t>Wolvar</t>
  </si>
  <si>
    <t>NAME GENERATOR</t>
  </si>
  <si>
    <t>RANDOM</t>
  </si>
  <si>
    <t>Brouor</t>
  </si>
  <si>
    <t>Gorunn</t>
  </si>
  <si>
    <t>Amastacia(Starflower)</t>
  </si>
  <si>
    <t>Tallstag</t>
  </si>
  <si>
    <t>Hornraven</t>
  </si>
  <si>
    <t>Dundragon</t>
  </si>
  <si>
    <t>Falvone</t>
  </si>
  <si>
    <t>Seldszar</t>
  </si>
  <si>
    <t>Dhunnyl</t>
  </si>
  <si>
    <t>Fenkenkabradon</t>
  </si>
  <si>
    <t>Filchbatter</t>
  </si>
  <si>
    <t>Name A</t>
  </si>
  <si>
    <t>Name C</t>
  </si>
  <si>
    <t>Tethyrian (cho)</t>
  </si>
  <si>
    <t>Dragonborn (not incl childhood)</t>
  </si>
  <si>
    <t>Gnome (not incl pet name)</t>
  </si>
  <si>
    <t>1/2 Orc</t>
  </si>
  <si>
    <t>COLUMN#</t>
  </si>
  <si>
    <t>Balderk</t>
  </si>
  <si>
    <t>Amakiir(Gemflower)</t>
  </si>
  <si>
    <t>Aesir</t>
  </si>
  <si>
    <t>Darvain</t>
  </si>
  <si>
    <t>Amblecrown</t>
  </si>
  <si>
    <t>Brightwood</t>
  </si>
  <si>
    <t>Fyevarra</t>
  </si>
  <si>
    <t>Ahlysaaria</t>
  </si>
  <si>
    <t>A'Daragon</t>
  </si>
  <si>
    <t>Clethinthiallor</t>
  </si>
  <si>
    <t>Bimpnotton</t>
  </si>
  <si>
    <t>Name B</t>
  </si>
  <si>
    <t>Battlehammer</t>
  </si>
  <si>
    <t>Buckman</t>
  </si>
  <si>
    <t>Helder</t>
  </si>
  <si>
    <t>Bares</t>
  </si>
  <si>
    <t>Balok</t>
  </si>
  <si>
    <t>Akordia</t>
  </si>
  <si>
    <t>Abaeir</t>
  </si>
  <si>
    <t>Daardendrian</t>
  </si>
  <si>
    <t>Brawnanvil</t>
  </si>
  <si>
    <t>Anastrianna,</t>
  </si>
  <si>
    <t>Galanodel(Moonwhisper)</t>
  </si>
  <si>
    <t>Haseid</t>
  </si>
  <si>
    <t>Ehput-Ki</t>
  </si>
  <si>
    <t>Baragh</t>
  </si>
  <si>
    <t>Alaunirra</t>
  </si>
  <si>
    <t>Abbylan</t>
  </si>
  <si>
    <t>Delmirev</t>
  </si>
  <si>
    <t>Dankil</t>
  </si>
  <si>
    <t>Holimion(Diamonddew)</t>
  </si>
  <si>
    <t>Evenwood</t>
  </si>
  <si>
    <t>Lackman</t>
  </si>
  <si>
    <t>Belaern</t>
  </si>
  <si>
    <t>Alystin</t>
  </si>
  <si>
    <t>Argith</t>
  </si>
  <si>
    <t>Drachedandion</t>
  </si>
  <si>
    <t>Garrick</t>
  </si>
  <si>
    <t>Fireforge</t>
  </si>
  <si>
    <t>Ilphelkiir(Gemblossom)</t>
  </si>
  <si>
    <t>Melil</t>
  </si>
  <si>
    <t>Greycastle</t>
  </si>
  <si>
    <t>Stormwind</t>
  </si>
  <si>
    <t>Jiant</t>
  </si>
  <si>
    <t>Belgos</t>
  </si>
  <si>
    <t>Amalica</t>
  </si>
  <si>
    <t>Baenre</t>
  </si>
  <si>
    <t>Frostbeard</t>
  </si>
  <si>
    <t>Liadon(Silverfrond)</t>
  </si>
  <si>
    <t>Errich,</t>
  </si>
  <si>
    <t>Mire</t>
  </si>
  <si>
    <t>Windriver</t>
  </si>
  <si>
    <t>Bemril</t>
  </si>
  <si>
    <t>Angaste</t>
  </si>
  <si>
    <t>Beltaulur</t>
  </si>
  <si>
    <t>Kepeshkmolik</t>
  </si>
  <si>
    <t>Meliamne(Oakenheel)</t>
  </si>
  <si>
    <t>Yashiera</t>
  </si>
  <si>
    <t>Berg'inyon</t>
  </si>
  <si>
    <t>Anluryn</t>
  </si>
  <si>
    <t>Blaerabban</t>
  </si>
  <si>
    <t>Kerrhylon</t>
  </si>
  <si>
    <t>Krusk</t>
  </si>
  <si>
    <t>Holderhek</t>
  </si>
  <si>
    <t>Carrie</t>
  </si>
  <si>
    <t>Caelynn,</t>
  </si>
  <si>
    <t>Natlo(Nightbreeze)</t>
  </si>
  <si>
    <t>Ping</t>
  </si>
  <si>
    <t>Bhintel</t>
  </si>
  <si>
    <t>Ardulace</t>
  </si>
  <si>
    <t>Blundyth</t>
  </si>
  <si>
    <t>Kimbatuul</t>
  </si>
  <si>
    <t>Ironfist</t>
  </si>
  <si>
    <t>Siannodel(Moonbrook)</t>
  </si>
  <si>
    <t>orel</t>
  </si>
  <si>
    <t>Urhur</t>
  </si>
  <si>
    <t>Men</t>
  </si>
  <si>
    <t>Aunrae</t>
  </si>
  <si>
    <t>Chaulssin</t>
  </si>
  <si>
    <t>Linxakasendalor</t>
  </si>
  <si>
    <t>Scheppen</t>
  </si>
  <si>
    <t>Loderr</t>
  </si>
  <si>
    <t>Xiloscient(Goldpetal)</t>
  </si>
  <si>
    <t>Meda</t>
  </si>
  <si>
    <t>Bruherd</t>
  </si>
  <si>
    <t>Balaena</t>
  </si>
  <si>
    <t>Coborel</t>
  </si>
  <si>
    <t>Myastan</t>
  </si>
  <si>
    <t>Schump</t>
  </si>
  <si>
    <t>Lutgehr</t>
  </si>
  <si>
    <t>Felosial</t>
  </si>
  <si>
    <t>Merrie</t>
  </si>
  <si>
    <t>Caelkoth</t>
  </si>
  <si>
    <t>Baltana</t>
  </si>
  <si>
    <t>Coloara</t>
  </si>
  <si>
    <t>Nemmonis</t>
  </si>
  <si>
    <t>Rumnaheim</t>
  </si>
  <si>
    <t>Callimar</t>
  </si>
  <si>
    <t>Bautha</t>
  </si>
  <si>
    <t>Cormrael</t>
  </si>
  <si>
    <t>Norixius</t>
  </si>
  <si>
    <t>Phelaia</t>
  </si>
  <si>
    <t>Strakelin</t>
  </si>
  <si>
    <t>Chakos</t>
  </si>
  <si>
    <t>Belarbreena</t>
  </si>
  <si>
    <t>Daevion'lyr</t>
  </si>
  <si>
    <t>Ophinshtalajiir</t>
  </si>
  <si>
    <t>Stubledock</t>
  </si>
  <si>
    <t>Torunn</t>
  </si>
  <si>
    <t>Keyleth,</t>
  </si>
  <si>
    <t>Chaszmyr</t>
  </si>
  <si>
    <t>Beszrima</t>
  </si>
  <si>
    <t>Dalael</t>
  </si>
  <si>
    <t>Prexijandilin</t>
  </si>
  <si>
    <t>Ungart</t>
  </si>
  <si>
    <t>Coranzen</t>
  </si>
  <si>
    <t>Brigantyna</t>
  </si>
  <si>
    <t>Dhalmass</t>
  </si>
  <si>
    <t>Shestendeliath</t>
  </si>
  <si>
    <t>Hilde</t>
  </si>
  <si>
    <t>Dantrag</t>
  </si>
  <si>
    <t>Briza</t>
  </si>
  <si>
    <t>Turnuroth</t>
  </si>
  <si>
    <t>Dhuunyl</t>
  </si>
  <si>
    <t>Brorna</t>
  </si>
  <si>
    <t>Diliriy</t>
  </si>
  <si>
    <t>Verthisathurgiesh</t>
  </si>
  <si>
    <t>Dinin</t>
  </si>
  <si>
    <t>Burryna</t>
  </si>
  <si>
    <t>Dinoryn</t>
  </si>
  <si>
    <t>Yarjerit</t>
  </si>
  <si>
    <t>Dresmorlin</t>
  </si>
  <si>
    <t>Byrtyn</t>
  </si>
  <si>
    <t>Dryaalis</t>
  </si>
  <si>
    <t>Dro</t>
  </si>
  <si>
    <t>Cazna</t>
  </si>
  <si>
    <t>Duskryn</t>
  </si>
  <si>
    <t>tana</t>
  </si>
  <si>
    <t>Duagloth</t>
  </si>
  <si>
    <t>Chadra</t>
  </si>
  <si>
    <t>Dyrr</t>
  </si>
  <si>
    <t>Durdyn</t>
  </si>
  <si>
    <t>Chadzina</t>
  </si>
  <si>
    <t>Elpragh</t>
  </si>
  <si>
    <t>Riardol</t>
  </si>
  <si>
    <t>Elamshin</t>
  </si>
  <si>
    <t>Chalithra</t>
  </si>
  <si>
    <t>Elendar</t>
  </si>
  <si>
    <t>Chandara</t>
  </si>
  <si>
    <t>Faertala</t>
  </si>
  <si>
    <t>Silaqui,</t>
  </si>
  <si>
    <t>Elkantar</t>
  </si>
  <si>
    <t>Chardalyn</t>
  </si>
  <si>
    <t>Filifar</t>
  </si>
  <si>
    <t>Filraen</t>
  </si>
  <si>
    <t>Charinida</t>
  </si>
  <si>
    <t>Gallaer</t>
  </si>
  <si>
    <t>Ghaundan</t>
  </si>
  <si>
    <t>Charlindra</t>
  </si>
  <si>
    <t>Glannath</t>
  </si>
  <si>
    <t>Ghaundar</t>
  </si>
  <si>
    <t>Chenzira</t>
  </si>
  <si>
    <t>Glaurach</t>
  </si>
  <si>
    <t>Guldor</t>
  </si>
  <si>
    <t>Chessintra</t>
  </si>
  <si>
    <t>Helviiryn</t>
  </si>
  <si>
    <t>Dhaunae</t>
  </si>
  <si>
    <t>Hune</t>
  </si>
  <si>
    <t>Gwylyss</t>
  </si>
  <si>
    <t>Dilynrae</t>
  </si>
  <si>
    <t>Hunzrin</t>
  </si>
  <si>
    <t>Hadrogh</t>
  </si>
  <si>
    <t>Drada</t>
  </si>
  <si>
    <t>Hyluan</t>
  </si>
  <si>
    <t>Hatch'net</t>
  </si>
  <si>
    <t>Drisinil</t>
  </si>
  <si>
    <t>Icharyd</t>
  </si>
  <si>
    <t>Honemmeth</t>
  </si>
  <si>
    <t>Eclavdra</t>
  </si>
  <si>
    <t>Ilaleztice</t>
  </si>
  <si>
    <t>Houndaer</t>
  </si>
  <si>
    <t>Elerra</t>
  </si>
  <si>
    <t>Illistyn</t>
  </si>
  <si>
    <t>Ildan</t>
  </si>
  <si>
    <t>Elvanshalee</t>
  </si>
  <si>
    <t>Illykur</t>
  </si>
  <si>
    <t>Ilmryn</t>
  </si>
  <si>
    <t>Elvraema</t>
  </si>
  <si>
    <t>Jhalavar</t>
  </si>
  <si>
    <t>Ilphrin</t>
  </si>
  <si>
    <t>Erakasyne</t>
  </si>
  <si>
    <t>Jusztiirn</t>
  </si>
  <si>
    <t>Imbros</t>
  </si>
  <si>
    <t>Ereldra</t>
  </si>
  <si>
    <t>Keteeruae</t>
  </si>
  <si>
    <t>Irennan</t>
  </si>
  <si>
    <t>Faeryl</t>
  </si>
  <si>
    <t>Khalazza</t>
  </si>
  <si>
    <t>Istolil</t>
  </si>
  <si>
    <t>Felyndiira</t>
  </si>
  <si>
    <t>Istorvir</t>
  </si>
  <si>
    <t>Kront'tane</t>
  </si>
  <si>
    <t>Iymril</t>
  </si>
  <si>
    <t>Filfaere</t>
  </si>
  <si>
    <t>Lhalabar</t>
  </si>
  <si>
    <t>Jaezred</t>
  </si>
  <si>
    <t>G'eldriia</t>
  </si>
  <si>
    <t>Lueltar</t>
  </si>
  <si>
    <t>Jalynfein</t>
  </si>
  <si>
    <t>Gaussra</t>
  </si>
  <si>
    <t>Mizzrym</t>
  </si>
  <si>
    <t>Jeggred</t>
  </si>
  <si>
    <t>Ghilanna</t>
  </si>
  <si>
    <t>Mlezziir</t>
  </si>
  <si>
    <t>Jevan</t>
  </si>
  <si>
    <t>Greyanna</t>
  </si>
  <si>
    <t>Naerth</t>
  </si>
  <si>
    <t>Jhaamdath</t>
  </si>
  <si>
    <t>Gurina</t>
  </si>
  <si>
    <t>Nirinath</t>
  </si>
  <si>
    <t>Jhaldrym</t>
  </si>
  <si>
    <t>Olonrae</t>
  </si>
  <si>
    <t>Jivvin</t>
  </si>
  <si>
    <t>Halisstra</t>
  </si>
  <si>
    <t>Omriwin</t>
  </si>
  <si>
    <t>Jyslin</t>
  </si>
  <si>
    <t>Ilharess</t>
  </si>
  <si>
    <t>Philiom</t>
  </si>
  <si>
    <t>K'yorl</t>
  </si>
  <si>
    <t>Ilivarrra</t>
  </si>
  <si>
    <t>Quavein</t>
  </si>
  <si>
    <t>Kalannar</t>
  </si>
  <si>
    <t>Ilmra</t>
  </si>
  <si>
    <t>Rhomduil</t>
  </si>
  <si>
    <t>Kethan</t>
  </si>
  <si>
    <t>Imrae</t>
  </si>
  <si>
    <t>Rrostarr</t>
  </si>
  <si>
    <t>Kluthruel</t>
  </si>
  <si>
    <t>Jaelryn</t>
  </si>
  <si>
    <t>Seerear</t>
  </si>
  <si>
    <t>Kophyn</t>
  </si>
  <si>
    <t>Jezzara</t>
  </si>
  <si>
    <t>Ssambra</t>
  </si>
  <si>
    <t>Krenaste</t>
  </si>
  <si>
    <t>Jhaelryna</t>
  </si>
  <si>
    <t>T'orgh</t>
  </si>
  <si>
    <t>Krondorl</t>
  </si>
  <si>
    <t>Jhaelrynna</t>
  </si>
  <si>
    <t>T'sarran</t>
  </si>
  <si>
    <t>Kyorlin</t>
  </si>
  <si>
    <t>Jhalass</t>
  </si>
  <si>
    <t>Tanor'Thal</t>
  </si>
  <si>
    <t>Lesaonar</t>
  </si>
  <si>
    <t>Jhangara</t>
  </si>
  <si>
    <t>Telenna</t>
  </si>
  <si>
    <t>Lirdnolu</t>
  </si>
  <si>
    <t>Jhanniss</t>
  </si>
  <si>
    <t>Tlin'orzza</t>
  </si>
  <si>
    <t>Llaulmyn</t>
  </si>
  <si>
    <t>Jhulae</t>
  </si>
  <si>
    <t>Tlintarn</t>
  </si>
  <si>
    <t>Malaggar</t>
  </si>
  <si>
    <t>Khaless</t>
  </si>
  <si>
    <t>Tuin</t>
  </si>
  <si>
    <t>Micarlin</t>
  </si>
  <si>
    <t>Kiaran</t>
  </si>
  <si>
    <t>Uloavae</t>
  </si>
  <si>
    <t>Minolin</t>
  </si>
  <si>
    <t>Laele</t>
  </si>
  <si>
    <t>Vrammyr</t>
  </si>
  <si>
    <t>Molvayas</t>
  </si>
  <si>
    <t>Vrinn</t>
  </si>
  <si>
    <t>Morennel</t>
  </si>
  <si>
    <t>Larynda</t>
  </si>
  <si>
    <t>Waeglossz</t>
  </si>
  <si>
    <t>Nadal</t>
  </si>
  <si>
    <t>LiNeerlay</t>
  </si>
  <si>
    <t>Xiltyn</t>
  </si>
  <si>
    <t>Nalfein</t>
  </si>
  <si>
    <t>Lledrith</t>
  </si>
  <si>
    <t>Yauntyrr</t>
  </si>
  <si>
    <t>Narissorin</t>
  </si>
  <si>
    <t>Llolfaen</t>
  </si>
  <si>
    <t>Yauthlo</t>
  </si>
  <si>
    <t>Narlros</t>
  </si>
  <si>
    <t>Lualyrr</t>
  </si>
  <si>
    <t>Yril'Lysaen</t>
  </si>
  <si>
    <t>Nilonim</t>
  </si>
  <si>
    <t>Lythrana</t>
  </si>
  <si>
    <t>Zaphresz</t>
  </si>
  <si>
    <t>Nimruil</t>
  </si>
  <si>
    <t>Malice</t>
  </si>
  <si>
    <t>Zauviir</t>
  </si>
  <si>
    <t>Numrini'th</t>
  </si>
  <si>
    <t>Maya</t>
  </si>
  <si>
    <t>Zolond</t>
  </si>
  <si>
    <t>Nyloth</t>
  </si>
  <si>
    <t>Menzoberra</t>
  </si>
  <si>
    <t>Nym</t>
  </si>
  <si>
    <t>Mez'Barris</t>
  </si>
  <si>
    <t>Omareth</t>
  </si>
  <si>
    <t>Orgoloth</t>
  </si>
  <si>
    <t>Miz'ri</t>
  </si>
  <si>
    <t>Ornaryn</t>
  </si>
  <si>
    <t>Pharaun</t>
  </si>
  <si>
    <t>Myrymma</t>
  </si>
  <si>
    <t>Pharius</t>
  </si>
  <si>
    <t>Narcelia</t>
  </si>
  <si>
    <t>Quave</t>
  </si>
  <si>
    <t>Nathrae</t>
  </si>
  <si>
    <t>Quendar</t>
  </si>
  <si>
    <t>Nedylene</t>
  </si>
  <si>
    <t>Quenthel</t>
  </si>
  <si>
    <t>Nendra</t>
  </si>
  <si>
    <t>Quevven</t>
  </si>
  <si>
    <t>Nizana</t>
  </si>
  <si>
    <t>Ranaghar</t>
  </si>
  <si>
    <t>Nulliira</t>
  </si>
  <si>
    <t>Relonor</t>
  </si>
  <si>
    <t>Olorae</t>
  </si>
  <si>
    <t>Riklaunim</t>
  </si>
  <si>
    <t>Pellanistra</t>
  </si>
  <si>
    <t>Rinnill</t>
  </si>
  <si>
    <t>Phaere</t>
  </si>
  <si>
    <t>Ristel</t>
  </si>
  <si>
    <t>Phyrra</t>
  </si>
  <si>
    <t>Ruathym</t>
  </si>
  <si>
    <t>Qilue</t>
  </si>
  <si>
    <t>Ryld</t>
  </si>
  <si>
    <t>Quarra</t>
  </si>
  <si>
    <t>Ryltar</t>
  </si>
  <si>
    <t>Rauva</t>
  </si>
  <si>
    <t>Sabal</t>
  </si>
  <si>
    <t>Rilrae</t>
  </si>
  <si>
    <t>Selakiir</t>
  </si>
  <si>
    <t>Sabrae</t>
  </si>
  <si>
    <t>Saradreza</t>
  </si>
  <si>
    <t>Sassandra</t>
  </si>
  <si>
    <t>Sengo</t>
  </si>
  <si>
    <t>Schezalle</t>
  </si>
  <si>
    <t>Solaufein</t>
  </si>
  <si>
    <t>Shimyra</t>
  </si>
  <si>
    <t>Sorn</t>
  </si>
  <si>
    <t>ShriNeerune</t>
  </si>
  <si>
    <t>Syrdar</t>
  </si>
  <si>
    <t>Shulvallriel</t>
  </si>
  <si>
    <t>Szordrin</t>
  </si>
  <si>
    <t>Shurdriira</t>
  </si>
  <si>
    <t>Taldinyon</t>
  </si>
  <si>
    <t>Shurraenil</t>
  </si>
  <si>
    <t>Tarlyn</t>
  </si>
  <si>
    <t>Shyntlara</t>
  </si>
  <si>
    <t>Tathlyn</t>
  </si>
  <si>
    <t>SiNafay</t>
  </si>
  <si>
    <t>Tazennin</t>
  </si>
  <si>
    <t>Sindyrrith</t>
  </si>
  <si>
    <t>Tebryn</t>
  </si>
  <si>
    <t>Solenzara</t>
  </si>
  <si>
    <t>Tolokoph</t>
  </si>
  <si>
    <t>Ssapriina</t>
  </si>
  <si>
    <t>Torrellan</t>
  </si>
  <si>
    <t>T'risstree</t>
  </si>
  <si>
    <t>Trelgath</t>
  </si>
  <si>
    <t>Talabrina</t>
  </si>
  <si>
    <t>Tsabrak</t>
  </si>
  <si>
    <t>Talice</t>
  </si>
  <si>
    <t>Urlryn</t>
  </si>
  <si>
    <t>Tallrene</t>
  </si>
  <si>
    <t>Valas</t>
  </si>
  <si>
    <t>Thalra</t>
  </si>
  <si>
    <t>Veldrin</t>
  </si>
  <si>
    <t>Thirza</t>
  </si>
  <si>
    <t>Velkyn</t>
  </si>
  <si>
    <t>Thraele</t>
  </si>
  <si>
    <t>Vhurdaer</t>
  </si>
  <si>
    <t>Triel</t>
  </si>
  <si>
    <t>Vhurindrar</t>
  </si>
  <si>
    <t>Ulitree</t>
  </si>
  <si>
    <t>Vielyn</t>
  </si>
  <si>
    <t>Ulviirala</t>
  </si>
  <si>
    <t>Vlondril</t>
  </si>
  <si>
    <t>Umrae</t>
  </si>
  <si>
    <t>Vorn</t>
  </si>
  <si>
    <t>Vuzlyn</t>
  </si>
  <si>
    <t>Urmelena</t>
  </si>
  <si>
    <t>Welverin</t>
  </si>
  <si>
    <t>Vhondryl</t>
  </si>
  <si>
    <t>Xarann</t>
  </si>
  <si>
    <t>Viconia</t>
  </si>
  <si>
    <t>Xundus</t>
  </si>
  <si>
    <t>Vierna</t>
  </si>
  <si>
    <t>Yazston</t>
  </si>
  <si>
    <t>Vornalla</t>
  </si>
  <si>
    <t>Yuimmar</t>
  </si>
  <si>
    <t>Waerva</t>
  </si>
  <si>
    <t>Zaknafein</t>
  </si>
  <si>
    <t>Wuyondra</t>
  </si>
  <si>
    <t>Zeerith</t>
  </si>
  <si>
    <t>Xalyth</t>
  </si>
  <si>
    <t>Zyn</t>
  </si>
  <si>
    <t>Xullrae</t>
  </si>
  <si>
    <t>Xune</t>
  </si>
  <si>
    <t>Yasrena</t>
  </si>
  <si>
    <t>Yvonnel</t>
  </si>
  <si>
    <t>Z'ress</t>
  </si>
  <si>
    <t>Zarra</t>
  </si>
  <si>
    <t>Zebeyana</t>
  </si>
  <si>
    <t>Zelpassa</t>
  </si>
  <si>
    <t>Zesstra</t>
  </si>
  <si>
    <t>Zilvra</t>
  </si>
  <si>
    <t>Barbaric Tribe</t>
  </si>
  <si>
    <t>Mission Generation</t>
  </si>
  <si>
    <t>Mission</t>
  </si>
  <si>
    <t>Objective</t>
  </si>
  <si>
    <t xml:space="preserve">d10 </t>
  </si>
  <si>
    <t xml:space="preserve">Thunder Peaks, Southern Region </t>
  </si>
  <si>
    <t>Low Hills</t>
  </si>
  <si>
    <t>Undead (roll 1d10: 1-4 = skele­tons, 5-7 = zombies, 8-9 = wights, 10 = lich)</t>
  </si>
  <si>
    <t>Centipede (roll 1d6: 1-3 = huge, 4-5 = giant, 6 = megalo)</t>
  </si>
  <si>
    <t>Mammal (roll 1d10: 1 = badger, 2-3 = goat, 4 = osquip, 5-6 = porcupine, 7 = skunk, 8 = sleek, 9 = weasel, 10 = wolverine)</t>
  </si>
  <si>
    <t>Centipede (roll 1d10: 1-4 = huge, 5-8 = giant, 9-10 = megalo)</t>
  </si>
  <si>
    <t>Based on numerous TSR, WoTC sources and work of Ed Greenwood.</t>
  </si>
  <si>
    <t xml:space="preserve">  Spreadsheet adaptation by Palant from Cyborgs&amp;Mages |  Palant is not endored or affliated with any of authors of original content</t>
  </si>
  <si>
    <t>https://cyborgsandmages.wordpress.com</t>
  </si>
  <si>
    <t>Please click on tabs below to browse content</t>
  </si>
  <si>
    <t>Bryargates</t>
  </si>
  <si>
    <t>Goldfeather manor</t>
  </si>
  <si>
    <t>Irath</t>
  </si>
  <si>
    <t xml:space="preserve">Bleyshar </t>
  </si>
  <si>
    <t>extinct Goldfeather</t>
  </si>
  <si>
    <t>Furniture; barrels, Woodcrafting; oils;, Bows and Xbows, Elven wares</t>
  </si>
  <si>
    <t>Thaelin's Fineworks (NMH) Nice wooden craftings, Bendagar's barrels</t>
  </si>
  <si>
    <t>531 Hu 220 Elf</t>
  </si>
  <si>
    <t>Livestock; Dairy, Tanneries; Farming, Woodcrafting; furriers</t>
  </si>
  <si>
    <t>400 Halflings, 150 Humans</t>
  </si>
  <si>
    <t>Horsebreeder, Cartwright, Tressym flying cats, Various quarry rocks</t>
  </si>
  <si>
    <t xml:space="preserve">  ,  </t>
  </si>
  <si>
    <t>Ruldo Livery (NMH),</t>
  </si>
  <si>
    <t>Huntcrown,Cormaeril, Morler, Winter</t>
  </si>
  <si>
    <t>742 Hu 121 El 203 Hlf</t>
  </si>
  <si>
    <t>Tarius Calantar</t>
  </si>
  <si>
    <t>Rivior's Keep</t>
  </si>
  <si>
    <t>Average Population</t>
  </si>
  <si>
    <t>Noble Manor</t>
  </si>
  <si>
    <t>Zulde</t>
  </si>
  <si>
    <t>Spurbright Steads</t>
  </si>
  <si>
    <t>Stonebolt Fields</t>
  </si>
  <si>
    <t>Noble manor and farm</t>
  </si>
  <si>
    <t>LastRest</t>
  </si>
  <si>
    <t>Haunted Halls (Ravior's Hold)</t>
  </si>
  <si>
    <t>Blisterfoot Inn</t>
  </si>
  <si>
    <t>Whisper's Crypt</t>
  </si>
  <si>
    <t>Caverns of Claws</t>
  </si>
  <si>
    <t>Ironguard</t>
  </si>
  <si>
    <t>Forgotten Keep</t>
  </si>
  <si>
    <t>Barrenstone</t>
  </si>
  <si>
    <t>Point of interest</t>
  </si>
  <si>
    <t>1 squad of light infantry, 20 militia</t>
  </si>
  <si>
    <t>Cooper Business; Wagon-maker; Wheelright</t>
  </si>
  <si>
    <t>Shrine to Chauntea</t>
  </si>
  <si>
    <t xml:space="preserve">1 company of infantry
</t>
  </si>
  <si>
    <t>1 company of PD [40] + Militia [100]</t>
  </si>
  <si>
    <t>Barrels and wagons, Stelk plant prot vs Elec, Furniture; Farming; Livestock</t>
  </si>
  <si>
    <t>Zathchos Trade House (RMH), Five Fine Fish Brewery (ales &amp; beer)Elminster's brew, Immersea Winery (NMH), Mrastos (NMH)</t>
  </si>
  <si>
    <t>Shipwrights, warehouses, Cartwright; Nets, Brewery; Winery, Fishing; shellfish</t>
  </si>
  <si>
    <t>Sudacar, Cormaeril, Thunderswords, Wyvernspur</t>
  </si>
  <si>
    <t>Farming, Horse-breeding, Livestock, Dairy, Breads, Cheeses</t>
  </si>
  <si>
    <t>Post of Purple Dragons</t>
  </si>
  <si>
    <t>80 militia</t>
  </si>
  <si>
    <t>Militia [20]</t>
  </si>
  <si>
    <t>DESCRIPTION SHORT</t>
  </si>
  <si>
    <t>+5</t>
  </si>
  <si>
    <t>+10</t>
  </si>
  <si>
    <t>+15</t>
  </si>
  <si>
    <t>+20</t>
  </si>
  <si>
    <t>1-3</t>
  </si>
  <si>
    <t>packet</t>
  </si>
  <si>
    <t>bottle</t>
  </si>
  <si>
    <t>jar</t>
  </si>
  <si>
    <t>Cost, gp per lb</t>
  </si>
  <si>
    <t>5 of armor</t>
  </si>
  <si>
    <t>50 of armor</t>
  </si>
  <si>
    <t>50 of weapon</t>
  </si>
  <si>
    <t>35 of armor</t>
  </si>
  <si>
    <t>350 of armor</t>
  </si>
  <si>
    <t>9 of armor</t>
  </si>
  <si>
    <t>85 of weapon</t>
  </si>
  <si>
    <t>25 of armor</t>
  </si>
  <si>
    <t>250 of armor</t>
  </si>
  <si>
    <t>250 of weapon</t>
  </si>
  <si>
    <t>General Magic Items</t>
  </si>
  <si>
    <t>Min Price (gp)</t>
  </si>
  <si>
    <t>Avg. Price (gp)</t>
  </si>
  <si>
    <t>Max Price (gp)</t>
  </si>
  <si>
    <t>Non-Magical Items:</t>
  </si>
  <si>
    <t>Merchants and Traders 1</t>
  </si>
  <si>
    <t>M+T 2</t>
  </si>
  <si>
    <t>M+T 3</t>
  </si>
  <si>
    <t>Random Name Generator</t>
  </si>
  <si>
    <t>Equipment Search</t>
  </si>
  <si>
    <r>
      <rPr>
        <u/>
        <sz val="10"/>
        <color rgb="FF1155CC"/>
        <rFont val="Arial"/>
        <family val="2"/>
        <charset val="204"/>
      </rPr>
      <t>Equipment Guide</t>
    </r>
    <r>
      <rPr>
        <sz val="11"/>
        <color theme="1"/>
        <rFont val="Lato"/>
        <family val="2"/>
        <charset val="204"/>
        <scheme val="minor"/>
      </rPr>
      <t>:</t>
    </r>
  </si>
  <si>
    <t xml:space="preserve">1,000,000+ </t>
  </si>
  <si>
    <t>Armour and Shields</t>
  </si>
  <si>
    <t>*Price halved for consumables</t>
  </si>
  <si>
    <t>Adventuring Gear</t>
  </si>
  <si>
    <t>Healing Potions</t>
  </si>
  <si>
    <t>Mounts and Vehicles</t>
  </si>
  <si>
    <t>Greater Healing</t>
  </si>
  <si>
    <t>Trade Goods</t>
  </si>
  <si>
    <t>Superior Healing</t>
  </si>
  <si>
    <t>Expenses</t>
  </si>
  <si>
    <t>Supreme Healing</t>
  </si>
  <si>
    <t>Trinkets</t>
  </si>
  <si>
    <t>NPC Wealth:</t>
  </si>
  <si>
    <t>Spell Scrolls:</t>
  </si>
  <si>
    <t>Nobles</t>
  </si>
  <si>
    <t>Vault (gp)</t>
  </si>
  <si>
    <t>Territory</t>
  </si>
  <si>
    <t>0 - 1/8</t>
  </si>
  <si>
    <t>0 - 1/4</t>
  </si>
  <si>
    <t>1/8 - 1/2</t>
  </si>
  <si>
    <t>Town House</t>
  </si>
  <si>
    <t>1/4 - 1</t>
  </si>
  <si>
    <t>Mansion</t>
  </si>
  <si>
    <t>1/2 - 2</t>
  </si>
  <si>
    <t>Elder</t>
  </si>
  <si>
    <t>1 - 4</t>
  </si>
  <si>
    <t>3 - 6</t>
  </si>
  <si>
    <t>4 - 8</t>
  </si>
  <si>
    <t>Kingom</t>
  </si>
  <si>
    <t>6 - 10</t>
  </si>
  <si>
    <t>Emperor</t>
  </si>
  <si>
    <t>Empire</t>
  </si>
  <si>
    <t>9 - 14</t>
  </si>
  <si>
    <t>Planar God</t>
  </si>
  <si>
    <t>Plane</t>
  </si>
  <si>
    <t>12 - 30</t>
  </si>
  <si>
    <t>Random Name Generator 1</t>
  </si>
  <si>
    <t>Random Name Generator 2</t>
  </si>
  <si>
    <t>Pregen NPC List 1</t>
  </si>
  <si>
    <t>Pregen NPC List 2</t>
  </si>
  <si>
    <t>Pregen NPC List 3</t>
  </si>
  <si>
    <t>Random NPC Generator 1</t>
  </si>
  <si>
    <t>Random NPC Generator 2</t>
  </si>
  <si>
    <t>Random NPC Generator 3</t>
  </si>
  <si>
    <t>Random NPC Generator 4</t>
  </si>
  <si>
    <t>Random Town Generator 1</t>
  </si>
  <si>
    <t>Random Town Generator 2</t>
  </si>
  <si>
    <t>Random Town Generator 3</t>
  </si>
  <si>
    <t>Random Town Generator 4</t>
  </si>
  <si>
    <t>Random Town Generator 5</t>
  </si>
  <si>
    <t>Random Encounter Generator 1</t>
  </si>
  <si>
    <t>Random Encounter Generator 2</t>
  </si>
  <si>
    <t>Random Tavern Generator</t>
  </si>
  <si>
    <t>Rumour Table:</t>
  </si>
  <si>
    <t xml:space="preserve">My cousin told me about... </t>
  </si>
  <si>
    <t xml:space="preserve">And they... </t>
  </si>
  <si>
    <t xml:space="preserve">And discovered... </t>
  </si>
  <si>
    <t xml:space="preserve">And now.. </t>
  </si>
  <si>
    <t>A Child</t>
  </si>
  <si>
    <t>Got drunk</t>
  </si>
  <si>
    <t>A new disease</t>
  </si>
  <si>
    <t>People are disappearing!</t>
  </si>
  <si>
    <t>A Fat merchant</t>
  </si>
  <si>
    <t>Got washed out to sea</t>
  </si>
  <si>
    <t>A powerful artefact</t>
  </si>
  <si>
    <t>People are sick!</t>
  </si>
  <si>
    <t>A Temple priest</t>
  </si>
  <si>
    <t>Got stuck on a runaway horse</t>
  </si>
  <si>
    <t>A cursed item</t>
  </si>
  <si>
    <t>The king has decreed strange new laws!</t>
  </si>
  <si>
    <t>A Sailor</t>
  </si>
  <si>
    <t>Found an old well</t>
  </si>
  <si>
    <t>A sleeping monster</t>
  </si>
  <si>
    <t>The temple has issued strange new tenets!</t>
  </si>
  <si>
    <t>A Soldier</t>
  </si>
  <si>
    <t>Disappeared for 3 days</t>
  </si>
  <si>
    <t>A treasure map</t>
  </si>
  <si>
    <t>The sun might not come back up!</t>
  </si>
  <si>
    <t>A Magician</t>
  </si>
  <si>
    <t>Found an old tomb</t>
  </si>
  <si>
    <t>A hero/villain thought dead, returned to life</t>
  </si>
  <si>
    <t>The moon might fracture!</t>
  </si>
  <si>
    <t>A Noble</t>
  </si>
  <si>
    <t>Met a weird stranger</t>
  </si>
  <si>
    <t>A book of secrets</t>
  </si>
  <si>
    <t>The world might be invaded!</t>
  </si>
  <si>
    <t>A Rogue</t>
  </si>
  <si>
    <t>Found a magic item</t>
  </si>
  <si>
    <t>A key to a vast fortune</t>
  </si>
  <si>
    <t>People are having bad dreams every night!</t>
  </si>
  <si>
    <t>A Crazy monk</t>
  </si>
  <si>
    <t>Were sleepwalking</t>
  </si>
  <si>
    <t>A supressed truth about the ruling kingdom</t>
  </si>
  <si>
    <t>People are unable to sleep!</t>
  </si>
  <si>
    <t>A Drunken farmer</t>
  </si>
  <si>
    <t>Walked off into the forest</t>
  </si>
  <si>
    <t>A door to another Plane</t>
  </si>
  <si>
    <t>People are afraid to come outside!</t>
  </si>
  <si>
    <t xml:space="preserve"> Player Level</t>
  </si>
  <si>
    <t>Proficiency Bonus</t>
  </si>
  <si>
    <t>Encounter Difficulty</t>
  </si>
  <si>
    <t>Creature Level</t>
  </si>
  <si>
    <t>Attack Bonus</t>
  </si>
  <si>
    <t>DPR</t>
  </si>
  <si>
    <t>ST +/=/-</t>
  </si>
  <si>
    <t>Deadly</t>
  </si>
  <si>
    <t>Minion</t>
  </si>
  <si>
    <t>5,3,1</t>
  </si>
  <si>
    <t>1/8</t>
  </si>
  <si>
    <t>1/4</t>
  </si>
  <si>
    <t>6,3,1</t>
  </si>
  <si>
    <t>7,4,2</t>
  </si>
  <si>
    <t>8,5,2</t>
  </si>
  <si>
    <t>9,5,2</t>
  </si>
  <si>
    <t>10,6,3</t>
  </si>
  <si>
    <t>11,7,3</t>
  </si>
  <si>
    <t>Expected Adventuring Day XP</t>
  </si>
  <si>
    <t>Encounter Multipliers</t>
  </si>
  <si>
    <t>How to use:</t>
  </si>
  <si>
    <t>Player Level</t>
  </si>
  <si>
    <t>XP per Day per Character</t>
  </si>
  <si>
    <t>Number of Monsters</t>
  </si>
  <si>
    <t>XP Multiplier</t>
  </si>
  <si>
    <t>You should get a “Medium” difficulty fight if you create as many monsters as there are player-characters, of the same level. If you have three level 4 players, create three level 4 monsters. For easier fights, make the monsters outnumbered. For harder fights, make the players outnumbered.</t>
  </si>
  <si>
    <t>x 1</t>
  </si>
  <si>
    <t>x 1.5</t>
  </si>
  <si>
    <t>x 2</t>
  </si>
  <si>
    <t>To make the difficulty steps more granular, use lower-level monsters, or “Minion”-type monsters that go down in one hit no matter what and deal half the damage of the “base” monster. Stats can also be adjusted by 25% up or down.</t>
  </si>
  <si>
    <t>x 2.5</t>
  </si>
  <si>
    <t>For bosses, a solo boss monster would still have the AC, attack bonus and saving throws of a same-level monster, but multiply the HP against the number of players. If you have four players, the boss should have 4x the HP, or ~120 HP for a level 2 monster. The idea is that it’s going to absorb the attacks of the entire party, so it has to have the hit points to match.</t>
  </si>
  <si>
    <t>x 3</t>
  </si>
  <si>
    <t>For DPR, it should in theory also be multiplied by the number of players, but the full damage cannot be dealt against individual players, or else it’s going to one-shot them. Use minions (MMO “boss adds”) to virtually spread out the damage, use telegraphed attacks that the players can avoid, such as novas and line-attacks with warnings, use AOEs, use spells and abilities that can be countered/interrupted, and so on and so forth.</t>
  </si>
  <si>
    <t>x 4</t>
  </si>
  <si>
    <t>Date</t>
  </si>
  <si>
    <t>Session Name</t>
  </si>
  <si>
    <t>Session Notes</t>
  </si>
  <si>
    <t>Date In-Game</t>
  </si>
  <si>
    <t>Before Session</t>
  </si>
  <si>
    <t>After Session</t>
  </si>
  <si>
    <t>Watches</t>
  </si>
  <si>
    <t>Temp Modifier</t>
  </si>
  <si>
    <t>Temperature Std Dev</t>
  </si>
  <si>
    <t>Preset</t>
  </si>
  <si>
    <t>Percentile Lower Bounds</t>
  </si>
  <si>
    <t>Percentiles for calculating steady state</t>
  </si>
  <si>
    <t>Rand Skies</t>
  </si>
  <si>
    <t>Rand Wind</t>
  </si>
  <si>
    <t>Rand Temp</t>
  </si>
  <si>
    <t>Dawn</t>
  </si>
  <si>
    <t>Precipitation</t>
  </si>
  <si>
    <t>Probabilities</t>
  </si>
  <si>
    <t>Midday</t>
  </si>
  <si>
    <t>Afternoon</t>
  </si>
  <si>
    <t>Evening</t>
  </si>
  <si>
    <t>Midnight</t>
  </si>
  <si>
    <t>% Time spent in:</t>
  </si>
  <si>
    <t>Winds</t>
  </si>
  <si>
    <t>Seasons</t>
  </si>
  <si>
    <t>Rain multiplier</t>
  </si>
  <si>
    <t>Wind Multiplier</t>
  </si>
  <si>
    <t>Early Spring</t>
  </si>
  <si>
    <t>Mid Spring</t>
  </si>
  <si>
    <t>Late Spring</t>
  </si>
  <si>
    <t>Early Summer</t>
  </si>
  <si>
    <t>Mid Summer</t>
  </si>
  <si>
    <t>Default</t>
  </si>
  <si>
    <t>Late Summer</t>
  </si>
  <si>
    <t>Early Autumn</t>
  </si>
  <si>
    <t>Mid Autumn</t>
  </si>
  <si>
    <t>Late Autumn</t>
  </si>
  <si>
    <t>Early Winter</t>
  </si>
  <si>
    <t>Mid Winter</t>
  </si>
  <si>
    <t>Late Winter</t>
  </si>
  <si>
    <t>Temperature</t>
  </si>
  <si>
    <t>Temp Average</t>
  </si>
  <si>
    <t>Wind multiplier</t>
  </si>
  <si>
    <t>Arctic</t>
  </si>
  <si>
    <t>Coast</t>
  </si>
  <si>
    <t>It's a bit overcomplicated to implement celcius as a preset feature, but for your convenience the defaults have a celcius equivalent below. Replacing the defaults with these pasted as values will convert the whole sheet to Celcius permanently.</t>
  </si>
  <si>
    <t>Grassland</t>
  </si>
  <si>
    <t>Hill</t>
  </si>
  <si>
    <t>Watches Modifier</t>
  </si>
  <si>
    <t>Seasons Modifier</t>
  </si>
  <si>
    <t>Biome Average</t>
  </si>
  <si>
    <t>Bounds</t>
  </si>
  <si>
    <t>Std Dev</t>
  </si>
  <si>
    <t>Open Water</t>
  </si>
  <si>
    <t>Underdark</t>
  </si>
  <si>
    <t>Lower Bound</t>
  </si>
  <si>
    <t>Cool</t>
  </si>
  <si>
    <t>Warm</t>
  </si>
  <si>
    <t>Hot</t>
  </si>
  <si>
    <t>Extreme heat</t>
  </si>
  <si>
    <t>Light Horse</t>
  </si>
  <si>
    <t>Medium Warhorse</t>
  </si>
  <si>
    <t>Heavy Warhorse</t>
  </si>
  <si>
    <t>Riding Dog</t>
  </si>
  <si>
    <t>Flying Mount</t>
  </si>
  <si>
    <t>Cart Wagon</t>
  </si>
  <si>
    <t>Small Boat</t>
  </si>
  <si>
    <t>Lightning Rail</t>
  </si>
  <si>
    <t>Elemental Galleon</t>
  </si>
  <si>
    <t>How to Use</t>
  </si>
  <si>
    <r>
      <rPr>
        <b/>
        <sz val="10"/>
        <rFont val="Arial"/>
        <family val="2"/>
        <charset val="204"/>
      </rPr>
      <t>How to use:</t>
    </r>
    <r>
      <rPr>
        <sz val="11"/>
        <color theme="1"/>
        <rFont val="Lato"/>
        <family val="2"/>
        <charset val="204"/>
        <scheme val="minor"/>
      </rPr>
      <t xml:space="preserve"> Fill out the state of the world in the orange menus below, giving an approximate desired weather, then </t>
    </r>
    <r>
      <rPr>
        <b/>
        <sz val="10"/>
        <rFont val="Arial"/>
        <family val="2"/>
        <charset val="204"/>
      </rPr>
      <t xml:space="preserve">click the 'Randomise Weather' button to generate a new week of realistic random weather in 4 hour phases. </t>
    </r>
    <r>
      <rPr>
        <sz val="11"/>
        <color theme="1"/>
        <rFont val="Lato"/>
        <family val="2"/>
        <charset val="204"/>
        <scheme val="minor"/>
      </rPr>
      <t>If you wish, you can enter the "Weather Tables" tab to tweak default weights as well as season, watch, and biome modifiers.</t>
    </r>
  </si>
  <si>
    <t>Week (1-9)</t>
  </si>
  <si>
    <t>Time of Day</t>
  </si>
  <si>
    <t>Spring</t>
  </si>
  <si>
    <t>Fall</t>
  </si>
  <si>
    <t>Wednesday</t>
  </si>
  <si>
    <t>Season</t>
  </si>
  <si>
    <t>Biome</t>
  </si>
  <si>
    <t>Walking Travel Pace (8 hours of travel)</t>
  </si>
  <si>
    <t>Pace</t>
  </si>
  <si>
    <t>Distance / Min.</t>
  </si>
  <si>
    <t>Distance / Hour</t>
  </si>
  <si>
    <t>Distance / Day</t>
  </si>
  <si>
    <t>Effect</t>
  </si>
  <si>
    <t>Skies</t>
  </si>
  <si>
    <t>Temp (°F)</t>
  </si>
  <si>
    <t>Fast</t>
  </si>
  <si>
    <t>400 feet</t>
  </si>
  <si>
    <t>4 miles</t>
  </si>
  <si>
    <t>30 miles</t>
  </si>
  <si>
    <t>-5 to Passive Perception</t>
  </si>
  <si>
    <t>300 feet</t>
  </si>
  <si>
    <t>3 miles</t>
  </si>
  <si>
    <t>24 miles</t>
  </si>
  <si>
    <t>200 feet</t>
  </si>
  <si>
    <t>2 miles</t>
  </si>
  <si>
    <t>18 miles</t>
  </si>
  <si>
    <t>Able to use stealth</t>
  </si>
  <si>
    <t>Day Cycle</t>
  </si>
  <si>
    <t>Storm?</t>
  </si>
  <si>
    <t>Actual (°F)</t>
  </si>
  <si>
    <t>Actual (°C)</t>
  </si>
  <si>
    <t>*For each hour spent traveling past 8, make a CON save (DC 10 + 1 per hour past 8). Failure = 1 level of exhaustion</t>
  </si>
  <si>
    <t>Travel Calculator</t>
  </si>
  <si>
    <t>Mode of Travel</t>
  </si>
  <si>
    <t>Travel Effort</t>
  </si>
  <si>
    <t>Miles Per Cycle</t>
  </si>
  <si>
    <t>No</t>
  </si>
  <si>
    <t>Disadvantage on ability checks to climb or scale objects and ability checks made to maintain balance or keep your footing.</t>
  </si>
  <si>
    <t>Storm/Blizzard</t>
  </si>
  <si>
    <t xml:space="preserve">Constitution save every hour, failure brings exhaustion.
DC starts at 5 and increases by 1 every hour, or 2 if wearing medium or heavy armor.
Insufficient water provokes disadvantage on this save.
Resistance or immunity to fire damage, or being naturally adapted to hot-weather climates means automatic success.
</t>
  </si>
  <si>
    <t xml:space="preserve">DC 10 Constitution save every hour, failure brings exhaustion. 
Resistance or immunity to cold, is natural adaption to cold-weather climates, or cold-weather gear means automatic success.
</t>
  </si>
  <si>
    <t>Description:</t>
  </si>
  <si>
    <t>Demographics</t>
  </si>
  <si>
    <t>Government:</t>
  </si>
  <si>
    <t>Population:</t>
  </si>
  <si>
    <t>Languages Spoken:</t>
  </si>
  <si>
    <t>Local Religions:</t>
  </si>
  <si>
    <t>Noteable NPCs:</t>
  </si>
  <si>
    <t>Districts</t>
  </si>
  <si>
    <t>Shops:</t>
  </si>
  <si>
    <t>Inns:</t>
  </si>
  <si>
    <t>Features:</t>
  </si>
  <si>
    <t xml:space="preserve">Men for Hire: </t>
  </si>
  <si>
    <t>Resources:</t>
  </si>
  <si>
    <t>Diversions</t>
  </si>
  <si>
    <t>Obstacles:</t>
  </si>
  <si>
    <t>Adventure Seeds and Local News:</t>
  </si>
  <si>
    <t>Names:</t>
  </si>
  <si>
    <t>Material</t>
  </si>
  <si>
    <t>01-40</t>
  </si>
  <si>
    <t>41-60</t>
  </si>
  <si>
    <t>Tin</t>
  </si>
  <si>
    <t>61-75</t>
  </si>
  <si>
    <t>Lead</t>
  </si>
  <si>
    <t>76-85</t>
  </si>
  <si>
    <t>91-93</t>
  </si>
  <si>
    <t>94-97</t>
  </si>
  <si>
    <t>Platinum</t>
  </si>
  <si>
    <t>Mithirl</t>
  </si>
  <si>
    <t>Gemstones</t>
  </si>
  <si>
    <t>Richness</t>
  </si>
  <si>
    <t>copper/ tin/lead</t>
  </si>
  <si>
    <t>iron</t>
  </si>
  <si>
    <t>120</t>
  </si>
  <si>
    <t>160</t>
  </si>
  <si>
    <t>silver</t>
  </si>
  <si>
    <t>2.5</t>
  </si>
  <si>
    <t>gold</t>
  </si>
  <si>
    <t>platinum</t>
  </si>
  <si>
    <t>.5</t>
  </si>
  <si>
    <t>mithril</t>
  </si>
  <si>
    <t>.01</t>
  </si>
  <si>
    <t>.05</t>
  </si>
  <si>
    <t>.1</t>
  </si>
  <si>
    <t>.2</t>
  </si>
  <si>
    <t>.4</t>
  </si>
  <si>
    <t>SETTLEMENT GENERATION FOR WORLDGRAPHER</t>
  </si>
  <si>
    <t>Sandbox Ideas</t>
  </si>
  <si>
    <t>A huge dire wolf, apparently immune to magic, is organizing the wolves in the wood.</t>
  </si>
  <si>
    <t>Evil mercenaries are constructing a fortress not far from the community.</t>
  </si>
  <si>
    <t>The tomb of a powerful wizard, filled with magic items, has sunk into the swamp.</t>
  </si>
  <si>
    <t>Mysterious groaning sounds come from a haunted wood.</t>
  </si>
  <si>
    <t>Bugbears are demanding a toll on a well-traveled bridge.</t>
  </si>
  <si>
    <t>A blackguard is organizing monsters in an area.</t>
  </si>
  <si>
    <t>An emissary going into a hostile kingdom needs an escort.</t>
  </si>
  <si>
    <t>A wizard needs a particularly rare spell component found only in the deep jungle.</t>
  </si>
  <si>
    <t>Gravediggers have discovered a huge, ghoul-filled catacomb under the cemetery.</t>
  </si>
  <si>
    <t>Evil clerics gather in secret to summon a monstrous god.</t>
  </si>
  <si>
    <t>A wizard is buried in a trap-filled tomb with her powerful magic items.</t>
  </si>
  <si>
    <t>Lizardfolk riding dragon turtles sell their services as mercenaries to the highest bidder.</t>
  </si>
  <si>
    <t>Gargoyles are killing giant eagles in the mountains.</t>
  </si>
  <si>
    <t>A druid needs help defending her grove against goblins.</t>
  </si>
  <si>
    <t>All the dwarves in an underground city have disappeared.</t>
  </si>
  <si>
    <t>A fire elemental has escaped from a wizard's lab.</t>
  </si>
  <si>
    <t>17 Undead shadows vex a large library, especially an old storeroom long left undisturbed.</t>
  </si>
  <si>
    <t>A shapechanged mind flayer is gathering mentally controlled servitors.</t>
  </si>
  <si>
    <t>A lonely mountain pass is guarded by a powerful sphinx denying all passage.</t>
  </si>
  <si>
    <t>Burglars broke in to a wealthy merchant's shop, but apparently didn't take anything.</t>
  </si>
  <si>
    <t>The town is hiring mercenaries to augment the town guard.</t>
  </si>
  <si>
    <t>A new inn is opening in town.</t>
  </si>
  <si>
    <t>The duke has been acting strangely.</t>
  </si>
  <si>
    <t>A rare plant has suddenly boomed on a local farm.</t>
  </si>
  <si>
    <t>Various monsters have long preyed upon people from within the sewers of a major city.</t>
  </si>
  <si>
    <t>Local bandits have joined forces with a tribe of ogres.</t>
  </si>
  <si>
    <t>27 An island at the center of the lake is actually the top of a strange, submerged fortress.</t>
  </si>
  <si>
    <t>An infestation of stirges drives yuan-ti closer to civilized lands.</t>
  </si>
  <si>
    <t>People grow suspicious of half-orc merchants peddling gold dragon parts in the market.</t>
  </si>
  <si>
    <t>A strange green smoke billows out of a cave near a mysterious ruin.</t>
  </si>
  <si>
    <t>Mysterious merchants sell faulty magic items in town and then attempt to slink away.</t>
  </si>
  <si>
    <t>Cultists are kidnapping potential sacrifices.</t>
  </si>
  <si>
    <t>A huge gemstone lies within an ancient ruined monastery.</t>
  </si>
  <si>
    <t>Barge pirates have made a deal with a coven of hags and exact a high toll to use the river.</t>
  </si>
  <si>
    <t>Ogre magi have torn up a village in a violent rage.</t>
  </si>
  <si>
    <t>A map showing the location of an ancient magic forge is discovered.</t>
  </si>
  <si>
    <t>37 Two orc tribes wage a bloody war.</t>
  </si>
  <si>
    <t>A recently recovered artifact causes arcane powers to go awry.</t>
  </si>
  <si>
    <t>An enchanter is compelling others to steal for him.</t>
  </si>
  <si>
    <t>A gate to the Lower Planes brings more demons to the world.</t>
  </si>
  <si>
    <t>A plague brought by wererats threatens a community.</t>
  </si>
  <si>
    <t>Clerics who have resurrected a long-dead hero discovered she's not what they thought.</t>
  </si>
  <si>
    <t>Colossal vermin are straying out of the desert to attack settlements.</t>
  </si>
  <si>
    <t>The tomb of an old wizard has been discovered.</t>
  </si>
  <si>
    <t>A clutch of wyverns is preying upon sheep as well as shepherds.</t>
  </si>
  <si>
    <t>There is fierce fighting in the northlands.</t>
  </si>
  <si>
    <t>47 A band of adventure's fled into a ruined fortress tower filled with treasure and monsters.</t>
  </si>
  <si>
    <t>The eastern witches have discovered a new type of magic.</t>
  </si>
  <si>
    <t>An army of statues in the south has begun to move.</t>
  </si>
  <si>
    <t>A mad witch has been found in the burned remains of her abode, her servants all killed by her hand.</t>
  </si>
  <si>
    <t>D50</t>
  </si>
  <si>
    <t>A powerful good wizard is dying and is said to be seeking information on lichedom.</t>
  </si>
  <si>
    <t>An alchemist has lost a shipment of supplies to hijackers. If she doesn't get them back, she faces bankruptcy.</t>
  </si>
  <si>
    <t>Cultists need to recover an artifact to summon a giant sleeping demon.</t>
  </si>
  <si>
    <t>A wizard in a manse to the north of town is flaunting guild laws.</t>
  </si>
  <si>
    <t>Several daring thefts have been made upon towers in the city.</t>
  </si>
  <si>
    <t>A group of dragons has banded together to increase their power. 57 Demons are possessing monsters and causing havoc.</t>
  </si>
  <si>
    <t>A killer is loose and stuffing bodies into chimneys.</t>
  </si>
  <si>
    <t>A large bridge to the east has been destroyed by unknown forces.</t>
  </si>
  <si>
    <t>Something is preventing huge hordes of humanoids from leaving the nearby mountains.</t>
  </si>
  <si>
    <t>A mage's familiar has escaped and been said to have summoned a demon.</t>
  </si>
  <si>
    <t>Reports have come in of a living dungeon.</t>
  </si>
  <si>
    <t>A group of liches has formed an eldrich pact with evil dragons.</t>
  </si>
  <si>
    <t>Rumors of an ogre civil war have been filtering into town.</t>
  </si>
  <si>
    <t>Undead scorpions have been accosting people and robbing them without killing them in the south.</t>
  </si>
  <si>
    <t>Lizard men have recently begun approaching human settlements with envoys seeking peace.</t>
  </si>
  <si>
    <t>67 A powerful angel is hiding in the city performing good deeds unseen.</t>
  </si>
  <si>
    <t>Demons have been taking the shape of men and hiding to escape hell.</t>
  </si>
  <si>
    <t>A new brothel is opening in town, and they are seeking talent.</t>
  </si>
  <si>
    <t>A halfling wizard has discovered a new powerful school of magic.</t>
  </si>
  <si>
    <t>A medusa is said to be the head of a merchant guild.</t>
  </si>
  <si>
    <t>Basilisks have started appearing in the forest to the north.</t>
  </si>
  <si>
    <t>The Witch Queen has been defeated by a band of adventurers.</t>
  </si>
  <si>
    <t>The Witch Queen was in contact with the Mountain King in the nearby mountains.</t>
  </si>
  <si>
    <t>Dwarven immigrants are arriving in southern cities in droves.</t>
  </si>
  <si>
    <t>The mountain pass is blocked.</t>
  </si>
  <si>
    <t>A mage's experiment has caused a disaster in a tower.</t>
  </si>
  <si>
    <t>Talking monkeys reside in the forest.</t>
  </si>
  <si>
    <t>There is a witch in the swamp to the south who brews potions of a legendary efficacy.</t>
  </si>
  <si>
    <t>Primitive heathens are throwing parties in the woods.</t>
  </si>
  <si>
    <t>A magical accident has opened a gate that has loosed magic-eating monsters into the world.</t>
  </si>
  <si>
    <t>An ancient evil cult banished long ago is said to be returning.</t>
  </si>
  <si>
    <t>A great treasure was discovered by the dwarves in the mountains.</t>
  </si>
  <si>
    <t>A vampire is seeking to release a great evil.</t>
  </si>
  <si>
    <t>Man-eating ghouls prowl the swamp for food.</t>
  </si>
  <si>
    <t>Obelisks stand in the mountains that hold the key to great power. None who have sought these have returned.</t>
  </si>
  <si>
    <t>87 A band of evil gnomlings lives in the forest.</t>
  </si>
  <si>
    <t>There is a wolf pack to the north; they are the pets of a mighty giant.</t>
  </si>
  <si>
    <t>An ancient demonic evil has seized control of giants.</t>
  </si>
  <si>
    <t>The Mountain King is possessed by an evil force.</t>
  </si>
  <si>
    <t>Eye tyrants are arriving in huge numbers from the realms above.</t>
  </si>
  <si>
    <t>Dragons can sense when their kin are harmed or killed.</t>
  </si>
  <si>
    <t>When an eye tyrant is killed, a curse is bestowed that causes all other eye tyrants to seek the killers.</t>
  </si>
  <si>
    <t>There are many old ruins in the swamp. They are from a previous Aeon.</t>
  </si>
  <si>
    <t>Many of the old ruins in the swamp contain great and ancient treasure.</t>
  </si>
  <si>
    <t>A palace of pure gold and steel is hidden in the mountains.</t>
  </si>
  <si>
    <t>A mighty pyramid tomb lies to the north; theft-proof, it still contains ancient treasures.</t>
  </si>
  <si>
    <t>A great dragon was slain, the witch queen banished, and the spirit of the ancient barbarian king destroyed by beings from another realm.</t>
  </si>
  <si>
    <t>Darkness or evil emanates from a dark tower.</t>
  </si>
  <si>
    <t>The nearby underdogs are preparing to rebel.</t>
  </si>
  <si>
    <t>Personal Weapon</t>
  </si>
  <si>
    <t>Transportation Business</t>
  </si>
  <si>
    <t>Ancestral Weapon</t>
  </si>
  <si>
    <t>Debt</t>
  </si>
  <si>
    <t>Enmity with Relatives</t>
  </si>
  <si>
    <t>Small (1-100 gp)</t>
  </si>
  <si>
    <t>Medium (300-1,800 gp)</t>
  </si>
  <si>
    <t>Mount or Pet1</t>
  </si>
  <si>
    <t>Large (100-1,000 pp)</t>
  </si>
  <si>
    <t>Land Deed, Uninhabited</t>
  </si>
  <si>
    <t>Fortune (10,000 gp+)</t>
  </si>
  <si>
    <t>Land Deed, Manor</t>
  </si>
  <si>
    <t>Vehicle</t>
  </si>
  <si>
    <t>Land Deed, Castle</t>
  </si>
  <si>
    <t>Servant</t>
  </si>
  <si>
    <t>Mercantile Business</t>
  </si>
  <si>
    <t>Military Contract2</t>
  </si>
  <si>
    <t>A Magic Item</t>
  </si>
  <si>
    <t>City Building</t>
  </si>
  <si>
    <t>Strange Inheritance (q.v)</t>
  </si>
  <si>
    <t>1.  Mounts can also include family pets and unusual mounts. This includes bats, bears, beetles, blink dogs, boars, bulls, camel, cats, chickens, cows, dogs, donkeys, elephants, fish, flightless birds, flighted birds, griffons, goats, hippogriffs, lizards, llama, mules, owls, ox, pegasi, pigs, raptors/roc, sharks, snakes, wolves, or yaks.</t>
  </si>
  <si>
    <t>Such as the services or responsibilities of a mercenary company. The Dungeon Master should use the inheritance as an opportunity to tie the character to both events and the world.</t>
  </si>
  <si>
    <t>A black egg, icy cold to the touch. It contains the bones of several juvenile serpents of various species. If carried close to the body and allowed to incubate against your skin, the egg will "hatch". A monstrous serpentine tattoo will appear on your body and you will gain a poisonous bite. Snakes will begin arriving with small missives, inviting you to visit your true ancestors.</t>
  </si>
  <si>
    <t>The deed to a prison hulk, the Argentium, along with ownership of all 20 madmen imprisoned inside. They are the despondent remains of a doomsday cult.</t>
  </si>
  <si>
    <t>The deed and the key to the Galimoor windmill. Inside are millions of tiny, pale spiders. Upon entry the pig bones on the floor will ask you what you desire, and tell you that "it must be paid in flesh". They will speak no other phrases. In exchange for the gift of a live pig, the spiders can craft wondrous gowns, ropes, lightweight armors that resist arrows, and other such things. In exchange for the gift of a live human, the spiders can craft simulacra that have been imbued with the sacrifice's soul.</t>
  </si>
  <si>
    <t>A huge black hound that carries a pipe around its neck. It enjoys only tobacco, and fights as a fourth-level Fighter.</t>
  </si>
  <si>
    <t>A massage manual. It seems to be filled with mundane massages, but a full reading will reveal that it contains both the forbidden orgasm massage and the massage of death.</t>
  </si>
  <si>
    <t>A grey bird containing the soul of the relative that you thought was deceased. This is their fail-safe: in the event of their murder, their soul would enter this bird, which would then be gifted to you, according to instructions in their will. Your dead relative will attempt to get you to solve their own murder, but this will be complicated by the fact that they have lost all understanding of language (since it is incompatible with their bird mind).</t>
  </si>
  <si>
    <t>A massive bastard sword, along with a note that explains it. The sword must behead one king every year, or else the current royal family will fall and something terrible will happen to the nation. The sword gains a +3 bonus to hit and damage vs. kings.</t>
  </si>
  <si>
    <t>A filthy shack in the outskirts of town. In the basement is several thousand feet of rope, several protoypes of auto­belays and ascenders, and a bottomless pit. The voices start at about 1000' and increase with depth.</t>
  </si>
  <si>
    <t>An anvil. Every night, hundreds of rats come to worship it. As long as you take good care of the anvil (cleaning it, using it to make things) rats will love you and will protect you. If you neglect the anvil, rats will become more aggressive towards you, and eventually a massive rat- ogre and his friends will come steal the anvil away. The anvil contains the soul of an evil cat god.</t>
  </si>
  <si>
    <t>Possession of the family tomb. Oddly enough, one of the rooms contains a comfortable bed. Sleeping there will give you dreams where you stand before your ancestors. If you don't mind kowtowing to their generational prejudices, and marrying per their instructions, they give you excellent advice and directions to treasure caches. Although you may also just wish to collapse the whole nest of ancient racists.</t>
  </si>
  <si>
    <t>Flawed Ring of Soul Possession. Carries the soul of your grandfather, Osto. If you put it on, he will possess your body, figure out what has happened, and apologize. This was never part of the plan. Where is the cruel baroness Vikta? The ring was meant for her. Osto cannot possess anyone who doesn't put the ring on willingly.</t>
  </si>
  <si>
    <t>Legendary Ship of Five Ages. It is currently locked in solid stone. You need several thousand labor hours to dig it out, but once you do, it is a land-ship capable of sailing across both land and sea. (Although sailing uphill may require some pretty severe tacking.)</t>
  </si>
  <si>
    <t>A favor from a succubus. The letter only promises a favor to your father, but your father has attached a letter explicitly passing the favor on to you. Her listed names are Isreta, Shevala, or Sava. She is a shape changer, and it will be a challenge to find her. There is no way to find her, and no easy way to draw her out without simultaneously attracting the (extremely dangerous) attention of a serpent demon named Vilebrand. Investigating the history of Isreta, Shevala, and Sava will reveal that all three women were lovers of an uncommon card game called Tower Garden (among the extraneous details) and that all three were uncommonly beautiful. Host a high-profile evening of Tower Garden, and a beautiful woman will be in attendance. There are other ways to find her, but this is the easiest.</t>
  </si>
  <si>
    <t>Necklace of Decapitation. Bequeathed to you by a known enemy along with a note "Death has a way of humbling a fellow. I give you my lucky necklace, in the hopes that you may be richly adorned for the rest of your days. No hard feelings."</t>
  </si>
  <si>
    <t>Two thousand pounds of opium. One pound of opium is enough to get you executed. This is far, far more opium than you can quietly sell illegally. Many people would kill you for a tiny fraction of this amount. The safest thing to do would be to throw the whole thing in the ocean.</t>
  </si>
  <si>
    <t>A purple worm, currently held by a rancher who helped your ancestor raise it from a wormling. It is non-agressive, but isn't trained well enough to do any task. It will eat a live cow (worth 10 gp) every three days, which is why the rancher is eager to get rid of the thing. Containing it is possible, but remember that it can burrow through stone.</t>
  </si>
  <si>
    <t>17 A dwarven tomb, in one of the oldest mountains around. Worth a fortune. Entirely non-transferrable. The dwarves have already carved your name on it. There is no higher honor in their culture. The tomb comes with a tomb-minder, who is a small dwarf entirely dedicated to making sure that you end up in your tomb once you die. He will ask questions,</t>
  </si>
  <si>
    <t>check itineraries, and taste your urine in order to more closely ascertain when you will die. If asked for advice, he will answer honestly, but will subtly urge you towards courses of action that are more likely to result in your swift death. He has a young wife at home that he wants to get back to.</t>
  </si>
  <si>
    <t>Fancy cat. You can live in this huge house as long as you personally serve Sir Snapdragon all of his meals. If you falter in this very reasonable duty, you are out. If Sir Snapdragon dies while in your care, your life is similarly forfeit. For this service, you will be paid a handsome sum.</t>
  </si>
  <si>
    <t>Mayorhood. It is located a week's travel from here. If you are interested in fleecing the town for all its worth, you can make about 200 gp of immediate embezzlements. If you want to merely tax it, you can make between 50 and 100 gp a year, depending on how brutal you want to be. The towns biggest exports are apple brandy and eel sausages.</t>
  </si>
  <si>
    <t>A surprise. The conditions are given: you must enter this dungeon naked. You can enter this dungeon with your friends, if you wish. If you make it out the other side alive, you will get your inheritance. You do not know it yet, but waiting for you at the far side is the entire Palatine mercenary company kneeling to you. Your father wanted you to inherit, but the Meritas, the second in command, was allowed to devise a test.</t>
  </si>
  <si>
    <t>An invitation from beyond the grave. Basically a free pass to heaven. But you have to die now. A place is already prepared. Takes the form of a dove that can disassemble into a tapestry of carefully painted feathers.</t>
  </si>
  <si>
    <t>Sugar/Spices/Hemp/Jute/Pipeweed/Herbs/Salt*</t>
  </si>
  <si>
    <t>Pewter/Bronze/Copperware/Ceramics</t>
  </si>
  <si>
    <t>96-00</t>
  </si>
  <si>
    <t>Steel Bar Stock</t>
  </si>
  <si>
    <t>A single 6 mile hex contains</t>
  </si>
  <si>
    <t>•     0-1 Fortifications</t>
  </si>
  <si>
    <t>•     0-2 population centers</t>
  </si>
  <si>
    <t>•     2-8 hamlets</t>
  </si>
  <si>
    <t>•     2-5 ruins</t>
  </si>
  <si>
    <t>•     3-6 monster lairs</t>
  </si>
  <si>
    <t>•     0-5 landmarks or features</t>
  </si>
  <si>
    <t>Bullywugs, centaurses, cyclops, devil swines, lesser djinni, efreeti, giants, gnolls, orcs, goblins, mermen, nixies, bandits, doppelgangers, dwarves, elves, goblins, halflings, harpies, lizard men, werebears, kobolds, hobgoblins, bugbears, elves, gnomes, minotaurs, neanderthals, nobles, pixies, rock baboons, sprites, traders, troglodytes, veterans</t>
  </si>
  <si>
    <t>temples, towers, dungeons, forts, abandoned cities, abandoned mines, antediluvian walls, crumbling statues, dilapidated palaces, crumbling citadels</t>
  </si>
  <si>
    <t>Hamlets at a minimum refer to gatherings of a single family. Large hamlets may be groups of up to 4 families. The inhabitants do not need to be human, and likely, if found in the wild, will not be. all need someplace to live</t>
  </si>
  <si>
    <t xml:space="preserve"> Abandoned city</t>
  </si>
  <si>
    <t xml:space="preserve">0 </t>
  </si>
  <si>
    <t>Abandoned mine</t>
  </si>
  <si>
    <t>RUIN</t>
  </si>
  <si>
    <t>Temple Seeds</t>
  </si>
  <si>
    <t>9 This temple is overseen by a holy archon, a literal representation of holy power, and unsurprisingly he's a bit of a dick. The temple worshipers may be unhappy with him.</t>
  </si>
  <si>
    <t>A monster has set itself up as the leader of a group of ignorant peasants and is spreading hate and terror.</t>
  </si>
  <si>
    <t>Worshipers of a specific deity have built this temple to represent the spheres of influence of the deity as closely as possible. A god of law would have rigid schedules and architecture, a god of plants would have a temple grown from a tree.</t>
  </si>
  <si>
    <t>This temple has fallen for many years, and now only the dead remain. They continue their worship in a dark parody.</t>
  </si>
  <si>
    <t>The temple contains worshipers that are actively trying to raise their god or return it to life/power.</t>
  </si>
  <si>
    <t>No person in this temple speaks, they go about their business silently.</t>
  </si>
  <si>
    <t>The people in this temple all have strange powers of flight, energy generation, and supernatural toughness.</t>
  </si>
  <si>
    <t>This temple flourishes due to a cottage industry, producing baskets, flower arrangements, weapons, dream catchers, etc.</t>
  </si>
  <si>
    <t>A monstrous race has become religious. They built this temple and worship in peace.</t>
  </si>
  <si>
    <t>This temple is in a lake or river, being mostly underwater. The inhabitants are aquatic or have a means of breathing underwater.</t>
  </si>
  <si>
    <t>This temple is actually a base for an astral, ethereal, extraplanar, or extraterrestrial group of creatures.</t>
  </si>
  <si>
    <t>This is a snake cult temple of inequity, orgies, and cannibalism.</t>
  </si>
  <si>
    <t>Tower Seeds</t>
  </si>
  <si>
    <t>An elemental mage hides at the top of this elemental- themed tower.</t>
  </si>
  <si>
    <t>This is a mirrored tower, run by an illusionist who focuses on travel in the mirror dimension.</t>
  </si>
  <si>
    <t>This tower is a "governmental" building for monstrous humanoids. They are blasé about the arrival of humans.</t>
  </si>
  <si>
    <t>This is a vampire's tower, filled with gothic architecture and the undead.</t>
  </si>
  <si>
    <t>This is a spectral tower and is filled with ghosts of the people who once inhabited it.</t>
  </si>
  <si>
    <t>This tower is only on this plane for a short period of time before it shifts to another realm.</t>
  </si>
  <si>
    <t>This tower is one in a long-decayed series of teleport towers, several of which are now decrepit. Who knows which ones still work?</t>
  </si>
  <si>
    <t>This is a powerful druid's tower, grown from a single tree and filled with fearsome beasts.</t>
  </si>
  <si>
    <t>This is the tower of a classed character, determine inhabitants per the procedure on X53.</t>
  </si>
  <si>
    <t>This is a hangman's tower with tortures, carrion birds and warlocks. Bodies hang in cages suspended outside the tower.</t>
  </si>
  <si>
    <t>This is a mad scientist's tower, filled with experiments, and with a tesla coil atop the peak.</t>
  </si>
  <si>
    <t>This is a volcanic tower filled with evil orbs and eye tyrants.</t>
  </si>
  <si>
    <t>This is a tower of a despotic barbarian warlord.</t>
  </si>
  <si>
    <t>This is a demon tower containing a portal which allows hell creatures into the land.</t>
  </si>
  <si>
    <t>This tower is a forward base for a monstrous humanoid, and is thick with their influence. (See list, page 216)</t>
  </si>
  <si>
    <t>This is the tower of a noble retired knight, who may be a little out of touch.</t>
  </si>
  <si>
    <t>17 This is a wizard's tower, and woe betide anyone who bothers him.</t>
  </si>
  <si>
    <t>This is a tower of witches, warlocks, hags and seers.</t>
  </si>
  <si>
    <t>This is a clock-tower filled with clockwork makers and monsters.</t>
  </si>
  <si>
    <t>A vivisector lives here creating fleshy monstrosities.</t>
  </si>
  <si>
    <t>Fort Seeds</t>
  </si>
  <si>
    <t>This is an old dwarven fortress, with few if any surviving dwarves. Monsters have begun to infest it.</t>
  </si>
  <si>
    <t>This is the fort of a noble paladin who challenges any interlopers, though there is some doubt his kingdom still exists.</t>
  </si>
  <si>
    <t>This is an outpost of an evil cult they will invite interlopers in to join their scheme. A sacrifice is planned soon.</t>
  </si>
  <si>
    <t>This is an elven steadfast and reacts with hostility to any non-elf parties, or coldness and indifference to any parties containing elves.</t>
  </si>
  <si>
    <t>This is a monstrous humanoid fort (orc or hobgoblin) containing a working engine of war and expansion</t>
  </si>
  <si>
    <t>This fort is the fast of a dark priest, and his cult of slaves and leather clad barbarians</t>
  </si>
  <si>
    <t>This fort is the home of a lamia or succubus, and appears at first to be a place where all pleasures can be had.</t>
  </si>
  <si>
    <t>This is the fort of a beast-lord or animal-king, and his servants include those who can shift between animal and human form.</t>
  </si>
  <si>
    <t>This is a fort of an elder god of madness and all who follow him bear his alien traits.</t>
  </si>
  <si>
    <t>This is the hold of a powerful necromancer, served by his undead servants.</t>
  </si>
  <si>
    <t>This is a fort designed to hold an evil artifact. Inhabitants are stressed by this and are wary of interlopers</t>
  </si>
  <si>
    <t>This fort is run as a giant casino by a maniacal wizard who's as interested in profit as he is by magic.</t>
  </si>
  <si>
    <t>Reasons for Abandonment</t>
  </si>
  <si>
    <t>Plague</t>
  </si>
  <si>
    <t>Infestation</t>
  </si>
  <si>
    <t>Famine</t>
  </si>
  <si>
    <t>Invasion</t>
  </si>
  <si>
    <t>Magical disaster</t>
  </si>
  <si>
    <t>Monster destruction</t>
  </si>
  <si>
    <t>Divine wrath</t>
  </si>
  <si>
    <t>Underdark horror</t>
  </si>
  <si>
    <t>Rebellion</t>
  </si>
  <si>
    <t>Landmarks and features</t>
  </si>
  <si>
    <t>Mounds, grown over with grass. Excavation may reveal mysteries.</t>
  </si>
  <si>
    <t>Ancient stone carvings, weathered and barely visible.</t>
  </si>
  <si>
    <t>A circle of standing stones.</t>
  </si>
  <si>
    <t>A mysterious dome rising from the surface. Perhaps it is earth, or perhaps it covers something more strange.</t>
  </si>
  <si>
    <t>A chunk of earth, several hundred feet to several miles, floats above the surface.</t>
  </si>
  <si>
    <t>Remnants of an ancient graveyard.</t>
  </si>
  <si>
    <t>An obelisk rising from the surface, containing an ancient script.</t>
  </si>
  <si>
    <t>A space of rich earth, dark, freshly turned, with no vegetation or stones.</t>
  </si>
  <si>
    <t>An ancient skeleton of some gigantic creature.</t>
  </si>
  <si>
    <t>Rubble made from giant stones, the remains of an ancient stone building.</t>
  </si>
  <si>
    <t>A cliff covered in unrecognizable marks and graffiti.</t>
  </si>
  <si>
    <t>A small garden filled with web-covered, ancient, weathered, statues</t>
  </si>
  <si>
    <t>An ancient overgrown pool.</t>
  </si>
  <si>
    <t>Crumbled remains of an ancient wall.</t>
  </si>
  <si>
    <t>Broken remains of an ancient roadway.</t>
  </si>
  <si>
    <t>A strange metal rod, unmovable, towering hundreds of feet in the air.</t>
  </si>
  <si>
    <t>17 An archaic overgrown shrine.</t>
  </si>
  <si>
    <t>Piles of round, cylindrical stones.</t>
  </si>
  <si>
    <t>A strange shallow pit that produces some rare substance or material.</t>
  </si>
  <si>
    <t>A gigantic stone head.</t>
  </si>
  <si>
    <t>Descriptive Phrase:</t>
  </si>
  <si>
    <t>Bustling;Chaotic;Decadent;Decrepit;Empty;Established;Growing;Loud;Meltingpot;Metropolitan;Modest;Prosperous;Sprawling;Thriving;vast</t>
  </si>
  <si>
    <t xml:space="preserve">Locations/Interesting Features: </t>
  </si>
  <si>
    <t xml:space="preserve">Resources: </t>
  </si>
  <si>
    <t xml:space="preserve">Governments: </t>
  </si>
  <si>
    <t>Autocracy;Band Society;Bureaucracy;Chiefdom (Tribal);Confederacy;Council;Democracy;Dictatorship;Feudalism;Geniocracy;Gerontocracy;Gynarchy;Hierarchy;Kratocracy;Magocracy;Manorialism;Matriarchy/Patriarchy;Meritocracy;Militocracy;Monarchy;Oligarchy;Pedocracy;Plutocracy;Republic;Satrapy;Syndicracy;Theocracy;Timocracy;Town Meeting</t>
  </si>
  <si>
    <t xml:space="preserve">Population breakdown: </t>
  </si>
  <si>
    <t xml:space="preserve">Languaaes Spoken*: </t>
  </si>
  <si>
    <t xml:space="preserve">Optional Campaign Languages: </t>
  </si>
  <si>
    <t>Adventure seeds and local news</t>
  </si>
  <si>
    <t>Castle Size</t>
  </si>
  <si>
    <t>Four-walled open keep</t>
  </si>
  <si>
    <t>4-6</t>
  </si>
  <si>
    <t>Four-walled covered keep</t>
  </si>
  <si>
    <t>7-8</t>
  </si>
  <si>
    <t>Five to eight-walled covered keep</t>
  </si>
  <si>
    <t>Small walled castle, two to four defensive towers</t>
  </si>
  <si>
    <t>Medium walled castle, five to eight defensive towers</t>
  </si>
  <si>
    <t>Large walled castle, nine to twelve defensive towers</t>
  </si>
  <si>
    <t>Owner</t>
  </si>
  <si>
    <t>Patrol</t>
  </si>
  <si>
    <t>Pursue</t>
  </si>
  <si>
    <t>IgnoreFriendly</t>
  </si>
  <si>
    <t>Abandoned</t>
  </si>
  <si>
    <t>Monstrous</t>
  </si>
  <si>
    <t>9-14</t>
  </si>
  <si>
    <t>2d6 Heavy Horsemen</t>
  </si>
  <si>
    <t>4-5</t>
  </si>
  <si>
    <t>Magic-User</t>
  </si>
  <si>
    <t>11-14</t>
  </si>
  <si>
    <t>2d6 Heavy Footmen</t>
  </si>
  <si>
    <t>2-5</t>
  </si>
  <si>
    <t>7-14</t>
  </si>
  <si>
    <t>2d6 Medium Horsemen</t>
  </si>
  <si>
    <t>Monstrous inhabitants</t>
  </si>
  <si>
    <t xml:space="preserve">Owner </t>
  </si>
  <si>
    <t xml:space="preserve"> Patrol </t>
  </si>
  <si>
    <t xml:space="preserve">Pursue </t>
  </si>
  <si>
    <t>Ignore</t>
  </si>
  <si>
    <t xml:space="preserve">Dwarf </t>
  </si>
  <si>
    <t xml:space="preserve">9-12 </t>
  </si>
  <si>
    <t>9-10</t>
  </si>
  <si>
    <t>2d6 Elven Elk Mounted Bowmen</t>
  </si>
  <si>
    <t>2d6 Gnomes</t>
  </si>
  <si>
    <t>3-5</t>
  </si>
  <si>
    <t>3d6 Gnolls</t>
  </si>
  <si>
    <t>3d6 Halflings</t>
  </si>
  <si>
    <t>3-6</t>
  </si>
  <si>
    <t>4d8 Hobgoblins</t>
  </si>
  <si>
    <t>2d6 Ogres</t>
  </si>
  <si>
    <t>1d6x10 Orcs</t>
  </si>
  <si>
    <t>Pixie*</t>
  </si>
  <si>
    <t>1-6</t>
  </si>
  <si>
    <t>Sprite*</t>
  </si>
  <si>
    <t xml:space="preserve"> 9-11</t>
  </si>
  <si>
    <t>1d4*10 Brigands</t>
  </si>
  <si>
    <t xml:space="preserve">6 </t>
  </si>
  <si>
    <t>3d10 Bandits</t>
  </si>
  <si>
    <t>2-3</t>
  </si>
  <si>
    <t>3d10 Berserkers</t>
  </si>
  <si>
    <t>Dervish</t>
  </si>
  <si>
    <t>(1d6+1)x10</t>
  </si>
  <si>
    <t>1d4+1 Giants, 1d2 Mastadons</t>
  </si>
  <si>
    <t>6d10 Goblins, 3d6 Wolf-rider</t>
  </si>
  <si>
    <t>1d20 1st level Fighters</t>
  </si>
  <si>
    <t>Agricultural (Granary) Ancestral homelands; Animals/Zoo (Stable;Aviary); Castle/Fortification (Walls); Civic Virtue (Forum;Senate House); College/School (Spells;Alchemy;Medicine;Library); Districts (Neighborhoods;Wards;Burroughs;Cantons;Diocese;Precincts;Quarters;Sectors;Turf;Zones'); District Capitals (Multi-story building;Underground Hangar or Cavern;Warehouse;Palace;Castle;Tower;Sewer Section;Intersection;Open Square;Park;Maze;Church;Guild Hall;Section of Docks;Cemetery;Hidden Area;Special Inn;Restaurant;Tavern); Holy (Religious;Missionary;Convent;Monastery;Sacrificial Altar); Holy Site (Necropolis;Old Ruins'); Industry (Old;Current); Infrastructure (Roads;Aqueduct;Housing;Markets;Services;Canals;Inns'); Isolationist; Infamous (Criminals;Outcasts;Rebels;Prisoners'); Landmarks; Ley Line Nexus; Military; Port (Harbor;Docks;Lighthouse); Prejudice; Royalty; Strategic/Defensible Location (Constructed on Hills'); Sports Center (Colosseum); Superstitious; Thieves Guild; Trade City; Tourist Trap (Theater); Wealthy (Craft;Guild;Banks'); Undercity; Unusual type (Cloud;Subterranean;Treetop;Cliffside;Floating)</t>
  </si>
  <si>
    <t>Animals (Elephants;Furs;Horses;Ivory;Whales'); Climate Type (Arctic;Sub-Arctic;Temperate;Moderate;Sub-Tropical;Tropical); Coast-land;Fertile Farmland (Bananas;Corn;Rice;Wheat); Fishing (Clam;Crab;Fish); Geography (High Mountains;Moderate Mountains;Low Mountains;Foothills;Rolling Hills;Plains;Jungle;Dense Forest;Light Forest;Scrub;Grasslands;Barren;Desert;Swamp) Hunting;Game (Deer); Medicinal/Alchemical Plants/Herbs (Dye;Incense;Silk;Spices;Sugar;Wine); Mines (Iron;Gold;Silver;Gems;Copper;Coal); Pasture (Cows;Sheep;Goats); Quarry (Marble;Stone); River;Timber; Natural Industry (Quarry;Mill;Smelters;Magical Workshops); Magical Resources (Ley Lines);</t>
  </si>
  <si>
    <t>Human;Elf;Dwarf;Gnome;Other</t>
  </si>
  <si>
    <t>Common (trade language);Fay;Dialects— High/Grey/Wild (pixie-Farie;elf;grey);Lilliputian (gnome;halfling;burrowing mammals);Hellion (goblinoid;orc);Montus (dwarven;undercommon);Canis (gnoll/gnarl-ron/wolf-men);Homonid (ape);Jotnar (trolls/giants);Suidae (boar-men);Ophidian (reptile/lizard-men);Arachnidia (spider);Chordata (kuo-Toa;troglodites;bullywugs);Sign;Black Speech;High Ancient</t>
  </si>
  <si>
    <t>Obstacles: Anarchy; Barren; Black Wizardry; Civil Warfare (Class Warfare;Racism;Civil Disunity); Corruption (Leaders;Bureaucracy;Secret Society;Mercenary Populous;Cartels and Cabals;Noble Houses;Gangs); Contaminated Land (Salt;Toxin;Supernatural;Ancient damage); Cursed; Harsh Conditions (Brutal Cold;Rock slides;Volcanoes;Isolated;Near Large Monster Lair); Hazardous Resource (Wasted Production); Hunted (Supernatural;Human Raiders;Banditry;Monster Infested); Impoverished (Starvation); Infamous; Natural Disasters (Tornadoes;Hurricanes;Flooding); Plague (Magical;Natural;Curse); Population (No Workers;Unskilled Labor;Broken Spirit;Unhappy Subjects;Shanty Town;Xenophobic population) Religious Zealotry; Rebels (Exiled Lords); Ruinous Customs; Uncertain Ownership; Undeveloped Land; Unquiet Dead;</t>
  </si>
  <si>
    <t xml:space="preserve">*5th edition languages </t>
  </si>
  <si>
    <t>Common;Dwarvish;Elvish;Giant;Gnomlsh;Gob|in;Hafling;Orc;Abyssal;Celestial;Draconic;Deep Speech;Infernal;Primordial;Sylvan;Undercommon</t>
  </si>
  <si>
    <t>Hullack town</t>
  </si>
  <si>
    <t>Eastern Hullack Fort</t>
  </si>
  <si>
    <t>Western Hullack Fort</t>
  </si>
  <si>
    <t>Hullack Barony</t>
  </si>
  <si>
    <t>1 company of infantry
1 lance of light cavalry</t>
  </si>
  <si>
    <t>1 lance of cavalry
1 battalion of infantry</t>
  </si>
  <si>
    <t>96 % human, 3% half-elves, 1% other</t>
  </si>
  <si>
    <t xml:space="preserve">Militia 100 </t>
  </si>
  <si>
    <t>Masoner's Bridge</t>
  </si>
  <si>
    <t>Rabruin's Tor</t>
  </si>
  <si>
    <t>Wyvernstones</t>
  </si>
  <si>
    <t>Tethgard</t>
  </si>
  <si>
    <t>Hullack Hall</t>
  </si>
  <si>
    <t>Muskin's Well</t>
  </si>
  <si>
    <t>Wantorn Wyvern Inn</t>
  </si>
  <si>
    <t>Galdyn's Gorge</t>
  </si>
  <si>
    <t>Dunstone Farm</t>
  </si>
  <si>
    <t>Marthtree</t>
  </si>
  <si>
    <t>Netherese Portal</t>
  </si>
  <si>
    <t>Firefall Vale</t>
  </si>
  <si>
    <t>Thundarlun</t>
  </si>
  <si>
    <t>Realm of Wailing Fog</t>
  </si>
  <si>
    <t>Eveningspire Estate</t>
  </si>
  <si>
    <t>Palant</t>
  </si>
  <si>
    <t>Stormlight</t>
  </si>
  <si>
    <t>Dragon Annual #5</t>
  </si>
  <si>
    <t>Dragon #281</t>
  </si>
  <si>
    <t>Dungeon #88</t>
  </si>
  <si>
    <t>Questions for Ed Greenwood 2009 p</t>
  </si>
  <si>
    <t>Crown of Fire</t>
  </si>
  <si>
    <t>Faiths &amp; Pantheons</t>
  </si>
  <si>
    <t> Crown of Fire</t>
  </si>
  <si>
    <t>E-MAIL</t>
  </si>
  <si>
    <t>DISCORD</t>
  </si>
  <si>
    <t>For personal non commercial use</t>
  </si>
  <si>
    <t>GO TO TABLE OF CONTENTS</t>
  </si>
  <si>
    <t>Аркуш11</t>
  </si>
  <si>
    <t>Travel Tables</t>
  </si>
  <si>
    <t>Weather Tables</t>
  </si>
  <si>
    <t>Journal</t>
  </si>
  <si>
    <t>Level Tables</t>
  </si>
  <si>
    <t>NPCs (2)</t>
  </si>
  <si>
    <t>Prices</t>
  </si>
  <si>
    <t>Hexgen data</t>
  </si>
  <si>
    <t>WORLDGRAPHER</t>
  </si>
  <si>
    <t>SUBSYSTEM</t>
  </si>
  <si>
    <t>HIRELINGS</t>
  </si>
  <si>
    <t>SPECIAL NPCS</t>
  </si>
  <si>
    <t>CAMP</t>
  </si>
  <si>
    <t>Аркуш2</t>
  </si>
  <si>
    <t>Аркуш2 (2)</t>
  </si>
  <si>
    <t>TREASURE</t>
  </si>
  <si>
    <t>Basic Price Sheet</t>
  </si>
  <si>
    <t>LootGen</t>
  </si>
  <si>
    <t>NPCs</t>
  </si>
  <si>
    <t>Sheet1</t>
  </si>
  <si>
    <t>GM SCREEN</t>
  </si>
  <si>
    <t>ORGANIZATIONS</t>
  </si>
  <si>
    <t>Noble Houses</t>
  </si>
  <si>
    <t>TIMELINE</t>
  </si>
  <si>
    <t>Cormyr Encounters</t>
  </si>
  <si>
    <t>SETTLEMENTS</t>
  </si>
  <si>
    <t>DISTANCES CORMYR</t>
  </si>
  <si>
    <t>DIAGRAMS</t>
  </si>
  <si>
    <t>Аркуш4</t>
  </si>
  <si>
    <t>Diagram Navy</t>
  </si>
  <si>
    <t>CONFIG000</t>
  </si>
  <si>
    <t>CREDIT000</t>
  </si>
  <si>
    <t>Аркуш5</t>
  </si>
  <si>
    <t>Sources</t>
  </si>
  <si>
    <t>TABLE OF CONTENTS</t>
  </si>
  <si>
    <t>d20 for NPC reactions to PC talking</t>
  </si>
  <si>
    <t xml:space="preserve"> Hostile, now a nemesis. Gives Major Bane (F). Will pursue PC until dead.</t>
  </si>
  <si>
    <t xml:space="preserve"> Unhappy, gives Minor Bane (E), 80% will shift to hostile on next encounter</t>
  </si>
  <si>
    <t xml:space="preserve"> Disgruntled. Gives false information. 40% will shift to unhappy on next encounter.</t>
  </si>
  <si>
    <t xml:space="preserve"> Gives Personal (A) or Local Information (B), as requested</t>
  </si>
  <si>
    <t xml:space="preserve"> Pleased. Shares Rumour (Use Ladder). 40% will shift to happy on next encounter</t>
  </si>
  <si>
    <t xml:space="preserve"> Happy. Gives Minor Boon (H). 80% will shift to friendly on next encounter</t>
  </si>
  <si>
    <t>19-20</t>
  </si>
  <si>
    <t xml:space="preserve"> Friendly, now an ally. Gives Major Boon (G). Will protect PC until dead.</t>
  </si>
  <si>
    <t>d20 for NPC motivations under PC questioning</t>
  </si>
  <si>
    <t xml:space="preserve"> On The Run (J) from Enemy (Q -Minor, R – Major) for Good (O) or Evil Deeds (P)</t>
  </si>
  <si>
    <t xml:space="preserve"> On a Vendetta (I) versus an Enemy (Q -Minor, R - Major)</t>
  </si>
  <si>
    <t xml:space="preserve"> Searching for Local (B), Personal (A) or Item Information (C).</t>
  </si>
  <si>
    <t xml:space="preserve"> Buying / Selling (K) at nearby location, then returning Home (L)</t>
  </si>
  <si>
    <t xml:space="preserve"> On a local Minor Quest (M) for Treasure (U)</t>
  </si>
  <si>
    <t xml:space="preserve"> On a Minor (M) or Major Quest (N) for Minor Enemy (Q)</t>
  </si>
  <si>
    <t xml:space="preserve"> On a Major Quest (N) for Treasure (U)</t>
  </si>
  <si>
    <t>d20 for Area/Site Status</t>
  </si>
  <si>
    <t xml:space="preserve"> Faithtouched (AA) or Weavetouched (BB)</t>
  </si>
  <si>
    <t xml:space="preserve"> Home of (Evil, Neutral) Faction (D)</t>
  </si>
  <si>
    <t xml:space="preserve"> Home to Monster (Roll on Own Encounter Table). Nearby is a Minor Treasure (U)</t>
  </si>
  <si>
    <t xml:space="preserve"> Benign area of NPC population or is abandoned. No treasure</t>
  </si>
  <si>
    <t xml:space="preserve"> Home of (Good, Neutral) Faction (D)</t>
  </si>
  <si>
    <t xml:space="preserve"> Home to Monster (Roll on Own Encounter Table). Nearby is a Major Treasure (U)</t>
  </si>
  <si>
    <t xml:space="preserve"> Is Haunted (S) or Cursed (T)</t>
  </si>
  <si>
    <t>A – Personal Information – d20</t>
  </si>
  <si>
    <t xml:space="preserve"> Gives secret that leads to Major Boon (G)</t>
  </si>
  <si>
    <t xml:space="preserve"> Describes a family Emergency (V)</t>
  </si>
  <si>
    <t xml:space="preserve"> Passes along a rumor (check Ladder) about the PC as told by a friend or Enemy (Q)(R)</t>
  </si>
  <si>
    <t xml:space="preserve"> Gives information that confirms a suspicion held by the PC or the Party</t>
  </si>
  <si>
    <t xml:space="preserve"> Passes along a Minor Warning (W) that concerns the PC or the Party</t>
  </si>
  <si>
    <t xml:space="preserve"> Gives Exact Knowledge about information the PC or Party has been investigating</t>
  </si>
  <si>
    <t xml:space="preserve"> Passes along knowledge of a Major Warning (W) to the PC</t>
  </si>
  <si>
    <t>B – Local Information – d20</t>
  </si>
  <si>
    <t xml:space="preserve"> Tells of Major Boon (G) concerning the area</t>
  </si>
  <si>
    <t xml:space="preserve"> Tells of Emergency (V)</t>
  </si>
  <si>
    <t xml:space="preserve"> Passes along knowledge of a Social Event (CC)</t>
  </si>
  <si>
    <t xml:space="preserve"> Gives information about an Enemy (Q) (R) threat</t>
  </si>
  <si>
    <t xml:space="preserve"> Passes along information of a Political Event (Y)</t>
  </si>
  <si>
    <t xml:space="preserve"> Gives information about Religious Event (Z)</t>
  </si>
  <si>
    <t xml:space="preserve"> Tells of Major Bane (F) </t>
  </si>
  <si>
    <t>C – Item information – d20</t>
  </si>
  <si>
    <t xml:space="preserve"> Artifact (Single object (95%), or part of a Set (5%))</t>
  </si>
  <si>
    <t xml:space="preserve"> Jewelry, Chest, Map, Bucket, Lantern or Jar (d6)</t>
  </si>
  <si>
    <t xml:space="preserve"> Armor (Single piece (90%), or part of a Set(10%))</t>
  </si>
  <si>
    <t xml:space="preserve"> Missile or Melee Weapon (Common (60%), Uncommon (25%), Rare (5%)</t>
  </si>
  <si>
    <t xml:space="preserve"> Rod, Staff, Wand, Sceptre, Crown or Gemstone (d6)</t>
  </si>
  <si>
    <t xml:space="preserve"> Statue, Painting, Instrument, Sheet Music, Article of Clothing (d6)</t>
  </si>
  <si>
    <t xml:space="preserve"> Replacement Body Part (75%) or Organ (25%)</t>
  </si>
  <si>
    <t>D – Faction</t>
  </si>
  <si>
    <t xml:space="preserve"> Mystery Cult (DD)</t>
  </si>
  <si>
    <t xml:space="preserve"> Slavers or brutal overlords</t>
  </si>
  <si>
    <t xml:space="preserve"> Religious warriors or clerics</t>
  </si>
  <si>
    <t xml:space="preserve"> Law and Justice officers or warriors</t>
  </si>
  <si>
    <t xml:space="preserve"> Corrupt mercenaries or rogues</t>
  </si>
  <si>
    <t xml:space="preserve"> Merchants collective or guild</t>
  </si>
  <si>
    <t xml:space="preserve"> Cabal of mages</t>
  </si>
  <si>
    <t>E – Minor Bane</t>
  </si>
  <si>
    <t xml:space="preserve"> Disease or pestilence</t>
  </si>
  <si>
    <t xml:space="preserve"> Buildings destroyed</t>
  </si>
  <si>
    <t xml:space="preserve"> Enemy (Q) (R) of the PC or Party is actively opposing them</t>
  </si>
  <si>
    <t xml:space="preserve"> Loss of items of value</t>
  </si>
  <si>
    <t xml:space="preserve"> Curse (T) has been activated</t>
  </si>
  <si>
    <t xml:space="preserve"> People have been injured</t>
  </si>
  <si>
    <t xml:space="preserve"> Haunted (S)</t>
  </si>
  <si>
    <t>F – Major Bane</t>
  </si>
  <si>
    <t xml:space="preserve"> Bad luck (random penalties[disadvantage] to random die rolls) for 1 month or 10 combats</t>
  </si>
  <si>
    <t xml:space="preserve"> Outbreak of large plague or pestilence</t>
  </si>
  <si>
    <t xml:space="preserve"> A large loss of monetary wealth</t>
  </si>
  <si>
    <t xml:space="preserve"> Many items of value have been lost or destroyed</t>
  </si>
  <si>
    <t xml:space="preserve"> Many buildings have been damaged or the land has been damaged</t>
  </si>
  <si>
    <t xml:space="preserve"> Many people have been killed</t>
  </si>
  <si>
    <t xml:space="preserve"> PC or Party has attracted the attention of an Enemy (Q) (R)</t>
  </si>
  <si>
    <t>G – Minor Boon</t>
  </si>
  <si>
    <t xml:space="preserve"> Enemy (Q) (R) has been temporarily thwarted</t>
  </si>
  <si>
    <t xml:space="preserve"> Minor magic item obtained</t>
  </si>
  <si>
    <t xml:space="preserve"> Small amount of money or resources obtained</t>
  </si>
  <si>
    <t xml:space="preserve"> Magicked gemstone obtained (use 0-level or Cantrip effect, 1/day, as level 1 caster)</t>
  </si>
  <si>
    <t xml:space="preserve"> A minor property is awarded or an improvement to a minor property is granted</t>
  </si>
  <si>
    <t xml:space="preserve"> Personal relationship established with potential ally or social status increases with ally</t>
  </si>
  <si>
    <t xml:space="preserve"> For one day, all activities are easier. +1</t>
  </si>
  <si>
    <t>H – Major Boon</t>
  </si>
  <si>
    <t xml:space="preserve"> Divine intervention grants a Treasure (U)</t>
  </si>
  <si>
    <t xml:space="preserve"> True Knowledge of a Treasure (U) location is obtained</t>
  </si>
  <si>
    <t xml:space="preserve"> Large amount of monetary wealth is granted</t>
  </si>
  <si>
    <t xml:space="preserve"> An existing skill or knowledge is improved (+1) or a new skill is obtained</t>
  </si>
  <si>
    <t xml:space="preserve"> A personal relationship is improved to 100%</t>
  </si>
  <si>
    <t xml:space="preserve"> A major property is awarded or an improvement to a major property is granted</t>
  </si>
  <si>
    <t xml:space="preserve"> PC or Party is pointed towards an Artifact (C) (“Specific”on the Rumor Ladder)</t>
  </si>
  <si>
    <t xml:space="preserve">I – Vendetta </t>
  </si>
  <si>
    <t xml:space="preserve"> Wrongfully jailed or persecuted</t>
  </si>
  <si>
    <t xml:space="preserve"> Racial crusade</t>
  </si>
  <si>
    <t xml:space="preserve"> Revenge for theft or deception</t>
  </si>
  <si>
    <t xml:space="preserve"> Revenge for personal death(s)</t>
  </si>
  <si>
    <t xml:space="preserve"> Religious crusade (local or part of a Faithquest)</t>
  </si>
  <si>
    <t xml:space="preserve"> Political persecution</t>
  </si>
  <si>
    <t xml:space="preserve"> Social status destroyed or socially exiled</t>
  </si>
  <si>
    <t>J – On The Run</t>
  </si>
  <si>
    <t xml:space="preserve"> Committed political crime</t>
  </si>
  <si>
    <t xml:space="preserve"> Escaped from detention for crime</t>
  </si>
  <si>
    <t xml:space="preserve"> Committed minor crime of theft, fraud or assualt</t>
  </si>
  <si>
    <t xml:space="preserve"> Committed major crime of theft, murder or rape (or this can be substituted with anarchy)</t>
  </si>
  <si>
    <t xml:space="preserve"> Committed religious crime</t>
  </si>
  <si>
    <t xml:space="preserve"> Got tangled up with a Mystery Cult (DD)</t>
  </si>
  <si>
    <t xml:space="preserve"> Unjustly accused</t>
  </si>
  <si>
    <t>K – Buying or Selling</t>
  </si>
  <si>
    <t xml:space="preserve"> Cloth</t>
  </si>
  <si>
    <t xml:space="preserve"> Raw or Finished</t>
  </si>
  <si>
    <t xml:space="preserve"> Wood</t>
  </si>
  <si>
    <t xml:space="preserve"> Raw, Finished, Furniture, Containers, Paper</t>
  </si>
  <si>
    <t xml:space="preserve"> Food</t>
  </si>
  <si>
    <t xml:space="preserve"> Random types (air, sea, land) from random culture</t>
  </si>
  <si>
    <t xml:space="preserve"> Beverages</t>
  </si>
  <si>
    <t xml:space="preserve"> Brewed (Ales), Distilled (Spirits), Raw (Juice) or Water</t>
  </si>
  <si>
    <t xml:space="preserve"> Spice</t>
  </si>
  <si>
    <t xml:space="preserve"> Salt, Random spice, Random herb, Il(legal) drugs, or Medicine</t>
  </si>
  <si>
    <t xml:space="preserve"> Minerals</t>
  </si>
  <si>
    <t xml:space="preserve"> Raw or Refined or Gems</t>
  </si>
  <si>
    <t xml:space="preserve"> Luxury</t>
  </si>
  <si>
    <t xml:space="preserve"> Art, Rare Commodity or Masterwork items/weapons/armor</t>
  </si>
  <si>
    <t xml:space="preserve">M – Minor Quest </t>
  </si>
  <si>
    <t>1-3  Commune with avatar</t>
  </si>
  <si>
    <t>4-6  Map a location</t>
  </si>
  <si>
    <t>7-9  Deliver a message</t>
  </si>
  <si>
    <t>10-12  Recover a minor Treasure (U)</t>
  </si>
  <si>
    <t>13-15  Deliver a package</t>
  </si>
  <si>
    <t>16-18  Destroy a minor monster/cleanse a tainted area</t>
  </si>
  <si>
    <t>19-20  Rediscover a local forgotten place</t>
  </si>
  <si>
    <t xml:space="preserve">N – Major Quest </t>
  </si>
  <si>
    <t xml:space="preserve"> Awaken a sleeping NPC</t>
  </si>
  <si>
    <t xml:space="preserve"> Recover or destroy an Artifact (C)</t>
  </si>
  <si>
    <t xml:space="preserve"> Aid or Slay an NPC</t>
  </si>
  <si>
    <t xml:space="preserve"> Slay a monster</t>
  </si>
  <si>
    <t xml:space="preserve"> Liberate or enslave an NPC</t>
  </si>
  <si>
    <t xml:space="preserve"> Discover a lost foreign land</t>
  </si>
  <si>
    <t xml:space="preserve"> Save or destroy the world</t>
  </si>
  <si>
    <t>O – Good Deeds</t>
  </si>
  <si>
    <t xml:space="preserve"> Freeing an innocent from imprisonment</t>
  </si>
  <si>
    <t xml:space="preserve"> Correct a long-standing error</t>
  </si>
  <si>
    <t xml:space="preserve"> Helping unfortunates with financial aid</t>
  </si>
  <si>
    <t xml:space="preserve"> Spreading a charitable political message or religious doctrine</t>
  </si>
  <si>
    <t xml:space="preserve"> Helping local children or relatives to overcome oppression</t>
  </si>
  <si>
    <t xml:space="preserve"> Heal the sick and comfort the dying</t>
  </si>
  <si>
    <t xml:space="preserve"> Using Artifact (C) to spread goodwill</t>
  </si>
  <si>
    <t>P – Evil Deeds</t>
  </si>
  <si>
    <t xml:space="preserve"> Humiliate and torture a rival</t>
  </si>
  <si>
    <t xml:space="preserve"> Collect an extortion's payoff and punish the offender</t>
  </si>
  <si>
    <t xml:space="preserve"> Steal from friends or family</t>
  </si>
  <si>
    <t xml:space="preserve"> Badly beat or kill a rival</t>
  </si>
  <si>
    <t xml:space="preserve"> Destroy a business, financially or physically</t>
  </si>
  <si>
    <t xml:space="preserve"> Agitate a harmful political message or religious doctrine</t>
  </si>
  <si>
    <t xml:space="preserve"> Spread lies and rumors against an individual or group of a shocking nature</t>
  </si>
  <si>
    <t>Q – Minor Enemy</t>
  </si>
  <si>
    <t xml:space="preserve"> Snubbed ex-friend</t>
  </si>
  <si>
    <t xml:space="preserve"> School bully</t>
  </si>
  <si>
    <t xml:space="preserve"> Business rival</t>
  </si>
  <si>
    <t xml:space="preserve"> Local thug</t>
  </si>
  <si>
    <t xml:space="preserve"> Romantic rival</t>
  </si>
  <si>
    <t xml:space="preserve"> Spiteful boss or teacher</t>
  </si>
  <si>
    <t xml:space="preserve"> Family member</t>
  </si>
  <si>
    <t>R – Major Enemy</t>
  </si>
  <si>
    <t xml:space="preserve"> A politician or political group</t>
  </si>
  <si>
    <t xml:space="preserve"> A powerful rogue/thug/assassin</t>
  </si>
  <si>
    <t xml:space="preserve"> A noble's family</t>
  </si>
  <si>
    <t xml:space="preserve"> A religious cult, sect, group, or temple</t>
  </si>
  <si>
    <t xml:space="preserve"> A powerful mage or cabal</t>
  </si>
  <si>
    <t xml:space="preserve"> A mercenary group</t>
  </si>
  <si>
    <t xml:space="preserve"> A mysterious NPC</t>
  </si>
  <si>
    <t>S – Haunted</t>
  </si>
  <si>
    <t xml:space="preserve"> Spirits locked in battle</t>
  </si>
  <si>
    <t xml:space="preserve"> A tortured revenant who must relive its brutal murder</t>
  </si>
  <si>
    <t xml:space="preserve"> A benign phantom who provides small comforts and messages</t>
  </si>
  <si>
    <t xml:space="preserve"> A crazed banshee</t>
  </si>
  <si>
    <t xml:space="preserve"> A spiteful haunt, who appears as dead loved ones and friends</t>
  </si>
  <si>
    <t xml:space="preserve"> A playful poltergeist, a childish trickster</t>
  </si>
  <si>
    <t xml:space="preserve"> An evil ghost, driven to consume lifeforce in a bid to regain life</t>
  </si>
  <si>
    <t>T – Cursed</t>
  </si>
  <si>
    <t xml:space="preserve"> Time moves at a different speed</t>
  </si>
  <si>
    <t xml:space="preserve"> Sleep and rest is impossible</t>
  </si>
  <si>
    <t xml:space="preserve"> Extreme heat or cold</t>
  </si>
  <si>
    <t xml:space="preserve"> An overwhelming aura of helplessness and suffering</t>
  </si>
  <si>
    <t xml:space="preserve"> Plagues of vermin</t>
  </si>
  <si>
    <t xml:space="preserve"> Foul weather</t>
  </si>
  <si>
    <t xml:space="preserve"> Corruption of reality</t>
  </si>
  <si>
    <t>U – Treasure</t>
  </si>
  <si>
    <t xml:space="preserve"> Potions</t>
  </si>
  <si>
    <t xml:space="preserve"> Gems</t>
  </si>
  <si>
    <t xml:space="preserve"> Weapons or armor</t>
  </si>
  <si>
    <t xml:space="preserve"> Coins</t>
  </si>
  <si>
    <t xml:space="preserve"> Wands, Rods, and Staves</t>
  </si>
  <si>
    <t xml:space="preserve"> Clothing</t>
  </si>
  <si>
    <t xml:space="preserve"> Artifact (C)</t>
  </si>
  <si>
    <t>V – Emergency</t>
  </si>
  <si>
    <t>1-3  Political power is dead or arrested/exiled</t>
  </si>
  <si>
    <t>4-6  Business in trouble</t>
  </si>
  <si>
    <t>7-9  Family friend ill or mad or dead</t>
  </si>
  <si>
    <t>10-12  Hometown has been attacked or enslaved or destroyed</t>
  </si>
  <si>
    <t>13-15  Disease epidemic</t>
  </si>
  <si>
    <t>16-18  Close relative or spouse has done something terrible</t>
  </si>
  <si>
    <t>19-20  All resources or income has been stolen or destroyed</t>
  </si>
  <si>
    <t>W – Warning</t>
  </si>
  <si>
    <t xml:space="preserve"> A powerful enemy is coming for you</t>
  </si>
  <si>
    <t xml:space="preserve"> An enemy is plotting against you</t>
  </si>
  <si>
    <t xml:space="preserve"> The government is investigating you</t>
  </si>
  <si>
    <t xml:space="preserve"> Friend or lover or spouse is lying to you</t>
  </si>
  <si>
    <t xml:space="preserve"> Co-worker or business partner is stealing from you</t>
  </si>
  <si>
    <t xml:space="preserve"> Rival is spreading terrible lies and rumors</t>
  </si>
  <si>
    <t xml:space="preserve"> An avatar is coming</t>
  </si>
  <si>
    <t>X – Social Events</t>
  </si>
  <si>
    <t xml:space="preserve"> An invitation to an upcoming event (party, play, etc..) given by a mysterious stranger.</t>
  </si>
  <si>
    <t xml:space="preserve"> A local revival of (insert deity) followers is nearby, and drawing crowds</t>
  </si>
  <si>
    <t xml:space="preserve"> A challenge has been issued by the (local ruler), calling for Feats of (insert ability)</t>
  </si>
  <si>
    <t xml:space="preserve"> The (guild-house) is permitting new members to join, decided by a contest</t>
  </si>
  <si>
    <t xml:space="preserve"> A circus has come to town. Rumors are they are taking on workers</t>
  </si>
  <si>
    <t xml:space="preserve"> A fancy dress party for the (local ruler) has drawn all the wealthy in the area</t>
  </si>
  <si>
    <t xml:space="preserve"> The marriage/birth/death/divorce/something else of (local ruler) or (ruler's family/spouse)</t>
  </si>
  <si>
    <t>Y – Political Events</t>
  </si>
  <si>
    <t xml:space="preserve"> Opposition gains control through a coup</t>
  </si>
  <si>
    <t xml:space="preserve"> A downshift in the support of financial backers has driven prices way up</t>
  </si>
  <si>
    <t xml:space="preserve"> A noble is accused of a terrible crime</t>
  </si>
  <si>
    <t xml:space="preserve"> A marriage between noble houses has been announced, rumors of treachery persist</t>
  </si>
  <si>
    <t xml:space="preserve"> A shift in the government's stance on taxes has been taken badly by the populace</t>
  </si>
  <si>
    <t xml:space="preserve"> Corruption rumors abound, and evidence of murder and treachery is begin sought</t>
  </si>
  <si>
    <t xml:space="preserve"> Powerful figure has been killed or exiled or worse</t>
  </si>
  <si>
    <t>Z – Religious Events</t>
  </si>
  <si>
    <t xml:space="preserve"> Avatar issues sanctions</t>
  </si>
  <si>
    <t xml:space="preserve"> Open warfare against temple enemies is now public knowledge</t>
  </si>
  <si>
    <t xml:space="preserve"> New edict/sanction is announced, causing a radical shift in the local population's mood</t>
  </si>
  <si>
    <t xml:space="preserve"> An expedition to the Heathen Lands has been announced</t>
  </si>
  <si>
    <t xml:space="preserve"> Temple leaders have declared a peace agreement and a Summit of Faith is announced.</t>
  </si>
  <si>
    <t xml:space="preserve"> An artifact or holy relic has been found/destroyed and a Call to the Faithful has gone out</t>
  </si>
  <si>
    <t xml:space="preserve"> Avatar appears and denounces/blesses the faithful and punishes/rewards with a bane/boon</t>
  </si>
  <si>
    <t>AA – Faith Touched</t>
  </si>
  <si>
    <t xml:space="preserve"> Dreams of the lives of those who gave their lives in sacrifice for the Faith</t>
  </si>
  <si>
    <t xml:space="preserve"> All skills relating to the practice of the faith are more easily accomplished. +1</t>
  </si>
  <si>
    <t xml:space="preserve"> Hallucinations of the landscape of the deity's Plane haunt the waking mind</t>
  </si>
  <si>
    <t xml:space="preserve"> Those not of the Faith will be psionically attacked by the environment, driving them out</t>
  </si>
  <si>
    <t xml:space="preserve"> Animal servants of the deity roam the grounds here, protecting from heathen intruders</t>
  </si>
  <si>
    <t xml:space="preserve"> All divine spells are cast here as if the caster was 1 level higher.</t>
  </si>
  <si>
    <t xml:space="preserve"> Manifestation of an Avatar. Its mood depends on the PCs interaction</t>
  </si>
  <si>
    <t>BB – Weave Touched</t>
  </si>
  <si>
    <t xml:space="preserve"> A living mask of a Jester can be found here, hidden, but waiting. The parasite sleeps.</t>
  </si>
  <si>
    <t xml:space="preserve"> All skills relating to the practice of the arcane mysteries are more easily accomplished. +1</t>
  </si>
  <si>
    <t xml:space="preserve"> Time and space are on vacation here. Non-causality is a possibility. Dimensionally weird.</t>
  </si>
  <si>
    <t xml:space="preserve"> All arcane objects are recharged here, but can only be used once per item per location</t>
  </si>
  <si>
    <t xml:space="preserve"> Astral and ethereal creatures are feeding from this bountiful font. They are hostile</t>
  </si>
  <si>
    <t xml:space="preserve"> All arcane spells are cast here as if the caster were 1 level higher</t>
  </si>
  <si>
    <t xml:space="preserve"> Wild magic regularly spawns here, bathing the area with random level spells and duration</t>
  </si>
  <si>
    <t>CC – Mystery Cult</t>
  </si>
  <si>
    <t xml:space="preserve"> Trying to return/exile/free/enslave/destroy/rebirth a minor/major deity</t>
  </si>
  <si>
    <t xml:space="preserve"> Collecting objects to trade to a deity for power</t>
  </si>
  <si>
    <t xml:space="preserve"> Thralls under a larger power, acquiring resources, knowledge, manpower for a larger plan</t>
  </si>
  <si>
    <t xml:space="preserve"> Disaffected people angry at inequality. They have resorted to violence and rhetoric</t>
  </si>
  <si>
    <t xml:space="preserve"> Animal worshipers, devoted to returning humanity to a more primal lifestyle</t>
  </si>
  <si>
    <t xml:space="preserve"> Outsiders stealing/killing/trading/enslaving/helping the local populace</t>
  </si>
  <si>
    <t xml:space="preserve"> Wealthy cannibals and defilers, seeking only pleasure for themselves</t>
  </si>
  <si>
    <t>7-9</t>
  </si>
  <si>
    <t>10-12</t>
  </si>
  <si>
    <t>Rumor Ladder</t>
  </si>
  <si>
    <t>False (Appears as Specific or Exact)</t>
  </si>
  <si>
    <t>Vague</t>
  </si>
  <si>
    <t>Mixed</t>
  </si>
  <si>
    <t>Exact</t>
  </si>
  <si>
    <t>(From Dragon #286, p. 98)</t>
  </si>
  <si>
    <t>COMMON ENCUMBERED SPEEDS ARE:</t>
  </si>
  <si>
    <t>Enc. Speed</t>
  </si>
  <si>
    <t>COMMON LOCAL AND OVERLAND SPEEDS ARE:</t>
  </si>
  <si>
    <t>ONE MINUTE (LOCAL)</t>
  </si>
  <si>
    <t>Speed*</t>
  </si>
  <si>
    <t>Walk</t>
  </si>
  <si>
    <t>Run (x3)</t>
  </si>
  <si>
    <t>Run (x4)</t>
  </si>
  <si>
    <t>ONE HOUR (OVERLAND)</t>
  </si>
  <si>
    <t>Walk (miles)</t>
  </si>
  <si>
    <t>0.5</t>
  </si>
  <si>
    <t>Hustle (miles)</t>
  </si>
  <si>
    <t>ONE DAY (OVERLAND)</t>
  </si>
  <si>
    <t>* Use normal or encumbered speed, whichever applies to the creature.</t>
  </si>
  <si>
    <t>Terrain and Overland Movement in Faerün</t>
  </si>
  <si>
    <t>Trackless</t>
  </si>
  <si>
    <t>Barren/Badlands</t>
  </si>
  <si>
    <t>Cleared/Mixed</t>
  </si>
  <si>
    <t>Glacier</t>
  </si>
  <si>
    <t>High Mountains</t>
  </si>
  <si>
    <t>Low Mountains</t>
  </si>
  <si>
    <t>Rocky Desert</t>
  </si>
  <si>
    <t>Sandy Desert</t>
  </si>
  <si>
    <t>Hampered Movement</t>
  </si>
  <si>
    <t>Condition</t>
  </si>
  <si>
    <t>Example</t>
  </si>
  <si>
    <t>Penalty</t>
  </si>
  <si>
    <t>Obstruction</t>
  </si>
  <si>
    <t>   Moderate</t>
  </si>
  <si>
    <t>Undergrowth</t>
  </si>
  <si>
    <t>   Heavy</t>
  </si>
  <si>
    <t>Thick undergrowth</t>
  </si>
  <si>
    <t>Surface</t>
  </si>
  <si>
    <t>   Bad</t>
  </si>
  <si>
    <t>Steep slope or mud</t>
  </si>
  <si>
    <t>   Very Bad</t>
  </si>
  <si>
    <t>Deep snow</t>
  </si>
  <si>
    <t>Visibility</t>
  </si>
  <si>
    <t>   Poor</t>
  </si>
  <si>
    <t>Darkness or fog</t>
  </si>
  <si>
    <t>Mount and Vehicle Speeds</t>
  </si>
  <si>
    <t>Mount/Vehicle</t>
  </si>
  <si>
    <t>Light Horse or Light Warhorse</t>
  </si>
  <si>
    <t>Heavy Horse or Heavy Warhorse</t>
  </si>
  <si>
    <t>Pony or Warpony</t>
  </si>
  <si>
    <t>Donkey or Mule</t>
  </si>
  <si>
    <t>Cart or Wagon</t>
  </si>
  <si>
    <t>Raft or Barge (poled or towed)*</t>
  </si>
  <si>
    <t>Keelboat (rowed)*</t>
  </si>
  <si>
    <t>Rowboat</t>
  </si>
  <si>
    <t>Sailing Ship (sailed)**</t>
  </si>
  <si>
    <t>Warship (sailed &amp; rowed)**</t>
  </si>
  <si>
    <t>Longship (sailed &amp; rowed)**</t>
  </si>
  <si>
    <t>Galley (sailed &amp; rowed)**</t>
  </si>
  <si>
    <t>* Rafts, barges and keelboats are used on lakes and rivers. If going downstream, add the speed of the current (typically 30) to the speed of the vehicle. In addition to 10 hours of being rowed, the vehicle can also float an additional 14 hours, if someone can guide it, so add an additional 42 miles (assuming current speed of 30) to the daily distance travelled. These vehicles can't be rowed against any significant current, but they can be pulled upstream by draft animals on the shores.</t>
  </si>
  <si>
    <t>** Sailing ships have the wind available to them 24 hours per day, so simply multiply the number of miles from the "One Day (Overland)" section of that table by 3.</t>
  </si>
  <si>
    <t>Terrain Types:</t>
  </si>
  <si>
    <t>Rugged areas with very sparse vegetation. Badlands are criscrossed with labyrinthine valleys separated by weirdly shaped hills and rock formations.</t>
  </si>
  <si>
    <t>Open areas that have been cleared for agriculture. Cleared areas may contain small stands of trees, low hills, and other geographical features. Mixed areas are naturally open and rolling, and include a variety of minor landforms such as low hills, prairies, scattered trees, and small brooks.</t>
  </si>
  <si>
    <t>Any area thickly covered with tall trees. The trees may be coniferous or deciduous.</t>
  </si>
  <si>
    <t>A large mass of ice in high mountains or in high latitudes. The ice is in motion (albeit very slowly), creating crevices, pressure ridges, and other hazards.</t>
  </si>
  <si>
    <t>Open and fairly flat areas covered mostly with grass. Some trees and shrubs may grow near open water.</t>
  </si>
  <si>
    <t>Areas covered with steep, rocky peaks. Areas of high mountains have at least some peaks tall enough to remain snowcapped throughout the year, even in temperate or warm climates. Tall mountains also have distinct tree lines. Mountainous areas contain passes and valleys that are lower than the surrounding peaks.</t>
  </si>
  <si>
    <t>Rugged areas that are lower and less steep than mountains. Like mountainous areas, hilly areas can also contain valleys that are lower than the surrounding hills.</t>
  </si>
  <si>
    <t>Exceptionally thick and damp forest.</t>
  </si>
  <si>
    <t>Lake</t>
  </si>
  <si>
    <t>An inland body of fresh water. The Lake of Steam is an exception -- it's really a saltwater inlet of the Shining Sea. Azulduth, the Lake of Salt, is saltwater instead of freshwater.</t>
  </si>
  <si>
    <t>Areas taller, steeper, and more rugged than hills, but less so than high mountains. Low mountains are not tall enough to have tree lines or to retain permanent snowcaps in temperate or warm areas. Mountainous areas contain passes and valleys that are lower than the surrounding peaks.</t>
  </si>
  <si>
    <t>Low, waterlogged areas that support stands of reeds and other low vegetation, but few trees. Marshes may contains islands of fairly dry land separated by stagnant water or sluggish streams.</t>
  </si>
  <si>
    <t>Open areas, often fairly high but poorly drained. Moors tend to be grassy, with patches of low shrubs and bogs.</t>
  </si>
  <si>
    <t>Flowing water too deep and wide to cross without swimming or using a bridge, boat, or ford.</t>
  </si>
  <si>
    <t>A route with a smooth and firm surface, covered with packed earth or gravel and graded to shed rainwater.</t>
  </si>
  <si>
    <t>An arid region covered with sunbaked rocks and scrub.</t>
  </si>
  <si>
    <t>An arid region covered in shifting sand and sand dunes.</t>
  </si>
  <si>
    <t>A low, waterlogged area, similar to a marsh but covered with trees.</t>
  </si>
  <si>
    <t>An unimproved track that marks a reasonably efficient route through an area.</t>
  </si>
  <si>
    <t>Aera, Aial, Aur, Deekek, Errk, Heehk, Ikki, Kleeck, Oorr, Quaf, Quierk, Salleek, Urreek, Zeed</t>
  </si>
  <si>
    <t>Arjhan, Balasar, Bharash, Donaar, Ghesh, Heskan, Kriv, Medrash, Mehen, Nadarr, Pandjed, Patrin, Rhogar, Shamash, Shedinn, Tarhun, Torinn, Andujar, Armagan, Armek, Arzan, Axaran, Belaxarim, Brevarr, Djemidor, Draxan, Fayal, Grax, Iojad, Inzul, Khiraj, Krevtzen, Lejek, Mar, Nazir, Nedam, Nevek, Ravaran, Razaan, Sarax, Sarram, Savaxis, Siangar, Sunan, Szuran, Tajan, Tamajon, Tenahn, Toxal, Tzegyr, Vantajar, Vharkus, Xafiq, Zarkhil</t>
  </si>
  <si>
    <t>Akra, Biri, Daar, Farideh, Harann, Havilar, Jheri, Kava, Korinn, Mishann, Nala, Perra, Raiann, Sora, Surina, Thava, Uadjit, Artana, Kalas, Khagra, Leytra, Myrka, Naya, Sarcha, Shirren, Sirivistra, Sufana, Tamara, Vrumadi, Zovra</t>
  </si>
  <si>
    <t>Black, Blue, Green, Red, White</t>
  </si>
  <si>
    <t>Brass, Bronze, Copper, Gold, Silver</t>
  </si>
  <si>
    <t>Adrik, Alberich, Baern, Barendd, Brottor, Bruenor, Dain, Darrak, Delg, Eberk, Einkil, Fargrim, Flint, Gardain, Harbek, Kildrak, Morgran, Orsik, Oskar, Rangrim, Rurik, Taklinn, Thoradin, Thorin, Tordek, Traubon, Travok, Ulfgar, Veit, Vondal, Agaro, Arnan, Auxlan, Avamir, Baelnar, Balfam, Bariken, Borkûl, Darkûl, Dolmen, Dyrnar, Erag, Ezegan, Ferrek, Garmûl, Glint, Ghorvas, Grimmalk, Haeltar, Halagmar, Halzar, Hlant, Korlag, Krag, Krim, Kurman, Lurtrum, Malagar, Mardam, Maulnar, Melgar, Morak, Orobok, Rogath, Roken, Rozag, Sabakzar, Sharak, Smethykk, Swargar, Thorbalt, Thorin, Tredigar, Vabûl, Vistrum, Wolvar</t>
  </si>
  <si>
    <t>Amber, Artin, Audhild, Bardryn, Dagnal, Diesa, Eldeth, Falkrunn, Finellen, Gunnloda, Gurdis, Helja, Hlin, Kathra, Kristryd, Ilde, Liftrasa, Mardred, Riswynn, Sannl, Torbera, Torgga, Vistra, Beyla, Fenryl, Grenenzel, Krystolari, Lokara, Lurka, Marnia, Praxana, Rokel, Roksana, Thurlfara, Vauldra, Veklani, Vronwe, Zebel</t>
  </si>
  <si>
    <t>Amber, Barrel, Copper, Deep, Ever, Grim, Hack, Iron, Ram, Rock, Silver, Gold, Battle, Brawn, Fire, Frost, Bright, Light, Mine, Bronze</t>
  </si>
  <si>
    <t>hammer, anvil, forge, beard, fist, shard, helm, hearth, mead, shield, maul, crown, harvest, brew, buckle, sword, pike, bringer, born, foot</t>
  </si>
  <si>
    <t>Adran, Aelar, Aramil, Arannis, Aust, Beiro, Berrian, Carric, Enialis, Erdan, Erevan, Galinndan, Hadarai, Heian, Himo, Immeral, Ivellios, Laucian, Mindartis, Paelias, Peren, Quarion, Riardon, Rolen, Soveliss, Thamior, Tharivol, Theren, Varis, Alarcion, Alathar, Ariandar, Arromar, Borel, Bvachan, Carydion, Elgoth, Farlien, Ferel, Gaerlan, Iafalior, Kaelthorn, Laethan, Leliar, Leodor, Lorak, Lorifir, Morian, Oleran, Rylef, Savian, Seylas, Tevior, Veyas</t>
  </si>
  <si>
    <t>Adrie, Althaea, Anastrianna, Andraste, Antinua, Bethrynna, Birel, Caelynn, Drusilia, Enna, Felosia, Ielenia, Jelenneth, Keyleth, Leshanna, Lia, Meriele, Mialee, Naivara, Quelenna, Quillathe, Sariel, Shanairra, Shava, Silaqui, Theirastra, Thia, Vadania, Valanthe, Xanaphia, Aryllan, Atalya, Aythwil, Irva, Lyfalia, Ronefel, Thirya, Velene, Venefiq, Zereni</t>
  </si>
  <si>
    <t>Ara, Bryn, Del, Eryn, Faen, Innil, Lael, Mella, Naill, Naeris, Phann, Rael, Rinn, Sai, Syllin, Thia, Vall</t>
  </si>
  <si>
    <t>Ama, Gala, Holi, Ilphel, Lia, Meli, Naï, Sian, Xilo</t>
  </si>
  <si>
    <t>flower, whisper, dew, blossom, frond, heel, breeze, brook, petal</t>
  </si>
  <si>
    <t>kiir, stacia, nodel, mion, don, amne, lo, scient</t>
  </si>
  <si>
    <t>Gem, Star, Moon, Diamond, Silver, Oaken, Night, Gold</t>
  </si>
  <si>
    <t>Alston, Alvyn, Boddynock, Brocc, Burgell, Dimble, Eldon, Erky, Fonkin, Frug, Gerbo, Gimble, Glim, Jebeddo, Kellen, Namfoodle, Orryn, Roondar, Seebo, Sindri, Warryn, Wrenn, Zook</t>
  </si>
  <si>
    <t>Bimpnottin, Breena, Caramip, Carlin, Donella, Duvamil, Ella, Ellyjobell, Ellywick, Lilli, Loopmottin, Lorilla, Mardnab, Nissa, Nyx, Oda, Orla, Roywyn, Shamil, Tana, Waywocket, Zanna</t>
  </si>
  <si>
    <t>Beren, Daergel, Folkor, Garrik, Nackle, Murnig, Ningel, Raulnor, Sheppen, Timbers, Turen</t>
  </si>
  <si>
    <t>Aleslosh, Ashhearth, Badger, Cloak, Doublelock, Flichbatter, Fnipper, Ku, Nim, Oneshoe, Pock, Sparklegem, Stumbleduck</t>
  </si>
  <si>
    <t>Belwar, Brickers, Durthmeck, Firble, Krieger, Kronthud, Schneltheck, Schnicktick, Thulwar, Walschud</t>
  </si>
  <si>
    <t>Beliss, Durthee, Fricknarti, Ivridda, Krivi, Lulthiss, Nalvarti, Schnella, Thulmarra, Wirsidda</t>
  </si>
  <si>
    <t>Crystal, Gem, Iron, Rock, Seam, Stone</t>
  </si>
  <si>
    <t>fist, cutter, foot, hewer, finder</t>
  </si>
  <si>
    <t>Alton, Ander, Cade, Corrin, Eldon, Errich, Finnan, Garret, Lindal, Lyle, Merric, Milo, Osborn, Perrin, Reed, Roscoe, Wellby</t>
  </si>
  <si>
    <t>Andry, Bree, Callie, Cora, Euphemia, Jillian, Kithri, Lavinia, Lidda, Merla, Nedda, Paela, Portia, Seraphina, Shaena, Trym, Vani, Verna</t>
  </si>
  <si>
    <t>Brushgather, Goodbarrel, Greenbottle, High-hill, Hilltopple, Leagallow, Tealeaf, Thorngage, Tosscobble, Underbough</t>
  </si>
  <si>
    <t>Dench, Feng, Gell, Henk, Holg, Imsh, Keth, Krush, Mhurren, Ront, Shump, Thokk</t>
  </si>
  <si>
    <t>Baggi, Emen, Engong, Kansif, Myev, Neega, Ovak, Ownka, Shautha, Sutha, Vola, Volen, Yevelda</t>
  </si>
  <si>
    <t>Aseir, Bardeid, Hasied, Khemed, Mehmen, Sudeiman, Zasheir</t>
  </si>
  <si>
    <t>Atala, Ceidil, Hama, Jasmal, Meilil, Seipora, Yaseira, Zasheida</t>
  </si>
  <si>
    <t>Basha, Dumein, Jassan, Khalid, Mostana, Pashar, Rein</t>
  </si>
  <si>
    <t>Darvin, Dorn, Evendur, Gorstag, Grim, Helm, Malark, Morn, Randal, Stedd</t>
  </si>
  <si>
    <t>Arveene, Esvele, Jhessail, Kerri, Lureene, Miri, Rowan, Shandri, Tessele</t>
  </si>
  <si>
    <t>Amble, Buck, Dun, Even, Grey, Tall</t>
  </si>
  <si>
    <t>crown, man, dragon, wood, castle, stag</t>
  </si>
  <si>
    <t>Bor, Fodel, Glar, Grigor, Igan, Ivor, Kosef, Mival, Orel, Pavel, Sergor</t>
  </si>
  <si>
    <t>Alethra, Kara, Katernin, Mara, Natali, Olma, Tana, Zora</t>
  </si>
  <si>
    <t>Bersk, Chernin, Dotsk, Kulenov, Marsk, Nemetsk, Shemov, Starag</t>
  </si>
  <si>
    <t>Ander, Blath, Bran, Frath, Geth, Lander, Luth, Malcer, Stor, Taman, Urth</t>
  </si>
  <si>
    <t>Amafrey, Betha, Cefrey, Kethra, Mara, Olga, Silifrey, Westra</t>
  </si>
  <si>
    <t>Bright, Hel, Horn, Lack, Storm, Wind</t>
  </si>
  <si>
    <t>wood, der, raven, man, wind, rivver</t>
  </si>
  <si>
    <t>Aoth, Bareris, Ehputoki, Kethoth, Mumed, Ramas, So-Kehur, Thazar-De, Urthur</t>
  </si>
  <si>
    <t>Arizima, Chathi, Nephis, Nulara, Murithi, Sefris, Thola, Umara, Zolis</t>
  </si>
  <si>
    <t>Ankhalab, Anskuld, Fezim, Hahpet, Nathandem, Sepret, Uuthrakt</t>
  </si>
  <si>
    <t>Borivik, Faurgar, Jandar, Kanithar, Madislak, Ralmevik, Shaumar, Vladislak</t>
  </si>
  <si>
    <t>Kyevarra, Hulmarra, Immith, Imzel, Navarra, Shevarra, Tammith, Yuldra</t>
  </si>
  <si>
    <t>Chergoba, Dyernina, Iltazyara, Murnyethara, Stayanoga, Ulmokina</t>
  </si>
  <si>
    <t>An, Chen, Chi, Fai, Jiang, Jun, Lian, Long, Meng, On, Shan, Shui, Wen</t>
  </si>
  <si>
    <t>Bai, Chao, Jia, Lei, Mei, Qiao, Shui, Tai</t>
  </si>
  <si>
    <t>Chien, Huang, Kao, Kung, Lao, Ling, Mei, Pin, Shin, Sum, Tan, Wan</t>
  </si>
  <si>
    <t>Anton, Diero, Marcon, Pieron, Rimardo, Romero, Salazar, Umbero</t>
  </si>
  <si>
    <t>Balama, Dona, Faila, Jalana, Luisa, Marta, Quara, Selise, Vonda</t>
  </si>
  <si>
    <t>Agosto, Astorio, Calabra, Domine, Falone, Marivaldi, Pisacar, Ramondo</t>
  </si>
  <si>
    <t>Achuak (green), Aryte (war), Baeshra (animal), Darastrix (dragon), Garurt (axe), Irhtos (secret), Jhank (hammer), Kepesk (storm), Kethend (gem), Korth (danger), Kosj (small), Kothar (demon), Litrix (armor), Mirik (song), Othokent (smart), Sauriv (eye), Throden (many), Thurkear (night), Usk (iron), Valignat (burn), Vargach (battle), Verthica (mountain), Vutha (black), Vyth (steel)</t>
  </si>
  <si>
    <t>Grutok, Lorthar, Abzug, Shugog, Urzul, Ruhk, Mobad, Shamog, Mugrub, Bajok, Rhorog, Jahrukk</t>
  </si>
  <si>
    <t>Kansif, Ownka, Emen, Sutha, Myev, Neega, Baggi, Shautha, Ovak, Vola, Engong, Volen</t>
  </si>
  <si>
    <t>The Filthy, Skull Cleaver, Eye Gouger, Iron Tusk, Skin Flayer, Bone Crusher, Flesh Ripper, Doom Hammer, Elf Butcher, Spine Snapper, Death Spear, The Brutal</t>
  </si>
  <si>
    <t>Akmenos, Amnon, Barakas, Damakos, Ekemon, Iados, Kairon, Leucis, Melech, Mordai, Morthos, Pelaios, Skamos, Therai</t>
  </si>
  <si>
    <t>Akta, Anakis, Bryseis, Criella, Damaia, Ea, Kallista, Lerissa, Makaria, Nemeia, Orianna, Phalaia, Rieta</t>
  </si>
  <si>
    <t>Art, Carrion, Chant, Creed, Despair, Excellence, Fear, Glory, Hope, Ideal, Music, Nowhere, Open, Poetry, Quest, Random, Reverence, Sorrow, Temerity, Torment, Weary</t>
  </si>
  <si>
    <t>Co, Del, Jhi, Ke, Mo, Na, Vo, Zu</t>
  </si>
  <si>
    <t>rus, nis, mas, ros, los, dos, nis</t>
  </si>
  <si>
    <t>A, Bel, Du, Felo, Otan, Shal, Vla, Wo</t>
  </si>
  <si>
    <t>ryn, thyn, ren, lyn</t>
  </si>
  <si>
    <t>PRESS HERE TO JOIN OUR DISCORD SERVER</t>
  </si>
  <si>
    <t>ANOTHER CHANNEL TO SHARE INFO</t>
  </si>
  <si>
    <t>STREAMS</t>
  </si>
  <si>
    <t>VIDEOS</t>
  </si>
  <si>
    <t>OUR MATERIALS ON DMSGUILD</t>
  </si>
  <si>
    <t>OUR BLOG ON WORDPRESS</t>
  </si>
  <si>
    <t>OUR FB GROUP</t>
  </si>
  <si>
    <t>IF YOU WANT WRITE LETTER TO US - THEN DO IT!</t>
  </si>
  <si>
    <t>RANDOM GENERATORS</t>
  </si>
  <si>
    <t>Month</t>
  </si>
  <si>
    <t>HAMMER</t>
  </si>
  <si>
    <t>Day Number</t>
  </si>
  <si>
    <t>Events</t>
  </si>
  <si>
    <t>Moon Phase</t>
  </si>
  <si>
    <t>MIDWINTER</t>
  </si>
  <si>
    <t>(Holiday)</t>
  </si>
  <si>
    <t>ALTURIK</t>
  </si>
  <si>
    <t>CHES</t>
  </si>
  <si>
    <t>TARSHAK</t>
  </si>
  <si>
    <t>NEW</t>
  </si>
  <si>
    <t>GREENGRASS</t>
  </si>
  <si>
    <t>MIRTUL</t>
  </si>
  <si>
    <t>KYTHORN</t>
  </si>
  <si>
    <t>FLAMERULE</t>
  </si>
  <si>
    <t>FULL</t>
  </si>
  <si>
    <t>CRESCENT WANING</t>
  </si>
  <si>
    <t>MIDSUMMER</t>
  </si>
  <si>
    <t>ELEASIS</t>
  </si>
  <si>
    <t>ELIENT</t>
  </si>
  <si>
    <t>HIGHHARVEST</t>
  </si>
  <si>
    <t>MARPENOTH</t>
  </si>
  <si>
    <t>UKTAR</t>
  </si>
  <si>
    <t>FEAST OF THE MOON</t>
  </si>
  <si>
    <t>NIGHTAL</t>
  </si>
  <si>
    <t>1493 - THE YEAR OF PURPLE DRAGONS</t>
  </si>
  <si>
    <t>Name generator</t>
  </si>
  <si>
    <t>SHOP NAMES</t>
  </si>
  <si>
    <t>NAMES</t>
  </si>
  <si>
    <t>SHOP FUNCTIONS</t>
  </si>
  <si>
    <t>Urban Encounter Check Modifiers</t>
  </si>
  <si>
    <t>Tavern/Inn Names</t>
  </si>
  <si>
    <t>SHIP NAMES (some suitable for inn/tavern names)</t>
  </si>
  <si>
    <t>CASTLE WARD</t>
  </si>
  <si>
    <t>TRADE WARD</t>
  </si>
  <si>
    <t>DOCK WARD</t>
  </si>
  <si>
    <t>ANY WARD</t>
  </si>
  <si>
    <t>Circumstance</t>
  </si>
  <si>
    <t>NPC Bonds</t>
  </si>
  <si>
    <t>NPC Characteristics</t>
  </si>
  <si>
    <t>NPC Ideals</t>
  </si>
  <si>
    <t>NPC Flaws</t>
  </si>
  <si>
    <t>Beginning</t>
  </si>
  <si>
    <t>Middle</t>
  </si>
  <si>
    <t>End</t>
  </si>
  <si>
    <t>EMC</t>
  </si>
  <si>
    <t>The Cravens Roost</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</si>
  <si>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</si>
  <si>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Adjl</t>
  </si>
  <si>
    <t>Adj 2</t>
  </si>
  <si>
    <t>Surname A</t>
  </si>
  <si>
    <t>Surname B</t>
  </si>
  <si>
    <t>Random Shops and Services for City Life</t>
  </si>
  <si>
    <t>City Size</t>
  </si>
  <si>
    <t>Bonds</t>
  </si>
  <si>
    <t>Characteristic</t>
  </si>
  <si>
    <t>Ideal (Alignment)</t>
  </si>
  <si>
    <t>Flaw</t>
  </si>
  <si>
    <t>bar</t>
  </si>
  <si>
    <t>A chamber pot full of excrement is emptied near or on the party.</t>
  </si>
  <si>
    <t>The Feisty Weasel</t>
  </si>
  <si>
    <t>Fat</t>
  </si>
  <si>
    <t>Dying/ Killing</t>
  </si>
  <si>
    <t>Acton</t>
  </si>
  <si>
    <t>Agathe</t>
  </si>
  <si>
    <t>Dunbeigh</t>
  </si>
  <si>
    <t>Appledown</t>
  </si>
  <si>
    <t>d12 + d8</t>
  </si>
  <si>
    <t>Personal goal or achievement</t>
  </si>
  <si>
    <t>Absentminded</t>
  </si>
  <si>
    <t>Aspiration (any)</t>
  </si>
  <si>
    <t>Forbidden love or romantic susceptibility</t>
  </si>
  <si>
    <t>ched</t>
  </si>
  <si>
    <t>-a</t>
  </si>
  <si>
    <t>A masked noble is carried past in a sedan chair. He is escorted by 4d12 guards.</t>
  </si>
  <si>
    <t>A door opens.</t>
  </si>
  <si>
    <t>The Lions Mane</t>
  </si>
  <si>
    <t>Bent</t>
  </si>
  <si>
    <t>Wandering</t>
  </si>
  <si>
    <t>Allyck</t>
  </si>
  <si>
    <t>Allayn</t>
  </si>
  <si>
    <t>Bernstowe</t>
  </si>
  <si>
    <t>Baird</t>
  </si>
  <si>
    <t>Architect</t>
  </si>
  <si>
    <t>Abattoir</t>
  </si>
  <si>
    <t>Turin's Sundries</t>
  </si>
  <si>
    <t>Shop:  (general store)</t>
  </si>
  <si>
    <t>Animals on the loose</t>
  </si>
  <si>
    <t>Family member</t>
  </si>
  <si>
    <t>Arrogant</t>
  </si>
  <si>
    <t>Charity (good)</t>
  </si>
  <si>
    <t>Dependence</t>
  </si>
  <si>
    <t>dell</t>
  </si>
  <si>
    <t>-ac</t>
  </si>
  <si>
    <t>Masterfully performed music/singing comes drifting out of a nearby building.</t>
  </si>
  <si>
    <t>A fire starts.</t>
  </si>
  <si>
    <t>The Naughty Pine</t>
  </si>
  <si>
    <t>Hanged</t>
  </si>
  <si>
    <t>Noose</t>
  </si>
  <si>
    <t>Benson</t>
  </si>
  <si>
    <t>Chesserie</t>
  </si>
  <si>
    <t>Fiddle</t>
  </si>
  <si>
    <t>Tallfellow</t>
  </si>
  <si>
    <t>Art gallery</t>
  </si>
  <si>
    <t>Armorer</t>
  </si>
  <si>
    <t>Brewery</t>
  </si>
  <si>
    <t>Bakery</t>
  </si>
  <si>
    <t>Dirufel's Potions &amp; Curatives</t>
  </si>
  <si>
    <t>Shop:  (potions &amp; herbs)</t>
  </si>
  <si>
    <t>Announcement</t>
  </si>
  <si>
    <t>Characters' Status/Activity</t>
  </si>
  <si>
    <t>Characters are unusually anonymous*</t>
  </si>
  <si>
    <t>Colleagues or compatriots</t>
  </si>
  <si>
    <t>Boorish</t>
  </si>
  <si>
    <t>Community (lawful)</t>
  </si>
  <si>
    <t>Arrogance</t>
  </si>
  <si>
    <t>far</t>
  </si>
  <si>
    <t>-ai</t>
  </si>
  <si>
    <t>1d4 beggars approach asking for alms.</t>
  </si>
  <si>
    <t>A meter shoots across the sky.</t>
  </si>
  <si>
    <t>Cracked Rock</t>
  </si>
  <si>
    <t>Dozing</t>
  </si>
  <si>
    <t>Boy</t>
  </si>
  <si>
    <t>Wagon</t>
  </si>
  <si>
    <t>Devlin</t>
  </si>
  <si>
    <t>Eleasias</t>
  </si>
  <si>
    <t>Grain</t>
  </si>
  <si>
    <t>Crofter</t>
  </si>
  <si>
    <t>Artist</t>
  </si>
  <si>
    <t>Botanist</t>
  </si>
  <si>
    <t>Cafe</t>
  </si>
  <si>
    <t>Caer Noroch</t>
  </si>
  <si>
    <t>Shop:  (Moonshae Imports Shop)</t>
  </si>
  <si>
    <t>Brawl</t>
  </si>
  <si>
    <t>Characters are unusually famous**</t>
  </si>
  <si>
    <t>Benefactor, patron, or employer</t>
  </si>
  <si>
    <t>Chews something</t>
  </si>
  <si>
    <t>Creativity (chatoric)</t>
  </si>
  <si>
    <t>Envy of another person's possessions or station</t>
  </si>
  <si>
    <t>A-</t>
  </si>
  <si>
    <t>gran</t>
  </si>
  <si>
    <t>-al</t>
  </si>
  <si>
    <t>1d8 private guards standing blocking a doorway.</t>
  </si>
  <si>
    <t>A monster appears.</t>
  </si>
  <si>
    <t>Traveling Imp</t>
  </si>
  <si>
    <t>Homely</t>
  </si>
  <si>
    <t>Fighting</t>
  </si>
  <si>
    <t>Mug</t>
  </si>
  <si>
    <t>Ettvard</t>
  </si>
  <si>
    <t>Elendra</t>
  </si>
  <si>
    <t>Miller</t>
  </si>
  <si>
    <t>Astrologer</t>
  </si>
  <si>
    <t>Cooper</t>
  </si>
  <si>
    <t>Chandler</t>
  </si>
  <si>
    <t>Barber</t>
  </si>
  <si>
    <t>Garden of Delights</t>
  </si>
  <si>
    <t>Shop:  (Florist)</t>
  </si>
  <si>
    <t>Bullies</t>
  </si>
  <si>
    <t>Characters are laying low</t>
  </si>
  <si>
    <t>Romantic interest</t>
  </si>
  <si>
    <t>Clumsy</t>
  </si>
  <si>
    <t>Discovery (any)</t>
  </si>
  <si>
    <t>Overpowering greed</t>
  </si>
  <si>
    <t>Be-</t>
  </si>
  <si>
    <t>hal</t>
  </si>
  <si>
    <t>-am</t>
  </si>
  <si>
    <t>An older knight being mobbed by adoring children passes by.</t>
  </si>
  <si>
    <t>A screech pierces the air.</t>
  </si>
  <si>
    <t>The Full Mast</t>
  </si>
  <si>
    <t>Fabulous</t>
  </si>
  <si>
    <t>Pie</t>
  </si>
  <si>
    <t>Federic</t>
  </si>
  <si>
    <t>Margritte</t>
  </si>
  <si>
    <t>Mander</t>
  </si>
  <si>
    <t>Maed</t>
  </si>
  <si>
    <t>Cobbler</t>
  </si>
  <si>
    <t>Fletcher/ bo wye r</t>
  </si>
  <si>
    <t>Festhall</t>
  </si>
  <si>
    <t>Karios' Clothing Emporium</t>
  </si>
  <si>
    <t>Shop:</t>
  </si>
  <si>
    <t>Companion</t>
  </si>
  <si>
    <t>Characters are looking for action</t>
  </si>
  <si>
    <t>Special place</t>
  </si>
  <si>
    <t>Curious</t>
  </si>
  <si>
    <t>Fairness (lawful)</t>
  </si>
  <si>
    <t>Prone to rage</t>
  </si>
  <si>
    <t>De-</t>
  </si>
  <si>
    <t>jen</t>
  </si>
  <si>
    <t>-an</t>
  </si>
  <si>
    <t>17-19</t>
  </si>
  <si>
    <t>1d12 Emaciated come begging for food.</t>
  </si>
  <si>
    <t>A storm begins.</t>
  </si>
  <si>
    <t>Double Tap Tavern</t>
  </si>
  <si>
    <t>Cormyrean</t>
  </si>
  <si>
    <t>Pilfering</t>
  </si>
  <si>
    <t>Table</t>
  </si>
  <si>
    <t>Ravek</t>
  </si>
  <si>
    <t>Prulasyk</t>
  </si>
  <si>
    <t>Redhatch</t>
  </si>
  <si>
    <t>Trailbender</t>
  </si>
  <si>
    <t>Goldsmith/silversmith</t>
  </si>
  <si>
    <t>Fortune teller</t>
  </si>
  <si>
    <t>Madame Talis' Crystal Ball</t>
  </si>
  <si>
    <t>Shop: (Fortune Telling)</t>
  </si>
  <si>
    <t>Contest</t>
  </si>
  <si>
    <t>1 TIER</t>
  </si>
  <si>
    <t>Keepsake</t>
  </si>
  <si>
    <t>Dim-witted</t>
  </si>
  <si>
    <t>Freedom (chaotic)</t>
  </si>
  <si>
    <t>Powerful enemy</t>
  </si>
  <si>
    <t>El-</t>
  </si>
  <si>
    <t>kel</t>
  </si>
  <si>
    <t>-ar</t>
  </si>
  <si>
    <t>20-21</t>
  </si>
  <si>
    <t>A well fed and clean beggar calls out asking for coin.</t>
  </si>
  <si>
    <t>A strange star appears in the sky.</t>
  </si>
  <si>
    <t>The Tasty Meet</t>
  </si>
  <si>
    <t>Dandy</t>
  </si>
  <si>
    <t>Marauding</t>
  </si>
  <si>
    <t>Throne</t>
  </si>
  <si>
    <t>Sigur</t>
  </si>
  <si>
    <t>Tilda</t>
  </si>
  <si>
    <t>Smythe</t>
  </si>
  <si>
    <t>Vintner</t>
  </si>
  <si>
    <t>Inkmaker</t>
  </si>
  <si>
    <t>Gambling hall</t>
  </si>
  <si>
    <t>Three Blind Mice</t>
  </si>
  <si>
    <t>Shop:  (Cheese Shop)</t>
  </si>
  <si>
    <t>Corpse</t>
  </si>
  <si>
    <t>2 TIER</t>
  </si>
  <si>
    <t>Valuable possession</t>
  </si>
  <si>
    <t>Fiddles and fidgets nervously</t>
  </si>
  <si>
    <t>Glory (any)</t>
  </si>
  <si>
    <t>Specific phobia</t>
  </si>
  <si>
    <t>Fa-</t>
  </si>
  <si>
    <t>lim</t>
  </si>
  <si>
    <t>-ea</t>
  </si>
  <si>
    <t>22-23</t>
  </si>
  <si>
    <t>A crier is up on a soapbox yelling out livestock prices for sale.</t>
  </si>
  <si>
    <t>A string gust oif wind blows through.</t>
  </si>
  <si>
    <t>Wilder's Pale House</t>
  </si>
  <si>
    <t>Hungry</t>
  </si>
  <si>
    <t>Bantering</t>
  </si>
  <si>
    <t>Boot</t>
  </si>
  <si>
    <t>Thildon</t>
  </si>
  <si>
    <t>Skie</t>
  </si>
  <si>
    <t>Shielder</t>
  </si>
  <si>
    <t>Duel</t>
  </si>
  <si>
    <t>Mapmaker</t>
  </si>
  <si>
    <t>Laundry</t>
  </si>
  <si>
    <t>The Flying Cow</t>
  </si>
  <si>
    <t>Shop:  (Dairy)</t>
  </si>
  <si>
    <t>3 TIER</t>
  </si>
  <si>
    <t>Revenge</t>
  </si>
  <si>
    <t>Frequently uses the wrong word</t>
  </si>
  <si>
    <t>Greater good (good)</t>
  </si>
  <si>
    <t>Shameful or scandalous history</t>
  </si>
  <si>
    <t>Jo-</t>
  </si>
  <si>
    <t>mor</t>
  </si>
  <si>
    <t>-el</t>
  </si>
  <si>
    <t>A religious zealot calls out to the party and tries to convert them.</t>
  </si>
  <si>
    <t>A tremor shakes the ground.</t>
  </si>
  <si>
    <t>Legionaries Lagoon</t>
  </si>
  <si>
    <t>Blasted</t>
  </si>
  <si>
    <t>Eating</t>
  </si>
  <si>
    <t>Pot</t>
  </si>
  <si>
    <t>Wallen</t>
  </si>
  <si>
    <t>Valena</t>
  </si>
  <si>
    <t>Waters</t>
  </si>
  <si>
    <t>Stodge</t>
  </si>
  <si>
    <t>Jeweler</t>
  </si>
  <si>
    <t>Moneylender</t>
  </si>
  <si>
    <t>The Big Boot Shop</t>
  </si>
  <si>
    <t>Shop:  (boots &amp; shoes)</t>
  </si>
  <si>
    <t>Drunk</t>
  </si>
  <si>
    <t>4 TIER</t>
  </si>
  <si>
    <t>Roll twice, ignoring further rolls of 10</t>
  </si>
  <si>
    <t>Greed (evil)</t>
  </si>
  <si>
    <t>Secret crime or misdeed</t>
  </si>
  <si>
    <t>Ki-</t>
  </si>
  <si>
    <t>net</t>
  </si>
  <si>
    <t>-er</t>
  </si>
  <si>
    <t>A group of 1d12 children begin to follow and pester the party.</t>
  </si>
  <si>
    <t>Someone experiences déjà vu.</t>
  </si>
  <si>
    <t>Hack and Haul</t>
  </si>
  <si>
    <t>Vermilion</t>
  </si>
  <si>
    <t>Salty</t>
  </si>
  <si>
    <t>Banner</t>
  </si>
  <si>
    <t>Lawyer</t>
  </si>
  <si>
    <t>Roofer</t>
  </si>
  <si>
    <t>Pawn shop</t>
  </si>
  <si>
    <t>The Anchor &amp; Sail</t>
  </si>
  <si>
    <t>Shop: (Seafood Restaurant)</t>
  </si>
  <si>
    <t>Irritable</t>
  </si>
  <si>
    <t>Honor (lawful)</t>
  </si>
  <si>
    <t>Possession of forbidden lore</t>
  </si>
  <si>
    <t>La-</t>
  </si>
  <si>
    <t>penn</t>
  </si>
  <si>
    <t>-ess</t>
  </si>
  <si>
    <t>A young man approaches the party and asks to join them. He's a 1d4-1 level fighter.</t>
  </si>
  <si>
    <t>Someone gets angry.</t>
  </si>
  <si>
    <t>The Whet Stone</t>
  </si>
  <si>
    <t>Wide</t>
  </si>
  <si>
    <t>Smoking</t>
  </si>
  <si>
    <t>Cart</t>
  </si>
  <si>
    <t>Magical goods</t>
  </si>
  <si>
    <t>Perfumer/dyer</t>
  </si>
  <si>
    <t>Food merchant</t>
  </si>
  <si>
    <t>The Sleeping Mind</t>
  </si>
  <si>
    <t>Shop:  (Curiosities &amp; Treasures from abroad)</t>
  </si>
  <si>
    <t>Found trinket</t>
  </si>
  <si>
    <t>*Use this modifier if the characters are not as famous in this city as other characters of their level would be. Perhaps they're new to the area, or they simply keep their activities quiet. Never apply this modifier to characters of lower than 6th level. </t>
  </si>
  <si>
    <t>Prone to predictions of certain doom</t>
  </si>
  <si>
    <t>Independence (chaotic)</t>
  </si>
  <si>
    <t>Foolhardy bravery</t>
  </si>
  <si>
    <t>Ma-</t>
  </si>
  <si>
    <t>quil</t>
  </si>
  <si>
    <t>-ett</t>
  </si>
  <si>
    <t>A sad looking bard asks rhetorical (i.e. meaning of life) questions of a PC.</t>
  </si>
  <si>
    <t>Someone glimpses the future.</t>
  </si>
  <si>
    <t>House of Pour</t>
  </si>
  <si>
    <t>Drake</t>
  </si>
  <si>
    <t>Milliner</t>
  </si>
  <si>
    <t>The Speeding Sprite</t>
  </si>
  <si>
    <t>Service:  (Messenger &amp; Deliveries)</t>
  </si>
  <si>
    <t>Guard harassment</t>
  </si>
  <si>
    <t>**Use this modifier if the characters are more widely known in this city than other characters of their level would be. Perhaps they have been publicly recognized for saving the mayor, or their faces are on wanted posters all over town.</t>
  </si>
  <si>
    <t>Pronounced scar</t>
  </si>
  <si>
    <t>Knowledge (neutral)</t>
  </si>
  <si>
    <t>Na-</t>
  </si>
  <si>
    <t>rond</t>
  </si>
  <si>
    <t>-ic</t>
  </si>
  <si>
    <t>30-31</t>
  </si>
  <si>
    <t>The highest Passive Perception character sees a young noble being trailed by a pickpocket.</t>
  </si>
  <si>
    <t>Someone has a sense of foreboding.</t>
  </si>
  <si>
    <t>Sour Cider Mill</t>
  </si>
  <si>
    <t>Icy</t>
  </si>
  <si>
    <t>Porcupine</t>
  </si>
  <si>
    <t>Stable</t>
  </si>
  <si>
    <t>General goods</t>
  </si>
  <si>
    <t>Lorimar's Laundromat</t>
  </si>
  <si>
    <t>Service: (Launderer)</t>
  </si>
  <si>
    <t>Pickpocket</t>
  </si>
  <si>
    <t>Slurs words, lisps, or stutters</t>
  </si>
  <si>
    <t>Life (good)</t>
  </si>
  <si>
    <t>O-</t>
  </si>
  <si>
    <t>sark</t>
  </si>
  <si>
    <t>-id</t>
  </si>
  <si>
    <t>32-33</t>
  </si>
  <si>
    <t>A middle-aged man stands bent over with his hands and head in wooden stocks.</t>
  </si>
  <si>
    <t>Someone has to go to the bathroom.</t>
  </si>
  <si>
    <t>The Noble Waistcoat</t>
  </si>
  <si>
    <t>Splendid</t>
  </si>
  <si>
    <t>Striped</t>
  </si>
  <si>
    <t>Brazier</t>
  </si>
  <si>
    <t>Salon</t>
  </si>
  <si>
    <t>Shipwright</t>
  </si>
  <si>
    <t>Tannery/furrier</t>
  </si>
  <si>
    <t>The Glass Mantle</t>
  </si>
  <si>
    <t>Shop:  (Art Gallery)</t>
  </si>
  <si>
    <t>Procession</t>
  </si>
  <si>
    <t>Urban Encounters</t>
  </si>
  <si>
    <t>Speaks loudly or whispers</t>
  </si>
  <si>
    <t>Live and let live (neutral)</t>
  </si>
  <si>
    <t>Pa-</t>
  </si>
  <si>
    <t>shen</t>
  </si>
  <si>
    <t>-il</t>
  </si>
  <si>
    <t>A chatty bard walks alongside the party asking questions about their past.</t>
  </si>
  <si>
    <t>Something spills or falls to the ground.</t>
  </si>
  <si>
    <t>Room and Starboard</t>
  </si>
  <si>
    <t>Silky</t>
  </si>
  <si>
    <t>Sleepy</t>
  </si>
  <si>
    <t>Stonemason</t>
  </si>
  <si>
    <t>Wheelwright</t>
  </si>
  <si>
    <t>The Moondance</t>
  </si>
  <si>
    <t>Shop:  (Tailor &amp; Costume Shop)</t>
  </si>
  <si>
    <t>Protest</t>
  </si>
  <si>
    <t>Squints</t>
  </si>
  <si>
    <t>Might (evil)</t>
  </si>
  <si>
    <t>Re-</t>
  </si>
  <si>
    <t>tur</t>
  </si>
  <si>
    <t>-in</t>
  </si>
  <si>
    <t>36-38</t>
  </si>
  <si>
    <t>A person lays passed out against a wall. Someone has chalked a glyph on their forehead. He may be drunk or poisoned...</t>
  </si>
  <si>
    <t>Something isn't where it's supposed to be.</t>
  </si>
  <si>
    <t>The Salty Galley</t>
  </si>
  <si>
    <t>Proud</t>
  </si>
  <si>
    <t>Hissing</t>
  </si>
  <si>
    <t>Axe</t>
  </si>
  <si>
    <t>Tailor</t>
  </si>
  <si>
    <t>Furniture maker</t>
  </si>
  <si>
    <t>Citywide*</t>
  </si>
  <si>
    <t>The Glass Slipper</t>
  </si>
  <si>
    <t>Shop: (Cobbler)</t>
  </si>
  <si>
    <t>Runaway cart</t>
  </si>
  <si>
    <t>Stares into distance</t>
  </si>
  <si>
    <t>Nation (any)</t>
  </si>
  <si>
    <t>Se-</t>
  </si>
  <si>
    <t>vash</t>
  </si>
  <si>
    <t>-is</t>
  </si>
  <si>
    <t>A street vendor (food, drink, trinkets, etc.) calls out to the party to look at his merchandise.</t>
  </si>
  <si>
    <t>The lights go out.</t>
  </si>
  <si>
    <t>The Rusted Shield</t>
  </si>
  <si>
    <t>Defiant</t>
  </si>
  <si>
    <t>Theater</t>
  </si>
  <si>
    <t>The Slithering Serpent</t>
  </si>
  <si>
    <t>Shop:  (Tattoo &amp; Piercing)</t>
  </si>
  <si>
    <t>Shady transaction</t>
  </si>
  <si>
    <t>Muggers</t>
  </si>
  <si>
    <t>Suspicious</t>
  </si>
  <si>
    <t>People (neutral)</t>
  </si>
  <si>
    <t>Si-</t>
  </si>
  <si>
    <t>yor</t>
  </si>
  <si>
    <t>-or</t>
  </si>
  <si>
    <t>2 groups of men (1d4 each) are in a drunken fist fight.</t>
  </si>
  <si>
    <t>The sun comes out.</t>
  </si>
  <si>
    <t>The White Foxtail</t>
  </si>
  <si>
    <t>Screeching</t>
  </si>
  <si>
    <t>Ugly</t>
  </si>
  <si>
    <t>Girl</t>
  </si>
  <si>
    <t>Crown</t>
  </si>
  <si>
    <t>Wine merchant</t>
  </si>
  <si>
    <t>Haldun's Furniture</t>
  </si>
  <si>
    <t>Spectacle</t>
  </si>
  <si>
    <t>Uses colorful oaths and exclamations</t>
  </si>
  <si>
    <t>Power (evil)</t>
  </si>
  <si>
    <t>Ta-</t>
  </si>
  <si>
    <t>zen</t>
  </si>
  <si>
    <t>-us</t>
  </si>
  <si>
    <t>You see a group of men jeering at destitute religious pilgrims.</t>
  </si>
  <si>
    <t>There's a foul smell in the air.</t>
  </si>
  <si>
    <t>The Burrow</t>
  </si>
  <si>
    <t>Smiling</t>
  </si>
  <si>
    <t>Lucky</t>
  </si>
  <si>
    <t>Upper*</t>
  </si>
  <si>
    <t>The Town Crier</t>
  </si>
  <si>
    <t>Shop:  (Local Publisher) (2nd floor)</t>
  </si>
  <si>
    <t>Urchin</t>
  </si>
  <si>
    <t>Pickpockets</t>
  </si>
  <si>
    <t>Uses flowery speech or long words</t>
  </si>
  <si>
    <t>Redemption (any)</t>
  </si>
  <si>
    <t>A criminal stands bound within a gibbet (cage) chained 10 ft above the ground.</t>
  </si>
  <si>
    <t>Unexplained magic occurs.</t>
  </si>
  <si>
    <t>Lower*</t>
  </si>
  <si>
    <t>The Weary Traveler</t>
  </si>
  <si>
    <t>Shop:  (Maps &amp; Adventurers Treasures)</t>
  </si>
  <si>
    <t>A group of street performers are putting on a show. Their Performance is 1d20+1d4</t>
  </si>
  <si>
    <t>Ullutho's Fletch &amp; Arrows</t>
  </si>
  <si>
    <t>Found item</t>
  </si>
  <si>
    <t>50-51</t>
  </si>
  <si>
    <t>1d4 religious fanatics rant gibberish and point at the party.</t>
  </si>
  <si>
    <t>KNOWLEDGE 1</t>
  </si>
  <si>
    <t>KNOWLEDGE 2</t>
  </si>
  <si>
    <t>House of the Drunken Spider</t>
  </si>
  <si>
    <t>Shop:  (Winery)</t>
  </si>
  <si>
    <t>Lost child</t>
  </si>
  <si>
    <t>52-53</t>
  </si>
  <si>
    <t>A criminal is marched pass with 2d4 guards.</t>
  </si>
  <si>
    <t>The Sturdy Oak</t>
  </si>
  <si>
    <t>Shop:  (Building Supplies &amp; Lumber)</t>
  </si>
  <si>
    <t>54-56</t>
  </si>
  <si>
    <t>A party of 1d8 well-armed adventurers passes by.</t>
  </si>
  <si>
    <t>Nautical Endeavours</t>
  </si>
  <si>
    <t>Shop:  (Maps &amp; Charts of the Sea)</t>
  </si>
  <si>
    <t>Two men run towards the party; it appears one is chasing the other.</t>
  </si>
  <si>
    <t>Wandering Images</t>
  </si>
  <si>
    <t>Shop:  (Sign Shop)</t>
  </si>
  <si>
    <t>Overturned/runaway cart</t>
  </si>
  <si>
    <t>59-60</t>
  </si>
  <si>
    <t>1d6 young urchins approach with some minor scam (i.e. pickpocket, sob story about mom needing to be bought out of debtors prison)</t>
  </si>
  <si>
    <t>Candles &amp; Scents</t>
  </si>
  <si>
    <t>District-specific encounter</t>
  </si>
  <si>
    <t>The street suddenly empties, all the people stepping into houses/shops or turning onto other streets. It's eerily quiet.</t>
  </si>
  <si>
    <t>The Catered Prince</t>
  </si>
  <si>
    <t>Service:  (Food Caterers)</t>
  </si>
  <si>
    <t>You pass an open-air shop with a customer screaming at a shopkeeper accusing him of cheating them.</t>
  </si>
  <si>
    <t>The Waterclock</t>
  </si>
  <si>
    <t>Shop: (Clock Shop)</t>
  </si>
  <si>
    <t>Contest in progress</t>
  </si>
  <si>
    <t>City Guard stops and asks the party what their business is in this district.</t>
  </si>
  <si>
    <t>Frontier Clothing Company</t>
  </si>
  <si>
    <t>Shop:  (Travel gear and Winter apparel)</t>
  </si>
  <si>
    <t>Duel/mageduel in progress</t>
  </si>
  <si>
    <t>A random stranger bumps a character's backpack/pouch with their hand. Nothing is taken.</t>
  </si>
  <si>
    <t>The Crooked Shelf</t>
  </si>
  <si>
    <t>Shop:  (General Store)</t>
  </si>
  <si>
    <t>Brawl/street fight/gang war in progress</t>
  </si>
  <si>
    <t>The party is blocked for 1d4 minutes by a parade in honor of a saint or hero.</t>
  </si>
  <si>
    <t>The Shaved Yeti</t>
  </si>
  <si>
    <t>Shop: (Barber)</t>
  </si>
  <si>
    <t>Robbery in progress</t>
  </si>
  <si>
    <t>72-73</t>
  </si>
  <si>
    <t>You pass a group of 3d4 foreigners arguing in their own language</t>
  </si>
  <si>
    <t>Bellima's Boutique</t>
  </si>
  <si>
    <t>Shop:  (Women's Gowns and Shoes)</t>
  </si>
  <si>
    <t>Escaped prisoner</t>
  </si>
  <si>
    <t>You witness a minor crime by a young man (vandalism, produce theft, etc.)</t>
  </si>
  <si>
    <t>Fanny's Farm Fresh Foods</t>
  </si>
  <si>
    <t>Shop:  (Grocers)</t>
  </si>
  <si>
    <t>A street preacher accosts the party accusing them of trying to raise a cult.</t>
  </si>
  <si>
    <t>Sugarhill's</t>
  </si>
  <si>
    <t>Shop:  (Sweets &amp; Candies)</t>
  </si>
  <si>
    <t>Fire (building, ship, etc.)</t>
  </si>
  <si>
    <t>You witness a major crime by a young man (assassination, arson, etc.)</t>
  </si>
  <si>
    <t>Stoutman's Pride</t>
  </si>
  <si>
    <t>Shop:  (Brewer)</t>
  </si>
  <si>
    <t>Construction accident</t>
  </si>
  <si>
    <t>The party is blocked by two large religious processions (1d20 people each) that have met and are demanding the other yield the street.</t>
  </si>
  <si>
    <t>Halls of the Korrid</t>
  </si>
  <si>
    <t>Shop:  (Playhouse and Dancehall)</t>
  </si>
  <si>
    <t>Spell gone awry</t>
  </si>
  <si>
    <t>1d8 city watch begins following the party. They follow at a discrete distance until either the party reaches their destination or leave the district.</t>
  </si>
  <si>
    <t>Silver Stars</t>
  </si>
  <si>
    <t>Shop:  (Fine Clothing Shop)</t>
  </si>
  <si>
    <t>Prominent personage</t>
  </si>
  <si>
    <t>A person lays passed out near the side of the street. He has a significant wound but not in danger of dying.</t>
  </si>
  <si>
    <t>The Dancing Cyclops</t>
  </si>
  <si>
    <t>Inn:</t>
  </si>
  <si>
    <t>Mistaken identity</t>
  </si>
  <si>
    <t>A loud feral cat begins trailing one of the characters. If someone tries to interact with it and doesn't pass an Animal Handling check of DC15, it will attack.</t>
  </si>
  <si>
    <t>Brendallin's Fine Pastries</t>
  </si>
  <si>
    <t>Caf :</t>
  </si>
  <si>
    <t>Guards need help</t>
  </si>
  <si>
    <t>A man stepping out of tavern mistakenly thinks he recognized a party member from working a caravan or guard detail.</t>
  </si>
  <si>
    <t>The Silly Sphinx</t>
  </si>
  <si>
    <t>Caf :  (Poets Corner)</t>
  </si>
  <si>
    <t>Employment offer</t>
  </si>
  <si>
    <t>A man steps out of a tavern obviously drunk and begins loudly insulting a party member.</t>
  </si>
  <si>
    <t>Darith's Dry Storage</t>
  </si>
  <si>
    <t>Warehouse:  (rental)</t>
  </si>
  <si>
    <t>Admirer</t>
  </si>
  <si>
    <t>A child or elderly person is being chased by 1d6 thugs. The thugs will say they are owed money.</t>
  </si>
  <si>
    <t>The Sturdy Oak Lumberyard</t>
  </si>
  <si>
    <t>Warehouse:</t>
  </si>
  <si>
    <t>A sly thief approaches the party asking if they want to buy 1d4 healing potions (50gp each). He will try to pickpocket a coin pouch or gems. His Sleight of hand is +5.</t>
  </si>
  <si>
    <t>Fanny's Food Storage</t>
  </si>
  <si>
    <t>A large pack of rats crosses the street. Treat as 1d4 Swarm of Rats. They are not hostile unless provoked.</t>
  </si>
  <si>
    <t>Stoutman's Pride Storage</t>
  </si>
  <si>
    <t>Warehouse:  (distillery)</t>
  </si>
  <si>
    <t>A stray dog begins to follow the party. If fed he will bond with one of the characters.</t>
  </si>
  <si>
    <t>The Moonshae Meadows</t>
  </si>
  <si>
    <t>Stables:</t>
  </si>
  <si>
    <t>Two men are engaged in a fist fight, neither of them has any martial skill.</t>
  </si>
  <si>
    <t>The Stabled Mount</t>
  </si>
  <si>
    <t>A group of masked adventurers attempts to mug you. The DM must assess if this encounter is appropriate for the time of day and place. See Waterdeep Monsters and NPCs for Adventure group.</t>
  </si>
  <si>
    <t>A rowdy group of 2d4 barbarians begin hurling insults at the party. They refrain from using weapons and mock anyone who draws a weapon or spell against them.</t>
  </si>
  <si>
    <t>You pass a not-well-hidden body of an adventurer (random NPC) who has been murdered.</t>
  </si>
  <si>
    <t>Monthly Events</t>
  </si>
  <si>
    <t>Local Events</t>
  </si>
  <si>
    <t>Bard Event</t>
  </si>
  <si>
    <t>Bridge Event</t>
  </si>
  <si>
    <t>Canal Event</t>
  </si>
  <si>
    <t>Carnival/Circus Event</t>
  </si>
  <si>
    <t>Collapse</t>
  </si>
  <si>
    <t>d8 Enemies</t>
  </si>
  <si>
    <t>d6 Organizations</t>
  </si>
  <si>
    <t>Fair's Topic</t>
  </si>
  <si>
    <t>d6 Side-Quests</t>
  </si>
  <si>
    <t>d8 Holiday</t>
  </si>
  <si>
    <t>Types of Relic</t>
  </si>
  <si>
    <t>Holy Relic Event</t>
  </si>
  <si>
    <t>Types of Holy Person</t>
  </si>
  <si>
    <t>d100 Result</t>
  </si>
  <si>
    <t xml:space="preserve"> Side-Quests</t>
  </si>
  <si>
    <t>d4 Side-Quests</t>
  </si>
  <si>
    <t>d6 Building</t>
  </si>
  <si>
    <t>1 Bandit captain</t>
  </si>
  <si>
    <t>1 Local law renforcement</t>
  </si>
  <si>
    <t>d8 Topics</t>
  </si>
  <si>
    <t>1     Relatives of the captive ask the characters for help with the ransom</t>
  </si>
  <si>
    <t>1     Agricultural event</t>
  </si>
  <si>
    <t>d8 Relic</t>
  </si>
  <si>
    <t>d8 Holy Man</t>
  </si>
  <si>
    <t xml:space="preserve"> No event</t>
  </si>
  <si>
    <t>The bard is a rival of one of the characters*</t>
  </si>
  <si>
    <t>1     The Characters are hired to quell a worker strike or rebellion</t>
  </si>
  <si>
    <t>1     The Characters are asked to use magic to help with construction</t>
  </si>
  <si>
    <t>1     A rival of one of the characters has arrived to attend the circus*</t>
  </si>
  <si>
    <t>1                             Bridge</t>
  </si>
  <si>
    <t>2 Rival of one of the characters*</t>
  </si>
  <si>
    <t>1       Exotic beasts</t>
  </si>
  <si>
    <t>2      Characters are tasked to collect the ransom money</t>
  </si>
  <si>
    <t>2     Ancient battle won</t>
  </si>
  <si>
    <t>1     Bones of a martyr</t>
  </si>
  <si>
    <t>1         The priests hire the characters as additional guards to prevent a theft</t>
  </si>
  <si>
    <t>1     A celestial</t>
  </si>
  <si>
    <t xml:space="preserve">71 -00 </t>
  </si>
  <si>
    <t>Roll on the local event table in Chapter 1</t>
  </si>
  <si>
    <t>Birth, minor</t>
  </si>
  <si>
    <t xml:space="preserve"> One of the bard's songs is related to an item or person the characters are looking for</t>
  </si>
  <si>
    <t>2      A member of the local government asks the characters for funds to complete the bridge</t>
  </si>
  <si>
    <t>2      A member of the local government asks the characters for funds to complete the canal</t>
  </si>
  <si>
    <t>2      The Characters meet one or more old friends of theirs</t>
  </si>
  <si>
    <t>2                             Dam</t>
  </si>
  <si>
    <t>3 Huge beast</t>
  </si>
  <si>
    <t>3 Regular army</t>
  </si>
  <si>
    <t>2       Weapons and armors</t>
  </si>
  <si>
    <t>3      Characters are hired to locate the captive and free them</t>
  </si>
  <si>
    <t>3     Arrival of a famous hero</t>
  </si>
  <si>
    <t>2     Ancient weapon</t>
  </si>
  <si>
    <t>2         A rival cult manages to steal the relic and the characters are tasked to find and bring it back</t>
  </si>
  <si>
    <t>2     A very pious old woman</t>
  </si>
  <si>
    <t>The bard has received death threats. They want to hire the characters as guards</t>
  </si>
  <si>
    <t>3      Characters are hired to escort the envoy that is sent to obtain the grant to build the bridge</t>
  </si>
  <si>
    <t>3      Characters are asked to help dig the canal</t>
  </si>
  <si>
    <t>3      Monsters flee from the circus. The characters must retrieve them</t>
  </si>
  <si>
    <t>4  Goblinoid/Orc chieftain</t>
  </si>
  <si>
    <t>4  Mercenary unit</t>
  </si>
  <si>
    <t>3       Agricultural products</t>
  </si>
  <si>
    <t>4       Characters are tasked to oversee the transfer of money</t>
  </si>
  <si>
    <t>4     Founding of the settlement</t>
  </si>
  <si>
    <t>3     Religious banner</t>
  </si>
  <si>
    <t>3      Characters discover the relic is a fake</t>
  </si>
  <si>
    <t>3     A high priest</t>
  </si>
  <si>
    <t>Monthly Regional Events</t>
  </si>
  <si>
    <t>Canal</t>
  </si>
  <si>
    <t>The bard is known to own a very rare magical instrument**</t>
  </si>
  <si>
    <t>4       Characters are hired to clear the area from hostile groups, such as goblins or underwater races</t>
  </si>
  <si>
    <t>4       Characters are hired to clear the area of hostile groups or monsters</t>
  </si>
  <si>
    <t>4       A thief steals a valuable item - even a magic one - off one of the characters</t>
  </si>
  <si>
    <t>Dock</t>
  </si>
  <si>
    <t>5  Officer of an enemy army</t>
  </si>
  <si>
    <t>5  Adventurers</t>
  </si>
  <si>
    <t>4       Horses</t>
  </si>
  <si>
    <t>5       Characters are hired to hunt down the kidnappers and deal with them. The kidnapped’s survival may or may not be important.</t>
  </si>
  <si>
    <t>5     Religious</t>
  </si>
  <si>
    <t>4     Robe worn by a saint</t>
  </si>
  <si>
    <t>4         Characters discover the relic has lost its magical powers</t>
  </si>
  <si>
    <t>4     A hermit</t>
  </si>
  <si>
    <t>Carnival/Circus</t>
  </si>
  <si>
    <t xml:space="preserve"> The bard inadvertently summons some fiends</t>
  </si>
  <si>
    <t>5       Local government suspects there is a spy among the members of the carnival. Characters are hired to find the truth</t>
  </si>
  <si>
    <t>Outer wall</t>
  </si>
  <si>
    <t>6  Monstrosity</t>
  </si>
  <si>
    <t>6  Local militia</t>
  </si>
  <si>
    <t>5       Beasts of burdens</t>
  </si>
  <si>
    <t>6       Characters are asked by the kidnapper to get in touch with the relatives of the captive</t>
  </si>
  <si>
    <t>6     Marriage or childbirth</t>
  </si>
  <si>
    <t>5     Sacred texts</t>
  </si>
  <si>
    <t>5         Characters discover the relic has gained magical powers</t>
  </si>
  <si>
    <t>01-90</t>
  </si>
  <si>
    <t>The bard has a rival that wants to ruin the performance. The characters may be hired by either party.</t>
  </si>
  <si>
    <t>6       A fortune teller knows exactly who the characters are and what their immediate goals are</t>
  </si>
  <si>
    <t>Private house</t>
  </si>
  <si>
    <t>7  Aberration</t>
  </si>
  <si>
    <t>6       Trinkets</t>
  </si>
  <si>
    <t>7     End of a war</t>
  </si>
  <si>
    <t>6     Book of sacred rites</t>
  </si>
  <si>
    <t>6         A rival priesthood hires the characters to steal or destroy the relic</t>
  </si>
  <si>
    <t>5         A strong warrior of faith</t>
  </si>
  <si>
    <t>91-00</t>
  </si>
  <si>
    <t xml:space="preserve"> Roll on the regional event table in Chapter 2</t>
  </si>
  <si>
    <t>Death, minor</t>
  </si>
  <si>
    <t>8  Minor fiend</t>
  </si>
  <si>
    <t>7       Tools</t>
  </si>
  <si>
    <t>8     Visit of a foreign ruler</t>
  </si>
  <si>
    <t>6         A renowned scholar of the faith's sacred texts</t>
  </si>
  <si>
    <t>20-22</t>
  </si>
  <si>
    <t>Drowning</t>
  </si>
  <si>
    <t>8       Adventurers’ gear</t>
  </si>
  <si>
    <t>7     Item belonging to the founder</t>
  </si>
  <si>
    <t>7         A simple man that can make miracles</t>
  </si>
  <si>
    <t>Enemy killed/captured</t>
  </si>
  <si>
    <t>Public building</t>
  </si>
  <si>
    <t>8     Divine or infernal jewelry</t>
  </si>
  <si>
    <t>8         A person that claims to have in their veins blood of the god itself</t>
  </si>
  <si>
    <t>Execution</t>
  </si>
  <si>
    <t>27-29</t>
  </si>
  <si>
    <t>30-32</t>
  </si>
  <si>
    <t>Faith gathering</t>
  </si>
  <si>
    <t>33-35</t>
  </si>
  <si>
    <t>Fire, minor</t>
  </si>
  <si>
    <t>Flooding, minor</t>
  </si>
  <si>
    <t>Gladiatorial games</t>
  </si>
  <si>
    <t>42-43</t>
  </si>
  <si>
    <t>Kidnapping, minor</t>
  </si>
  <si>
    <t>44-46</t>
  </si>
  <si>
    <t>Holiday</t>
  </si>
  <si>
    <t>Holy relic</t>
  </si>
  <si>
    <t>49-51</t>
  </si>
  <si>
    <t>Holy person</t>
  </si>
  <si>
    <t>Local hero</t>
  </si>
  <si>
    <t>56-57</t>
  </si>
  <si>
    <t>Mage fair</t>
  </si>
  <si>
    <t>58-60</t>
  </si>
  <si>
    <t>Marriage, minor</t>
  </si>
  <si>
    <t>||61-62</t>
  </si>
  <si>
    <t>Murder attempt</t>
  </si>
  <si>
    <t>[jJ.63-64</t>
  </si>
  <si>
    <t>Opening</t>
  </si>
  <si>
    <t>Press gang</t>
  </si>
  <si>
    <t>1^67-68</t>
  </si>
  <si>
    <t>Protector levies</t>
  </si>
  <si>
    <t>69-71</t>
  </si>
  <si>
    <t>Public punishment</t>
  </si>
  <si>
    <t>72-74</t>
  </si>
  <si>
    <t>Races/Games</t>
  </si>
  <si>
    <t>75-77</t>
  </si>
  <si>
    <t>Raid</t>
  </si>
  <si>
    <t>78-81</t>
  </si>
  <si>
    <t>82-84</t>
  </si>
  <si>
    <t>Search</t>
  </si>
  <si>
    <t>Tax collection</t>
  </si>
  <si>
    <t>88-90</t>
  </si>
  <si>
    <t>Theft</t>
  </si>
  <si>
    <t>Troop movement</t>
  </si>
  <si>
    <t>93-95</t>
  </si>
  <si>
    <t>Tribute due</t>
  </si>
  <si>
    <t>96-98</t>
  </si>
  <si>
    <t>Wall/Moat</t>
  </si>
  <si>
    <t>Regional Events</t>
  </si>
  <si>
    <t>Ambassador's Goals</t>
  </si>
  <si>
    <t>High Lords or Ladies</t>
  </si>
  <si>
    <t>Type of Creatures</t>
  </si>
  <si>
    <t>Reason of Migration</t>
  </si>
  <si>
    <t>Political Plot Event</t>
  </si>
  <si>
    <t>Rebel Groups</t>
  </si>
  <si>
    <t>Reason of Rebellion</t>
  </si>
  <si>
    <t>Religious Matter</t>
  </si>
  <si>
    <t>d6 Creature</t>
  </si>
  <si>
    <t>Reason of War</t>
  </si>
  <si>
    <t>War Event</t>
  </si>
  <si>
    <t>Max</t>
  </si>
  <si>
    <t>Low</t>
  </si>
  <si>
    <t>Event Description</t>
  </si>
  <si>
    <t>What the characters can do</t>
  </si>
  <si>
    <t>Subtable results</t>
  </si>
  <si>
    <t>Side-Quests</t>
  </si>
  <si>
    <t>Lords or Ladies</t>
  </si>
  <si>
    <t>Creatures</t>
  </si>
  <si>
    <t>d6 Reasons</t>
  </si>
  <si>
    <t>Groups</t>
  </si>
  <si>
    <t>d6 Matters</t>
  </si>
  <si>
    <t xml:space="preserve"> Ambassador</t>
  </si>
  <si>
    <t xml:space="preserve">An ambassador arrives from another realm. </t>
  </si>
  <si>
    <t>To prevent or start a war</t>
  </si>
  <si>
    <t xml:space="preserve"> The characters are hired to guard the ambassador</t>
  </si>
  <si>
    <t>Ruler</t>
  </si>
  <si>
    <t>Elves</t>
  </si>
  <si>
    <t>The group is fleeing an enemy attack</t>
  </si>
  <si>
    <t>Foreign agents are involved in the plot. The characters must arrest them without creating a war</t>
  </si>
  <si>
    <t>1            Nobles</t>
  </si>
  <si>
    <t>1         To gain independence from the realm</t>
  </si>
  <si>
    <t>1       A heresy of the orthodox creed is taking place</t>
  </si>
  <si>
    <r>
      <t>1</t>
    </r>
    <r>
      <rPr>
        <sz val="7"/>
        <color rgb="FF000000"/>
        <rFont val="Times New Roman"/>
        <family val="1"/>
        <charset val="204"/>
      </rPr>
      <t xml:space="preserve">       </t>
    </r>
    <r>
      <rPr>
        <sz val="9.5"/>
        <color rgb="FF000000"/>
        <rFont val="Times New Roman"/>
        <family val="1"/>
        <charset val="204"/>
      </rPr>
      <t>Powerful spellcaster</t>
    </r>
  </si>
  <si>
    <t>1      Desire to expand the realm</t>
  </si>
  <si>
    <t>1    The army enlists the characters</t>
  </si>
  <si>
    <t xml:space="preserve"> Assassination of a lord or lady</t>
  </si>
  <si>
    <t xml:space="preserve">A high-ranking noble is assassinated </t>
  </si>
  <si>
    <t xml:space="preserve"> To form an alliance</t>
  </si>
  <si>
    <t xml:space="preserve"> The government suspects the ambassador is a spy and the characters must find proof</t>
  </si>
  <si>
    <t>Relative of the ruler</t>
  </si>
  <si>
    <t>Goblinoids</t>
  </si>
  <si>
    <t>The group is trying to expand its territory looking for a new homeland due the fall</t>
  </si>
  <si>
    <t>The characters are hired to find all the conspirators</t>
  </si>
  <si>
    <t>2            Peasants</t>
  </si>
  <si>
    <t>2         Taxes are too high</t>
  </si>
  <si>
    <t>2      The high priest of a church declares a holy war</t>
  </si>
  <si>
    <r>
      <t>2</t>
    </r>
    <r>
      <rPr>
        <sz val="7"/>
        <color rgb="FF000000"/>
        <rFont val="Times New Roman"/>
        <family val="1"/>
        <charset val="204"/>
      </rPr>
      <t xml:space="preserve">       </t>
    </r>
    <r>
      <rPr>
        <sz val="9.5"/>
        <color rgb="FF000000"/>
        <rFont val="Times New Roman"/>
        <family val="1"/>
        <charset val="204"/>
      </rPr>
      <t>Chosen of a god</t>
    </r>
  </si>
  <si>
    <t>2      To gain control of important natural resources</t>
  </si>
  <si>
    <t>2     The characters are appointed as commanders of a military unit, or maybe the entire army of the realm</t>
  </si>
  <si>
    <t xml:space="preserve"> Birth, major</t>
  </si>
  <si>
    <t>A high-ranking noble's family has given birth to a child This is a cause for celebration for nobles and commoners alike. The event is a happy one and feasting and ceremonies last for several days.</t>
  </si>
  <si>
    <t xml:space="preserve"> To pay a tribute</t>
  </si>
  <si>
    <t xml:space="preserve"> The characters must steal a rare magic item owned by the ambassador</t>
  </si>
  <si>
    <t>Member of a major noble house</t>
  </si>
  <si>
    <t>Dwarves</t>
  </si>
  <si>
    <t>The group is of its realm</t>
  </si>
  <si>
    <t>One of the conspirators is innocent and the characters must prove their innocence</t>
  </si>
  <si>
    <t>3            Military</t>
  </si>
  <si>
    <t>3         To obtain privileges or rights</t>
  </si>
  <si>
    <t>3      A prophet is preaching against the hierarchy of the church</t>
  </si>
  <si>
    <r>
      <t>3</t>
    </r>
    <r>
      <rPr>
        <sz val="7"/>
        <color rgb="FF000000"/>
        <rFont val="Times New Roman"/>
        <family val="1"/>
        <charset val="204"/>
      </rPr>
      <t xml:space="preserve">       </t>
    </r>
    <r>
      <rPr>
        <sz val="9.5"/>
        <color rgb="FF000000"/>
        <rFont val="Times New Roman"/>
        <family val="1"/>
        <charset val="204"/>
      </rPr>
      <t>Avatar of a god</t>
    </r>
  </si>
  <si>
    <t>3      To gain control of important magical assets</t>
  </si>
  <si>
    <t>3     The characters are hired to sabotage behind the enemy lines</t>
  </si>
  <si>
    <t xml:space="preserve"> Comet</t>
  </si>
  <si>
    <r>
      <t xml:space="preserve">A bright comet is sighted in the sky for </t>
    </r>
    <r>
      <rPr>
        <sz val="9.5"/>
        <color theme="1"/>
        <rFont val="Times New Roman"/>
        <family val="1"/>
        <charset val="204"/>
      </rPr>
      <t>1</t>
    </r>
    <r>
      <rPr>
        <sz val="9.5"/>
        <color rgb="FF000000"/>
        <rFont val="Times New Roman"/>
        <family val="1"/>
        <charset val="204"/>
      </rPr>
      <t>d4 weeks. It is seen as a portent of some great event.</t>
    </r>
  </si>
  <si>
    <t>To arrange a marriage</t>
  </si>
  <si>
    <t>The characters must meet the ambassador to gain safe passage to another realm</t>
  </si>
  <si>
    <t>High magistrate of the realm</t>
  </si>
  <si>
    <t>Orcs</t>
  </si>
  <si>
    <t>The group is persecuted for its religious beliefs and is looking for a new home</t>
  </si>
  <si>
    <t>4       Rebellion arises after the harsh reaction of the ruler. The characters can join either side</t>
  </si>
  <si>
    <t>4            A church</t>
  </si>
  <si>
    <t>4         To overthrow the current government</t>
  </si>
  <si>
    <t>4       A dark cult is rotting from inside a faith</t>
  </si>
  <si>
    <r>
      <t>4</t>
    </r>
    <r>
      <rPr>
        <sz val="7"/>
        <color rgb="FF000000"/>
        <rFont val="Times New Roman"/>
        <family val="1"/>
        <charset val="204"/>
      </rPr>
      <t xml:space="preserve">       </t>
    </r>
    <r>
      <rPr>
        <sz val="9.5"/>
        <color rgb="FF000000"/>
        <rFont val="Times New Roman"/>
        <family val="1"/>
        <charset val="204"/>
      </rPr>
      <t>Ruler in exile</t>
    </r>
  </si>
  <si>
    <t>4       To define their borders</t>
  </si>
  <si>
    <t>4      The characters must secure or protect an important person, magic item, or treasure</t>
  </si>
  <si>
    <t xml:space="preserve"> Death of a lord or lady</t>
  </si>
  <si>
    <t xml:space="preserve">A high-ranking noble is dead </t>
  </si>
  <si>
    <t>To promote trade</t>
  </si>
  <si>
    <t xml:space="preserve"> The characters must ruin the ambassador’s mission</t>
  </si>
  <si>
    <t>High priest of a major faith of the realm</t>
  </si>
  <si>
    <t>Humans</t>
  </si>
  <si>
    <t>The group is fleeing from a famine or a plague</t>
  </si>
  <si>
    <t>5       The characters are falsely accused of being a part of the plot*</t>
  </si>
  <si>
    <t>5            A secret society</t>
  </si>
  <si>
    <t>5         Treatment is too brutal</t>
  </si>
  <si>
    <t>5       A sacred belief of the faith is shown to be a hoax</t>
  </si>
  <si>
    <t>5       The two realms had two different beliefs which are tragically incompatible</t>
  </si>
  <si>
    <t>5      The enemy army seems to have a special weapon. The characters must locate it and steal or destroy it</t>
  </si>
  <si>
    <t>The characters are sent as envoys to start peace talks or to find new allies</t>
  </si>
  <si>
    <t xml:space="preserve"> Earthquake</t>
  </si>
  <si>
    <t>A powerful earthquake strikes the realm. It causes extensive destruction in a 50-mile-radius area. It destroys cities and perhaps reshapes coastlines and rivers. It causes great fires in civilized areas followed by famine and plague.</t>
  </si>
  <si>
    <t>To experience the culture</t>
  </si>
  <si>
    <t xml:space="preserve"> Someone is trying to kidnap or kill the ambassador. The characters must prevent the assassination</t>
  </si>
  <si>
    <t>Wealthy guildmaster or merchant</t>
  </si>
  <si>
    <t xml:space="preserve"> The group is nomadic and wander from one place to an other one</t>
  </si>
  <si>
    <t>6       The plot is a fraud. The characters must demonstrate this to the ruler to prevent further bloodshed</t>
  </si>
  <si>
    <t>6            Guilds</t>
  </si>
  <si>
    <t>6         Ally of an enemy realm</t>
  </si>
  <si>
    <t>6       Some high temple members committed heinous acts</t>
  </si>
  <si>
    <t>Legendary hero</t>
  </si>
  <si>
    <t>6       There isn't an apparent reason. The two realms have been fighting for centuries</t>
  </si>
  <si>
    <t xml:space="preserve"> Famine</t>
  </si>
  <si>
    <t>Drought and poor harvest result in famine. Possible signs of impending famine are withered crops, dead animals, hungry people, and the raising of food prices up to 10 times normal The famine lasts for 2d4 months.</t>
  </si>
  <si>
    <t>Troglodytes</t>
  </si>
  <si>
    <t xml:space="preserve"> Fire, major</t>
  </si>
  <si>
    <t>An extensive fire sweeps a major city of the realm and it destroys at least half of it.</t>
  </si>
  <si>
    <t>Kobolds</t>
  </si>
  <si>
    <t xml:space="preserve"> Flooding, major</t>
  </si>
  <si>
    <t>A major flood sweeps the realm. If on the coast, severe storms cause heavy flooding along coastal regions. If along a river, a series of heavy rains cause the river to rage and overflow its banks.</t>
  </si>
  <si>
    <t>Halflings</t>
  </si>
  <si>
    <t xml:space="preserve"> Incursion</t>
  </si>
  <si>
    <t>A major migration of creatures enters the realm from outside its borders. Although this migration is not war it is not necessarily peaceful The size of the incursion should be in proportion to the size of the realm. Thus, several hundred creatures would be a major incursion for a small province, while several thousand creatures would migrate into a large nation. The tables below give you some suggestions about the type of creatures and the reasons for their migration.</t>
  </si>
  <si>
    <t>The characters might investigate the reasons the group has entered the realm and take part in diplomatic talks. In addition, they can be asked to calm down tensions between the group and the people of the realm.</t>
  </si>
  <si>
    <t>Dragonborns</t>
  </si>
  <si>
    <t>Marriage, major</t>
  </si>
  <si>
    <t>Someone is getting married The couple is part of a major noble house, they are scions of wealthy merchant house, or even the ruler of the realm might get married</t>
  </si>
  <si>
    <t>The characters can take part in the wedding. They might be honored guests and meet old and new friends or rivals.</t>
  </si>
  <si>
    <t>Goliaths</t>
  </si>
  <si>
    <t xml:space="preserve"> Plague</t>
  </si>
  <si>
    <t>A terrible disease sweeps the realm for 2d6 months. Clerical spells aren’t enough to contain the plague and people fall ill and eventually die. When a plague strikes, the entire realm does not become diseased all at once. Rather, the plague moves about, sweeping from town to town bringing death and misery. Thus, a town may not yet have been hit by the plague, may currently be in the throes of the disaster, or may have suffered and survived through it already.</t>
  </si>
  <si>
    <t>The characters can be charged to bring health potions and magical spells to the plagued areas, or to escort the convoys that are transporting them. They can also investigate if the plague is natural or supernatural.</t>
  </si>
  <si>
    <t>Gnomes</t>
  </si>
  <si>
    <t xml:space="preserve"> Political plot</t>
  </si>
  <si>
    <t>A plot to overthrow the present government is discovered or the ruler of the realm is convinced that such a plot exists. Many nobles and government officials are stripped of their rank, banished, or executed. Spies and secret police are everywhere, ready to arrest people on the slightest evidence. The turmoil lasts for ld4 months.</t>
  </si>
  <si>
    <t xml:space="preserve"> Rebellion</t>
  </si>
  <si>
    <t xml:space="preserve">Factions within the realm attempt to overthrow the government of the realm. The exact strength of the rebellion is up to the DM. </t>
  </si>
  <si>
    <t xml:space="preserve"> Religious matter</t>
  </si>
  <si>
    <t>Something causes turmoil in one of the realm’s main faiths or a new religion arises inside its borders. The table below gives you some examples</t>
  </si>
  <si>
    <t xml:space="preserve"> Visitation</t>
  </si>
  <si>
    <t xml:space="preserve">A very special creature appears in the realm. News of its appearance spread fast and people come from all around to see it, or after it has left, visit the place where it resided </t>
  </si>
  <si>
    <t xml:space="preserve"> Volcano</t>
  </si>
  <si>
    <t>Either a dormant volcano erupts or a new one appears. When the eruption occurs, it is of exceptional violence. Everything within a 5-mile-radius is destroyed and ash rains down out to 30 miles. The volcano spews ash and smoke for ld4 months.</t>
  </si>
  <si>
    <t xml:space="preserve"> War</t>
  </si>
  <si>
    <t xml:space="preserve">Either the realm launches a campaign against another realm, or it is invaded by hostile forces. </t>
  </si>
  <si>
    <t xml:space="preserve">The characters can join one of the two sides or could try to restore peace between them. Alternatively, they could focus on protecting commoners from the harsher effects of the war. </t>
  </si>
  <si>
    <t>FORGOTTEN REALMS LINKS</t>
  </si>
  <si>
    <t>CALENDAR</t>
  </si>
  <si>
    <t>LOREMAPS</t>
  </si>
  <si>
    <t>FORGOTTENMAPS</t>
  </si>
  <si>
    <t>PALANT NOT FORGOTTEN REALMS</t>
  </si>
  <si>
    <t>Pipes</t>
  </si>
  <si>
    <t>Tankards</t>
  </si>
  <si>
    <t>Coins</t>
  </si>
  <si>
    <t>Used to rate the pricing of all businesses. The rating compared the general prices of goods or services against the average for the city/country/region in which the business operated. The rating did not relate to the quality of the goods or services offered.</t>
  </si>
  <si>
    <t>Daggers</t>
  </si>
  <si>
    <t>Volo's rating system</t>
  </si>
  <si>
    <t>Volo's Ratings System was the means by which Volothamp Geddarm ranked taverns, inns, shops, alleyways, and so forth in his well-known guidebooks. The categories were as follows:</t>
  </si>
  <si>
    <t>★ QUALITY</t>
  </si>
  <si>
    <t>★★★★★</t>
  </si>
  <si>
    <t>★★★★☆</t>
  </si>
  <si>
    <t>★★★☆☆</t>
  </si>
  <si>
    <t>★★☆☆☆</t>
  </si>
  <si>
    <t>★☆☆☆☆</t>
  </si>
  <si>
    <t>🔓🔓🔓🔓🔓</t>
  </si>
  <si>
    <t>🔓🔓🔓🔓</t>
  </si>
  <si>
    <t>🔓🔓🔓</t>
  </si>
  <si>
    <t>🔓🔓</t>
  </si>
  <si>
    <t>🔓</t>
  </si>
  <si>
    <t>🛏️🛏️🛏️🛏️🛏️</t>
  </si>
  <si>
    <t>🛏️🛏️🛏️🛏️</t>
  </si>
  <si>
    <t>🛏️🛏️🛏️</t>
  </si>
  <si>
    <t>🛏️🛏️</t>
  </si>
  <si>
    <t>🛏️</t>
  </si>
  <si>
    <t>🚬</t>
  </si>
  <si>
    <t>🚬🚬🚬🚬🚬</t>
  </si>
  <si>
    <t>🚬🚬🚬🚬</t>
  </si>
  <si>
    <t>🚬🚬🚬</t>
  </si>
  <si>
    <t>🚬🚬</t>
  </si>
  <si>
    <t>📜SCROLSS - SPELLCASTING SERVICES</t>
  </si>
  <si>
    <t>📜📜📜📜📜</t>
  </si>
  <si>
    <t>📜📜📜📜</t>
  </si>
  <si>
    <t>📜📜📜</t>
  </si>
  <si>
    <t>📜📜</t>
  </si>
  <si>
    <t>📜</t>
  </si>
  <si>
    <t>⛏️⛏️⛏️⛏️⛏️</t>
  </si>
  <si>
    <t>⛏️⛏️⛏️⛏️</t>
  </si>
  <si>
    <t>⛏️⛏️⛏️</t>
  </si>
  <si>
    <t>⛏️⛏️</t>
  </si>
  <si>
    <t>⛏️</t>
  </si>
  <si>
    <t>⚔️ MELEE ATTACK RATING</t>
  </si>
  <si>
    <t>⚔️⚔️⚔️⚔️⚔️</t>
  </si>
  <si>
    <t>⚔️⚔️⚔️⚔️</t>
  </si>
  <si>
    <t>⚔️⚔️⚔️</t>
  </si>
  <si>
    <t>⚔️⚔️</t>
  </si>
  <si>
    <t>⚔️</t>
  </si>
  <si>
    <t>🛡️🛡️🛡️🛡️🛡️</t>
  </si>
  <si>
    <t>🛡️🛡️🛡️🛡️</t>
  </si>
  <si>
    <t>🛡️🛡️🛡️</t>
  </si>
  <si>
    <t>🛡️🛡️</t>
  </si>
  <si>
    <t>🛡️</t>
  </si>
  <si>
    <t>⚖️⚖️⚖️⚖️⚖️</t>
  </si>
  <si>
    <t>⚗️⚗️⚗️⚗️⚗️</t>
  </si>
  <si>
    <t>⚙️⚙️⚙️⚙️⚙️</t>
  </si>
  <si>
    <t>🏹🏹🏹🏹🏹</t>
  </si>
  <si>
    <t>PALANT'S RATING SYSTEM</t>
  </si>
  <si>
    <r>
      <t>Used to rate the quality of inns, which were defined as any establishment that rented beds to travelers. The rating took into account such things as decor, comfort, service, food, </t>
    </r>
    <r>
      <rPr>
        <i/>
        <sz val="20"/>
        <color rgb="FF3A3A3A"/>
        <rFont val="Helvetica Neue"/>
      </rPr>
      <t>et cetera</t>
    </r>
    <r>
      <rPr>
        <sz val="20"/>
        <color rgb="FF3A3A3A"/>
        <rFont val="Helvetica Neue"/>
      </rPr>
      <t>. The criteria did not include pricing.</t>
    </r>
  </si>
  <si>
    <r>
      <t>Used to rate the quality of taverns, defined as any public establishment that serves alcoholic beverages. The rating took into account such things as atmosphere, watering of the drinks, service, decor, food (if any), </t>
    </r>
    <r>
      <rPr>
        <i/>
        <sz val="20"/>
        <color rgb="FF3A3A3A"/>
        <rFont val="Helvetica Neue"/>
      </rPr>
      <t>et cetera</t>
    </r>
    <r>
      <rPr>
        <sz val="20"/>
        <color rgb="FF3A3A3A"/>
        <rFont val="Helvetica Neue"/>
      </rPr>
      <t>. The criteria did not include pricing.</t>
    </r>
  </si>
  <si>
    <r>
      <t>⚖️</t>
    </r>
    <r>
      <rPr>
        <sz val="20"/>
        <color theme="1"/>
        <rFont val="Calibri"/>
        <family val="2"/>
        <charset val="204"/>
      </rPr>
      <t xml:space="preserve"> TRADER</t>
    </r>
  </si>
  <si>
    <t>⚙️⚙️⚙️⚙️</t>
  </si>
  <si>
    <t>⚙️⚙️⚙️</t>
  </si>
  <si>
    <t>⚙️⚙️</t>
  </si>
  <si>
    <t>⚙️</t>
  </si>
  <si>
    <t>🏹🏹🏹🏹</t>
  </si>
  <si>
    <t>🏹🏹🏹</t>
  </si>
  <si>
    <t>🏹🏹</t>
  </si>
  <si>
    <t>🏹</t>
  </si>
  <si>
    <t>⛏️ MINING</t>
  </si>
  <si>
    <t>⚗️⚗️⚗️⚗️</t>
  </si>
  <si>
    <t>⚗️⚗️⚗️</t>
  </si>
  <si>
    <t>⚗️⚗️</t>
  </si>
  <si>
    <t>⚗️</t>
  </si>
  <si>
    <t>⚖️⚖️⚖️⚖️</t>
  </si>
  <si>
    <t>⚖️⚖️⚖️</t>
  </si>
  <si>
    <t>⚖️⚖️</t>
  </si>
  <si>
    <t>⚖️</t>
  </si>
  <si>
    <t>🍺🍺🍺🍺🍺</t>
  </si>
  <si>
    <t>🍺🍺🍺🍺</t>
  </si>
  <si>
    <t>🍺🍺🍺</t>
  </si>
  <si>
    <t>🍺🍺</t>
  </si>
  <si>
    <t>🍺</t>
  </si>
  <si>
    <t>💰💰💰💰💰</t>
  </si>
  <si>
    <t>💰💰💰💰</t>
  </si>
  <si>
    <t>💰💰💰</t>
  </si>
  <si>
    <t>💰💰</t>
  </si>
  <si>
    <t>💰</t>
  </si>
  <si>
    <t>Table 2-1: Journey Difficulty</t>
  </si>
  <si>
    <t>Check DC</t>
  </si>
  <si>
    <t>Encounter Modifier</t>
  </si>
  <si>
    <t>Flat terrain, clear roads, familiar to the characters or well mapped, inhabited by friendly folk</t>
  </si>
  <si>
    <t>Low hills, broken roads, roughly mapped, inhabited by neu­tral or uninterested folk</t>
  </si>
  <si>
    <t>Deep forests, narrow trails, maps exist but are unreliable, inhabited by bandits or other ne'er-do-wells</t>
  </si>
  <si>
    <t>Difficult</t>
  </si>
  <si>
    <t>High mountains or rugged swamps, no trails, unmapped, inhabited by violent and aggressive enemies</t>
  </si>
  <si>
    <t>Very Difficult</t>
  </si>
  <si>
    <t>Table 2-2: Number of Encounters</t>
  </si>
  <si>
    <t>Distance</t>
  </si>
  <si>
    <t>Miles Travelled</t>
  </si>
  <si>
    <t>Encounters</t>
  </si>
  <si>
    <t>Very Short</t>
  </si>
  <si>
    <t>0-18 mi</t>
  </si>
  <si>
    <t>Short</t>
  </si>
  <si>
    <t>19-36 mi</t>
  </si>
  <si>
    <t>1d3</t>
  </si>
  <si>
    <t>37-72 mi</t>
  </si>
  <si>
    <t>1d4+1</t>
  </si>
  <si>
    <t>73-144</t>
  </si>
  <si>
    <t>Minor Request</t>
  </si>
  <si>
    <t>Major Request</t>
  </si>
  <si>
    <t>Minor Favor</t>
  </si>
  <si>
    <t>Major Favor</t>
  </si>
  <si>
    <t>Distrustful</t>
  </si>
  <si>
    <t>Associated Skills</t>
  </si>
  <si>
    <t>Interactions</t>
  </si>
  <si>
    <t>Lifestyle Upkeep</t>
  </si>
  <si>
    <t>Cost per Day</t>
  </si>
  <si>
    <t xml:space="preserve">		You live a life of plenty and comfort. You move in circles populated by the most powerful people in the community. You have excellent lodgings, perhaps a townhouse in the nicest part of town or rooms in the finest inn. You dine at the best restaurants, retain the most skilled and fashionable tailor, and have servants attending to your every need. You receive invitations to the social gatherings of the rich and powerful, and spend evenings in the company of politicians, guild leaders, high priests, and nobility. You must also contend with the highest levels of deceit and treachery. The wealthier you are, the greater the chance you will be drawn into political intrigue as a pawn or participant.</t>
  </si>
  <si>
    <t xml:space="preserve">		Choosing a wealthy lifestyle means living a life of luxury, though you might not have achieved the social status associated with the old money of nobility or royalty. You live a lifestyle comparable to that o f a highly successful merchant, a favored servant of the royalty, or the owner of a few small businesses. You have respectable lodgings, usually a spacious home in a good part of town or a comfortable suite at a fine inn.
You likely have a small staff of servants.</t>
  </si>
  <si>
    <t xml:space="preserve">		You live in a leaky stable, a mud-floored hut just outside town, or a vermin-infested boarding house in the worst part of town. You have shelter from the elements, but you live in a desperate and often violent environment, in places rife with disease, hunger, and misfortune. You are beneath the notice of most people, and you have few legal protections. Most people at this lifestyle level have suffered some terrible setback.
		They might be disturbed, marked as exiles, or suffer from disease.</t>
  </si>
  <si>
    <t xml:space="preserve">		 A poor lifestyle means going without the comforts available in a stable community. Simple food and lodgings, threadbare clothing, and unpredictable conditions result in a sufficient, though probably unpleasant, experience. Your accommodations might be a room in a flophouse or in the common room above a tavern. You benefit from some legal protections, but you still have to contend with violence, crime, and disease. People at this lifestyle level tend to be unskilled laborers, costermongers, peddlers, thieves, mercenaries, and other disreputable types.</t>
  </si>
  <si>
    <t xml:space="preserve">		A modest lifestyle keeps you out of the slums and ensures that you can maintain your equipment. You live in an older part of town, renting a room in a boarding house, inn, or temple. You don't go hungry or thirsty, and your living conditions are clean, if simple. Ordinary people living modest lifestyles include soldiers with families, laborers, students, priests, hedge wizards, and the like.</t>
  </si>
  <si>
    <t xml:space="preserve">		Choosing a comfortable lifestyle means that you can afford nicer clothing and can easily maintain your equipment. You live in a small cottage in a middle-class  neighborhood or in a private room at a fine inn. You associate with merchants, skilled tradespeople, and military officers.
		</t>
  </si>
  <si>
    <t xml:space="preserve">		You live in inhumane conditions. With no place to call home, you shelter wherever you can, sneaking into barns, huddling in old crates, and relying on the good graces of people better off than you. A wretched lifestyle presents abundant dangers. Violence, disease, and hunger follow you wherever you go. Other wretched people covet your armor, weapons, and adventuring gear, which represent a fortune by their standards. You are beneath the notice of most people.
		</t>
  </si>
  <si>
    <t>Low cost Goods</t>
  </si>
  <si>
    <t>High cost goods</t>
  </si>
  <si>
    <r>
      <t>Renowned</t>
    </r>
    <r>
      <rPr>
        <sz val="12.85"/>
        <color rgb="FF000000"/>
        <rFont val="Philosopher"/>
        <charset val="204"/>
      </rPr>
      <t>.</t>
    </r>
  </si>
  <si>
    <t>The drink is divine: common drinks are powerful and heady, the hard liquors are enlivening and rich-flavored, and the wines are complex and potent.</t>
  </si>
  <si>
    <t>The food is remarkable, and its head cook (or "chef" in the Cormyrean fashion) is likely well-known in the community at least. Banquets are among the kinds of food served, with complex and nuanced preparation, served in embarrassing plenitude.</t>
  </si>
  <si>
    <t>The drink is delightful: common drinks are rich and likely unique, memorable brews, hard liquors are finely crafted, and the wines are usually expensive and poured from bottles rather than decanters or pitchers.</t>
  </si>
  <si>
    <t>The food is quite memorable, and often the establishment has a signature meal of some kind. Even the poorer fare here is quite good.</t>
  </si>
  <si>
    <r>
      <t>Decent</t>
    </r>
    <r>
      <rPr>
        <sz val="12.85"/>
        <color rgb="FF000000"/>
        <rFont val="Philosopher"/>
        <charset val="204"/>
      </rPr>
      <t>.</t>
    </r>
  </si>
  <si>
    <t>The drink is worth having: common drinks are hearty and flavorful, hard liquors are smoother, and the wines are full-bodied and complement the meals well.</t>
  </si>
  <si>
    <t>The food is good, with portions that won't leave a patron hungry, and well-prepared and -seasoned besides.</t>
  </si>
  <si>
    <t>The drink is uninspired: common drinks are alright, hard liquors still burn going down, and the wines are basic cooking and table wines.</t>
  </si>
  <si>
    <t>The food is simple, but filling and unlikely to offend the senses.</t>
  </si>
  <si>
    <t>The drink is abhorrent: common drinks are like muddy water, hard liquors are burning rotgut and the wines are more like vinegars.</t>
  </si>
  <si>
    <t>The food is barely edible, likely consisting of pots of mush that simply have new ingredients added to them daily, cooking them down into a hot, unrecognizable mess that is edible and nourishing, if just barely.</t>
  </si>
  <si>
    <t>Mediocre</t>
  </si>
  <si>
    <t>Swill</t>
  </si>
  <si>
    <t>Drinks</t>
  </si>
  <si>
    <t>Extravagant.</t>
  </si>
  <si>
    <t>Goods tend to be 125 - 150% of normal cost, and are always of better quality. Such establishments inevitably boast a fine location and exclusive clientele, as well.</t>
  </si>
  <si>
    <t>Spendy.</t>
  </si>
  <si>
    <t>Goods tend to be of higher cost, ranging between 110 - 125% of normal cost. Quality may be somewhat higher than normal, but may also simply be because of more luxurious location or clientele.</t>
  </si>
  <si>
    <r>
      <t>Fairly priced.</t>
    </r>
    <r>
      <rPr>
        <sz val="11"/>
        <color theme="1"/>
        <rFont val="Philosopher"/>
        <charset val="204"/>
      </rPr>
      <t> </t>
    </r>
  </si>
  <si>
    <t>Goods tend to be of average price and quality.</t>
  </si>
  <si>
    <t>Goods tend to be very reasonable, ranging between 80 - 90% of the normal cost of such goods. Quality is near or even at average for those goods.</t>
  </si>
  <si>
    <t>Inexpensive</t>
  </si>
  <si>
    <t>Goods tend to be very cheap, up to 50 - 75% the normal cost of such goods, with a corresponding drop in quality, of course.</t>
  </si>
  <si>
    <r>
      <t>Very inexpensive.</t>
    </r>
    <r>
      <rPr>
        <sz val="11"/>
        <color theme="1"/>
        <rFont val="Philosopher"/>
        <charset val="204"/>
      </rPr>
      <t> </t>
    </r>
  </si>
  <si>
    <r>
      <t>Lifestyle</t>
    </r>
    <r>
      <rPr>
        <sz val="12.85"/>
        <color rgb="FF000000"/>
        <rFont val="Philosopher"/>
        <charset val="204"/>
      </rPr>
      <t> </t>
    </r>
  </si>
  <si>
    <t>Accomodations</t>
  </si>
  <si>
    <r>
      <t>Common drinks</t>
    </r>
    <r>
      <rPr>
        <sz val="12.85"/>
        <color rgb="FF000000"/>
        <rFont val="Philosopher"/>
        <charset val="204"/>
      </rPr>
      <t> are usually 5 cp/tankard, </t>
    </r>
    <r>
      <rPr>
        <i/>
        <sz val="12.85"/>
        <color rgb="FF000000"/>
        <rFont val="Philosopher"/>
        <charset val="204"/>
      </rPr>
      <t>hard liquor</t>
    </r>
    <r>
      <rPr>
        <sz val="12.85"/>
        <color rgb="FF000000"/>
        <rFont val="Philosopher"/>
        <charset val="204"/>
      </rPr>
      <t> is 3-5 sp/handglass and </t>
    </r>
    <r>
      <rPr>
        <i/>
        <sz val="12.85"/>
        <color rgb="FF000000"/>
        <rFont val="Philosopher"/>
        <charset val="204"/>
      </rPr>
      <t>wine and liqueurs</t>
    </r>
    <r>
      <rPr>
        <sz val="12.85"/>
        <color rgb="FF000000"/>
        <rFont val="Philosopher"/>
        <charset val="204"/>
      </rPr>
      <t> are 3-4 sp/tallglass.</t>
    </r>
  </si>
  <si>
    <r>
      <t>A </t>
    </r>
    <r>
      <rPr>
        <i/>
        <sz val="12.85"/>
        <color rgb="FF000000"/>
        <rFont val="Philosopher"/>
        <charset val="204"/>
      </rPr>
      <t>small meal</t>
    </r>
    <r>
      <rPr>
        <sz val="12.85"/>
        <color rgb="FF000000"/>
        <rFont val="Philosopher"/>
        <charset val="204"/>
      </rPr>
      <t> is usually 5-6 cp/meal, </t>
    </r>
    <r>
      <rPr>
        <i/>
        <sz val="12.85"/>
        <color rgb="FF000000"/>
        <rFont val="Philosopher"/>
        <charset val="204"/>
      </rPr>
      <t>larger meals</t>
    </r>
    <r>
      <rPr>
        <sz val="12.85"/>
        <color rgb="FF000000"/>
        <rFont val="Philosopher"/>
        <charset val="204"/>
      </rPr>
      <t> may run up to 1-2 sp/meal and </t>
    </r>
    <r>
      <rPr>
        <i/>
        <sz val="12.85"/>
        <color rgb="FF000000"/>
        <rFont val="Philosopher"/>
        <charset val="204"/>
      </rPr>
      <t>kingly meals</t>
    </r>
    <r>
      <rPr>
        <sz val="12.85"/>
        <color rgb="FF000000"/>
        <rFont val="Philosopher"/>
        <charset val="204"/>
      </rPr>
      <t> usually cost 3-5 sp/meal.</t>
    </r>
  </si>
  <si>
    <r>
      <t>Accommodations</t>
    </r>
    <r>
      <rPr>
        <sz val="12.85"/>
        <color rgb="FF000000"/>
        <rFont val="Philosopher"/>
        <charset val="204"/>
      </rPr>
      <t> are usually 5-6 cp for a space in the common room, and 1-3 sp for a bed (possibly slightly more if the bed is the only one in a room).</t>
    </r>
  </si>
  <si>
    <r>
      <t>Common drinks</t>
    </r>
    <r>
      <rPr>
        <sz val="12.85"/>
        <color rgb="FF000000"/>
        <rFont val="Philosopher"/>
        <charset val="204"/>
      </rPr>
      <t> are usually 3 cp/tankard, </t>
    </r>
    <r>
      <rPr>
        <i/>
        <sz val="12.85"/>
        <color rgb="FF000000"/>
        <rFont val="Philosopher"/>
        <charset val="204"/>
      </rPr>
      <t>hard liquor</t>
    </r>
    <r>
      <rPr>
        <sz val="12.85"/>
        <color rgb="FF000000"/>
        <rFont val="Philosopher"/>
        <charset val="204"/>
      </rPr>
      <t> is 1-3 sp/handglass and </t>
    </r>
    <r>
      <rPr>
        <i/>
        <sz val="12.85"/>
        <color rgb="FF000000"/>
        <rFont val="Philosopher"/>
        <charset val="204"/>
      </rPr>
      <t>wine and liqueurs</t>
    </r>
    <r>
      <rPr>
        <sz val="12.85"/>
        <color rgb="FF000000"/>
        <rFont val="Philosopher"/>
        <charset val="204"/>
      </rPr>
      <t> are 1-2 sp/tallglass.</t>
    </r>
  </si>
  <si>
    <r>
      <t>A </t>
    </r>
    <r>
      <rPr>
        <i/>
        <sz val="12.85"/>
        <color rgb="FF000000"/>
        <rFont val="Philosopher"/>
        <charset val="204"/>
      </rPr>
      <t>small meal</t>
    </r>
    <r>
      <rPr>
        <sz val="12.85"/>
        <color rgb="FF000000"/>
        <rFont val="Philosopher"/>
        <charset val="204"/>
      </rPr>
      <t> is usually 2-4 cp/meal, </t>
    </r>
    <r>
      <rPr>
        <i/>
        <sz val="12.85"/>
        <color rgb="FF000000"/>
        <rFont val="Philosopher"/>
        <charset val="204"/>
      </rPr>
      <t>larger meals</t>
    </r>
    <r>
      <rPr>
        <sz val="12.85"/>
        <color rgb="FF000000"/>
        <rFont val="Philosopher"/>
        <charset val="204"/>
      </rPr>
      <t> may run up to 5-8 cp/meal and </t>
    </r>
    <r>
      <rPr>
        <i/>
        <sz val="12.85"/>
        <color rgb="FF000000"/>
        <rFont val="Philosopher"/>
        <charset val="204"/>
      </rPr>
      <t>kingly meals</t>
    </r>
    <r>
      <rPr>
        <sz val="12.85"/>
        <color rgb="FF000000"/>
        <rFont val="Philosopher"/>
        <charset val="204"/>
      </rPr>
      <t> usually cost 1-3 sp/meal.</t>
    </r>
  </si>
  <si>
    <r>
      <t>Accommodations</t>
    </r>
    <r>
      <rPr>
        <sz val="12.85"/>
        <color rgb="FF000000"/>
        <rFont val="Philosopher"/>
        <charset val="204"/>
      </rPr>
      <t> are usually 3-4 cp for a space in the common room, and 5-8 cp for a bed (possibly slightly more if the bed is the only one in a room).</t>
    </r>
  </si>
  <si>
    <r>
      <t>A </t>
    </r>
    <r>
      <rPr>
        <i/>
        <sz val="12.85"/>
        <color rgb="FF000000"/>
        <rFont val="Philosopher"/>
        <charset val="204"/>
      </rPr>
      <t>small meal</t>
    </r>
    <r>
      <rPr>
        <sz val="12.85"/>
        <color rgb="FF000000"/>
        <rFont val="Philosopher"/>
        <charset val="204"/>
      </rPr>
      <t> is usually 1-3 cp/meal, and </t>
    </r>
    <r>
      <rPr>
        <i/>
        <sz val="12.85"/>
        <color rgb="FF000000"/>
        <rFont val="Philosopher"/>
        <charset val="204"/>
      </rPr>
      <t>larger meals</t>
    </r>
    <r>
      <rPr>
        <sz val="12.85"/>
        <color rgb="FF000000"/>
        <rFont val="Philosopher"/>
        <charset val="204"/>
      </rPr>
      <t> may run up to 4-5 cp/meal.</t>
    </r>
  </si>
  <si>
    <t>Common drinks are usually 2 cp/tankard, hard liquor is 5-8 cp/handglass and wine and liqueurs are 4-6 cp/tallglass.</t>
  </si>
  <si>
    <t>Accommodations are usually 2-3 cp for a space in the common room, and 4-6 cp for a bed (possibly slightly more if the bed is the only one in a room).</t>
  </si>
  <si>
    <r>
      <t>A </t>
    </r>
    <r>
      <rPr>
        <i/>
        <sz val="12.85"/>
        <color rgb="FF000000"/>
        <rFont val="Philosopher"/>
        <charset val="204"/>
      </rPr>
      <t>small meal</t>
    </r>
    <r>
      <rPr>
        <sz val="12.85"/>
        <color rgb="FF000000"/>
        <rFont val="Philosopher"/>
        <charset val="204"/>
      </rPr>
      <t> is usually 1-2 cp/meal, and </t>
    </r>
    <r>
      <rPr>
        <i/>
        <sz val="12.85"/>
        <color rgb="FF000000"/>
        <rFont val="Philosopher"/>
        <charset val="204"/>
      </rPr>
      <t>larger meals</t>
    </r>
    <r>
      <rPr>
        <sz val="12.85"/>
        <color rgb="FF000000"/>
        <rFont val="Philosopher"/>
        <charset val="204"/>
      </rPr>
      <t> may run up to 2-3 cp/meal.</t>
    </r>
  </si>
  <si>
    <r>
      <t>Accommodations</t>
    </r>
    <r>
      <rPr>
        <sz val="12.85"/>
        <color rgb="FF000000"/>
        <rFont val="Philosopher"/>
        <charset val="204"/>
      </rPr>
      <t> are usually 1-2 cp for a space in the common room, and 3-5 cp for a bed (possibly slightly more if the bed is the only one in a room).</t>
    </r>
  </si>
  <si>
    <r>
      <t>Common drinks</t>
    </r>
    <r>
      <rPr>
        <sz val="12.85"/>
        <color rgb="FF000000"/>
        <rFont val="Philosopher"/>
        <charset val="204"/>
      </rPr>
      <t> are usually 1 cp/tankard, </t>
    </r>
    <r>
      <rPr>
        <i/>
        <sz val="12.85"/>
        <color rgb="FF000000"/>
        <rFont val="Philosopher"/>
        <charset val="204"/>
      </rPr>
      <t>hard liquor</t>
    </r>
    <r>
      <rPr>
        <sz val="12.85"/>
        <color rgb="FF000000"/>
        <rFont val="Philosopher"/>
        <charset val="204"/>
      </rPr>
      <t> is 2 cp/handglass and </t>
    </r>
    <r>
      <rPr>
        <i/>
        <sz val="12.85"/>
        <color rgb="FF000000"/>
        <rFont val="Philosopher"/>
        <charset val="204"/>
      </rPr>
      <t>wine and liqueurs</t>
    </r>
    <r>
      <rPr>
        <sz val="12.85"/>
        <color rgb="FF000000"/>
        <rFont val="Philosopher"/>
        <charset val="204"/>
      </rPr>
      <t> are 2 cp/tallglass.</t>
    </r>
  </si>
  <si>
    <t>Common drinks are usually 7-10 cp/tankard, hard liquor is 8-10 sp/handglass and wine and liqueurs are 5-8 sp/tallglass. They are likely to have specialized vintages costing 1 gp or more per serving, as well.</t>
  </si>
  <si>
    <t>A small meal is usually 6-8 cp/meal, larger meals may run up to 2-4 sp/meal and kingly meals usually cost 8-10 sp/meal.</t>
  </si>
  <si>
    <t>Accommodations are usually 7-8 cp for a space in the common room, and 4-10 sp for a bed (possibly slightly more if the bed is the only one in a room).</t>
  </si>
  <si>
    <t>• Not many places have this level of quality to offer, but the accommodations involve multiple layers of feather mattresses and the finest bedlinens.
• Bathing is not just free, but servants to bath the guest are common, and washing, repair of clothing and many other services are included free of charge.
No common rooms, and only a few single-room accommodations; most of the rooms are elegantly appointed suites.</t>
  </si>
  <si>
    <t>• Sleeping accommodations are very nice, full feather mattresses on wide bedframes, with multiple layers of pristine bedclothes.
• Baths are included, likely in-room, and other washing is done for free as well.
Common rooms are almost unheard of (except for servants or guards), and most rooms are private. There are some suites as well.</t>
  </si>
  <si>
    <t>• Sleeping accommodations are good, newer straw mattresses on fair-sized frames, with both sheet and blanket, all of it clean.
• Baths are included in the price, but washing is extra.
• Common rooms are less likely here, and there is a split between private and multiple-bed rooms.</t>
  </si>
  <si>
    <t>• Sleeping accommodations are old straw mattresses on rope-supported bunks, mostly clean.
• Baths are usually still extra.
• Common rooms are common as are rooms (though they usually place multiple beds in a single room).</t>
  </si>
  <si>
    <t>• Sleeping accommodations are thin, dirty mattresses, probably bug-infested.
• Baths are never included in the basic prices, if they're available at all.
• Fairly dirty.
Common rooms are most common, and private rooms unlikely to be offered.</t>
  </si>
  <si>
    <t>Name (Lifestyle)</t>
  </si>
  <si>
    <t>Argument</t>
  </si>
  <si>
    <t>Action</t>
  </si>
  <si>
    <t>🏹 RANGED ATTACK RATING</t>
  </si>
  <si>
    <r>
      <t>🛡️</t>
    </r>
    <r>
      <rPr>
        <sz val="20"/>
        <color theme="1"/>
        <rFont val="Calibri"/>
        <family val="2"/>
        <charset val="204"/>
      </rPr>
      <t xml:space="preserve"> DEFENSE</t>
    </r>
    <r>
      <rPr>
        <sz val="20"/>
        <color theme="1"/>
        <rFont val="-apple-system"/>
      </rPr>
      <t xml:space="preserve"> RATING</t>
    </r>
  </si>
  <si>
    <t>Assortiment of goods</t>
  </si>
  <si>
    <t>🔓 SECURITY</t>
  </si>
  <si>
    <r>
      <t>⚗️</t>
    </r>
    <r>
      <rPr>
        <sz val="20"/>
        <color theme="0"/>
        <rFont val="Calibri"/>
        <family val="2"/>
        <charset val="204"/>
      </rPr>
      <t xml:space="preserve"> ALCHEMY</t>
    </r>
  </si>
  <si>
    <r>
      <t>⚙️</t>
    </r>
    <r>
      <rPr>
        <sz val="20"/>
        <color theme="0"/>
        <rFont val="Calibri"/>
        <family val="2"/>
        <charset val="204"/>
      </rPr>
      <t xml:space="preserve"> MECHANICS</t>
    </r>
  </si>
  <si>
    <t>An inn received a number of pipes from 1P  being the lowest quality to 5P  being the highest quality.</t>
  </si>
  <si>
    <t>A tavern received a number of tankards from 1T  being the lowest quality to 5T  being the highest quality.</t>
  </si>
  <si>
    <t>A business received a number of coins from 1C  being the least expensive to 5C  being the most expensive.</t>
  </si>
  <si>
    <t>An area received a number of daggers from 1D to 5D  being the most dangerous.</t>
  </si>
  <si>
    <t>Палант разработал собственную систему оценки, усовершенствовав рейтинг Воло.</t>
  </si>
  <si>
    <t>🍺 - TAVERN</t>
  </si>
  <si>
    <t>💰 - COST</t>
  </si>
  <si>
    <t>🛏️ - LODGING</t>
  </si>
  <si>
    <t>Первые три категории соответствуют таковым у Воло - оценка таверны, оценка стоимости, оценка качества проживания</t>
  </si>
  <si>
    <t>Дополнительно введена категория безопасности заведения</t>
  </si>
  <si>
    <t>Также для любого объекта есть показатель качества</t>
  </si>
  <si>
    <t>Своих противников и союзников Палант оценивает по четырем параметрам - Рейтинг опасности в ближнем бою, рейтинг опасности в дальнем бою, рейтинг защищенности противника и рейтинг его таланта заклинателя</t>
  </si>
  <si>
    <t>SPELLCASTING RATING</t>
  </si>
  <si>
    <t>Торговые заведения Палант оценивает по качеству ассортимента</t>
  </si>
  <si>
    <t>Таверна</t>
  </si>
  <si>
    <t>Цены</t>
  </si>
  <si>
    <t>Проживание</t>
  </si>
  <si>
    <t>Безопасность</t>
  </si>
  <si>
    <t>Противники и союзники</t>
  </si>
  <si>
    <t>Торговцы</t>
  </si>
  <si>
    <t>Алхимия</t>
  </si>
  <si>
    <r>
      <t>Used to rate the dangerousness of alleyways, courtyards, </t>
    </r>
    <r>
      <rPr>
        <i/>
        <sz val="11"/>
        <color rgb="FF3A3A3A"/>
        <rFont val="Helvetica Neue"/>
      </rPr>
      <t>et cetera</t>
    </r>
    <r>
      <rPr>
        <sz val="11"/>
        <color rgb="FF3A3A3A"/>
        <rFont val="Helvetica Neue"/>
      </rPr>
      <t>. The rating took into account such things as crime rates and the general propensities of the denizens of the area in question.</t>
    </r>
  </si>
  <si>
    <t>Family Members Recently Alive</t>
  </si>
  <si>
    <t>Historical Family Members</t>
  </si>
  <si>
    <t>Family Members Currently Alive</t>
  </si>
  <si>
    <t xml:space="preserve">		○ unnamed sons closely resemble Azoun IV; all approached by veteran Purple Dragon officers with handsome offers of careers and most accepted and remain in service to this day. [VGtC,p.154]
		○ Harandil Thundersword, one of the knights who rides with Princess Alusair. [CaN,p.117]
		○ Ondyn Thundersword (LG hm Ftr9/Highknight5), Knight Royal of Cormyr, once a personal guard of Azoun IV but now a loyal personal bodyguard to Filfaeril [DrA5,p.62]
		○ Talados Thundersword (CN hm Ftr7), brawling hunt-loving young giant who loves swordplay wine and women, very rich from Sembian investments left him by a dying uncle, cleaves to Sembia and wants respect in Saerloon and Selgaunt [DrA5,p.66]
Ondryn Thundersword, a bastard son of Azoun IV [DrA5,p.68] (is this the same person as Ondyn? A misspelling typo of one letter?)</t>
  </si>
  <si>
    <t xml:space="preserve">	• seat in Starwater Meadow (south of Hilp) [GTR,p.56]
	• ancestral seat in Immersea is southwest of the Wyvernspur lands and remote from the town proper; newer and larger than either of the other noble castles but dominates only its own small valley, surmounting a small knoll at the heart of the wooded basin [VGtC,p.153,154]
large, palatial home in Marsember with a private dock; once the seat of the extinct Aurubaen noble house. [VGtC,p.38], name of Marsember city villa is Swordspires [EdG2004,p.46]</t>
  </si>
  <si>
    <t>[GTR,p.56]</t>
  </si>
  <si>
    <t xml:space="preserve">		○ Brace Skatterhawk, one of the knights who rides with Princess Alusair, has been told he's a bastard son of Azoun IV. [CaN,p.105-106,120]
Narbreth Scatterhawk, father of Brace. [CaN,p.254]</t>
  </si>
  <si>
    <t xml:space="preserve">	• house in Suzail [GTR,p.55]
	• called a trading family [GTR,p.55]
	• minor nobility and country nobles to boot. [CaN,p.255]
	• nouveau riche, having been made barons a scant hundred years ago, still engage heavily in mercantile behavior. [GTR,p.56]
	• was noble in reign of Barander circa 1139 [FRFAQ]
	• an unnamed Skatterhawk dies in final battle against the Witch-Lords in 900 DR. [CaN,p.307]
in the event of Azoun IV's death during the Abraxus incident, like most of the families with country estates this family favored a Vangerdahast regency instead of a ruling council. [CaN,p.426]</t>
  </si>
  <si>
    <t xml:space="preserve">	• seat in Suzail [GTR,p.56]
	• Silversword Estate in Suzail [C9410,p.9]
	• quite old noble family in Cormyte history but has never ascended to the top [C9410,p.49]
	• members frequently hold important positions (despite the efforts of the Emmarasks) but always fall short of achieving true Cormyr-shaping power. [C9410,p.49]
	• recently many family members have gone adventuring in Cormyr and in foreign lands. [C9410,p.49]
	• was noble in reign of Barander circa 1139 [FRFAQ]
	• Family Members Currently Alive
		○ Ammanadas Silversword, attacks and seriously wounds a War Wizard in 1369 DR during the Abraxus Affair and seems to hate War Wizards. [CaN,p.337]
		○ unnamed number of Silversword boys, known for wit and considered a potential match for Princess Tanalasta [BtHR,p.40]
		○ Melot Silversword (CN hm Ftr4)[DrA5,p.66], one of the neutral lords [DotD,p.204], part of Tanalasta's war council [DotD,p.272-273], an head of family; unscrupulous self-serving and greedy man who enjoys the pleasures of life without caring about the costs to those around him [DrA5,p.66]
	• Family Members Recently Alive
		○ Narlan Silversword, disappeared without a trace purportedly on an adventure into Myth Drannor, last seen in Tilverton; his fate is a mystery. [C9410,p.49]
Historical Family Members</t>
  </si>
  <si>
    <t xml:space="preserve"> [GTR,p.56]</t>
  </si>
  <si>
    <t xml:space="preserve">	• seat in Arabel [GTR,p.45]
	• brewery [C9410,p.16]
	• Ed Greenwoods words, from p.32 of the Candlekeep questions forum:
While I'm here, I might as well tackle Gerath Hoan's second question. Yes, the Hiloars are nobles, of a sort that's sometimes called "border nobles" around Court: successful families dwelling in border or debatable areas of Cormyr (along the Sembian border, Arabel, and Marsember) who have demonstrated some loyalty to the Crown. Vangey wants to keep them loyal and build on their success and local influence, so he ennobles them, involves them in minor services to the Crown (to test them with temptations), and butters them up (asks their opinions on matters, confers with them often so they feel important, and so on). He wants both to use their capabilities for the betterment of Cormyr, and firmly bind their loyalties to the Obarskyrs and head off intrigues and rebellions born of noble and rich merchant dissatisfaction with having to endure the laws and authority of the Crown.
House Hiloar (for some reason, they dislike being referred to as "the Hiloars," and so they're never so styled in Court converse) have long been successful overland shippers (caravan traders), specializing in linking the Moonsea lands and the northerly Dales with the southern port trade of Cormyr. This makes them local competitors with the Zhents, and prime targets for being corrupted by the Zhents and used as stooges (hence the scrutiny the War Wizards, Purple Dragons, and individual roaming Highknights subject them to). Recently, as profits have dwindled in the face of strife in the Dales and in Cormyr itself, House Hiloar has diversified by buying, breeding, and selling horses (draft beasts and warhorses), and in making divers covert property investments in Sembia. This latter move, in particular, sharpened the interest and scrutiny of the Crown (the War Wizards were worried that Sembian interests were controlling House Hiloar), but thus far no disloyalty has been uncovered, which of course raised House Hiloar's worth in Vangey's eyes, and started him on the road to really rewarding them to both keep and make use of their loyalty (Court posts and titles for younger Hiloar bloods, "help" at Court with red tape and tax and fee breaks for favoured merchants, and so on). The War Wizards are looking to find Hiloars with magical talent, so they can install friendly, helpful War Wizards (spies) as tutors. I don't want to say too much more about the Hiloar family because it'll cut down on your options as a DM, and because of possible future Realmslore publications.
	• Family Members Currently Alive
head of family has the title of Earl, and the current Earl has a plan for clear-cutting the Dragon Wood. [BtHR,p.80]</t>
  </si>
  <si>
    <t>[GTR,p.45, VGtC,p.57]</t>
  </si>
  <si>
    <t>[CaN,p.426]</t>
  </si>
  <si>
    <t xml:space="preserve">Baerlaer </t>
  </si>
  <si>
    <t xml:space="preserve">Mallowbrige </t>
  </si>
  <si>
    <t xml:space="preserve">The Mallowbridges of today know (secondhand; passed down to them by elder family members now deceased or senile) a LOT about which wealthy and/or noble Marsemban families participated in smuggling, including of kidnapped Cormyreans; which Marsemban families were involved in various plots against the Crown of Cormyr, including attempts by individuals of Sembia or Westgate to blackmail and/or subvert the ‘local lord’ of Marsember AND Purple and Blue Dragons stationed in Marsember; and about certain ‘indiscretions’ on the part of particular War Wizards in the immediate wake of Vangerdahast becoming a dragon, that involved said Wizards of War ‘looking the other way’ regarding certain small acts of treason (for example, thefts from Marsemban vaults of the Crown treasury) by low-level Marsemban Crown officials (tax collectors, Customs inspectors), in return for monetary reward (in other words, these War Wizards were looking to establish ‘nest eggs’ for their retirements).
The trick, on the part of the Mallowbridges of today, will be how to play these cards.
They want to leverage themselves into marital unions, not make themselves seem dangerous enough to be swiftly eliminated for the safety of many. ;}
#Realmslore
Джерело: &lt;http://forum.candlekeep.com/topic.asp?TOPIC_ID=22659&amp;whichpage=11&gt; </t>
  </si>
  <si>
    <t xml:space="preserve">	• seat in Suzail [GTR,p.56]
	• Dauntinghorn House in Suzail [C9410,p.9]
	• holdings in Marsember [C9410,cover]
	• distantly related to the Truesilvers [C9410,p.47]
	• very keen on expanding Cormyr's shipping interests and enlarging the official presence of Cormyr's navy in the Inner Sea, and allied with the Truesilvers in this goal [C9410,p.47]
	• one of the more militarily inclined noble families [FFC,p.51]
	• some members of the family plotted with Luthax against King Draxius in 629 DR. [CaN,p.273]
	• some unnamed members fought with King Galaghard against the Witch-Lords in 900 DR. [CaN,p.295]
	• multiple Dauntinghorns die in final battle against the Witch-Lords in 900 DR, along with "half the nobles of the Glory of Cormyr". [CaN,p.307]
	• were among those who fought with Arangor and Azoun II against Thauglor in 1018 DR. [CaN,p.322]
	• in the event of Azoun IV's death during the Abraxus incident, like most of the families with country estates this family favored a Vangerdahast regency instead of a ruling council. [CaN,p.426]
	• a quarter of the merchant fleet developed dry rot [DotD,p.92]
	• Family Members Currently Alive
		○ Lord Alexi Dauntinghorn (hm), head of house, husband of Lady Tremayne and distantly related to the Truesilvers [FFC,p.51]
		○ Lady Tremayne Dauntinghorn (hf), wife of Lord Alexi [FFC,p.51]
		○ Commodore Hector "the Sailor" Dauntinghorn (LG hm F9) is one of the most prominent members of the family [C9410,p.47], Commodore of the Imperial Flotilla in Marsember, represents the family in Royal Court when his uncle is absent [DotD,p.207], loyal to the Obarskyrs [DotD,p.209], part of Tanalasta's war council [DotD,p.272-273], is staunchly loyal to the Crown and now head of his house; updated stats (LN hm Ftr11) [DrA5,p.67]
		○ Albaerin Dauntinghorn, old noble with remarkable skill for seeing clearly through dishonesty, obtuseness and misleading impressions. [CaN,p.389]
		○ Morgaego Dauntinghorn, involved with Gaspar Cormaeril and Aunadar Bleth in the Abraxus Affair [CaN,p.464]
		○ Elanna, born a Dauntinghorn, wife of Maestoon Huntsilver, see Huntsilvers for more detail [DotD,p.119-120]
		○ unnamed uncle of Hector normally represents the family in Royal Court but is currently in the north with Azoun and half the family retainers [DotD,p.207]
		○ Baeryn Dauntinghorn (LG hm Ftr9/Highknight5), Knight Royal of Cormyr, once a personal guard of Azoun IV but now a loyal personal bodyguard to Filfaeril [DrA5,p.62]
		○ Tystarn Dauntinghorn (CG hm Ftr3), considered to be probable rebel and a dashingly handsome young traveling-trader [DrA5,p.65], bears an uncanny resemblance to Manshoon, unknowingly under a charm spell of the Night King Orlak II of Westgate (the vampire close of Manshoon) and is unaware he serves the Night Masks [C&amp;D,p.57]
		○ Dauntrin Dauntinghorn, brother to Delce and a bastard son of Azoun IV [DrA5,p.68]
		○ Delce Dauntinghorn, brother to Dauntrin and a bastard son of Azoun IV [DrA5,p.68]
	• Family Members Recently Alive
		○ unnamed Dauntinghorn, one of five young men who attempted to assassinate Princess Tanalasta during the Abraxus Affair in 1369 DR and was killed in the attempt. [CaN,p.425]
	• Historical Family Members
		○ Cecil Dauntinghorn, wrote a pamphlet on sea navigation 100 years ago [BtHR,p.136-137]</t>
  </si>
  <si>
    <t xml:space="preserve">	• seat in Suzail [GTR,p.56]
	• Emmarask Mansion in Suzail [C9410,p.9]
	• political power is the root of the family's prominence; the family is composed of career politicians and governors of all types. [C9410,p.47]
	• no one in this family has ever abused his or her ofice or power, and this reputation commands respect. [C9410,p.48]
	• Family Members Currently Alive
		○ Alaphondar, Sage Most Learned of the Royal Court (NG hm F1, S: history, genealogy, court law) [C9410,p.11], stats given as (NG hm Ari9) and is Filfaeril's lover and confidant after Azoun's death [DrA5,p.64]
		○ Dier Emmarask (LG hf F2), Alaphondar's assistant and protégé [C9410,p.48], but BtHR,p.40 states Dier is a man and potential match for Princess Tanalasta.
		○ Lord Waylan Emmarask (hm), head of the house, husband of Lady Zara, ha a sterling reputation [FFC,p.55]
		○ Lady Zara Emmarask (hf), wife of Lord Waylan [FFC,p.55]
		○ Roland Emmarask (LN hm Wiz6/Ftr6)[DrA5,p.67], loyal to the Obarskyrs [DotD,p.209], part of Tanalasta's war council [DotD,p.272-273], staunchly loyal and head of his house, student of Cormyrean history who always takes "the long view" [DrA5,p.67]
		○ Albryn Emmarask (LG hm Ftr9/Highknight5), Knight Royal of Cormyr, once a personal guard of Azoun IV but now a loyal personal bodyguard to Filfaeril [DrA5,p.62]
		○ Rhiindaerth Emmarask (LE hm Enc 12), publically regarded as an upstanding member of Cormyr's nobility but privately a member of the Men of the Basilisk [Py142]
	• Family Members Recently Alive
		○ Ensrin Emmarask, one of five young men who attempted to assassinate Princess Tanalasta during the Abraxus Affair in 1369 DR and was killed in the attempt. [CaN,p.425]
		○ Immaril Emmarask, cousin of the now-dead Ensrin, killed after admitting he is said to be a son of Azoun. [CaN,p.445-446]
	• Historical Family Members
		○ Elmariel Emmarask, a man who is a trusted crony of Luthax in 629 DR and plotted with him against King Draxius. [CaN,p.272]</t>
  </si>
  <si>
    <t xml:space="preserve">	• seat in Suzail [GTR,p.56]
	• Huntcrown Estate in Suzail [C9410,p.9]
	• diverse family with interests all over Cormyr, thus often the best informed of the nation's goings-on [C9410,p.48]
	• spreads the most gossip and rumor, and are at the center of the greatest number of scandals of any noble family [C9410,p.48]
	• greatest adversary is the Cormaeril family, whose members jealously guard their privacy [C9410,p.48]
	• financial and political holdings are so diverse that no single calamity would bring about the fall of the family [C9410,p.48]
	• mansion on their country estate destroyed by a fissure of molten rock [DotD,p.92]
	• holdings in Arabel [C9410,cover]
	• holdings in Espar [C9410,cover]
	• holdings in Tilverton [C9410,cover]
	• holdings in Wheloon [C9410,cover]
	• noble during reign of Duar, 429 DR [FRFAQ]
	• in the event of Azoun IV's death during the Abraxus incident, the family favored a ruling council for Cormyr rather than any regency or rule by a female. [CaN,p.426]
	• Family Members Currently Alive
		○ Lord Krell Huntcrown (hm), head of the family, strongly opposed to chartering adventuring groups [FFC,p.23], husband of Lady Ohrmatha [FFC,p.51]
		○ Lady Ohrmatha Huntcrown (hf), wife of Lord Krell [FFC,p.51]
		○ Ulnder Huntcrown, one of the knights who rides with Princess Alusair. [CaN,p.117]
		○ Lord Tabart Huntcrown [DotD,p.92] (if he is "the" lord, that implies Lord Krell has died since FFC)
		○ Belmer Huntcrown (NE hm Ftr3/Rog3), cleaves to Sembia, a toad-faced fat middling son of the family, a collector-of-wines shoulder-deep in Sembian intrigues [DrA5,p.66]
	• Family Members Recently Alive
	• Historical Family Members</t>
  </si>
  <si>
    <t>The Illances have been around for a long, long time, and have used various blazons, down the years, but for the last two centuries have used a black raven, clutching a black lance, on a crimson (blood-red) field. The raven is facing the viewer directly, but its head is turned to look off to its right (the viewer’s left), in the pose known in real-world heraldry as “displayed” (wings and legs splayed), and in this case its talons are clutching a horizontal lance (like a jousting lance), point towards the viewer’s left. The raven’s beak is closed and horizontal, and its lone visible eye is crimson. If this is on a banner or surcoat, or painted on a shield, the royal purple field will be triangular, with a flat horizontal top, and a long, symmetrical point (an upside-down isoceles triangle).
An earlier version of the House Illance blazon, in use for almost the entire 1200s, was identical except that the field (background) was royal purple and not crimson. The raven’s eye, however, WAS crimson.
The Illances call their blazon “The Vengeful Vigilant.”
	• seat in Suzail [GTR,p.56]
	• Illance House in Suzail [C9410,p.9]
	• large palatial home in Marsember [VGtC,p.38], name of Marsember city villa is Iyrinthorn [EdG2004,p.46]
	• deep roots in Marsember, owns many properties through a complicted web of small companies bearing the names of others [VGtC,p.38]
	• persistent local rumors of ongoing slaving operations using their Marsembian-based vesels and warehouses [VGtC,p.38]
	• slowly losing influence at Royal Court for generations, and weak family leaders have poorly managed and invested the family fortune, but the family is hardly in ruin. [C9410,p.48]
	• some members of the family plotted with Luthax against King Draxius in 629 DR. [CaN,p.273]
	• some unnamed members fought with King Galaghard against the Witch-Lords in 900 DR. [CaN,p.295]
	• were among those who fought with Arangor and Azoun II against Thauglor in 1018 DR. [CaN,p.322]
	• family described as ever-envious [BtHR,p.37]
	• Freyault' is a family name, first borne by a famous and heroic Illance great-grandsire who served the Crown well in battles in the Stonelands and what were then termed "the Hullack wilds," or lawless rolling country, now tamed and patrolled farmlands, around the Hullack Forest. [EdG2005,p.61]
	• Family Members Currently Alive
		○ Martin Freyault Illance (LN hm F4) is one of the most handsome young men at court but has been spurned by both princesses [C9410,p.48], considered most untrustworthy noble in realm by Thomdor &amp; Bhereu [CaN,p.17], involved with Gaspar Cormaeril and Aunadar Bleth in the Abraxus Affair [CaN,p.464], a darkly handsome young womanizer of charm, wit, and the ability to become a self-effacing "listener in the background," his name Martin derived from his grandmother's name to distinguish him from his uncle Freyault [EdG2005,p.61]
		○ Delamartina Illance, grandmother of Martin Freyault, exquisitely-beautiful, reputed to have given birth to no less than four royal bastards whom Vangerdahast found other homes for. [EdG2005,p.61]
		○ Dagh Illance, one of the knights who rides with Princess Alusair, killed in orc ambush. [CaN,p.106,112]
		○ Jhartos Illance (NE hm F4), fourth son of Illance clan, younger cousin of Mallik, third in line to his father's position, lives in Cormyrean Embassy in Calimport, enjoys the decadence of Calimport but does not have the business sense of his cousin. [Calim,p.78]
		○ Captain Mallik Illance (LN hm R7) elder cousin of Jhartos, seventh in line for clan's lordship, one of clan's few ship owners, lives in Cormyrean Embassy in Calimport but hates the city and remains only for duty, has established trade ties with honest merchants. [Calim,p.78]
	• Family Members Recently Alive
		○ Freyault Illance, killed by an assasin [DotD,p.172-173], uncle of Martin Freyault Illance, a very arrogant, flamboyant, non-stop womanizer. [EdG2005,p.61]
		○ Sorgar Illance, patriarch of house in 1369 DR until Gaspar Cormaeril arranges his death. [CaN,p.317]
		○ unnamed Illance, one of five young men who attempted to assassinate Princess Tanalasta during the Abraxus Affair in 1369 DR and was killed in the attempt. [CaN,p.425]
		○ Ilmreth Illance, killed in fighting at Arabel [DotD,p.202]
		○ Fraeyer Illance (NE hm Ftr6), tall thin darkly handsome and soft-spoken cold heart, one of the younger and better-traveled members of family, now most energetic in promoting family interests, unscrupuless and follows the motto "Freedom from all laws, and a spur to all profits, daggers for our foes, and a pox on all lawmakers and keepers." (hinted to be a family motto) [DrA5,p.66]
	• Historical Family Members
		○ Fre</t>
  </si>
  <si>
    <t xml:space="preserve">	• seat in Arabel [GTR,p.56]
	• largest noble house in Arabel. [CaN,p.454]
	• have always been outsiders at Royal Court. [C9410,p.48]
	• holdings include extensive farmlands and related businesses in the Arabel area. [C9410,p.49]
	• fought against Dhalmass at Marsember, part of the Redlance Rising, backed the Regent Salember, and have been in tax trouble since then. [CaN,p.220-221]
	• led the Marsemban infantry fighting with King Galaghard against the Witch-Lords in 900 DR.
	• remained loyal to Azoun when Gondegal made his claim to empire in 1352 DR. [CaN,p.454]
	• Family Members Currently Alive
		○ Raynaar Marliir (LN hm F6), current head of family who spends most of his time in Arabel rather then the Royal Court [C9410,p.20,49], has the title of duke [BtHR,p.34], head of family and husband of Lady Terese (conflict with BtHR) [FFC,p.52]
		○ Lady Terese Marliir (hf), wife of Lord Raynaar (conflicts with BtHR) [FFC,p.52]
		○ Dauneth Marliir (LG hm Ftr11)[DrA5,p.64], nobleman and warrior [CaN,p.219], loyal throughout Abraxus Affair, appointed to be Warden of the Eastern Marches by Azoun [CaN,p.483], five years younger than Princess Tanalasta [BtHR,p.11], a very slim 6 feet tall, but gawky and bony [DrA5,p.64]
		○ Merelda Marliir, wife to Raynaar and mother to Dauneth, a stumpy little woman lacking in court etiquette [BtHR,p.32-34]
		○ Dardreth Marliir (CE hm Ftr6/Rog6), Dauneth's older brother, an unscrupulous cold and calculating man who considers Dauneth a servile idiot, seeks true (if secret) rule of Arabel and cares not who sits on the Dragon Throne [DrA5,p.66]
	• Family Members Recently Alive
	• Historical Family Members
		○ Rhodes Marliir, youngest cousin of minor relative of the noble house of Marsember when it fell to Cormyr in 1227 DR; became founder of the noble Marliir house of Arabel. [CaN,p.377-387]
		○ Jolithan Marliir, head of the family in 1352 DR, who risked two daughters as messengers to get intelligence to Azoun. [CaN,p.457]</t>
  </si>
  <si>
    <t>Though long one of the noble families of Cormyr, the Rowanmantles have extensive holdings outside Cormyr as well. Most family possessions are in northeastern Cormyr, Tilverton, and environs, and outside the realms, notably in Shadowdale, where Shaerl Rowanmantle (LN hf ??) shares power with her husband Mourngrym Amcathra.
The Rowanmantles have close ties to the Cormyte crown as well, as the late Tanaeth Rowanmantle was the mother of Bhereu and Thomdor.
	• seat in Suzail [GTR,p.56]
	• have the ruler of Tilverton and the co-rule of Shadowdale in their line. [GTR,p.56]
	• Rowanmantle Castle in Suzail [C9410,p.9]
	• holdings in Tilverton [C9410,cover]
	• long one of the noble families of Cormyr [C9410,p.49]
	• most family holdings are in northeastern Cormyr, Tilverton and environs, and outside of Cormyr [C9410,p.49]
	• was noble in reign of Barander circa 1139 [FRFAQ]
	• in the event of Azoun IV's death during the Abraxus incident, like most of the families with country estates this family favored a Vangerdahast regency instead of a ruling council. [CaN,p.426]
	• Family Members Currently Alive
		○ Lady Regent Alasalynn Rowanmantle, leader of Tilverton [GTR,p.56, VGtC,p.195], (CG hf F9), most prominent member of family, name spelled Alaslyn [C9410,p.23,49], mentioned as Alaslyn [BtHR,p.37], mentioned as Alaslyn [FFC,p.52]
		○ Damaris Rowanmantle, stayed in same room as Alaslyn in Thistleflame Keep for Azoun's birthday celebration during some year [FFC,p.52]
		○ Shaerl Rowanmantle, cousin to Alasalynn and wife of Mourngrym Amcathra of Shadowdale [GTR,p.56]
		○ Ergluth Rowanmantle, Purple Dragon officer and Boldshield of Northtrees March which contains Firefall Vale, and is Shaerl's uncle. (What is relationship between Ergluth and Alasalynn?) [Stmlt,p.11,13]
		○ Kortyl Rowanmantle, one of the knights who rides with Princess Alusair, portrayed as a dunderhead [CaN,p.118], still smitten with Alusair [DotD,p.245]
		○ Amanthus Rowanmantle, a handsome young man considered a suitable mate for Princess Tanalasta [BtHR,p.40]
	• Family Members Recently Alive
	• Historical Family Members
Tanaeth Rowanmantle (hf)(1280-1317), married to Elduss and mother of Bhereu and Thomdor [CycR,p.34;C9410,p.49]</t>
  </si>
  <si>
    <t>This family owns most of the lands surrounding Wyvernwater and the Wyvernflow. These holdings bring the Wyvernspurs substantial wealth and political influence.
The king often calls upon this family to fund projects in their area and near Hullack Forest. The Wyvernspurs are only too happy to oblige the king in return for positions on the Royal Court and a say in other matters.
	• seat in Immersea [GTR,p.56]
	• seat is Redstone Castle, the most prominent local building, a fortified sandstone manor house on a high hill just south of town [VGtC,p.153]
	• described as petty nobles, their manor in Immersea is called Redstone [GTR,p.51]
	• Wyvernspur House in Suzail [C9410,p.9]
	• holdings in Hultail [C9410,cover]
	• owns most of the land surrounding Wyvernwater and the Wyvernflow, bringing substantial wealth and political influence. [C9410,p.49]
	• King often calls upon this family to fund projects in their area and near Hullack Forest. [C9410,p.49]
	• a family gift (or curse) that at least some have is the ability to transform into a wyvern. [CaN,p.264]
	• in the event of Azoun IV's death during the Abraxus incident, like most of the families with country estates this family favored a Vangerdahast regency instead of a ruling council. [CaN,p.426]
	• granted all Cormaeril lands after the Cormaerils were stripped of title and land after the Abraxus Affair; this should quintuple the income and responsibilities of House Wyvernspur. [CaN,p.483]
	• the Hullack Forest is mentioned as belonging to the Wyvernspurs [BtHR,p.37,DotD,p.99]
	• Family Members Currently Alive
		○ Dorath Wyvernspur(b.1281DR)(b.1256CR), 2nd child of Bender &amp; Eswip [WySp]
		○ Drone Wyvernspur (hm) (b.1300DR)(b.1275CR), 2nd child of Barad &amp; Austa, unmarried [WySp]
		○ Giogioni Wyvernspur (hm)(b.1335DR)(b.1310CR), 1st child of Cole &amp; Bette, married Cat [WySp]
		○ Giogioni Wyvernspur (CG hm Ari7)[DrA5,p.64], called Giogi in short, is the family hero, and can transform himself into a wyvern. [GTR,p.51]
		○ Cat (CG hf Ari6)[DrA5,p.64], Giogi's wife [GTR,p.51], a magess who has copper hair and green eyes [CaN,p.262,265]
		○ Lord Frefford Wyvernspur (hm)(b.1336DR)(b.1311CR), 1st child of Wohl &amp; Lamala, married Gaylyn Dimswart (b.1338)(b.1313), father to Amber Leona [WySp], attended Azoun's birthday party in Thistleflame Keep one year with his wife Lady Gaylyn [FFC,p.52]
		○ Lady Gaylyn Wyvernspur (hf), wife to Lord Frefford [FFC,p.52]
		○ Steele Wyvernspur(b.1337DR)(b.1312CR), 1st child of Piper &amp; Mazey [WySp]
		○ Julia Wyvernspur(b.1340DR)(b.1315CR), 2nd child of Piper &amp; Mazey [WySp]
		○ Lady Amber Leona Wyvernspur (hf)(b.1358DR)(b.1333CR), 1st child of Frefford &amp; Gaylyn [WySp]
	• Family Members Recently Alive
	• Historical Family Members
		○ Halartan Wyvernspur, friend of Lareth Huntsilver [Dr280,p.84]
		○ Lord Paton Wyvernspur (hm)(951-1001DR)(926-976CR), married to Jasanna Larkspar, father to Gould I and Andra [WySp]
		○ Lord Gould I Wyvernspur (hm)(981-1053DR)(956-1028CR), 1st child of Paton and Jasanna, married Amalee Winter, father to Gerrin I and Finder [WySp]
		○ Andra Wyvernspur (hf), 2nd child of Paton and Jasanna [WySp]
		○ Lord Gerrin Wyvernspur (hm)(1005-1070DR)(980-1045CR), 1st child of Gould I and Amalee, married Maritha of Mistledale, father to Sarah, Aiken and Linnese [WySp], alive in 1018 DR to help defend against a rage of dragons [CaN,p.322-333]
		○ Lord Gerrin Wyvernspur (hm)(1018), leads the house in 1018 DR, and has the ability to transform into a wyvern. [CaN,p.322-333]
		○ Finder Wyvernspur (hm), 2nd child of Gould I and Amalee, eventually became a god [WySp]
		○ Sarah Wyvernspur (hf), 1st child of Gerrin and Maritha [WySp]
		○ Lord Aiken Wyvernspur (hm)(1033-1087DR)(1008-1062CR), 2nd child of Gerrin and Maritha, married Cinda Sweetwater, father to Gould II and Leah [WySp]
		○ Aiken Wyvernspur (1008-1082), son of Gerrin Wyvernspur, had dark brown hair and blue eyes, slim build and short stature, and a quiet loyal nature [Dr280,p.85]
		○ Linnese Wyvernspur (hf), 3rd child of Gerrin and Maritha [WySp]
		○ Lord Gould II Wyvernspur (hm)(1065-1120DR)(1040-1095CR), 1st child of Aiken and Cinda, married Connel Truesilver, father to Carissa, Krohn, Rankin and York [WySp]
		○ Leah Wyvernspur (hf), 2nd child of Aiken and Cinda [WySp]
		○ Carissa Wyvernspur (hf), 1st child of Gould II and Connel [WySp]
		○ Lord Krohn Wyvernspur (hm)(1091-1141DR)(1066-1116CR), 2nd child of Gould II and Connel, married Holly Guildstaff, father to Sojourner [WySp]
		○ Rankin Wyvernspur (hm)(1095-1165DR)(1070-1140CR), 3rd child of Gould II and Connel, married Lise(???) of Arabel, father to Piper and Grevor [WySp]
		○ York Wyvernspur (hm), 4th child of Gould II and Connel, married Shara Winter [WySp]
		○ Lady Sojourner Wyvernspur (hf)(1111-1196DR)(1086-1171CR) [WySp]
		○ Piper Wyvernspur (hm)(1115-1175DR)(1090-1150CR), 1st child of Rankin &amp; Lise(???), married Glenda of Selune, father to Catha and Sherda [WySp]
		○ Grevor Wyvernspur, 2nd child of Rankin &amp; Lise(???), married Veras of Arabel, parent to Amalee, Sarah and Jenmic [WySp]
		○ Catha Wyvernspur (hf), 1st child of Piper &amp; Glenda [WySp]
		○ Lord Sherda Wyvernspur (hm)(1141-1211DR)(1116-1186CR), 2nd child of Piper &amp; Glenda, married Marge of Suzail, father to Krohn and Riley [WySp]
		○ Amalee Wyvernspur (hf), 1st child of Grevor and Veras [WySp]
		○ Sarah II Wyvernspur (hf), 2nd child of Grevor and Veras [WySp]
		○ Jenmic Wyuvernspur, 3rd child of Grevor and Veras, unmarried [WySp]
		○ Lord Krohn II Wyvernspur (hm)(1171-1226DR)(1146-1201CR), 1st child of Sherda &amp; Marge, married Janet Taper, father to Moss and Mark [WySp]
		○ Riley Wyvernspur (hm), 2nd child of Sherda &amp; Marge, married to Taney River, father to Sima [WySp]
		○ Lord Moss Wyvernspur (hm)(1193-1243DR)(1168-1218CR), 1st child of Krohn &amp; Janet, married to Gorta(???) Hawks, father to Gould III and Gerrin II [WySp]
		○ Mark Wyvernspur (hm), 2nd child of Krohn &amp; Janet, married to cousin Sima, father to Stesea and Franjam [WySp]
		○ Sima Wyvernspur (hf), 1st and only child of Riley &amp; Taney, married to cousin Mark, mother to Stesea and Franjam [WySp]
		○ Stesea Wyvernspur (hf), 1st child of Mark &amp; Sima [WySp]
		○ Franjam Wyvernspur, 2nd child of Mark &amp; Sima, unmarried [WySp]
		○ Lord Gould III Wyvernspur (hm)(1220-1280DR)(1195-1255CR), 1st child of Moss &amp; Gorta(???), married Tara Swordmeet, father to Eswip [WySp]
		○ Gerrin II Wyvernspur (hm), 2nd child of Moss &amp; Gorta(???), married to Callum Tolbin, father to Bender and Barad [WySp]
		○ Lady Eswip Wyvernspur (hf)(1264-1306DR)(1239-1281CR), 1st and only child of Gould III &amp; Tara, married cousin Bender, mother to Fortney, Dorath and Grever [WySp]
		○ Lord Bender Wyvernspur (hm)(1247-1295DR)(1222-1270CR), 1st child of Gerrin II &amp; Callum, married cousin Eswip, father to Fortney, Dorath and Grever [WySp]
		○ Barad Wyvernspur (hm), 2nd child of Gerrin II &amp; Callum, married to Austa of Suzail, father to Tisha and Drone [WySp]
		○ Fortney Wyvernspur (1293-1325DR)(1268-1300CR), 1st child of Bender &amp; Eswip, married Calty Swordsong, parent to Cole [WySp]
		○ Lord Grever Wyvernspur (hm)(1283-1322DR)(1258-1297CR), 3rd child of Bender &amp; Eswip, married cousin Tisha, father to Piper and Wohl [WySp]
		○ Tisha Wyvernspur (hf), 1st child of Barad &amp; Austa, married cousin Grever, mother to Piper and Wohl [WySp]
		○ Cole Wyvernspur (hm)(1319-1343DR)(1294-1318CR), 1st child of Fortney &amp; Calty, married Bette Shar of Suzail(1317-1344)(1292-1319), father to Giogioni [WySp]
		○ Lord Wohl Wyvernspur (hm)(1302-1352DR)(1277-1327CR), 1st child of Grever &amp; Tisha, married Lamala Winter, father to Frefford [WySp]
		○ Piper Wyvernspur (hm)(1303-1355DR)(1278-1330CR), 2nd child of Grever &amp; Tisha, married Mazey Silversmith, father to Steele and Julia [WySp]</t>
  </si>
  <si>
    <t xml:space="preserve">	• extinct noble house of Arabel [VGtC,p.63]</t>
  </si>
  <si>
    <t xml:space="preserve">	• recently arrived from the South in 26 DR, among first men Faerlthann knighted. [CaN,p.149-151]
	• Most of the Turcassans were killed at the hands of their treacherous 'allies' later in the year after they betrayed King Duar. [CaN,p.241]
	• Historical Family Members
		○ Melineth Turcassan, father-in-law to King Duar, betrayed him and sold Suzail to the pirate Magrath the Minotaur in 429 DR [CaN,p.241], became a Ghazneth [BtHR,p.246], lived 364-432 DR [FRFAQ]
		○ Daverna, daughter of Melineth Turcassan is wife and Queen to King Duar [CaN,p.241], lived 389-432 DR [FRFAQ]
		○ Jotor Turcassan, broke from his traitorous family to stay loyal to King Duar and fight for him in 432 DR. [CaN,p.241]
		○ Relve Turcassan (-46DR to 38DR), most capable human battle leader in Cormyr at the founding of the realm, a competent bladesman and a good tactician [Dr278,p.89]</t>
  </si>
  <si>
    <t>Hi, Gareth! See this thread at the Candlekeep forums: “Forgotten Realms Journals/Running the Realms/ THE UNRELIABLE FIVE: THEIR EYES ON THE REALMS” by Jeremy Grenemyer. From it we learn that the keyed feature #60 on the Arabel map is a “small but grand castle” built of stone, that’s “now the seat of power for the Guild of Binders, Printers and Copyists in Arabel.”
The House of Baerlear isn’t a noble family, but a successful merchant family, based in Arabel for centuries. At the time of Jeremy’s adventure, the patriarch of the family (Nelezmur “the Book Tyrant” Baerlear) is the Guildmaster of the Binders, Printers, and Copyists.
Much of the guild’s daily coin (and therefore, the income of the Baerlears) comes from printing handbills (one-page advertising handouts) and business forms (from laundry chits to detailed orders used by various craftworkers and shopkeepers). But the Baerlears have been successful merchants for decades, in part because they’ve diversified: they are landlords (and property buyers and sellers) in Arabel; they buy large stretches of wild forest and woodlots in northeastern Arabel from which to harvest pulp for papermaking, and timber that they sell to builders in southern Cormyr and Sembia (whoever will pay most); and they invest in the side-businesses of local gnome and dwarf families who make and maintain the printing presses they (and the guild they’re part of) use.
The House of Baerlear itself is a stout fieldstone castle of four towers linked by thick walls to enclose a courtyard. The only difference between the House and an old wilderland keep is that it has large (tall, narrow) windows, a few with iron-bar windowboxes but not balconies, rather than just arrowslits. The towers end in conical roofs, built over the crenelated flat-top battlements sixty years ago, and the castle has a more-than-coach-wide arched main gate, currently filled by stout ironbar latticework double doors chained and barred together when closed (the metal-plated wooden doors with inner props were replaced more than a century ago).
The Baerlears own a family (closed) coach (think stagecoach), a “fast litter” (open carriage; think phaeton), and two goods wagons, which are parked in the interior courtyard when not in use. The rest of the courtyard is filled with hay and a grass plot for the horses (the ground floor of the “back wall” (north wall) of the castle, facing the gate, is the stables), and a kitchen garden sited to catch the most sun.
The “front wall” (south wall) of the castle west of the gate houses the business part of the castle: the servants dwell there, and the family business offices, stockrooms, and “working rooms” (workshops, etc.) are located there. The front wall east of the gate houses a three-floor entry hall reached via doors on the north/inner side of the east gate tower; one passes through a circular foyer (with cloakrooms, garderobes, doorguards’ ready room, and mudroom) located on the ground floor of the tower, to reach the grand hall (with crimson tapestries and carpets, and much rich, dark woodwork) that fills that part of the eastern front/south wall adjoining the east gate tower. This hall is dominated by balconies on the upper floors looking down into the hall, and a grand stair ascending from the ground floor to the floor above, and then a second flight ascending to the third. House servants have their ready rooms (and “ready pantries” and sewing rooms) on the uppermost floor, guest apartments are located on the middle floor, with the family’s suites of personal living quarters filling the rest of the middle floor and the southeastern tower of the castle, with a map room, dining room, withdrawing rooms, dens, library, and other rooms used in daily family life occupying the ground and middle floors of the east wall.
The House of Baerlear is built over its own deep well of drinkable water, which occupies the cellar of the northeast tower.
In the past, several Baerlear patriarchs and matriarchs made extra coin by renting out apartments in the western floors of the north wall to “suitable” tenants, often Crown officials and Arabel-stationed (sometimes as family business representatives, and sometimes more like “remittance men,” to be away from parents who detested them or despaired of them) sons and daughters of wealthy “wannabe-noble” families of Suzail and Marsember. This practise ebbs and flows with the personal preferences of heads of the Baerlears; some shudder at the thought of “strangers staying under our roof as anything more than passing guests,” while others welcome the income (which at times has more than covered all running costs of the home). House Baerlear currently looks gray, its stone walls surmounted by dark gray slate “awnings” over each window, and conically roofing the tower-tops.
Hope these details are of help.
#Realmslore
Джерело: &lt;http://forum.candlekeep.com/topic.asp?TOPIC_ID=22659&amp;whichpage=10&gt; 
[GTR,p.45, VGtC,p.57]
	• seat in Arabel [GTR,p.45]
	• cheese [C9410,p.16]</t>
  </si>
  <si>
    <t xml:space="preserve"> [GTR,p.45, VGtC,p.57]
	• seat in Arabel [GTR,p.45]
	• grains [C9410,p.16]</t>
  </si>
  <si>
    <t xml:space="preserve">Thond </t>
  </si>
  <si>
    <t>[GTR,p.45, VGtC,p.57]
	• seat in Arabel [GTR,p.45]
	• known for fine jewelry [C9410,p.16]
	• quiet, almost reclusive house; one of the two most influential local merchant families. [VGtC,p.57]
	• Family Members Currently Alive
		○ Peraphon Thond (CN hm F3) [C9410,p.16, VGtC,p.222]</t>
  </si>
  <si>
    <t xml:space="preserve">Iravan </t>
  </si>
  <si>
    <t>[GTR,p.55]
	• seat in Suzail [GTR,p.55]</t>
  </si>
  <si>
    <t>[GTR,p.55]
seat in Suzail [GTR,p.55]</t>
  </si>
  <si>
    <t xml:space="preserve">Jhassalan </t>
  </si>
  <si>
    <t>[GTR,p.55]
	• seat in Suzail [GTR,p.55]
	• oils &amp; perfumes</t>
  </si>
  <si>
    <t>[GTR,p.55]
	• seat in Suzail [GTR,p.55]
ivory traders [GTR,p.55]</t>
  </si>
  <si>
    <t xml:space="preserve">Faeri </t>
  </si>
  <si>
    <t xml:space="preserve">Ossper </t>
  </si>
  <si>
    <t>[GTR,p.55]
	• seat in Suzail [GTR,p.55]
	• fine cloth [GTR,p.55]</t>
  </si>
  <si>
    <t xml:space="preserve">Fallas </t>
  </si>
  <si>
    <t>[C9410,cover]
	• seat in Suzail [C9410,cover]
	• Family Members Currently Alive
		○ Fallas of Thentia (LN hm F2), a dealer in lace, silks and costume jewelry [C9410,p.11]</t>
  </si>
  <si>
    <t xml:space="preserve"> [C9410,cover]
	• holdings in Suzail [C9410,cover]
		○ owns a marina and boat dealership
	• holdings in Marsember [C9410,cover]
	• Family Members Currently Alive
Maerun Stoutbold (CG hm F5) [C9410,p.11]</t>
  </si>
  <si>
    <t>Stoutbold</t>
  </si>
  <si>
    <t>Mrastos</t>
  </si>
  <si>
    <t xml:space="preserve"> [C9410,cover]
	• holdings in Immersea</t>
  </si>
  <si>
    <t xml:space="preserve"> [C9410,cover]
holdings in Tilverton [C9410,cover]</t>
  </si>
  <si>
    <t>Tanalar</t>
  </si>
  <si>
    <t xml:space="preserve">Jerlak </t>
  </si>
  <si>
    <t>[C9410,cover]
	• holdings in Waymoot [C9410,cover]</t>
  </si>
  <si>
    <t xml:space="preserve">Marker </t>
  </si>
  <si>
    <t xml:space="preserve"> [DotD,p.95]
	• linked with both the Rowanmantles and "other merchant families" but no evidence they are nobles [DotD,p.95]</t>
  </si>
  <si>
    <t>Longthumb</t>
  </si>
  <si>
    <t xml:space="preserve"> [GTR,p.45, VGtC,p.57]
	• seat in Arabel [GTR,p.45]
winery [C9410,p.16]</t>
  </si>
  <si>
    <t xml:space="preserve">In the Dragon 412 article "The Thing in the Crypt," the House of Keskrel is noted as having held wardenships in the past. Could you list some examples? Was a Keskrel ever a warden of the docks in Marsember?
I'm used to thinking whole regions re: wardens (like of the Eastern Marches) and not smaller, more specific postings/areas of responsibility.
#thankyou!
@TheEdVerse
Yes. "Warden of the Harbour" is the title. Keskrels were also Warden of the Stonehouse (prison castle east of Suzail just inland of the Dragoneye Way; on Mike Schley's superb Cormyr map, it's due north of the "g" in Draogneye) and Warden of the Westwatch (garrison that keeps watch over the Bridge of Fallen Men to see who enters and leaves the realm, stop any invading warbands, and keep anyone from sabotaging or enacting a toll collection on the bridge; the latter was a favourite brigand trick in elder days).
A Keskrel was also briefly Warden of the Hullack (a short-lived title for a role that really meant "go through the wild forest to make sure large armed bands of brigands weren't living/hiding in there" during a time when rumors arose that Sembia was sponsoring small armies and sending them, all divided up and disguised as pack-merchants with mule-trains, into eastern Cormyr to find their own ways to the Hullack to muster there, and await an invasion signal (large mercenary army attacks openly from Sembia, Hullack forces burst out of the woods to take Cormyr's defenders in the rear/burn and pillage across the countryside to force them to split up and deal with this threat/cut supply lines by blocking roads).
#Realmslore
Джерело: &lt;http://forum.candlekeep.com/topic.asp?TOPIC_ID=22659&amp;whichpage=8&gt; </t>
  </si>
  <si>
    <t>Immerdusk [Stmlt,p.115-116]
* noble family of Arabel [CaN,p.454]
* in the event of Azoun IV's death during the Abraxus incident,
  like most of the families with country estates this family
  favored a Vangerdahast regency instead of a ruling council.
  [CaN,p.426]
* supported Gondegal in his brief claim to empire in 1352 DR
  [CaN,p.454]
* Family Members Currently Alive
  - Storm Silverhand is Marchioness Immerdusk, ennobled by King
    Baerovus Obarskyr for adopting his bastard son by this line.
    [Stmlt,p.115-116]
* Family Members Recently Alive
* Historical Family Members
  - Casplar Hundyl Immerdusk, bastard son of King Baerovus and
    adopted son of Storm Silverhand, founded Immerdusk line.
    [Stmlt,p.115-116]
The Immerdusks weren't ennobled until Storm Silverhand was made marchioness by King Baerovus (as detailed in the novel "Stormlight", pgs.115-116). Before then they were a well-to-do family, known for their ability to produce astounding numbers of smart, tough and big fighting men who almost always took service with the Purple Dragons (and before there were Purple Dragons - created in the time of Duar as I recall - service with the king's host or serving as bodyguards for the Silver familes and a few individual Obarskyrs) and fought (and died) for the realm in significant numbers over many centuries.
A few of them rose to high station with the Purple Dragons, the most famous of whom were Norlar Immerdusk who was Battlemaster in the time of Azoun II and the first to scale the walls of rebel Arabel in the final assault on that city when it was brought to heel (again) in 1050 DR; Daraghard Immerdusk who achieved the station of Lord High Marshal despite his commoner ancestry in the reign of Bryntarth II (and was ennobled in doing so although the title was his alone and died with him - the Immerdusks as a family were not ennobled at the time); and Jarth Immerdusk who was given the unique (and never used since) Purple Dragon rank of Kingsblade (higher than Oversword but lower than Battlemaster) by Galaghard III for his bravery in the battles with the Witchlords.
The Immerdusks have never been numerous or very high-profile. I THINK Storm either married into the title (in a union obviously not previously recorded in published Realmslore; I vaguely remember something Ed saying about her once wedding a dying widower so as to become the legal mother/guardian of his infant offspring, and Lord Immerdusk MIGHT be the guy) . . . or she was named to a family by elderly and infirm family members to prevent their name going extinct and their lands and holdings reverting to the Crown, to make her a thorn in the side of the reigning Obarskyr of the day (because I remember Ed mentioning something like this happening in the past, before the lifetimes of any of our Knights characters - - though what I'm remembering might not be Cormyr at all).
I'm not sure if Ed has ever discussed these tidbits with George Krashos, Eric Boyd, or Brian Cortijo; he tends to keep Storm-lore "quiet" so as to have a (mor
Immerdusk [Stmlt,p.115-116]
* noble family of Arabel [CaN,p.454]
* in the event of Azoun IV's death during the Abraxus incident,
  like most of the families with country estates this family
  favored a Vangerdahast regency instead of a ruling council.
  [CaN,p.426]
* supported Gondegal in his brief claim to empire in 1352 DR
  [CaN,p.454]
* Family Members Currently Alive
  - Storm Silverhand is Marchioness Immerdusk, ennobled by King
    Baerovus Obarskyr for adopting his bastard son by this line.
    [Stmlt,p.115-116]
* Family Members Recently Alive
* Historical Family Members
  - Casplar Hundyl Immerdusk, bastard son of King Baerovus and
    adopted son of Storm Silverhand, founded Immerdusk line.
    [Stmlt,p.115-116]
Immerdusk family
Cheers
Damian
******************************************
Hi Damian
The Immerdusks weren't ennobled until Storm Silverhand was made marchioness by King Baerovus (as detailed in the novel "Stormlight", pgs.115-116). Before then they were a well-to-do family, known for their ability to produce astounding numbers of smart, tough and big fighting men who almost always took service with the Purple Dragons (and before there were Purple Dragons - created in the time of Duar as I recall - service with the king's host or serving as bodyguards for the Silver familes and a few individual Obarskyrs) and fought (and died) for the realm in significant numbers over many centuries.
A few of them rose to high station with the Purple Dragons, the most famous of whom were Norlar Immerdusk who was Battlemaster in the time of Azoun II and the first to scale the walls of rebel Arabel in the final assault on that city when it was brought to heel (again) in 1050 DR; Daraghard Immerdusk who achieved the station of Lord High Marshal despite his commoner ancestry in the reign of Bryntarth II (and was ennobled in doing so although the title was his alone and died with him - the Immerdusks as a family were not ennobled at the time); and Jarth Immerdusk who was given the unique (and never used since) Purple Dragon rank of Kingsblade (higher than Oversword but lower than Battlemaster) by Galaghard III for his bravery in the battles with the Witchlords.
Hope this has been helpful.
-- George Krashos
Джерело: &lt;http://forum.candlekeep.com/topic.asp?TOPIC_ID=9685&amp;whichpage=13&gt; 
More on the Immerdusks from THO
Cheers
Damian
************************************
"Immerdusk Family: Is Storm the only member of this noble house? Am wondering if her son Casplar had any issue?"
No, she's not. Yes, I THINK he did. Over to Ed.
"I am also trying to work out if Storm inherited the family name after it died out previously? Krash mentions two Immerdusk sons (the twins Arbruin and Erbruin ) in his Sleeping Sword piece located here circa 291DR or so, a few centuries before Storm became Marchioness Immerdusk?"
The Immerdusks have never been numerous or very high-profile. I THINK Storm either married into the title (in a union obviously not previously recorded in published Realmslore; I vaguely remember something Ed saying about her once wedding a dying widower so as to become the legal mother/guardian of his infant offspring, and Lord Immerdusk MIGHT be the guy) . . . or she was named to a family by elderly and infirm family members to prevent their name going extinct and their lands and holdings reverting to the Crown, to make her a thorn in the side of the reigning Obarskyr of the day (because I remember Ed mentioning something like this happening in the past, before the lifetimes of any of our Knights characters - - though what I'm remembering might not be Cormyr at all).
I'm not sure if Ed has ever discussed these tidbits with George Krashos, Eric Boyd, or Brian Cortijo; he tends to keep Storm-lore "quiet" so as to have a (more) free hand as to when and how to spring revelations on Realms scribes (usually in his novels).
There you go. The offering from me, using my notes and recollections. The proper replies to come, from Ed, time permitting.
love,
THO
Джерело: &lt;http://forum.candlekeep.com/topic.asp?TOPIC_ID=9685&amp;whichpage=13&gt; 
George Krashos on the 
Cheers
Damian
******************************************
Hi Damian
Hope this has been helpful.
-- George Krashos
So saith Ed. I've never said he was sane, have I?
Gods, all this writing and he's running a constant fantasy version of Coronation Street in his head, too. .
shudder,
love to all,
THO
Candlekeep Forum 7 May 2005
Джерело: &gt; 
 Immerdusks from THO
Cheers
Damian
************************************
"Immerdusk Family: Is Storm the only member of this noble house? Am wondering if her son Casplar had any issue?"
No, she's not. Yes, I THINK he did. Over to Ed.
"I am also trying to work out if Storm inherited the family name after it died out previously? Krash mentions two Immerdusk sons (the twins Arbruin and Erbruin ) in his Sleeping Sword piece located here circa 291DR or so, a few centuries before Storm became Marchioness Immerdusk?"
e) free hand as to when and how to spring revelations on Realms scribes (usually in his novels).
There you go. The offering from me, using my notes and recollections. The proper replies to come, from Ed, time permitting.
love,
THO
So saith Ed. I've never said he was sane, have I?
Gods, all this writing and he's running a constant fantasy version of Coronation Street in his head, too. .
shudder,
love to all,
THO
Candlekeep Forum 7 May 2005</t>
  </si>
  <si>
    <t xml:space="preserve">That list wasn't mine. It was done by a guy called Bryon Wischstadt - a longtime FR devotee in the old REALMS-L days.
The "?" is because the information Bryon was drawing from was an early version of the Cormyr Lineage, one that is not as fleshed out and complete as it is today thanks to the ministrations of others, Garen Thal in particular.
Torst Evenhand was the husband and Prince-Consort of Queen Besmra of Cormyr. He was a common-born individual from Westgate and married her before she came to the throne. When they returned to Cormyr, he was ennobled for the fact that he was married to a now-queen, but did not create a noble family of his own.
Their three sons all ruled as kings of Cormyr and their story is told in part in my GHotR vignette titled "A Day of Three Kings" (289 DR) on p.70 of that book.
The Evenhands may still exist in Westgate and possibly have a presence in Cormyr, but in my view would not be a noble family.
Hope that has been helpful.
-- George Krashos
Джерело: &lt;http://forum.candlekeep.com/topic.asp?TOPIC_ID=9685&amp;whichpage=16&amp;SearchTerms=HIGHKNIGHTS&gt; </t>
  </si>
  <si>
    <t xml:space="preserve">	Colour: orange with silver trim
	Badge: the flagon (copper flaring chalice, oriented diagonally upper right/lower left)
	Blazon: the flagon, on an oval white field that has a border of alternating gold coins (featureless, circular golden discs) and logs (short, horizontal pieces of bark-on treetrunk roughly hewn at both ends)</t>
  </si>
  <si>
    <t xml:space="preserve"> [badge: an oval, long axis vertical, of thin black thornbranch, zigzagging gently from joint to joint, with a single red thorn protruding outwards from each joint, the lowest two thorns having large teardrops of blood about to fall from them, and the thornbranch framing a four-pointed blue star, long points vertical, all on a steel-gray field, or a steel-gray symmetrical shield shaped like the shield in the arms depicted on page 73 of POWER OF FAERUN]</t>
  </si>
  <si>
    <t xml:space="preserve">
House Bryarn is small in numbers but notorious among the nobility of the Forest Kingdom and well-known to courtiers (though not to the wider circle of Cormyrean commoners) because of their propensity for dueling rival nobles and just slaughtering (or hiring killers to dispose of) commoners who cross them, even in small ways.
They are cold, calculating “get-even” foes, not fiery-tempered, and often wait years for the best opportunity to arrange an “accident” to befall an enemy. However, they have come to the notice of War Wizards, Highknights, and Purple Dragons over the years because just so darned many deaths occurred to persons who disagreed with Bryarns, fought or competed with them, or spoke out against them or their views at revels, feasts, or Court dealings.
As a consequence, House Bryarn has quietly become shunned by other nobles, and dealt with by Purple Dragons and courtiers with careful, exacting politeness (and as little as possible).
At least two Bryarn nobles (Esklelt in 1356 DR and Morgram in 1364 DR) have been murdered by Highknights to stop them repeatedly trying to assassinate Obarskyrs and Truesilvers who - - in their minds, at least - - had offended them. Curiously, Bryarns do not apply this ‘get even at all costs’ policy to non-Cormyreans, and so have carried on a flourishing trade in slaves, gems, fine furniture, and fashionable wines and spirits with various partners in Westgate and several Sembian cities for almost a century, deriving much of their wealth thereby.
House Bryarn was ennobled in 1262 DR by Azoun III after the head of the family, Sellorn Bryarn, the founder and leader of the Black Rose mercenary company, rescued an outnumbered and trapped band of Purple Dragons from a large and organized monster force attacking out of the Stonelands, destroying that “band of beasts” (though there were many rumors as to who had organized and controlled the monsters; most everyone agreed that wizards were involved, and paid by a backer either outside the realm or among the nobles of Cormyr - - but some said the Black Rose band were initially part of the force, and turned on it when the backer refused to pay them, or even that the Black Rose hireswords repudiated that backer just to make their own fortunes).
Sellorn’s son Siard (“SEE-ard”) is rumored to have become a procurer for Salember even before he succeeded his father as Lord Bryarn (secretly fetching him willing bedmates from Sembia and installing them at various Crown properties for dalliances, in latter days bringing them to the Palace itself - - and enabling the Rebel Prince to stay aloof from all Cormyrean noble families by keeping distant from all the willing and ambitious daughters thrust at him). The family rose in wealth and influence during Salember’s Regency—only to be “cut dead” by other nobles when Salember fell.
Siard fought several duels (in all of which he slew his noble opponents), and is thought to have murdered three other nobles who’d challenged him in the wake of those duels, only to mysteriously die by misadventure (castle parapets twice collapsing onto heads; a horse rearing and apparently triggering a fireball-inducing magic item carried by the victim; and a charging “ghost” causing a terrified and fatal leap from a high balcony) before the duels could occur.
As Crown agents and officers were sent to search for Siard, to compel him to answer royal justice for the duels, Siard hustled his family to various of their country holdings.
Then, as now, the Bryarn properties consist of a modest “northwestern, near the wall” townhouse in Suzail, some rental properties in Marsember, an inn in Arabel, two small farms not far east of Hilp, and Bryargates, a keep (and, curiously, half a dozen fortified stone warehouses) on a large wooded horse ranch and home farm just east of The Way of the Dragon, not far south of the King’s Forest) - - and then vanished. The Crown agents and officers hunting for Lord Siard Bryarn never found any trace of him.
Rumors place Siard almost everywhere in the known Realms, some even insisting he’s still alive today, and whisper that he’s behind any number of plots against the Crown or the realm.
War Wizards thoroughly mind-reamed the surviving Bryarns, and found no hint that Siard’s eldest son Blakann liked or trusted his father, knew of his whereabouts, or held any antipathy towards the Crown, so after Siard was formally stripped of his title and grace in absentia, Blakann was royally confirmed as the next Lord Bryarn (in late 1288 DR).
From that day to this, the Bryarns have kept a low profile inside Cormyr but a higher one outside it (in the easternmost cities of Sembia in particular, which is where various Lord Bryarns - - or their factors [trade agents] go wife-hunting for them). Bryarns never marry other Cormyrean nobility, generally choosing wives for their family wealth, their beauty, and their willingness to be loyal to the succession of strong-minded, ruthless ruling lords of the family. Several Lady Bryarns have proven to be more scheming, farsighted, and ruthless than their husbands, and the family hasn’t hesitated to kill its own members if they showed signs of cooperating too closely with War Wizards or other Crown agents or investigators, romancing nobility of the Forest Kingdom (Lord Vaerend Bryarn infamously told his sons, “You can look at them, even bare them and mistreat them - - but if you ever spill your seed in any of them, I will remove the instrument of that spilling with my most notched and blunt blade, have it cooked for your dining pleasure, and it will be your last meal”).
One such family casualty - - though for too-careful cordiality with suspicious and repeatedly-visiting War Wizards, and to seize his goods to pay family debts, not for dalliance with any noble Cormyrean lass or lady - - was Lyonard Bryarn, quietly killed in 1369 DR by family agents in Maeravelposts, the family-owned Suzailan townhouse (named for its builder, the briefly-famous sculptor and stonemason Maerevel Bryarn); a death they sought to blame on Lyonard’s companion (Daviot, that would be Lorna, if you choose this family).
At the time of Lyonard’s killing, his kin consist of:
Lord Boarrevarn Bryarn, Lyonard’s father and the ruling patriarch of the family, an icily self-controlled sadist who loves torturing young commoner Cormyrean lads and lasses in private and then selling the maimed remains into pot-making and item-painting slavery in back shops for owners in Westgate. He’s burly and pot-bellied, clinging to the remains of the devastating dark good looks of his youth, and sports an everchanging array of close-trimmed beards. Boarrevarn secretly pens torrid “ardent young love” chapbooks for young ladies in Suzail, under the pseudonym “Darra Delanther,” and is gaining fans as his works spread. His driving interests, however (after opportunities to indulge his sadism), consist of manipulating public opinion to slowly turn Cormyr against its ruling family and the Court they govern through, plus all “too rich, too prominent, too haughty” nobles . . . as opposed to “good” nobles. Quieter families, such as (ahem) House Bryarn.
Lady Jeleskra Bryarn, who knows very well what her husband is up to with his whips and brands and knives, and backs him to the hilt so long as he largely leaves her alone to rut with their loyal house bodyguards and to hunt in the woods at Bryargates - - except for her spring and fall visits to Suzail to take part in the rounds of feasts and revels, where she plays the part of a bored, timid, neglected noble wife to a gentle, quiet lord nothing like his disgraced predecessors; a man lost in his hobbies of painting and reading (a fiction she can maintain with some success among the nobility because Boarrevarn NEVER leaves Bryargates). Lady Jeleskra has a small but well-paid band of spies in Suzail, Marsember, Westgate, and Sembia, who keep watch over her husband’s small and better paid band of factors [trade agents] who see to the family businesses, shady and legal - - though Lady Jeleskra in truth gives the orders and ruthlessly advances the family fortunes.
Lord Melivur Bryarn, the eldest son and heir of the house (Lyonard was the second son), a sardonic, softly-purring, superior-to-all sort who curbs his insolence only when dealing with his parents. Genuinely brilliant and possessed of a never-failing memory, even for faces seen fleetingly and scraps of conversations overheard in passing, he is educating himself by reading Lyonard’s library and by seeking out all sorts of people on his frequent “gambling and wenching” trips to Suzail (during which he shepherds shipments of goods to and from the warehouses of Bryargates) and paying them handsomely to answer his questions and show him how things are made, how certain trades work, and what’s in fashion. He considers his parents less than sane and his family headed for self-courted doom, and is quietly building himself various small coin caches, a side-identity complete with a disguise, and a sideline caravan business, for the day he might have to flee in a hurry.
Unless, that is, he becomes head of the house first (whereupon, if his mother isn’t dead already, he’ll dispose of her as brutally as swiftness allows, and set about framing his brother Nuljalak for all family misdeeds and treacheries to the Crown).
Lord Nuljalak (“Jalak” to one and all) Bryarn, the youngest son of the house, a bored and splendidly handsome fair-haired hunter and rider of accomplishment, who enjoys fencing, drinking, and the bed-company of his pick of all young, wealthy, non-noble Suzailans who are interested in knowing a noble. Jalak loves pranks, swindles that make him and his “fast friends” casual coin now and then, and a life of indolence, luxury, and haughty scorn of “oldcoin nobles,” Court officers, and the ruling Obarskyrs alike. He’s good with a sword and learning to become competent with hurled daggers and with handbows (hand crossbows), likes to wrestle the most muscular bare-bodied and oiled lasses-for-hire he can procure in Suzail (he doesn’t bed them, he pays them to pit their strength against his, and cheerfully hires dwarves, half-orcs, and the largest and strongest human women he can find for this), and has a weakness for strong cheeses and exotic liqueurs. He’s recently discovered a wrinkled old crone in living in squalor in westside Suzail who was once a very active poisoner in Amn, and is paying her well to teach him all about poisons, procure their antidotes for him, and dose him with carefully-limited amounts of the ones he can thereby build up an immunity to.
Lady Alazgrelle (“Laz” or “Lazgrel” to family and friends) is a fun-loving, irreverent hard drinker and dancer who can outdrink many men, loves acrobatic pranks, and covers a vicious get-even nature behind a hearty, husky laugh, a willingness to play the fool and bare her skin in public and private, and a seemingly endless flood of curly, golden-hued tresses that reach to her ankles except when she binds them up - - or carelessly hacks them off. An accomplished rider and breeder of horses, she takes daily charge of the Bryargates horse ranch, except when she’s off carousing in Suzail, which is often. She enjoys bedding partners of either gender, but they must be human; elves, dwarves, gnomes, halflings, and crossbreeds (of any of these races with humans) disgust her. Strangely, half-orcs and orcs do not, and she bears several scars from lust-bites suffered in moments of extreme passion when abed with such partners. (There is no truth to the rumor, popular among the Bryargates guards whom she never looks at, that she “ruts with the horses.”)
Lazgrel is tall, broad-shouldered, muscular, and buxom; her uppercut has sent more than a few startled men off to enjoy dream-visions from the gods for a time. Yet of all the Bryarns, she’s the least likely to hold a grudge or want to get even at all costs. Get her own back when she can, yes, and relish it . . . but she’s having FUN in life, and finds nursing hatreds and taking stock of slights and single coins owed to be tiresome, even obsessive.
Lady Alanstel is the youngest daughter of Boarrevarn and Jeleskra, and is a bone-thin, sly, often silent echo of her mother. Swift with sums and shrewd at judging people, she is her mother’s faithful business assistant and understudy, learning all she can from Jeleskra (and taking careful note of all slights and wrongs done not only to the Bryarns, but to her personally). She anticipates the day when the family will meet with disaster, and is positioning herself to pick up the pieces, distancing herself with false documents and the like from the misdeeds and anti-royal deeds and sentiments of her parents.
Right now, she’s quietly seeking out wizards who visit Suzail, seeking to buy some form of mind-protection (or better yet, several forms that she can use at once) from the Wizards of War. She needs to be able to conceal her true self from EVERYONE, and let them see only her chosen role of timid, quiet loyal daughter and loyal subject of the Dragon Throne.
Inwardly every bit as cold-blooded, calculating, and malicious as her mother or her aunt Yaraela, Alanstel is far more rigidly self-controlled, hiding her cruel thoughts and stilling her tongue. There will be plenty of time for paying back and settling scores later . . .
Lady Yaraela, Boarrevarn’s aging elder sister, is a wrinkled but man-hungry, malicious onetime beauty whose longtime lover, a senior Purple Dragon commander and onetime gallant commoner knight, was slain years ago. This broke her heart and turned her first to piety and then to malice, wherein she became a spectator for the lives of her kin and everyone else in Cormyr, deriving amusement from their ploys and delight from their misfortunes. Her reach, as a master manipulator, now extends only to the house bodyguards (who adore her, despite her petty cruelties, and enjoy lovemaking with her despite her age-faded beauty because she’s good at it and briskly enjoys it as physical release for both sides, nothing romantic at all) and Bryargates servants, and Alanstel - - who increasingly sees through her and refuses to play along. No matter; she vicariously enjoys meddling in lives from afar, and is enthusiastically manipulating the family factors [trade agents] into rivalries with each other, ever-harder service to Bryarns, and into themselves manipulating those House Bryarn trades with and against. Just for the malicious fun of it all.
The eldest daughter of Boarrevarn and Jeleskra, Lady Noenel (“NO-en-el”) Bryarn, was a tall, quiet, rather plain young woman with a kind side and a love of maps and books, who was close with her brother Lyonard because of his similar character and interests. (They liked and trusted each other, but they were fast friends, NOT lovers.)
Noenel died in a fierce winter storm in 1366 DR, so ill with fever (that made her “as hot as a roaring forge” inside) that she wandered outside, slipped, split her head open on frozen cobbles, and died of her wound and the cold, being found frozen in the morning.
Although there were some suspicions of foul play (largely thanks to the family reputation), Noenel’s death was a genuine accident, not an arranged one. Jeleskra shrugged off the loss, almost entirely disinterested, but Boarrevarn was saddened (he had secretly begun forcing himself on his daughter, and found her an attentive and gentle lover, the likes of which - - given his habits - - he’s not likely to find again).
Cheers
Damian
**************************************
House Bryarn
The entire House Bryarn entry is illustrating what twisted people most of these nobles are. Human, yes, so not all bad, but willful in the extreme because of their wealth and noble status . . . they can grow to be the monsters they want to be, or are driven to be.
Ed and I chatted about this relationship when I was gleaning lore to reply to you earlier, and I, too, suspect he would have become tired of her. Noenel probably wouldn't have fled in time, once that happened, because (as Ed saw it) she derived some sort of comfort(?) from the first personal attention anyone had really paid to her. And her father would probably then have wanted her "accidentally" dead to protect himself from any possibility of their shared secret getting out.
What Ed hasn't decided is what Lady Bryarn's attitude would have been to her husband killing her daughter over an affair Ed thinks she knew about (but pretended not to). Not because she was upset by the incest or the adultery, but because she would then "know" that her husband would probably murder her, too, the moment a young, new, beautiful, non-blood-related replacement for Noenel happened along.
Of course (as they say), we'll never know . . .
love,
THO
So saith Ed. I've never said he was sane, have I?
Gods, all this writing and he's running a constant fantasy version of Coronation Street in his head, too. .
shudder,
love to all,
THO
Candlekeep Forum 7 May 2005
Edited by - crazedventurers on 02 Apr 2009 17:02:29
Джерело: &lt;http://forum.candlekeep.com/topic.asp?TOPIC_ID=9685&amp;whichpage=7&amp;SearchTerms=HIGHKNIGHTS&gt; 
: 
House Bryarn is small in numbers but notorious among the nobility of the Forest Kingdom and well-known to courtiers (though not to the wider circle of Cormyrean commoners) because of their propensity for dueling rival nobles and just slaughtering (or hiring killers to dispose of) commoners who cross them, even in small ways.
They are cold, calculating “get-even” foes, not fiery-tempered, and often wait years for the best opportunity to arrange an “accident” to befall an enemy. However, they have come to the notice of War Wizards, Highknights, and Purple Dragons over the years because just so darned many deaths occurred to persons who disagreed with Bryarns, fought or competed with them, or spoke out against them or their views at revels, feasts, or Court dealings.
As a consequence, House Bryarn has quietly become shunned by other nobles, and dealt with by Purple Dragons and courtiers with careful, exacting politeness (and as little as possible).
At least two Bryarn nobles (Esklelt in 1356 DR and Morgram in 1364 DR) have been murdered by Highknights to stop them repeatedly trying to assassinate Obarskyrs and Truesilvers who - - in their minds, at least - - had offended them. Curiously, Bryarns do not apply this ‘get even at all costs’ policy to non-Cormyreans, and so have carried on a flourishing trade in slaves, gems, fine furniture, and fashionable wines and spirits with various partners in Westgate and several Sembian cities for almost a century, deriving much of their wealth thereby.
House Bryarn was ennobled in 1262 DR by Azoun III after the head of the family, Sellorn Bryarn, the founder and leader of the Black Rose mercenary company, rescued an outnumbered and trapped band of Purple Dragons from a large and organized monster force attacking out of the Stonelands, destroying that “band of beasts” (though there were many rumors as to who had organized and controlled the monsters; most everyone agreed that wizards were involved, and paid by a backer either outside the realm or among the nobles of Cormyr - - but some said the Black Rose band were initially part of the force, and turned on it when the backer refused to pay them, or even that the Black Rose hireswords repudiated that backer just to make their own fortunes).
Sellorn’s son Siard (“SEE-ard”) is rumored to have become a procurer for Salember even before he succeeded his father as Lord Bryarn (secretly fetching him willing bedmates from Sembia and installing them at various Crown properties for dalliances, in latter days bringing them to the Palace itself - - and enabling the Rebel Prince to stay aloof from all Cormyrean noble families by keeping distant from all the willing and ambitious daughters thrust at him). The family rose in wealth and influence during Salember’s Regency—only to be “cut dead” by other nobles when Salember fell.
Siard fought several duels (in all of which he slew his noble opponents), and is thought to have murdered three other nobles who’d challenged him in the wake of those duels, only to mysteriously die by misadventure (castle parapets twice collapsing onto heads; a horse rearing and apparently triggering a fireball-inducing magic item carried by the victim; and a charging “ghost” causing a terrified and fatal leap from a high balcony) before the duels could occur.
As Crown agents and officers were sent to search for Siard, to compel him to answer royal justice for the duels, Siard hustled his family to various of their country holdings.
Then, as now, the Bryarn properties consist of a modest “northwestern, near the wall” townhouse in Suzail, some rental properties in Marsember, an inn in Arabel, two small farms not far east of Hilp, and Bryargates, a keep (and, curiously, half a dozen fortified stone warehouses) on a large wooded horse ranch and home farm just east of The Way of the Dragon, not far south of the King’s Forest) - - and then vanished. The Crown agents and officers hunting for Lord Siard Bryarn never found any trace of him.
Rumors place Siard almost everywhere in the known Realms, some even insisting he’s still alive today, and whisper that he’s behind any number of plots against the Crown or the realm.
War Wizards thoroughly mind-reamed the surviving Bryarns, and found no hint that Siard’s eldest son Blakann liked or trusted his father, knew of his whereabouts, or held any antipathy towards the Crown, so after Siard was formally stripped of his title and grace in absentia, Blakann was royally confirmed as the next Lord Bryarn (in late 1288 DR).
From that day to this, the Bryarns have kept a low profile inside Cormyr but a higher one outside it (in the easternmost cities of Sembia in particular, which is where various Lord Bryarns - - or their factors [trade agents] go wife-hunting for them). Bryarns never marry other Cormyrean nobility, generally choosing wives for their family wealth, their beauty, and their willingness to be loyal to the succession of strong-minded, ruthless ruling lords of the family. Several Lady Bryarns have proven to be more scheming, farsighted, and ruthless than their husbands, and the family hasn’t hesitated to kill its own members if they showed signs of cooperating too closely with War Wizards or other Crown agents or investigators, romancing nobility of the Forest Kingdom (Lord Vaerend Bryarn infamously told his sons, “You can look at them, even bare them and mistreat them - - but if you ever spill your seed in any of them, I will remove the instrument of that spilling with my most notched and blunt blade, have it cooked for your dining pleasure, and it will be your last meal”).
One such family casualty - - though for too-careful cordiality with suspicious and repeatedly-visiting War Wizards, and to seize his goods to pay family debts, not for dalliance with any noble Cormyrean lass or lady - - was Lyonard Bryarn, quietly killed in 1369 DR by family agents in Maeravelposts, the family-owned Suzailan townhouse (named for its builder, the briefly-famous sculptor and stonemason Maerevel Bryarn); a death they sought to blame on Lyonard’s companion (Daviot, that would be Lorna, if you choose this family).
At the time of Lyonard’s killing, his kin consist of:
Lord Boarrevarn Bryarn, Lyonard’s father and the ruling patriarch of the family, an icily self-controlled sadist who loves torturing young commoner Cormyrean lads and lasses in private and then selling the maimed remains into pot-making and item-painting slavery in back shops for owners in Westgate. He’s burly and pot-bellied, clinging to the remains of the devastating dark good looks of his youth, and sports an everchanging array of close-trimmed beards. Boarrevarn secretly pens torrid “ardent young love” chapbooks for young ladies in Suzail, under the pseudonym “Darra Delanther,” and is gaining fans as his works spread. His driving interests, however (after opportunities to indulge his sadism), consist of manipulating public opinion to slowly turn Cormyr against its ruling family and the Court they govern through, plus all “too rich, too prominent, too haughty” nobles . . . as opposed to “good” nobles. Quieter families, such as (ahem) House Bryarn.
Lady Jeleskra Bryarn, who knows very well what her husband is up to with his whips and brands and knives, and backs him to the hilt so long as he largely leaves her alone to rut with their loyal house bodyguards and to hunt in the woods at Bryargates - - except for her spring and fall visits to Suzail to take part in the rounds of feasts and revels, where she plays the part of a bored, timid, neglected noble wife to a gentle, quiet lord nothing like his disgraced predecessors; a man lost in his hobbies of painting and reading (a fiction she can maintain with some success among the nobility because Boarrevarn NEVER leaves Bryargates). Lady Jeleskra has a small but well-paid band of spies in Suzail, Marsember, Westgate, and Sembia, who keep watch over her husband’s small and better paid band of factors [trade agents] who see to the family businesses, shady and legal - - though Lady Jeleskra in truth gives the orders and ruthlessly advances the family fortunes.
Lord Melivur Bryarn, the eldest son and heir of the house (Lyonard was the second son), a sardonic, softly-purring, superior-to-all sort who curbs his insolence only when dealing with his parents. Genuinely brilliant and possessed of a never-failing memory, even for faces seen fleetingly and scraps of conversations overheard in passing, he is educating himself by reading Lyonard’s library and by seeking out all sorts of people on his frequent “gambling and wenching” trips to Suzail (during which he shepherds shipments of goods to and from the warehouses of Bryargates) and paying them handsomely to answer his questions and show him how things are made, how certain trades work, and what’s in fashion. He considers his parents less than sane and his family headed for self-courted doom, and is quietly building himself various small coin caches, a side-identity complete with a disguise, and a sideline caravan business, for the day he might have to flee in a hurry.
Unless, that is, he becomes head of the house first (whereupon, if his mother isn’t dead already, he’ll dispose of her as brutally as swiftness allows, and set about framing his brother Nuljalak for all family misdeeds and treacheries to the Crown).
Lord Nuljalak (“Jalak” to one and all) Bryarn, the youngest son of the house, a bored and splendidly handsome fair-haired hunter and rider of accomplishment, who enjoys fencing, drinking, and the bed-company of his pick of all young, wealthy, non-noble Suzailans who are interested in knowing a noble. Jalak loves pranks, swindles that make him and his “fast friends” casual coin now and then, and a life of indolence, luxury, and haughty scorn of “oldcoin nobles,” Court officers, and the ruling Obarskyrs alike. He’s good with a sword and learning to become competent with hurled daggers and with handbows (hand crossbows), likes to wrestle the most muscular bare-bodied and oiled lasses-for-hire he can procure in Suzail (he doesn’t bed them, he pays them to pit their strength against his, and cheerfully hires dwarves, half-orcs, and the largest and strongest human women he can find for this), and has a weakness for strong cheeses and exotic liqueurs. He’s recently discovered a wrinkled old crone in living in squalor in westside Suzail who was once a very active poisoner in Amn, and is paying her well to teach him all about poisons, procure their antidotes for him, and dose him with carefully-limited amounts of the ones he can thereby build up an immunity to.
Lady Alazgrelle (“Laz” or “Lazgrel” to family and friends) is a fun-loving, irreverent hard drinker and dancer who can outdrink many men, loves acrobatic pranks, and covers a vicious get-even nature behind a hearty, husky laugh, a willingness to play the fool and bare her skin in public and private, and a seemingly endless flood of curly, golden-hued tresses that reach to her ankles except when she binds them up - - or carelessly hacks them off. An accomplished rider and breeder of horses, she takes daily charge of the Bryargates horse ranch, except when she’s off carousing in Suzail, which is often. She enjoys bedding partners of either gender, but they must be human; elves, dwarves, gnomes, halflings, and crossbreeds (of any of these races with humans) disgust her. Strangely, half-orcs and orcs do not, and she bears several scars from lust-bites suffered in moments of extreme passion when abed with such partners. (There is no truth to the rumor, popular among the Bryargates guards whom she never looks at, that she “ruts with the horses.”)
Lazgrel is tall, broad-shouldered, muscular, and buxom; her uppercut has sent more than a few startled men off to enjoy dream-visions from the gods for a time. Yet of all the Bryarns, she’s the least likely to hold a grudge or want to get even at all costs. Get her own back when she can, yes, and relish it . . . but she’s having FUN in life, and finds nursing hatreds and taking stock of slights and single coins owed to be tiresome, even obsessive.
Lady Alanstel is the youngest daughter of Boarrevarn and Jeleskra, and is a bone-thin, sly, often silent echo of her mother. Swift with sums and shrewd at judging people, she is her mother’s faithful business assistant and understudy, learning all she can from Jeleskra (and taking careful note of all slights and wrongs done not only to the Bryarns, but to her personally). She anticipates the day when the family will meet with disaster, and is positioning herself to pick up the pieces, distancing herself with false documents and the like from the misdeeds and anti-royal deeds and sentiments of her parents.
Right now, she’s quietly seeking out wizards who visit Suzail, seeking to buy some form of mind-protection (or better yet, several forms that she can use at once) from the Wizards of War. She needs to be able to conceal her true self from EVERYONE, and let them see only her chosen role of timid, quiet loyal daughter and loyal subject of the Dragon Throne.
Inwardly every bit as cold-blooded, calculating, and malicious as her mother or her aunt Yaraela, Alanstel is far more rigidly self-controlled, hiding her cruel thoughts and stilling her tongue. There will be plenty of time for paying back and settling scores later . . .
Lady Yaraela, Boarrevarn’s aging elder sister, is a wrinkled but man-hungry, malicious onetime beauty whose longtime lover, a senior Purple Dragon commander and onetime gallant commoner knight, was slain years ago. This broke her heart and turned her first to piety and then to malice, wherein she became a spectator for the lives of her kin and everyone else in Cormyr, deriving amusement from their ploys and delight from their misfortunes. Her reach, as a master manipulator, now extends only to the house bodyguards (who adore her, despite her petty cruelties, and enjoy lovemaking with her despite her age-faded beauty because she’s good at it and briskly enjoys it as physical release for both sides, nothing romantic at all) and Bryargates servants, and Alanstel - - who increasingly sees through her and refuses to play along. No matter; she vicariously enjoys meddling in lives from afar, and is enthusiastically manipulating the family factors [trade agents] into rivalries with each other, ever-harder service to Bryarns, and into themselves manipulating those House Bryarn trades with and against. Just for the malicious fun of it all.
The eldest daughter of Boarrevarn and Jeleskra, Lady Noenel (“NO-en-el”) Bryarn, was a tall, quiet, rather plain young woman with a kind side and a love of maps and books, who was close with her brother Lyonard because of his similar character and interests. (They liked and trusted each other, but they were fast friends, NOT lovers.)
Noenel died in a fierce winter storm in 1366 DR, so ill with fever (that made her “as hot as a roaring forge” inside) that she wandered outside, slipped, split her head open on frozen cobbles, and died of her wound and the cold, being found frozen in the morning.
Although there were some suspicions of foul play (largely thanks to the family reputation), Noenel’s death was a genuine accident, not an arranged one. Jeleskra shrugged off the loss, almost entirely disinterested, but Boarrevarn was saddened (he had secretly begun forcing himself on his daughter, and found her an attentive and gentle lover, the likes of which - - given his habits - - he’s not likely to f</t>
  </si>
  <si>
    <t xml:space="preserve"> [badge: a black side-on dragon’s head (bronze dragon in basis shape, only with a longer, thinner snout) looking to the viewer’s left, on a gold field. From the base of the dragon’s neck, at the bottom of the badge, a black line curves up and around in an almost-complete circle to enclose the gold field, but ends in a point just before joining the neck]</t>
  </si>
  <si>
    <t>With a modest townhouse on a quiet street in northwestern Suzail, farms south of the Way of the Manticore not far east of the Wyvernflow, and Cantergates, a small but fortified country mansion (in the midst of a private hunting forest or “chase”) southeast of Hultail, the Arcantlet family is comparatively impoverished, unknown, and few in numbers.
Ennobled in the reign of Duar for “valiant personal service to the King” (saving his life in battle more than once, and fighting at his side as a competent and trusted warrior), Lathlan Arcantlet was a quiet, studious, and cunning-in-battle knight who as Lord Arcantlet (given the land where Cantergates now stands and two small adjacent farms that had fallen into royal hands after Duar killed their traitor-owners, but nothing more) set out to found a family and die happy, respected, and rich.
He managed all three, building a slightly smaller Cantergates and adding three more farms to his Wyvernflow holdings before his death, at the age of ninety-six, surrounded by his wife, seven daughters, and three sons.
By royal assent, Lathlan’s wife Paerelle became Lady Arcantlet in her own right, and she shrewdly watched her offspring, trying to decide who would make her best successor. Death took two of the sons and one daughter not all that many years later, another four daughters married into other families, and an elderly and ill Lady Arcantlet named her daughter Raedaunra her successor as head of the house. This enraged her surviving son, Tersarren, who murdered her - - and was promptly executed by the Crown for doing so.
A saddened Raedaunra dwelt in Cantergates with her two sisters for more than a decade, but eventually fell in love with a commoner named Hareth Blacksheath. They were wed, and their son Croenel, a handsome, upstanding and “kingly” man eventually succeeded Raedaunra. Croenel’s weaknesses were gambling and fair lasses, but he was a shrewd merchant trader with an eye for trends and strategic purchases, and died very rich, having replaced the Arcantlet rental accommodations in Suzail with a grand mansion, built a large fleet of merchant caravels busily plying the waves of the Sea of Fallen Stars, and been not too proud to enter scores of business ventures with common-born Suzailan merchants (many of which were successful). However, Croenel’s love for chasing longskirts led to him marrying late. He sired only one son and one daughter - - and the daughter, Nendiira, proved to be a dangerous, murderous madwoman who covertly slew scores of people before she was suspected, confronted, and died under the spells of three Wizards of War after she’d killed a fourth.
Croenel’s son, Thandivurr (a quiet, scholarly man who withdrew from most of the family merchant ventures and had the misfortune to lose much of his fleet over the years in storms, remorse keeping him from adding any ships to replace those lost), also had only one son, Fendrel, an amoral rake and lover of sly schemes and thievery whose shady business dealings impoverished the family and lost them their Suzailan mansion. Fendrel had two sons, Asgreth and Thandurl - - and from that day to this, no Lord Arcantlet has sired more than two sons (and three daughters), and most have managed only one of each.
The family has stayed small and fairly poor, living within its means but as a result having a low profile among the nobility of Cormyr and little influence at Court.
In 1349, a weak and ineffectual Lord Thurcastle Arcantlet died (having spent the previous six years so wandering in his wits that the family’s kindly house wizard [yes, a Wizard of War], Brestor Narbridle, had really run the family, propping up Thurcastle’s saddened wife, Lady Adbrooke). The sole son, Helgrath, became Lord Arcantlet, and proved to be the “brokemirror” (antithesis) of his father; Helgrath was a hearty hunting, riding, brawling, wenching sort, burly, darkly handsome, and jovial.
Helgrath sent Narbridle packing and faced down Vangerdahast, telling him to “send any young novice, as we love the land yet have no love for Court scheming or conniving, controlling mages here!”
Strangely, Helgrath survived saying such words to the Royal Magician, and found himself saddled with an everchanging succession of young, inexperienced, mild-mannered house wizards - - which suited him just fine. He was busy marrying and wearing out wives, taking Nalrue Rowanmantle as his bride in 1351 DR and remarrying (Lalustra Thornstag) in 1357, within months of Nalrue’s death in childbirth. He sired sons Talryn in 1351 and Nesgarl in 1355, and daughters Oromelle (1353), Jathra (1357; her mother died birthing her), and Helbra (1359).
Helgrath died in a suspicious hunting accident in 1360 (it was almost certainly murder, but the identity of the murderers - - Helgrath died with four arrows through him, all fired from different directions in the thick forest and all piercing him before he fell - - was never uncovered, despite a “storm-scouringly diligent” investigation by the Wizards of War).
After Helgrath’s death, the true mettle of the surviving Arcantlets was revealed. Oromelle was a spiteful, brilliant woman and a superb actress, who may well have been no more evil than that (she withdrew to Suzail, survived several attempts on her life that were almost certainly made by “hands” hired by her family, and then “disappeared” with the assistance of the War Wizards and Crown permission, changing her appearance and name and being held “in reserve” to keep this noble family from becoming extinct if the Crown is ever forced to execute the rest, or their misadventures kill them all), and Nesgarl was an easygoing, gentle scholar [this is Lorna’s guy, if you want to use the Arcantlets], but Lalustra, Talryn, Jathra, and Helbra were “pure twisted poison,” to borrow War Wizard Laspeera’s description of them.
Talryn became Lord Arcantlet when young and headstrong, and set about trying to become rich and powerful by scheming with every Sembian cabal and illicit thieving group he could find - - soon running the family deep into debt to his shady allies when slaving and drug-running ventures crumbled in the face of War Wizard-led attacks and surveillance. He began ruthless, and has rapidly become embittered and a cold, tireless foe of many.
Lalustra tried to sleep her way through “every available noble bed” she could worm her way into, seeking a new husband with wealth to keep her pampered and a weak enough character to be dominated. She left a trail of unhappy noblemen she’d stolen from and fought with, and eventually gave up husband-hunting (running out of suitable candidates, and not yet ready to lower herself to “Marsemban nobles, or commoners with much coin but no noble blood”) and ended up back under her son’s roof, unwanted and untrusted.
Jathra and Helbra are superb actresses, poisoners, and wantons who used their bodies and promises to work their way through a succession of men (yes, despite Helbra’s young age; she was born with stunning good looks, matured into ripe beauty at about age nine, and watched and learned “wiles” from her mother and older sisters). Jathra likes rough, strong men and wealthy commoner merchants, preferably both; Helbra prefers lonely noblemen, often the unmarried, unhappy “uncles” of other families.
All of the surviving Arcantlets can be civil to each other, and even work together for common advantage, but none of them trust each other as far as the thickness of a dagger-blade. Moreover, Talryn, Lalustra, and Jathra all actively hate each other so much that any such cooperation between any two of them is going to be short-lived indeed.
As of 1369 [the time of Nesgarl’s murder, if you choose this noble house], the family is in debt and up past its collective eyebrows in shady dealings, though very few commoners and only a handful of noble families and courtiers know this. Some nobles personally know the cavils and worth (not much) of individual Arcantlets, but in general, if nobles or courtiers or the wider Cormyrean public have any attitude at all toward House Arcantlet, it’s to overlook them - - and if faced by the fact of their existence, to pigeonhole them as “one of those minor noble families; no coin, few in number, probably deservedly so.”
Nesgarl would have very seldom visited Suzail (perhaps once a year or so) and spent much of his youth at Cantergates, being transferred to one of several expanded farmhouses somewhere in the farms east of the Wyvernflow once his brother Talryn became Lord Arcantlet and wanted Cantergates to himself (mainly to remove witnesses to his carousings and shady dealings).
These farms, by the way (their actual number and extent have expanded and shrunk over the years, in accordance with family fortunes), are collectively known as “the Windcoast” to the family, though that’s a name anyone else will search for in vain on any maps (yes, the country is windy, and it’s near but not on the coast, though seabreezes - - and mists, blown ashore - - can often be experienced there). The farmhouse Nesgarl was installed in can have any name you want it to, but yes, he would have been surrounded by bodyguards charged with keeping him safe, keeping the farm and its crops safe - - and keeping watch over Nesgarl and his doings.
Nesgarl having a woman (Lorna) would (although it would originally have been Lalustra’s plan, also with an eye to controlling her son without having to openly seem to do so) be viewed with approval by Talryn because, in his thinking, it would keep Nesgarl busy. That is, keep him from perhaps getting restless and starting to do things on his own (such as relocate to Suzail, where he might draw attention to the wider family and cause War Wizards or others to peer at “what the Arcantlets might be up to”).
Now, if Lorna had been the “take me to the bright lights and feasts of Suzail right now” sort, rather than the “train me to arms, bodyguards of the house” sort, Lalustra or Talryn might have “taken care of her” early on . . . but as it happened, she served her purpose until Nesgarl’s removal became necessary.
So that’s our first possible noble family. Houses Bryarn, Haldoneir, and Sorndrake should follow, in the fullness of time
So saith Ed. Worldbuilder extraordinaire.
love to all,
THO</t>
  </si>
  <si>
    <t>Danallbur</t>
  </si>
  <si>
    <t>[DotD,p.166-168]
	• Family Members Currently Alive
	• Family Members Recently Alive
Bridgette Alamber, known as the "Lady of Pearls", killed by poison [DotD,p.166-168]</t>
  </si>
  <si>
    <t>[ElDau,p.112-118]
	• seat in Marsember [ElDau,p.112]
	• own the Haelithtorntowers mansion in Marsember [ElDau,p.118]
	• known to be a wealthy Sembian merchant noble [ElDau,p.139] (perhaps this doesn't count as Cormyrean nobility, despite the fact she lives here)
	• Family Members Currently Alive
		○ Lady Joysil Ambruar, true identity is the song dragon Ammaratha Cyndusk [ElDau,p.202-203], was once also the sorceress and jeweler Maerjanthra Shalace of Waterdeep, lover to Elminster and daughter to Narnra Shalace [ElDau,p.370]
	• Servants
		○ Melarvyn, a doorguard [ElDau,p.299]
Elward Varsoond Emmellero Daunthideir, steward and man of various nefarious activities [ElDau,p.299-300]</t>
  </si>
  <si>
    <t xml:space="preserve"> [CycR,p.34;FRFAQ]
	• Historical Family Members
Myrton Ammaeth (1198-1271), married Pelarra Obarskyr, father of Gaspar, grandfather of Bhereu and Thomdor [CycR,p.34;FRFAQ]</t>
  </si>
  <si>
    <t>[FFC,p.96]
	• Family Members Recently Alive
Lord Vorik Aris (hm Ftr9), an obscure nobleman who covertly supported of Gondegal in 1352 DR and is plotting rebellion again, has taken over an outpost as his base he calls Wyvernwatch [FFC,p.96,113-114,123]</t>
  </si>
  <si>
    <t>[DotD,p.100]
	• family remained steadfastly loyal to Azoun during the Abraxus Affair last year [DotD,p.100]
	• Family Members Currently Alive
Lord Beldamyr Axehand is loyal to King Azoun but not Tanalasta [DotD,p.100]</t>
  </si>
  <si>
    <t>BotR2,p.262]
	• holds an estate in the Northbank region (presumably on or near the River Starwater)
	• Family Members Currently Alive
		○ Lord Belophar Battlebar; head of house in 1368 DR.
		○ Lady Chalass Battlebar; daughter of Lord Belophar, of marriageable age in 1368 DR.
Bethra Battlebar; elderly noblewoman who was a Harper spy in younger days [EdG2004,p.47]</t>
  </si>
  <si>
    <t>[CoS3,p.45]
	• minor nobles from Cormyr, moved to Waterdeep in 1350 DR but there's no evidence they've given up the Cormyrean title.
	• Family Members Currently Alive
		○ Lord Bronson Phaulkon, up-and-coming merchant and well-to-do caravan organizer, bought land in the South Ward of Waterdeep in 1358 DR and built his manor on it. [CoS3,p.45,54]
		○ Lady Marie Phaulkon, eldest daughter of Lord Bronson and Lady Cera [CoS3,p.45,59], currently Mielikki's Chosen, or "Our Lady's Champion" [CoS4,p.9]
		○ Lady Jeryth Phaulkon, daughter of Lord Bronson and Lady Cera, believed missing by most since Mirtul of 1367 due to the same caravan raid that killed her mother, [CoS3,p.45,54]
	• Family Members Recently Alive
Lady Cera Phaulkon, killed by a raid on a Phaulkon caravan in Mirtul 1367. [CoS3,p.45]</t>
  </si>
  <si>
    <t>[EdG2004,p.13]
	• owns a townhouse in Suzail, presumably in addition to the main family mansion. [EdG2004,p.13]
	• the lord and lady are friends of the Simbul and have helped her on occasion. [EdG2004,p.13]
	• Family Members Recently Alive
Elendar Torchwinter, son of the lord and lady, a foolish and sadistic young wastrel noble who met his end when playing a prank on the Simbul while she stayed the night in the Torchwinter townhouse in Suzail. [EdG2004,p.13]</t>
  </si>
  <si>
    <t>[CycR,p.34;FRFAQ]
	• noble during reign of Palaghard II circa 1227 DR [FRFAQ]
	• Historical Family Members
Alendue Wyrvar (1219-1246), wife and Queen of King Palaghard II, mother of Lhannas, King Azoun III and Salember [CycR,p.34;FRFAQ]</t>
  </si>
  <si>
    <t xml:space="preserve">	• ennobled by Rhigaerd II [FRFAQ]</t>
  </si>
  <si>
    <t>CycR,p.34;FRFAQ]
	• noble during reign of Azoun III circa 1227 DR [FRFAQ]
	• Historical Family Members
Sulaspra Delzuld (1241-1276), married Gaspar, mother of Gaspar, grandmother of Bhereu and Thomdor. [CycR,p.34;FRFAQ]</t>
  </si>
  <si>
    <t>[CycR,p.34;FRFAQ]
	• Historical Family Members
Maethe Blacksilver (b.1335), married Bhereu. [CycR,p.34;FRFAQ]</t>
  </si>
  <si>
    <t xml:space="preserve"> [FFC,p.33]
	• Family Members Currently Alive
Lord Rhyn Mournsoul (hm Ftr6), thin moody man in his late 20's who wanders Cormyr in a state of perpetual depression, his bloodline is the only reason he is invited to any significant social events [FFC,p.33]</t>
  </si>
  <si>
    <t xml:space="preserve"> [FFC,p.22]
	• owns Thistleflame, a manor-keep in Suzail
	• Thistleflame Keep hosts a 40-strong garrison of Purple Dragons lead by the officer Aleka Ravenheart (hf Ftr7) who is an average-looking athletic black-haired woman and a decorated solder, the soldiers are described as wearing a small badge bearing a burning thistle [FFC,p.25]
	• Family Members Currently Alive
		○ Lord Patric Thistle (hm Ftr12), the Registrant General - the official who is the ultimate overseer of the granting of adventuring charters in Cormyr [FFC,p.22], his maternal grandmother was a Cormaeril [FFC,p.29], trysts with a commoner redhead barmaid named Annalise who works at the Bubbling Bulwark, [FFC,p.24], in his mid-40's [FFC,p.31]
	• Servants
		○ Mac, stableboy for Thistleflame Keep, 10 years old and twin to Zac [FFC,p.25]
		○ Zac, stableboy for Thistleflame Keep, 10 years old and twin to Mac [FFC,p.25]
		○ Moorefield (hm Ftr1), butler of Thistleflame Keep, in his late 50's [FFC,p.31]
		○ Dora (hf 0-Lvl), excellent cook of Thistleflame Keep and sister to Nora [FFC,p.31]
		○ Nora (hf 0-Lvl), excellent cook of Thistleflame Keep and sister to Dora [FFC,p.31]
		○ Malda (hf 0-Lvl), cook of Thistleflame Keep of limited skill [FFC,p.31]
		○ Tami (hf 0-lvl), maid of Thistleflame Keep in her early 20's, curvaceous, raven-haired, giggly and provocatively dressed [FFC,p.31]
		○ Larwyn (hf 0-lvl), maid of Thistleflame Keep in her late 30's, the more reliable maid [FFC,p.31]
		○ Dom (hm 0-lvl), baker of Thistleflame Keep whose baked creations are legendary in Suzail [FFC,p.31-32]
		○ Berke Glorata (hm Rgr2), handsome gardener of Thistleflame Keep in his early 20's and a Harper [FFC,p.32]
		○ Travis Ormaster (hm Wiz2), Lord Thistle's steward and a plain-looking man in his mid 20's [FFC,p.32]
		○ Kaleb Fleetwing (hem Rgr1), Lord Thistle's official messenger [FFC,p.32]
		○ Borin Woodbracer (dm Ftr3), handyman and repairman of Thistleflame Keep who is 53 years of age [FFC,p.32]</t>
  </si>
  <si>
    <t>[BotR2,p.262]
	• holds an estate in the Northbank region (presumably on or near the River Starwater)
	• Family Members Currently Alive
		○ Lord Corgrast Huntingdown; head of house in 1368 DR.
		○ Lady Lathdue Huntingdown; daughter of Lord Corgrast, of marriageable age in 1368 DR.</t>
  </si>
  <si>
    <t>[BotR2,p.262]
	• holds an estate in the Northbank region (presumably on or near the River Starwater)
	• Family Members Recently Alive
		○ Lady Shamril Farrowbrace (d.1368); daughter of Lord Hornsar, of marriagable age when she died.
	• Family Members Currently Alive
		○ Lord Hornsar Farrowbrace, head of house in 1368 DR and father of the deceased Lady Shamril.</t>
  </si>
  <si>
    <t xml:space="preserve"> [BotR2,p.261]
	• holders of Taverton Hall, the small and oldest of the great estates in Northbank (presumably on or near the River Starwater)
	• Family Members Recently Alive
		○ Lord Eskult Paertrover (d.1368); Baron of Starwater, Horse Marshal to the Crown of Cormyr, bluest of the old blood houses to hold important court rank in 1368.
	• Historical Family Members
		○ Lady Maeraedithe Paertrover; Eskult's wife;
	• Family Members Currently Alive
		○ Lord Crimmon Paertrover, son and heir of Lord Eskult, became head of house after his father was killed in 1368 DR.
	• Servants
Immult Greiryn, seneschal of Taverton Hall in 1368 DR, revealed as embezzler from Paertrover family and killer of Lord Eskult Paertrover and Lady Shamril Farrowbrace.</t>
  </si>
  <si>
    <t>Rayburton [CaN,p.132]
	• among the first noble families of Cormyr, still present in 245 DR. [CaN,p.180]
	• family crest is a black hawkdragon (a hawk's beak and feathered head and wings, but the forked tongue, scaled body, heavy claws and reptilian tail of a dragon); this is the result of a drunken Rayburton's sighting of a wyvern [Dr278,p.89]
	• legend of a lost family treasure Belmer first gained from an unknown ally or kinsman who came from Impiltur, then Telarn found it, but it disappeared before Telarn's sons could claim it after his death; the treasure remains unfound to this day [Dr278,p.90]
	• Family Members Currently Alive
		○ Alisanda Rayburton, born over 500 years ago to Lord Dhalmass Rayburton and a tabaxi woman, was made a bara (one of seven guardians) of Mezro in Chult by the god Ubtao (barae don't age unless they lose their status) [CotH,p.55], returned to Suzail in 1363 DR with harper Artus Cimber and adventures with him [VGATM,p.112].
	• Family Members Recently Alive
	• Historical Family Members
		○ one unnamed man among first men Faerlthann knighted. [CaN,p.151] (might well be Belmer)
		○ Belmer Oelber Rayburton (-43DR to 36DR), a fat, toad-featured, coarse-skinned, loutish man who was also a fearless warrior and avid hunter [Dr278,p.88]
		○ Onkyl Drethan Rayburton (-40DR to 41DR), Belmer's younger brother, tall, laconic, slim, with fair (almost white) flowing hair, warm brown eyes; a scholar, natural organizer and rememberer-of-details [Dr278,p.88]
		○ Telarn Erren Rayburton (-21DR to 43DR), son of Onkyl, tall long-haired and burly man, had cold blue-green eyes, bad teeth, shoulder-length brown hair and a scar on one forearm [Dr278,p.89] (birth year corrected by Ed Greenwood [EdG2005,p.61])
		○ Jaless Rayburton, wife of Telarn and mother of Rauril and Chelesmer [Dr278,p.90]
		○ Rauril Rayburton, son of Telarin, called "Rory" for short [Dr278,p.90]
		○ Chelesmer Rayburton, son of Telarn [Dr278,p.90]
		○ Lord Dhalmass Rallyhorn, father of Alisanda Rayburton [CotH,p.55], found the Ring of Winter in the vicinity of Shadowdale over a millennia ago (the wearer of the Ring of Winter does not age as long as he wears it) then after several years left Cormyr for Chult and never returned. [VGATM,p.112]
	• Servants
Endeir Falconhand (-46DR to 44 DR), huntsman and ancestor of Florin Falconhand [Dr278,p.89]</t>
  </si>
  <si>
    <t xml:space="preserve">Naerinth </t>
  </si>
  <si>
    <t>Naerinth [DrA5,p.64]
	• Laspeera awarded the Eveningspire estate and styled Lady Eveningspire by Azoun IV from Crown lands near the eastern end of the Hullack Forest in 1369 (two years before DrA5 article, which was before the FRCS and the events of RotAW) [DrA5,p.64]
	• type of nobility uncertain; may be only a life-title, but the grant of land implies full hereditary nobility
	• Family Members Currently Alive
Laspeera Inthré Naerinth (NG hf W14 [C9410,p.59])(NG hf Wiz16 [DrA5,p.64]), second in command of the War Wizards and proprietress of the House of Grace school for young ladies in Suzail, married to Aundable Inthré (a mage and peerless master of strategy and foresight) [Stmlt,p.266]</t>
  </si>
  <si>
    <t>Misrim [GTR,p.45, VGtC,p.57]
	• seat in Arabel [GTR,p.45]
	• socially prominent clan; one of the two most influential local merchant families. [VGtC,p.57]
	• probably the finest noble's home in Arabel; walls are made of stone a-glitter with a gleaming white in color, and varicolored shingles, and crenelations that bristle with silken pennants. [VGtC,p.59; note that it's described as a /noble's/ house]
	• dominates coal trade, has expanded into a wide variety of commodities, raises horses [C9410,p.16]
powerful merchant family with an overdone mansion in Arabel [BtHR,p.78]</t>
  </si>
  <si>
    <t>Scatterstars [Dr281,p.78]
	• attained nobility through court service during Elbryn's lifetime; Elbryn was first head of house
	• Historical Family Members
Elbryn Scatterstars (hm)(1192-1227), had blonde hair, moustache, green eyes &amp; a fine-boned face; a slim cultured man who liked falconry, fine wines and getting rich, headed the family as they rose from court service to attain nobility [Dr281,p.78]</t>
  </si>
  <si>
    <t>Torchtower [DrA5,p.67]
	• Family Members Currently Alive
Elvran Torchtower (CG hm Ftr6), an up-and-coming noble and one of the few of this youngest generation to seem eager and happy doing sword-service with the Purple Dragons; a tall, quiet, competent man who is already a lionar [DrA5,p.67]</t>
  </si>
  <si>
    <t>Talcontin [DrA5,p.66]
	• Family Members Currently Alive
Lord Brestim Talcontin (LG hm Ftr5), considered a dunderhead, an aging "dapper dandy", returned rich from life in Amn, fast becoming known for amusingly thick-headed utterances and deeds and a monacle that's constantly flying off [DrA5,p.66]</t>
  </si>
  <si>
    <t>Tathcrown [DrA5,p.65]
	• a recently ennobled family
	• Family Members Currently Alive
		○ Storn Tathcrown (NE hm Ftr7), considered a probable rebel, youngest son of the family, hungers for money and power, intends to marry Alusair then dispose of the other Obarskyrs in an "accident" [DrA5,p.65-66]</t>
  </si>
  <si>
    <t>The Orthwoods are small in numbers and wealth, and are low profile, but maintain mansions in Waymoot and Suzail. Orthwood [DrA5,p.62,65]
	• home is Orthwood Hall [DrA5,p.65]
	• the family's holdings were siezed to pay off debts and the family was stripped of noble status and effectively made wards of the Crown in 1227 DR after Nelnar's death. [Dr281,p.78]
	• recently-ennobled house [DrA5,p.67], re-ennoblement most likely due to loyalty to Rhigaerd II during the Salember regency [EdG2005,p.61]
	• when Nars killed Nelnar, the family was heavily in debt so the Crown seized their holdings to pay their creditors and stripped themob noble status, but provided Nelnar's widow and daughters a house of their own on royal estates east of the Starwater an a modest annual amount to live on [Dr281,p.78]; given the previous cites from DrA this means the family must have been restored to nobility at a later date
	• Family Members Currently Alive
		○ Auldo Orthwood, child of Malassra Orthwood [DrA5,p.65]
		○ Danither Orthwood, child of Malassra Orthwood [DrA5,p.65]
		○ Malassra Orthwood, mother of Auldo and Danither [DrA5,p.65]
		○ Asbras Orthwood (LG hm Ftr9/Highknight5), Knight Royal of Cormyr, once a personal guard of Azoun IV but now a loyal personal bodyguard to Filfaeril [DrA5,p.62]
		○ Brester Orthwood (NG hm Ftr3), considered an up-and-comer, the most restless and competent son of the house [DrA5,p.67]
	• Historical Family Members
		○ Nelnar Orthwood (hm)(1191-1227), had flowing brown hair, clean-shaven, pale blue eyes; head of a rising noble family until its power was smashed by his death [Dr281,p.78]
		○ Nars Orthwood (hm)(1227), stabbed his his father Nelnar to death when Nelnar discovered his treachery against the throne [Dr281,p.78]
		○ Freeyel Orthwood (hf)(1227), wife and widow of Nelnar [Dr281,p.78]
		○ Taeronissa Orthwood (hf)(1227), daughter of Nelnar [Dr281,p.78]
Imroserel Orthwood (hf)(1227), daughter of Nelnar [Dr281,p.78]</t>
  </si>
  <si>
    <t>Tammarast [Dr276,p.77-78]
	• lord of Landuth Castle, on the western verge of the Vast Swamp, east of Ghars [Dr276,p.77-78]
	• impoverished minor border lord [Dr276,p.77-78]
	• family business is cattle [Dr276,p.77-78]
	• Family Members Currently Alive
Ingleiyr Tammarast (hm)(b.1352), has black hair and brown eyes, wears plain leathers, not disloyal to Cormyr or the Crown but will do much for money [Dr276,p.77-78]</t>
  </si>
  <si>
    <t>Everet [Du113,p44]
	• a once proud noble house based in Marsember that has declined over several generations and now Delthrin is the last surviving member [Du113,p.44]
	• Family Members Currently Alive
		○ Delthrin "the Deadmaster" Everet (NE hm Nec7/Lor5), a necromancer who has come to Marsember's aid in the past, particularly in using animated undead to help defend Marsember against a pirate attack, but is a recluse who is feared by most of the city [FRA,p.42, C9410,p.15, VGtC,p.35&amp;218]</t>
  </si>
  <si>
    <t>Bracegauntlet [ElDau,p.247-248]
	• fortified mansion in Marsember named Bracegauntlet Gard [EdG2004,p.46]
	• Family Members Currently Alive
Lady Thornra Bracegauntlet (hf), sympathetic to Queen Filfaeril [ElDau,p.247-248]</t>
  </si>
  <si>
    <t>Wavegallant [ElDau,p.247-248]
	• mansion in Marsember named Wavegallant Spires [EdG2004,p.46]
	• Family Members Currently Alive
Lady Hornsryl Wavegallant (hf), [ElDau,p.247-248]</t>
  </si>
  <si>
    <t>Monthor [ElDau,p.247-248]
	• mansion in Marsember named Monthorhall [EdG2004,p.46]
	• Family Members Currently Alive
		○ Lady Baerdra Monthor (hf), "truly a daughter of Marsember" who delights in any misfortune to befall the Obarskyrs [ElDau,p.247-248]</t>
  </si>
  <si>
    <t>Ravensgar [ElDau,p.247-248]
	• mansion in Marsember named Ravensgar House [EdG2004,p.46]
	• Family Members Currently Alive
Lady Honthreena Ravensgar (hf), displays a disloyal attitude towards the Crown [ElDau,p.247-248]</t>
  </si>
  <si>
    <t>Dagohnlar [ElDau,p.99]
	• based in Marsember, nobility of house verified [EdG2004,p.46]
	• own a tallhouse in Marsember called Dagohnlar House [EdG2004,p.46]
	• have a suit of ancestral armor [ElDau,p.119]
	• a Watch officer refers to Durexter as "Lord Master Dagohnlar", although it doesn't stop the officer from treating him contemptuously or arresting him [ElDau,p.137]
	• Family Members Currently Alive
		○ Durexter Dagohnlar, merchant of rather ill repute [ElDau,p.99]
Starmara Dagohnlar, wife of Durexter [ElDau,p.99]</t>
  </si>
  <si>
    <t>Mistwind [ElDau,p.36-37]
	• seat in Marsember [ElDau,p.36], mansion called Mistwind Towers [EdG2004,p.46]
	• very old, private family; few in number [ElDau,p.36]
	• family arms are a seashell crossed with a trident in gold upon a blue-green field [ElDau,p.36]
	• Family Members Currently Alive
Lady Amrelle Mistwind (hf), stunningly beautiful; has impish smile, swirling dark hair, darkly knowing eyes; has a gem-studded wyvern tattooed high on her thigh, not in the habit of wearing undergarments [ElDau,p.36-37], involved in Rightful Conspiracy against the Crown but is to be scared then set free [ElDau,p.46]</t>
  </si>
  <si>
    <t xml:space="preserve">  - Zarova; born to this house but married into Summerstar Blackwinter [ElDau,p.46]
	• Family Members Currently Alive
		○ Lord Blackwinter (hm), is to be arrested for his involvement with the Rightful Conspiracy [ElDau,p.46]</t>
  </si>
  <si>
    <t>Thorntower [ElDau,p.32]
	• Family Members Currently Alive
		○ young member of family wants to replace the Obarskyrs with himself [ElDau,p.32]</t>
  </si>
  <si>
    <t>Helmstone [RlmSh,p.260]
	• have held nobility for barely two centuries [RlmSh,p.268]
	• Family Members Currently Alive
		○ Lord Helmstone (1372), thinks Laspeera ought to be Royal Mage and considers the remaining Obarskyrs to be decadent, and has some plot against them and/or Caladnei [RlmSh,p.260-261]
		○ Lord Helmstone's son (1372), is clumsy at acting on his father's suggestion to approach Laspeera [RlmSh,p.259]</t>
  </si>
  <si>
    <t>Staglar [ElHel,p.244]
	• Family Members Currently Alive
		○ Lord Staglar is grossly fat. [ElHel,p.244]</t>
  </si>
  <si>
    <t>Cordallar [ElHel,p.88,100-101]
	• Family Members Currently Alive
		○ Baerune Cordallar, in Alturiak 1365 was caught plotting against the crown, intended to wed Alusair then arrange death of Tanalasta. [ElHel,p.100-101]
two men and one woman Cordallar were in the same plot with Baerune. [ElHel,p.100-101]</t>
  </si>
  <si>
    <t>Kessemer [ElHel,p.81]
	• Family Members Currently Alive
Lady Kessemer, plotting assassination against an Obarskyr in 1371 DR. [ElHel,p.81]</t>
  </si>
  <si>
    <t>Darendaal [ItDL,p.9]
	• owns land on the High Way between Arabel and Eveningstar [ItDL,p.9]
	• Family Members Currently Alive
Lord Leon Darendaal [ItDL,p.9]</t>
  </si>
  <si>
    <t xml:space="preserve">Hyraken [ItDL,p.6,24]
	• seat in Hilp [ItDL,p.24]
	• Family Members Currently Alive
Lord Hyraken, </t>
  </si>
  <si>
    <t>Vaylan [ItDL,p.5]
	• seat in Arabel [ItDL,p.5]
	• family crest is a sword, point-down, with a snake wrapped around the blade. [ItDL,p.6]
	• Family Members Currently Alive
		○ Lady Kestrel Vaylan, widow of Olaf Vaylan [ItDL,p.5]
	• Family Members Recently Alive
		○ Lord Olaf Vaylan, head of house, died bravely defending Arabel in Dragon War. [ItDL,p.5]
	• Historical Family Members
a leader of the Freedom Warriors trying to overthrow the Crown and a bloodthirsty maniac. [ItDL,p.6,24]</t>
  </si>
  <si>
    <t>Ebonhawk [DotD,p.374-375]
	• holds newly-created Warmshores, the hilly coastal country west of Suzail where the western edge of Cormyr meets the Dragonmere [DrA5,p.66]
	• raises crops [DrA5,p.66]
	• Family Members Currently Alive
Baron Estelner Ebonhawk (NG hm Ftr5)[DrA5,p.66], a young and nervous man, considered a dunderhead who is eager to show well in royal eyes [DrA5,p.66], leads lancers but is inept with his own weapon [DotD,p.374-375]</t>
  </si>
  <si>
    <t>House Longbrooke is a Cormyrean noble house seated in the Neck of the Dragonmere. Sir John Longbrooke is the current head of House Longbrooke. It had historically benefited from rich trade tariffs and fishing licenses, but their influence and power is in decline. The free city of Westgate has gone unchallenged supporting Sembian trade within Cormyr, and settlers have been homesteading further into Longbrooke land without being taxed.
When the Goblin War began, House Longbrooke forfeited many of their sailors to the Crown, and had to look for seamen elsewhere. The house issued letters of marque to various privateers.
Джерело: &lt;http://dustin.wikidot.com/house-longbrooke&gt; [DotD,p.206]
	• Family Members Currently Alive
		○ Lord Barrimore Longbrooke, not pleased with Tanalasta [DotD,p.206], part of Tanalasta's war council [DotD,p.272-273]
Lahadinol Longbrooke (LN hm Ftr8), a bluff burly bearded man who cares only for appearances; he wants to always look heroic and seeks to do and say the right thing but he's a coward at heart [DrA5,p.66]</t>
  </si>
  <si>
    <t>Calantar [DotD,p.205]
	• Family Members Currently Alive
		○ Ravos Calantar (CN hm Ftr5), considered a probable rebel, a dedicated stag-hunter and chaser-of-brigands, now consumed with hatred for the Obarskyrs after the execution of his aunt, the matriarch of his house [DrA5,p.65]
	• Family Members Recently Alive
Lady Calantar represents her family in court [DotD,p.205], is executed by order of Tanalasta [DotD,p.212]</t>
  </si>
  <si>
    <t>Longflail [DotD,p.172-173]
	• Family Members Currently Alive
		○ Natig Longflail, spoken of as if he were a noble whose support of Tanalasta mattered to other nobles [DotD,p.172-173]</t>
  </si>
  <si>
    <t>Tarr Burnig, not explicitly stated to be a noble but he is treated as having equal status by other nobles, killed by assassin [DotD,p.172-173]</t>
  </si>
  <si>
    <t xml:space="preserve">Pursenose [DotD,p.166-168]
</t>
  </si>
  <si>
    <t>○ Duke Kastar Pursenose, killed by poison [DotD,p.166-168]</t>
  </si>
  <si>
    <t>Hardcastle [DotD,p.100]
	• family loyal to Obarskyr family [DotD,p.100,209]
	• Family Members Currently Alive
		○ Ildamoor Hardcastle, apparently the head of the family [DotD,p.100], part of Tanalasta's war council [DotD,p.272-273], name spelled Idamoar in DrA5,p.67, staunchly loyal to Alusair because of the way she told him of the death of his sons at Arabel [DrA5,p.67]
	• Family Members Recently Alive
		○ Guldrin Hardcastle, elder son of Ildamoor and heir to house, died in fighting at Arabel [DotD,p.198-201]
		○ Rathtar Hardcastle, younger son of Ildamoor, died in fighting at Arabel [DotD,p.198-201]
Historical Family Members</t>
  </si>
  <si>
    <t xml:space="preserve">	• the firstborn heir of this family was killed by the Silverhorn family due to a sudden blood feud [DotD,p.92]</t>
  </si>
  <si>
    <t>Silverhorn [DotD,p.92]
	• a prolific family
	• the young men of this family take a sudden hatred of the Hornhold family and initiate a blood feud that cost both families their firstborn heirs [DotD,p.92]
	• holds Starwater, a recently-formed territory consisting of the eastern bank of the Starwater across from Marsember [DrA5,p.66]
	• Family Members Currently Alive
		○ Earl Forlgar Silverhorn {LG hm Ftr6)[DrA5,p.66], spent his entire fortune outfitting his cavalry [DotD,p.376], considered a dunderhead, an old veteran Purple Dragon known for his girth, stubbornness and slow wits [DrA5,p.66]</t>
  </si>
  <si>
    <t xml:space="preserve">		○ Emlar Goldsword (CN hm Ftr4/Rog4)[DrA5,p.66], a bald man [DotD,p.92-93], loyal to Cormyr at least, but not necessarily to the Obarskyrs [DotD], cleaves to Sembia, hates and fears the Obarksyrs and would prefer rule by a merchant council, too cowardly and too wise to actively rebel [DrA5,p.66]
		○ Lady Radalard Goldsword, wife to Lord Emlar [DotD,p.92]</t>
  </si>
  <si>
    <t xml:space="preserve">		○ Klasker Goldsword (hm)(d.1372), exiled noble [RlmSh,p.276], killed in attempt on Alusair and Caladnei [RlmSh,p.276-278]
Darndreth Goldsword (hm), member of the Rightful Conspiracy who was most likely killed by Glarasteer Rhauligan [ElDau,p.364-365]</t>
  </si>
  <si>
    <t xml:space="preserve">Tolon [DotD,p.25]
	• a "little lord" recently ennobled by the crown for service [DotD,p.267]
			</t>
  </si>
  <si>
    <t>○ Lord Steelmar Tolon, fought beside Azoun [DotD,p.25,267], killed by a ghazneth [DotD,p.270]</t>
  </si>
  <si>
    <t>Lady Kraliqh is a duchess [BtHR,p.87]</t>
  </si>
  <si>
    <t xml:space="preserve"> [GTR,p.45, VGtC,p.57]
	• seat in Arabel [GTR,p.45]
real estate [C9410,p.16]</t>
  </si>
  <si>
    <t xml:space="preserve"> [CaN,p.425]
* family head is the Earl of Wyvernshores, the farmland along the
  southeastern coast of the Wyvernwater [PoF,p.12]
* the Belorgan estates are called Mossfarms [PoF,p.12]
* the courtesy titles of Baron of Lowbridge (a village) and Baron
  of Mossfarms (the Belorgan estates) are unused but held by
  Harlo in case he has additional children. [PoF,p.12]
* Windkeep and Fallturret are the names of the two castles owned
  by the Belorgans. [PoF,p.12]
* the titles Baron of Windkeep and baron of Fallturret are
  additional titles held in reserve by the Belorgans, after the
  two Belorgan castles. [PoF,p.12]
* Family Members Currently Alive
  - Harlo Belorgan, son and heir of Lord Belorgan, currently
    titled Viscount of Juniril, father of Raedlar ("Red")
    Belorgan
  - Alclaera, wife of Harlo and mother of Raedlar ("Red")
    [PoF,p.12]
  - Thaelmra Belorgan, younger sister of Harlo, took Raedlar's
    title of Baroness of Forgemarket upon his death. [PoF,p.12]
* Family Members Recently Alive
  - Raedlar ("Red") Belorgan, one of five young men who attempted
    to assassinate Princess Tanalasta during the Abraxus Affair
    in 1369 DR and was killed in the attempt, rumored to have
    liked killing overmuch [CaN,p.425], full name given as
    Raedlar, was titled Baron of Forgemarket (a market crossroads
    in the Wyvernshores countryside) [PoF,p.12]</t>
  </si>
  <si>
    <t>LOCAL EVENT</t>
  </si>
  <si>
    <t>GLOBAL EVENT</t>
  </si>
  <si>
    <t>ECOLOGY ENCOUNTERS</t>
  </si>
  <si>
    <t>AVERAGE</t>
  </si>
  <si>
    <t>METRIC SYSTEM</t>
  </si>
  <si>
    <t>SHIP CREW</t>
  </si>
  <si>
    <t>ADDITIONAL INFORMATION ABOUT SHIPS CAN BE FOUND IN AETHAN'S GUIDE TO SEAFARING</t>
  </si>
  <si>
    <t>PRESS HERE TO OPEN IT</t>
  </si>
  <si>
    <t>AND XLS FILE ALSO</t>
  </si>
  <si>
    <r>
      <rPr>
        <u/>
        <sz val="28"/>
        <color rgb="FFC00000"/>
        <rFont val="Cyrillic5e"/>
        <charset val="204"/>
      </rPr>
      <t>Supporting files:</t>
    </r>
    <r>
      <rPr>
        <sz val="14"/>
        <color theme="1"/>
        <rFont val="Lato"/>
        <family val="2"/>
        <scheme val="minor"/>
      </rPr>
      <t xml:space="preserve">
0. Palant Guide to Exploring Cormyr
1. Aethan's Guide to Seafaring - about ships and sea
2. Horses of Forgotten Realms - about Cormyrean horses
3. Herbs of Forgotten Realms - about herbs and plants in Cormyr
Links are below</t>
    </r>
  </si>
  <si>
    <t>recommended products on dmsguild</t>
  </si>
  <si>
    <t>Cormyr - Land of Purple Dragon</t>
  </si>
  <si>
    <t>Random rumour</t>
  </si>
  <si>
    <t>INSTRUCTIONS</t>
  </si>
  <si>
    <t>npc</t>
  </si>
  <si>
    <t>TOWN</t>
  </si>
  <si>
    <t>TAVERN</t>
  </si>
  <si>
    <t>ENCOUNTER</t>
  </si>
  <si>
    <t>http://kobold.club/fight/#/encounter-builder</t>
  </si>
  <si>
    <t>http://donjon.bin.sh/5e/encounter/</t>
  </si>
  <si>
    <t>Pick Pocket Loot</t>
  </si>
  <si>
    <t>http://donjon.bin.sh/pathfinder/random/#purse</t>
  </si>
  <si>
    <t>Treasure Generation</t>
  </si>
  <si>
    <t>http://donjon.bin.sh/5e/random/#treasure</t>
  </si>
  <si>
    <t>http://rpgtinker.com/</t>
  </si>
  <si>
    <t>Handout Creation</t>
  </si>
  <si>
    <t>http://homebrewery.naturalcrit.com/</t>
  </si>
  <si>
    <t>http://donjon.bin.sh/d20/weather/</t>
  </si>
  <si>
    <t>Inn Name and Food</t>
  </si>
  <si>
    <t>http://donjon.bin.sh/fantasy/inn/</t>
  </si>
  <si>
    <t>http://badrapstudios.com/taverns/index.php</t>
  </si>
  <si>
    <t>Magic Shop Generator</t>
  </si>
  <si>
    <t>http://donjon.bin.sh/5e/magic/shop.html</t>
  </si>
  <si>
    <t>http://fantasynamegenerators.com/</t>
  </si>
  <si>
    <t>http://www.namenerds.com/uucn/listofweek/1914name.html</t>
  </si>
  <si>
    <t>http://www.behindthename.com/random/?number=2&amp;gender=m&amp;surname=&amp;all=yes</t>
  </si>
  <si>
    <t>ACKS Clothing</t>
  </si>
  <si>
    <t>ACKS WEAPONS</t>
  </si>
  <si>
    <t>ACKS GEAR</t>
  </si>
  <si>
    <t>ACKS ARMOR</t>
  </si>
  <si>
    <t>ACKS Land Transport</t>
  </si>
  <si>
    <t>COST, GP</t>
  </si>
  <si>
    <t>Belt/Sash (leather)</t>
  </si>
  <si>
    <t>4sp</t>
  </si>
  <si>
    <t>Axes</t>
  </si>
  <si>
    <t>Battle Axe</t>
  </si>
  <si>
    <t>Clothing Only</t>
  </si>
  <si>
    <t>100gp</t>
  </si>
  <si>
    <t>Boots (leather, low)</t>
  </si>
  <si>
    <t>6sp</t>
  </si>
  <si>
    <t>Great Axe (two-handed)</t>
  </si>
  <si>
    <t>Backpack (holds 4 stone)</t>
  </si>
  <si>
    <t>Hide and Fur Armor</t>
  </si>
  <si>
    <t>Caparison (warhorse)</t>
  </si>
  <si>
    <t>20gp</t>
  </si>
  <si>
    <t>MAX PRICE, GP</t>
  </si>
  <si>
    <t>Class I</t>
  </si>
  <si>
    <t>Class II</t>
  </si>
  <si>
    <t>Class III</t>
  </si>
  <si>
    <t>Class IV</t>
  </si>
  <si>
    <t>Class V</t>
  </si>
  <si>
    <t>Class VI</t>
  </si>
  <si>
    <t>Boots (leather, high)</t>
  </si>
  <si>
    <t>3gp</t>
  </si>
  <si>
    <t>Barrel (20 gallon)</t>
  </si>
  <si>
    <t>Leather Armor</t>
  </si>
  <si>
    <t>Cart (small)</t>
  </si>
  <si>
    <t>25gp</t>
  </si>
  <si>
    <t>Cassock (cleric/mage)</t>
  </si>
  <si>
    <t>7gp</t>
  </si>
  <si>
    <t>Bows and Crossbows</t>
  </si>
  <si>
    <t>Arbalest</t>
  </si>
  <si>
    <t>Belladonna (1lb)</t>
  </si>
  <si>
    <t>Ring Mail or Scale Armor</t>
  </si>
  <si>
    <t>Cart (large)</t>
  </si>
  <si>
    <t>Cloak (fur-lined, winter)</t>
  </si>
  <si>
    <t>15gp</t>
  </si>
  <si>
    <t>Crossbow</t>
  </si>
  <si>
    <t>Blanket (wool, thick)</t>
  </si>
  <si>
    <t>Chain Mail Armor</t>
  </si>
  <si>
    <t>Donkey</t>
  </si>
  <si>
    <t>8gp</t>
  </si>
  <si>
    <t>Cloak (long, hooded)</t>
  </si>
  <si>
    <t>1gp</t>
  </si>
  <si>
    <t>Case with 20 Bolts</t>
  </si>
  <si>
    <t>Birthwort (1lb)</t>
  </si>
  <si>
    <t>Banded Plate or Lamellar Armor</t>
  </si>
  <si>
    <t>Dress (crafter/freeholder)</t>
  </si>
  <si>
    <t>4gp</t>
  </si>
  <si>
    <t>Composite Bow</t>
  </si>
  <si>
    <t>Candle (tallow, 1lb)</t>
  </si>
  <si>
    <t>Plate Armor</t>
  </si>
  <si>
    <t>Ox (2,000lb)</t>
  </si>
  <si>
    <t>40gp</t>
  </si>
  <si>
    <t>Dress (armiger)</t>
  </si>
  <si>
    <t>Candle (wax, 1lb)</t>
  </si>
  <si>
    <t>Saddle and Tack (draft)</t>
  </si>
  <si>
    <t>5gp</t>
  </si>
  <si>
    <t>MORE THEN 10000</t>
  </si>
  <si>
    <t>NA</t>
  </si>
  <si>
    <t>Gown (lady-in-waiting/noble)</t>
  </si>
  <si>
    <t>Chest (ironbound, holds 20 stone)</t>
  </si>
  <si>
    <t>Leather Barding</t>
  </si>
  <si>
    <t>Saddle and Tack (riding)</t>
  </si>
  <si>
    <t>10gp</t>
  </si>
  <si>
    <t>Gown (duchess)</t>
  </si>
  <si>
    <t>1000gp</t>
  </si>
  <si>
    <t>Quiver with 20 Arrows</t>
  </si>
  <si>
    <t>Comfrey (1lb)</t>
  </si>
  <si>
    <t>Scale Barding</t>
  </si>
  <si>
    <t>Saddle and Tack (war)</t>
  </si>
  <si>
    <t>1 Silver-Tipped Arrow</t>
  </si>
  <si>
    <t>Chain Barding</t>
  </si>
  <si>
    <t>Saddlebags (leather)</t>
  </si>
  <si>
    <t>Hat (armiger)</t>
  </si>
  <si>
    <t>10sp</t>
  </si>
  <si>
    <t>Catapults and Ballista</t>
  </si>
  <si>
    <t>Ballista (1,800lb)</t>
  </si>
  <si>
    <t>Flask of Oil (common, 1 pint)</t>
  </si>
  <si>
    <t>Lamellar Barding</t>
  </si>
  <si>
    <t>Stabling (draft/riding horse, one night)</t>
  </si>
  <si>
    <t>2sp-5sp</t>
  </si>
  <si>
    <t>Linen (cheap, 1 yard)</t>
  </si>
  <si>
    <t>Ballista Shot</t>
  </si>
  <si>
    <t>Flask of Oil (military, 1 pint)</t>
  </si>
  <si>
    <t>Plate Barding</t>
  </si>
  <si>
    <t>Stabling (warhorse, one night)</t>
  </si>
  <si>
    <t>5sp-1gp</t>
  </si>
  <si>
    <t>Linen (fine, 1 yard)</t>
  </si>
  <si>
    <t>Heavy Catapult (1,200lb)</t>
  </si>
  <si>
    <t>Garlic (1lb)</t>
  </si>
  <si>
    <t>200gp</t>
  </si>
  <si>
    <t>Robe (cleric/mage)</t>
  </si>
  <si>
    <t>6gp</t>
  </si>
  <si>
    <t>Light Catapult (1,800lb)</t>
  </si>
  <si>
    <t>Goldenrod (1lb)</t>
  </si>
  <si>
    <t>Silk (1 yard)</t>
  </si>
  <si>
    <t>Catapult Shot (25lb)</t>
  </si>
  <si>
    <t>Grappling Hook</t>
  </si>
  <si>
    <t>ACKS Lodging</t>
  </si>
  <si>
    <t>Heavy Draft Horse</t>
  </si>
  <si>
    <t>Sandals/Shoes (leather)</t>
  </si>
  <si>
    <t>Catapult Shot, Pitch (25lb)</t>
  </si>
  <si>
    <t>Hammer (small)</t>
  </si>
  <si>
    <t>700gp</t>
  </si>
  <si>
    <t>Tunic and Pants (serf)</t>
  </si>
  <si>
    <t>2gp</t>
  </si>
  <si>
    <t>Flails, Hammers, and Maces</t>
  </si>
  <si>
    <t>Holy Symbol</t>
  </si>
  <si>
    <t>Cottage (wood)</t>
  </si>
  <si>
    <t>300gp</t>
  </si>
  <si>
    <t>Medium Draft Horse</t>
  </si>
  <si>
    <t>30gp</t>
  </si>
  <si>
    <t>Tunic and Pants (crafter/freeholder)</t>
  </si>
  <si>
    <t>Holy Water (1 pint)</t>
  </si>
  <si>
    <t>Inn (one person, one night, slum)</t>
  </si>
  <si>
    <t>1sp</t>
  </si>
  <si>
    <t>Medium Riding Horse</t>
  </si>
  <si>
    <t>Tunic and Pants (armiger)</t>
  </si>
  <si>
    <t>Ink (1 oz.)</t>
  </si>
  <si>
    <t>Inn, one person, one night, average)</t>
  </si>
  <si>
    <t>5sp</t>
  </si>
  <si>
    <t>250gp</t>
  </si>
  <si>
    <t>Tunic and Pants (noble)</t>
  </si>
  <si>
    <t>Morning Star (two-handed)</t>
  </si>
  <si>
    <t>Iron Spikes (12)</t>
  </si>
  <si>
    <t>Inn (one person, one night, superb)</t>
  </si>
  <si>
    <t>Light Riding Horse</t>
  </si>
  <si>
    <t>75gp</t>
  </si>
  <si>
    <t>Wool (cheap, 1 yard)</t>
  </si>
  <si>
    <t>War Hammer</t>
  </si>
  <si>
    <t>Hut (wattle)</t>
  </si>
  <si>
    <t>Light Warhorse</t>
  </si>
  <si>
    <t>150gp</t>
  </si>
  <si>
    <t>Wool (fine, 1 yard)</t>
  </si>
  <si>
    <t>Spears and Pole Arms</t>
  </si>
  <si>
    <t>Lance (mounted)</t>
  </si>
  <si>
    <t>Lock</t>
  </si>
  <si>
    <t>Hut (wooden)</t>
  </si>
  <si>
    <t>Mirror (hand-sized, steel)</t>
  </si>
  <si>
    <t>Townhouse (stone)</t>
  </si>
  <si>
    <t>1,200gp</t>
  </si>
  <si>
    <t>Pole Arm (two-handed)</t>
  </si>
  <si>
    <t>Musical instrument</t>
  </si>
  <si>
    <t>25-100</t>
  </si>
  <si>
    <t>Sheep (80lb)</t>
  </si>
  <si>
    <t>ACKS Foodstuffs</t>
  </si>
  <si>
    <t>Pouch/Purse (holds 1/2 stone)</t>
  </si>
  <si>
    <t>Swords and Daggers</t>
  </si>
  <si>
    <t>Pole, Wooden (10' long)</t>
  </si>
  <si>
    <t>Ale/Beer (cheap, 3 pints)</t>
  </si>
  <si>
    <t>1cp</t>
  </si>
  <si>
    <t>Silver Dagger</t>
  </si>
  <si>
    <t>Rations, Iron (one week)</t>
  </si>
  <si>
    <t>Ale/Beer (good, 1 pint)</t>
  </si>
  <si>
    <t>2cp</t>
  </si>
  <si>
    <t>Short Sword</t>
  </si>
  <si>
    <t>Rations, Standard (one week)</t>
  </si>
  <si>
    <t>3sp-3</t>
  </si>
  <si>
    <t>Bread (white, 4lb)</t>
  </si>
  <si>
    <t>Rope (50' length)</t>
  </si>
  <si>
    <t>ACKS Gp Wage per Month</t>
  </si>
  <si>
    <t>Bread (wheat, 8lb)</t>
  </si>
  <si>
    <t>Two-Handed Sword</t>
  </si>
  <si>
    <t>Sack (small, holds 2 stone)</t>
  </si>
  <si>
    <t>Mercenary Troop Type</t>
  </si>
  <si>
    <t>Man</t>
  </si>
  <si>
    <t>Bread (coarse, 12lb)</t>
  </si>
  <si>
    <t>Other Weapons</t>
  </si>
  <si>
    <t>Bola</t>
  </si>
  <si>
    <t>Sack (large, holds 6 stone)</t>
  </si>
  <si>
    <t>Peasants (spear)</t>
  </si>
  <si>
    <t>Cheese (1lb)</t>
  </si>
  <si>
    <t>5cp</t>
  </si>
  <si>
    <t>Darts (5)</t>
  </si>
  <si>
    <t>Spell Book (blank)</t>
  </si>
  <si>
    <t>Light Infantry (spear, short sword, shield, leather armor)</t>
  </si>
  <si>
    <t>Cinnamon (clover, pepper, sugar) (1lb)</t>
  </si>
  <si>
    <t>Stakes (4) and Mallet</t>
  </si>
  <si>
    <t>Slingers (sling, short sword, shield, leather armor)</t>
  </si>
  <si>
    <t>Dried Fruit (1lb)</t>
  </si>
  <si>
    <t>Sling with 30 Sling Bullets</t>
  </si>
  <si>
    <t>Tent</t>
  </si>
  <si>
    <t>Heavy Infantry (spear, sword, shield, banded plate armor)</t>
  </si>
  <si>
    <t>Eggs (1 dozen)</t>
  </si>
  <si>
    <t>Sap</t>
  </si>
  <si>
    <t>Thieves' Tools</t>
  </si>
  <si>
    <t>Crossbowmen (arbalest, short sword, chainmail)</t>
  </si>
  <si>
    <t>Meal (1 person, poor to feast)</t>
  </si>
  <si>
    <t>1cp-10gp</t>
  </si>
  <si>
    <t>Staff (two-handed)</t>
  </si>
  <si>
    <t>Tinder Box (flint &amp; steel)</t>
  </si>
  <si>
    <t>8sp</t>
  </si>
  <si>
    <t>Bowmen (short bow, short sword, leather armor)</t>
  </si>
  <si>
    <t>Meat (beef, chicken, mutton, or pork, 1lb)</t>
  </si>
  <si>
    <t>Torches (6)</t>
  </si>
  <si>
    <t>Longbowmen (long bow, sword, chainmail)</t>
  </si>
  <si>
    <t>Saffron (1lb)</t>
  </si>
  <si>
    <t>Water/Wine Skin</t>
  </si>
  <si>
    <t>Light Cavalry (lance, sword, shield, leather armor, light warhorse)</t>
  </si>
  <si>
    <t>Wine (cheap, 1 pint)</t>
  </si>
  <si>
    <t>Wolfsbane (1lb)</t>
  </si>
  <si>
    <t>Mounted Crossbowmen (crossbow, short sword, chainmail, mule)</t>
  </si>
  <si>
    <t>Wine (good, 1 pint)</t>
  </si>
  <si>
    <t>Woundwart (1lb)</t>
  </si>
  <si>
    <t>Horse Archers (composite bow, scimitar, leather armor, light warhorse)</t>
  </si>
  <si>
    <t>Wine (rare, 1 pint)</t>
  </si>
  <si>
    <t>Medium Cavalry (lance, sword, shield, lamellar, medium warhorse)</t>
  </si>
  <si>
    <t>Heavy Cavalry (lance, sword, shield, plate armor, chain barded medium warhorse)</t>
  </si>
  <si>
    <t>Cataphract Cavalry (composite bow, sword, shield, plate, chain barded medium warhorse)</t>
  </si>
  <si>
    <t>Lodging</t>
  </si>
  <si>
    <t>Land Transport</t>
  </si>
  <si>
    <t>Chicken (3lb)</t>
  </si>
  <si>
    <t>Wolf Riders (spear, short sword, shield, leather armor, dire wolf)</t>
  </si>
  <si>
    <t>Cow (550lb)</t>
  </si>
  <si>
    <t>Dog (hunting)</t>
  </si>
  <si>
    <t>Dog (war)</t>
  </si>
  <si>
    <t>Goat (125lb)</t>
  </si>
  <si>
    <t>Hawk (trained)</t>
  </si>
  <si>
    <t>Pig (125lb)</t>
  </si>
  <si>
    <t>Maritime Transport</t>
  </si>
  <si>
    <t>Villages, Towns, and Cities</t>
  </si>
  <si>
    <t>Urban Settlement (families)</t>
  </si>
  <si>
    <t>INCOME LOW</t>
  </si>
  <si>
    <t>INCOME HIGH</t>
  </si>
  <si>
    <t>Стовпець13</t>
  </si>
  <si>
    <t>Monthly Income</t>
  </si>
  <si>
    <t>Barge/raft</t>
  </si>
  <si>
    <t>1gp/sq ft</t>
  </si>
  <si>
    <t>Hamlets (74-)</t>
  </si>
  <si>
    <t>`</t>
  </si>
  <si>
    <t>0gp</t>
  </si>
  <si>
    <t>Class VI*</t>
  </si>
  <si>
    <t>Boat (river)</t>
  </si>
  <si>
    <t>4000gp</t>
  </si>
  <si>
    <t>Small Village (75-99)</t>
  </si>
  <si>
    <t>18-24gp</t>
  </si>
  <si>
    <t>Boat (sailing)</t>
  </si>
  <si>
    <t>2000gp</t>
  </si>
  <si>
    <t>Village (100-159)</t>
  </si>
  <si>
    <t>25-39gp</t>
  </si>
  <si>
    <t>Canoe</t>
  </si>
  <si>
    <t>Village (160-249)</t>
  </si>
  <si>
    <t>40-60gp</t>
  </si>
  <si>
    <t>Galley (large)</t>
  </si>
  <si>
    <t>30,000gp</t>
  </si>
  <si>
    <t>Large village (250-449)</t>
  </si>
  <si>
    <t>150-264gp</t>
  </si>
  <si>
    <t>Galley (small)</t>
  </si>
  <si>
    <t>10,000gp</t>
  </si>
  <si>
    <t>Small town (450-624)</t>
  </si>
  <si>
    <t>265-369gp</t>
  </si>
  <si>
    <t>Galley (war)</t>
  </si>
  <si>
    <t>60,000gp</t>
  </si>
  <si>
    <t>Large town (625-1,249)</t>
  </si>
  <si>
    <t>370-739gp</t>
  </si>
  <si>
    <t>Longship</t>
  </si>
  <si>
    <t>15,000gp</t>
  </si>
  <si>
    <t>Small city (1,250-2,499)</t>
  </si>
  <si>
    <t>740-1,474gp</t>
  </si>
  <si>
    <t>Sailing Ship (large)</t>
  </si>
  <si>
    <t>20,000gp</t>
  </si>
  <si>
    <t>City (2,500-4,999)</t>
  </si>
  <si>
    <t>1,475-2,950gp</t>
  </si>
  <si>
    <t>Sailing Ship (small)</t>
  </si>
  <si>
    <t>Large city (5,000-9,999)</t>
  </si>
  <si>
    <t>4,700-9,399gp</t>
  </si>
  <si>
    <t>Troop Transport (large)</t>
  </si>
  <si>
    <t>Large city (10,000-14,999)</t>
  </si>
  <si>
    <t>9,400-14,099gp</t>
  </si>
  <si>
    <t>Troop Transport (small)</t>
  </si>
  <si>
    <t>Large city (15,000-19,999)</t>
  </si>
  <si>
    <t>14,100-18,799gp</t>
  </si>
  <si>
    <t>Metropolis (20,000-39,999)</t>
  </si>
  <si>
    <t>25,800-51,599gp</t>
  </si>
  <si>
    <t>Metropolis (40,000+)</t>
  </si>
  <si>
    <t>51,600gp+</t>
  </si>
  <si>
    <t>Magic Item Transactions by Market Class</t>
  </si>
  <si>
    <t>Class Class Class Class Class Class</t>
  </si>
  <si>
    <t>Price</t>
  </si>
  <si>
    <t xml:space="preserve">I </t>
  </si>
  <si>
    <t>1gp or less</t>
  </si>
  <si>
    <t>1,700</t>
  </si>
  <si>
    <t>585</t>
  </si>
  <si>
    <t>260</t>
  </si>
  <si>
    <t>2gp-10gp</t>
  </si>
  <si>
    <t>11-100gp</t>
  </si>
  <si>
    <t>25%</t>
  </si>
  <si>
    <t>10%</t>
  </si>
  <si>
    <t>101-1,000gp</t>
  </si>
  <si>
    <t>5%</t>
  </si>
  <si>
    <t>1,001-10,000gp</t>
  </si>
  <si>
    <t>1%</t>
  </si>
  <si>
    <t>10,001gp or more</t>
  </si>
  <si>
    <t>2%</t>
  </si>
  <si>
    <t>Monster Venoms</t>
  </si>
  <si>
    <t>Cost / Dose</t>
  </si>
  <si>
    <t>Save Mod.</t>
  </si>
  <si>
    <t>Effect on Failed Save</t>
  </si>
  <si>
    <t>Onset Time</t>
  </si>
  <si>
    <t>1 turn</t>
  </si>
  <si>
    <t>Sickness 1d10 days*</t>
  </si>
  <si>
    <t>Spitting Cobra</t>
  </si>
  <si>
    <t>1d6 damage</t>
  </si>
  <si>
    <t>Giant Crap Spider</t>
  </si>
  <si>
    <t>1d10 turns</t>
  </si>
  <si>
    <t>1d10 damage</t>
  </si>
  <si>
    <t>Pit Viper</t>
  </si>
  <si>
    <t>Giant Killer Bee</t>
  </si>
  <si>
    <t>Carcass Scavenger</t>
  </si>
  <si>
    <t>Paralysis 2d4 turns</t>
  </si>
  <si>
    <t>Sea Snake</t>
  </si>
  <si>
    <t>275gp</t>
  </si>
  <si>
    <t>4d4 damage</t>
  </si>
  <si>
    <t>Giant Black Widow</t>
  </si>
  <si>
    <t>1d6 turns</t>
  </si>
  <si>
    <t>Giant Rattlesnake</t>
  </si>
  <si>
    <t>2d10 damage</t>
  </si>
  <si>
    <t>Giant Tarantula</t>
  </si>
  <si>
    <t>350gp</t>
  </si>
  <si>
    <t>400gp</t>
  </si>
  <si>
    <t>Rockfish</t>
  </si>
  <si>
    <t>500gp</t>
  </si>
  <si>
    <t>1 round</t>
  </si>
  <si>
    <t>4d6 damage</t>
  </si>
  <si>
    <t>6d6 damage</t>
  </si>
  <si>
    <t>1,500gp</t>
  </si>
  <si>
    <t>Instant</t>
  </si>
  <si>
    <t>Death</t>
  </si>
  <si>
    <t>Dragon Blood</t>
  </si>
  <si>
    <t>Plant Toxins</t>
  </si>
  <si>
    <t>Naturalism Throw</t>
  </si>
  <si>
    <t>Belladonna</t>
  </si>
  <si>
    <t>11 +</t>
  </si>
  <si>
    <t>1 turn (injury)</t>
  </si>
  <si>
    <t>2d8 damage and confusion 1d4 turns</t>
  </si>
  <si>
    <t>1d3 turns (ingestion)</t>
  </si>
  <si>
    <t>Curare</t>
  </si>
  <si>
    <t>20+</t>
  </si>
  <si>
    <t>Instant (injury)</t>
  </si>
  <si>
    <t>2d12 damage and paralysis 2d4 turns</t>
  </si>
  <si>
    <t>Foxglove</t>
  </si>
  <si>
    <t>14+</t>
  </si>
  <si>
    <t>1d6 turns (ingestion)</t>
  </si>
  <si>
    <t>Hellebore</t>
  </si>
  <si>
    <t>8+</t>
  </si>
  <si>
    <t>225gp</t>
  </si>
  <si>
    <t>1d6 damage and sickness 1d10 days*</t>
  </si>
  <si>
    <t>Hemlock</t>
  </si>
  <si>
    <t>2d4 turns (ingestion)</t>
  </si>
  <si>
    <t>2d12 damage and sickness 1d10 days*</t>
  </si>
  <si>
    <t>Henbane</t>
  </si>
  <si>
    <t>1d6 damage and feeblemind 1d4 hours</t>
  </si>
  <si>
    <t>Wolfsbane</t>
  </si>
  <si>
    <t>11+</t>
  </si>
  <si>
    <t>2d8 damage and paralysis 2d4 turns</t>
  </si>
  <si>
    <t>Yew</t>
  </si>
  <si>
    <t>4+</t>
  </si>
  <si>
    <t>1 hour (injury)</t>
  </si>
  <si>
    <t>Min Population</t>
  </si>
  <si>
    <t>Max Population</t>
  </si>
  <si>
    <t>Market Class ACKS</t>
  </si>
  <si>
    <t>Modifiers</t>
  </si>
  <si>
    <t>Qualities</t>
  </si>
  <si>
    <t>Danger</t>
  </si>
  <si>
    <t>Base Limit</t>
  </si>
  <si>
    <t>Purchase Limit</t>
  </si>
  <si>
    <t>Minor</t>
  </si>
  <si>
    <t>Community Modifier</t>
  </si>
  <si>
    <t>GP Limit</t>
  </si>
  <si>
    <t>Modifier to 1d20 roll</t>
  </si>
  <si>
    <t>Fewer than 20</t>
  </si>
  <si>
    <t>–4</t>
  </si>
  <si>
    <t>–10</t>
  </si>
  <si>
    <t>A thorp or a hamlet has a 5% chance to add +10 to the modifier of a ranger or druid level.</t>
  </si>
  <si>
    <t>21-60</t>
  </si>
  <si>
    <t>–2</t>
  </si>
  <si>
    <t>–5</t>
  </si>
  <si>
    <t>1d6 items</t>
  </si>
  <si>
    <t>61-200</t>
  </si>
  <si>
    <t>–1</t>
  </si>
  <si>
    <t>2d4 items</t>
  </si>
  <si>
    <t>1d4 items</t>
  </si>
  <si>
    <t>201-2000</t>
  </si>
  <si>
    <t>3d4 items</t>
  </si>
  <si>
    <t>5001-10000</t>
  </si>
  <si>
    <t>4d4 items</t>
  </si>
  <si>
    <t>ROLL TWICE, Cities this large can have more than one high-level NPC per class, each of whom generates lower-level characters of the same class, as described below.</t>
  </si>
  <si>
    <t>+4 (roll twice)</t>
  </si>
  <si>
    <t>10001-25000</t>
  </si>
  <si>
    <t>ROLL THREE TIMES, Cities this large can have more than one high-level NPC per class, each of whom generates lower-level characters of the same class, as described below.</t>
  </si>
  <si>
    <r>
      <t>+5</t>
    </r>
    <r>
      <rPr>
        <sz val="11"/>
        <color theme="1"/>
        <rFont val="Lato"/>
        <family val="2"/>
        <charset val="204"/>
        <scheme val="minor"/>
      </rPr>
      <t xml:space="preserve"> (roll three times)</t>
    </r>
  </si>
  <si>
    <t>More than 25000</t>
  </si>
  <si>
    <t>and more</t>
  </si>
  <si>
    <t>ROLL FOUR TIMES, Cities this large can have more than one high-level NPC per class, each of whom generates lower-level characters of the same class, as described below.</t>
  </si>
  <si>
    <t>+6 (roll four times)</t>
  </si>
  <si>
    <t>PGtIC_ALCHEMY.docx</t>
  </si>
  <si>
    <t>POWER CENTER ALIGNMENT</t>
  </si>
  <si>
    <t>PGtIC_ADVENTURING GEAR.docx</t>
  </si>
  <si>
    <t>d%</t>
  </si>
  <si>
    <t>Lawful good</t>
  </si>
  <si>
    <t>Neutral good</t>
  </si>
  <si>
    <t>Chaotic good</t>
  </si>
  <si>
    <t>Lawful neutral</t>
  </si>
  <si>
    <t>True neutral</t>
  </si>
  <si>
    <t>Chaotic neutral</t>
  </si>
  <si>
    <t>⚔⚙☠⌛💎💬💰📒📚</t>
  </si>
  <si>
    <t>Lawful evil</t>
  </si>
  <si>
    <t>Neutral evil</t>
  </si>
  <si>
    <t>Chaotic evil</t>
  </si>
  <si>
    <t>Meals Cost</t>
  </si>
  <si>
    <t>Lodging Cost</t>
  </si>
  <si>
    <t>Price / month</t>
  </si>
  <si>
    <t>Typical</t>
  </si>
  <si>
    <t>ACKS ANALOG</t>
  </si>
  <si>
    <t>ACKS COST</t>
  </si>
  <si>
    <t>ACKS MODIFIER</t>
  </si>
  <si>
    <t>Price / month, GP*</t>
  </si>
  <si>
    <t>Price / day, GP*</t>
  </si>
  <si>
    <t>Meals Cost, GP*</t>
  </si>
  <si>
    <t>Lodging Cost, GP*</t>
  </si>
  <si>
    <t>You live in inhumane conditions. With no place to call home, you shelter wherever you can, sneaking into barns, huddling in old crates, and relying on the good graces of people better off than you. A wretched lifestyle presents abundant dangers. Violence, disease, and hunger follow you wherever you go. Other wretched people covet your armor, weapons, and adventuring gear, which represent a fortune by their standards. You are beneath the notice of most people.</t>
  </si>
  <si>
    <t>You live in a leaky stable, a mud-floored hut just outside town, or a vermin-infested boarding house in the worst part of town. You have shelter from the elements, but you live in a desperate and often violent environment, in places rife with disease, hunger, and misfortune. You are beneath the notice of most people, and you have few legal protections. Most people at this lifestyle level have suffered some terrible setback. They might be disturbed, marked as exiles, or suffer from disease.</t>
  </si>
  <si>
    <t>Most people at this lifestyle level have suffered some terrible setback. They might be disturbed, marked as exiles, or suffer from disease.</t>
  </si>
  <si>
    <t>A poor lifestyle means going without the comforts available in a stable community. Simple food and lodgings, threadbare clothing, and unpredictable conditions result in a sufficient, though probably unpleasant, experience. Your accommodations might be a room in a flophouse or in the common room above a tavern. You benefit from some legal protections, but you still have to contend with violence, crime, and disease. People at this lifestyle level tend to be unskilled laborers, costermongers, peddlers, thieves, mercenaries, and other disreputable types.</t>
  </si>
  <si>
    <t>unskilled laborers, costermongers, peddlers, thieves, mercenaries, and other disreputable types.</t>
  </si>
  <si>
    <t>Meager</t>
  </si>
  <si>
    <t>A modest lifestyle keeps you out of the slums and ensures that you can maintain your equipment. You live in an older part of town, renting a room in a boarding house, inn, or temple. You don't go hungry or thirsty, and your living conditions are clean, if simple. Ordinary people living modest lifestyles include soldiers with families, laborers, students, priests, hedge wizards, and the like.</t>
  </si>
  <si>
    <t>soldiers with families, laborers, students, priests, hedge wizards, and the like.</t>
  </si>
  <si>
    <t>Adequate</t>
  </si>
  <si>
    <t>Choosing a comfortable lifestyle means that you can afford nicer clothing and can easily maintain your equipment. You live in a small cottage in a middle-class neighborhood or in a private room at a fine inn. You associate with merchants, skilled tradespeople, and military officers.</t>
  </si>
  <si>
    <t>merchants, skilled tradespeople, and military officers.</t>
  </si>
  <si>
    <t>Choosing a wealthy lifestyle means living a life of luxury, though you might not have achieved the social status associated with the old money of nobility or royalty. You live a lifestyle comparable to that of a highly successful merchant, a favored servant of the royalty, or the owner of a few small businesses. You have respectable lodgings, usually a spacious home in a good part of town or a comfortable suite at a fine inn. You likely have a small staff of servants.</t>
  </si>
  <si>
    <t>highly successful merchant, a favored servant of the royalty, or the owner of a few small businesses</t>
  </si>
  <si>
    <t>Prosperous</t>
  </si>
  <si>
    <t>You live a life of plenty and comfort. You move in circles populated by the most powerful people in the community. You have excellent lodgings, perhaps a townhouse in the nicest part of town or rooms in the finest inn. You dine at the best restaurants, retain the most skilled and fashionable tailor, and have servants attending to your every need. You receive invitations to the social gatherings of the rich and powerful, and spend evenings in the company of politicians, guild leaders, high priests, and nobility. You must also contend with the highest levels of deceit and treachery. The wealthier you are, the greater the chance you will be drawn into political intrigue as a pawn or participant.</t>
  </si>
  <si>
    <t>politicians, guild leaders, high priests, and nobility</t>
  </si>
  <si>
    <t>Affluent</t>
  </si>
  <si>
    <t>ACKS LIFESTYLES</t>
  </si>
  <si>
    <t>Standard of Living</t>
  </si>
  <si>
    <t>Monthly Cost MIN</t>
  </si>
  <si>
    <t>Monthly Cost MAX</t>
  </si>
  <si>
    <t>Common Professions</t>
  </si>
  <si>
    <t>Serfs and peasants</t>
  </si>
  <si>
    <t>Unskilled manual laborers</t>
  </si>
  <si>
    <t>Skilled laborers or journeyman crafters, 1st level adventurers</t>
  </si>
  <si>
    <t>Master craftsmen or yeomen farmer (85 acres), 2nd level adventurers</t>
  </si>
  <si>
    <t>Master professionals or landed patrician (200 acres), 3rd-4th level adventurers</t>
  </si>
  <si>
    <t>Barons or wealthy patricians, 5th-7th level adventurers</t>
  </si>
  <si>
    <t>Sumptuous</t>
  </si>
  <si>
    <t>Marquis or counts, 8th-9th level adventurers</t>
  </si>
  <si>
    <t>Luxuriant</t>
  </si>
  <si>
    <t>Dukes or princes, 10th-12th level adventurers</t>
  </si>
  <si>
    <t>Lavishly Opulent</t>
  </si>
  <si>
    <t>Kings or emperors, 13th-14th level adventurers</t>
  </si>
  <si>
    <t>1700</t>
  </si>
  <si>
    <t>10000</t>
  </si>
  <si>
    <t>10000+</t>
  </si>
  <si>
    <t>TIER WOTC</t>
  </si>
  <si>
    <t>TIER E5E</t>
  </si>
  <si>
    <t>FREQUENCY2</t>
  </si>
  <si>
    <t>GOLD, GP</t>
  </si>
  <si>
    <t>MAGIC ITEMS, Q-TY</t>
  </si>
  <si>
    <t>XP NORMAL</t>
  </si>
  <si>
    <t>XP SLOW</t>
  </si>
  <si>
    <t>PROFICIENCY BONUS</t>
  </si>
  <si>
    <t>2*</t>
  </si>
  <si>
    <t>3*</t>
  </si>
  <si>
    <t>4*</t>
  </si>
  <si>
    <t>5*</t>
  </si>
  <si>
    <t>Artifact</t>
  </si>
  <si>
    <t>Staff of Magi</t>
  </si>
  <si>
    <t>Sword +3, Sun blade</t>
  </si>
  <si>
    <t>Tomes, Manuals, Necklace of Prayer Beads (most optimal)</t>
  </si>
  <si>
    <t>1*</t>
  </si>
  <si>
    <t>Sword +2, Armor +1</t>
  </si>
  <si>
    <t>0*</t>
  </si>
  <si>
    <t>Weapon example</t>
  </si>
  <si>
    <t>Magic item rating</t>
  </si>
  <si>
    <t>Стовпець4</t>
  </si>
  <si>
    <t>Стовпець5</t>
  </si>
  <si>
    <t>Allegory</t>
  </si>
  <si>
    <t xml:space="preserve">You use a fable or parable to relay a mes
sage that supports your cause. </t>
  </si>
  <si>
    <t>History, Religion</t>
  </si>
  <si>
    <t xml:space="preserve">You use a fable or parable to relay a mes-
sage that supports your cause. </t>
  </si>
  <si>
    <t>Baiting</t>
  </si>
  <si>
    <t xml:space="preserve">You lay out a series of simple taunts or barbs that goad your opponent into making a mistake which you can later pounce on. </t>
  </si>
  <si>
    <t>Performance, Deception, Intimidation</t>
  </si>
  <si>
    <t>Baiting cannot be used as an opening argument. Your side’s next argument gains a boon.</t>
  </si>
  <si>
    <t>Emotional Appeal</t>
  </si>
  <si>
    <t xml:space="preserve">You make a plea that resonates with your 
opponent’s emotions. </t>
  </si>
  <si>
    <t>Deception, Insight, Persuasion</t>
  </si>
  <si>
    <t>You gain a boon to emotional appeals 
when countering Logic, Presence, and 
Rhetoric.</t>
  </si>
  <si>
    <t>Helpful - 2 boons Friendly- 1 boon
Hostile - 2 banes Unfriendly- 1 bane</t>
  </si>
  <si>
    <t>You gain a boon on this check. If your 
opponent chooses to concede rather than 
continue the exchange, they may open 
the following exchange.</t>
  </si>
  <si>
    <t>Deception, Insight, History</t>
  </si>
  <si>
    <t>You appeal to your opponent’s vanity to 
gain an advantage.</t>
  </si>
  <si>
    <t>Flattery</t>
  </si>
  <si>
    <t>Logic</t>
  </si>
  <si>
    <t>Mockery</t>
  </si>
  <si>
    <t>Presence</t>
  </si>
  <si>
    <t>Red Herring</t>
  </si>
  <si>
    <t>Rhetoric</t>
  </si>
  <si>
    <t>Sarcasm</t>
  </si>
  <si>
    <t>Threatening</t>
  </si>
  <si>
    <t>Wit</t>
  </si>
  <si>
    <t>You employ clever humor to try to gain an 
advantage in a risky attempt to de-esca-
late the exchange.</t>
  </si>
  <si>
    <t>Insight, Performance</t>
  </si>
  <si>
    <t>You suffer 1 bane when making a roll with 
Wit. If it is succeeds, the counterargu-
ment suffers 2 banes.</t>
  </si>
  <si>
    <t>Helpful - 2 banes Friendly- 1 bane
Hostile - 2 boons Unfriendly- 1 boon</t>
  </si>
  <si>
    <t>You suffer 1 bane when making a roll with 
Intimidation. If it is succeeds, the counter-
argument suffers disadvantage.</t>
  </si>
  <si>
    <t>You employ intimidation, insinuating that 
bad things might happen to your oppo-
nents if you don’t get your way.</t>
  </si>
  <si>
    <t xml:space="preserve">You cancel any banes you would normally 
suffer on this roll. </t>
  </si>
  <si>
    <t>Deception, Persuasion</t>
  </si>
  <si>
    <t>You use irony to convey contempt for 
their previous argument.</t>
  </si>
  <si>
    <t>You present cold, hard fact and indisput-
able logic to advance your cause</t>
  </si>
  <si>
    <t>When you win an exchange with logic, 
you do not suffer disadvantage on future 
uses of logic.</t>
  </si>
  <si>
    <t>Arcana, History, Nature, Religion</t>
  </si>
  <si>
    <t>You use personal attacks and creative in-
sults to belittle your opponent and weak-
en their position.</t>
  </si>
  <si>
    <t>Intimidation, Performance</t>
  </si>
  <si>
    <t>You suffer a bane if you use Mockery 
to counter Logic or Wit. If you win the 
exchange and your opponent fails their 
Charisma saving throw, you gain a boon 
on the opening argument of the following 
exchange</t>
  </si>
  <si>
    <t>You advance unrelated lines of reasoning 
to distract from the heart of the matter, 
diverting the conversation away from 
issues that might negatively impact your 
position.</t>
  </si>
  <si>
    <t xml:space="preserve">Red Herring cannot be used as an opener
If Red Herring is the closing argument, 
your opponent is not required to make 
a Charisma saving throw but you gain a
boon on the opening argument in the 
following exchange. </t>
  </si>
  <si>
    <t>You gain a boon to emotional appeals 
when countering Logic, Presence, and 
Rhetoric</t>
  </si>
  <si>
    <t>Year</t>
  </si>
  <si>
    <t>Jeremy 1</t>
  </si>
  <si>
    <t>acres</t>
  </si>
  <si>
    <t>4.4%</t>
  </si>
  <si>
    <t>TOWNS</t>
  </si>
  <si>
    <t>FROM 5000 TO 10000</t>
  </si>
  <si>
    <t>TOWERS</t>
  </si>
  <si>
    <t>FLOOR</t>
  </si>
  <si>
    <t>1D4+2</t>
  </si>
  <si>
    <t>PER FLOOR</t>
  </si>
  <si>
    <t>1D4</t>
  </si>
  <si>
    <t>These are multi-storey constructions of timber or stone, typically square, but possibly round if local masonry is sufficiently advanced. The least expensive sort of fortification, towers have from 3-6 (1d4+2) floors, which may extend both above and below ground. Most are free-standing, but some are protected by a walled enclosure that contains outbuildings (e.g., stables, smithy, and storage); the typical tower houses a garrison of 1d4 men-at-arms per floor. Active towers are used for observation (i.e., watch towers), signalling, or to ward strategic locations (a mountain pass, a river ford, or a road leading to the wilderness). Those not so employed, may be inhabited by petty lords or reclusive types—wizards absorbed in their studies come to mind, though a tower might be headquarters to a self-styled bandit prince, a recently enfeoffed noble taming the wilderness, or a monastic order. Naturally, tales will abound of ruined wilderness towers rich with treasures and magic, but guarded by fearsome beasts and necromancers; whether these are merely embellishments is up to the GM, but the Generator helps you flesh these out if desired.</t>
  </si>
  <si>
    <t>Keeps are larger and stronger than towers, made of timber or stone, and form the fortified centre of a defensive compound. Keeps comprised of 4-7 (1d4+3) stories extending above and below ground and sheltered the local ruler (often a baron or higher), his family, and his retainers (including 3-8 (1d6+2) men-at-arms per floor).
Some keeps were built atop hills, making assaults against them difficult, while others were simply surrounded by walls or similar defensive structures (e.g., gullies or water-filled moats). Integral towers often fortified the keep’s corners and were accessible from within; these provided enfilading fire and strengthed the keep’s structural integrity. Where masonry technology allowed it, keeps were round to better deflect attacks by battering rams or catapult missiles. Rooftops could include crenelations to protect defenders as they fired ranged weapons at attackers.
Owing to its size, keeps housed more men, stored more supplies, and defended more soldiers than smaller towers. As a result, keeps could hold out longer during a siege and for that reason, keeps were built to cast a protective shadow across major settlements.</t>
  </si>
  <si>
    <t>1d4+3</t>
  </si>
  <si>
    <t>1D6+2</t>
  </si>
  <si>
    <t>It is not entirely inaccurate to describe castles as large defensive complexes dominated by a heavily fortified keep. Indeed, castles grew as networked walls and towers wound a defensive web around the central keep, forming separate areas that could channel attackers to be dispatched with relative ease by defenders (5-12 (1d8+4) per floor).
Castles employed the concept of mutual defence, in which each part of the structure thwarted assault against the others. Thus, walls were supported by flanking towers, towers were built to cover walls with fire, and the central keep—generally considered the last defensive refuge—could be captured only after every intervening defensive layer had been penetrated. However, castles also fulfilled offensive purposes by providing a stronghold from which a lord could launch attacks and retreat to safety; in such a way, castles were built (or captured) as key components in conquering and holding territory.
A castle’s strategic value placed great responsibility on the resident (usually an Earl or higher); in the rare case of an abandoned site, the castle is probably ruined to any further use, having been razed by an overzealous attacker, cursed, or perhaps “haunted.”</t>
  </si>
  <si>
    <t>Keeps</t>
  </si>
  <si>
    <t>Castles</t>
  </si>
  <si>
    <t>1D8+4</t>
  </si>
  <si>
    <t>Enhanced Encounter</t>
  </si>
  <si>
    <t>Bigger group than normal, unusual helpful item, ally, ambush</t>
  </si>
  <si>
    <t>Standard Encounter</t>
  </si>
  <si>
    <t>Normal numbers, gear, and preparation — might be smaller group than normal, but better gear</t>
  </si>
  <si>
    <t>Reduced Encounter</t>
  </si>
  <si>
    <t>Smaller group than normal, injured, want a peaceful encounter (looking to make a deal?)</t>
  </si>
  <si>
    <t>Evidence only</t>
  </si>
  <si>
    <t>Not actually present, but may have just been here or left a message or something</t>
  </si>
  <si>
    <t>100.00</t>
  </si>
  <si>
    <t>d8+d10+d12</t>
  </si>
  <si>
    <t>d8+d10+d12 %</t>
  </si>
  <si>
    <t>3d10</t>
  </si>
  <si>
    <t>3d10 %</t>
  </si>
  <si>
    <t>0.10</t>
  </si>
  <si>
    <t>0.31</t>
  </si>
  <si>
    <t>0.30</t>
  </si>
  <si>
    <t>0.63</t>
  </si>
  <si>
    <t>0.60</t>
  </si>
  <si>
    <t>1.00</t>
  </si>
  <si>
    <t>960</t>
  </si>
  <si>
    <t>1.04</t>
  </si>
  <si>
    <t>1.56</t>
  </si>
  <si>
    <t>1.50</t>
  </si>
  <si>
    <t>2.19</t>
  </si>
  <si>
    <t>2.10</t>
  </si>
  <si>
    <t>2.92</t>
  </si>
  <si>
    <t>2.80</t>
  </si>
  <si>
    <t>3.75</t>
  </si>
  <si>
    <t>3.60</t>
  </si>
  <si>
    <t>4.58</t>
  </si>
  <si>
    <t>4.50</t>
  </si>
  <si>
    <t>5.42</t>
  </si>
  <si>
    <t>5.50</t>
  </si>
  <si>
    <t>6.15</t>
  </si>
  <si>
    <t>6.30</t>
  </si>
  <si>
    <t>6.77</t>
  </si>
  <si>
    <t>6.90</t>
  </si>
  <si>
    <t>7.19</t>
  </si>
  <si>
    <t>7.30</t>
  </si>
  <si>
    <t>7.40</t>
  </si>
  <si>
    <t>7.50</t>
  </si>
  <si>
    <t>40.00</t>
  </si>
  <si>
    <t>30.00</t>
  </si>
  <si>
    <t>20.00</t>
  </si>
  <si>
    <t>10.00</t>
  </si>
  <si>
    <t>Enhanced</t>
  </si>
  <si>
    <t>Standard</t>
  </si>
  <si>
    <t>Reduced</t>
  </si>
  <si>
    <t>Evidence</t>
  </si>
  <si>
    <t>Frequency</t>
  </si>
  <si>
    <t>0.94</t>
  </si>
  <si>
    <t>0.52</t>
  </si>
  <si>
    <t>0.73</t>
  </si>
  <si>
    <t>0.21</t>
  </si>
  <si>
    <t>0.42</t>
  </si>
  <si>
    <t>0.83</t>
  </si>
  <si>
    <t>1.46</t>
  </si>
  <si>
    <t>1.88</t>
  </si>
  <si>
    <t>2.29</t>
  </si>
  <si>
    <t>2.71</t>
  </si>
  <si>
    <t>3.02</t>
  </si>
  <si>
    <t>1.25</t>
  </si>
  <si>
    <t>3.23</t>
  </si>
  <si>
    <t>3.33</t>
  </si>
  <si>
    <t>2.40</t>
  </si>
  <si>
    <t>1.15</t>
  </si>
  <si>
    <t>2.50</t>
  </si>
  <si>
    <t>1.35</t>
  </si>
  <si>
    <t>1.67</t>
  </si>
  <si>
    <r>
      <t>manor</t>
    </r>
    <r>
      <rPr>
        <sz val="12"/>
        <color rgb="FF001109"/>
        <rFont val="Merriweather"/>
        <charset val="204"/>
      </rPr>
      <t> </t>
    </r>
  </si>
  <si>
    <r>
      <t>barony</t>
    </r>
    <r>
      <rPr>
        <sz val="12"/>
        <color rgb="FF001109"/>
        <rFont val="Merriweather"/>
        <charset val="204"/>
      </rPr>
      <t> </t>
    </r>
  </si>
  <si>
    <t>earldom or county</t>
  </si>
  <si>
    <r>
      <t>duchy</t>
    </r>
    <r>
      <rPr>
        <sz val="12"/>
        <color rgb="FF001109"/>
        <rFont val="Merriweather"/>
        <charset val="204"/>
      </rPr>
      <t> </t>
    </r>
  </si>
  <si>
    <r>
      <t>kingdom</t>
    </r>
    <r>
      <rPr>
        <sz val="12"/>
        <color rgb="FF001109"/>
        <rFont val="Merriweather"/>
        <charset val="204"/>
      </rPr>
      <t> </t>
    </r>
  </si>
  <si>
    <r>
      <t>empire</t>
    </r>
    <r>
      <rPr>
        <sz val="12"/>
        <color rgb="FF001109"/>
        <rFont val="Merriweather"/>
        <charset val="204"/>
      </rPr>
      <t> </t>
    </r>
  </si>
  <si>
    <t>VILLAGES</t>
  </si>
  <si>
    <t>Name Pattern for the Inn</t>
  </si>
  <si>
    <t>1d6 Name Pattern</t>
  </si>
  <si>
    <t>The [Creature Adjective] [Creature]</t>
  </si>
  <si>
    <t>The [Creature] and [Creature]</t>
  </si>
  <si>
    <t>The [Creature]'s [Item]</t>
  </si>
  <si>
    <t>The [Creature]</t>
  </si>
  <si>
    <t>The [Item Adjective] [Item]</t>
  </si>
  <si>
    <t>The [Item] and [Item]</t>
  </si>
  <si>
    <t>Creature Adjective</t>
  </si>
  <si>
    <t>1d100</t>
  </si>
  <si>
    <t>[Pick a number from two to seven]</t>
  </si>
  <si>
    <t>Blind</t>
  </si>
  <si>
    <t>Bouncing</t>
  </si>
  <si>
    <t>Cheerful</t>
  </si>
  <si>
    <t>21-22</t>
  </si>
  <si>
    <t>23-24</t>
  </si>
  <si>
    <t>Flying</t>
  </si>
  <si>
    <t>25-26</t>
  </si>
  <si>
    <t>29-30</t>
  </si>
  <si>
    <t>Growling</t>
  </si>
  <si>
    <t>Happy</t>
  </si>
  <si>
    <t>Jaunty</t>
  </si>
  <si>
    <t>41-42</t>
  </si>
  <si>
    <t>Jolly</t>
  </si>
  <si>
    <t>Mad</t>
  </si>
  <si>
    <t>Merry</t>
  </si>
  <si>
    <t>Musical</t>
  </si>
  <si>
    <t>Odd</t>
  </si>
  <si>
    <t>Pale</t>
  </si>
  <si>
    <t>Pious</t>
  </si>
  <si>
    <t>Prancing</t>
  </si>
  <si>
    <t>Prowling</t>
  </si>
  <si>
    <t>Ragged</t>
  </si>
  <si>
    <t>67-68</t>
  </si>
  <si>
    <t>Shining</t>
  </si>
  <si>
    <t>73-74</t>
  </si>
  <si>
    <t>Singing</t>
  </si>
  <si>
    <t>Sleeping</t>
  </si>
  <si>
    <t>Spotted</t>
  </si>
  <si>
    <t>85-86</t>
  </si>
  <si>
    <t>Timid</t>
  </si>
  <si>
    <t>Traveling</t>
  </si>
  <si>
    <t>Wanton</t>
  </si>
  <si>
    <t>Woebegone</t>
  </si>
  <si>
    <t>Wooden</t>
  </si>
  <si>
    <t>Some alternatives are given, mainly so the syllables have a good rhythm.</t>
  </si>
  <si>
    <t>Abbot (or “Man”)</t>
  </si>
  <si>
    <t>Baron (or “Serf,” or “Innkeeper”)</t>
  </si>
  <si>
    <t>Beggar</t>
  </si>
  <si>
    <t>Bird (or “Parrot”)</t>
  </si>
  <si>
    <t>Boar (or “Pagan”)</t>
  </si>
  <si>
    <t>Crab (or “Acorn” or “Forester”)</t>
  </si>
  <si>
    <t>Dragon (or “Drake”)</t>
  </si>
  <si>
    <t>Druid (or “Bishop”)</t>
  </si>
  <si>
    <t>Fish (or “Heron”)</t>
  </si>
  <si>
    <t>Fool (or “Harper”)</t>
  </si>
  <si>
    <t>Fox (or “Husband”)</t>
  </si>
  <si>
    <t>Frog (or “Plover”)</t>
  </si>
  <si>
    <t>Goose (or “Gander”)</t>
  </si>
  <si>
    <t>Griffon (or “Hippogriff”)</t>
  </si>
  <si>
    <t>Hangman (or “Knight”)</t>
  </si>
  <si>
    <t>Harper (or “Duke” or “Harlequin”)</t>
  </si>
  <si>
    <t>Harpy (or “Trout”)</t>
  </si>
  <si>
    <t>Jester</t>
  </si>
  <si>
    <t>Judge (or “Princess”)</t>
  </si>
  <si>
    <t>Knight (or “Peacock”)</t>
  </si>
  <si>
    <t>Lady (or “Lord,” or “Baroness”)</t>
  </si>
  <si>
    <t>Lion (or “Tiger”)</t>
  </si>
  <si>
    <t>Magpie (or “Knave”)</t>
  </si>
  <si>
    <t>Manticore (or “Mouse” or “Mandrake”)</t>
  </si>
  <si>
    <t>Miller (or “Smith”)</t>
  </si>
  <si>
    <t>Minstrel</t>
  </si>
  <si>
    <t>Monk (or “Friar”)</t>
  </si>
  <si>
    <t>Peasant</t>
  </si>
  <si>
    <t>Pheasant (or “Hog”)</t>
  </si>
  <si>
    <t>Piper (or, “Swan”)</t>
  </si>
  <si>
    <t>Pony (or “Donkey”)</t>
  </si>
  <si>
    <t>Ram (or “Mermaid”)</t>
  </si>
  <si>
    <t>Raven (or “Crow”)</t>
  </si>
  <si>
    <t>Reeve (or “Bailiff”)</t>
  </si>
  <si>
    <t>Robin (or “Dog”)</t>
  </si>
  <si>
    <t>Rooster (or “Hen”)</t>
  </si>
  <si>
    <t>Sage (or “Scholar”)</t>
  </si>
  <si>
    <t>Satyr (or “Hawk”)</t>
  </si>
  <si>
    <t>Shepherd (or “Sheep”)</t>
  </si>
  <si>
    <t>Sheriff (or “Tree”)</t>
  </si>
  <si>
    <t>Squire (or “Pikeman”)</t>
  </si>
  <si>
    <t>Tinker</t>
  </si>
  <si>
    <t>Toad (or “Otter”)</t>
  </si>
  <si>
    <t>Troll (or “Hedgehog”)</t>
  </si>
  <si>
    <t>Warhorse (or “Destrier” or “Horse”)</t>
  </si>
  <si>
    <t>Widow (or “Wife”)</t>
  </si>
  <si>
    <t>Wizard (or “Mage”)</t>
  </si>
  <si>
    <t>Wyvern (or “Whale”)</t>
  </si>
  <si>
    <t>Banner (or “Flag”)</t>
  </si>
  <si>
    <t>Bed (or “Blanket”)</t>
  </si>
  <si>
    <t>Candle (or “Brand”)</t>
  </si>
  <si>
    <t>Cauldron</t>
  </si>
  <si>
    <t>Chair</t>
  </si>
  <si>
    <t>Circle (or “Circlet” or “Crown”)</t>
  </si>
  <si>
    <t>Cloak (or “Doublet”)</t>
  </si>
  <si>
    <t>Cup (or “Chalice”)</t>
  </si>
  <si>
    <t>Den (or “Friend”)</t>
  </si>
  <si>
    <t>Drum</t>
  </si>
  <si>
    <t>Fiddle (or “Pipe”)</t>
  </si>
  <si>
    <t>Foot (or “Footprint,” “Hoof,” etc.)</t>
  </si>
  <si>
    <t>Goblet</t>
  </si>
  <si>
    <t>Halberd</t>
  </si>
  <si>
    <t>Hand (or “Claw”)</t>
  </si>
  <si>
    <t>Harp (or “Tambour”)</t>
  </si>
  <si>
    <t>Head</t>
  </si>
  <si>
    <t>Hearth</t>
  </si>
  <si>
    <t>Home</t>
  </si>
  <si>
    <t>Hood</t>
  </si>
  <si>
    <t>Kettle (or “Pot”)</t>
  </si>
  <si>
    <t>Key</t>
  </si>
  <si>
    <t>Lance (or “Broadsword”)</t>
  </si>
  <si>
    <t>Landing (or “Forge”)</t>
  </si>
  <si>
    <t>Lantern (or “Lamp”)</t>
  </si>
  <si>
    <t>Mallet (or “Pike”)</t>
  </si>
  <si>
    <t>Mask (or “Hammer”)</t>
  </si>
  <si>
    <t>Pillar (or “Door”)</t>
  </si>
  <si>
    <t>Purse</t>
  </si>
  <si>
    <t>Rope (or “Harness”)</t>
  </si>
  <si>
    <t>Scythe</t>
  </si>
  <si>
    <t>Shield (or “Gauntlet”)</t>
  </si>
  <si>
    <t>Shoe</t>
  </si>
  <si>
    <t>Staff (or “Quarterstaff”)</t>
  </si>
  <si>
    <t>Sword (or “Banquet”)</t>
  </si>
  <si>
    <t>Tankard (or “Hall”)</t>
  </si>
  <si>
    <t>Tear (or “Teardrop” or “Toes”)</t>
  </si>
  <si>
    <t>Torch (or “Castle”)</t>
  </si>
  <si>
    <t>Wand (or “Talisman”)</t>
  </si>
  <si>
    <t>Wheatsheaf (or “Tail”)</t>
  </si>
  <si>
    <t>1d50</t>
  </si>
  <si>
    <t>Item Adjective</t>
  </si>
  <si>
    <t>Barking</t>
  </si>
  <si>
    <t>Black (or “Copper”)</t>
  </si>
  <si>
    <t>Broken (or “Bent,” “Fallen,” or “Torn”)</t>
  </si>
  <si>
    <t>Bumpy (or “Rugged”)</t>
  </si>
  <si>
    <t>Cloven</t>
  </si>
  <si>
    <t>Covered</t>
  </si>
  <si>
    <t>Crooked (or “Leaning,” or “Diagonal”)</t>
  </si>
  <si>
    <t>Double (or “Triple”)</t>
  </si>
  <si>
    <t>Dreaming</t>
  </si>
  <si>
    <t>Fancy</t>
  </si>
  <si>
    <t>Giant's</t>
  </si>
  <si>
    <t>Glowing</t>
  </si>
  <si>
    <t>Hanging (or “Checkered,” “Checked,” or “Pied”)</t>
  </si>
  <si>
    <t>High</t>
  </si>
  <si>
    <t>Magic (or “Enchanted”)</t>
  </si>
  <si>
    <t>Mended</t>
  </si>
  <si>
    <t>Mounted (or “Welcoming”)</t>
  </si>
  <si>
    <t>Mystical (or “Painted”)</t>
  </si>
  <si>
    <t>New</t>
  </si>
  <si>
    <t>Old</t>
  </si>
  <si>
    <t>Perfect</t>
  </si>
  <si>
    <t>Purple</t>
  </si>
  <si>
    <t>Sideways</t>
  </si>
  <si>
    <t>Silver (or “Silvery”)</t>
  </si>
  <si>
    <t>Singing (or “Fat” or “Changeable”)</t>
  </si>
  <si>
    <t>Talking</t>
  </si>
  <si>
    <t>Two-Handed (or “Ample”)</t>
  </si>
  <si>
    <t>Unusual (or “Odd”)</t>
  </si>
  <si>
    <t>Well-made</t>
  </si>
  <si>
    <t>Whistling</t>
  </si>
  <si>
    <t>Yellow</t>
  </si>
  <si>
    <t>Basic Description of Inn</t>
  </si>
  <si>
    <t>Basic Description</t>
  </si>
  <si>
    <t>Main inn building, stable, outhouse, barn for chickens and 1d4 cows. These are the least- secure of roadside inns, and usually (but definitely not always) have the lowest quality food and lodgings. They do not have additional horses.</t>
  </si>
  <si>
    <t>Religious hostel with chapel, stone curtain-wall, main inn building, stable, smithy, barn, outhouse, 1d3 outbuildings (shed, dovecote, etc.), chicken coops and/or pigsties.</t>
  </si>
  <si>
    <t>Small tower, stone curtain-wall, main inn building, stable, smithy, barn, outhouse, 1d3 outbuildings (shed, dovecote, etc.), chicken coops and/or pigsties, and 1d3 small houses within the curtilage. These are usually built on the ruins of, or using remaining structures from, ancient Hyperborean road-forts. These highly- secure inns tend to be the most prosperous and the highest quality. A few horses are almost always for sale at these large stopping-places, along with a tailor, leatherworker, and one or two other craftsmen who live here.</t>
  </si>
  <si>
    <t>31-50</t>
  </si>
  <si>
    <t>Stone curtain-wall, main inn building, stable, smithy, barn, outhouse, 1d3 outbuildings (shed, dovecote, etc.), chicken coops and/or pigsties. Fresh mounts will be available here.</t>
  </si>
  <si>
    <t>51-75</t>
  </si>
  <si>
    <t>Wooden palisade-wall, main inn building, stable, outhouse, 1d3 outbuildings (shed, dovecote, etc.), chicken coops and/or pigsties. With no smithy, an inn this size generally does not have any additional horses.</t>
  </si>
  <si>
    <t>76-00</t>
  </si>
  <si>
    <t>Wooden palisade-wall, main inn building, stable, smithy, barn, outhouse, 1d3 outbuildings (shed, dovecote, etc.), chicken coops and/or pigsties. The presence of a smithy indicates that this size inn probably has one or more horses available for travelers in need of fresh mounts.</t>
  </si>
  <si>
    <t>What's for Dinner?</t>
  </si>
  <si>
    <t>Part of the night’s room and board at an inn is the “board,” in other words, the food. Sometimes it’s highly appetizing. Other times, not so much. Strangely enough, mentioning the evening’s fare tends to be a detail that works extremely well in this sort of adventure.</t>
  </si>
  <si>
    <t>Dinner!</t>
  </si>
  <si>
    <t>Boiled eggs, ham, and fried potatoes</t>
  </si>
  <si>
    <t>Boiled lamb with cabbage</t>
  </si>
  <si>
    <t>Curried mincemeat pie</t>
  </si>
  <si>
    <t>16-20</t>
  </si>
  <si>
    <t>Fish in light broth with herbs</t>
  </si>
  <si>
    <t>Hearty stew</t>
  </si>
  <si>
    <t>Huge steamed mushrooms</t>
  </si>
  <si>
    <t>Meat pasties and wild greens</t>
  </si>
  <si>
    <t>Carrots and beets, in beet sauce</t>
  </si>
  <si>
    <t>Pork chops</t>
  </si>
  <si>
    <t>Chunks of gristly meat swimming in greasy stew, with raw onions on the side</t>
  </si>
  <si>
    <t>Rabbit pie</t>
  </si>
  <si>
    <t>Roast beef and potatoes</t>
  </si>
  <si>
    <t>Roast mutton (sheep)</t>
  </si>
  <si>
    <t>Roast pork and fried mushrooms</t>
  </si>
  <si>
    <t>Roasted eggs with sausage</t>
  </si>
  <si>
    <t>Roasted squab, capon, or chicken</t>
  </si>
  <si>
    <t>Sausage and cheese</t>
  </si>
  <si>
    <t>Simmered horsemeat with cream sauce</t>
  </si>
  <si>
    <t>Spicy turnip fritters with stewed chicken</t>
  </si>
  <si>
    <t>Steak-and-Kidney Pie</t>
  </si>
  <si>
    <t>Commerce</t>
  </si>
  <si>
    <t>Some groups of adventurers might take up a bit of trading, purchasing items that are unique to an area and bringing these goods to a market elsewhere in search of profits. If this is a full-time occupation for the characters, you may need to use a more specific system than the one described here, but this will work for occasional trading and transportation.</t>
  </si>
  <si>
    <t>Quick Method for Trading</t>
  </si>
  <si>
    <t>First, the goods must be fairly specific to one area, or the value will not increase with distance; there will be other, nearer sources of the goods that keep prices down. The only sorts of merchandise that continue to increase in value with distance are: furs from creatures unique to an area (such as the spotted tigers of Aachen Province), unique semi-precious stone (not generic ones like rubies or sapphires), extremely fine wines or brandies, unique luxury foodstuffs (such as the dream-apples of the Yolbiac Vale), unusual narcotics and medicines (such as the opium of Suilley), and religious items from a particular site (such as a holy symbol that has touched the Rock of Yenomesh in Cluin). If the goods do not fall into one of these categories or a similar local rarity, they will not appreciate in value over distance; other traders are assumed to have contacts and skills that keep casual rivals from getting good sale prices in the market of destination.</t>
  </si>
  <si>
    <t>If the goods do fall into one of these categories, their value will appreciate with distance from their source. For each 5 hexes the goods move (count the hexes following a road, regardless of the path taken by the characters), roll on the following table to see how much the price moves in that step of the journey. If the characters continue moving goods more than 5 hexes, use the price determined in the last step as the new original price. Note: taking a roundabout route does not increase the value of good: if there is a shorter road between two destinations, count the shorter of the two routes.</t>
  </si>
  <si>
    <t>1d20</t>
  </si>
  <si>
    <t>Price Change</t>
  </si>
  <si>
    <t>Multiply previous price by .8. A lot of these goods have recently been sold here and the market is quite saturated.</t>
  </si>
  <si>
    <t>Multiply original price by .9. There has recently been a fair amount of trading in these goods or similar ones, and the market is somewhat saturated.</t>
  </si>
  <si>
    <t>No price change</t>
  </si>
  <si>
    <t>Multiply price by 1.1</t>
  </si>
  <si>
    <t>Multiply price by 1.2</t>
  </si>
  <si>
    <t>Multiply price by 1.3</t>
  </si>
  <si>
    <t>Keep in mind the maximum purchasing capacity of the place where the characters are trying to sell the goods. Even though the purchasing capacity periodically refreshes itself, if it has been filled once by the same type of goods, the value of those goods will go down. If the characters “use up” a location’s maximum ability to purchase a particular type of goods, the second batch of sales will not have the same increased value because the characters will have saturated the market. The second time around, the prices offered by local buyers will be the last price times .8. The goods will not be purchased again at all for a full month after this, and even then the offered price will remain at .9 times the first price that was offered here.</t>
  </si>
  <si>
    <t>Example:</t>
  </si>
  <si>
    <t>1         The characters obtain 1000gp worth of tiger pelts in the city of Aixe, in Aachen Province. They might have paid less, but if the going price for the pelts was 1000gp in Aachen, that’s the price to use as the starting point for determining how much the price changes over distance. A bargain is a</t>
  </si>
  <si>
    <t>bargain: it doesn’t change market prices elsewhere.</t>
  </si>
  <si>
    <t>2         The characters travel to the city of Carterscroft in Eastreach, a journey of about 10 hexes. Since the journey was 10 hexes, they roll twice on the price change table, first getting a result of 12 (price increases to 1,100gp, and then they roll a 17. When they roll the 17, this increases the 1,100 price (not the original 1,000 price). Therefore, multiply 1,100 by 1.2, for a price of 1,320gp for their pelts in the city of Carterscroft.</t>
  </si>
  <si>
    <t>3         The characters do not sell their pelts in Carterscroft, instead traveling back south to the Estuary Road and then proceeding to Eastgate. From Carterscroft, this is a journey of roughly 8 hexes by road, which might indicate a third and fourth “step” in the change of value in their goods. However, the total distance from Aixe (the origin of the goods) to Eastgate is only roughly 12 hexes, meaning that there are only 2 steps in price change between those cities (one at 5 hexes, one at 10 hexes. Thus, the characters do not get any further rolls on the price change table. It is only when they get 15 hexes by road from Aixe that there will be another change in price.</t>
  </si>
  <si>
    <t>Patron</t>
  </si>
  <si>
    <t>Table 2: Patron</t>
  </si>
  <si>
    <t>Agent of the banking house of Borgandy, in Remballo.</t>
  </si>
  <si>
    <t>Agent of a mercantile association, guild, or group of allied merchant houses. This can also include financiers, moneylenders, and bankers, including the smaller rivals of the House of Borgandy.</t>
  </si>
  <si>
    <t>Agent of a religious group, such as a heretic­hunter, a paladin, a pilgrimage-organizer, the commander of religious guards, a curator of religious objects, etc.</t>
  </si>
  <si>
    <t>Agent of a religious group: Heretic-hunter in service to the Church of Thyr</t>
  </si>
  <si>
    <t>Agent of a religious group: Paladin of Thyr or Muir</t>
  </si>
  <si>
    <t>Agent of a religious group: pilgrimage organizer for the Church of Mitra (Sun)</t>
  </si>
  <si>
    <t>Agent of a religious group: pilgrimage-organizer for the temples of Solanus, Thyr, and Muir</t>
  </si>
  <si>
    <t>Agent of a religious group: religious order of guardians associated with the Church of Vanitthu (Guardians)</t>
  </si>
  <si>
    <t>Agent of a religious group: curator associated with the Cult of Yenomesh (Runes and Glyphs)</t>
  </si>
  <si>
    <t>Agent of a religious group: intelligence gatherer for the Church of Belon the Wise (Knowledge, Magic, Travel)</t>
  </si>
  <si>
    <t>Agent of a religious group: one of the Excriptors of Jamboor, an intelligence-gatherer</t>
  </si>
  <si>
    <t>Agent of a religious group: some far-flung monastic order with small monasteries in many places</t>
  </si>
  <si>
    <t>Alchemist, scholar, or university official</t>
  </si>
  <si>
    <t>Diplomatic agent of the Province, Duchy, Kingdom or County the characters are currently in. If none (such as the Gaelon River Valley) then it is an agent of Bard's Gate</t>
  </si>
  <si>
    <t>Diplomatic Agent of Endhome (ambassador, consul, envoy, functionary, or spy)</t>
  </si>
  <si>
    <t>Diplomatic Agent of Suilley, official (ambassador, consul, envoy, or functionary)</t>
  </si>
  <si>
    <t>Diplomatic Agent of Suilley (secret agent or spy)</t>
  </si>
  <si>
    <t>Diplomatic Agent of the Duchy of the Rampart, official (ambassador, consul, envoy, or functionary)</t>
  </si>
  <si>
    <t>Diplomatic Agent of the Duchy of the Rampart (secret agent or spy)</t>
  </si>
  <si>
    <t>Law enforcement agent of the Province, Duchy, Kingdom or County the characters are currently in. If no such authority (such as in Gaelon River Valley), then the agent is from the Temple of Thyr working to bring criminals to justice.</t>
  </si>
  <si>
    <t>Local noble, or a town mayor, as applicable to the location where the journey starts</t>
  </si>
  <si>
    <t>Merchant acting independently</t>
  </si>
  <si>
    <t>Military agent of the Province, Duchy, Kingdom or County the characters are currently in. If none (such as in the Gaelon River Valley), then the agent is from either the Duchy of the Rampart (0150) or from the Kingdom of Suilley (51-00)</t>
  </si>
  <si>
    <t>Druid or druids</t>
  </si>
  <si>
    <t>Temple, cleric, or agent of the temple of Belon the Wise</t>
  </si>
  <si>
    <t>Temple, cleric, or agent of the temple of Ceres</t>
  </si>
  <si>
    <t>Temple, cleric, or agent of the temple of Freya</t>
  </si>
  <si>
    <t>Temple, cleric, or agent of the temple of Jamboor</t>
  </si>
  <si>
    <t>Temple, cleric, or agent of the temple of Kamien</t>
  </si>
  <si>
    <t>Temple, cleric, or agent of the temple of Mitra</t>
  </si>
  <si>
    <t>Temple, cleric, or agent of the temple of Solanus</t>
  </si>
  <si>
    <t>Temple, cleric, or agent of the temple of Thyr</t>
  </si>
  <si>
    <t>Temple, cleric, or agent of the temple of Vanitthu</t>
  </si>
  <si>
    <t>Wizard or the agent of a wizard.</t>
  </si>
  <si>
    <t>Table 3: Patron's Motivation</t>
  </si>
  <si>
    <t>Motivation</t>
  </si>
  <si>
    <t>A financial interest in the situation. The patron or the patron's organization stands to make money from whatever the mission might be. Even temples and other less self-interested organizations rely on money to a certain degree.</t>
  </si>
  <si>
    <t>Contractual obligation of patron</t>
  </si>
  <si>
    <t>Helps one of the patron's major allies</t>
  </si>
  <si>
    <t>Hinders or blocks the plans of one of the patron's major enemies</t>
  </si>
  <si>
    <t>Old friend of someone involved in the situation</t>
  </si>
  <si>
    <t>Patron is a specialist at finding people to perform this sort of mission</t>
  </si>
  <si>
    <t>Patron is returning a favor for some past service or assistance</t>
  </si>
  <si>
    <t>81-00</t>
  </si>
  <si>
    <t>Patron's moral obligation (lawfulness, legal obligation, kindness, fighting evil, doing good, religious dictates, etc.)</t>
  </si>
  <si>
    <t xml:space="preserve">Journey Details: SimpleJourney </t>
  </si>
  <si>
    <t>Table 4: Simple Journey</t>
  </si>
  <si>
    <t>Simple Journey</t>
  </si>
  <si>
    <t>Catch up with a fugitive/outlaw/villain who is trying to get away and has a good lead</t>
  </si>
  <si>
    <t>Deliver a reluctant cargo (prisoner, heretic, caged monster, etc.)</t>
  </si>
  <si>
    <t>Deliver an item as fast-couriers, with a timetable</t>
  </si>
  <si>
    <t>Deliver an item, traveling with a caravan</t>
  </si>
  <si>
    <t>Guard a caravan</t>
  </si>
  <si>
    <t>Guard a lone messenger</t>
  </si>
  <si>
    <t>Guard a small group of traders</t>
  </si>
  <si>
    <t>Guard pilgrims on their pilgrimage</t>
  </si>
  <si>
    <t>Characters have received an offer of employment and are to meet the patron at the destination</t>
  </si>
  <si>
    <t>Protect a fugitive from justice (unjustly accused and being smuggled away)</t>
  </si>
  <si>
    <t>Journey Details: Complex Journey</t>
  </si>
  <si>
    <t>Complex journeys are the framework of an adventure expected to take place mostly at the end of the journey, as opposed to situations where the journey itself is the adventure. What’s happening at the destination is more important than for simple journeys. A mission has an objective, a place, a group, a threat, a related object, and a possible complication.</t>
  </si>
  <si>
    <t>Table 5: Objective</t>
  </si>
  <si>
    <t>Catch up with someone else on their way to destination</t>
  </si>
  <si>
    <t>Defend or otherwise protect a place and its inhabitants</t>
  </si>
  <si>
    <t>Deliver an object to a place/group</t>
  </si>
  <si>
    <t>Escort a person or group to another place/ group</t>
  </si>
  <si>
    <t>Learn something useful from a place/group</t>
  </si>
  <si>
    <t>Protect an object that someone else is bringing to a place/group</t>
  </si>
  <si>
    <t>Reinforce or warn a place under threat</t>
  </si>
  <si>
    <t>Retrieve an object from a place/group</t>
  </si>
  <si>
    <t>Something to be discovered/found in a place</t>
  </si>
  <si>
    <t>Something to be recovered from a place</t>
  </si>
  <si>
    <t>Table 6: Location</t>
  </si>
  <si>
    <t>Non-City Location</t>
  </si>
  <si>
    <t>City Locations</t>
  </si>
  <si>
    <t>Abbey</t>
  </si>
  <si>
    <t>Caves</t>
  </si>
  <si>
    <t>Craftsman</t>
  </si>
  <si>
    <t>Encampment</t>
  </si>
  <si>
    <t>Fortified building or manor</t>
  </si>
  <si>
    <t>Mayor or City Government</t>
  </si>
  <si>
    <t>Grove</t>
  </si>
  <si>
    <t>Hamlet or isolated community</t>
  </si>
  <si>
    <t>Merchant's Offices</t>
  </si>
  <si>
    <t>Holy Site</t>
  </si>
  <si>
    <t>Prison or a place that is holding a prisoner</t>
  </si>
  <si>
    <t>Noble Household</t>
  </si>
  <si>
    <t>Stockade</t>
  </si>
  <si>
    <t>Swamp, marsh, fen, or moor</t>
  </si>
  <si>
    <t>Store</t>
  </si>
  <si>
    <t>University, school, or academy</t>
  </si>
  <si>
    <t>Underground complex</t>
  </si>
  <si>
    <t>Wizard's Tower</t>
  </si>
  <si>
    <t>Warehouse, storage place, or stockade</t>
  </si>
  <si>
    <t>Table 7: Group*</t>
  </si>
  <si>
    <t>Archaeologists or adventurers</t>
  </si>
  <si>
    <t>Diplomat or negotiator</t>
  </si>
  <si>
    <t>Druids</t>
  </si>
  <si>
    <t>Local Lord</t>
  </si>
  <si>
    <t>Outlaw</t>
  </si>
  <si>
    <t>Priests of a deity</t>
  </si>
  <si>
    <t>Scholars</t>
  </si>
  <si>
    <t>Soldiery of the realm</t>
  </si>
  <si>
    <t>Wizard and minions</t>
  </si>
  <si>
    <t>*This table is general and flexible, as opposed to the more specific table for generating patrons. This is so you can fit together the various components of a more complex situation without running into contradictions and combinations that make no inherent sense.</t>
  </si>
  <si>
    <t>Table 8: Immediate Threat</t>
  </si>
  <si>
    <t>Threat</t>
  </si>
  <si>
    <t>A possible traitor in the place they are going (warn group and find traitor with information)</t>
  </si>
  <si>
    <t>Deadly consequences of past actions</t>
  </si>
  <si>
    <t>Disease or curse has struck at destination</t>
  </si>
  <si>
    <t>Local Leader near the destination</t>
  </si>
  <si>
    <t>Local Leader of the destination itself</t>
  </si>
  <si>
    <t>Monster(s)</t>
  </si>
  <si>
    <t>Natural or Supernatural disaster is looming</t>
  </si>
  <si>
    <t>Other hired adventurers or agents (someone important doesn't want this mission to succeed)</t>
  </si>
  <si>
    <t>Table 8.1: Monsters</t>
  </si>
  <si>
    <t>This table is optional, provided as a resource only. If you have a particular monster that springs to mind, follow your gut instinct and use that one. If it’s a single “boss monster” type of threat, you might want to roll on this table to see what kind of minions or allies the big monster might have. We use the categories from The Tome of Adventure Design here, in case you want to use these two books in tandem with each other. If the monster is enough to warrant actual long-distance travel, it might be a fairly unique creature rather than an “ordinary” monster threat, especially at higher levels. A unique creature might have a name, a bit of a history, and unusual special abilities. This helps keep you away from “A new king has risen among the barbarians,” or “orcs are threatening a small village.”</t>
  </si>
  <si>
    <t>1d100 General Monster Type</t>
  </si>
  <si>
    <t>15-21</t>
  </si>
  <si>
    <t>Draconic</t>
  </si>
  <si>
    <t>22-28</t>
  </si>
  <si>
    <t>29-35</t>
  </si>
  <si>
    <t>36-42</t>
  </si>
  <si>
    <t>43-49</t>
  </si>
  <si>
    <t>Horror</t>
  </si>
  <si>
    <t>50-56</t>
  </si>
  <si>
    <t>57-63</t>
  </si>
  <si>
    <t>Mist Creature</t>
  </si>
  <si>
    <t>64-70</t>
  </si>
  <si>
    <t>Oozes</t>
  </si>
  <si>
    <t>71-77</t>
  </si>
  <si>
    <t>78-84</t>
  </si>
  <si>
    <t>85-91</t>
  </si>
  <si>
    <t>92-00</t>
  </si>
  <si>
    <t>Verminous</t>
  </si>
  <si>
    <t>Beasts: A beast is a monster that lives in the fantasy world’s natural ecosystem. It probably isn’t more intelligent than a regular animal, although it might be unusually cunning. Giant ants and griffons are both examples of this sort of monster. The point of the journey might be to rescue people from the marauding creatures, might be a generalized hunt being held in the area, or might be a situation where the characters have learned that a bounty is being offered for killing or capturing a particular type.</t>
  </si>
  <si>
    <t>Constructs: Constructs are man-made objects that have at least rudimentary intelligence, and probably can also move.</t>
  </si>
  <si>
    <t>Draconic: Draconic creatures include not only dragons, but wyverns and other dragon-like beasts.</t>
  </si>
  <si>
    <t>Elemental: Elementals are creatures associated with a fundamental “element” of nature.</t>
  </si>
  <si>
    <t>Fey: Creatures associated with nature, or a catch-all for folkloric creatures that don’t tend to fit elsewhere.</t>
  </si>
  <si>
    <t>Giants: Fairly self-explanatory.</t>
  </si>
  <si>
    <t>Horrors: Horrors are monsters utterly alien to the surface world, dwelling deep beneath the ground, in the dark depths of space, in the realms of dreams, in horrid and alien dimensions, or in the distant past (or future).</t>
  </si>
  <si>
    <t>Humanoid: Any race of bipedal creatures without powerful magical abilities except in unusual members of the species. This would include goblins and orcs, but also possibly elves and even stranger groups of things such as mole-men or bat-people.</t>
  </si>
  <si>
    <t>Mist-Creatures: Mist creatures are normally unintelligent, acting on instinct. They can normally be damaged in only a few ways, and often function in the nature of a localized hazard. In addition to being a naturally-occurring phenomenon, they might also be created by divine (or demonic) vengeance, by the prayers or invocations of a large number of people, by a dimensional rift, or by magical accidents.</t>
  </si>
  <si>
    <t>Oozes: Like mist-creatures, oozes are usually localized. This category could include massive ooze-like things that aren’t monsters per se, just a major, spreading hazard caused by an unknown source. The source might be naturally occurring, although something would definitely be out of balance in that case, or it might be something supernatural.</t>
  </si>
  <si>
    <t>Planar Creatures: These are monsters having their origin or home in another dimension, reality, or plane of existence. Adventures in this sort of situation are likely to be along the lines of banishing the creature using special material or information from the adventure’s starting point or, of course, simply killing the thing(s). The creatures might be intelligent planar travelers, summoned creatures, or some kind of manifestation/ projection intruding from another plane of existence.</t>
  </si>
  <si>
    <t>Plant Creatures: Like oozes, these creatures are probably pretty localized, but could possibly be a larger phenomenon like an entire forest coming to life or the march of a large number of mobile plants.</t>
  </si>
  <si>
    <t>Undead: Pretty self-explanatory, here.</t>
  </si>
  <si>
    <t>Verminous: Vermin don’t ordinarily constitute the kind of threat that would cause characters to travel large distances, but it’s possible if there is a defined source of the creatures that has recently opened up, or a massive infestation in a city. Generally the objective here wouldn’t so much be to eradicate the vermin (even if they are giant) but to destroy or close the source.</t>
  </si>
  <si>
    <t>Table 9: Related Object</t>
  </si>
  <si>
    <t>1d20 Object</t>
  </si>
  <si>
    <t>Cargo (wheat, timber, furs, etc.)</t>
  </si>
  <si>
    <t>Cattle or livestock</t>
  </si>
  <si>
    <t>Clue about what is happening at the location, to be delivered</t>
  </si>
  <si>
    <t>Deed or legal document</t>
  </si>
  <si>
    <t>Evidence of crime</t>
  </si>
  <si>
    <t>Evidence of innocence</t>
  </si>
  <si>
    <t>Gold or jewelry</t>
  </si>
  <si>
    <t>Machine or equipment</t>
  </si>
  <si>
    <t>Magic item</t>
  </si>
  <si>
    <t>Map</t>
  </si>
  <si>
    <t>Message or letter</t>
  </si>
  <si>
    <t>Mysterious sealed container</t>
  </si>
  <si>
    <t>Ownership documents</t>
  </si>
  <si>
    <t>Religious item</t>
  </si>
  <si>
    <t>Statue or idol (portable)</t>
  </si>
  <si>
    <t>Symbol of authority</t>
  </si>
  <si>
    <t>Unusual animal (familiar, mascot, pet, prize cow, etc.)</t>
  </si>
  <si>
    <t>Vehicles with cargo</t>
  </si>
  <si>
    <t>Weapon (siege engine, famous sword, etc)</t>
  </si>
  <si>
    <t>Table 10: Possible Complication</t>
  </si>
  <si>
    <t>1d100 Complication</t>
  </si>
  <si>
    <t>Ambush is readied by patron's enemy</t>
  </si>
  <si>
    <t>21-40</t>
  </si>
  <si>
    <t>Characters have been given a secret identity (as pilgrims, government officials, etc.).</t>
  </si>
  <si>
    <t>Object (or person being escorted) must be kept secret and concealed</t>
  </si>
  <si>
    <t>61-80</t>
  </si>
  <si>
    <t>Pursuers</t>
  </si>
  <si>
    <t>Treacherous companion</t>
  </si>
  <si>
    <t>Final Wrap-up</t>
  </si>
  <si>
    <t>Table ii: Wrap-up</t>
  </si>
  <si>
    <t>Bonus: the characters are paid or otherwise rewarded more than expected, by about 10%</t>
  </si>
  <si>
    <t>Major Problem: a threat that was facing the group or recipient has already come to pass. Either the characters are simply too late (possibly they were too late even when the journey began), or there is no one left to contact, or other such calamity has occurred at the destination site.</t>
  </si>
  <si>
    <t>Major Problem: the delivery, information, or assistance is rejected for some reason (they don't want the thing, they don't believe the information, don't want the help, suspect the characters of treachery, etc.)</t>
  </si>
  <si>
    <t>Minor Delay: the recipient is not available, and there is a short wait of a couple of days. This might or might not be a problem for the mission, but it might involve finding a place to stay or other minor details that make the wrap up something more than just, “you deliver the item and get paid.”</t>
  </si>
  <si>
    <t>Party: someone throws a party to celebrate the success. If it was the bad guys who won, the characters probably hear about the party later. Regret is a bitter drink.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</si>
</sst>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 #,##0.00\ &quot;₽&quot;_-;\-* #,##0.00\ &quot;₽&quot;_-;_-* &quot;-&quot;??\ &quot;₽&quot;_-;_-@_-"/>
    <numFmt numFmtId="164" formatCode="\+#"/>
    <numFmt numFmtId="165" formatCode="\+#;0;\-#"/>
    <numFmt numFmtId="166" formatCode="\+0;\-0;0"/>
    <numFmt numFmtId="167" formatCode=";;;"/>
    <numFmt numFmtId="168" formatCode="\¤\ #,##0.00"/>
    <numFmt numFmtId="169" formatCode="0.0"/>
    <numFmt numFmtId="170" formatCode="_(* #,##0.00_);_(* \(#,##0.00\);_(* &quot;-&quot;??_);_(@_)"/>
    <numFmt numFmtId="171" formatCode="??????&quot; gp&quot;"/>
    <numFmt numFmtId="172" formatCode="\+#;\-#;\+0"/>
    <numFmt numFmtId="173" formatCode="mmm&quot; &quot;d&quot;, &quot;yyyy"/>
    <numFmt numFmtId="174" formatCode="#,##0.0"/>
    <numFmt numFmtId="175" formatCode="_(&quot;$&quot;* #,##0.00_);_(&quot;$&quot;* \(#,##0.00\);_(&quot;$&quot;* &quot;-&quot;??_);_(@_)"/>
  </numFmts>
  <fonts count="342">
    <font>
      <sz val="11"/>
      <color theme="1"/>
      <name val="Lato"/>
      <family val="2"/>
      <charset val="204"/>
      <scheme val="minor"/>
    </font>
    <font>
      <sz val="11"/>
      <color theme="1"/>
      <name val="Segoe UI"/>
      <family val="2"/>
      <charset val="204"/>
    </font>
    <font>
      <sz val="11"/>
      <color theme="1"/>
      <name val="Segoe UI"/>
      <family val="2"/>
      <charset val="204"/>
    </font>
    <font>
      <sz val="11"/>
      <color theme="1"/>
      <name val="Segoe UI"/>
      <family val="2"/>
      <charset val="204"/>
    </font>
    <font>
      <u/>
      <sz val="11"/>
      <color theme="10"/>
      <name val="Lato"/>
      <family val="2"/>
      <charset val="204"/>
      <scheme val="minor"/>
    </font>
    <font>
      <sz val="13.5"/>
      <color rgb="FF000000"/>
      <name val="Segoe UI"/>
      <family val="2"/>
      <charset val="204"/>
    </font>
    <font>
      <b/>
      <sz val="8"/>
      <name val="Arial"/>
      <family val="2"/>
    </font>
    <font>
      <sz val="10"/>
      <name val="Arial"/>
      <family val="2"/>
      <charset val="204"/>
    </font>
    <font>
      <sz val="8"/>
      <name val="Arial"/>
      <family val="2"/>
    </font>
    <font>
      <sz val="8"/>
      <name val="Courier New"/>
      <family val="3"/>
    </font>
    <font>
      <sz val="8"/>
      <name val="Arial"/>
      <family val="2"/>
      <charset val="204"/>
    </font>
    <font>
      <sz val="8"/>
      <color indexed="10"/>
      <name val="Arial"/>
      <family val="2"/>
    </font>
    <font>
      <sz val="11"/>
      <color rgb="FFFFFF00"/>
      <name val="Lato"/>
      <family val="2"/>
      <charset val="204"/>
      <scheme val="minor"/>
    </font>
    <font>
      <sz val="9"/>
      <color indexed="81"/>
      <name val="Tahoma"/>
      <family val="2"/>
      <charset val="204"/>
    </font>
    <font>
      <b/>
      <sz val="9"/>
      <color indexed="81"/>
      <name val="Tahoma"/>
      <family val="2"/>
      <charset val="204"/>
    </font>
    <font>
      <sz val="8"/>
      <color rgb="FF000000"/>
      <name val="Arial"/>
      <family val="2"/>
      <charset val="204"/>
    </font>
    <font>
      <sz val="8"/>
      <color rgb="FFFF0000"/>
      <name val="Arial"/>
      <family val="2"/>
      <charset val="204"/>
    </font>
    <font>
      <sz val="11"/>
      <color theme="1"/>
      <name val="Lato"/>
      <family val="2"/>
      <charset val="204"/>
      <scheme val="minor"/>
    </font>
    <font>
      <b/>
      <sz val="11"/>
      <color theme="3"/>
      <name val="Segoe UI"/>
      <family val="2"/>
      <charset val="204"/>
    </font>
    <font>
      <b/>
      <sz val="11"/>
      <color rgb="FF3F3F3F"/>
      <name val="Segoe UI"/>
      <family val="2"/>
      <charset val="204"/>
    </font>
    <font>
      <b/>
      <sz val="11"/>
      <color rgb="FFFA7D00"/>
      <name val="Segoe UI"/>
      <family val="2"/>
      <charset val="204"/>
    </font>
    <font>
      <b/>
      <sz val="11"/>
      <color theme="1"/>
      <name val="Segoe UI"/>
      <family val="2"/>
      <charset val="204"/>
    </font>
    <font>
      <b/>
      <sz val="11"/>
      <color theme="0"/>
      <name val="Lato"/>
      <family val="2"/>
      <charset val="204"/>
      <scheme val="minor"/>
    </font>
    <font>
      <sz val="11"/>
      <color rgb="FF000000"/>
      <name val="Arial Unicode MS"/>
      <family val="2"/>
      <charset val="204"/>
    </font>
    <font>
      <sz val="12"/>
      <color rgb="FF000000"/>
      <name val="Arial Unicode MS"/>
      <family val="2"/>
      <charset val="204"/>
    </font>
    <font>
      <sz val="11"/>
      <color theme="1"/>
      <name val="Lato"/>
      <family val="2"/>
      <scheme val="minor"/>
    </font>
    <font>
      <b/>
      <sz val="11"/>
      <color theme="1"/>
      <name val="Lato"/>
      <family val="1"/>
      <scheme val="minor"/>
    </font>
    <font>
      <sz val="10"/>
      <name val="Lato"/>
      <family val="2"/>
      <scheme val="minor"/>
    </font>
    <font>
      <sz val="9"/>
      <name val="Lato"/>
      <family val="2"/>
      <scheme val="minor"/>
    </font>
    <font>
      <sz val="10"/>
      <color theme="0"/>
      <name val="Lato"/>
      <family val="2"/>
      <scheme val="minor"/>
    </font>
    <font>
      <sz val="8"/>
      <name val="Lato"/>
      <family val="2"/>
      <scheme val="minor"/>
    </font>
    <font>
      <u/>
      <sz val="11"/>
      <color theme="10"/>
      <name val="Lato"/>
      <family val="2"/>
      <scheme val="minor"/>
    </font>
    <font>
      <sz val="11"/>
      <color rgb="FFFFFF00"/>
      <name val="Lato"/>
      <family val="2"/>
      <scheme val="minor"/>
    </font>
    <font>
      <b/>
      <sz val="11"/>
      <color theme="1"/>
      <name val="Lato"/>
      <family val="2"/>
      <charset val="204"/>
      <scheme val="minor"/>
    </font>
    <font>
      <b/>
      <sz val="11"/>
      <color theme="3" tint="0.79998168889431442"/>
      <name val="Lato"/>
      <family val="2"/>
      <charset val="204"/>
      <scheme val="minor"/>
    </font>
    <font>
      <sz val="11"/>
      <color rgb="FFC00000"/>
      <name val="Lato"/>
      <family val="2"/>
      <charset val="204"/>
      <scheme val="minor"/>
    </font>
    <font>
      <sz val="11"/>
      <color theme="6" tint="0.79998168889431442"/>
      <name val="Lato"/>
      <family val="2"/>
      <scheme val="minor"/>
    </font>
    <font>
      <b/>
      <sz val="11"/>
      <color theme="6" tint="0.79998168889431442"/>
      <name val="Lato"/>
      <family val="2"/>
      <charset val="204"/>
      <scheme val="minor"/>
    </font>
    <font>
      <i/>
      <sz val="11"/>
      <color theme="1"/>
      <name val="Lato"/>
      <family val="2"/>
      <charset val="204"/>
      <scheme val="minor"/>
    </font>
    <font>
      <sz val="11"/>
      <color theme="6" tint="0.79998168889431442"/>
      <name val="Lato"/>
      <family val="2"/>
      <charset val="204"/>
      <scheme val="minor"/>
    </font>
    <font>
      <sz val="11"/>
      <color theme="6" tint="0.79998168889431442"/>
      <name val="rpg-awesome"/>
    </font>
    <font>
      <sz val="11"/>
      <color theme="6" tint="0.79998168889431442"/>
      <name val="Webdings"/>
      <family val="1"/>
      <charset val="2"/>
    </font>
    <font>
      <sz val="11"/>
      <color theme="6" tint="0.79998168889431442"/>
      <name val="Wingdings"/>
      <charset val="2"/>
    </font>
    <font>
      <sz val="11"/>
      <color theme="6" tint="0.79998168889431442"/>
      <name val="Calibri"/>
      <family val="2"/>
    </font>
    <font>
      <b/>
      <sz val="11"/>
      <color theme="6" tint="0.79998168889431442"/>
      <name val="Segoe UI"/>
      <family val="2"/>
      <charset val="204"/>
    </font>
    <font>
      <sz val="8"/>
      <color theme="1"/>
      <name val="Lato"/>
      <family val="2"/>
      <scheme val="minor"/>
    </font>
    <font>
      <sz val="11"/>
      <color indexed="81"/>
      <name val="Tahoma"/>
      <family val="2"/>
    </font>
    <font>
      <b/>
      <sz val="11"/>
      <color rgb="FFFFFF00"/>
      <name val="Lato"/>
      <family val="2"/>
      <charset val="204"/>
      <scheme val="minor"/>
    </font>
    <font>
      <sz val="9.5"/>
      <color rgb="FF000000"/>
      <name val="Arial"/>
      <family val="2"/>
      <charset val="204"/>
    </font>
    <font>
      <sz val="9.9"/>
      <color rgb="FF000000"/>
      <name val="Arial"/>
      <family val="2"/>
      <charset val="204"/>
    </font>
    <font>
      <b/>
      <sz val="11"/>
      <color theme="9" tint="-0.249977111117893"/>
      <name val="Lato"/>
      <family val="2"/>
      <charset val="204"/>
      <scheme val="minor"/>
    </font>
    <font>
      <sz val="10"/>
      <name val="Arial"/>
      <family val="2"/>
    </font>
    <font>
      <sz val="10"/>
      <name val="Nodesto Caps Condensed"/>
    </font>
    <font>
      <sz val="11"/>
      <color rgb="FF3F3F76"/>
      <name val="Lato"/>
      <family val="2"/>
      <scheme val="minor"/>
    </font>
    <font>
      <sz val="14"/>
      <name val="Arial"/>
      <family val="2"/>
      <charset val="204"/>
    </font>
    <font>
      <b/>
      <sz val="14"/>
      <name val="Nodesto Caps Condensed"/>
    </font>
    <font>
      <sz val="14"/>
      <name val="Nodesto Caps Condensed"/>
    </font>
    <font>
      <sz val="14"/>
      <color rgb="FF3F3F76"/>
      <name val="Nodesto Caps Condensed"/>
    </font>
    <font>
      <i/>
      <sz val="14"/>
      <name val="Nodesto Caps Condensed"/>
    </font>
    <font>
      <i/>
      <sz val="14"/>
      <color rgb="FF3F3F76"/>
      <name val="Nodesto Caps Condensed"/>
    </font>
    <font>
      <b/>
      <sz val="14"/>
      <color rgb="FFFFFF00"/>
      <name val="Nodesto Caps Condensed"/>
    </font>
    <font>
      <b/>
      <sz val="14"/>
      <color rgb="FFFA7D00"/>
      <name val="Nodesto Caps Condensed"/>
    </font>
    <font>
      <sz val="14"/>
      <color theme="1"/>
      <name val="Nodesto Caps Condensed"/>
    </font>
    <font>
      <sz val="12"/>
      <name val="MrsEavesRoman"/>
    </font>
    <font>
      <i/>
      <sz val="14"/>
      <color rgb="FFFFFF00"/>
      <name val="Nodesto Caps Condensed"/>
    </font>
    <font>
      <sz val="11"/>
      <color indexed="81"/>
      <name val="MrsEavesRoman"/>
    </font>
    <font>
      <b/>
      <sz val="22"/>
      <color indexed="81"/>
      <name val="Nodesto Caps Condensed"/>
    </font>
    <font>
      <sz val="14"/>
      <name val="MrsEavesRoman"/>
    </font>
    <font>
      <b/>
      <sz val="24"/>
      <color rgb="FFFFFF00"/>
      <name val="Nodesto Caps Condensed"/>
    </font>
    <font>
      <sz val="24"/>
      <color rgb="FFFFFF00"/>
      <name val="Nodesto Caps Condensed"/>
    </font>
    <font>
      <sz val="16"/>
      <color rgb="FFFFFF00"/>
      <name val="Nodesto Caps Condensed"/>
    </font>
    <font>
      <sz val="11"/>
      <color rgb="FFFF0000"/>
      <name val="Lato"/>
      <family val="2"/>
      <charset val="204"/>
      <scheme val="minor"/>
    </font>
    <font>
      <sz val="11"/>
      <color rgb="FF7030A0"/>
      <name val="Lato"/>
      <family val="2"/>
      <charset val="204"/>
      <scheme val="minor"/>
    </font>
    <font>
      <sz val="20"/>
      <color rgb="FFFFFF00"/>
      <name val="Nodesto Caps Condensed"/>
    </font>
    <font>
      <sz val="10"/>
      <color rgb="FF000000"/>
      <name val="Arial"/>
      <family val="2"/>
      <charset val="204"/>
    </font>
    <font>
      <sz val="11"/>
      <color rgb="FF000000"/>
      <name val="Calibri"/>
      <family val="2"/>
      <charset val="204"/>
    </font>
    <font>
      <b/>
      <sz val="11"/>
      <color rgb="FF000000"/>
      <name val="Calibri"/>
      <family val="2"/>
      <charset val="204"/>
    </font>
    <font>
      <b/>
      <sz val="10"/>
      <color rgb="FF000000"/>
      <name val="Arial"/>
      <family val="2"/>
      <charset val="204"/>
    </font>
    <font>
      <sz val="12"/>
      <name val="Eras Medium ITC"/>
      <family val="2"/>
    </font>
    <font>
      <sz val="12"/>
      <color rgb="FF000000"/>
      <name val="Eras Medium ITC"/>
      <family val="2"/>
    </font>
    <font>
      <sz val="11"/>
      <name val="Times New Roman"/>
      <family val="1"/>
      <charset val="204"/>
    </font>
    <font>
      <sz val="11"/>
      <color rgb="FF000000"/>
      <name val="Times New Roman"/>
      <family val="1"/>
      <charset val="204"/>
    </font>
    <font>
      <sz val="12"/>
      <color rgb="FF000000"/>
      <name val="Times New Roman"/>
      <family val="1"/>
      <charset val="204"/>
    </font>
    <font>
      <b/>
      <sz val="12"/>
      <color rgb="FF000000"/>
      <name val="Times New Roman"/>
      <family val="1"/>
      <charset val="204"/>
    </font>
    <font>
      <b/>
      <u/>
      <sz val="11"/>
      <color rgb="FF000000"/>
      <name val="Times New Roman"/>
      <family val="1"/>
      <charset val="204"/>
    </font>
    <font>
      <b/>
      <u/>
      <sz val="11"/>
      <color rgb="FFFFFFFF"/>
      <name val="Times New Roman"/>
      <family val="1"/>
      <charset val="204"/>
    </font>
    <font>
      <b/>
      <sz val="12"/>
      <color rgb="FFFFFFFF"/>
      <name val="Times New Roman"/>
      <family val="1"/>
      <charset val="204"/>
    </font>
    <font>
      <sz val="10"/>
      <color rgb="FFFFFFFF"/>
      <name val="Arial"/>
      <family val="2"/>
      <charset val="204"/>
    </font>
    <font>
      <b/>
      <sz val="10"/>
      <color rgb="FFFFFFFF"/>
      <name val="Eras Medium ITC"/>
      <family val="2"/>
    </font>
    <font>
      <b/>
      <sz val="10"/>
      <color rgb="FFFFFFFF"/>
      <name val="Arial"/>
      <family val="2"/>
      <charset val="204"/>
    </font>
    <font>
      <sz val="12"/>
      <color rgb="FFFFFFFF"/>
      <name val="Eras Medium ITC"/>
      <family val="2"/>
    </font>
    <font>
      <b/>
      <u/>
      <sz val="10"/>
      <color rgb="FF000000"/>
      <name val="Eras Medium ITC"/>
      <family val="2"/>
    </font>
    <font>
      <b/>
      <u/>
      <sz val="10"/>
      <color rgb="FFFFFFFF"/>
      <name val="Eras Medium ITC"/>
      <family val="2"/>
    </font>
    <font>
      <sz val="9"/>
      <color rgb="FF000000"/>
      <name val="Times New Roman"/>
      <family val="1"/>
      <charset val="204"/>
    </font>
    <font>
      <b/>
      <sz val="12"/>
      <color rgb="FF000000"/>
      <name val="Arial"/>
      <family val="2"/>
      <charset val="204"/>
    </font>
    <font>
      <b/>
      <sz val="12"/>
      <color rgb="FFFFFFFF"/>
      <name val="Arial"/>
      <family val="2"/>
      <charset val="204"/>
    </font>
    <font>
      <sz val="12"/>
      <color rgb="FF000000"/>
      <name val="Arial"/>
      <family val="2"/>
      <charset val="204"/>
    </font>
    <font>
      <b/>
      <sz val="12"/>
      <name val="Arial"/>
      <family val="2"/>
      <charset val="204"/>
    </font>
    <font>
      <sz val="10"/>
      <color rgb="FF000000"/>
      <name val="Times New Roman"/>
      <family val="1"/>
      <charset val="204"/>
    </font>
    <font>
      <b/>
      <sz val="10"/>
      <name val="Arial"/>
      <family val="2"/>
      <charset val="204"/>
    </font>
    <font>
      <sz val="12"/>
      <name val="Arial"/>
      <family val="2"/>
      <charset val="204"/>
    </font>
    <font>
      <b/>
      <sz val="11"/>
      <color rgb="FF000000"/>
      <name val="Arial"/>
      <family val="2"/>
      <charset val="204"/>
    </font>
    <font>
      <b/>
      <sz val="12"/>
      <color rgb="FFFFFFFF"/>
      <name val="Eras Medium ITC"/>
      <family val="2"/>
    </font>
    <font>
      <sz val="10"/>
      <color rgb="FF000000"/>
      <name val="Eras Medium ITC"/>
      <family val="2"/>
    </font>
    <font>
      <b/>
      <sz val="10"/>
      <color rgb="FF000000"/>
      <name val="Eras Medium ITC"/>
      <family val="2"/>
    </font>
    <font>
      <b/>
      <sz val="10"/>
      <name val="Eras Medium ITC"/>
      <family val="2"/>
    </font>
    <font>
      <b/>
      <sz val="12"/>
      <color rgb="FF000000"/>
      <name val="Eras Medium ITC"/>
      <family val="2"/>
    </font>
    <font>
      <b/>
      <sz val="11"/>
      <color rgb="FFFFFFFF"/>
      <name val="Eras Medium ITC"/>
      <family val="2"/>
    </font>
    <font>
      <b/>
      <sz val="11"/>
      <color rgb="FF000000"/>
      <name val="Eras Medium ITC"/>
      <family val="2"/>
    </font>
    <font>
      <sz val="10"/>
      <name val="Times New Roman"/>
      <family val="1"/>
      <charset val="204"/>
    </font>
    <font>
      <sz val="9"/>
      <color rgb="FF000000"/>
      <name val="Eras Medium ITC"/>
      <family val="2"/>
    </font>
    <font>
      <b/>
      <sz val="8"/>
      <color rgb="FF000000"/>
      <name val="Eras Medium ITC"/>
      <family val="2"/>
    </font>
    <font>
      <b/>
      <sz val="8"/>
      <color rgb="FF000000"/>
      <name val="Calibri"/>
      <family val="2"/>
      <charset val="204"/>
    </font>
    <font>
      <sz val="11"/>
      <name val="Eras Medium ITC"/>
      <family val="2"/>
    </font>
    <font>
      <b/>
      <sz val="11"/>
      <name val="Eras Medium ITC"/>
      <family val="2"/>
    </font>
    <font>
      <sz val="11"/>
      <color rgb="FF000000"/>
      <name val="Eras Medium ITC"/>
      <family val="2"/>
    </font>
    <font>
      <b/>
      <sz val="14"/>
      <color rgb="FF000000"/>
      <name val="Eras Medium ITC"/>
      <family val="2"/>
    </font>
    <font>
      <sz val="24"/>
      <color rgb="FF000000"/>
      <name val="Eras Medium ITC"/>
      <family val="2"/>
    </font>
    <font>
      <b/>
      <sz val="10"/>
      <name val="Times New Roman"/>
      <family val="1"/>
      <charset val="204"/>
    </font>
    <font>
      <sz val="8"/>
      <color rgb="FF000000"/>
      <name val="Times"/>
    </font>
    <font>
      <b/>
      <sz val="9"/>
      <name val="Times New Roman"/>
      <family val="1"/>
      <charset val="204"/>
    </font>
    <font>
      <b/>
      <sz val="14"/>
      <color rgb="FFFFFFFF"/>
      <name val="Arial"/>
      <family val="2"/>
      <charset val="204"/>
    </font>
    <font>
      <sz val="8"/>
      <name val="Times"/>
    </font>
    <font>
      <b/>
      <sz val="11"/>
      <color rgb="FFFFFFFF"/>
      <name val="Arial"/>
      <family val="2"/>
      <charset val="204"/>
    </font>
    <font>
      <b/>
      <sz val="10"/>
      <color rgb="FF1F497D"/>
      <name val="Eras Medium ITC"/>
      <family val="2"/>
    </font>
    <font>
      <b/>
      <sz val="24"/>
      <color rgb="FF1F497D"/>
      <name val="Eras Medium ITC"/>
      <family val="2"/>
    </font>
    <font>
      <b/>
      <sz val="24"/>
      <color rgb="FF000000"/>
      <name val="Arial"/>
      <family val="2"/>
      <charset val="204"/>
    </font>
    <font>
      <b/>
      <sz val="11"/>
      <name val="Arial"/>
      <family val="2"/>
      <charset val="204"/>
    </font>
    <font>
      <b/>
      <sz val="20"/>
      <color rgb="FF000000"/>
      <name val="Eras Medium ITC"/>
      <family val="2"/>
    </font>
    <font>
      <sz val="14"/>
      <color rgb="FF000000"/>
      <name val="Eras Medium ITC"/>
      <family val="2"/>
    </font>
    <font>
      <sz val="12"/>
      <color rgb="FF1F497D"/>
      <name val="Eras Medium ITC"/>
      <family val="2"/>
    </font>
    <font>
      <b/>
      <sz val="12"/>
      <name val="Eras Medium ITC"/>
      <family val="2"/>
    </font>
    <font>
      <b/>
      <sz val="12"/>
      <color rgb="FFEEECE1"/>
      <name val="Arial"/>
      <family val="2"/>
      <charset val="204"/>
    </font>
    <font>
      <b/>
      <u/>
      <sz val="18"/>
      <color rgb="FFFFFF00"/>
      <name val="Eras Medium ITC"/>
      <family val="2"/>
    </font>
    <font>
      <sz val="11"/>
      <color theme="1"/>
      <name val="Arial"/>
      <family val="2"/>
      <charset val="204"/>
    </font>
    <font>
      <sz val="11"/>
      <color theme="1"/>
      <name val="Calibri"/>
      <family val="2"/>
      <charset val="204"/>
    </font>
    <font>
      <sz val="10"/>
      <color rgb="FF000000"/>
      <name val="Trebuchet MS"/>
      <family val="2"/>
      <charset val="204"/>
    </font>
    <font>
      <vertAlign val="superscript"/>
      <sz val="10"/>
      <color rgb="FF000000"/>
      <name val="Trebuchet MS"/>
      <family val="2"/>
      <charset val="204"/>
    </font>
    <font>
      <b/>
      <sz val="11"/>
      <color rgb="FF9C5700"/>
      <name val="Calibri"/>
      <family val="2"/>
      <charset val="204"/>
    </font>
    <font>
      <b/>
      <sz val="11"/>
      <color theme="1"/>
      <name val="Calibri"/>
      <family val="2"/>
      <charset val="204"/>
    </font>
    <font>
      <b/>
      <sz val="11"/>
      <color rgb="FF006100"/>
      <name val="Calibri"/>
      <family val="2"/>
      <charset val="204"/>
    </font>
    <font>
      <b/>
      <sz val="11"/>
      <color rgb="FF3F3F3F"/>
      <name val="Calibri"/>
      <family val="2"/>
      <charset val="204"/>
    </font>
    <font>
      <b/>
      <sz val="11"/>
      <color rgb="FF3F3F76"/>
      <name val="Calibri"/>
      <family val="2"/>
      <charset val="204"/>
    </font>
    <font>
      <b/>
      <i/>
      <sz val="11"/>
      <color theme="1"/>
      <name val="Calibri"/>
      <family val="2"/>
      <charset val="204"/>
    </font>
    <font>
      <sz val="11"/>
      <name val="Arial"/>
      <family val="2"/>
      <charset val="204"/>
    </font>
    <font>
      <b/>
      <sz val="11"/>
      <color rgb="FFFA7D00"/>
      <name val="Calibri"/>
      <family val="2"/>
      <charset val="204"/>
    </font>
    <font>
      <b/>
      <sz val="8"/>
      <color theme="1"/>
      <name val="Lato"/>
      <family val="2"/>
      <scheme val="minor"/>
    </font>
    <font>
      <b/>
      <sz val="10"/>
      <color theme="1"/>
      <name val="Lato"/>
      <family val="2"/>
      <scheme val="minor"/>
    </font>
    <font>
      <sz val="10"/>
      <color theme="1"/>
      <name val="Lato"/>
      <family val="2"/>
      <scheme val="minor"/>
    </font>
    <font>
      <b/>
      <sz val="11"/>
      <color theme="1"/>
      <name val="Lato"/>
      <family val="2"/>
      <scheme val="minor"/>
    </font>
    <font>
      <sz val="9"/>
      <color theme="1"/>
      <name val="Lato"/>
      <family val="2"/>
      <scheme val="minor"/>
    </font>
    <font>
      <b/>
      <sz val="9"/>
      <color indexed="81"/>
      <name val="Tahoma"/>
      <family val="2"/>
    </font>
    <font>
      <u/>
      <sz val="11"/>
      <color theme="10"/>
      <name val="Calibri"/>
      <family val="2"/>
    </font>
    <font>
      <sz val="11"/>
      <name val="Lato"/>
      <family val="2"/>
      <scheme val="minor"/>
    </font>
    <font>
      <b/>
      <sz val="8"/>
      <name val="Lato"/>
      <family val="2"/>
      <scheme val="minor"/>
    </font>
    <font>
      <b/>
      <u/>
      <sz val="9"/>
      <color theme="1"/>
      <name val="Lato"/>
      <family val="2"/>
      <scheme val="minor"/>
    </font>
    <font>
      <b/>
      <sz val="10"/>
      <color theme="0"/>
      <name val="Lato"/>
      <family val="2"/>
      <scheme val="minor"/>
    </font>
    <font>
      <sz val="10"/>
      <color theme="1" tint="4.9989318521683403E-2"/>
      <name val="Lato"/>
      <family val="2"/>
      <scheme val="minor"/>
    </font>
    <font>
      <sz val="9"/>
      <color theme="1" tint="4.9989318521683403E-2"/>
      <name val="Lato"/>
      <family val="2"/>
      <scheme val="minor"/>
    </font>
    <font>
      <sz val="9"/>
      <color theme="0"/>
      <name val="Lato"/>
      <family val="2"/>
      <scheme val="minor"/>
    </font>
    <font>
      <b/>
      <sz val="11"/>
      <color theme="0"/>
      <name val="Lato"/>
      <family val="2"/>
      <scheme val="minor"/>
    </font>
    <font>
      <b/>
      <sz val="16"/>
      <color theme="1" tint="4.9989318521683403E-2"/>
      <name val="Lato"/>
      <family val="2"/>
      <scheme val="minor"/>
    </font>
    <font>
      <b/>
      <sz val="11"/>
      <color theme="1" tint="4.9989318521683403E-2"/>
      <name val="Lato"/>
      <family val="2"/>
      <scheme val="minor"/>
    </font>
    <font>
      <b/>
      <sz val="10"/>
      <color theme="1" tint="4.9989318521683403E-2"/>
      <name val="Lato"/>
      <family val="2"/>
      <scheme val="minor"/>
    </font>
    <font>
      <sz val="8"/>
      <color theme="1" tint="4.9989318521683403E-2"/>
      <name val="Lato"/>
      <family val="2"/>
      <scheme val="minor"/>
    </font>
    <font>
      <b/>
      <sz val="8"/>
      <color theme="0"/>
      <name val="Lato"/>
      <family val="2"/>
      <scheme val="minor"/>
    </font>
    <font>
      <sz val="11"/>
      <color theme="0"/>
      <name val="Lato"/>
      <family val="2"/>
      <scheme val="minor"/>
    </font>
    <font>
      <sz val="10"/>
      <name val="Segoe UI Symbol"/>
      <family val="2"/>
    </font>
    <font>
      <b/>
      <sz val="9"/>
      <color theme="0"/>
      <name val="Lato"/>
      <family val="2"/>
      <scheme val="minor"/>
    </font>
    <font>
      <sz val="12"/>
      <color theme="1" tint="4.9989318521683403E-2"/>
      <name val="Lato"/>
      <family val="2"/>
      <scheme val="minor"/>
    </font>
    <font>
      <u/>
      <sz val="10"/>
      <color rgb="FF0000FF"/>
      <name val="Arial"/>
      <family val="2"/>
      <charset val="204"/>
    </font>
    <font>
      <b/>
      <sz val="10"/>
      <color rgb="FF000000"/>
      <name val="Georgia"/>
      <family val="1"/>
      <charset val="204"/>
    </font>
    <font>
      <sz val="11"/>
      <color rgb="FF000000"/>
      <name val="Arial"/>
      <family val="2"/>
      <charset val="204"/>
    </font>
    <font>
      <sz val="14"/>
      <color theme="0"/>
      <name val="Nodesto Cyrillic"/>
      <charset val="204"/>
    </font>
    <font>
      <sz val="14"/>
      <color theme="0"/>
      <name val="Lato"/>
      <family val="2"/>
      <scheme val="minor"/>
    </font>
    <font>
      <u/>
      <sz val="16"/>
      <color rgb="FFFFFF00"/>
      <name val="MrsEavesRoman"/>
    </font>
    <font>
      <i/>
      <sz val="11"/>
      <color theme="1"/>
      <name val="Segoe UI"/>
      <family val="2"/>
      <charset val="204"/>
    </font>
    <font>
      <i/>
      <vertAlign val="superscript"/>
      <sz val="11"/>
      <color rgb="FF000000"/>
      <name val="Arial"/>
      <family val="2"/>
      <charset val="204"/>
    </font>
    <font>
      <i/>
      <sz val="11"/>
      <color rgb="FF000000"/>
      <name val="Arial"/>
      <family val="2"/>
      <charset val="204"/>
    </font>
    <font>
      <vertAlign val="superscript"/>
      <sz val="11"/>
      <color rgb="FF000000"/>
      <name val="Arial"/>
      <family val="2"/>
      <charset val="204"/>
    </font>
    <font>
      <b/>
      <sz val="12"/>
      <color rgb="FF3F3F76"/>
      <name val="Nodesto Caps Condensed"/>
    </font>
    <font>
      <sz val="11"/>
      <color theme="0"/>
      <name val="Lato"/>
      <family val="2"/>
      <charset val="204"/>
      <scheme val="minor"/>
    </font>
    <font>
      <sz val="8"/>
      <name val="Lato"/>
      <family val="2"/>
      <charset val="204"/>
      <scheme val="minor"/>
    </font>
    <font>
      <sz val="16"/>
      <color rgb="FFFFFF00"/>
      <name val="Modesto Cyrillic"/>
    </font>
    <font>
      <sz val="12"/>
      <color indexed="81"/>
      <name val="MrsEavesRoman"/>
    </font>
    <font>
      <sz val="9"/>
      <color indexed="81"/>
      <name val="MrsEavesRoman"/>
    </font>
    <font>
      <b/>
      <sz val="14"/>
      <color rgb="FFFFFF00"/>
      <name val="Nodesto Cyrillic"/>
      <charset val="204"/>
    </font>
    <font>
      <i/>
      <sz val="8"/>
      <color theme="1"/>
      <name val="Arial"/>
      <family val="2"/>
      <charset val="204"/>
    </font>
    <font>
      <b/>
      <i/>
      <sz val="11"/>
      <color theme="1"/>
      <name val="Lato"/>
      <family val="2"/>
      <charset val="204"/>
      <scheme val="minor"/>
    </font>
    <font>
      <sz val="18"/>
      <color rgb="FFFF0000"/>
      <name val="Lato"/>
      <family val="2"/>
      <charset val="204"/>
      <scheme val="minor"/>
    </font>
    <font>
      <i/>
      <sz val="10"/>
      <color rgb="FF000000"/>
      <name val="Arial"/>
      <family val="2"/>
      <charset val="204"/>
    </font>
    <font>
      <sz val="11"/>
      <color theme="0"/>
      <name val="Arial"/>
      <family val="2"/>
      <charset val="204"/>
    </font>
    <font>
      <b/>
      <sz val="11"/>
      <color theme="0"/>
      <name val="Arial"/>
      <family val="2"/>
      <charset val="204"/>
    </font>
    <font>
      <sz val="10"/>
      <color theme="1"/>
      <name val="Scaly Sans"/>
    </font>
    <font>
      <b/>
      <sz val="10.5"/>
      <color theme="1"/>
      <name val="Lato"/>
      <family val="2"/>
      <charset val="204"/>
      <scheme val="minor"/>
    </font>
    <font>
      <sz val="10.5"/>
      <color theme="1"/>
      <name val="Lato"/>
      <family val="2"/>
      <charset val="204"/>
      <scheme val="minor"/>
    </font>
    <font>
      <sz val="11"/>
      <color rgb="FF3F3F76"/>
      <name val="Segoe UI"/>
      <family val="2"/>
      <charset val="204"/>
    </font>
    <font>
      <sz val="10"/>
      <color theme="1"/>
      <name val="Cambria"/>
      <family val="1"/>
      <charset val="204"/>
    </font>
    <font>
      <sz val="10"/>
      <color rgb="FF404040"/>
      <name val="Arial"/>
      <family val="2"/>
      <charset val="204"/>
    </font>
    <font>
      <b/>
      <sz val="10"/>
      <color rgb="FFFFFFFF"/>
      <name val="Calibri"/>
      <family val="2"/>
      <charset val="204"/>
    </font>
    <font>
      <b/>
      <sz val="10"/>
      <color rgb="FFFFFFFF"/>
      <name val="Scaly Sans"/>
    </font>
    <font>
      <b/>
      <sz val="11"/>
      <color indexed="81"/>
      <name val="Tahoma"/>
      <family val="2"/>
    </font>
    <font>
      <sz val="11"/>
      <color rgb="FF979797"/>
      <name val="Arial"/>
      <family val="2"/>
      <charset val="204"/>
    </font>
    <font>
      <sz val="11"/>
      <color theme="0"/>
      <name val="Modesto Text Bold "/>
    </font>
    <font>
      <i/>
      <sz val="12"/>
      <color rgb="FFFFFFFF"/>
      <name val="Arial"/>
      <family val="2"/>
      <charset val="204"/>
    </font>
    <font>
      <sz val="12"/>
      <color rgb="FFFFFFFF"/>
      <name val="Arial"/>
      <family val="2"/>
      <charset val="204"/>
    </font>
    <font>
      <i/>
      <sz val="12"/>
      <name val="Arial"/>
      <family val="2"/>
      <charset val="204"/>
    </font>
    <font>
      <i/>
      <sz val="7.5"/>
      <name val="Arial"/>
      <family val="2"/>
      <charset val="204"/>
    </font>
    <font>
      <sz val="7.5"/>
      <name val="Arial"/>
      <family val="2"/>
      <charset val="204"/>
    </font>
    <font>
      <i/>
      <sz val="12"/>
      <color rgb="FFFF0000"/>
      <name val="Arial"/>
      <family val="2"/>
      <charset val="204"/>
    </font>
    <font>
      <sz val="11"/>
      <color theme="1"/>
      <name val="FontAwesome"/>
    </font>
    <font>
      <sz val="12"/>
      <color rgb="FF3D3464"/>
      <name val="Arial Unicode MS"/>
      <family val="2"/>
      <charset val="204"/>
    </font>
    <font>
      <sz val="11"/>
      <color rgb="FF000000"/>
      <name val="Verdana"/>
      <family val="2"/>
      <charset val="204"/>
    </font>
    <font>
      <b/>
      <sz val="12"/>
      <color theme="1"/>
      <name val="Lato"/>
      <family val="2"/>
      <charset val="204"/>
      <scheme val="minor"/>
    </font>
    <font>
      <sz val="18"/>
      <color theme="0"/>
      <name val="Cyrillic5e"/>
      <charset val="204"/>
    </font>
    <font>
      <b/>
      <sz val="11"/>
      <color theme="0"/>
      <name val="Segoe UI"/>
      <family val="2"/>
      <charset val="204"/>
    </font>
    <font>
      <b/>
      <sz val="12"/>
      <color rgb="FF000000"/>
      <name val="Lato"/>
      <family val="2"/>
      <charset val="204"/>
      <scheme val="minor"/>
    </font>
    <font>
      <sz val="12"/>
      <color rgb="FF000000"/>
      <name val="Lato"/>
      <family val="2"/>
      <charset val="204"/>
      <scheme val="minor"/>
    </font>
    <font>
      <sz val="12"/>
      <color theme="1"/>
      <name val="Lato"/>
      <family val="2"/>
      <charset val="204"/>
      <scheme val="minor"/>
    </font>
    <font>
      <sz val="12"/>
      <color theme="0"/>
      <name val="Lato"/>
      <family val="2"/>
      <charset val="204"/>
      <scheme val="minor"/>
    </font>
    <font>
      <sz val="12"/>
      <color rgb="FF00B0F0"/>
      <name val="Lato"/>
      <family val="2"/>
      <charset val="204"/>
      <scheme val="minor"/>
    </font>
    <font>
      <sz val="12"/>
      <color theme="9" tint="-0.499984740745262"/>
      <name val="Lato"/>
      <family val="2"/>
      <charset val="204"/>
      <scheme val="minor"/>
    </font>
    <font>
      <sz val="12"/>
      <color rgb="FFFF0000"/>
      <name val="Lato"/>
      <family val="2"/>
      <charset val="204"/>
      <scheme val="minor"/>
    </font>
    <font>
      <sz val="12"/>
      <color rgb="FFFFFF00"/>
      <name val="Lato"/>
      <family val="2"/>
      <charset val="204"/>
      <scheme val="minor"/>
    </font>
    <font>
      <b/>
      <sz val="11"/>
      <color theme="0"/>
      <name val="Calibri"/>
      <family val="2"/>
      <charset val="204"/>
    </font>
    <font>
      <i/>
      <sz val="11"/>
      <name val="Lato"/>
      <family val="2"/>
      <charset val="204"/>
      <scheme val="minor"/>
    </font>
    <font>
      <b/>
      <sz val="14"/>
      <color theme="0"/>
      <name val="Lato"/>
      <family val="2"/>
      <charset val="204"/>
      <scheme val="minor"/>
    </font>
    <font>
      <sz val="10"/>
      <color rgb="FF000000"/>
      <name val="Calibri"/>
      <family val="2"/>
      <charset val="204"/>
    </font>
    <font>
      <b/>
      <sz val="14"/>
      <color theme="0"/>
      <name val="Segoe UI"/>
      <family val="2"/>
      <charset val="204"/>
    </font>
    <font>
      <sz val="12"/>
      <color rgb="FF231F20"/>
      <name val="Arial Unicode MS"/>
      <family val="2"/>
      <charset val="204"/>
    </font>
    <font>
      <sz val="10"/>
      <color theme="1"/>
      <name val="Lato"/>
      <family val="2"/>
      <charset val="204"/>
      <scheme val="minor"/>
    </font>
    <font>
      <sz val="10"/>
      <color theme="1"/>
      <name val="Times New Roman"/>
      <family val="1"/>
      <charset val="204"/>
    </font>
    <font>
      <sz val="16"/>
      <color rgb="FFFFFF00"/>
      <name val="Lato"/>
      <family val="2"/>
      <charset val="204"/>
      <scheme val="minor"/>
    </font>
    <font>
      <sz val="18"/>
      <color rgb="FFFFFF00"/>
      <name val="Cyrillic5e"/>
      <charset val="204"/>
    </font>
    <font>
      <sz val="10"/>
      <color rgb="FF232323"/>
      <name val="Inherit"/>
    </font>
    <font>
      <b/>
      <sz val="12"/>
      <color rgb="FFFFFF00"/>
      <name val="Lato"/>
      <family val="2"/>
      <charset val="204"/>
      <scheme val="minor"/>
    </font>
    <font>
      <i/>
      <sz val="15"/>
      <color theme="1"/>
      <name val="Arial"/>
      <family val="2"/>
      <charset val="204"/>
    </font>
    <font>
      <b/>
      <sz val="10"/>
      <color theme="1"/>
      <name val="Book Antiqua"/>
      <family val="1"/>
      <charset val="204"/>
    </font>
    <font>
      <b/>
      <sz val="10"/>
      <color rgb="FF000000"/>
      <name val="Book Antiqua"/>
      <family val="1"/>
      <charset val="204"/>
    </font>
    <font>
      <sz val="9.5"/>
      <color rgb="FF000000"/>
      <name val="Book Antiqua"/>
      <family val="1"/>
      <charset val="204"/>
    </font>
    <font>
      <b/>
      <i/>
      <sz val="16"/>
      <color theme="1"/>
      <name val="Times New Roman"/>
      <family val="1"/>
      <charset val="204"/>
    </font>
    <font>
      <b/>
      <sz val="9.5"/>
      <color rgb="FF000000"/>
      <name val="Book Antiqua"/>
      <family val="1"/>
      <charset val="204"/>
    </font>
    <font>
      <sz val="15"/>
      <color theme="1"/>
      <name val="Arial"/>
      <family val="2"/>
      <charset val="204"/>
    </font>
    <font>
      <sz val="10"/>
      <color rgb="FF000000"/>
      <name val="Verdana"/>
      <family val="2"/>
      <charset val="204"/>
    </font>
    <font>
      <sz val="11"/>
      <name val="Calibri"/>
      <family val="2"/>
    </font>
    <font>
      <sz val="11"/>
      <color rgb="FF000000"/>
      <name val="Calibri"/>
      <family val="2"/>
      <charset val="204"/>
    </font>
    <font>
      <sz val="8"/>
      <color rgb="FF000000"/>
      <name val="Calibri"/>
      <family val="2"/>
      <charset val="204"/>
    </font>
    <font>
      <b/>
      <sz val="8"/>
      <color rgb="FF000000"/>
      <name val="Calibri"/>
      <family val="2"/>
      <charset val="204"/>
    </font>
    <font>
      <sz val="11"/>
      <name val="Calibri"/>
      <family val="2"/>
      <charset val="204"/>
    </font>
    <font>
      <sz val="8"/>
      <color rgb="FF2D2530"/>
      <name val="Calibri"/>
      <family val="2"/>
      <charset val="204"/>
    </font>
    <font>
      <sz val="8"/>
      <color rgb="FF2E2630"/>
      <name val="Calibri"/>
      <family val="2"/>
      <charset val="204"/>
    </font>
    <font>
      <sz val="8"/>
      <color rgb="FF453C4D"/>
      <name val="Calibri"/>
      <family val="2"/>
      <charset val="204"/>
    </font>
    <font>
      <sz val="8"/>
      <color rgb="FF2F2631"/>
      <name val="Calibri"/>
      <family val="2"/>
      <charset val="204"/>
    </font>
    <font>
      <sz val="8"/>
      <color rgb="FF2F2731"/>
      <name val="Calibri"/>
      <family val="2"/>
      <charset val="204"/>
    </font>
    <font>
      <sz val="8"/>
      <color rgb="FF433B48"/>
      <name val="Calibri"/>
      <family val="2"/>
      <charset val="204"/>
    </font>
    <font>
      <sz val="8"/>
      <color rgb="FF131115"/>
      <name val="Calibri"/>
      <family val="2"/>
      <charset val="204"/>
    </font>
    <font>
      <sz val="8"/>
      <color rgb="FF141216"/>
      <name val="Calibri"/>
      <family val="2"/>
      <charset val="204"/>
    </font>
    <font>
      <sz val="8"/>
      <color rgb="FF443B4D"/>
      <name val="Calibri"/>
      <family val="2"/>
      <charset val="204"/>
    </font>
    <font>
      <sz val="8"/>
      <color rgb="FF121015"/>
      <name val="Calibri"/>
      <family val="2"/>
      <charset val="204"/>
    </font>
    <font>
      <sz val="8"/>
      <color rgb="FF121013"/>
      <name val="Calibri"/>
      <family val="2"/>
      <charset val="204"/>
    </font>
    <font>
      <sz val="8"/>
      <color rgb="FF463C4D"/>
      <name val="Calibri"/>
      <family val="2"/>
      <charset val="204"/>
    </font>
    <font>
      <sz val="14"/>
      <color theme="1"/>
      <name val="Lato"/>
      <family val="2"/>
      <scheme val="minor"/>
    </font>
    <font>
      <u/>
      <sz val="14"/>
      <color theme="10"/>
      <name val="Lato"/>
      <family val="2"/>
      <scheme val="minor"/>
    </font>
    <font>
      <u/>
      <sz val="16"/>
      <color theme="10"/>
      <name val="Lato"/>
      <family val="2"/>
      <charset val="204"/>
      <scheme val="minor"/>
    </font>
    <font>
      <u/>
      <sz val="11"/>
      <color rgb="FFFFFF00"/>
      <name val="Lato"/>
      <family val="2"/>
      <charset val="204"/>
      <scheme val="minor"/>
    </font>
    <font>
      <b/>
      <u/>
      <sz val="10"/>
      <color rgb="FF1155CC"/>
      <name val="Arial"/>
      <family val="2"/>
      <charset val="204"/>
    </font>
    <font>
      <b/>
      <sz val="10"/>
      <color theme="1"/>
      <name val="Arial"/>
      <family val="2"/>
      <charset val="204"/>
    </font>
    <font>
      <sz val="10"/>
      <color theme="1"/>
      <name val="Arial"/>
      <family val="2"/>
      <charset val="204"/>
    </font>
    <font>
      <u/>
      <sz val="10"/>
      <color rgb="FF1155CC"/>
      <name val="Arial"/>
      <family val="2"/>
      <charset val="204"/>
    </font>
    <font>
      <b/>
      <i/>
      <sz val="10"/>
      <color theme="1"/>
      <name val="Arial"/>
      <family val="2"/>
      <charset val="204"/>
    </font>
    <font>
      <sz val="10"/>
      <color rgb="FF242527"/>
      <name val="Arial"/>
      <family val="2"/>
      <charset val="204"/>
    </font>
    <font>
      <sz val="10"/>
      <color theme="1"/>
      <name val="Calibri"/>
      <family val="2"/>
      <charset val="204"/>
    </font>
    <font>
      <b/>
      <sz val="10"/>
      <color rgb="FF666666"/>
      <name val="Arial"/>
      <family val="2"/>
      <charset val="204"/>
    </font>
    <font>
      <sz val="10"/>
      <color rgb="FF666666"/>
      <name val="Arial"/>
      <family val="2"/>
      <charset val="204"/>
    </font>
    <font>
      <b/>
      <sz val="10"/>
      <color rgb="FF333333"/>
      <name val="Arial"/>
      <family val="2"/>
      <charset val="204"/>
    </font>
    <font>
      <sz val="10"/>
      <color rgb="FF333333"/>
      <name val="Arial"/>
      <family val="2"/>
      <charset val="204"/>
    </font>
    <font>
      <b/>
      <sz val="10"/>
      <color theme="0"/>
      <name val="Arial"/>
      <family val="2"/>
      <charset val="204"/>
    </font>
    <font>
      <b/>
      <sz val="16"/>
      <color rgb="FF78230C"/>
      <name val="Calibri"/>
      <family val="2"/>
      <charset val="204"/>
    </font>
    <font>
      <b/>
      <sz val="11"/>
      <color theme="1"/>
      <name val="Arial"/>
      <family val="2"/>
      <charset val="204"/>
    </font>
    <font>
      <sz val="12"/>
      <color rgb="FFFFFF00"/>
      <name val="Cyrillic5e"/>
      <charset val="204"/>
    </font>
    <font>
      <i/>
      <sz val="11"/>
      <color rgb="FFFFFF00"/>
      <name val="Lato"/>
      <family val="2"/>
      <charset val="204"/>
      <scheme val="minor"/>
    </font>
    <font>
      <sz val="12"/>
      <color rgb="FF000000"/>
      <name val="Verdana"/>
      <family val="2"/>
      <charset val="204"/>
    </font>
    <font>
      <sz val="28"/>
      <color rgb="FFFFFF00"/>
      <name val="Nodesto Caps Condensed"/>
    </font>
    <font>
      <b/>
      <sz val="13"/>
      <color indexed="18"/>
      <name val="Lato"/>
      <family val="2"/>
      <charset val="204"/>
      <scheme val="minor"/>
    </font>
    <font>
      <sz val="11"/>
      <color indexed="18"/>
      <name val="Lato"/>
      <family val="2"/>
      <charset val="204"/>
      <scheme val="minor"/>
    </font>
    <font>
      <sz val="11"/>
      <color theme="1"/>
      <name val="Philosopher"/>
      <charset val="204"/>
    </font>
    <font>
      <sz val="11"/>
      <color rgb="FFFFFFFF"/>
      <name val="Philosopher"/>
      <charset val="204"/>
    </font>
    <font>
      <sz val="10"/>
      <color theme="1"/>
      <name val="Philosopher"/>
      <charset val="204"/>
    </font>
    <font>
      <b/>
      <sz val="10"/>
      <color theme="1"/>
      <name val="Lora"/>
      <charset val="204"/>
    </font>
    <font>
      <b/>
      <sz val="24"/>
      <color theme="1"/>
      <name val="Lora"/>
      <charset val="204"/>
    </font>
    <font>
      <sz val="10"/>
      <color theme="1"/>
      <name val="Lora"/>
      <charset val="204"/>
    </font>
    <font>
      <b/>
      <sz val="12"/>
      <color theme="1"/>
      <name val="Lora"/>
      <charset val="204"/>
    </font>
    <font>
      <b/>
      <sz val="12"/>
      <color theme="0"/>
      <name val="Lato"/>
      <family val="2"/>
      <charset val="204"/>
      <scheme val="minor"/>
    </font>
    <font>
      <sz val="11"/>
      <name val="Lato"/>
      <family val="2"/>
      <charset val="204"/>
      <scheme val="minor"/>
    </font>
    <font>
      <sz val="12"/>
      <color theme="0"/>
      <name val="Trebuchet MS"/>
      <family val="2"/>
      <charset val="204"/>
    </font>
    <font>
      <b/>
      <sz val="8"/>
      <color theme="1"/>
      <name val="Calibri"/>
      <family val="2"/>
      <charset val="204"/>
    </font>
    <font>
      <sz val="12"/>
      <color rgb="FFFFFFFF"/>
      <name val="Trebuchet MS"/>
      <family val="2"/>
      <charset val="204"/>
    </font>
    <font>
      <b/>
      <sz val="12"/>
      <color theme="0"/>
      <name val="Trebuchet MS"/>
      <family val="2"/>
      <charset val="204"/>
    </font>
    <font>
      <sz val="12"/>
      <color rgb="FF000000"/>
      <name val="Trebuchet MS"/>
      <family val="2"/>
      <charset val="204"/>
    </font>
    <font>
      <sz val="9.5"/>
      <color rgb="FF000000"/>
      <name val="Times New Roman"/>
      <family val="1"/>
      <charset val="204"/>
    </font>
    <font>
      <b/>
      <i/>
      <sz val="10"/>
      <color rgb="FF000000"/>
      <name val="Arial Unicode MS"/>
      <family val="2"/>
      <charset val="204"/>
    </font>
    <font>
      <sz val="7"/>
      <color rgb="FF000000"/>
      <name val="Times New Roman"/>
      <family val="1"/>
      <charset val="204"/>
    </font>
    <font>
      <sz val="9.5"/>
      <color theme="1"/>
      <name val="Times New Roman"/>
      <family val="1"/>
      <charset val="204"/>
    </font>
    <font>
      <sz val="20"/>
      <color theme="1"/>
      <name val="Lato"/>
      <family val="2"/>
      <charset val="204"/>
      <scheme val="minor"/>
    </font>
    <font>
      <sz val="20"/>
      <color rgb="FF3A3A3A"/>
      <name val="Helvetica Neue"/>
    </font>
    <font>
      <i/>
      <sz val="20"/>
      <color rgb="FF3A3A3A"/>
      <name val="Helvetica Neue"/>
    </font>
    <font>
      <sz val="20"/>
      <color theme="1"/>
      <name val="Segoe UI Emoji"/>
      <family val="2"/>
    </font>
    <font>
      <sz val="20"/>
      <color theme="1"/>
      <name val="-apple-system"/>
    </font>
    <font>
      <sz val="20"/>
      <color theme="1"/>
      <name val="Calibri"/>
      <family val="2"/>
      <charset val="204"/>
    </font>
    <font>
      <sz val="12.85"/>
      <color rgb="FF000000"/>
      <name val="Philosopher"/>
      <charset val="204"/>
    </font>
    <font>
      <i/>
      <sz val="12.85"/>
      <color rgb="FF000000"/>
      <name val="Philosopher"/>
      <charset val="204"/>
    </font>
    <font>
      <sz val="20"/>
      <color theme="0"/>
      <name val="Segoe UI Emoji"/>
      <family val="2"/>
    </font>
    <font>
      <sz val="20"/>
      <color theme="0"/>
      <name val="Lato"/>
      <family val="2"/>
      <charset val="204"/>
      <scheme val="minor"/>
    </font>
    <font>
      <sz val="20"/>
      <color theme="0"/>
      <name val="-apple-system"/>
    </font>
    <font>
      <sz val="20"/>
      <color theme="0"/>
      <name val="Calibri"/>
      <family val="2"/>
      <charset val="204"/>
    </font>
    <font>
      <sz val="36"/>
      <color rgb="FF002060"/>
      <name val="Cyrillic5e"/>
      <charset val="204"/>
    </font>
    <font>
      <sz val="16"/>
      <color rgb="FF002060"/>
      <name val="Cyrillic5e"/>
      <charset val="204"/>
    </font>
    <font>
      <i/>
      <sz val="11"/>
      <color rgb="FF3A3A3A"/>
      <name val="Helvetica Neue"/>
    </font>
    <font>
      <sz val="11"/>
      <color rgb="FF3A3A3A"/>
      <name val="Helvetica Neue"/>
    </font>
    <font>
      <sz val="36"/>
      <color rgb="FFFFFF00"/>
      <name val="Cyrillic5e"/>
      <charset val="204"/>
    </font>
    <font>
      <sz val="16"/>
      <color rgb="FFFFFF00"/>
      <name val="Cyrillic5e"/>
      <charset val="204"/>
    </font>
    <font>
      <sz val="14"/>
      <color theme="1"/>
      <name val="Lato"/>
      <family val="2"/>
      <charset val="204"/>
      <scheme val="minor"/>
    </font>
    <font>
      <sz val="28"/>
      <color theme="1"/>
      <name val="Cyrillic5e"/>
      <charset val="204"/>
    </font>
    <font>
      <u/>
      <sz val="28"/>
      <color theme="10"/>
      <name val="Cyrillic5e"/>
      <charset val="204"/>
    </font>
    <font>
      <u/>
      <sz val="28"/>
      <color rgb="FFC00000"/>
      <name val="Cyrillic5e"/>
      <charset val="204"/>
    </font>
    <font>
      <sz val="24"/>
      <color indexed="81"/>
      <name val="Cyrillic5e"/>
      <charset val="204"/>
    </font>
    <font>
      <b/>
      <sz val="14"/>
      <color rgb="FF2E75B5"/>
      <name val="Calibri"/>
      <family val="2"/>
      <charset val="204"/>
    </font>
    <font>
      <b/>
      <sz val="11"/>
      <color theme="3"/>
      <name val="Lato"/>
      <family val="2"/>
      <charset val="204"/>
      <scheme val="minor"/>
    </font>
    <font>
      <u/>
      <sz val="10"/>
      <color indexed="12"/>
      <name val="Arial"/>
      <family val="2"/>
      <charset val="204"/>
    </font>
    <font>
      <sz val="8"/>
      <color rgb="FF000000"/>
      <name val="Times New Roman"/>
      <family val="1"/>
      <charset val="204"/>
    </font>
    <font>
      <sz val="7"/>
      <color rgb="FF000000"/>
      <name val="Arial"/>
      <family val="2"/>
      <charset val="204"/>
    </font>
    <font>
      <sz val="10.5"/>
      <name val="Lato"/>
      <family val="2"/>
      <charset val="204"/>
      <scheme val="minor"/>
    </font>
    <font>
      <b/>
      <sz val="15"/>
      <color theme="3"/>
      <name val="Segoe UI"/>
      <family val="2"/>
      <charset val="204"/>
    </font>
    <font>
      <sz val="11"/>
      <color rgb="FFFA7D00"/>
      <name val="Segoe UI"/>
      <family val="2"/>
      <charset val="204"/>
    </font>
    <font>
      <u/>
      <sz val="11"/>
      <color theme="10"/>
      <name val="Segoe UI"/>
      <family val="2"/>
      <charset val="204"/>
    </font>
    <font>
      <sz val="11"/>
      <color rgb="FF006100"/>
      <name val="Segoe UI"/>
      <family val="2"/>
      <charset val="204"/>
    </font>
    <font>
      <sz val="11"/>
      <color theme="1"/>
      <name val="Segoe UI Emoji"/>
      <family val="2"/>
    </font>
    <font>
      <sz val="15.75"/>
      <color rgb="FF292929"/>
      <name val="Medium-content-serif-font"/>
    </font>
    <font>
      <sz val="12"/>
      <color rgb="FF686868"/>
      <name val="PT Sans"/>
    </font>
    <font>
      <i/>
      <sz val="12"/>
      <color rgb="FF686868"/>
      <name val="PT Sans"/>
    </font>
    <font>
      <b/>
      <sz val="12"/>
      <color rgb="FF001109"/>
      <name val="Inherit"/>
    </font>
    <font>
      <sz val="12"/>
      <color rgb="FF001109"/>
      <name val="Merriweather"/>
      <charset val="204"/>
    </font>
  </fonts>
  <fills count="134">
    <fill>
      <patternFill patternType="none"/>
    </fill>
    <fill>
      <patternFill patternType="gray125"/>
    </fill>
    <fill>
      <patternFill patternType="solid">
        <fgColor indexed="22"/>
        <bgColor indexed="64"/>
      </patternFill>
    </fill>
    <fill>
      <patternFill patternType="solid">
        <fgColor rgb="FF002060"/>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3" tint="0.749992370372631"/>
        <bgColor indexed="64"/>
      </patternFill>
    </fill>
    <fill>
      <patternFill patternType="solid">
        <fgColor theme="4" tint="0.59999389629810485"/>
        <bgColor indexed="64"/>
      </patternFill>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14999847407452621"/>
        <bgColor indexed="64"/>
      </patternFill>
    </fill>
    <fill>
      <patternFill patternType="solid">
        <fgColor theme="1" tint="4.9989318521683403E-2"/>
        <bgColor indexed="64"/>
      </patternFill>
    </fill>
    <fill>
      <patternFill patternType="solid">
        <fgColor rgb="FF001236"/>
        <bgColor indexed="64"/>
      </patternFill>
    </fill>
    <fill>
      <patternFill patternType="solid">
        <fgColor theme="8"/>
        <bgColor theme="8"/>
      </patternFill>
    </fill>
    <fill>
      <patternFill patternType="solid">
        <fgColor theme="7" tint="0.79998168889431442"/>
        <bgColor indexed="64"/>
      </patternFill>
    </fill>
    <fill>
      <patternFill patternType="solid">
        <fgColor rgb="FF00B0F0"/>
        <bgColor indexed="64"/>
      </patternFill>
    </fill>
    <fill>
      <patternFill patternType="solid">
        <fgColor rgb="FFC6EFCE"/>
        <bgColor rgb="FFC6EFCE"/>
      </patternFill>
    </fill>
    <fill>
      <patternFill patternType="solid">
        <fgColor rgb="FFFFFFFF"/>
        <bgColor rgb="FFFFFFFF"/>
      </patternFill>
    </fill>
    <fill>
      <patternFill patternType="solid">
        <fgColor rgb="FFF2F2F2"/>
        <bgColor rgb="FFF2F2F2"/>
      </patternFill>
    </fill>
    <fill>
      <patternFill patternType="solid">
        <fgColor rgb="FFEFEFEF"/>
        <bgColor rgb="FFEFEFEF"/>
      </patternFill>
    </fill>
    <fill>
      <patternFill patternType="solid">
        <fgColor rgb="FFD9D9D9"/>
        <bgColor rgb="FFD9D9D9"/>
      </patternFill>
    </fill>
    <fill>
      <patternFill patternType="solid">
        <fgColor rgb="FF17365D"/>
        <bgColor rgb="FF17365D"/>
      </patternFill>
    </fill>
    <fill>
      <patternFill patternType="solid">
        <fgColor rgb="FF7F7F7F"/>
        <bgColor rgb="FF7F7F7F"/>
      </patternFill>
    </fill>
    <fill>
      <patternFill patternType="solid">
        <fgColor rgb="FFBFBFBF"/>
        <bgColor rgb="FFBFBFBF"/>
      </patternFill>
    </fill>
    <fill>
      <patternFill patternType="solid">
        <fgColor rgb="FF000000"/>
        <bgColor rgb="FF000000"/>
      </patternFill>
    </fill>
    <fill>
      <patternFill patternType="solid">
        <fgColor rgb="FFD8D8D8"/>
        <bgColor rgb="FFD8D8D8"/>
      </patternFill>
    </fill>
    <fill>
      <patternFill patternType="solid">
        <fgColor rgb="FFA5A5A5"/>
        <bgColor rgb="FFA5A5A5"/>
      </patternFill>
    </fill>
    <fill>
      <patternFill patternType="solid">
        <fgColor rgb="FFFFCC99"/>
        <bgColor rgb="FFFFCC99"/>
      </patternFill>
    </fill>
    <fill>
      <patternFill patternType="solid">
        <fgColor rgb="FF244061"/>
        <bgColor rgb="FF244061"/>
      </patternFill>
    </fill>
    <fill>
      <patternFill patternType="solid">
        <fgColor rgb="FF999999"/>
        <bgColor rgb="FF999999"/>
      </patternFill>
    </fill>
    <fill>
      <patternFill patternType="solid">
        <fgColor rgb="FFCCCCCC"/>
        <bgColor rgb="FFCCCCCC"/>
      </patternFill>
    </fill>
    <fill>
      <patternFill patternType="solid">
        <fgColor rgb="FF3F3F3F"/>
        <bgColor rgb="FF3F3F3F"/>
      </patternFill>
    </fill>
    <fill>
      <patternFill patternType="solid">
        <fgColor rgb="FF434343"/>
        <bgColor rgb="FF434343"/>
      </patternFill>
    </fill>
    <fill>
      <patternFill patternType="solid">
        <fgColor rgb="FF595959"/>
        <bgColor rgb="FF595959"/>
      </patternFill>
    </fill>
    <fill>
      <patternFill patternType="solid">
        <fgColor rgb="FFFF0000"/>
        <bgColor rgb="FFFF0000"/>
      </patternFill>
    </fill>
    <fill>
      <patternFill patternType="solid">
        <fgColor rgb="FFFFEB9C"/>
        <bgColor rgb="FFFFEB9C"/>
      </patternFill>
    </fill>
    <fill>
      <patternFill patternType="solid">
        <fgColor rgb="FFC4D79B"/>
        <bgColor indexed="64"/>
      </patternFill>
    </fill>
    <fill>
      <patternFill patternType="solid">
        <fgColor rgb="FFCCFFCC"/>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theme="6" tint="0.39994506668294322"/>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0.34998626667073579"/>
        <bgColor indexed="64"/>
      </patternFill>
    </fill>
    <fill>
      <patternFill patternType="solid">
        <fgColor theme="9" tint="-0.249977111117893"/>
        <bgColor indexed="64"/>
      </patternFill>
    </fill>
    <fill>
      <patternFill patternType="solid">
        <fgColor theme="9" tint="-0.24994659260841701"/>
        <bgColor indexed="64"/>
      </patternFill>
    </fill>
    <fill>
      <patternFill patternType="solid">
        <fgColor theme="7" tint="0.59999389629810485"/>
        <bgColor indexed="64"/>
      </patternFill>
    </fill>
    <fill>
      <patternFill patternType="solid">
        <fgColor theme="7"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59996337778862885"/>
        <bgColor indexed="64"/>
      </patternFill>
    </fill>
    <fill>
      <patternFill patternType="solid">
        <fgColor theme="9" tint="0.59999389629810485"/>
        <bgColor indexed="64"/>
      </patternFill>
    </fill>
    <fill>
      <patternFill patternType="solid">
        <fgColor rgb="FFFFFDAF"/>
        <bgColor indexed="64"/>
      </patternFill>
    </fill>
    <fill>
      <patternFill patternType="solid">
        <fgColor theme="0" tint="-0.149967955565050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theme="0" tint="-0.24994659260841701"/>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C00000"/>
        <bgColor indexed="64"/>
      </patternFill>
    </fill>
    <fill>
      <patternFill patternType="solid">
        <fgColor rgb="FF7030A0"/>
        <bgColor indexed="64"/>
      </patternFill>
    </fill>
    <fill>
      <patternFill patternType="solid">
        <fgColor rgb="FF7030A0"/>
        <bgColor auto="1"/>
      </patternFill>
    </fill>
    <fill>
      <patternFill patternType="solid">
        <fgColor rgb="FF002060"/>
        <bgColor auto="1"/>
      </patternFill>
    </fill>
    <fill>
      <patternFill patternType="solid">
        <fgColor rgb="FFD2D3D5"/>
        <bgColor indexed="64"/>
      </patternFill>
    </fill>
    <fill>
      <patternFill patternType="solid">
        <fgColor rgb="FFFFFFFF"/>
        <bgColor indexed="64"/>
      </patternFill>
    </fill>
    <fill>
      <patternFill patternType="solid">
        <fgColor rgb="FF002060"/>
        <bgColor theme="4"/>
      </patternFill>
    </fill>
    <fill>
      <patternFill patternType="solid">
        <fgColor theme="8" tint="0.59999389629810485"/>
        <bgColor indexed="64"/>
      </patternFill>
    </fill>
    <fill>
      <patternFill patternType="solid">
        <fgColor rgb="FFFFFFCC"/>
        <bgColor indexed="64"/>
      </patternFill>
    </fill>
    <fill>
      <patternFill patternType="solid">
        <fgColor theme="5"/>
        <bgColor theme="5"/>
      </patternFill>
    </fill>
    <fill>
      <patternFill patternType="solid">
        <fgColor theme="4" tint="-0.249977111117893"/>
        <bgColor indexed="64"/>
      </patternFill>
    </fill>
    <fill>
      <patternFill patternType="solid">
        <fgColor theme="2" tint="-9.9978637043366805E-2"/>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rgb="FF000000"/>
        <bgColor indexed="64"/>
      </patternFill>
    </fill>
    <fill>
      <patternFill patternType="solid">
        <fgColor theme="0" tint="-0.499984740745262"/>
        <bgColor indexed="64"/>
      </patternFill>
    </fill>
    <fill>
      <patternFill patternType="solid">
        <fgColor theme="4"/>
        <bgColor theme="4"/>
      </patternFill>
    </fill>
    <fill>
      <patternFill patternType="solid">
        <fgColor theme="8" tint="-0.499984740745262"/>
        <bgColor indexed="64"/>
      </patternFill>
    </fill>
    <fill>
      <patternFill patternType="solid">
        <fgColor theme="9"/>
        <bgColor theme="9"/>
      </patternFill>
    </fill>
    <fill>
      <patternFill patternType="solid">
        <fgColor theme="4" tint="0.79998168889431442"/>
        <bgColor theme="4" tint="0.79998168889431442"/>
      </patternFill>
    </fill>
    <fill>
      <patternFill patternType="solid">
        <fgColor theme="5" tint="0.79998168889431442"/>
        <bgColor theme="5" tint="0.79998168889431442"/>
      </patternFill>
    </fill>
    <fill>
      <patternFill patternType="solid">
        <fgColor theme="8" tint="0.39997558519241921"/>
        <bgColor indexed="64"/>
      </patternFill>
    </fill>
    <fill>
      <patternFill patternType="solid">
        <fgColor rgb="FF002060"/>
        <bgColor theme="4" tint="0.79998168889431442"/>
      </patternFill>
    </fill>
    <fill>
      <patternFill patternType="solid">
        <fgColor theme="4" tint="-0.249977111117893"/>
        <bgColor theme="4" tint="-0.249977111117893"/>
      </patternFill>
    </fill>
    <fill>
      <patternFill patternType="solid">
        <fgColor rgb="FFC2D69B"/>
        <bgColor rgb="FFC2D69B"/>
      </patternFill>
    </fill>
    <fill>
      <patternFill patternType="solid">
        <fgColor rgb="FF95B3D7"/>
        <bgColor rgb="FF95B3D7"/>
      </patternFill>
    </fill>
    <fill>
      <patternFill patternType="solid">
        <fgColor rgb="FFCCFFCC"/>
        <bgColor rgb="FFCCFFCC"/>
      </patternFill>
    </fill>
    <fill>
      <gradientFill degree="90">
        <stop position="0">
          <color theme="0"/>
        </stop>
        <stop position="1">
          <color theme="1" tint="0.49803155613879818"/>
        </stop>
      </gradientFill>
    </fill>
    <fill>
      <patternFill patternType="solid">
        <fgColor theme="0"/>
        <bgColor auto="1"/>
      </patternFill>
    </fill>
    <fill>
      <gradientFill degree="270">
        <stop position="0">
          <color theme="0"/>
        </stop>
        <stop position="1">
          <color theme="1" tint="0.49803155613879818"/>
        </stop>
      </gradientFill>
    </fill>
    <fill>
      <patternFill patternType="solid">
        <fgColor rgb="FFA4C2F4"/>
        <bgColor rgb="FFA4C2F4"/>
      </patternFill>
    </fill>
    <fill>
      <patternFill patternType="solid">
        <fgColor rgb="FFC9DAF8"/>
        <bgColor rgb="FFC9DAF8"/>
      </patternFill>
    </fill>
    <fill>
      <patternFill patternType="solid">
        <fgColor rgb="FFEA9999"/>
        <bgColor rgb="FFEA9999"/>
      </patternFill>
    </fill>
    <fill>
      <patternFill patternType="solid">
        <fgColor rgb="FFF4CCCC"/>
        <bgColor rgb="FFF4CCCC"/>
      </patternFill>
    </fill>
    <fill>
      <patternFill patternType="solid">
        <fgColor rgb="FFF3F3F3"/>
        <bgColor rgb="FFF3F3F3"/>
      </patternFill>
    </fill>
    <fill>
      <patternFill patternType="solid">
        <fgColor rgb="FFB4A7D6"/>
        <bgColor rgb="FFB4A7D6"/>
      </patternFill>
    </fill>
    <fill>
      <patternFill patternType="solid">
        <fgColor rgb="FFD9D2E9"/>
        <bgColor rgb="FFD9D2E9"/>
      </patternFill>
    </fill>
    <fill>
      <patternFill patternType="solid">
        <fgColor rgb="FFB6D7A8"/>
        <bgColor rgb="FFB6D7A8"/>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F1C232"/>
        <bgColor rgb="FFF1C232"/>
      </patternFill>
    </fill>
    <fill>
      <patternFill patternType="solid">
        <fgColor rgb="FF9FC5E8"/>
        <bgColor rgb="FF9FC5E8"/>
      </patternFill>
    </fill>
    <fill>
      <patternFill patternType="solid">
        <fgColor rgb="FFFFF2CC"/>
        <bgColor rgb="FFFFF2CC"/>
      </patternFill>
    </fill>
    <fill>
      <patternFill patternType="solid">
        <fgColor rgb="FFFFE599"/>
        <bgColor rgb="FFFFE599"/>
      </patternFill>
    </fill>
    <fill>
      <patternFill patternType="solid">
        <fgColor rgb="FFDD7E6B"/>
        <bgColor rgb="FFDD7E6B"/>
      </patternFill>
    </fill>
    <fill>
      <patternFill patternType="solid">
        <fgColor rgb="FF4DD0E1"/>
        <bgColor rgb="FF4DD0E1"/>
      </patternFill>
    </fill>
    <fill>
      <patternFill patternType="solid">
        <fgColor rgb="FFCFE2F3"/>
        <bgColor rgb="FFCFE2F3"/>
      </patternFill>
    </fill>
    <fill>
      <patternFill patternType="solid">
        <fgColor rgb="FFE0F7FA"/>
        <bgColor rgb="FFE0F7FA"/>
      </patternFill>
    </fill>
    <fill>
      <patternFill patternType="solid">
        <fgColor rgb="FF5B9BD5"/>
        <bgColor rgb="FF5B9BD5"/>
      </patternFill>
    </fill>
    <fill>
      <patternFill patternType="solid">
        <fgColor theme="0"/>
        <bgColor theme="0"/>
      </patternFill>
    </fill>
    <fill>
      <patternFill patternType="solid">
        <fgColor rgb="FFFBE4D5"/>
        <bgColor rgb="FFFBE4D5"/>
      </patternFill>
    </fill>
    <fill>
      <patternFill patternType="solid">
        <fgColor rgb="FFFEF5F0"/>
        <bgColor rgb="FFFEF5F0"/>
      </patternFill>
    </fill>
    <fill>
      <patternFill patternType="solid">
        <fgColor rgb="FF93C47D"/>
        <bgColor rgb="FF93C47D"/>
      </patternFill>
    </fill>
    <fill>
      <patternFill patternType="solid">
        <fgColor rgb="FFDEEAF6"/>
        <bgColor rgb="FFDEEAF6"/>
      </patternFill>
    </fill>
    <fill>
      <patternFill patternType="solid">
        <fgColor theme="9" tint="0.39997558519241921"/>
        <bgColor indexed="64"/>
      </patternFill>
    </fill>
    <fill>
      <patternFill patternType="solid">
        <fgColor rgb="FFB4EEB4"/>
        <bgColor indexed="64"/>
      </patternFill>
    </fill>
    <fill>
      <patternFill patternType="solid">
        <fgColor rgb="FF9BCD9B"/>
        <bgColor indexed="64"/>
      </patternFill>
    </fill>
    <fill>
      <patternFill patternType="solid">
        <fgColor rgb="FF007F00"/>
        <bgColor indexed="64"/>
      </patternFill>
    </fill>
    <fill>
      <patternFill patternType="solid">
        <fgColor rgb="FF00FF00"/>
        <bgColor rgb="FF00FF00"/>
      </patternFill>
    </fill>
    <fill>
      <patternFill patternType="solid">
        <fgColor theme="9" tint="-0.499984740745262"/>
        <bgColor indexed="64"/>
      </patternFill>
    </fill>
    <fill>
      <patternFill patternType="solid">
        <fgColor rgb="FFC6EFCE"/>
      </patternFill>
    </fill>
    <fill>
      <patternFill patternType="solid">
        <fgColor rgb="FFA5A5A5"/>
      </patternFill>
    </fill>
    <fill>
      <patternFill patternType="solid">
        <fgColor theme="8" tint="0.59999389629810485"/>
        <bgColor indexed="65"/>
      </patternFill>
    </fill>
  </fills>
  <borders count="287">
    <border>
      <left/>
      <right/>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thin">
        <color theme="9"/>
      </left>
      <right style="thin">
        <color theme="9"/>
      </right>
      <top style="thin">
        <color theme="9"/>
      </top>
      <bottom style="medium">
        <color theme="9"/>
      </bottom>
      <diagonal/>
    </border>
    <border>
      <left style="thin">
        <color rgb="FFB2B2B2"/>
      </left>
      <right/>
      <top/>
      <bottom/>
      <diagonal/>
    </border>
    <border>
      <left/>
      <right/>
      <top style="thin">
        <color theme="9"/>
      </top>
      <bottom style="thin">
        <color theme="9"/>
      </bottom>
      <diagonal/>
    </border>
    <border>
      <left style="thin">
        <color rgb="FF7F7F7F"/>
      </left>
      <right/>
      <top/>
      <bottom/>
      <diagonal/>
    </border>
    <border>
      <left style="thin">
        <color rgb="FF3F3F3F"/>
      </left>
      <right style="thin">
        <color rgb="FF3F3F3F"/>
      </right>
      <top style="thin">
        <color rgb="FF3F3F3F"/>
      </top>
      <bottom/>
      <diagonal/>
    </border>
    <border>
      <left style="thin">
        <color rgb="FF3F3F3F"/>
      </left>
      <right style="thin">
        <color rgb="FF3F3F3F"/>
      </right>
      <top style="thin">
        <color rgb="FF3F3F3F"/>
      </top>
      <bottom style="thin">
        <color theme="8"/>
      </bottom>
      <diagonal/>
    </border>
    <border>
      <left/>
      <right style="medium">
        <color rgb="FF000000"/>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style="medium">
        <color rgb="FF000000"/>
      </left>
      <right/>
      <top/>
      <bottom style="medium">
        <color rgb="FF000000"/>
      </bottom>
      <diagonal/>
    </border>
    <border>
      <left/>
      <right style="medium">
        <color rgb="FF000000"/>
      </right>
      <top/>
      <bottom/>
      <diagonal/>
    </border>
    <border>
      <left/>
      <right style="thin">
        <color rgb="FF000000"/>
      </right>
      <top/>
      <bottom/>
      <diagonal/>
    </border>
    <border>
      <left style="thin">
        <color rgb="FF000000"/>
      </left>
      <right/>
      <top/>
      <bottom/>
      <diagonal/>
    </border>
    <border>
      <left style="medium">
        <color rgb="FF000000"/>
      </left>
      <right/>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top style="medium">
        <color rgb="FF000000"/>
      </top>
      <bottom style="thin">
        <color rgb="FF000000"/>
      </bottom>
      <diagonal/>
    </border>
    <border>
      <left style="medium">
        <color rgb="FF000000"/>
      </left>
      <right/>
      <top style="medium">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diagonal/>
    </border>
    <border>
      <left/>
      <right/>
      <top style="thin">
        <color rgb="FF000000"/>
      </top>
      <bottom/>
      <diagonal/>
    </border>
    <border>
      <left style="medium">
        <color rgb="FF000000"/>
      </left>
      <right/>
      <top style="thin">
        <color rgb="FF000000"/>
      </top>
      <bottom/>
      <diagonal/>
    </border>
    <border>
      <left/>
      <right style="medium">
        <color rgb="FF000000"/>
      </right>
      <top/>
      <bottom style="thin">
        <color rgb="FF000000"/>
      </bottom>
      <diagonal/>
    </border>
    <border>
      <left/>
      <right/>
      <top/>
      <bottom style="thin">
        <color rgb="FF000000"/>
      </bottom>
      <diagonal/>
    </border>
    <border>
      <left style="medium">
        <color rgb="FF000000"/>
      </left>
      <right/>
      <top/>
      <bottom style="thin">
        <color rgb="FF000000"/>
      </bottom>
      <diagonal/>
    </border>
    <border>
      <left/>
      <right style="medium">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diagonal/>
    </border>
    <border>
      <left/>
      <right/>
      <top style="medium">
        <color rgb="FF000000"/>
      </top>
      <bottom/>
      <diagonal/>
    </border>
    <border>
      <left style="medium">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FFFFFF"/>
      </left>
      <right/>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FFFFFF"/>
      </left>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bottom style="medium">
        <color rgb="FFA3A3A3"/>
      </bottom>
      <diagonal/>
    </border>
    <border>
      <left style="medium">
        <color rgb="FFA3A3A3"/>
      </left>
      <right style="medium">
        <color rgb="FFA3A3A3"/>
      </right>
      <top style="medium">
        <color rgb="FFA3A3A3"/>
      </top>
      <bottom/>
      <diagonal/>
    </border>
    <border>
      <left style="thin">
        <color rgb="FF000000"/>
      </left>
      <right style="thin">
        <color rgb="FF000000"/>
      </right>
      <top style="thin">
        <color rgb="FF000000"/>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top style="medium">
        <color auto="1"/>
      </top>
      <bottom style="hair">
        <color auto="1"/>
      </bottom>
      <diagonal/>
    </border>
    <border>
      <left/>
      <right style="medium">
        <color auto="1"/>
      </right>
      <top/>
      <bottom/>
      <diagonal/>
    </border>
    <border>
      <left style="thin">
        <color auto="1"/>
      </left>
      <right style="thin">
        <color auto="1"/>
      </right>
      <top style="hair">
        <color auto="1"/>
      </top>
      <bottom/>
      <diagonal/>
    </border>
    <border>
      <left style="thin">
        <color auto="1"/>
      </left>
      <right/>
      <top style="hair">
        <color auto="1"/>
      </top>
      <bottom/>
      <diagonal/>
    </border>
    <border>
      <left style="thin">
        <color auto="1"/>
      </left>
      <right style="medium">
        <color auto="1"/>
      </right>
      <top style="hair">
        <color auto="1"/>
      </top>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thin">
        <color auto="1"/>
      </left>
      <right/>
      <top style="medium">
        <color auto="1"/>
      </top>
      <bottom style="hair">
        <color auto="1"/>
      </bottom>
      <diagonal/>
    </border>
    <border>
      <left style="thin">
        <color auto="1"/>
      </left>
      <right style="thin">
        <color auto="1"/>
      </right>
      <top/>
      <bottom style="hair">
        <color auto="1"/>
      </bottom>
      <diagonal/>
    </border>
    <border>
      <left style="medium">
        <color auto="1"/>
      </left>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thin">
        <color auto="1"/>
      </left>
      <right/>
      <top style="hair">
        <color auto="1"/>
      </top>
      <bottom style="hair">
        <color auto="1"/>
      </bottom>
      <diagonal/>
    </border>
    <border>
      <left style="medium">
        <color auto="1"/>
      </left>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hair">
        <color auto="1"/>
      </top>
      <bottom style="medium">
        <color auto="1"/>
      </bottom>
      <diagonal/>
    </border>
    <border>
      <left style="medium">
        <color auto="1"/>
      </left>
      <right style="thin">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diagonal/>
    </border>
    <border>
      <left style="medium">
        <color auto="1"/>
      </left>
      <right style="medium">
        <color auto="1"/>
      </right>
      <top style="hair">
        <color auto="1"/>
      </top>
      <bottom style="hair">
        <color auto="1"/>
      </bottom>
      <diagonal/>
    </border>
    <border>
      <left style="medium">
        <color auto="1"/>
      </left>
      <right style="thin">
        <color auto="1"/>
      </right>
      <top style="hair">
        <color auto="1"/>
      </top>
      <bottom style="hair">
        <color auto="1"/>
      </bottom>
      <diagonal/>
    </border>
    <border>
      <left style="medium">
        <color auto="1"/>
      </left>
      <right style="thin">
        <color auto="1"/>
      </right>
      <top style="hair">
        <color auto="1"/>
      </top>
      <bottom/>
      <diagonal/>
    </border>
    <border>
      <left style="medium">
        <color auto="1"/>
      </left>
      <right style="thin">
        <color auto="1"/>
      </right>
      <top/>
      <bottom style="hair">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style="hair">
        <color auto="1"/>
      </bottom>
      <diagonal/>
    </border>
    <border>
      <left style="medium">
        <color auto="1"/>
      </left>
      <right style="medium">
        <color auto="1"/>
      </right>
      <top style="hair">
        <color auto="1"/>
      </top>
      <bottom style="medium">
        <color auto="1"/>
      </bottom>
      <diagonal/>
    </border>
    <border>
      <left style="medium">
        <color auto="1"/>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style="thin">
        <color auto="1"/>
      </left>
      <right style="medium">
        <color auto="1"/>
      </right>
      <top style="hair">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bottom style="hair">
        <color auto="1"/>
      </bottom>
      <diagonal/>
    </border>
    <border>
      <left/>
      <right/>
      <top/>
      <bottom style="hair">
        <color auto="1"/>
      </bottom>
      <diagonal/>
    </border>
    <border>
      <left style="medium">
        <color auto="1"/>
      </left>
      <right style="medium">
        <color auto="1"/>
      </right>
      <top style="medium">
        <color auto="1"/>
      </top>
      <bottom/>
      <diagonal/>
    </border>
    <border>
      <left style="medium">
        <color auto="1"/>
      </left>
      <right/>
      <top/>
      <bottom style="hair">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medium">
        <color auto="1"/>
      </bottom>
      <diagonal/>
    </border>
    <border>
      <left style="medium">
        <color auto="1"/>
      </left>
      <right/>
      <top style="thin">
        <color auto="1"/>
      </top>
      <bottom/>
      <diagonal/>
    </border>
    <border>
      <left/>
      <right/>
      <top style="hair">
        <color auto="1"/>
      </top>
      <bottom style="medium">
        <color auto="1"/>
      </bottom>
      <diagonal/>
    </border>
    <border>
      <left style="medium">
        <color auto="1"/>
      </left>
      <right style="medium">
        <color auto="1"/>
      </right>
      <top/>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hair">
        <color auto="1"/>
      </left>
      <right style="medium">
        <color auto="1"/>
      </right>
      <top style="hair">
        <color auto="1"/>
      </top>
      <bottom style="medium">
        <color auto="1"/>
      </bottom>
      <diagonal/>
    </border>
    <border>
      <left style="double">
        <color auto="1"/>
      </left>
      <right/>
      <top style="hair">
        <color auto="1"/>
      </top>
      <bottom style="hair">
        <color auto="1"/>
      </bottom>
      <diagonal/>
    </border>
    <border>
      <left/>
      <right/>
      <top style="hair">
        <color auto="1"/>
      </top>
      <bottom style="hair">
        <color auto="1"/>
      </bottom>
      <diagonal/>
    </border>
    <border>
      <left style="double">
        <color auto="1"/>
      </left>
      <right/>
      <top style="hair">
        <color auto="1"/>
      </top>
      <bottom style="medium">
        <color auto="1"/>
      </bottom>
      <diagonal/>
    </border>
    <border>
      <left/>
      <right style="medium">
        <color auto="1"/>
      </right>
      <top style="thin">
        <color auto="1"/>
      </top>
      <bottom style="medium">
        <color auto="1"/>
      </bottom>
      <diagonal/>
    </border>
    <border>
      <left/>
      <right style="medium">
        <color auto="1"/>
      </right>
      <top style="medium">
        <color auto="1"/>
      </top>
      <bottom style="thin">
        <color auto="1"/>
      </bottom>
      <diagonal/>
    </border>
    <border>
      <left style="hair">
        <color auto="1"/>
      </left>
      <right style="medium">
        <color auto="1"/>
      </right>
      <top/>
      <bottom style="hair">
        <color auto="1"/>
      </bottom>
      <diagonal/>
    </border>
    <border>
      <left style="medium">
        <color auto="1"/>
      </left>
      <right style="medium">
        <color auto="1"/>
      </right>
      <top style="thin">
        <color auto="1"/>
      </top>
      <bottom/>
      <diagonal/>
    </border>
    <border>
      <left style="medium">
        <color auto="1"/>
      </left>
      <right style="thin">
        <color auto="1"/>
      </right>
      <top style="medium">
        <color auto="1"/>
      </top>
      <bottom style="double">
        <color auto="1"/>
      </bottom>
      <diagonal/>
    </border>
    <border>
      <left style="thin">
        <color auto="1"/>
      </left>
      <right style="medium">
        <color auto="1"/>
      </right>
      <top style="medium">
        <color auto="1"/>
      </top>
      <bottom style="double">
        <color auto="1"/>
      </bottom>
      <diagonal/>
    </border>
    <border>
      <left style="medium">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medium">
        <color auto="1"/>
      </right>
      <top style="double">
        <color auto="1"/>
      </top>
      <bottom style="hair">
        <color auto="1"/>
      </bottom>
      <diagonal/>
    </border>
    <border>
      <left/>
      <right/>
      <top/>
      <bottom style="double">
        <color auto="1"/>
      </bottom>
      <diagonal/>
    </border>
    <border diagonalDown="1">
      <left style="thin">
        <color auto="1"/>
      </left>
      <right style="thin">
        <color auto="1"/>
      </right>
      <top style="hair">
        <color auto="1"/>
      </top>
      <bottom style="hair">
        <color auto="1"/>
      </bottom>
      <diagonal style="thin">
        <color auto="1"/>
      </diagonal>
    </border>
    <border diagonalDown="1">
      <left style="thin">
        <color auto="1"/>
      </left>
      <right style="thin">
        <color auto="1"/>
      </right>
      <top style="hair">
        <color auto="1"/>
      </top>
      <bottom style="medium">
        <color auto="1"/>
      </bottom>
      <diagonal style="thin">
        <color auto="1"/>
      </diagonal>
    </border>
    <border>
      <left style="hair">
        <color auto="1"/>
      </left>
      <right style="medium">
        <color indexed="64"/>
      </right>
      <top/>
      <bottom style="medium">
        <color indexed="64"/>
      </bottom>
      <diagonal/>
    </border>
    <border>
      <left style="double">
        <color auto="1"/>
      </left>
      <right/>
      <top/>
      <bottom style="hair">
        <color auto="1"/>
      </bottom>
      <diagonal/>
    </border>
    <border>
      <left style="thin">
        <color theme="0"/>
      </left>
      <right/>
      <top style="thin">
        <color auto="1"/>
      </top>
      <bottom/>
      <diagonal/>
    </border>
    <border>
      <left/>
      <right style="thin">
        <color theme="0"/>
      </right>
      <top style="thin">
        <color auto="1"/>
      </top>
      <bottom/>
      <diagonal/>
    </border>
    <border>
      <left style="thin">
        <color theme="0"/>
      </left>
      <right/>
      <top/>
      <bottom style="thin">
        <color auto="1"/>
      </bottom>
      <diagonal/>
    </border>
    <border>
      <left/>
      <right style="thin">
        <color theme="0"/>
      </right>
      <top/>
      <bottom style="thin">
        <color auto="1"/>
      </bottom>
      <diagonal/>
    </border>
    <border>
      <left/>
      <right style="medium">
        <color auto="1"/>
      </right>
      <top style="thin">
        <color auto="1"/>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auto="1"/>
      </left>
      <right/>
      <top style="thin">
        <color theme="3" tint="0.79998168889431442"/>
      </top>
      <bottom/>
      <diagonal/>
    </border>
    <border>
      <left/>
      <right/>
      <top style="thin">
        <color theme="3" tint="0.79998168889431442"/>
      </top>
      <bottom/>
      <diagonal/>
    </border>
    <border>
      <left/>
      <right style="thin">
        <color auto="1"/>
      </right>
      <top style="thin">
        <color theme="3" tint="0.79998168889431442"/>
      </top>
      <bottom/>
      <diagonal/>
    </border>
    <border>
      <left style="double">
        <color rgb="FFB7B7B7"/>
      </left>
      <right style="double">
        <color rgb="FFB7B7B7"/>
      </right>
      <top/>
      <bottom style="double">
        <color rgb="FFB7B7B7"/>
      </bottom>
      <diagonal/>
    </border>
    <border>
      <left style="double">
        <color rgb="FFB7B7B7"/>
      </left>
      <right style="double">
        <color rgb="FFB7B7B7"/>
      </right>
      <top/>
      <bottom/>
      <diagonal/>
    </border>
    <border>
      <left style="double">
        <color rgb="FFB7B7B7"/>
      </left>
      <right style="double">
        <color rgb="FFB7B7B7"/>
      </right>
      <top style="double">
        <color rgb="FFB7B7B7"/>
      </top>
      <bottom/>
      <diagonal/>
    </border>
    <border>
      <left style="thin">
        <color rgb="FF9CC2E5"/>
      </left>
      <right/>
      <top style="thin">
        <color rgb="FF9CC2E5"/>
      </top>
      <bottom/>
      <diagonal/>
    </border>
    <border>
      <left/>
      <right/>
      <top style="thin">
        <color rgb="FF9CC2E5"/>
      </top>
      <bottom/>
      <diagonal/>
    </border>
    <border>
      <left style="medium">
        <color rgb="FFA3A3A3"/>
      </left>
      <right/>
      <top style="medium">
        <color rgb="FFA3A3A3"/>
      </top>
      <bottom/>
      <diagonal/>
    </border>
    <border>
      <left/>
      <right style="medium">
        <color rgb="FFA3A3A3"/>
      </right>
      <top style="medium">
        <color rgb="FFA3A3A3"/>
      </top>
      <bottom/>
      <diagonal/>
    </border>
    <border>
      <left style="medium">
        <color rgb="FFA3A3A3"/>
      </left>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
      </bottom>
      <diagonal/>
    </border>
    <border>
      <left style="double">
        <color rgb="FFC00000"/>
      </left>
      <right style="double">
        <color rgb="FFC00000"/>
      </right>
      <top style="double">
        <color rgb="FFC00000"/>
      </top>
      <bottom style="double">
        <color rgb="FFC00000"/>
      </bottom>
      <diagonal/>
    </border>
    <border>
      <left style="double">
        <color rgb="FFC00000"/>
      </left>
      <right/>
      <top/>
      <bottom/>
      <diagonal/>
    </border>
    <border>
      <left/>
      <right/>
      <top/>
      <bottom style="thick">
        <color theme="4"/>
      </bottom>
      <diagonal/>
    </border>
    <border>
      <left style="medium">
        <color rgb="FFA3A3A3"/>
      </left>
      <right/>
      <top/>
      <bottom/>
      <diagonal/>
    </border>
    <border>
      <left/>
      <right style="medium">
        <color rgb="FFA3A3A3"/>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medium">
        <color rgb="FFA3A3A3"/>
      </left>
      <right style="medium">
        <color rgb="FFA3A3A3"/>
      </right>
      <top/>
      <bottom/>
      <diagonal/>
    </border>
    <border>
      <left/>
      <right/>
      <top/>
      <bottom style="thick">
        <color theme="4" tint="0.499984740745262"/>
      </bottom>
      <diagonal/>
    </border>
    <border>
      <left style="thin">
        <color theme="4"/>
      </left>
      <right/>
      <top style="thin">
        <color theme="4"/>
      </top>
      <bottom style="thin">
        <color theme="4"/>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right>
      <top style="thin">
        <color theme="4"/>
      </top>
      <bottom style="thin">
        <color theme="4"/>
      </bottom>
      <diagonal/>
    </border>
    <border>
      <left/>
      <right/>
      <top style="thin">
        <color theme="4"/>
      </top>
      <bottom/>
      <diagonal/>
    </border>
    <border>
      <left style="thin">
        <color theme="4" tint="0.39997558519241921"/>
      </left>
      <right/>
      <top style="thin">
        <color theme="4" tint="0.39997558519241921"/>
      </top>
      <bottom style="thick">
        <color theme="4" tint="0.499984740745262"/>
      </bottom>
      <diagonal/>
    </border>
    <border>
      <left/>
      <right/>
      <top/>
      <bottom style="medium">
        <color theme="1"/>
      </bottom>
      <diagonal/>
    </border>
    <border>
      <left/>
      <right style="thin">
        <color theme="4" tint="0.39997558519241921"/>
      </right>
      <top style="thin">
        <color theme="4" tint="0.39997558519241921"/>
      </top>
      <bottom style="thin">
        <color theme="4" tint="0.39997558519241921"/>
      </bottom>
      <diagonal/>
    </border>
    <border>
      <left/>
      <right style="thin">
        <color theme="5" tint="0.39997558519241921"/>
      </right>
      <top style="thin">
        <color theme="5" tint="0.39997558519241921"/>
      </top>
      <bottom style="thin">
        <color theme="5" tint="0.39997558519241921"/>
      </bottom>
      <diagonal/>
    </border>
    <border>
      <left/>
      <right/>
      <top style="thin">
        <color theme="4" tint="0.39997558519241921"/>
      </top>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style="thin">
        <color theme="4"/>
      </left>
      <right/>
      <top style="thin">
        <color theme="4"/>
      </top>
      <bottom/>
      <diagonal/>
    </border>
    <border>
      <left/>
      <right style="thin">
        <color theme="4"/>
      </right>
      <top style="thin">
        <color theme="4"/>
      </top>
      <bottom/>
      <diagonal/>
    </border>
    <border>
      <left/>
      <right/>
      <top style="thin">
        <color theme="4"/>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right>
      <top/>
      <bottom/>
      <diagonal/>
    </border>
    <border>
      <left style="thin">
        <color theme="4" tint="0.39997558519241921"/>
      </left>
      <right style="thin">
        <color theme="4" tint="0.39997558519241921"/>
      </right>
      <top style="thin">
        <color theme="4" tint="0.39997558519241921"/>
      </top>
      <bottom/>
      <diagonal/>
    </border>
    <border>
      <left/>
      <right/>
      <top style="medium">
        <color theme="1"/>
      </top>
      <bottom/>
      <diagonal/>
    </border>
    <border>
      <left style="thin">
        <color theme="5" tint="0.39997558519241921"/>
      </left>
      <right/>
      <top style="thin">
        <color theme="5" tint="0.39997558519241921"/>
      </top>
      <bottom/>
      <diagonal/>
    </border>
    <border>
      <left/>
      <right/>
      <top style="thin">
        <color theme="5" tint="0.39997558519241921"/>
      </top>
      <bottom/>
      <diagonal/>
    </border>
    <border>
      <left/>
      <right style="thin">
        <color theme="5" tint="0.39997558519241921"/>
      </right>
      <top style="thin">
        <color theme="5" tint="0.39997558519241921"/>
      </top>
      <bottom/>
      <diagonal/>
    </border>
    <border>
      <left/>
      <right/>
      <top/>
      <bottom style="medium">
        <color theme="0"/>
      </bottom>
      <diagonal/>
    </border>
    <border>
      <left style="thin">
        <color rgb="FF3F3F3F"/>
      </left>
      <right/>
      <top/>
      <bottom/>
      <diagonal/>
    </border>
    <border>
      <left style="thin">
        <color rgb="FFB2B2B2"/>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style="thin">
        <color rgb="FF000000"/>
      </left>
      <right style="medium">
        <color rgb="FF000000"/>
      </right>
      <top style="hair">
        <color rgb="FF000000"/>
      </top>
      <bottom style="medium">
        <color rgb="FF000000"/>
      </bottom>
      <diagonal/>
    </border>
    <border>
      <left style="thin">
        <color rgb="FF000000"/>
      </left>
      <right style="medium">
        <color rgb="FF000000"/>
      </right>
      <top/>
      <bottom style="hair">
        <color rgb="FF000000"/>
      </bottom>
      <diagonal/>
    </border>
    <border>
      <left style="thin">
        <color rgb="FF000000"/>
      </left>
      <right style="medium">
        <color rgb="FF000000"/>
      </right>
      <top style="hair">
        <color rgb="FF000000"/>
      </top>
      <bottom style="hair">
        <color rgb="FF000000"/>
      </bottom>
      <diagonal/>
    </border>
    <border>
      <left style="thin">
        <color rgb="FF000000"/>
      </left>
      <right style="medium">
        <color rgb="FF000000"/>
      </right>
      <top/>
      <bottom style="medium">
        <color rgb="FF000000"/>
      </bottom>
      <diagonal/>
    </border>
    <border>
      <left style="medium">
        <color rgb="FF000000"/>
      </left>
      <right/>
      <top style="hair">
        <color rgb="FF000000"/>
      </top>
      <bottom style="hair">
        <color rgb="FF000000"/>
      </bottom>
      <diagonal/>
    </border>
    <border>
      <left style="medium">
        <color rgb="FF000000"/>
      </left>
      <right/>
      <top/>
      <bottom style="hair">
        <color rgb="FF000000"/>
      </bottom>
      <diagonal/>
    </border>
    <border>
      <left style="thin">
        <color rgb="FF000000"/>
      </left>
      <right/>
      <top/>
      <bottom style="hair">
        <color rgb="FF000000"/>
      </bottom>
      <diagonal/>
    </border>
    <border>
      <left style="thin">
        <color rgb="FF000000"/>
      </left>
      <right/>
      <top style="hair">
        <color rgb="FF000000"/>
      </top>
      <bottom style="hair">
        <color rgb="FF000000"/>
      </bottom>
      <diagonal/>
    </border>
    <border>
      <left style="medium">
        <color rgb="FF000000"/>
      </left>
      <right/>
      <top style="hair">
        <color rgb="FF000000"/>
      </top>
      <bottom style="medium">
        <color rgb="FF000000"/>
      </bottom>
      <diagonal/>
    </border>
    <border>
      <left style="thin">
        <color rgb="FF000000"/>
      </left>
      <right/>
      <top style="hair">
        <color rgb="FF000000"/>
      </top>
      <bottom style="medium">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medium">
        <color rgb="FF000000"/>
      </bottom>
      <diagonal/>
    </border>
    <border>
      <left style="thin">
        <color rgb="FF000000"/>
      </left>
      <right style="thin">
        <color rgb="FF000000"/>
      </right>
      <top/>
      <bottom style="hair">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double">
        <color rgb="FF000000"/>
      </left>
      <right style="thin">
        <color rgb="FF000000"/>
      </right>
      <top style="hair">
        <color rgb="FF000000"/>
      </top>
      <bottom style="hair">
        <color rgb="FF000000"/>
      </bottom>
      <diagonal/>
    </border>
    <border>
      <left style="thin">
        <color rgb="FF000000"/>
      </left>
      <right style="double">
        <color rgb="FF000000"/>
      </right>
      <top style="hair">
        <color rgb="FF000000"/>
      </top>
      <bottom style="hair">
        <color rgb="FF000000"/>
      </bottom>
      <diagonal/>
    </border>
    <border>
      <left/>
      <right style="thin">
        <color rgb="FF000000"/>
      </right>
      <top style="hair">
        <color rgb="FF000000"/>
      </top>
      <bottom style="hair">
        <color rgb="FF000000"/>
      </bottom>
      <diagonal/>
    </border>
    <border>
      <left style="double">
        <color rgb="FF000000"/>
      </left>
      <right style="thin">
        <color rgb="FF000000"/>
      </right>
      <top style="hair">
        <color rgb="FF000000"/>
      </top>
      <bottom style="medium">
        <color rgb="FF000000"/>
      </bottom>
      <diagonal/>
    </border>
    <border>
      <left style="thin">
        <color rgb="FF000000"/>
      </left>
      <right style="double">
        <color rgb="FF000000"/>
      </right>
      <top style="hair">
        <color rgb="FF000000"/>
      </top>
      <bottom style="medium">
        <color rgb="FF000000"/>
      </bottom>
      <diagonal/>
    </border>
    <border>
      <left/>
      <right style="thin">
        <color rgb="FF000000"/>
      </right>
      <top style="hair">
        <color rgb="FF000000"/>
      </top>
      <bottom style="medium">
        <color rgb="FF000000"/>
      </bottom>
      <diagonal/>
    </border>
    <border>
      <left/>
      <right style="thin">
        <color rgb="FF000000"/>
      </right>
      <top/>
      <bottom style="hair">
        <color rgb="FF000000"/>
      </bottom>
      <diagonal/>
    </border>
    <border>
      <left style="double">
        <color rgb="FF000000"/>
      </left>
      <right/>
      <top style="medium">
        <color rgb="FF000000"/>
      </top>
      <bottom/>
      <diagonal/>
    </border>
    <border>
      <left style="thin">
        <color rgb="FF000000"/>
      </left>
      <right style="double">
        <color rgb="FF000000"/>
      </right>
      <top style="medium">
        <color rgb="FF000000"/>
      </top>
      <bottom/>
      <diagonal/>
    </border>
    <border>
      <left style="double">
        <color rgb="FF000000"/>
      </left>
      <right/>
      <top style="thin">
        <color rgb="FF000000"/>
      </top>
      <bottom style="thin">
        <color rgb="FF000000"/>
      </bottom>
      <diagonal/>
    </border>
    <border>
      <left/>
      <right style="double">
        <color rgb="FF000000"/>
      </right>
      <top style="thin">
        <color rgb="FF000000"/>
      </top>
      <bottom style="thin">
        <color rgb="FF000000"/>
      </bottom>
      <diagonal/>
    </border>
    <border>
      <left style="double">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double">
        <color rgb="FF000000"/>
      </right>
      <top/>
      <bottom style="medium">
        <color rgb="FF000000"/>
      </bottom>
      <diagonal/>
    </border>
    <border>
      <left style="double">
        <color rgb="FF000000"/>
      </left>
      <right style="thin">
        <color rgb="FF000000"/>
      </right>
      <top/>
      <bottom style="hair">
        <color rgb="FF000000"/>
      </bottom>
      <diagonal/>
    </border>
    <border>
      <left style="thin">
        <color rgb="FF000000"/>
      </left>
      <right style="double">
        <color rgb="FF000000"/>
      </right>
      <top/>
      <bottom style="hair">
        <color rgb="FF000000"/>
      </bottom>
      <diagonal/>
    </border>
    <border>
      <left/>
      <right style="double">
        <color rgb="FF000000"/>
      </right>
      <top/>
      <bottom style="hair">
        <color rgb="FF000000"/>
      </bottom>
      <diagonal/>
    </border>
    <border>
      <left/>
      <right style="double">
        <color rgb="FF000000"/>
      </right>
      <top style="hair">
        <color rgb="FF000000"/>
      </top>
      <bottom style="medium">
        <color rgb="FF000000"/>
      </bottom>
      <diagonal/>
    </border>
    <border>
      <left/>
      <right style="double">
        <color rgb="FF000000"/>
      </right>
      <top style="hair">
        <color rgb="FF000000"/>
      </top>
      <bottom style="hair">
        <color rgb="FF000000"/>
      </bottom>
      <diagonal/>
    </border>
    <border>
      <left/>
      <right/>
      <top style="medium">
        <color theme="1"/>
      </top>
      <bottom style="medium">
        <color theme="1"/>
      </bottom>
      <diagonal/>
    </border>
    <border>
      <left style="thin">
        <color rgb="FF7F7F7F"/>
      </left>
      <right/>
      <top/>
      <bottom style="double">
        <color rgb="FFC00000"/>
      </bottom>
      <diagonal/>
    </border>
    <border>
      <left/>
      <right style="double">
        <color rgb="FFC00000"/>
      </right>
      <top/>
      <bottom style="double">
        <color rgb="FFC00000"/>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style="thin">
        <color rgb="FF000000"/>
      </right>
      <top/>
      <bottom/>
      <diagonal/>
    </border>
    <border>
      <left style="thin">
        <color theme="1"/>
      </left>
      <right style="thin">
        <color theme="1"/>
      </right>
      <top style="thin">
        <color theme="1"/>
      </top>
      <bottom style="thin">
        <color theme="1"/>
      </bottom>
      <diagonal/>
    </border>
    <border>
      <left/>
      <right style="thin">
        <color theme="1"/>
      </right>
      <top style="thin">
        <color theme="1"/>
      </top>
      <bottom style="medium">
        <color theme="1"/>
      </bottom>
      <diagonal/>
    </border>
    <border>
      <left style="thin">
        <color theme="4"/>
      </left>
      <right/>
      <top style="thin">
        <color theme="4"/>
      </top>
      <bottom style="double">
        <color theme="4"/>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right style="thin">
        <color rgb="FFB2B2B2"/>
      </right>
      <top/>
      <bottom/>
      <diagonal/>
    </border>
    <border>
      <left style="double">
        <color rgb="FFC00000"/>
      </left>
      <right/>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2">
    <xf numFmtId="0" fontId="0" fillId="0" borderId="0"/>
    <xf numFmtId="0" fontId="4" fillId="0" borderId="0" applyNumberFormat="0" applyFill="0" applyBorder="0" applyAlignment="0" applyProtection="0"/>
    <xf numFmtId="0" fontId="7" fillId="0" borderId="0"/>
    <xf numFmtId="0" fontId="18" fillId="0" borderId="1" applyNumberFormat="0" applyFill="0" applyAlignment="0" applyProtection="0"/>
    <xf numFmtId="0" fontId="180" fillId="20" borderId="195" applyNumberFormat="0" applyProtection="0">
      <alignment horizontal="center" vertical="center"/>
    </xf>
    <xf numFmtId="0" fontId="19" fillId="5" borderId="3" applyNumberFormat="0" applyAlignment="0" applyProtection="0"/>
    <xf numFmtId="0" fontId="20" fillId="5" borderId="2" applyNumberFormat="0" applyAlignment="0" applyProtection="0"/>
    <xf numFmtId="0" fontId="17" fillId="6" borderId="4" applyNumberFormat="0" applyFont="0" applyAlignment="0" applyProtection="0"/>
    <xf numFmtId="0" fontId="21" fillId="0" borderId="5" applyNumberFormat="0" applyFill="0" applyAlignment="0" applyProtection="0"/>
    <xf numFmtId="0" fontId="3" fillId="7" borderId="0" applyNumberFormat="0" applyBorder="0" applyAlignment="0" applyProtection="0"/>
    <xf numFmtId="0" fontId="25" fillId="0" borderId="0"/>
    <xf numFmtId="0" fontId="31" fillId="0" borderId="0" applyNumberFormat="0" applyFill="0" applyBorder="0" applyAlignment="0" applyProtection="0"/>
    <xf numFmtId="0" fontId="51" fillId="0" borderId="0"/>
    <xf numFmtId="0" fontId="53" fillId="4" borderId="2" applyNumberFormat="0" applyAlignment="0" applyProtection="0"/>
    <xf numFmtId="0" fontId="74" fillId="0" borderId="0"/>
    <xf numFmtId="0" fontId="134" fillId="0" borderId="0"/>
    <xf numFmtId="170" fontId="25" fillId="0" borderId="0" applyFont="0" applyFill="0" applyBorder="0" applyAlignment="0" applyProtection="0"/>
    <xf numFmtId="0" fontId="152" fillId="0" borderId="0" applyNumberFormat="0" applyFill="0" applyBorder="0" applyAlignment="0" applyProtection="0">
      <alignment vertical="top"/>
      <protection locked="0"/>
    </xf>
    <xf numFmtId="0" fontId="51" fillId="0" borderId="0"/>
    <xf numFmtId="9" fontId="25" fillId="0" borderId="0" applyFont="0" applyFill="0" applyBorder="0" applyAlignment="0" applyProtection="0"/>
    <xf numFmtId="0" fontId="17" fillId="0" borderId="0"/>
    <xf numFmtId="0" fontId="2" fillId="0" borderId="0"/>
    <xf numFmtId="0" fontId="4" fillId="0" borderId="0" applyNumberFormat="0" applyFill="0" applyBorder="0" applyAlignment="0" applyProtection="0"/>
    <xf numFmtId="0" fontId="1" fillId="0" borderId="0"/>
    <xf numFmtId="0" fontId="315" fillId="0" borderId="197" applyNumberFormat="0" applyFill="0" applyAlignment="0" applyProtection="0"/>
    <xf numFmtId="0" fontId="4" fillId="0" borderId="0" applyNumberFormat="0" applyFill="0" applyBorder="0" applyAlignment="0" applyProtection="0"/>
    <xf numFmtId="0" fontId="196" fillId="4" borderId="2" applyNumberFormat="0" applyAlignment="0" applyProtection="0"/>
    <xf numFmtId="0" fontId="316" fillId="0" borderId="204" applyNumberFormat="0" applyFill="0" applyAlignment="0" applyProtection="0"/>
    <xf numFmtId="9" fontId="17" fillId="0" borderId="0" applyFont="0" applyFill="0" applyBorder="0" applyAlignment="0" applyProtection="0"/>
    <xf numFmtId="0" fontId="245" fillId="0" borderId="0"/>
    <xf numFmtId="0" fontId="327" fillId="0" borderId="1" applyNumberFormat="0" applyFill="0" applyAlignment="0" applyProtection="0"/>
    <xf numFmtId="0" fontId="74" fillId="0" borderId="0"/>
    <xf numFmtId="0" fontId="74" fillId="0" borderId="0"/>
    <xf numFmtId="0" fontId="74" fillId="0" borderId="0"/>
    <xf numFmtId="0" fontId="74" fillId="0" borderId="0"/>
    <xf numFmtId="44" fontId="17" fillId="0" borderId="0" applyFont="0" applyFill="0" applyBorder="0" applyAlignment="0" applyProtection="0"/>
    <xf numFmtId="0" fontId="74" fillId="0" borderId="0"/>
    <xf numFmtId="0" fontId="25" fillId="0" borderId="0"/>
    <xf numFmtId="0" fontId="7" fillId="0" borderId="0"/>
    <xf numFmtId="0" fontId="45" fillId="0" borderId="0"/>
    <xf numFmtId="0" fontId="328" fillId="0" borderId="0" applyNumberFormat="0" applyFill="0" applyBorder="0" applyAlignment="0" applyProtection="0">
      <alignment vertical="top"/>
      <protection locked="0"/>
    </xf>
    <xf numFmtId="0" fontId="31" fillId="0" borderId="0" applyNumberFormat="0" applyFill="0" applyBorder="0" applyAlignment="0" applyProtection="0"/>
    <xf numFmtId="0" fontId="160" fillId="132" borderId="286" applyNumberFormat="0" applyAlignment="0" applyProtection="0"/>
    <xf numFmtId="0" fontId="25" fillId="133" borderId="0" applyNumberFormat="0" applyBorder="0" applyAlignment="0" applyProtection="0"/>
    <xf numFmtId="0" fontId="51" fillId="0" borderId="0"/>
    <xf numFmtId="175" fontId="25" fillId="0" borderId="0" applyFont="0" applyFill="0" applyBorder="0" applyAlignment="0" applyProtection="0"/>
    <xf numFmtId="0" fontId="75" fillId="0" borderId="0"/>
    <xf numFmtId="0" fontId="332" fillId="0" borderId="197" applyNumberFormat="0" applyFill="0" applyAlignment="0" applyProtection="0"/>
    <xf numFmtId="0" fontId="333" fillId="0" borderId="285" applyNumberFormat="0" applyFill="0" applyAlignment="0" applyProtection="0"/>
    <xf numFmtId="0" fontId="1" fillId="0" borderId="0"/>
    <xf numFmtId="0" fontId="334" fillId="0" borderId="0" applyNumberFormat="0" applyFill="0" applyBorder="0" applyAlignment="0" applyProtection="0"/>
    <xf numFmtId="0" fontId="335" fillId="131" borderId="0" applyNumberFormat="0" applyBorder="0" applyAlignment="0" applyProtection="0"/>
  </cellStyleXfs>
  <cellXfs count="2274">
    <xf numFmtId="0" fontId="0" fillId="0" borderId="0" xfId="0"/>
    <xf numFmtId="0" fontId="0" fillId="0" borderId="0" xfId="0"/>
    <xf numFmtId="0" fontId="0" fillId="0" borderId="0" xfId="0" applyAlignment="1"/>
    <xf numFmtId="0" fontId="4" fillId="0" borderId="0" xfId="1"/>
    <xf numFmtId="0" fontId="7" fillId="0" borderId="0" xfId="2"/>
    <xf numFmtId="0" fontId="6" fillId="2" borderId="0" xfId="2" applyFont="1" applyFill="1" applyAlignment="1">
      <alignment horizontal="center"/>
    </xf>
    <xf numFmtId="0" fontId="8" fillId="0" borderId="0" xfId="2" applyFont="1" applyAlignment="1">
      <alignment horizontal="left"/>
    </xf>
    <xf numFmtId="0" fontId="6" fillId="2" borderId="0" xfId="2" applyFont="1" applyFill="1" applyAlignment="1">
      <alignment horizontal="left"/>
    </xf>
    <xf numFmtId="0" fontId="8" fillId="2" borderId="0" xfId="2" applyFont="1" applyFill="1"/>
    <xf numFmtId="3" fontId="8" fillId="2" borderId="0" xfId="2" applyNumberFormat="1" applyFont="1" applyFill="1" applyAlignment="1">
      <alignment horizontal="center"/>
    </xf>
    <xf numFmtId="0" fontId="8" fillId="2" borderId="0" xfId="2" applyFont="1" applyFill="1" applyAlignment="1">
      <alignment horizontal="center"/>
    </xf>
    <xf numFmtId="0" fontId="8" fillId="0" borderId="0" xfId="2" applyFont="1" applyAlignment="1">
      <alignment horizontal="center"/>
    </xf>
    <xf numFmtId="0" fontId="8" fillId="0" borderId="0" xfId="2" applyFont="1"/>
    <xf numFmtId="0" fontId="6" fillId="0" borderId="0" xfId="2" applyFont="1" applyAlignment="1">
      <alignment horizontal="center"/>
    </xf>
    <xf numFmtId="0" fontId="8" fillId="0" borderId="0" xfId="2" applyFont="1" applyAlignment="1">
      <alignment wrapText="1"/>
    </xf>
    <xf numFmtId="0" fontId="9" fillId="0" borderId="0" xfId="2" applyFont="1"/>
    <xf numFmtId="0" fontId="8" fillId="2" borderId="0" xfId="2" applyFont="1" applyFill="1" applyAlignment="1">
      <alignment horizontal="left"/>
    </xf>
    <xf numFmtId="0" fontId="6" fillId="0" borderId="0" xfId="2" applyFont="1" applyAlignment="1">
      <alignment horizontal="left"/>
    </xf>
    <xf numFmtId="0" fontId="10" fillId="0" borderId="0" xfId="2" applyFont="1"/>
    <xf numFmtId="0" fontId="10" fillId="0" borderId="0" xfId="2" applyFont="1" applyAlignment="1">
      <alignment wrapText="1"/>
    </xf>
    <xf numFmtId="0" fontId="9" fillId="2" borderId="0" xfId="2" applyFont="1" applyFill="1" applyAlignment="1">
      <alignment horizontal="left"/>
    </xf>
    <xf numFmtId="3" fontId="8" fillId="0" borderId="0" xfId="2" applyNumberFormat="1" applyFont="1" applyAlignment="1">
      <alignment horizontal="center"/>
    </xf>
    <xf numFmtId="0" fontId="8" fillId="0" borderId="0" xfId="2" applyFont="1" applyAlignment="1">
      <alignment horizontal="left" wrapText="1"/>
    </xf>
    <xf numFmtId="16" fontId="0" fillId="0" borderId="0" xfId="0" applyNumberFormat="1"/>
    <xf numFmtId="17" fontId="0" fillId="0" borderId="0" xfId="0" applyNumberFormat="1"/>
    <xf numFmtId="0" fontId="15" fillId="0" borderId="0" xfId="0" applyFont="1" applyAlignment="1">
      <alignment horizontal="left" vertical="center" readingOrder="1"/>
    </xf>
    <xf numFmtId="0" fontId="16" fillId="0" borderId="0" xfId="0" applyFont="1" applyAlignment="1">
      <alignment horizontal="left" vertical="center" readingOrder="1"/>
    </xf>
    <xf numFmtId="0" fontId="0" fillId="0" borderId="0" xfId="0" applyAlignment="1">
      <alignment vertical="center"/>
    </xf>
    <xf numFmtId="0" fontId="23" fillId="0" borderId="0" xfId="0" applyFont="1" applyAlignment="1">
      <alignment vertical="center"/>
    </xf>
    <xf numFmtId="0" fontId="24" fillId="0" borderId="0" xfId="0" applyFont="1" applyAlignment="1">
      <alignment vertical="center"/>
    </xf>
    <xf numFmtId="0" fontId="24" fillId="8" borderId="0" xfId="0" applyFont="1" applyFill="1" applyAlignment="1">
      <alignment vertical="center"/>
    </xf>
    <xf numFmtId="0" fontId="25" fillId="0" borderId="0" xfId="10"/>
    <xf numFmtId="0" fontId="25" fillId="9" borderId="0" xfId="10" applyFill="1"/>
    <xf numFmtId="0" fontId="25" fillId="10" borderId="0" xfId="10" applyFill="1"/>
    <xf numFmtId="0" fontId="25" fillId="11" borderId="0" xfId="10" applyFill="1"/>
    <xf numFmtId="0" fontId="25" fillId="12" borderId="0" xfId="10" applyFill="1"/>
    <xf numFmtId="0" fontId="27" fillId="0" borderId="0" xfId="10" applyFont="1" applyAlignment="1">
      <alignment horizontal="center"/>
    </xf>
    <xf numFmtId="0" fontId="27" fillId="0" borderId="0" xfId="10" applyFont="1" applyAlignment="1">
      <alignment horizontal="left"/>
    </xf>
    <xf numFmtId="0" fontId="27" fillId="0" borderId="0" xfId="10" applyFont="1" applyAlignment="1">
      <alignment horizontal="left" vertical="center"/>
    </xf>
    <xf numFmtId="0" fontId="32" fillId="3" borderId="0" xfId="10" applyFont="1" applyFill="1"/>
    <xf numFmtId="0" fontId="34" fillId="13" borderId="0" xfId="10" applyFont="1" applyFill="1" applyAlignment="1">
      <alignment horizontal="center" vertical="center"/>
    </xf>
    <xf numFmtId="0" fontId="35" fillId="15" borderId="0" xfId="10" applyFont="1" applyFill="1" applyAlignment="1">
      <alignment horizontal="center"/>
    </xf>
    <xf numFmtId="164" fontId="33" fillId="11" borderId="0" xfId="10" applyNumberFormat="1" applyFont="1" applyFill="1" applyAlignment="1">
      <alignment horizontal="center" vertical="center"/>
    </xf>
    <xf numFmtId="165" fontId="33" fillId="11" borderId="0" xfId="10" applyNumberFormat="1" applyFont="1" applyFill="1" applyAlignment="1">
      <alignment horizontal="center" vertical="center"/>
    </xf>
    <xf numFmtId="0" fontId="37" fillId="3" borderId="0" xfId="10" applyFont="1" applyFill="1" applyAlignment="1">
      <alignment horizontal="right"/>
    </xf>
    <xf numFmtId="0" fontId="38" fillId="11" borderId="0" xfId="10" applyFont="1" applyFill="1"/>
    <xf numFmtId="0" fontId="38" fillId="10" borderId="0" xfId="10" applyFont="1" applyFill="1" applyAlignment="1">
      <alignment horizontal="right"/>
    </xf>
    <xf numFmtId="0" fontId="39" fillId="3" borderId="0" xfId="0" applyFont="1" applyFill="1" applyAlignment="1">
      <alignment horizontal="center" vertical="center"/>
    </xf>
    <xf numFmtId="0" fontId="25" fillId="10" borderId="0" xfId="10" applyFill="1" applyAlignment="1">
      <alignment horizontal="right"/>
    </xf>
    <xf numFmtId="0" fontId="25" fillId="11" borderId="0" xfId="10" applyFill="1" applyAlignment="1">
      <alignment horizontal="right"/>
    </xf>
    <xf numFmtId="0" fontId="180" fillId="20" borderId="195" xfId="4" applyAlignment="1">
      <alignment horizontal="center" vertical="center"/>
    </xf>
    <xf numFmtId="0" fontId="25" fillId="6" borderId="4" xfId="7" applyFont="1"/>
    <xf numFmtId="0" fontId="44" fillId="3" borderId="1" xfId="3" applyFont="1" applyFill="1"/>
    <xf numFmtId="0" fontId="38" fillId="11" borderId="0" xfId="10" applyFont="1" applyFill="1" applyAlignment="1">
      <alignment horizontal="right"/>
    </xf>
    <xf numFmtId="0" fontId="19" fillId="5" borderId="3" xfId="5"/>
    <xf numFmtId="0" fontId="39" fillId="3" borderId="0" xfId="0" applyFont="1" applyFill="1" applyAlignment="1">
      <alignment horizontal="right"/>
    </xf>
    <xf numFmtId="0" fontId="39" fillId="3" borderId="0" xfId="0" applyFont="1" applyFill="1" applyAlignment="1">
      <alignment horizontal="left"/>
    </xf>
    <xf numFmtId="0" fontId="0" fillId="0" borderId="0" xfId="0" applyAlignment="1">
      <alignment horizontal="center" vertical="center"/>
    </xf>
    <xf numFmtId="0" fontId="0" fillId="0" borderId="0" xfId="0" applyAlignment="1">
      <alignment horizontal="right"/>
    </xf>
    <xf numFmtId="0" fontId="33" fillId="0" borderId="22" xfId="0" applyFont="1" applyBorder="1" applyAlignment="1">
      <alignment horizontal="center" vertical="center"/>
    </xf>
    <xf numFmtId="0" fontId="22" fillId="19" borderId="22" xfId="0" applyFont="1" applyFill="1" applyBorder="1" applyAlignment="1">
      <alignment horizontal="center" vertical="center"/>
    </xf>
    <xf numFmtId="0" fontId="54" fillId="0" borderId="0" xfId="12" applyFont="1"/>
    <xf numFmtId="0" fontId="56" fillId="0" borderId="16" xfId="12" applyFont="1" applyBorder="1" applyAlignment="1">
      <alignment horizontal="right"/>
    </xf>
    <xf numFmtId="0" fontId="57" fillId="4" borderId="2" xfId="13" applyFont="1" applyAlignment="1" applyProtection="1">
      <alignment horizontal="right"/>
      <protection locked="0"/>
    </xf>
    <xf numFmtId="0" fontId="56" fillId="0" borderId="16" xfId="12" applyFont="1" applyBorder="1"/>
    <xf numFmtId="0" fontId="56" fillId="0" borderId="0" xfId="12" applyFont="1"/>
    <xf numFmtId="0" fontId="56" fillId="0" borderId="0" xfId="12" applyFont="1" applyAlignment="1">
      <alignment horizontal="right"/>
    </xf>
    <xf numFmtId="0" fontId="57" fillId="4" borderId="16" xfId="13" applyFont="1" applyBorder="1" applyAlignment="1" applyProtection="1">
      <alignment horizontal="right"/>
      <protection locked="0"/>
    </xf>
    <xf numFmtId="0" fontId="56" fillId="0" borderId="16" xfId="12" applyFont="1" applyBorder="1" applyProtection="1">
      <protection locked="0"/>
    </xf>
    <xf numFmtId="1" fontId="56" fillId="0" borderId="0" xfId="12" applyNumberFormat="1" applyFont="1"/>
    <xf numFmtId="1" fontId="54" fillId="0" borderId="0" xfId="12" applyNumberFormat="1" applyFont="1"/>
    <xf numFmtId="0" fontId="60" fillId="3" borderId="16" xfId="12" applyFont="1" applyFill="1" applyBorder="1" applyAlignment="1">
      <alignment horizontal="right"/>
    </xf>
    <xf numFmtId="0" fontId="60" fillId="3" borderId="16" xfId="12" applyFont="1" applyFill="1" applyBorder="1"/>
    <xf numFmtId="2" fontId="61" fillId="5" borderId="2" xfId="6" applyNumberFormat="1" applyFont="1"/>
    <xf numFmtId="9" fontId="61" fillId="5" borderId="2" xfId="6" applyNumberFormat="1" applyFont="1"/>
    <xf numFmtId="2" fontId="61" fillId="5" borderId="2" xfId="6" applyNumberFormat="1" applyFont="1" applyAlignment="1">
      <alignment horizontal="right"/>
    </xf>
    <xf numFmtId="0" fontId="53" fillId="4" borderId="2" xfId="13" applyProtection="1">
      <protection locked="0"/>
    </xf>
    <xf numFmtId="0" fontId="56" fillId="0" borderId="0" xfId="12" applyFont="1" applyAlignment="1" applyProtection="1">
      <alignment horizontal="center" vertical="center"/>
      <protection locked="0"/>
    </xf>
    <xf numFmtId="1" fontId="56" fillId="0" borderId="0" xfId="12" applyNumberFormat="1" applyFont="1" applyAlignment="1" applyProtection="1">
      <alignment horizontal="center" vertical="center"/>
      <protection locked="0"/>
    </xf>
    <xf numFmtId="0" fontId="63" fillId="0" borderId="0" xfId="12" applyFont="1" applyProtection="1">
      <protection locked="0"/>
    </xf>
    <xf numFmtId="1" fontId="63" fillId="0" borderId="0" xfId="12" applyNumberFormat="1" applyFont="1" applyProtection="1">
      <protection locked="0"/>
    </xf>
    <xf numFmtId="2" fontId="63" fillId="0" borderId="0" xfId="12" applyNumberFormat="1" applyFont="1" applyProtection="1">
      <protection locked="0"/>
    </xf>
    <xf numFmtId="1" fontId="63" fillId="0" borderId="0" xfId="12" applyNumberFormat="1" applyFont="1" applyAlignment="1" applyProtection="1">
      <alignment horizontal="right"/>
      <protection locked="0"/>
    </xf>
    <xf numFmtId="0" fontId="64" fillId="3" borderId="16" xfId="12" applyFont="1" applyFill="1" applyBorder="1" applyAlignment="1">
      <alignment horizontal="center"/>
    </xf>
    <xf numFmtId="0" fontId="62" fillId="7" borderId="12" xfId="9" applyFont="1" applyBorder="1" applyAlignment="1">
      <alignment horizontal="right"/>
    </xf>
    <xf numFmtId="1" fontId="56" fillId="0" borderId="0" xfId="12" applyNumberFormat="1" applyFont="1" applyAlignment="1">
      <alignment horizontal="right"/>
    </xf>
    <xf numFmtId="0" fontId="54" fillId="0" borderId="0" xfId="12" applyFont="1" applyAlignment="1">
      <alignment horizontal="right"/>
    </xf>
    <xf numFmtId="1" fontId="54" fillId="0" borderId="0" xfId="12" applyNumberFormat="1" applyFont="1" applyAlignment="1">
      <alignment horizontal="right"/>
    </xf>
    <xf numFmtId="2" fontId="67" fillId="0" borderId="0" xfId="12" applyNumberFormat="1" applyFont="1"/>
    <xf numFmtId="0" fontId="67" fillId="0" borderId="0" xfId="12" applyFont="1"/>
    <xf numFmtId="1" fontId="67" fillId="0" borderId="0" xfId="12" applyNumberFormat="1" applyFont="1" applyAlignment="1">
      <alignment horizontal="right"/>
    </xf>
    <xf numFmtId="3" fontId="67" fillId="0" borderId="0" xfId="12" applyNumberFormat="1" applyFont="1"/>
    <xf numFmtId="12" fontId="67" fillId="0" borderId="0" xfId="12" applyNumberFormat="1" applyFont="1"/>
    <xf numFmtId="0" fontId="38" fillId="10" borderId="0" xfId="10" applyFont="1" applyFill="1" applyAlignment="1">
      <alignment horizontal="right" wrapText="1"/>
    </xf>
    <xf numFmtId="0" fontId="38" fillId="11" borderId="0" xfId="10" applyFont="1" applyFill="1" applyAlignment="1">
      <alignment horizontal="right" wrapText="1"/>
    </xf>
    <xf numFmtId="0" fontId="49" fillId="6" borderId="23" xfId="7" applyFont="1" applyBorder="1" applyAlignment="1">
      <alignment vertical="center"/>
    </xf>
    <xf numFmtId="0" fontId="49" fillId="6" borderId="0" xfId="7" applyFont="1" applyBorder="1" applyAlignment="1">
      <alignment vertical="center"/>
    </xf>
    <xf numFmtId="0" fontId="71" fillId="0" borderId="0" xfId="0" applyFont="1"/>
    <xf numFmtId="0" fontId="72" fillId="0" borderId="0" xfId="0" applyFont="1"/>
    <xf numFmtId="0" fontId="71" fillId="3" borderId="0" xfId="0" applyFont="1" applyFill="1"/>
    <xf numFmtId="0" fontId="0" fillId="21" borderId="0" xfId="0" applyFill="1"/>
    <xf numFmtId="0" fontId="73" fillId="3" borderId="0" xfId="0" applyFont="1" applyFill="1" applyAlignment="1">
      <alignment horizontal="center" vertical="center"/>
    </xf>
    <xf numFmtId="0" fontId="12" fillId="3" borderId="0" xfId="0" applyFont="1" applyFill="1" applyAlignment="1">
      <alignment horizontal="center" vertical="center"/>
    </xf>
    <xf numFmtId="0" fontId="74" fillId="0" borderId="0" xfId="14"/>
    <xf numFmtId="49" fontId="7" fillId="0" borderId="0" xfId="14" applyNumberFormat="1" applyFont="1"/>
    <xf numFmtId="0" fontId="7" fillId="0" borderId="0" xfId="14" applyFont="1"/>
    <xf numFmtId="0" fontId="74" fillId="0" borderId="0" xfId="14" applyAlignment="1">
      <alignment horizontal="center"/>
    </xf>
    <xf numFmtId="0" fontId="77" fillId="0" borderId="0" xfId="14" applyFont="1" applyAlignment="1">
      <alignment horizontal="center"/>
    </xf>
    <xf numFmtId="0" fontId="78" fillId="0" borderId="0" xfId="14" applyFont="1" applyAlignment="1">
      <alignment vertical="center"/>
    </xf>
    <xf numFmtId="0" fontId="79" fillId="0" borderId="0" xfId="14" applyFont="1" applyAlignment="1">
      <alignment vertical="center"/>
    </xf>
    <xf numFmtId="0" fontId="78" fillId="0" borderId="0" xfId="14" applyFont="1" applyAlignment="1">
      <alignment horizontal="left" vertical="center"/>
    </xf>
    <xf numFmtId="0" fontId="79" fillId="0" borderId="0" xfId="14" applyFont="1" applyAlignment="1">
      <alignment vertical="top" wrapText="1"/>
    </xf>
    <xf numFmtId="0" fontId="87" fillId="0" borderId="0" xfId="14" applyFont="1"/>
    <xf numFmtId="0" fontId="90" fillId="0" borderId="0" xfId="14" applyFont="1" applyAlignment="1">
      <alignment vertical="top" wrapText="1"/>
    </xf>
    <xf numFmtId="0" fontId="91" fillId="0" borderId="0" xfId="14" applyFont="1" applyAlignment="1">
      <alignment horizontal="left" vertical="center"/>
    </xf>
    <xf numFmtId="0" fontId="82" fillId="0" borderId="0" xfId="14" applyFont="1" applyAlignment="1">
      <alignment vertical="center"/>
    </xf>
    <xf numFmtId="0" fontId="96" fillId="0" borderId="0" xfId="14" applyFont="1" applyAlignment="1">
      <alignment vertical="center"/>
    </xf>
    <xf numFmtId="49" fontId="74" fillId="0" borderId="0" xfId="14" applyNumberFormat="1" applyAlignment="1">
      <alignment horizontal="left" vertical="center" shrinkToFit="1"/>
    </xf>
    <xf numFmtId="49" fontId="74" fillId="0" borderId="36" xfId="14" applyNumberFormat="1" applyBorder="1" applyAlignment="1">
      <alignment horizontal="left" vertical="center" shrinkToFit="1"/>
    </xf>
    <xf numFmtId="49" fontId="74" fillId="0" borderId="0" xfId="14" applyNumberFormat="1" applyAlignment="1">
      <alignment horizontal="left" vertical="center" wrapText="1"/>
    </xf>
    <xf numFmtId="49" fontId="74" fillId="0" borderId="36" xfId="14" applyNumberFormat="1" applyBorder="1" applyAlignment="1">
      <alignment horizontal="left" vertical="center" wrapText="1"/>
    </xf>
    <xf numFmtId="49" fontId="74" fillId="0" borderId="67" xfId="14" applyNumberFormat="1" applyBorder="1" applyAlignment="1">
      <alignment horizontal="left" vertical="center" wrapText="1"/>
    </xf>
    <xf numFmtId="0" fontId="74" fillId="0" borderId="0" xfId="14" applyAlignment="1">
      <alignment horizontal="left" vertical="center" shrinkToFit="1"/>
    </xf>
    <xf numFmtId="0" fontId="74" fillId="0" borderId="67" xfId="14" applyBorder="1" applyAlignment="1">
      <alignment horizontal="left" vertical="center" shrinkToFit="1"/>
    </xf>
    <xf numFmtId="0" fontId="79" fillId="23" borderId="64" xfId="14" applyFont="1" applyFill="1" applyBorder="1" applyAlignment="1">
      <alignment vertical="center"/>
    </xf>
    <xf numFmtId="0" fontId="102" fillId="23" borderId="0" xfId="14" applyFont="1" applyFill="1" applyAlignment="1">
      <alignment horizontal="center" vertical="center" textRotation="90"/>
    </xf>
    <xf numFmtId="0" fontId="79" fillId="27" borderId="28" xfId="14" applyFont="1" applyFill="1" applyBorder="1" applyAlignment="1">
      <alignment vertical="center"/>
    </xf>
    <xf numFmtId="0" fontId="79" fillId="27" borderId="29" xfId="14" applyFont="1" applyFill="1" applyBorder="1" applyAlignment="1">
      <alignment vertical="center"/>
    </xf>
    <xf numFmtId="0" fontId="79" fillId="27" borderId="32" xfId="14" applyFont="1" applyFill="1" applyBorder="1" applyAlignment="1">
      <alignment vertical="center"/>
    </xf>
    <xf numFmtId="0" fontId="79" fillId="27" borderId="33" xfId="14" applyFont="1" applyFill="1" applyBorder="1" applyAlignment="1">
      <alignment vertical="center"/>
    </xf>
    <xf numFmtId="0" fontId="79" fillId="27" borderId="0" xfId="14" applyFont="1" applyFill="1" applyAlignment="1">
      <alignment vertical="center"/>
    </xf>
    <xf numFmtId="0" fontId="79" fillId="27" borderId="36" xfId="14" applyFont="1" applyFill="1" applyBorder="1" applyAlignment="1">
      <alignment vertical="center"/>
    </xf>
    <xf numFmtId="0" fontId="79" fillId="27" borderId="63" xfId="14" applyFont="1" applyFill="1" applyBorder="1" applyAlignment="1">
      <alignment vertical="center"/>
    </xf>
    <xf numFmtId="0" fontId="79" fillId="27" borderId="64" xfId="14" applyFont="1" applyFill="1" applyBorder="1" applyAlignment="1">
      <alignment vertical="center"/>
    </xf>
    <xf numFmtId="0" fontId="79" fillId="27" borderId="65" xfId="14" applyFont="1" applyFill="1" applyBorder="1" applyAlignment="1">
      <alignment vertical="center"/>
    </xf>
    <xf numFmtId="0" fontId="79" fillId="0" borderId="43" xfId="14" applyFont="1" applyBorder="1" applyAlignment="1">
      <alignment vertical="center"/>
    </xf>
    <xf numFmtId="0" fontId="79" fillId="0" borderId="44" xfId="14" applyFont="1" applyBorder="1" applyAlignment="1">
      <alignment vertical="center"/>
    </xf>
    <xf numFmtId="0" fontId="79" fillId="0" borderId="45" xfId="14" applyFont="1" applyBorder="1" applyAlignment="1">
      <alignment vertical="center"/>
    </xf>
    <xf numFmtId="0" fontId="79" fillId="0" borderId="48" xfId="14" applyFont="1" applyBorder="1" applyAlignment="1">
      <alignment vertical="center"/>
    </xf>
    <xf numFmtId="0" fontId="79" fillId="0" borderId="49" xfId="14" applyFont="1" applyBorder="1" applyAlignment="1">
      <alignment vertical="center"/>
    </xf>
    <xf numFmtId="0" fontId="79" fillId="0" borderId="50" xfId="14" applyFont="1" applyBorder="1" applyAlignment="1">
      <alignment vertical="center"/>
    </xf>
    <xf numFmtId="0" fontId="79" fillId="0" borderId="56" xfId="14" applyFont="1" applyBorder="1" applyAlignment="1">
      <alignment vertical="center"/>
    </xf>
    <xf numFmtId="0" fontId="79" fillId="0" borderId="57" xfId="14" applyFont="1" applyBorder="1" applyAlignment="1">
      <alignment vertical="center"/>
    </xf>
    <xf numFmtId="0" fontId="79" fillId="0" borderId="41" xfId="14" applyFont="1" applyBorder="1" applyAlignment="1">
      <alignment vertical="center"/>
    </xf>
    <xf numFmtId="0" fontId="79" fillId="0" borderId="69" xfId="14" applyFont="1" applyBorder="1" applyAlignment="1">
      <alignment vertical="center"/>
    </xf>
    <xf numFmtId="49" fontId="79" fillId="0" borderId="0" xfId="14" applyNumberFormat="1" applyFont="1" applyAlignment="1">
      <alignment horizontal="left" vertical="center"/>
    </xf>
    <xf numFmtId="0" fontId="79" fillId="0" borderId="0" xfId="14" applyFont="1" applyAlignment="1">
      <alignment horizontal="center" vertical="center"/>
    </xf>
    <xf numFmtId="0" fontId="75" fillId="0" borderId="0" xfId="14" applyFont="1" applyAlignment="1">
      <alignment horizontal="center" vertical="center"/>
    </xf>
    <xf numFmtId="49" fontId="79" fillId="0" borderId="0" xfId="14" applyNumberFormat="1" applyFont="1" applyAlignment="1">
      <alignment horizontal="center" vertical="center"/>
    </xf>
    <xf numFmtId="166" fontId="79" fillId="0" borderId="0" xfId="14" applyNumberFormat="1" applyFont="1" applyAlignment="1">
      <alignment horizontal="center" vertical="center"/>
    </xf>
    <xf numFmtId="49" fontId="75" fillId="0" borderId="0" xfId="14" applyNumberFormat="1" applyFont="1" applyAlignment="1">
      <alignment vertical="center"/>
    </xf>
    <xf numFmtId="49" fontId="79" fillId="23" borderId="0" xfId="14" applyNumberFormat="1" applyFont="1" applyFill="1" applyAlignment="1">
      <alignment horizontal="left" vertical="center"/>
    </xf>
    <xf numFmtId="0" fontId="82" fillId="0" borderId="44" xfId="14" applyFont="1" applyBorder="1" applyAlignment="1">
      <alignment horizontal="center" vertical="top"/>
    </xf>
    <xf numFmtId="0" fontId="82" fillId="0" borderId="31" xfId="14" applyFont="1" applyBorder="1" applyAlignment="1">
      <alignment horizontal="right" vertical="top"/>
    </xf>
    <xf numFmtId="49" fontId="82" fillId="0" borderId="72" xfId="14" applyNumberFormat="1" applyFont="1" applyBorder="1" applyAlignment="1">
      <alignment horizontal="left" vertical="top"/>
    </xf>
    <xf numFmtId="49" fontId="82" fillId="0" borderId="73" xfId="14" applyNumberFormat="1" applyFont="1" applyBorder="1" applyAlignment="1">
      <alignment horizontal="left" vertical="top"/>
    </xf>
    <xf numFmtId="0" fontId="110" fillId="0" borderId="0" xfId="14" applyFont="1" applyAlignment="1">
      <alignment vertical="center"/>
    </xf>
    <xf numFmtId="0" fontId="82" fillId="0" borderId="49" xfId="14" applyFont="1" applyBorder="1" applyAlignment="1">
      <alignment horizontal="center" vertical="top"/>
    </xf>
    <xf numFmtId="0" fontId="82" fillId="0" borderId="69" xfId="14" applyFont="1" applyBorder="1" applyAlignment="1">
      <alignment horizontal="right" vertical="top"/>
    </xf>
    <xf numFmtId="49" fontId="82" fillId="0" borderId="75" xfId="14" applyNumberFormat="1" applyFont="1" applyBorder="1" applyAlignment="1">
      <alignment horizontal="left" vertical="top"/>
    </xf>
    <xf numFmtId="49" fontId="82" fillId="0" borderId="76" xfId="14" applyNumberFormat="1" applyFont="1" applyBorder="1" applyAlignment="1">
      <alignment horizontal="left" vertical="top"/>
    </xf>
    <xf numFmtId="0" fontId="82" fillId="0" borderId="57" xfId="14" applyFont="1" applyBorder="1" applyAlignment="1">
      <alignment horizontal="center" vertical="top"/>
    </xf>
    <xf numFmtId="49" fontId="82" fillId="0" borderId="77" xfId="14" applyNumberFormat="1" applyFont="1" applyBorder="1" applyAlignment="1">
      <alignment horizontal="left" vertical="top"/>
    </xf>
    <xf numFmtId="49" fontId="82" fillId="0" borderId="78" xfId="14" applyNumberFormat="1" applyFont="1" applyBorder="1" applyAlignment="1">
      <alignment horizontal="left" vertical="top"/>
    </xf>
    <xf numFmtId="0" fontId="78" fillId="0" borderId="0" xfId="14" applyFont="1" applyAlignment="1">
      <alignment vertical="center" wrapText="1"/>
    </xf>
    <xf numFmtId="0" fontId="110" fillId="0" borderId="0" xfId="14" applyFont="1" applyAlignment="1">
      <alignment vertical="center" wrapText="1"/>
    </xf>
    <xf numFmtId="0" fontId="79" fillId="0" borderId="0" xfId="14" applyFont="1" applyAlignment="1">
      <alignment vertical="center" wrapText="1"/>
    </xf>
    <xf numFmtId="0" fontId="106" fillId="23" borderId="0" xfId="14" applyFont="1" applyFill="1" applyAlignment="1">
      <alignment horizontal="left" vertical="center" wrapText="1"/>
    </xf>
    <xf numFmtId="166" fontId="110" fillId="0" borderId="0" xfId="14" applyNumberFormat="1" applyFont="1" applyAlignment="1">
      <alignment vertical="center" wrapText="1"/>
    </xf>
    <xf numFmtId="0" fontId="79" fillId="0" borderId="0" xfId="14" applyFont="1" applyAlignment="1">
      <alignment horizontal="left" vertical="center" shrinkToFit="1"/>
    </xf>
    <xf numFmtId="49" fontId="106" fillId="0" borderId="0" xfId="14" applyNumberFormat="1" applyFont="1" applyAlignment="1">
      <alignment horizontal="center" vertical="center"/>
    </xf>
    <xf numFmtId="0" fontId="112" fillId="0" borderId="0" xfId="14" applyFont="1" applyAlignment="1">
      <alignment horizontal="left" vertical="center"/>
    </xf>
    <xf numFmtId="0" fontId="111" fillId="0" borderId="0" xfId="14" applyFont="1" applyAlignment="1">
      <alignment horizontal="left" vertical="center"/>
    </xf>
    <xf numFmtId="0" fontId="79" fillId="23" borderId="28" xfId="14" applyFont="1" applyFill="1" applyBorder="1" applyAlignment="1">
      <alignment vertical="center"/>
    </xf>
    <xf numFmtId="0" fontId="79" fillId="23" borderId="29" xfId="14" applyFont="1" applyFill="1" applyBorder="1" applyAlignment="1">
      <alignment vertical="center"/>
    </xf>
    <xf numFmtId="0" fontId="90" fillId="23" borderId="29" xfId="14" applyFont="1" applyFill="1" applyBorder="1" applyAlignment="1">
      <alignment vertical="center"/>
    </xf>
    <xf numFmtId="167" fontId="79" fillId="0" borderId="33" xfId="14" applyNumberFormat="1" applyFont="1" applyBorder="1" applyAlignment="1">
      <alignment horizontal="center" vertical="center"/>
    </xf>
    <xf numFmtId="167" fontId="79" fillId="0" borderId="36" xfId="14" applyNumberFormat="1" applyFont="1" applyBorder="1" applyAlignment="1">
      <alignment horizontal="center" vertical="center"/>
    </xf>
    <xf numFmtId="0" fontId="120" fillId="33" borderId="42" xfId="14" applyFont="1" applyFill="1" applyBorder="1" applyAlignment="1">
      <alignment horizontal="right" vertical="center" textRotation="90"/>
    </xf>
    <xf numFmtId="0" fontId="118" fillId="33" borderId="42" xfId="14" applyFont="1" applyFill="1" applyBorder="1" applyAlignment="1">
      <alignment horizontal="right" vertical="center" textRotation="90"/>
    </xf>
    <xf numFmtId="0" fontId="7" fillId="23" borderId="28" xfId="14" applyFont="1" applyFill="1" applyBorder="1"/>
    <xf numFmtId="0" fontId="7" fillId="23" borderId="29" xfId="14" applyFont="1" applyFill="1" applyBorder="1"/>
    <xf numFmtId="0" fontId="7" fillId="27" borderId="29" xfId="14" applyFont="1" applyFill="1" applyBorder="1"/>
    <xf numFmtId="0" fontId="7" fillId="27" borderId="32" xfId="14" applyFont="1" applyFill="1" applyBorder="1"/>
    <xf numFmtId="0" fontId="7" fillId="23" borderId="33" xfId="14" applyFont="1" applyFill="1" applyBorder="1"/>
    <xf numFmtId="0" fontId="7" fillId="23" borderId="0" xfId="14" applyFont="1" applyFill="1"/>
    <xf numFmtId="0" fontId="7" fillId="27" borderId="0" xfId="14" applyFont="1" applyFill="1"/>
    <xf numFmtId="0" fontId="7" fillId="27" borderId="36" xfId="14" applyFont="1" applyFill="1" applyBorder="1"/>
    <xf numFmtId="0" fontId="79" fillId="0" borderId="28" xfId="14" applyFont="1" applyBorder="1" applyAlignment="1">
      <alignment vertical="center"/>
    </xf>
    <xf numFmtId="0" fontId="79" fillId="0" borderId="29" xfId="14" applyFont="1" applyBorder="1" applyAlignment="1">
      <alignment vertical="center"/>
    </xf>
    <xf numFmtId="0" fontId="79" fillId="0" borderId="32" xfId="14" applyFont="1" applyBorder="1" applyAlignment="1">
      <alignment vertical="center"/>
    </xf>
    <xf numFmtId="0" fontId="7" fillId="23" borderId="63" xfId="14" applyFont="1" applyFill="1" applyBorder="1"/>
    <xf numFmtId="0" fontId="7" fillId="23" borderId="64" xfId="14" applyFont="1" applyFill="1" applyBorder="1"/>
    <xf numFmtId="0" fontId="7" fillId="27" borderId="64" xfId="14" applyFont="1" applyFill="1" applyBorder="1"/>
    <xf numFmtId="0" fontId="7" fillId="27" borderId="65" xfId="14" applyFont="1" applyFill="1" applyBorder="1"/>
    <xf numFmtId="0" fontId="79" fillId="0" borderId="33" xfId="14" applyFont="1" applyBorder="1" applyAlignment="1">
      <alignment vertical="center"/>
    </xf>
    <xf numFmtId="0" fontId="79" fillId="0" borderId="36" xfId="14" applyFont="1" applyBorder="1" applyAlignment="1">
      <alignment vertical="center"/>
    </xf>
    <xf numFmtId="0" fontId="106" fillId="0" borderId="0" xfId="14" applyFont="1" applyAlignment="1">
      <alignment horizontal="center" vertical="center"/>
    </xf>
    <xf numFmtId="0" fontId="79" fillId="23" borderId="33" xfId="14" applyFont="1" applyFill="1" applyBorder="1" applyAlignment="1">
      <alignment vertical="center"/>
    </xf>
    <xf numFmtId="0" fontId="79" fillId="23" borderId="0" xfId="14" applyFont="1" applyFill="1" applyAlignment="1">
      <alignment vertical="center"/>
    </xf>
    <xf numFmtId="166" fontId="79" fillId="0" borderId="0" xfId="14" applyNumberFormat="1" applyFont="1" applyAlignment="1">
      <alignment vertical="center" shrinkToFit="1"/>
    </xf>
    <xf numFmtId="166" fontId="79" fillId="0" borderId="0" xfId="14" applyNumberFormat="1" applyFont="1" applyAlignment="1">
      <alignment vertical="center"/>
    </xf>
    <xf numFmtId="0" fontId="79" fillId="0" borderId="0" xfId="14" applyFont="1" applyAlignment="1">
      <alignment vertical="center" shrinkToFit="1"/>
    </xf>
    <xf numFmtId="0" fontId="76" fillId="0" borderId="0" xfId="14" applyFont="1" applyAlignment="1">
      <alignment vertical="center"/>
    </xf>
    <xf numFmtId="0" fontId="116" fillId="0" borderId="0" xfId="14" applyFont="1" applyAlignment="1">
      <alignment horizontal="center" vertical="center"/>
    </xf>
    <xf numFmtId="3" fontId="79" fillId="0" borderId="0" xfId="14" applyNumberFormat="1" applyFont="1" applyAlignment="1">
      <alignment horizontal="center" vertical="center"/>
    </xf>
    <xf numFmtId="0" fontId="79" fillId="0" borderId="0" xfId="14" applyFont="1" applyAlignment="1">
      <alignment horizontal="left" vertical="center"/>
    </xf>
    <xf numFmtId="0" fontId="75" fillId="0" borderId="0" xfId="14" applyFont="1" applyAlignment="1">
      <alignment vertical="center"/>
    </xf>
    <xf numFmtId="0" fontId="116" fillId="0" borderId="0" xfId="14" applyFont="1" applyAlignment="1">
      <alignment horizontal="left" vertical="center"/>
    </xf>
    <xf numFmtId="49" fontId="79" fillId="0" borderId="67" xfId="14" applyNumberFormat="1" applyFont="1" applyBorder="1" applyAlignment="1">
      <alignment vertical="center" wrapText="1"/>
    </xf>
    <xf numFmtId="0" fontId="129" fillId="0" borderId="0" xfId="14" applyFont="1" applyAlignment="1">
      <alignment horizontal="center" vertical="center" shrinkToFit="1"/>
    </xf>
    <xf numFmtId="0" fontId="7" fillId="0" borderId="0" xfId="14" applyFont="1"/>
    <xf numFmtId="0" fontId="74" fillId="0" borderId="0" xfId="14"/>
    <xf numFmtId="0" fontId="45" fillId="0" borderId="0" xfId="10" applyFont="1" applyAlignment="1">
      <alignment horizontal="center"/>
    </xf>
    <xf numFmtId="0" fontId="45" fillId="0" borderId="0" xfId="10" applyFont="1"/>
    <xf numFmtId="0" fontId="45" fillId="0" borderId="0" xfId="10" applyFont="1" applyAlignment="1">
      <alignment horizontal="left"/>
    </xf>
    <xf numFmtId="0" fontId="146" fillId="10" borderId="89" xfId="10" applyFont="1" applyFill="1" applyBorder="1" applyAlignment="1">
      <alignment horizontal="centerContinuous"/>
    </xf>
    <xf numFmtId="0" fontId="45" fillId="44" borderId="110" xfId="10" applyFont="1" applyFill="1" applyBorder="1" applyAlignment="1">
      <alignment horizontal="center"/>
    </xf>
    <xf numFmtId="0" fontId="45" fillId="44" borderId="114" xfId="10" applyFont="1" applyFill="1" applyBorder="1" applyAlignment="1">
      <alignment horizontal="center"/>
    </xf>
    <xf numFmtId="0" fontId="45" fillId="44" borderId="116" xfId="10" applyFont="1" applyFill="1" applyBorder="1"/>
    <xf numFmtId="0" fontId="45" fillId="0" borderId="20" xfId="10" applyFont="1" applyBorder="1"/>
    <xf numFmtId="1" fontId="45" fillId="0" borderId="0" xfId="10" applyNumberFormat="1" applyFont="1"/>
    <xf numFmtId="0" fontId="45" fillId="10" borderId="134" xfId="10" applyFont="1" applyFill="1" applyBorder="1" applyAlignment="1">
      <alignment horizontal="center"/>
    </xf>
    <xf numFmtId="0" fontId="45" fillId="0" borderId="0" xfId="10" applyFont="1" applyAlignment="1">
      <alignment horizontal="center" vertical="center"/>
    </xf>
    <xf numFmtId="0" fontId="45" fillId="10" borderId="137" xfId="10" applyFont="1" applyFill="1" applyBorder="1"/>
    <xf numFmtId="0" fontId="45" fillId="44" borderId="129" xfId="10" applyFont="1" applyFill="1" applyBorder="1" applyAlignment="1">
      <alignment horizontal="center"/>
    </xf>
    <xf numFmtId="0" fontId="45" fillId="44" borderId="127" xfId="10" applyFont="1" applyFill="1" applyBorder="1" applyAlignment="1">
      <alignment horizontal="center"/>
    </xf>
    <xf numFmtId="0" fontId="45" fillId="44" borderId="117" xfId="10" applyFont="1" applyFill="1" applyBorder="1" applyAlignment="1">
      <alignment horizontal="center"/>
    </xf>
    <xf numFmtId="0" fontId="45" fillId="44" borderId="124" xfId="10" applyFont="1" applyFill="1" applyBorder="1" applyAlignment="1">
      <alignment horizontal="center"/>
    </xf>
    <xf numFmtId="0" fontId="146" fillId="0" borderId="0" xfId="10" applyFont="1" applyAlignment="1">
      <alignment horizontal="centerContinuous"/>
    </xf>
    <xf numFmtId="0" fontId="25" fillId="0" borderId="20" xfId="10" applyBorder="1" applyAlignment="1">
      <alignment horizontal="center" vertical="center"/>
    </xf>
    <xf numFmtId="0" fontId="25" fillId="0" borderId="0" xfId="10" applyAlignment="1">
      <alignment horizontal="center" vertical="center"/>
    </xf>
    <xf numFmtId="0" fontId="45" fillId="8" borderId="111" xfId="10" applyFont="1" applyFill="1" applyBorder="1" applyAlignment="1">
      <alignment horizontal="left" vertical="center"/>
    </xf>
    <xf numFmtId="0" fontId="30" fillId="43" borderId="111" xfId="10" applyFont="1" applyFill="1" applyBorder="1" applyAlignment="1">
      <alignment horizontal="center"/>
    </xf>
    <xf numFmtId="0" fontId="148" fillId="0" borderId="0" xfId="10" applyFont="1" applyAlignment="1">
      <alignment horizontal="center" vertical="center"/>
    </xf>
    <xf numFmtId="0" fontId="45" fillId="48" borderId="119" xfId="10" applyFont="1" applyFill="1" applyBorder="1" applyAlignment="1">
      <alignment horizontal="center" vertical="center"/>
    </xf>
    <xf numFmtId="0" fontId="25" fillId="0" borderId="96" xfId="10" applyBorder="1" applyAlignment="1">
      <alignment horizontal="center" vertical="center"/>
    </xf>
    <xf numFmtId="0" fontId="25" fillId="50" borderId="0" xfId="10" applyFill="1" applyAlignment="1">
      <alignment horizontal="center" vertical="center"/>
    </xf>
    <xf numFmtId="0" fontId="25" fillId="0" borderId="0" xfId="10" applyAlignment="1">
      <alignment horizontal="left" vertical="center"/>
    </xf>
    <xf numFmtId="0" fontId="45" fillId="43" borderId="137" xfId="10" applyFont="1" applyFill="1" applyBorder="1" applyAlignment="1">
      <alignment horizontal="center"/>
    </xf>
    <xf numFmtId="0" fontId="45" fillId="10" borderId="90" xfId="10" applyFont="1" applyFill="1" applyBorder="1" applyAlignment="1">
      <alignment horizontal="centerContinuous"/>
    </xf>
    <xf numFmtId="0" fontId="45" fillId="10" borderId="91" xfId="10" applyFont="1" applyFill="1" applyBorder="1" applyAlignment="1">
      <alignment horizontal="centerContinuous"/>
    </xf>
    <xf numFmtId="0" fontId="146" fillId="10" borderId="89" xfId="10" applyFont="1" applyFill="1" applyBorder="1" applyAlignment="1">
      <alignment horizontal="center"/>
    </xf>
    <xf numFmtId="0" fontId="45" fillId="0" borderId="0" xfId="10" applyFont="1" applyAlignment="1">
      <alignment vertical="center"/>
    </xf>
    <xf numFmtId="0" fontId="30" fillId="0" borderId="0" xfId="18" applyFont="1" applyAlignment="1">
      <alignment horizontal="center"/>
    </xf>
    <xf numFmtId="0" fontId="30" fillId="0" borderId="0" xfId="18" applyFont="1"/>
    <xf numFmtId="0" fontId="146" fillId="48" borderId="89" xfId="10" applyFont="1" applyFill="1" applyBorder="1" applyAlignment="1">
      <alignment horizontal="centerContinuous"/>
    </xf>
    <xf numFmtId="0" fontId="146" fillId="48" borderId="90" xfId="10" applyFont="1" applyFill="1" applyBorder="1" applyAlignment="1">
      <alignment horizontal="centerContinuous"/>
    </xf>
    <xf numFmtId="0" fontId="45" fillId="48" borderId="93" xfId="10" applyFont="1" applyFill="1" applyBorder="1" applyAlignment="1">
      <alignment horizontal="centerContinuous"/>
    </xf>
    <xf numFmtId="0" fontId="30" fillId="10" borderId="89" xfId="18" applyFont="1" applyFill="1" applyBorder="1" applyAlignment="1">
      <alignment horizontal="center"/>
    </xf>
    <xf numFmtId="0" fontId="30" fillId="10" borderId="90" xfId="18" applyFont="1" applyFill="1" applyBorder="1"/>
    <xf numFmtId="0" fontId="30" fillId="10" borderId="90" xfId="18" applyFont="1" applyFill="1" applyBorder="1" applyAlignment="1">
      <alignment horizontal="center"/>
    </xf>
    <xf numFmtId="0" fontId="30" fillId="10" borderId="20" xfId="18" applyFont="1" applyFill="1" applyBorder="1"/>
    <xf numFmtId="0" fontId="30" fillId="10" borderId="20" xfId="18" applyFont="1" applyFill="1" applyBorder="1" applyAlignment="1">
      <alignment horizontal="center"/>
    </xf>
    <xf numFmtId="0" fontId="30" fillId="10" borderId="93" xfId="18" applyFont="1" applyFill="1" applyBorder="1"/>
    <xf numFmtId="0" fontId="154" fillId="0" borderId="0" xfId="18" applyFont="1" applyAlignment="1">
      <alignment horizontal="center"/>
    </xf>
    <xf numFmtId="0" fontId="45" fillId="10" borderId="124" xfId="10" applyFont="1" applyFill="1" applyBorder="1" applyAlignment="1">
      <alignment horizontal="right"/>
    </xf>
    <xf numFmtId="0" fontId="30" fillId="43" borderId="106" xfId="10" applyFont="1" applyFill="1" applyBorder="1" applyAlignment="1">
      <alignment horizontal="center"/>
    </xf>
    <xf numFmtId="0" fontId="30" fillId="10" borderId="131" xfId="10" applyFont="1" applyFill="1" applyBorder="1" applyAlignment="1">
      <alignment horizontal="center"/>
    </xf>
    <xf numFmtId="0" fontId="45" fillId="10" borderId="92" xfId="10" applyFont="1" applyFill="1" applyBorder="1" applyAlignment="1">
      <alignment horizontal="center"/>
    </xf>
    <xf numFmtId="0" fontId="45" fillId="43" borderId="93" xfId="10" applyFont="1" applyFill="1" applyBorder="1"/>
    <xf numFmtId="0" fontId="45" fillId="43" borderId="160" xfId="10" applyFont="1" applyFill="1" applyBorder="1" applyAlignment="1">
      <alignment horizontal="center"/>
    </xf>
    <xf numFmtId="0" fontId="45" fillId="43" borderId="165" xfId="10" applyFont="1" applyFill="1" applyBorder="1" applyAlignment="1">
      <alignment horizontal="left"/>
    </xf>
    <xf numFmtId="171" fontId="45" fillId="43" borderId="161" xfId="10" applyNumberFormat="1" applyFont="1" applyFill="1" applyBorder="1" applyAlignment="1">
      <alignment horizontal="center"/>
    </xf>
    <xf numFmtId="0" fontId="30" fillId="10" borderId="122" xfId="18" applyFont="1" applyFill="1" applyBorder="1" applyAlignment="1">
      <alignment horizontal="center"/>
    </xf>
    <xf numFmtId="0" fontId="154" fillId="10" borderId="103" xfId="18" applyFont="1" applyFill="1" applyBorder="1" applyAlignment="1">
      <alignment horizontal="center"/>
    </xf>
    <xf numFmtId="0" fontId="154" fillId="48" borderId="103" xfId="18" applyFont="1" applyFill="1" applyBorder="1" applyAlignment="1">
      <alignment horizontal="center"/>
    </xf>
    <xf numFmtId="0" fontId="154" fillId="48" borderId="137" xfId="18" applyFont="1" applyFill="1" applyBorder="1" applyAlignment="1">
      <alignment horizontal="center"/>
    </xf>
    <xf numFmtId="0" fontId="30" fillId="10" borderId="137" xfId="18" applyFont="1" applyFill="1" applyBorder="1" applyAlignment="1">
      <alignment horizontal="center"/>
    </xf>
    <xf numFmtId="0" fontId="154" fillId="10" borderId="137" xfId="18" applyFont="1" applyFill="1" applyBorder="1" applyAlignment="1">
      <alignment horizontal="center"/>
    </xf>
    <xf numFmtId="0" fontId="154" fillId="10" borderId="121" xfId="18" applyFont="1" applyFill="1" applyBorder="1" applyAlignment="1">
      <alignment horizontal="center"/>
    </xf>
    <xf numFmtId="0" fontId="45" fillId="10" borderId="127" xfId="10" applyFont="1" applyFill="1" applyBorder="1" applyAlignment="1">
      <alignment horizontal="right"/>
    </xf>
    <xf numFmtId="0" fontId="30" fillId="10" borderId="139" xfId="10" applyFont="1" applyFill="1" applyBorder="1" applyAlignment="1">
      <alignment horizontal="center"/>
    </xf>
    <xf numFmtId="0" fontId="45" fillId="44" borderId="162" xfId="10" applyFont="1" applyFill="1" applyBorder="1" applyAlignment="1">
      <alignment horizontal="center"/>
    </xf>
    <xf numFmtId="0" fontId="45" fillId="44" borderId="164" xfId="10" applyFont="1" applyFill="1" applyBorder="1" applyAlignment="1">
      <alignment vertical="center"/>
    </xf>
    <xf numFmtId="0" fontId="45" fillId="8" borderId="163" xfId="10" applyFont="1" applyFill="1" applyBorder="1" applyAlignment="1">
      <alignment horizontal="left" vertical="center"/>
    </xf>
    <xf numFmtId="171" fontId="45" fillId="8" borderId="164" xfId="10" applyNumberFormat="1" applyFont="1" applyFill="1" applyBorder="1" applyAlignment="1">
      <alignment horizontal="center"/>
    </xf>
    <xf numFmtId="0" fontId="30" fillId="56" borderId="124" xfId="18" applyFont="1" applyFill="1" applyBorder="1" applyAlignment="1">
      <alignment horizontal="center"/>
    </xf>
    <xf numFmtId="0" fontId="30" fillId="56" borderId="106" xfId="18" applyFont="1" applyFill="1" applyBorder="1"/>
    <xf numFmtId="1" fontId="30" fillId="56" borderId="106" xfId="18" applyNumberFormat="1" applyFont="1" applyFill="1" applyBorder="1" applyAlignment="1">
      <alignment horizontal="center"/>
    </xf>
    <xf numFmtId="0" fontId="30" fillId="56" borderId="106" xfId="18" applyFont="1" applyFill="1" applyBorder="1" applyAlignment="1">
      <alignment horizontal="center"/>
    </xf>
    <xf numFmtId="0" fontId="30" fillId="56" borderId="108" xfId="18" applyFont="1" applyFill="1" applyBorder="1"/>
    <xf numFmtId="171" fontId="30" fillId="56" borderId="106" xfId="18" applyNumberFormat="1" applyFont="1" applyFill="1" applyBorder="1"/>
    <xf numFmtId="171" fontId="30" fillId="56" borderId="107" xfId="18" applyNumberFormat="1" applyFont="1" applyFill="1" applyBorder="1"/>
    <xf numFmtId="0" fontId="45" fillId="10" borderId="138" xfId="10" applyFont="1" applyFill="1" applyBorder="1" applyAlignment="1">
      <alignment horizontal="right"/>
    </xf>
    <xf numFmtId="0" fontId="30" fillId="43" borderId="6" xfId="10" applyFont="1" applyFill="1" applyBorder="1" applyAlignment="1">
      <alignment horizontal="center"/>
    </xf>
    <xf numFmtId="0" fontId="45" fillId="44" borderId="112" xfId="10" applyFont="1" applyFill="1" applyBorder="1" applyAlignment="1">
      <alignment vertical="center"/>
    </xf>
    <xf numFmtId="171" fontId="45" fillId="8" borderId="112" xfId="10" applyNumberFormat="1" applyFont="1" applyFill="1" applyBorder="1" applyAlignment="1">
      <alignment horizontal="center"/>
    </xf>
    <xf numFmtId="0" fontId="30" fillId="56" borderId="127" xfId="18" applyFont="1" applyFill="1" applyBorder="1" applyAlignment="1">
      <alignment horizontal="center"/>
    </xf>
    <xf numFmtId="0" fontId="30" fillId="56" borderId="111" xfId="18" applyFont="1" applyFill="1" applyBorder="1"/>
    <xf numFmtId="1" fontId="30" fillId="56" borderId="111" xfId="18" applyNumberFormat="1" applyFont="1" applyFill="1" applyBorder="1" applyAlignment="1">
      <alignment horizontal="center"/>
    </xf>
    <xf numFmtId="0" fontId="30" fillId="56" borderId="111" xfId="18" applyFont="1" applyFill="1" applyBorder="1" applyAlignment="1">
      <alignment horizontal="center"/>
    </xf>
    <xf numFmtId="0" fontId="30" fillId="56" borderId="113" xfId="18" applyFont="1" applyFill="1" applyBorder="1"/>
    <xf numFmtId="171" fontId="30" fillId="56" borderId="111" xfId="18" applyNumberFormat="1" applyFont="1" applyFill="1" applyBorder="1"/>
    <xf numFmtId="171" fontId="30" fillId="56" borderId="112" xfId="18" applyNumberFormat="1" applyFont="1" applyFill="1" applyBorder="1"/>
    <xf numFmtId="0" fontId="30" fillId="10" borderId="135" xfId="10" applyFont="1" applyFill="1" applyBorder="1" applyAlignment="1">
      <alignment horizontal="center"/>
    </xf>
    <xf numFmtId="0" fontId="30" fillId="10" borderId="136" xfId="10" applyFont="1" applyFill="1" applyBorder="1" applyAlignment="1">
      <alignment horizontal="center"/>
    </xf>
    <xf numFmtId="0" fontId="45" fillId="44" borderId="129" xfId="10" applyFont="1" applyFill="1" applyBorder="1"/>
    <xf numFmtId="1" fontId="45" fillId="52" borderId="109" xfId="10" applyNumberFormat="1" applyFont="1" applyFill="1" applyBorder="1" applyAlignment="1">
      <alignment horizontal="center"/>
    </xf>
    <xf numFmtId="10" fontId="45" fillId="60" borderId="132" xfId="19" applyNumberFormat="1" applyFont="1" applyFill="1" applyBorder="1" applyAlignment="1">
      <alignment horizontal="center"/>
    </xf>
    <xf numFmtId="0" fontId="45" fillId="44" borderId="127" xfId="10" applyFont="1" applyFill="1" applyBorder="1"/>
    <xf numFmtId="1" fontId="45" fillId="52" borderId="111" xfId="10" applyNumberFormat="1" applyFont="1" applyFill="1" applyBorder="1" applyAlignment="1">
      <alignment horizontal="center"/>
    </xf>
    <xf numFmtId="10" fontId="45" fillId="60" borderId="112" xfId="19" applyNumberFormat="1" applyFont="1" applyFill="1" applyBorder="1" applyAlignment="1">
      <alignment horizontal="center"/>
    </xf>
    <xf numFmtId="1" fontId="45" fillId="43" borderId="166" xfId="10" applyNumberFormat="1" applyFont="1" applyFill="1" applyBorder="1" applyAlignment="1">
      <alignment horizontal="center"/>
    </xf>
    <xf numFmtId="0" fontId="45" fillId="44" borderId="117" xfId="10" applyFont="1" applyFill="1" applyBorder="1"/>
    <xf numFmtId="1" fontId="45" fillId="43" borderId="167" xfId="10" applyNumberFormat="1" applyFont="1" applyFill="1" applyBorder="1" applyAlignment="1">
      <alignment horizontal="center"/>
    </xf>
    <xf numFmtId="10" fontId="45" fillId="60" borderId="116" xfId="19" applyNumberFormat="1" applyFont="1" applyFill="1" applyBorder="1" applyAlignment="1">
      <alignment horizontal="center"/>
    </xf>
    <xf numFmtId="0" fontId="45" fillId="15" borderId="89" xfId="10" applyFont="1" applyFill="1" applyBorder="1"/>
    <xf numFmtId="10" fontId="45" fillId="43" borderId="91" xfId="19" applyNumberFormat="1" applyFont="1" applyFill="1" applyBorder="1" applyAlignment="1">
      <alignment horizontal="center"/>
    </xf>
    <xf numFmtId="0" fontId="45" fillId="44" borderId="124" xfId="10" applyFont="1" applyFill="1" applyBorder="1"/>
    <xf numFmtId="2" fontId="45" fillId="8" borderId="106" xfId="10" applyNumberFormat="1" applyFont="1" applyFill="1" applyBorder="1" applyAlignment="1">
      <alignment horizontal="center"/>
    </xf>
    <xf numFmtId="0" fontId="45" fillId="15" borderId="107" xfId="10" applyFont="1" applyFill="1" applyBorder="1"/>
    <xf numFmtId="2" fontId="45" fillId="43" borderId="167" xfId="10" applyNumberFormat="1" applyFont="1" applyFill="1" applyBorder="1" applyAlignment="1">
      <alignment horizontal="center"/>
    </xf>
    <xf numFmtId="0" fontId="45" fillId="61" borderId="92" xfId="10" applyFont="1" applyFill="1" applyBorder="1"/>
    <xf numFmtId="0" fontId="45" fillId="61" borderId="20" xfId="10" applyFont="1" applyFill="1" applyBorder="1"/>
    <xf numFmtId="0" fontId="45" fillId="61" borderId="93" xfId="10" applyFont="1" applyFill="1" applyBorder="1"/>
    <xf numFmtId="1" fontId="45" fillId="8" borderId="106" xfId="10" applyNumberFormat="1" applyFont="1" applyFill="1" applyBorder="1" applyAlignment="1">
      <alignment horizontal="center"/>
    </xf>
    <xf numFmtId="0" fontId="45" fillId="44" borderId="89" xfId="10" applyFont="1" applyFill="1" applyBorder="1"/>
    <xf numFmtId="0" fontId="45" fillId="45" borderId="90" xfId="10" applyFont="1" applyFill="1" applyBorder="1"/>
    <xf numFmtId="0" fontId="45" fillId="45" borderId="91" xfId="10" applyFont="1" applyFill="1" applyBorder="1"/>
    <xf numFmtId="0" fontId="30" fillId="56" borderId="112" xfId="18" applyFont="1" applyFill="1" applyBorder="1"/>
    <xf numFmtId="0" fontId="146" fillId="10" borderId="124" xfId="10" applyFont="1" applyFill="1" applyBorder="1" applyAlignment="1">
      <alignment horizontal="centerContinuous"/>
    </xf>
    <xf numFmtId="0" fontId="146" fillId="10" borderId="150" xfId="10" applyFont="1" applyFill="1" applyBorder="1" applyAlignment="1">
      <alignment horizontal="center"/>
    </xf>
    <xf numFmtId="0" fontId="45" fillId="42" borderId="142" xfId="10" applyFont="1" applyFill="1" applyBorder="1"/>
    <xf numFmtId="0" fontId="146" fillId="10" borderId="120" xfId="10" applyFont="1" applyFill="1" applyBorder="1" applyAlignment="1">
      <alignment horizontal="centerContinuous"/>
    </xf>
    <xf numFmtId="0" fontId="45" fillId="10" borderId="168" xfId="10" applyFont="1" applyFill="1" applyBorder="1" applyAlignment="1">
      <alignment horizontal="center" vertical="center"/>
    </xf>
    <xf numFmtId="0" fontId="45" fillId="42" borderId="149" xfId="10" applyFont="1" applyFill="1" applyBorder="1"/>
    <xf numFmtId="0" fontId="45" fillId="44" borderId="143" xfId="10" applyFont="1" applyFill="1" applyBorder="1" applyAlignment="1">
      <alignment horizontal="center"/>
    </xf>
    <xf numFmtId="0" fontId="45" fillId="44" borderId="169" xfId="10" applyFont="1" applyFill="1" applyBorder="1"/>
    <xf numFmtId="171" fontId="45" fillId="43" borderId="158" xfId="10" applyNumberFormat="1" applyFont="1" applyFill="1" applyBorder="1" applyAlignment="1">
      <alignment horizontal="center"/>
    </xf>
    <xf numFmtId="171" fontId="45" fillId="43" borderId="140" xfId="10" applyNumberFormat="1" applyFont="1" applyFill="1" applyBorder="1" applyAlignment="1">
      <alignment horizontal="center"/>
    </xf>
    <xf numFmtId="0" fontId="45" fillId="44" borderId="153" xfId="10" applyFont="1" applyFill="1" applyBorder="1"/>
    <xf numFmtId="171" fontId="45" fillId="43" borderId="151" xfId="10" applyNumberFormat="1" applyFont="1" applyFill="1" applyBorder="1" applyAlignment="1">
      <alignment horizontal="center"/>
    </xf>
    <xf numFmtId="171" fontId="45" fillId="43" borderId="126" xfId="10" applyNumberFormat="1" applyFont="1" applyFill="1" applyBorder="1" applyAlignment="1">
      <alignment horizontal="center"/>
    </xf>
    <xf numFmtId="0" fontId="45" fillId="44" borderId="155" xfId="10" applyFont="1" applyFill="1" applyBorder="1"/>
    <xf numFmtId="171" fontId="45" fillId="43" borderId="152" xfId="10" applyNumberFormat="1" applyFont="1" applyFill="1" applyBorder="1" applyAlignment="1">
      <alignment horizontal="center"/>
    </xf>
    <xf numFmtId="171" fontId="45" fillId="43" borderId="133" xfId="10" applyNumberFormat="1" applyFont="1" applyFill="1" applyBorder="1" applyAlignment="1">
      <alignment horizontal="center"/>
    </xf>
    <xf numFmtId="0" fontId="146" fillId="10" borderId="118" xfId="10" applyFont="1" applyFill="1" applyBorder="1" applyAlignment="1">
      <alignment horizontal="centerContinuous"/>
    </xf>
    <xf numFmtId="0" fontId="45" fillId="10" borderId="125" xfId="10" applyFont="1" applyFill="1" applyBorder="1"/>
    <xf numFmtId="0" fontId="45" fillId="10" borderId="125" xfId="10" applyFont="1" applyFill="1" applyBorder="1" applyAlignment="1">
      <alignment horizontal="center"/>
    </xf>
    <xf numFmtId="0" fontId="45" fillId="10" borderId="131" xfId="10" applyFont="1" applyFill="1" applyBorder="1"/>
    <xf numFmtId="0" fontId="45" fillId="44" borderId="95" xfId="10" applyFont="1" applyFill="1" applyBorder="1" applyAlignment="1">
      <alignment horizontal="right" indent="1"/>
    </xf>
    <xf numFmtId="171" fontId="45" fillId="43" borderId="106" xfId="10" applyNumberFormat="1" applyFont="1" applyFill="1" applyBorder="1" applyAlignment="1">
      <alignment horizontal="center"/>
    </xf>
    <xf numFmtId="171" fontId="45" fillId="8" borderId="106" xfId="10" applyNumberFormat="1" applyFont="1" applyFill="1" applyBorder="1" applyAlignment="1">
      <alignment horizontal="center"/>
    </xf>
    <xf numFmtId="171" fontId="45" fillId="43" borderId="107" xfId="10" applyNumberFormat="1" applyFont="1" applyFill="1" applyBorder="1" applyAlignment="1">
      <alignment horizontal="center"/>
    </xf>
    <xf numFmtId="0" fontId="45" fillId="44" borderId="141" xfId="10" applyFont="1" applyFill="1" applyBorder="1" applyAlignment="1">
      <alignment horizontal="right" indent="1"/>
    </xf>
    <xf numFmtId="171" fontId="45" fillId="43" borderId="111" xfId="10" applyNumberFormat="1" applyFont="1" applyFill="1" applyBorder="1" applyAlignment="1">
      <alignment horizontal="center"/>
    </xf>
    <xf numFmtId="171" fontId="45" fillId="8" borderId="111" xfId="10" applyNumberFormat="1" applyFont="1" applyFill="1" applyBorder="1" applyAlignment="1">
      <alignment horizontal="center"/>
    </xf>
    <xf numFmtId="171" fontId="45" fillId="43" borderId="112" xfId="10" applyNumberFormat="1" applyFont="1" applyFill="1" applyBorder="1" applyAlignment="1">
      <alignment horizontal="center"/>
    </xf>
    <xf numFmtId="171" fontId="45" fillId="43" borderId="109" xfId="10" applyNumberFormat="1" applyFont="1" applyFill="1" applyBorder="1" applyAlignment="1">
      <alignment horizontal="center"/>
    </xf>
    <xf numFmtId="0" fontId="45" fillId="44" borderId="154" xfId="10" applyFont="1" applyFill="1" applyBorder="1" applyAlignment="1">
      <alignment horizontal="right" indent="1"/>
    </xf>
    <xf numFmtId="171" fontId="45" fillId="43" borderId="97" xfId="10" applyNumberFormat="1" applyFont="1" applyFill="1" applyBorder="1" applyAlignment="1">
      <alignment horizontal="center"/>
    </xf>
    <xf numFmtId="0" fontId="30" fillId="56" borderId="128" xfId="18" applyFont="1" applyFill="1" applyBorder="1" applyAlignment="1">
      <alignment horizontal="center"/>
    </xf>
    <xf numFmtId="0" fontId="30" fillId="56" borderId="97" xfId="18" applyFont="1" applyFill="1" applyBorder="1"/>
    <xf numFmtId="0" fontId="30" fillId="56" borderId="97" xfId="18" applyFont="1" applyFill="1" applyBorder="1" applyAlignment="1">
      <alignment horizontal="center"/>
    </xf>
    <xf numFmtId="0" fontId="30" fillId="56" borderId="98" xfId="18" applyFont="1" applyFill="1" applyBorder="1"/>
    <xf numFmtId="0" fontId="30" fillId="56" borderId="99" xfId="18" applyFont="1" applyFill="1" applyBorder="1"/>
    <xf numFmtId="0" fontId="30" fillId="56" borderId="117" xfId="18" applyFont="1" applyFill="1" applyBorder="1" applyAlignment="1">
      <alignment horizontal="center"/>
    </xf>
    <xf numFmtId="0" fontId="30" fillId="56" borderId="115" xfId="18" applyFont="1" applyFill="1" applyBorder="1"/>
    <xf numFmtId="0" fontId="30" fillId="56" borderId="115" xfId="18" applyFont="1" applyFill="1" applyBorder="1" applyAlignment="1">
      <alignment horizontal="center"/>
    </xf>
    <xf numFmtId="0" fontId="30" fillId="56" borderId="116" xfId="18" applyFont="1" applyFill="1" applyBorder="1"/>
    <xf numFmtId="0" fontId="45" fillId="44" borderId="148" xfId="10" applyFont="1" applyFill="1" applyBorder="1" applyAlignment="1">
      <alignment horizontal="right" indent="1"/>
    </xf>
    <xf numFmtId="171" fontId="45" fillId="43" borderId="115" xfId="10" applyNumberFormat="1" applyFont="1" applyFill="1" applyBorder="1" applyAlignment="1">
      <alignment horizontal="center"/>
    </xf>
    <xf numFmtId="171" fontId="45" fillId="8" borderId="115" xfId="10" applyNumberFormat="1" applyFont="1" applyFill="1" applyBorder="1" applyAlignment="1">
      <alignment horizontal="center"/>
    </xf>
    <xf numFmtId="171" fontId="45" fillId="43" borderId="116" xfId="10" applyNumberFormat="1" applyFont="1" applyFill="1" applyBorder="1" applyAlignment="1">
      <alignment horizontal="center"/>
    </xf>
    <xf numFmtId="0" fontId="45" fillId="44" borderId="116" xfId="10" applyFont="1" applyFill="1" applyBorder="1" applyAlignment="1">
      <alignment vertical="center"/>
    </xf>
    <xf numFmtId="0" fontId="45" fillId="8" borderId="115" xfId="10" applyFont="1" applyFill="1" applyBorder="1" applyAlignment="1">
      <alignment horizontal="left" vertical="center"/>
    </xf>
    <xf numFmtId="171" fontId="45" fillId="8" borderId="116" xfId="10" applyNumberFormat="1" applyFont="1" applyFill="1" applyBorder="1" applyAlignment="1">
      <alignment horizontal="center"/>
    </xf>
    <xf numFmtId="0" fontId="45" fillId="43" borderId="119" xfId="10" applyFont="1" applyFill="1" applyBorder="1" applyAlignment="1">
      <alignment horizontal="center"/>
    </xf>
    <xf numFmtId="0" fontId="45" fillId="43" borderId="157" xfId="10" applyFont="1" applyFill="1" applyBorder="1" applyAlignment="1">
      <alignment horizontal="center"/>
    </xf>
    <xf numFmtId="1" fontId="45" fillId="58" borderId="94" xfId="10" applyNumberFormat="1" applyFont="1" applyFill="1" applyBorder="1" applyAlignment="1">
      <alignment horizontal="center" vertical="center"/>
    </xf>
    <xf numFmtId="0" fontId="45" fillId="58" borderId="94" xfId="10" applyFont="1" applyFill="1" applyBorder="1" applyAlignment="1">
      <alignment horizontal="center" vertical="center"/>
    </xf>
    <xf numFmtId="1" fontId="45" fillId="58" borderId="142" xfId="10" applyNumberFormat="1" applyFont="1" applyFill="1" applyBorder="1" applyAlignment="1">
      <alignment horizontal="center" vertical="center"/>
    </xf>
    <xf numFmtId="0" fontId="45" fillId="58" borderId="6" xfId="10" applyFont="1" applyFill="1" applyBorder="1" applyAlignment="1">
      <alignment horizontal="center" vertical="center"/>
    </xf>
    <xf numFmtId="0" fontId="45" fillId="48" borderId="144" xfId="10" applyFont="1" applyFill="1" applyBorder="1"/>
    <xf numFmtId="0" fontId="45" fillId="43" borderId="156" xfId="10" applyFont="1" applyFill="1" applyBorder="1" applyAlignment="1">
      <alignment horizontal="center"/>
    </xf>
    <xf numFmtId="0" fontId="45" fillId="53" borderId="0" xfId="10" applyFont="1" applyFill="1" applyAlignment="1">
      <alignment horizontal="center" vertical="center"/>
    </xf>
    <xf numFmtId="0" fontId="45" fillId="53" borderId="96" xfId="10" applyFont="1" applyFill="1" applyBorder="1" applyAlignment="1">
      <alignment horizontal="center" vertical="center"/>
    </xf>
    <xf numFmtId="0" fontId="45" fillId="48" borderId="145" xfId="10" applyFont="1" applyFill="1" applyBorder="1"/>
    <xf numFmtId="0" fontId="45" fillId="53" borderId="130" xfId="10" applyFont="1" applyFill="1" applyBorder="1" applyAlignment="1">
      <alignment horizontal="center" vertical="center"/>
    </xf>
    <xf numFmtId="0" fontId="45" fillId="53" borderId="123" xfId="10" applyFont="1" applyFill="1" applyBorder="1" applyAlignment="1">
      <alignment horizontal="center" vertical="center"/>
    </xf>
    <xf numFmtId="0" fontId="45" fillId="53" borderId="93" xfId="10" applyFont="1" applyFill="1" applyBorder="1" applyAlignment="1">
      <alignment horizontal="center" vertical="center"/>
    </xf>
    <xf numFmtId="0" fontId="45" fillId="48" borderId="159" xfId="10" applyFont="1" applyFill="1" applyBorder="1"/>
    <xf numFmtId="0" fontId="45" fillId="0" borderId="20" xfId="10" applyFont="1" applyBorder="1" applyAlignment="1">
      <alignment horizontal="center" vertical="center"/>
    </xf>
    <xf numFmtId="0" fontId="45" fillId="53" borderId="91" xfId="10" applyFont="1" applyFill="1" applyBorder="1" applyAlignment="1">
      <alignment horizontal="center" vertical="center"/>
    </xf>
    <xf numFmtId="0" fontId="45" fillId="58" borderId="13" xfId="10" applyFont="1" applyFill="1" applyBorder="1" applyAlignment="1">
      <alignment horizontal="center" vertical="center"/>
    </xf>
    <xf numFmtId="0" fontId="45" fillId="58" borderId="83" xfId="10" applyFont="1" applyFill="1" applyBorder="1"/>
    <xf numFmtId="0" fontId="45" fillId="58" borderId="11" xfId="10" applyFont="1" applyFill="1" applyBorder="1" applyAlignment="1">
      <alignment horizontal="center" vertical="center"/>
    </xf>
    <xf numFmtId="0" fontId="45" fillId="58" borderId="6" xfId="10" applyFont="1" applyFill="1" applyBorder="1" applyAlignment="1">
      <alignment vertical="center"/>
    </xf>
    <xf numFmtId="0" fontId="45" fillId="58" borderId="6" xfId="10" applyFont="1" applyFill="1" applyBorder="1"/>
    <xf numFmtId="0" fontId="45" fillId="58" borderId="10" xfId="10" applyFont="1" applyFill="1" applyBorder="1" applyAlignment="1">
      <alignment horizontal="center" vertical="center"/>
    </xf>
    <xf numFmtId="0" fontId="45" fillId="58" borderId="84" xfId="10" applyFont="1" applyFill="1" applyBorder="1" applyAlignment="1">
      <alignment vertical="center"/>
    </xf>
    <xf numFmtId="0" fontId="45" fillId="0" borderId="15" xfId="10" applyFont="1" applyBorder="1" applyAlignment="1">
      <alignment horizontal="center" vertical="center"/>
    </xf>
    <xf numFmtId="0" fontId="45" fillId="0" borderId="15" xfId="10" applyFont="1" applyBorder="1" applyAlignment="1">
      <alignment vertical="center"/>
    </xf>
    <xf numFmtId="0" fontId="148" fillId="0" borderId="11" xfId="10" applyFont="1" applyBorder="1" applyAlignment="1">
      <alignment horizontal="center" vertical="center"/>
    </xf>
    <xf numFmtId="0" fontId="45" fillId="0" borderId="11" xfId="10" applyFont="1" applyBorder="1" applyAlignment="1">
      <alignment vertical="center"/>
    </xf>
    <xf numFmtId="0" fontId="45" fillId="0" borderId="11" xfId="10" applyFont="1" applyBorder="1"/>
    <xf numFmtId="0" fontId="45" fillId="0" borderId="15" xfId="10" applyFont="1" applyBorder="1"/>
    <xf numFmtId="0" fontId="45" fillId="58" borderId="84" xfId="10" applyFont="1" applyFill="1" applyBorder="1"/>
    <xf numFmtId="0" fontId="25" fillId="58" borderId="0" xfId="10" applyFill="1" applyAlignment="1">
      <alignment horizontal="left" vertical="center"/>
    </xf>
    <xf numFmtId="0" fontId="45" fillId="58" borderId="84" xfId="10" applyFont="1" applyFill="1" applyBorder="1" applyAlignment="1">
      <alignment horizontal="center" vertical="center"/>
    </xf>
    <xf numFmtId="0" fontId="45" fillId="58" borderId="16" xfId="10" applyFont="1" applyFill="1" applyBorder="1"/>
    <xf numFmtId="0" fontId="150" fillId="0" borderId="0" xfId="10" applyFont="1"/>
    <xf numFmtId="0" fontId="150" fillId="0" borderId="0" xfId="10" applyFont="1" applyAlignment="1">
      <alignment horizontal="left"/>
    </xf>
    <xf numFmtId="0" fontId="150" fillId="0" borderId="16" xfId="10" applyFont="1" applyBorder="1" applyAlignment="1">
      <alignment horizontal="left"/>
    </xf>
    <xf numFmtId="0" fontId="155" fillId="0" borderId="0" xfId="10" applyFont="1" applyAlignment="1">
      <alignment horizontal="left"/>
    </xf>
    <xf numFmtId="0" fontId="150" fillId="50" borderId="0" xfId="10" applyFont="1" applyFill="1" applyAlignment="1">
      <alignment horizontal="left"/>
    </xf>
    <xf numFmtId="0" fontId="150" fillId="50" borderId="0" xfId="10" applyFont="1" applyFill="1" applyAlignment="1">
      <alignment horizontal="center"/>
    </xf>
    <xf numFmtId="0" fontId="148" fillId="50" borderId="0" xfId="10" applyFont="1" applyFill="1"/>
    <xf numFmtId="0" fontId="148" fillId="0" borderId="92" xfId="10" applyFont="1" applyBorder="1"/>
    <xf numFmtId="0" fontId="148" fillId="0" borderId="20" xfId="10" applyFont="1" applyBorder="1"/>
    <xf numFmtId="0" fontId="148" fillId="0" borderId="93" xfId="10" applyFont="1" applyBorder="1"/>
    <xf numFmtId="0" fontId="148" fillId="0" borderId="94" xfId="10" applyFont="1" applyBorder="1"/>
    <xf numFmtId="0" fontId="148" fillId="0" borderId="0" xfId="10" applyFont="1"/>
    <xf numFmtId="0" fontId="29" fillId="50" borderId="0" xfId="10" applyFont="1" applyFill="1" applyAlignment="1">
      <alignment horizontal="center" vertical="center"/>
    </xf>
    <xf numFmtId="0" fontId="148" fillId="0" borderId="96" xfId="10" applyFont="1" applyBorder="1"/>
    <xf numFmtId="0" fontId="149" fillId="50" borderId="0" xfId="10" applyFont="1" applyFill="1" applyAlignment="1">
      <alignment horizontal="center" vertical="center"/>
    </xf>
    <xf numFmtId="0" fontId="156" fillId="50" borderId="0" xfId="10" applyFont="1" applyFill="1" applyAlignment="1">
      <alignment horizontal="center" vertical="center"/>
    </xf>
    <xf numFmtId="0" fontId="149" fillId="0" borderId="0" xfId="10" applyFont="1" applyAlignment="1">
      <alignment horizontal="center" vertical="center"/>
    </xf>
    <xf numFmtId="0" fontId="156" fillId="0" borderId="0" xfId="10" applyFont="1" applyAlignment="1">
      <alignment horizontal="center" vertical="center"/>
    </xf>
    <xf numFmtId="0" fontId="157" fillId="50" borderId="0" xfId="10" applyFont="1" applyFill="1" applyAlignment="1">
      <alignment horizontal="center" vertical="center"/>
    </xf>
    <xf numFmtId="0" fontId="157" fillId="0" borderId="0" xfId="10" applyFont="1" applyAlignment="1">
      <alignment horizontal="center" vertical="center"/>
    </xf>
    <xf numFmtId="0" fontId="27" fillId="0" borderId="0" xfId="10" applyFont="1" applyAlignment="1">
      <alignment horizontal="center" vertical="center"/>
    </xf>
    <xf numFmtId="0" fontId="159" fillId="0" borderId="0" xfId="10" applyFont="1" applyAlignment="1">
      <alignment horizontal="center" vertical="center"/>
    </xf>
    <xf numFmtId="0" fontId="150" fillId="0" borderId="0" xfId="10" applyFont="1" applyAlignment="1">
      <alignment vertical="top"/>
    </xf>
    <xf numFmtId="0" fontId="158" fillId="50" borderId="0" xfId="10" applyFont="1" applyFill="1" applyAlignment="1">
      <alignment horizontal="center" vertical="center"/>
    </xf>
    <xf numFmtId="0" fontId="148" fillId="65" borderId="0" xfId="10" applyFont="1" applyFill="1"/>
    <xf numFmtId="0" fontId="27" fillId="65" borderId="0" xfId="10" applyFont="1" applyFill="1" applyAlignment="1">
      <alignment horizontal="center" vertical="center"/>
    </xf>
    <xf numFmtId="0" fontId="150" fillId="50" borderId="0" xfId="10" applyFont="1" applyFill="1" applyAlignment="1">
      <alignment vertical="top"/>
    </xf>
    <xf numFmtId="0" fontId="148" fillId="0" borderId="11" xfId="10" applyFont="1" applyBorder="1" applyAlignment="1">
      <alignment wrapText="1"/>
    </xf>
    <xf numFmtId="1" fontId="156" fillId="0" borderId="0" xfId="10" applyNumberFormat="1" applyFont="1" applyAlignment="1">
      <alignment horizontal="center" vertical="center"/>
    </xf>
    <xf numFmtId="0" fontId="164" fillId="0" borderId="0" xfId="10" applyFont="1" applyAlignment="1">
      <alignment horizontal="center" vertical="center"/>
    </xf>
    <xf numFmtId="0" fontId="161" fillId="0" borderId="0" xfId="10" applyFont="1" applyAlignment="1">
      <alignment horizontal="center" vertical="center"/>
    </xf>
    <xf numFmtId="0" fontId="25" fillId="50" borderId="0" xfId="10" applyFill="1" applyAlignment="1">
      <alignment horizontal="left" vertical="center"/>
    </xf>
    <xf numFmtId="0" fontId="147" fillId="0" borderId="0" xfId="10" applyFont="1"/>
    <xf numFmtId="0" fontId="147" fillId="50" borderId="0" xfId="10" applyFont="1" applyFill="1" applyAlignment="1">
      <alignment horizontal="center" vertical="center"/>
    </xf>
    <xf numFmtId="172" fontId="157" fillId="50" borderId="0" xfId="10" applyNumberFormat="1" applyFont="1" applyFill="1" applyAlignment="1">
      <alignment horizontal="center" vertical="center"/>
    </xf>
    <xf numFmtId="0" fontId="148" fillId="0" borderId="94" xfId="10" applyFont="1" applyBorder="1" applyAlignment="1">
      <alignment horizontal="center"/>
    </xf>
    <xf numFmtId="0" fontId="148" fillId="0" borderId="0" xfId="10" applyFont="1" applyAlignment="1">
      <alignment horizontal="center"/>
    </xf>
    <xf numFmtId="0" fontId="148" fillId="0" borderId="96" xfId="10" applyFont="1" applyBorder="1" applyAlignment="1">
      <alignment horizontal="center"/>
    </xf>
    <xf numFmtId="0" fontId="156" fillId="0" borderId="0" xfId="10" applyFont="1" applyAlignment="1">
      <alignment horizontal="center" vertical="center" wrapText="1"/>
    </xf>
    <xf numFmtId="0" fontId="157" fillId="0" borderId="0" xfId="10" applyFont="1" applyAlignment="1">
      <alignment horizontal="left" vertical="center"/>
    </xf>
    <xf numFmtId="0" fontId="29" fillId="0" borderId="0" xfId="10" applyFont="1" applyAlignment="1">
      <alignment horizontal="center" vertical="center"/>
    </xf>
    <xf numFmtId="0" fontId="157" fillId="15" borderId="7" xfId="10" applyFont="1" applyFill="1" applyBorder="1" applyAlignment="1">
      <alignment vertical="center" wrapText="1"/>
    </xf>
    <xf numFmtId="0" fontId="157" fillId="15" borderId="9" xfId="10" applyFont="1" applyFill="1" applyBorder="1" applyAlignment="1">
      <alignment vertical="center" wrapText="1"/>
    </xf>
    <xf numFmtId="0" fontId="25" fillId="0" borderId="15" xfId="10" applyBorder="1" applyAlignment="1">
      <alignment horizontal="center" vertical="center"/>
    </xf>
    <xf numFmtId="0" fontId="150" fillId="0" borderId="0" xfId="10" applyFont="1" applyAlignment="1">
      <alignment horizontal="left" vertical="center"/>
    </xf>
    <xf numFmtId="0" fontId="150" fillId="15" borderId="92" xfId="10" applyFont="1" applyFill="1" applyBorder="1" applyAlignment="1">
      <alignment horizontal="left" vertical="center"/>
    </xf>
    <xf numFmtId="0" fontId="150" fillId="15" borderId="20" xfId="10" applyFont="1" applyFill="1" applyBorder="1" applyAlignment="1">
      <alignment horizontal="left" vertical="center"/>
    </xf>
    <xf numFmtId="0" fontId="45" fillId="15" borderId="20" xfId="10" applyFont="1" applyFill="1" applyBorder="1" applyAlignment="1">
      <alignment horizontal="center" vertical="center"/>
    </xf>
    <xf numFmtId="0" fontId="45" fillId="15" borderId="93" xfId="10" applyFont="1" applyFill="1" applyBorder="1" applyAlignment="1">
      <alignment horizontal="center" vertical="center"/>
    </xf>
    <xf numFmtId="0" fontId="150" fillId="15" borderId="94" xfId="10" applyFont="1" applyFill="1" applyBorder="1" applyAlignment="1">
      <alignment horizontal="left" vertical="center"/>
    </xf>
    <xf numFmtId="0" fontId="150" fillId="15" borderId="0" xfId="10" applyFont="1" applyFill="1" applyAlignment="1">
      <alignment horizontal="left" vertical="center"/>
    </xf>
    <xf numFmtId="0" fontId="45" fillId="15" borderId="0" xfId="10" applyFont="1" applyFill="1" applyAlignment="1">
      <alignment horizontal="center" vertical="center"/>
    </xf>
    <xf numFmtId="0" fontId="45" fillId="15" borderId="96" xfId="10" applyFont="1" applyFill="1" applyBorder="1" applyAlignment="1">
      <alignment horizontal="center" vertical="center"/>
    </xf>
    <xf numFmtId="0" fontId="157" fillId="0" borderId="8" xfId="10" applyFont="1" applyBorder="1" applyAlignment="1">
      <alignment horizontal="left" vertical="center"/>
    </xf>
    <xf numFmtId="0" fontId="166" fillId="0" borderId="0" xfId="10" applyFont="1" applyAlignment="1">
      <alignment horizontal="center" vertical="center"/>
    </xf>
    <xf numFmtId="0" fontId="148" fillId="0" borderId="0" xfId="10" applyFont="1" applyAlignment="1">
      <alignment horizontal="center" vertical="center" wrapText="1" shrinkToFit="1"/>
    </xf>
    <xf numFmtId="0" fontId="148" fillId="0" borderId="130" xfId="10" applyFont="1" applyBorder="1" applyAlignment="1">
      <alignment horizontal="center" vertical="center"/>
    </xf>
    <xf numFmtId="0" fontId="150" fillId="15" borderId="102" xfId="10" applyFont="1" applyFill="1" applyBorder="1" applyAlignment="1">
      <alignment horizontal="left" vertical="center"/>
    </xf>
    <xf numFmtId="0" fontId="150" fillId="15" borderId="130" xfId="10" applyFont="1" applyFill="1" applyBorder="1" applyAlignment="1">
      <alignment horizontal="left" vertical="center"/>
    </xf>
    <xf numFmtId="0" fontId="45" fillId="15" borderId="130" xfId="10" applyFont="1" applyFill="1" applyBorder="1" applyAlignment="1">
      <alignment horizontal="center" vertical="center"/>
    </xf>
    <xf numFmtId="0" fontId="45" fillId="15" borderId="123" xfId="10" applyFont="1" applyFill="1" applyBorder="1" applyAlignment="1">
      <alignment horizontal="center" vertical="center"/>
    </xf>
    <xf numFmtId="0" fontId="148" fillId="0" borderId="102" xfId="10" applyFont="1" applyBorder="1"/>
    <xf numFmtId="0" fontId="148" fillId="0" borderId="130" xfId="10" applyFont="1" applyBorder="1"/>
    <xf numFmtId="0" fontId="148" fillId="0" borderId="123" xfId="10" applyFont="1" applyBorder="1"/>
    <xf numFmtId="0" fontId="148" fillId="15" borderId="0" xfId="10" applyFont="1" applyFill="1"/>
    <xf numFmtId="0" fontId="135" fillId="24" borderId="0" xfId="15" applyFont="1" applyFill="1" applyAlignment="1">
      <alignment horizontal="left" vertical="top"/>
    </xf>
    <xf numFmtId="0" fontId="135" fillId="0" borderId="0" xfId="15" applyFont="1" applyAlignment="1">
      <alignment horizontal="left" vertical="top"/>
    </xf>
    <xf numFmtId="0" fontId="0" fillId="20" borderId="0" xfId="0" applyFill="1" applyAlignment="1"/>
    <xf numFmtId="0" fontId="0" fillId="62" borderId="0" xfId="0" applyFill="1" applyAlignment="1"/>
    <xf numFmtId="0" fontId="0" fillId="64" borderId="0" xfId="0" applyFill="1" applyAlignment="1"/>
    <xf numFmtId="0" fontId="173" fillId="71" borderId="0" xfId="0" applyFont="1" applyFill="1" applyAlignment="1">
      <alignment horizontal="right"/>
    </xf>
    <xf numFmtId="0" fontId="17" fillId="0" borderId="0" xfId="20"/>
    <xf numFmtId="0" fontId="2" fillId="0" borderId="0" xfId="21"/>
    <xf numFmtId="0" fontId="2" fillId="46" borderId="0" xfId="21" applyFill="1"/>
    <xf numFmtId="0" fontId="176" fillId="8" borderId="0" xfId="21" applyFont="1" applyFill="1"/>
    <xf numFmtId="0" fontId="2" fillId="0" borderId="0" xfId="21" quotePrefix="1"/>
    <xf numFmtId="0" fontId="17" fillId="0" borderId="189" xfId="20" applyBorder="1" applyAlignment="1">
      <alignment vertical="center"/>
    </xf>
    <xf numFmtId="0" fontId="17" fillId="0" borderId="87" xfId="20" applyBorder="1" applyAlignment="1">
      <alignment vertical="center"/>
    </xf>
    <xf numFmtId="0" fontId="33" fillId="0" borderId="190" xfId="20" applyFont="1" applyBorder="1" applyAlignment="1">
      <alignment vertical="center"/>
    </xf>
    <xf numFmtId="0" fontId="17" fillId="0" borderId="191" xfId="20" applyBorder="1" applyAlignment="1">
      <alignment vertical="center"/>
    </xf>
    <xf numFmtId="0" fontId="17" fillId="0" borderId="85" xfId="20" applyBorder="1" applyAlignment="1">
      <alignment vertical="center"/>
    </xf>
    <xf numFmtId="0" fontId="33" fillId="0" borderId="192" xfId="20" applyFont="1" applyBorder="1" applyAlignment="1">
      <alignment vertical="center"/>
    </xf>
    <xf numFmtId="0" fontId="4" fillId="0" borderId="0" xfId="22"/>
    <xf numFmtId="0" fontId="33" fillId="0" borderId="193" xfId="20" applyFont="1" applyBorder="1" applyAlignment="1">
      <alignment vertical="center"/>
    </xf>
    <xf numFmtId="0" fontId="33" fillId="0" borderId="86" xfId="20" applyFont="1" applyBorder="1" applyAlignment="1">
      <alignment vertical="center"/>
    </xf>
    <xf numFmtId="0" fontId="33" fillId="0" borderId="194" xfId="20" applyFont="1" applyBorder="1" applyAlignment="1">
      <alignment vertical="center"/>
    </xf>
    <xf numFmtId="0" fontId="172" fillId="74" borderId="85" xfId="21" applyFont="1" applyFill="1" applyBorder="1" applyAlignment="1">
      <alignment vertical="center"/>
    </xf>
    <xf numFmtId="0" fontId="172" fillId="75" borderId="85" xfId="21" applyFont="1" applyFill="1" applyBorder="1" applyAlignment="1">
      <alignment vertical="center"/>
    </xf>
    <xf numFmtId="17" fontId="172" fillId="74" borderId="85" xfId="21" applyNumberFormat="1" applyFont="1" applyFill="1" applyBorder="1" applyAlignment="1">
      <alignment vertical="center"/>
    </xf>
    <xf numFmtId="0" fontId="172" fillId="75" borderId="86" xfId="21" applyFont="1" applyFill="1" applyBorder="1" applyAlignment="1">
      <alignment vertical="center"/>
    </xf>
    <xf numFmtId="16" fontId="172" fillId="75" borderId="86" xfId="21" applyNumberFormat="1" applyFont="1" applyFill="1" applyBorder="1" applyAlignment="1">
      <alignment vertical="center"/>
    </xf>
    <xf numFmtId="0" fontId="172" fillId="0" borderId="0" xfId="21" applyFont="1" applyAlignment="1">
      <alignment vertical="center"/>
    </xf>
    <xf numFmtId="17" fontId="172" fillId="75" borderId="86" xfId="21" applyNumberFormat="1" applyFont="1" applyFill="1" applyBorder="1" applyAlignment="1">
      <alignment vertical="center"/>
    </xf>
    <xf numFmtId="0" fontId="101" fillId="75" borderId="87" xfId="21" applyFont="1" applyFill="1" applyBorder="1" applyAlignment="1">
      <alignment vertical="center"/>
    </xf>
    <xf numFmtId="0" fontId="101" fillId="0" borderId="0" xfId="21" applyFont="1" applyAlignment="1">
      <alignment vertical="center"/>
    </xf>
    <xf numFmtId="16" fontId="17" fillId="0" borderId="0" xfId="20" applyNumberFormat="1"/>
    <xf numFmtId="2" fontId="141" fillId="24" borderId="88" xfId="15" applyNumberFormat="1" applyFont="1" applyFill="1" applyBorder="1" applyAlignment="1">
      <alignment horizontal="center" vertical="center"/>
    </xf>
    <xf numFmtId="0" fontId="141" fillId="29" borderId="81" xfId="15" applyFont="1" applyFill="1" applyBorder="1" applyAlignment="1">
      <alignment horizontal="center"/>
    </xf>
    <xf numFmtId="0" fontId="38" fillId="11" borderId="0" xfId="10" applyFont="1" applyFill="1" applyAlignment="1">
      <alignment wrapText="1"/>
    </xf>
    <xf numFmtId="0" fontId="19" fillId="5" borderId="3" xfId="5" applyAlignment="1">
      <alignment horizontal="center" vertical="center" wrapText="1"/>
    </xf>
    <xf numFmtId="0" fontId="67" fillId="0" borderId="0" xfId="12" applyFont="1" applyProtection="1"/>
    <xf numFmtId="2" fontId="67" fillId="0" borderId="0" xfId="12" applyNumberFormat="1" applyFont="1" applyProtection="1"/>
    <xf numFmtId="1" fontId="67" fillId="0" borderId="0" xfId="12" applyNumberFormat="1" applyFont="1" applyAlignment="1" applyProtection="1">
      <alignment horizontal="right"/>
    </xf>
    <xf numFmtId="0" fontId="33" fillId="0" borderId="0" xfId="0" applyFont="1"/>
    <xf numFmtId="0" fontId="0" fillId="0" borderId="0" xfId="0" applyAlignment="1">
      <alignment wrapText="1"/>
    </xf>
    <xf numFmtId="0" fontId="186" fillId="3" borderId="0" xfId="0" applyFont="1" applyFill="1" applyAlignment="1">
      <alignment horizontal="center" vertical="center"/>
    </xf>
    <xf numFmtId="0" fontId="38" fillId="51" borderId="0" xfId="0" applyFont="1" applyFill="1" applyAlignment="1">
      <alignment horizontal="right"/>
    </xf>
    <xf numFmtId="0" fontId="189" fillId="81" borderId="0" xfId="0" applyFont="1" applyFill="1" applyAlignment="1">
      <alignment horizontal="center" vertical="center"/>
    </xf>
    <xf numFmtId="0" fontId="20" fillId="5" borderId="2" xfId="6"/>
    <xf numFmtId="0" fontId="171" fillId="0" borderId="0" xfId="15" applyFont="1" applyAlignment="1">
      <alignment horizontal="center" vertical="center"/>
    </xf>
    <xf numFmtId="0" fontId="171" fillId="25" borderId="0" xfId="15" applyFont="1" applyFill="1" applyAlignment="1">
      <alignment horizontal="center" vertical="center"/>
    </xf>
    <xf numFmtId="0" fontId="22" fillId="82" borderId="201" xfId="0" applyFont="1" applyFill="1" applyBorder="1"/>
    <xf numFmtId="0" fontId="22" fillId="82" borderId="202" xfId="0" applyFont="1" applyFill="1" applyBorder="1"/>
    <xf numFmtId="0" fontId="0" fillId="0" borderId="10" xfId="0" applyBorder="1"/>
    <xf numFmtId="0" fontId="0" fillId="0" borderId="8" xfId="0" applyBorder="1"/>
    <xf numFmtId="0" fontId="0" fillId="0" borderId="9" xfId="0" applyBorder="1"/>
    <xf numFmtId="0" fontId="0" fillId="0" borderId="13" xfId="0" applyBorder="1"/>
    <xf numFmtId="0" fontId="0" fillId="0" borderId="14" xfId="0" applyBorder="1"/>
    <xf numFmtId="0" fontId="190" fillId="0" borderId="0" xfId="0" applyFont="1"/>
    <xf numFmtId="9" fontId="0" fillId="0" borderId="0" xfId="0" applyNumberFormat="1"/>
    <xf numFmtId="0" fontId="0" fillId="0" borderId="0" xfId="0" quotePrefix="1"/>
    <xf numFmtId="0" fontId="191" fillId="0" borderId="199" xfId="0" applyFont="1" applyBorder="1" applyAlignment="1">
      <alignment vertical="center" wrapText="1"/>
    </xf>
    <xf numFmtId="0" fontId="192" fillId="0" borderId="203" xfId="0" applyFont="1" applyBorder="1" applyAlignment="1">
      <alignment vertical="center" wrapText="1"/>
    </xf>
    <xf numFmtId="0" fontId="192" fillId="0" borderId="198" xfId="0" applyFont="1" applyBorder="1" applyAlignment="1">
      <alignment vertical="center" wrapText="1"/>
    </xf>
    <xf numFmtId="0" fontId="144" fillId="0" borderId="194" xfId="0" applyFont="1" applyBorder="1" applyAlignment="1">
      <alignment vertical="center" wrapText="1"/>
    </xf>
    <xf numFmtId="9" fontId="144" fillId="0" borderId="86" xfId="0" applyNumberFormat="1" applyFont="1" applyBorder="1" applyAlignment="1">
      <alignment vertical="center" wrapText="1"/>
    </xf>
    <xf numFmtId="0" fontId="127" fillId="0" borderId="193" xfId="0" applyFont="1" applyBorder="1" applyAlignment="1">
      <alignment vertical="center" wrapText="1"/>
    </xf>
    <xf numFmtId="0" fontId="144" fillId="0" borderId="192" xfId="0" applyFont="1" applyBorder="1" applyAlignment="1">
      <alignment vertical="center" wrapText="1"/>
    </xf>
    <xf numFmtId="9" fontId="144" fillId="0" borderId="85" xfId="0" applyNumberFormat="1" applyFont="1" applyBorder="1" applyAlignment="1">
      <alignment vertical="center" wrapText="1"/>
    </xf>
    <xf numFmtId="9" fontId="144" fillId="0" borderId="191" xfId="0" applyNumberFormat="1" applyFont="1" applyBorder="1" applyAlignment="1">
      <alignment vertical="center" wrapText="1"/>
    </xf>
    <xf numFmtId="0" fontId="181" fillId="0" borderId="0" xfId="0" applyFont="1" applyAlignment="1">
      <alignment horizontal="left" vertical="top"/>
    </xf>
    <xf numFmtId="0" fontId="0" fillId="0" borderId="0" xfId="0" applyAlignment="1">
      <alignment horizontal="left" vertical="top"/>
    </xf>
    <xf numFmtId="0" fontId="144" fillId="0" borderId="190" xfId="0" applyFont="1" applyBorder="1" applyAlignment="1">
      <alignment vertical="center" wrapText="1"/>
    </xf>
    <xf numFmtId="9" fontId="144" fillId="0" borderId="87" xfId="0" applyNumberFormat="1" applyFont="1" applyBorder="1" applyAlignment="1">
      <alignment vertical="center" wrapText="1"/>
    </xf>
    <xf numFmtId="9" fontId="144" fillId="0" borderId="189" xfId="0" applyNumberFormat="1" applyFont="1" applyBorder="1" applyAlignment="1">
      <alignment vertical="center" wrapText="1"/>
    </xf>
    <xf numFmtId="9" fontId="0" fillId="0" borderId="0" xfId="0" applyNumberFormat="1" applyAlignment="1">
      <alignment vertical="center"/>
    </xf>
    <xf numFmtId="0" fontId="172" fillId="0" borderId="85" xfId="0" applyFont="1" applyBorder="1" applyAlignment="1">
      <alignment vertical="center"/>
    </xf>
    <xf numFmtId="0" fontId="0" fillId="0" borderId="202" xfId="0" applyBorder="1"/>
    <xf numFmtId="0" fontId="172" fillId="0" borderId="0" xfId="0" applyFont="1" applyAlignment="1">
      <alignment vertical="center"/>
    </xf>
    <xf numFmtId="0" fontId="172" fillId="83" borderId="85" xfId="0" applyFont="1" applyFill="1" applyBorder="1" applyAlignment="1">
      <alignment vertical="center"/>
    </xf>
    <xf numFmtId="0" fontId="0" fillId="0" borderId="9" xfId="0" applyBorder="1" applyAlignment="1">
      <alignment horizontal="center" vertical="center"/>
    </xf>
    <xf numFmtId="0" fontId="0" fillId="0" borderId="84" xfId="0" applyBorder="1" applyAlignment="1">
      <alignment horizontal="center" vertical="center"/>
    </xf>
    <xf numFmtId="0" fontId="0" fillId="0" borderId="10" xfId="0" applyBorder="1" applyAlignment="1">
      <alignment vertical="center"/>
    </xf>
    <xf numFmtId="0" fontId="0" fillId="0" borderId="84" xfId="0" applyBorder="1" applyAlignment="1">
      <alignment horizontal="center" vertical="center" wrapText="1"/>
    </xf>
    <xf numFmtId="0" fontId="0" fillId="0" borderId="8" xfId="0" applyBorder="1" applyAlignment="1">
      <alignment horizontal="center" vertical="center"/>
    </xf>
    <xf numFmtId="0" fontId="0" fillId="0" borderId="18" xfId="0" applyBorder="1"/>
    <xf numFmtId="0" fontId="0" fillId="0" borderId="16" xfId="0" applyBorder="1"/>
    <xf numFmtId="0" fontId="4" fillId="0" borderId="0" xfId="25"/>
    <xf numFmtId="0" fontId="0" fillId="0" borderId="12" xfId="0" applyBorder="1"/>
    <xf numFmtId="0" fontId="0" fillId="45" borderId="0" xfId="0" applyFill="1"/>
    <xf numFmtId="0" fontId="193" fillId="0" borderId="0" xfId="0" applyFont="1" applyAlignment="1">
      <alignment vertical="center"/>
    </xf>
    <xf numFmtId="0" fontId="193" fillId="0" borderId="123" xfId="0" applyFont="1" applyBorder="1" applyAlignment="1">
      <alignment vertical="center"/>
    </xf>
    <xf numFmtId="0" fontId="193" fillId="0" borderId="130" xfId="0" applyFont="1" applyBorder="1" applyAlignment="1">
      <alignment vertical="center"/>
    </xf>
    <xf numFmtId="9" fontId="193" fillId="0" borderId="130" xfId="0" applyNumberFormat="1" applyFont="1" applyBorder="1" applyAlignment="1">
      <alignment vertical="center"/>
    </xf>
    <xf numFmtId="0" fontId="4" fillId="0" borderId="12" xfId="25" applyBorder="1"/>
    <xf numFmtId="0" fontId="4" fillId="0" borderId="0" xfId="25" applyBorder="1"/>
    <xf numFmtId="0" fontId="193" fillId="0" borderId="96" xfId="0" applyFont="1" applyBorder="1" applyAlignment="1">
      <alignment vertical="center"/>
    </xf>
    <xf numFmtId="9" fontId="193" fillId="0" borderId="0" xfId="0" applyNumberFormat="1" applyFont="1" applyAlignment="1">
      <alignment vertical="center"/>
    </xf>
    <xf numFmtId="0" fontId="0" fillId="0" borderId="83" xfId="0" applyBorder="1"/>
    <xf numFmtId="0" fontId="4" fillId="0" borderId="13" xfId="25" applyBorder="1"/>
    <xf numFmtId="0" fontId="0" fillId="0" borderId="6" xfId="0" applyBorder="1"/>
    <xf numFmtId="0" fontId="193" fillId="0" borderId="146" xfId="0" applyFont="1" applyBorder="1" applyAlignment="1">
      <alignment vertical="center"/>
    </xf>
    <xf numFmtId="0" fontId="0" fillId="8" borderId="0" xfId="0" applyFill="1"/>
    <xf numFmtId="49" fontId="0" fillId="0" borderId="0" xfId="0" applyNumberFormat="1"/>
    <xf numFmtId="0" fontId="315" fillId="0" borderId="197" xfId="24"/>
    <xf numFmtId="0" fontId="0" fillId="0" borderId="0" xfId="0" applyAlignment="1">
      <alignment horizontal="left" vertical="center"/>
    </xf>
    <xf numFmtId="0" fontId="0" fillId="0" borderId="84" xfId="0" applyBorder="1"/>
    <xf numFmtId="9" fontId="0" fillId="0" borderId="16" xfId="0" applyNumberFormat="1" applyBorder="1"/>
    <xf numFmtId="9" fontId="0" fillId="0" borderId="83" xfId="0" applyNumberFormat="1" applyBorder="1"/>
    <xf numFmtId="0" fontId="0" fillId="83" borderId="202" xfId="0" applyFill="1" applyBorder="1"/>
    <xf numFmtId="0" fontId="194" fillId="0" borderId="0" xfId="0" applyFont="1" applyAlignment="1">
      <alignment vertical="center"/>
    </xf>
    <xf numFmtId="0" fontId="196" fillId="4" borderId="2" xfId="26" applyAlignment="1">
      <alignment horizontal="right"/>
    </xf>
    <xf numFmtId="0" fontId="196" fillId="4" borderId="2" xfId="26"/>
    <xf numFmtId="0" fontId="196" fillId="4" borderId="2" xfId="26" quotePrefix="1"/>
    <xf numFmtId="0" fontId="197" fillId="0" borderId="0" xfId="0" applyFont="1" applyAlignment="1">
      <alignment horizontal="justify" vertical="center"/>
    </xf>
    <xf numFmtId="0" fontId="315" fillId="0" borderId="0" xfId="24" applyBorder="1"/>
    <xf numFmtId="0" fontId="0" fillId="83" borderId="200" xfId="0" applyFill="1" applyBorder="1"/>
    <xf numFmtId="0" fontId="0" fillId="0" borderId="200" xfId="0" applyBorder="1"/>
    <xf numFmtId="0" fontId="0" fillId="83" borderId="175" xfId="0" applyFill="1" applyBorder="1"/>
    <xf numFmtId="9" fontId="196" fillId="4" borderId="2" xfId="26" applyNumberFormat="1"/>
    <xf numFmtId="0" fontId="198" fillId="0" borderId="0" xfId="0" applyFont="1"/>
    <xf numFmtId="0" fontId="0" fillId="83" borderId="0" xfId="0" applyFill="1"/>
    <xf numFmtId="0" fontId="153" fillId="0" borderId="0" xfId="0" applyFont="1" applyAlignment="1">
      <alignment horizontal="center"/>
    </xf>
    <xf numFmtId="0" fontId="22" fillId="82" borderId="178" xfId="0" applyFont="1" applyFill="1" applyBorder="1"/>
    <xf numFmtId="0" fontId="22" fillId="82" borderId="180" xfId="0" applyFont="1" applyFill="1" applyBorder="1"/>
    <xf numFmtId="0" fontId="199" fillId="84" borderId="42" xfId="0" applyFont="1" applyFill="1" applyBorder="1" applyAlignment="1">
      <alignment vertical="center" wrapText="1"/>
    </xf>
    <xf numFmtId="0" fontId="199" fillId="84" borderId="37" xfId="0" applyFont="1" applyFill="1" applyBorder="1" applyAlignment="1">
      <alignment vertical="center" wrapText="1"/>
    </xf>
    <xf numFmtId="0" fontId="196" fillId="4" borderId="2" xfId="26" applyAlignment="1">
      <alignment vertical="center" wrapText="1"/>
    </xf>
    <xf numFmtId="0" fontId="315" fillId="0" borderId="197" xfId="24" applyAlignment="1">
      <alignment vertical="center"/>
    </xf>
    <xf numFmtId="0" fontId="25" fillId="85" borderId="0" xfId="10" applyFill="1"/>
    <xf numFmtId="0" fontId="12" fillId="3" borderId="0" xfId="0" applyFont="1" applyFill="1" applyAlignment="1">
      <alignment horizontal="right"/>
    </xf>
    <xf numFmtId="0" fontId="0" fillId="0" borderId="205" xfId="0" applyFont="1" applyBorder="1"/>
    <xf numFmtId="0" fontId="135" fillId="0" borderId="0" xfId="0" applyFont="1"/>
    <xf numFmtId="0" fontId="135" fillId="0" borderId="85" xfId="0" applyFont="1" applyBorder="1" applyAlignment="1">
      <alignment vertical="center"/>
    </xf>
    <xf numFmtId="0" fontId="135" fillId="0" borderId="0" xfId="0" applyFont="1" applyAlignment="1">
      <alignment vertical="center"/>
    </xf>
    <xf numFmtId="0" fontId="71" fillId="0" borderId="0" xfId="0" applyFont="1" applyAlignment="1"/>
    <xf numFmtId="0" fontId="315" fillId="0" borderId="197" xfId="24" applyAlignment="1"/>
    <xf numFmtId="0" fontId="70" fillId="3" borderId="195" xfId="4" applyFont="1" applyFill="1" applyAlignment="1">
      <alignment horizontal="center" vertical="center"/>
    </xf>
    <xf numFmtId="0" fontId="139" fillId="0" borderId="70" xfId="15" applyFont="1" applyBorder="1" applyAlignment="1"/>
    <xf numFmtId="0" fontId="143" fillId="0" borderId="75" xfId="15" applyFont="1" applyBorder="1" applyAlignment="1"/>
    <xf numFmtId="0" fontId="143" fillId="0" borderId="50" xfId="15" applyFont="1" applyBorder="1" applyAlignment="1"/>
    <xf numFmtId="0" fontId="134" fillId="0" borderId="0" xfId="15" applyAlignment="1"/>
    <xf numFmtId="0" fontId="142" fillId="33" borderId="75" xfId="15" applyFont="1" applyFill="1" applyBorder="1" applyAlignment="1"/>
    <xf numFmtId="1" fontId="145" fillId="24" borderId="75" xfId="15" applyNumberFormat="1" applyFont="1" applyFill="1" applyBorder="1" applyAlignment="1"/>
    <xf numFmtId="1" fontId="141" fillId="24" borderId="75" xfId="15" applyNumberFormat="1" applyFont="1" applyFill="1" applyBorder="1" applyAlignment="1"/>
    <xf numFmtId="1" fontId="141" fillId="24" borderId="50" xfId="15" applyNumberFormat="1" applyFont="1" applyFill="1" applyBorder="1" applyAlignment="1"/>
    <xf numFmtId="0" fontId="141" fillId="24" borderId="75" xfId="15" applyFont="1" applyFill="1" applyBorder="1" applyAlignment="1"/>
    <xf numFmtId="0" fontId="141" fillId="24" borderId="50" xfId="15" applyFont="1" applyFill="1" applyBorder="1" applyAlignment="1"/>
    <xf numFmtId="0" fontId="19" fillId="5" borderId="3" xfId="5" applyAlignment="1"/>
    <xf numFmtId="0" fontId="144" fillId="0" borderId="54" xfId="15" applyFont="1" applyBorder="1" applyAlignment="1"/>
    <xf numFmtId="0" fontId="144" fillId="0" borderId="77" xfId="15" applyFont="1" applyBorder="1" applyAlignment="1"/>
    <xf numFmtId="0" fontId="144" fillId="0" borderId="69" xfId="15" applyFont="1" applyBorder="1" applyAlignment="1"/>
    <xf numFmtId="0" fontId="144" fillId="0" borderId="57" xfId="15" applyFont="1" applyBorder="1" applyAlignment="1"/>
    <xf numFmtId="0" fontId="143" fillId="0" borderId="88" xfId="15" applyFont="1" applyBorder="1" applyAlignment="1"/>
    <xf numFmtId="0" fontId="142" fillId="33" borderId="88" xfId="15" applyFont="1" applyFill="1" applyBorder="1" applyAlignment="1"/>
    <xf numFmtId="2" fontId="141" fillId="24" borderId="88" xfId="15" applyNumberFormat="1" applyFont="1" applyFill="1" applyBorder="1" applyAlignment="1"/>
    <xf numFmtId="169" fontId="141" fillId="24" borderId="88" xfId="15" applyNumberFormat="1" applyFont="1" applyFill="1" applyBorder="1" applyAlignment="1"/>
    <xf numFmtId="169" fontId="141" fillId="24" borderId="81" xfId="15" applyNumberFormat="1" applyFont="1" applyFill="1" applyBorder="1" applyAlignment="1"/>
    <xf numFmtId="0" fontId="135" fillId="77" borderId="0" xfId="15" applyFont="1" applyFill="1" applyAlignment="1"/>
    <xf numFmtId="0" fontId="135" fillId="77" borderId="0" xfId="15" applyFont="1" applyFill="1" applyAlignment="1">
      <alignment horizontal="left" vertical="top"/>
    </xf>
    <xf numFmtId="2" fontId="135" fillId="0" borderId="0" xfId="15" applyNumberFormat="1" applyFont="1" applyAlignment="1"/>
    <xf numFmtId="0" fontId="140" fillId="22" borderId="0" xfId="15" applyFont="1" applyFill="1" applyAlignment="1"/>
    <xf numFmtId="0" fontId="138" fillId="41" borderId="69" xfId="15" applyFont="1" applyFill="1" applyBorder="1" applyAlignment="1"/>
    <xf numFmtId="0" fontId="139" fillId="0" borderId="51" xfId="15" applyFont="1" applyBorder="1" applyAlignment="1"/>
    <xf numFmtId="0" fontId="138" fillId="41" borderId="50" xfId="15" applyFont="1" applyFill="1" applyBorder="1" applyAlignment="1"/>
    <xf numFmtId="1" fontId="138" fillId="41" borderId="50" xfId="15" applyNumberFormat="1" applyFont="1" applyFill="1" applyBorder="1" applyAlignment="1"/>
    <xf numFmtId="0" fontId="139" fillId="0" borderId="82" xfId="15" applyFont="1" applyBorder="1" applyAlignment="1"/>
    <xf numFmtId="1" fontId="138" fillId="41" borderId="81" xfId="15" applyNumberFormat="1" applyFont="1" applyFill="1" applyBorder="1" applyAlignment="1"/>
    <xf numFmtId="0" fontId="135" fillId="0" borderId="0" xfId="15" applyFont="1" applyAlignment="1"/>
    <xf numFmtId="0" fontId="0" fillId="0" borderId="209" xfId="0" applyFont="1" applyBorder="1"/>
    <xf numFmtId="0" fontId="0" fillId="0" borderId="210" xfId="0" applyFont="1" applyBorder="1"/>
    <xf numFmtId="0" fontId="69" fillId="3" borderId="0" xfId="0" applyFont="1" applyFill="1" applyAlignment="1">
      <alignment vertical="center"/>
    </xf>
    <xf numFmtId="0" fontId="203" fillId="70" borderId="0" xfId="0" applyFont="1" applyFill="1" applyAlignment="1">
      <alignment horizontal="center" vertical="center"/>
    </xf>
    <xf numFmtId="0" fontId="0" fillId="0" borderId="211" xfId="0" applyFont="1" applyBorder="1"/>
    <xf numFmtId="0" fontId="0" fillId="0" borderId="0" xfId="0" applyAlignment="1">
      <alignment horizontal="left"/>
    </xf>
    <xf numFmtId="0" fontId="0" fillId="0" borderId="16" xfId="0" applyFont="1" applyBorder="1"/>
    <xf numFmtId="0" fontId="18" fillId="0" borderId="16" xfId="3" applyBorder="1"/>
    <xf numFmtId="0" fontId="18" fillId="0" borderId="1" xfId="3" applyAlignment="1">
      <alignment vertical="center"/>
    </xf>
    <xf numFmtId="0" fontId="181" fillId="87" borderId="16" xfId="0" applyFont="1" applyFill="1" applyBorder="1"/>
    <xf numFmtId="0" fontId="181" fillId="71" borderId="16" xfId="0" applyFont="1" applyFill="1" applyBorder="1"/>
    <xf numFmtId="0" fontId="38" fillId="51" borderId="0" xfId="0" applyFont="1" applyFill="1" applyAlignment="1">
      <alignment horizontal="left"/>
    </xf>
    <xf numFmtId="0" fontId="0" fillId="0" borderId="0" xfId="0" applyFont="1" applyFill="1" applyBorder="1"/>
    <xf numFmtId="0" fontId="209" fillId="0" borderId="0" xfId="0" applyFont="1"/>
    <xf numFmtId="0" fontId="24" fillId="0" borderId="0" xfId="0" applyFont="1"/>
    <xf numFmtId="0" fontId="135" fillId="0" borderId="0" xfId="0" applyFont="1" applyAlignment="1"/>
    <xf numFmtId="0" fontId="0" fillId="0" borderId="212" xfId="0" applyFont="1" applyBorder="1"/>
    <xf numFmtId="0" fontId="0" fillId="0" borderId="6" xfId="0" applyFill="1" applyBorder="1"/>
    <xf numFmtId="0" fontId="33" fillId="0" borderId="0" xfId="0" applyFont="1" applyAlignment="1"/>
    <xf numFmtId="0" fontId="188" fillId="51" borderId="0" xfId="0" applyFont="1" applyFill="1" applyAlignment="1">
      <alignment horizontal="left"/>
    </xf>
    <xf numFmtId="0" fontId="0" fillId="0" borderId="0" xfId="0" applyNumberFormat="1" applyAlignment="1"/>
    <xf numFmtId="0" fontId="0" fillId="0" borderId="0" xfId="0" applyFont="1" applyAlignment="1"/>
    <xf numFmtId="0" fontId="135" fillId="0" borderId="0" xfId="0" applyFont="1" applyBorder="1" applyAlignment="1">
      <alignment vertical="center"/>
    </xf>
    <xf numFmtId="0" fontId="47" fillId="3" borderId="201" xfId="0" applyFont="1" applyFill="1" applyBorder="1" applyAlignment="1">
      <alignment horizontal="center" vertical="center"/>
    </xf>
    <xf numFmtId="0" fontId="135" fillId="8" borderId="0" xfId="0" applyFont="1" applyFill="1" applyAlignment="1">
      <alignment vertical="center"/>
    </xf>
    <xf numFmtId="0" fontId="135" fillId="8" borderId="0" xfId="0" applyFont="1" applyFill="1"/>
    <xf numFmtId="0" fontId="25" fillId="85" borderId="0" xfId="10" applyFill="1" applyAlignment="1">
      <alignment horizontal="left"/>
    </xf>
    <xf numFmtId="0" fontId="6" fillId="2" borderId="0" xfId="2" applyFont="1" applyFill="1" applyAlignment="1">
      <alignment horizontal="center"/>
    </xf>
    <xf numFmtId="0" fontId="180" fillId="20" borderId="195" xfId="4">
      <alignment horizontal="center" vertical="center"/>
    </xf>
    <xf numFmtId="0" fontId="20" fillId="5" borderId="2" xfId="6"/>
    <xf numFmtId="0" fontId="0" fillId="89" borderId="209" xfId="0" applyFont="1" applyFill="1" applyBorder="1"/>
    <xf numFmtId="0" fontId="0" fillId="89" borderId="210" xfId="0" applyFont="1" applyFill="1" applyBorder="1"/>
    <xf numFmtId="0" fontId="0" fillId="89" borderId="215" xfId="0" applyFont="1" applyFill="1" applyBorder="1"/>
    <xf numFmtId="0" fontId="0" fillId="0" borderId="215" xfId="0" applyFont="1" applyBorder="1"/>
    <xf numFmtId="0" fontId="0" fillId="0" borderId="221" xfId="0" applyFont="1" applyBorder="1"/>
    <xf numFmtId="0" fontId="22" fillId="86" borderId="220" xfId="0" applyFont="1" applyFill="1" applyBorder="1"/>
    <xf numFmtId="0" fontId="22" fillId="86" borderId="212" xfId="0" applyFont="1" applyFill="1" applyBorder="1"/>
    <xf numFmtId="0" fontId="22" fillId="86" borderId="221" xfId="0" applyFont="1" applyFill="1" applyBorder="1"/>
    <xf numFmtId="0" fontId="0" fillId="0" borderId="220" xfId="0" applyFont="1" applyBorder="1"/>
    <xf numFmtId="0" fontId="0" fillId="0" borderId="222" xfId="0" applyFont="1" applyBorder="1"/>
    <xf numFmtId="0" fontId="0" fillId="83" borderId="0" xfId="0" applyFont="1" applyFill="1"/>
    <xf numFmtId="0" fontId="0" fillId="0" borderId="0" xfId="0" applyFont="1"/>
    <xf numFmtId="0" fontId="0" fillId="83" borderId="214" xfId="0" applyFont="1" applyFill="1" applyBorder="1"/>
    <xf numFmtId="0" fontId="22" fillId="86" borderId="220" xfId="0" applyFont="1" applyFill="1" applyBorder="1" applyAlignment="1"/>
    <xf numFmtId="0" fontId="22" fillId="86" borderId="212" xfId="0" applyFont="1" applyFill="1" applyBorder="1" applyAlignment="1"/>
    <xf numFmtId="0" fontId="0" fillId="0" borderId="220" xfId="0" applyFont="1" applyBorder="1" applyAlignment="1"/>
    <xf numFmtId="0" fontId="0" fillId="0" borderId="212" xfId="0" applyFont="1" applyBorder="1" applyAlignment="1"/>
    <xf numFmtId="0" fontId="22" fillId="86" borderId="0" xfId="0" applyFont="1" applyFill="1" applyBorder="1" applyAlignment="1"/>
    <xf numFmtId="0" fontId="216" fillId="0" borderId="0" xfId="0" applyFont="1" applyAlignment="1">
      <alignment horizontal="left" vertical="top"/>
    </xf>
    <xf numFmtId="0" fontId="218" fillId="0" borderId="0" xfId="0" applyFont="1" applyAlignment="1">
      <alignment horizontal="left" vertical="top"/>
    </xf>
    <xf numFmtId="0" fontId="217" fillId="0" borderId="0" xfId="0" applyFont="1" applyAlignment="1">
      <alignment horizontal="left" vertical="top"/>
    </xf>
    <xf numFmtId="2" fontId="0" fillId="0" borderId="0" xfId="0" applyNumberFormat="1" applyAlignment="1"/>
    <xf numFmtId="0" fontId="225" fillId="51" borderId="0" xfId="0" applyFont="1" applyFill="1" applyAlignment="1">
      <alignment horizontal="left" vertical="top"/>
    </xf>
    <xf numFmtId="0" fontId="224" fillId="71" borderId="85" xfId="0" applyFont="1" applyFill="1" applyBorder="1" applyAlignment="1">
      <alignment vertical="center"/>
    </xf>
    <xf numFmtId="0" fontId="22" fillId="71" borderId="16" xfId="0" applyFont="1" applyFill="1" applyBorder="1"/>
    <xf numFmtId="0" fontId="226" fillId="71" borderId="16" xfId="0" applyFont="1" applyFill="1" applyBorder="1"/>
    <xf numFmtId="0" fontId="0" fillId="91" borderId="16" xfId="0" applyFont="1" applyFill="1" applyBorder="1"/>
    <xf numFmtId="0" fontId="33" fillId="0" borderId="16" xfId="0" applyFont="1" applyBorder="1"/>
    <xf numFmtId="0" fontId="4" fillId="0" borderId="0" xfId="1" applyAlignment="1"/>
    <xf numFmtId="0" fontId="22" fillId="86" borderId="221" xfId="0" applyFont="1" applyFill="1" applyBorder="1" applyAlignment="1"/>
    <xf numFmtId="0" fontId="0" fillId="0" borderId="221" xfId="0" applyFont="1" applyBorder="1" applyAlignment="1"/>
    <xf numFmtId="0" fontId="0" fillId="8" borderId="220" xfId="0" applyFont="1" applyFill="1" applyBorder="1" applyAlignment="1"/>
    <xf numFmtId="0" fontId="0" fillId="8" borderId="221" xfId="0" applyFont="1" applyFill="1" applyBorder="1" applyAlignment="1"/>
    <xf numFmtId="0" fontId="0" fillId="91" borderId="220" xfId="0" applyFont="1" applyFill="1" applyBorder="1" applyAlignment="1"/>
    <xf numFmtId="0" fontId="0" fillId="91" borderId="221" xfId="0" applyFont="1" applyFill="1" applyBorder="1" applyAlignment="1"/>
    <xf numFmtId="0" fontId="0" fillId="47" borderId="220" xfId="0" applyFont="1" applyFill="1" applyBorder="1" applyAlignment="1"/>
    <xf numFmtId="0" fontId="0" fillId="47" borderId="221" xfId="0" applyFont="1" applyFill="1" applyBorder="1" applyAlignment="1"/>
    <xf numFmtId="0" fontId="0" fillId="14" borderId="220" xfId="0" applyFont="1" applyFill="1" applyBorder="1" applyAlignment="1"/>
    <xf numFmtId="0" fontId="0" fillId="14" borderId="221" xfId="0" applyFont="1" applyFill="1" applyBorder="1" applyAlignment="1"/>
    <xf numFmtId="0" fontId="214" fillId="71" borderId="213" xfId="27" applyFont="1" applyFill="1" applyBorder="1" applyAlignment="1"/>
    <xf numFmtId="0" fontId="22" fillId="86" borderId="223" xfId="0" applyFont="1" applyFill="1" applyBorder="1" applyAlignment="1"/>
    <xf numFmtId="0" fontId="22" fillId="86" borderId="217" xfId="0" applyFont="1" applyFill="1" applyBorder="1" applyAlignment="1"/>
    <xf numFmtId="0" fontId="22" fillId="86" borderId="224" xfId="0" applyFont="1" applyFill="1" applyBorder="1" applyAlignment="1"/>
    <xf numFmtId="0" fontId="0" fillId="89" borderId="223" xfId="0" applyFont="1" applyFill="1" applyBorder="1" applyAlignment="1"/>
    <xf numFmtId="0" fontId="0" fillId="89" borderId="217" xfId="0" applyFont="1" applyFill="1" applyBorder="1" applyAlignment="1"/>
    <xf numFmtId="0" fontId="0" fillId="89" borderId="224" xfId="0" applyFont="1" applyFill="1" applyBorder="1" applyAlignment="1"/>
    <xf numFmtId="0" fontId="181" fillId="71" borderId="16" xfId="0" applyFont="1" applyFill="1" applyBorder="1" applyAlignment="1"/>
    <xf numFmtId="0" fontId="0" fillId="0" borderId="16" xfId="0" applyBorder="1" applyAlignment="1"/>
    <xf numFmtId="0" fontId="0" fillId="0" borderId="223" xfId="0" applyFont="1" applyBorder="1" applyAlignment="1"/>
    <xf numFmtId="0" fontId="0" fillId="0" borderId="217" xfId="0" applyFont="1" applyBorder="1" applyAlignment="1"/>
    <xf numFmtId="0" fontId="0" fillId="0" borderId="224" xfId="0" applyFont="1" applyBorder="1" applyAlignment="1"/>
    <xf numFmtId="0" fontId="215" fillId="71" borderId="5" xfId="8" applyFont="1" applyFill="1" applyAlignment="1"/>
    <xf numFmtId="0" fontId="0" fillId="0" borderId="225" xfId="0" applyFont="1" applyFill="1" applyBorder="1" applyAlignment="1"/>
    <xf numFmtId="0" fontId="0" fillId="0" borderId="0" xfId="0" applyFont="1" applyFill="1" applyBorder="1" applyAlignment="1"/>
    <xf numFmtId="0" fontId="22" fillId="86" borderId="206" xfId="0" applyFont="1" applyFill="1" applyBorder="1" applyAlignment="1"/>
    <xf numFmtId="0" fontId="22" fillId="86" borderId="208" xfId="0" applyFont="1" applyFill="1" applyBorder="1" applyAlignment="1"/>
    <xf numFmtId="0" fontId="210" fillId="0" borderId="212" xfId="0" applyFont="1" applyBorder="1" applyAlignment="1"/>
    <xf numFmtId="0" fontId="181" fillId="3" borderId="212" xfId="0" applyFont="1" applyFill="1" applyBorder="1" applyAlignment="1"/>
    <xf numFmtId="0" fontId="0" fillId="0" borderId="210" xfId="0" applyFont="1" applyBorder="1" applyAlignment="1"/>
    <xf numFmtId="0" fontId="0" fillId="0" borderId="212" xfId="0" applyFont="1" applyBorder="1" applyAlignment="1">
      <alignment horizontal="left"/>
    </xf>
    <xf numFmtId="0" fontId="228" fillId="71" borderId="5" xfId="8" applyFont="1" applyFill="1" applyAlignment="1"/>
    <xf numFmtId="0" fontId="0" fillId="0" borderId="209" xfId="0" applyFont="1" applyBorder="1" applyAlignment="1"/>
    <xf numFmtId="0" fontId="22" fillId="86" borderId="207" xfId="0" applyFont="1" applyFill="1" applyBorder="1" applyAlignment="1"/>
    <xf numFmtId="0" fontId="0" fillId="0" borderId="0" xfId="0" quotePrefix="1" applyAlignment="1"/>
    <xf numFmtId="0" fontId="21" fillId="0" borderId="5" xfId="8" applyAlignment="1"/>
    <xf numFmtId="0" fontId="209" fillId="0" borderId="0" xfId="0" applyFont="1" applyAlignment="1"/>
    <xf numFmtId="0" fontId="0" fillId="89" borderId="16" xfId="0" applyFont="1" applyFill="1" applyBorder="1" applyAlignment="1"/>
    <xf numFmtId="0" fontId="0" fillId="0" borderId="16" xfId="0" applyFont="1" applyBorder="1" applyAlignment="1"/>
    <xf numFmtId="0" fontId="0" fillId="0" borderId="0" xfId="0" applyFill="1" applyBorder="1" applyAlignment="1"/>
    <xf numFmtId="9" fontId="0" fillId="0" borderId="0" xfId="28" applyFont="1" applyAlignment="1"/>
    <xf numFmtId="0" fontId="22" fillId="86" borderId="223" xfId="0" applyFont="1" applyFill="1" applyBorder="1"/>
    <xf numFmtId="0" fontId="22" fillId="86" borderId="217" xfId="0" applyFont="1" applyFill="1" applyBorder="1"/>
    <xf numFmtId="0" fontId="22" fillId="86" borderId="224" xfId="0" applyFont="1" applyFill="1" applyBorder="1"/>
    <xf numFmtId="0" fontId="0" fillId="89" borderId="223" xfId="0" applyFont="1" applyFill="1" applyBorder="1"/>
    <xf numFmtId="0" fontId="0" fillId="89" borderId="217" xfId="0" applyFont="1" applyFill="1" applyBorder="1"/>
    <xf numFmtId="0" fontId="0" fillId="89" borderId="224" xfId="0" applyFont="1" applyFill="1" applyBorder="1"/>
    <xf numFmtId="0" fontId="0" fillId="0" borderId="223" xfId="0" applyFont="1" applyBorder="1"/>
    <xf numFmtId="0" fontId="0" fillId="0" borderId="217" xfId="0" applyFont="1" applyBorder="1"/>
    <xf numFmtId="0" fontId="0" fillId="0" borderId="224" xfId="0" applyFont="1" applyBorder="1"/>
    <xf numFmtId="0" fontId="22" fillId="86" borderId="227" xfId="0" applyFont="1" applyFill="1" applyBorder="1"/>
    <xf numFmtId="0" fontId="22" fillId="86" borderId="228" xfId="0" applyFont="1" applyFill="1" applyBorder="1"/>
    <xf numFmtId="0" fontId="0" fillId="83" borderId="228" xfId="0" applyFont="1" applyFill="1" applyBorder="1"/>
    <xf numFmtId="0" fontId="0" fillId="83" borderId="220" xfId="0" applyFont="1" applyFill="1" applyBorder="1" applyAlignment="1"/>
    <xf numFmtId="0" fontId="0" fillId="83" borderId="221" xfId="0" applyFont="1" applyFill="1" applyBorder="1" applyAlignment="1"/>
    <xf numFmtId="0" fontId="22" fillId="79" borderId="229" xfId="0" applyFont="1" applyFill="1" applyBorder="1" applyAlignment="1"/>
    <xf numFmtId="0" fontId="22" fillId="79" borderId="230" xfId="0" applyFont="1" applyFill="1" applyBorder="1" applyAlignment="1"/>
    <xf numFmtId="0" fontId="22" fillId="79" borderId="231" xfId="0" applyFont="1" applyFill="1" applyBorder="1" applyAlignment="1"/>
    <xf numFmtId="0" fontId="0" fillId="90" borderId="229" xfId="0" applyFont="1" applyFill="1" applyBorder="1" applyAlignment="1"/>
    <xf numFmtId="0" fontId="0" fillId="90" borderId="230" xfId="0" applyFont="1" applyFill="1" applyBorder="1" applyAlignment="1"/>
    <xf numFmtId="0" fontId="0" fillId="90" borderId="231" xfId="0" applyFont="1" applyFill="1" applyBorder="1" applyAlignment="1"/>
    <xf numFmtId="0" fontId="0" fillId="0" borderId="229" xfId="0" applyFont="1" applyBorder="1" applyAlignment="1"/>
    <xf numFmtId="0" fontId="0" fillId="0" borderId="230" xfId="0" applyFont="1" applyBorder="1" applyAlignment="1"/>
    <xf numFmtId="0" fontId="0" fillId="0" borderId="231" xfId="0" applyFont="1" applyBorder="1" applyAlignment="1"/>
    <xf numFmtId="0" fontId="0" fillId="0" borderId="218" xfId="0" applyFont="1" applyBorder="1" applyAlignment="1"/>
    <xf numFmtId="0" fontId="0" fillId="0" borderId="219" xfId="0" applyFont="1" applyBorder="1" applyAlignment="1"/>
    <xf numFmtId="0" fontId="0" fillId="0" borderId="216" xfId="0" applyFont="1" applyBorder="1" applyAlignment="1"/>
    <xf numFmtId="0" fontId="229" fillId="0" borderId="0" xfId="0" applyFont="1"/>
    <xf numFmtId="0" fontId="20" fillId="5" borderId="2" xfId="6"/>
    <xf numFmtId="0" fontId="22" fillId="82" borderId="232" xfId="0" applyFont="1" applyFill="1" applyBorder="1"/>
    <xf numFmtId="0" fontId="70" fillId="3" borderId="195" xfId="4" applyFont="1" applyFill="1" applyAlignment="1">
      <alignment horizontal="left" vertical="center"/>
    </xf>
    <xf numFmtId="0" fontId="230" fillId="0" borderId="0" xfId="0" applyFont="1" applyAlignment="1"/>
    <xf numFmtId="0" fontId="233" fillId="3" borderId="0" xfId="0" applyFont="1" applyFill="1" applyAlignment="1">
      <alignment horizontal="left"/>
    </xf>
    <xf numFmtId="0" fontId="135" fillId="0" borderId="0" xfId="0" applyFont="1" applyAlignment="1">
      <alignment horizontal="right"/>
    </xf>
    <xf numFmtId="0" fontId="22" fillId="86" borderId="0" xfId="0" applyFont="1" applyFill="1" applyBorder="1"/>
    <xf numFmtId="0" fontId="186" fillId="3" borderId="0" xfId="0" applyFont="1" applyFill="1" applyAlignment="1">
      <alignment horizontal="left" vertical="center"/>
    </xf>
    <xf numFmtId="0" fontId="187" fillId="51" borderId="0" xfId="2" applyFont="1" applyFill="1" applyAlignment="1">
      <alignment horizontal="left"/>
    </xf>
    <xf numFmtId="0" fontId="189" fillId="81" borderId="0" xfId="0" applyFont="1" applyFill="1" applyAlignment="1">
      <alignment horizontal="left" vertical="center"/>
    </xf>
    <xf numFmtId="0" fontId="233" fillId="3" borderId="0" xfId="0" applyFont="1" applyFill="1" applyAlignment="1">
      <alignment horizontal="left" vertical="center"/>
    </xf>
    <xf numFmtId="0" fontId="233" fillId="3" borderId="0" xfId="0" applyFont="1" applyFill="1" applyAlignment="1">
      <alignment horizontal="center" vertical="center"/>
    </xf>
    <xf numFmtId="0" fontId="213" fillId="0" borderId="0" xfId="0" applyFont="1" applyAlignment="1">
      <alignment horizontal="center" vertical="center"/>
    </xf>
    <xf numFmtId="0" fontId="216" fillId="0" borderId="0" xfId="0" applyFont="1" applyAlignment="1">
      <alignment horizontal="center" vertical="center"/>
    </xf>
    <xf numFmtId="0" fontId="216" fillId="0" borderId="0" xfId="0" applyFont="1" applyAlignment="1">
      <alignment horizontal="left" vertical="center"/>
    </xf>
    <xf numFmtId="0" fontId="218" fillId="0" borderId="0" xfId="0" applyFont="1" applyAlignment="1">
      <alignment horizontal="left" vertical="center"/>
    </xf>
    <xf numFmtId="0" fontId="235" fillId="3" borderId="0" xfId="0" applyFont="1" applyFill="1" applyAlignment="1">
      <alignment horizontal="center" vertical="center"/>
    </xf>
    <xf numFmtId="0" fontId="235" fillId="3" borderId="0" xfId="0" applyFont="1" applyFill="1" applyAlignment="1">
      <alignment horizontal="left" vertical="center"/>
    </xf>
    <xf numFmtId="0" fontId="223" fillId="3" borderId="0" xfId="0" applyFont="1" applyFill="1" applyAlignment="1">
      <alignment horizontal="left" vertical="top"/>
    </xf>
    <xf numFmtId="0" fontId="232" fillId="92" borderId="217" xfId="0" applyFont="1" applyFill="1" applyBorder="1" applyAlignment="1"/>
    <xf numFmtId="0" fontId="232" fillId="3" borderId="217" xfId="0" applyFont="1" applyFill="1" applyBorder="1" applyAlignment="1"/>
    <xf numFmtId="0" fontId="22" fillId="86" borderId="0" xfId="0" applyFont="1" applyFill="1"/>
    <xf numFmtId="0" fontId="12" fillId="3" borderId="0" xfId="0" applyFont="1" applyFill="1"/>
    <xf numFmtId="0" fontId="22" fillId="46" borderId="0" xfId="0" applyFont="1" applyFill="1"/>
    <xf numFmtId="0" fontId="236" fillId="0" borderId="0" xfId="0" applyFont="1" applyAlignment="1">
      <alignment vertical="center"/>
    </xf>
    <xf numFmtId="0" fontId="242" fillId="0" borderId="0" xfId="0" applyFont="1" applyAlignment="1">
      <alignment vertical="center"/>
    </xf>
    <xf numFmtId="0" fontId="25" fillId="0" borderId="16" xfId="10" applyBorder="1"/>
    <xf numFmtId="0" fontId="25" fillId="0" borderId="0" xfId="10"/>
    <xf numFmtId="0" fontId="22" fillId="82" borderId="232" xfId="0" applyFont="1" applyFill="1" applyBorder="1" applyAlignment="1"/>
    <xf numFmtId="0" fontId="150" fillId="0" borderId="18" xfId="10" applyFont="1" applyBorder="1" applyAlignment="1">
      <alignment horizontal="center" vertical="center"/>
    </xf>
    <xf numFmtId="0" fontId="150" fillId="0" borderId="12" xfId="10" applyFont="1" applyBorder="1" applyAlignment="1">
      <alignment horizontal="left"/>
    </xf>
    <xf numFmtId="0" fontId="155" fillId="0" borderId="9" xfId="10" applyFont="1" applyBorder="1" applyAlignment="1">
      <alignment horizontal="center" vertical="center"/>
    </xf>
    <xf numFmtId="0" fontId="155" fillId="0" borderId="84" xfId="10" applyFont="1" applyBorder="1" applyAlignment="1">
      <alignment horizontal="left"/>
    </xf>
    <xf numFmtId="0" fontId="155" fillId="0" borderId="10" xfId="10" applyFont="1" applyBorder="1" applyAlignment="1">
      <alignment horizontal="left"/>
    </xf>
    <xf numFmtId="0" fontId="150" fillId="0" borderId="14" xfId="10" applyFont="1" applyBorder="1" applyAlignment="1">
      <alignment horizontal="center" vertical="center"/>
    </xf>
    <xf numFmtId="0" fontId="150" fillId="0" borderId="83" xfId="10" applyFont="1" applyBorder="1" applyAlignment="1">
      <alignment horizontal="left"/>
    </xf>
    <xf numFmtId="0" fontId="150" fillId="0" borderId="13" xfId="10" applyFont="1" applyBorder="1" applyAlignment="1">
      <alignment horizontal="left"/>
    </xf>
    <xf numFmtId="0" fontId="134" fillId="0" borderId="0" xfId="15" applyFill="1" applyAlignment="1"/>
    <xf numFmtId="0" fontId="12" fillId="3" borderId="0" xfId="0" applyFont="1" applyFill="1" applyAlignment="1">
      <alignment vertical="center"/>
    </xf>
    <xf numFmtId="0" fontId="0" fillId="0" borderId="212" xfId="0" quotePrefix="1" applyFont="1" applyBorder="1" applyAlignment="1"/>
    <xf numFmtId="0" fontId="0" fillId="0" borderId="0" xfId="0" applyFont="1" applyBorder="1" applyAlignment="1"/>
    <xf numFmtId="0" fontId="0" fillId="0" borderId="0" xfId="0" quotePrefix="1" applyFont="1" applyBorder="1" applyAlignment="1"/>
    <xf numFmtId="0" fontId="181" fillId="82" borderId="0" xfId="0" applyFont="1" applyFill="1" applyAlignment="1"/>
    <xf numFmtId="49" fontId="25" fillId="0" borderId="0" xfId="10" applyNumberFormat="1"/>
    <xf numFmtId="49" fontId="25" fillId="0" borderId="16" xfId="10" applyNumberFormat="1" applyBorder="1"/>
    <xf numFmtId="49" fontId="25" fillId="0" borderId="12" xfId="10" applyNumberFormat="1" applyBorder="1"/>
    <xf numFmtId="49" fontId="25" fillId="0" borderId="18" xfId="10" applyNumberFormat="1" applyBorder="1"/>
    <xf numFmtId="49" fontId="149" fillId="0" borderId="0" xfId="10" applyNumberFormat="1" applyFont="1"/>
    <xf numFmtId="49" fontId="149" fillId="52" borderId="16" xfId="10" applyNumberFormat="1" applyFont="1" applyFill="1" applyBorder="1"/>
    <xf numFmtId="49" fontId="149" fillId="0" borderId="16" xfId="10" applyNumberFormat="1" applyFont="1" applyBorder="1"/>
    <xf numFmtId="49" fontId="149" fillId="52" borderId="16" xfId="10" applyNumberFormat="1" applyFont="1" applyFill="1" applyBorder="1" applyAlignment="1">
      <alignment horizontal="center"/>
    </xf>
    <xf numFmtId="49" fontId="149" fillId="52" borderId="12" xfId="10" applyNumberFormat="1" applyFont="1" applyFill="1" applyBorder="1"/>
    <xf numFmtId="0" fontId="135" fillId="0" borderId="0" xfId="0" applyFont="1" applyAlignment="1">
      <alignment vertical="center" readingOrder="1"/>
    </xf>
    <xf numFmtId="0" fontId="0" fillId="0" borderId="0" xfId="0" applyAlignment="1">
      <alignment vertical="center" readingOrder="1"/>
    </xf>
    <xf numFmtId="0" fontId="0" fillId="0" borderId="20" xfId="0" applyBorder="1" applyAlignment="1"/>
    <xf numFmtId="0" fontId="0" fillId="0" borderId="93" xfId="0" applyBorder="1" applyAlignment="1"/>
    <xf numFmtId="0" fontId="0" fillId="0" borderId="0" xfId="0" applyBorder="1" applyAlignment="1"/>
    <xf numFmtId="0" fontId="0" fillId="0" borderId="96" xfId="0" applyBorder="1" applyAlignment="1"/>
    <xf numFmtId="0" fontId="0" fillId="0" borderId="130" xfId="0" applyBorder="1" applyAlignment="1"/>
    <xf numFmtId="0" fontId="0" fillId="0" borderId="123" xfId="0" applyBorder="1" applyAlignment="1"/>
    <xf numFmtId="0" fontId="0" fillId="0" borderId="92" xfId="0" applyBorder="1" applyAlignment="1"/>
    <xf numFmtId="0" fontId="0" fillId="0" borderId="94" xfId="0" applyBorder="1" applyAlignment="1"/>
    <xf numFmtId="0" fontId="0" fillId="0" borderId="102" xfId="0" applyBorder="1" applyAlignment="1"/>
    <xf numFmtId="0" fontId="0" fillId="0" borderId="0" xfId="0" quotePrefix="1" applyAlignment="1">
      <alignment horizontal="right"/>
    </xf>
    <xf numFmtId="49" fontId="25" fillId="0" borderId="0" xfId="10" quotePrefix="1" applyNumberFormat="1"/>
    <xf numFmtId="0" fontId="74" fillId="0" borderId="0" xfId="14"/>
    <xf numFmtId="0" fontId="244" fillId="0" borderId="142" xfId="0" applyFont="1" applyBorder="1"/>
    <xf numFmtId="0" fontId="244" fillId="0" borderId="0" xfId="0" applyFont="1"/>
    <xf numFmtId="0" fontId="244" fillId="0" borderId="92" xfId="0" applyFont="1" applyBorder="1"/>
    <xf numFmtId="0" fontId="244" fillId="0" borderId="20" xfId="0" applyFont="1" applyBorder="1"/>
    <xf numFmtId="0" fontId="244" fillId="0" borderId="93" xfId="0" applyFont="1" applyBorder="1"/>
    <xf numFmtId="0" fontId="244" fillId="0" borderId="146" xfId="0" applyFont="1" applyBorder="1"/>
    <xf numFmtId="0" fontId="244" fillId="0" borderId="102" xfId="0" applyFont="1" applyBorder="1"/>
    <xf numFmtId="0" fontId="244" fillId="0" borderId="130" xfId="0" applyFont="1" applyBorder="1"/>
    <xf numFmtId="0" fontId="244" fillId="0" borderId="123" xfId="0" applyFont="1" applyBorder="1"/>
    <xf numFmtId="0" fontId="246" fillId="95" borderId="238" xfId="29" applyFont="1" applyFill="1" applyBorder="1" applyAlignment="1"/>
    <xf numFmtId="0" fontId="246" fillId="95" borderId="239" xfId="29" applyFont="1" applyFill="1" applyBorder="1" applyAlignment="1"/>
    <xf numFmtId="0" fontId="246" fillId="96" borderId="248" xfId="29" applyFont="1" applyFill="1" applyBorder="1" applyAlignment="1">
      <alignment horizontal="center"/>
    </xf>
    <xf numFmtId="0" fontId="246" fillId="96" borderId="237" xfId="29" applyFont="1" applyFill="1" applyBorder="1" applyAlignment="1">
      <alignment horizontal="center"/>
    </xf>
    <xf numFmtId="0" fontId="246" fillId="95" borderId="249" xfId="29" applyFont="1" applyFill="1" applyBorder="1" applyAlignment="1"/>
    <xf numFmtId="0" fontId="246" fillId="95" borderId="247" xfId="29" applyFont="1" applyFill="1" applyBorder="1" applyAlignment="1"/>
    <xf numFmtId="0" fontId="246" fillId="96" borderId="255" xfId="29" applyFont="1" applyFill="1" applyBorder="1" applyAlignment="1">
      <alignment horizontal="center"/>
    </xf>
    <xf numFmtId="0" fontId="246" fillId="96" borderId="257" xfId="29" applyFont="1" applyFill="1" applyBorder="1" applyAlignment="1">
      <alignment horizontal="center"/>
    </xf>
    <xf numFmtId="0" fontId="246" fillId="94" borderId="38" xfId="29" applyFont="1" applyFill="1" applyBorder="1" applyAlignment="1">
      <alignment horizontal="center"/>
    </xf>
    <xf numFmtId="0" fontId="246" fillId="94" borderId="37" xfId="29" applyFont="1" applyFill="1" applyBorder="1" applyAlignment="1">
      <alignment horizontal="center"/>
    </xf>
    <xf numFmtId="0" fontId="246" fillId="94" borderId="65" xfId="29" applyFont="1" applyFill="1" applyBorder="1" applyAlignment="1">
      <alignment horizontal="center"/>
    </xf>
    <xf numFmtId="0" fontId="246" fillId="96" borderId="259" xfId="29" applyFont="1" applyFill="1" applyBorder="1" applyAlignment="1">
      <alignment horizontal="center"/>
    </xf>
    <xf numFmtId="0" fontId="246" fillId="96" borderId="250" xfId="29" applyFont="1" applyFill="1" applyBorder="1" applyAlignment="1">
      <alignment horizontal="center"/>
    </xf>
    <xf numFmtId="0" fontId="246" fillId="96" borderId="260" xfId="29" applyFont="1" applyFill="1" applyBorder="1" applyAlignment="1">
      <alignment horizontal="center"/>
    </xf>
    <xf numFmtId="0" fontId="246" fillId="96" borderId="79" xfId="29" applyFont="1" applyFill="1" applyBorder="1" applyAlignment="1">
      <alignment horizontal="center"/>
    </xf>
    <xf numFmtId="0" fontId="246" fillId="96" borderId="251" xfId="29" applyFont="1" applyFill="1" applyBorder="1" applyAlignment="1">
      <alignment horizontal="center"/>
    </xf>
    <xf numFmtId="0" fontId="246" fillId="94" borderId="52" xfId="29" applyFont="1" applyFill="1" applyBorder="1" applyAlignment="1">
      <alignment horizontal="center"/>
    </xf>
    <xf numFmtId="0" fontId="246" fillId="94" borderId="32" xfId="29" applyFont="1" applyFill="1" applyBorder="1" applyAlignment="1">
      <alignment horizontal="center"/>
    </xf>
    <xf numFmtId="0" fontId="246" fillId="94" borderId="263" xfId="29" applyFont="1" applyFill="1" applyBorder="1" applyAlignment="1">
      <alignment horizontal="center"/>
    </xf>
    <xf numFmtId="0" fontId="246" fillId="94" borderId="264" xfId="29" applyFont="1" applyFill="1" applyBorder="1" applyAlignment="1">
      <alignment horizontal="center"/>
    </xf>
    <xf numFmtId="0" fontId="246" fillId="94" borderId="265" xfId="29" applyFont="1" applyFill="1" applyBorder="1" applyAlignment="1">
      <alignment horizontal="center"/>
    </xf>
    <xf numFmtId="0" fontId="246" fillId="94" borderId="31" xfId="29" applyFont="1" applyFill="1" applyBorder="1" applyAlignment="1">
      <alignment horizontal="center"/>
    </xf>
    <xf numFmtId="0" fontId="246" fillId="94" borderId="240" xfId="29" applyFont="1" applyFill="1" applyBorder="1" applyAlignment="1">
      <alignment horizontal="center"/>
    </xf>
    <xf numFmtId="0" fontId="246" fillId="95" borderId="242" xfId="29" applyFont="1" applyFill="1" applyBorder="1" applyAlignment="1">
      <alignment horizontal="center"/>
    </xf>
    <xf numFmtId="0" fontId="246" fillId="95" borderId="266" xfId="29" applyFont="1" applyFill="1" applyBorder="1" applyAlignment="1">
      <alignment horizontal="center"/>
    </xf>
    <xf numFmtId="0" fontId="246" fillId="95" borderId="249" xfId="29" applyFont="1" applyFill="1" applyBorder="1" applyAlignment="1">
      <alignment horizontal="center"/>
    </xf>
    <xf numFmtId="0" fontId="246" fillId="95" borderId="267" xfId="29" applyFont="1" applyFill="1" applyBorder="1" applyAlignment="1">
      <alignment horizontal="center"/>
    </xf>
    <xf numFmtId="0" fontId="246" fillId="95" borderId="243" xfId="29" applyFont="1" applyFill="1" applyBorder="1" applyAlignment="1">
      <alignment horizontal="center"/>
    </xf>
    <xf numFmtId="0" fontId="246" fillId="95" borderId="258" xfId="29" applyFont="1" applyFill="1" applyBorder="1" applyAlignment="1">
      <alignment horizontal="center"/>
    </xf>
    <xf numFmtId="0" fontId="246" fillId="95" borderId="268" xfId="29" applyFont="1" applyFill="1" applyBorder="1" applyAlignment="1">
      <alignment horizontal="center"/>
    </xf>
    <xf numFmtId="0" fontId="246" fillId="95" borderId="238" xfId="29" applyFont="1" applyFill="1" applyBorder="1" applyAlignment="1">
      <alignment horizontal="center"/>
    </xf>
    <xf numFmtId="0" fontId="246" fillId="94" borderId="245" xfId="29" applyFont="1" applyFill="1" applyBorder="1" applyAlignment="1">
      <alignment horizontal="center"/>
    </xf>
    <xf numFmtId="0" fontId="246" fillId="96" borderId="256" xfId="29" applyFont="1" applyFill="1" applyBorder="1" applyAlignment="1">
      <alignment horizontal="center"/>
    </xf>
    <xf numFmtId="0" fontId="246" fillId="96" borderId="246" xfId="29" applyFont="1" applyFill="1" applyBorder="1" applyAlignment="1">
      <alignment horizontal="center"/>
    </xf>
    <xf numFmtId="0" fontId="246" fillId="96" borderId="269" xfId="29" applyFont="1" applyFill="1" applyBorder="1" applyAlignment="1">
      <alignment horizontal="center"/>
    </xf>
    <xf numFmtId="0" fontId="246" fillId="94" borderId="242" xfId="29" applyFont="1" applyFill="1" applyBorder="1" applyAlignment="1">
      <alignment horizontal="center"/>
    </xf>
    <xf numFmtId="0" fontId="249" fillId="95" borderId="266" xfId="29" applyFont="1" applyFill="1" applyBorder="1" applyAlignment="1"/>
    <xf numFmtId="0" fontId="249" fillId="95" borderId="249" xfId="29" applyFont="1" applyFill="1" applyBorder="1" applyAlignment="1"/>
    <xf numFmtId="0" fontId="249" fillId="95" borderId="267" xfId="29" applyFont="1" applyFill="1" applyBorder="1" applyAlignment="1"/>
    <xf numFmtId="0" fontId="250" fillId="95" borderId="266" xfId="29" applyFont="1" applyFill="1" applyBorder="1" applyAlignment="1"/>
    <xf numFmtId="0" fontId="251" fillId="95" borderId="249" xfId="29" applyFont="1" applyFill="1" applyBorder="1" applyAlignment="1"/>
    <xf numFmtId="0" fontId="252" fillId="95" borderId="267" xfId="29" applyFont="1" applyFill="1" applyBorder="1" applyAlignment="1"/>
    <xf numFmtId="0" fontId="253" fillId="95" borderId="266" xfId="29" applyFont="1" applyFill="1" applyBorder="1" applyAlignment="1"/>
    <xf numFmtId="0" fontId="253" fillId="95" borderId="249" xfId="29" applyFont="1" applyFill="1" applyBorder="1" applyAlignment="1"/>
    <xf numFmtId="0" fontId="253" fillId="95" borderId="267" xfId="29" applyFont="1" applyFill="1" applyBorder="1" applyAlignment="1"/>
    <xf numFmtId="0" fontId="246" fillId="95" borderId="266" xfId="29" applyFont="1" applyFill="1" applyBorder="1" applyAlignment="1"/>
    <xf numFmtId="0" fontId="246" fillId="95" borderId="267" xfId="29" applyFont="1" applyFill="1" applyBorder="1" applyAlignment="1"/>
    <xf numFmtId="0" fontId="246" fillId="95" borderId="243" xfId="29" applyFont="1" applyFill="1" applyBorder="1" applyAlignment="1"/>
    <xf numFmtId="0" fontId="246" fillId="95" borderId="258" xfId="29" applyFont="1" applyFill="1" applyBorder="1" applyAlignment="1"/>
    <xf numFmtId="0" fontId="246" fillId="95" borderId="268" xfId="29" applyFont="1" applyFill="1" applyBorder="1" applyAlignment="1"/>
    <xf numFmtId="0" fontId="246" fillId="94" borderId="241" xfId="29" applyFont="1" applyFill="1" applyBorder="1" applyAlignment="1">
      <alignment horizontal="center"/>
    </xf>
    <xf numFmtId="0" fontId="249" fillId="95" borderId="252" xfId="29" applyFont="1" applyFill="1" applyBorder="1" applyAlignment="1"/>
    <xf numFmtId="0" fontId="249" fillId="95" borderId="247" xfId="29" applyFont="1" applyFill="1" applyBorder="1" applyAlignment="1"/>
    <xf numFmtId="0" fontId="249" fillId="95" borderId="253" xfId="29" applyFont="1" applyFill="1" applyBorder="1" applyAlignment="1"/>
    <xf numFmtId="0" fontId="250" fillId="95" borderId="252" xfId="29" applyFont="1" applyFill="1" applyBorder="1" applyAlignment="1"/>
    <xf numFmtId="0" fontId="250" fillId="95" borderId="247" xfId="29" applyFont="1" applyFill="1" applyBorder="1" applyAlignment="1"/>
    <xf numFmtId="0" fontId="254" fillId="95" borderId="253" xfId="29" applyFont="1" applyFill="1" applyBorder="1" applyAlignment="1"/>
    <xf numFmtId="0" fontId="253" fillId="95" borderId="252" xfId="29" applyFont="1" applyFill="1" applyBorder="1" applyAlignment="1"/>
    <xf numFmtId="0" fontId="255" fillId="95" borderId="247" xfId="29" applyFont="1" applyFill="1" applyBorder="1" applyAlignment="1"/>
    <xf numFmtId="0" fontId="253" fillId="95" borderId="253" xfId="29" applyFont="1" applyFill="1" applyBorder="1" applyAlignment="1"/>
    <xf numFmtId="0" fontId="246" fillId="95" borderId="252" xfId="29" applyFont="1" applyFill="1" applyBorder="1" applyAlignment="1"/>
    <xf numFmtId="0" fontId="246" fillId="95" borderId="253" xfId="29" applyFont="1" applyFill="1" applyBorder="1" applyAlignment="1"/>
    <xf numFmtId="0" fontId="246" fillId="95" borderId="244" xfId="29" applyFont="1" applyFill="1" applyBorder="1" applyAlignment="1"/>
    <xf numFmtId="0" fontId="246" fillId="95" borderId="254" xfId="29" applyFont="1" applyFill="1" applyBorder="1" applyAlignment="1"/>
    <xf numFmtId="0" fontId="246" fillId="95" borderId="270" xfId="29" applyFont="1" applyFill="1" applyBorder="1" applyAlignment="1"/>
    <xf numFmtId="0" fontId="256" fillId="95" borderId="252" xfId="29" applyFont="1" applyFill="1" applyBorder="1" applyAlignment="1"/>
    <xf numFmtId="0" fontId="257" fillId="95" borderId="247" xfId="29" applyFont="1" applyFill="1" applyBorder="1" applyAlignment="1"/>
    <xf numFmtId="0" fontId="256" fillId="95" borderId="253" xfId="29" applyFont="1" applyFill="1" applyBorder="1" applyAlignment="1"/>
    <xf numFmtId="0" fontId="252" fillId="95" borderId="253" xfId="29" applyFont="1" applyFill="1" applyBorder="1" applyAlignment="1"/>
    <xf numFmtId="0" fontId="253" fillId="95" borderId="247" xfId="29" applyFont="1" applyFill="1" applyBorder="1" applyAlignment="1"/>
    <xf numFmtId="0" fontId="258" fillId="95" borderId="253" xfId="29" applyFont="1" applyFill="1" applyBorder="1" applyAlignment="1"/>
    <xf numFmtId="0" fontId="255" fillId="95" borderId="253" xfId="29" applyFont="1" applyFill="1" applyBorder="1" applyAlignment="1"/>
    <xf numFmtId="0" fontId="255" fillId="95" borderId="252" xfId="29" applyFont="1" applyFill="1" applyBorder="1" applyAlignment="1"/>
    <xf numFmtId="0" fontId="256" fillId="95" borderId="247" xfId="29" applyFont="1" applyFill="1" applyBorder="1" applyAlignment="1"/>
    <xf numFmtId="0" fontId="259" fillId="95" borderId="252" xfId="29" applyFont="1" applyFill="1" applyBorder="1" applyAlignment="1"/>
    <xf numFmtId="0" fontId="259" fillId="95" borderId="247" xfId="29" applyFont="1" applyFill="1" applyBorder="1" applyAlignment="1"/>
    <xf numFmtId="0" fontId="260" fillId="95" borderId="247" xfId="29" applyFont="1" applyFill="1" applyBorder="1" applyAlignment="1"/>
    <xf numFmtId="0" fontId="251" fillId="95" borderId="247" xfId="29" applyFont="1" applyFill="1" applyBorder="1" applyAlignment="1"/>
    <xf numFmtId="0" fontId="252" fillId="95" borderId="247" xfId="29" applyFont="1" applyFill="1" applyBorder="1" applyAlignment="1"/>
    <xf numFmtId="0" fontId="254" fillId="95" borderId="247" xfId="29" applyFont="1" applyFill="1" applyBorder="1" applyAlignment="1"/>
    <xf numFmtId="0" fontId="258" fillId="95" borderId="247" xfId="29" applyFont="1" applyFill="1" applyBorder="1" applyAlignment="1"/>
    <xf numFmtId="16" fontId="0" fillId="0" borderId="0" xfId="0" quotePrefix="1" applyNumberFormat="1"/>
    <xf numFmtId="0" fontId="223" fillId="3" borderId="0" xfId="10" applyFont="1" applyFill="1" applyAlignment="1">
      <alignment horizontal="left" vertical="top"/>
    </xf>
    <xf numFmtId="0" fontId="223" fillId="3" borderId="0" xfId="10" applyFont="1" applyFill="1" applyAlignment="1">
      <alignment horizontal="left" vertical="center"/>
    </xf>
    <xf numFmtId="0" fontId="223" fillId="3" borderId="11" xfId="10" applyFont="1" applyFill="1" applyBorder="1" applyAlignment="1">
      <alignment horizontal="left" vertical="top"/>
    </xf>
    <xf numFmtId="0" fontId="25" fillId="16" borderId="9" xfId="10" applyFill="1" applyBorder="1" applyAlignment="1">
      <alignment horizontal="left" vertical="center"/>
    </xf>
    <xf numFmtId="0" fontId="25" fillId="16" borderId="8" xfId="10" applyFill="1" applyBorder="1" applyAlignment="1">
      <alignment horizontal="left" vertical="center"/>
    </xf>
    <xf numFmtId="0" fontId="25" fillId="16" borderId="10" xfId="10" applyFill="1" applyBorder="1" applyAlignment="1">
      <alignment horizontal="left" vertical="center"/>
    </xf>
    <xf numFmtId="0" fontId="25" fillId="16" borderId="7" xfId="10" applyFill="1" applyBorder="1" applyAlignment="1">
      <alignment horizontal="left" vertical="center"/>
    </xf>
    <xf numFmtId="0" fontId="261" fillId="97" borderId="9" xfId="10" applyFont="1" applyFill="1" applyBorder="1" applyAlignment="1">
      <alignment horizontal="left" vertical="center"/>
    </xf>
    <xf numFmtId="0" fontId="261" fillId="97" borderId="8" xfId="10" applyFont="1" applyFill="1" applyBorder="1" applyAlignment="1">
      <alignment horizontal="left" vertical="center"/>
    </xf>
    <xf numFmtId="0" fontId="261" fillId="97" borderId="10" xfId="10" applyFont="1" applyFill="1" applyBorder="1" applyAlignment="1">
      <alignment horizontal="left" vertical="center"/>
    </xf>
    <xf numFmtId="0" fontId="25" fillId="16" borderId="11" xfId="10" applyFill="1" applyBorder="1" applyAlignment="1">
      <alignment horizontal="left" vertical="center"/>
    </xf>
    <xf numFmtId="0" fontId="261" fillId="99" borderId="14" xfId="10" applyFont="1" applyFill="1" applyBorder="1" applyAlignment="1">
      <alignment horizontal="left" vertical="center"/>
    </xf>
    <xf numFmtId="0" fontId="261" fillId="99" borderId="15" xfId="10" applyFont="1" applyFill="1" applyBorder="1" applyAlignment="1">
      <alignment horizontal="left" vertical="center"/>
    </xf>
    <xf numFmtId="0" fontId="262" fillId="99" borderId="15" xfId="11" applyFont="1" applyFill="1" applyBorder="1" applyAlignment="1">
      <alignment horizontal="left" vertical="center"/>
    </xf>
    <xf numFmtId="0" fontId="263" fillId="99" borderId="13" xfId="1" applyFont="1" applyFill="1" applyBorder="1" applyAlignment="1">
      <alignment horizontal="left" vertical="center"/>
    </xf>
    <xf numFmtId="0" fontId="25" fillId="16" borderId="19" xfId="10" applyFill="1" applyBorder="1" applyAlignment="1">
      <alignment horizontal="left" vertical="center"/>
    </xf>
    <xf numFmtId="0" fontId="25" fillId="16" borderId="20" xfId="10" applyFill="1" applyBorder="1" applyAlignment="1">
      <alignment horizontal="left" vertical="center"/>
    </xf>
    <xf numFmtId="0" fontId="25" fillId="16" borderId="21" xfId="10" applyFill="1" applyBorder="1" applyAlignment="1">
      <alignment horizontal="left" vertical="center"/>
    </xf>
    <xf numFmtId="0" fontId="186" fillId="3" borderId="16" xfId="0" applyFont="1" applyFill="1" applyBorder="1" applyAlignment="1">
      <alignment horizontal="center" vertical="center"/>
    </xf>
    <xf numFmtId="0" fontId="186" fillId="3" borderId="16" xfId="0" applyFont="1" applyFill="1" applyBorder="1" applyAlignment="1">
      <alignment horizontal="left" vertical="center"/>
    </xf>
    <xf numFmtId="0" fontId="7" fillId="0" borderId="16" xfId="14" applyFont="1" applyBorder="1"/>
    <xf numFmtId="0" fontId="7" fillId="0" borderId="16" xfId="14" applyFont="1" applyBorder="1" applyAlignment="1"/>
    <xf numFmtId="0" fontId="7" fillId="0" borderId="16" xfId="14" applyFont="1" applyBorder="1" applyAlignment="1">
      <alignment wrapText="1"/>
    </xf>
    <xf numFmtId="0" fontId="7" fillId="0" borderId="16" xfId="14" applyFont="1" applyFill="1" applyBorder="1"/>
    <xf numFmtId="0" fontId="135" fillId="0" borderId="16" xfId="0" applyFont="1" applyBorder="1"/>
    <xf numFmtId="0" fontId="32" fillId="85" borderId="0" xfId="10" applyFont="1" applyFill="1" applyAlignment="1">
      <alignment horizontal="left" vertical="top"/>
    </xf>
    <xf numFmtId="0" fontId="231" fillId="0" borderId="0" xfId="0" applyFont="1" applyAlignment="1"/>
    <xf numFmtId="0" fontId="196" fillId="4" borderId="16" xfId="26" applyBorder="1" applyAlignment="1">
      <alignment horizontal="right"/>
    </xf>
    <xf numFmtId="0" fontId="22" fillId="82" borderId="179" xfId="0" applyFont="1" applyFill="1" applyBorder="1"/>
    <xf numFmtId="0" fontId="265" fillId="25" borderId="0" xfId="14" applyFont="1" applyFill="1" applyAlignment="1">
      <alignment horizontal="center"/>
    </xf>
    <xf numFmtId="0" fontId="266" fillId="25" borderId="0" xfId="14" applyFont="1" applyFill="1" applyAlignment="1">
      <alignment horizontal="center"/>
    </xf>
    <xf numFmtId="0" fontId="267" fillId="100" borderId="0" xfId="14" applyFont="1" applyFill="1" applyAlignment="1">
      <alignment horizontal="center"/>
    </xf>
    <xf numFmtId="0" fontId="267" fillId="101" borderId="0" xfId="14" applyFont="1" applyFill="1" applyAlignment="1">
      <alignment horizontal="center"/>
    </xf>
    <xf numFmtId="0" fontId="268" fillId="0" borderId="0" xfId="14" applyFont="1" applyAlignment="1">
      <alignment horizontal="left"/>
    </xf>
    <xf numFmtId="3" fontId="267" fillId="101" borderId="0" xfId="14" applyNumberFormat="1" applyFont="1" applyFill="1" applyAlignment="1">
      <alignment horizontal="center"/>
    </xf>
    <xf numFmtId="0" fontId="269" fillId="0" borderId="0" xfId="14" applyFont="1" applyAlignment="1">
      <alignment horizontal="left"/>
    </xf>
    <xf numFmtId="0" fontId="267" fillId="0" borderId="0" xfId="14" applyFont="1" applyAlignment="1">
      <alignment horizontal="center"/>
    </xf>
    <xf numFmtId="0" fontId="267" fillId="102" borderId="0" xfId="14" applyFont="1" applyFill="1" applyAlignment="1">
      <alignment horizontal="center"/>
    </xf>
    <xf numFmtId="0" fontId="267" fillId="103" borderId="0" xfId="14" applyFont="1" applyFill="1" applyAlignment="1">
      <alignment horizontal="center"/>
    </xf>
    <xf numFmtId="3" fontId="267" fillId="103" borderId="0" xfId="14" applyNumberFormat="1" applyFont="1" applyFill="1" applyAlignment="1">
      <alignment horizontal="center"/>
    </xf>
    <xf numFmtId="0" fontId="266" fillId="104" borderId="0" xfId="14" applyFont="1" applyFill="1" applyAlignment="1">
      <alignment horizontal="center"/>
    </xf>
    <xf numFmtId="0" fontId="267" fillId="105" borderId="0" xfId="14" applyFont="1" applyFill="1" applyAlignment="1">
      <alignment horizontal="center"/>
    </xf>
    <xf numFmtId="0" fontId="267" fillId="106" borderId="0" xfId="14" applyFont="1" applyFill="1" applyAlignment="1">
      <alignment horizontal="center"/>
    </xf>
    <xf numFmtId="0" fontId="267" fillId="107" borderId="0" xfId="14" applyFont="1" applyFill="1" applyAlignment="1">
      <alignment horizontal="center"/>
    </xf>
    <xf numFmtId="0" fontId="267" fillId="108" borderId="0" xfId="14" applyFont="1" applyFill="1" applyAlignment="1">
      <alignment horizontal="center"/>
    </xf>
    <xf numFmtId="3" fontId="267" fillId="106" borderId="0" xfId="14" applyNumberFormat="1" applyFont="1" applyFill="1" applyAlignment="1">
      <alignment horizontal="center"/>
    </xf>
    <xf numFmtId="3" fontId="267" fillId="108" borderId="0" xfId="14" applyNumberFormat="1" applyFont="1" applyFill="1" applyAlignment="1">
      <alignment horizontal="center"/>
    </xf>
    <xf numFmtId="0" fontId="266" fillId="104" borderId="0" xfId="14" applyFont="1" applyFill="1" applyAlignment="1">
      <alignment horizontal="center" vertical="center"/>
    </xf>
    <xf numFmtId="0" fontId="267" fillId="0" borderId="0" xfId="14" applyFont="1" applyAlignment="1">
      <alignment vertical="center"/>
    </xf>
    <xf numFmtId="0" fontId="266" fillId="107" borderId="0" xfId="14" applyFont="1" applyFill="1" applyAlignment="1">
      <alignment horizontal="center" vertical="center"/>
    </xf>
    <xf numFmtId="0" fontId="267" fillId="111" borderId="0" xfId="14" applyFont="1" applyFill="1" applyAlignment="1">
      <alignment horizontal="center" vertical="center"/>
    </xf>
    <xf numFmtId="0" fontId="267" fillId="100" borderId="0" xfId="14" applyFont="1" applyFill="1" applyAlignment="1">
      <alignment horizontal="center" vertical="center"/>
    </xf>
    <xf numFmtId="0" fontId="266" fillId="26" borderId="0" xfId="14" applyFont="1" applyFill="1" applyAlignment="1">
      <alignment horizontal="center" vertical="center"/>
    </xf>
    <xf numFmtId="1" fontId="266" fillId="112" borderId="0" xfId="14" applyNumberFormat="1" applyFont="1" applyFill="1" applyAlignment="1">
      <alignment horizontal="center" vertical="center"/>
    </xf>
    <xf numFmtId="3" fontId="267" fillId="105" borderId="0" xfId="14" applyNumberFormat="1" applyFont="1" applyFill="1" applyAlignment="1">
      <alignment horizontal="center" vertical="center"/>
    </xf>
    <xf numFmtId="0" fontId="266" fillId="108" borderId="0" xfId="14" applyFont="1" applyFill="1" applyAlignment="1">
      <alignment horizontal="center" vertical="center"/>
    </xf>
    <xf numFmtId="0" fontId="267" fillId="101" borderId="0" xfId="14" applyFont="1" applyFill="1" applyAlignment="1">
      <alignment horizontal="center" vertical="center"/>
    </xf>
    <xf numFmtId="0" fontId="267" fillId="103" borderId="0" xfId="14" applyFont="1" applyFill="1" applyAlignment="1">
      <alignment horizontal="center" vertical="center"/>
    </xf>
    <xf numFmtId="0" fontId="267" fillId="113" borderId="0" xfId="14" applyFont="1" applyFill="1" applyAlignment="1">
      <alignment horizontal="center" vertical="center"/>
    </xf>
    <xf numFmtId="0" fontId="267" fillId="110" borderId="0" xfId="14" applyFont="1" applyFill="1" applyAlignment="1">
      <alignment horizontal="center" vertical="center"/>
    </xf>
    <xf numFmtId="0" fontId="267" fillId="106" borderId="0" xfId="14" applyFont="1" applyFill="1" applyAlignment="1">
      <alignment horizontal="center" vertical="center"/>
    </xf>
    <xf numFmtId="3" fontId="267" fillId="114" borderId="0" xfId="14" applyNumberFormat="1" applyFont="1" applyFill="1" applyAlignment="1">
      <alignment horizontal="center" vertical="center"/>
    </xf>
    <xf numFmtId="3" fontId="267" fillId="109" borderId="0" xfId="14" applyNumberFormat="1" applyFont="1" applyFill="1" applyAlignment="1">
      <alignment horizontal="center" vertical="center"/>
    </xf>
    <xf numFmtId="3" fontId="267" fillId="102" borderId="0" xfId="14" applyNumberFormat="1" applyFont="1" applyFill="1" applyAlignment="1">
      <alignment horizontal="center" vertical="center"/>
    </xf>
    <xf numFmtId="3" fontId="267" fillId="115" borderId="0" xfId="14" applyNumberFormat="1" applyFont="1" applyFill="1" applyAlignment="1">
      <alignment horizontal="center" vertical="center"/>
    </xf>
    <xf numFmtId="49" fontId="266" fillId="112" borderId="0" xfId="14" applyNumberFormat="1" applyFont="1" applyFill="1" applyAlignment="1">
      <alignment horizontal="center" vertical="center"/>
    </xf>
    <xf numFmtId="3" fontId="267" fillId="111" borderId="0" xfId="14" applyNumberFormat="1" applyFont="1" applyFill="1" applyAlignment="1">
      <alignment horizontal="center" vertical="center"/>
    </xf>
    <xf numFmtId="49" fontId="267" fillId="106" borderId="0" xfId="14" applyNumberFormat="1" applyFont="1" applyFill="1" applyAlignment="1">
      <alignment horizontal="center" vertical="center"/>
    </xf>
    <xf numFmtId="0" fontId="270" fillId="104" borderId="0" xfId="14" applyFont="1" applyFill="1" applyAlignment="1">
      <alignment horizontal="center"/>
    </xf>
    <xf numFmtId="0" fontId="266" fillId="114" borderId="0" xfId="14" applyFont="1" applyFill="1" applyAlignment="1">
      <alignment horizontal="center" vertical="center"/>
    </xf>
    <xf numFmtId="0" fontId="267" fillId="102" borderId="0" xfId="14" applyFont="1" applyFill="1" applyAlignment="1">
      <alignment horizontal="center" vertical="center"/>
    </xf>
    <xf numFmtId="0" fontId="267" fillId="0" borderId="0" xfId="14" applyFont="1" applyAlignment="1">
      <alignment vertical="center" wrapText="1"/>
    </xf>
    <xf numFmtId="0" fontId="267" fillId="116" borderId="0" xfId="14" applyFont="1" applyFill="1" applyAlignment="1">
      <alignment horizontal="center" wrapText="1"/>
    </xf>
    <xf numFmtId="0" fontId="269" fillId="26" borderId="0" xfId="14" applyFont="1" applyFill="1" applyAlignment="1">
      <alignment horizontal="center" vertical="center" wrapText="1"/>
    </xf>
    <xf numFmtId="0" fontId="267" fillId="23" borderId="0" xfId="14" applyFont="1" applyFill="1" applyAlignment="1">
      <alignment horizontal="center" wrapText="1"/>
    </xf>
    <xf numFmtId="173" fontId="267" fillId="117" borderId="0" xfId="14" applyNumberFormat="1" applyFont="1" applyFill="1" applyAlignment="1">
      <alignment horizontal="center" wrapText="1"/>
    </xf>
    <xf numFmtId="0" fontId="267" fillId="112" borderId="0" xfId="14" applyFont="1" applyFill="1" applyAlignment="1">
      <alignment wrapText="1"/>
    </xf>
    <xf numFmtId="0" fontId="267" fillId="23" borderId="0" xfId="14" applyFont="1" applyFill="1" applyAlignment="1">
      <alignment wrapText="1"/>
    </xf>
    <xf numFmtId="173" fontId="267" fillId="108" borderId="0" xfId="14" applyNumberFormat="1" applyFont="1" applyFill="1" applyAlignment="1">
      <alignment horizontal="center" wrapText="1"/>
    </xf>
    <xf numFmtId="0" fontId="267" fillId="118" borderId="0" xfId="14" applyFont="1" applyFill="1" applyAlignment="1">
      <alignment wrapText="1"/>
    </xf>
    <xf numFmtId="0" fontId="267" fillId="23" borderId="0" xfId="14" applyFont="1" applyFill="1"/>
    <xf numFmtId="0" fontId="267" fillId="112" borderId="0" xfId="14" applyFont="1" applyFill="1"/>
    <xf numFmtId="9" fontId="267" fillId="121" borderId="0" xfId="14" applyNumberFormat="1" applyFont="1" applyFill="1" applyAlignment="1">
      <alignment horizontal="center" vertical="center"/>
    </xf>
    <xf numFmtId="0" fontId="267" fillId="121" borderId="0" xfId="14" applyFont="1" applyFill="1" applyAlignment="1">
      <alignment horizontal="center"/>
    </xf>
    <xf numFmtId="0" fontId="266" fillId="0" borderId="0" xfId="14" applyFont="1" applyAlignment="1">
      <alignment horizontal="left" vertical="center"/>
    </xf>
    <xf numFmtId="0" fontId="266" fillId="0" borderId="0" xfId="14" applyFont="1" applyAlignment="1">
      <alignment horizontal="center" vertical="center"/>
    </xf>
    <xf numFmtId="0" fontId="266" fillId="23" borderId="0" xfId="14" applyFont="1" applyFill="1" applyAlignment="1">
      <alignment horizontal="left" vertical="center"/>
    </xf>
    <xf numFmtId="0" fontId="266" fillId="23" borderId="0" xfId="14" applyFont="1" applyFill="1" applyAlignment="1">
      <alignment horizontal="center" vertical="center"/>
    </xf>
    <xf numFmtId="2" fontId="267" fillId="113" borderId="0" xfId="14" applyNumberFormat="1" applyFont="1" applyFill="1" applyAlignment="1">
      <alignment horizontal="center"/>
    </xf>
    <xf numFmtId="9" fontId="267" fillId="122" borderId="0" xfId="14" applyNumberFormat="1" applyFont="1" applyFill="1" applyAlignment="1">
      <alignment horizontal="center" vertical="center"/>
    </xf>
    <xf numFmtId="0" fontId="267" fillId="122" borderId="0" xfId="14" applyFont="1" applyFill="1" applyAlignment="1">
      <alignment horizontal="center"/>
    </xf>
    <xf numFmtId="0" fontId="266" fillId="25" borderId="0" xfId="14" applyFont="1" applyFill="1" applyAlignment="1">
      <alignment horizontal="center" vertical="center"/>
    </xf>
    <xf numFmtId="3" fontId="267" fillId="112" borderId="0" xfId="14" applyNumberFormat="1" applyFont="1" applyFill="1" applyAlignment="1">
      <alignment horizontal="center"/>
    </xf>
    <xf numFmtId="9" fontId="267" fillId="0" borderId="0" xfId="14" applyNumberFormat="1" applyFont="1" applyAlignment="1">
      <alignment horizontal="center" vertical="top"/>
    </xf>
    <xf numFmtId="3" fontId="267" fillId="117" borderId="0" xfId="14" applyNumberFormat="1" applyFont="1" applyFill="1" applyAlignment="1">
      <alignment horizontal="center"/>
    </xf>
    <xf numFmtId="0" fontId="267" fillId="121" borderId="0" xfId="14" applyFont="1" applyFill="1" applyAlignment="1">
      <alignment horizontal="center" vertical="center"/>
    </xf>
    <xf numFmtId="9" fontId="267" fillId="123" borderId="0" xfId="14" applyNumberFormat="1" applyFont="1" applyFill="1" applyAlignment="1">
      <alignment horizontal="right"/>
    </xf>
    <xf numFmtId="2" fontId="267" fillId="110" borderId="0" xfId="14" applyNumberFormat="1" applyFont="1" applyFill="1" applyAlignment="1">
      <alignment horizontal="center"/>
    </xf>
    <xf numFmtId="2" fontId="267" fillId="124" borderId="0" xfId="14" applyNumberFormat="1" applyFont="1" applyFill="1" applyAlignment="1">
      <alignment horizontal="right"/>
    </xf>
    <xf numFmtId="0" fontId="267" fillId="124" borderId="0" xfId="14" applyFont="1" applyFill="1" applyAlignment="1">
      <alignment horizontal="center"/>
    </xf>
    <xf numFmtId="174" fontId="267" fillId="121" borderId="0" xfId="14" applyNumberFormat="1" applyFont="1" applyFill="1" applyAlignment="1">
      <alignment horizontal="center"/>
    </xf>
    <xf numFmtId="174" fontId="267" fillId="122" borderId="0" xfId="14" applyNumberFormat="1" applyFont="1" applyFill="1" applyAlignment="1">
      <alignment horizontal="center"/>
    </xf>
    <xf numFmtId="0" fontId="267" fillId="0" borderId="0" xfId="14" applyFont="1" applyAlignment="1">
      <alignment horizontal="center" vertical="top"/>
    </xf>
    <xf numFmtId="0" fontId="267" fillId="23" borderId="0" xfId="14" applyFont="1" applyFill="1" applyAlignment="1">
      <alignment horizontal="center"/>
    </xf>
    <xf numFmtId="3" fontId="267" fillId="121" borderId="0" xfId="14" applyNumberFormat="1" applyFont="1" applyFill="1" applyAlignment="1">
      <alignment horizontal="center" vertical="center"/>
    </xf>
    <xf numFmtId="3" fontId="267" fillId="122" borderId="0" xfId="14" applyNumberFormat="1" applyFont="1" applyFill="1" applyAlignment="1">
      <alignment horizontal="center" vertical="center"/>
    </xf>
    <xf numFmtId="9" fontId="267" fillId="124" borderId="0" xfId="14" applyNumberFormat="1" applyFont="1" applyFill="1" applyAlignment="1">
      <alignment horizontal="center"/>
    </xf>
    <xf numFmtId="49" fontId="273" fillId="23" borderId="0" xfId="14" applyNumberFormat="1" applyFont="1" applyFill="1" applyAlignment="1">
      <alignment horizontal="center"/>
    </xf>
    <xf numFmtId="0" fontId="266" fillId="0" borderId="0" xfId="14" applyFont="1" applyAlignment="1">
      <alignment vertical="center"/>
    </xf>
    <xf numFmtId="0" fontId="267" fillId="23" borderId="0" xfId="14" applyFont="1" applyFill="1" applyAlignment="1">
      <alignment vertical="center" wrapText="1"/>
    </xf>
    <xf numFmtId="0" fontId="266" fillId="113" borderId="0" xfId="14" applyFont="1" applyFill="1" applyAlignment="1">
      <alignment horizontal="center" vertical="center"/>
    </xf>
    <xf numFmtId="0" fontId="266" fillId="110" borderId="0" xfId="14" applyFont="1" applyFill="1" applyAlignment="1">
      <alignment horizontal="center" vertical="center"/>
    </xf>
    <xf numFmtId="0" fontId="266" fillId="101" borderId="0" xfId="14" applyFont="1" applyFill="1" applyAlignment="1">
      <alignment horizontal="center" vertical="center"/>
    </xf>
    <xf numFmtId="0" fontId="267" fillId="104" borderId="0" xfId="14" applyFont="1" applyFill="1" applyAlignment="1">
      <alignment horizontal="center" vertical="center"/>
    </xf>
    <xf numFmtId="0" fontId="74" fillId="108" borderId="0" xfId="14" applyFill="1" applyAlignment="1">
      <alignment horizontal="center" vertical="center"/>
    </xf>
    <xf numFmtId="0" fontId="74" fillId="113" borderId="0" xfId="14" applyFill="1" applyAlignment="1">
      <alignment horizontal="center" vertical="center"/>
    </xf>
    <xf numFmtId="0" fontId="74" fillId="110" borderId="0" xfId="14" applyFill="1" applyAlignment="1">
      <alignment horizontal="center" vertical="center"/>
    </xf>
    <xf numFmtId="0" fontId="74" fillId="101" borderId="0" xfId="14" applyFill="1" applyAlignment="1">
      <alignment horizontal="center" vertical="center"/>
    </xf>
    <xf numFmtId="0" fontId="267" fillId="0" borderId="0" xfId="14" applyFont="1" applyAlignment="1">
      <alignment horizontal="center" vertical="center"/>
    </xf>
    <xf numFmtId="0" fontId="74" fillId="0" borderId="0" xfId="14" applyAlignment="1">
      <alignment horizontal="center" vertical="center"/>
    </xf>
    <xf numFmtId="0" fontId="274" fillId="25" borderId="0" xfId="14" applyFont="1" applyFill="1" applyAlignment="1">
      <alignment vertical="center"/>
    </xf>
    <xf numFmtId="0" fontId="275" fillId="0" borderId="0" xfId="14" applyFont="1" applyAlignment="1">
      <alignment vertical="center"/>
    </xf>
    <xf numFmtId="0" fontId="74" fillId="121" borderId="0" xfId="14" applyFill="1" applyAlignment="1">
      <alignment horizontal="center" vertical="center"/>
    </xf>
    <xf numFmtId="0" fontId="276" fillId="86" borderId="187" xfId="14" applyFont="1" applyFill="1" applyBorder="1" applyAlignment="1">
      <alignment vertical="center"/>
    </xf>
    <xf numFmtId="0" fontId="267" fillId="120" borderId="0" xfId="14" applyFont="1" applyFill="1" applyAlignment="1">
      <alignment horizontal="center" vertical="center"/>
    </xf>
    <xf numFmtId="0" fontId="267" fillId="124" borderId="0" xfId="14" applyFont="1" applyFill="1" applyAlignment="1">
      <alignment vertical="center"/>
    </xf>
    <xf numFmtId="9" fontId="267" fillId="113" borderId="0" xfId="14" applyNumberFormat="1" applyFont="1" applyFill="1" applyAlignment="1">
      <alignment horizontal="center" vertical="center"/>
    </xf>
    <xf numFmtId="2" fontId="267" fillId="113" borderId="0" xfId="14" applyNumberFormat="1" applyFont="1" applyFill="1" applyAlignment="1">
      <alignment horizontal="center" vertical="center"/>
    </xf>
    <xf numFmtId="1" fontId="267" fillId="103" borderId="0" xfId="14" applyNumberFormat="1" applyFont="1" applyFill="1" applyAlignment="1">
      <alignment horizontal="center" vertical="center"/>
    </xf>
    <xf numFmtId="9" fontId="267" fillId="110" borderId="0" xfId="14" applyNumberFormat="1" applyFont="1" applyFill="1" applyAlignment="1">
      <alignment horizontal="center" vertical="center"/>
    </xf>
    <xf numFmtId="0" fontId="266" fillId="104" borderId="0" xfId="14" applyFont="1" applyFill="1" applyAlignment="1">
      <alignment vertical="center"/>
    </xf>
    <xf numFmtId="0" fontId="267" fillId="33" borderId="0" xfId="14" applyFont="1" applyFill="1" applyAlignment="1">
      <alignment vertical="center"/>
    </xf>
    <xf numFmtId="2" fontId="267" fillId="110" borderId="0" xfId="14" applyNumberFormat="1" applyFont="1" applyFill="1" applyAlignment="1">
      <alignment horizontal="center" vertical="center"/>
    </xf>
    <xf numFmtId="0" fontId="77" fillId="112" borderId="0" xfId="14" applyFont="1" applyFill="1" applyAlignment="1">
      <alignment horizontal="center" vertical="center"/>
    </xf>
    <xf numFmtId="0" fontId="0" fillId="0" borderId="0" xfId="0" applyAlignment="1">
      <alignment horizontal="left"/>
    </xf>
    <xf numFmtId="0" fontId="0" fillId="125" borderId="210" xfId="0" applyFill="1" applyBorder="1"/>
    <xf numFmtId="0" fontId="277" fillId="0" borderId="0" xfId="0" applyFont="1" applyAlignment="1">
      <alignment vertical="center"/>
    </xf>
    <xf numFmtId="49" fontId="149" fillId="52" borderId="84" xfId="10" applyNumberFormat="1" applyFont="1" applyFill="1" applyBorder="1" applyAlignment="1">
      <alignment horizontal="center"/>
    </xf>
    <xf numFmtId="49" fontId="149" fillId="0" borderId="84" xfId="10" applyNumberFormat="1" applyFont="1" applyBorder="1"/>
    <xf numFmtId="49" fontId="149" fillId="0" borderId="84" xfId="10" applyNumberFormat="1" applyFont="1" applyBorder="1" applyAlignment="1">
      <alignment horizontal="center"/>
    </xf>
    <xf numFmtId="49" fontId="149" fillId="0" borderId="10" xfId="10" applyNumberFormat="1" applyFont="1" applyBorder="1" applyAlignment="1">
      <alignment horizontal="center"/>
    </xf>
    <xf numFmtId="49" fontId="149" fillId="52" borderId="9" xfId="10" applyNumberFormat="1" applyFont="1" applyFill="1" applyBorder="1" applyAlignment="1">
      <alignment horizontal="center"/>
    </xf>
    <xf numFmtId="49" fontId="149" fillId="52" borderId="10" xfId="10" applyNumberFormat="1" applyFont="1" applyFill="1" applyBorder="1"/>
    <xf numFmtId="49" fontId="149" fillId="52" borderId="84" xfId="10" applyNumberFormat="1" applyFont="1" applyFill="1" applyBorder="1"/>
    <xf numFmtId="49" fontId="149" fillId="52" borderId="10" xfId="10" applyNumberFormat="1" applyFont="1" applyFill="1" applyBorder="1" applyAlignment="1">
      <alignment horizontal="center"/>
    </xf>
    <xf numFmtId="49" fontId="25" fillId="0" borderId="14" xfId="10" applyNumberFormat="1" applyBorder="1"/>
    <xf numFmtId="49" fontId="25" fillId="0" borderId="83" xfId="10" applyNumberFormat="1" applyBorder="1"/>
    <xf numFmtId="49" fontId="25" fillId="0" borderId="13" xfId="10" applyNumberFormat="1" applyBorder="1"/>
    <xf numFmtId="2" fontId="25" fillId="0" borderId="0" xfId="10" applyNumberFormat="1"/>
    <xf numFmtId="49" fontId="25" fillId="0" borderId="0" xfId="10" applyNumberFormat="1" applyFill="1"/>
    <xf numFmtId="2" fontId="25" fillId="0" borderId="0" xfId="10" applyNumberFormat="1" applyFill="1"/>
    <xf numFmtId="0" fontId="25" fillId="0" borderId="0" xfId="10" applyNumberFormat="1"/>
    <xf numFmtId="0" fontId="267" fillId="0" borderId="0" xfId="0" applyFont="1" applyAlignment="1">
      <alignment vertical="center"/>
    </xf>
    <xf numFmtId="0" fontId="278" fillId="0" borderId="0" xfId="0" applyFont="1" applyAlignment="1">
      <alignment vertical="center"/>
    </xf>
    <xf numFmtId="0" fontId="280" fillId="3" borderId="0" xfId="0" applyFont="1" applyFill="1" applyAlignment="1">
      <alignment horizontal="right"/>
    </xf>
    <xf numFmtId="0" fontId="234" fillId="0" borderId="0" xfId="0" applyFont="1" applyAlignment="1"/>
    <xf numFmtId="0" fontId="281" fillId="0" borderId="0" xfId="0" applyFont="1"/>
    <xf numFmtId="0" fontId="4" fillId="97" borderId="8" xfId="1" applyFill="1" applyBorder="1" applyAlignment="1">
      <alignment vertical="center"/>
    </xf>
    <xf numFmtId="0" fontId="283" fillId="0" borderId="0" xfId="0" applyFont="1"/>
    <xf numFmtId="0" fontId="284" fillId="0" borderId="0" xfId="0" applyFont="1"/>
    <xf numFmtId="0" fontId="4" fillId="0" borderId="0" xfId="1" quotePrefix="1"/>
    <xf numFmtId="0" fontId="286" fillId="84" borderId="0" xfId="0" applyFont="1" applyFill="1" applyAlignment="1">
      <alignment vertical="center"/>
    </xf>
    <xf numFmtId="0" fontId="285" fillId="84" borderId="0" xfId="0" applyFont="1" applyFill="1" applyAlignment="1">
      <alignment vertical="center"/>
    </xf>
    <xf numFmtId="0" fontId="285" fillId="126" borderId="0" xfId="0" applyFont="1" applyFill="1" applyAlignment="1">
      <alignment vertical="center"/>
    </xf>
    <xf numFmtId="0" fontId="285" fillId="126" borderId="0" xfId="0" applyFont="1" applyFill="1" applyAlignment="1">
      <alignment horizontal="right" vertical="center"/>
    </xf>
    <xf numFmtId="0" fontId="285" fillId="127" borderId="0" xfId="0" applyFont="1" applyFill="1" applyAlignment="1">
      <alignment vertical="center"/>
    </xf>
    <xf numFmtId="0" fontId="285" fillId="127" borderId="0" xfId="0" applyFont="1" applyFill="1" applyAlignment="1">
      <alignment horizontal="right" vertical="center"/>
    </xf>
    <xf numFmtId="0" fontId="286" fillId="128" borderId="0" xfId="0" applyFont="1" applyFill="1" applyAlignment="1">
      <alignment vertical="center"/>
    </xf>
    <xf numFmtId="16" fontId="285" fillId="127" borderId="0" xfId="0" applyNumberFormat="1" applyFont="1" applyFill="1" applyAlignment="1">
      <alignment horizontal="right" vertical="center"/>
    </xf>
    <xf numFmtId="0" fontId="285" fillId="75" borderId="0" xfId="0" applyFont="1" applyFill="1" applyAlignment="1">
      <alignment vertical="center"/>
    </xf>
    <xf numFmtId="0" fontId="285" fillId="0" borderId="0" xfId="0" applyFont="1" applyAlignment="1">
      <alignment vertical="center"/>
    </xf>
    <xf numFmtId="0" fontId="287" fillId="75" borderId="0" xfId="0" applyFont="1" applyFill="1" applyAlignment="1">
      <alignment vertical="center"/>
    </xf>
    <xf numFmtId="0" fontId="288" fillId="25" borderId="0" xfId="0" applyFont="1" applyFill="1" applyAlignment="1">
      <alignment horizontal="center"/>
    </xf>
    <xf numFmtId="0" fontId="267" fillId="25" borderId="0" xfId="0" applyFont="1" applyFill="1"/>
    <xf numFmtId="0" fontId="290" fillId="25" borderId="0" xfId="0" applyFont="1" applyFill="1"/>
    <xf numFmtId="0" fontId="291" fillId="114" borderId="274" xfId="0" applyFont="1" applyFill="1" applyBorder="1" applyAlignment="1">
      <alignment horizontal="center"/>
    </xf>
    <xf numFmtId="0" fontId="291" fillId="114" borderId="275" xfId="0" applyFont="1" applyFill="1" applyBorder="1" applyAlignment="1">
      <alignment horizontal="center"/>
    </xf>
    <xf numFmtId="0" fontId="288" fillId="25" borderId="0" xfId="0" applyFont="1" applyFill="1" applyAlignment="1">
      <alignment horizontal="center" vertical="center"/>
    </xf>
    <xf numFmtId="0" fontId="290" fillId="23" borderId="276" xfId="0" applyFont="1" applyFill="1" applyBorder="1" applyAlignment="1">
      <alignment vertical="top" wrapText="1"/>
    </xf>
    <xf numFmtId="0" fontId="288" fillId="101" borderId="274" xfId="0" applyFont="1" applyFill="1" applyBorder="1" applyAlignment="1">
      <alignment horizontal="center"/>
    </xf>
    <xf numFmtId="0" fontId="288" fillId="101" borderId="275" xfId="0" applyFont="1" applyFill="1" applyBorder="1" applyAlignment="1">
      <alignment horizontal="center"/>
    </xf>
    <xf numFmtId="0" fontId="291" fillId="129" borderId="274" xfId="0" applyFont="1" applyFill="1" applyBorder="1" applyAlignment="1">
      <alignment horizontal="center"/>
    </xf>
    <xf numFmtId="0" fontId="291" fillId="25" borderId="0" xfId="0" applyFont="1" applyFill="1" applyAlignment="1">
      <alignment horizontal="center"/>
    </xf>
    <xf numFmtId="0" fontId="291" fillId="129" borderId="275" xfId="0" applyFont="1" applyFill="1" applyBorder="1" applyAlignment="1">
      <alignment horizontal="center"/>
    </xf>
    <xf numFmtId="0" fontId="290" fillId="25" borderId="0" xfId="0" applyFont="1" applyFill="1" applyAlignment="1">
      <alignment vertical="top" wrapText="1"/>
    </xf>
    <xf numFmtId="0" fontId="0" fillId="0" borderId="0" xfId="0" applyAlignment="1">
      <alignment vertical="top"/>
    </xf>
    <xf numFmtId="0" fontId="0" fillId="78" borderId="16" xfId="0" applyFill="1" applyBorder="1" applyAlignment="1">
      <alignment horizontal="left" vertical="top"/>
    </xf>
    <xf numFmtId="0" fontId="292" fillId="13" borderId="8" xfId="0" applyFont="1" applyFill="1" applyBorder="1" applyAlignment="1">
      <alignment vertical="center"/>
    </xf>
    <xf numFmtId="0" fontId="181" fillId="13" borderId="84" xfId="0" applyFont="1" applyFill="1" applyBorder="1" applyAlignment="1">
      <alignment horizontal="left" vertical="top"/>
    </xf>
    <xf numFmtId="0" fontId="181" fillId="13" borderId="16" xfId="0" applyFont="1" applyFill="1" applyBorder="1" applyAlignment="1">
      <alignment horizontal="left" vertical="top"/>
    </xf>
    <xf numFmtId="0" fontId="0" fillId="0" borderId="16" xfId="0" applyBorder="1" applyAlignment="1">
      <alignment horizontal="left" vertical="top"/>
    </xf>
    <xf numFmtId="0" fontId="294" fillId="130" borderId="16" xfId="0" applyFont="1" applyFill="1" applyBorder="1" applyAlignment="1">
      <alignment horizontal="left" vertical="center"/>
    </xf>
    <xf numFmtId="0" fontId="224" fillId="0" borderId="0" xfId="0" applyFont="1" applyAlignment="1">
      <alignment horizontal="center" vertical="center"/>
    </xf>
    <xf numFmtId="0" fontId="295" fillId="0" borderId="0" xfId="0" applyFont="1" applyAlignment="1">
      <alignment vertical="center"/>
    </xf>
    <xf numFmtId="0" fontId="112" fillId="0" borderId="94" xfId="0" applyFont="1" applyBorder="1" applyAlignment="1">
      <alignment vertical="center"/>
    </xf>
    <xf numFmtId="0" fontId="0" fillId="0" borderId="8" xfId="0" applyBorder="1" applyAlignment="1">
      <alignment vertical="top"/>
    </xf>
    <xf numFmtId="0" fontId="296" fillId="0" borderId="16" xfId="0" applyFont="1" applyBorder="1" applyAlignment="1">
      <alignment horizontal="left" vertical="top"/>
    </xf>
    <xf numFmtId="0" fontId="296" fillId="0" borderId="12" xfId="0" applyFont="1" applyBorder="1" applyAlignment="1">
      <alignment horizontal="left" vertical="top"/>
    </xf>
    <xf numFmtId="0" fontId="297" fillId="130" borderId="9" xfId="0" applyFont="1" applyFill="1" applyBorder="1" applyAlignment="1">
      <alignment horizontal="left" vertical="center"/>
    </xf>
    <xf numFmtId="0" fontId="297" fillId="130" borderId="84" xfId="0" applyFont="1" applyFill="1" applyBorder="1" applyAlignment="1">
      <alignment horizontal="left" vertical="center"/>
    </xf>
    <xf numFmtId="0" fontId="297" fillId="130" borderId="10" xfId="0" applyFont="1" applyFill="1" applyBorder="1" applyAlignment="1">
      <alignment horizontal="left" vertical="center"/>
    </xf>
    <xf numFmtId="0" fontId="224" fillId="0" borderId="0" xfId="0" applyFont="1" applyAlignment="1">
      <alignment horizontal="left" vertical="center"/>
    </xf>
    <xf numFmtId="0" fontId="248" fillId="0" borderId="0" xfId="0" applyFont="1" applyAlignment="1">
      <alignment horizontal="center" vertical="center"/>
    </xf>
    <xf numFmtId="16" fontId="246" fillId="0" borderId="20" xfId="0" applyNumberFormat="1" applyFont="1" applyBorder="1" applyAlignment="1">
      <alignment vertical="center"/>
    </xf>
    <xf numFmtId="2" fontId="246" fillId="0" borderId="20" xfId="0" applyNumberFormat="1" applyFont="1" applyBorder="1" applyAlignment="1">
      <alignment vertical="center"/>
    </xf>
    <xf numFmtId="0" fontId="246" fillId="0" borderId="92" xfId="0" applyFont="1" applyBorder="1" applyAlignment="1">
      <alignment vertical="center"/>
    </xf>
    <xf numFmtId="0" fontId="298" fillId="0" borderId="16" xfId="0" applyFont="1" applyBorder="1" applyAlignment="1">
      <alignment horizontal="left" vertical="top"/>
    </xf>
    <xf numFmtId="0" fontId="298" fillId="0" borderId="12" xfId="0" applyFont="1" applyBorder="1" applyAlignment="1">
      <alignment horizontal="left" vertical="top"/>
    </xf>
    <xf numFmtId="0" fontId="298" fillId="75" borderId="18" xfId="0" applyFont="1" applyFill="1" applyBorder="1" applyAlignment="1">
      <alignment horizontal="left" vertical="center"/>
    </xf>
    <xf numFmtId="0" fontId="298" fillId="75" borderId="16" xfId="0" applyFont="1" applyFill="1" applyBorder="1" applyAlignment="1">
      <alignment horizontal="left" vertical="center"/>
    </xf>
    <xf numFmtId="0" fontId="298" fillId="75" borderId="12" xfId="0" applyFont="1" applyFill="1" applyBorder="1" applyAlignment="1">
      <alignment horizontal="left" vertical="center"/>
    </xf>
    <xf numFmtId="0" fontId="296" fillId="130" borderId="16" xfId="0" applyFont="1" applyFill="1" applyBorder="1" applyAlignment="1">
      <alignment horizontal="left" vertical="top"/>
    </xf>
    <xf numFmtId="0" fontId="296" fillId="130" borderId="9" xfId="0" applyFont="1" applyFill="1" applyBorder="1" applyAlignment="1">
      <alignment horizontal="left" vertical="top"/>
    </xf>
    <xf numFmtId="0" fontId="296" fillId="130" borderId="10" xfId="0" applyFont="1" applyFill="1" applyBorder="1" applyAlignment="1">
      <alignment horizontal="left" vertical="top"/>
    </xf>
    <xf numFmtId="0" fontId="248" fillId="0" borderId="0" xfId="0" applyFont="1" applyAlignment="1">
      <alignment vertical="center"/>
    </xf>
    <xf numFmtId="0" fontId="298" fillId="75" borderId="16" xfId="0" applyFont="1" applyFill="1" applyBorder="1" applyAlignment="1">
      <alignment vertical="center"/>
    </xf>
    <xf numFmtId="0" fontId="298" fillId="75" borderId="16" xfId="0" applyFont="1" applyFill="1" applyBorder="1" applyAlignment="1">
      <alignment horizontal="left" vertical="top"/>
    </xf>
    <xf numFmtId="0" fontId="246" fillId="0" borderId="20" xfId="0" applyFont="1" applyBorder="1" applyAlignment="1">
      <alignment vertical="center"/>
    </xf>
    <xf numFmtId="0" fontId="298" fillId="75" borderId="14" xfId="0" applyFont="1" applyFill="1" applyBorder="1" applyAlignment="1">
      <alignment horizontal="left" vertical="center"/>
    </xf>
    <xf numFmtId="0" fontId="298" fillId="75" borderId="83" xfId="0" applyFont="1" applyFill="1" applyBorder="1" applyAlignment="1">
      <alignment horizontal="left" vertical="center"/>
    </xf>
    <xf numFmtId="0" fontId="298" fillId="75" borderId="13" xfId="0" applyFont="1" applyFill="1" applyBorder="1" applyAlignment="1">
      <alignment horizontal="left" vertical="center"/>
    </xf>
    <xf numFmtId="0" fontId="298" fillId="0" borderId="83" xfId="0" applyFont="1" applyBorder="1" applyAlignment="1">
      <alignment horizontal="left" vertical="top"/>
    </xf>
    <xf numFmtId="0" fontId="298" fillId="0" borderId="13" xfId="0" applyFont="1" applyBorder="1" applyAlignment="1">
      <alignment horizontal="left" vertical="top"/>
    </xf>
    <xf numFmtId="16" fontId="298" fillId="75" borderId="16" xfId="0" applyNumberFormat="1" applyFont="1" applyFill="1" applyBorder="1" applyAlignment="1">
      <alignment horizontal="left" vertical="top"/>
    </xf>
    <xf numFmtId="17" fontId="0" fillId="0" borderId="0" xfId="0" quotePrefix="1" applyNumberFormat="1"/>
    <xf numFmtId="2" fontId="0" fillId="0" borderId="0" xfId="0" applyNumberFormat="1"/>
    <xf numFmtId="0" fontId="299" fillId="0" borderId="0" xfId="0" applyFont="1" applyAlignment="1">
      <alignment vertical="center"/>
    </xf>
    <xf numFmtId="0" fontId="300" fillId="0" borderId="0" xfId="0" applyFont="1"/>
    <xf numFmtId="0" fontId="33" fillId="0" borderId="278" xfId="0" applyFont="1" applyBorder="1"/>
    <xf numFmtId="0" fontId="0" fillId="83" borderId="277" xfId="0" applyFill="1" applyBorder="1"/>
    <xf numFmtId="0" fontId="0" fillId="0" borderId="277" xfId="0" applyBorder="1"/>
    <xf numFmtId="0" fontId="303" fillId="0" borderId="0" xfId="0" applyFont="1"/>
    <xf numFmtId="0" fontId="306" fillId="0" borderId="0" xfId="0" applyFont="1" applyAlignment="1">
      <alignment vertical="center"/>
    </xf>
    <xf numFmtId="0" fontId="307" fillId="0" borderId="0" xfId="0" applyFont="1" applyAlignment="1">
      <alignment vertical="center"/>
    </xf>
    <xf numFmtId="0" fontId="306" fillId="0" borderId="16" xfId="0" applyFont="1" applyBorder="1" applyAlignment="1">
      <alignment vertical="center" wrapText="1"/>
    </xf>
    <xf numFmtId="0" fontId="303" fillId="0" borderId="16" xfId="0" applyFont="1" applyBorder="1"/>
    <xf numFmtId="0" fontId="212" fillId="0" borderId="0" xfId="0" applyFont="1" applyAlignment="1">
      <alignment vertical="center"/>
    </xf>
    <xf numFmtId="0" fontId="0" fillId="0" borderId="0" xfId="0" applyFont="1" applyAlignment="1">
      <alignment vertical="center"/>
    </xf>
    <xf numFmtId="0" fontId="0" fillId="0" borderId="0" xfId="0"/>
    <xf numFmtId="0" fontId="74" fillId="0" borderId="0" xfId="14"/>
    <xf numFmtId="0" fontId="267" fillId="0" borderId="0" xfId="14" applyFont="1" applyAlignment="1">
      <alignment vertical="center"/>
    </xf>
    <xf numFmtId="49" fontId="273" fillId="23" borderId="0" xfId="14" applyNumberFormat="1" applyFont="1" applyFill="1" applyAlignment="1">
      <alignment horizontal="center" vertical="center"/>
    </xf>
    <xf numFmtId="0" fontId="0" fillId="0" borderId="0" xfId="0" applyAlignment="1">
      <alignment horizontal="center"/>
    </xf>
    <xf numFmtId="0" fontId="268" fillId="0" borderId="0" xfId="14" applyFont="1" applyAlignment="1">
      <alignment vertical="center"/>
    </xf>
    <xf numFmtId="0" fontId="62" fillId="7" borderId="12" xfId="9" applyFont="1" applyBorder="1" applyAlignment="1">
      <alignment horizontal="right"/>
    </xf>
    <xf numFmtId="0" fontId="134" fillId="0" borderId="0" xfId="15" applyAlignment="1"/>
    <xf numFmtId="0" fontId="266" fillId="119" borderId="0" xfId="14" applyFont="1" applyFill="1" applyAlignment="1">
      <alignment horizontal="center"/>
    </xf>
    <xf numFmtId="0" fontId="285" fillId="0" borderId="0" xfId="0" applyFont="1"/>
    <xf numFmtId="0" fontId="303" fillId="0" borderId="0" xfId="0" applyFont="1" applyAlignment="1"/>
    <xf numFmtId="0" fontId="306" fillId="0" borderId="16" xfId="0" applyFont="1" applyBorder="1" applyAlignment="1">
      <alignment vertical="center"/>
    </xf>
    <xf numFmtId="0" fontId="303" fillId="0" borderId="16" xfId="0" applyFont="1" applyBorder="1" applyAlignment="1"/>
    <xf numFmtId="0" fontId="306" fillId="0" borderId="83" xfId="0" applyFont="1" applyBorder="1" applyAlignment="1">
      <alignment vertical="center"/>
    </xf>
    <xf numFmtId="0" fontId="303" fillId="0" borderId="83" xfId="0" applyFont="1" applyBorder="1" applyAlignment="1"/>
    <xf numFmtId="0" fontId="311" fillId="0" borderId="0" xfId="0" applyFont="1" applyAlignment="1">
      <alignment vertical="center"/>
    </xf>
    <xf numFmtId="0" fontId="312" fillId="0" borderId="0" xfId="0" applyFont="1"/>
    <xf numFmtId="0" fontId="313" fillId="0" borderId="0" xfId="0" applyFont="1" applyAlignment="1">
      <alignment vertical="center"/>
    </xf>
    <xf numFmtId="0" fontId="181" fillId="0" borderId="0" xfId="0" applyFont="1"/>
    <xf numFmtId="0" fontId="312" fillId="86" borderId="0" xfId="0" applyFont="1" applyFill="1"/>
    <xf numFmtId="0" fontId="316" fillId="0" borderId="204" xfId="27"/>
    <xf numFmtId="0" fontId="303" fillId="0" borderId="0" xfId="0" applyFont="1" applyBorder="1"/>
    <xf numFmtId="0" fontId="306" fillId="0" borderId="0" xfId="0" applyFont="1" applyBorder="1" applyAlignment="1">
      <alignment vertical="center" wrapText="1"/>
    </xf>
    <xf numFmtId="0" fontId="303" fillId="0" borderId="214" xfId="0" applyFont="1" applyBorder="1"/>
    <xf numFmtId="0" fontId="316" fillId="0" borderId="204" xfId="27" applyAlignment="1">
      <alignment vertical="center" wrapText="1"/>
    </xf>
    <xf numFmtId="0" fontId="303" fillId="0" borderId="0" xfId="0" applyFont="1" applyAlignment="1">
      <alignment wrapText="1"/>
    </xf>
    <xf numFmtId="0" fontId="12" fillId="3" borderId="0" xfId="0" applyFont="1" applyFill="1" applyAlignment="1">
      <alignment horizontal="left" vertical="center"/>
    </xf>
    <xf numFmtId="0" fontId="243" fillId="0" borderId="0" xfId="0" applyFont="1" applyAlignment="1"/>
    <xf numFmtId="0" fontId="24" fillId="0" borderId="0" xfId="0" applyFont="1" applyAlignment="1"/>
    <xf numFmtId="0" fontId="211" fillId="0" borderId="0" xfId="0" applyFont="1" applyAlignment="1"/>
    <xf numFmtId="0" fontId="219" fillId="79" borderId="0" xfId="0" applyFont="1" applyFill="1" applyAlignment="1">
      <alignment horizontal="left" vertical="top"/>
    </xf>
    <xf numFmtId="0" fontId="218" fillId="0" borderId="0" xfId="0" applyFont="1" applyFill="1" applyAlignment="1">
      <alignment horizontal="left" vertical="top"/>
    </xf>
    <xf numFmtId="0" fontId="212" fillId="0" borderId="0" xfId="0" applyFont="1" applyAlignment="1"/>
    <xf numFmtId="0" fontId="135" fillId="75" borderId="87" xfId="0" applyFont="1" applyFill="1" applyBorder="1" applyAlignment="1">
      <alignment vertical="center" wrapText="1"/>
    </xf>
    <xf numFmtId="0" fontId="70" fillId="3" borderId="196" xfId="4" applyFont="1" applyFill="1" applyBorder="1" applyAlignment="1">
      <alignment vertical="center"/>
    </xf>
    <xf numFmtId="0" fontId="0" fillId="6" borderId="4" xfId="7" applyFont="1" applyAlignment="1"/>
    <xf numFmtId="0" fontId="0" fillId="85" borderId="0" xfId="0" applyFill="1" applyAlignment="1"/>
    <xf numFmtId="0" fontId="74" fillId="0" borderId="0" xfId="14" applyAlignment="1"/>
    <xf numFmtId="0" fontId="150" fillId="0" borderId="0" xfId="10" applyFont="1" applyAlignment="1"/>
    <xf numFmtId="0" fontId="271" fillId="0" borderId="0" xfId="14" applyFont="1" applyAlignment="1"/>
    <xf numFmtId="0" fontId="272" fillId="104" borderId="0" xfId="14" applyFont="1" applyFill="1" applyAlignment="1"/>
    <xf numFmtId="0" fontId="266" fillId="119" borderId="0" xfId="14" applyFont="1" applyFill="1" applyAlignment="1"/>
    <xf numFmtId="0" fontId="267" fillId="120" borderId="0" xfId="14" applyFont="1" applyFill="1" applyAlignment="1"/>
    <xf numFmtId="0" fontId="267" fillId="0" borderId="0" xfId="14" applyFont="1" applyAlignment="1"/>
    <xf numFmtId="49" fontId="0" fillId="0" borderId="0" xfId="0" applyNumberFormat="1" applyAlignment="1"/>
    <xf numFmtId="0" fontId="99" fillId="0" borderId="186" xfId="14" applyFont="1" applyBorder="1" applyAlignment="1"/>
    <xf numFmtId="0" fontId="56" fillId="6" borderId="4" xfId="7" applyFont="1" applyAlignment="1"/>
    <xf numFmtId="2" fontId="135" fillId="0" borderId="0" xfId="14" applyNumberFormat="1" applyFont="1" applyAlignment="1"/>
    <xf numFmtId="1" fontId="135" fillId="0" borderId="0" xfId="14" applyNumberFormat="1" applyFont="1" applyAlignment="1"/>
    <xf numFmtId="0" fontId="267" fillId="23" borderId="0" xfId="14" applyFont="1" applyFill="1" applyAlignment="1"/>
    <xf numFmtId="0" fontId="7" fillId="0" borderId="185" xfId="14" applyFont="1" applyBorder="1" applyAlignment="1"/>
    <xf numFmtId="2" fontId="267" fillId="0" borderId="0" xfId="14" applyNumberFormat="1" applyFont="1" applyAlignment="1"/>
    <xf numFmtId="0" fontId="7" fillId="0" borderId="184" xfId="14" applyFont="1" applyBorder="1" applyAlignment="1"/>
    <xf numFmtId="0" fontId="52" fillId="0" borderId="0" xfId="12" applyFont="1" applyAlignment="1"/>
    <xf numFmtId="0" fontId="99" fillId="0" borderId="0" xfId="14" applyFont="1" applyBorder="1" applyAlignment="1"/>
    <xf numFmtId="0" fontId="7" fillId="0" borderId="0" xfId="14" applyFont="1" applyBorder="1" applyAlignment="1"/>
    <xf numFmtId="0" fontId="170" fillId="0" borderId="0" xfId="14" applyFont="1" applyAlignment="1"/>
    <xf numFmtId="0" fontId="7" fillId="0" borderId="0" xfId="14" applyFont="1" applyAlignment="1"/>
    <xf numFmtId="0" fontId="135" fillId="0" borderId="0" xfId="14" applyFont="1" applyAlignment="1"/>
    <xf numFmtId="2" fontId="267" fillId="124" borderId="0" xfId="14" applyNumberFormat="1" applyFont="1" applyFill="1" applyAlignment="1"/>
    <xf numFmtId="169" fontId="135" fillId="0" borderId="0" xfId="14" applyNumberFormat="1" applyFont="1" applyAlignment="1"/>
    <xf numFmtId="9" fontId="267" fillId="123" borderId="0" xfId="14" applyNumberFormat="1" applyFont="1" applyFill="1" applyAlignment="1"/>
    <xf numFmtId="0" fontId="155" fillId="0" borderId="0" xfId="10" applyFont="1" applyAlignment="1"/>
    <xf numFmtId="0" fontId="50" fillId="0" borderId="24" xfId="0" applyFont="1" applyBorder="1" applyAlignment="1"/>
    <xf numFmtId="16" fontId="0" fillId="0" borderId="0" xfId="0" quotePrefix="1" applyNumberFormat="1" applyAlignment="1"/>
    <xf numFmtId="16" fontId="0" fillId="0" borderId="0" xfId="0" applyNumberFormat="1" applyAlignment="1"/>
    <xf numFmtId="9" fontId="267" fillId="0" borderId="0" xfId="14" applyNumberFormat="1" applyFont="1" applyAlignment="1"/>
    <xf numFmtId="17" fontId="0" fillId="0" borderId="0" xfId="0" applyNumberFormat="1" applyAlignment="1"/>
    <xf numFmtId="0" fontId="150" fillId="50" borderId="0" xfId="10" applyFont="1" applyFill="1" applyAlignment="1"/>
    <xf numFmtId="0" fontId="227" fillId="0" borderId="0" xfId="14" applyFont="1" applyAlignment="1"/>
    <xf numFmtId="0" fontId="170" fillId="0" borderId="0" xfId="14" applyFont="1" applyBorder="1" applyAlignment="1"/>
    <xf numFmtId="0" fontId="48" fillId="0" borderId="0" xfId="0" applyFont="1" applyAlignment="1">
      <alignment horizontal="left" vertical="center"/>
    </xf>
    <xf numFmtId="0" fontId="49" fillId="0" borderId="0" xfId="0" applyFont="1" applyAlignment="1">
      <alignment horizontal="left" vertical="center"/>
    </xf>
    <xf numFmtId="0" fontId="22" fillId="86" borderId="271" xfId="0" applyFont="1" applyFill="1" applyBorder="1" applyAlignment="1"/>
    <xf numFmtId="0" fontId="181" fillId="93" borderId="0" xfId="0" applyFont="1" applyFill="1" applyAlignment="1"/>
    <xf numFmtId="0" fontId="181" fillId="86" borderId="0" xfId="0" applyFont="1" applyFill="1" applyAlignment="1"/>
    <xf numFmtId="0" fontId="19" fillId="5" borderId="27" xfId="5" applyFont="1" applyFill="1" applyBorder="1" applyAlignment="1"/>
    <xf numFmtId="0" fontId="19" fillId="5" borderId="26" xfId="5" applyBorder="1" applyAlignment="1"/>
    <xf numFmtId="0" fontId="181" fillId="93" borderId="214" xfId="0" applyFont="1" applyFill="1" applyBorder="1" applyAlignment="1"/>
    <xf numFmtId="0" fontId="19" fillId="5" borderId="26" xfId="5" applyFont="1" applyFill="1" applyBorder="1" applyAlignment="1"/>
    <xf numFmtId="0" fontId="181" fillId="88" borderId="0" xfId="0" applyFont="1" applyFill="1" applyAlignment="1"/>
    <xf numFmtId="0" fontId="0" fillId="8" borderId="0" xfId="0" applyFill="1" applyAlignment="1"/>
    <xf numFmtId="1" fontId="135" fillId="0" borderId="0" xfId="15" applyNumberFormat="1" applyFont="1" applyAlignment="1"/>
    <xf numFmtId="169" fontId="135" fillId="0" borderId="0" xfId="15" applyNumberFormat="1" applyFont="1" applyAlignment="1"/>
    <xf numFmtId="0" fontId="237" fillId="75" borderId="0" xfId="0" applyFont="1" applyFill="1" applyAlignment="1">
      <alignment vertical="center"/>
    </xf>
    <xf numFmtId="0" fontId="238" fillId="75" borderId="0" xfId="0" applyFont="1" applyFill="1" applyAlignment="1">
      <alignment vertical="center"/>
    </xf>
    <xf numFmtId="0" fontId="239" fillId="75" borderId="0" xfId="0" applyFont="1" applyFill="1" applyAlignment="1">
      <alignment vertical="center"/>
    </xf>
    <xf numFmtId="0" fontId="241" fillId="75" borderId="0" xfId="0" applyFont="1" applyFill="1" applyAlignment="1">
      <alignment vertical="center"/>
    </xf>
    <xf numFmtId="16" fontId="239" fillId="75" borderId="0" xfId="0" applyNumberFormat="1" applyFont="1" applyFill="1" applyAlignment="1">
      <alignment vertical="center"/>
    </xf>
    <xf numFmtId="17" fontId="239" fillId="75" borderId="0" xfId="0" applyNumberFormat="1" applyFont="1" applyFill="1" applyAlignment="1">
      <alignment vertical="center"/>
    </xf>
    <xf numFmtId="0" fontId="134" fillId="6" borderId="4" xfId="7" applyFont="1" applyAlignment="1">
      <alignment horizontal="right"/>
    </xf>
    <xf numFmtId="0" fontId="21" fillId="0" borderId="5" xfId="8"/>
    <xf numFmtId="0" fontId="21" fillId="0" borderId="279" xfId="8" applyFont="1" applyBorder="1" applyAlignment="1"/>
    <xf numFmtId="0" fontId="21" fillId="89" borderId="279" xfId="8" applyFont="1" applyFill="1" applyBorder="1" applyAlignment="1"/>
    <xf numFmtId="0" fontId="0" fillId="85" borderId="0" xfId="0" applyFill="1"/>
    <xf numFmtId="0" fontId="326" fillId="0" borderId="0" xfId="0" applyFont="1" applyAlignment="1">
      <alignment vertical="center"/>
    </xf>
    <xf numFmtId="0" fontId="4" fillId="0" borderId="0" xfId="1" applyAlignment="1">
      <alignment vertical="center"/>
    </xf>
    <xf numFmtId="0" fontId="0" fillId="0" borderId="0" xfId="0"/>
    <xf numFmtId="49" fontId="0" fillId="0" borderId="0" xfId="0" applyNumberFormat="1"/>
    <xf numFmtId="16" fontId="0" fillId="0" borderId="0" xfId="0" applyNumberFormat="1"/>
    <xf numFmtId="0" fontId="0" fillId="0" borderId="0" xfId="0" applyBorder="1"/>
    <xf numFmtId="9" fontId="0" fillId="0" borderId="0" xfId="0" applyNumberFormat="1"/>
    <xf numFmtId="0" fontId="215" fillId="82" borderId="201" xfId="0" applyFont="1" applyFill="1" applyBorder="1"/>
    <xf numFmtId="0" fontId="215" fillId="82" borderId="202" xfId="0" applyFont="1" applyFill="1" applyBorder="1"/>
    <xf numFmtId="0" fontId="0" fillId="83" borderId="0" xfId="0" applyFill="1" applyBorder="1"/>
    <xf numFmtId="0" fontId="0" fillId="0" borderId="0" xfId="0"/>
    <xf numFmtId="0" fontId="0" fillId="0" borderId="0" xfId="0" applyAlignment="1"/>
    <xf numFmtId="49" fontId="0" fillId="0" borderId="0" xfId="0" applyNumberFormat="1"/>
    <xf numFmtId="0" fontId="0" fillId="0" borderId="0" xfId="0" applyAlignment="1">
      <alignment wrapText="1"/>
    </xf>
    <xf numFmtId="0" fontId="293" fillId="8" borderId="0" xfId="0" applyFont="1" applyFill="1"/>
    <xf numFmtId="9" fontId="0" fillId="0" borderId="0" xfId="0" applyNumberFormat="1"/>
    <xf numFmtId="0" fontId="24" fillId="0" borderId="0" xfId="0" applyFont="1" applyAlignment="1">
      <alignment vertical="center"/>
    </xf>
    <xf numFmtId="0" fontId="195" fillId="0" borderId="0" xfId="0" applyFont="1" applyAlignment="1">
      <alignment vertical="center"/>
    </xf>
    <xf numFmtId="0" fontId="330" fillId="75" borderId="0" xfId="0" applyFont="1" applyFill="1" applyAlignment="1">
      <alignment vertical="center" wrapText="1"/>
    </xf>
    <xf numFmtId="0" fontId="329" fillId="75" borderId="0" xfId="0" applyFont="1" applyFill="1" applyAlignment="1">
      <alignment vertical="center" wrapText="1"/>
    </xf>
    <xf numFmtId="17" fontId="195" fillId="0" borderId="0" xfId="0" applyNumberFormat="1" applyFont="1" applyAlignment="1">
      <alignment vertical="center"/>
    </xf>
    <xf numFmtId="10" fontId="0" fillId="0" borderId="0" xfId="0" applyNumberFormat="1"/>
    <xf numFmtId="0" fontId="331" fillId="8" borderId="0" xfId="0" applyFont="1" applyFill="1" applyAlignment="1">
      <alignment vertical="center"/>
    </xf>
    <xf numFmtId="0" fontId="0" fillId="70" borderId="0" xfId="0" applyFill="1"/>
    <xf numFmtId="0" fontId="215" fillId="82" borderId="201" xfId="0" applyFont="1" applyFill="1" applyBorder="1"/>
    <xf numFmtId="0" fontId="215" fillId="82" borderId="202" xfId="0" applyFont="1" applyFill="1" applyBorder="1"/>
    <xf numFmtId="49" fontId="0" fillId="0" borderId="0" xfId="0" quotePrefix="1" applyNumberFormat="1"/>
    <xf numFmtId="0" fontId="4" fillId="0" borderId="0" xfId="1"/>
    <xf numFmtId="0" fontId="336" fillId="0" borderId="0" xfId="0" applyFont="1"/>
    <xf numFmtId="0" fontId="0" fillId="0" borderId="201" xfId="0" applyBorder="1"/>
    <xf numFmtId="0" fontId="0" fillId="83" borderId="201" xfId="0" applyFill="1" applyBorder="1"/>
    <xf numFmtId="0" fontId="0" fillId="0" borderId="179" xfId="0" applyBorder="1"/>
    <xf numFmtId="0" fontId="0" fillId="0" borderId="176" xfId="0" applyBorder="1"/>
    <xf numFmtId="0" fontId="0" fillId="0" borderId="0" xfId="0"/>
    <xf numFmtId="0" fontId="337" fillId="0" borderId="0" xfId="0" applyFont="1"/>
    <xf numFmtId="0" fontId="338" fillId="0" borderId="0" xfId="0" applyFont="1"/>
    <xf numFmtId="0" fontId="339" fillId="0" borderId="0" xfId="0" applyFont="1"/>
    <xf numFmtId="0" fontId="340" fillId="0" borderId="0" xfId="0" applyFont="1"/>
    <xf numFmtId="0" fontId="289" fillId="25" borderId="0" xfId="0" applyFont="1" applyFill="1" applyAlignment="1">
      <alignment horizontal="center"/>
    </xf>
    <xf numFmtId="0" fontId="0" fillId="0" borderId="0" xfId="0"/>
    <xf numFmtId="0" fontId="267" fillId="0" borderId="0" xfId="14" applyFont="1" applyAlignment="1">
      <alignment vertical="center"/>
    </xf>
    <xf numFmtId="0" fontId="74" fillId="0" borderId="0" xfId="14"/>
    <xf numFmtId="0" fontId="74" fillId="121" borderId="0" xfId="14" applyFill="1" applyAlignment="1">
      <alignment horizontal="center" vertical="center"/>
    </xf>
    <xf numFmtId="0" fontId="265" fillId="26" borderId="0" xfId="14" applyFont="1" applyFill="1" applyAlignment="1">
      <alignment horizontal="center" vertical="center"/>
    </xf>
    <xf numFmtId="0" fontId="274" fillId="25" borderId="0" xfId="14" applyFont="1" applyFill="1" applyAlignment="1">
      <alignment vertical="center"/>
    </xf>
    <xf numFmtId="0" fontId="267" fillId="23" borderId="0" xfId="14" applyFont="1" applyFill="1" applyAlignment="1">
      <alignment vertical="top" wrapText="1"/>
    </xf>
    <xf numFmtId="0" fontId="266" fillId="104" borderId="0" xfId="14" applyFont="1" applyFill="1" applyAlignment="1">
      <alignment horizontal="center" vertical="center"/>
    </xf>
    <xf numFmtId="0" fontId="267" fillId="0" borderId="0" xfId="14" applyFont="1" applyAlignment="1">
      <alignment horizontal="left" vertical="center" wrapText="1"/>
    </xf>
    <xf numFmtId="0" fontId="275" fillId="0" borderId="0" xfId="14" applyFont="1" applyAlignment="1">
      <alignment vertical="center"/>
    </xf>
    <xf numFmtId="0" fontId="267" fillId="113" borderId="0" xfId="14" applyFont="1" applyFill="1" applyAlignment="1">
      <alignment horizontal="center" vertical="center"/>
    </xf>
    <xf numFmtId="0" fontId="267" fillId="110" borderId="0" xfId="14" applyFont="1" applyFill="1" applyAlignment="1">
      <alignment horizontal="center" vertical="center"/>
    </xf>
    <xf numFmtId="0" fontId="266" fillId="104" borderId="0" xfId="14" applyFont="1" applyFill="1" applyAlignment="1">
      <alignment vertical="center"/>
    </xf>
    <xf numFmtId="0" fontId="77" fillId="0" borderId="0" xfId="14" applyFont="1" applyAlignment="1">
      <alignment vertical="center"/>
    </xf>
    <xf numFmtId="0" fontId="266" fillId="0" borderId="0" xfId="14" applyFont="1" applyAlignment="1">
      <alignment vertical="center"/>
    </xf>
    <xf numFmtId="0" fontId="266" fillId="41" borderId="0" xfId="14" applyFont="1" applyFill="1" applyAlignment="1">
      <alignment horizontal="center" vertical="center"/>
    </xf>
    <xf numFmtId="1" fontId="266" fillId="41" borderId="0" xfId="14" applyNumberFormat="1" applyFont="1" applyFill="1" applyAlignment="1">
      <alignment horizontal="center" vertical="center"/>
    </xf>
    <xf numFmtId="49" fontId="273" fillId="23" borderId="0" xfId="14" applyNumberFormat="1" applyFont="1" applyFill="1" applyAlignment="1">
      <alignment horizontal="center" vertical="center"/>
    </xf>
    <xf numFmtId="0" fontId="267" fillId="41" borderId="0" xfId="14" applyFont="1" applyFill="1"/>
    <xf numFmtId="0" fontId="74" fillId="117" borderId="0" xfId="14" applyFill="1" applyAlignment="1">
      <alignment horizontal="left" vertical="center" wrapText="1"/>
    </xf>
    <xf numFmtId="0" fontId="77" fillId="112" borderId="0" xfId="14" applyFont="1" applyFill="1" applyAlignment="1">
      <alignment horizontal="center" vertical="center"/>
    </xf>
    <xf numFmtId="0" fontId="267" fillId="117" borderId="0" xfId="14" applyFont="1" applyFill="1" applyAlignment="1">
      <alignment horizontal="left" vertical="center" wrapText="1"/>
    </xf>
    <xf numFmtId="0" fontId="265" fillId="104" borderId="0" xfId="14" applyFont="1" applyFill="1" applyAlignment="1">
      <alignment horizontal="center" vertical="center" wrapText="1"/>
    </xf>
    <xf numFmtId="0" fontId="266" fillId="104" borderId="0" xfId="14" applyFont="1" applyFill="1" applyAlignment="1">
      <alignment horizontal="center" vertical="center" wrapText="1"/>
    </xf>
    <xf numFmtId="0" fontId="268" fillId="0" borderId="0" xfId="14" applyFont="1" applyAlignment="1">
      <alignment vertical="center"/>
    </xf>
    <xf numFmtId="0" fontId="270" fillId="104" borderId="0" xfId="14" applyFont="1" applyFill="1" applyAlignment="1">
      <alignment horizontal="center"/>
    </xf>
    <xf numFmtId="0" fontId="267" fillId="104" borderId="0" xfId="14" applyFont="1" applyFill="1" applyAlignment="1">
      <alignment horizontal="center" vertical="center"/>
    </xf>
    <xf numFmtId="0" fontId="267" fillId="0" borderId="0" xfId="14" applyFont="1" applyAlignment="1">
      <alignment vertical="center" wrapText="1"/>
    </xf>
    <xf numFmtId="0" fontId="74" fillId="101" borderId="0" xfId="14" applyFill="1" applyAlignment="1">
      <alignment horizontal="center"/>
    </xf>
    <xf numFmtId="0" fontId="266" fillId="114" borderId="0" xfId="14" applyFont="1" applyFill="1" applyAlignment="1">
      <alignment horizontal="center" vertical="center"/>
    </xf>
    <xf numFmtId="0" fontId="267" fillId="102" borderId="0" xfId="14" applyFont="1" applyFill="1" applyAlignment="1">
      <alignment horizontal="center" vertical="center"/>
    </xf>
    <xf numFmtId="3" fontId="74" fillId="101" borderId="0" xfId="14" applyNumberFormat="1" applyFill="1" applyAlignment="1">
      <alignment horizontal="center"/>
    </xf>
    <xf numFmtId="0" fontId="267" fillId="0" borderId="0" xfId="14" applyFont="1"/>
    <xf numFmtId="0" fontId="266" fillId="0" borderId="0" xfId="14" applyFont="1"/>
    <xf numFmtId="0" fontId="268" fillId="0" borderId="0" xfId="14" applyFont="1"/>
    <xf numFmtId="0" fontId="268" fillId="0" borderId="0" xfId="14" applyFont="1" applyAlignment="1">
      <alignment horizontal="center"/>
    </xf>
    <xf numFmtId="0" fontId="246" fillId="94" borderId="261" xfId="29" applyFont="1" applyFill="1" applyBorder="1" applyAlignment="1">
      <alignment horizontal="center"/>
    </xf>
    <xf numFmtId="0" fontId="248" fillId="0" borderId="49" xfId="29" applyFont="1" applyBorder="1"/>
    <xf numFmtId="0" fontId="248" fillId="0" borderId="262" xfId="29" applyFont="1" applyBorder="1"/>
    <xf numFmtId="0" fontId="248" fillId="0" borderId="48" xfId="29" applyFont="1" applyBorder="1"/>
    <xf numFmtId="49" fontId="279" fillId="3" borderId="0" xfId="24" applyNumberFormat="1" applyFont="1" applyFill="1" applyBorder="1" applyAlignment="1">
      <alignment horizontal="center" wrapText="1"/>
    </xf>
    <xf numFmtId="0" fontId="247" fillId="94" borderId="42" xfId="29" applyFont="1" applyFill="1" applyBorder="1" applyAlignment="1">
      <alignment horizontal="center"/>
    </xf>
    <xf numFmtId="0" fontId="248" fillId="0" borderId="38" xfId="29" applyFont="1" applyBorder="1"/>
    <xf numFmtId="0" fontId="181" fillId="3" borderId="0" xfId="0" applyFont="1" applyFill="1" applyAlignment="1">
      <alignment horizontal="center"/>
    </xf>
    <xf numFmtId="0" fontId="0" fillId="0" borderId="20" xfId="0" applyBorder="1" applyAlignment="1">
      <alignment horizontal="center"/>
    </xf>
    <xf numFmtId="0" fontId="71" fillId="77" borderId="0" xfId="0" applyFont="1" applyFill="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94" xfId="0" applyBorder="1" applyAlignment="1">
      <alignment horizontal="center"/>
    </xf>
    <xf numFmtId="0" fontId="0" fillId="0" borderId="0" xfId="0" applyBorder="1" applyAlignment="1">
      <alignment horizontal="center"/>
    </xf>
    <xf numFmtId="0" fontId="0" fillId="0" borderId="96" xfId="0" applyBorder="1" applyAlignment="1">
      <alignment horizontal="center"/>
    </xf>
    <xf numFmtId="0" fontId="0" fillId="0" borderId="102" xfId="0" applyBorder="1" applyAlignment="1">
      <alignment horizontal="center"/>
    </xf>
    <xf numFmtId="0" fontId="0" fillId="0" borderId="130" xfId="0" applyBorder="1" applyAlignment="1">
      <alignment horizontal="center"/>
    </xf>
    <xf numFmtId="0" fontId="0" fillId="0" borderId="123" xfId="0" applyBorder="1" applyAlignment="1">
      <alignment horizontal="center"/>
    </xf>
    <xf numFmtId="0" fontId="180" fillId="20" borderId="195" xfId="4">
      <alignment horizontal="center" vertical="center"/>
    </xf>
    <xf numFmtId="0" fontId="156" fillId="17" borderId="16" xfId="10" applyFont="1" applyFill="1" applyBorder="1" applyAlignment="1">
      <alignment horizontal="center" vertical="center"/>
    </xf>
    <xf numFmtId="0" fontId="147" fillId="0" borderId="16" xfId="10" applyFont="1" applyBorder="1" applyAlignment="1">
      <alignment horizontal="center" vertical="center"/>
    </xf>
    <xf numFmtId="0" fontId="156" fillId="17" borderId="13" xfId="10" applyFont="1" applyFill="1" applyBorder="1" applyAlignment="1">
      <alignment horizontal="center" vertical="center"/>
    </xf>
    <xf numFmtId="0" fontId="149" fillId="0" borderId="15" xfId="10" applyFont="1" applyBorder="1" applyAlignment="1">
      <alignment horizontal="center" vertical="center"/>
    </xf>
    <xf numFmtId="0" fontId="149" fillId="0" borderId="14" xfId="10" applyFont="1" applyBorder="1" applyAlignment="1">
      <alignment horizontal="center" vertical="center"/>
    </xf>
    <xf numFmtId="0" fontId="149" fillId="0" borderId="10" xfId="10" applyFont="1" applyBorder="1" applyAlignment="1">
      <alignment horizontal="center" vertical="center"/>
    </xf>
    <xf numFmtId="0" fontId="149" fillId="0" borderId="8" xfId="10" applyFont="1" applyBorder="1" applyAlignment="1">
      <alignment horizontal="center" vertical="center"/>
    </xf>
    <xf numFmtId="0" fontId="149" fillId="0" borderId="9" xfId="10" applyFont="1" applyBorder="1" applyAlignment="1">
      <alignment horizontal="center" vertical="center"/>
    </xf>
    <xf numFmtId="0" fontId="157" fillId="57" borderId="16" xfId="10" applyFont="1" applyFill="1" applyBorder="1" applyAlignment="1">
      <alignment horizontal="center" vertical="center" wrapText="1"/>
    </xf>
    <xf numFmtId="0" fontId="25" fillId="0" borderId="16" xfId="10" applyBorder="1" applyAlignment="1">
      <alignment horizontal="center" vertical="center" wrapText="1"/>
    </xf>
    <xf numFmtId="0" fontId="25" fillId="0" borderId="16" xfId="10" applyBorder="1" applyAlignment="1">
      <alignment horizontal="center" vertical="center"/>
    </xf>
    <xf numFmtId="0" fontId="157" fillId="57" borderId="16" xfId="10" applyFont="1" applyFill="1" applyBorder="1" applyAlignment="1">
      <alignment horizontal="center" vertical="center" wrapText="1" shrinkToFit="1"/>
    </xf>
    <xf numFmtId="0" fontId="25" fillId="0" borderId="16" xfId="10" applyBorder="1"/>
    <xf numFmtId="0" fontId="157" fillId="57" borderId="13" xfId="10" applyFont="1" applyFill="1" applyBorder="1" applyAlignment="1">
      <alignment horizontal="center" vertical="center" wrapText="1"/>
    </xf>
    <xf numFmtId="0" fontId="25" fillId="0" borderId="15" xfId="10" applyBorder="1" applyAlignment="1">
      <alignment horizontal="center" vertical="center" wrapText="1"/>
    </xf>
    <xf numFmtId="0" fontId="25" fillId="0" borderId="14" xfId="10" applyBorder="1" applyAlignment="1">
      <alignment horizontal="center" vertical="center" wrapText="1"/>
    </xf>
    <xf numFmtId="0" fontId="25" fillId="0" borderId="11" xfId="10" applyBorder="1" applyAlignment="1">
      <alignment horizontal="center" vertical="center" wrapText="1"/>
    </xf>
    <xf numFmtId="0" fontId="25" fillId="0" borderId="0" xfId="10" applyAlignment="1">
      <alignment horizontal="center" vertical="center" wrapText="1"/>
    </xf>
    <xf numFmtId="0" fontId="25" fillId="0" borderId="7" xfId="10" applyBorder="1" applyAlignment="1">
      <alignment horizontal="center" vertical="center" wrapText="1"/>
    </xf>
    <xf numFmtId="0" fontId="25" fillId="0" borderId="10" xfId="10" applyBorder="1" applyAlignment="1">
      <alignment horizontal="center" vertical="center" wrapText="1"/>
    </xf>
    <xf numFmtId="0" fontId="25" fillId="0" borderId="8" xfId="10" applyBorder="1" applyAlignment="1">
      <alignment horizontal="center" vertical="center" wrapText="1"/>
    </xf>
    <xf numFmtId="0" fontId="25" fillId="0" borderId="9" xfId="10" applyBorder="1" applyAlignment="1">
      <alignment horizontal="center" vertical="center" wrapText="1"/>
    </xf>
    <xf numFmtId="0" fontId="25" fillId="0" borderId="16" xfId="10" applyBorder="1" applyAlignment="1">
      <alignment wrapText="1"/>
    </xf>
    <xf numFmtId="172" fontId="157" fillId="15" borderId="16" xfId="10" applyNumberFormat="1" applyFont="1" applyFill="1" applyBorder="1" applyAlignment="1">
      <alignment horizontal="center" vertical="center" wrapText="1"/>
    </xf>
    <xf numFmtId="0" fontId="148" fillId="0" borderId="16" xfId="10" applyFont="1" applyBorder="1" applyAlignment="1">
      <alignment horizontal="center" vertical="center" wrapText="1"/>
    </xf>
    <xf numFmtId="0" fontId="157" fillId="63" borderId="13" xfId="10" applyFont="1" applyFill="1" applyBorder="1" applyAlignment="1">
      <alignment horizontal="center" vertical="center" wrapText="1"/>
    </xf>
    <xf numFmtId="0" fontId="25" fillId="63" borderId="15" xfId="10" applyFill="1" applyBorder="1" applyAlignment="1">
      <alignment horizontal="center" vertical="center" wrapText="1"/>
    </xf>
    <xf numFmtId="0" fontId="25" fillId="63" borderId="14" xfId="10" applyFill="1" applyBorder="1" applyAlignment="1">
      <alignment horizontal="center" vertical="center" wrapText="1"/>
    </xf>
    <xf numFmtId="0" fontId="25" fillId="63" borderId="11" xfId="10" applyFill="1" applyBorder="1" applyAlignment="1">
      <alignment horizontal="center" vertical="center" wrapText="1"/>
    </xf>
    <xf numFmtId="0" fontId="25" fillId="63" borderId="0" xfId="10" applyFill="1" applyAlignment="1">
      <alignment horizontal="center" vertical="center" wrapText="1"/>
    </xf>
    <xf numFmtId="0" fontId="25" fillId="63" borderId="7" xfId="10" applyFill="1" applyBorder="1" applyAlignment="1">
      <alignment horizontal="center" vertical="center" wrapText="1"/>
    </xf>
    <xf numFmtId="0" fontId="25" fillId="63" borderId="10" xfId="10" applyFill="1" applyBorder="1" applyAlignment="1">
      <alignment horizontal="center" vertical="center" wrapText="1"/>
    </xf>
    <xf numFmtId="0" fontId="25" fillId="63" borderId="8" xfId="10" applyFill="1" applyBorder="1" applyAlignment="1">
      <alignment horizontal="center" vertical="center" wrapText="1"/>
    </xf>
    <xf numFmtId="0" fontId="25" fillId="63" borderId="9" xfId="10" applyFill="1" applyBorder="1" applyAlignment="1">
      <alignment horizontal="center" vertical="center" wrapText="1"/>
    </xf>
    <xf numFmtId="0" fontId="149" fillId="0" borderId="16" xfId="10" applyFont="1" applyBorder="1" applyAlignment="1">
      <alignment horizontal="center" vertical="center"/>
    </xf>
    <xf numFmtId="0" fontId="156" fillId="17" borderId="13" xfId="10" applyFont="1" applyFill="1" applyBorder="1" applyAlignment="1">
      <alignment horizontal="center" vertical="center" wrapText="1"/>
    </xf>
    <xf numFmtId="0" fontId="149" fillId="0" borderId="15" xfId="10" applyFont="1" applyBorder="1" applyAlignment="1">
      <alignment horizontal="center" vertical="center" wrapText="1"/>
    </xf>
    <xf numFmtId="0" fontId="149" fillId="0" borderId="14" xfId="10" applyFont="1" applyBorder="1" applyAlignment="1">
      <alignment horizontal="center" vertical="center" wrapText="1"/>
    </xf>
    <xf numFmtId="0" fontId="149" fillId="0" borderId="10" xfId="10" applyFont="1" applyBorder="1" applyAlignment="1">
      <alignment horizontal="center" vertical="center" wrapText="1"/>
    </xf>
    <xf numFmtId="0" fontId="149" fillId="0" borderId="8" xfId="10" applyFont="1" applyBorder="1" applyAlignment="1">
      <alignment horizontal="center" vertical="center" wrapText="1"/>
    </xf>
    <xf numFmtId="0" fontId="149" fillId="0" borderId="9" xfId="10" applyFont="1" applyBorder="1" applyAlignment="1">
      <alignment horizontal="center" vertical="center" wrapText="1"/>
    </xf>
    <xf numFmtId="0" fontId="156" fillId="17" borderId="0" xfId="10" applyFont="1" applyFill="1" applyAlignment="1">
      <alignment horizontal="center" vertical="center"/>
    </xf>
    <xf numFmtId="0" fontId="25" fillId="0" borderId="0" xfId="10" applyAlignment="1">
      <alignment horizontal="center" vertical="center"/>
    </xf>
    <xf numFmtId="0" fontId="25" fillId="0" borderId="8" xfId="10" applyBorder="1" applyAlignment="1">
      <alignment horizontal="center" vertical="center"/>
    </xf>
    <xf numFmtId="172" fontId="157" fillId="49" borderId="13" xfId="10" applyNumberFormat="1" applyFont="1" applyFill="1" applyBorder="1" applyAlignment="1">
      <alignment horizontal="center" vertical="center"/>
    </xf>
    <xf numFmtId="172" fontId="157" fillId="49" borderId="15" xfId="10" applyNumberFormat="1" applyFont="1" applyFill="1" applyBorder="1" applyAlignment="1">
      <alignment horizontal="center" vertical="center"/>
    </xf>
    <xf numFmtId="172" fontId="157" fillId="49" borderId="14" xfId="10" applyNumberFormat="1" applyFont="1" applyFill="1" applyBorder="1" applyAlignment="1">
      <alignment horizontal="center" vertical="center"/>
    </xf>
    <xf numFmtId="172" fontId="157" fillId="49" borderId="10" xfId="10" applyNumberFormat="1" applyFont="1" applyFill="1" applyBorder="1" applyAlignment="1">
      <alignment horizontal="center" vertical="center"/>
    </xf>
    <xf numFmtId="172" fontId="157" fillId="49" borderId="8" xfId="10" applyNumberFormat="1" applyFont="1" applyFill="1" applyBorder="1" applyAlignment="1">
      <alignment horizontal="center" vertical="center"/>
    </xf>
    <xf numFmtId="172" fontId="157" fillId="49" borderId="9" xfId="10" applyNumberFormat="1" applyFont="1" applyFill="1" applyBorder="1" applyAlignment="1">
      <alignment horizontal="center" vertical="center"/>
    </xf>
    <xf numFmtId="0" fontId="156" fillId="17" borderId="11" xfId="10" applyFont="1" applyFill="1" applyBorder="1" applyAlignment="1">
      <alignment horizontal="center" vertical="center" shrinkToFit="1"/>
    </xf>
    <xf numFmtId="0" fontId="156" fillId="17" borderId="0" xfId="10" applyFont="1" applyFill="1" applyAlignment="1">
      <alignment horizontal="center" vertical="center" shrinkToFit="1"/>
    </xf>
    <xf numFmtId="0" fontId="160" fillId="17" borderId="13" xfId="10" applyFont="1" applyFill="1" applyBorder="1" applyAlignment="1">
      <alignment horizontal="center" vertical="center"/>
    </xf>
    <xf numFmtId="0" fontId="25" fillId="0" borderId="15" xfId="10" applyBorder="1" applyAlignment="1">
      <alignment horizontal="center" vertical="center"/>
    </xf>
    <xf numFmtId="0" fontId="25" fillId="0" borderId="10" xfId="10" applyBorder="1" applyAlignment="1">
      <alignment horizontal="center" vertical="center"/>
    </xf>
    <xf numFmtId="0" fontId="156" fillId="17" borderId="170" xfId="10" applyFont="1" applyFill="1" applyBorder="1" applyAlignment="1">
      <alignment horizontal="center" vertical="center"/>
    </xf>
    <xf numFmtId="0" fontId="25" fillId="0" borderId="171" xfId="10" applyBorder="1" applyAlignment="1">
      <alignment horizontal="center" vertical="center"/>
    </xf>
    <xf numFmtId="0" fontId="25" fillId="0" borderId="172" xfId="10" applyBorder="1" applyAlignment="1">
      <alignment horizontal="center" vertical="center"/>
    </xf>
    <xf numFmtId="0" fontId="25" fillId="0" borderId="173" xfId="10" applyBorder="1" applyAlignment="1">
      <alignment horizontal="center" vertical="center"/>
    </xf>
    <xf numFmtId="0" fontId="156" fillId="17" borderId="15" xfId="10" applyFont="1" applyFill="1" applyBorder="1" applyAlignment="1">
      <alignment horizontal="center" vertical="center"/>
    </xf>
    <xf numFmtId="0" fontId="25" fillId="0" borderId="14" xfId="10" applyBorder="1" applyAlignment="1">
      <alignment horizontal="center" vertical="center"/>
    </xf>
    <xf numFmtId="0" fontId="25" fillId="0" borderId="9" xfId="10" applyBorder="1" applyAlignment="1">
      <alignment horizontal="center" vertical="center"/>
    </xf>
    <xf numFmtId="0" fontId="147" fillId="67" borderId="83" xfId="10" applyFont="1" applyFill="1" applyBorder="1" applyAlignment="1">
      <alignment horizontal="center" vertical="center"/>
    </xf>
    <xf numFmtId="0" fontId="148" fillId="0" borderId="83" xfId="10" applyFont="1" applyBorder="1" applyAlignment="1">
      <alignment horizontal="center" vertical="center"/>
    </xf>
    <xf numFmtId="0" fontId="148" fillId="0" borderId="84" xfId="10" applyFont="1" applyBorder="1" applyAlignment="1">
      <alignment horizontal="center" vertical="center"/>
    </xf>
    <xf numFmtId="1" fontId="156" fillId="13" borderId="13" xfId="10" applyNumberFormat="1" applyFont="1" applyFill="1" applyBorder="1" applyAlignment="1">
      <alignment horizontal="center" vertical="center"/>
    </xf>
    <xf numFmtId="0" fontId="156" fillId="13" borderId="16" xfId="10" applyFont="1" applyFill="1" applyBorder="1" applyAlignment="1">
      <alignment horizontal="center" vertical="center"/>
    </xf>
    <xf numFmtId="0" fontId="25" fillId="0" borderId="16" xfId="10" applyBorder="1" applyAlignment="1">
      <alignment vertical="center"/>
    </xf>
    <xf numFmtId="0" fontId="157" fillId="57" borderId="13" xfId="10" applyFont="1" applyFill="1" applyBorder="1" applyAlignment="1">
      <alignment horizontal="center" vertical="center"/>
    </xf>
    <xf numFmtId="0" fontId="25" fillId="0" borderId="11" xfId="10" applyBorder="1" applyAlignment="1">
      <alignment horizontal="center" vertical="center"/>
    </xf>
    <xf numFmtId="0" fontId="25" fillId="0" borderId="7" xfId="10" applyBorder="1" applyAlignment="1">
      <alignment horizontal="center" vertical="center"/>
    </xf>
    <xf numFmtId="0" fontId="158" fillId="57" borderId="13" xfId="10" applyFont="1" applyFill="1" applyBorder="1" applyAlignment="1">
      <alignment horizontal="center" vertical="center" wrapText="1"/>
    </xf>
    <xf numFmtId="0" fontId="25" fillId="0" borderId="15" xfId="10" applyBorder="1" applyAlignment="1">
      <alignment wrapText="1"/>
    </xf>
    <xf numFmtId="0" fontId="25" fillId="0" borderId="14" xfId="10" applyBorder="1" applyAlignment="1">
      <alignment wrapText="1"/>
    </xf>
    <xf numFmtId="0" fontId="25" fillId="0" borderId="11" xfId="10" applyBorder="1" applyAlignment="1">
      <alignment wrapText="1"/>
    </xf>
    <xf numFmtId="0" fontId="25" fillId="0" borderId="0" xfId="10" applyAlignment="1">
      <alignment wrapText="1"/>
    </xf>
    <xf numFmtId="0" fontId="25" fillId="0" borderId="7" xfId="10" applyBorder="1" applyAlignment="1">
      <alignment wrapText="1"/>
    </xf>
    <xf numFmtId="0" fontId="25" fillId="0" borderId="10" xfId="10" applyBorder="1" applyAlignment="1">
      <alignment wrapText="1"/>
    </xf>
    <xf numFmtId="0" fontId="25" fillId="0" borderId="8" xfId="10" applyBorder="1" applyAlignment="1">
      <alignment wrapText="1"/>
    </xf>
    <xf numFmtId="0" fontId="25" fillId="0" borderId="9" xfId="10" applyBorder="1" applyAlignment="1">
      <alignment wrapText="1"/>
    </xf>
    <xf numFmtId="0" fontId="148" fillId="63" borderId="11" xfId="10" applyFont="1" applyFill="1" applyBorder="1" applyAlignment="1">
      <alignment horizontal="center" vertical="center" wrapText="1"/>
    </xf>
    <xf numFmtId="0" fontId="158" fillId="63" borderId="13" xfId="10" applyFont="1" applyFill="1" applyBorder="1" applyAlignment="1">
      <alignment horizontal="center" vertical="center" wrapText="1"/>
    </xf>
    <xf numFmtId="0" fontId="148" fillId="15" borderId="16" xfId="10" applyFont="1" applyFill="1" applyBorder="1" applyAlignment="1">
      <alignment horizontal="left" vertical="top" wrapText="1"/>
    </xf>
    <xf numFmtId="0" fontId="25" fillId="0" borderId="16" xfId="10" applyBorder="1" applyAlignment="1">
      <alignment horizontal="left" vertical="top" wrapText="1"/>
    </xf>
    <xf numFmtId="0" fontId="156" fillId="17" borderId="11" xfId="10" applyFont="1" applyFill="1" applyBorder="1" applyAlignment="1">
      <alignment horizontal="center" vertical="center"/>
    </xf>
    <xf numFmtId="0" fontId="25" fillId="0" borderId="0" xfId="10"/>
    <xf numFmtId="0" fontId="25" fillId="0" borderId="7" xfId="10" applyBorder="1"/>
    <xf numFmtId="1" fontId="156" fillId="13" borderId="15" xfId="10" applyNumberFormat="1" applyFont="1" applyFill="1" applyBorder="1" applyAlignment="1">
      <alignment horizontal="center" vertical="center"/>
    </xf>
    <xf numFmtId="1" fontId="156" fillId="13" borderId="14" xfId="10" applyNumberFormat="1" applyFont="1" applyFill="1" applyBorder="1" applyAlignment="1">
      <alignment horizontal="center" vertical="center"/>
    </xf>
    <xf numFmtId="1" fontId="156" fillId="13" borderId="11" xfId="10" applyNumberFormat="1" applyFont="1" applyFill="1" applyBorder="1" applyAlignment="1">
      <alignment horizontal="center" vertical="center"/>
    </xf>
    <xf numFmtId="1" fontId="156" fillId="13" borderId="0" xfId="10" applyNumberFormat="1" applyFont="1" applyFill="1" applyAlignment="1">
      <alignment horizontal="center" vertical="center"/>
    </xf>
    <xf numFmtId="1" fontId="156" fillId="13" borderId="7" xfId="10" applyNumberFormat="1" applyFont="1" applyFill="1" applyBorder="1" applyAlignment="1">
      <alignment horizontal="center" vertical="center"/>
    </xf>
    <xf numFmtId="0" fontId="147" fillId="67" borderId="13" xfId="10" applyFont="1" applyFill="1" applyBorder="1" applyAlignment="1">
      <alignment horizontal="center" vertical="center" shrinkToFit="1"/>
    </xf>
    <xf numFmtId="0" fontId="25" fillId="0" borderId="15" xfId="10" applyBorder="1" applyAlignment="1">
      <alignment horizontal="center" vertical="center" shrinkToFit="1"/>
    </xf>
    <xf numFmtId="0" fontId="25" fillId="0" borderId="14" xfId="10" applyBorder="1" applyAlignment="1">
      <alignment horizontal="center" vertical="center" shrinkToFit="1"/>
    </xf>
    <xf numFmtId="0" fontId="25" fillId="0" borderId="10" xfId="10" applyBorder="1" applyAlignment="1">
      <alignment horizontal="center" vertical="center" shrinkToFit="1"/>
    </xf>
    <xf numFmtId="0" fontId="25" fillId="0" borderId="8" xfId="10" applyBorder="1" applyAlignment="1">
      <alignment horizontal="center" vertical="center" shrinkToFit="1"/>
    </xf>
    <xf numFmtId="0" fontId="25" fillId="0" borderId="9" xfId="10" applyBorder="1" applyAlignment="1">
      <alignment horizontal="center" vertical="center" shrinkToFit="1"/>
    </xf>
    <xf numFmtId="0" fontId="147" fillId="67" borderId="13" xfId="10" applyFont="1" applyFill="1" applyBorder="1" applyAlignment="1">
      <alignment horizontal="center" vertical="center"/>
    </xf>
    <xf numFmtId="0" fontId="150" fillId="0" borderId="12" xfId="10" applyFont="1" applyBorder="1" applyAlignment="1">
      <alignment horizontal="left" vertical="center" shrinkToFit="1"/>
    </xf>
    <xf numFmtId="0" fontId="150" fillId="0" borderId="17" xfId="10" applyFont="1" applyBorder="1" applyAlignment="1">
      <alignment horizontal="left" vertical="center" shrinkToFit="1"/>
    </xf>
    <xf numFmtId="0" fontId="150" fillId="0" borderId="18" xfId="10" applyFont="1" applyBorder="1" applyAlignment="1">
      <alignment horizontal="left" vertical="center" shrinkToFit="1"/>
    </xf>
    <xf numFmtId="0" fontId="156" fillId="13" borderId="13" xfId="10" applyFont="1" applyFill="1" applyBorder="1" applyAlignment="1">
      <alignment horizontal="center" vertical="center"/>
    </xf>
    <xf numFmtId="0" fontId="149" fillId="13" borderId="15" xfId="10" applyFont="1" applyFill="1" applyBorder="1" applyAlignment="1">
      <alignment horizontal="center" vertical="center"/>
    </xf>
    <xf numFmtId="0" fontId="25" fillId="13" borderId="15" xfId="10" applyFill="1" applyBorder="1" applyAlignment="1">
      <alignment horizontal="center" vertical="center"/>
    </xf>
    <xf numFmtId="0" fontId="25" fillId="13" borderId="14" xfId="10" applyFill="1" applyBorder="1" applyAlignment="1">
      <alignment horizontal="center" vertical="center"/>
    </xf>
    <xf numFmtId="0" fontId="149" fillId="13" borderId="11" xfId="10" applyFont="1" applyFill="1" applyBorder="1" applyAlignment="1">
      <alignment horizontal="center" vertical="center"/>
    </xf>
    <xf numFmtId="0" fontId="149" fillId="13" borderId="0" xfId="10" applyFont="1" applyFill="1" applyAlignment="1">
      <alignment horizontal="center" vertical="center"/>
    </xf>
    <xf numFmtId="0" fontId="25" fillId="13" borderId="0" xfId="10" applyFill="1" applyAlignment="1">
      <alignment horizontal="center" vertical="center"/>
    </xf>
    <xf numFmtId="0" fontId="25" fillId="13" borderId="7" xfId="10" applyFill="1" applyBorder="1" applyAlignment="1">
      <alignment horizontal="center" vertical="center"/>
    </xf>
    <xf numFmtId="172" fontId="157" fillId="64" borderId="12" xfId="10" applyNumberFormat="1" applyFont="1" applyFill="1" applyBorder="1" applyAlignment="1">
      <alignment horizontal="center" vertical="center"/>
    </xf>
    <xf numFmtId="0" fontId="25" fillId="0" borderId="17" xfId="10" applyBorder="1" applyAlignment="1">
      <alignment horizontal="center" vertical="center"/>
    </xf>
    <xf numFmtId="0" fontId="25" fillId="0" borderId="18" xfId="10" applyBorder="1" applyAlignment="1">
      <alignment horizontal="center" vertical="center"/>
    </xf>
    <xf numFmtId="0" fontId="25" fillId="0" borderId="12" xfId="10" applyBorder="1" applyAlignment="1">
      <alignment horizontal="center" vertical="center"/>
    </xf>
    <xf numFmtId="0" fontId="157" fillId="64" borderId="15" xfId="10" applyFont="1" applyFill="1" applyBorder="1" applyAlignment="1">
      <alignment vertical="center"/>
    </xf>
    <xf numFmtId="0" fontId="25" fillId="0" borderId="15" xfId="10" applyBorder="1" applyAlignment="1">
      <alignment vertical="center"/>
    </xf>
    <xf numFmtId="0" fontId="25" fillId="0" borderId="14" xfId="10" applyBorder="1" applyAlignment="1">
      <alignment vertical="center"/>
    </xf>
    <xf numFmtId="0" fontId="25" fillId="0" borderId="8" xfId="10" applyBorder="1" applyAlignment="1">
      <alignment vertical="center"/>
    </xf>
    <xf numFmtId="0" fontId="25" fillId="0" borderId="9" xfId="10" applyBorder="1" applyAlignment="1">
      <alignment vertical="center"/>
    </xf>
    <xf numFmtId="172" fontId="157" fillId="60" borderId="16" xfId="10" applyNumberFormat="1" applyFont="1" applyFill="1" applyBorder="1" applyAlignment="1">
      <alignment horizontal="center" vertical="center"/>
    </xf>
    <xf numFmtId="0" fontId="27" fillId="64" borderId="13" xfId="10" applyFont="1" applyFill="1" applyBorder="1" applyAlignment="1">
      <alignment horizontal="left" vertical="center" wrapText="1"/>
    </xf>
    <xf numFmtId="0" fontId="25" fillId="0" borderId="15" xfId="10" applyBorder="1" applyAlignment="1">
      <alignment horizontal="left" vertical="center" wrapText="1"/>
    </xf>
    <xf numFmtId="0" fontId="25" fillId="0" borderId="14" xfId="10" applyBorder="1" applyAlignment="1">
      <alignment horizontal="left" vertical="center" wrapText="1"/>
    </xf>
    <xf numFmtId="0" fontId="25" fillId="0" borderId="10" xfId="10" applyBorder="1" applyAlignment="1">
      <alignment horizontal="left" vertical="center" wrapText="1"/>
    </xf>
    <xf numFmtId="0" fontId="25" fillId="0" borderId="8" xfId="10" applyBorder="1" applyAlignment="1">
      <alignment horizontal="left" vertical="center" wrapText="1"/>
    </xf>
    <xf numFmtId="0" fontId="25" fillId="0" borderId="9" xfId="10" applyBorder="1" applyAlignment="1">
      <alignment horizontal="left" vertical="center" wrapText="1"/>
    </xf>
    <xf numFmtId="0" fontId="148" fillId="57" borderId="13" xfId="10" applyFont="1" applyFill="1" applyBorder="1" applyAlignment="1">
      <alignment horizontal="center" vertical="center"/>
    </xf>
    <xf numFmtId="172" fontId="163" fillId="67" borderId="83" xfId="10" applyNumberFormat="1" applyFont="1" applyFill="1" applyBorder="1" applyAlignment="1">
      <alignment horizontal="center" vertical="center"/>
    </xf>
    <xf numFmtId="0" fontId="147" fillId="67" borderId="84" xfId="10" applyFont="1" applyFill="1" applyBorder="1" applyAlignment="1">
      <alignment horizontal="center" vertical="center"/>
    </xf>
    <xf numFmtId="12" fontId="147" fillId="67" borderId="13" xfId="10" applyNumberFormat="1" applyFont="1" applyFill="1" applyBorder="1" applyAlignment="1">
      <alignment horizontal="center" vertical="center"/>
    </xf>
    <xf numFmtId="0" fontId="156" fillId="66" borderId="13" xfId="10" applyFont="1" applyFill="1" applyBorder="1" applyAlignment="1">
      <alignment horizontal="center" vertical="center"/>
    </xf>
    <xf numFmtId="1" fontId="161" fillId="60" borderId="13" xfId="10" applyNumberFormat="1" applyFont="1" applyFill="1" applyBorder="1" applyAlignment="1">
      <alignment horizontal="center" vertical="center"/>
    </xf>
    <xf numFmtId="0" fontId="162" fillId="64" borderId="11" xfId="10" applyFont="1" applyFill="1" applyBorder="1" applyAlignment="1">
      <alignment horizontal="center" vertical="center"/>
    </xf>
    <xf numFmtId="172" fontId="157" fillId="64" borderId="11" xfId="10" applyNumberFormat="1" applyFont="1" applyFill="1" applyBorder="1" applyAlignment="1">
      <alignment horizontal="center" vertical="center"/>
    </xf>
    <xf numFmtId="0" fontId="157" fillId="64" borderId="11" xfId="10" applyFont="1" applyFill="1" applyBorder="1" applyAlignment="1">
      <alignment horizontal="center" vertical="center"/>
    </xf>
    <xf numFmtId="0" fontId="148" fillId="57" borderId="11" xfId="10" applyFont="1" applyFill="1" applyBorder="1" applyAlignment="1">
      <alignment horizontal="center" vertical="center"/>
    </xf>
    <xf numFmtId="0" fontId="27" fillId="57" borderId="11" xfId="10" applyFont="1" applyFill="1" applyBorder="1" applyAlignment="1">
      <alignment horizontal="center" vertical="center"/>
    </xf>
    <xf numFmtId="0" fontId="156" fillId="13" borderId="0" xfId="10" applyFont="1" applyFill="1" applyAlignment="1">
      <alignment horizontal="center" vertical="center"/>
    </xf>
    <xf numFmtId="0" fontId="25" fillId="0" borderId="15" xfId="10" applyBorder="1"/>
    <xf numFmtId="0" fontId="25" fillId="0" borderId="14" xfId="10" applyBorder="1"/>
    <xf numFmtId="0" fontId="25" fillId="0" borderId="11" xfId="10" applyBorder="1"/>
    <xf numFmtId="12" fontId="148" fillId="57" borderId="13" xfId="10" applyNumberFormat="1" applyFont="1" applyFill="1" applyBorder="1" applyAlignment="1">
      <alignment horizontal="center" vertical="center"/>
    </xf>
    <xf numFmtId="0" fontId="148" fillId="57" borderId="13" xfId="10" applyFont="1" applyFill="1" applyBorder="1" applyAlignment="1">
      <alignment horizontal="center" vertical="center" shrinkToFit="1"/>
    </xf>
    <xf numFmtId="0" fontId="148" fillId="57" borderId="6" xfId="10" applyFont="1" applyFill="1" applyBorder="1" applyAlignment="1">
      <alignment horizontal="center" vertical="center"/>
    </xf>
    <xf numFmtId="0" fontId="148" fillId="57" borderId="84" xfId="10" applyFont="1" applyFill="1" applyBorder="1" applyAlignment="1">
      <alignment horizontal="center" vertical="center"/>
    </xf>
    <xf numFmtId="172" fontId="157" fillId="57" borderId="6" xfId="10" applyNumberFormat="1" applyFont="1" applyFill="1" applyBorder="1" applyAlignment="1">
      <alignment horizontal="center" vertical="center"/>
    </xf>
    <xf numFmtId="172" fontId="157" fillId="64" borderId="17" xfId="10" applyNumberFormat="1" applyFont="1" applyFill="1" applyBorder="1" applyAlignment="1">
      <alignment horizontal="center" vertical="center"/>
    </xf>
    <xf numFmtId="172" fontId="157" fillId="64" borderId="18" xfId="10" applyNumberFormat="1" applyFont="1" applyFill="1" applyBorder="1" applyAlignment="1">
      <alignment horizontal="center" vertical="center"/>
    </xf>
    <xf numFmtId="0" fontId="157" fillId="64" borderId="14" xfId="10" applyFont="1" applyFill="1" applyBorder="1" applyAlignment="1">
      <alignment vertical="center"/>
    </xf>
    <xf numFmtId="0" fontId="157" fillId="64" borderId="8" xfId="10" applyFont="1" applyFill="1" applyBorder="1" applyAlignment="1">
      <alignment vertical="center"/>
    </xf>
    <xf numFmtId="0" fontId="157" fillId="64" borderId="9" xfId="10" applyFont="1" applyFill="1" applyBorder="1" applyAlignment="1">
      <alignment vertical="center"/>
    </xf>
    <xf numFmtId="0" fontId="27" fillId="61" borderId="16" xfId="10" applyFont="1" applyFill="1" applyBorder="1" applyAlignment="1">
      <alignment horizontal="left" wrapText="1"/>
    </xf>
    <xf numFmtId="0" fontId="25" fillId="0" borderId="16" xfId="10" applyBorder="1" applyAlignment="1">
      <alignment horizontal="left" wrapText="1"/>
    </xf>
    <xf numFmtId="0" fontId="148" fillId="61" borderId="13" xfId="10" applyFont="1" applyFill="1" applyBorder="1" applyAlignment="1">
      <alignment horizontal="center" vertical="center" wrapText="1"/>
    </xf>
    <xf numFmtId="0" fontId="156" fillId="13" borderId="11" xfId="10" applyFont="1" applyFill="1" applyBorder="1" applyAlignment="1">
      <alignment horizontal="center" vertical="center"/>
    </xf>
    <xf numFmtId="0" fontId="25" fillId="13" borderId="11" xfId="10" applyFill="1" applyBorder="1" applyAlignment="1">
      <alignment horizontal="center" vertical="center"/>
    </xf>
    <xf numFmtId="0" fontId="157" fillId="55" borderId="13" xfId="10" applyFont="1" applyFill="1" applyBorder="1" applyAlignment="1">
      <alignment horizontal="center" vertical="center"/>
    </xf>
    <xf numFmtId="0" fontId="27" fillId="61" borderId="13" xfId="10" applyFont="1" applyFill="1" applyBorder="1" applyAlignment="1">
      <alignment horizontal="left" wrapText="1"/>
    </xf>
    <xf numFmtId="0" fontId="25" fillId="0" borderId="15" xfId="10" applyBorder="1" applyAlignment="1">
      <alignment horizontal="left" wrapText="1"/>
    </xf>
    <xf numFmtId="0" fontId="25" fillId="0" borderId="14" xfId="10" applyBorder="1" applyAlignment="1">
      <alignment horizontal="left" wrapText="1"/>
    </xf>
    <xf numFmtId="0" fontId="25" fillId="0" borderId="10" xfId="10" applyBorder="1" applyAlignment="1">
      <alignment horizontal="left" wrapText="1"/>
    </xf>
    <xf numFmtId="0" fontId="25" fillId="0" borderId="8" xfId="10" applyBorder="1" applyAlignment="1">
      <alignment horizontal="left" wrapText="1"/>
    </xf>
    <xf numFmtId="0" fontId="25" fillId="0" borderId="9" xfId="10" applyBorder="1" applyAlignment="1">
      <alignment horizontal="left" wrapText="1"/>
    </xf>
    <xf numFmtId="1" fontId="161" fillId="54" borderId="13" xfId="10" applyNumberFormat="1" applyFont="1" applyFill="1" applyBorder="1" applyAlignment="1">
      <alignment horizontal="center" vertical="center"/>
    </xf>
    <xf numFmtId="0" fontId="157" fillId="15" borderId="11" xfId="10" applyFont="1" applyFill="1" applyBorder="1" applyAlignment="1">
      <alignment horizontal="center" vertical="center" wrapText="1"/>
    </xf>
    <xf numFmtId="172" fontId="27" fillId="49" borderId="13" xfId="10" applyNumberFormat="1" applyFont="1" applyFill="1" applyBorder="1" applyAlignment="1">
      <alignment horizontal="center" vertical="center"/>
    </xf>
    <xf numFmtId="172" fontId="25" fillId="0" borderId="15" xfId="10" applyNumberFormat="1" applyBorder="1" applyAlignment="1">
      <alignment horizontal="center" vertical="center"/>
    </xf>
    <xf numFmtId="172" fontId="25" fillId="0" borderId="14" xfId="10" applyNumberFormat="1" applyBorder="1" applyAlignment="1">
      <alignment horizontal="center" vertical="center"/>
    </xf>
    <xf numFmtId="172" fontId="25" fillId="0" borderId="10" xfId="10" applyNumberFormat="1" applyBorder="1" applyAlignment="1">
      <alignment horizontal="center" vertical="center"/>
    </xf>
    <xf numFmtId="172" fontId="25" fillId="0" borderId="8" xfId="10" applyNumberFormat="1" applyBorder="1" applyAlignment="1">
      <alignment horizontal="center" vertical="center"/>
    </xf>
    <xf numFmtId="172" fontId="25" fillId="0" borderId="9" xfId="10" applyNumberFormat="1" applyBorder="1" applyAlignment="1">
      <alignment horizontal="center" vertical="center"/>
    </xf>
    <xf numFmtId="0" fontId="157" fillId="49" borderId="13" xfId="10" applyFont="1" applyFill="1" applyBorder="1" applyAlignment="1">
      <alignment vertical="center"/>
    </xf>
    <xf numFmtId="0" fontId="25" fillId="0" borderId="10" xfId="10" applyBorder="1" applyAlignment="1">
      <alignment vertical="center"/>
    </xf>
    <xf numFmtId="0" fontId="160" fillId="13" borderId="13" xfId="10" applyFont="1" applyFill="1" applyBorder="1" applyAlignment="1">
      <alignment horizontal="center" vertical="center"/>
    </xf>
    <xf numFmtId="0" fontId="149" fillId="13" borderId="14" xfId="10" applyFont="1" applyFill="1" applyBorder="1" applyAlignment="1">
      <alignment horizontal="center" vertical="center"/>
    </xf>
    <xf numFmtId="0" fontId="149" fillId="13" borderId="7" xfId="10" applyFont="1" applyFill="1" applyBorder="1" applyAlignment="1">
      <alignment horizontal="center" vertical="center"/>
    </xf>
    <xf numFmtId="0" fontId="148" fillId="61" borderId="13" xfId="10" applyFont="1" applyFill="1" applyBorder="1" applyAlignment="1">
      <alignment horizontal="left" vertical="top" wrapText="1"/>
    </xf>
    <xf numFmtId="0" fontId="25" fillId="0" borderId="15" xfId="10" applyBorder="1" applyAlignment="1">
      <alignment horizontal="left" vertical="top" wrapText="1"/>
    </xf>
    <xf numFmtId="0" fontId="25" fillId="0" borderId="14" xfId="10" applyBorder="1" applyAlignment="1">
      <alignment horizontal="left" vertical="top" wrapText="1"/>
    </xf>
    <xf numFmtId="0" fontId="25" fillId="0" borderId="11" xfId="10" applyBorder="1" applyAlignment="1">
      <alignment horizontal="left" vertical="top" wrapText="1"/>
    </xf>
    <xf numFmtId="0" fontId="25" fillId="0" borderId="0" xfId="10" applyAlignment="1">
      <alignment horizontal="left" vertical="top" wrapText="1"/>
    </xf>
    <xf numFmtId="0" fontId="25" fillId="0" borderId="7" xfId="10" applyBorder="1" applyAlignment="1">
      <alignment horizontal="left" vertical="top" wrapText="1"/>
    </xf>
    <xf numFmtId="0" fontId="25" fillId="0" borderId="10" xfId="10" applyBorder="1" applyAlignment="1">
      <alignment horizontal="left" vertical="top" wrapText="1"/>
    </xf>
    <xf numFmtId="0" fontId="25" fillId="0" borderId="8" xfId="10" applyBorder="1" applyAlignment="1">
      <alignment horizontal="left" vertical="top" wrapText="1"/>
    </xf>
    <xf numFmtId="0" fontId="25" fillId="0" borderId="9" xfId="10" applyBorder="1" applyAlignment="1">
      <alignment horizontal="left" vertical="top" wrapText="1"/>
    </xf>
    <xf numFmtId="0" fontId="165" fillId="17" borderId="0" xfId="10" applyFont="1" applyFill="1" applyAlignment="1">
      <alignment horizontal="center" vertical="center"/>
    </xf>
    <xf numFmtId="0" fontId="45" fillId="0" borderId="0" xfId="10" applyFont="1" applyAlignment="1">
      <alignment horizontal="center" vertical="center"/>
    </xf>
    <xf numFmtId="0" fontId="45" fillId="0" borderId="8" xfId="10" applyFont="1" applyBorder="1" applyAlignment="1">
      <alignment horizontal="center" vertical="center"/>
    </xf>
    <xf numFmtId="0" fontId="166" fillId="0" borderId="0" xfId="10" applyFont="1" applyAlignment="1">
      <alignment horizontal="center" vertical="center"/>
    </xf>
    <xf numFmtId="0" fontId="166" fillId="0" borderId="8" xfId="10" applyFont="1" applyBorder="1" applyAlignment="1">
      <alignment horizontal="center" vertical="center"/>
    </xf>
    <xf numFmtId="0" fontId="148" fillId="61" borderId="13" xfId="10" applyFont="1" applyFill="1" applyBorder="1" applyAlignment="1">
      <alignment horizontal="left" vertical="center" indent="1"/>
    </xf>
    <xf numFmtId="0" fontId="25" fillId="0" borderId="15" xfId="10" applyBorder="1" applyAlignment="1">
      <alignment horizontal="left" vertical="center" indent="1"/>
    </xf>
    <xf numFmtId="0" fontId="25" fillId="0" borderId="14" xfId="10" applyBorder="1" applyAlignment="1">
      <alignment horizontal="left" vertical="center" indent="1"/>
    </xf>
    <xf numFmtId="0" fontId="25" fillId="0" borderId="10" xfId="10" applyBorder="1" applyAlignment="1">
      <alignment horizontal="left" vertical="center" indent="1"/>
    </xf>
    <xf numFmtId="0" fontId="25" fillId="0" borderId="8" xfId="10" applyBorder="1" applyAlignment="1">
      <alignment horizontal="left" vertical="center" indent="1"/>
    </xf>
    <xf numFmtId="0" fontId="25" fillId="0" borderId="9" xfId="10" applyBorder="1" applyAlignment="1">
      <alignment horizontal="left" vertical="center" indent="1"/>
    </xf>
    <xf numFmtId="0" fontId="157" fillId="49" borderId="13" xfId="10" applyFont="1" applyFill="1" applyBorder="1" applyAlignment="1">
      <alignment vertical="center" shrinkToFit="1"/>
    </xf>
    <xf numFmtId="0" fontId="25" fillId="0" borderId="15" xfId="10" applyBorder="1" applyAlignment="1">
      <alignment vertical="center" shrinkToFit="1"/>
    </xf>
    <xf numFmtId="0" fontId="25" fillId="0" borderId="14" xfId="10" applyBorder="1" applyAlignment="1">
      <alignment vertical="center" shrinkToFit="1"/>
    </xf>
    <xf numFmtId="0" fontId="25" fillId="0" borderId="10" xfId="10" applyBorder="1" applyAlignment="1">
      <alignment vertical="center" shrinkToFit="1"/>
    </xf>
    <xf numFmtId="0" fontId="25" fillId="0" borderId="8" xfId="10" applyBorder="1" applyAlignment="1">
      <alignment vertical="center" shrinkToFit="1"/>
    </xf>
    <xf numFmtId="0" fontId="25" fillId="0" borderId="9" xfId="10" applyBorder="1" applyAlignment="1">
      <alignment vertical="center" shrinkToFit="1"/>
    </xf>
    <xf numFmtId="0" fontId="25" fillId="54" borderId="11" xfId="10" applyFill="1" applyBorder="1" applyAlignment="1">
      <alignment horizontal="center" vertical="center"/>
    </xf>
    <xf numFmtId="0" fontId="25" fillId="0" borderId="10" xfId="10" applyBorder="1"/>
    <xf numFmtId="0" fontId="25" fillId="0" borderId="8" xfId="10" applyBorder="1"/>
    <xf numFmtId="0" fontId="25" fillId="0" borderId="9" xfId="10" applyBorder="1"/>
    <xf numFmtId="0" fontId="27" fillId="15" borderId="13" xfId="10" applyFont="1" applyFill="1" applyBorder="1" applyAlignment="1">
      <alignment horizontal="left" wrapText="1"/>
    </xf>
    <xf numFmtId="0" fontId="160" fillId="13" borderId="92" xfId="10" applyFont="1" applyFill="1" applyBorder="1" applyAlignment="1">
      <alignment horizontal="center" vertical="center"/>
    </xf>
    <xf numFmtId="0" fontId="149" fillId="0" borderId="20" xfId="10" applyFont="1" applyBorder="1" applyAlignment="1">
      <alignment horizontal="center"/>
    </xf>
    <xf numFmtId="0" fontId="149" fillId="0" borderId="93" xfId="10" applyFont="1" applyBorder="1" applyAlignment="1">
      <alignment horizontal="center"/>
    </xf>
    <xf numFmtId="0" fontId="149" fillId="0" borderId="94" xfId="10" applyFont="1" applyBorder="1" applyAlignment="1">
      <alignment horizontal="center"/>
    </xf>
    <xf numFmtId="0" fontId="149" fillId="0" borderId="0" xfId="10" applyFont="1" applyAlignment="1">
      <alignment horizontal="center"/>
    </xf>
    <xf numFmtId="0" fontId="149" fillId="0" borderId="96" xfId="10" applyFont="1" applyBorder="1" applyAlignment="1">
      <alignment horizontal="center"/>
    </xf>
    <xf numFmtId="0" fontId="156" fillId="13" borderId="92" xfId="10" applyFont="1" applyFill="1" applyBorder="1" applyAlignment="1">
      <alignment horizontal="center" vertical="center"/>
    </xf>
    <xf numFmtId="0" fontId="156" fillId="13" borderId="20" xfId="10" applyFont="1" applyFill="1" applyBorder="1" applyAlignment="1">
      <alignment horizontal="center" vertical="center"/>
    </xf>
    <xf numFmtId="0" fontId="156" fillId="13" borderId="93" xfId="10" applyFont="1" applyFill="1" applyBorder="1" applyAlignment="1">
      <alignment horizontal="center" vertical="center"/>
    </xf>
    <xf numFmtId="0" fontId="156" fillId="13" borderId="94" xfId="10" applyFont="1" applyFill="1" applyBorder="1" applyAlignment="1">
      <alignment horizontal="center" vertical="center"/>
    </xf>
    <xf numFmtId="0" fontId="156" fillId="13" borderId="96" xfId="10" applyFont="1" applyFill="1" applyBorder="1" applyAlignment="1">
      <alignment horizontal="center" vertical="center"/>
    </xf>
    <xf numFmtId="0" fontId="166" fillId="13" borderId="15" xfId="10" applyFont="1" applyFill="1" applyBorder="1"/>
    <xf numFmtId="0" fontId="166" fillId="13" borderId="14" xfId="10" applyFont="1" applyFill="1" applyBorder="1"/>
    <xf numFmtId="0" fontId="166" fillId="13" borderId="10" xfId="10" applyFont="1" applyFill="1" applyBorder="1"/>
    <xf numFmtId="0" fontId="166" fillId="13" borderId="8" xfId="10" applyFont="1" applyFill="1" applyBorder="1"/>
    <xf numFmtId="0" fontId="166" fillId="13" borderId="9" xfId="10" applyFont="1" applyFill="1" applyBorder="1"/>
    <xf numFmtId="0" fontId="147" fillId="0" borderId="15" xfId="10" applyFont="1" applyBorder="1" applyAlignment="1">
      <alignment horizontal="center" vertical="center"/>
    </xf>
    <xf numFmtId="0" fontId="147" fillId="0" borderId="11" xfId="10" applyFont="1" applyBorder="1" applyAlignment="1">
      <alignment horizontal="center" vertical="center"/>
    </xf>
    <xf numFmtId="0" fontId="147" fillId="0" borderId="0" xfId="10" applyFont="1" applyAlignment="1">
      <alignment horizontal="center" vertical="center"/>
    </xf>
    <xf numFmtId="0" fontId="147" fillId="0" borderId="14" xfId="10" applyFont="1" applyBorder="1" applyAlignment="1">
      <alignment horizontal="center" vertical="center"/>
    </xf>
    <xf numFmtId="0" fontId="147" fillId="0" borderId="7" xfId="10" applyFont="1" applyBorder="1" applyAlignment="1">
      <alignment horizontal="center" vertical="center"/>
    </xf>
    <xf numFmtId="0" fontId="156" fillId="17" borderId="92" xfId="10" applyFont="1" applyFill="1" applyBorder="1" applyAlignment="1">
      <alignment horizontal="center" vertical="center"/>
    </xf>
    <xf numFmtId="0" fontId="156" fillId="17" borderId="20" xfId="10" applyFont="1" applyFill="1" applyBorder="1" applyAlignment="1">
      <alignment horizontal="center" vertical="center"/>
    </xf>
    <xf numFmtId="0" fontId="156" fillId="17" borderId="93" xfId="10" applyFont="1" applyFill="1" applyBorder="1" applyAlignment="1">
      <alignment horizontal="center" vertical="center"/>
    </xf>
    <xf numFmtId="0" fontId="156" fillId="17" borderId="94" xfId="10" applyFont="1" applyFill="1" applyBorder="1" applyAlignment="1">
      <alignment horizontal="center" vertical="center"/>
    </xf>
    <xf numFmtId="0" fontId="156" fillId="17" borderId="96" xfId="10" applyFont="1" applyFill="1" applyBorder="1" applyAlignment="1">
      <alignment horizontal="center" vertical="center"/>
    </xf>
    <xf numFmtId="0" fontId="167" fillId="54" borderId="94" xfId="10" applyFont="1" applyFill="1" applyBorder="1" applyAlignment="1">
      <alignment horizontal="center" shrinkToFit="1"/>
    </xf>
    <xf numFmtId="0" fontId="25" fillId="0" borderId="0" xfId="10" applyAlignment="1">
      <alignment horizontal="center" shrinkToFit="1"/>
    </xf>
    <xf numFmtId="0" fontId="25" fillId="0" borderId="96" xfId="10" applyBorder="1" applyAlignment="1">
      <alignment horizontal="center" shrinkToFit="1"/>
    </xf>
    <xf numFmtId="0" fontId="25" fillId="0" borderId="100" xfId="10" applyBorder="1" applyAlignment="1">
      <alignment horizontal="center" shrinkToFit="1"/>
    </xf>
    <xf numFmtId="0" fontId="25" fillId="0" borderId="8" xfId="10" applyBorder="1" applyAlignment="1">
      <alignment horizontal="center" shrinkToFit="1"/>
    </xf>
    <xf numFmtId="0" fontId="25" fillId="0" borderId="101" xfId="10" applyBorder="1" applyAlignment="1">
      <alignment horizontal="center" shrinkToFit="1"/>
    </xf>
    <xf numFmtId="0" fontId="148" fillId="15" borderId="13" xfId="10" applyFont="1" applyFill="1" applyBorder="1" applyAlignment="1">
      <alignment horizontal="center" vertical="center"/>
    </xf>
    <xf numFmtId="0" fontId="25" fillId="15" borderId="15" xfId="10" applyFill="1" applyBorder="1"/>
    <xf numFmtId="0" fontId="25" fillId="15" borderId="14" xfId="10" applyFill="1" applyBorder="1"/>
    <xf numFmtId="0" fontId="25" fillId="15" borderId="11" xfId="10" applyFill="1" applyBorder="1"/>
    <xf numFmtId="0" fontId="25" fillId="15" borderId="0" xfId="10" applyFill="1"/>
    <xf numFmtId="0" fontId="25" fillId="15" borderId="7" xfId="10" applyFill="1" applyBorder="1"/>
    <xf numFmtId="0" fontId="25" fillId="15" borderId="10" xfId="10" applyFill="1" applyBorder="1"/>
    <xf numFmtId="0" fontId="25" fillId="15" borderId="8" xfId="10" applyFill="1" applyBorder="1"/>
    <xf numFmtId="0" fontId="25" fillId="15" borderId="9" xfId="10" applyFill="1" applyBorder="1"/>
    <xf numFmtId="0" fontId="156" fillId="13" borderId="147" xfId="10" applyFont="1" applyFill="1" applyBorder="1" applyAlignment="1">
      <alignment horizontal="center" vertical="center"/>
    </xf>
    <xf numFmtId="0" fontId="156" fillId="13" borderId="15" xfId="10" applyFont="1" applyFill="1" applyBorder="1" applyAlignment="1">
      <alignment horizontal="center" vertical="center"/>
    </xf>
    <xf numFmtId="0" fontId="156" fillId="13" borderId="174" xfId="10" applyFont="1" applyFill="1" applyBorder="1" applyAlignment="1">
      <alignment horizontal="center" vertical="center"/>
    </xf>
    <xf numFmtId="0" fontId="29" fillId="13" borderId="0" xfId="10" applyFont="1" applyFill="1" applyAlignment="1">
      <alignment horizontal="center" vertical="center"/>
    </xf>
    <xf numFmtId="172" fontId="157" fillId="15" borderId="11" xfId="10" applyNumberFormat="1" applyFont="1" applyFill="1" applyBorder="1" applyAlignment="1">
      <alignment horizontal="center" vertical="center" wrapText="1"/>
    </xf>
    <xf numFmtId="0" fontId="148" fillId="0" borderId="0" xfId="10" applyFont="1" applyAlignment="1">
      <alignment horizontal="center" vertical="center" wrapText="1"/>
    </xf>
    <xf numFmtId="0" fontId="148" fillId="0" borderId="11" xfId="10" applyFont="1" applyBorder="1" applyAlignment="1">
      <alignment horizontal="center" vertical="center" wrapText="1"/>
    </xf>
    <xf numFmtId="0" fontId="148" fillId="0" borderId="10" xfId="10" applyFont="1" applyBorder="1" applyAlignment="1">
      <alignment horizontal="center" vertical="center" wrapText="1"/>
    </xf>
    <xf numFmtId="0" fontId="148" fillId="0" borderId="8" xfId="10" applyFont="1" applyBorder="1" applyAlignment="1">
      <alignment horizontal="center" vertical="center" wrapText="1"/>
    </xf>
    <xf numFmtId="172" fontId="157" fillId="15" borderId="21" xfId="10" applyNumberFormat="1" applyFont="1" applyFill="1" applyBorder="1" applyAlignment="1">
      <alignment horizontal="center" vertical="center" wrapText="1"/>
    </xf>
    <xf numFmtId="0" fontId="148" fillId="0" borderId="20" xfId="10" applyFont="1" applyBorder="1" applyAlignment="1">
      <alignment horizontal="center" vertical="center" wrapText="1"/>
    </xf>
    <xf numFmtId="0" fontId="148" fillId="0" borderId="19" xfId="10" applyFont="1" applyBorder="1" applyAlignment="1">
      <alignment horizontal="center" vertical="center" wrapText="1"/>
    </xf>
    <xf numFmtId="0" fontId="148" fillId="0" borderId="7" xfId="10" applyFont="1" applyBorder="1" applyAlignment="1">
      <alignment horizontal="center" vertical="center" wrapText="1"/>
    </xf>
    <xf numFmtId="0" fontId="148" fillId="0" borderId="9" xfId="10" applyFont="1" applyBorder="1" applyAlignment="1">
      <alignment horizontal="center" vertical="center" wrapText="1"/>
    </xf>
    <xf numFmtId="0" fontId="157" fillId="15" borderId="94" xfId="10" applyFont="1" applyFill="1" applyBorder="1" applyAlignment="1">
      <alignment horizontal="center" vertical="center" wrapText="1"/>
    </xf>
    <xf numFmtId="0" fontId="157" fillId="15" borderId="0" xfId="10" applyFont="1" applyFill="1" applyAlignment="1">
      <alignment horizontal="center" vertical="center" wrapText="1"/>
    </xf>
    <xf numFmtId="0" fontId="157" fillId="15" borderId="96" xfId="10" applyFont="1" applyFill="1" applyBorder="1" applyAlignment="1">
      <alignment horizontal="center" vertical="center" wrapText="1"/>
    </xf>
    <xf numFmtId="0" fontId="157" fillId="15" borderId="102" xfId="10" applyFont="1" applyFill="1" applyBorder="1" applyAlignment="1">
      <alignment horizontal="center" vertical="center" wrapText="1"/>
    </xf>
    <xf numFmtId="0" fontId="157" fillId="15" borderId="130" xfId="10" applyFont="1" applyFill="1" applyBorder="1" applyAlignment="1">
      <alignment horizontal="center" vertical="center" wrapText="1"/>
    </xf>
    <xf numFmtId="0" fontId="157" fillId="15" borderId="123" xfId="10" applyFont="1" applyFill="1" applyBorder="1" applyAlignment="1">
      <alignment horizontal="center" vertical="center" wrapText="1"/>
    </xf>
    <xf numFmtId="0" fontId="25" fillId="0" borderId="102" xfId="10" applyBorder="1" applyAlignment="1">
      <alignment horizontal="center" shrinkToFit="1"/>
    </xf>
    <xf numFmtId="0" fontId="25" fillId="0" borderId="130" xfId="10" applyBorder="1" applyAlignment="1">
      <alignment horizontal="center" shrinkToFit="1"/>
    </xf>
    <xf numFmtId="0" fontId="25" fillId="0" borderId="123" xfId="10" applyBorder="1" applyAlignment="1">
      <alignment horizontal="center" shrinkToFit="1"/>
    </xf>
    <xf numFmtId="0" fontId="146" fillId="67" borderId="13" xfId="10" applyFont="1" applyFill="1" applyBorder="1" applyAlignment="1">
      <alignment horizontal="center" vertical="center"/>
    </xf>
    <xf numFmtId="0" fontId="25" fillId="0" borderId="15" xfId="10" applyBorder="1" applyAlignment="1">
      <alignment horizontal="center"/>
    </xf>
    <xf numFmtId="0" fontId="25" fillId="0" borderId="14" xfId="10" applyBorder="1" applyAlignment="1">
      <alignment horizontal="center"/>
    </xf>
    <xf numFmtId="0" fontId="25" fillId="0" borderId="11" xfId="10" applyBorder="1" applyAlignment="1">
      <alignment horizontal="center"/>
    </xf>
    <xf numFmtId="0" fontId="25" fillId="0" borderId="0" xfId="10" applyAlignment="1">
      <alignment horizontal="center"/>
    </xf>
    <xf numFmtId="0" fontId="25" fillId="0" borderId="7" xfId="10" applyBorder="1" applyAlignment="1">
      <alignment horizontal="center"/>
    </xf>
    <xf numFmtId="0" fontId="45" fillId="57" borderId="13" xfId="10" applyFont="1" applyFill="1" applyBorder="1" applyAlignment="1">
      <alignment horizontal="center" vertical="center"/>
    </xf>
    <xf numFmtId="1" fontId="148" fillId="57" borderId="13" xfId="10" applyNumberFormat="1" applyFont="1" applyFill="1" applyBorder="1" applyAlignment="1">
      <alignment horizontal="center" vertical="center"/>
    </xf>
    <xf numFmtId="172" fontId="157" fillId="60" borderId="13" xfId="10" applyNumberFormat="1" applyFont="1" applyFill="1" applyBorder="1" applyAlignment="1">
      <alignment horizontal="center" vertical="center"/>
    </xf>
    <xf numFmtId="0" fontId="167" fillId="54" borderId="11" xfId="10" applyFont="1" applyFill="1" applyBorder="1" applyAlignment="1">
      <alignment horizontal="center" shrinkToFit="1"/>
    </xf>
    <xf numFmtId="0" fontId="25" fillId="0" borderId="7" xfId="10" applyBorder="1" applyAlignment="1">
      <alignment horizontal="center" shrinkToFit="1"/>
    </xf>
    <xf numFmtId="0" fontId="25" fillId="0" borderId="10" xfId="10" applyBorder="1" applyAlignment="1">
      <alignment horizontal="center" shrinkToFit="1"/>
    </xf>
    <xf numFmtId="0" fontId="25" fillId="0" borderId="9" xfId="10" applyBorder="1" applyAlignment="1">
      <alignment horizontal="center" shrinkToFit="1"/>
    </xf>
    <xf numFmtId="0" fontId="160" fillId="13" borderId="0" xfId="10" applyFont="1" applyFill="1" applyAlignment="1">
      <alignment horizontal="center"/>
    </xf>
    <xf numFmtId="0" fontId="149" fillId="0" borderId="0" xfId="10" applyFont="1"/>
    <xf numFmtId="0" fontId="149" fillId="0" borderId="7" xfId="10" applyFont="1" applyBorder="1"/>
    <xf numFmtId="0" fontId="29" fillId="13" borderId="175" xfId="10" applyFont="1" applyFill="1" applyBorder="1" applyAlignment="1">
      <alignment horizontal="center" vertical="center"/>
    </xf>
    <xf numFmtId="0" fontId="166" fillId="13" borderId="176" xfId="10" applyFont="1" applyFill="1" applyBorder="1" applyAlignment="1">
      <alignment horizontal="center" vertical="center"/>
    </xf>
    <xf numFmtId="0" fontId="166" fillId="13" borderId="177" xfId="10" applyFont="1" applyFill="1" applyBorder="1" applyAlignment="1">
      <alignment horizontal="center" vertical="center"/>
    </xf>
    <xf numFmtId="0" fontId="166" fillId="13" borderId="178" xfId="10" applyFont="1" applyFill="1" applyBorder="1" applyAlignment="1">
      <alignment horizontal="center" vertical="center"/>
    </xf>
    <xf numFmtId="0" fontId="166" fillId="13" borderId="179" xfId="10" applyFont="1" applyFill="1" applyBorder="1" applyAlignment="1">
      <alignment horizontal="center" vertical="center"/>
    </xf>
    <xf numFmtId="0" fontId="166" fillId="13" borderId="180" xfId="10" applyFont="1" applyFill="1" applyBorder="1" applyAlignment="1">
      <alignment horizontal="center" vertical="center"/>
    </xf>
    <xf numFmtId="0" fontId="148" fillId="0" borderId="175" xfId="10" applyFont="1" applyBorder="1" applyAlignment="1">
      <alignment horizontal="left" vertical="center" shrinkToFit="1"/>
    </xf>
    <xf numFmtId="0" fontId="25" fillId="0" borderId="176" xfId="10" applyBorder="1" applyAlignment="1">
      <alignment horizontal="left" vertical="center" shrinkToFit="1"/>
    </xf>
    <xf numFmtId="0" fontId="25" fillId="0" borderId="177" xfId="10" applyBorder="1" applyAlignment="1">
      <alignment horizontal="left" vertical="center" shrinkToFit="1"/>
    </xf>
    <xf numFmtId="0" fontId="25" fillId="0" borderId="178" xfId="10" applyBorder="1" applyAlignment="1">
      <alignment horizontal="left" vertical="center" shrinkToFit="1"/>
    </xf>
    <xf numFmtId="0" fontId="25" fillId="0" borderId="179" xfId="10" applyBorder="1" applyAlignment="1">
      <alignment horizontal="left" vertical="center" shrinkToFit="1"/>
    </xf>
    <xf numFmtId="0" fontId="25" fillId="0" borderId="180" xfId="10" applyBorder="1" applyAlignment="1">
      <alignment horizontal="left" vertical="center" shrinkToFit="1"/>
    </xf>
    <xf numFmtId="0" fontId="29" fillId="13" borderId="13" xfId="10" applyFont="1" applyFill="1" applyBorder="1" applyAlignment="1">
      <alignment horizontal="center" vertical="center"/>
    </xf>
    <xf numFmtId="0" fontId="157" fillId="15" borderId="13" xfId="10" applyFont="1" applyFill="1" applyBorder="1" applyAlignment="1">
      <alignment horizontal="left" vertical="center" indent="1"/>
    </xf>
    <xf numFmtId="0" fontId="25" fillId="0" borderId="11" xfId="10" applyBorder="1" applyAlignment="1">
      <alignment horizontal="left" vertical="center" indent="1"/>
    </xf>
    <xf numFmtId="0" fontId="25" fillId="0" borderId="0" xfId="10" applyAlignment="1">
      <alignment horizontal="left" vertical="center" indent="1"/>
    </xf>
    <xf numFmtId="0" fontId="25" fillId="0" borderId="7" xfId="10" applyBorder="1" applyAlignment="1">
      <alignment horizontal="left" vertical="center" indent="1"/>
    </xf>
    <xf numFmtId="172" fontId="27" fillId="49" borderId="15" xfId="10" applyNumberFormat="1" applyFont="1" applyFill="1" applyBorder="1" applyAlignment="1">
      <alignment horizontal="center" vertical="center"/>
    </xf>
    <xf numFmtId="172" fontId="27" fillId="49" borderId="14" xfId="10" applyNumberFormat="1" applyFont="1" applyFill="1" applyBorder="1" applyAlignment="1">
      <alignment horizontal="center" vertical="center"/>
    </xf>
    <xf numFmtId="172" fontId="27" fillId="49" borderId="10" xfId="10" applyNumberFormat="1" applyFont="1" applyFill="1" applyBorder="1" applyAlignment="1">
      <alignment horizontal="center" vertical="center"/>
    </xf>
    <xf numFmtId="172" fontId="27" fillId="49" borderId="8" xfId="10" applyNumberFormat="1" applyFont="1" applyFill="1" applyBorder="1" applyAlignment="1">
      <alignment horizontal="center" vertical="center"/>
    </xf>
    <xf numFmtId="172" fontId="27" fillId="49" borderId="9" xfId="10" applyNumberFormat="1" applyFont="1" applyFill="1" applyBorder="1" applyAlignment="1">
      <alignment horizontal="center" vertical="center"/>
    </xf>
    <xf numFmtId="0" fontId="157" fillId="49" borderId="15" xfId="10" applyFont="1" applyFill="1" applyBorder="1" applyAlignment="1">
      <alignment vertical="center"/>
    </xf>
    <xf numFmtId="0" fontId="157" fillId="49" borderId="14" xfId="10" applyFont="1" applyFill="1" applyBorder="1" applyAlignment="1">
      <alignment vertical="center"/>
    </xf>
    <xf numFmtId="0" fontId="157" fillId="49" borderId="8" xfId="10" applyFont="1" applyFill="1" applyBorder="1" applyAlignment="1">
      <alignment vertical="center"/>
    </xf>
    <xf numFmtId="0" fontId="157" fillId="49" borderId="9" xfId="10" applyFont="1" applyFill="1" applyBorder="1" applyAlignment="1">
      <alignment vertical="center"/>
    </xf>
    <xf numFmtId="0" fontId="150" fillId="57" borderId="13" xfId="10" applyFont="1" applyFill="1" applyBorder="1" applyAlignment="1">
      <alignment vertical="top" wrapText="1"/>
    </xf>
    <xf numFmtId="0" fontId="147" fillId="0" borderId="0" xfId="10" applyFont="1"/>
    <xf numFmtId="0" fontId="29" fillId="13" borderId="181" xfId="10" applyFont="1" applyFill="1" applyBorder="1" applyAlignment="1">
      <alignment horizontal="center" vertical="center"/>
    </xf>
    <xf numFmtId="0" fontId="25" fillId="0" borderId="182" xfId="10" applyBorder="1" applyAlignment="1">
      <alignment horizontal="center" vertical="center"/>
    </xf>
    <xf numFmtId="0" fontId="25" fillId="0" borderId="183" xfId="10" applyBorder="1" applyAlignment="1">
      <alignment horizontal="center" vertical="center"/>
    </xf>
    <xf numFmtId="0" fontId="157" fillId="15" borderId="11" xfId="10" applyFont="1" applyFill="1" applyBorder="1" applyAlignment="1">
      <alignment horizontal="left" vertical="center" indent="1"/>
    </xf>
    <xf numFmtId="1" fontId="169" fillId="49" borderId="13" xfId="10" applyNumberFormat="1" applyFont="1" applyFill="1" applyBorder="1" applyAlignment="1">
      <alignment horizontal="center" vertical="center"/>
    </xf>
    <xf numFmtId="0" fontId="25" fillId="0" borderId="15" xfId="10" applyBorder="1" applyAlignment="1">
      <alignment vertical="top" wrapText="1"/>
    </xf>
    <xf numFmtId="0" fontId="25" fillId="0" borderId="14" xfId="10" applyBorder="1" applyAlignment="1">
      <alignment vertical="top" wrapText="1"/>
    </xf>
    <xf numFmtId="0" fontId="25" fillId="0" borderId="11" xfId="10" applyBorder="1" applyAlignment="1">
      <alignment vertical="top" wrapText="1"/>
    </xf>
    <xf numFmtId="0" fontId="25" fillId="0" borderId="0" xfId="10" applyAlignment="1">
      <alignment vertical="top" wrapText="1"/>
    </xf>
    <xf numFmtId="0" fontId="25" fillId="0" borderId="7" xfId="10" applyBorder="1" applyAlignment="1">
      <alignment vertical="top" wrapText="1"/>
    </xf>
    <xf numFmtId="0" fontId="25" fillId="0" borderId="10" xfId="10" applyBorder="1" applyAlignment="1">
      <alignment vertical="top" wrapText="1"/>
    </xf>
    <xf numFmtId="0" fontId="25" fillId="0" borderId="8" xfId="10" applyBorder="1" applyAlignment="1">
      <alignment vertical="top" wrapText="1"/>
    </xf>
    <xf numFmtId="0" fontId="25" fillId="0" borderId="9" xfId="10" applyBorder="1" applyAlignment="1">
      <alignment vertical="top" wrapText="1"/>
    </xf>
    <xf numFmtId="0" fontId="150" fillId="57" borderId="13" xfId="10" applyFont="1" applyFill="1" applyBorder="1" applyAlignment="1">
      <alignment horizontal="left" vertical="top" wrapText="1"/>
    </xf>
    <xf numFmtId="0" fontId="148" fillId="61" borderId="13" xfId="10" applyFont="1" applyFill="1" applyBorder="1" applyAlignment="1">
      <alignment horizontal="left" vertical="center" wrapText="1" indent="1"/>
    </xf>
    <xf numFmtId="0" fontId="25" fillId="0" borderId="15" xfId="10" applyBorder="1" applyAlignment="1">
      <alignment horizontal="left" vertical="center" wrapText="1" indent="1"/>
    </xf>
    <xf numFmtId="0" fontId="25" fillId="0" borderId="14" xfId="10" applyBorder="1" applyAlignment="1">
      <alignment horizontal="left" vertical="center" wrapText="1" indent="1"/>
    </xf>
    <xf numFmtId="0" fontId="25" fillId="0" borderId="11" xfId="10" applyBorder="1" applyAlignment="1">
      <alignment horizontal="left" vertical="center" wrapText="1" indent="1"/>
    </xf>
    <xf numFmtId="0" fontId="25" fillId="0" borderId="0" xfId="10" applyAlignment="1">
      <alignment horizontal="left" vertical="center" wrapText="1" indent="1"/>
    </xf>
    <xf numFmtId="0" fontId="25" fillId="0" borderId="7" xfId="10" applyBorder="1" applyAlignment="1">
      <alignment horizontal="left" vertical="center" wrapText="1" indent="1"/>
    </xf>
    <xf numFmtId="0" fontId="25" fillId="0" borderId="10" xfId="10" applyBorder="1" applyAlignment="1">
      <alignment horizontal="left" vertical="center" wrapText="1" indent="1"/>
    </xf>
    <xf numFmtId="0" fontId="25" fillId="0" borderId="8" xfId="10" applyBorder="1" applyAlignment="1">
      <alignment horizontal="left" vertical="center" wrapText="1" indent="1"/>
    </xf>
    <xf numFmtId="0" fontId="25" fillId="0" borderId="9" xfId="10" applyBorder="1" applyAlignment="1">
      <alignment horizontal="left" vertical="center" wrapText="1" indent="1"/>
    </xf>
    <xf numFmtId="0" fontId="158" fillId="57" borderId="13" xfId="10" applyFont="1" applyFill="1" applyBorder="1" applyAlignment="1">
      <alignment horizontal="center" vertical="center"/>
    </xf>
    <xf numFmtId="0" fontId="150" fillId="57" borderId="15" xfId="10" applyFont="1" applyFill="1" applyBorder="1"/>
    <xf numFmtId="0" fontId="150" fillId="57" borderId="14" xfId="10" applyFont="1" applyFill="1" applyBorder="1"/>
    <xf numFmtId="0" fontId="150" fillId="57" borderId="11" xfId="10" applyFont="1" applyFill="1" applyBorder="1"/>
    <xf numFmtId="0" fontId="150" fillId="57" borderId="0" xfId="10" applyFont="1" applyFill="1"/>
    <xf numFmtId="0" fontId="150" fillId="57" borderId="7" xfId="10" applyFont="1" applyFill="1" applyBorder="1"/>
    <xf numFmtId="0" fontId="150" fillId="57" borderId="10" xfId="10" applyFont="1" applyFill="1" applyBorder="1"/>
    <xf numFmtId="0" fontId="150" fillId="57" borderId="8" xfId="10" applyFont="1" applyFill="1" applyBorder="1"/>
    <xf numFmtId="0" fontId="150" fillId="57" borderId="9" xfId="10" applyFont="1" applyFill="1" applyBorder="1"/>
    <xf numFmtId="0" fontId="29" fillId="13" borderId="15" xfId="10" applyFont="1" applyFill="1" applyBorder="1" applyAlignment="1">
      <alignment horizontal="center" vertical="center"/>
    </xf>
    <xf numFmtId="0" fontId="29" fillId="13" borderId="14" xfId="10" applyFont="1" applyFill="1" applyBorder="1" applyAlignment="1">
      <alignment horizontal="center" vertical="center"/>
    </xf>
    <xf numFmtId="0" fontId="29" fillId="13" borderId="11" xfId="10" applyFont="1" applyFill="1" applyBorder="1" applyAlignment="1">
      <alignment horizontal="center" vertical="center"/>
    </xf>
    <xf numFmtId="0" fontId="29" fillId="13" borderId="7" xfId="10" applyFont="1" applyFill="1" applyBorder="1" applyAlignment="1">
      <alignment horizontal="center" vertical="center"/>
    </xf>
    <xf numFmtId="0" fontId="29" fillId="13" borderId="10" xfId="10" applyFont="1" applyFill="1" applyBorder="1" applyAlignment="1">
      <alignment horizontal="center" vertical="center"/>
    </xf>
    <xf numFmtId="0" fontId="29" fillId="13" borderId="8" xfId="10" applyFont="1" applyFill="1" applyBorder="1" applyAlignment="1">
      <alignment horizontal="center" vertical="center"/>
    </xf>
    <xf numFmtId="0" fontId="29" fillId="13" borderId="9" xfId="10" applyFont="1" applyFill="1" applyBorder="1" applyAlignment="1">
      <alignment horizontal="center" vertical="center"/>
    </xf>
    <xf numFmtId="0" fontId="168" fillId="17" borderId="0" xfId="10" applyFont="1" applyFill="1" applyAlignment="1">
      <alignment horizontal="center" vertical="center" wrapText="1"/>
    </xf>
    <xf numFmtId="1" fontId="156" fillId="13" borderId="92" xfId="10" applyNumberFormat="1" applyFont="1" applyFill="1" applyBorder="1" applyAlignment="1">
      <alignment horizontal="center" vertical="center"/>
    </xf>
    <xf numFmtId="0" fontId="25" fillId="0" borderId="20" xfId="10" applyBorder="1" applyAlignment="1">
      <alignment horizontal="center" vertical="center"/>
    </xf>
    <xf numFmtId="0" fontId="25" fillId="0" borderId="93" xfId="10" applyBorder="1" applyAlignment="1">
      <alignment horizontal="center" vertical="center"/>
    </xf>
    <xf numFmtId="0" fontId="25" fillId="0" borderId="102" xfId="10" applyBorder="1" applyAlignment="1">
      <alignment horizontal="center" vertical="center"/>
    </xf>
    <xf numFmtId="0" fontId="25" fillId="0" borderId="130" xfId="10" applyBorder="1" applyAlignment="1">
      <alignment horizontal="center" vertical="center"/>
    </xf>
    <xf numFmtId="0" fontId="25" fillId="0" borderId="123" xfId="10" applyBorder="1" applyAlignment="1">
      <alignment horizontal="center" vertical="center"/>
    </xf>
    <xf numFmtId="0" fontId="148" fillId="15" borderId="21" xfId="10" applyFont="1" applyFill="1" applyBorder="1" applyAlignment="1">
      <alignment horizontal="left" vertical="top" wrapText="1"/>
    </xf>
    <xf numFmtId="0" fontId="25" fillId="15" borderId="20" xfId="10" applyFill="1" applyBorder="1" applyAlignment="1">
      <alignment horizontal="left" vertical="top" wrapText="1"/>
    </xf>
    <xf numFmtId="0" fontId="25" fillId="0" borderId="20" xfId="10" applyBorder="1" applyAlignment="1">
      <alignment horizontal="left" vertical="top" wrapText="1"/>
    </xf>
    <xf numFmtId="0" fontId="25" fillId="0" borderId="19" xfId="10" applyBorder="1" applyAlignment="1">
      <alignment horizontal="left" vertical="top" wrapText="1"/>
    </xf>
    <xf numFmtId="0" fontId="25" fillId="15" borderId="11" xfId="10" applyFill="1" applyBorder="1" applyAlignment="1">
      <alignment horizontal="left" vertical="top" wrapText="1"/>
    </xf>
    <xf numFmtId="0" fontId="25" fillId="15" borderId="0" xfId="10" applyFill="1" applyAlignment="1">
      <alignment horizontal="left" vertical="top" wrapText="1"/>
    </xf>
    <xf numFmtId="0" fontId="28" fillId="57" borderId="21" xfId="10" applyFont="1" applyFill="1" applyBorder="1" applyAlignment="1">
      <alignment horizontal="center" vertical="center" wrapText="1"/>
    </xf>
    <xf numFmtId="0" fontId="25" fillId="0" borderId="20" xfId="10" applyBorder="1" applyAlignment="1">
      <alignment horizontal="center" vertical="center" wrapText="1"/>
    </xf>
    <xf numFmtId="0" fontId="25" fillId="0" borderId="19" xfId="10" applyBorder="1" applyAlignment="1">
      <alignment horizontal="center" vertical="center" wrapText="1"/>
    </xf>
    <xf numFmtId="0" fontId="25" fillId="57" borderId="13" xfId="10" applyFill="1" applyBorder="1" applyAlignment="1">
      <alignment horizontal="center" vertical="center"/>
    </xf>
    <xf numFmtId="0" fontId="157" fillId="15" borderId="13" xfId="10" applyFont="1" applyFill="1" applyBorder="1" applyAlignment="1">
      <alignment horizontal="left" vertical="center" wrapText="1" indent="1"/>
    </xf>
    <xf numFmtId="0" fontId="28" fillId="57" borderId="13" xfId="10" applyFont="1" applyFill="1" applyBorder="1" applyAlignment="1">
      <alignment horizontal="center" vertical="center" wrapText="1"/>
    </xf>
    <xf numFmtId="0" fontId="156" fillId="17" borderId="0" xfId="10" applyFont="1" applyFill="1" applyAlignment="1">
      <alignment horizontal="center" vertical="center" wrapText="1"/>
    </xf>
    <xf numFmtId="0" fontId="150" fillId="57" borderId="11" xfId="10" applyFont="1" applyFill="1" applyBorder="1" applyAlignment="1">
      <alignment vertical="top" wrapText="1"/>
    </xf>
    <xf numFmtId="0" fontId="28" fillId="57" borderId="11" xfId="10" applyFont="1" applyFill="1" applyBorder="1" applyAlignment="1">
      <alignment horizontal="center" vertical="center"/>
    </xf>
    <xf numFmtId="0" fontId="148" fillId="59" borderId="94" xfId="10" applyFont="1" applyFill="1" applyBorder="1" applyAlignment="1">
      <alignment horizontal="center" vertical="center" wrapText="1" shrinkToFit="1"/>
    </xf>
    <xf numFmtId="0" fontId="148" fillId="0" borderId="0" xfId="10" applyFont="1" applyAlignment="1">
      <alignment wrapText="1"/>
    </xf>
    <xf numFmtId="0" fontId="148" fillId="0" borderId="7" xfId="10" applyFont="1" applyBorder="1" applyAlignment="1">
      <alignment wrapText="1"/>
    </xf>
    <xf numFmtId="0" fontId="148" fillId="0" borderId="94" xfId="10" applyFont="1" applyBorder="1" applyAlignment="1">
      <alignment wrapText="1"/>
    </xf>
    <xf numFmtId="0" fontId="148" fillId="0" borderId="102" xfId="10" applyFont="1" applyBorder="1" applyAlignment="1">
      <alignment wrapText="1"/>
    </xf>
    <xf numFmtId="0" fontId="148" fillId="0" borderId="130" xfId="10" applyFont="1" applyBorder="1" applyAlignment="1">
      <alignment wrapText="1"/>
    </xf>
    <xf numFmtId="0" fontId="148" fillId="0" borderId="105" xfId="10" applyFont="1" applyBorder="1" applyAlignment="1">
      <alignment wrapText="1"/>
    </xf>
    <xf numFmtId="1" fontId="148" fillId="59" borderId="13" xfId="10" applyNumberFormat="1" applyFont="1" applyFill="1" applyBorder="1" applyAlignment="1">
      <alignment horizontal="center" vertical="center" wrapText="1" shrinkToFit="1"/>
    </xf>
    <xf numFmtId="0" fontId="148" fillId="59" borderId="15" xfId="10" applyFont="1" applyFill="1" applyBorder="1" applyAlignment="1">
      <alignment horizontal="center" vertical="center"/>
    </xf>
    <xf numFmtId="0" fontId="148" fillId="59" borderId="174" xfId="10" applyFont="1" applyFill="1" applyBorder="1" applyAlignment="1">
      <alignment horizontal="center" vertical="center"/>
    </xf>
    <xf numFmtId="0" fontId="148" fillId="59" borderId="11" xfId="10" applyFont="1" applyFill="1" applyBorder="1" applyAlignment="1">
      <alignment horizontal="center" vertical="center"/>
    </xf>
    <xf numFmtId="0" fontId="148" fillId="59" borderId="0" xfId="10" applyFont="1" applyFill="1" applyAlignment="1">
      <alignment horizontal="center" vertical="center"/>
    </xf>
    <xf numFmtId="0" fontId="148" fillId="59" borderId="96" xfId="10" applyFont="1" applyFill="1" applyBorder="1" applyAlignment="1">
      <alignment horizontal="center" vertical="center"/>
    </xf>
    <xf numFmtId="0" fontId="148" fillId="59" borderId="104" xfId="10" applyFont="1" applyFill="1" applyBorder="1" applyAlignment="1">
      <alignment horizontal="center" vertical="center"/>
    </xf>
    <xf numFmtId="0" fontId="148" fillId="59" borderId="130" xfId="10" applyFont="1" applyFill="1" applyBorder="1" applyAlignment="1">
      <alignment horizontal="center" vertical="center"/>
    </xf>
    <xf numFmtId="0" fontId="148" fillId="59" borderId="123" xfId="10" applyFont="1" applyFill="1" applyBorder="1" applyAlignment="1">
      <alignment horizontal="center" vertical="center"/>
    </xf>
    <xf numFmtId="0" fontId="156" fillId="17" borderId="15" xfId="10" applyFont="1" applyFill="1" applyBorder="1" applyAlignment="1">
      <alignment horizontal="center" vertical="center" wrapText="1"/>
    </xf>
    <xf numFmtId="0" fontId="25" fillId="64" borderId="13" xfId="10" applyFill="1" applyBorder="1" applyAlignment="1">
      <alignment vertical="center" shrinkToFit="1"/>
    </xf>
    <xf numFmtId="0" fontId="29" fillId="69" borderId="94" xfId="10" applyFont="1" applyFill="1" applyBorder="1" applyAlignment="1">
      <alignment horizontal="center" vertical="center"/>
    </xf>
    <xf numFmtId="0" fontId="148" fillId="0" borderId="0" xfId="10" applyFont="1" applyAlignment="1">
      <alignment horizontal="center" vertical="center"/>
    </xf>
    <xf numFmtId="0" fontId="148" fillId="0" borderId="7" xfId="10" applyFont="1" applyBorder="1" applyAlignment="1">
      <alignment horizontal="center" vertical="center"/>
    </xf>
    <xf numFmtId="0" fontId="29" fillId="69" borderId="11" xfId="10" applyFont="1" applyFill="1" applyBorder="1" applyAlignment="1">
      <alignment horizontal="center" vertical="center"/>
    </xf>
    <xf numFmtId="0" fontId="148" fillId="0" borderId="96" xfId="10" applyFont="1" applyBorder="1" applyAlignment="1">
      <alignment horizontal="center" vertical="center"/>
    </xf>
    <xf numFmtId="0" fontId="28" fillId="57" borderId="13" xfId="10" applyFont="1" applyFill="1" applyBorder="1" applyAlignment="1">
      <alignment horizontal="left" vertical="top" wrapText="1"/>
    </xf>
    <xf numFmtId="3" fontId="157" fillId="59" borderId="94" xfId="10" applyNumberFormat="1" applyFont="1" applyFill="1" applyBorder="1" applyAlignment="1">
      <alignment horizontal="center" vertical="center"/>
    </xf>
    <xf numFmtId="0" fontId="148" fillId="0" borderId="94" xfId="10" applyFont="1" applyBorder="1" applyAlignment="1">
      <alignment horizontal="center" vertical="center"/>
    </xf>
    <xf numFmtId="3" fontId="157" fillId="59" borderId="11" xfId="10" applyNumberFormat="1" applyFont="1" applyFill="1" applyBorder="1" applyAlignment="1">
      <alignment horizontal="center" vertical="center"/>
    </xf>
    <xf numFmtId="0" fontId="148" fillId="0" borderId="10" xfId="10" applyFont="1" applyBorder="1" applyAlignment="1">
      <alignment horizontal="center" vertical="center"/>
    </xf>
    <xf numFmtId="0" fontId="148" fillId="0" borderId="8" xfId="10" applyFont="1" applyBorder="1" applyAlignment="1">
      <alignment horizontal="center" vertical="center"/>
    </xf>
    <xf numFmtId="0" fontId="148" fillId="0" borderId="101" xfId="10" applyFont="1" applyBorder="1" applyAlignment="1">
      <alignment horizontal="center" vertical="center"/>
    </xf>
    <xf numFmtId="0" fontId="160" fillId="17" borderId="0" xfId="10" applyFont="1" applyFill="1" applyAlignment="1">
      <alignment horizontal="center" vertical="center" wrapText="1"/>
    </xf>
    <xf numFmtId="0" fontId="25" fillId="0" borderId="94" xfId="10" applyBorder="1" applyAlignment="1">
      <alignment horizontal="center" vertical="center"/>
    </xf>
    <xf numFmtId="0" fontId="25" fillId="0" borderId="96" xfId="10" applyBorder="1" applyAlignment="1">
      <alignment horizontal="center" vertical="center"/>
    </xf>
    <xf numFmtId="0" fontId="160" fillId="68" borderId="13" xfId="10" applyFont="1" applyFill="1" applyBorder="1" applyAlignment="1">
      <alignment horizontal="center" vertical="center" shrinkToFit="1"/>
    </xf>
    <xf numFmtId="0" fontId="149" fillId="0" borderId="15" xfId="10" applyFont="1" applyBorder="1" applyAlignment="1">
      <alignment horizontal="center" vertical="center" shrinkToFit="1"/>
    </xf>
    <xf numFmtId="0" fontId="25" fillId="0" borderId="15" xfId="10" applyBorder="1" applyAlignment="1">
      <alignment shrinkToFit="1"/>
    </xf>
    <xf numFmtId="0" fontId="25" fillId="0" borderId="14" xfId="10" applyBorder="1" applyAlignment="1">
      <alignment shrinkToFit="1"/>
    </xf>
    <xf numFmtId="0" fontId="149" fillId="0" borderId="10" xfId="10" applyFont="1" applyBorder="1" applyAlignment="1">
      <alignment horizontal="center" vertical="center" shrinkToFit="1"/>
    </xf>
    <xf numFmtId="0" fontId="149" fillId="0" borderId="8" xfId="10" applyFont="1" applyBorder="1" applyAlignment="1">
      <alignment horizontal="center" vertical="center" shrinkToFit="1"/>
    </xf>
    <xf numFmtId="0" fontId="25" fillId="0" borderId="8" xfId="10" applyBorder="1" applyAlignment="1">
      <alignment shrinkToFit="1"/>
    </xf>
    <xf numFmtId="0" fontId="25" fillId="0" borderId="9" xfId="10" applyBorder="1" applyAlignment="1">
      <alignment shrinkToFit="1"/>
    </xf>
    <xf numFmtId="0" fontId="29" fillId="69" borderId="92" xfId="10" applyFont="1" applyFill="1" applyBorder="1" applyAlignment="1">
      <alignment horizontal="center" vertical="center"/>
    </xf>
    <xf numFmtId="0" fontId="25" fillId="0" borderId="19" xfId="10" applyBorder="1" applyAlignment="1">
      <alignment horizontal="center" vertical="center"/>
    </xf>
    <xf numFmtId="0" fontId="29" fillId="69" borderId="21" xfId="10" applyFont="1" applyFill="1" applyBorder="1" applyAlignment="1">
      <alignment horizontal="center" vertical="center"/>
    </xf>
    <xf numFmtId="0" fontId="148" fillId="0" borderId="11" xfId="10" applyFont="1" applyBorder="1" applyAlignment="1">
      <alignment horizontal="center" vertical="center"/>
    </xf>
    <xf numFmtId="0" fontId="25" fillId="64" borderId="13" xfId="10" applyFill="1" applyBorder="1" applyAlignment="1">
      <alignment vertical="center" wrapText="1" shrinkToFit="1"/>
    </xf>
    <xf numFmtId="0" fontId="25" fillId="0" borderId="15" xfId="10" applyBorder="1" applyAlignment="1">
      <alignment vertical="center" wrapText="1" shrinkToFit="1"/>
    </xf>
    <xf numFmtId="0" fontId="25" fillId="0" borderId="15" xfId="10" applyBorder="1" applyAlignment="1">
      <alignment vertical="center" wrapText="1"/>
    </xf>
    <xf numFmtId="0" fontId="25" fillId="0" borderId="14" xfId="10" applyBorder="1" applyAlignment="1">
      <alignment vertical="center" wrapText="1"/>
    </xf>
    <xf numFmtId="0" fontId="25" fillId="0" borderId="10" xfId="10" applyBorder="1" applyAlignment="1">
      <alignment vertical="center" wrapText="1" shrinkToFit="1"/>
    </xf>
    <xf numFmtId="0" fontId="25" fillId="0" borderId="8" xfId="10" applyBorder="1" applyAlignment="1">
      <alignment vertical="center" wrapText="1" shrinkToFit="1"/>
    </xf>
    <xf numFmtId="0" fontId="25" fillId="0" borderId="8" xfId="10" applyBorder="1" applyAlignment="1">
      <alignment vertical="center" wrapText="1"/>
    </xf>
    <xf numFmtId="0" fontId="25" fillId="0" borderId="9" xfId="10" applyBorder="1" applyAlignment="1">
      <alignment vertical="center" wrapText="1"/>
    </xf>
    <xf numFmtId="0" fontId="148" fillId="0" borderId="0" xfId="10" applyFont="1"/>
    <xf numFmtId="0" fontId="148" fillId="0" borderId="7" xfId="10" applyFont="1" applyBorder="1"/>
    <xf numFmtId="0" fontId="148" fillId="0" borderId="94" xfId="10" applyFont="1" applyBorder="1"/>
    <xf numFmtId="0" fontId="148" fillId="0" borderId="96" xfId="10" applyFont="1" applyBorder="1"/>
    <xf numFmtId="0" fontId="148" fillId="0" borderId="11" xfId="10" applyFont="1" applyBorder="1"/>
    <xf numFmtId="0" fontId="28" fillId="57" borderId="13" xfId="10" applyFont="1" applyFill="1" applyBorder="1" applyAlignment="1">
      <alignment horizontal="left" vertical="top" wrapText="1" shrinkToFit="1"/>
    </xf>
    <xf numFmtId="0" fontId="25" fillId="0" borderId="15" xfId="10" applyBorder="1" applyAlignment="1">
      <alignment horizontal="left" vertical="top" wrapText="1" shrinkToFit="1"/>
    </xf>
    <xf numFmtId="0" fontId="25" fillId="0" borderId="14" xfId="10" applyBorder="1" applyAlignment="1">
      <alignment horizontal="left" vertical="top" wrapText="1" shrinkToFit="1"/>
    </xf>
    <xf numFmtId="0" fontId="25" fillId="0" borderId="11" xfId="10" applyBorder="1" applyAlignment="1">
      <alignment horizontal="left" vertical="top" wrapText="1" shrinkToFit="1"/>
    </xf>
    <xf numFmtId="0" fontId="25" fillId="0" borderId="0" xfId="10" applyAlignment="1">
      <alignment horizontal="left" vertical="top" wrapText="1" shrinkToFit="1"/>
    </xf>
    <xf numFmtId="0" fontId="25" fillId="0" borderId="7" xfId="10" applyBorder="1" applyAlignment="1">
      <alignment horizontal="left" vertical="top" wrapText="1" shrinkToFit="1"/>
    </xf>
    <xf numFmtId="0" fontId="25" fillId="0" borderId="10" xfId="10" applyBorder="1" applyAlignment="1">
      <alignment horizontal="left" vertical="top" wrapText="1" shrinkToFit="1"/>
    </xf>
    <xf numFmtId="0" fontId="25" fillId="0" borderId="8" xfId="10" applyBorder="1" applyAlignment="1">
      <alignment horizontal="left" vertical="top" wrapText="1" shrinkToFit="1"/>
    </xf>
    <xf numFmtId="0" fontId="25" fillId="0" borderId="9" xfId="10" applyBorder="1" applyAlignment="1">
      <alignment horizontal="left" vertical="top" wrapText="1" shrinkToFit="1"/>
    </xf>
    <xf numFmtId="0" fontId="149" fillId="48" borderId="89" xfId="10" applyFont="1" applyFill="1" applyBorder="1" applyAlignment="1">
      <alignment horizontal="center" vertical="center"/>
    </xf>
    <xf numFmtId="0" fontId="149" fillId="48" borderId="90" xfId="10" applyFont="1" applyFill="1" applyBorder="1" applyAlignment="1">
      <alignment horizontal="center" vertical="center"/>
    </xf>
    <xf numFmtId="0" fontId="149" fillId="48" borderId="91" xfId="10" applyFont="1" applyFill="1" applyBorder="1" applyAlignment="1">
      <alignment horizontal="center" vertical="center"/>
    </xf>
    <xf numFmtId="0" fontId="45" fillId="48" borderId="89" xfId="10" applyFont="1" applyFill="1" applyBorder="1" applyAlignment="1">
      <alignment horizontal="center" vertical="center"/>
    </xf>
    <xf numFmtId="0" fontId="25" fillId="0" borderId="90" xfId="10" applyBorder="1" applyAlignment="1">
      <alignment horizontal="center" vertical="center"/>
    </xf>
    <xf numFmtId="0" fontId="25" fillId="0" borderId="91" xfId="10" applyBorder="1" applyAlignment="1">
      <alignment horizontal="center" vertical="center"/>
    </xf>
    <xf numFmtId="0" fontId="45" fillId="48" borderId="90" xfId="10" applyFont="1" applyFill="1" applyBorder="1" applyAlignment="1">
      <alignment horizontal="center" vertical="center"/>
    </xf>
    <xf numFmtId="0" fontId="45" fillId="48" borderId="91" xfId="10" applyFont="1" applyFill="1" applyBorder="1" applyAlignment="1">
      <alignment horizontal="center" vertical="center"/>
    </xf>
    <xf numFmtId="0" fontId="148" fillId="48" borderId="12" xfId="10" applyFont="1" applyFill="1" applyBorder="1" applyAlignment="1">
      <alignment horizontal="center" vertical="center"/>
    </xf>
    <xf numFmtId="0" fontId="25" fillId="48" borderId="18" xfId="10" applyFill="1" applyBorder="1" applyAlignment="1">
      <alignment horizontal="center" vertical="center"/>
    </xf>
    <xf numFmtId="166" fontId="103" fillId="0" borderId="40" xfId="14" applyNumberFormat="1" applyFont="1" applyBorder="1" applyAlignment="1">
      <alignment horizontal="center" vertical="center" shrinkToFit="1"/>
    </xf>
    <xf numFmtId="0" fontId="7" fillId="0" borderId="38" xfId="14" applyFont="1" applyBorder="1"/>
    <xf numFmtId="0" fontId="7" fillId="0" borderId="39" xfId="14" applyFont="1" applyBorder="1"/>
    <xf numFmtId="0" fontId="106" fillId="29" borderId="42" xfId="14" applyFont="1" applyFill="1" applyBorder="1" applyAlignment="1">
      <alignment horizontal="center" vertical="center"/>
    </xf>
    <xf numFmtId="0" fontId="7" fillId="0" borderId="37" xfId="14" applyFont="1" applyBorder="1"/>
    <xf numFmtId="0" fontId="106" fillId="0" borderId="65" xfId="14" applyFont="1" applyBorder="1" applyAlignment="1">
      <alignment horizontal="center" vertical="center"/>
    </xf>
    <xf numFmtId="0" fontId="7" fillId="0" borderId="64" xfId="14" applyFont="1" applyBorder="1"/>
    <xf numFmtId="0" fontId="7" fillId="0" borderId="63" xfId="14" applyFont="1" applyBorder="1"/>
    <xf numFmtId="0" fontId="7" fillId="0" borderId="32" xfId="14" applyFont="1" applyBorder="1"/>
    <xf numFmtId="0" fontId="7" fillId="0" borderId="29" xfId="14" applyFont="1" applyBorder="1"/>
    <xf numFmtId="0" fontId="7" fillId="0" borderId="28" xfId="14" applyFont="1" applyBorder="1"/>
    <xf numFmtId="0" fontId="106" fillId="31" borderId="42" xfId="14" applyFont="1" applyFill="1" applyBorder="1" applyAlignment="1">
      <alignment horizontal="center" vertical="center"/>
    </xf>
    <xf numFmtId="0" fontId="82" fillId="0" borderId="50" xfId="14" applyFont="1" applyBorder="1" applyAlignment="1">
      <alignment horizontal="center" vertical="top" wrapText="1"/>
    </xf>
    <xf numFmtId="0" fontId="7" fillId="0" borderId="49" xfId="14" applyFont="1" applyBorder="1"/>
    <xf numFmtId="0" fontId="7" fillId="0" borderId="51" xfId="14" applyFont="1" applyBorder="1"/>
    <xf numFmtId="166" fontId="117" fillId="0" borderId="65" xfId="14" applyNumberFormat="1" applyFont="1" applyBorder="1" applyAlignment="1">
      <alignment horizontal="center" vertical="center"/>
    </xf>
    <xf numFmtId="0" fontId="7" fillId="0" borderId="36" xfId="14" applyFont="1" applyBorder="1"/>
    <xf numFmtId="0" fontId="79" fillId="0" borderId="58" xfId="14" applyFont="1" applyBorder="1" applyAlignment="1">
      <alignment horizontal="center" vertical="center"/>
    </xf>
    <xf numFmtId="0" fontId="7" fillId="0" borderId="57" xfId="14" applyFont="1" applyBorder="1"/>
    <xf numFmtId="0" fontId="104" fillId="31" borderId="40" xfId="14" applyFont="1" applyFill="1" applyBorder="1" applyAlignment="1">
      <alignment horizontal="center" vertical="center" shrinkToFit="1"/>
    </xf>
    <xf numFmtId="49" fontId="106" fillId="0" borderId="0" xfId="14" applyNumberFormat="1" applyFont="1" applyAlignment="1">
      <alignment horizontal="center" vertical="center" shrinkToFit="1"/>
    </xf>
    <xf numFmtId="0" fontId="7" fillId="0" borderId="34" xfId="14" applyFont="1" applyBorder="1"/>
    <xf numFmtId="0" fontId="7" fillId="0" borderId="70" xfId="14" applyFont="1" applyBorder="1"/>
    <xf numFmtId="0" fontId="104" fillId="33" borderId="42" xfId="14" applyFont="1" applyFill="1" applyBorder="1" applyAlignment="1">
      <alignment horizontal="center" vertical="center"/>
    </xf>
    <xf numFmtId="0" fontId="88" fillId="27" borderId="64" xfId="14" applyFont="1" applyFill="1" applyBorder="1" applyAlignment="1">
      <alignment horizontal="center" vertical="center" textRotation="90" wrapText="1"/>
    </xf>
    <xf numFmtId="0" fontId="7" fillId="0" borderId="0" xfId="14" applyFont="1"/>
    <xf numFmtId="0" fontId="7" fillId="0" borderId="33" xfId="14" applyFont="1" applyBorder="1"/>
    <xf numFmtId="0" fontId="82" fillId="0" borderId="69" xfId="14" applyFont="1" applyBorder="1" applyAlignment="1">
      <alignment horizontal="center" vertical="top" wrapText="1"/>
    </xf>
    <xf numFmtId="0" fontId="94" fillId="31" borderId="42" xfId="14" applyFont="1" applyFill="1" applyBorder="1" applyAlignment="1">
      <alignment horizontal="center" vertical="center"/>
    </xf>
    <xf numFmtId="0" fontId="111" fillId="29" borderId="42" xfId="14" applyFont="1" applyFill="1" applyBorder="1" applyAlignment="1">
      <alignment horizontal="left" vertical="center"/>
    </xf>
    <xf numFmtId="0" fontId="121" fillId="27" borderId="42" xfId="14" applyFont="1" applyFill="1" applyBorder="1" applyAlignment="1">
      <alignment horizontal="center" vertical="center" shrinkToFit="1"/>
    </xf>
    <xf numFmtId="0" fontId="79" fillId="0" borderId="57" xfId="14" applyFont="1" applyBorder="1" applyAlignment="1">
      <alignment horizontal="left" vertical="center"/>
    </xf>
    <xf numFmtId="0" fontId="119" fillId="0" borderId="42" xfId="14" applyFont="1" applyBorder="1" applyAlignment="1">
      <alignment vertical="center"/>
    </xf>
    <xf numFmtId="0" fontId="79" fillId="0" borderId="32" xfId="14" applyFont="1" applyBorder="1" applyAlignment="1">
      <alignment horizontal="center" vertical="center"/>
    </xf>
    <xf numFmtId="0" fontId="106" fillId="29" borderId="79" xfId="14" applyFont="1" applyFill="1" applyBorder="1" applyAlignment="1">
      <alignment horizontal="center" vertical="center" wrapText="1"/>
    </xf>
    <xf numFmtId="0" fontId="7" fillId="0" borderId="31" xfId="14" applyFont="1" applyBorder="1"/>
    <xf numFmtId="0" fontId="102" fillId="27" borderId="68" xfId="14" applyFont="1" applyFill="1" applyBorder="1" applyAlignment="1">
      <alignment horizontal="center" vertical="center" textRotation="90" shrinkToFit="1"/>
    </xf>
    <xf numFmtId="0" fontId="7" fillId="0" borderId="67" xfId="14" applyFont="1" applyBorder="1"/>
    <xf numFmtId="0" fontId="7" fillId="0" borderId="66" xfId="14" applyFont="1" applyBorder="1"/>
    <xf numFmtId="0" fontId="102" fillId="34" borderId="68" xfId="14" applyFont="1" applyFill="1" applyBorder="1" applyAlignment="1">
      <alignment horizontal="center" vertical="center" textRotation="90"/>
    </xf>
    <xf numFmtId="166" fontId="82" fillId="0" borderId="69" xfId="14" applyNumberFormat="1" applyFont="1" applyBorder="1" applyAlignment="1">
      <alignment horizontal="center" vertical="top"/>
    </xf>
    <xf numFmtId="0" fontId="104" fillId="31" borderId="65" xfId="14" applyFont="1" applyFill="1" applyBorder="1" applyAlignment="1">
      <alignment horizontal="center" vertical="center"/>
    </xf>
    <xf numFmtId="0" fontId="90" fillId="33" borderId="68" xfId="14" applyFont="1" applyFill="1" applyBorder="1" applyAlignment="1">
      <alignment vertical="center"/>
    </xf>
    <xf numFmtId="166" fontId="82" fillId="0" borderId="50" xfId="14" applyNumberFormat="1" applyFont="1" applyBorder="1" applyAlignment="1">
      <alignment horizontal="center" vertical="top"/>
    </xf>
    <xf numFmtId="0" fontId="104" fillId="32" borderId="65" xfId="14" applyFont="1" applyFill="1" applyBorder="1" applyAlignment="1">
      <alignment horizontal="center" vertical="center"/>
    </xf>
    <xf numFmtId="0" fontId="94" fillId="29" borderId="42" xfId="14" applyFont="1" applyFill="1" applyBorder="1" applyAlignment="1">
      <alignment horizontal="center" vertical="center"/>
    </xf>
    <xf numFmtId="49" fontId="95" fillId="27" borderId="42" xfId="14" applyNumberFormat="1" applyFont="1" applyFill="1" applyBorder="1" applyAlignment="1">
      <alignment horizontal="left" vertical="center"/>
    </xf>
    <xf numFmtId="49" fontId="79" fillId="0" borderId="58" xfId="14" applyNumberFormat="1" applyFont="1" applyBorder="1" applyAlignment="1">
      <alignment horizontal="left" vertical="center"/>
    </xf>
    <xf numFmtId="0" fontId="106" fillId="0" borderId="35" xfId="14" applyFont="1" applyBorder="1" applyAlignment="1">
      <alignment horizontal="center" vertical="center" shrinkToFit="1"/>
    </xf>
    <xf numFmtId="0" fontId="7" fillId="0" borderId="69" xfId="14" applyFont="1" applyBorder="1"/>
    <xf numFmtId="49" fontId="83" fillId="0" borderId="52" xfId="14" applyNumberFormat="1" applyFont="1" applyBorder="1" applyAlignment="1">
      <alignment horizontal="left" vertical="top" wrapText="1"/>
    </xf>
    <xf numFmtId="0" fontId="107" fillId="27" borderId="65" xfId="14" applyFont="1" applyFill="1" applyBorder="1" applyAlignment="1">
      <alignment horizontal="center" vertical="center" textRotation="90" wrapText="1"/>
    </xf>
    <xf numFmtId="0" fontId="104" fillId="29" borderId="41" xfId="14" applyFont="1" applyFill="1" applyBorder="1" applyAlignment="1">
      <alignment horizontal="center" vertical="center"/>
    </xf>
    <xf numFmtId="0" fontId="7" fillId="0" borderId="41" xfId="14" applyFont="1" applyBorder="1"/>
    <xf numFmtId="0" fontId="7" fillId="0" borderId="59" xfId="14" applyFont="1" applyBorder="1"/>
    <xf numFmtId="0" fontId="94" fillId="32" borderId="42" xfId="14" applyFont="1" applyFill="1" applyBorder="1" applyAlignment="1">
      <alignment horizontal="center" vertical="center"/>
    </xf>
    <xf numFmtId="0" fontId="107" fillId="27" borderId="64" xfId="14" applyFont="1" applyFill="1" applyBorder="1" applyAlignment="1">
      <alignment horizontal="center" vertical="center" textRotation="90" wrapText="1"/>
    </xf>
    <xf numFmtId="49" fontId="79" fillId="0" borderId="47" xfId="14" applyNumberFormat="1" applyFont="1" applyBorder="1" applyAlignment="1">
      <alignment horizontal="left" vertical="center"/>
    </xf>
    <xf numFmtId="0" fontId="7" fillId="0" borderId="44" xfId="14" applyFont="1" applyBorder="1"/>
    <xf numFmtId="0" fontId="7" fillId="0" borderId="46" xfId="14" applyFont="1" applyBorder="1"/>
    <xf numFmtId="1" fontId="116" fillId="0" borderId="65" xfId="14" applyNumberFormat="1" applyFont="1" applyBorder="1" applyAlignment="1">
      <alignment horizontal="center" vertical="center"/>
    </xf>
    <xf numFmtId="0" fontId="7" fillId="0" borderId="80" xfId="14" applyFont="1" applyBorder="1"/>
    <xf numFmtId="0" fontId="7" fillId="0" borderId="30" xfId="14" applyFont="1" applyBorder="1"/>
    <xf numFmtId="49" fontId="82" fillId="0" borderId="69" xfId="14" applyNumberFormat="1" applyFont="1" applyBorder="1" applyAlignment="1">
      <alignment horizontal="left" vertical="top"/>
    </xf>
    <xf numFmtId="49" fontId="82" fillId="0" borderId="45" xfId="14" applyNumberFormat="1" applyFont="1" applyBorder="1" applyAlignment="1">
      <alignment horizontal="left" vertical="top"/>
    </xf>
    <xf numFmtId="0" fontId="79" fillId="0" borderId="40" xfId="14" applyFont="1" applyBorder="1" applyAlignment="1">
      <alignment horizontal="center" vertical="center"/>
    </xf>
    <xf numFmtId="0" fontId="75" fillId="0" borderId="63" xfId="14" applyFont="1" applyBorder="1" applyAlignment="1">
      <alignment horizontal="center" vertical="center"/>
    </xf>
    <xf numFmtId="0" fontId="79" fillId="0" borderId="31" xfId="14" applyFont="1" applyBorder="1" applyAlignment="1">
      <alignment horizontal="center" vertical="center"/>
    </xf>
    <xf numFmtId="0" fontId="79" fillId="0" borderId="45" xfId="14" applyFont="1" applyBorder="1" applyAlignment="1">
      <alignment horizontal="center" vertical="center"/>
    </xf>
    <xf numFmtId="0" fontId="107" fillId="27" borderId="64" xfId="14" applyFont="1" applyFill="1" applyBorder="1" applyAlignment="1">
      <alignment horizontal="center" vertical="center" wrapText="1"/>
    </xf>
    <xf numFmtId="0" fontId="79" fillId="0" borderId="65" xfId="14" applyFont="1" applyBorder="1" applyAlignment="1">
      <alignment horizontal="center" vertical="center"/>
    </xf>
    <xf numFmtId="49" fontId="103" fillId="0" borderId="44" xfId="14" applyNumberFormat="1" applyFont="1" applyBorder="1" applyAlignment="1">
      <alignment horizontal="center" vertical="center" shrinkToFit="1"/>
    </xf>
    <xf numFmtId="0" fontId="95" fillId="30" borderId="42" xfId="14" applyFont="1" applyFill="1" applyBorder="1" applyAlignment="1">
      <alignment horizontal="left" vertical="center"/>
    </xf>
    <xf numFmtId="49" fontId="82" fillId="0" borderId="50" xfId="14" applyNumberFormat="1" applyFont="1" applyBorder="1" applyAlignment="1">
      <alignment horizontal="left" vertical="top"/>
    </xf>
    <xf numFmtId="0" fontId="79" fillId="0" borderId="69" xfId="14" applyFont="1" applyBorder="1" applyAlignment="1">
      <alignment horizontal="center" vertical="center"/>
    </xf>
    <xf numFmtId="0" fontId="79" fillId="0" borderId="50" xfId="14" applyFont="1" applyBorder="1" applyAlignment="1">
      <alignment horizontal="center" vertical="center"/>
    </xf>
    <xf numFmtId="0" fontId="118" fillId="33" borderId="36" xfId="14" applyFont="1" applyFill="1" applyBorder="1" applyAlignment="1">
      <alignment horizontal="center" vertical="center" textRotation="90"/>
    </xf>
    <xf numFmtId="0" fontId="79" fillId="0" borderId="29" xfId="14" applyFont="1" applyBorder="1" applyAlignment="1">
      <alignment horizontal="left" vertical="center"/>
    </xf>
    <xf numFmtId="49" fontId="83" fillId="0" borderId="58" xfId="14" applyNumberFormat="1" applyFont="1" applyBorder="1" applyAlignment="1">
      <alignment horizontal="left" vertical="top" wrapText="1"/>
    </xf>
    <xf numFmtId="49" fontId="79" fillId="0" borderId="52" xfId="14" applyNumberFormat="1" applyFont="1" applyBorder="1" applyAlignment="1">
      <alignment horizontal="left" vertical="center"/>
    </xf>
    <xf numFmtId="166" fontId="115" fillId="0" borderId="44" xfId="14" applyNumberFormat="1" applyFont="1" applyBorder="1" applyAlignment="1">
      <alignment horizontal="center" vertical="center"/>
    </xf>
    <xf numFmtId="0" fontId="7" fillId="0" borderId="43" xfId="14" applyFont="1" applyBorder="1"/>
    <xf numFmtId="0" fontId="102" fillId="27" borderId="65" xfId="14" applyFont="1" applyFill="1" applyBorder="1" applyAlignment="1">
      <alignment horizontal="center" vertical="center" wrapText="1"/>
    </xf>
    <xf numFmtId="49" fontId="82" fillId="0" borderId="50" xfId="14" applyNumberFormat="1" applyFont="1" applyBorder="1" applyAlignment="1">
      <alignment horizontal="center" vertical="top" wrapText="1"/>
    </xf>
    <xf numFmtId="0" fontId="107" fillId="27" borderId="65" xfId="14" applyFont="1" applyFill="1" applyBorder="1" applyAlignment="1">
      <alignment horizontal="center" vertical="center" wrapText="1"/>
    </xf>
    <xf numFmtId="0" fontId="111" fillId="0" borderId="0" xfId="14" applyFont="1" applyAlignment="1">
      <alignment vertical="center" textRotation="255" wrapText="1"/>
    </xf>
    <xf numFmtId="166" fontId="82" fillId="0" borderId="45" xfId="14" applyNumberFormat="1" applyFont="1" applyBorder="1" applyAlignment="1">
      <alignment horizontal="center" vertical="top"/>
    </xf>
    <xf numFmtId="49" fontId="103" fillId="0" borderId="41" xfId="14" applyNumberFormat="1" applyFont="1" applyBorder="1" applyAlignment="1">
      <alignment horizontal="center" vertical="center" shrinkToFit="1"/>
    </xf>
    <xf numFmtId="0" fontId="7" fillId="0" borderId="61" xfId="14" applyFont="1" applyBorder="1"/>
    <xf numFmtId="0" fontId="102" fillId="27" borderId="64" xfId="14" applyFont="1" applyFill="1" applyBorder="1" applyAlignment="1">
      <alignment horizontal="center" vertical="center" textRotation="90" shrinkToFit="1"/>
    </xf>
    <xf numFmtId="49" fontId="83" fillId="26" borderId="36" xfId="14" applyNumberFormat="1" applyFont="1" applyFill="1" applyBorder="1" applyAlignment="1">
      <alignment horizontal="left" vertical="center" shrinkToFit="1"/>
    </xf>
    <xf numFmtId="0" fontId="7" fillId="26" borderId="34" xfId="14" applyFont="1" applyFill="1" applyBorder="1"/>
    <xf numFmtId="0" fontId="81" fillId="25" borderId="35" xfId="14" applyFont="1" applyFill="1" applyBorder="1" applyAlignment="1">
      <alignment horizontal="center" vertical="top" wrapText="1"/>
    </xf>
    <xf numFmtId="0" fontId="7" fillId="25" borderId="34" xfId="14" applyFont="1" applyFill="1" applyBorder="1"/>
    <xf numFmtId="0" fontId="85" fillId="25" borderId="35" xfId="14" applyFont="1" applyFill="1" applyBorder="1" applyAlignment="1">
      <alignment horizontal="center" vertical="center"/>
    </xf>
    <xf numFmtId="0" fontId="81" fillId="26" borderId="35" xfId="14" applyFont="1" applyFill="1" applyBorder="1" applyAlignment="1">
      <alignment horizontal="center" vertical="top" wrapText="1"/>
    </xf>
    <xf numFmtId="0" fontId="81" fillId="25" borderId="35" xfId="14" applyFont="1" applyFill="1" applyBorder="1" applyAlignment="1">
      <alignment horizontal="center" vertical="center" shrinkToFit="1"/>
    </xf>
    <xf numFmtId="49" fontId="83" fillId="25" borderId="36" xfId="14" applyNumberFormat="1" applyFont="1" applyFill="1" applyBorder="1" applyAlignment="1">
      <alignment horizontal="left" vertical="center" shrinkToFit="1"/>
    </xf>
    <xf numFmtId="0" fontId="83" fillId="25" borderId="36" xfId="14" applyFont="1" applyFill="1" applyBorder="1" applyAlignment="1">
      <alignment horizontal="left" vertical="top" wrapText="1"/>
    </xf>
    <xf numFmtId="0" fontId="88" fillId="30" borderId="42" xfId="14" applyFont="1" applyFill="1" applyBorder="1" applyAlignment="1">
      <alignment horizontal="center" vertical="center" shrinkToFit="1"/>
    </xf>
    <xf numFmtId="49" fontId="83" fillId="0" borderId="47" xfId="14" applyNumberFormat="1" applyFont="1" applyBorder="1" applyAlignment="1">
      <alignment horizontal="left" vertical="top" wrapText="1"/>
    </xf>
    <xf numFmtId="0" fontId="97" fillId="32" borderId="38" xfId="14" applyFont="1" applyFill="1" applyBorder="1" applyAlignment="1">
      <alignment horizontal="center" vertical="center" shrinkToFit="1"/>
    </xf>
    <xf numFmtId="0" fontId="97" fillId="32" borderId="38" xfId="14" applyFont="1" applyFill="1" applyBorder="1" applyAlignment="1">
      <alignment horizontal="right" vertical="center"/>
    </xf>
    <xf numFmtId="49" fontId="93" fillId="23" borderId="36" xfId="14" applyNumberFormat="1" applyFont="1" applyFill="1" applyBorder="1" applyAlignment="1">
      <alignment horizontal="left" vertical="top" wrapText="1"/>
    </xf>
    <xf numFmtId="0" fontId="83" fillId="26" borderId="36" xfId="14" applyFont="1" applyFill="1" applyBorder="1" applyAlignment="1">
      <alignment horizontal="left" vertical="top" wrapText="1"/>
    </xf>
    <xf numFmtId="0" fontId="97" fillId="31" borderId="38" xfId="14" applyFont="1" applyFill="1" applyBorder="1" applyAlignment="1">
      <alignment horizontal="right" vertical="center"/>
    </xf>
    <xf numFmtId="49" fontId="93" fillId="0" borderId="55" xfId="14" applyNumberFormat="1" applyFont="1" applyBorder="1" applyAlignment="1">
      <alignment horizontal="left" vertical="top" wrapText="1"/>
    </xf>
    <xf numFmtId="0" fontId="7" fillId="0" borderId="54" xfId="14" applyFont="1" applyBorder="1"/>
    <xf numFmtId="0" fontId="7" fillId="0" borderId="53" xfId="14" applyFont="1" applyBorder="1"/>
    <xf numFmtId="0" fontId="7" fillId="0" borderId="58" xfId="14" applyFont="1" applyBorder="1"/>
    <xf numFmtId="0" fontId="7" fillId="0" borderId="56" xfId="14" applyFont="1" applyBorder="1"/>
    <xf numFmtId="49" fontId="82" fillId="0" borderId="45" xfId="14" applyNumberFormat="1" applyFont="1" applyBorder="1" applyAlignment="1">
      <alignment horizontal="center" vertical="top" wrapText="1"/>
    </xf>
    <xf numFmtId="0" fontId="97" fillId="31" borderId="65" xfId="14" applyFont="1" applyFill="1" applyBorder="1" applyAlignment="1">
      <alignment horizontal="right" vertical="center"/>
    </xf>
    <xf numFmtId="0" fontId="92" fillId="0" borderId="0" xfId="14" applyFont="1" applyAlignment="1">
      <alignment horizontal="center" vertical="center"/>
    </xf>
    <xf numFmtId="0" fontId="88" fillId="27" borderId="42" xfId="14" applyFont="1" applyFill="1" applyBorder="1" applyAlignment="1">
      <alignment horizontal="left" vertical="top" wrapText="1"/>
    </xf>
    <xf numFmtId="0" fontId="7" fillId="27" borderId="38" xfId="14" applyFont="1" applyFill="1" applyBorder="1"/>
    <xf numFmtId="0" fontId="7" fillId="27" borderId="39" xfId="14" applyFont="1" applyFill="1" applyBorder="1"/>
    <xf numFmtId="0" fontId="88" fillId="27" borderId="40" xfId="14" applyFont="1" applyFill="1" applyBorder="1" applyAlignment="1">
      <alignment horizontal="left" vertical="top" wrapText="1"/>
    </xf>
    <xf numFmtId="0" fontId="88" fillId="0" borderId="0" xfId="14" applyFont="1" applyAlignment="1">
      <alignment horizontal="center" vertical="center"/>
    </xf>
    <xf numFmtId="0" fontId="81" fillId="26" borderId="35" xfId="14" applyFont="1" applyFill="1" applyBorder="1" applyAlignment="1">
      <alignment horizontal="center" vertical="center" shrinkToFit="1"/>
    </xf>
    <xf numFmtId="0" fontId="81" fillId="25" borderId="35" xfId="14" applyFont="1" applyFill="1" applyBorder="1" applyAlignment="1">
      <alignment vertical="center"/>
    </xf>
    <xf numFmtId="0" fontId="81" fillId="26" borderId="35" xfId="14" applyFont="1" applyFill="1" applyBorder="1" applyAlignment="1">
      <alignment vertical="center"/>
    </xf>
    <xf numFmtId="0" fontId="83" fillId="26" borderId="36" xfId="14" applyFont="1" applyFill="1" applyBorder="1" applyAlignment="1">
      <alignment horizontal="left" vertical="center" shrinkToFit="1"/>
    </xf>
    <xf numFmtId="0" fontId="91" fillId="0" borderId="0" xfId="14" applyFont="1" applyAlignment="1">
      <alignment horizontal="center" vertical="center"/>
    </xf>
    <xf numFmtId="0" fontId="82" fillId="0" borderId="45" xfId="14" applyFont="1" applyBorder="1" applyAlignment="1">
      <alignment horizontal="center" vertical="top" wrapText="1"/>
    </xf>
    <xf numFmtId="0" fontId="95" fillId="27" borderId="68" xfId="14" applyFont="1" applyFill="1" applyBorder="1" applyAlignment="1">
      <alignment horizontal="center" vertical="center" textRotation="90"/>
    </xf>
    <xf numFmtId="0" fontId="97" fillId="32" borderId="65" xfId="14" applyFont="1" applyFill="1" applyBorder="1" applyAlignment="1">
      <alignment horizontal="right" vertical="center" wrapText="1"/>
    </xf>
    <xf numFmtId="0" fontId="102" fillId="27" borderId="63" xfId="14" applyFont="1" applyFill="1" applyBorder="1" applyAlignment="1">
      <alignment horizontal="center" vertical="center" textRotation="90" shrinkToFit="1"/>
    </xf>
    <xf numFmtId="0" fontId="97" fillId="32" borderId="65" xfId="14" applyFont="1" applyFill="1" applyBorder="1" applyAlignment="1">
      <alignment horizontal="right" vertical="center"/>
    </xf>
    <xf numFmtId="0" fontId="86" fillId="25" borderId="36" xfId="14" applyFont="1" applyFill="1" applyBorder="1" applyAlignment="1">
      <alignment horizontal="center" vertical="center"/>
    </xf>
    <xf numFmtId="0" fontId="82" fillId="26" borderId="36" xfId="14" applyFont="1" applyFill="1" applyBorder="1" applyAlignment="1">
      <alignment vertical="center"/>
    </xf>
    <xf numFmtId="0" fontId="83" fillId="25" borderId="36" xfId="14" applyFont="1" applyFill="1" applyBorder="1" applyAlignment="1">
      <alignment horizontal="left" vertical="center" shrinkToFit="1"/>
    </xf>
    <xf numFmtId="0" fontId="82" fillId="25" borderId="36" xfId="14" applyFont="1" applyFill="1" applyBorder="1" applyAlignment="1">
      <alignment vertical="center"/>
    </xf>
    <xf numFmtId="0" fontId="82" fillId="0" borderId="50" xfId="14" applyFont="1" applyBorder="1" applyAlignment="1">
      <alignment horizontal="center" vertical="center"/>
    </xf>
    <xf numFmtId="0" fontId="81" fillId="26" borderId="0" xfId="14" applyFont="1" applyFill="1" applyAlignment="1">
      <alignment horizontal="center" vertical="center" shrinkToFit="1"/>
    </xf>
    <xf numFmtId="0" fontId="81" fillId="25" borderId="0" xfId="14" applyFont="1" applyFill="1" applyAlignment="1">
      <alignment horizontal="center" vertical="center" shrinkToFit="1"/>
    </xf>
    <xf numFmtId="0" fontId="81" fillId="26" borderId="0" xfId="14" applyFont="1" applyFill="1" applyAlignment="1">
      <alignment vertical="center"/>
    </xf>
    <xf numFmtId="0" fontId="81" fillId="25" borderId="0" xfId="14" applyFont="1" applyFill="1" applyAlignment="1">
      <alignment vertical="center"/>
    </xf>
    <xf numFmtId="0" fontId="84" fillId="25" borderId="35" xfId="14" applyFont="1" applyFill="1" applyBorder="1" applyAlignment="1">
      <alignment horizontal="center" vertical="center"/>
    </xf>
    <xf numFmtId="0" fontId="81" fillId="25" borderId="0" xfId="14" applyFont="1" applyFill="1" applyAlignment="1">
      <alignment horizontal="center" vertical="top" wrapText="1"/>
    </xf>
    <xf numFmtId="49" fontId="82" fillId="0" borderId="52" xfId="14" applyNumberFormat="1" applyFont="1" applyBorder="1" applyAlignment="1">
      <alignment horizontal="left" vertical="center" shrinkToFit="1"/>
    </xf>
    <xf numFmtId="0" fontId="88" fillId="27" borderId="40" xfId="14" applyFont="1" applyFill="1" applyBorder="1" applyAlignment="1">
      <alignment horizontal="center" vertical="top" wrapText="1"/>
    </xf>
    <xf numFmtId="0" fontId="88" fillId="27" borderId="38" xfId="14" applyFont="1" applyFill="1" applyBorder="1" applyAlignment="1">
      <alignment horizontal="center" vertical="top" wrapText="1"/>
    </xf>
    <xf numFmtId="0" fontId="82" fillId="0" borderId="45" xfId="14" applyFont="1" applyBorder="1" applyAlignment="1">
      <alignment horizontal="center" vertical="center"/>
    </xf>
    <xf numFmtId="49" fontId="82" fillId="0" borderId="47" xfId="14" applyNumberFormat="1" applyFont="1" applyBorder="1" applyAlignment="1">
      <alignment horizontal="left" vertical="center" shrinkToFit="1"/>
    </xf>
    <xf numFmtId="0" fontId="7" fillId="0" borderId="48" xfId="14" applyFont="1" applyBorder="1"/>
    <xf numFmtId="0" fontId="81" fillId="26" borderId="0" xfId="14" applyFont="1" applyFill="1" applyAlignment="1">
      <alignment horizontal="center" vertical="top" wrapText="1"/>
    </xf>
    <xf numFmtId="49" fontId="88" fillId="27" borderId="38" xfId="14" applyNumberFormat="1" applyFont="1" applyFill="1" applyBorder="1" applyAlignment="1">
      <alignment horizontal="center" vertical="top" wrapText="1"/>
    </xf>
    <xf numFmtId="0" fontId="7" fillId="27" borderId="37" xfId="14" applyFont="1" applyFill="1" applyBorder="1"/>
    <xf numFmtId="49" fontId="81" fillId="25" borderId="0" xfId="14" applyNumberFormat="1" applyFont="1" applyFill="1" applyAlignment="1">
      <alignment horizontal="left" vertical="top" wrapText="1"/>
    </xf>
    <xf numFmtId="0" fontId="7" fillId="25" borderId="33" xfId="14" applyFont="1" applyFill="1" applyBorder="1"/>
    <xf numFmtId="0" fontId="91" fillId="0" borderId="0" xfId="14" applyFont="1" applyAlignment="1">
      <alignment horizontal="left" vertical="center"/>
    </xf>
    <xf numFmtId="49" fontId="81" fillId="26" borderId="0" xfId="14" applyNumberFormat="1" applyFont="1" applyFill="1" applyAlignment="1">
      <alignment horizontal="left" vertical="top" wrapText="1"/>
    </xf>
    <xf numFmtId="0" fontId="7" fillId="26" borderId="33" xfId="14" applyFont="1" applyFill="1" applyBorder="1"/>
    <xf numFmtId="0" fontId="81" fillId="26" borderId="0" xfId="14" applyFont="1" applyFill="1" applyAlignment="1">
      <alignment horizontal="left" vertical="top" wrapText="1"/>
    </xf>
    <xf numFmtId="49" fontId="81" fillId="25" borderId="0" xfId="14" applyNumberFormat="1" applyFont="1" applyFill="1" applyAlignment="1">
      <alignment horizontal="left" vertical="center" shrinkToFit="1"/>
    </xf>
    <xf numFmtId="0" fontId="80" fillId="25" borderId="0" xfId="14" applyFont="1" applyFill="1" applyAlignment="1">
      <alignment horizontal="left" vertical="center"/>
    </xf>
    <xf numFmtId="49" fontId="81" fillId="26" borderId="0" xfId="14" applyNumberFormat="1" applyFont="1" applyFill="1" applyAlignment="1">
      <alignment horizontal="left" vertical="center" shrinkToFit="1"/>
    </xf>
    <xf numFmtId="0" fontId="79" fillId="0" borderId="0" xfId="14" applyFont="1" applyAlignment="1">
      <alignment vertical="center"/>
    </xf>
    <xf numFmtId="0" fontId="81" fillId="25" borderId="31" xfId="14" applyFont="1" applyFill="1" applyBorder="1" applyAlignment="1">
      <alignment vertical="center"/>
    </xf>
    <xf numFmtId="0" fontId="7" fillId="25" borderId="29" xfId="14" applyFont="1" applyFill="1" applyBorder="1"/>
    <xf numFmtId="0" fontId="7" fillId="25" borderId="30" xfId="14" applyFont="1" applyFill="1" applyBorder="1"/>
    <xf numFmtId="0" fontId="84" fillId="25" borderId="0" xfId="14" applyFont="1" applyFill="1" applyAlignment="1">
      <alignment horizontal="center" vertical="center"/>
    </xf>
    <xf numFmtId="0" fontId="84" fillId="25" borderId="0" xfId="14" applyFont="1" applyFill="1" applyAlignment="1">
      <alignment horizontal="left" vertical="center"/>
    </xf>
    <xf numFmtId="0" fontId="80" fillId="26" borderId="0" xfId="14" applyFont="1" applyFill="1" applyAlignment="1">
      <alignment horizontal="left" vertical="center"/>
    </xf>
    <xf numFmtId="0" fontId="81" fillId="25" borderId="29" xfId="14" applyFont="1" applyFill="1" applyBorder="1" applyAlignment="1">
      <alignment vertical="center"/>
    </xf>
    <xf numFmtId="0" fontId="82" fillId="25" borderId="32" xfId="14" applyFont="1" applyFill="1" applyBorder="1" applyAlignment="1">
      <alignment vertical="center"/>
    </xf>
    <xf numFmtId="0" fontId="131" fillId="32" borderId="42" xfId="14" applyFont="1" applyFill="1" applyBorder="1" applyAlignment="1">
      <alignment horizontal="center" vertical="center"/>
    </xf>
    <xf numFmtId="166" fontId="109" fillId="0" borderId="45" xfId="14" applyNumberFormat="1" applyFont="1" applyBorder="1" applyAlignment="1">
      <alignment horizontal="center" vertical="top"/>
    </xf>
    <xf numFmtId="0" fontId="79" fillId="0" borderId="38" xfId="14" applyFont="1" applyBorder="1" applyAlignment="1">
      <alignment horizontal="left" vertical="center"/>
    </xf>
    <xf numFmtId="0" fontId="89" fillId="27" borderId="41" xfId="14" applyFont="1" applyFill="1" applyBorder="1" applyAlignment="1">
      <alignment horizontal="center" vertical="center"/>
    </xf>
    <xf numFmtId="0" fontId="7" fillId="27" borderId="41" xfId="14" applyFont="1" applyFill="1" applyBorder="1"/>
    <xf numFmtId="49" fontId="79" fillId="0" borderId="41" xfId="14" applyNumberFormat="1" applyFont="1" applyBorder="1" applyAlignment="1">
      <alignment horizontal="center" vertical="center" shrinkToFit="1"/>
    </xf>
    <xf numFmtId="49" fontId="79" fillId="0" borderId="44" xfId="14" applyNumberFormat="1" applyFont="1" applyBorder="1" applyAlignment="1">
      <alignment horizontal="center" vertical="center" shrinkToFit="1"/>
    </xf>
    <xf numFmtId="166" fontId="106" fillId="35" borderId="79" xfId="14" applyNumberFormat="1" applyFont="1" applyFill="1" applyBorder="1" applyAlignment="1">
      <alignment horizontal="center" vertical="center" wrapText="1"/>
    </xf>
    <xf numFmtId="0" fontId="94" fillId="33" borderId="42" xfId="14" applyFont="1" applyFill="1" applyBorder="1" applyAlignment="1">
      <alignment horizontal="center" vertical="center"/>
    </xf>
    <xf numFmtId="0" fontId="79" fillId="0" borderId="60" xfId="14" applyFont="1" applyBorder="1" applyAlignment="1">
      <alignment horizontal="center" vertical="center"/>
    </xf>
    <xf numFmtId="166" fontId="106" fillId="0" borderId="45" xfId="14" applyNumberFormat="1" applyFont="1" applyBorder="1" applyAlignment="1">
      <alignment horizontal="center" vertical="center"/>
    </xf>
    <xf numFmtId="49" fontId="98" fillId="0" borderId="42" xfId="14" applyNumberFormat="1" applyFont="1" applyBorder="1" applyAlignment="1">
      <alignment horizontal="center" vertical="center"/>
    </xf>
    <xf numFmtId="166" fontId="79" fillId="0" borderId="57" xfId="14" applyNumberFormat="1" applyFont="1" applyBorder="1" applyAlignment="1">
      <alignment horizontal="center" vertical="center"/>
    </xf>
    <xf numFmtId="3" fontId="79" fillId="0" borderId="42" xfId="14" applyNumberFormat="1" applyFont="1" applyBorder="1" applyAlignment="1">
      <alignment horizontal="center" vertical="center"/>
    </xf>
    <xf numFmtId="0" fontId="95" fillId="30" borderId="65" xfId="14" applyFont="1" applyFill="1" applyBorder="1" applyAlignment="1">
      <alignment horizontal="center" vertical="center"/>
    </xf>
    <xf numFmtId="0" fontId="106" fillId="23" borderId="42" xfId="14" applyFont="1" applyFill="1" applyBorder="1" applyAlignment="1">
      <alignment horizontal="center" vertical="center"/>
    </xf>
    <xf numFmtId="0" fontId="20" fillId="5" borderId="2" xfId="6" applyAlignment="1">
      <alignment horizontal="center" vertical="center"/>
    </xf>
    <xf numFmtId="0" fontId="20" fillId="5" borderId="2" xfId="6"/>
    <xf numFmtId="0" fontId="102" fillId="30" borderId="65" xfId="14" applyFont="1" applyFill="1" applyBorder="1" applyAlignment="1">
      <alignment horizontal="right" vertical="center" wrapText="1"/>
    </xf>
    <xf numFmtId="0" fontId="106" fillId="0" borderId="60" xfId="14" applyFont="1" applyBorder="1" applyAlignment="1">
      <alignment horizontal="center" vertical="center"/>
    </xf>
    <xf numFmtId="0" fontId="131" fillId="31" borderId="42" xfId="14" applyFont="1" applyFill="1" applyBorder="1" applyAlignment="1">
      <alignment horizontal="center" vertical="center"/>
    </xf>
    <xf numFmtId="0" fontId="130" fillId="0" borderId="45" xfId="14" applyFont="1" applyBorder="1" applyAlignment="1">
      <alignment horizontal="center" vertical="center"/>
    </xf>
    <xf numFmtId="0" fontId="130" fillId="0" borderId="47" xfId="14" applyFont="1" applyBorder="1" applyAlignment="1">
      <alignment horizontal="center" vertical="center"/>
    </xf>
    <xf numFmtId="0" fontId="106" fillId="0" borderId="62" xfId="14" applyFont="1" applyBorder="1" applyAlignment="1">
      <alignment horizontal="center" vertical="center"/>
    </xf>
    <xf numFmtId="0" fontId="94" fillId="29" borderId="40" xfId="14" applyFont="1" applyFill="1" applyBorder="1" applyAlignment="1">
      <alignment horizontal="center" vertical="center"/>
    </xf>
    <xf numFmtId="49" fontId="79" fillId="0" borderId="57" xfId="14" applyNumberFormat="1" applyFont="1" applyBorder="1" applyAlignment="1">
      <alignment horizontal="center" vertical="center"/>
    </xf>
    <xf numFmtId="49" fontId="79" fillId="0" borderId="44" xfId="14" applyNumberFormat="1" applyFont="1" applyBorder="1" applyAlignment="1">
      <alignment horizontal="center" vertical="center"/>
    </xf>
    <xf numFmtId="0" fontId="95" fillId="34" borderId="40" xfId="14" applyFont="1" applyFill="1" applyBorder="1" applyAlignment="1">
      <alignment horizontal="center" vertical="center"/>
    </xf>
    <xf numFmtId="166" fontId="79" fillId="0" borderId="38" xfId="14" applyNumberFormat="1" applyFont="1" applyBorder="1" applyAlignment="1">
      <alignment horizontal="center" vertical="center"/>
    </xf>
    <xf numFmtId="0" fontId="104" fillId="31" borderId="40" xfId="14" applyFont="1" applyFill="1" applyBorder="1" applyAlignment="1">
      <alignment horizontal="center" vertical="center"/>
    </xf>
    <xf numFmtId="49" fontId="79" fillId="0" borderId="35" xfId="14" applyNumberFormat="1" applyFont="1" applyBorder="1" applyAlignment="1">
      <alignment horizontal="center" vertical="center"/>
    </xf>
    <xf numFmtId="0" fontId="105" fillId="31" borderId="65" xfId="14" applyFont="1" applyFill="1" applyBorder="1" applyAlignment="1">
      <alignment horizontal="center" vertical="center"/>
    </xf>
    <xf numFmtId="49" fontId="79" fillId="0" borderId="57" xfId="14" applyNumberFormat="1" applyFont="1" applyBorder="1" applyAlignment="1">
      <alignment horizontal="left" vertical="center"/>
    </xf>
    <xf numFmtId="49" fontId="79" fillId="0" borderId="52" xfId="14" applyNumberFormat="1" applyFont="1" applyBorder="1" applyAlignment="1">
      <alignment horizontal="left" vertical="center" shrinkToFit="1"/>
    </xf>
    <xf numFmtId="166" fontId="79" fillId="0" borderId="29" xfId="14" applyNumberFormat="1" applyFont="1" applyBorder="1" applyAlignment="1">
      <alignment horizontal="center" vertical="center"/>
    </xf>
    <xf numFmtId="0" fontId="99" fillId="26" borderId="65" xfId="14" applyFont="1" applyFill="1" applyBorder="1" applyAlignment="1">
      <alignment horizontal="center" vertical="center" shrinkToFit="1"/>
    </xf>
    <xf numFmtId="0" fontId="107" fillId="30" borderId="65" xfId="14" applyFont="1" applyFill="1" applyBorder="1" applyAlignment="1">
      <alignment horizontal="center" vertical="center" wrapText="1"/>
    </xf>
    <xf numFmtId="0" fontId="106" fillId="0" borderId="38" xfId="14" applyFont="1" applyBorder="1" applyAlignment="1">
      <alignment horizontal="center" vertical="center"/>
    </xf>
    <xf numFmtId="0" fontId="82" fillId="0" borderId="31" xfId="14" applyFont="1" applyBorder="1" applyAlignment="1">
      <alignment horizontal="center" vertical="top"/>
    </xf>
    <xf numFmtId="0" fontId="79" fillId="0" borderId="41" xfId="14" applyFont="1" applyBorder="1" applyAlignment="1">
      <alignment horizontal="left" vertical="center"/>
    </xf>
    <xf numFmtId="0" fontId="122" fillId="0" borderId="42" xfId="14" applyFont="1" applyBorder="1" applyAlignment="1">
      <alignment vertical="center"/>
    </xf>
    <xf numFmtId="0" fontId="94" fillId="29" borderId="58" xfId="14" applyFont="1" applyFill="1" applyBorder="1" applyAlignment="1">
      <alignment horizontal="right" vertical="center"/>
    </xf>
    <xf numFmtId="0" fontId="95" fillId="30" borderId="42" xfId="14" applyFont="1" applyFill="1" applyBorder="1" applyAlignment="1">
      <alignment horizontal="center" vertical="center"/>
    </xf>
    <xf numFmtId="0" fontId="106" fillId="0" borderId="40" xfId="14" applyFont="1" applyBorder="1" applyAlignment="1">
      <alignment horizontal="center" vertical="center" shrinkToFit="1"/>
    </xf>
    <xf numFmtId="49" fontId="79" fillId="0" borderId="81" xfId="14" applyNumberFormat="1" applyFont="1" applyBorder="1" applyAlignment="1">
      <alignment horizontal="center" vertical="center"/>
    </xf>
    <xf numFmtId="0" fontId="108" fillId="32" borderId="42" xfId="14" applyFont="1" applyFill="1" applyBorder="1" applyAlignment="1">
      <alignment horizontal="center" vertical="center"/>
    </xf>
    <xf numFmtId="0" fontId="106" fillId="32" borderId="47" xfId="14" applyFont="1" applyFill="1" applyBorder="1" applyAlignment="1">
      <alignment horizontal="right" vertical="center" wrapText="1"/>
    </xf>
    <xf numFmtId="0" fontId="106" fillId="29" borderId="55" xfId="14" applyFont="1" applyFill="1" applyBorder="1" applyAlignment="1">
      <alignment horizontal="right" vertical="center" wrapText="1"/>
    </xf>
    <xf numFmtId="0" fontId="7" fillId="0" borderId="82" xfId="14" applyFont="1" applyBorder="1"/>
    <xf numFmtId="0" fontId="108" fillId="31" borderId="42" xfId="14" applyFont="1" applyFill="1" applyBorder="1" applyAlignment="1">
      <alignment horizontal="center" vertical="center"/>
    </xf>
    <xf numFmtId="0" fontId="106" fillId="32" borderId="55" xfId="14" applyFont="1" applyFill="1" applyBorder="1" applyAlignment="1">
      <alignment horizontal="center" vertical="center"/>
    </xf>
    <xf numFmtId="49" fontId="82" fillId="0" borderId="45" xfId="14" applyNumberFormat="1" applyFont="1" applyBorder="1" applyAlignment="1">
      <alignment horizontal="left" vertical="center" wrapText="1"/>
    </xf>
    <xf numFmtId="49" fontId="82" fillId="0" borderId="81" xfId="14" applyNumberFormat="1" applyFont="1" applyBorder="1" applyAlignment="1">
      <alignment horizontal="left" vertical="center" wrapText="1"/>
    </xf>
    <xf numFmtId="49" fontId="79" fillId="0" borderId="69" xfId="14" applyNumberFormat="1" applyFont="1" applyBorder="1" applyAlignment="1">
      <alignment horizontal="left" vertical="center"/>
    </xf>
    <xf numFmtId="0" fontId="79" fillId="0" borderId="62" xfId="14" applyFont="1" applyBorder="1" applyAlignment="1">
      <alignment horizontal="center" vertical="center"/>
    </xf>
    <xf numFmtId="4" fontId="104" fillId="33" borderId="64" xfId="14" applyNumberFormat="1" applyFont="1" applyFill="1" applyBorder="1" applyAlignment="1">
      <alignment horizontal="center" vertical="center" shrinkToFit="1"/>
    </xf>
    <xf numFmtId="4" fontId="104" fillId="33" borderId="29" xfId="14" applyNumberFormat="1" applyFont="1" applyFill="1" applyBorder="1" applyAlignment="1">
      <alignment horizontal="center" vertical="center" shrinkToFit="1"/>
    </xf>
    <xf numFmtId="0" fontId="94" fillId="32" borderId="40" xfId="14" applyFont="1" applyFill="1" applyBorder="1" applyAlignment="1">
      <alignment horizontal="center" vertical="center"/>
    </xf>
    <xf numFmtId="49" fontId="79" fillId="0" borderId="58" xfId="14" applyNumberFormat="1" applyFont="1" applyBorder="1" applyAlignment="1">
      <alignment horizontal="left" vertical="center" shrinkToFit="1"/>
    </xf>
    <xf numFmtId="166" fontId="79" fillId="0" borderId="41" xfId="14" applyNumberFormat="1" applyFont="1" applyBorder="1" applyAlignment="1">
      <alignment horizontal="center" vertical="center"/>
    </xf>
    <xf numFmtId="0" fontId="79" fillId="0" borderId="64" xfId="14" applyFont="1" applyBorder="1" applyAlignment="1">
      <alignment horizontal="center" vertical="center" shrinkToFit="1"/>
    </xf>
    <xf numFmtId="0" fontId="106" fillId="32" borderId="40" xfId="14" applyFont="1" applyFill="1" applyBorder="1" applyAlignment="1">
      <alignment horizontal="center" vertical="center"/>
    </xf>
    <xf numFmtId="0" fontId="126" fillId="0" borderId="65" xfId="14" applyFont="1" applyBorder="1" applyAlignment="1">
      <alignment horizontal="center" vertical="center"/>
    </xf>
    <xf numFmtId="0" fontId="95" fillId="27" borderId="42" xfId="14" applyFont="1" applyFill="1" applyBorder="1" applyAlignment="1">
      <alignment horizontal="center" vertical="center"/>
    </xf>
    <xf numFmtId="0" fontId="123" fillId="27" borderId="42" xfId="14" applyFont="1" applyFill="1" applyBorder="1" applyAlignment="1">
      <alignment horizontal="center" vertical="center"/>
    </xf>
    <xf numFmtId="0" fontId="95" fillId="27" borderId="42" xfId="14" applyFont="1" applyFill="1" applyBorder="1" applyAlignment="1">
      <alignment horizontal="left" vertical="center" shrinkToFit="1"/>
    </xf>
    <xf numFmtId="168" fontId="106" fillId="33" borderId="65" xfId="14" applyNumberFormat="1" applyFont="1" applyFill="1" applyBorder="1" applyAlignment="1">
      <alignment horizontal="center" vertical="center" shrinkToFit="1"/>
    </xf>
    <xf numFmtId="49" fontId="79" fillId="0" borderId="65" xfId="14" applyNumberFormat="1" applyFont="1" applyBorder="1" applyAlignment="1">
      <alignment horizontal="center" vertical="center" shrinkToFit="1"/>
    </xf>
    <xf numFmtId="49" fontId="129" fillId="0" borderId="65" xfId="14" applyNumberFormat="1" applyFont="1" applyBorder="1" applyAlignment="1">
      <alignment horizontal="center" vertical="center" shrinkToFit="1"/>
    </xf>
    <xf numFmtId="49" fontId="79" fillId="0" borderId="50" xfId="14" applyNumberFormat="1" applyFont="1" applyBorder="1" applyAlignment="1">
      <alignment horizontal="left" vertical="center"/>
    </xf>
    <xf numFmtId="0" fontId="94" fillId="32" borderId="52" xfId="14" applyFont="1" applyFill="1" applyBorder="1" applyAlignment="1">
      <alignment horizontal="right" vertical="center"/>
    </xf>
    <xf numFmtId="0" fontId="97" fillId="29" borderId="42" xfId="14" applyFont="1" applyFill="1" applyBorder="1" applyAlignment="1">
      <alignment horizontal="center" vertical="center"/>
    </xf>
    <xf numFmtId="166" fontId="129" fillId="0" borderId="42" xfId="14" applyNumberFormat="1" applyFont="1" applyBorder="1" applyAlignment="1">
      <alignment horizontal="center" vertical="center"/>
    </xf>
    <xf numFmtId="0" fontId="115" fillId="0" borderId="40" xfId="14" applyFont="1" applyBorder="1" applyAlignment="1">
      <alignment horizontal="center" vertical="center"/>
    </xf>
    <xf numFmtId="49" fontId="110" fillId="0" borderId="65" xfId="14" applyNumberFormat="1" applyFont="1" applyBorder="1" applyAlignment="1">
      <alignment horizontal="center" vertical="center" wrapText="1"/>
    </xf>
    <xf numFmtId="0" fontId="95" fillId="27" borderId="64" xfId="14" applyFont="1" applyFill="1" applyBorder="1" applyAlignment="1">
      <alignment horizontal="right" vertical="center"/>
    </xf>
    <xf numFmtId="0" fontId="123" fillId="30" borderId="31" xfId="14" applyFont="1" applyFill="1" applyBorder="1" applyAlignment="1">
      <alignment horizontal="right" vertical="center" shrinkToFit="1"/>
    </xf>
    <xf numFmtId="0" fontId="123" fillId="30" borderId="32" xfId="14" applyFont="1" applyFill="1" applyBorder="1" applyAlignment="1">
      <alignment horizontal="right" vertical="center" shrinkToFit="1"/>
    </xf>
    <xf numFmtId="0" fontId="115" fillId="0" borderId="31" xfId="14" applyFont="1" applyBorder="1" applyAlignment="1">
      <alignment horizontal="center" vertical="center" shrinkToFit="1"/>
    </xf>
    <xf numFmtId="0" fontId="79" fillId="0" borderId="79" xfId="14" applyFont="1" applyBorder="1" applyAlignment="1">
      <alignment horizontal="center" vertical="center" shrinkToFit="1"/>
    </xf>
    <xf numFmtId="0" fontId="89" fillId="37" borderId="42" xfId="14" applyFont="1" applyFill="1" applyBorder="1" applyAlignment="1">
      <alignment horizontal="right" vertical="center" shrinkToFit="1"/>
    </xf>
    <xf numFmtId="1" fontId="128" fillId="0" borderId="36" xfId="14" applyNumberFormat="1" applyFont="1" applyBorder="1" applyAlignment="1">
      <alignment horizontal="center" vertical="center"/>
    </xf>
    <xf numFmtId="49" fontId="79" fillId="0" borderId="65" xfId="14" applyNumberFormat="1" applyFont="1" applyBorder="1" applyAlignment="1">
      <alignment horizontal="left" vertical="center" shrinkToFit="1"/>
    </xf>
    <xf numFmtId="0" fontId="133" fillId="40" borderId="0" xfId="14" applyFont="1" applyFill="1" applyAlignment="1">
      <alignment horizontal="center" vertical="center"/>
    </xf>
    <xf numFmtId="49" fontId="78" fillId="23" borderId="65" xfId="14" applyNumberFormat="1" applyFont="1" applyFill="1" applyBorder="1" applyAlignment="1">
      <alignment horizontal="center" vertical="center" shrinkToFit="1"/>
    </xf>
    <xf numFmtId="0" fontId="95" fillId="27" borderId="65" xfId="14" applyFont="1" applyFill="1" applyBorder="1" applyAlignment="1">
      <alignment horizontal="right" vertical="center"/>
    </xf>
    <xf numFmtId="0" fontId="132" fillId="30" borderId="65" xfId="14" applyFont="1" applyFill="1" applyBorder="1" applyAlignment="1">
      <alignment horizontal="right" vertical="center"/>
    </xf>
    <xf numFmtId="0" fontId="123" fillId="30" borderId="42" xfId="14" applyFont="1" applyFill="1" applyBorder="1" applyAlignment="1">
      <alignment horizontal="center" vertical="center" shrinkToFit="1"/>
    </xf>
    <xf numFmtId="49" fontId="95" fillId="38" borderId="42" xfId="14" applyNumberFormat="1" applyFont="1" applyFill="1" applyBorder="1" applyAlignment="1">
      <alignment horizontal="center" vertical="center" shrinkToFit="1"/>
    </xf>
    <xf numFmtId="49" fontId="83" fillId="0" borderId="36" xfId="14" applyNumberFormat="1" applyFont="1" applyBorder="1" applyAlignment="1">
      <alignment horizontal="center" vertical="center" shrinkToFit="1"/>
    </xf>
    <xf numFmtId="0" fontId="117" fillId="0" borderId="65" xfId="14" applyFont="1" applyBorder="1" applyAlignment="1">
      <alignment horizontal="center" vertical="center"/>
    </xf>
    <xf numFmtId="0" fontId="97" fillId="32" borderId="38" xfId="14" applyFont="1" applyFill="1" applyBorder="1" applyAlignment="1">
      <alignment horizontal="center" vertical="center"/>
    </xf>
    <xf numFmtId="0" fontId="95" fillId="27" borderId="42" xfId="14" applyFont="1" applyFill="1" applyBorder="1" applyAlignment="1">
      <alignment horizontal="center" vertical="center" shrinkToFit="1"/>
    </xf>
    <xf numFmtId="49" fontId="106" fillId="0" borderId="47" xfId="14" applyNumberFormat="1" applyFont="1" applyBorder="1" applyAlignment="1">
      <alignment horizontal="center" vertical="center"/>
    </xf>
    <xf numFmtId="0" fontId="101" fillId="32" borderId="40" xfId="14" applyFont="1" applyFill="1" applyBorder="1" applyAlignment="1">
      <alignment horizontal="center" vertical="center" shrinkToFit="1"/>
    </xf>
    <xf numFmtId="0" fontId="97" fillId="33" borderId="42" xfId="14" applyFont="1" applyFill="1" applyBorder="1" applyAlignment="1">
      <alignment horizontal="center" vertical="center"/>
    </xf>
    <xf numFmtId="49" fontId="79" fillId="0" borderId="64" xfId="14" applyNumberFormat="1" applyFont="1" applyBorder="1" applyAlignment="1">
      <alignment vertical="center" wrapText="1"/>
    </xf>
    <xf numFmtId="49" fontId="79" fillId="0" borderId="65" xfId="14" applyNumberFormat="1" applyFont="1" applyBorder="1" applyAlignment="1">
      <alignment vertical="center" wrapText="1"/>
    </xf>
    <xf numFmtId="0" fontId="88" fillId="30" borderId="64" xfId="14" applyFont="1" applyFill="1" applyBorder="1" applyAlignment="1">
      <alignment horizontal="right" vertical="center" wrapText="1"/>
    </xf>
    <xf numFmtId="0" fontId="95" fillId="30" borderId="62" xfId="14" applyFont="1" applyFill="1" applyBorder="1" applyAlignment="1">
      <alignment horizontal="center" vertical="center"/>
    </xf>
    <xf numFmtId="0" fontId="101" fillId="32" borderId="40" xfId="14" applyFont="1" applyFill="1" applyBorder="1" applyAlignment="1">
      <alignment horizontal="center" vertical="center" wrapText="1"/>
    </xf>
    <xf numFmtId="0" fontId="101" fillId="31" borderId="40" xfId="14" applyFont="1" applyFill="1" applyBorder="1" applyAlignment="1">
      <alignment horizontal="center" vertical="center" shrinkToFit="1"/>
    </xf>
    <xf numFmtId="49" fontId="106" fillId="0" borderId="52" xfId="14" applyNumberFormat="1" applyFont="1" applyBorder="1" applyAlignment="1">
      <alignment horizontal="center" vertical="center"/>
    </xf>
    <xf numFmtId="0" fontId="132" fillId="27" borderId="65" xfId="14" applyFont="1" applyFill="1" applyBorder="1" applyAlignment="1">
      <alignment horizontal="right" vertical="center"/>
    </xf>
    <xf numFmtId="49" fontId="106" fillId="0" borderId="58" xfId="14" applyNumberFormat="1" applyFont="1" applyBorder="1" applyAlignment="1">
      <alignment horizontal="center" vertical="center"/>
    </xf>
    <xf numFmtId="0" fontId="95" fillId="34" borderId="42" xfId="14" applyFont="1" applyFill="1" applyBorder="1" applyAlignment="1">
      <alignment horizontal="center" vertical="center"/>
    </xf>
    <xf numFmtId="49" fontId="79" fillId="0" borderId="49" xfId="14" applyNumberFormat="1" applyFont="1" applyBorder="1" applyAlignment="1">
      <alignment horizontal="center" vertical="center"/>
    </xf>
    <xf numFmtId="0" fontId="95" fillId="39" borderId="42" xfId="14" applyFont="1" applyFill="1" applyBorder="1" applyAlignment="1">
      <alignment horizontal="left" vertical="center"/>
    </xf>
    <xf numFmtId="0" fontId="78" fillId="0" borderId="0" xfId="14" applyFont="1" applyAlignment="1">
      <alignment horizontal="left" vertical="center"/>
    </xf>
    <xf numFmtId="0" fontId="80" fillId="25" borderId="29" xfId="14" applyFont="1" applyFill="1" applyBorder="1" applyAlignment="1">
      <alignment horizontal="left" vertical="center"/>
    </xf>
    <xf numFmtId="0" fontId="7" fillId="25" borderId="28" xfId="14" applyFont="1" applyFill="1" applyBorder="1"/>
    <xf numFmtId="49" fontId="74" fillId="0" borderId="55" xfId="14" applyNumberFormat="1" applyBorder="1" applyAlignment="1">
      <alignment horizontal="left" vertical="center" wrapText="1"/>
    </xf>
    <xf numFmtId="0" fontId="82" fillId="0" borderId="60" xfId="14" applyFont="1" applyBorder="1" applyAlignment="1">
      <alignment horizontal="center" vertical="center"/>
    </xf>
    <xf numFmtId="49" fontId="82" fillId="0" borderId="62" xfId="14" applyNumberFormat="1" applyFont="1" applyBorder="1" applyAlignment="1">
      <alignment horizontal="left" vertical="center" shrinkToFit="1"/>
    </xf>
    <xf numFmtId="49" fontId="74" fillId="0" borderId="52" xfId="14" applyNumberFormat="1" applyBorder="1" applyAlignment="1">
      <alignment horizontal="left" vertical="center" shrinkToFit="1"/>
    </xf>
    <xf numFmtId="49" fontId="74" fillId="0" borderId="32" xfId="14" applyNumberFormat="1" applyBorder="1" applyAlignment="1">
      <alignment horizontal="left" vertical="center" shrinkToFit="1"/>
    </xf>
    <xf numFmtId="49" fontId="74" fillId="0" borderId="65" xfId="14" applyNumberFormat="1" applyBorder="1" applyAlignment="1">
      <alignment horizontal="left" vertical="center" shrinkToFit="1"/>
    </xf>
    <xf numFmtId="0" fontId="82" fillId="0" borderId="65" xfId="14" applyFont="1" applyBorder="1" applyAlignment="1">
      <alignment horizontal="center" vertical="center" shrinkToFit="1"/>
    </xf>
    <xf numFmtId="0" fontId="97" fillId="31" borderId="42" xfId="14" applyFont="1" applyFill="1" applyBorder="1" applyAlignment="1">
      <alignment horizontal="right" vertical="center"/>
    </xf>
    <xf numFmtId="49" fontId="82" fillId="0" borderId="57" xfId="14" applyNumberFormat="1" applyFont="1" applyBorder="1" applyAlignment="1">
      <alignment horizontal="center" vertical="top" shrinkToFit="1"/>
    </xf>
    <xf numFmtId="49" fontId="103" fillId="0" borderId="62" xfId="14" applyNumberFormat="1" applyFont="1" applyBorder="1" applyAlignment="1">
      <alignment horizontal="center" vertical="center" shrinkToFit="1"/>
    </xf>
    <xf numFmtId="49" fontId="103" fillId="0" borderId="47" xfId="14" applyNumberFormat="1" applyFont="1" applyBorder="1" applyAlignment="1">
      <alignment horizontal="center" vertical="center" shrinkToFit="1"/>
    </xf>
    <xf numFmtId="0" fontId="97" fillId="29" borderId="79" xfId="14" applyFont="1" applyFill="1" applyBorder="1" applyAlignment="1">
      <alignment horizontal="center" vertical="center" wrapText="1"/>
    </xf>
    <xf numFmtId="0" fontId="106" fillId="35" borderId="79" xfId="14" applyFont="1" applyFill="1" applyBorder="1" applyAlignment="1">
      <alignment horizontal="center" vertical="center" wrapText="1"/>
    </xf>
    <xf numFmtId="0" fontId="106" fillId="32" borderId="79" xfId="14" applyFont="1" applyFill="1" applyBorder="1" applyAlignment="1">
      <alignment horizontal="center" vertical="center" wrapText="1"/>
    </xf>
    <xf numFmtId="0" fontId="104" fillId="32" borderId="40" xfId="14" applyFont="1" applyFill="1" applyBorder="1" applyAlignment="1">
      <alignment horizontal="center" vertical="center"/>
    </xf>
    <xf numFmtId="49" fontId="82" fillId="0" borderId="50" xfId="14" applyNumberFormat="1" applyFont="1" applyBorder="1" applyAlignment="1">
      <alignment horizontal="left" vertical="top" wrapText="1"/>
    </xf>
    <xf numFmtId="0" fontId="114" fillId="36" borderId="42" xfId="14" applyFont="1" applyFill="1" applyBorder="1" applyAlignment="1">
      <alignment horizontal="center"/>
    </xf>
    <xf numFmtId="0" fontId="82" fillId="0" borderId="74" xfId="14" applyFont="1" applyBorder="1" applyAlignment="1">
      <alignment horizontal="left" vertical="top"/>
    </xf>
    <xf numFmtId="0" fontId="82" fillId="0" borderId="69" xfId="14" applyFont="1" applyBorder="1" applyAlignment="1">
      <alignment horizontal="center" vertical="top"/>
    </xf>
    <xf numFmtId="0" fontId="79" fillId="0" borderId="36" xfId="14" applyFont="1" applyBorder="1" applyAlignment="1">
      <alignment horizontal="center" vertical="center"/>
    </xf>
    <xf numFmtId="0" fontId="113" fillId="0" borderId="29" xfId="14" applyFont="1" applyBorder="1" applyAlignment="1">
      <alignment horizontal="center"/>
    </xf>
    <xf numFmtId="0" fontId="95" fillId="27" borderId="62" xfId="14" applyFont="1" applyFill="1" applyBorder="1" applyAlignment="1">
      <alignment horizontal="center"/>
    </xf>
    <xf numFmtId="0" fontId="74" fillId="32" borderId="42" xfId="14" applyFill="1" applyBorder="1" applyAlignment="1">
      <alignment horizontal="center" vertical="center"/>
    </xf>
    <xf numFmtId="0" fontId="103" fillId="0" borderId="62" xfId="14" applyFont="1" applyBorder="1" applyAlignment="1">
      <alignment horizontal="left" vertical="center" shrinkToFit="1"/>
    </xf>
    <xf numFmtId="0" fontId="103" fillId="0" borderId="47" xfId="14" applyFont="1" applyBorder="1" applyAlignment="1">
      <alignment horizontal="left" vertical="center" shrinkToFit="1"/>
    </xf>
    <xf numFmtId="49" fontId="79" fillId="0" borderId="47" xfId="14" applyNumberFormat="1" applyFont="1" applyBorder="1" applyAlignment="1">
      <alignment horizontal="left" vertical="center" shrinkToFit="1"/>
    </xf>
    <xf numFmtId="166" fontId="109" fillId="0" borderId="50" xfId="14" applyNumberFormat="1" applyFont="1" applyBorder="1" applyAlignment="1">
      <alignment horizontal="center" vertical="top"/>
    </xf>
    <xf numFmtId="49" fontId="74" fillId="0" borderId="62" xfId="14" applyNumberFormat="1" applyBorder="1" applyAlignment="1">
      <alignment horizontal="left" vertical="center" shrinkToFit="1"/>
    </xf>
    <xf numFmtId="0" fontId="101" fillId="31" borderId="40" xfId="14" applyFont="1" applyFill="1" applyBorder="1" applyAlignment="1">
      <alignment horizontal="center" vertical="center"/>
    </xf>
    <xf numFmtId="0" fontId="94" fillId="32" borderId="38" xfId="14" applyFont="1" applyFill="1" applyBorder="1" applyAlignment="1">
      <alignment horizontal="center" vertical="center"/>
    </xf>
    <xf numFmtId="0" fontId="115" fillId="0" borderId="35" xfId="14" applyFont="1" applyBorder="1" applyAlignment="1">
      <alignment horizontal="center" vertical="center" shrinkToFit="1"/>
    </xf>
    <xf numFmtId="0" fontId="103" fillId="0" borderId="40" xfId="14" applyFont="1" applyBorder="1" applyAlignment="1">
      <alignment horizontal="left" vertical="center" shrinkToFit="1"/>
    </xf>
    <xf numFmtId="166" fontId="115" fillId="0" borderId="0" xfId="14" applyNumberFormat="1" applyFont="1" applyAlignment="1">
      <alignment horizontal="center" vertical="center"/>
    </xf>
    <xf numFmtId="166" fontId="113" fillId="0" borderId="40" xfId="14" applyNumberFormat="1" applyFont="1" applyBorder="1" applyAlignment="1">
      <alignment horizontal="center" vertical="center" shrinkToFit="1"/>
    </xf>
    <xf numFmtId="166" fontId="127" fillId="29" borderId="42" xfId="14" applyNumberFormat="1" applyFont="1" applyFill="1" applyBorder="1" applyAlignment="1">
      <alignment horizontal="right" vertical="center" shrinkToFit="1"/>
    </xf>
    <xf numFmtId="0" fontId="99" fillId="32" borderId="42" xfId="14" applyFont="1" applyFill="1" applyBorder="1" applyAlignment="1">
      <alignment horizontal="center" vertical="center"/>
    </xf>
    <xf numFmtId="0" fontId="125" fillId="0" borderId="65" xfId="14" applyFont="1" applyBorder="1" applyAlignment="1">
      <alignment horizontal="center" vertical="center"/>
    </xf>
    <xf numFmtId="0" fontId="124" fillId="0" borderId="42" xfId="14" applyFont="1" applyBorder="1" applyAlignment="1">
      <alignment horizontal="center" vertical="center" shrinkToFit="1"/>
    </xf>
    <xf numFmtId="0" fontId="79" fillId="0" borderId="35" xfId="14" applyFont="1" applyBorder="1" applyAlignment="1">
      <alignment horizontal="center" vertical="center" shrinkToFit="1"/>
    </xf>
    <xf numFmtId="0" fontId="106" fillId="29" borderId="40" xfId="14" applyFont="1" applyFill="1" applyBorder="1" applyAlignment="1">
      <alignment horizontal="center" vertical="center"/>
    </xf>
    <xf numFmtId="166" fontId="115" fillId="0" borderId="31" xfId="14" applyNumberFormat="1" applyFont="1" applyBorder="1" applyAlignment="1">
      <alignment horizontal="center" vertical="center" shrinkToFit="1"/>
    </xf>
    <xf numFmtId="0" fontId="101" fillId="31" borderId="29" xfId="14" applyFont="1" applyFill="1" applyBorder="1" applyAlignment="1">
      <alignment horizontal="right" vertical="center"/>
    </xf>
    <xf numFmtId="0" fontId="97" fillId="32" borderId="42" xfId="14" applyFont="1" applyFill="1" applyBorder="1" applyAlignment="1">
      <alignment horizontal="center" vertical="center" shrinkToFit="1"/>
    </xf>
    <xf numFmtId="0" fontId="104" fillId="0" borderId="36" xfId="14" applyFont="1" applyBorder="1" applyAlignment="1">
      <alignment horizontal="center" vertical="center"/>
    </xf>
    <xf numFmtId="0" fontId="104" fillId="0" borderId="65" xfId="14" applyFont="1" applyBorder="1" applyAlignment="1">
      <alignment horizontal="center" vertical="center"/>
    </xf>
    <xf numFmtId="0" fontId="101" fillId="31" borderId="31" xfId="14" applyFont="1" applyFill="1" applyBorder="1" applyAlignment="1">
      <alignment horizontal="right" vertical="center" shrinkToFit="1"/>
    </xf>
    <xf numFmtId="0" fontId="114" fillId="26" borderId="32" xfId="14" applyFont="1" applyFill="1" applyBorder="1" applyAlignment="1">
      <alignment horizontal="center"/>
    </xf>
    <xf numFmtId="0" fontId="106" fillId="31" borderId="79" xfId="14" applyFont="1" applyFill="1" applyBorder="1" applyAlignment="1">
      <alignment horizontal="center" vertical="center" wrapText="1"/>
    </xf>
    <xf numFmtId="49" fontId="103" fillId="0" borderId="40" xfId="14" applyNumberFormat="1" applyFont="1" applyBorder="1" applyAlignment="1">
      <alignment horizontal="center" vertical="center" shrinkToFit="1"/>
    </xf>
    <xf numFmtId="0" fontId="103" fillId="0" borderId="40" xfId="14" applyFont="1" applyBorder="1" applyAlignment="1">
      <alignment horizontal="center" vertical="center" shrinkToFit="1"/>
    </xf>
    <xf numFmtId="0" fontId="108" fillId="26" borderId="65" xfId="14" applyFont="1" applyFill="1" applyBorder="1" applyAlignment="1">
      <alignment horizontal="center" vertical="center" wrapText="1"/>
    </xf>
    <xf numFmtId="0" fontId="82" fillId="0" borderId="71" xfId="14" applyFont="1" applyBorder="1" applyAlignment="1">
      <alignment horizontal="left" vertical="top"/>
    </xf>
    <xf numFmtId="0" fontId="114" fillId="26" borderId="42" xfId="14" applyFont="1" applyFill="1" applyBorder="1" applyAlignment="1">
      <alignment horizontal="center"/>
    </xf>
    <xf numFmtId="166" fontId="109" fillId="0" borderId="69" xfId="14" applyNumberFormat="1" applyFont="1" applyBorder="1" applyAlignment="1">
      <alignment horizontal="center" vertical="top"/>
    </xf>
    <xf numFmtId="49" fontId="82" fillId="0" borderId="69" xfId="14" applyNumberFormat="1" applyFont="1" applyBorder="1" applyAlignment="1">
      <alignment horizontal="left" vertical="top" wrapText="1"/>
    </xf>
    <xf numFmtId="0" fontId="106" fillId="31" borderId="79" xfId="14" applyFont="1" applyFill="1" applyBorder="1" applyAlignment="1">
      <alignment horizontal="left" vertical="center" wrapText="1"/>
    </xf>
    <xf numFmtId="166" fontId="103" fillId="0" borderId="44" xfId="14" applyNumberFormat="1" applyFont="1" applyBorder="1" applyAlignment="1">
      <alignment horizontal="center" vertical="center" shrinkToFit="1"/>
    </xf>
    <xf numFmtId="166" fontId="116" fillId="0" borderId="65" xfId="14" applyNumberFormat="1" applyFont="1" applyBorder="1" applyAlignment="1">
      <alignment horizontal="center" vertical="center"/>
    </xf>
    <xf numFmtId="0" fontId="95" fillId="27" borderId="64" xfId="14" applyFont="1" applyFill="1" applyBorder="1" applyAlignment="1">
      <alignment horizontal="center" vertical="center"/>
    </xf>
    <xf numFmtId="0" fontId="94" fillId="28" borderId="40" xfId="14" applyFont="1" applyFill="1" applyBorder="1" applyAlignment="1">
      <alignment horizontal="center" vertical="center"/>
    </xf>
    <xf numFmtId="49" fontId="74" fillId="0" borderId="36" xfId="14" applyNumberFormat="1" applyBorder="1" applyAlignment="1">
      <alignment horizontal="left" vertical="center" wrapText="1"/>
    </xf>
    <xf numFmtId="49" fontId="82" fillId="0" borderId="45" xfId="14" applyNumberFormat="1" applyFont="1" applyBorder="1" applyAlignment="1">
      <alignment horizontal="left" vertical="top" wrapText="1"/>
    </xf>
    <xf numFmtId="166" fontId="106" fillId="0" borderId="47" xfId="14" applyNumberFormat="1" applyFont="1" applyBorder="1" applyAlignment="1">
      <alignment horizontal="center" vertical="center"/>
    </xf>
    <xf numFmtId="0" fontId="106" fillId="29" borderId="38" xfId="14" applyFont="1" applyFill="1" applyBorder="1" applyAlignment="1">
      <alignment horizontal="center" vertical="center"/>
    </xf>
    <xf numFmtId="0" fontId="94" fillId="31" borderId="40" xfId="14" applyFont="1" applyFill="1" applyBorder="1" applyAlignment="1">
      <alignment horizontal="left" vertical="center"/>
    </xf>
    <xf numFmtId="0" fontId="79" fillId="0" borderId="35" xfId="14" applyFont="1" applyBorder="1" applyAlignment="1">
      <alignment horizontal="center" vertical="center"/>
    </xf>
    <xf numFmtId="0" fontId="103" fillId="0" borderId="41" xfId="14" applyFont="1" applyBorder="1" applyAlignment="1">
      <alignment horizontal="center" vertical="center" shrinkToFit="1"/>
    </xf>
    <xf numFmtId="0" fontId="104" fillId="32" borderId="40" xfId="14" applyFont="1" applyFill="1" applyBorder="1" applyAlignment="1">
      <alignment horizontal="center" vertical="center" shrinkToFit="1"/>
    </xf>
    <xf numFmtId="0" fontId="77" fillId="26" borderId="32" xfId="14" applyFont="1" applyFill="1" applyBorder="1" applyAlignment="1">
      <alignment horizontal="center" vertical="center" shrinkToFit="1"/>
    </xf>
    <xf numFmtId="0" fontId="101" fillId="32" borderId="42" xfId="14" applyFont="1" applyFill="1" applyBorder="1" applyAlignment="1">
      <alignment horizontal="center" vertical="center"/>
    </xf>
    <xf numFmtId="49" fontId="82" fillId="0" borderId="29" xfId="14" applyNumberFormat="1" applyFont="1" applyBorder="1" applyAlignment="1">
      <alignment horizontal="center" vertical="top" shrinkToFit="1"/>
    </xf>
    <xf numFmtId="0" fontId="103" fillId="0" borderId="44" xfId="14" applyFont="1" applyBorder="1" applyAlignment="1">
      <alignment horizontal="center" vertical="center" shrinkToFit="1"/>
    </xf>
    <xf numFmtId="0" fontId="79" fillId="27" borderId="65" xfId="14" applyFont="1" applyFill="1" applyBorder="1" applyAlignment="1">
      <alignment vertical="center"/>
    </xf>
    <xf numFmtId="166" fontId="103" fillId="0" borderId="41" xfId="14" applyNumberFormat="1" applyFont="1" applyBorder="1" applyAlignment="1">
      <alignment horizontal="center" vertical="center" shrinkToFit="1"/>
    </xf>
    <xf numFmtId="0" fontId="79" fillId="0" borderId="0" xfId="14" applyFont="1" applyAlignment="1">
      <alignment horizontal="center" vertical="center"/>
    </xf>
    <xf numFmtId="49" fontId="93" fillId="0" borderId="65" xfId="14" applyNumberFormat="1" applyFont="1" applyBorder="1" applyAlignment="1">
      <alignment horizontal="left" vertical="top" wrapText="1"/>
    </xf>
    <xf numFmtId="0" fontId="74" fillId="29" borderId="42" xfId="14" applyFill="1" applyBorder="1" applyAlignment="1">
      <alignment horizontal="center" vertical="center"/>
    </xf>
    <xf numFmtId="49" fontId="96" fillId="0" borderId="52" xfId="14" applyNumberFormat="1" applyFont="1" applyBorder="1" applyAlignment="1">
      <alignment horizontal="center" vertical="center" shrinkToFit="1"/>
    </xf>
    <xf numFmtId="49" fontId="100" fillId="0" borderId="62" xfId="14" applyNumberFormat="1" applyFont="1" applyBorder="1" applyAlignment="1">
      <alignment horizontal="center" vertical="center" shrinkToFit="1"/>
    </xf>
    <xf numFmtId="0" fontId="96" fillId="0" borderId="52" xfId="14" applyFont="1" applyBorder="1" applyAlignment="1">
      <alignment horizontal="center" vertical="center" shrinkToFit="1"/>
    </xf>
    <xf numFmtId="0" fontId="96" fillId="0" borderId="55" xfId="14" applyFont="1" applyBorder="1" applyAlignment="1">
      <alignment horizontal="center" vertical="center" shrinkToFit="1"/>
    </xf>
    <xf numFmtId="49" fontId="96" fillId="0" borderId="47" xfId="14" applyNumberFormat="1" applyFont="1" applyBorder="1" applyAlignment="1">
      <alignment horizontal="center" vertical="center" shrinkToFit="1"/>
    </xf>
    <xf numFmtId="0" fontId="99" fillId="33" borderId="65" xfId="14" applyFont="1" applyFill="1" applyBorder="1" applyAlignment="1">
      <alignment horizontal="center" vertical="center" wrapText="1"/>
    </xf>
    <xf numFmtId="0" fontId="58" fillId="0" borderId="13" xfId="12" applyFont="1" applyBorder="1" applyAlignment="1">
      <alignment horizontal="center" vertical="center" wrapText="1"/>
    </xf>
    <xf numFmtId="0" fontId="58" fillId="0" borderId="15" xfId="12" applyFont="1" applyBorder="1" applyAlignment="1">
      <alignment horizontal="center" vertical="center" wrapText="1"/>
    </xf>
    <xf numFmtId="0" fontId="58" fillId="0" borderId="14" xfId="12" applyFont="1" applyBorder="1" applyAlignment="1">
      <alignment horizontal="center" vertical="center" wrapText="1"/>
    </xf>
    <xf numFmtId="0" fontId="58" fillId="0" borderId="10" xfId="12" applyFont="1" applyBorder="1" applyAlignment="1">
      <alignment horizontal="center" vertical="center" wrapText="1"/>
    </xf>
    <xf numFmtId="0" fontId="58" fillId="0" borderId="8" xfId="12" applyFont="1" applyBorder="1" applyAlignment="1">
      <alignment horizontal="center" vertical="center" wrapText="1"/>
    </xf>
    <xf numFmtId="0" fontId="58" fillId="0" borderId="9" xfId="12" applyFont="1" applyBorder="1" applyAlignment="1">
      <alignment horizontal="center" vertical="center" wrapText="1"/>
    </xf>
    <xf numFmtId="0" fontId="68" fillId="3" borderId="0" xfId="12" applyFont="1" applyFill="1" applyAlignment="1">
      <alignment horizontal="center"/>
    </xf>
    <xf numFmtId="0" fontId="60" fillId="3" borderId="16" xfId="12" applyFont="1" applyFill="1" applyBorder="1" applyAlignment="1">
      <alignment horizontal="center"/>
    </xf>
    <xf numFmtId="0" fontId="60" fillId="3" borderId="12" xfId="12" applyFont="1" applyFill="1" applyBorder="1" applyAlignment="1">
      <alignment horizontal="left"/>
    </xf>
    <xf numFmtId="0" fontId="60" fillId="3" borderId="17" xfId="12" applyFont="1" applyFill="1" applyBorder="1" applyAlignment="1">
      <alignment horizontal="left"/>
    </xf>
    <xf numFmtId="0" fontId="60" fillId="3" borderId="18" xfId="12" applyFont="1" applyFill="1" applyBorder="1" applyAlignment="1">
      <alignment horizontal="left"/>
    </xf>
    <xf numFmtId="0" fontId="58" fillId="0" borderId="12" xfId="12" applyFont="1" applyBorder="1" applyAlignment="1">
      <alignment horizontal="left"/>
    </xf>
    <xf numFmtId="0" fontId="58" fillId="0" borderId="17" xfId="12" applyFont="1" applyBorder="1" applyAlignment="1">
      <alignment horizontal="left"/>
    </xf>
    <xf numFmtId="0" fontId="58" fillId="0" borderId="18" xfId="12" applyFont="1" applyBorder="1" applyAlignment="1">
      <alignment horizontal="left"/>
    </xf>
    <xf numFmtId="0" fontId="55" fillId="0" borderId="12" xfId="12" applyFont="1" applyBorder="1" applyAlignment="1">
      <alignment horizontal="center"/>
    </xf>
    <xf numFmtId="0" fontId="55" fillId="0" borderId="17" xfId="12" applyFont="1" applyBorder="1" applyAlignment="1">
      <alignment horizontal="center"/>
    </xf>
    <xf numFmtId="0" fontId="55" fillId="0" borderId="18" xfId="12" applyFont="1" applyBorder="1" applyAlignment="1">
      <alignment horizontal="center"/>
    </xf>
    <xf numFmtId="0" fontId="59" fillId="4" borderId="25" xfId="13" applyFont="1" applyBorder="1" applyAlignment="1">
      <alignment horizontal="center" wrapText="1"/>
    </xf>
    <xf numFmtId="0" fontId="59" fillId="4" borderId="0" xfId="13" applyFont="1" applyBorder="1" applyAlignment="1">
      <alignment horizontal="center" wrapText="1"/>
    </xf>
    <xf numFmtId="0" fontId="62" fillId="7" borderId="12" xfId="9" applyFont="1" applyBorder="1" applyAlignment="1">
      <alignment horizontal="right"/>
    </xf>
    <xf numFmtId="0" fontId="62" fillId="7" borderId="18" xfId="9" applyFont="1" applyBorder="1" applyAlignment="1">
      <alignment horizontal="right"/>
    </xf>
    <xf numFmtId="0" fontId="68" fillId="3" borderId="0" xfId="12" applyFont="1" applyFill="1" applyAlignment="1">
      <alignment horizontal="left"/>
    </xf>
    <xf numFmtId="0" fontId="58" fillId="6" borderId="4" xfId="7" applyFont="1" applyAlignment="1">
      <alignment horizontal="left" vertical="center" wrapText="1"/>
    </xf>
    <xf numFmtId="0" fontId="58" fillId="6" borderId="4" xfId="7" applyFont="1" applyAlignment="1">
      <alignment horizontal="left"/>
    </xf>
    <xf numFmtId="0" fontId="60" fillId="3" borderId="16" xfId="12" applyFont="1" applyFill="1" applyBorder="1" applyAlignment="1">
      <alignment horizontal="left"/>
    </xf>
    <xf numFmtId="0" fontId="69" fillId="3" borderId="0" xfId="1" applyFont="1" applyFill="1" applyBorder="1" applyAlignment="1">
      <alignment horizontal="center"/>
    </xf>
    <xf numFmtId="0" fontId="44" fillId="3" borderId="5" xfId="8" applyFont="1" applyFill="1" applyAlignment="1">
      <alignment horizontal="center"/>
    </xf>
    <xf numFmtId="0" fontId="69" fillId="3" borderId="0" xfId="0" applyFont="1" applyFill="1" applyAlignment="1">
      <alignment horizontal="center" vertical="center"/>
    </xf>
    <xf numFmtId="0" fontId="25" fillId="6" borderId="4" xfId="7" applyFont="1" applyAlignment="1">
      <alignment horizontal="center"/>
    </xf>
    <xf numFmtId="0" fontId="47" fillId="18" borderId="0" xfId="10" applyFont="1" applyFill="1" applyAlignment="1">
      <alignment horizontal="center"/>
    </xf>
    <xf numFmtId="0" fontId="44" fillId="80" borderId="5" xfId="8" applyFont="1" applyFill="1" applyAlignment="1">
      <alignment horizontal="center"/>
    </xf>
    <xf numFmtId="0" fontId="6" fillId="2" borderId="0" xfId="2" applyFont="1" applyFill="1" applyAlignment="1">
      <alignment horizontal="center"/>
    </xf>
    <xf numFmtId="0" fontId="183" fillId="76" borderId="187" xfId="15" applyFont="1" applyFill="1" applyBorder="1" applyAlignment="1">
      <alignment horizontal="center"/>
    </xf>
    <xf numFmtId="0" fontId="183" fillId="3" borderId="188" xfId="15" applyFont="1" applyFill="1" applyBorder="1" applyAlignment="1"/>
    <xf numFmtId="0" fontId="171" fillId="0" borderId="0" xfId="15" applyFont="1" applyAlignment="1">
      <alignment horizontal="center" vertical="center"/>
    </xf>
    <xf numFmtId="0" fontId="134" fillId="0" borderId="0" xfId="15" applyAlignment="1"/>
    <xf numFmtId="0" fontId="135" fillId="0" borderId="0" xfId="15" applyFont="1" applyAlignment="1">
      <alignment horizontal="left" vertical="top"/>
    </xf>
    <xf numFmtId="0" fontId="0" fillId="6" borderId="4" xfId="7" applyFont="1" applyAlignment="1">
      <alignment horizontal="left" vertical="top" wrapText="1"/>
    </xf>
    <xf numFmtId="0" fontId="19" fillId="5" borderId="233" xfId="5" applyBorder="1" applyAlignment="1">
      <alignment horizontal="center"/>
    </xf>
    <xf numFmtId="0" fontId="19" fillId="5" borderId="0" xfId="5" applyBorder="1" applyAlignment="1">
      <alignment horizontal="center"/>
    </xf>
    <xf numFmtId="0" fontId="171" fillId="25" borderId="0" xfId="15" applyFont="1" applyFill="1" applyAlignment="1">
      <alignment horizontal="center" vertical="center"/>
    </xf>
    <xf numFmtId="0" fontId="144" fillId="0" borderId="0" xfId="15" applyFont="1" applyAlignment="1"/>
    <xf numFmtId="0" fontId="135" fillId="24" borderId="0" xfId="15" applyFont="1" applyFill="1" applyAlignment="1">
      <alignment horizontal="left" vertical="top"/>
    </xf>
    <xf numFmtId="0" fontId="75" fillId="0" borderId="0" xfId="15" applyFont="1" applyAlignment="1">
      <alignment horizontal="left" vertical="top"/>
    </xf>
    <xf numFmtId="0" fontId="171" fillId="23" borderId="0" xfId="15" applyFont="1" applyFill="1" applyAlignment="1">
      <alignment horizontal="center" vertical="center"/>
    </xf>
    <xf numFmtId="0" fontId="70" fillId="3" borderId="196" xfId="4" applyFont="1" applyFill="1" applyBorder="1" applyAlignment="1">
      <alignment horizontal="center" vertical="center"/>
    </xf>
    <xf numFmtId="0" fontId="70" fillId="3" borderId="0" xfId="4" applyFont="1" applyFill="1" applyBorder="1" applyAlignment="1">
      <alignment horizontal="center" vertical="center"/>
    </xf>
    <xf numFmtId="0" fontId="0" fillId="6" borderId="280" xfId="7" applyFont="1" applyBorder="1" applyAlignment="1">
      <alignment horizontal="center"/>
    </xf>
    <xf numFmtId="0" fontId="0" fillId="6" borderId="281" xfId="7" applyFont="1" applyBorder="1" applyAlignment="1">
      <alignment horizontal="center"/>
    </xf>
    <xf numFmtId="0" fontId="0" fillId="6" borderId="282" xfId="7" applyFont="1" applyBorder="1" applyAlignment="1">
      <alignment horizontal="center"/>
    </xf>
    <xf numFmtId="0" fontId="0" fillId="6" borderId="234" xfId="7" applyFont="1" applyBorder="1" applyAlignment="1">
      <alignment horizontal="center"/>
    </xf>
    <xf numFmtId="0" fontId="0" fillId="6" borderId="235" xfId="7" applyFont="1" applyBorder="1" applyAlignment="1">
      <alignment horizontal="center"/>
    </xf>
    <xf numFmtId="0" fontId="0" fillId="6" borderId="236" xfId="7" applyFont="1" applyBorder="1" applyAlignment="1">
      <alignment horizontal="center"/>
    </xf>
    <xf numFmtId="0" fontId="70" fillId="3" borderId="284" xfId="4" applyFont="1" applyFill="1" applyBorder="1" applyAlignment="1">
      <alignment horizontal="center" vertical="center"/>
    </xf>
    <xf numFmtId="0" fontId="70" fillId="3" borderId="8" xfId="4" applyFont="1" applyFill="1" applyBorder="1" applyAlignment="1">
      <alignment horizontal="center" vertical="center"/>
    </xf>
    <xf numFmtId="0" fontId="0" fillId="6" borderId="0" xfId="7" applyFont="1" applyBorder="1" applyAlignment="1">
      <alignment horizontal="left" vertical="top" wrapText="1"/>
    </xf>
    <xf numFmtId="0" fontId="0" fillId="6" borderId="23" xfId="7" applyFont="1" applyBorder="1" applyAlignment="1">
      <alignment horizontal="center"/>
    </xf>
    <xf numFmtId="0" fontId="0" fillId="6" borderId="0" xfId="7" applyFont="1" applyBorder="1" applyAlignment="1">
      <alignment horizontal="center"/>
    </xf>
    <xf numFmtId="0" fontId="20" fillId="5" borderId="272" xfId="6" applyBorder="1" applyAlignment="1">
      <alignment horizontal="center" vertical="center"/>
    </xf>
    <xf numFmtId="0" fontId="20" fillId="5" borderId="273" xfId="6" applyBorder="1" applyAlignment="1">
      <alignment horizontal="center" vertical="center"/>
    </xf>
    <xf numFmtId="0" fontId="319" fillId="3" borderId="197" xfId="24" applyFont="1" applyFill="1" applyAlignment="1">
      <alignment horizontal="center" vertical="center"/>
    </xf>
    <xf numFmtId="0" fontId="319" fillId="3" borderId="0" xfId="24" applyFont="1" applyFill="1" applyBorder="1" applyAlignment="1">
      <alignment horizontal="center" vertical="center"/>
    </xf>
    <xf numFmtId="0" fontId="0" fillId="0" borderId="0" xfId="0" applyAlignment="1">
      <alignment horizontal="left" wrapText="1"/>
    </xf>
    <xf numFmtId="0" fontId="319" fillId="3" borderId="0" xfId="24" applyFont="1" applyFill="1" applyBorder="1" applyAlignment="1">
      <alignment horizontal="center" vertical="center" wrapText="1"/>
    </xf>
    <xf numFmtId="0" fontId="214" fillId="71" borderId="225" xfId="27" applyFont="1" applyFill="1" applyBorder="1" applyAlignment="1">
      <alignment horizontal="left"/>
    </xf>
    <xf numFmtId="0" fontId="214" fillId="71" borderId="0" xfId="27" applyFont="1" applyFill="1" applyBorder="1" applyAlignment="1">
      <alignment horizontal="left"/>
    </xf>
    <xf numFmtId="0" fontId="214" fillId="71" borderId="226" xfId="27" applyFont="1" applyFill="1" applyBorder="1" applyAlignment="1">
      <alignment horizontal="left"/>
    </xf>
    <xf numFmtId="0" fontId="0" fillId="0" borderId="0" xfId="0" applyAlignment="1">
      <alignment horizontal="left"/>
    </xf>
    <xf numFmtId="0" fontId="319" fillId="3" borderId="0" xfId="24" applyFont="1" applyFill="1" applyBorder="1" applyAlignment="1">
      <alignment horizontal="center"/>
    </xf>
    <xf numFmtId="0" fontId="319" fillId="3" borderId="8" xfId="24" applyFont="1" applyFill="1" applyBorder="1" applyAlignment="1">
      <alignment horizontal="center"/>
    </xf>
    <xf numFmtId="0" fontId="322" fillId="6" borderId="280" xfId="7" applyFont="1" applyBorder="1" applyAlignment="1">
      <alignment horizontal="center" vertical="center" wrapText="1"/>
    </xf>
    <xf numFmtId="0" fontId="322" fillId="6" borderId="281" xfId="7" applyFont="1" applyBorder="1" applyAlignment="1">
      <alignment horizontal="center" vertical="center" wrapText="1"/>
    </xf>
    <xf numFmtId="0" fontId="322" fillId="6" borderId="282" xfId="7" applyFont="1" applyBorder="1" applyAlignment="1">
      <alignment horizontal="center" vertical="center" wrapText="1"/>
    </xf>
    <xf numFmtId="0" fontId="322" fillId="6" borderId="23" xfId="7" applyFont="1" applyBorder="1" applyAlignment="1">
      <alignment horizontal="center" vertical="center" wrapText="1"/>
    </xf>
    <xf numFmtId="0" fontId="322" fillId="6" borderId="0" xfId="7" applyFont="1" applyBorder="1" applyAlignment="1">
      <alignment horizontal="center" vertical="center" wrapText="1"/>
    </xf>
    <xf numFmtId="0" fontId="322" fillId="6" borderId="283" xfId="7" applyFont="1" applyBorder="1" applyAlignment="1">
      <alignment horizontal="center" vertical="center" wrapText="1"/>
    </xf>
    <xf numFmtId="0" fontId="322" fillId="6" borderId="234" xfId="7" applyFont="1" applyBorder="1" applyAlignment="1">
      <alignment horizontal="center" vertical="center" wrapText="1"/>
    </xf>
    <xf numFmtId="0" fontId="322" fillId="6" borderId="235" xfId="7" applyFont="1" applyBorder="1" applyAlignment="1">
      <alignment horizontal="center" vertical="center" wrapText="1"/>
    </xf>
    <xf numFmtId="0" fontId="322" fillId="6" borderId="236" xfId="7" applyFont="1" applyBorder="1" applyAlignment="1">
      <alignment horizontal="center" vertical="center" wrapText="1"/>
    </xf>
    <xf numFmtId="0" fontId="319" fillId="3" borderId="197" xfId="24" applyFont="1" applyFill="1" applyAlignment="1">
      <alignment horizontal="center"/>
    </xf>
    <xf numFmtId="0" fontId="320" fillId="3" borderId="204" xfId="27" applyFont="1" applyFill="1" applyAlignment="1">
      <alignment horizontal="center"/>
    </xf>
    <xf numFmtId="0" fontId="320" fillId="3" borderId="0" xfId="27" applyFont="1" applyFill="1" applyBorder="1" applyAlignment="1">
      <alignment horizontal="center"/>
    </xf>
    <xf numFmtId="0" fontId="323" fillId="6" borderId="280" xfId="1" applyFont="1" applyFill="1" applyBorder="1" applyAlignment="1">
      <alignment horizontal="center" vertical="center" wrapText="1"/>
    </xf>
    <xf numFmtId="0" fontId="323" fillId="6" borderId="281" xfId="1" applyFont="1" applyFill="1" applyBorder="1" applyAlignment="1">
      <alignment horizontal="center" vertical="center" wrapText="1"/>
    </xf>
    <xf numFmtId="0" fontId="323" fillId="6" borderId="282" xfId="1" applyFont="1" applyFill="1" applyBorder="1" applyAlignment="1">
      <alignment horizontal="center" vertical="center" wrapText="1"/>
    </xf>
    <xf numFmtId="0" fontId="323" fillId="6" borderId="234" xfId="1" applyFont="1" applyFill="1" applyBorder="1" applyAlignment="1">
      <alignment horizontal="center" vertical="center" wrapText="1"/>
    </xf>
    <xf numFmtId="0" fontId="323" fillId="6" borderId="235" xfId="1" applyFont="1" applyFill="1" applyBorder="1" applyAlignment="1">
      <alignment horizontal="center" vertical="center" wrapText="1"/>
    </xf>
    <xf numFmtId="0" fontId="323" fillId="6" borderId="236" xfId="1" applyFont="1" applyFill="1" applyBorder="1" applyAlignment="1">
      <alignment horizontal="center" vertical="center" wrapText="1"/>
    </xf>
    <xf numFmtId="0" fontId="181" fillId="71" borderId="0" xfId="0" applyFont="1" applyFill="1" applyAlignment="1">
      <alignment horizontal="center" vertical="center"/>
    </xf>
    <xf numFmtId="0" fontId="0" fillId="0" borderId="0" xfId="0" applyAlignment="1">
      <alignment horizontal="center"/>
    </xf>
    <xf numFmtId="0" fontId="181" fillId="3" borderId="0" xfId="0" applyFont="1" applyFill="1" applyAlignment="1">
      <alignment horizontal="center" vertical="center"/>
    </xf>
    <xf numFmtId="0" fontId="239" fillId="75" borderId="0" xfId="0" applyFont="1" applyFill="1" applyAlignment="1">
      <alignment vertical="center"/>
    </xf>
    <xf numFmtId="0" fontId="266" fillId="119" borderId="0" xfId="14" applyFont="1" applyFill="1" applyAlignment="1">
      <alignment horizontal="center"/>
    </xf>
    <xf numFmtId="0" fontId="74" fillId="0" borderId="0" xfId="14" applyAlignment="1"/>
    <xf numFmtId="0" fontId="267" fillId="0" borderId="0" xfId="14" applyFont="1" applyAlignment="1"/>
    <xf numFmtId="0" fontId="292" fillId="13" borderId="8" xfId="0" applyFont="1" applyFill="1" applyBorder="1" applyAlignment="1">
      <alignment horizontal="center" vertical="top"/>
    </xf>
    <xf numFmtId="0" fontId="292" fillId="13" borderId="8" xfId="0" applyFont="1" applyFill="1" applyBorder="1" applyAlignment="1">
      <alignment horizontal="center" vertical="center"/>
    </xf>
    <xf numFmtId="0" fontId="293" fillId="78" borderId="0" xfId="0" applyFont="1" applyFill="1" applyAlignment="1">
      <alignment horizontal="center"/>
    </xf>
    <xf numFmtId="0" fontId="0" fillId="78" borderId="0" xfId="0" applyFill="1" applyAlignment="1">
      <alignment horizontal="center"/>
    </xf>
    <xf numFmtId="0" fontId="0" fillId="8" borderId="16" xfId="0" applyFill="1" applyBorder="1" applyAlignment="1">
      <alignment horizontal="center" vertical="top"/>
    </xf>
    <xf numFmtId="0" fontId="0" fillId="78" borderId="15" xfId="0" applyFill="1" applyBorder="1" applyAlignment="1">
      <alignment horizontal="center"/>
    </xf>
    <xf numFmtId="0" fontId="33" fillId="78" borderId="0" xfId="0" applyFont="1" applyFill="1" applyAlignment="1">
      <alignment horizontal="center"/>
    </xf>
    <xf numFmtId="0" fontId="293" fillId="78" borderId="0" xfId="0" applyFont="1" applyFill="1" applyAlignment="1">
      <alignment horizontal="center" vertical="center"/>
    </xf>
    <xf numFmtId="0" fontId="293" fillId="78" borderId="8" xfId="0" applyFont="1" applyFill="1" applyBorder="1" applyAlignment="1">
      <alignment horizontal="center" vertical="center"/>
    </xf>
    <xf numFmtId="0" fontId="0" fillId="0" borderId="8" xfId="0" applyBorder="1" applyAlignment="1">
      <alignment horizontal="center"/>
    </xf>
    <xf numFmtId="0" fontId="292" fillId="13" borderId="0" xfId="0" applyFont="1" applyFill="1" applyAlignment="1">
      <alignment horizontal="left" vertical="top"/>
    </xf>
    <xf numFmtId="0" fontId="25" fillId="85" borderId="0" xfId="10" applyFill="1" applyAlignment="1">
      <alignment horizontal="center" vertical="center"/>
    </xf>
    <xf numFmtId="0" fontId="264" fillId="73" borderId="8" xfId="1" applyFont="1" applyFill="1" applyBorder="1" applyAlignment="1">
      <alignment horizontal="left" vertical="top"/>
    </xf>
    <xf numFmtId="0" fontId="175" fillId="73" borderId="8" xfId="1" applyFont="1" applyFill="1" applyBorder="1" applyAlignment="1">
      <alignment horizontal="left" vertical="top"/>
    </xf>
    <xf numFmtId="0" fontId="174" fillId="72" borderId="11" xfId="10" applyFont="1" applyFill="1" applyBorder="1" applyAlignment="1">
      <alignment horizontal="left" vertical="center"/>
    </xf>
    <xf numFmtId="0" fontId="174" fillId="72" borderId="0" xfId="10" applyFont="1" applyFill="1" applyBorder="1" applyAlignment="1">
      <alignment horizontal="left" vertical="center"/>
    </xf>
    <xf numFmtId="0" fontId="321" fillId="98" borderId="0" xfId="10" applyFont="1" applyFill="1" applyBorder="1" applyAlignment="1">
      <alignment horizontal="left" vertical="top" wrapText="1"/>
    </xf>
    <xf numFmtId="0" fontId="261" fillId="98" borderId="0" xfId="10" applyFont="1" applyFill="1" applyBorder="1" applyAlignment="1">
      <alignment horizontal="left" vertical="top" wrapText="1"/>
    </xf>
    <xf numFmtId="0" fontId="282" fillId="3" borderId="0" xfId="10" applyFont="1" applyFill="1" applyBorder="1" applyAlignment="1">
      <alignment horizontal="center" vertical="top"/>
    </xf>
    <xf numFmtId="0" fontId="261" fillId="98" borderId="11" xfId="10" applyFont="1" applyFill="1" applyBorder="1" applyAlignment="1">
      <alignment horizontal="left" vertical="center" wrapText="1"/>
    </xf>
    <xf numFmtId="0" fontId="261" fillId="98" borderId="0" xfId="10" applyFont="1" applyFill="1" applyBorder="1" applyAlignment="1">
      <alignment horizontal="left" vertical="center" wrapText="1"/>
    </xf>
    <xf numFmtId="0" fontId="261" fillId="98" borderId="7" xfId="10" applyFont="1" applyFill="1" applyBorder="1" applyAlignment="1">
      <alignment horizontal="left" vertical="center" wrapText="1"/>
    </xf>
    <xf numFmtId="0" fontId="264" fillId="85" borderId="0" xfId="1" applyFont="1" applyFill="1" applyBorder="1" applyAlignment="1">
      <alignment horizontal="left" vertical="top"/>
    </xf>
  </cellXfs>
  <cellStyles count="52">
    <cellStyle name="20% – колірна тема 1" xfId="9" builtinId="30"/>
    <cellStyle name="40% – колірна тема 5 2" xfId="43" xr:uid="{85B3B9AA-A6CF-4617-9754-969012049543}"/>
    <cellStyle name="Hyperlink" xfId="25" xr:uid="{8F3544F3-4D18-4ACD-9B3D-4D60C7DF87A9}"/>
    <cellStyle name="Normal 4" xfId="18" xr:uid="{9DF2F207-621D-4003-A36C-04E26035C238}"/>
    <cellStyle name="Ввід" xfId="4" builtinId="20" customBuiltin="1"/>
    <cellStyle name="Ввід 2" xfId="13" xr:uid="{C86F2E4D-1F6F-4763-94AA-0777F4E08760}"/>
    <cellStyle name="Ввід 3" xfId="26" xr:uid="{1BF4807A-F92D-4EC1-AC6D-9FA7638398E8}"/>
    <cellStyle name="Відсотковий" xfId="28" builtinId="5"/>
    <cellStyle name="Відсотковий 2" xfId="19" xr:uid="{18D04FE7-C1A8-47B8-86D9-49A23FC32A45}"/>
    <cellStyle name="Гарний 2" xfId="51" xr:uid="{90733F7E-744B-447B-AFD9-DD20A969542A}"/>
    <cellStyle name="Гіперпосилання" xfId="1" builtinId="8"/>
    <cellStyle name="Гіперпосилання 2" xfId="11" xr:uid="{0422B761-4770-4AFB-A148-DD75F8BD7128}"/>
    <cellStyle name="Гіперпосилання 2 2" xfId="22" xr:uid="{9956E4E8-E979-4EC1-8CC6-BBAE7AB9F355}"/>
    <cellStyle name="Гіперпосилання 2 3" xfId="40" xr:uid="{CAC7092E-222F-45D9-BB96-528AFFE521DE}"/>
    <cellStyle name="Гіперпосилання 3" xfId="17" xr:uid="{574F3BCD-5710-4C3C-8D21-47ABA661B892}"/>
    <cellStyle name="Гіперпосилання 3 2" xfId="41" xr:uid="{11F9D695-864E-4AE3-9E41-33805F64EA58}"/>
    <cellStyle name="Гіперпосилання 4" xfId="50" xr:uid="{FB7B54B3-7123-48E1-82C2-B77CE99B4A04}"/>
    <cellStyle name="Грошовий 2" xfId="35" xr:uid="{90756934-FF03-416B-9886-EF23D6A3E557}"/>
    <cellStyle name="Грошовий 3" xfId="45" xr:uid="{A33D9586-3A76-48DE-BF1D-47B6D2E05F62}"/>
    <cellStyle name="Заголовок 1" xfId="24" builtinId="16" customBuiltin="1"/>
    <cellStyle name="Заголовок 1 2" xfId="47" xr:uid="{91B6F6A9-E559-43A8-87E7-8955AF8757E0}"/>
    <cellStyle name="Заголовок 2" xfId="27" builtinId="17" customBuiltin="1"/>
    <cellStyle name="Заголовок 3" xfId="3" builtinId="18"/>
    <cellStyle name="Заголовок 3 2" xfId="30" xr:uid="{1F765BD0-D69D-4A73-A2DB-F596255F92DF}"/>
    <cellStyle name="Звичайний" xfId="0" builtinId="0"/>
    <cellStyle name="Звичайний 2" xfId="2" xr:uid="{785BC8B7-A9D4-44CD-B984-AE03F65B2E7B}"/>
    <cellStyle name="Звичайний 2 2" xfId="20" xr:uid="{AF50F256-18EE-40AC-940F-EC1D147011ED}"/>
    <cellStyle name="Звичайний 2 2 2" xfId="38" xr:uid="{C5043885-2709-4462-8159-7069CE88950E}"/>
    <cellStyle name="Звичайний 2 3" xfId="34" xr:uid="{CBCD7A4B-AF56-4922-910E-A20E016FC1E1}"/>
    <cellStyle name="Звичайний 2 4" xfId="31" xr:uid="{FB73CC11-3E08-4006-928D-81DBCFD6ADAC}"/>
    <cellStyle name="Звичайний 3" xfId="10" xr:uid="{557EEA65-24B1-4C25-A06F-F9EC8E87BEA6}"/>
    <cellStyle name="Звичайний 3 2" xfId="36" xr:uid="{6BDBBA03-52F5-4993-91E3-E782918E8183}"/>
    <cellStyle name="Звичайний 4" xfId="12" xr:uid="{A7CDD3D7-C984-4BB6-9C65-AC420A0B0FE6}"/>
    <cellStyle name="Звичайний 4 2" xfId="32" xr:uid="{EBCBF285-1783-4E52-B250-EB5E6D31C365}"/>
    <cellStyle name="Звичайний 5" xfId="14" xr:uid="{E1A68CF1-3BF0-486B-BB2F-B5E47BC861C1}"/>
    <cellStyle name="Звичайний 5 2" xfId="37" xr:uid="{F02BADF4-AF77-42D5-ABF6-C4464F2190DE}"/>
    <cellStyle name="Звичайний 6" xfId="15" xr:uid="{1E1C8BF9-C4CC-46C7-9BF3-7375C5D08089}"/>
    <cellStyle name="Звичайний 6 2" xfId="39" xr:uid="{3DB7239E-7BA1-4DF3-8CFC-F6A87013EA0E}"/>
    <cellStyle name="Звичайний 7" xfId="21" xr:uid="{A37A258B-BF0A-494A-A404-0C0C478BB41A}"/>
    <cellStyle name="Звичайний 7 2" xfId="44" xr:uid="{65334021-6D9A-4CC8-BC42-7C53FD6C6F97}"/>
    <cellStyle name="Звичайний 8" xfId="23" xr:uid="{662F3B3B-6620-4784-AE18-56528A58023F}"/>
    <cellStyle name="Звичайний 8 2" xfId="46" xr:uid="{503F9F29-D537-403F-BC12-74D1A1CC39F7}"/>
    <cellStyle name="Звичайний 9" xfId="29" xr:uid="{0368D9F0-67FB-4372-9F21-8CE4599A3258}"/>
    <cellStyle name="Звичайний 9 2" xfId="49" xr:uid="{2339ACC0-765E-4865-8D37-1B62BC68B849}"/>
    <cellStyle name="Зв'язана клітинка 2" xfId="48" xr:uid="{84094127-1732-40DD-837D-14915D23E500}"/>
    <cellStyle name="Контрольна клітинка 2" xfId="42" xr:uid="{92624868-88CF-4743-8EB9-C4D0A687C25D}"/>
    <cellStyle name="Обчислення" xfId="6" builtinId="22"/>
    <cellStyle name="Обычный 2" xfId="33" xr:uid="{CD447E9F-16F5-4056-B364-C62A1A286EF2}"/>
    <cellStyle name="Підсумок" xfId="8" builtinId="25"/>
    <cellStyle name="Примітка" xfId="7" builtinId="10"/>
    <cellStyle name="Результат" xfId="5" builtinId="21"/>
    <cellStyle name="Фінансовий 2" xfId="16" xr:uid="{306E107B-1267-4691-B7AC-10C40046CC7B}"/>
  </cellStyles>
  <dxfs count="1448">
    <dxf>
      <alignment horizontal="general" vertical="bottom" textRotation="0" wrapText="0" indent="0" justifyLastLine="0" shrinkToFit="0" readingOrder="0"/>
    </dxf>
    <dxf>
      <alignment horizontal="general" vertical="bottom" textRotation="0" wrapText="0" indent="0" justifyLastLine="0" shrinkToFit="0" readingOrder="0"/>
    </dxf>
    <dxf>
      <numFmt numFmtId="21" formatCode="dd/mmm"/>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patternFill patternType="solid">
          <fgColor rgb="FFB7E1CD"/>
          <bgColor rgb="FFB7E1CD"/>
        </patternFill>
      </fill>
    </dxf>
    <dxf>
      <font>
        <color theme="6" tint="-0.24994659260841701"/>
      </font>
      <fill>
        <patternFill patternType="gray0625">
          <bgColor theme="6"/>
        </patternFill>
      </fill>
    </dxf>
    <dxf>
      <font>
        <color theme="4" tint="0.39994506668294322"/>
      </font>
      <fill>
        <patternFill patternType="lightHorizontal">
          <bgColor theme="8"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color rgb="FF111111"/>
      </font>
      <fill>
        <patternFill patternType="solid">
          <fgColor rgb="FFC00000"/>
          <bgColor rgb="FFC00000"/>
        </patternFill>
      </fill>
    </dxf>
    <dxf>
      <font>
        <b/>
      </font>
      <fill>
        <patternFill patternType="solid">
          <fgColor rgb="FFC00000"/>
          <bgColor rgb="FFC00000"/>
        </patternFill>
      </fill>
    </dxf>
    <dxf>
      <font>
        <color rgb="FF9C0006"/>
      </font>
      <fill>
        <patternFill patternType="solid">
          <fgColor rgb="FFFFC7CE"/>
          <bgColor rgb="FFFFC7CE"/>
        </patternFill>
      </fill>
    </dxf>
    <dxf>
      <font>
        <b/>
      </font>
      <fill>
        <patternFill patternType="solid">
          <fgColor rgb="FFC00000"/>
          <bgColor rgb="FFC0000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FFFF"/>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0000"/>
      </font>
      <fill>
        <patternFill patternType="solid">
          <fgColor rgb="FF7F7F7F"/>
          <bgColor rgb="FF7F7F7F"/>
        </patternFill>
      </fill>
    </dxf>
    <dxf>
      <font>
        <color rgb="FFC00000"/>
      </font>
      <fill>
        <patternFill patternType="solid">
          <fgColor rgb="FFFBD4B4"/>
          <bgColor rgb="FFFBD4B4"/>
        </patternFill>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b/>
        <color rgb="FF1F497D"/>
      </font>
      <fill>
        <patternFill patternType="none"/>
      </fill>
    </dxf>
    <dxf>
      <font>
        <b/>
        <color rgb="FFFF0000"/>
      </font>
      <fill>
        <patternFill patternType="solid">
          <fgColor rgb="FFA5A5A5"/>
          <bgColor rgb="FFA5A5A5"/>
        </patternFill>
      </fill>
    </dxf>
    <dxf>
      <font>
        <b/>
        <color rgb="FFFF0000"/>
      </font>
      <fill>
        <patternFill patternType="solid">
          <fgColor rgb="FFA5A5A5"/>
          <bgColor rgb="FFA5A5A5"/>
        </patternFill>
      </fill>
    </dxf>
    <dxf>
      <font>
        <color rgb="FF17365D"/>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FFFF"/>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0000"/>
      </font>
      <fill>
        <patternFill patternType="solid">
          <fgColor rgb="FF7F7F7F"/>
          <bgColor rgb="FF7F7F7F"/>
        </patternFill>
      </fill>
    </dxf>
    <dxf>
      <font>
        <color rgb="FFFF0000"/>
      </font>
      <fill>
        <patternFill patternType="solid">
          <fgColor rgb="FF7F7F7F"/>
          <bgColor rgb="FF7F7F7F"/>
        </patternFill>
      </fill>
    </dxf>
    <dxf>
      <font>
        <color rgb="FF9C0006"/>
      </font>
      <fill>
        <patternFill>
          <bgColor rgb="FFFFC7CE"/>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9.5"/>
        <color rgb="FF000000"/>
        <name val="Times New Roman"/>
        <family val="1"/>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right style="thin">
          <color theme="1"/>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Lato"/>
        <family val="2"/>
        <charset val="204"/>
        <scheme val="minor"/>
      </font>
      <border diagonalUp="0" diagonalDown="0">
        <left style="thin">
          <color theme="1"/>
        </left>
        <right style="thin">
          <color theme="1"/>
        </right>
        <top style="thin">
          <color theme="1"/>
        </top>
        <bottom style="thin">
          <color theme="1"/>
        </bottom>
        <vertical/>
        <horizontal/>
      </border>
    </dxf>
    <dxf>
      <alignment textRotation="0" wrapText="0" indent="0" justifyLastLine="0" shrinkToFit="0" readingOrder="0"/>
      <border diagonalUp="0" diagonalDown="0" outline="0">
        <left style="thin">
          <color indexed="64"/>
        </left>
        <right/>
        <top style="thin">
          <color indexed="64"/>
        </top>
        <bottom style="thin">
          <color indexed="64"/>
        </bottom>
      </border>
    </dxf>
    <dxf>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rgb="FFFFFFFF"/>
        <name val="Trebuchet MS"/>
        <scheme val="none"/>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solid">
          <fgColor indexed="64"/>
          <bgColor rgb="FFFFFFFF"/>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Trebuchet MS"/>
        <scheme val="none"/>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border outline="0">
        <right style="thin">
          <color indexed="64"/>
        </right>
        <bottom style="thin">
          <color indexed="64"/>
        </bottom>
      </border>
    </dxf>
    <dxf>
      <font>
        <b val="0"/>
        <i val="0"/>
        <strike val="0"/>
        <condense val="0"/>
        <extend val="0"/>
        <outline val="0"/>
        <shadow val="0"/>
        <u val="none"/>
        <vertAlign val="baseline"/>
        <sz val="12"/>
        <color rgb="FF000000"/>
        <name val="Trebuchet MS"/>
        <scheme val="none"/>
      </font>
      <fill>
        <patternFill patternType="none">
          <fgColor indexed="64"/>
          <bgColor auto="1"/>
        </patternFill>
      </fill>
      <alignment horizontal="left" vertical="top"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FFFFFF"/>
        <name val="Trebuchet MS"/>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alignment textRotation="0" wrapText="0" indent="0" justifyLastLine="0" shrinkToFit="0" readingOrder="0"/>
    </dxf>
    <dxf>
      <font>
        <strike val="0"/>
        <outline val="0"/>
        <shadow val="0"/>
        <u val="none"/>
        <vertAlign val="baseline"/>
        <sz val="11"/>
        <color theme="0"/>
        <name val="Calibri"/>
        <scheme val="none"/>
      </font>
      <alignment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1"/>
        <color theme="0"/>
        <name val="Calibri"/>
      </font>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alignment textRotation="0" wrapText="0" indent="0" justifyLastLine="0" shrinkToFit="0" readingOrder="0"/>
    </dxf>
    <dxf>
      <font>
        <strike val="0"/>
        <outline val="0"/>
        <shadow val="0"/>
        <u val="none"/>
        <vertAlign val="baseline"/>
        <sz val="11"/>
        <color theme="0"/>
        <name val="Calibri"/>
        <scheme val="none"/>
      </font>
      <alignment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alignment textRotation="0" wrapText="0" indent="0" justifyLastLine="0" shrinkToFit="0" readingOrder="0"/>
    </dxf>
    <dxf>
      <font>
        <strike val="0"/>
        <outline val="0"/>
        <shadow val="0"/>
        <u val="none"/>
        <vertAlign val="baseline"/>
        <sz val="11"/>
        <color theme="0"/>
        <name val="Calibri"/>
      </font>
      <alignment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alignment textRotation="0" wrapText="0" indent="0" justifyLastLine="0" shrinkToFit="0" readingOrder="0"/>
    </dxf>
    <dxf>
      <font>
        <strike val="0"/>
        <outline val="0"/>
        <shadow val="0"/>
        <u val="none"/>
        <vertAlign val="baseline"/>
        <sz val="11"/>
        <color theme="0"/>
        <name val="Calibri"/>
      </font>
      <alignment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alignment textRotation="0" wrapText="0" indent="0" justifyLastLine="0" shrinkToFit="0" readingOrder="0"/>
    </dxf>
    <dxf>
      <font>
        <strike val="0"/>
        <outline val="0"/>
        <shadow val="0"/>
        <u val="none"/>
        <vertAlign val="baseline"/>
        <sz val="11"/>
        <color theme="0"/>
        <name val="Calibri"/>
      </font>
      <alignment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Lato"/>
        <scheme val="minor"/>
      </font>
      <fill>
        <patternFill patternType="solid">
          <fgColor indexed="64"/>
          <bgColor theme="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indexed="64"/>
        </left>
        <right/>
        <top style="medium">
          <color indexed="64"/>
        </top>
        <bottom/>
      </border>
    </dxf>
    <dxf>
      <font>
        <b val="0"/>
        <i val="0"/>
        <strike val="0"/>
        <condense val="0"/>
        <extend val="0"/>
        <outline val="0"/>
        <shadow val="0"/>
        <u val="none"/>
        <vertAlign val="baseline"/>
        <sz val="8"/>
        <color rgb="FF000000"/>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dxf>
    <dxf>
      <font>
        <b val="0"/>
        <i val="0"/>
        <strike val="0"/>
        <condense val="0"/>
        <extend val="0"/>
        <outline val="0"/>
        <shadow val="0"/>
        <u val="none"/>
        <vertAlign val="baseline"/>
        <sz val="8"/>
        <color rgb="FF000000"/>
        <name val="Calibri"/>
        <scheme val="none"/>
      </font>
      <fill>
        <patternFill patternType="none">
          <fgColor indexed="64"/>
          <bgColor auto="1"/>
        </patternFill>
      </fill>
      <alignment horizontal="general" vertical="center" textRotation="0" wrapText="0" indent="0" justifyLastLine="0" shrinkToFit="0" readingOrder="0"/>
      <border diagonalUp="0" diagonalDown="0" outline="0">
        <left/>
        <right/>
        <top style="medium">
          <color indexed="64"/>
        </top>
        <bottom/>
      </border>
    </dxf>
    <dxf>
      <border outline="0">
        <left style="medium">
          <color indexed="64"/>
        </left>
        <right style="medium">
          <color indexed="64"/>
        </right>
        <top style="medium">
          <color indexed="64"/>
        </top>
        <bottom style="medium">
          <color indexed="64"/>
        </bottom>
      </border>
    </dxf>
    <dxf>
      <fill>
        <patternFill patternType="none">
          <fgColor indexed="64"/>
          <bgColor auto="1"/>
        </patternFill>
      </fill>
      <alignment textRotation="0" wrapText="0" indent="0" justifyLastLine="0" shrinkToFit="0" readingOrder="0"/>
    </dxf>
    <dxf>
      <fill>
        <patternFill patternType="none">
          <fgColor indexed="64"/>
          <bgColor auto="1"/>
        </patternFill>
      </fill>
      <alignment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FFFF"/>
        <name val="Philosopher"/>
        <charset val="204"/>
        <scheme val="none"/>
      </font>
      <fill>
        <patternFill patternType="solid">
          <fgColor indexed="64"/>
          <bgColor rgb="FF007F00"/>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FFFF"/>
        <name val="Philosopher"/>
        <charset val="204"/>
        <scheme val="none"/>
      </font>
      <fill>
        <patternFill patternType="solid">
          <fgColor indexed="64"/>
          <bgColor rgb="FF007F00"/>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FFFF"/>
        <name val="Philosopher"/>
        <charset val="204"/>
        <scheme val="none"/>
      </font>
      <fill>
        <patternFill patternType="solid">
          <fgColor indexed="64"/>
          <bgColor rgb="FF007F00"/>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B4EEB4"/>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9BCD9B"/>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9BCD9B"/>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9BCD9B"/>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9BCD9B"/>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Philosopher"/>
        <charset val="204"/>
        <scheme val="none"/>
      </font>
      <fill>
        <patternFill patternType="solid">
          <fgColor indexed="64"/>
          <bgColor rgb="FF9BCD9B"/>
        </patternFill>
      </fill>
      <alignment horizontal="general" vertical="center" textRotation="0" wrapText="0" indent="0" justifyLastLine="0" shrinkToFit="0" readingOrder="0"/>
    </dxf>
    <dxf>
      <font>
        <b val="0"/>
        <i val="0"/>
        <strike val="0"/>
        <condense val="0"/>
        <extend val="0"/>
        <outline val="0"/>
        <shadow val="0"/>
        <u val="none"/>
        <vertAlign val="baseline"/>
        <sz val="11"/>
        <color rgb="FFFFFFFF"/>
        <name val="Philosopher"/>
        <charset val="204"/>
        <scheme val="none"/>
      </font>
      <fill>
        <patternFill patternType="solid">
          <fgColor indexed="64"/>
          <bgColor rgb="FF007F00"/>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family val="2"/>
        <charset val="204"/>
        <scheme val="none"/>
      </font>
      <numFmt numFmtId="2" formatCode="0.00"/>
      <fill>
        <patternFill patternType="solid">
          <fgColor rgb="FFFFF2CC"/>
          <bgColor rgb="FFFFF2CC"/>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charset val="204"/>
        <scheme val="none"/>
      </font>
      <numFmt numFmtId="2" formatCode="0.00"/>
      <fill>
        <patternFill patternType="solid">
          <fgColor rgb="FFFFF2CC"/>
          <bgColor rgb="FFFFF2CC"/>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charset val="204"/>
        <scheme val="none"/>
      </font>
      <numFmt numFmtId="2" formatCode="0.00"/>
      <fill>
        <patternFill patternType="solid">
          <fgColor rgb="FFFFF2CC"/>
          <bgColor rgb="FFFFF2CC"/>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charset val="204"/>
        <scheme val="none"/>
      </font>
      <fill>
        <patternFill patternType="solid">
          <fgColor rgb="FFFFF2CC"/>
          <bgColor rgb="FFFFF2CC"/>
        </patternFill>
      </fill>
      <alignment horizontal="center" vertical="bottom" textRotation="0" wrapText="0" indent="0" justifyLastLine="0" shrinkToFit="0" readingOrder="0"/>
    </dxf>
    <dxf>
      <font>
        <b/>
        <i val="0"/>
        <strike val="0"/>
        <condense val="0"/>
        <extend val="0"/>
        <outline val="0"/>
        <shadow val="0"/>
        <u val="none"/>
        <vertAlign val="baseline"/>
        <sz val="10"/>
        <color theme="1"/>
        <name val="Arial"/>
        <family val="2"/>
        <charset val="204"/>
        <scheme val="none"/>
      </font>
      <fill>
        <patternFill patternType="solid">
          <fgColor rgb="FFF3F3F3"/>
          <bgColor rgb="FFF3F3F3"/>
        </patternFill>
      </fill>
      <alignment horizontal="center"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Lato"/>
        <family val="2"/>
        <charset val="204"/>
        <scheme val="minor"/>
      </font>
      <fill>
        <patternFill patternType="solid">
          <fgColor theme="4" tint="-0.249977111117893"/>
          <bgColor theme="4" tint="-0.249977111117893"/>
        </patternFill>
      </fill>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9"/>
        <color theme="1"/>
        <name val="Lato"/>
        <family val="2"/>
        <scheme val="minor"/>
      </font>
      <alignment horizontal="left" vertical="bottom" textRotation="0" wrapText="0"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9"/>
        <color theme="1"/>
        <name val="Lato"/>
        <family val="2"/>
        <scheme val="minor"/>
      </font>
      <alignment horizontal="left"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9"/>
        <color theme="1"/>
        <name val="Lato"/>
        <family val="2"/>
        <scheme val="minor"/>
      </font>
      <alignment horizontal="center" vertical="center"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medium">
          <color auto="1"/>
        </left>
        <right style="medium">
          <color auto="1"/>
        </right>
        <top style="medium">
          <color auto="1"/>
        </top>
        <bottom style="medium">
          <color auto="1"/>
        </bottom>
      </border>
    </dxf>
    <dxf>
      <alignment textRotation="0" wrapText="0" indent="0" justifyLastLine="0" shrinkToFit="0" readingOrder="0"/>
    </dxf>
    <dxf>
      <border outline="0">
        <bottom style="thin">
          <color auto="1"/>
        </bottom>
      </border>
    </dxf>
    <dxf>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horizontal="general"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rgb="FF3F3F3F"/>
        <name val="Segoe UI"/>
        <family val="2"/>
        <charset val="204"/>
        <scheme val="none"/>
      </font>
      <fill>
        <patternFill patternType="solid">
          <fgColor indexed="64"/>
          <bgColor rgb="FFF2F2F2"/>
        </patternFill>
      </fill>
      <alignment textRotation="0" wrapText="0" indent="0" justifyLastLine="0" shrinkToFit="0" readingOrder="0"/>
      <border diagonalUp="0" diagonalDown="0" outline="0">
        <left style="thin">
          <color rgb="FF3F3F3F"/>
        </left>
        <right style="thin">
          <color rgb="FF3F3F3F"/>
        </right>
        <top style="thin">
          <color rgb="FF3F3F3F"/>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border diagonalUp="0" diagonalDown="0" outline="0">
        <left style="thin">
          <color rgb="FF3F3F3F"/>
        </left>
        <right style="thin">
          <color rgb="FF3F3F3F"/>
        </right>
        <top style="thin">
          <color rgb="FF3F3F3F"/>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9.9"/>
        <color rgb="FF000000"/>
        <name val="Arial"/>
        <family val="2"/>
        <charset val="204"/>
        <scheme val="none"/>
      </font>
      <alignment horizontal="left"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ertAlign val="baseline"/>
        <sz val="10"/>
        <color rgb="FF0000FF"/>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border outline="0">
        <left style="double">
          <color rgb="FFB7B7B7"/>
        </left>
        <right style="double">
          <color rgb="FFB7B7B7"/>
        </right>
        <top style="double">
          <color rgb="FFB7B7B7"/>
        </top>
        <bottom style="double">
          <color rgb="FFB7B7B7"/>
        </bottom>
      </border>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border outline="0">
        <left style="double">
          <color rgb="FFB7B7B7"/>
        </left>
        <right style="double">
          <color rgb="FFB7B7B7"/>
        </right>
        <top style="double">
          <color rgb="FFB7B7B7"/>
        </top>
        <bottom style="double">
          <color rgb="FFB7B7B7"/>
        </bottom>
      </border>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rgb="FFFFFF00"/>
        <name val="Lato"/>
        <family val="2"/>
        <charset val="204"/>
        <scheme val="minor"/>
      </font>
      <fill>
        <patternFill patternType="solid">
          <fgColor indexed="64"/>
          <bgColor rgb="FF002060"/>
        </patternFill>
      </fill>
    </dxf>
    <dxf>
      <font>
        <b/>
        <strike val="0"/>
        <outline val="0"/>
        <shadow val="0"/>
        <u val="none"/>
        <vertAlign val="baseline"/>
        <sz val="11"/>
        <color theme="0"/>
        <name val="Lato"/>
        <family val="2"/>
        <charset val="204"/>
        <scheme val="minor"/>
      </font>
      <numFmt numFmtId="0" formatCode="General"/>
      <fill>
        <patternFill patternType="solid">
          <fgColor indexed="64"/>
          <bgColor rgb="FFFF0000"/>
        </patternFill>
      </fill>
    </dxf>
    <dxf>
      <numFmt numFmtId="0" formatCode="General"/>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sz val="16"/>
        <color rgb="FFFFFF00"/>
      </font>
      <fill>
        <patternFill patternType="solid">
          <fgColor theme="4" tint="0.79998168889431442"/>
          <bgColor rgb="FF002060"/>
        </patternFill>
      </fill>
      <alignment horizontal="general" vertical="bottom" textRotation="0" wrapText="0" indent="0" justifyLastLine="0" shrinkToFit="0" readingOrder="0"/>
      <border diagonalUp="0" diagonalDown="0">
        <left/>
        <right/>
        <top style="thin">
          <color theme="4" tint="0.39997558519241921"/>
        </top>
        <bottom/>
        <vertical/>
        <horizontal/>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horizontal="general" vertical="bottom"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Lato"/>
        <family val="2"/>
        <charset val="204"/>
        <scheme val="minor"/>
      </font>
      <alignment horizontal="general" vertical="bottom" textRotation="0" wrapText="0" indent="0" justifyLastLine="0" shrinkToFit="0" readingOrder="0"/>
      <border diagonalUp="0" diagonalDown="0" outline="0">
        <left/>
        <right/>
        <top style="thin">
          <color theme="4"/>
        </top>
        <bottom/>
      </border>
    </dxf>
    <dxf>
      <border outline="0">
        <left style="thin">
          <color theme="4"/>
        </left>
        <top style="thin">
          <color theme="4"/>
        </top>
        <bottom style="thin">
          <color theme="4"/>
        </bottom>
      </border>
    </dxf>
    <dxf>
      <font>
        <b val="0"/>
        <i val="0"/>
        <strike val="0"/>
        <condense val="0"/>
        <extend val="0"/>
        <outline val="0"/>
        <shadow val="0"/>
        <u val="none"/>
        <vertAlign val="baseline"/>
        <sz val="11"/>
        <color theme="1"/>
        <name val="Lato"/>
        <family val="2"/>
        <charset val="204"/>
        <scheme val="minor"/>
      </font>
      <alignment textRotation="0" wrapText="0" indent="0" justifyLastLine="0" shrinkToFit="0" readingOrder="0"/>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vertical="bottom" textRotation="0" wrapText="0" indent="0" justifyLastLine="0" shrinkToFit="0" readingOrder="0"/>
    </dxf>
    <dxf>
      <alignment horizontal="general" vertical="bottom" textRotation="0" wrapText="0" indent="0" justifyLastLine="0" shrinkToFit="0" readingOrder="0"/>
    </dxf>
    <dxf>
      <font>
        <sz val="16"/>
        <color rgb="FFFFFF00"/>
      </font>
      <fill>
        <patternFill patternType="solid">
          <fgColor theme="4" tint="0.79998168889431442"/>
          <bgColor rgb="FF002060"/>
        </patternFill>
      </fill>
      <alignment horizontal="general" vertical="bottom" textRotation="0" wrapText="0" indent="0" justifyLastLine="0" shrinkToFit="0" readingOrder="0"/>
      <border diagonalUp="0" diagonalDown="0">
        <left/>
        <right/>
        <top style="thin">
          <color theme="4" tint="0.39997558519241921"/>
        </top>
        <bottom/>
        <vertical/>
        <horizontal/>
      </border>
    </dxf>
    <dxf>
      <alignment vertical="bottom" textRotation="0" wrapText="0" indent="0" justifyLastLine="0" shrinkToFit="0" readingOrder="0"/>
    </dxf>
    <dxf>
      <alignment vertical="bottom" textRotation="0" wrapText="0" indent="0" justifyLastLine="0" shrinkToFit="0" readingOrder="0"/>
    </dxf>
    <dxf>
      <border outline="0">
        <top style="thin">
          <color theme="4" tint="0.39997558519241921"/>
        </top>
      </border>
    </dxf>
    <dxf>
      <alignmen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alignmen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sz val="16"/>
        <color rgb="FFFFFF00"/>
      </font>
      <fill>
        <patternFill patternType="solid">
          <fgColor theme="4" tint="0.79998168889431442"/>
          <bgColor rgb="FF002060"/>
        </patternFill>
      </fill>
      <alignment horizontal="general" vertical="bottom" textRotation="0" wrapText="0" indent="0" justifyLastLine="0" shrinkToFit="0" readingOrder="0"/>
      <border diagonalUp="0" diagonalDown="0">
        <left/>
        <right/>
        <top style="thin">
          <color theme="4" tint="0.39997558519241921"/>
        </top>
        <bottom/>
        <vertical/>
        <horizontal/>
      </border>
    </dxf>
    <dxf>
      <alignment textRotation="0" wrapText="0" indent="0" justifyLastLine="0" shrinkToFit="0" readingOrder="0"/>
    </dxf>
    <dxf>
      <border outline="0">
        <top style="thin">
          <color theme="4" tint="0.39997558519241921"/>
        </top>
      </border>
    </dxf>
    <dxf>
      <alignment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alignment textRotation="0" wrapText="0" indent="0" justifyLastLine="0" shrinkToFit="0" readingOrder="0"/>
    </dxf>
    <dxf>
      <font>
        <sz val="16"/>
        <color rgb="FFFFFF00"/>
      </font>
      <fill>
        <patternFill patternType="solid">
          <fgColor theme="4" tint="0.79998168889431442"/>
          <bgColor rgb="FF002060"/>
        </patternFill>
      </fill>
      <alignment horizontal="general" vertical="bottom" textRotation="0" wrapText="0" indent="0" justifyLastLine="0" shrinkToFit="0" readingOrder="0"/>
      <border diagonalUp="0" diagonalDown="0">
        <left/>
        <right/>
        <top style="thin">
          <color theme="4" tint="0.39997558519241921"/>
        </top>
        <bottom/>
        <vertical/>
        <horizontal/>
      </border>
    </dxf>
    <dxf>
      <alignment textRotation="0" wrapText="0" indent="0" justifyLastLine="0" shrinkToFit="0" readingOrder="0"/>
    </dxf>
    <dxf>
      <border outline="0">
        <top style="thin">
          <color theme="4" tint="0.39997558519241921"/>
        </top>
      </border>
    </dxf>
    <dxf>
      <alignment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sz val="16"/>
        <color rgb="FFFFFF00"/>
      </font>
      <fill>
        <patternFill patternType="solid">
          <fgColor theme="4" tint="0.79998168889431442"/>
          <bgColor rgb="FF002060"/>
        </patternFill>
      </fill>
      <alignment horizontal="general" vertical="bottom" textRotation="0" wrapText="0" indent="0" justifyLastLine="0" shrinkToFit="0" readingOrder="0"/>
      <border diagonalUp="0" diagonalDown="0">
        <left/>
        <right/>
        <top style="thin">
          <color theme="4" tint="0.39997558519241921"/>
        </top>
        <bottom/>
        <vertical/>
        <horizontal/>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numFmt numFmtId="0" formatCode="General"/>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font>
        <b val="0"/>
        <i/>
        <strike val="0"/>
        <condense val="0"/>
        <extend val="0"/>
        <outline val="0"/>
        <shadow val="0"/>
        <u val="none"/>
        <vertAlign val="baseline"/>
        <sz val="11"/>
        <color theme="1"/>
        <name val="Lato"/>
        <family val="2"/>
        <charset val="204"/>
        <scheme val="minor"/>
      </font>
      <fill>
        <patternFill patternType="solid">
          <fgColor indexed="64"/>
          <bgColor theme="0" tint="-0.34998626667073579"/>
        </patternFill>
      </fill>
      <alignment horizontal="right" vertical="bottom" textRotation="0" wrapText="0" indent="0" justifyLastLine="0" shrinkToFit="0" readingOrder="0"/>
    </dxf>
    <dxf>
      <font>
        <b val="0"/>
        <i/>
        <strike val="0"/>
        <condense val="0"/>
        <extend val="0"/>
        <outline val="0"/>
        <shadow val="0"/>
        <u val="none"/>
        <vertAlign val="baseline"/>
        <sz val="11"/>
        <color theme="1"/>
        <name val="Lato"/>
        <family val="2"/>
        <charset val="204"/>
        <scheme val="minor"/>
      </font>
      <fill>
        <patternFill patternType="solid">
          <fgColor indexed="64"/>
          <bgColor theme="0" tint="-0.34998626667073579"/>
        </patternFill>
      </fill>
      <alignment horizontal="left" vertical="bottom" textRotation="0" wrapText="0" indent="0" justifyLastLine="0" shrinkToFit="0" readingOrder="0"/>
    </dxf>
    <dxf>
      <font>
        <i/>
        <strike val="0"/>
        <outline val="0"/>
        <shadow val="0"/>
        <u val="none"/>
        <vertAlign val="baseline"/>
        <color theme="1"/>
        <charset val="204"/>
      </font>
      <fill>
        <patternFill>
          <fgColor indexed="64"/>
          <bgColor theme="0" tint="-0.34998626667073579"/>
        </patternFill>
      </fill>
      <alignment horizontal="right" vertical="bottom" textRotation="0" wrapText="0" indent="0" justifyLastLine="0" shrinkToFit="0" readingOrder="0"/>
    </dxf>
    <dxf>
      <font>
        <b val="0"/>
        <i/>
        <strike val="0"/>
        <condense val="0"/>
        <extend val="0"/>
        <outline val="0"/>
        <shadow val="0"/>
        <u val="none"/>
        <vertAlign val="baseline"/>
        <sz val="11"/>
        <color theme="1"/>
        <name val="Lato"/>
        <family val="2"/>
        <charset val="204"/>
        <scheme val="minor"/>
      </font>
      <fill>
        <patternFill patternType="solid">
          <fgColor indexed="64"/>
          <bgColor theme="0" tint="-0.34998626667073579"/>
        </patternFill>
      </fill>
      <alignment horizontal="left" vertical="bottom" textRotation="0" wrapText="0" indent="0" justifyLastLine="0" shrinkToFit="0" readingOrder="0"/>
    </dxf>
    <dxf>
      <font>
        <b val="0"/>
        <i/>
        <strike val="0"/>
        <condense val="0"/>
        <extend val="0"/>
        <outline val="0"/>
        <shadow val="0"/>
        <u val="none"/>
        <vertAlign val="baseline"/>
        <sz val="11"/>
        <color rgb="FFFFFF00"/>
        <name val="Lato"/>
        <family val="2"/>
        <charset val="204"/>
        <scheme val="minor"/>
      </font>
      <fill>
        <patternFill patternType="solid">
          <fgColor indexed="64"/>
          <bgColor rgb="FF002060"/>
        </patternFill>
      </fill>
      <alignment horizontal="right" vertical="bottom" textRotation="0" wrapText="0" indent="0" justifyLastLine="0" shrinkToFit="0" readingOrder="0"/>
    </dxf>
    <dxf>
      <font>
        <i/>
        <strike val="0"/>
        <outline val="0"/>
        <shadow val="0"/>
        <u val="none"/>
        <vertAlign val="baseline"/>
        <color theme="1"/>
        <charset val="204"/>
      </font>
      <fill>
        <patternFill>
          <fgColor indexed="64"/>
          <bgColor theme="0" tint="-0.34998626667073579"/>
        </patternFill>
      </fill>
      <alignment horizontal="left" vertical="bottom" textRotation="0" wrapText="0" indent="0" justifyLastLine="0" shrinkToFit="0" readingOrder="0"/>
    </dxf>
    <dxf>
      <font>
        <color rgb="FFFFFF00"/>
      </font>
      <fill>
        <patternFill patternType="solid">
          <fgColor indexed="64"/>
          <bgColor rgb="FF002060"/>
        </patternFill>
      </fill>
      <alignment horizontal="right" vertical="bottom"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strike val="0"/>
        <outline val="0"/>
        <shadow val="0"/>
        <u val="none"/>
        <vertAlign val="baseline"/>
        <sz val="14"/>
        <color rgb="FFFFFF00"/>
        <name val="Nodesto Cyrillic"/>
        <charset val="204"/>
        <scheme val="none"/>
      </font>
      <fill>
        <patternFill patternType="solid">
          <fgColor indexed="64"/>
          <bgColor rgb="FF002060"/>
        </patternFill>
      </fill>
      <alignment horizontal="center" vertical="center" textRotation="0" wrapText="0" indent="0" justifyLastLine="0" shrinkToFit="0" readingOrder="0"/>
    </dxf>
    <dxf>
      <numFmt numFmtId="21" formatCode="dd/mmm"/>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font>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b/>
        <i val="0"/>
        <strike val="0"/>
        <condense val="0"/>
        <extend val="0"/>
        <outline val="0"/>
        <shadow val="0"/>
        <u val="none"/>
        <vertAlign val="baseline"/>
        <sz val="12"/>
        <color rgb="FF000000"/>
        <name val="Lato"/>
        <family val="2"/>
        <charset val="204"/>
        <scheme val="minor"/>
      </font>
      <alignment horizontal="left" vertical="center" textRotation="0" wrapText="0" indent="0" justifyLastLine="0" shrinkToFit="0" readingOrder="0"/>
    </dxf>
    <dxf>
      <font>
        <b/>
        <strike val="0"/>
        <outline val="0"/>
        <shadow val="0"/>
        <u val="none"/>
        <vertAlign val="baseline"/>
        <sz val="12"/>
        <name val="Lato"/>
        <family val="2"/>
        <charset val="204"/>
        <scheme val="minor"/>
      </font>
      <alignment horizontal="center" vertical="center" textRotation="0" wrapText="0" indent="0" justifyLastLine="0" shrinkToFit="0" readingOrder="0"/>
    </dxf>
    <dxf>
      <font>
        <strike val="0"/>
        <outline val="0"/>
        <shadow val="0"/>
        <u val="none"/>
        <vertAlign val="baseline"/>
        <sz val="12"/>
        <name val="Lato"/>
        <family val="2"/>
        <charset val="204"/>
        <scheme val="minor"/>
      </font>
      <alignment horizontal="left" vertical="top" textRotation="0" wrapText="0" indent="0" justifyLastLine="0" shrinkToFit="0" readingOrder="0"/>
    </dxf>
    <dxf>
      <font>
        <strike val="0"/>
        <outline val="0"/>
        <shadow val="0"/>
        <u val="none"/>
        <vertAlign val="baseline"/>
        <sz val="18"/>
        <color rgb="FFFFFF00"/>
        <name val="Cyrillic5e"/>
        <charset val="204"/>
        <scheme val="none"/>
      </font>
      <fill>
        <patternFill patternType="solid">
          <fgColor indexed="64"/>
          <bgColor rgb="FF002060"/>
        </patternFill>
      </fill>
      <alignment horizontal="lef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textRotation="0" wrapText="0" indent="0" justifyLastLine="0" shrinkToFit="0" readingOrder="0"/>
    </dxf>
    <dxf>
      <alignment horizontal="left" textRotation="0" wrapText="0" indent="0" justifyLastLine="0" shrinkToFit="0" readingOrder="0"/>
    </dxf>
    <dxf>
      <font>
        <strike val="0"/>
        <outline val="0"/>
        <shadow val="0"/>
        <u val="none"/>
        <vertAlign val="baseline"/>
        <color rgb="FFFFFF00"/>
      </font>
      <fill>
        <patternFill patternType="solid">
          <fgColor indexed="64"/>
          <bgColor rgb="FF002060"/>
        </patternFill>
      </fill>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strike val="0"/>
        <outline val="0"/>
        <shadow val="0"/>
        <u val="none"/>
        <vertAlign val="baseline"/>
        <sz val="11"/>
        <color theme="0"/>
        <name val="Modesto Text Bold "/>
        <scheme val="none"/>
      </font>
      <fill>
        <patternFill patternType="solid">
          <fgColor indexed="64"/>
          <bgColor rgb="FFC00000"/>
        </patternFill>
      </fill>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strike val="0"/>
        <outline val="0"/>
        <shadow val="0"/>
        <u val="none"/>
        <vertAlign val="baseline"/>
        <sz val="20"/>
        <color theme="0"/>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dxf>
    <dxf>
      <font>
        <strike val="0"/>
        <outline val="0"/>
        <shadow val="0"/>
        <u val="none"/>
        <vertAlign val="baseline"/>
        <sz val="20"/>
        <color theme="0"/>
      </font>
    </dxf>
    <dxf>
      <font>
        <strike val="0"/>
        <outline val="0"/>
        <shadow val="0"/>
        <u val="none"/>
        <vertAlign val="baseline"/>
        <color theme="0"/>
      </font>
    </dxf>
    <dxf>
      <font>
        <strike val="0"/>
        <outline val="0"/>
        <shadow val="0"/>
        <u val="none"/>
        <vertAlign val="baseline"/>
        <sz val="20"/>
        <color theme="0"/>
      </font>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Segoe UI Emoji"/>
        <family val="2"/>
        <scheme val="none"/>
      </font>
      <alignment horizontal="general"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Lato"/>
        <family val="2"/>
        <charset val="204"/>
        <scheme val="minor"/>
      </font>
    </dxf>
    <dxf>
      <font>
        <b val="0"/>
        <i val="0"/>
        <strike val="0"/>
        <condense val="0"/>
        <extend val="0"/>
        <outline val="0"/>
        <shadow val="0"/>
        <u val="none"/>
        <vertAlign val="baseline"/>
        <sz val="20"/>
        <color theme="1"/>
        <name val="Lato"/>
        <family val="2"/>
        <charset val="204"/>
        <scheme val="minor"/>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Segoe UI Emoji"/>
        <family val="2"/>
        <scheme val="none"/>
      </font>
      <alignment horizontal="general"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Lato"/>
        <family val="2"/>
        <charset val="204"/>
        <scheme val="minor"/>
      </font>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Segoe UI Emoji"/>
        <family val="2"/>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top style="thin">
          <color auto="1"/>
        </top>
        <bottom style="thin">
          <color auto="1"/>
        </bottom>
      </border>
    </dxf>
    <dxf>
      <font>
        <b val="0"/>
        <i val="0"/>
        <strike val="0"/>
        <condense val="0"/>
        <extend val="0"/>
        <outline val="0"/>
        <shadow val="0"/>
        <u val="none"/>
        <vertAlign val="baseline"/>
        <sz val="20"/>
        <color theme="1"/>
        <name val="Lato"/>
        <family val="2"/>
        <charset val="204"/>
        <scheme val="minor"/>
      </font>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Segoe UI Emoji"/>
        <family val="2"/>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20"/>
        <color theme="1"/>
        <name val="Lato"/>
        <family val="2"/>
        <charset val="204"/>
        <scheme val="minor"/>
      </font>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20"/>
        <color theme="1"/>
        <name val="Segoe UI Emoji"/>
        <family val="2"/>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bottom style="thin">
          <color auto="1"/>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Lato"/>
        <family val="2"/>
        <charset val="204"/>
        <scheme val="minor"/>
      </font>
      <fill>
        <patternFill patternType="solid">
          <fgColor indexed="64"/>
          <bgColor rgb="FFFFFF00"/>
        </patternFill>
      </fill>
    </dxf>
    <dxf>
      <numFmt numFmtId="13" formatCode="0%"/>
    </dxf>
    <dxf>
      <numFmt numFmtId="13" formatCode="0%"/>
    </dxf>
    <dxf>
      <font>
        <b/>
        <i val="0"/>
        <strike val="0"/>
        <condense val="0"/>
        <extend val="0"/>
        <outline val="0"/>
        <shadow val="0"/>
        <u val="none"/>
        <vertAlign val="baseline"/>
        <sz val="11"/>
        <color theme="0"/>
        <name val="Segoe UI"/>
        <family val="2"/>
        <charset val="204"/>
        <scheme val="none"/>
      </font>
      <fill>
        <patternFill patternType="solid">
          <fgColor theme="1"/>
          <bgColor theme="1"/>
        </patternFill>
      </fill>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0.5"/>
        <color theme="1"/>
        <name val="Lato"/>
        <family val="2"/>
        <charset val="204"/>
        <scheme val="minor"/>
      </font>
      <alignment horizontal="general" vertical="center"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dxf>
    <dxf>
      <numFmt numFmtId="0" formatCode="General"/>
    </dxf>
    <dxf>
      <numFmt numFmtId="0" formatCode="General"/>
    </dxf>
    <dxf>
      <numFmt numFmtId="30" formatCode="@"/>
    </dxf>
    <dxf>
      <numFmt numFmtId="30" formatCode="@"/>
    </dxf>
    <dxf>
      <border diagonalUp="0" diagonalDown="0">
        <left/>
        <right/>
        <top style="thin">
          <color theme="1"/>
        </top>
        <bottom style="thin">
          <color theme="1"/>
        </bottom>
        <vertical/>
        <horizontal/>
      </border>
    </dxf>
    <dxf>
      <border diagonalUp="0" diagonalDown="0">
        <left/>
        <right/>
        <top style="thin">
          <color theme="1"/>
        </top>
        <bottom style="thin">
          <color theme="1"/>
        </bottom>
        <vertical/>
        <horizontal/>
      </border>
    </dxf>
    <dxf>
      <border outline="0">
        <top style="thin">
          <color theme="1"/>
        </top>
      </border>
    </dxf>
    <dxf>
      <border outline="0">
        <left style="thin">
          <color theme="1"/>
        </left>
        <right style="thin">
          <color theme="1"/>
        </right>
        <top style="thin">
          <color theme="1"/>
        </top>
        <bottom style="thin">
          <color theme="1"/>
        </bottom>
      </border>
    </dxf>
    <dxf>
      <border outline="0">
        <bottom style="thin">
          <color theme="1"/>
        </bottom>
      </border>
    </dxf>
    <dxf>
      <numFmt numFmtId="13" formatCode="0%"/>
    </dxf>
    <dxf>
      <numFmt numFmtId="13" formatCode="0%"/>
    </dxf>
    <dxf>
      <font>
        <b/>
        <i val="0"/>
        <strike val="0"/>
        <condense val="0"/>
        <extend val="0"/>
        <outline val="0"/>
        <shadow val="0"/>
        <u val="none"/>
        <vertAlign val="baseline"/>
        <sz val="11"/>
        <color theme="0"/>
        <name val="Segoe UI"/>
        <family val="2"/>
        <charset val="204"/>
        <scheme val="none"/>
      </font>
      <fill>
        <patternFill patternType="solid">
          <fgColor theme="1"/>
          <bgColor theme="1"/>
        </patternFill>
      </fil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border outline="0">
        <top style="medium">
          <color rgb="FFA3A3A3"/>
        </top>
      </border>
    </dxf>
    <dxf>
      <font>
        <name val="Arial"/>
        <family val="2"/>
        <charset val="204"/>
        <scheme val="none"/>
      </font>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border outline="0">
        <bottom style="medium">
          <color theme="0"/>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double">
          <color rgb="FFC00000"/>
        </top>
      </border>
    </dxf>
    <dxf>
      <border outline="0">
        <bottom style="medium">
          <color theme="0"/>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rgb="FF3F3F76"/>
        <name val="Calibri"/>
        <family val="2"/>
        <charset val="204"/>
        <scheme val="none"/>
      </font>
      <fill>
        <patternFill patternType="solid">
          <fgColor rgb="FFFFCC99"/>
          <bgColor rgb="FFFFCC99"/>
        </patternFill>
      </fill>
      <alignment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right style="thin">
          <color rgb="FF000000"/>
        </right>
        <bottom style="thin">
          <color rgb="FF000000"/>
        </bottom>
      </border>
    </dxf>
    <dxf>
      <alignment textRotation="0" wrapText="0" indent="0" justifyLastLine="0" shrinkToFit="0" readingOrder="0"/>
    </dxf>
    <dxf>
      <font>
        <b/>
        <i/>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style="thin">
          <color rgb="FF000000"/>
        </left>
        <right style="thin">
          <color rgb="FF000000"/>
        </right>
        <top/>
        <bottom/>
      </border>
    </dxf>
    <dxf>
      <alignment textRotation="0" wrapText="0" indent="0" justifyLastLine="0" shrinkToFit="0" readingOrder="0"/>
    </dxf>
    <dxf>
      <font>
        <b/>
        <i val="0"/>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left style="thin">
          <color rgb="FF000000"/>
        </left>
        <right style="thin">
          <color rgb="FF000000"/>
        </right>
        <top style="thin">
          <color rgb="FF000000"/>
        </top>
        <bottom style="thin">
          <color rgb="FF000000"/>
        </bottom>
      </border>
    </dxf>
    <dxf>
      <alignment textRotation="0" wrapText="0" indent="0" justifyLastLine="0" shrinkToFit="0" readingOrder="0"/>
    </dxf>
    <dxf>
      <border outline="0">
        <bottom style="thin">
          <color rgb="FF000000"/>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strike val="0"/>
        <outline val="0"/>
        <shadow val="0"/>
        <u val="none"/>
        <vertAlign val="baseline"/>
        <sz val="11"/>
        <color theme="6" tint="0.79998168889431442"/>
      </font>
      <fill>
        <patternFill patternType="solid">
          <fgColor indexed="64"/>
          <bgColor rgb="FF002060"/>
        </patternFill>
      </fill>
      <alignment horizontal="center" vertical="center" textRotation="0" wrapText="0" indent="0" justifyLastLine="0" shrinkToFit="0" readingOrder="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numFmt numFmtId="1" formatCode="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4"/>
        <color auto="1"/>
        <name val="Nodesto Caps Condensed"/>
        <scheme val="none"/>
      </font>
      <alignment horizontal="center" vertical="center" textRotation="0" wrapText="0" indent="0" justifyLastLine="0" shrinkToFit="0" readingOrder="0"/>
      <protection locked="0"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Nodesto Caps Condensed"/>
        <charset val="204"/>
        <scheme val="none"/>
      </font>
      <protection locked="1" hidden="0"/>
    </dxf>
    <dxf>
      <numFmt numFmtId="0" formatCode="General"/>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numFmt numFmtId="0" formatCode="General"/>
    </dxf>
    <dxf>
      <numFmt numFmtId="0" formatCode="General"/>
    </dxf>
    <dxf>
      <numFmt numFmtId="0" formatCode="General"/>
    </dxf>
    <dxf>
      <numFmt numFmtId="0" formatCode="General"/>
    </dxf>
    <dxf>
      <numFmt numFmtId="13" formatCode="0%"/>
    </dxf>
    <dxf>
      <font>
        <b val="0"/>
        <i/>
        <strike val="0"/>
        <condense val="0"/>
        <extend val="0"/>
        <outline val="0"/>
        <shadow val="0"/>
        <u val="none"/>
        <vertAlign val="baseline"/>
        <sz val="10"/>
        <color rgb="FF000000"/>
        <name val="Arial"/>
        <family val="2"/>
        <charset val="204"/>
        <scheme val="none"/>
      </font>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0" formatCode="General"/>
    </dxf>
    <dxf>
      <numFmt numFmtId="0" formatCode="General"/>
    </dxf>
    <dxf>
      <numFmt numFmtId="0" formatCode="General"/>
    </dxf>
    <dxf>
      <numFmt numFmtId="0" formatCode="General"/>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textRotation="0" wrapText="0" indent="0" justifyLastLine="0" shrinkToFit="0" readingOrder="0"/>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border outline="0">
        <left style="medium">
          <color rgb="FFA3A3A3"/>
        </left>
        <right style="medium">
          <color rgb="FFA3A3A3"/>
        </right>
        <top style="medium">
          <color rgb="FFA3A3A3"/>
        </top>
        <bottom style="medium">
          <color rgb="FFA3A3A3"/>
        </bottom>
      </border>
    </dxf>
    <dxf>
      <font>
        <strike val="0"/>
        <outline val="0"/>
        <shadow val="0"/>
        <u val="none"/>
        <vertAlign val="baseline"/>
        <sz val="11"/>
        <color auto="1"/>
        <name val="Arial"/>
        <family val="2"/>
        <charset val="204"/>
        <scheme val="none"/>
      </font>
      <fill>
        <patternFill patternType="none">
          <fgColor indexed="64"/>
          <bgColor auto="1"/>
        </patternFill>
      </fill>
    </dxf>
    <dxf>
      <font>
        <b/>
        <i val="0"/>
        <strike val="0"/>
        <condense val="0"/>
        <extend val="0"/>
        <outline val="0"/>
        <shadow val="0"/>
        <u val="none"/>
        <vertAlign val="baseline"/>
        <sz val="11"/>
        <color theme="0"/>
        <name val="Arial"/>
        <family val="2"/>
        <charset val="204"/>
        <scheme val="none"/>
      </font>
      <fill>
        <patternFill patternType="none">
          <fgColor indexed="64"/>
          <bgColor auto="1"/>
        </patternFill>
      </fill>
      <alignment horizontal="general" vertical="center" textRotation="0" wrapText="1" indent="0" justifyLastLine="0" shrinkToFit="0" readingOrder="0"/>
      <border diagonalUp="0" diagonalDown="0" outline="0">
        <left style="medium">
          <color rgb="FFA3A3A3"/>
        </left>
        <right style="medium">
          <color rgb="FFA3A3A3"/>
        </right>
        <top/>
        <bottom/>
      </border>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numFmt numFmtId="13" formatCode="0%"/>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13" formatCode="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alignment textRotation="0" wrapText="0" indent="0" justifyLastLine="0" shrinkToFit="0" readingOrder="0"/>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top style="medium">
          <color indexed="64"/>
        </top>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Scaly Sans"/>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0"/>
        <color theme="1"/>
        <name val="Scaly Sans"/>
        <scheme val="none"/>
      </font>
      <fill>
        <patternFill patternType="none">
          <fgColor indexed="64"/>
          <bgColor auto="1"/>
        </patternFill>
      </fill>
      <alignment horizontal="general" vertical="center" textRotation="0" wrapText="0" indent="0" justifyLastLine="0" shrinkToFit="0" readingOrder="0"/>
    </dxf>
    <dxf>
      <numFmt numFmtId="0" formatCode="General"/>
      <fill>
        <patternFill patternType="solid">
          <fgColor indexed="64"/>
          <bgColor rgb="FF92D050"/>
        </patternFill>
      </fill>
    </dxf>
    <dxf>
      <numFmt numFmtId="0" formatCode="General"/>
      <border diagonalUp="0" diagonalDown="0" outline="0">
        <left style="thin">
          <color indexed="64"/>
        </left>
        <right/>
        <top style="thin">
          <color indexed="64"/>
        </top>
        <bottom style="thin">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fill>
        <patternFill patternType="solid">
          <fgColor indexed="64"/>
          <bgColor rgb="FF92D050"/>
        </patternFill>
      </fill>
    </dxf>
    <dxf>
      <numFmt numFmtId="0" formatCode="General"/>
      <fill>
        <patternFill patternType="solid">
          <fgColor indexed="64"/>
          <bgColor rgb="FF92D050"/>
        </patternFill>
      </fill>
    </dxf>
    <dxf>
      <numFmt numFmtId="0" formatCode="General"/>
      <border diagonalUp="0" diagonalDown="0" outline="0">
        <left style="thin">
          <color indexed="64"/>
        </left>
        <right/>
        <top style="thin">
          <color indexed="64"/>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bottom/>
        <vertical/>
        <horizontal/>
      </border>
    </dxf>
    <dxf>
      <border diagonalUp="0" diagonalDown="0">
        <left style="thin">
          <color indexed="64"/>
        </left>
        <right style="thin">
          <color indexed="64"/>
        </right>
        <top/>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numFmt numFmtId="13" formatCode="0%"/>
    </dxf>
    <dxf>
      <font>
        <b val="0"/>
        <i val="0"/>
        <strike val="0"/>
        <condense val="0"/>
        <extend val="0"/>
        <outline val="0"/>
        <shadow val="0"/>
        <u val="none"/>
        <vertAlign val="baseline"/>
        <sz val="11"/>
        <color theme="1"/>
        <name val="Lato"/>
        <family val="2"/>
        <charset val="204"/>
        <scheme val="minor"/>
      </font>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border outline="0">
        <bottom style="thin">
          <color theme="1"/>
        </bottom>
      </border>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alignment horizontal="right" vertical="bottom" textRotation="0" wrapText="0" indent="0" justifyLastLine="0" shrinkToFit="0" readingOrder="0"/>
    </dxf>
    <dxf>
      <numFmt numFmtId="0" formatCode="General"/>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3" formatCode="0%"/>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bottom/>
      </border>
    </dxf>
    <dxf>
      <numFmt numFmtId="13" formatCode="0%"/>
    </dxf>
    <dxf>
      <numFmt numFmtId="13" formatCode="0%"/>
    </dxf>
    <dxf>
      <numFmt numFmtId="13" formatCode="0%"/>
    </dxf>
    <dxf>
      <numFmt numFmtId="13" formatCode="0%"/>
    </dxf>
    <dxf>
      <numFmt numFmtId="13" formatCode="0%"/>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i val="0"/>
        <strike val="0"/>
        <condense val="0"/>
        <extend val="0"/>
        <outline val="0"/>
        <shadow val="0"/>
        <u val="none"/>
        <vertAlign val="baseline"/>
        <sz val="11"/>
        <color theme="1"/>
        <name val="Lato"/>
        <family val="2"/>
        <scheme val="minor"/>
      </font>
      <numFmt numFmtId="30" formatCode="@"/>
      <fill>
        <patternFill patternType="solid">
          <fgColor indexed="64"/>
          <bgColor theme="9" tint="-0.249977111117893"/>
        </patternFill>
      </fill>
      <alignment horizontal="center" vertical="bottom" textRotation="0" wrapText="0" indent="0" justifyLastLine="0" shrinkToFit="0" readingOrder="0"/>
      <border diagonalUp="0" diagonalDown="0" outline="0">
        <left style="thin">
          <color auto="1"/>
        </left>
        <right style="thin">
          <color auto="1"/>
        </right>
        <top/>
        <bottom/>
      </border>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2" formatCode="0.00"/>
    </dxf>
    <dxf>
      <numFmt numFmtId="30" formatCode="@"/>
    </dxf>
    <dxf>
      <numFmt numFmtId="30" formatCode="@"/>
      <border diagonalUp="0" diagonalDown="0">
        <left style="thin">
          <color auto="1"/>
        </left>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Lato"/>
        <family val="2"/>
        <scheme val="minor"/>
      </font>
      <numFmt numFmtId="30" formatCode="@"/>
      <fill>
        <patternFill patternType="solid">
          <fgColor indexed="64"/>
          <bgColor theme="9" tint="-0.249977111117893"/>
        </patternFill>
      </fill>
      <alignment horizontal="center" vertical="bottom" textRotation="0" wrapText="0" indent="0" justifyLastLine="0" shrinkToFit="0" readingOrder="0"/>
      <border diagonalUp="0" diagonalDown="0" outline="0">
        <left style="thin">
          <color auto="1"/>
        </left>
        <right style="thin">
          <color auto="1"/>
        </right>
        <top/>
        <bottom/>
      </border>
    </dxf>
    <dxf>
      <numFmt numFmtId="30" formatCode="@"/>
    </dxf>
    <dxf>
      <numFmt numFmtId="30" formatCode="@"/>
      <border diagonalUp="0" diagonalDown="0">
        <left style="thin">
          <color auto="1"/>
        </left>
        <right style="thin">
          <color auto="1"/>
        </right>
        <top style="thin">
          <color auto="1"/>
        </top>
        <bottom style="thin">
          <color auto="1"/>
        </bottom>
        <vertical/>
        <horizontal/>
      </border>
    </dxf>
    <dxf>
      <numFmt numFmtId="30" formatCode="@"/>
    </dxf>
    <dxf>
      <numFmt numFmtId="30" formatCode="@"/>
    </dxf>
    <dxf>
      <numFmt numFmtId="30" formatCode="@"/>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i val="0"/>
        <strike val="0"/>
        <condense val="0"/>
        <extend val="0"/>
        <outline val="0"/>
        <shadow val="0"/>
        <u val="none"/>
        <vertAlign val="baseline"/>
        <sz val="11"/>
        <color theme="1"/>
        <name val="Lato"/>
        <family val="2"/>
        <scheme val="minor"/>
      </font>
      <numFmt numFmtId="30" formatCode="@"/>
      <fill>
        <patternFill patternType="solid">
          <fgColor indexed="64"/>
          <bgColor theme="9" tint="-0.249977111117893"/>
        </patternFill>
      </fill>
      <border diagonalUp="0" diagonalDown="0" outline="0">
        <left style="thin">
          <color auto="1"/>
        </left>
        <right style="thin">
          <color auto="1"/>
        </right>
        <top/>
        <bottom/>
      </border>
    </dxf>
    <dxf>
      <numFmt numFmtId="30" formatCode="@"/>
      <border diagonalUp="0" diagonalDown="0">
        <left style="thin">
          <color auto="1"/>
        </left>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border diagonalUp="0" diagonalDown="0">
        <left style="thin">
          <color auto="1"/>
        </left>
        <right style="thin">
          <color auto="1"/>
        </right>
        <top style="thin">
          <color auto="1"/>
        </top>
        <bottom style="thin">
          <color auto="1"/>
        </bottom>
        <vertical/>
        <horizontal/>
      </border>
    </dxf>
    <dxf>
      <numFmt numFmtId="30" formatCode="@"/>
    </dxf>
    <dxf>
      <border outline="0">
        <right style="thin">
          <color auto="1"/>
        </right>
        <top style="thin">
          <color auto="1"/>
        </top>
      </border>
    </dxf>
    <dxf>
      <border outline="0">
        <bottom style="thin">
          <color auto="1"/>
        </bottom>
      </border>
    </dxf>
    <dxf>
      <numFmt numFmtId="30" formatCode="@"/>
    </dxf>
    <dxf>
      <numFmt numFmtId="30" formatCode="@"/>
    </dxf>
    <dxf>
      <numFmt numFmtId="30" formatCode="@"/>
    </dxf>
    <dxf>
      <numFmt numFmtId="30" formatCode="@"/>
    </dxf>
    <dxf>
      <numFmt numFmtId="30" formatCode="@"/>
    </dxf>
    <dxf>
      <numFmt numFmtId="30" formatCode="@"/>
    </dxf>
    <dxf>
      <font>
        <b/>
        <i val="0"/>
        <strike val="0"/>
        <condense val="0"/>
        <extend val="0"/>
        <outline val="0"/>
        <shadow val="0"/>
        <u val="none"/>
        <vertAlign val="baseline"/>
        <sz val="11"/>
        <color theme="1"/>
        <name val="Lato"/>
        <family val="2"/>
        <scheme val="minor"/>
      </font>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i val="0"/>
        <strike val="0"/>
        <condense val="0"/>
        <extend val="0"/>
        <outline val="0"/>
        <shadow val="0"/>
        <u val="none"/>
        <vertAlign val="baseline"/>
        <sz val="11"/>
        <color theme="1"/>
        <name val="Lato"/>
        <family val="2"/>
        <scheme val="minor"/>
      </font>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EBEFF1"/>
          <bgColor rgb="FFEBEFF1"/>
        </patternFill>
      </fill>
    </dxf>
    <dxf>
      <fill>
        <patternFill patternType="solid">
          <fgColor rgb="FFFFFFFF"/>
          <bgColor rgb="FFFFFFFF"/>
        </patternFill>
      </fill>
    </dxf>
    <dxf>
      <fill>
        <patternFill patternType="solid">
          <fgColor rgb="FF78909C"/>
          <bgColor rgb="FF78909C"/>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
      <fill>
        <patternFill patternType="solid">
          <fgColor rgb="FFB7B7B7"/>
          <bgColor rgb="FFB7B7B7"/>
        </patternFill>
      </fill>
    </dxf>
    <dxf>
      <fill>
        <patternFill patternType="solid">
          <fgColor rgb="FFEFEFEF"/>
          <bgColor rgb="FFEFEFEF"/>
        </patternFill>
      </fill>
    </dxf>
    <dxf>
      <fill>
        <patternFill patternType="solid">
          <fgColor rgb="FF000000"/>
          <bgColor rgb="FF00000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EBEFF1"/>
          <bgColor rgb="FFEBEFF1"/>
        </patternFill>
      </fill>
    </dxf>
    <dxf>
      <fill>
        <patternFill patternType="solid">
          <fgColor rgb="FFFFFFFF"/>
          <bgColor rgb="FFFFFFFF"/>
        </patternFill>
      </fill>
    </dxf>
    <dxf>
      <fill>
        <patternFill patternType="solid">
          <fgColor rgb="FF38761D"/>
          <bgColor rgb="FF38761D"/>
        </patternFill>
      </fill>
    </dxf>
  </dxfs>
  <tableStyles count="32" defaultTableStyle="TableStyleMedium2" defaultPivotStyle="PivotStyleLight16">
    <tableStyle name="Equipment Packs-style" pivot="0" count="3" xr9:uid="{769F18B2-FECD-4431-966C-1FB326E552D4}">
      <tableStyleElement type="headerRow" dxfId="1447"/>
      <tableStyleElement type="firstRowStripe" dxfId="1446"/>
      <tableStyleElement type="secondRowStripe" dxfId="1445"/>
    </tableStyle>
    <tableStyle name="Travel Tables-style" pivot="0" count="3" xr9:uid="{4E25F275-F37D-4EDA-807C-E16FBBD5B943}">
      <tableStyleElement type="headerRow" dxfId="1444"/>
      <tableStyleElement type="firstRowStripe" dxfId="1443"/>
      <tableStyleElement type="secondRowStripe" dxfId="1442"/>
    </tableStyle>
    <tableStyle name="Travel Tables-style 2" pivot="0" count="3" xr9:uid="{DFA5B0A4-4E05-4905-B59F-D53383B34406}">
      <tableStyleElement type="headerRow" dxfId="1441"/>
      <tableStyleElement type="firstRowStripe" dxfId="1440"/>
      <tableStyleElement type="secondRowStripe" dxfId="1439"/>
    </tableStyle>
    <tableStyle name="Travel Tables-style 2 2" pivot="0" count="3" xr9:uid="{7614B781-7A5A-45F8-9A79-5B15D7D667FC}">
      <tableStyleElement type="headerRow" dxfId="1438"/>
      <tableStyleElement type="firstRowStripe" dxfId="1437"/>
      <tableStyleElement type="secondRowStripe" dxfId="1436"/>
    </tableStyle>
    <tableStyle name="Travel Tables-style 3" pivot="0" count="3" xr9:uid="{07A67BC1-4FD5-4E8D-BF68-104835A05BC9}">
      <tableStyleElement type="headerRow" dxfId="1435"/>
      <tableStyleElement type="firstRowStripe" dxfId="1434"/>
      <tableStyleElement type="secondRowStripe" dxfId="1433"/>
    </tableStyle>
    <tableStyle name="Travel Tables-style 3 2" pivot="0" count="3" xr9:uid="{3CA16BBB-7AB6-4EF3-9E02-F9FE10C94C5C}">
      <tableStyleElement type="headerRow" dxfId="1432"/>
      <tableStyleElement type="firstRowStripe" dxfId="1431"/>
      <tableStyleElement type="secondRowStripe" dxfId="1430"/>
    </tableStyle>
    <tableStyle name="Travel Tables-style 4" pivot="0" count="3" xr9:uid="{43BA8072-E5F9-4DCE-BDDD-C4651ECF15AE}">
      <tableStyleElement type="headerRow" dxfId="1429"/>
      <tableStyleElement type="firstRowStripe" dxfId="1428"/>
      <tableStyleElement type="secondRowStripe" dxfId="1427"/>
    </tableStyle>
    <tableStyle name="Travel Tables-style 4 2" pivot="0" count="3" xr9:uid="{152FB415-0BEF-4DE5-8DEF-190B7DB962D6}">
      <tableStyleElement type="headerRow" dxfId="1426"/>
      <tableStyleElement type="firstRowStripe" dxfId="1425"/>
      <tableStyleElement type="secondRowStripe" dxfId="1424"/>
    </tableStyle>
    <tableStyle name="Travel Tables-style 5" pivot="0" count="3" xr9:uid="{F425B522-73DF-4C48-B1CB-7A70DD78AAB3}">
      <tableStyleElement type="headerRow" dxfId="1423"/>
      <tableStyleElement type="firstRowStripe" dxfId="1422"/>
      <tableStyleElement type="secondRowStripe" dxfId="1421"/>
    </tableStyle>
    <tableStyle name="Weather Generator-style" pivot="0" count="2" xr9:uid="{CE02005B-6393-4E1A-93F5-A58FD981FAC7}">
      <tableStyleElement type="firstRowStripe" dxfId="1420"/>
      <tableStyleElement type="secondRowStripe" dxfId="1419"/>
    </tableStyle>
    <tableStyle name="Weather Generator-style 2" pivot="0" count="3" xr9:uid="{16B9EDB2-02CE-47F2-9344-D52F33A8012C}">
      <tableStyleElement type="headerRow" dxfId="1418"/>
      <tableStyleElement type="firstRowStripe" dxfId="1417"/>
      <tableStyleElement type="secondRowStripe" dxfId="1416"/>
    </tableStyle>
    <tableStyle name="Weather Tables-style" pivot="0" count="3" xr9:uid="{5BC7F48D-098A-40AA-A3C2-BDE0AC97C4F3}">
      <tableStyleElement type="headerRow" dxfId="1415"/>
      <tableStyleElement type="firstRowStripe" dxfId="1414"/>
      <tableStyleElement type="secondRowStripe" dxfId="1413"/>
    </tableStyle>
    <tableStyle name="Weather Tables-style 2" pivot="0" count="3" xr9:uid="{C00FA947-3338-49D3-A72E-DA33B9EFD588}">
      <tableStyleElement type="headerRow" dxfId="1412"/>
      <tableStyleElement type="firstRowStripe" dxfId="1411"/>
      <tableStyleElement type="secondRowStripe" dxfId="1410"/>
    </tableStyle>
    <tableStyle name="Weather Tables-style 3" pivot="0" count="3" xr9:uid="{D8D77F3A-0CBE-43E4-919B-BD4F852B2E51}">
      <tableStyleElement type="headerRow" dxfId="1409"/>
      <tableStyleElement type="firstRowStripe" dxfId="1408"/>
      <tableStyleElement type="secondRowStripe" dxfId="1407"/>
    </tableStyle>
    <tableStyle name="Weather Tables-style 4" pivot="0" count="3" xr9:uid="{8A5E1E9A-E0C4-4C7C-AD76-F6959A08669F}">
      <tableStyleElement type="headerRow" dxfId="1406"/>
      <tableStyleElement type="firstRowStripe" dxfId="1405"/>
      <tableStyleElement type="secondRowStripe" dxfId="1404"/>
    </tableStyle>
    <tableStyle name="Weather Tables-style 5" pivot="0" count="3" xr9:uid="{30CD7B61-90A3-4BE6-BB64-41BC05133E95}">
      <tableStyleElement type="headerRow" dxfId="1403"/>
      <tableStyleElement type="firstRowStripe" dxfId="1402"/>
      <tableStyleElement type="secondRowStripe" dxfId="1401"/>
    </tableStyle>
    <tableStyle name="Weather Tables-style 6" pivot="0" count="3" xr9:uid="{00FA01EA-15E3-4FC2-8A20-529604D5F7E7}">
      <tableStyleElement type="headerRow" dxfId="1400"/>
      <tableStyleElement type="firstRowStripe" dxfId="1399"/>
      <tableStyleElement type="secondRowStripe" dxfId="1398"/>
    </tableStyle>
    <tableStyle name="Weather Tables-style 7" pivot="0" count="3" xr9:uid="{3406D34E-D937-4AE9-A0A9-4E9572A30B4D}">
      <tableStyleElement type="headerRow" dxfId="1397"/>
      <tableStyleElement type="firstRowStripe" dxfId="1396"/>
      <tableStyleElement type="secondRowStripe" dxfId="1395"/>
    </tableStyle>
    <tableStyle name="Weather Tables-style 8" pivot="0" count="3" xr9:uid="{DA34F28C-83A6-42F2-81F9-B61054FB97C2}">
      <tableStyleElement type="headerRow" dxfId="1394"/>
      <tableStyleElement type="firstRowStripe" dxfId="1393"/>
      <tableStyleElement type="secondRowStripe" dxfId="1392"/>
    </tableStyle>
    <tableStyle name="Weather Tables-style 9" pivot="0" count="3" xr9:uid="{3288767D-AF86-4352-9AEF-3F5EBF3DF8A5}">
      <tableStyleElement type="headerRow" dxfId="1391"/>
      <tableStyleElement type="firstRowStripe" dxfId="1390"/>
      <tableStyleElement type="secondRowStripe" dxfId="1389"/>
    </tableStyle>
    <tableStyle name="Colors-style" pivot="0" count="3" xr9:uid="{DBBDF47A-A908-47BD-8B9A-41F99468C26F}">
      <tableStyleElement type="headerRow" dxfId="1388"/>
      <tableStyleElement type="firstRowStripe" dxfId="1387"/>
      <tableStyleElement type="secondRowStripe" dxfId="1386"/>
    </tableStyle>
    <tableStyle name="Materials-style" pivot="0" count="3" xr9:uid="{80DBBFD0-3CE9-4EF0-B577-786CEC0F6486}">
      <tableStyleElement type="headerRow" dxfId="1385"/>
      <tableStyleElement type="firstRowStripe" dxfId="1384"/>
      <tableStyleElement type="secondRowStripe" dxfId="1383"/>
    </tableStyle>
    <tableStyle name="Poisons &amp; Drugs-style" pivot="0" count="3" xr9:uid="{74C8EF90-4009-4C3F-A7A5-743B4BA76A59}">
      <tableStyleElement type="headerRow" dxfId="1382"/>
      <tableStyleElement type="firstRowStripe" dxfId="1381"/>
      <tableStyleElement type="secondRowStripe" dxfId="1380"/>
    </tableStyle>
    <tableStyle name="Dock Ward-style" pivot="0" count="3" xr9:uid="{B0F154DD-07C0-4321-8E9B-59AF00436B07}">
      <tableStyleElement type="headerRow" dxfId="1379"/>
      <tableStyleElement type="firstRowStripe" dxfId="1378"/>
      <tableStyleElement type="secondRowStripe" dxfId="1377"/>
    </tableStyle>
    <tableStyle name="Field Ward-style" pivot="0" count="2" xr9:uid="{630B2106-D626-4126-8924-28A3C3F28677}">
      <tableStyleElement type="firstRowStripe" dxfId="1376"/>
      <tableStyleElement type="secondRowStripe" dxfId="1375"/>
    </tableStyle>
    <tableStyle name="Locations In Waterdeep-style" pivot="0" count="3" xr9:uid="{01358571-64ED-4417-BEE5-DAC13D45B3BE}">
      <tableStyleElement type="headerRow" dxfId="1374"/>
      <tableStyleElement type="firstRowStripe" dxfId="1373"/>
      <tableStyleElement type="secondRowStripe" dxfId="1372"/>
    </tableStyle>
    <tableStyle name="North Ward-style" pivot="0" count="2" xr9:uid="{58A09D4C-DD8C-45E2-A76D-21BBA2CA0774}">
      <tableStyleElement type="firstRowStripe" dxfId="1371"/>
      <tableStyleElement type="secondRowStripe" dxfId="1370"/>
    </tableStyle>
    <tableStyle name="Outside City-style" pivot="0" count="2" xr9:uid="{5EAF4DB4-C7BA-4730-8004-FF3592BDC6B9}">
      <tableStyleElement type="firstRowStripe" dxfId="1369"/>
      <tableStyleElement type="secondRowStripe" dxfId="1368"/>
    </tableStyle>
    <tableStyle name="Sea Ward-style" pivot="0" count="2" xr9:uid="{4B066900-031F-4C86-9370-C2DFDE908780}">
      <tableStyleElement type="firstRowStripe" dxfId="1367"/>
      <tableStyleElement type="secondRowStripe" dxfId="1366"/>
    </tableStyle>
    <tableStyle name="Sheet1-style" pivot="0" count="3" xr9:uid="{3D275A02-378C-4E2B-A47F-DCE05E76AFCE}">
      <tableStyleElement type="headerRow" dxfId="1365"/>
      <tableStyleElement type="firstRowStripe" dxfId="1364"/>
      <tableStyleElement type="secondRowStripe" dxfId="1363"/>
    </tableStyle>
    <tableStyle name="Southern Ward-style" pivot="0" count="2" xr9:uid="{BF654AE1-8649-4564-82B2-7F0E2E8AD3C1}">
      <tableStyleElement type="firstRowStripe" dxfId="1362"/>
      <tableStyleElement type="secondRowStripe" dxfId="1361"/>
    </tableStyle>
    <tableStyle name="Trades Ward-style" pivot="0" count="2" xr9:uid="{47AA4F9B-CB51-4CA0-BE55-5FA68B6E67E9}">
      <tableStyleElement type="firstRowStripe" dxfId="1360"/>
      <tableStyleElement type="secondRowStripe" dxfId="1359"/>
    </tableStyle>
  </tableStyles>
  <colors>
    <mruColors>
      <color rgb="FF1D1DEB"/>
      <color rgb="FFFFFFCC"/>
      <color rgb="FF0012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61"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3AB8EEE-B502-4238-A870-806967D81ED0}"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ru-RU"/>
        </a:p>
      </dgm:t>
    </dgm:pt>
    <dgm:pt modelId="{80394FA0-14FF-407E-AEF1-62F9B07D6AE5}">
      <dgm:prSet phldrT="[Текст]" custT="1"/>
      <dgm:spPr>
        <a:solidFill>
          <a:srgbClr val="7030A0"/>
        </a:solidFill>
        <a:ln w="28575">
          <a:solidFill>
            <a:srgbClr val="FF0000"/>
          </a:solidFill>
        </a:ln>
      </dgm:spPr>
      <dgm:t>
        <a:bodyPr/>
        <a:lstStyle/>
        <a:p>
          <a:r>
            <a:rPr lang="en-US" sz="1600" b="0" i="0">
              <a:solidFill>
                <a:schemeClr val="bg1"/>
              </a:solidFill>
              <a:latin typeface="Cyrillic5e" panose="02000506040000020004" pitchFamily="2" charset="-52"/>
            </a:rPr>
            <a:t>Military Forces</a:t>
          </a:r>
          <a:endParaRPr lang="ru-RU" sz="1600" b="0" i="0">
            <a:solidFill>
              <a:schemeClr val="bg1"/>
            </a:solidFill>
            <a:latin typeface="Cyrillic5e" panose="02000506040000020004" pitchFamily="2" charset="-52"/>
          </a:endParaRPr>
        </a:p>
      </dgm:t>
    </dgm:pt>
    <dgm:pt modelId="{34C0CDCF-078B-469E-BC3B-44011EEB0660}" type="parTrans" cxnId="{82DDE8A8-03C7-4354-BC73-D1EF0496EB6C}">
      <dgm:prSet/>
      <dgm:spPr/>
      <dgm:t>
        <a:bodyPr/>
        <a:lstStyle/>
        <a:p>
          <a:endParaRPr lang="ru-RU"/>
        </a:p>
      </dgm:t>
    </dgm:pt>
    <dgm:pt modelId="{2142D57B-A466-4852-A47A-47CE68E1AF32}" type="sibTrans" cxnId="{82DDE8A8-03C7-4354-BC73-D1EF0496EB6C}">
      <dgm:prSet/>
      <dgm:spPr>
        <a:solidFill>
          <a:srgbClr val="7030A0">
            <a:alpha val="90000"/>
          </a:srgbClr>
        </a:solidFill>
        <a:ln>
          <a:solidFill>
            <a:srgbClr val="FFC000"/>
          </a:solidFill>
        </a:ln>
      </dgm:spPr>
      <dgm:t>
        <a:bodyPr/>
        <a:lstStyle/>
        <a:p>
          <a:r>
            <a:rPr lang="en-US">
              <a:solidFill>
                <a:schemeClr val="bg1"/>
              </a:solidFill>
            </a:rPr>
            <a:t>High Marshal Crown Prince </a:t>
          </a:r>
          <a:endParaRPr lang="ru-RU">
            <a:solidFill>
              <a:schemeClr val="bg1"/>
            </a:solidFill>
          </a:endParaRPr>
        </a:p>
      </dgm:t>
    </dgm:pt>
    <dgm:pt modelId="{47C39484-004A-4B1B-AFEB-A10AF893B4B7}">
      <dgm:prSet phldrT="[Текст]" custT="1"/>
      <dgm:spPr>
        <a:solidFill>
          <a:srgbClr val="002060"/>
        </a:solidFill>
        <a:ln w="25400" cmpd="dbl">
          <a:solidFill>
            <a:srgbClr val="FF0000"/>
          </a:solidFill>
        </a:ln>
      </dgm:spPr>
      <dgm:t>
        <a:bodyPr/>
        <a:lstStyle/>
        <a:p>
          <a:r>
            <a:rPr lang="en-US" sz="800" b="1" i="0">
              <a:solidFill>
                <a:schemeClr val="bg1"/>
              </a:solidFill>
            </a:rPr>
            <a:t>Army of the Eastern Marches</a:t>
          </a:r>
          <a:endParaRPr lang="ru-RU" sz="800" b="1">
            <a:solidFill>
              <a:schemeClr val="bg1"/>
            </a:solidFill>
          </a:endParaRPr>
        </a:p>
      </dgm:t>
    </dgm:pt>
    <dgm:pt modelId="{573650C1-FE34-4FCF-832A-E802D184AD30}" type="parTrans" cxnId="{F9C97C48-319F-4131-8644-0FFAFC2CABE9}">
      <dgm:prSet/>
      <dgm:spPr/>
      <dgm:t>
        <a:bodyPr/>
        <a:lstStyle/>
        <a:p>
          <a:endParaRPr lang="ru-RU"/>
        </a:p>
      </dgm:t>
    </dgm:pt>
    <dgm:pt modelId="{F3FEAFBF-5091-4BC8-A49A-19A086608B90}" type="sibTrans" cxnId="{F9C97C48-319F-4131-8644-0FFAFC2CABE9}">
      <dgm:prSet/>
      <dgm:spPr/>
      <dgm:t>
        <a:bodyPr/>
        <a:lstStyle/>
        <a:p>
          <a:r>
            <a:rPr lang="en-US" b="0" i="0" u="none"/>
            <a:t>Battlemaster</a:t>
          </a:r>
          <a:endParaRPr lang="ru-RU"/>
        </a:p>
      </dgm:t>
    </dgm:pt>
    <dgm:pt modelId="{942C8DEC-C1B1-42FB-9194-9B7EB1AE53EE}">
      <dgm:prSet phldrT="[Текст]" custT="1"/>
      <dgm:spPr>
        <a:solidFill>
          <a:srgbClr val="002060"/>
        </a:solidFill>
        <a:ln w="25400" cmpd="dbl">
          <a:solidFill>
            <a:srgbClr val="FF0000"/>
          </a:solidFill>
        </a:ln>
      </dgm:spPr>
      <dgm:t>
        <a:bodyPr/>
        <a:lstStyle/>
        <a:p>
          <a:r>
            <a:rPr lang="en-US" sz="800" b="1" i="0">
              <a:solidFill>
                <a:schemeClr val="bg1"/>
              </a:solidFill>
            </a:rPr>
            <a:t>Army of Western Marches</a:t>
          </a:r>
        </a:p>
      </dgm:t>
    </dgm:pt>
    <dgm:pt modelId="{37A0232B-06A5-4602-B064-5FBB228E3823}" type="parTrans" cxnId="{AE35CF59-B2FC-4AC7-8AB6-7A76374D68A8}">
      <dgm:prSet/>
      <dgm:spPr/>
      <dgm:t>
        <a:bodyPr/>
        <a:lstStyle/>
        <a:p>
          <a:endParaRPr lang="ru-RU"/>
        </a:p>
      </dgm:t>
    </dgm:pt>
    <dgm:pt modelId="{45DAD5B0-645F-4E87-8451-5B9D17DC113D}" type="sibTrans" cxnId="{AE35CF59-B2FC-4AC7-8AB6-7A76374D68A8}">
      <dgm:prSet/>
      <dgm:spPr/>
      <dgm:t>
        <a:bodyPr/>
        <a:lstStyle/>
        <a:p>
          <a:r>
            <a:rPr lang="en-US" b="0" i="0" u="none"/>
            <a:t>Battlemaster</a:t>
          </a:r>
          <a:endParaRPr lang="ru-RU"/>
        </a:p>
      </dgm:t>
    </dgm:pt>
    <dgm:pt modelId="{75BCF308-B12A-40F8-AF41-2AAED971F0BD}">
      <dgm:prSet phldrT="[Текст]" custT="1"/>
      <dgm:spPr>
        <a:solidFill>
          <a:srgbClr val="002060"/>
        </a:solidFill>
        <a:ln w="25400" cmpd="dbl">
          <a:solidFill>
            <a:srgbClr val="FF0000"/>
          </a:solidFill>
        </a:ln>
      </dgm:spPr>
      <dgm:t>
        <a:bodyPr/>
        <a:lstStyle/>
        <a:p>
          <a:r>
            <a:rPr lang="en-US" sz="800" b="1" i="0">
              <a:solidFill>
                <a:schemeClr val="bg1"/>
              </a:solidFill>
            </a:rPr>
            <a:t>Army of the Heartlands</a:t>
          </a:r>
          <a:endParaRPr lang="ru-RU" sz="800" b="1">
            <a:solidFill>
              <a:schemeClr val="bg1"/>
            </a:solidFill>
          </a:endParaRPr>
        </a:p>
      </dgm:t>
    </dgm:pt>
    <dgm:pt modelId="{FE37289A-17F0-4F4A-A0B5-5B32E6BD32D1}" type="parTrans" cxnId="{02D3D253-3A49-4622-ADC1-56E68B336E46}">
      <dgm:prSet/>
      <dgm:spPr/>
      <dgm:t>
        <a:bodyPr/>
        <a:lstStyle/>
        <a:p>
          <a:endParaRPr lang="ru-RU"/>
        </a:p>
      </dgm:t>
    </dgm:pt>
    <dgm:pt modelId="{951FDA6A-3ABA-458A-8918-2A31B60F12EE}" type="sibTrans" cxnId="{02D3D253-3A49-4622-ADC1-56E68B336E46}">
      <dgm:prSet/>
      <dgm:spPr/>
      <dgm:t>
        <a:bodyPr/>
        <a:lstStyle/>
        <a:p>
          <a:r>
            <a:rPr lang="en-US" b="0" i="0" u="none"/>
            <a:t>Battlemaster</a:t>
          </a:r>
          <a:endParaRPr lang="ru-RU"/>
        </a:p>
      </dgm:t>
    </dgm:pt>
    <dgm:pt modelId="{CCEABBB7-338B-47E0-BEFB-7E66639CFF61}">
      <dgm:prSet phldrT="[Текст]" custT="1"/>
      <dgm:spPr>
        <a:solidFill>
          <a:srgbClr val="7030A0">
            <a:alpha val="50000"/>
          </a:srgbClr>
        </a:solidFill>
        <a:ln w="25400" cmpd="dbl"/>
      </dgm:spPr>
      <dgm:t>
        <a:bodyPr/>
        <a:lstStyle/>
        <a:p>
          <a:r>
            <a:rPr lang="en-US" sz="800" b="1" i="0">
              <a:solidFill>
                <a:schemeClr val="tx1"/>
              </a:solidFill>
            </a:rPr>
            <a:t>Suzail</a:t>
          </a:r>
        </a:p>
      </dgm:t>
    </dgm:pt>
    <dgm:pt modelId="{EE855179-559A-4EFF-B003-56EF85A8622B}" type="parTrans" cxnId="{51CE05A5-4C61-4E8E-8D18-8812B54DDFD0}">
      <dgm:prSet/>
      <dgm:spPr/>
      <dgm:t>
        <a:bodyPr/>
        <a:lstStyle/>
        <a:p>
          <a:endParaRPr lang="ru-RU"/>
        </a:p>
      </dgm:t>
    </dgm:pt>
    <dgm:pt modelId="{B876D0C2-BA80-4486-98C8-E10AB2756FC5}" type="sibTrans" cxnId="{51CE05A5-4C61-4E8E-8D18-8812B54DDFD0}">
      <dgm:prSet/>
      <dgm:spPr/>
      <dgm:t>
        <a:bodyPr/>
        <a:lstStyle/>
        <a:p>
          <a:r>
            <a:rPr lang="en-US" b="0" i="0" u="none"/>
            <a:t>Oversword</a:t>
          </a:r>
          <a:endParaRPr lang="ru-RU"/>
        </a:p>
      </dgm:t>
    </dgm:pt>
    <dgm:pt modelId="{504E8244-1CAD-478D-A5EE-6857132B600A}">
      <dgm:prSet phldrT="[Текст]"/>
      <dgm:spPr/>
      <dgm:t>
        <a:bodyPr/>
        <a:lstStyle/>
        <a:p>
          <a:r>
            <a:rPr lang="en-US"/>
            <a:t>Waymoot</a:t>
          </a:r>
        </a:p>
      </dgm:t>
    </dgm:pt>
    <dgm:pt modelId="{78BD750B-AA95-4DA8-8000-88F315A536B5}" type="parTrans" cxnId="{50C5C0AE-3D3D-4205-A585-5702B2E94EDC}">
      <dgm:prSet/>
      <dgm:spPr/>
      <dgm:t>
        <a:bodyPr/>
        <a:lstStyle/>
        <a:p>
          <a:endParaRPr lang="ru-RU"/>
        </a:p>
      </dgm:t>
    </dgm:pt>
    <dgm:pt modelId="{EEE02E95-5DE7-4172-A3D1-230AAA8302F4}" type="sibTrans" cxnId="{50C5C0AE-3D3D-4205-A585-5702B2E94EDC}">
      <dgm:prSet/>
      <dgm:spPr/>
      <dgm:t>
        <a:bodyPr/>
        <a:lstStyle/>
        <a:p>
          <a:endParaRPr lang="ru-RU"/>
        </a:p>
      </dgm:t>
    </dgm:pt>
    <dgm:pt modelId="{E384D70C-225E-4709-BA1C-B5D68B155C5C}">
      <dgm:prSet phldrT="[Текст]"/>
      <dgm:spPr/>
      <dgm:t>
        <a:bodyPr/>
        <a:lstStyle/>
        <a:p>
          <a:r>
            <a:rPr lang="en-US"/>
            <a:t>Jester's Green</a:t>
          </a:r>
        </a:p>
      </dgm:t>
    </dgm:pt>
    <dgm:pt modelId="{6D40DF44-2BEC-4F94-9A4A-9971C23408F6}" type="parTrans" cxnId="{3573C5EE-960A-4B5E-A79A-4CD9A16E6293}">
      <dgm:prSet/>
      <dgm:spPr/>
      <dgm:t>
        <a:bodyPr/>
        <a:lstStyle/>
        <a:p>
          <a:endParaRPr lang="ru-RU"/>
        </a:p>
      </dgm:t>
    </dgm:pt>
    <dgm:pt modelId="{D6030610-5741-46D9-A768-E77D43E6BAE4}" type="sibTrans" cxnId="{3573C5EE-960A-4B5E-A79A-4CD9A16E6293}">
      <dgm:prSet/>
      <dgm:spPr/>
      <dgm:t>
        <a:bodyPr/>
        <a:lstStyle/>
        <a:p>
          <a:endParaRPr lang="ru-RU"/>
        </a:p>
      </dgm:t>
    </dgm:pt>
    <dgm:pt modelId="{E5FDC60D-2B34-4AB7-97CD-DEFA12BFC0CC}">
      <dgm:prSet phldrT="[Текст]"/>
      <dgm:spPr/>
      <dgm:t>
        <a:bodyPr/>
        <a:lstStyle/>
        <a:p>
          <a:r>
            <a:rPr lang="en-US"/>
            <a:t>Calantar's Bridge</a:t>
          </a:r>
        </a:p>
      </dgm:t>
    </dgm:pt>
    <dgm:pt modelId="{48C51B36-BD08-4EEF-A94B-C01A76863DFE}" type="parTrans" cxnId="{B7D5014A-B2D4-49B5-9927-0C60351F1A7C}">
      <dgm:prSet/>
      <dgm:spPr/>
      <dgm:t>
        <a:bodyPr/>
        <a:lstStyle/>
        <a:p>
          <a:endParaRPr lang="ru-RU"/>
        </a:p>
      </dgm:t>
    </dgm:pt>
    <dgm:pt modelId="{45B9A766-E22E-48B1-8E35-C1633EB12FC9}" type="sibTrans" cxnId="{B7D5014A-B2D4-49B5-9927-0C60351F1A7C}">
      <dgm:prSet/>
      <dgm:spPr/>
      <dgm:t>
        <a:bodyPr/>
        <a:lstStyle/>
        <a:p>
          <a:endParaRPr lang="ru-RU"/>
        </a:p>
      </dgm:t>
    </dgm:pt>
    <dgm:pt modelId="{D3ABDF34-2C17-4964-ABFA-F146B3608B3C}">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36941" numCol="1" spcCol="1270" anchor="ctr" anchorCtr="0"/>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Marsember</a:t>
          </a:r>
          <a:endParaRPr lang="ru-RU" sz="800" b="1" i="0" kern="1200">
            <a:solidFill>
              <a:sysClr val="windowText" lastClr="000000"/>
            </a:solidFill>
            <a:latin typeface="Lato"/>
            <a:ea typeface="+mn-ea"/>
            <a:cs typeface="+mn-cs"/>
          </a:endParaRPr>
        </a:p>
      </dgm:t>
    </dgm:pt>
    <dgm:pt modelId="{1A7603CB-DE7D-4AEC-B00F-115328F9699B}" type="parTrans" cxnId="{35DE8D87-40FE-463B-B949-D6D91EF157E3}">
      <dgm:prSet/>
      <dgm:spPr/>
      <dgm:t>
        <a:bodyPr/>
        <a:lstStyle/>
        <a:p>
          <a:endParaRPr lang="ru-RU"/>
        </a:p>
      </dgm:t>
    </dgm:pt>
    <dgm:pt modelId="{D4737680-E48A-4B8D-9C67-C69F9FCC7FB6}" type="sibTrans" cxnId="{35DE8D87-40FE-463B-B949-D6D91EF157E3}">
      <dgm:prSet/>
      <dgm:spPr/>
      <dgm:t>
        <a:bodyPr/>
        <a:lstStyle/>
        <a:p>
          <a:r>
            <a:rPr lang="en-US" b="0" i="0" u="none"/>
            <a:t>Lord Admiral</a:t>
          </a:r>
        </a:p>
        <a:p>
          <a:endParaRPr lang="ru-RU"/>
        </a:p>
      </dgm:t>
    </dgm:pt>
    <dgm:pt modelId="{13023F3E-BBF3-4FF4-A7C1-4A0B6BAF3A29}">
      <dgm:prSet custT="1"/>
      <dgm:spPr>
        <a:solidFill>
          <a:srgbClr val="7030A0">
            <a:alpha val="50000"/>
          </a:srgbClr>
        </a:solidFill>
        <a:ln w="25400" cmpd="dbl"/>
      </dgm:spPr>
      <dgm:t>
        <a:bodyPr/>
        <a:lstStyle/>
        <a:p>
          <a:r>
            <a:rPr lang="en-US" sz="800" b="1" i="0">
              <a:solidFill>
                <a:schemeClr val="tx1"/>
              </a:solidFill>
            </a:rPr>
            <a:t>Arabel</a:t>
          </a:r>
          <a:endParaRPr lang="ru-RU" sz="800" b="1" i="0">
            <a:solidFill>
              <a:schemeClr val="tx1"/>
            </a:solidFill>
          </a:endParaRPr>
        </a:p>
      </dgm:t>
    </dgm:pt>
    <dgm:pt modelId="{6FF616BD-484A-4B07-B086-EAA610F3E144}" type="parTrans" cxnId="{43F66DA1-E5D3-427E-A6C5-E7F4673E3136}">
      <dgm:prSet/>
      <dgm:spPr/>
      <dgm:t>
        <a:bodyPr/>
        <a:lstStyle/>
        <a:p>
          <a:endParaRPr lang="ru-RU"/>
        </a:p>
      </dgm:t>
    </dgm:pt>
    <dgm:pt modelId="{F901C23F-B337-49EA-9886-DDDCCD4D6DAC}" type="sibTrans" cxnId="{43F66DA1-E5D3-427E-A6C5-E7F4673E3136}">
      <dgm:prSet/>
      <dgm:spPr/>
      <dgm:t>
        <a:bodyPr/>
        <a:lstStyle/>
        <a:p>
          <a:r>
            <a:rPr lang="en-US" b="0" i="0" u="none"/>
            <a:t>Oversword</a:t>
          </a:r>
          <a:endParaRPr lang="ru-RU"/>
        </a:p>
      </dgm:t>
    </dgm:pt>
    <dgm:pt modelId="{361F6CE2-3FF8-4B58-A536-E5A8AB32CF5B}">
      <dgm:prSet/>
      <dgm:spPr/>
      <dgm:t>
        <a:bodyPr/>
        <a:lstStyle/>
        <a:p>
          <a:r>
            <a:rPr lang="en-US" b="0" i="0"/>
            <a:t>Immersea</a:t>
          </a:r>
          <a:endParaRPr lang="ru-RU" i="0"/>
        </a:p>
      </dgm:t>
    </dgm:pt>
    <dgm:pt modelId="{C50BEEDE-DCCE-4DF3-8F66-2B42730046B1}" type="parTrans" cxnId="{07CDFC3B-99A9-41C2-A1A5-E5642DE5EF49}">
      <dgm:prSet/>
      <dgm:spPr/>
      <dgm:t>
        <a:bodyPr/>
        <a:lstStyle/>
        <a:p>
          <a:endParaRPr lang="ru-RU"/>
        </a:p>
      </dgm:t>
    </dgm:pt>
    <dgm:pt modelId="{9BDEB05F-29B4-4F5B-B6BD-5E57B65B9657}" type="sibTrans" cxnId="{07CDFC3B-99A9-41C2-A1A5-E5642DE5EF49}">
      <dgm:prSet/>
      <dgm:spPr/>
      <dgm:t>
        <a:bodyPr/>
        <a:lstStyle/>
        <a:p>
          <a:endParaRPr lang="ru-RU"/>
        </a:p>
      </dgm:t>
    </dgm:pt>
    <dgm:pt modelId="{7FB4D978-75F0-457D-88FA-4A078F33AEDF}">
      <dgm:prSet custT="1"/>
      <dgm:spPr>
        <a:solidFill>
          <a:srgbClr val="7030A0">
            <a:alpha val="50000"/>
          </a:srgbClr>
        </a:solidFill>
        <a:ln w="25400" cmpd="dbl"/>
      </dgm:spPr>
      <dgm:t>
        <a:bodyPr/>
        <a:lstStyle/>
        <a:p>
          <a:r>
            <a:rPr lang="en-US" sz="800" b="1" i="0">
              <a:solidFill>
                <a:schemeClr val="tx1"/>
              </a:solidFill>
            </a:rPr>
            <a:t>Arabel</a:t>
          </a:r>
          <a:endParaRPr lang="ru-RU" sz="800" b="1" i="0">
            <a:solidFill>
              <a:schemeClr val="tx1"/>
            </a:solidFill>
          </a:endParaRPr>
        </a:p>
      </dgm:t>
    </dgm:pt>
    <dgm:pt modelId="{0700F839-9592-4E41-9B45-3DFC339D4E9C}" type="parTrans" cxnId="{8E32CC21-34B9-4446-A4F6-1DFD412ED43D}">
      <dgm:prSet/>
      <dgm:spPr/>
      <dgm:t>
        <a:bodyPr/>
        <a:lstStyle/>
        <a:p>
          <a:endParaRPr lang="ru-RU"/>
        </a:p>
      </dgm:t>
    </dgm:pt>
    <dgm:pt modelId="{9A17181D-65E0-4EE4-9762-A81D9B0B4DE1}" type="sibTrans" cxnId="{8E32CC21-34B9-4446-A4F6-1DFD412ED43D}">
      <dgm:prSet/>
      <dgm:spPr/>
      <dgm:t>
        <a:bodyPr/>
        <a:lstStyle/>
        <a:p>
          <a:r>
            <a:rPr lang="en-US" b="0" i="0" u="none"/>
            <a:t>Oversword</a:t>
          </a:r>
          <a:endParaRPr lang="ru-RU"/>
        </a:p>
      </dgm:t>
    </dgm:pt>
    <dgm:pt modelId="{08DCC231-4CB5-4305-AB18-81EFFFD7E18E}">
      <dgm:prSet/>
      <dgm:spPr>
        <a:solidFill>
          <a:schemeClr val="accent2">
            <a:lumMod val="50000"/>
          </a:schemeClr>
        </a:solidFill>
      </dgm:spPr>
      <dgm:t>
        <a:bodyPr/>
        <a:lstStyle/>
        <a:p>
          <a:r>
            <a:rPr lang="en-US" b="0" i="1"/>
            <a:t>Redspring</a:t>
          </a:r>
          <a:endParaRPr lang="ru-RU"/>
        </a:p>
      </dgm:t>
    </dgm:pt>
    <dgm:pt modelId="{BCDC6BB2-D5AD-4985-8CB2-4A846B30E98E}" type="parTrans" cxnId="{9DDEF4DE-A03D-4A8C-B51C-60E55D79295E}">
      <dgm:prSet/>
      <dgm:spPr/>
      <dgm:t>
        <a:bodyPr/>
        <a:lstStyle/>
        <a:p>
          <a:endParaRPr lang="ru-RU"/>
        </a:p>
      </dgm:t>
    </dgm:pt>
    <dgm:pt modelId="{0C80C866-8B19-408C-A8BA-D463EAE70F26}" type="sibTrans" cxnId="{9DDEF4DE-A03D-4A8C-B51C-60E55D79295E}">
      <dgm:prSet/>
      <dgm:spPr/>
      <dgm:t>
        <a:bodyPr/>
        <a:lstStyle/>
        <a:p>
          <a:endParaRPr lang="ru-RU"/>
        </a:p>
      </dgm:t>
    </dgm:pt>
    <dgm:pt modelId="{C63FB8A5-EF3F-4DC2-9111-14E814F65315}">
      <dgm:prSet/>
      <dgm:spPr/>
      <dgm:t>
        <a:bodyPr/>
        <a:lstStyle/>
        <a:p>
          <a:r>
            <a:rPr lang="en-US" b="0" i="1"/>
            <a:t>Goblin Mountain Outpost</a:t>
          </a:r>
          <a:endParaRPr lang="ru-RU"/>
        </a:p>
      </dgm:t>
    </dgm:pt>
    <dgm:pt modelId="{CADEA7A0-E257-45C6-B8C1-0D19914B0F98}" type="parTrans" cxnId="{7C95F396-A695-4CA4-A2D9-EE89F87056F9}">
      <dgm:prSet/>
      <dgm:spPr/>
      <dgm:t>
        <a:bodyPr/>
        <a:lstStyle/>
        <a:p>
          <a:endParaRPr lang="ru-RU"/>
        </a:p>
      </dgm:t>
    </dgm:pt>
    <dgm:pt modelId="{EAFA7E02-E0D2-470C-8C5D-9FF49B6A6DEA}" type="sibTrans" cxnId="{7C95F396-A695-4CA4-A2D9-EE89F87056F9}">
      <dgm:prSet/>
      <dgm:spPr/>
      <dgm:t>
        <a:bodyPr/>
        <a:lstStyle/>
        <a:p>
          <a:endParaRPr lang="ru-RU"/>
        </a:p>
      </dgm:t>
    </dgm:pt>
    <dgm:pt modelId="{92E884DA-13A5-4271-90BC-6968D19169D5}">
      <dgm:prSet/>
      <dgm:spPr/>
      <dgm:t>
        <a:bodyPr/>
        <a:lstStyle/>
        <a:p>
          <a:r>
            <a:rPr lang="en-US" b="0" i="1"/>
            <a:t>Thunder Gap border outpost</a:t>
          </a:r>
          <a:endParaRPr lang="ru-RU"/>
        </a:p>
      </dgm:t>
    </dgm:pt>
    <dgm:pt modelId="{5B03490E-07D1-47F1-8071-71644FDC566A}" type="parTrans" cxnId="{D48B2648-0B59-4ED8-95C3-1512B54BF0D3}">
      <dgm:prSet/>
      <dgm:spPr/>
      <dgm:t>
        <a:bodyPr/>
        <a:lstStyle/>
        <a:p>
          <a:endParaRPr lang="ru-RU"/>
        </a:p>
      </dgm:t>
    </dgm:pt>
    <dgm:pt modelId="{ABD8E950-DB0E-44E7-ADAD-07C138C8B33F}" type="sibTrans" cxnId="{D48B2648-0B59-4ED8-95C3-1512B54BF0D3}">
      <dgm:prSet/>
      <dgm:spPr/>
      <dgm:t>
        <a:bodyPr/>
        <a:lstStyle/>
        <a:p>
          <a:endParaRPr lang="ru-RU"/>
        </a:p>
      </dgm:t>
    </dgm:pt>
    <dgm:pt modelId="{B4D6A501-92B6-4566-9276-79841C5F5B3E}">
      <dgm:prSet/>
      <dgm:spPr/>
      <dgm:t>
        <a:bodyPr/>
        <a:lstStyle/>
        <a:p>
          <a:r>
            <a:rPr lang="en-US" b="0" i="1"/>
            <a:t>Masoner's Bridge waypost</a:t>
          </a:r>
          <a:endParaRPr lang="ru-RU"/>
        </a:p>
      </dgm:t>
    </dgm:pt>
    <dgm:pt modelId="{E9DBF29B-09A5-4D79-8E4F-EB717D9379F5}" type="parTrans" cxnId="{F658CB61-2A1E-446B-A15F-14CB90E77733}">
      <dgm:prSet/>
      <dgm:spPr/>
      <dgm:t>
        <a:bodyPr/>
        <a:lstStyle/>
        <a:p>
          <a:endParaRPr lang="ru-RU"/>
        </a:p>
      </dgm:t>
    </dgm:pt>
    <dgm:pt modelId="{C9B9E3AE-89C7-4A0A-8EF9-99B362783877}" type="sibTrans" cxnId="{F658CB61-2A1E-446B-A15F-14CB90E77733}">
      <dgm:prSet/>
      <dgm:spPr/>
      <dgm:t>
        <a:bodyPr/>
        <a:lstStyle/>
        <a:p>
          <a:endParaRPr lang="ru-RU"/>
        </a:p>
      </dgm:t>
    </dgm:pt>
    <dgm:pt modelId="{0A3F52A5-06F1-4B17-899C-850380DFFE2D}">
      <dgm:prSet/>
      <dgm:spPr/>
      <dgm:t>
        <a:bodyPr/>
        <a:lstStyle/>
        <a:p>
          <a:r>
            <a:rPr lang="en-US" b="0" i="1"/>
            <a:t>East Way waypost</a:t>
          </a:r>
          <a:endParaRPr lang="ru-RU"/>
        </a:p>
      </dgm:t>
    </dgm:pt>
    <dgm:pt modelId="{57D7CE9D-0978-4AFB-B6D9-BCD3CA2229EB}" type="parTrans" cxnId="{94D06145-AE43-43A9-8CBA-BBF81D2DA269}">
      <dgm:prSet/>
      <dgm:spPr/>
      <dgm:t>
        <a:bodyPr/>
        <a:lstStyle/>
        <a:p>
          <a:endParaRPr lang="ru-RU"/>
        </a:p>
      </dgm:t>
    </dgm:pt>
    <dgm:pt modelId="{DA7358C6-809A-499F-8BF4-F22C96B0E8C7}" type="sibTrans" cxnId="{94D06145-AE43-43A9-8CBA-BBF81D2DA269}">
      <dgm:prSet/>
      <dgm:spPr/>
      <dgm:t>
        <a:bodyPr/>
        <a:lstStyle/>
        <a:p>
          <a:endParaRPr lang="ru-RU"/>
        </a:p>
      </dgm:t>
    </dgm:pt>
    <dgm:pt modelId="{356F1E70-7280-4D9A-98C3-6DF913ADC682}">
      <dgm:prSet custT="1"/>
      <dgm:spPr>
        <a:solidFill>
          <a:srgbClr val="7030A0">
            <a:alpha val="50000"/>
          </a:srgbClr>
        </a:solidFill>
        <a:ln w="25400" cmpd="dbl"/>
      </dgm:spPr>
      <dgm:t>
        <a:bodyPr/>
        <a:lstStyle/>
        <a:p>
          <a:r>
            <a:rPr lang="en-US" sz="800" b="1" i="0">
              <a:solidFill>
                <a:schemeClr val="tx1"/>
              </a:solidFill>
            </a:rPr>
            <a:t>Castle Crag</a:t>
          </a:r>
          <a:endParaRPr lang="ru-RU" sz="800" b="1" i="0">
            <a:solidFill>
              <a:schemeClr val="tx1"/>
            </a:solidFill>
          </a:endParaRPr>
        </a:p>
      </dgm:t>
    </dgm:pt>
    <dgm:pt modelId="{E4319104-1B95-45B9-85D4-9B14C9DDA4E1}" type="parTrans" cxnId="{AD8DBCFC-5B86-443C-B258-D31366592292}">
      <dgm:prSet/>
      <dgm:spPr/>
      <dgm:t>
        <a:bodyPr/>
        <a:lstStyle/>
        <a:p>
          <a:endParaRPr lang="ru-RU"/>
        </a:p>
      </dgm:t>
    </dgm:pt>
    <dgm:pt modelId="{0600A3E2-6162-41AE-A0CB-551CB60E1EA2}" type="sibTrans" cxnId="{AD8DBCFC-5B86-443C-B258-D31366592292}">
      <dgm:prSet/>
      <dgm:spPr/>
      <dgm:t>
        <a:bodyPr/>
        <a:lstStyle/>
        <a:p>
          <a:r>
            <a:rPr lang="en-US" b="0" i="0" u="none"/>
            <a:t>Oversword</a:t>
          </a:r>
          <a:endParaRPr lang="ru-RU"/>
        </a:p>
      </dgm:t>
    </dgm:pt>
    <dgm:pt modelId="{E320A9B7-6569-409D-A82B-C9F6BFD17056}">
      <dgm:prSet custT="1"/>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patrols into the Stonelands</a:t>
          </a:r>
          <a:endParaRPr lang="ru-RU" sz="500" kern="1200">
            <a:solidFill>
              <a:sysClr val="window" lastClr="FFFFFF"/>
            </a:solidFill>
            <a:latin typeface="Lato"/>
            <a:ea typeface="+mn-ea"/>
            <a:cs typeface="+mn-cs"/>
          </a:endParaRPr>
        </a:p>
      </dgm:t>
    </dgm:pt>
    <dgm:pt modelId="{BFCFC687-F71D-4DAB-8391-64397C85E2EE}" type="parTrans" cxnId="{CE033F28-F31C-49CD-9113-63D710F4C0B7}">
      <dgm:prSet/>
      <dgm:spPr/>
      <dgm:t>
        <a:bodyPr/>
        <a:lstStyle/>
        <a:p>
          <a:endParaRPr lang="ru-RU"/>
        </a:p>
      </dgm:t>
    </dgm:pt>
    <dgm:pt modelId="{F09CC6F1-B178-4105-8452-299F3EA9A408}" type="sibTrans" cxnId="{CE033F28-F31C-49CD-9113-63D710F4C0B7}">
      <dgm:prSet/>
      <dgm:spPr/>
      <dgm:t>
        <a:bodyPr/>
        <a:lstStyle/>
        <a:p>
          <a:endParaRPr lang="ru-RU"/>
        </a:p>
      </dgm:t>
    </dgm:pt>
    <dgm:pt modelId="{192A6EE5-E3DC-4471-9A0A-1E32D76EA79D}">
      <dgm:prSet/>
      <dgm:spPr/>
      <dgm:t>
        <a:bodyPr/>
        <a:lstStyle/>
        <a:p>
          <a:r>
            <a:rPr lang="en-US" b="0" i="1"/>
            <a:t>Yeoman Bridge</a:t>
          </a:r>
          <a:endParaRPr lang="en-US"/>
        </a:p>
      </dgm:t>
    </dgm:pt>
    <dgm:pt modelId="{F540E5BF-A929-44AD-837D-0ACB1AC173F6}" type="parTrans" cxnId="{066D170F-8AF6-4EDD-A4A8-1996C8E63597}">
      <dgm:prSet/>
      <dgm:spPr/>
      <dgm:t>
        <a:bodyPr/>
        <a:lstStyle/>
        <a:p>
          <a:endParaRPr lang="ru-RU"/>
        </a:p>
      </dgm:t>
    </dgm:pt>
    <dgm:pt modelId="{810D2F77-420F-4A2C-BBE7-17FFFA0D1E0A}" type="sibTrans" cxnId="{066D170F-8AF6-4EDD-A4A8-1996C8E63597}">
      <dgm:prSet/>
      <dgm:spPr/>
      <dgm:t>
        <a:bodyPr/>
        <a:lstStyle/>
        <a:p>
          <a:endParaRPr lang="ru-RU"/>
        </a:p>
      </dgm:t>
    </dgm:pt>
    <dgm:pt modelId="{79F40210-A64B-4E7E-AA0D-B96EC8AB1394}">
      <dgm:prSet/>
      <dgm:spPr>
        <a:solidFill>
          <a:schemeClr val="accent2">
            <a:lumMod val="50000"/>
          </a:schemeClr>
        </a:solidFill>
      </dgm:spPr>
      <dgm:t>
        <a:bodyPr/>
        <a:lstStyle/>
        <a:p>
          <a:r>
            <a:rPr lang="en-US" b="0" i="1"/>
            <a:t>Slingdyke</a:t>
          </a:r>
          <a:endParaRPr lang="ru-RU"/>
        </a:p>
      </dgm:t>
    </dgm:pt>
    <dgm:pt modelId="{64EC115C-FC49-41D7-83E4-51E5041683E1}" type="parTrans" cxnId="{B5891EC0-5AF7-4494-8898-6304D388B271}">
      <dgm:prSet/>
      <dgm:spPr/>
      <dgm:t>
        <a:bodyPr/>
        <a:lstStyle/>
        <a:p>
          <a:endParaRPr lang="ru-RU"/>
        </a:p>
      </dgm:t>
    </dgm:pt>
    <dgm:pt modelId="{435B1CA8-757C-416B-AEBC-BA00A8F349E6}" type="sibTrans" cxnId="{B5891EC0-5AF7-4494-8898-6304D388B271}">
      <dgm:prSet/>
      <dgm:spPr/>
      <dgm:t>
        <a:bodyPr/>
        <a:lstStyle/>
        <a:p>
          <a:endParaRPr lang="ru-RU"/>
        </a:p>
      </dgm:t>
    </dgm:pt>
    <dgm:pt modelId="{2F7ED289-7ECC-491C-9708-D022CAE1AEAE}">
      <dgm:prSet/>
      <dgm:spPr/>
      <dgm:t>
        <a:bodyPr/>
        <a:lstStyle/>
        <a:p>
          <a:r>
            <a:rPr lang="en-US" b="0" i="1"/>
            <a:t>Hillmarch</a:t>
          </a:r>
          <a:endParaRPr lang="ru-RU"/>
        </a:p>
      </dgm:t>
    </dgm:pt>
    <dgm:pt modelId="{D0B61793-02E4-46A1-B677-D618546E6B25}" type="parTrans" cxnId="{5404C2D0-08FA-46BB-9358-9F52ED30EC4A}">
      <dgm:prSet/>
      <dgm:spPr/>
      <dgm:t>
        <a:bodyPr/>
        <a:lstStyle/>
        <a:p>
          <a:endParaRPr lang="ru-RU"/>
        </a:p>
      </dgm:t>
    </dgm:pt>
    <dgm:pt modelId="{3C282FEB-14CF-476C-89C6-972E7890C5C9}" type="sibTrans" cxnId="{5404C2D0-08FA-46BB-9358-9F52ED30EC4A}">
      <dgm:prSet/>
      <dgm:spPr/>
      <dgm:t>
        <a:bodyPr/>
        <a:lstStyle/>
        <a:p>
          <a:endParaRPr lang="ru-RU"/>
        </a:p>
      </dgm:t>
    </dgm:pt>
    <dgm:pt modelId="{9C069160-229B-4581-8576-3A89D6D94A25}">
      <dgm:prSet/>
      <dgm:spPr/>
      <dgm:t>
        <a:bodyPr/>
        <a:lstStyle/>
        <a:p>
          <a:r>
            <a:rPr lang="en-US" b="0" i="1"/>
            <a:t>Gnollpost</a:t>
          </a:r>
          <a:endParaRPr lang="ru-RU"/>
        </a:p>
      </dgm:t>
    </dgm:pt>
    <dgm:pt modelId="{1E2C769F-3062-46DA-8D46-94B6834F4EC8}" type="parTrans" cxnId="{C7A91628-DD33-48A8-A5AC-5D8B52DE6AFC}">
      <dgm:prSet/>
      <dgm:spPr/>
      <dgm:t>
        <a:bodyPr/>
        <a:lstStyle/>
        <a:p>
          <a:endParaRPr lang="ru-RU"/>
        </a:p>
      </dgm:t>
    </dgm:pt>
    <dgm:pt modelId="{199055F2-461B-4401-9718-37AED6883434}" type="sibTrans" cxnId="{C7A91628-DD33-48A8-A5AC-5D8B52DE6AFC}">
      <dgm:prSet/>
      <dgm:spPr/>
      <dgm:t>
        <a:bodyPr/>
        <a:lstStyle/>
        <a:p>
          <a:endParaRPr lang="ru-RU"/>
        </a:p>
      </dgm:t>
    </dgm:pt>
    <dgm:pt modelId="{54A7C8D6-8980-4203-933A-A6ABB9311ED9}">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36941" numCol="1" spcCol="1270" anchor="ctr" anchorCtr="0"/>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Halfhap</a:t>
          </a:r>
          <a:endParaRPr lang="ru-RU" sz="800" b="1" i="0" kern="1200">
            <a:solidFill>
              <a:sysClr val="windowText" lastClr="000000"/>
            </a:solidFill>
            <a:latin typeface="Lato"/>
            <a:ea typeface="+mn-ea"/>
            <a:cs typeface="+mn-cs"/>
          </a:endParaRPr>
        </a:p>
      </dgm:t>
    </dgm:pt>
    <dgm:pt modelId="{877DA76B-5E9E-49DB-BF23-7B0B0214CBE5}" type="parTrans" cxnId="{B96FFD20-6AC9-44DA-AE93-6A62A31DB125}">
      <dgm:prSet/>
      <dgm:spPr/>
      <dgm:t>
        <a:bodyPr/>
        <a:lstStyle/>
        <a:p>
          <a:endParaRPr lang="ru-RU"/>
        </a:p>
      </dgm:t>
    </dgm:pt>
    <dgm:pt modelId="{D3E591C4-A00D-43DD-9D5E-3850620DF7A4}" type="sibTrans" cxnId="{B96FFD20-6AC9-44DA-AE93-6A62A31DB125}">
      <dgm:prSet/>
      <dgm:spPr/>
      <dgm:t>
        <a:bodyPr/>
        <a:lstStyle/>
        <a:p>
          <a:endParaRPr lang="ru-RU"/>
        </a:p>
      </dgm:t>
    </dgm:pt>
    <dgm:pt modelId="{1BFF86D9-5F2A-42D6-A1C2-8D7358A082E0}">
      <dgm:prSet/>
      <dgm:spPr/>
      <dgm:t>
        <a:bodyPr/>
        <a:lstStyle/>
        <a:p>
          <a:r>
            <a:rPr lang="en-US" b="0" i="1"/>
            <a:t>Mootpost</a:t>
          </a:r>
          <a:endParaRPr lang="ru-RU"/>
        </a:p>
      </dgm:t>
    </dgm:pt>
    <dgm:pt modelId="{6EAE49A9-A3EF-4AA2-8DBC-884F8CB98652}" type="parTrans" cxnId="{F869600D-D17E-49EF-B508-1A4D869FE0D1}">
      <dgm:prSet/>
      <dgm:spPr/>
      <dgm:t>
        <a:bodyPr/>
        <a:lstStyle/>
        <a:p>
          <a:endParaRPr lang="ru-RU"/>
        </a:p>
      </dgm:t>
    </dgm:pt>
    <dgm:pt modelId="{EDCBE86C-5252-4899-8633-5DD1BFE56D30}" type="sibTrans" cxnId="{F869600D-D17E-49EF-B508-1A4D869FE0D1}">
      <dgm:prSet/>
      <dgm:spPr/>
      <dgm:t>
        <a:bodyPr/>
        <a:lstStyle/>
        <a:p>
          <a:endParaRPr lang="ru-RU"/>
        </a:p>
      </dgm:t>
    </dgm:pt>
    <dgm:pt modelId="{859BA693-07BB-4A81-93C9-BE4A6808C33D}">
      <dgm:prSet custT="1"/>
      <dgm:spPr>
        <a:solidFill>
          <a:srgbClr val="4472C4">
            <a:hueOff val="0"/>
            <a:satOff val="0"/>
            <a:lumOff val="0"/>
            <a:alphaOff val="0"/>
          </a:srgbClr>
        </a:solidFill>
        <a:ln w="12700" cap="flat" cmpd="sng" algn="ctr">
          <a:solidFill>
            <a:sysClr val="window" lastClr="FFFFFF">
              <a:hueOff val="0"/>
              <a:satOff val="0"/>
              <a:lumOff val="0"/>
              <a:alphaOff val="0"/>
            </a:sysClr>
          </a:solidFill>
          <a:prstDash val="solid"/>
        </a:ln>
        <a:effectLst/>
      </dgm:spPr>
      <dgm:t>
        <a:bodyPr spcFirstLastPara="0" vert="horz" wrap="square" lIns="3810" tIns="3810" rIns="3810" bIns="45591" numCol="1" spcCol="1270" anchor="ctr" anchorCtr="0"/>
        <a:lstStyle/>
        <a:p>
          <a:pPr marL="0" lvl="0" indent="0" algn="ctr" defTabSz="266700">
            <a:lnSpc>
              <a:spcPct val="90000"/>
            </a:lnSpc>
            <a:spcBef>
              <a:spcPct val="0"/>
            </a:spcBef>
            <a:spcAft>
              <a:spcPct val="35000"/>
            </a:spcAft>
            <a:buNone/>
          </a:pPr>
          <a:r>
            <a:rPr lang="en-US" sz="600" b="0" i="1" kern="1200">
              <a:solidFill>
                <a:sysClr val="window" lastClr="FFFFFF"/>
              </a:solidFill>
              <a:latin typeface="Lato"/>
              <a:ea typeface="+mn-ea"/>
              <a:cs typeface="+mn-cs"/>
            </a:rPr>
            <a:t>Eagle Peak</a:t>
          </a:r>
          <a:endParaRPr lang="ru-RU" sz="600" b="0" i="1" kern="1200">
            <a:solidFill>
              <a:sysClr val="window" lastClr="FFFFFF"/>
            </a:solidFill>
            <a:latin typeface="Lato"/>
            <a:ea typeface="+mn-ea"/>
            <a:cs typeface="+mn-cs"/>
          </a:endParaRPr>
        </a:p>
      </dgm:t>
    </dgm:pt>
    <dgm:pt modelId="{92CB946F-71D1-4C7D-9400-3446CBF271F8}" type="parTrans" cxnId="{D4DAF351-0CB4-4D19-83EA-D9A1A6EE4545}">
      <dgm:prSet/>
      <dgm:spPr/>
      <dgm:t>
        <a:bodyPr/>
        <a:lstStyle/>
        <a:p>
          <a:endParaRPr lang="ru-RU"/>
        </a:p>
      </dgm:t>
    </dgm:pt>
    <dgm:pt modelId="{55E857A5-48AA-4F40-BE93-91C56C4BCBB3}" type="sibTrans" cxnId="{D4DAF351-0CB4-4D19-83EA-D9A1A6EE4545}">
      <dgm:prSet/>
      <dgm:spPr/>
      <dgm:t>
        <a:bodyPr/>
        <a:lstStyle/>
        <a:p>
          <a:endParaRPr lang="ru-RU"/>
        </a:p>
      </dgm:t>
    </dgm:pt>
    <dgm:pt modelId="{58195434-CC28-4171-98DC-064A9A9C5BBC}">
      <dgm:prSet custT="1"/>
      <dgm:spPr>
        <a:solidFill>
          <a:srgbClr val="7030A0">
            <a:alpha val="50000"/>
          </a:srgbClr>
        </a:solidFill>
        <a:ln w="25400" cmpd="dbl"/>
      </dgm:spPr>
      <dgm:t>
        <a:bodyPr/>
        <a:lstStyle/>
        <a:p>
          <a:r>
            <a:rPr lang="en-US" sz="800" b="1" i="0">
              <a:solidFill>
                <a:schemeClr val="tx1"/>
              </a:solidFill>
            </a:rPr>
            <a:t>High Horn</a:t>
          </a:r>
        </a:p>
      </dgm:t>
    </dgm:pt>
    <dgm:pt modelId="{9F157D24-A5D1-4619-B1CE-207AD8F53CD5}" type="parTrans" cxnId="{F765A2C6-09CD-4E90-987C-C69F8A8E72EA}">
      <dgm:prSet/>
      <dgm:spPr/>
      <dgm:t>
        <a:bodyPr/>
        <a:lstStyle/>
        <a:p>
          <a:endParaRPr lang="ru-RU"/>
        </a:p>
      </dgm:t>
    </dgm:pt>
    <dgm:pt modelId="{AE4AF2AF-0AC7-472A-B043-2859192D62C9}" type="sibTrans" cxnId="{F765A2C6-09CD-4E90-987C-C69F8A8E72EA}">
      <dgm:prSet/>
      <dgm:spPr/>
      <dgm:t>
        <a:bodyPr/>
        <a:lstStyle/>
        <a:p>
          <a:r>
            <a:rPr lang="en-US" b="0" i="0" u="none"/>
            <a:t>Oversword</a:t>
          </a:r>
          <a:endParaRPr lang="ru-RU"/>
        </a:p>
      </dgm:t>
    </dgm:pt>
    <dgm:pt modelId="{25E03141-74F1-48C9-90A5-C61C9D8E2AE0}">
      <dgm:prSet/>
      <dgm:spPr>
        <a:solidFill>
          <a:schemeClr val="accent2">
            <a:lumMod val="50000"/>
          </a:schemeClr>
        </a:solidFill>
      </dgm:spPr>
      <dgm:t>
        <a:bodyPr/>
        <a:lstStyle/>
        <a:p>
          <a:r>
            <a:rPr lang="en-US" b="0" i="1"/>
            <a:t>Tyrluk</a:t>
          </a:r>
          <a:endParaRPr lang="en-US"/>
        </a:p>
      </dgm:t>
    </dgm:pt>
    <dgm:pt modelId="{CB18A920-F073-4639-AD71-F8F60BA7D0B8}" type="parTrans" cxnId="{3DED1C5E-DA81-476B-9AE7-9FEA399A330B}">
      <dgm:prSet/>
      <dgm:spPr/>
      <dgm:t>
        <a:bodyPr/>
        <a:lstStyle/>
        <a:p>
          <a:endParaRPr lang="ru-RU"/>
        </a:p>
      </dgm:t>
    </dgm:pt>
    <dgm:pt modelId="{9E020631-8259-4CF6-AEA5-10F0F2EDCFBA}" type="sibTrans" cxnId="{3DED1C5E-DA81-476B-9AE7-9FEA399A330B}">
      <dgm:prSet/>
      <dgm:spPr/>
      <dgm:t>
        <a:bodyPr/>
        <a:lstStyle/>
        <a:p>
          <a:endParaRPr lang="ru-RU"/>
        </a:p>
      </dgm:t>
    </dgm:pt>
    <dgm:pt modelId="{09CC62A3-5469-49FC-A786-F060E682E2A5}">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45591" numCol="1" spcCol="1270" anchor="ctr" anchorCtr="0"/>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Skull Crag</a:t>
          </a:r>
        </a:p>
      </dgm:t>
    </dgm:pt>
    <dgm:pt modelId="{482AB384-4C32-47B3-8FD6-5F997F9EA434}" type="parTrans" cxnId="{68B2112C-D3CA-4B3C-AE98-5A6B3F586416}">
      <dgm:prSet/>
      <dgm:spPr/>
      <dgm:t>
        <a:bodyPr/>
        <a:lstStyle/>
        <a:p>
          <a:endParaRPr lang="ru-RU"/>
        </a:p>
      </dgm:t>
    </dgm:pt>
    <dgm:pt modelId="{0863FAD4-0ECB-47E2-A8C2-9714C72C72F9}" type="sibTrans" cxnId="{68B2112C-D3CA-4B3C-AE98-5A6B3F586416}">
      <dgm:prSet/>
      <dgm:spPr/>
      <dgm:t>
        <a:bodyPr/>
        <a:lstStyle/>
        <a:p>
          <a:r>
            <a:rPr lang="en-US" b="0" i="0" u="none"/>
            <a:t>Constal</a:t>
          </a:r>
          <a:endParaRPr lang="ru-RU"/>
        </a:p>
      </dgm:t>
    </dgm:pt>
    <dgm:pt modelId="{3499517F-1884-446D-A76D-45F8E857FACA}">
      <dgm:prSet custT="1"/>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r>
            <a:rPr lang="en-US" sz="500" kern="1200">
              <a:solidFill>
                <a:sysClr val="window" lastClr="FFFFFF"/>
              </a:solidFill>
              <a:latin typeface="Lato"/>
              <a:ea typeface="+mn-ea"/>
              <a:cs typeface="+mn-cs"/>
            </a:rPr>
            <a:t>Greatgaunt</a:t>
          </a:r>
        </a:p>
      </dgm:t>
    </dgm:pt>
    <dgm:pt modelId="{844276F5-192D-4A16-91F3-47A6C6A9690F}" type="parTrans" cxnId="{023B7D4F-4C90-48A6-A4AA-6AD508181C19}">
      <dgm:prSet/>
      <dgm:spPr/>
      <dgm:t>
        <a:bodyPr/>
        <a:lstStyle/>
        <a:p>
          <a:endParaRPr lang="ru-RU"/>
        </a:p>
      </dgm:t>
    </dgm:pt>
    <dgm:pt modelId="{CE68AC63-E24F-40F1-8D9A-5932A99E73B7}" type="sibTrans" cxnId="{023B7D4F-4C90-48A6-A4AA-6AD508181C19}">
      <dgm:prSet/>
      <dgm:spPr/>
      <dgm:t>
        <a:bodyPr/>
        <a:lstStyle/>
        <a:p>
          <a:endParaRPr lang="ru-RU"/>
        </a:p>
      </dgm:t>
    </dgm:pt>
    <dgm:pt modelId="{1A569E30-937F-4904-88CA-1C8DD51AF791}">
      <dgm:prSet custT="1"/>
      <dgm:spPr>
        <a:solidFill>
          <a:srgbClr val="7030A0">
            <a:alpha val="50000"/>
          </a:srgbClr>
        </a:solidFill>
        <a:ln w="25400" cmpd="dbl"/>
      </dgm:spPr>
      <dgm:t>
        <a:bodyPr/>
        <a:lstStyle/>
        <a:p>
          <a:r>
            <a:rPr lang="en-US" sz="800" b="1" i="0">
              <a:solidFill>
                <a:schemeClr val="tx1"/>
              </a:solidFill>
            </a:rPr>
            <a:t>Wheelon</a:t>
          </a:r>
          <a:endParaRPr lang="ru-RU" sz="800" b="1" i="0">
            <a:solidFill>
              <a:schemeClr val="tx1"/>
            </a:solidFill>
          </a:endParaRPr>
        </a:p>
      </dgm:t>
    </dgm:pt>
    <dgm:pt modelId="{BF97EDE8-7F5D-4A67-9088-84427FCF0EBB}" type="parTrans" cxnId="{B6A07EB4-93A4-4CBA-885F-2515AB574A7A}">
      <dgm:prSet/>
      <dgm:spPr/>
      <dgm:t>
        <a:bodyPr/>
        <a:lstStyle/>
        <a:p>
          <a:endParaRPr lang="ru-RU"/>
        </a:p>
      </dgm:t>
    </dgm:pt>
    <dgm:pt modelId="{D65C5FFC-551E-4462-83B0-3004D251CAE6}" type="sibTrans" cxnId="{B6A07EB4-93A4-4CBA-885F-2515AB574A7A}">
      <dgm:prSet/>
      <dgm:spPr/>
      <dgm:t>
        <a:bodyPr/>
        <a:lstStyle/>
        <a:p>
          <a:r>
            <a:rPr lang="en-US" b="0" i="0" u="none"/>
            <a:t>Oversword</a:t>
          </a:r>
          <a:endParaRPr lang="ru-RU"/>
        </a:p>
      </dgm:t>
    </dgm:pt>
    <dgm:pt modelId="{769C65BC-A8BD-4DCC-BE4D-60D934746620}">
      <dgm:prSet/>
      <dgm:spPr/>
      <dgm:t>
        <a:bodyPr/>
        <a:lstStyle/>
        <a:p>
          <a:r>
            <a:rPr lang="en-US" b="0" i="1"/>
            <a:t>Juniril</a:t>
          </a:r>
          <a:endParaRPr lang="en-US"/>
        </a:p>
      </dgm:t>
    </dgm:pt>
    <dgm:pt modelId="{3C574F4D-298E-4306-9B11-DCEDC5F7E73F}" type="parTrans" cxnId="{9EAE3269-26D8-4DC7-878B-F92BD7D94B05}">
      <dgm:prSet/>
      <dgm:spPr/>
      <dgm:t>
        <a:bodyPr/>
        <a:lstStyle/>
        <a:p>
          <a:endParaRPr lang="ru-RU"/>
        </a:p>
      </dgm:t>
    </dgm:pt>
    <dgm:pt modelId="{F9831A34-5F5B-429C-8FEB-29DCE8D427C6}" type="sibTrans" cxnId="{9EAE3269-26D8-4DC7-878B-F92BD7D94B05}">
      <dgm:prSet/>
      <dgm:spPr/>
      <dgm:t>
        <a:bodyPr/>
        <a:lstStyle/>
        <a:p>
          <a:endParaRPr lang="ru-RU"/>
        </a:p>
      </dgm:t>
    </dgm:pt>
    <dgm:pt modelId="{EDDD2953-7192-4A21-8C8D-2D068F8C3333}">
      <dgm:prSet/>
      <dgm:spPr/>
      <dgm:t>
        <a:bodyPr/>
        <a:lstStyle/>
        <a:p>
          <a:r>
            <a:rPr lang="en-US" b="0" i="1"/>
            <a:t>Hultail</a:t>
          </a:r>
          <a:endParaRPr lang="en-US"/>
        </a:p>
      </dgm:t>
    </dgm:pt>
    <dgm:pt modelId="{87774D7B-42AC-4832-8762-24360B4FABFF}" type="parTrans" cxnId="{A3889BED-57E6-4190-947E-FD4233E169B0}">
      <dgm:prSet/>
      <dgm:spPr/>
      <dgm:t>
        <a:bodyPr/>
        <a:lstStyle/>
        <a:p>
          <a:endParaRPr lang="ru-RU"/>
        </a:p>
      </dgm:t>
    </dgm:pt>
    <dgm:pt modelId="{2330FBD9-58D9-405B-AFA1-3D360C274410}" type="sibTrans" cxnId="{A3889BED-57E6-4190-947E-FD4233E169B0}">
      <dgm:prSet/>
      <dgm:spPr/>
      <dgm:t>
        <a:bodyPr/>
        <a:lstStyle/>
        <a:p>
          <a:endParaRPr lang="ru-RU"/>
        </a:p>
      </dgm:t>
    </dgm:pt>
    <dgm:pt modelId="{F93F2BB2-C1A3-4CA8-A9B9-7E0A9D0F9E7D}">
      <dgm:prSet/>
      <dgm:spPr/>
      <dgm:t>
        <a:bodyPr/>
        <a:lstStyle/>
        <a:p>
          <a:r>
            <a:rPr lang="en-US" b="0" i="1"/>
            <a:t>Ghars</a:t>
          </a:r>
          <a:endParaRPr lang="en-US"/>
        </a:p>
      </dgm:t>
    </dgm:pt>
    <dgm:pt modelId="{C40722F0-6B71-4053-B9C1-5E2A846EA065}" type="parTrans" cxnId="{E57E52CD-755B-47E6-81C0-5C2B7456FFA4}">
      <dgm:prSet/>
      <dgm:spPr/>
      <dgm:t>
        <a:bodyPr/>
        <a:lstStyle/>
        <a:p>
          <a:endParaRPr lang="ru-RU"/>
        </a:p>
      </dgm:t>
    </dgm:pt>
    <dgm:pt modelId="{48BF7844-A879-4A10-B55A-69E12A705B7F}" type="sibTrans" cxnId="{E57E52CD-755B-47E6-81C0-5C2B7456FFA4}">
      <dgm:prSet/>
      <dgm:spPr/>
      <dgm:t>
        <a:bodyPr/>
        <a:lstStyle/>
        <a:p>
          <a:endParaRPr lang="ru-RU"/>
        </a:p>
      </dgm:t>
    </dgm:pt>
    <dgm:pt modelId="{40A61076-DA91-47A8-A767-A7751DD3A9B8}">
      <dgm:prSet/>
      <dgm:spPr/>
      <dgm:t>
        <a:bodyPr/>
        <a:lstStyle/>
        <a:p>
          <a:r>
            <a:rPr lang="en-US" b="0" i="1"/>
            <a:t>Battlerise</a:t>
          </a:r>
          <a:endParaRPr lang="en-US"/>
        </a:p>
      </dgm:t>
    </dgm:pt>
    <dgm:pt modelId="{878346E3-8C64-42ED-816A-B1CE4FF74420}" type="parTrans" cxnId="{C52A88C6-11D7-4767-8AA9-2A48B80A7951}">
      <dgm:prSet/>
      <dgm:spPr/>
      <dgm:t>
        <a:bodyPr/>
        <a:lstStyle/>
        <a:p>
          <a:endParaRPr lang="ru-RU"/>
        </a:p>
      </dgm:t>
    </dgm:pt>
    <dgm:pt modelId="{A0CFFAF7-74B4-4EF7-8C40-C999341A4B00}" type="sibTrans" cxnId="{C52A88C6-11D7-4767-8AA9-2A48B80A7951}">
      <dgm:prSet/>
      <dgm:spPr/>
      <dgm:t>
        <a:bodyPr/>
        <a:lstStyle/>
        <a:p>
          <a:endParaRPr lang="ru-RU"/>
        </a:p>
      </dgm:t>
    </dgm:pt>
    <dgm:pt modelId="{E58525F7-6FD9-448A-8404-8A7098194956}">
      <dgm:prSet/>
      <dgm:spPr/>
      <dgm:t>
        <a:bodyPr/>
        <a:lstStyle/>
        <a:p>
          <a:r>
            <a:rPr lang="en-US" b="0" i="1"/>
            <a:t>Kirinwood</a:t>
          </a:r>
          <a:endParaRPr lang="en-US"/>
        </a:p>
      </dgm:t>
    </dgm:pt>
    <dgm:pt modelId="{C00E2169-7733-4DB3-88A6-B7EC5C74D57D}" type="parTrans" cxnId="{61788351-86B5-49F3-BB2E-D46217FA47A4}">
      <dgm:prSet/>
      <dgm:spPr/>
      <dgm:t>
        <a:bodyPr/>
        <a:lstStyle/>
        <a:p>
          <a:endParaRPr lang="ru-RU"/>
        </a:p>
      </dgm:t>
    </dgm:pt>
    <dgm:pt modelId="{E68BC0A1-C719-42FD-A03A-FE50D1259EA9}" type="sibTrans" cxnId="{61788351-86B5-49F3-BB2E-D46217FA47A4}">
      <dgm:prSet/>
      <dgm:spPr/>
      <dgm:t>
        <a:bodyPr/>
        <a:lstStyle/>
        <a:p>
          <a:endParaRPr lang="ru-RU"/>
        </a:p>
      </dgm:t>
    </dgm:pt>
    <dgm:pt modelId="{E65936DD-2EA5-4C01-8DDD-2793F70DD698}">
      <dgm:prSet phldrT="[Текст]"/>
      <dgm:spPr>
        <a:solidFill>
          <a:schemeClr val="tx1"/>
        </a:solidFill>
        <a:ln>
          <a:solidFill>
            <a:srgbClr val="FFC000"/>
          </a:solidFill>
        </a:ln>
      </dgm:spPr>
      <dgm:t>
        <a:bodyPr/>
        <a:lstStyle/>
        <a:p>
          <a:r>
            <a:rPr lang="en-US"/>
            <a:t>Eveningstar</a:t>
          </a:r>
        </a:p>
      </dgm:t>
    </dgm:pt>
    <dgm:pt modelId="{811F77D1-0FA2-4871-B581-A3DB297EA1F1}" type="parTrans" cxnId="{24B07724-D0CD-40BF-9AA4-8154D5F0DF49}">
      <dgm:prSet/>
      <dgm:spPr/>
      <dgm:t>
        <a:bodyPr/>
        <a:lstStyle/>
        <a:p>
          <a:endParaRPr lang="ru-RU"/>
        </a:p>
      </dgm:t>
    </dgm:pt>
    <dgm:pt modelId="{4D1F11C4-FE3B-4C06-876C-AA578B9E64B3}" type="sibTrans" cxnId="{24B07724-D0CD-40BF-9AA4-8154D5F0DF49}">
      <dgm:prSet/>
      <dgm:spPr/>
      <dgm:t>
        <a:bodyPr/>
        <a:lstStyle/>
        <a:p>
          <a:endParaRPr lang="ru-RU"/>
        </a:p>
      </dgm:t>
    </dgm:pt>
    <dgm:pt modelId="{F44DB52C-8216-4AB7-8A08-EDE71151C600}">
      <dgm:prSet/>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r>
            <a:rPr lang="en-US"/>
            <a:t>New Tilverton</a:t>
          </a:r>
          <a:endParaRPr lang="ru-RU"/>
        </a:p>
      </dgm:t>
    </dgm:pt>
    <dgm:pt modelId="{6A36C91A-8256-4E5E-91AA-5BE09BE686C0}" type="parTrans" cxnId="{1C6462EE-32C8-4D37-A349-EC7E395BAAB1}">
      <dgm:prSet/>
      <dgm:spPr/>
      <dgm:t>
        <a:bodyPr/>
        <a:lstStyle/>
        <a:p>
          <a:endParaRPr lang="ru-RU"/>
        </a:p>
      </dgm:t>
    </dgm:pt>
    <dgm:pt modelId="{FD7DE710-B3DD-4A7F-BB5A-B020114BC0B3}" type="sibTrans" cxnId="{1C6462EE-32C8-4D37-A349-EC7E395BAAB1}">
      <dgm:prSet/>
      <dgm:spPr/>
      <dgm:t>
        <a:bodyPr/>
        <a:lstStyle/>
        <a:p>
          <a:r>
            <a:rPr lang="en-US" b="0" i="0" u="none"/>
            <a:t>Constal</a:t>
          </a:r>
          <a:endParaRPr lang="ru-RU"/>
        </a:p>
      </dgm:t>
    </dgm:pt>
    <dgm:pt modelId="{4BB13FE6-09AB-4F08-8FB5-EEE94E7D9F9A}">
      <dgm:prSet custT="1"/>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Dawngleam</a:t>
          </a:r>
        </a:p>
      </dgm:t>
    </dgm:pt>
    <dgm:pt modelId="{BE9EEB54-5108-4DF6-9420-722A70404B8A}" type="parTrans" cxnId="{CB7352CC-AA74-410E-9CA7-A84597F30A51}">
      <dgm:prSet/>
      <dgm:spPr/>
      <dgm:t>
        <a:bodyPr/>
        <a:lstStyle/>
        <a:p>
          <a:endParaRPr lang="ru-RU"/>
        </a:p>
      </dgm:t>
    </dgm:pt>
    <dgm:pt modelId="{0FAAD344-FB39-4FD9-87CB-6A8FB1C378C6}" type="sibTrans" cxnId="{CB7352CC-AA74-410E-9CA7-A84597F30A51}">
      <dgm:prSet/>
      <dgm:spPr/>
      <dgm:t>
        <a:bodyPr/>
        <a:lstStyle/>
        <a:p>
          <a:r>
            <a:rPr lang="en-US" b="0" i="0" u="none"/>
            <a:t>Constal</a:t>
          </a:r>
          <a:endParaRPr lang="ru-RU"/>
        </a:p>
      </dgm:t>
    </dgm:pt>
    <dgm:pt modelId="{C990A5E1-ADA8-4E1D-9EE1-88224A00A357}">
      <dgm:prSet custT="1"/>
      <dgm:spPr>
        <a:solidFill>
          <a:srgbClr val="002060"/>
        </a:solidFill>
        <a:ln w="25400" cap="flat" cmpd="dbl" algn="ctr">
          <a:solidFill>
            <a:srgbClr val="FF0000"/>
          </a:solidFill>
          <a:prstDash val="solid"/>
        </a:ln>
        <a:effectLst/>
      </dgm:spPr>
      <dgm:t>
        <a:bodyPr spcFirstLastPara="0" vert="horz" wrap="square" lIns="5080" tIns="5080" rIns="5080" bIns="39021" numCol="1" spcCol="1270" anchor="ctr" anchorCtr="0"/>
        <a:lstStyle/>
        <a:p>
          <a:pPr marL="0" lvl="0" indent="0" algn="ctr" defTabSz="355600">
            <a:lnSpc>
              <a:spcPct val="90000"/>
            </a:lnSpc>
            <a:spcBef>
              <a:spcPct val="0"/>
            </a:spcBef>
            <a:spcAft>
              <a:spcPct val="35000"/>
            </a:spcAft>
            <a:buNone/>
          </a:pPr>
          <a:r>
            <a:rPr lang="en-US" sz="800" b="1" i="0" kern="1200">
              <a:solidFill>
                <a:sysClr val="window" lastClr="FFFFFF"/>
              </a:solidFill>
              <a:latin typeface="Lato"/>
              <a:ea typeface="+mn-ea"/>
              <a:cs typeface="+mn-cs"/>
            </a:rPr>
            <a:t>Expedition Forces</a:t>
          </a:r>
          <a:endParaRPr lang="ru-RU" sz="800" b="1" i="0" kern="1200">
            <a:solidFill>
              <a:sysClr val="window" lastClr="FFFFFF"/>
            </a:solidFill>
            <a:latin typeface="Lato"/>
            <a:ea typeface="+mn-ea"/>
            <a:cs typeface="+mn-cs"/>
          </a:endParaRPr>
        </a:p>
      </dgm:t>
    </dgm:pt>
    <dgm:pt modelId="{8F1E54FB-763A-4D00-B340-10FABD126BE3}" type="parTrans" cxnId="{D15D56B1-3A82-4931-BD09-FDC5C7911FE5}">
      <dgm:prSet/>
      <dgm:spPr/>
      <dgm:t>
        <a:bodyPr/>
        <a:lstStyle/>
        <a:p>
          <a:endParaRPr lang="ru-RU"/>
        </a:p>
      </dgm:t>
    </dgm:pt>
    <dgm:pt modelId="{A661F650-C3F7-49EB-97C4-9122D343AD35}" type="sibTrans" cxnId="{D15D56B1-3A82-4931-BD09-FDC5C7911FE5}">
      <dgm:prSet/>
      <dgm:spPr>
        <a:noFill/>
        <a:ln>
          <a:noFill/>
        </a:ln>
      </dgm:spPr>
      <dgm:t>
        <a:bodyPr/>
        <a:lstStyle/>
        <a:p>
          <a:endParaRPr lang="ru-RU"/>
        </a:p>
      </dgm:t>
    </dgm:pt>
    <dgm:pt modelId="{FDE8042C-5979-4EAC-8E41-15DC67849914}">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36941" numCol="1" spcCol="1270" anchor="ctr" anchorCtr="0"/>
        <a:lstStyle/>
        <a:p>
          <a:r>
            <a:rPr lang="en-US" sz="800" b="1" i="0" kern="1200">
              <a:solidFill>
                <a:sysClr val="windowText" lastClr="000000"/>
              </a:solidFill>
              <a:latin typeface="Lato"/>
              <a:ea typeface="+mn-ea"/>
              <a:cs typeface="+mn-cs"/>
            </a:rPr>
            <a:t>Daerlun</a:t>
          </a:r>
          <a:endParaRPr lang="ru-RU" sz="800" b="1" i="0" kern="1200">
            <a:solidFill>
              <a:sysClr val="windowText" lastClr="000000"/>
            </a:solidFill>
            <a:latin typeface="Lato"/>
            <a:ea typeface="+mn-ea"/>
            <a:cs typeface="+mn-cs"/>
          </a:endParaRPr>
        </a:p>
      </dgm:t>
    </dgm:pt>
    <dgm:pt modelId="{62B2C482-59FD-429F-B493-E7418F1BF531}" type="parTrans" cxnId="{DAF45327-3A59-46DA-897D-DD0658DE3897}">
      <dgm:prSet/>
      <dgm:spPr/>
      <dgm:t>
        <a:bodyPr/>
        <a:lstStyle/>
        <a:p>
          <a:endParaRPr lang="ru-RU"/>
        </a:p>
      </dgm:t>
    </dgm:pt>
    <dgm:pt modelId="{6333AB40-5EA7-4C3C-BCAA-627C20828F04}" type="sibTrans" cxnId="{DAF45327-3A59-46DA-897D-DD0658DE3897}">
      <dgm:prSet/>
      <dgm:spPr/>
      <dgm:t>
        <a:bodyPr/>
        <a:lstStyle/>
        <a:p>
          <a:r>
            <a:rPr lang="en-US" b="0" i="0" u="none"/>
            <a:t>Oversword</a:t>
          </a:r>
          <a:endParaRPr lang="ru-RU"/>
        </a:p>
      </dgm:t>
    </dgm:pt>
    <dgm:pt modelId="{F2D48815-EC77-46DE-BD8E-911F964F021C}">
      <dgm:prSet custT="1"/>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r>
            <a:rPr lang="en-US" sz="500" kern="1200">
              <a:solidFill>
                <a:sysClr val="window" lastClr="FFFFFF"/>
              </a:solidFill>
              <a:latin typeface="Lato"/>
              <a:ea typeface="+mn-ea"/>
              <a:cs typeface="+mn-cs"/>
            </a:rPr>
            <a:t>Urlamspyr</a:t>
          </a:r>
          <a:endParaRPr lang="ru-RU" sz="500" kern="1200">
            <a:solidFill>
              <a:sysClr val="window" lastClr="FFFFFF"/>
            </a:solidFill>
            <a:latin typeface="Lato"/>
            <a:ea typeface="+mn-ea"/>
            <a:cs typeface="+mn-cs"/>
          </a:endParaRPr>
        </a:p>
      </dgm:t>
    </dgm:pt>
    <dgm:pt modelId="{3B60A87F-9AFA-40CA-A39F-71D0FA6A1D8C}" type="parTrans" cxnId="{7B023C23-6725-4780-BE50-2631B95F1F71}">
      <dgm:prSet/>
      <dgm:spPr/>
      <dgm:t>
        <a:bodyPr/>
        <a:lstStyle/>
        <a:p>
          <a:endParaRPr lang="ru-RU"/>
        </a:p>
      </dgm:t>
    </dgm:pt>
    <dgm:pt modelId="{6978B3C3-05A8-44CF-B16B-FEEACF8AD8BB}" type="sibTrans" cxnId="{7B023C23-6725-4780-BE50-2631B95F1F71}">
      <dgm:prSet/>
      <dgm:spPr/>
      <dgm:t>
        <a:bodyPr/>
        <a:lstStyle/>
        <a:p>
          <a:r>
            <a:rPr lang="en-US"/>
            <a:t>Constal</a:t>
          </a:r>
        </a:p>
      </dgm:t>
    </dgm:pt>
    <dgm:pt modelId="{5AE57848-827A-47E1-92D1-F08088ED49E3}">
      <dgm:prSet custT="1"/>
      <dgm:spPr>
        <a:solidFill>
          <a:srgbClr val="002060"/>
        </a:solidFill>
        <a:ln w="25400" cap="flat" cmpd="dbl" algn="ctr">
          <a:solidFill>
            <a:srgbClr val="FF0000"/>
          </a:solidFill>
          <a:prstDash val="solid"/>
        </a:ln>
        <a:effectLst/>
      </dgm:spPr>
      <dgm:t>
        <a:bodyPr spcFirstLastPara="0" vert="horz" wrap="square" lIns="5080" tIns="5080" rIns="5080" bIns="39021" numCol="1" spcCol="1270" anchor="ctr" anchorCtr="0"/>
        <a:lstStyle/>
        <a:p>
          <a:pPr marL="0" lvl="0" indent="0" algn="ctr" defTabSz="355600">
            <a:lnSpc>
              <a:spcPct val="90000"/>
            </a:lnSpc>
            <a:spcBef>
              <a:spcPct val="0"/>
            </a:spcBef>
            <a:spcAft>
              <a:spcPct val="35000"/>
            </a:spcAft>
            <a:buNone/>
          </a:pPr>
          <a:r>
            <a:rPr lang="en-US" sz="800" b="1" i="0" kern="1200">
              <a:solidFill>
                <a:sysClr val="window" lastClr="FFFFFF"/>
              </a:solidFill>
              <a:latin typeface="Lato"/>
              <a:ea typeface="+mn-ea"/>
              <a:cs typeface="+mn-cs"/>
            </a:rPr>
            <a:t>Special Forces</a:t>
          </a:r>
          <a:endParaRPr lang="ru-RU" sz="800" b="1" i="0" kern="1200">
            <a:solidFill>
              <a:sysClr val="window" lastClr="FFFFFF"/>
            </a:solidFill>
            <a:latin typeface="Lato"/>
            <a:ea typeface="+mn-ea"/>
            <a:cs typeface="+mn-cs"/>
          </a:endParaRPr>
        </a:p>
      </dgm:t>
    </dgm:pt>
    <dgm:pt modelId="{CAFFD85F-239E-47F4-8282-72AFDA52238F}" type="parTrans" cxnId="{6F374A27-8FF5-4263-A35F-65A1543540E2}">
      <dgm:prSet/>
      <dgm:spPr/>
      <dgm:t>
        <a:bodyPr/>
        <a:lstStyle/>
        <a:p>
          <a:endParaRPr lang="ru-RU"/>
        </a:p>
      </dgm:t>
    </dgm:pt>
    <dgm:pt modelId="{927765AA-5996-4F37-B8DA-B28AF943E558}" type="sibTrans" cxnId="{6F374A27-8FF5-4263-A35F-65A1543540E2}">
      <dgm:prSet/>
      <dgm:spPr>
        <a:noFill/>
        <a:ln>
          <a:noFill/>
        </a:ln>
      </dgm:spPr>
      <dgm:t>
        <a:bodyPr/>
        <a:lstStyle/>
        <a:p>
          <a:endParaRPr lang="ru-RU"/>
        </a:p>
      </dgm:t>
    </dgm:pt>
    <dgm:pt modelId="{875E5923-6B98-48CB-841C-0469D62FE199}">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36941" numCol="1" spcCol="1270" anchor="ctr" anchorCtr="0"/>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Royal Corps of Monster Hunters</a:t>
          </a:r>
          <a:endParaRPr lang="ru-RU" sz="800" b="1" i="0" kern="1200">
            <a:solidFill>
              <a:sysClr val="windowText" lastClr="000000"/>
            </a:solidFill>
            <a:latin typeface="Lato"/>
            <a:ea typeface="+mn-ea"/>
            <a:cs typeface="+mn-cs"/>
          </a:endParaRPr>
        </a:p>
      </dgm:t>
    </dgm:pt>
    <dgm:pt modelId="{C8E795B2-1818-4506-B346-FB160528F26B}" type="parTrans" cxnId="{F534E2DB-C0AB-4CEE-A9E8-29EA015CEC5B}">
      <dgm:prSet/>
      <dgm:spPr/>
      <dgm:t>
        <a:bodyPr/>
        <a:lstStyle/>
        <a:p>
          <a:endParaRPr lang="ru-RU"/>
        </a:p>
      </dgm:t>
    </dgm:pt>
    <dgm:pt modelId="{FF664ECD-3B41-40FA-BEE6-9157643F9A38}" type="sibTrans" cxnId="{F534E2DB-C0AB-4CEE-A9E8-29EA015CEC5B}">
      <dgm:prSet/>
      <dgm:spPr/>
      <dgm:t>
        <a:bodyPr/>
        <a:lstStyle/>
        <a:p>
          <a:endParaRPr lang="ru-RU"/>
        </a:p>
      </dgm:t>
    </dgm:pt>
    <dgm:pt modelId="{8CB44A18-F070-4EA8-BFEF-521BF9AC6FBF}">
      <dgm:prSet custT="1"/>
      <dgm:spPr>
        <a:solidFill>
          <a:sysClr val="windowText" lastClr="000000"/>
        </a:solidFill>
        <a:ln w="12700" cap="flat" cmpd="sng" algn="ctr">
          <a:solidFill>
            <a:srgbClr val="FFC000"/>
          </a:solidFill>
          <a:prstDash val="solid"/>
        </a:ln>
        <a:effectLst/>
      </dgm:spPr>
      <dgm:t>
        <a:bodyPr spcFirstLastPara="0" vert="horz" wrap="square" lIns="3175" tIns="3175" rIns="3175" bIns="39021" numCol="1" spcCol="1270" anchor="ctr" anchorCtr="0"/>
        <a:lstStyle/>
        <a:p>
          <a:r>
            <a:rPr lang="en-US" sz="500" b="1" i="0" kern="1200">
              <a:solidFill>
                <a:srgbClr val="FF0000"/>
              </a:solidFill>
            </a:rPr>
            <a:t>Thunderstone</a:t>
          </a:r>
          <a:endParaRPr lang="en-US" sz="500" kern="1200"/>
        </a:p>
      </dgm:t>
    </dgm:pt>
    <dgm:pt modelId="{1BDBDEE5-8FD0-4519-8E36-6B102EC2F701}" type="parTrans" cxnId="{85511A77-7AFA-4870-B5EA-B7301F7291C5}">
      <dgm:prSet/>
      <dgm:spPr/>
      <dgm:t>
        <a:bodyPr/>
        <a:lstStyle/>
        <a:p>
          <a:endParaRPr lang="ru-RU"/>
        </a:p>
      </dgm:t>
    </dgm:pt>
    <dgm:pt modelId="{8AD43FC2-3E73-4E26-9DA7-79665BCBAF83}" type="sibTrans" cxnId="{85511A77-7AFA-4870-B5EA-B7301F7291C5}">
      <dgm:prSet/>
      <dgm:spPr/>
      <dgm:t>
        <a:bodyPr/>
        <a:lstStyle/>
        <a:p>
          <a:endParaRPr lang="ru-RU"/>
        </a:p>
      </dgm:t>
    </dgm:pt>
    <dgm:pt modelId="{41B3A5C5-B0D3-4EFE-87E5-5FE88455A34B}">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45591" numCol="1" spcCol="1270" anchor="ctr" anchorCtr="0"/>
        <a:lstStyle/>
        <a:p>
          <a:r>
            <a:rPr lang="en-US" sz="800" b="1" i="0" kern="1200">
              <a:solidFill>
                <a:sysClr val="windowText" lastClr="000000"/>
              </a:solidFill>
              <a:latin typeface="Lato"/>
              <a:ea typeface="+mn-ea"/>
              <a:cs typeface="+mn-cs"/>
            </a:rPr>
            <a:t>Greatgaunt</a:t>
          </a:r>
          <a:endParaRPr lang="ru-RU" sz="800" b="1" i="0" kern="1200">
            <a:solidFill>
              <a:sysClr val="windowText" lastClr="000000"/>
            </a:solidFill>
            <a:latin typeface="Lato"/>
            <a:ea typeface="+mn-ea"/>
            <a:cs typeface="+mn-cs"/>
          </a:endParaRPr>
        </a:p>
      </dgm:t>
    </dgm:pt>
    <dgm:pt modelId="{2198CE2D-C983-4452-9369-60BE5DD26279}" type="parTrans" cxnId="{B4CFA2D7-FBB7-4232-8C6A-7DFB758CF1C9}">
      <dgm:prSet/>
      <dgm:spPr/>
      <dgm:t>
        <a:bodyPr/>
        <a:lstStyle/>
        <a:p>
          <a:endParaRPr lang="ru-RU"/>
        </a:p>
      </dgm:t>
    </dgm:pt>
    <dgm:pt modelId="{28A932F8-E948-4EA9-B4D3-92CB0CF0F16B}" type="sibTrans" cxnId="{B4CFA2D7-FBB7-4232-8C6A-7DFB758CF1C9}">
      <dgm:prSet/>
      <dgm:spPr/>
      <dgm:t>
        <a:bodyPr/>
        <a:lstStyle/>
        <a:p>
          <a:endParaRPr lang="ru-RU"/>
        </a:p>
      </dgm:t>
    </dgm:pt>
    <dgm:pt modelId="{744C0E84-0471-4E3B-BBEE-7990758CABB7}">
      <dgm:prSet custT="1"/>
      <dgm:spPr>
        <a:solidFill>
          <a:srgbClr val="7030A0">
            <a:alpha val="50000"/>
          </a:srgbClr>
        </a:solidFill>
        <a:ln w="25400" cap="flat" cmpd="dbl" algn="ctr">
          <a:solidFill>
            <a:scrgbClr r="0" g="0" b="0"/>
          </a:solidFill>
          <a:prstDash val="solid"/>
        </a:ln>
        <a:effectLst/>
      </dgm:spPr>
      <dgm:t>
        <a:bodyPr spcFirstLastPara="0" vert="horz" wrap="square" lIns="5080" tIns="5080" rIns="5080" bIns="36941" numCol="1" spcCol="1270" anchor="ctr" anchorCtr="0"/>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Proskur</a:t>
          </a:r>
          <a:endParaRPr lang="ru-RU" sz="800" b="1" i="0" kern="1200">
            <a:solidFill>
              <a:sysClr val="windowText" lastClr="000000"/>
            </a:solidFill>
            <a:latin typeface="Lato"/>
            <a:ea typeface="+mn-ea"/>
            <a:cs typeface="+mn-cs"/>
          </a:endParaRPr>
        </a:p>
      </dgm:t>
    </dgm:pt>
    <dgm:pt modelId="{CE7A467F-0E17-47E5-B3F5-060D2DDA532A}" type="sibTrans" cxnId="{1CF7F750-AACB-4CBE-B678-F6F81F583786}">
      <dgm:prSet/>
      <dgm:spPr/>
      <dgm:t>
        <a:bodyPr/>
        <a:lstStyle/>
        <a:p>
          <a:r>
            <a:rPr lang="en-US" b="0" i="0" u="none"/>
            <a:t>Oversword</a:t>
          </a:r>
          <a:endParaRPr lang="ru-RU"/>
        </a:p>
      </dgm:t>
    </dgm:pt>
    <dgm:pt modelId="{3DEA0941-3EB7-4C39-9548-5A620900EC81}" type="parTrans" cxnId="{1CF7F750-AACB-4CBE-B678-F6F81F583786}">
      <dgm:prSet/>
      <dgm:spPr/>
      <dgm:t>
        <a:bodyPr/>
        <a:lstStyle/>
        <a:p>
          <a:endParaRPr lang="ru-RU"/>
        </a:p>
      </dgm:t>
    </dgm:pt>
    <dgm:pt modelId="{8C5B1473-5021-48AC-B977-AA217CBFFC7F}">
      <dgm:prSet/>
      <dgm:spPr/>
      <dgm:t>
        <a:bodyPr/>
        <a:lstStyle/>
        <a:p>
          <a:r>
            <a:rPr lang="en-US"/>
            <a:t>Teziir</a:t>
          </a:r>
          <a:endParaRPr lang="ru-RU"/>
        </a:p>
      </dgm:t>
    </dgm:pt>
    <dgm:pt modelId="{50187976-E2FD-4741-BA8B-DFB5A1C8B723}" type="parTrans" cxnId="{ABE23915-E6E4-4FBD-B820-04897CC6A9FB}">
      <dgm:prSet/>
      <dgm:spPr/>
      <dgm:t>
        <a:bodyPr/>
        <a:lstStyle/>
        <a:p>
          <a:endParaRPr lang="ru-RU"/>
        </a:p>
      </dgm:t>
    </dgm:pt>
    <dgm:pt modelId="{1BC1FADF-460D-4D8D-960E-CD5B3071A639}" type="sibTrans" cxnId="{ABE23915-E6E4-4FBD-B820-04897CC6A9FB}">
      <dgm:prSet/>
      <dgm:spPr/>
      <dgm:t>
        <a:bodyPr/>
        <a:lstStyle/>
        <a:p>
          <a:endParaRPr lang="ru-RU"/>
        </a:p>
      </dgm:t>
    </dgm:pt>
    <dgm:pt modelId="{6618142D-B9B6-4E16-8E82-FE8D284D36E2}">
      <dgm:prSet/>
      <dgm:spPr/>
      <dgm:t>
        <a:bodyPr/>
        <a:lstStyle/>
        <a:p>
          <a:r>
            <a:rPr lang="en-US"/>
            <a:t>Priapurl</a:t>
          </a:r>
          <a:endParaRPr lang="ru-RU"/>
        </a:p>
      </dgm:t>
    </dgm:pt>
    <dgm:pt modelId="{06C295B5-A5A7-43C6-9F85-E8690B8944BA}" type="parTrans" cxnId="{F2BF4A19-3B65-451B-A5E3-5664EB51F694}">
      <dgm:prSet/>
      <dgm:spPr/>
      <dgm:t>
        <a:bodyPr/>
        <a:lstStyle/>
        <a:p>
          <a:endParaRPr lang="ru-RU"/>
        </a:p>
      </dgm:t>
    </dgm:pt>
    <dgm:pt modelId="{A0358C33-22C3-4FCD-B6AA-08EC3B18FC1C}" type="sibTrans" cxnId="{F2BF4A19-3B65-451B-A5E3-5664EB51F694}">
      <dgm:prSet/>
      <dgm:spPr/>
      <dgm:t>
        <a:bodyPr/>
        <a:lstStyle/>
        <a:p>
          <a:endParaRPr lang="ru-RU"/>
        </a:p>
      </dgm:t>
    </dgm:pt>
    <dgm:pt modelId="{FCA95584-C290-4366-9667-7EBFECCE6578}" type="pres">
      <dgm:prSet presAssocID="{A3AB8EEE-B502-4238-A870-806967D81ED0}" presName="hierChild1" presStyleCnt="0">
        <dgm:presLayoutVars>
          <dgm:orgChart val="1"/>
          <dgm:chPref val="1"/>
          <dgm:dir/>
          <dgm:animOne val="branch"/>
          <dgm:animLvl val="lvl"/>
          <dgm:resizeHandles/>
        </dgm:presLayoutVars>
      </dgm:prSet>
      <dgm:spPr/>
    </dgm:pt>
    <dgm:pt modelId="{906B4734-EFAA-463B-A796-C9A7BB211290}" type="pres">
      <dgm:prSet presAssocID="{80394FA0-14FF-407E-AEF1-62F9B07D6AE5}" presName="hierRoot1" presStyleCnt="0">
        <dgm:presLayoutVars>
          <dgm:hierBranch val="init"/>
        </dgm:presLayoutVars>
      </dgm:prSet>
      <dgm:spPr/>
    </dgm:pt>
    <dgm:pt modelId="{CC2501C2-D14F-417E-BE63-CD5F717E0F59}" type="pres">
      <dgm:prSet presAssocID="{80394FA0-14FF-407E-AEF1-62F9B07D6AE5}" presName="rootComposite1" presStyleCnt="0"/>
      <dgm:spPr/>
    </dgm:pt>
    <dgm:pt modelId="{9CB627A4-2C01-467D-9E2F-FFFEA7E2E616}" type="pres">
      <dgm:prSet presAssocID="{80394FA0-14FF-407E-AEF1-62F9B07D6AE5}" presName="rootText1" presStyleLbl="node0" presStyleIdx="0" presStyleCnt="1" custScaleX="271284" custScaleY="146682">
        <dgm:presLayoutVars>
          <dgm:chMax/>
          <dgm:chPref val="3"/>
        </dgm:presLayoutVars>
      </dgm:prSet>
      <dgm:spPr>
        <a:prstGeom prst="flowChartPredefinedProcess">
          <a:avLst/>
        </a:prstGeom>
      </dgm:spPr>
    </dgm:pt>
    <dgm:pt modelId="{497F8702-6EA2-457B-A3A7-61F56827C5DD}" type="pres">
      <dgm:prSet presAssocID="{80394FA0-14FF-407E-AEF1-62F9B07D6AE5}" presName="titleText1" presStyleLbl="fgAcc0" presStyleIdx="0" presStyleCnt="1" custScaleX="247134" custScaleY="215123" custLinFactX="17395" custLinFactNeighborX="100000" custLinFactNeighborY="60832">
        <dgm:presLayoutVars>
          <dgm:chMax val="0"/>
          <dgm:chPref val="0"/>
        </dgm:presLayoutVars>
      </dgm:prSet>
      <dgm:spPr>
        <a:prstGeom prst="plaque">
          <a:avLst/>
        </a:prstGeom>
      </dgm:spPr>
    </dgm:pt>
    <dgm:pt modelId="{2FCF7492-5D7A-40B6-B34F-0E243A7756A9}" type="pres">
      <dgm:prSet presAssocID="{80394FA0-14FF-407E-AEF1-62F9B07D6AE5}" presName="rootConnector1" presStyleLbl="node1" presStyleIdx="0" presStyleCnt="48"/>
      <dgm:spPr/>
    </dgm:pt>
    <dgm:pt modelId="{C718AD6A-FDF4-4DFE-B639-235A92E0D1E5}" type="pres">
      <dgm:prSet presAssocID="{80394FA0-14FF-407E-AEF1-62F9B07D6AE5}" presName="hierChild2" presStyleCnt="0"/>
      <dgm:spPr/>
    </dgm:pt>
    <dgm:pt modelId="{FCD91427-577B-441A-8166-134B6937CF4D}" type="pres">
      <dgm:prSet presAssocID="{573650C1-FE34-4FCF-832A-E802D184AD30}" presName="Name37" presStyleLbl="parChTrans1D2" presStyleIdx="0" presStyleCnt="5"/>
      <dgm:spPr/>
    </dgm:pt>
    <dgm:pt modelId="{B259CDD6-BBBB-468C-8D15-DA13015CC27C}" type="pres">
      <dgm:prSet presAssocID="{47C39484-004A-4B1B-AFEB-A10AF893B4B7}" presName="hierRoot2" presStyleCnt="0">
        <dgm:presLayoutVars>
          <dgm:hierBranch val="init"/>
        </dgm:presLayoutVars>
      </dgm:prSet>
      <dgm:spPr/>
    </dgm:pt>
    <dgm:pt modelId="{25C6C877-07BB-4E58-9E7F-F360623E193C}" type="pres">
      <dgm:prSet presAssocID="{47C39484-004A-4B1B-AFEB-A10AF893B4B7}" presName="rootComposite" presStyleCnt="0"/>
      <dgm:spPr/>
    </dgm:pt>
    <dgm:pt modelId="{998ED5B5-C615-4F9E-8587-33B954BC6870}" type="pres">
      <dgm:prSet presAssocID="{47C39484-004A-4B1B-AFEB-A10AF893B4B7}" presName="rootText" presStyleLbl="node1" presStyleIdx="0" presStyleCnt="48" custScaleX="237066">
        <dgm:presLayoutVars>
          <dgm:chMax/>
          <dgm:chPref val="3"/>
        </dgm:presLayoutVars>
      </dgm:prSet>
      <dgm:spPr>
        <a:prstGeom prst="plaque">
          <a:avLst/>
        </a:prstGeom>
      </dgm:spPr>
    </dgm:pt>
    <dgm:pt modelId="{AB3696F1-3526-4C4D-924D-F80780FF4F0C}" type="pres">
      <dgm:prSet presAssocID="{47C39484-004A-4B1B-AFEB-A10AF893B4B7}" presName="titleText2" presStyleLbl="fgAcc1" presStyleIdx="0" presStyleCnt="48" custScaleX="195499" custScaleY="164582" custLinFactNeighborX="93399" custLinFactNeighborY="20874">
        <dgm:presLayoutVars>
          <dgm:chMax val="0"/>
          <dgm:chPref val="0"/>
        </dgm:presLayoutVars>
      </dgm:prSet>
      <dgm:spPr/>
    </dgm:pt>
    <dgm:pt modelId="{DBAB87C3-56C5-4735-9266-2E2EB7CB8D9A}" type="pres">
      <dgm:prSet presAssocID="{47C39484-004A-4B1B-AFEB-A10AF893B4B7}" presName="rootConnector" presStyleLbl="node2" presStyleIdx="0" presStyleCnt="0"/>
      <dgm:spPr/>
    </dgm:pt>
    <dgm:pt modelId="{8C26EA3C-4D37-4D8B-B26C-B92D36E7C656}" type="pres">
      <dgm:prSet presAssocID="{47C39484-004A-4B1B-AFEB-A10AF893B4B7}" presName="hierChild4" presStyleCnt="0"/>
      <dgm:spPr/>
    </dgm:pt>
    <dgm:pt modelId="{14E72DE9-77E0-4F43-9A65-A6DC12A9FBD5}" type="pres">
      <dgm:prSet presAssocID="{0700F839-9592-4E41-9B45-3DFC339D4E9C}" presName="Name37" presStyleLbl="parChTrans1D3" presStyleIdx="0" presStyleCnt="14"/>
      <dgm:spPr/>
    </dgm:pt>
    <dgm:pt modelId="{106D0C8F-16A6-4D26-A9AB-55503422760F}" type="pres">
      <dgm:prSet presAssocID="{7FB4D978-75F0-457D-88FA-4A078F33AEDF}" presName="hierRoot2" presStyleCnt="0">
        <dgm:presLayoutVars>
          <dgm:hierBranch val="hang"/>
        </dgm:presLayoutVars>
      </dgm:prSet>
      <dgm:spPr/>
    </dgm:pt>
    <dgm:pt modelId="{4062BA55-6A1A-45B9-BC1B-5EBDFC96A696}" type="pres">
      <dgm:prSet presAssocID="{7FB4D978-75F0-457D-88FA-4A078F33AEDF}" presName="rootComposite" presStyleCnt="0"/>
      <dgm:spPr/>
    </dgm:pt>
    <dgm:pt modelId="{EB0CFA4B-190D-468F-BA87-622AC9D67C24}" type="pres">
      <dgm:prSet presAssocID="{7FB4D978-75F0-457D-88FA-4A078F33AEDF}" presName="rootText" presStyleLbl="node1" presStyleIdx="1" presStyleCnt="48" custScaleX="167117">
        <dgm:presLayoutVars>
          <dgm:chMax/>
          <dgm:chPref val="3"/>
        </dgm:presLayoutVars>
      </dgm:prSet>
      <dgm:spPr>
        <a:prstGeom prst="plaque">
          <a:avLst/>
        </a:prstGeom>
      </dgm:spPr>
    </dgm:pt>
    <dgm:pt modelId="{FD2C1B63-12C7-44D5-B35D-2DC830D2B419}" type="pres">
      <dgm:prSet presAssocID="{7FB4D978-75F0-457D-88FA-4A078F33AEDF}" presName="titleText2" presStyleLbl="fgAcc1" presStyleIdx="1" presStyleCnt="48">
        <dgm:presLayoutVars>
          <dgm:chMax val="0"/>
          <dgm:chPref val="0"/>
        </dgm:presLayoutVars>
      </dgm:prSet>
      <dgm:spPr/>
    </dgm:pt>
    <dgm:pt modelId="{F74C3DC8-C63E-412B-ABEF-871CDA31BCFF}" type="pres">
      <dgm:prSet presAssocID="{7FB4D978-75F0-457D-88FA-4A078F33AEDF}" presName="rootConnector" presStyleLbl="node3" presStyleIdx="0" presStyleCnt="0"/>
      <dgm:spPr/>
    </dgm:pt>
    <dgm:pt modelId="{7835C65C-1263-4F3E-8D20-E822CA4296A8}" type="pres">
      <dgm:prSet presAssocID="{7FB4D978-75F0-457D-88FA-4A078F33AEDF}" presName="hierChild4" presStyleCnt="0"/>
      <dgm:spPr/>
    </dgm:pt>
    <dgm:pt modelId="{E6DC135A-6F27-4425-9A37-B7E67CEB6DB1}" type="pres">
      <dgm:prSet presAssocID="{BCDC6BB2-D5AD-4985-8CB2-4A846B30E98E}" presName="Name42" presStyleLbl="parChTrans1D4" presStyleIdx="0" presStyleCnt="29"/>
      <dgm:spPr/>
    </dgm:pt>
    <dgm:pt modelId="{9B4AAAFB-5E89-4F80-A540-38EF8A59C91E}" type="pres">
      <dgm:prSet presAssocID="{08DCC231-4CB5-4305-AB18-81EFFFD7E18E}" presName="hierRoot2" presStyleCnt="0">
        <dgm:presLayoutVars>
          <dgm:hierBranch val="init"/>
        </dgm:presLayoutVars>
      </dgm:prSet>
      <dgm:spPr/>
    </dgm:pt>
    <dgm:pt modelId="{F1268B51-0EBB-47AA-AEA1-84ABABB5BC1B}" type="pres">
      <dgm:prSet presAssocID="{08DCC231-4CB5-4305-AB18-81EFFFD7E18E}" presName="rootComposite" presStyleCnt="0"/>
      <dgm:spPr/>
    </dgm:pt>
    <dgm:pt modelId="{DEA1CC30-36FD-43BC-A88E-53406C1EF371}" type="pres">
      <dgm:prSet presAssocID="{08DCC231-4CB5-4305-AB18-81EFFFD7E18E}" presName="rootText" presStyleLbl="node1" presStyleIdx="2" presStyleCnt="48">
        <dgm:presLayoutVars>
          <dgm:chMax/>
          <dgm:chPref val="3"/>
        </dgm:presLayoutVars>
      </dgm:prSet>
      <dgm:spPr/>
    </dgm:pt>
    <dgm:pt modelId="{388E1053-73E6-4237-90F0-BBF595B7573C}" type="pres">
      <dgm:prSet presAssocID="{08DCC231-4CB5-4305-AB18-81EFFFD7E18E}" presName="titleText2" presStyleLbl="fgAcc1" presStyleIdx="2" presStyleCnt="48">
        <dgm:presLayoutVars>
          <dgm:chMax val="0"/>
          <dgm:chPref val="0"/>
        </dgm:presLayoutVars>
      </dgm:prSet>
      <dgm:spPr/>
    </dgm:pt>
    <dgm:pt modelId="{2CC094A4-FC30-4755-9A37-42497A83813E}" type="pres">
      <dgm:prSet presAssocID="{08DCC231-4CB5-4305-AB18-81EFFFD7E18E}" presName="rootConnector" presStyleLbl="node4" presStyleIdx="0" presStyleCnt="0"/>
      <dgm:spPr/>
    </dgm:pt>
    <dgm:pt modelId="{AE2DE5D9-B534-4DD8-B238-3B51E6C4937E}" type="pres">
      <dgm:prSet presAssocID="{08DCC231-4CB5-4305-AB18-81EFFFD7E18E}" presName="hierChild4" presStyleCnt="0"/>
      <dgm:spPr/>
    </dgm:pt>
    <dgm:pt modelId="{902B0D8B-4FF7-4CC5-8639-8184A0B85AC8}" type="pres">
      <dgm:prSet presAssocID="{08DCC231-4CB5-4305-AB18-81EFFFD7E18E}" presName="hierChild5" presStyleCnt="0"/>
      <dgm:spPr/>
    </dgm:pt>
    <dgm:pt modelId="{20E7F154-9C15-4CD6-BC79-681E2BD54E49}" type="pres">
      <dgm:prSet presAssocID="{CADEA7A0-E257-45C6-B8C1-0D19914B0F98}" presName="Name42" presStyleLbl="parChTrans1D4" presStyleIdx="1" presStyleCnt="29"/>
      <dgm:spPr/>
    </dgm:pt>
    <dgm:pt modelId="{3FC50FB5-1CA5-47C7-9448-9496CEEADA5B}" type="pres">
      <dgm:prSet presAssocID="{C63FB8A5-EF3F-4DC2-9111-14E814F65315}" presName="hierRoot2" presStyleCnt="0">
        <dgm:presLayoutVars>
          <dgm:hierBranch val="init"/>
        </dgm:presLayoutVars>
      </dgm:prSet>
      <dgm:spPr/>
    </dgm:pt>
    <dgm:pt modelId="{2F953524-D4DB-4C38-AB8A-D16B2B4F5A0D}" type="pres">
      <dgm:prSet presAssocID="{C63FB8A5-EF3F-4DC2-9111-14E814F65315}" presName="rootComposite" presStyleCnt="0"/>
      <dgm:spPr/>
    </dgm:pt>
    <dgm:pt modelId="{A98A12A0-375D-4106-ABCD-865408F0FABC}" type="pres">
      <dgm:prSet presAssocID="{C63FB8A5-EF3F-4DC2-9111-14E814F65315}" presName="rootText" presStyleLbl="node1" presStyleIdx="3" presStyleCnt="48">
        <dgm:presLayoutVars>
          <dgm:chMax/>
          <dgm:chPref val="3"/>
        </dgm:presLayoutVars>
      </dgm:prSet>
      <dgm:spPr/>
    </dgm:pt>
    <dgm:pt modelId="{AEBDC091-F9F7-462C-AE0C-3B1BA757064D}" type="pres">
      <dgm:prSet presAssocID="{C63FB8A5-EF3F-4DC2-9111-14E814F65315}" presName="titleText2" presStyleLbl="fgAcc1" presStyleIdx="3" presStyleCnt="48">
        <dgm:presLayoutVars>
          <dgm:chMax val="0"/>
          <dgm:chPref val="0"/>
        </dgm:presLayoutVars>
      </dgm:prSet>
      <dgm:spPr/>
    </dgm:pt>
    <dgm:pt modelId="{D73D8E52-94A4-44C0-9B44-4E3B72A7DFE9}" type="pres">
      <dgm:prSet presAssocID="{C63FB8A5-EF3F-4DC2-9111-14E814F65315}" presName="rootConnector" presStyleLbl="node4" presStyleIdx="0" presStyleCnt="0"/>
      <dgm:spPr/>
    </dgm:pt>
    <dgm:pt modelId="{9DD77825-40EA-4D41-A8FB-30A926C91B8E}" type="pres">
      <dgm:prSet presAssocID="{C63FB8A5-EF3F-4DC2-9111-14E814F65315}" presName="hierChild4" presStyleCnt="0"/>
      <dgm:spPr/>
    </dgm:pt>
    <dgm:pt modelId="{081D69EA-2C35-4468-8648-69A46A04DDDC}" type="pres">
      <dgm:prSet presAssocID="{C63FB8A5-EF3F-4DC2-9111-14E814F65315}" presName="hierChild5" presStyleCnt="0"/>
      <dgm:spPr/>
    </dgm:pt>
    <dgm:pt modelId="{EDD6DA7A-A100-4C22-9A9B-3DE29D7B3ACD}" type="pres">
      <dgm:prSet presAssocID="{5B03490E-07D1-47F1-8071-71644FDC566A}" presName="Name42" presStyleLbl="parChTrans1D4" presStyleIdx="2" presStyleCnt="29"/>
      <dgm:spPr/>
    </dgm:pt>
    <dgm:pt modelId="{24F5B1F8-5287-42C0-975C-39FE2E3B36E9}" type="pres">
      <dgm:prSet presAssocID="{92E884DA-13A5-4271-90BC-6968D19169D5}" presName="hierRoot2" presStyleCnt="0">
        <dgm:presLayoutVars>
          <dgm:hierBranch val="init"/>
        </dgm:presLayoutVars>
      </dgm:prSet>
      <dgm:spPr/>
    </dgm:pt>
    <dgm:pt modelId="{33EA0CBC-CE13-4142-8B92-2FF60B7663A9}" type="pres">
      <dgm:prSet presAssocID="{92E884DA-13A5-4271-90BC-6968D19169D5}" presName="rootComposite" presStyleCnt="0"/>
      <dgm:spPr/>
    </dgm:pt>
    <dgm:pt modelId="{3B334248-BAB9-42CA-9871-E261EB326B22}" type="pres">
      <dgm:prSet presAssocID="{92E884DA-13A5-4271-90BC-6968D19169D5}" presName="rootText" presStyleLbl="node1" presStyleIdx="4" presStyleCnt="48">
        <dgm:presLayoutVars>
          <dgm:chMax/>
          <dgm:chPref val="3"/>
        </dgm:presLayoutVars>
      </dgm:prSet>
      <dgm:spPr/>
    </dgm:pt>
    <dgm:pt modelId="{D2AFCE57-00AC-4173-BE7C-DED0062BD73A}" type="pres">
      <dgm:prSet presAssocID="{92E884DA-13A5-4271-90BC-6968D19169D5}" presName="titleText2" presStyleLbl="fgAcc1" presStyleIdx="4" presStyleCnt="48">
        <dgm:presLayoutVars>
          <dgm:chMax val="0"/>
          <dgm:chPref val="0"/>
        </dgm:presLayoutVars>
      </dgm:prSet>
      <dgm:spPr/>
    </dgm:pt>
    <dgm:pt modelId="{9845632A-96DB-4016-8EF3-6E9E9E37DDA4}" type="pres">
      <dgm:prSet presAssocID="{92E884DA-13A5-4271-90BC-6968D19169D5}" presName="rootConnector" presStyleLbl="node4" presStyleIdx="0" presStyleCnt="0"/>
      <dgm:spPr/>
    </dgm:pt>
    <dgm:pt modelId="{E9DEFBE3-3EB2-4A8F-8290-2BDDF75E9C95}" type="pres">
      <dgm:prSet presAssocID="{92E884DA-13A5-4271-90BC-6968D19169D5}" presName="hierChild4" presStyleCnt="0"/>
      <dgm:spPr/>
    </dgm:pt>
    <dgm:pt modelId="{44FE56F0-9D5D-48CF-9ABA-489992301492}" type="pres">
      <dgm:prSet presAssocID="{92E884DA-13A5-4271-90BC-6968D19169D5}" presName="hierChild5" presStyleCnt="0"/>
      <dgm:spPr/>
    </dgm:pt>
    <dgm:pt modelId="{7D5D5120-7A69-4946-89D1-F27086829D97}" type="pres">
      <dgm:prSet presAssocID="{E9DBF29B-09A5-4D79-8E4F-EB717D9379F5}" presName="Name42" presStyleLbl="parChTrans1D4" presStyleIdx="3" presStyleCnt="29"/>
      <dgm:spPr/>
    </dgm:pt>
    <dgm:pt modelId="{AACF44D8-8BC7-457C-8111-75E4B6B350B2}" type="pres">
      <dgm:prSet presAssocID="{B4D6A501-92B6-4566-9276-79841C5F5B3E}" presName="hierRoot2" presStyleCnt="0">
        <dgm:presLayoutVars>
          <dgm:hierBranch val="init"/>
        </dgm:presLayoutVars>
      </dgm:prSet>
      <dgm:spPr/>
    </dgm:pt>
    <dgm:pt modelId="{B0984738-EA56-4036-9002-98CDB0829B27}" type="pres">
      <dgm:prSet presAssocID="{B4D6A501-92B6-4566-9276-79841C5F5B3E}" presName="rootComposite" presStyleCnt="0"/>
      <dgm:spPr/>
    </dgm:pt>
    <dgm:pt modelId="{3D027C5F-090F-4E8F-AE5E-A815B0C02A94}" type="pres">
      <dgm:prSet presAssocID="{B4D6A501-92B6-4566-9276-79841C5F5B3E}" presName="rootText" presStyleLbl="node1" presStyleIdx="5" presStyleCnt="48">
        <dgm:presLayoutVars>
          <dgm:chMax/>
          <dgm:chPref val="3"/>
        </dgm:presLayoutVars>
      </dgm:prSet>
      <dgm:spPr/>
    </dgm:pt>
    <dgm:pt modelId="{54A59613-1B04-48F2-9981-764D08BC337A}" type="pres">
      <dgm:prSet presAssocID="{B4D6A501-92B6-4566-9276-79841C5F5B3E}" presName="titleText2" presStyleLbl="fgAcc1" presStyleIdx="5" presStyleCnt="48">
        <dgm:presLayoutVars>
          <dgm:chMax val="0"/>
          <dgm:chPref val="0"/>
        </dgm:presLayoutVars>
      </dgm:prSet>
      <dgm:spPr/>
    </dgm:pt>
    <dgm:pt modelId="{DC252E6D-89A2-4203-A634-555151787A5C}" type="pres">
      <dgm:prSet presAssocID="{B4D6A501-92B6-4566-9276-79841C5F5B3E}" presName="rootConnector" presStyleLbl="node4" presStyleIdx="0" presStyleCnt="0"/>
      <dgm:spPr/>
    </dgm:pt>
    <dgm:pt modelId="{ED8349DF-2CB7-4AE1-AEAF-B34F01029C95}" type="pres">
      <dgm:prSet presAssocID="{B4D6A501-92B6-4566-9276-79841C5F5B3E}" presName="hierChild4" presStyleCnt="0"/>
      <dgm:spPr/>
    </dgm:pt>
    <dgm:pt modelId="{1F2B96C7-9BE3-47D8-804A-045C2FD8F4A3}" type="pres">
      <dgm:prSet presAssocID="{B4D6A501-92B6-4566-9276-79841C5F5B3E}" presName="hierChild5" presStyleCnt="0"/>
      <dgm:spPr/>
    </dgm:pt>
    <dgm:pt modelId="{FB32740C-8DC2-426F-B031-E2272990E064}" type="pres">
      <dgm:prSet presAssocID="{57D7CE9D-0978-4AFB-B6D9-BCD3CA2229EB}" presName="Name42" presStyleLbl="parChTrans1D4" presStyleIdx="4" presStyleCnt="29"/>
      <dgm:spPr/>
    </dgm:pt>
    <dgm:pt modelId="{9CA23D89-DAAF-4D86-9890-061A9816ED15}" type="pres">
      <dgm:prSet presAssocID="{0A3F52A5-06F1-4B17-899C-850380DFFE2D}" presName="hierRoot2" presStyleCnt="0">
        <dgm:presLayoutVars>
          <dgm:hierBranch val="init"/>
        </dgm:presLayoutVars>
      </dgm:prSet>
      <dgm:spPr/>
    </dgm:pt>
    <dgm:pt modelId="{90422346-D0DB-467A-AED9-D45150A5D6B4}" type="pres">
      <dgm:prSet presAssocID="{0A3F52A5-06F1-4B17-899C-850380DFFE2D}" presName="rootComposite" presStyleCnt="0"/>
      <dgm:spPr/>
    </dgm:pt>
    <dgm:pt modelId="{8EE6926A-F0D8-4CB6-A2B6-C7034E7F9C30}" type="pres">
      <dgm:prSet presAssocID="{0A3F52A5-06F1-4B17-899C-850380DFFE2D}" presName="rootText" presStyleLbl="node1" presStyleIdx="6" presStyleCnt="48">
        <dgm:presLayoutVars>
          <dgm:chMax/>
          <dgm:chPref val="3"/>
        </dgm:presLayoutVars>
      </dgm:prSet>
      <dgm:spPr/>
    </dgm:pt>
    <dgm:pt modelId="{94955614-EFFB-4FA8-B43D-F911E9710223}" type="pres">
      <dgm:prSet presAssocID="{0A3F52A5-06F1-4B17-899C-850380DFFE2D}" presName="titleText2" presStyleLbl="fgAcc1" presStyleIdx="6" presStyleCnt="48">
        <dgm:presLayoutVars>
          <dgm:chMax val="0"/>
          <dgm:chPref val="0"/>
        </dgm:presLayoutVars>
      </dgm:prSet>
      <dgm:spPr/>
    </dgm:pt>
    <dgm:pt modelId="{922C23F8-042B-41D0-8EC4-E0E680AA567F}" type="pres">
      <dgm:prSet presAssocID="{0A3F52A5-06F1-4B17-899C-850380DFFE2D}" presName="rootConnector" presStyleLbl="node4" presStyleIdx="0" presStyleCnt="0"/>
      <dgm:spPr/>
    </dgm:pt>
    <dgm:pt modelId="{D51F6A4E-F15D-4B80-8C66-5DF6C798690C}" type="pres">
      <dgm:prSet presAssocID="{0A3F52A5-06F1-4B17-899C-850380DFFE2D}" presName="hierChild4" presStyleCnt="0"/>
      <dgm:spPr/>
    </dgm:pt>
    <dgm:pt modelId="{1543F621-295E-4ACE-A9D7-9CE1517E18CE}" type="pres">
      <dgm:prSet presAssocID="{0A3F52A5-06F1-4B17-899C-850380DFFE2D}" presName="hierChild5" presStyleCnt="0"/>
      <dgm:spPr/>
    </dgm:pt>
    <dgm:pt modelId="{43DFA466-0E33-4527-9089-6C6C2C5EFDF8}" type="pres">
      <dgm:prSet presAssocID="{BFCFC687-F71D-4DAB-8391-64397C85E2EE}" presName="Name42" presStyleLbl="parChTrans1D4" presStyleIdx="5" presStyleCnt="29"/>
      <dgm:spPr/>
    </dgm:pt>
    <dgm:pt modelId="{0DBC460E-C0EE-4CA3-9674-5E7845D213A4}" type="pres">
      <dgm:prSet presAssocID="{E320A9B7-6569-409D-A82B-C9F6BFD17056}" presName="hierRoot2" presStyleCnt="0">
        <dgm:presLayoutVars>
          <dgm:hierBranch val="init"/>
        </dgm:presLayoutVars>
      </dgm:prSet>
      <dgm:spPr/>
    </dgm:pt>
    <dgm:pt modelId="{92D6B303-6747-4360-B086-046852576FD9}" type="pres">
      <dgm:prSet presAssocID="{E320A9B7-6569-409D-A82B-C9F6BFD17056}" presName="rootComposite" presStyleCnt="0"/>
      <dgm:spPr/>
    </dgm:pt>
    <dgm:pt modelId="{0324913E-DF24-4789-B17A-5497E9E7E66D}" type="pres">
      <dgm:prSet presAssocID="{E320A9B7-6569-409D-A82B-C9F6BFD17056}" presName="rootText" presStyleLbl="node1" presStyleIdx="7" presStyleCnt="48">
        <dgm:presLayoutVars>
          <dgm:chMax/>
          <dgm:chPref val="3"/>
        </dgm:presLayoutVars>
      </dgm:prSet>
      <dgm:spPr>
        <a:xfrm>
          <a:off x="852578" y="3226658"/>
          <a:ext cx="534086" cy="276526"/>
        </a:xfrm>
        <a:prstGeom prst="rect">
          <a:avLst/>
        </a:prstGeom>
      </dgm:spPr>
    </dgm:pt>
    <dgm:pt modelId="{F0907E31-8957-458E-92D9-FCA15A43F1F2}" type="pres">
      <dgm:prSet presAssocID="{E320A9B7-6569-409D-A82B-C9F6BFD17056}" presName="titleText2" presStyleLbl="fgAcc1" presStyleIdx="7" presStyleCnt="48">
        <dgm:presLayoutVars>
          <dgm:chMax val="0"/>
          <dgm:chPref val="0"/>
        </dgm:presLayoutVars>
      </dgm:prSet>
      <dgm:spPr/>
    </dgm:pt>
    <dgm:pt modelId="{93FA6051-FADD-4579-9358-13C4D29000B6}" type="pres">
      <dgm:prSet presAssocID="{E320A9B7-6569-409D-A82B-C9F6BFD17056}" presName="rootConnector" presStyleLbl="node4" presStyleIdx="0" presStyleCnt="0"/>
      <dgm:spPr/>
    </dgm:pt>
    <dgm:pt modelId="{457EA18F-5933-4035-BAA4-356DAC17F9E6}" type="pres">
      <dgm:prSet presAssocID="{E320A9B7-6569-409D-A82B-C9F6BFD17056}" presName="hierChild4" presStyleCnt="0"/>
      <dgm:spPr/>
    </dgm:pt>
    <dgm:pt modelId="{DFEEC7D9-4CEA-4A28-B0EF-8559BDF1A6CE}" type="pres">
      <dgm:prSet presAssocID="{E320A9B7-6569-409D-A82B-C9F6BFD17056}" presName="hierChild5" presStyleCnt="0"/>
      <dgm:spPr/>
    </dgm:pt>
    <dgm:pt modelId="{85B92009-2DE0-41D1-89F9-862A29C03431}" type="pres">
      <dgm:prSet presAssocID="{F540E5BF-A929-44AD-837D-0ACB1AC173F6}" presName="Name42" presStyleLbl="parChTrans1D4" presStyleIdx="6" presStyleCnt="29"/>
      <dgm:spPr/>
    </dgm:pt>
    <dgm:pt modelId="{AB9C5514-5EB5-4DFF-BB9C-8F80E54A7F5F}" type="pres">
      <dgm:prSet presAssocID="{192A6EE5-E3DC-4471-9A0A-1E32D76EA79D}" presName="hierRoot2" presStyleCnt="0">
        <dgm:presLayoutVars>
          <dgm:hierBranch val="init"/>
        </dgm:presLayoutVars>
      </dgm:prSet>
      <dgm:spPr/>
    </dgm:pt>
    <dgm:pt modelId="{B59FFE32-A92C-4196-B714-7E7EDE1E0550}" type="pres">
      <dgm:prSet presAssocID="{192A6EE5-E3DC-4471-9A0A-1E32D76EA79D}" presName="rootComposite" presStyleCnt="0"/>
      <dgm:spPr/>
    </dgm:pt>
    <dgm:pt modelId="{5B16D9B2-2665-4969-A326-41045BB72F81}" type="pres">
      <dgm:prSet presAssocID="{192A6EE5-E3DC-4471-9A0A-1E32D76EA79D}" presName="rootText" presStyleLbl="node1" presStyleIdx="8" presStyleCnt="48">
        <dgm:presLayoutVars>
          <dgm:chMax/>
          <dgm:chPref val="3"/>
        </dgm:presLayoutVars>
      </dgm:prSet>
      <dgm:spPr/>
    </dgm:pt>
    <dgm:pt modelId="{C11BC66F-72F6-4BD9-93AE-C4B82F062BF0}" type="pres">
      <dgm:prSet presAssocID="{192A6EE5-E3DC-4471-9A0A-1E32D76EA79D}" presName="titleText2" presStyleLbl="fgAcc1" presStyleIdx="8" presStyleCnt="48">
        <dgm:presLayoutVars>
          <dgm:chMax val="0"/>
          <dgm:chPref val="0"/>
        </dgm:presLayoutVars>
      </dgm:prSet>
      <dgm:spPr/>
    </dgm:pt>
    <dgm:pt modelId="{BD16258B-4C8C-4A60-8962-EA6A5C5C8CDC}" type="pres">
      <dgm:prSet presAssocID="{192A6EE5-E3DC-4471-9A0A-1E32D76EA79D}" presName="rootConnector" presStyleLbl="node4" presStyleIdx="0" presStyleCnt="0"/>
      <dgm:spPr/>
    </dgm:pt>
    <dgm:pt modelId="{9B220D42-CA84-413C-B292-4B09E85D8443}" type="pres">
      <dgm:prSet presAssocID="{192A6EE5-E3DC-4471-9A0A-1E32D76EA79D}" presName="hierChild4" presStyleCnt="0"/>
      <dgm:spPr/>
    </dgm:pt>
    <dgm:pt modelId="{8D1F73FA-3A3D-4D84-A61F-2A583721BBE5}" type="pres">
      <dgm:prSet presAssocID="{192A6EE5-E3DC-4471-9A0A-1E32D76EA79D}" presName="hierChild5" presStyleCnt="0"/>
      <dgm:spPr/>
    </dgm:pt>
    <dgm:pt modelId="{D0328ED9-308E-4B30-B8DF-2D07A83A7C5A}" type="pres">
      <dgm:prSet presAssocID="{811F77D1-0FA2-4871-B581-A3DB297EA1F1}" presName="Name42" presStyleLbl="parChTrans1D4" presStyleIdx="7" presStyleCnt="29"/>
      <dgm:spPr/>
    </dgm:pt>
    <dgm:pt modelId="{5FE13490-0AF3-46A2-B46D-859E36BBE87B}" type="pres">
      <dgm:prSet presAssocID="{E65936DD-2EA5-4C01-8DDD-2793F70DD698}" presName="hierRoot2" presStyleCnt="0">
        <dgm:presLayoutVars>
          <dgm:hierBranch val="init"/>
        </dgm:presLayoutVars>
      </dgm:prSet>
      <dgm:spPr/>
    </dgm:pt>
    <dgm:pt modelId="{51C236CC-054D-4872-B7FB-1521D69B7B5D}" type="pres">
      <dgm:prSet presAssocID="{E65936DD-2EA5-4C01-8DDD-2793F70DD698}" presName="rootComposite" presStyleCnt="0"/>
      <dgm:spPr/>
    </dgm:pt>
    <dgm:pt modelId="{B2C068A0-EFBE-46E1-95F7-41BC31A04100}" type="pres">
      <dgm:prSet presAssocID="{E65936DD-2EA5-4C01-8DDD-2793F70DD698}" presName="rootText" presStyleLbl="node1" presStyleIdx="9" presStyleCnt="48" custScaleX="123910" custScaleY="101145">
        <dgm:presLayoutVars>
          <dgm:chMax/>
          <dgm:chPref val="3"/>
        </dgm:presLayoutVars>
      </dgm:prSet>
      <dgm:spPr>
        <a:prstGeom prst="plaque">
          <a:avLst/>
        </a:prstGeom>
      </dgm:spPr>
    </dgm:pt>
    <dgm:pt modelId="{286ACE62-2267-44E9-B567-168ED11E5C1E}" type="pres">
      <dgm:prSet presAssocID="{E65936DD-2EA5-4C01-8DDD-2793F70DD698}" presName="titleText2" presStyleLbl="fgAcc1" presStyleIdx="9" presStyleCnt="48">
        <dgm:presLayoutVars>
          <dgm:chMax val="0"/>
          <dgm:chPref val="0"/>
        </dgm:presLayoutVars>
      </dgm:prSet>
      <dgm:spPr/>
    </dgm:pt>
    <dgm:pt modelId="{AB41ED10-B5F0-4385-816B-939B1C5BEBCB}" type="pres">
      <dgm:prSet presAssocID="{E65936DD-2EA5-4C01-8DDD-2793F70DD698}" presName="rootConnector" presStyleLbl="node4" presStyleIdx="0" presStyleCnt="0"/>
      <dgm:spPr/>
    </dgm:pt>
    <dgm:pt modelId="{C388F2B2-116C-471D-A300-1A0F470508FF}" type="pres">
      <dgm:prSet presAssocID="{E65936DD-2EA5-4C01-8DDD-2793F70DD698}" presName="hierChild4" presStyleCnt="0"/>
      <dgm:spPr/>
    </dgm:pt>
    <dgm:pt modelId="{0D175FAF-1B36-4667-ACF0-EEB541A2D7D7}" type="pres">
      <dgm:prSet presAssocID="{E65936DD-2EA5-4C01-8DDD-2793F70DD698}" presName="hierChild5" presStyleCnt="0"/>
      <dgm:spPr/>
    </dgm:pt>
    <dgm:pt modelId="{9678BE81-3B11-4307-8FFC-145A0954A306}" type="pres">
      <dgm:prSet presAssocID="{7FB4D978-75F0-457D-88FA-4A078F33AEDF}" presName="hierChild5" presStyleCnt="0"/>
      <dgm:spPr/>
    </dgm:pt>
    <dgm:pt modelId="{34D1D79C-E9EC-4928-9D09-43BB4377704D}" type="pres">
      <dgm:prSet presAssocID="{E4319104-1B95-45B9-85D4-9B14C9DDA4E1}" presName="Name37" presStyleLbl="parChTrans1D3" presStyleIdx="1" presStyleCnt="14"/>
      <dgm:spPr/>
    </dgm:pt>
    <dgm:pt modelId="{B7162439-74C8-4C57-92E7-90B684979F0C}" type="pres">
      <dgm:prSet presAssocID="{356F1E70-7280-4D9A-98C3-6DF913ADC682}" presName="hierRoot2" presStyleCnt="0">
        <dgm:presLayoutVars>
          <dgm:hierBranch val="r"/>
        </dgm:presLayoutVars>
      </dgm:prSet>
      <dgm:spPr/>
    </dgm:pt>
    <dgm:pt modelId="{FCEA05BC-B71A-493D-B8C0-068CC08B97E3}" type="pres">
      <dgm:prSet presAssocID="{356F1E70-7280-4D9A-98C3-6DF913ADC682}" presName="rootComposite" presStyleCnt="0"/>
      <dgm:spPr/>
    </dgm:pt>
    <dgm:pt modelId="{B90A13A0-98BD-41B8-9100-A41547601D22}" type="pres">
      <dgm:prSet presAssocID="{356F1E70-7280-4D9A-98C3-6DF913ADC682}" presName="rootText" presStyleLbl="node1" presStyleIdx="10" presStyleCnt="48" custScaleX="167117">
        <dgm:presLayoutVars>
          <dgm:chMax/>
          <dgm:chPref val="3"/>
        </dgm:presLayoutVars>
      </dgm:prSet>
      <dgm:spPr>
        <a:prstGeom prst="plaque">
          <a:avLst/>
        </a:prstGeom>
      </dgm:spPr>
    </dgm:pt>
    <dgm:pt modelId="{848A0AD0-6DD4-43B2-936E-7528D55AD57C}" type="pres">
      <dgm:prSet presAssocID="{356F1E70-7280-4D9A-98C3-6DF913ADC682}" presName="titleText2" presStyleLbl="fgAcc1" presStyleIdx="10" presStyleCnt="48">
        <dgm:presLayoutVars>
          <dgm:chMax val="0"/>
          <dgm:chPref val="0"/>
        </dgm:presLayoutVars>
      </dgm:prSet>
      <dgm:spPr/>
    </dgm:pt>
    <dgm:pt modelId="{C875C8DA-11A4-449A-B836-A681C84AB297}" type="pres">
      <dgm:prSet presAssocID="{356F1E70-7280-4D9A-98C3-6DF913ADC682}" presName="rootConnector" presStyleLbl="node3" presStyleIdx="0" presStyleCnt="0"/>
      <dgm:spPr/>
    </dgm:pt>
    <dgm:pt modelId="{B4BEB3F6-C71C-4C48-B886-781CB924E6E2}" type="pres">
      <dgm:prSet presAssocID="{356F1E70-7280-4D9A-98C3-6DF913ADC682}" presName="hierChild4" presStyleCnt="0"/>
      <dgm:spPr/>
    </dgm:pt>
    <dgm:pt modelId="{E119D3AC-63DD-48A0-B22C-B15A76F98514}" type="pres">
      <dgm:prSet presAssocID="{64EC115C-FC49-41D7-83E4-51E5041683E1}" presName="Name44" presStyleLbl="parChTrans1D4" presStyleIdx="8" presStyleCnt="29"/>
      <dgm:spPr/>
    </dgm:pt>
    <dgm:pt modelId="{CA171CCC-ECD3-4DB7-97D4-440724D655DF}" type="pres">
      <dgm:prSet presAssocID="{79F40210-A64B-4E7E-AA0D-B96EC8AB1394}" presName="hierRoot2" presStyleCnt="0">
        <dgm:presLayoutVars>
          <dgm:hierBranch val="init"/>
        </dgm:presLayoutVars>
      </dgm:prSet>
      <dgm:spPr/>
    </dgm:pt>
    <dgm:pt modelId="{A7E81884-28E1-4944-BB45-2E362622D353}" type="pres">
      <dgm:prSet presAssocID="{79F40210-A64B-4E7E-AA0D-B96EC8AB1394}" presName="rootComposite" presStyleCnt="0"/>
      <dgm:spPr/>
    </dgm:pt>
    <dgm:pt modelId="{F4D0F44D-12FD-4BFA-8D70-F7C6F3908375}" type="pres">
      <dgm:prSet presAssocID="{79F40210-A64B-4E7E-AA0D-B96EC8AB1394}" presName="rootText" presStyleLbl="node1" presStyleIdx="11" presStyleCnt="48">
        <dgm:presLayoutVars>
          <dgm:chMax/>
          <dgm:chPref val="3"/>
        </dgm:presLayoutVars>
      </dgm:prSet>
      <dgm:spPr/>
    </dgm:pt>
    <dgm:pt modelId="{AA23DE0C-5E08-40CB-92E0-0904D54AA9FB}" type="pres">
      <dgm:prSet presAssocID="{79F40210-A64B-4E7E-AA0D-B96EC8AB1394}" presName="titleText2" presStyleLbl="fgAcc1" presStyleIdx="11" presStyleCnt="48">
        <dgm:presLayoutVars>
          <dgm:chMax val="0"/>
          <dgm:chPref val="0"/>
        </dgm:presLayoutVars>
      </dgm:prSet>
      <dgm:spPr/>
    </dgm:pt>
    <dgm:pt modelId="{1163A5E8-1064-42BC-8F10-316899942129}" type="pres">
      <dgm:prSet presAssocID="{79F40210-A64B-4E7E-AA0D-B96EC8AB1394}" presName="rootConnector" presStyleLbl="node4" presStyleIdx="0" presStyleCnt="0"/>
      <dgm:spPr/>
    </dgm:pt>
    <dgm:pt modelId="{3C31AE86-CACD-48F0-A7CE-F2E5453EFDB2}" type="pres">
      <dgm:prSet presAssocID="{79F40210-A64B-4E7E-AA0D-B96EC8AB1394}" presName="hierChild4" presStyleCnt="0"/>
      <dgm:spPr/>
    </dgm:pt>
    <dgm:pt modelId="{21C8776D-BAEE-4DCC-8C8A-03B309CB3DC1}" type="pres">
      <dgm:prSet presAssocID="{79F40210-A64B-4E7E-AA0D-B96EC8AB1394}" presName="hierChild5" presStyleCnt="0"/>
      <dgm:spPr/>
    </dgm:pt>
    <dgm:pt modelId="{96CDDB58-1BB9-4BE2-A1B8-7655683EDCCC}" type="pres">
      <dgm:prSet presAssocID="{D0B61793-02E4-46A1-B677-D618546E6B25}" presName="Name44" presStyleLbl="parChTrans1D4" presStyleIdx="9" presStyleCnt="29"/>
      <dgm:spPr/>
    </dgm:pt>
    <dgm:pt modelId="{9BE6CCFB-7956-4A6C-9BB7-D60551C0E742}" type="pres">
      <dgm:prSet presAssocID="{2F7ED289-7ECC-491C-9708-D022CAE1AEAE}" presName="hierRoot2" presStyleCnt="0">
        <dgm:presLayoutVars>
          <dgm:hierBranch val="init"/>
        </dgm:presLayoutVars>
      </dgm:prSet>
      <dgm:spPr/>
    </dgm:pt>
    <dgm:pt modelId="{F0EB6C0E-EFCE-4CC9-9280-99AB47351F9B}" type="pres">
      <dgm:prSet presAssocID="{2F7ED289-7ECC-491C-9708-D022CAE1AEAE}" presName="rootComposite" presStyleCnt="0"/>
      <dgm:spPr/>
    </dgm:pt>
    <dgm:pt modelId="{8C2E6AA0-A6B8-47F0-A74C-7096EE0D8B0C}" type="pres">
      <dgm:prSet presAssocID="{2F7ED289-7ECC-491C-9708-D022CAE1AEAE}" presName="rootText" presStyleLbl="node1" presStyleIdx="12" presStyleCnt="48">
        <dgm:presLayoutVars>
          <dgm:chMax/>
          <dgm:chPref val="3"/>
        </dgm:presLayoutVars>
      </dgm:prSet>
      <dgm:spPr/>
    </dgm:pt>
    <dgm:pt modelId="{A0971A63-0F7A-4CC9-BA3B-5D4436355018}" type="pres">
      <dgm:prSet presAssocID="{2F7ED289-7ECC-491C-9708-D022CAE1AEAE}" presName="titleText2" presStyleLbl="fgAcc1" presStyleIdx="12" presStyleCnt="48">
        <dgm:presLayoutVars>
          <dgm:chMax val="0"/>
          <dgm:chPref val="0"/>
        </dgm:presLayoutVars>
      </dgm:prSet>
      <dgm:spPr/>
    </dgm:pt>
    <dgm:pt modelId="{611AD4AE-829E-4DE8-A322-86F9B6F40668}" type="pres">
      <dgm:prSet presAssocID="{2F7ED289-7ECC-491C-9708-D022CAE1AEAE}" presName="rootConnector" presStyleLbl="node4" presStyleIdx="0" presStyleCnt="0"/>
      <dgm:spPr/>
    </dgm:pt>
    <dgm:pt modelId="{3DFE77D3-23E3-4E5B-A415-86C5041FA6C4}" type="pres">
      <dgm:prSet presAssocID="{2F7ED289-7ECC-491C-9708-D022CAE1AEAE}" presName="hierChild4" presStyleCnt="0"/>
      <dgm:spPr/>
    </dgm:pt>
    <dgm:pt modelId="{924FA005-450E-4A34-B6FD-D11B14C9E01B}" type="pres">
      <dgm:prSet presAssocID="{2F7ED289-7ECC-491C-9708-D022CAE1AEAE}" presName="hierChild5" presStyleCnt="0"/>
      <dgm:spPr/>
    </dgm:pt>
    <dgm:pt modelId="{42A42D91-ED5F-47F4-98B3-6CD3C724CB23}" type="pres">
      <dgm:prSet presAssocID="{1E2C769F-3062-46DA-8D46-94B6834F4EC8}" presName="Name44" presStyleLbl="parChTrans1D4" presStyleIdx="10" presStyleCnt="29"/>
      <dgm:spPr/>
    </dgm:pt>
    <dgm:pt modelId="{257E0715-91E8-44F4-944F-BF8043BE81DB}" type="pres">
      <dgm:prSet presAssocID="{9C069160-229B-4581-8576-3A89D6D94A25}" presName="hierRoot2" presStyleCnt="0">
        <dgm:presLayoutVars>
          <dgm:hierBranch val="init"/>
        </dgm:presLayoutVars>
      </dgm:prSet>
      <dgm:spPr/>
    </dgm:pt>
    <dgm:pt modelId="{5E5F7880-DA8A-447E-BFA2-C66A1960843A}" type="pres">
      <dgm:prSet presAssocID="{9C069160-229B-4581-8576-3A89D6D94A25}" presName="rootComposite" presStyleCnt="0"/>
      <dgm:spPr/>
    </dgm:pt>
    <dgm:pt modelId="{B9EC0917-8520-4865-ACE6-E26CFF0775A3}" type="pres">
      <dgm:prSet presAssocID="{9C069160-229B-4581-8576-3A89D6D94A25}" presName="rootText" presStyleLbl="node1" presStyleIdx="13" presStyleCnt="48">
        <dgm:presLayoutVars>
          <dgm:chMax/>
          <dgm:chPref val="3"/>
        </dgm:presLayoutVars>
      </dgm:prSet>
      <dgm:spPr/>
    </dgm:pt>
    <dgm:pt modelId="{A6DCDDFB-87E5-490F-8079-086A0A43A36B}" type="pres">
      <dgm:prSet presAssocID="{9C069160-229B-4581-8576-3A89D6D94A25}" presName="titleText2" presStyleLbl="fgAcc1" presStyleIdx="13" presStyleCnt="48">
        <dgm:presLayoutVars>
          <dgm:chMax val="0"/>
          <dgm:chPref val="0"/>
        </dgm:presLayoutVars>
      </dgm:prSet>
      <dgm:spPr/>
    </dgm:pt>
    <dgm:pt modelId="{C0219AED-3916-4724-B93A-E3D8F6BAD413}" type="pres">
      <dgm:prSet presAssocID="{9C069160-229B-4581-8576-3A89D6D94A25}" presName="rootConnector" presStyleLbl="node4" presStyleIdx="0" presStyleCnt="0"/>
      <dgm:spPr/>
    </dgm:pt>
    <dgm:pt modelId="{51C5FFB9-72D0-49A8-8912-AE166ED10856}" type="pres">
      <dgm:prSet presAssocID="{9C069160-229B-4581-8576-3A89D6D94A25}" presName="hierChild4" presStyleCnt="0"/>
      <dgm:spPr/>
    </dgm:pt>
    <dgm:pt modelId="{06415EB3-19F7-4657-A4D5-518DF9B7B192}" type="pres">
      <dgm:prSet presAssocID="{9C069160-229B-4581-8576-3A89D6D94A25}" presName="hierChild5" presStyleCnt="0"/>
      <dgm:spPr/>
    </dgm:pt>
    <dgm:pt modelId="{650BE601-FBEC-496B-AD8A-53851EFF9CDB}" type="pres">
      <dgm:prSet presAssocID="{356F1E70-7280-4D9A-98C3-6DF913ADC682}" presName="hierChild5" presStyleCnt="0"/>
      <dgm:spPr/>
    </dgm:pt>
    <dgm:pt modelId="{904D1964-9FA3-418A-9AA2-39CF8D327E59}" type="pres">
      <dgm:prSet presAssocID="{877DA76B-5E9E-49DB-BF23-7B0B0214CBE5}" presName="Name37" presStyleLbl="parChTrans1D3" presStyleIdx="2" presStyleCnt="14"/>
      <dgm:spPr/>
    </dgm:pt>
    <dgm:pt modelId="{6AF5F0DD-7FAC-4645-A07F-F79CCF12865E}" type="pres">
      <dgm:prSet presAssocID="{54A7C8D6-8980-4203-933A-A6ABB9311ED9}" presName="hierRoot2" presStyleCnt="0">
        <dgm:presLayoutVars>
          <dgm:hierBranch val="init"/>
        </dgm:presLayoutVars>
      </dgm:prSet>
      <dgm:spPr/>
    </dgm:pt>
    <dgm:pt modelId="{C4CAE05B-9180-4392-80B4-84CBC5B50E8C}" type="pres">
      <dgm:prSet presAssocID="{54A7C8D6-8980-4203-933A-A6ABB9311ED9}" presName="rootComposite" presStyleCnt="0"/>
      <dgm:spPr/>
    </dgm:pt>
    <dgm:pt modelId="{E8494AC8-C34C-4266-B228-2586A503492E}" type="pres">
      <dgm:prSet presAssocID="{54A7C8D6-8980-4203-933A-A6ABB9311ED9}" presName="rootText" presStyleLbl="node1" presStyleIdx="14" presStyleCnt="48" custLinFactNeighborX="-2604">
        <dgm:presLayoutVars>
          <dgm:chMax/>
          <dgm:chPref val="3"/>
        </dgm:presLayoutVars>
      </dgm:prSet>
      <dgm:spPr>
        <a:xfrm>
          <a:off x="2760163" y="1772623"/>
          <a:ext cx="624017" cy="323088"/>
        </a:xfrm>
        <a:prstGeom prst="rect">
          <a:avLst/>
        </a:prstGeom>
      </dgm:spPr>
    </dgm:pt>
    <dgm:pt modelId="{6A15F474-B874-4116-9C30-7BEC48E608D4}" type="pres">
      <dgm:prSet presAssocID="{54A7C8D6-8980-4203-933A-A6ABB9311ED9}" presName="titleText2" presStyleLbl="fgAcc1" presStyleIdx="14" presStyleCnt="48">
        <dgm:presLayoutVars>
          <dgm:chMax val="0"/>
          <dgm:chPref val="0"/>
        </dgm:presLayoutVars>
      </dgm:prSet>
      <dgm:spPr/>
    </dgm:pt>
    <dgm:pt modelId="{9C50F357-F33A-4F12-BB5B-EE1A4B94BE75}" type="pres">
      <dgm:prSet presAssocID="{54A7C8D6-8980-4203-933A-A6ABB9311ED9}" presName="rootConnector" presStyleLbl="node3" presStyleIdx="0" presStyleCnt="0"/>
      <dgm:spPr/>
    </dgm:pt>
    <dgm:pt modelId="{E54BBD25-C8C2-4BEA-B718-B62489530ED4}" type="pres">
      <dgm:prSet presAssocID="{54A7C8D6-8980-4203-933A-A6ABB9311ED9}" presName="hierChild4" presStyleCnt="0"/>
      <dgm:spPr/>
    </dgm:pt>
    <dgm:pt modelId="{A169BE2D-AC1B-4E1E-82B3-332B63F8DA99}" type="pres">
      <dgm:prSet presAssocID="{6EAE49A9-A3EF-4AA2-8DBC-884F8CB98652}" presName="Name37" presStyleLbl="parChTrans1D4" presStyleIdx="11" presStyleCnt="29"/>
      <dgm:spPr/>
    </dgm:pt>
    <dgm:pt modelId="{10B0C6FC-ABEE-4928-AA8A-ADC128BAD45B}" type="pres">
      <dgm:prSet presAssocID="{1BFF86D9-5F2A-42D6-A1C2-8D7358A082E0}" presName="hierRoot2" presStyleCnt="0">
        <dgm:presLayoutVars>
          <dgm:hierBranch val="init"/>
        </dgm:presLayoutVars>
      </dgm:prSet>
      <dgm:spPr/>
    </dgm:pt>
    <dgm:pt modelId="{26E0A02E-403F-4EF4-8ECB-5D8D7BCCF49F}" type="pres">
      <dgm:prSet presAssocID="{1BFF86D9-5F2A-42D6-A1C2-8D7358A082E0}" presName="rootComposite" presStyleCnt="0"/>
      <dgm:spPr/>
    </dgm:pt>
    <dgm:pt modelId="{0FD57CB8-FF3E-4DB9-BA9D-377D67E7AC78}" type="pres">
      <dgm:prSet presAssocID="{1BFF86D9-5F2A-42D6-A1C2-8D7358A082E0}" presName="rootText" presStyleLbl="node1" presStyleIdx="15" presStyleCnt="48" custLinFactNeighborX="-2232">
        <dgm:presLayoutVars>
          <dgm:chMax/>
          <dgm:chPref val="3"/>
        </dgm:presLayoutVars>
      </dgm:prSet>
      <dgm:spPr/>
    </dgm:pt>
    <dgm:pt modelId="{1B96B8DA-0116-493D-8BEC-AF9251C326B3}" type="pres">
      <dgm:prSet presAssocID="{1BFF86D9-5F2A-42D6-A1C2-8D7358A082E0}" presName="titleText2" presStyleLbl="fgAcc1" presStyleIdx="15" presStyleCnt="48">
        <dgm:presLayoutVars>
          <dgm:chMax val="0"/>
          <dgm:chPref val="0"/>
        </dgm:presLayoutVars>
      </dgm:prSet>
      <dgm:spPr/>
    </dgm:pt>
    <dgm:pt modelId="{BD58068E-9D3C-4C6C-9B00-CF6C76773429}" type="pres">
      <dgm:prSet presAssocID="{1BFF86D9-5F2A-42D6-A1C2-8D7358A082E0}" presName="rootConnector" presStyleLbl="node4" presStyleIdx="0" presStyleCnt="0"/>
      <dgm:spPr/>
    </dgm:pt>
    <dgm:pt modelId="{41FBD8BE-21B4-4A87-AB9A-FDD4E73A32C6}" type="pres">
      <dgm:prSet presAssocID="{1BFF86D9-5F2A-42D6-A1C2-8D7358A082E0}" presName="hierChild4" presStyleCnt="0"/>
      <dgm:spPr/>
    </dgm:pt>
    <dgm:pt modelId="{D0A53C4A-C6A0-4549-A5AB-02E3449B8889}" type="pres">
      <dgm:prSet presAssocID="{1BFF86D9-5F2A-42D6-A1C2-8D7358A082E0}" presName="hierChild5" presStyleCnt="0"/>
      <dgm:spPr/>
    </dgm:pt>
    <dgm:pt modelId="{C4F7239D-B6B8-464D-BFF8-F4AD42E39789}" type="pres">
      <dgm:prSet presAssocID="{54A7C8D6-8980-4203-933A-A6ABB9311ED9}" presName="hierChild5" presStyleCnt="0"/>
      <dgm:spPr/>
    </dgm:pt>
    <dgm:pt modelId="{70E8B616-AD92-4349-8733-351E10EB9BC5}" type="pres">
      <dgm:prSet presAssocID="{47C39484-004A-4B1B-AFEB-A10AF893B4B7}" presName="hierChild5" presStyleCnt="0"/>
      <dgm:spPr/>
    </dgm:pt>
    <dgm:pt modelId="{409FAE65-7840-485F-9390-5501F77F21C2}" type="pres">
      <dgm:prSet presAssocID="{37A0232B-06A5-4602-B064-5FBB228E3823}" presName="Name37" presStyleLbl="parChTrans1D2" presStyleIdx="1" presStyleCnt="5"/>
      <dgm:spPr/>
    </dgm:pt>
    <dgm:pt modelId="{EE25A5A0-CA0E-4918-958D-6D45745F2B3D}" type="pres">
      <dgm:prSet presAssocID="{942C8DEC-C1B1-42FB-9194-9B7EB1AE53EE}" presName="hierRoot2" presStyleCnt="0">
        <dgm:presLayoutVars>
          <dgm:hierBranch val="hang"/>
        </dgm:presLayoutVars>
      </dgm:prSet>
      <dgm:spPr/>
    </dgm:pt>
    <dgm:pt modelId="{65BD3730-F021-4E1E-B22E-E059C008CD70}" type="pres">
      <dgm:prSet presAssocID="{942C8DEC-C1B1-42FB-9194-9B7EB1AE53EE}" presName="rootComposite" presStyleCnt="0"/>
      <dgm:spPr/>
    </dgm:pt>
    <dgm:pt modelId="{80341BDE-F995-4D7F-8487-8233CAEF1DEE}" type="pres">
      <dgm:prSet presAssocID="{942C8DEC-C1B1-42FB-9194-9B7EB1AE53EE}" presName="rootText" presStyleLbl="node1" presStyleIdx="16" presStyleCnt="48" custScaleX="237066">
        <dgm:presLayoutVars>
          <dgm:chMax/>
          <dgm:chPref val="3"/>
        </dgm:presLayoutVars>
      </dgm:prSet>
      <dgm:spPr>
        <a:prstGeom prst="plaque">
          <a:avLst/>
        </a:prstGeom>
      </dgm:spPr>
    </dgm:pt>
    <dgm:pt modelId="{DAA10A89-274A-46C3-823E-AE3B00B8A417}" type="pres">
      <dgm:prSet presAssocID="{942C8DEC-C1B1-42FB-9194-9B7EB1AE53EE}" presName="titleText2" presStyleLbl="fgAcc1" presStyleIdx="16" presStyleCnt="48" custScaleX="227989" custScaleY="231821" custLinFactX="14748" custLinFactNeighborX="100000" custLinFactNeighborY="55663">
        <dgm:presLayoutVars>
          <dgm:chMax val="0"/>
          <dgm:chPref val="0"/>
        </dgm:presLayoutVars>
      </dgm:prSet>
      <dgm:spPr/>
    </dgm:pt>
    <dgm:pt modelId="{FDA6F419-CBB2-4A3C-9F73-C993B51EE192}" type="pres">
      <dgm:prSet presAssocID="{942C8DEC-C1B1-42FB-9194-9B7EB1AE53EE}" presName="rootConnector" presStyleLbl="node2" presStyleIdx="0" presStyleCnt="0"/>
      <dgm:spPr/>
    </dgm:pt>
    <dgm:pt modelId="{117AAFEB-46A0-4A49-B20E-63C14F3254F2}" type="pres">
      <dgm:prSet presAssocID="{942C8DEC-C1B1-42FB-9194-9B7EB1AE53EE}" presName="hierChild4" presStyleCnt="0"/>
      <dgm:spPr/>
    </dgm:pt>
    <dgm:pt modelId="{CF4BBD4A-08BA-4925-8C99-6C66F75D79E7}" type="pres">
      <dgm:prSet presAssocID="{92CB946F-71D1-4C7D-9400-3446CBF271F8}" presName="Name42" presStyleLbl="parChTrans1D3" presStyleIdx="3" presStyleCnt="14"/>
      <dgm:spPr/>
    </dgm:pt>
    <dgm:pt modelId="{148A54C8-F792-4050-95D2-7AEBA733399D}" type="pres">
      <dgm:prSet presAssocID="{859BA693-07BB-4A81-93C9-BE4A6808C33D}" presName="hierRoot2" presStyleCnt="0">
        <dgm:presLayoutVars>
          <dgm:hierBranch val="init"/>
        </dgm:presLayoutVars>
      </dgm:prSet>
      <dgm:spPr/>
    </dgm:pt>
    <dgm:pt modelId="{9801DD3B-F879-4D19-AD8E-E2F858628D06}" type="pres">
      <dgm:prSet presAssocID="{859BA693-07BB-4A81-93C9-BE4A6808C33D}" presName="rootComposite" presStyleCnt="0"/>
      <dgm:spPr/>
    </dgm:pt>
    <dgm:pt modelId="{FEDAC8C2-250E-4B32-8532-855473263F13}" type="pres">
      <dgm:prSet presAssocID="{859BA693-07BB-4A81-93C9-BE4A6808C33D}" presName="rootText" presStyleLbl="node1" presStyleIdx="17" presStyleCnt="48" custLinFactX="2118" custLinFactNeighborX="100000" custLinFactNeighborY="2348">
        <dgm:presLayoutVars>
          <dgm:chMax/>
          <dgm:chPref val="3"/>
        </dgm:presLayoutVars>
      </dgm:prSet>
      <dgm:spPr>
        <a:xfrm>
          <a:off x="3613606" y="1808830"/>
          <a:ext cx="624017" cy="323088"/>
        </a:xfrm>
        <a:prstGeom prst="rect">
          <a:avLst/>
        </a:prstGeom>
      </dgm:spPr>
    </dgm:pt>
    <dgm:pt modelId="{656E15EF-04E1-41C4-A0E2-A1CAADE791E4}" type="pres">
      <dgm:prSet presAssocID="{859BA693-07BB-4A81-93C9-BE4A6808C33D}" presName="titleText2" presStyleLbl="fgAcc1" presStyleIdx="17" presStyleCnt="48">
        <dgm:presLayoutVars>
          <dgm:chMax val="0"/>
          <dgm:chPref val="0"/>
        </dgm:presLayoutVars>
      </dgm:prSet>
      <dgm:spPr/>
    </dgm:pt>
    <dgm:pt modelId="{B94BEE16-363A-445D-A414-05E48962F259}" type="pres">
      <dgm:prSet presAssocID="{859BA693-07BB-4A81-93C9-BE4A6808C33D}" presName="rootConnector" presStyleLbl="node3" presStyleIdx="0" presStyleCnt="0"/>
      <dgm:spPr/>
    </dgm:pt>
    <dgm:pt modelId="{0C2F04B1-1204-4B56-AB54-61E6F56E9AA7}" type="pres">
      <dgm:prSet presAssocID="{859BA693-07BB-4A81-93C9-BE4A6808C33D}" presName="hierChild4" presStyleCnt="0"/>
      <dgm:spPr/>
    </dgm:pt>
    <dgm:pt modelId="{E40D165E-71E7-49EF-BFA4-8DD890CC24CB}" type="pres">
      <dgm:prSet presAssocID="{859BA693-07BB-4A81-93C9-BE4A6808C33D}" presName="hierChild5" presStyleCnt="0"/>
      <dgm:spPr/>
    </dgm:pt>
    <dgm:pt modelId="{021DD6D6-FCEC-41D9-B348-B74C8086787F}" type="pres">
      <dgm:prSet presAssocID="{9F157D24-A5D1-4619-B1CE-207AD8F53CD5}" presName="Name42" presStyleLbl="parChTrans1D3" presStyleIdx="4" presStyleCnt="14"/>
      <dgm:spPr/>
    </dgm:pt>
    <dgm:pt modelId="{294C15F9-83B6-442D-8CAB-7CEA552C6C53}" type="pres">
      <dgm:prSet presAssocID="{58195434-CC28-4171-98DC-064A9A9C5BBC}" presName="hierRoot2" presStyleCnt="0">
        <dgm:presLayoutVars>
          <dgm:hierBranch val="init"/>
        </dgm:presLayoutVars>
      </dgm:prSet>
      <dgm:spPr/>
    </dgm:pt>
    <dgm:pt modelId="{2CB66ADA-EDFB-4B3A-A4E8-D9C6281E60B9}" type="pres">
      <dgm:prSet presAssocID="{58195434-CC28-4171-98DC-064A9A9C5BBC}" presName="rootComposite" presStyleCnt="0"/>
      <dgm:spPr/>
    </dgm:pt>
    <dgm:pt modelId="{D5B37A4F-EF58-45F4-8276-218AE53A3C6F}" type="pres">
      <dgm:prSet presAssocID="{58195434-CC28-4171-98DC-064A9A9C5BBC}" presName="rootText" presStyleLbl="node1" presStyleIdx="18" presStyleCnt="48" custScaleX="183571" custScaleY="115516">
        <dgm:presLayoutVars>
          <dgm:chMax/>
          <dgm:chPref val="3"/>
        </dgm:presLayoutVars>
      </dgm:prSet>
      <dgm:spPr>
        <a:prstGeom prst="plaque">
          <a:avLst/>
        </a:prstGeom>
      </dgm:spPr>
    </dgm:pt>
    <dgm:pt modelId="{38BE10C7-FBDC-4133-91A6-59B93208FF60}" type="pres">
      <dgm:prSet presAssocID="{58195434-CC28-4171-98DC-064A9A9C5BBC}" presName="titleText2" presStyleLbl="fgAcc1" presStyleIdx="18" presStyleCnt="48">
        <dgm:presLayoutVars>
          <dgm:chMax val="0"/>
          <dgm:chPref val="0"/>
        </dgm:presLayoutVars>
      </dgm:prSet>
      <dgm:spPr/>
    </dgm:pt>
    <dgm:pt modelId="{BA4515F9-2F3F-4798-B42C-76B1B7D04437}" type="pres">
      <dgm:prSet presAssocID="{58195434-CC28-4171-98DC-064A9A9C5BBC}" presName="rootConnector" presStyleLbl="node3" presStyleIdx="0" presStyleCnt="0"/>
      <dgm:spPr/>
    </dgm:pt>
    <dgm:pt modelId="{E1C93E84-5489-4B2C-A02B-0C5A6C46B817}" type="pres">
      <dgm:prSet presAssocID="{58195434-CC28-4171-98DC-064A9A9C5BBC}" presName="hierChild4" presStyleCnt="0"/>
      <dgm:spPr/>
    </dgm:pt>
    <dgm:pt modelId="{DF55F7A0-5262-4492-A421-74EE3244E2A7}" type="pres">
      <dgm:prSet presAssocID="{CB18A920-F073-4639-AD71-F8F60BA7D0B8}" presName="Name37" presStyleLbl="parChTrans1D4" presStyleIdx="12" presStyleCnt="29"/>
      <dgm:spPr/>
    </dgm:pt>
    <dgm:pt modelId="{76165F65-F094-4619-93B1-9E072FB1FDAD}" type="pres">
      <dgm:prSet presAssocID="{25E03141-74F1-48C9-90A5-C61C9D8E2AE0}" presName="hierRoot2" presStyleCnt="0">
        <dgm:presLayoutVars>
          <dgm:hierBranch val="init"/>
        </dgm:presLayoutVars>
      </dgm:prSet>
      <dgm:spPr/>
    </dgm:pt>
    <dgm:pt modelId="{B9522AD3-9592-457C-9399-9ADD91FBEC66}" type="pres">
      <dgm:prSet presAssocID="{25E03141-74F1-48C9-90A5-C61C9D8E2AE0}" presName="rootComposite" presStyleCnt="0"/>
      <dgm:spPr/>
    </dgm:pt>
    <dgm:pt modelId="{019F7FFD-9036-42CB-B450-ABD033DC3880}" type="pres">
      <dgm:prSet presAssocID="{25E03141-74F1-48C9-90A5-C61C9D8E2AE0}" presName="rootText" presStyleLbl="node1" presStyleIdx="19" presStyleCnt="48" custLinFactNeighborX="4091">
        <dgm:presLayoutVars>
          <dgm:chMax/>
          <dgm:chPref val="3"/>
        </dgm:presLayoutVars>
      </dgm:prSet>
      <dgm:spPr/>
    </dgm:pt>
    <dgm:pt modelId="{559352D2-DAA0-48CE-A551-A1FCE375E13C}" type="pres">
      <dgm:prSet presAssocID="{25E03141-74F1-48C9-90A5-C61C9D8E2AE0}" presName="titleText2" presStyleLbl="fgAcc1" presStyleIdx="19" presStyleCnt="48">
        <dgm:presLayoutVars>
          <dgm:chMax val="0"/>
          <dgm:chPref val="0"/>
        </dgm:presLayoutVars>
      </dgm:prSet>
      <dgm:spPr/>
    </dgm:pt>
    <dgm:pt modelId="{B16A1255-086D-40FB-A316-DB69620942F6}" type="pres">
      <dgm:prSet presAssocID="{25E03141-74F1-48C9-90A5-C61C9D8E2AE0}" presName="rootConnector" presStyleLbl="node4" presStyleIdx="0" presStyleCnt="0"/>
      <dgm:spPr/>
    </dgm:pt>
    <dgm:pt modelId="{4EE2C858-621E-4D32-ADB1-152FDF7826E4}" type="pres">
      <dgm:prSet presAssocID="{25E03141-74F1-48C9-90A5-C61C9D8E2AE0}" presName="hierChild4" presStyleCnt="0"/>
      <dgm:spPr/>
    </dgm:pt>
    <dgm:pt modelId="{AD362527-B351-47C2-AA3F-B5D020380132}" type="pres">
      <dgm:prSet presAssocID="{25E03141-74F1-48C9-90A5-C61C9D8E2AE0}" presName="hierChild5" presStyleCnt="0"/>
      <dgm:spPr/>
    </dgm:pt>
    <dgm:pt modelId="{FC26FEFB-0517-462B-A69A-3C2A16823FAB}" type="pres">
      <dgm:prSet presAssocID="{58195434-CC28-4171-98DC-064A9A9C5BBC}" presName="hierChild5" presStyleCnt="0"/>
      <dgm:spPr/>
    </dgm:pt>
    <dgm:pt modelId="{8D476684-1BAD-40CB-932D-88D0398B2EAD}" type="pres">
      <dgm:prSet presAssocID="{482AB384-4C32-47B3-8FD6-5F997F9EA434}" presName="Name42" presStyleLbl="parChTrans1D3" presStyleIdx="5" presStyleCnt="14"/>
      <dgm:spPr/>
    </dgm:pt>
    <dgm:pt modelId="{847FF59C-807A-43FA-A67D-46DE65F4B6D4}" type="pres">
      <dgm:prSet presAssocID="{09CC62A3-5469-49FC-A786-F060E682E2A5}" presName="hierRoot2" presStyleCnt="0">
        <dgm:presLayoutVars>
          <dgm:hierBranch val="init"/>
        </dgm:presLayoutVars>
      </dgm:prSet>
      <dgm:spPr/>
    </dgm:pt>
    <dgm:pt modelId="{CBFABF1B-209C-4958-816C-F97F82F576B5}" type="pres">
      <dgm:prSet presAssocID="{09CC62A3-5469-49FC-A786-F060E682E2A5}" presName="rootComposite" presStyleCnt="0"/>
      <dgm:spPr/>
    </dgm:pt>
    <dgm:pt modelId="{1C8E0FDE-B596-4BE4-B9DE-1133B8437399}" type="pres">
      <dgm:prSet presAssocID="{09CC62A3-5469-49FC-A786-F060E682E2A5}" presName="rootText" presStyleLbl="node1" presStyleIdx="20" presStyleCnt="48" custScaleX="266212">
        <dgm:presLayoutVars>
          <dgm:chMax/>
          <dgm:chPref val="3"/>
        </dgm:presLayoutVars>
      </dgm:prSet>
      <dgm:spPr>
        <a:xfrm>
          <a:off x="3613606" y="2853418"/>
          <a:ext cx="828170" cy="323088"/>
        </a:xfrm>
        <a:prstGeom prst="plaque">
          <a:avLst/>
        </a:prstGeom>
      </dgm:spPr>
    </dgm:pt>
    <dgm:pt modelId="{44A4C9CE-925A-433F-8D8E-7EE62AF3AD4E}" type="pres">
      <dgm:prSet presAssocID="{09CC62A3-5469-49FC-A786-F060E682E2A5}" presName="titleText2" presStyleLbl="fgAcc1" presStyleIdx="20" presStyleCnt="48">
        <dgm:presLayoutVars>
          <dgm:chMax val="0"/>
          <dgm:chPref val="0"/>
        </dgm:presLayoutVars>
      </dgm:prSet>
      <dgm:spPr/>
    </dgm:pt>
    <dgm:pt modelId="{BD64303B-418F-4467-8678-A550E1FE6CB5}" type="pres">
      <dgm:prSet presAssocID="{09CC62A3-5469-49FC-A786-F060E682E2A5}" presName="rootConnector" presStyleLbl="node3" presStyleIdx="0" presStyleCnt="0"/>
      <dgm:spPr/>
    </dgm:pt>
    <dgm:pt modelId="{2F8B1E01-C45A-47EC-A83E-7468853A47CD}" type="pres">
      <dgm:prSet presAssocID="{09CC62A3-5469-49FC-A786-F060E682E2A5}" presName="hierChild4" presStyleCnt="0"/>
      <dgm:spPr/>
    </dgm:pt>
    <dgm:pt modelId="{F4B25B85-D2E1-41E8-8612-F0F1274C95F0}" type="pres">
      <dgm:prSet presAssocID="{844276F5-192D-4A16-91F3-47A6C6A9690F}" presName="Name37" presStyleLbl="parChTrans1D4" presStyleIdx="13" presStyleCnt="29"/>
      <dgm:spPr/>
    </dgm:pt>
    <dgm:pt modelId="{34DC36F6-7298-4074-97DD-AD10BDAA69BC}" type="pres">
      <dgm:prSet presAssocID="{3499517F-1884-446D-A76D-45F8E857FACA}" presName="hierRoot2" presStyleCnt="0">
        <dgm:presLayoutVars>
          <dgm:hierBranch val="init"/>
        </dgm:presLayoutVars>
      </dgm:prSet>
      <dgm:spPr/>
    </dgm:pt>
    <dgm:pt modelId="{3C7875D1-77C0-49EE-9CEC-9E6D275EC1BC}" type="pres">
      <dgm:prSet presAssocID="{3499517F-1884-446D-A76D-45F8E857FACA}" presName="rootComposite" presStyleCnt="0"/>
      <dgm:spPr/>
    </dgm:pt>
    <dgm:pt modelId="{45D0B1BF-78E7-496B-84E7-12A2829B813F}" type="pres">
      <dgm:prSet presAssocID="{3499517F-1884-446D-A76D-45F8E857FACA}" presName="rootText" presStyleLbl="node1" presStyleIdx="21" presStyleCnt="48" custScaleX="173419" custLinFactNeighborX="1273" custLinFactNeighborY="0">
        <dgm:presLayoutVars>
          <dgm:chMax/>
          <dgm:chPref val="3"/>
        </dgm:presLayoutVars>
      </dgm:prSet>
      <dgm:spPr>
        <a:xfrm>
          <a:off x="3910198" y="3320884"/>
          <a:ext cx="588821" cy="304865"/>
        </a:xfrm>
        <a:prstGeom prst="rect">
          <a:avLst/>
        </a:prstGeom>
      </dgm:spPr>
    </dgm:pt>
    <dgm:pt modelId="{F67D9200-4BF3-464E-BD3D-2EBEA7A12FC2}" type="pres">
      <dgm:prSet presAssocID="{3499517F-1884-446D-A76D-45F8E857FACA}" presName="titleText2" presStyleLbl="fgAcc1" presStyleIdx="21" presStyleCnt="48">
        <dgm:presLayoutVars>
          <dgm:chMax val="0"/>
          <dgm:chPref val="0"/>
        </dgm:presLayoutVars>
      </dgm:prSet>
      <dgm:spPr/>
    </dgm:pt>
    <dgm:pt modelId="{76903F1D-62DB-4496-B7A2-068F7AFC3166}" type="pres">
      <dgm:prSet presAssocID="{3499517F-1884-446D-A76D-45F8E857FACA}" presName="rootConnector" presStyleLbl="node4" presStyleIdx="0" presStyleCnt="0"/>
      <dgm:spPr/>
    </dgm:pt>
    <dgm:pt modelId="{DC6B3329-65C4-4438-8F90-9CCF0B1AB428}" type="pres">
      <dgm:prSet presAssocID="{3499517F-1884-446D-A76D-45F8E857FACA}" presName="hierChild4" presStyleCnt="0"/>
      <dgm:spPr/>
    </dgm:pt>
    <dgm:pt modelId="{417D6D89-9761-4FC9-B47A-BB4618595A0E}" type="pres">
      <dgm:prSet presAssocID="{3499517F-1884-446D-A76D-45F8E857FACA}" presName="hierChild5" presStyleCnt="0"/>
      <dgm:spPr/>
    </dgm:pt>
    <dgm:pt modelId="{3A180A32-BF84-40B5-98E8-53FF2AF80FAE}" type="pres">
      <dgm:prSet presAssocID="{09CC62A3-5469-49FC-A786-F060E682E2A5}" presName="hierChild5" presStyleCnt="0"/>
      <dgm:spPr/>
    </dgm:pt>
    <dgm:pt modelId="{40D6D671-8796-40DA-B4F8-2A39308CC54E}" type="pres">
      <dgm:prSet presAssocID="{2198CE2D-C983-4452-9369-60BE5DD26279}" presName="Name42" presStyleLbl="parChTrans1D3" presStyleIdx="6" presStyleCnt="14"/>
      <dgm:spPr/>
    </dgm:pt>
    <dgm:pt modelId="{9195DAB8-25C2-4336-8D7A-592D6B3B9CA1}" type="pres">
      <dgm:prSet presAssocID="{41B3A5C5-B0D3-4EFE-87E5-5FE88455A34B}" presName="hierRoot2" presStyleCnt="0">
        <dgm:presLayoutVars>
          <dgm:hierBranch val="init"/>
        </dgm:presLayoutVars>
      </dgm:prSet>
      <dgm:spPr/>
    </dgm:pt>
    <dgm:pt modelId="{EA22A7E7-46C7-4DC6-801D-3238EB374FC9}" type="pres">
      <dgm:prSet presAssocID="{41B3A5C5-B0D3-4EFE-87E5-5FE88455A34B}" presName="rootComposite" presStyleCnt="0"/>
      <dgm:spPr/>
    </dgm:pt>
    <dgm:pt modelId="{6729A0E4-2BD8-4A7C-9045-E43691F1EE7A}" type="pres">
      <dgm:prSet presAssocID="{41B3A5C5-B0D3-4EFE-87E5-5FE88455A34B}" presName="rootText" presStyleLbl="node1" presStyleIdx="22" presStyleCnt="48" custScaleX="200588">
        <dgm:presLayoutVars>
          <dgm:chMax/>
          <dgm:chPref val="3"/>
        </dgm:presLayoutVars>
      </dgm:prSet>
      <dgm:spPr>
        <a:xfrm>
          <a:off x="4592551" y="2853418"/>
          <a:ext cx="624017" cy="323088"/>
        </a:xfrm>
        <a:prstGeom prst="plaque">
          <a:avLst/>
        </a:prstGeom>
      </dgm:spPr>
    </dgm:pt>
    <dgm:pt modelId="{E4376F8C-5058-4F0D-93C3-1A15FA20FB01}" type="pres">
      <dgm:prSet presAssocID="{41B3A5C5-B0D3-4EFE-87E5-5FE88455A34B}" presName="titleText2" presStyleLbl="fgAcc1" presStyleIdx="22" presStyleCnt="48">
        <dgm:presLayoutVars>
          <dgm:chMax val="0"/>
          <dgm:chPref val="0"/>
        </dgm:presLayoutVars>
      </dgm:prSet>
      <dgm:spPr/>
    </dgm:pt>
    <dgm:pt modelId="{21F15D16-F63A-4113-96AC-2D3A88365C26}" type="pres">
      <dgm:prSet presAssocID="{41B3A5C5-B0D3-4EFE-87E5-5FE88455A34B}" presName="rootConnector" presStyleLbl="node3" presStyleIdx="0" presStyleCnt="0"/>
      <dgm:spPr/>
    </dgm:pt>
    <dgm:pt modelId="{CB6CE4C9-87C9-4190-B3E5-BE404129D1DB}" type="pres">
      <dgm:prSet presAssocID="{41B3A5C5-B0D3-4EFE-87E5-5FE88455A34B}" presName="hierChild4" presStyleCnt="0"/>
      <dgm:spPr/>
    </dgm:pt>
    <dgm:pt modelId="{31DC3837-43A8-4F4C-8615-E6EB00A8FF99}" type="pres">
      <dgm:prSet presAssocID="{41B3A5C5-B0D3-4EFE-87E5-5FE88455A34B}" presName="hierChild5" presStyleCnt="0"/>
      <dgm:spPr/>
    </dgm:pt>
    <dgm:pt modelId="{0DC4604F-5292-438E-BCEF-F30EBD16657D}" type="pres">
      <dgm:prSet presAssocID="{942C8DEC-C1B1-42FB-9194-9B7EB1AE53EE}" presName="hierChild5" presStyleCnt="0"/>
      <dgm:spPr/>
    </dgm:pt>
    <dgm:pt modelId="{85E3B735-7102-43A0-A1E9-066BD01A6E5C}" type="pres">
      <dgm:prSet presAssocID="{FE37289A-17F0-4F4A-A0B5-5B32E6BD32D1}" presName="Name37" presStyleLbl="parChTrans1D2" presStyleIdx="2" presStyleCnt="5"/>
      <dgm:spPr/>
    </dgm:pt>
    <dgm:pt modelId="{1FC75BCB-70D1-4812-953D-2A63C5BB5986}" type="pres">
      <dgm:prSet presAssocID="{75BCF308-B12A-40F8-AF41-2AAED971F0BD}" presName="hierRoot2" presStyleCnt="0">
        <dgm:presLayoutVars>
          <dgm:hierBranch/>
        </dgm:presLayoutVars>
      </dgm:prSet>
      <dgm:spPr/>
    </dgm:pt>
    <dgm:pt modelId="{05DD70DF-5E79-4AD0-BE8F-10D8BA8CA6D9}" type="pres">
      <dgm:prSet presAssocID="{75BCF308-B12A-40F8-AF41-2AAED971F0BD}" presName="rootComposite" presStyleCnt="0"/>
      <dgm:spPr/>
    </dgm:pt>
    <dgm:pt modelId="{07E26C17-29DF-4787-B788-D11E5789DF29}" type="pres">
      <dgm:prSet presAssocID="{75BCF308-B12A-40F8-AF41-2AAED971F0BD}" presName="rootText" presStyleLbl="node1" presStyleIdx="23" presStyleCnt="48" custScaleX="237066">
        <dgm:presLayoutVars>
          <dgm:chMax/>
          <dgm:chPref val="3"/>
        </dgm:presLayoutVars>
      </dgm:prSet>
      <dgm:spPr>
        <a:prstGeom prst="plaque">
          <a:avLst/>
        </a:prstGeom>
      </dgm:spPr>
    </dgm:pt>
    <dgm:pt modelId="{BB5B700F-496F-45E0-9351-B2DF026C420E}" type="pres">
      <dgm:prSet presAssocID="{75BCF308-B12A-40F8-AF41-2AAED971F0BD}" presName="titleText2" presStyleLbl="fgAcc1" presStyleIdx="23" presStyleCnt="48">
        <dgm:presLayoutVars>
          <dgm:chMax val="0"/>
          <dgm:chPref val="0"/>
        </dgm:presLayoutVars>
      </dgm:prSet>
      <dgm:spPr/>
    </dgm:pt>
    <dgm:pt modelId="{B3523960-6B29-445A-8AB4-F425A7B3DDC6}" type="pres">
      <dgm:prSet presAssocID="{75BCF308-B12A-40F8-AF41-2AAED971F0BD}" presName="rootConnector" presStyleLbl="node2" presStyleIdx="0" presStyleCnt="0"/>
      <dgm:spPr/>
    </dgm:pt>
    <dgm:pt modelId="{8CA688BB-7814-4855-AC18-C34A0C9ECD58}" type="pres">
      <dgm:prSet presAssocID="{75BCF308-B12A-40F8-AF41-2AAED971F0BD}" presName="hierChild4" presStyleCnt="0"/>
      <dgm:spPr/>
    </dgm:pt>
    <dgm:pt modelId="{4F2029E6-4688-4E4A-930C-78819A801C6E}" type="pres">
      <dgm:prSet presAssocID="{6FF616BD-484A-4B07-B086-EAA610F3E144}" presName="Name35" presStyleLbl="parChTrans1D3" presStyleIdx="7" presStyleCnt="14"/>
      <dgm:spPr/>
    </dgm:pt>
    <dgm:pt modelId="{07605D35-E4FB-4549-839B-984A5B219C30}" type="pres">
      <dgm:prSet presAssocID="{13023F3E-BBF3-4FF4-A7C1-4A0B6BAF3A29}" presName="hierRoot2" presStyleCnt="0">
        <dgm:presLayoutVars>
          <dgm:hierBranch val="init"/>
        </dgm:presLayoutVars>
      </dgm:prSet>
      <dgm:spPr/>
    </dgm:pt>
    <dgm:pt modelId="{78147A8C-291F-4F84-AA01-1394D9F0BF9B}" type="pres">
      <dgm:prSet presAssocID="{13023F3E-BBF3-4FF4-A7C1-4A0B6BAF3A29}" presName="rootComposite" presStyleCnt="0"/>
      <dgm:spPr/>
    </dgm:pt>
    <dgm:pt modelId="{7439A715-7671-47C4-8F06-B4B3F7D2CAFF}" type="pres">
      <dgm:prSet presAssocID="{13023F3E-BBF3-4FF4-A7C1-4A0B6BAF3A29}" presName="rootText" presStyleLbl="node1" presStyleIdx="24" presStyleCnt="48" custScaleX="167117">
        <dgm:presLayoutVars>
          <dgm:chMax/>
          <dgm:chPref val="3"/>
        </dgm:presLayoutVars>
      </dgm:prSet>
      <dgm:spPr>
        <a:prstGeom prst="plaque">
          <a:avLst/>
        </a:prstGeom>
      </dgm:spPr>
    </dgm:pt>
    <dgm:pt modelId="{CF40303A-144B-4634-9141-BA48ED9CC06F}" type="pres">
      <dgm:prSet presAssocID="{13023F3E-BBF3-4FF4-A7C1-4A0B6BAF3A29}" presName="titleText2" presStyleLbl="fgAcc1" presStyleIdx="24" presStyleCnt="48">
        <dgm:presLayoutVars>
          <dgm:chMax val="0"/>
          <dgm:chPref val="0"/>
        </dgm:presLayoutVars>
      </dgm:prSet>
      <dgm:spPr/>
    </dgm:pt>
    <dgm:pt modelId="{AD199797-2A6C-4922-8622-4AA2D9D96060}" type="pres">
      <dgm:prSet presAssocID="{13023F3E-BBF3-4FF4-A7C1-4A0B6BAF3A29}" presName="rootConnector" presStyleLbl="node3" presStyleIdx="0" presStyleCnt="0"/>
      <dgm:spPr/>
    </dgm:pt>
    <dgm:pt modelId="{88099114-A96C-41BD-8F36-F3230C569575}" type="pres">
      <dgm:prSet presAssocID="{13023F3E-BBF3-4FF4-A7C1-4A0B6BAF3A29}" presName="hierChild4" presStyleCnt="0"/>
      <dgm:spPr/>
    </dgm:pt>
    <dgm:pt modelId="{03B90242-3A34-42ED-8B7E-9D6782457C18}" type="pres">
      <dgm:prSet presAssocID="{C50BEEDE-DCCE-4DF3-8F66-2B42730046B1}" presName="Name37" presStyleLbl="parChTrans1D4" presStyleIdx="14" presStyleCnt="29"/>
      <dgm:spPr/>
    </dgm:pt>
    <dgm:pt modelId="{AA0208C1-5896-44F3-B44F-E203ACB9A26B}" type="pres">
      <dgm:prSet presAssocID="{361F6CE2-3FF8-4B58-A536-E5A8AB32CF5B}" presName="hierRoot2" presStyleCnt="0">
        <dgm:presLayoutVars>
          <dgm:hierBranch val="init"/>
        </dgm:presLayoutVars>
      </dgm:prSet>
      <dgm:spPr/>
    </dgm:pt>
    <dgm:pt modelId="{992BD382-3600-4279-9725-39E21746BF59}" type="pres">
      <dgm:prSet presAssocID="{361F6CE2-3FF8-4B58-A536-E5A8AB32CF5B}" presName="rootComposite" presStyleCnt="0"/>
      <dgm:spPr/>
    </dgm:pt>
    <dgm:pt modelId="{0C9F8BBE-2D70-4EDF-BE84-1E97862A8D2D}" type="pres">
      <dgm:prSet presAssocID="{361F6CE2-3FF8-4B58-A536-E5A8AB32CF5B}" presName="rootText" presStyleLbl="node1" presStyleIdx="25" presStyleCnt="48">
        <dgm:presLayoutVars>
          <dgm:chMax/>
          <dgm:chPref val="3"/>
        </dgm:presLayoutVars>
      </dgm:prSet>
      <dgm:spPr/>
    </dgm:pt>
    <dgm:pt modelId="{03B94904-6BC5-4944-B998-9DA08457AB2D}" type="pres">
      <dgm:prSet presAssocID="{361F6CE2-3FF8-4B58-A536-E5A8AB32CF5B}" presName="titleText2" presStyleLbl="fgAcc1" presStyleIdx="25" presStyleCnt="48">
        <dgm:presLayoutVars>
          <dgm:chMax val="0"/>
          <dgm:chPref val="0"/>
        </dgm:presLayoutVars>
      </dgm:prSet>
      <dgm:spPr/>
    </dgm:pt>
    <dgm:pt modelId="{3FB522F5-052C-4160-972A-53900489EEC1}" type="pres">
      <dgm:prSet presAssocID="{361F6CE2-3FF8-4B58-A536-E5A8AB32CF5B}" presName="rootConnector" presStyleLbl="node4" presStyleIdx="0" presStyleCnt="0"/>
      <dgm:spPr/>
    </dgm:pt>
    <dgm:pt modelId="{E1CB937D-9E80-41C4-B140-B6F7ED910098}" type="pres">
      <dgm:prSet presAssocID="{361F6CE2-3FF8-4B58-A536-E5A8AB32CF5B}" presName="hierChild4" presStyleCnt="0"/>
      <dgm:spPr/>
    </dgm:pt>
    <dgm:pt modelId="{CEFCEFBE-8AB4-49BC-8EE4-9C317A2FCE80}" type="pres">
      <dgm:prSet presAssocID="{361F6CE2-3FF8-4B58-A536-E5A8AB32CF5B}" presName="hierChild5" presStyleCnt="0"/>
      <dgm:spPr/>
    </dgm:pt>
    <dgm:pt modelId="{993CAB83-FFAC-4B6D-AA47-AE8935CF34E6}" type="pres">
      <dgm:prSet presAssocID="{6A36C91A-8256-4E5E-91AA-5BE09BE686C0}" presName="Name37" presStyleLbl="parChTrans1D4" presStyleIdx="15" presStyleCnt="29"/>
      <dgm:spPr/>
    </dgm:pt>
    <dgm:pt modelId="{5A70F8E0-A06C-41F7-9FC9-C7F571132DDE}" type="pres">
      <dgm:prSet presAssocID="{F44DB52C-8216-4AB7-8A08-EDE71151C600}" presName="hierRoot2" presStyleCnt="0">
        <dgm:presLayoutVars>
          <dgm:hierBranch val="init"/>
        </dgm:presLayoutVars>
      </dgm:prSet>
      <dgm:spPr/>
    </dgm:pt>
    <dgm:pt modelId="{B0D1EBAF-9655-418D-9861-0413DDD8F05C}" type="pres">
      <dgm:prSet presAssocID="{F44DB52C-8216-4AB7-8A08-EDE71151C600}" presName="rootComposite" presStyleCnt="0"/>
      <dgm:spPr/>
    </dgm:pt>
    <dgm:pt modelId="{E520C092-21DF-430D-AD30-9DE7EAC090DC}" type="pres">
      <dgm:prSet presAssocID="{F44DB52C-8216-4AB7-8A08-EDE71151C600}" presName="rootText" presStyleLbl="node1" presStyleIdx="26" presStyleCnt="48">
        <dgm:presLayoutVars>
          <dgm:chMax/>
          <dgm:chPref val="3"/>
        </dgm:presLayoutVars>
      </dgm:prSet>
      <dgm:spPr>
        <a:xfrm>
          <a:off x="6276188" y="2324299"/>
          <a:ext cx="534086" cy="276526"/>
        </a:xfrm>
        <a:prstGeom prst="rect">
          <a:avLst/>
        </a:prstGeom>
      </dgm:spPr>
    </dgm:pt>
    <dgm:pt modelId="{A1C9AA26-E87D-40D9-B49A-6EA3CA89ABF8}" type="pres">
      <dgm:prSet presAssocID="{F44DB52C-8216-4AB7-8A08-EDE71151C600}" presName="titleText2" presStyleLbl="fgAcc1" presStyleIdx="26" presStyleCnt="48">
        <dgm:presLayoutVars>
          <dgm:chMax val="0"/>
          <dgm:chPref val="0"/>
        </dgm:presLayoutVars>
      </dgm:prSet>
      <dgm:spPr/>
    </dgm:pt>
    <dgm:pt modelId="{FD67F42B-0805-41D2-AEE3-F7BCDE35BA4A}" type="pres">
      <dgm:prSet presAssocID="{F44DB52C-8216-4AB7-8A08-EDE71151C600}" presName="rootConnector" presStyleLbl="node4" presStyleIdx="0" presStyleCnt="0"/>
      <dgm:spPr/>
    </dgm:pt>
    <dgm:pt modelId="{B0AFCC0E-60D9-4CC9-85D9-67228B5917E7}" type="pres">
      <dgm:prSet presAssocID="{F44DB52C-8216-4AB7-8A08-EDE71151C600}" presName="hierChild4" presStyleCnt="0"/>
      <dgm:spPr/>
    </dgm:pt>
    <dgm:pt modelId="{E0E32FE3-F382-4F99-85E5-221FF83EEDDE}" type="pres">
      <dgm:prSet presAssocID="{F44DB52C-8216-4AB7-8A08-EDE71151C600}" presName="hierChild5" presStyleCnt="0"/>
      <dgm:spPr/>
    </dgm:pt>
    <dgm:pt modelId="{4C60846A-AFF3-472B-A908-521A62D143A2}" type="pres">
      <dgm:prSet presAssocID="{13023F3E-BBF3-4FF4-A7C1-4A0B6BAF3A29}" presName="hierChild5" presStyleCnt="0"/>
      <dgm:spPr/>
    </dgm:pt>
    <dgm:pt modelId="{9DEECE6A-2DC7-462C-B4D3-4FDA509FDDFE}" type="pres">
      <dgm:prSet presAssocID="{EE855179-559A-4EFF-B003-56EF85A8622B}" presName="Name35" presStyleLbl="parChTrans1D3" presStyleIdx="8" presStyleCnt="14"/>
      <dgm:spPr/>
    </dgm:pt>
    <dgm:pt modelId="{01AC8645-813A-4A9A-82C3-B574331D483D}" type="pres">
      <dgm:prSet presAssocID="{CCEABBB7-338B-47E0-BEFB-7E66639CFF61}" presName="hierRoot2" presStyleCnt="0">
        <dgm:presLayoutVars>
          <dgm:hierBranch val="r"/>
        </dgm:presLayoutVars>
      </dgm:prSet>
      <dgm:spPr/>
    </dgm:pt>
    <dgm:pt modelId="{2179E049-8235-41B9-A659-78E2FC8407B4}" type="pres">
      <dgm:prSet presAssocID="{CCEABBB7-338B-47E0-BEFB-7E66639CFF61}" presName="rootComposite" presStyleCnt="0"/>
      <dgm:spPr/>
    </dgm:pt>
    <dgm:pt modelId="{2A0BCD83-2C24-4BE1-B20B-A9DCDFF5B535}" type="pres">
      <dgm:prSet presAssocID="{CCEABBB7-338B-47E0-BEFB-7E66639CFF61}" presName="rootText" presStyleLbl="node1" presStyleIdx="27" presStyleCnt="48" custScaleX="167117">
        <dgm:presLayoutVars>
          <dgm:chMax/>
          <dgm:chPref val="3"/>
        </dgm:presLayoutVars>
      </dgm:prSet>
      <dgm:spPr>
        <a:prstGeom prst="plaque">
          <a:avLst/>
        </a:prstGeom>
      </dgm:spPr>
    </dgm:pt>
    <dgm:pt modelId="{C0264484-DC40-4C1C-9103-106977643F89}" type="pres">
      <dgm:prSet presAssocID="{CCEABBB7-338B-47E0-BEFB-7E66639CFF61}" presName="titleText2" presStyleLbl="fgAcc1" presStyleIdx="27" presStyleCnt="48">
        <dgm:presLayoutVars>
          <dgm:chMax val="0"/>
          <dgm:chPref val="0"/>
        </dgm:presLayoutVars>
      </dgm:prSet>
      <dgm:spPr/>
    </dgm:pt>
    <dgm:pt modelId="{3AAB482F-932F-42CC-844D-3D7DB6733225}" type="pres">
      <dgm:prSet presAssocID="{CCEABBB7-338B-47E0-BEFB-7E66639CFF61}" presName="rootConnector" presStyleLbl="node3" presStyleIdx="0" presStyleCnt="0"/>
      <dgm:spPr/>
    </dgm:pt>
    <dgm:pt modelId="{98437BB9-BFF2-4F35-8ED6-E58FF9C749E4}" type="pres">
      <dgm:prSet presAssocID="{CCEABBB7-338B-47E0-BEFB-7E66639CFF61}" presName="hierChild4" presStyleCnt="0"/>
      <dgm:spPr/>
    </dgm:pt>
    <dgm:pt modelId="{11479A7A-F6B0-4568-97AA-570024CA2197}" type="pres">
      <dgm:prSet presAssocID="{78BD750B-AA95-4DA8-8000-88F315A536B5}" presName="Name44" presStyleLbl="parChTrans1D4" presStyleIdx="16" presStyleCnt="29"/>
      <dgm:spPr/>
    </dgm:pt>
    <dgm:pt modelId="{6A983487-B494-43C5-A160-F71A33CB8E1F}" type="pres">
      <dgm:prSet presAssocID="{504E8244-1CAD-478D-A5EE-6857132B600A}" presName="hierRoot2" presStyleCnt="0">
        <dgm:presLayoutVars>
          <dgm:hierBranch val="init"/>
        </dgm:presLayoutVars>
      </dgm:prSet>
      <dgm:spPr/>
    </dgm:pt>
    <dgm:pt modelId="{197ABC2E-3C7E-40BD-A72E-686C6DD889BB}" type="pres">
      <dgm:prSet presAssocID="{504E8244-1CAD-478D-A5EE-6857132B600A}" presName="rootComposite" presStyleCnt="0"/>
      <dgm:spPr/>
    </dgm:pt>
    <dgm:pt modelId="{949B4D2A-B6A1-4788-A404-6175DEF28063}" type="pres">
      <dgm:prSet presAssocID="{504E8244-1CAD-478D-A5EE-6857132B600A}" presName="rootText" presStyleLbl="node1" presStyleIdx="28" presStyleCnt="48">
        <dgm:presLayoutVars>
          <dgm:chMax/>
          <dgm:chPref val="3"/>
        </dgm:presLayoutVars>
      </dgm:prSet>
      <dgm:spPr/>
    </dgm:pt>
    <dgm:pt modelId="{69D58FF6-F2A9-41A2-9D61-C9D202626D17}" type="pres">
      <dgm:prSet presAssocID="{504E8244-1CAD-478D-A5EE-6857132B600A}" presName="titleText2" presStyleLbl="fgAcc1" presStyleIdx="28" presStyleCnt="48">
        <dgm:presLayoutVars>
          <dgm:chMax val="0"/>
          <dgm:chPref val="0"/>
        </dgm:presLayoutVars>
      </dgm:prSet>
      <dgm:spPr/>
    </dgm:pt>
    <dgm:pt modelId="{FD9E512B-2E2C-4BC5-923E-B65D8E29A85D}" type="pres">
      <dgm:prSet presAssocID="{504E8244-1CAD-478D-A5EE-6857132B600A}" presName="rootConnector" presStyleLbl="node4" presStyleIdx="0" presStyleCnt="0"/>
      <dgm:spPr/>
    </dgm:pt>
    <dgm:pt modelId="{D6752E81-C952-498F-8A73-F08C8B998EA4}" type="pres">
      <dgm:prSet presAssocID="{504E8244-1CAD-478D-A5EE-6857132B600A}" presName="hierChild4" presStyleCnt="0"/>
      <dgm:spPr/>
    </dgm:pt>
    <dgm:pt modelId="{7AF8C0CF-1C90-429E-8C73-8129969F9A99}" type="pres">
      <dgm:prSet presAssocID="{504E8244-1CAD-478D-A5EE-6857132B600A}" presName="hierChild5" presStyleCnt="0"/>
      <dgm:spPr/>
    </dgm:pt>
    <dgm:pt modelId="{CD07DC1F-C35D-4CEE-B564-0B104354C54F}" type="pres">
      <dgm:prSet presAssocID="{6D40DF44-2BEC-4F94-9A4A-9971C23408F6}" presName="Name44" presStyleLbl="parChTrans1D4" presStyleIdx="17" presStyleCnt="29"/>
      <dgm:spPr/>
    </dgm:pt>
    <dgm:pt modelId="{C6A4D50F-C8FF-4960-AF54-6104F8E5A71D}" type="pres">
      <dgm:prSet presAssocID="{E384D70C-225E-4709-BA1C-B5D68B155C5C}" presName="hierRoot2" presStyleCnt="0">
        <dgm:presLayoutVars>
          <dgm:hierBranch val="init"/>
        </dgm:presLayoutVars>
      </dgm:prSet>
      <dgm:spPr/>
    </dgm:pt>
    <dgm:pt modelId="{E4E28379-DA7E-4001-AA75-6414083FD58F}" type="pres">
      <dgm:prSet presAssocID="{E384D70C-225E-4709-BA1C-B5D68B155C5C}" presName="rootComposite" presStyleCnt="0"/>
      <dgm:spPr/>
    </dgm:pt>
    <dgm:pt modelId="{6EF8B4EE-6877-4512-B43B-3B1D377A41E4}" type="pres">
      <dgm:prSet presAssocID="{E384D70C-225E-4709-BA1C-B5D68B155C5C}" presName="rootText" presStyleLbl="node1" presStyleIdx="29" presStyleCnt="48">
        <dgm:presLayoutVars>
          <dgm:chMax/>
          <dgm:chPref val="3"/>
        </dgm:presLayoutVars>
      </dgm:prSet>
      <dgm:spPr/>
    </dgm:pt>
    <dgm:pt modelId="{D141C697-C6D4-4357-8EEB-E87E399E76B2}" type="pres">
      <dgm:prSet presAssocID="{E384D70C-225E-4709-BA1C-B5D68B155C5C}" presName="titleText2" presStyleLbl="fgAcc1" presStyleIdx="29" presStyleCnt="48">
        <dgm:presLayoutVars>
          <dgm:chMax val="0"/>
          <dgm:chPref val="0"/>
        </dgm:presLayoutVars>
      </dgm:prSet>
      <dgm:spPr/>
    </dgm:pt>
    <dgm:pt modelId="{C4F53EB6-A1B9-407E-B447-32309F6C3730}" type="pres">
      <dgm:prSet presAssocID="{E384D70C-225E-4709-BA1C-B5D68B155C5C}" presName="rootConnector" presStyleLbl="node4" presStyleIdx="0" presStyleCnt="0"/>
      <dgm:spPr/>
    </dgm:pt>
    <dgm:pt modelId="{64CCC1DE-D153-46A4-AAB0-5C1293C361E7}" type="pres">
      <dgm:prSet presAssocID="{E384D70C-225E-4709-BA1C-B5D68B155C5C}" presName="hierChild4" presStyleCnt="0"/>
      <dgm:spPr/>
    </dgm:pt>
    <dgm:pt modelId="{B406478C-14C9-4507-90D9-A21CD9E3AE39}" type="pres">
      <dgm:prSet presAssocID="{E384D70C-225E-4709-BA1C-B5D68B155C5C}" presName="hierChild5" presStyleCnt="0"/>
      <dgm:spPr/>
    </dgm:pt>
    <dgm:pt modelId="{FE1EFB4D-268A-4A0E-B476-1A579A15F8B5}" type="pres">
      <dgm:prSet presAssocID="{48C51B36-BD08-4EEF-A94B-C01A76863DFE}" presName="Name44" presStyleLbl="parChTrans1D4" presStyleIdx="18" presStyleCnt="29"/>
      <dgm:spPr/>
    </dgm:pt>
    <dgm:pt modelId="{949DD9B5-DA0A-42A5-8086-27D6C014E93C}" type="pres">
      <dgm:prSet presAssocID="{E5FDC60D-2B34-4AB7-97CD-DEFA12BFC0CC}" presName="hierRoot2" presStyleCnt="0">
        <dgm:presLayoutVars>
          <dgm:hierBranch val="init"/>
        </dgm:presLayoutVars>
      </dgm:prSet>
      <dgm:spPr/>
    </dgm:pt>
    <dgm:pt modelId="{1605120C-D1C0-482B-9AE2-EFCB8D44AD88}" type="pres">
      <dgm:prSet presAssocID="{E5FDC60D-2B34-4AB7-97CD-DEFA12BFC0CC}" presName="rootComposite" presStyleCnt="0"/>
      <dgm:spPr/>
    </dgm:pt>
    <dgm:pt modelId="{CAB8B3C7-C8B8-46C1-8DDC-C9148F8110CA}" type="pres">
      <dgm:prSet presAssocID="{E5FDC60D-2B34-4AB7-97CD-DEFA12BFC0CC}" presName="rootText" presStyleLbl="node1" presStyleIdx="30" presStyleCnt="48">
        <dgm:presLayoutVars>
          <dgm:chMax/>
          <dgm:chPref val="3"/>
        </dgm:presLayoutVars>
      </dgm:prSet>
      <dgm:spPr/>
    </dgm:pt>
    <dgm:pt modelId="{9B3BA139-5F5B-4E30-889D-A2F706A2695B}" type="pres">
      <dgm:prSet presAssocID="{E5FDC60D-2B34-4AB7-97CD-DEFA12BFC0CC}" presName="titleText2" presStyleLbl="fgAcc1" presStyleIdx="30" presStyleCnt="48">
        <dgm:presLayoutVars>
          <dgm:chMax val="0"/>
          <dgm:chPref val="0"/>
        </dgm:presLayoutVars>
      </dgm:prSet>
      <dgm:spPr/>
    </dgm:pt>
    <dgm:pt modelId="{A1974806-8176-4775-A3F7-79EFBB25800A}" type="pres">
      <dgm:prSet presAssocID="{E5FDC60D-2B34-4AB7-97CD-DEFA12BFC0CC}" presName="rootConnector" presStyleLbl="node4" presStyleIdx="0" presStyleCnt="0"/>
      <dgm:spPr/>
    </dgm:pt>
    <dgm:pt modelId="{7C9BE08B-A832-462C-8951-234303DA27C7}" type="pres">
      <dgm:prSet presAssocID="{E5FDC60D-2B34-4AB7-97CD-DEFA12BFC0CC}" presName="hierChild4" presStyleCnt="0"/>
      <dgm:spPr/>
    </dgm:pt>
    <dgm:pt modelId="{AE625F04-F92D-4E2F-BCC7-D80B90B58C6E}" type="pres">
      <dgm:prSet presAssocID="{E5FDC60D-2B34-4AB7-97CD-DEFA12BFC0CC}" presName="hierChild5" presStyleCnt="0"/>
      <dgm:spPr/>
    </dgm:pt>
    <dgm:pt modelId="{D523BA46-F152-4A97-BC8F-40D5511871BF}" type="pres">
      <dgm:prSet presAssocID="{CCEABBB7-338B-47E0-BEFB-7E66639CFF61}" presName="hierChild5" presStyleCnt="0"/>
      <dgm:spPr/>
    </dgm:pt>
    <dgm:pt modelId="{A2AAA880-5DAC-4A04-B8D6-C01D9612A6BA}" type="pres">
      <dgm:prSet presAssocID="{1A7603CB-DE7D-4AEC-B00F-115328F9699B}" presName="Name35" presStyleLbl="parChTrans1D3" presStyleIdx="9" presStyleCnt="14"/>
      <dgm:spPr/>
    </dgm:pt>
    <dgm:pt modelId="{499C3693-699C-40F1-97B6-AF9719ADBF37}" type="pres">
      <dgm:prSet presAssocID="{D3ABDF34-2C17-4964-ABFA-F146B3608B3C}" presName="hierRoot2" presStyleCnt="0">
        <dgm:presLayoutVars>
          <dgm:hierBranch val="init"/>
        </dgm:presLayoutVars>
      </dgm:prSet>
      <dgm:spPr/>
    </dgm:pt>
    <dgm:pt modelId="{2B712D9A-6F0E-47A2-AE2B-B799EE160BC5}" type="pres">
      <dgm:prSet presAssocID="{D3ABDF34-2C17-4964-ABFA-F146B3608B3C}" presName="rootComposite" presStyleCnt="0"/>
      <dgm:spPr/>
    </dgm:pt>
    <dgm:pt modelId="{AFEDC19F-5E18-407A-91B8-4A37CB3005D9}" type="pres">
      <dgm:prSet presAssocID="{D3ABDF34-2C17-4964-ABFA-F146B3608B3C}" presName="rootText" presStyleLbl="node1" presStyleIdx="31" presStyleCnt="48" custScaleX="182803">
        <dgm:presLayoutVars>
          <dgm:chMax/>
          <dgm:chPref val="3"/>
        </dgm:presLayoutVars>
      </dgm:prSet>
      <dgm:spPr>
        <a:xfrm>
          <a:off x="7399966" y="1927947"/>
          <a:ext cx="924276" cy="261784"/>
        </a:xfrm>
        <a:prstGeom prst="plaque">
          <a:avLst/>
        </a:prstGeom>
      </dgm:spPr>
    </dgm:pt>
    <dgm:pt modelId="{2E0D561D-EF1C-4E03-8586-7217D3A1BA85}" type="pres">
      <dgm:prSet presAssocID="{D3ABDF34-2C17-4964-ABFA-F146B3608B3C}" presName="titleText2" presStyleLbl="fgAcc1" presStyleIdx="31" presStyleCnt="48">
        <dgm:presLayoutVars>
          <dgm:chMax val="0"/>
          <dgm:chPref val="0"/>
        </dgm:presLayoutVars>
      </dgm:prSet>
      <dgm:spPr/>
    </dgm:pt>
    <dgm:pt modelId="{89C329DE-2C82-4D8A-9BE7-F39B6FA0443D}" type="pres">
      <dgm:prSet presAssocID="{D3ABDF34-2C17-4964-ABFA-F146B3608B3C}" presName="rootConnector" presStyleLbl="node3" presStyleIdx="0" presStyleCnt="0"/>
      <dgm:spPr/>
    </dgm:pt>
    <dgm:pt modelId="{E9FA59C9-6672-4A1C-BBA2-B50A741B8D39}" type="pres">
      <dgm:prSet presAssocID="{D3ABDF34-2C17-4964-ABFA-F146B3608B3C}" presName="hierChild4" presStyleCnt="0"/>
      <dgm:spPr/>
    </dgm:pt>
    <dgm:pt modelId="{23198500-1E17-444D-B340-33E3ACF78C22}" type="pres">
      <dgm:prSet presAssocID="{BE9EEB54-5108-4DF6-9420-722A70404B8A}" presName="Name37" presStyleLbl="parChTrans1D4" presStyleIdx="19" presStyleCnt="29"/>
      <dgm:spPr/>
    </dgm:pt>
    <dgm:pt modelId="{E1EB827F-A503-45CD-9A79-4E222894ED44}" type="pres">
      <dgm:prSet presAssocID="{4BB13FE6-09AB-4F08-8FB5-EEE94E7D9F9A}" presName="hierRoot2" presStyleCnt="0">
        <dgm:presLayoutVars>
          <dgm:hierBranch val="init"/>
        </dgm:presLayoutVars>
      </dgm:prSet>
      <dgm:spPr/>
    </dgm:pt>
    <dgm:pt modelId="{4D05F6B8-E52D-4F7C-B68F-A6AAA32F97A6}" type="pres">
      <dgm:prSet presAssocID="{4BB13FE6-09AB-4F08-8FB5-EEE94E7D9F9A}" presName="rootComposite" presStyleCnt="0"/>
      <dgm:spPr/>
    </dgm:pt>
    <dgm:pt modelId="{BAA32FE9-49CC-44D5-89DD-F0D474799F8B}" type="pres">
      <dgm:prSet presAssocID="{4BB13FE6-09AB-4F08-8FB5-EEE94E7D9F9A}" presName="rootText" presStyleLbl="node1" presStyleIdx="32" presStyleCnt="48" custLinFactNeighborX="6308" custLinFactNeighborY="-2376">
        <dgm:presLayoutVars>
          <dgm:chMax/>
          <dgm:chPref val="3"/>
        </dgm:presLayoutVars>
      </dgm:prSet>
      <dgm:spPr>
        <a:xfrm>
          <a:off x="8043255" y="2324299"/>
          <a:ext cx="534086" cy="276526"/>
        </a:xfrm>
        <a:prstGeom prst="rect">
          <a:avLst/>
        </a:prstGeom>
      </dgm:spPr>
    </dgm:pt>
    <dgm:pt modelId="{CBB95FC9-11BD-4FC9-86E9-3BDEE76FC944}" type="pres">
      <dgm:prSet presAssocID="{4BB13FE6-09AB-4F08-8FB5-EEE94E7D9F9A}" presName="titleText2" presStyleLbl="fgAcc1" presStyleIdx="32" presStyleCnt="48">
        <dgm:presLayoutVars>
          <dgm:chMax val="0"/>
          <dgm:chPref val="0"/>
        </dgm:presLayoutVars>
      </dgm:prSet>
      <dgm:spPr/>
    </dgm:pt>
    <dgm:pt modelId="{412D1187-9389-4C3C-BCD8-BFDFE33E2A2F}" type="pres">
      <dgm:prSet presAssocID="{4BB13FE6-09AB-4F08-8FB5-EEE94E7D9F9A}" presName="rootConnector" presStyleLbl="node4" presStyleIdx="0" presStyleCnt="0"/>
      <dgm:spPr/>
    </dgm:pt>
    <dgm:pt modelId="{B85E417E-DE21-4EDA-80E5-563A3E28D0EA}" type="pres">
      <dgm:prSet presAssocID="{4BB13FE6-09AB-4F08-8FB5-EEE94E7D9F9A}" presName="hierChild4" presStyleCnt="0"/>
      <dgm:spPr/>
    </dgm:pt>
    <dgm:pt modelId="{7F9C57D5-090E-4D35-A160-9260A8E6BC6F}" type="pres">
      <dgm:prSet presAssocID="{4BB13FE6-09AB-4F08-8FB5-EEE94E7D9F9A}" presName="hierChild5" presStyleCnt="0"/>
      <dgm:spPr/>
    </dgm:pt>
    <dgm:pt modelId="{38AAC22F-C221-4B6C-A4A8-7A149D43FDEE}" type="pres">
      <dgm:prSet presAssocID="{D3ABDF34-2C17-4964-ABFA-F146B3608B3C}" presName="hierChild5" presStyleCnt="0"/>
      <dgm:spPr/>
    </dgm:pt>
    <dgm:pt modelId="{4E86D9E2-A71D-4E85-B491-00375E6F869D}" type="pres">
      <dgm:prSet presAssocID="{BF97EDE8-7F5D-4A67-9088-84427FCF0EBB}" presName="Name35" presStyleLbl="parChTrans1D3" presStyleIdx="10" presStyleCnt="14"/>
      <dgm:spPr/>
    </dgm:pt>
    <dgm:pt modelId="{50879790-53EF-4E8D-8CD8-8230E1380198}" type="pres">
      <dgm:prSet presAssocID="{1A569E30-937F-4904-88CA-1C8DD51AF791}" presName="hierRoot2" presStyleCnt="0">
        <dgm:presLayoutVars>
          <dgm:hierBranch val="r"/>
        </dgm:presLayoutVars>
      </dgm:prSet>
      <dgm:spPr/>
    </dgm:pt>
    <dgm:pt modelId="{E7B21FCC-78F3-4B42-BB72-BCB036FFCE95}" type="pres">
      <dgm:prSet presAssocID="{1A569E30-937F-4904-88CA-1C8DD51AF791}" presName="rootComposite" presStyleCnt="0"/>
      <dgm:spPr/>
    </dgm:pt>
    <dgm:pt modelId="{4B35F7F9-45F9-459A-B5F2-1F7BB7C154DB}" type="pres">
      <dgm:prSet presAssocID="{1A569E30-937F-4904-88CA-1C8DD51AF791}" presName="rootText" presStyleLbl="node1" presStyleIdx="33" presStyleCnt="48" custScaleX="167117">
        <dgm:presLayoutVars>
          <dgm:chMax/>
          <dgm:chPref val="3"/>
        </dgm:presLayoutVars>
      </dgm:prSet>
      <dgm:spPr>
        <a:prstGeom prst="plaque">
          <a:avLst/>
        </a:prstGeom>
      </dgm:spPr>
    </dgm:pt>
    <dgm:pt modelId="{55703F11-9F25-493F-BC19-BB4EC28CD8A6}" type="pres">
      <dgm:prSet presAssocID="{1A569E30-937F-4904-88CA-1C8DD51AF791}" presName="titleText2" presStyleLbl="fgAcc1" presStyleIdx="33" presStyleCnt="48">
        <dgm:presLayoutVars>
          <dgm:chMax val="0"/>
          <dgm:chPref val="0"/>
        </dgm:presLayoutVars>
      </dgm:prSet>
      <dgm:spPr/>
    </dgm:pt>
    <dgm:pt modelId="{95D115B9-3817-4F30-BC77-D7F9529339A6}" type="pres">
      <dgm:prSet presAssocID="{1A569E30-937F-4904-88CA-1C8DD51AF791}" presName="rootConnector" presStyleLbl="node3" presStyleIdx="0" presStyleCnt="0"/>
      <dgm:spPr/>
    </dgm:pt>
    <dgm:pt modelId="{F3980EA4-C2D8-4490-A72C-002E1860CAAD}" type="pres">
      <dgm:prSet presAssocID="{1A569E30-937F-4904-88CA-1C8DD51AF791}" presName="hierChild4" presStyleCnt="0"/>
      <dgm:spPr/>
    </dgm:pt>
    <dgm:pt modelId="{F0DA88D1-3D92-4AD6-978B-B1AA19E850DD}" type="pres">
      <dgm:prSet presAssocID="{87774D7B-42AC-4832-8762-24360B4FABFF}" presName="Name44" presStyleLbl="parChTrans1D4" presStyleIdx="20" presStyleCnt="29"/>
      <dgm:spPr/>
    </dgm:pt>
    <dgm:pt modelId="{2F3BBAB2-C3DA-43D4-BC0C-ECC1CC1BB254}" type="pres">
      <dgm:prSet presAssocID="{EDDD2953-7192-4A21-8C8D-2D068F8C3333}" presName="hierRoot2" presStyleCnt="0">
        <dgm:presLayoutVars>
          <dgm:hierBranch val="init"/>
        </dgm:presLayoutVars>
      </dgm:prSet>
      <dgm:spPr/>
    </dgm:pt>
    <dgm:pt modelId="{F2A6587A-6DC0-4AAB-AC64-2DAC0883B298}" type="pres">
      <dgm:prSet presAssocID="{EDDD2953-7192-4A21-8C8D-2D068F8C3333}" presName="rootComposite" presStyleCnt="0"/>
      <dgm:spPr/>
    </dgm:pt>
    <dgm:pt modelId="{407CA84F-7F26-4F8D-85E4-26D6112E50D0}" type="pres">
      <dgm:prSet presAssocID="{EDDD2953-7192-4A21-8C8D-2D068F8C3333}" presName="rootText" presStyleLbl="node1" presStyleIdx="34" presStyleCnt="48">
        <dgm:presLayoutVars>
          <dgm:chMax/>
          <dgm:chPref val="3"/>
        </dgm:presLayoutVars>
      </dgm:prSet>
      <dgm:spPr/>
    </dgm:pt>
    <dgm:pt modelId="{F1ADF4D2-5BD1-4B1C-986D-BEFB19ED6475}" type="pres">
      <dgm:prSet presAssocID="{EDDD2953-7192-4A21-8C8D-2D068F8C3333}" presName="titleText2" presStyleLbl="fgAcc1" presStyleIdx="34" presStyleCnt="48">
        <dgm:presLayoutVars>
          <dgm:chMax val="0"/>
          <dgm:chPref val="0"/>
        </dgm:presLayoutVars>
      </dgm:prSet>
      <dgm:spPr/>
    </dgm:pt>
    <dgm:pt modelId="{5CAAB9C2-A50B-43BD-9A3C-C05C0FFCC722}" type="pres">
      <dgm:prSet presAssocID="{EDDD2953-7192-4A21-8C8D-2D068F8C3333}" presName="rootConnector" presStyleLbl="node4" presStyleIdx="0" presStyleCnt="0"/>
      <dgm:spPr/>
    </dgm:pt>
    <dgm:pt modelId="{CF4BAEF9-8FB1-4517-806F-9E7081E0E29B}" type="pres">
      <dgm:prSet presAssocID="{EDDD2953-7192-4A21-8C8D-2D068F8C3333}" presName="hierChild4" presStyleCnt="0"/>
      <dgm:spPr/>
    </dgm:pt>
    <dgm:pt modelId="{E1E8C353-EDAD-40BA-8361-3AC9B208ABCF}" type="pres">
      <dgm:prSet presAssocID="{EDDD2953-7192-4A21-8C8D-2D068F8C3333}" presName="hierChild5" presStyleCnt="0"/>
      <dgm:spPr/>
    </dgm:pt>
    <dgm:pt modelId="{E8B219DF-8FE2-4FB9-A64B-F062D301D077}" type="pres">
      <dgm:prSet presAssocID="{C40722F0-6B71-4053-B9C1-5E2A846EA065}" presName="Name44" presStyleLbl="parChTrans1D4" presStyleIdx="21" presStyleCnt="29"/>
      <dgm:spPr/>
    </dgm:pt>
    <dgm:pt modelId="{A9139FA5-4605-4C2C-B6FB-1D7869C94460}" type="pres">
      <dgm:prSet presAssocID="{F93F2BB2-C1A3-4CA8-A9B9-7E0A9D0F9E7D}" presName="hierRoot2" presStyleCnt="0">
        <dgm:presLayoutVars>
          <dgm:hierBranch val="init"/>
        </dgm:presLayoutVars>
      </dgm:prSet>
      <dgm:spPr/>
    </dgm:pt>
    <dgm:pt modelId="{98FEABAE-BAF9-4CE0-B9B1-0F790314A6B1}" type="pres">
      <dgm:prSet presAssocID="{F93F2BB2-C1A3-4CA8-A9B9-7E0A9D0F9E7D}" presName="rootComposite" presStyleCnt="0"/>
      <dgm:spPr/>
    </dgm:pt>
    <dgm:pt modelId="{DED1B4A9-A09B-463D-9097-C9D780CBCEB5}" type="pres">
      <dgm:prSet presAssocID="{F93F2BB2-C1A3-4CA8-A9B9-7E0A9D0F9E7D}" presName="rootText" presStyleLbl="node1" presStyleIdx="35" presStyleCnt="48">
        <dgm:presLayoutVars>
          <dgm:chMax/>
          <dgm:chPref val="3"/>
        </dgm:presLayoutVars>
      </dgm:prSet>
      <dgm:spPr/>
    </dgm:pt>
    <dgm:pt modelId="{999C8EB7-F3F3-4881-8E2D-C941A99DD4F9}" type="pres">
      <dgm:prSet presAssocID="{F93F2BB2-C1A3-4CA8-A9B9-7E0A9D0F9E7D}" presName="titleText2" presStyleLbl="fgAcc1" presStyleIdx="35" presStyleCnt="48">
        <dgm:presLayoutVars>
          <dgm:chMax val="0"/>
          <dgm:chPref val="0"/>
        </dgm:presLayoutVars>
      </dgm:prSet>
      <dgm:spPr/>
    </dgm:pt>
    <dgm:pt modelId="{70F7AA5A-5B9C-47B0-B630-A9A85D9FC14B}" type="pres">
      <dgm:prSet presAssocID="{F93F2BB2-C1A3-4CA8-A9B9-7E0A9D0F9E7D}" presName="rootConnector" presStyleLbl="node4" presStyleIdx="0" presStyleCnt="0"/>
      <dgm:spPr/>
    </dgm:pt>
    <dgm:pt modelId="{8E82294A-9943-40A7-97E9-6C9E471FEF76}" type="pres">
      <dgm:prSet presAssocID="{F93F2BB2-C1A3-4CA8-A9B9-7E0A9D0F9E7D}" presName="hierChild4" presStyleCnt="0"/>
      <dgm:spPr/>
    </dgm:pt>
    <dgm:pt modelId="{EBC09BEE-EAAA-4384-AD02-D21EF5D30224}" type="pres">
      <dgm:prSet presAssocID="{F93F2BB2-C1A3-4CA8-A9B9-7E0A9D0F9E7D}" presName="hierChild5" presStyleCnt="0"/>
      <dgm:spPr/>
    </dgm:pt>
    <dgm:pt modelId="{FD9241F0-F46F-4849-8FD9-6CEDD626961B}" type="pres">
      <dgm:prSet presAssocID="{878346E3-8C64-42ED-816A-B1CE4FF74420}" presName="Name44" presStyleLbl="parChTrans1D4" presStyleIdx="22" presStyleCnt="29"/>
      <dgm:spPr/>
    </dgm:pt>
    <dgm:pt modelId="{1677CEC9-5FB3-4E42-851A-996F4B214C20}" type="pres">
      <dgm:prSet presAssocID="{40A61076-DA91-47A8-A767-A7751DD3A9B8}" presName="hierRoot2" presStyleCnt="0">
        <dgm:presLayoutVars>
          <dgm:hierBranch val="init"/>
        </dgm:presLayoutVars>
      </dgm:prSet>
      <dgm:spPr/>
    </dgm:pt>
    <dgm:pt modelId="{575E6B1C-D125-4323-BBE2-25F6F3F715F9}" type="pres">
      <dgm:prSet presAssocID="{40A61076-DA91-47A8-A767-A7751DD3A9B8}" presName="rootComposite" presStyleCnt="0"/>
      <dgm:spPr/>
    </dgm:pt>
    <dgm:pt modelId="{E85AC1B9-667E-429F-AAE4-DB16B38A802E}" type="pres">
      <dgm:prSet presAssocID="{40A61076-DA91-47A8-A767-A7751DD3A9B8}" presName="rootText" presStyleLbl="node1" presStyleIdx="36" presStyleCnt="48">
        <dgm:presLayoutVars>
          <dgm:chMax/>
          <dgm:chPref val="3"/>
        </dgm:presLayoutVars>
      </dgm:prSet>
      <dgm:spPr/>
    </dgm:pt>
    <dgm:pt modelId="{8C6E2BA0-4419-4369-A683-78FC3BB7F6A7}" type="pres">
      <dgm:prSet presAssocID="{40A61076-DA91-47A8-A767-A7751DD3A9B8}" presName="titleText2" presStyleLbl="fgAcc1" presStyleIdx="36" presStyleCnt="48">
        <dgm:presLayoutVars>
          <dgm:chMax val="0"/>
          <dgm:chPref val="0"/>
        </dgm:presLayoutVars>
      </dgm:prSet>
      <dgm:spPr/>
    </dgm:pt>
    <dgm:pt modelId="{6B9D259E-1D95-406A-9E5F-FB7C7737CD09}" type="pres">
      <dgm:prSet presAssocID="{40A61076-DA91-47A8-A767-A7751DD3A9B8}" presName="rootConnector" presStyleLbl="node4" presStyleIdx="0" presStyleCnt="0"/>
      <dgm:spPr/>
    </dgm:pt>
    <dgm:pt modelId="{98C98210-0A72-4534-9C1F-9AFBD5CF66C6}" type="pres">
      <dgm:prSet presAssocID="{40A61076-DA91-47A8-A767-A7751DD3A9B8}" presName="hierChild4" presStyleCnt="0"/>
      <dgm:spPr/>
    </dgm:pt>
    <dgm:pt modelId="{C5823C38-BB67-48DA-A069-8C036319B263}" type="pres">
      <dgm:prSet presAssocID="{40A61076-DA91-47A8-A767-A7751DD3A9B8}" presName="hierChild5" presStyleCnt="0"/>
      <dgm:spPr/>
    </dgm:pt>
    <dgm:pt modelId="{CCFBC367-DA40-467C-ADC9-BB5CB621FE6D}" type="pres">
      <dgm:prSet presAssocID="{3C574F4D-298E-4306-9B11-DCEDC5F7E73F}" presName="Name44" presStyleLbl="parChTrans1D4" presStyleIdx="23" presStyleCnt="29"/>
      <dgm:spPr/>
    </dgm:pt>
    <dgm:pt modelId="{1A7BB1E3-066B-4117-A3F5-5FFC7BB126B7}" type="pres">
      <dgm:prSet presAssocID="{769C65BC-A8BD-4DCC-BE4D-60D934746620}" presName="hierRoot2" presStyleCnt="0">
        <dgm:presLayoutVars>
          <dgm:hierBranch val="init"/>
        </dgm:presLayoutVars>
      </dgm:prSet>
      <dgm:spPr/>
    </dgm:pt>
    <dgm:pt modelId="{AA0BC5BD-E086-4C49-BA74-DE1CD7CFAE90}" type="pres">
      <dgm:prSet presAssocID="{769C65BC-A8BD-4DCC-BE4D-60D934746620}" presName="rootComposite" presStyleCnt="0"/>
      <dgm:spPr/>
    </dgm:pt>
    <dgm:pt modelId="{3C264107-59F7-46E0-852A-C7DE39952C9D}" type="pres">
      <dgm:prSet presAssocID="{769C65BC-A8BD-4DCC-BE4D-60D934746620}" presName="rootText" presStyleLbl="node1" presStyleIdx="37" presStyleCnt="48">
        <dgm:presLayoutVars>
          <dgm:chMax/>
          <dgm:chPref val="3"/>
        </dgm:presLayoutVars>
      </dgm:prSet>
      <dgm:spPr/>
    </dgm:pt>
    <dgm:pt modelId="{F7DC6F0D-2E0D-407C-B403-86685822E51E}" type="pres">
      <dgm:prSet presAssocID="{769C65BC-A8BD-4DCC-BE4D-60D934746620}" presName="titleText2" presStyleLbl="fgAcc1" presStyleIdx="37" presStyleCnt="48">
        <dgm:presLayoutVars>
          <dgm:chMax val="0"/>
          <dgm:chPref val="0"/>
        </dgm:presLayoutVars>
      </dgm:prSet>
      <dgm:spPr/>
    </dgm:pt>
    <dgm:pt modelId="{547B8573-7E03-4763-A415-4F0DEF31B99A}" type="pres">
      <dgm:prSet presAssocID="{769C65BC-A8BD-4DCC-BE4D-60D934746620}" presName="rootConnector" presStyleLbl="node4" presStyleIdx="0" presStyleCnt="0"/>
      <dgm:spPr/>
    </dgm:pt>
    <dgm:pt modelId="{D9C5F7A6-DE99-4041-976A-44A938BC27CD}" type="pres">
      <dgm:prSet presAssocID="{769C65BC-A8BD-4DCC-BE4D-60D934746620}" presName="hierChild4" presStyleCnt="0"/>
      <dgm:spPr/>
    </dgm:pt>
    <dgm:pt modelId="{6EA592E0-AA07-4AE0-8591-027229109F9C}" type="pres">
      <dgm:prSet presAssocID="{769C65BC-A8BD-4DCC-BE4D-60D934746620}" presName="hierChild5" presStyleCnt="0"/>
      <dgm:spPr/>
    </dgm:pt>
    <dgm:pt modelId="{999E9AF3-7A99-4C95-85B0-7F47F4AD18B4}" type="pres">
      <dgm:prSet presAssocID="{C00E2169-7733-4DB3-88A6-B7EC5C74D57D}" presName="Name44" presStyleLbl="parChTrans1D4" presStyleIdx="24" presStyleCnt="29"/>
      <dgm:spPr/>
    </dgm:pt>
    <dgm:pt modelId="{F4483D8F-E8FF-4194-8C7E-D49798EE78B6}" type="pres">
      <dgm:prSet presAssocID="{E58525F7-6FD9-448A-8404-8A7098194956}" presName="hierRoot2" presStyleCnt="0">
        <dgm:presLayoutVars>
          <dgm:hierBranch val="init"/>
        </dgm:presLayoutVars>
      </dgm:prSet>
      <dgm:spPr/>
    </dgm:pt>
    <dgm:pt modelId="{E612EE2B-189F-477C-9883-8F7D8030B9C3}" type="pres">
      <dgm:prSet presAssocID="{E58525F7-6FD9-448A-8404-8A7098194956}" presName="rootComposite" presStyleCnt="0"/>
      <dgm:spPr/>
    </dgm:pt>
    <dgm:pt modelId="{11E99FA4-EAAF-4CB3-A6A8-EBF087F801C0}" type="pres">
      <dgm:prSet presAssocID="{E58525F7-6FD9-448A-8404-8A7098194956}" presName="rootText" presStyleLbl="node1" presStyleIdx="38" presStyleCnt="48">
        <dgm:presLayoutVars>
          <dgm:chMax/>
          <dgm:chPref val="3"/>
        </dgm:presLayoutVars>
      </dgm:prSet>
      <dgm:spPr/>
    </dgm:pt>
    <dgm:pt modelId="{BB4B196B-FF06-4C54-A1B0-DA6A859E236E}" type="pres">
      <dgm:prSet presAssocID="{E58525F7-6FD9-448A-8404-8A7098194956}" presName="titleText2" presStyleLbl="fgAcc1" presStyleIdx="38" presStyleCnt="48">
        <dgm:presLayoutVars>
          <dgm:chMax val="0"/>
          <dgm:chPref val="0"/>
        </dgm:presLayoutVars>
      </dgm:prSet>
      <dgm:spPr/>
    </dgm:pt>
    <dgm:pt modelId="{0B08242C-BBD4-43A2-BFE1-C70B3891B683}" type="pres">
      <dgm:prSet presAssocID="{E58525F7-6FD9-448A-8404-8A7098194956}" presName="rootConnector" presStyleLbl="node4" presStyleIdx="0" presStyleCnt="0"/>
      <dgm:spPr/>
    </dgm:pt>
    <dgm:pt modelId="{900A2E05-34C7-4A9E-8ABF-BF00F266AA38}" type="pres">
      <dgm:prSet presAssocID="{E58525F7-6FD9-448A-8404-8A7098194956}" presName="hierChild4" presStyleCnt="0"/>
      <dgm:spPr/>
    </dgm:pt>
    <dgm:pt modelId="{6655B647-F9E2-4309-9F99-0066A46DAFC9}" type="pres">
      <dgm:prSet presAssocID="{E58525F7-6FD9-448A-8404-8A7098194956}" presName="hierChild5" presStyleCnt="0"/>
      <dgm:spPr/>
    </dgm:pt>
    <dgm:pt modelId="{1249C2EE-CF69-4FE6-A430-4FBB6891E8C8}" type="pres">
      <dgm:prSet presAssocID="{1A569E30-937F-4904-88CA-1C8DD51AF791}" presName="hierChild5" presStyleCnt="0"/>
      <dgm:spPr/>
    </dgm:pt>
    <dgm:pt modelId="{4DF396A0-D096-4B34-9B34-885FE7AD1F93}" type="pres">
      <dgm:prSet presAssocID="{75BCF308-B12A-40F8-AF41-2AAED971F0BD}" presName="hierChild5" presStyleCnt="0"/>
      <dgm:spPr/>
    </dgm:pt>
    <dgm:pt modelId="{C4806FF5-0F73-42BE-B14B-6EE4A529F02E}" type="pres">
      <dgm:prSet presAssocID="{8F1E54FB-763A-4D00-B340-10FABD126BE3}" presName="Name37" presStyleLbl="parChTrans1D2" presStyleIdx="3" presStyleCnt="5"/>
      <dgm:spPr/>
    </dgm:pt>
    <dgm:pt modelId="{77A80244-DB68-46CD-8065-7E0038F9AA86}" type="pres">
      <dgm:prSet presAssocID="{C990A5E1-ADA8-4E1D-9EE1-88224A00A357}" presName="hierRoot2" presStyleCnt="0">
        <dgm:presLayoutVars>
          <dgm:hierBranch val="init"/>
        </dgm:presLayoutVars>
      </dgm:prSet>
      <dgm:spPr/>
    </dgm:pt>
    <dgm:pt modelId="{A8F6DEE0-BACD-47D5-A695-FCE124E6F137}" type="pres">
      <dgm:prSet presAssocID="{C990A5E1-ADA8-4E1D-9EE1-88224A00A357}" presName="rootComposite" presStyleCnt="0"/>
      <dgm:spPr/>
    </dgm:pt>
    <dgm:pt modelId="{D6ACDEE1-5C4E-416E-847D-7A598B89CED0}" type="pres">
      <dgm:prSet presAssocID="{C990A5E1-ADA8-4E1D-9EE1-88224A00A357}" presName="rootText" presStyleLbl="node1" presStyleIdx="39" presStyleCnt="48" custScaleX="204342">
        <dgm:presLayoutVars>
          <dgm:chMax/>
          <dgm:chPref val="3"/>
        </dgm:presLayoutVars>
      </dgm:prSet>
      <dgm:spPr>
        <a:xfrm>
          <a:off x="10299273" y="1451705"/>
          <a:ext cx="1091363" cy="276526"/>
        </a:xfrm>
        <a:prstGeom prst="rect">
          <a:avLst/>
        </a:prstGeom>
      </dgm:spPr>
    </dgm:pt>
    <dgm:pt modelId="{1888C889-CCB3-4620-816A-8602AF16DA18}" type="pres">
      <dgm:prSet presAssocID="{C990A5E1-ADA8-4E1D-9EE1-88224A00A357}" presName="titleText2" presStyleLbl="fgAcc1" presStyleIdx="39" presStyleCnt="48">
        <dgm:presLayoutVars>
          <dgm:chMax val="0"/>
          <dgm:chPref val="0"/>
        </dgm:presLayoutVars>
      </dgm:prSet>
      <dgm:spPr/>
    </dgm:pt>
    <dgm:pt modelId="{5043B625-E9EE-4256-A77F-6529F26F1DD0}" type="pres">
      <dgm:prSet presAssocID="{C990A5E1-ADA8-4E1D-9EE1-88224A00A357}" presName="rootConnector" presStyleLbl="node2" presStyleIdx="0" presStyleCnt="0"/>
      <dgm:spPr/>
    </dgm:pt>
    <dgm:pt modelId="{5228EAC1-AC6F-4EA3-AD31-8E8982F53E89}" type="pres">
      <dgm:prSet presAssocID="{C990A5E1-ADA8-4E1D-9EE1-88224A00A357}" presName="hierChild4" presStyleCnt="0"/>
      <dgm:spPr/>
    </dgm:pt>
    <dgm:pt modelId="{17C0E377-961B-4B01-8864-941768A826A6}" type="pres">
      <dgm:prSet presAssocID="{62B2C482-59FD-429F-B493-E7418F1BF531}" presName="Name37" presStyleLbl="parChTrans1D3" presStyleIdx="11" presStyleCnt="14"/>
      <dgm:spPr/>
    </dgm:pt>
    <dgm:pt modelId="{5F5C9CD3-BC60-46DA-AD67-973CD661D1F3}" type="pres">
      <dgm:prSet presAssocID="{FDE8042C-5979-4EAC-8E41-15DC67849914}" presName="hierRoot2" presStyleCnt="0">
        <dgm:presLayoutVars>
          <dgm:hierBranch val="init"/>
        </dgm:presLayoutVars>
      </dgm:prSet>
      <dgm:spPr/>
    </dgm:pt>
    <dgm:pt modelId="{E44E5898-0C24-4F2C-BC2D-03B2C1A4D962}" type="pres">
      <dgm:prSet presAssocID="{FDE8042C-5979-4EAC-8E41-15DC67849914}" presName="rootComposite" presStyleCnt="0"/>
      <dgm:spPr/>
    </dgm:pt>
    <dgm:pt modelId="{DECD435F-9BEF-4D02-A481-5DEC89B26A35}" type="pres">
      <dgm:prSet presAssocID="{FDE8042C-5979-4EAC-8E41-15DC67849914}" presName="rootText" presStyleLbl="node1" presStyleIdx="40" presStyleCnt="48" custScaleX="165336">
        <dgm:presLayoutVars>
          <dgm:chMax/>
          <dgm:chPref val="3"/>
        </dgm:presLayoutVars>
      </dgm:prSet>
      <dgm:spPr>
        <a:xfrm>
          <a:off x="9413541" y="1927947"/>
          <a:ext cx="835961" cy="261784"/>
        </a:xfrm>
        <a:prstGeom prst="plaque">
          <a:avLst/>
        </a:prstGeom>
      </dgm:spPr>
    </dgm:pt>
    <dgm:pt modelId="{40A51010-A244-4476-8A73-E299997DB333}" type="pres">
      <dgm:prSet presAssocID="{FDE8042C-5979-4EAC-8E41-15DC67849914}" presName="titleText2" presStyleLbl="fgAcc1" presStyleIdx="40" presStyleCnt="48">
        <dgm:presLayoutVars>
          <dgm:chMax val="0"/>
          <dgm:chPref val="0"/>
        </dgm:presLayoutVars>
      </dgm:prSet>
      <dgm:spPr/>
    </dgm:pt>
    <dgm:pt modelId="{4F340C7B-D382-48E8-90EA-3E9F9271D406}" type="pres">
      <dgm:prSet presAssocID="{FDE8042C-5979-4EAC-8E41-15DC67849914}" presName="rootConnector" presStyleLbl="node3" presStyleIdx="0" presStyleCnt="0"/>
      <dgm:spPr/>
    </dgm:pt>
    <dgm:pt modelId="{532EA6CE-C9FA-4C69-B784-F9B8938CDE66}" type="pres">
      <dgm:prSet presAssocID="{FDE8042C-5979-4EAC-8E41-15DC67849914}" presName="hierChild4" presStyleCnt="0"/>
      <dgm:spPr/>
    </dgm:pt>
    <dgm:pt modelId="{C9FCDA64-E4D2-49F4-9F86-65418F2A6E46}" type="pres">
      <dgm:prSet presAssocID="{3B60A87F-9AFA-40CA-A39F-71D0FA6A1D8C}" presName="Name37" presStyleLbl="parChTrans1D4" presStyleIdx="25" presStyleCnt="29"/>
      <dgm:spPr/>
    </dgm:pt>
    <dgm:pt modelId="{DA23E7E4-2E83-444F-930E-3E2C1DB3AD0B}" type="pres">
      <dgm:prSet presAssocID="{F2D48815-EC77-46DE-BD8E-911F964F021C}" presName="hierRoot2" presStyleCnt="0">
        <dgm:presLayoutVars>
          <dgm:hierBranch val="init"/>
        </dgm:presLayoutVars>
      </dgm:prSet>
      <dgm:spPr/>
    </dgm:pt>
    <dgm:pt modelId="{D07EC6FE-0991-4F79-876A-73CDE0350953}" type="pres">
      <dgm:prSet presAssocID="{F2D48815-EC77-46DE-BD8E-911F964F021C}" presName="rootComposite" presStyleCnt="0"/>
      <dgm:spPr/>
    </dgm:pt>
    <dgm:pt modelId="{AE163968-C8F5-4CDE-8368-4B26A70FA89D}" type="pres">
      <dgm:prSet presAssocID="{F2D48815-EC77-46DE-BD8E-911F964F021C}" presName="rootText" presStyleLbl="node1" presStyleIdx="41" presStyleCnt="48" custLinFactNeighborX="1829" custLinFactNeighborY="-11722">
        <dgm:presLayoutVars>
          <dgm:chMax/>
          <dgm:chPref val="3"/>
        </dgm:presLayoutVars>
      </dgm:prSet>
      <dgm:spPr>
        <a:xfrm>
          <a:off x="10114696" y="2324299"/>
          <a:ext cx="534086" cy="276526"/>
        </a:xfrm>
        <a:prstGeom prst="rect">
          <a:avLst/>
        </a:prstGeom>
      </dgm:spPr>
    </dgm:pt>
    <dgm:pt modelId="{36541323-45F0-46FD-8FD0-F0D6ACB14DAD}" type="pres">
      <dgm:prSet presAssocID="{F2D48815-EC77-46DE-BD8E-911F964F021C}" presName="titleText2" presStyleLbl="fgAcc1" presStyleIdx="41" presStyleCnt="48">
        <dgm:presLayoutVars>
          <dgm:chMax val="0"/>
          <dgm:chPref val="0"/>
        </dgm:presLayoutVars>
      </dgm:prSet>
      <dgm:spPr/>
    </dgm:pt>
    <dgm:pt modelId="{33D26CE8-D976-4B7F-846D-D19CBF710402}" type="pres">
      <dgm:prSet presAssocID="{F2D48815-EC77-46DE-BD8E-911F964F021C}" presName="rootConnector" presStyleLbl="node4" presStyleIdx="0" presStyleCnt="0"/>
      <dgm:spPr/>
    </dgm:pt>
    <dgm:pt modelId="{8FBE5359-83BA-44F5-B204-676B45942157}" type="pres">
      <dgm:prSet presAssocID="{F2D48815-EC77-46DE-BD8E-911F964F021C}" presName="hierChild4" presStyleCnt="0"/>
      <dgm:spPr/>
    </dgm:pt>
    <dgm:pt modelId="{9D48E6ED-8E33-4E09-B521-4B6B7D71854E}" type="pres">
      <dgm:prSet presAssocID="{F2D48815-EC77-46DE-BD8E-911F964F021C}" presName="hierChild5" presStyleCnt="0"/>
      <dgm:spPr/>
    </dgm:pt>
    <dgm:pt modelId="{6C9EB9F2-585D-4357-9262-AB5F4BBE28A1}" type="pres">
      <dgm:prSet presAssocID="{FDE8042C-5979-4EAC-8E41-15DC67849914}" presName="hierChild5" presStyleCnt="0"/>
      <dgm:spPr/>
    </dgm:pt>
    <dgm:pt modelId="{1C2C35A0-DA36-4916-81AB-51B535A188D6}" type="pres">
      <dgm:prSet presAssocID="{3DEA0941-3EB7-4C39-9548-5A620900EC81}" presName="Name37" presStyleLbl="parChTrans1D3" presStyleIdx="12" presStyleCnt="14"/>
      <dgm:spPr/>
    </dgm:pt>
    <dgm:pt modelId="{5950C762-832D-46E5-9AD2-24AE0F9FF2A6}" type="pres">
      <dgm:prSet presAssocID="{744C0E84-0471-4E3B-BBEE-7990758CABB7}" presName="hierRoot2" presStyleCnt="0">
        <dgm:presLayoutVars>
          <dgm:hierBranch val="init"/>
        </dgm:presLayoutVars>
      </dgm:prSet>
      <dgm:spPr/>
    </dgm:pt>
    <dgm:pt modelId="{C939FF1A-DDCA-4C6A-80A0-C8FE2733EC33}" type="pres">
      <dgm:prSet presAssocID="{744C0E84-0471-4E3B-BBEE-7990758CABB7}" presName="rootComposite" presStyleCnt="0"/>
      <dgm:spPr/>
    </dgm:pt>
    <dgm:pt modelId="{C7BF0D82-8D65-4535-9821-739EF66AC0DD}" type="pres">
      <dgm:prSet presAssocID="{744C0E84-0471-4E3B-BBEE-7990758CABB7}" presName="rootText" presStyleLbl="node1" presStyleIdx="42" presStyleCnt="48" custScaleX="151049">
        <dgm:presLayoutVars>
          <dgm:chMax/>
          <dgm:chPref val="3"/>
        </dgm:presLayoutVars>
      </dgm:prSet>
      <dgm:spPr>
        <a:xfrm>
          <a:off x="11050009" y="1927947"/>
          <a:ext cx="763724" cy="261784"/>
        </a:xfrm>
        <a:prstGeom prst="plaque">
          <a:avLst/>
        </a:prstGeom>
      </dgm:spPr>
    </dgm:pt>
    <dgm:pt modelId="{3C78A9C6-BB0E-4996-9576-402F0E96566C}" type="pres">
      <dgm:prSet presAssocID="{744C0E84-0471-4E3B-BBEE-7990758CABB7}" presName="titleText2" presStyleLbl="fgAcc1" presStyleIdx="42" presStyleCnt="48">
        <dgm:presLayoutVars>
          <dgm:chMax val="0"/>
          <dgm:chPref val="0"/>
        </dgm:presLayoutVars>
      </dgm:prSet>
      <dgm:spPr/>
    </dgm:pt>
    <dgm:pt modelId="{3D140855-3F24-4F20-AD7A-E1A992E713F1}" type="pres">
      <dgm:prSet presAssocID="{744C0E84-0471-4E3B-BBEE-7990758CABB7}" presName="rootConnector" presStyleLbl="node3" presStyleIdx="0" presStyleCnt="0"/>
      <dgm:spPr/>
    </dgm:pt>
    <dgm:pt modelId="{EDB0A32B-CE3D-44F7-A956-EA77627E4D02}" type="pres">
      <dgm:prSet presAssocID="{744C0E84-0471-4E3B-BBEE-7990758CABB7}" presName="hierChild4" presStyleCnt="0"/>
      <dgm:spPr/>
    </dgm:pt>
    <dgm:pt modelId="{64FD4C06-405F-4F77-8666-6546A82F8B82}" type="pres">
      <dgm:prSet presAssocID="{50187976-E2FD-4741-BA8B-DFB5A1C8B723}" presName="Name37" presStyleLbl="parChTrans1D4" presStyleIdx="26" presStyleCnt="29"/>
      <dgm:spPr/>
    </dgm:pt>
    <dgm:pt modelId="{1B037245-813D-4119-A256-C9D4B26077A7}" type="pres">
      <dgm:prSet presAssocID="{8C5B1473-5021-48AC-B977-AA217CBFFC7F}" presName="hierRoot2" presStyleCnt="0">
        <dgm:presLayoutVars>
          <dgm:hierBranch val="init"/>
        </dgm:presLayoutVars>
      </dgm:prSet>
      <dgm:spPr/>
    </dgm:pt>
    <dgm:pt modelId="{1D9D79F2-3593-4511-B2E1-9408F91FAABE}" type="pres">
      <dgm:prSet presAssocID="{8C5B1473-5021-48AC-B977-AA217CBFFC7F}" presName="rootComposite" presStyleCnt="0"/>
      <dgm:spPr/>
    </dgm:pt>
    <dgm:pt modelId="{DEA35268-0556-4DD4-8D4A-1E9ED04F6314}" type="pres">
      <dgm:prSet presAssocID="{8C5B1473-5021-48AC-B977-AA217CBFFC7F}" presName="rootText" presStyleLbl="node1" presStyleIdx="43" presStyleCnt="48">
        <dgm:presLayoutVars>
          <dgm:chMax/>
          <dgm:chPref val="3"/>
        </dgm:presLayoutVars>
      </dgm:prSet>
      <dgm:spPr/>
    </dgm:pt>
    <dgm:pt modelId="{0408A24D-BB4D-4C78-B91E-8A32C55D7887}" type="pres">
      <dgm:prSet presAssocID="{8C5B1473-5021-48AC-B977-AA217CBFFC7F}" presName="titleText2" presStyleLbl="fgAcc1" presStyleIdx="43" presStyleCnt="48">
        <dgm:presLayoutVars>
          <dgm:chMax val="0"/>
          <dgm:chPref val="0"/>
        </dgm:presLayoutVars>
      </dgm:prSet>
      <dgm:spPr/>
    </dgm:pt>
    <dgm:pt modelId="{80F9199A-2EE1-4FBA-9982-25ABFF45CC9B}" type="pres">
      <dgm:prSet presAssocID="{8C5B1473-5021-48AC-B977-AA217CBFFC7F}" presName="rootConnector" presStyleLbl="node4" presStyleIdx="0" presStyleCnt="0"/>
      <dgm:spPr/>
    </dgm:pt>
    <dgm:pt modelId="{10A1693D-9BAB-48A1-A8B0-734E39F76AE4}" type="pres">
      <dgm:prSet presAssocID="{8C5B1473-5021-48AC-B977-AA217CBFFC7F}" presName="hierChild4" presStyleCnt="0"/>
      <dgm:spPr/>
    </dgm:pt>
    <dgm:pt modelId="{638411CF-6FCA-4723-8021-E0DFD4229DA9}" type="pres">
      <dgm:prSet presAssocID="{8C5B1473-5021-48AC-B977-AA217CBFFC7F}" presName="hierChild5" presStyleCnt="0"/>
      <dgm:spPr/>
    </dgm:pt>
    <dgm:pt modelId="{6955C9C3-02AA-4E9E-9650-5AB6827F1037}" type="pres">
      <dgm:prSet presAssocID="{06C295B5-A5A7-43C6-9F85-E8690B8944BA}" presName="Name37" presStyleLbl="parChTrans1D4" presStyleIdx="27" presStyleCnt="29"/>
      <dgm:spPr/>
    </dgm:pt>
    <dgm:pt modelId="{5042901A-E105-47D1-ADF6-E8A5F97BC164}" type="pres">
      <dgm:prSet presAssocID="{6618142D-B9B6-4E16-8E82-FE8D284D36E2}" presName="hierRoot2" presStyleCnt="0">
        <dgm:presLayoutVars>
          <dgm:hierBranch val="init"/>
        </dgm:presLayoutVars>
      </dgm:prSet>
      <dgm:spPr/>
    </dgm:pt>
    <dgm:pt modelId="{AE52D497-463B-46F1-B8CB-47DE194C16E6}" type="pres">
      <dgm:prSet presAssocID="{6618142D-B9B6-4E16-8E82-FE8D284D36E2}" presName="rootComposite" presStyleCnt="0"/>
      <dgm:spPr/>
    </dgm:pt>
    <dgm:pt modelId="{73438895-88BB-4DE4-819D-DEECC1A76F75}" type="pres">
      <dgm:prSet presAssocID="{6618142D-B9B6-4E16-8E82-FE8D284D36E2}" presName="rootText" presStyleLbl="node1" presStyleIdx="44" presStyleCnt="48">
        <dgm:presLayoutVars>
          <dgm:chMax/>
          <dgm:chPref val="3"/>
        </dgm:presLayoutVars>
      </dgm:prSet>
      <dgm:spPr/>
    </dgm:pt>
    <dgm:pt modelId="{0BDBAF9E-3423-4584-ABC0-48A2C0A2AB96}" type="pres">
      <dgm:prSet presAssocID="{6618142D-B9B6-4E16-8E82-FE8D284D36E2}" presName="titleText2" presStyleLbl="fgAcc1" presStyleIdx="44" presStyleCnt="48">
        <dgm:presLayoutVars>
          <dgm:chMax val="0"/>
          <dgm:chPref val="0"/>
        </dgm:presLayoutVars>
      </dgm:prSet>
      <dgm:spPr/>
    </dgm:pt>
    <dgm:pt modelId="{6C242A2E-6772-40D7-8C82-27B6EB5D3217}" type="pres">
      <dgm:prSet presAssocID="{6618142D-B9B6-4E16-8E82-FE8D284D36E2}" presName="rootConnector" presStyleLbl="node4" presStyleIdx="0" presStyleCnt="0"/>
      <dgm:spPr/>
    </dgm:pt>
    <dgm:pt modelId="{A2E7630F-45CE-4121-B5A7-34FEBA214A70}" type="pres">
      <dgm:prSet presAssocID="{6618142D-B9B6-4E16-8E82-FE8D284D36E2}" presName="hierChild4" presStyleCnt="0"/>
      <dgm:spPr/>
    </dgm:pt>
    <dgm:pt modelId="{0C0B9777-5DB9-4B8E-9BF5-BE6D584DB767}" type="pres">
      <dgm:prSet presAssocID="{6618142D-B9B6-4E16-8E82-FE8D284D36E2}" presName="hierChild5" presStyleCnt="0"/>
      <dgm:spPr/>
    </dgm:pt>
    <dgm:pt modelId="{51521855-0CC8-41B8-B5B5-3699E6D92FE2}" type="pres">
      <dgm:prSet presAssocID="{744C0E84-0471-4E3B-BBEE-7990758CABB7}" presName="hierChild5" presStyleCnt="0"/>
      <dgm:spPr/>
    </dgm:pt>
    <dgm:pt modelId="{FF68E383-611B-4B47-9FD4-7DC333700DB8}" type="pres">
      <dgm:prSet presAssocID="{C990A5E1-ADA8-4E1D-9EE1-88224A00A357}" presName="hierChild5" presStyleCnt="0"/>
      <dgm:spPr/>
    </dgm:pt>
    <dgm:pt modelId="{BA7B61B4-2AA7-4E19-B8D2-5F6F2C88982B}" type="pres">
      <dgm:prSet presAssocID="{CAFFD85F-239E-47F4-8282-72AFDA52238F}" presName="Name37" presStyleLbl="parChTrans1D2" presStyleIdx="4" presStyleCnt="5"/>
      <dgm:spPr/>
    </dgm:pt>
    <dgm:pt modelId="{E73D2D7E-ABDC-4E2B-ADE2-2800496AF85C}" type="pres">
      <dgm:prSet presAssocID="{5AE57848-827A-47E1-92D1-F08088ED49E3}" presName="hierRoot2" presStyleCnt="0">
        <dgm:presLayoutVars>
          <dgm:hierBranch val="init"/>
        </dgm:presLayoutVars>
      </dgm:prSet>
      <dgm:spPr/>
    </dgm:pt>
    <dgm:pt modelId="{EF5645CC-0EFF-4E21-B6C4-F2E3BDCF16A5}" type="pres">
      <dgm:prSet presAssocID="{5AE57848-827A-47E1-92D1-F08088ED49E3}" presName="rootComposite" presStyleCnt="0"/>
      <dgm:spPr/>
    </dgm:pt>
    <dgm:pt modelId="{B32EA8D3-0905-45C8-87FB-5245D4D65938}" type="pres">
      <dgm:prSet presAssocID="{5AE57848-827A-47E1-92D1-F08088ED49E3}" presName="rootText" presStyleLbl="node1" presStyleIdx="45" presStyleCnt="48" custScaleX="183433">
        <dgm:presLayoutVars>
          <dgm:chMax/>
          <dgm:chPref val="3"/>
        </dgm:presLayoutVars>
      </dgm:prSet>
      <dgm:spPr>
        <a:xfrm>
          <a:off x="12085926" y="1451705"/>
          <a:ext cx="534086" cy="276526"/>
        </a:xfrm>
        <a:prstGeom prst="rect">
          <a:avLst/>
        </a:prstGeom>
      </dgm:spPr>
    </dgm:pt>
    <dgm:pt modelId="{1F0AC1AC-1501-4F43-9873-A63D35F3A6EB}" type="pres">
      <dgm:prSet presAssocID="{5AE57848-827A-47E1-92D1-F08088ED49E3}" presName="titleText2" presStyleLbl="fgAcc1" presStyleIdx="45" presStyleCnt="48">
        <dgm:presLayoutVars>
          <dgm:chMax val="0"/>
          <dgm:chPref val="0"/>
        </dgm:presLayoutVars>
      </dgm:prSet>
      <dgm:spPr/>
    </dgm:pt>
    <dgm:pt modelId="{8E6C1C07-EB33-4DB1-9DE0-D33C0105E3BE}" type="pres">
      <dgm:prSet presAssocID="{5AE57848-827A-47E1-92D1-F08088ED49E3}" presName="rootConnector" presStyleLbl="node2" presStyleIdx="0" presStyleCnt="0"/>
      <dgm:spPr/>
    </dgm:pt>
    <dgm:pt modelId="{99EE5E5E-7E52-41F0-BE3B-90B46919CE52}" type="pres">
      <dgm:prSet presAssocID="{5AE57848-827A-47E1-92D1-F08088ED49E3}" presName="hierChild4" presStyleCnt="0"/>
      <dgm:spPr/>
    </dgm:pt>
    <dgm:pt modelId="{5F8B05EB-A732-4B65-8DB0-4496F54D3917}" type="pres">
      <dgm:prSet presAssocID="{C8E795B2-1818-4506-B346-FB160528F26B}" presName="Name37" presStyleLbl="parChTrans1D3" presStyleIdx="13" presStyleCnt="14"/>
      <dgm:spPr/>
    </dgm:pt>
    <dgm:pt modelId="{E8F583E1-C5EB-44A9-B18B-F29DCF58E9FE}" type="pres">
      <dgm:prSet presAssocID="{875E5923-6B98-48CB-841C-0469D62FE199}" presName="hierRoot2" presStyleCnt="0">
        <dgm:presLayoutVars>
          <dgm:hierBranch val="init"/>
        </dgm:presLayoutVars>
      </dgm:prSet>
      <dgm:spPr/>
    </dgm:pt>
    <dgm:pt modelId="{A3193406-6102-4B5D-84D4-2FD8475E3B1A}" type="pres">
      <dgm:prSet presAssocID="{875E5923-6B98-48CB-841C-0469D62FE199}" presName="rootComposite" presStyleCnt="0"/>
      <dgm:spPr/>
    </dgm:pt>
    <dgm:pt modelId="{FCEBCD66-20A7-49BB-9CA1-3CAA56596B93}" type="pres">
      <dgm:prSet presAssocID="{875E5923-6B98-48CB-841C-0469D62FE199}" presName="rootText" presStyleLbl="node1" presStyleIdx="46" presStyleCnt="48" custScaleX="185837">
        <dgm:presLayoutVars>
          <dgm:chMax/>
          <dgm:chPref val="3"/>
        </dgm:presLayoutVars>
      </dgm:prSet>
      <dgm:spPr>
        <a:xfrm>
          <a:off x="11883408" y="1888002"/>
          <a:ext cx="992530" cy="276526"/>
        </a:xfrm>
        <a:prstGeom prst="plaque">
          <a:avLst/>
        </a:prstGeom>
      </dgm:spPr>
    </dgm:pt>
    <dgm:pt modelId="{D92C7AD9-5FEB-47A5-8B7F-17A4D7720804}" type="pres">
      <dgm:prSet presAssocID="{875E5923-6B98-48CB-841C-0469D62FE199}" presName="titleText2" presStyleLbl="fgAcc1" presStyleIdx="46" presStyleCnt="48">
        <dgm:presLayoutVars>
          <dgm:chMax val="0"/>
          <dgm:chPref val="0"/>
        </dgm:presLayoutVars>
      </dgm:prSet>
      <dgm:spPr/>
    </dgm:pt>
    <dgm:pt modelId="{ED56348A-0C8E-42C2-9F7A-DDD8251273B0}" type="pres">
      <dgm:prSet presAssocID="{875E5923-6B98-48CB-841C-0469D62FE199}" presName="rootConnector" presStyleLbl="node3" presStyleIdx="0" presStyleCnt="0"/>
      <dgm:spPr/>
    </dgm:pt>
    <dgm:pt modelId="{C022E354-243D-4DBF-A6DC-DB36829276A8}" type="pres">
      <dgm:prSet presAssocID="{875E5923-6B98-48CB-841C-0469D62FE199}" presName="hierChild4" presStyleCnt="0"/>
      <dgm:spPr/>
    </dgm:pt>
    <dgm:pt modelId="{05F24F6B-42CA-49F9-AA28-237D8F7A928A}" type="pres">
      <dgm:prSet presAssocID="{1BDBDEE5-8FD0-4519-8E36-6B102EC2F701}" presName="Name37" presStyleLbl="parChTrans1D4" presStyleIdx="28" presStyleCnt="29"/>
      <dgm:spPr/>
    </dgm:pt>
    <dgm:pt modelId="{F3A6646A-A88D-4740-B9FF-A472F7A6A7F8}" type="pres">
      <dgm:prSet presAssocID="{8CB44A18-F070-4EA8-BFEF-521BF9AC6FBF}" presName="hierRoot2" presStyleCnt="0">
        <dgm:presLayoutVars>
          <dgm:hierBranch val="init"/>
        </dgm:presLayoutVars>
      </dgm:prSet>
      <dgm:spPr/>
    </dgm:pt>
    <dgm:pt modelId="{BD27A40B-49F4-4B1B-8EF5-57C1DB0586A4}" type="pres">
      <dgm:prSet presAssocID="{8CB44A18-F070-4EA8-BFEF-521BF9AC6FBF}" presName="rootComposite" presStyleCnt="0"/>
      <dgm:spPr/>
    </dgm:pt>
    <dgm:pt modelId="{C8A8D71C-52D7-4B6F-96AD-9A23F9C58C85}" type="pres">
      <dgm:prSet presAssocID="{8CB44A18-F070-4EA8-BFEF-521BF9AC6FBF}" presName="rootText" presStyleLbl="node1" presStyleIdx="47" presStyleCnt="48" custScaleX="183161" custLinFactNeighborX="2356" custLinFactNeighborY="6110">
        <dgm:presLayoutVars>
          <dgm:chMax/>
          <dgm:chPref val="3"/>
        </dgm:presLayoutVars>
      </dgm:prSet>
      <dgm:spPr>
        <a:xfrm>
          <a:off x="12098509" y="2341195"/>
          <a:ext cx="534086" cy="276526"/>
        </a:xfrm>
        <a:prstGeom prst="rect">
          <a:avLst/>
        </a:prstGeom>
      </dgm:spPr>
    </dgm:pt>
    <dgm:pt modelId="{E2B66EEF-8637-4C9A-8508-285BC565F678}" type="pres">
      <dgm:prSet presAssocID="{8CB44A18-F070-4EA8-BFEF-521BF9AC6FBF}" presName="titleText2" presStyleLbl="fgAcc1" presStyleIdx="47" presStyleCnt="48">
        <dgm:presLayoutVars>
          <dgm:chMax val="0"/>
          <dgm:chPref val="0"/>
        </dgm:presLayoutVars>
      </dgm:prSet>
      <dgm:spPr/>
    </dgm:pt>
    <dgm:pt modelId="{11D5B773-E208-4764-A76D-F06002D0B287}" type="pres">
      <dgm:prSet presAssocID="{8CB44A18-F070-4EA8-BFEF-521BF9AC6FBF}" presName="rootConnector" presStyleLbl="node4" presStyleIdx="0" presStyleCnt="0"/>
      <dgm:spPr/>
    </dgm:pt>
    <dgm:pt modelId="{BEC2AC46-99F9-4D75-907B-1D1784828BFF}" type="pres">
      <dgm:prSet presAssocID="{8CB44A18-F070-4EA8-BFEF-521BF9AC6FBF}" presName="hierChild4" presStyleCnt="0"/>
      <dgm:spPr/>
    </dgm:pt>
    <dgm:pt modelId="{E312568D-389E-45D7-89FD-F840059F51CD}" type="pres">
      <dgm:prSet presAssocID="{8CB44A18-F070-4EA8-BFEF-521BF9AC6FBF}" presName="hierChild5" presStyleCnt="0"/>
      <dgm:spPr/>
    </dgm:pt>
    <dgm:pt modelId="{EBF8766F-F1A3-4634-AFA7-207F09FBB88F}" type="pres">
      <dgm:prSet presAssocID="{875E5923-6B98-48CB-841C-0469D62FE199}" presName="hierChild5" presStyleCnt="0"/>
      <dgm:spPr/>
    </dgm:pt>
    <dgm:pt modelId="{6830AD9D-E3AC-4F72-A4EA-5DFD8E67F26B}" type="pres">
      <dgm:prSet presAssocID="{5AE57848-827A-47E1-92D1-F08088ED49E3}" presName="hierChild5" presStyleCnt="0"/>
      <dgm:spPr/>
    </dgm:pt>
    <dgm:pt modelId="{A2F66C9E-DA13-42AE-BAFB-B7BD464EB344}" type="pres">
      <dgm:prSet presAssocID="{80394FA0-14FF-407E-AEF1-62F9B07D6AE5}" presName="hierChild3" presStyleCnt="0"/>
      <dgm:spPr/>
    </dgm:pt>
  </dgm:ptLst>
  <dgm:cxnLst>
    <dgm:cxn modelId="{856E9900-5DEF-4373-958D-F7A087504ACB}" type="presOf" srcId="{2330FBD9-58D9-405B-AFA1-3D360C274410}" destId="{F1ADF4D2-5BD1-4B1C-986D-BEFB19ED6475}" srcOrd="0" destOrd="0" presId="urn:microsoft.com/office/officeart/2008/layout/NameandTitleOrganizationalChart"/>
    <dgm:cxn modelId="{7ADD4103-1541-4D83-BB12-BB159BC123BE}" type="presOf" srcId="{9BDEB05F-29B4-4F5B-B6BD-5E57B65B9657}" destId="{03B94904-6BC5-4944-B998-9DA08457AB2D}" srcOrd="0" destOrd="0" presId="urn:microsoft.com/office/officeart/2008/layout/NameandTitleOrganizationalChart"/>
    <dgm:cxn modelId="{F0E6FF06-70CB-43E2-9882-E1684715E75F}" type="presOf" srcId="{BE9EEB54-5108-4DF6-9420-722A70404B8A}" destId="{23198500-1E17-444D-B340-33E3ACF78C22}" srcOrd="0" destOrd="0" presId="urn:microsoft.com/office/officeart/2008/layout/NameandTitleOrganizationalChart"/>
    <dgm:cxn modelId="{49322B07-263C-42C2-916A-B13852F894DD}" type="presOf" srcId="{B4D6A501-92B6-4566-9276-79841C5F5B3E}" destId="{3D027C5F-090F-4E8F-AE5E-A815B0C02A94}" srcOrd="0" destOrd="0" presId="urn:microsoft.com/office/officeart/2008/layout/NameandTitleOrganizationalChart"/>
    <dgm:cxn modelId="{5A0E3407-FD07-461B-AAC0-7834ED39031C}" type="presOf" srcId="{1A7603CB-DE7D-4AEC-B00F-115328F9699B}" destId="{A2AAA880-5DAC-4A04-B8D6-C01D9612A6BA}" srcOrd="0" destOrd="0" presId="urn:microsoft.com/office/officeart/2008/layout/NameandTitleOrganizationalChart"/>
    <dgm:cxn modelId="{DF23FF09-DED7-4C07-AC5E-55EA10194B2D}" type="presOf" srcId="{80394FA0-14FF-407E-AEF1-62F9B07D6AE5}" destId="{2FCF7492-5D7A-40B6-B34F-0E243A7756A9}" srcOrd="1" destOrd="0" presId="urn:microsoft.com/office/officeart/2008/layout/NameandTitleOrganizationalChart"/>
    <dgm:cxn modelId="{F869600D-D17E-49EF-B508-1A4D869FE0D1}" srcId="{54A7C8D6-8980-4203-933A-A6ABB9311ED9}" destId="{1BFF86D9-5F2A-42D6-A1C2-8D7358A082E0}" srcOrd="0" destOrd="0" parTransId="{6EAE49A9-A3EF-4AA2-8DBC-884F8CB98652}" sibTransId="{EDCBE86C-5252-4899-8633-5DD1BFE56D30}"/>
    <dgm:cxn modelId="{F964810E-7B90-4D23-BA58-9D90D91E89C6}" type="presOf" srcId="{8CB44A18-F070-4EA8-BFEF-521BF9AC6FBF}" destId="{C8A8D71C-52D7-4B6F-96AD-9A23F9C58C85}" srcOrd="0" destOrd="0" presId="urn:microsoft.com/office/officeart/2008/layout/NameandTitleOrganizationalChart"/>
    <dgm:cxn modelId="{B81E060F-77CA-4605-AA02-2F7419F7E4EE}" type="presOf" srcId="{361F6CE2-3FF8-4B58-A536-E5A8AB32CF5B}" destId="{3FB522F5-052C-4160-972A-53900489EEC1}" srcOrd="1" destOrd="0" presId="urn:microsoft.com/office/officeart/2008/layout/NameandTitleOrganizationalChart"/>
    <dgm:cxn modelId="{066D170F-8AF6-4EDD-A4A8-1996C8E63597}" srcId="{7FB4D978-75F0-457D-88FA-4A078F33AEDF}" destId="{192A6EE5-E3DC-4471-9A0A-1E32D76EA79D}" srcOrd="6" destOrd="0" parTransId="{F540E5BF-A929-44AD-837D-0ACB1AC173F6}" sibTransId="{810D2F77-420F-4A2C-BBE7-17FFFA0D1E0A}"/>
    <dgm:cxn modelId="{FBF7AE0F-7E42-47C0-81E8-FCC1E81A4570}" type="presOf" srcId="{8CB44A18-F070-4EA8-BFEF-521BF9AC6FBF}" destId="{11D5B773-E208-4764-A76D-F06002D0B287}" srcOrd="1" destOrd="0" presId="urn:microsoft.com/office/officeart/2008/layout/NameandTitleOrganizationalChart"/>
    <dgm:cxn modelId="{0198B712-1E5B-4F2D-BCA3-7E9F8F05B780}" type="presOf" srcId="{4D1F11C4-FE3B-4C06-876C-AA578B9E64B3}" destId="{286ACE62-2267-44E9-B567-168ED11E5C1E}" srcOrd="0" destOrd="0" presId="urn:microsoft.com/office/officeart/2008/layout/NameandTitleOrganizationalChart"/>
    <dgm:cxn modelId="{6514BE14-8D04-44D2-8998-D690670F5B34}" type="presOf" srcId="{3C282FEB-14CF-476C-89C6-972E7890C5C9}" destId="{A0971A63-0F7A-4CC9-BA3B-5D4436355018}" srcOrd="0" destOrd="0" presId="urn:microsoft.com/office/officeart/2008/layout/NameandTitleOrganizationalChart"/>
    <dgm:cxn modelId="{E5ABE614-E5BB-4CAF-A484-EA834D80BCD2}" type="presOf" srcId="{6D40DF44-2BEC-4F94-9A4A-9971C23408F6}" destId="{CD07DC1F-C35D-4CEE-B564-0B104354C54F}" srcOrd="0" destOrd="0" presId="urn:microsoft.com/office/officeart/2008/layout/NameandTitleOrganizationalChart"/>
    <dgm:cxn modelId="{ABE23915-E6E4-4FBD-B820-04897CC6A9FB}" srcId="{744C0E84-0471-4E3B-BBEE-7990758CABB7}" destId="{8C5B1473-5021-48AC-B977-AA217CBFFC7F}" srcOrd="0" destOrd="0" parTransId="{50187976-E2FD-4741-BA8B-DFB5A1C8B723}" sibTransId="{1BC1FADF-460D-4D8D-960E-CD5B3071A639}"/>
    <dgm:cxn modelId="{12356415-1F78-4A71-B431-82098E115AEC}" type="presOf" srcId="{6A36C91A-8256-4E5E-91AA-5BE09BE686C0}" destId="{993CAB83-FFAC-4B6D-AA47-AE8935CF34E6}" srcOrd="0" destOrd="0" presId="urn:microsoft.com/office/officeart/2008/layout/NameandTitleOrganizationalChart"/>
    <dgm:cxn modelId="{C50C5416-4423-4A8E-A710-5D4200BFAA38}" type="presOf" srcId="{9E020631-8259-4CF6-AEA5-10F0F2EDCFBA}" destId="{559352D2-DAA0-48CE-A551-A1FCE375E13C}" srcOrd="0" destOrd="0" presId="urn:microsoft.com/office/officeart/2008/layout/NameandTitleOrganizationalChart"/>
    <dgm:cxn modelId="{1FEB7F17-DCC6-4981-8DE7-29509A33C4E2}" type="presOf" srcId="{64EC115C-FC49-41D7-83E4-51E5041683E1}" destId="{E119D3AC-63DD-48A0-B22C-B15A76F98514}" srcOrd="0" destOrd="0" presId="urn:microsoft.com/office/officeart/2008/layout/NameandTitleOrganizationalChart"/>
    <dgm:cxn modelId="{F2BF4A19-3B65-451B-A5E3-5664EB51F694}" srcId="{744C0E84-0471-4E3B-BBEE-7990758CABB7}" destId="{6618142D-B9B6-4E16-8E82-FE8D284D36E2}" srcOrd="1" destOrd="0" parTransId="{06C295B5-A5A7-43C6-9F85-E8690B8944BA}" sibTransId="{A0358C33-22C3-4FCD-B6AA-08EC3B18FC1C}"/>
    <dgm:cxn modelId="{74CAE21A-3871-4D31-8BAB-6CDF09C171D4}" type="presOf" srcId="{45DAD5B0-645F-4E87-8451-5B9D17DC113D}" destId="{DAA10A89-274A-46C3-823E-AE3B00B8A417}" srcOrd="0" destOrd="0" presId="urn:microsoft.com/office/officeart/2008/layout/NameandTitleOrganizationalChart"/>
    <dgm:cxn modelId="{1EE41C1C-5E2E-40C8-B3F6-CAC550DF4EF6}" type="presOf" srcId="{CB18A920-F073-4639-AD71-F8F60BA7D0B8}" destId="{DF55F7A0-5262-4492-A421-74EE3244E2A7}" srcOrd="0" destOrd="0" presId="urn:microsoft.com/office/officeart/2008/layout/NameandTitleOrganizationalChart"/>
    <dgm:cxn modelId="{3BF2291C-E8B9-4A89-917B-996BE3EA9979}" type="presOf" srcId="{F9831A34-5F5B-429C-8FEB-29DCE8D427C6}" destId="{F7DC6F0D-2E0D-407C-B403-86685822E51E}" srcOrd="0" destOrd="0" presId="urn:microsoft.com/office/officeart/2008/layout/NameandTitleOrganizationalChart"/>
    <dgm:cxn modelId="{3E2C521E-94E0-42F2-AEE2-62FAFA96BF3F}" type="presOf" srcId="{1BC1FADF-460D-4D8D-960E-CD5B3071A639}" destId="{0408A24D-BB4D-4C78-B91E-8A32C55D7887}" srcOrd="0" destOrd="0" presId="urn:microsoft.com/office/officeart/2008/layout/NameandTitleOrganizationalChart"/>
    <dgm:cxn modelId="{73175120-9A9F-4A1B-9F54-84638BB20F1E}" type="presOf" srcId="{9C069160-229B-4581-8576-3A89D6D94A25}" destId="{C0219AED-3916-4724-B93A-E3D8F6BAD413}" srcOrd="1" destOrd="0" presId="urn:microsoft.com/office/officeart/2008/layout/NameandTitleOrganizationalChart"/>
    <dgm:cxn modelId="{B96FFD20-6AC9-44DA-AE93-6A62A31DB125}" srcId="{47C39484-004A-4B1B-AFEB-A10AF893B4B7}" destId="{54A7C8D6-8980-4203-933A-A6ABB9311ED9}" srcOrd="2" destOrd="0" parTransId="{877DA76B-5E9E-49DB-BF23-7B0B0214CBE5}" sibTransId="{D3E591C4-A00D-43DD-9D5E-3850620DF7A4}"/>
    <dgm:cxn modelId="{8E32CC21-34B9-4446-A4F6-1DFD412ED43D}" srcId="{47C39484-004A-4B1B-AFEB-A10AF893B4B7}" destId="{7FB4D978-75F0-457D-88FA-4A078F33AEDF}" srcOrd="0" destOrd="0" parTransId="{0700F839-9592-4E41-9B45-3DFC339D4E9C}" sibTransId="{9A17181D-65E0-4EE4-9762-A81D9B0B4DE1}"/>
    <dgm:cxn modelId="{60DCB922-67E3-4F23-BD30-F54C0658D353}" type="presOf" srcId="{4BB13FE6-09AB-4F08-8FB5-EEE94E7D9F9A}" destId="{BAA32FE9-49CC-44D5-89DD-F0D474799F8B}" srcOrd="0" destOrd="0" presId="urn:microsoft.com/office/officeart/2008/layout/NameandTitleOrganizationalChart"/>
    <dgm:cxn modelId="{7D960223-4F27-4C25-89AC-A8CBB7AA449B}" type="presOf" srcId="{875E5923-6B98-48CB-841C-0469D62FE199}" destId="{ED56348A-0C8E-42C2-9F7A-DDD8251273B0}" srcOrd="1" destOrd="0" presId="urn:microsoft.com/office/officeart/2008/layout/NameandTitleOrganizationalChart"/>
    <dgm:cxn modelId="{7B023C23-6725-4780-BE50-2631B95F1F71}" srcId="{FDE8042C-5979-4EAC-8E41-15DC67849914}" destId="{F2D48815-EC77-46DE-BD8E-911F964F021C}" srcOrd="0" destOrd="0" parTransId="{3B60A87F-9AFA-40CA-A39F-71D0FA6A1D8C}" sibTransId="{6978B3C3-05A8-44CF-B16B-FEEACF8AD8BB}"/>
    <dgm:cxn modelId="{24B07724-D0CD-40BF-9AA4-8154D5F0DF49}" srcId="{7FB4D978-75F0-457D-88FA-4A078F33AEDF}" destId="{E65936DD-2EA5-4C01-8DDD-2793F70DD698}" srcOrd="7" destOrd="0" parTransId="{811F77D1-0FA2-4871-B581-A3DB297EA1F1}" sibTransId="{4D1F11C4-FE3B-4C06-876C-AA578B9E64B3}"/>
    <dgm:cxn modelId="{81DE0025-838C-4648-80D5-DFA35EDF7C68}" type="presOf" srcId="{192A6EE5-E3DC-4471-9A0A-1E32D76EA79D}" destId="{5B16D9B2-2665-4969-A326-41045BB72F81}" srcOrd="0" destOrd="0" presId="urn:microsoft.com/office/officeart/2008/layout/NameandTitleOrganizationalChart"/>
    <dgm:cxn modelId="{281E4725-36ED-46D5-868F-87CBD2EB0C3B}" type="presOf" srcId="{F09CC6F1-B178-4105-8452-299F3EA9A408}" destId="{F0907E31-8957-458E-92D9-FCA15A43F1F2}" srcOrd="0" destOrd="0" presId="urn:microsoft.com/office/officeart/2008/layout/NameandTitleOrganizationalChart"/>
    <dgm:cxn modelId="{4B28F625-AE60-4E4D-97BB-11B00C545AFF}" type="presOf" srcId="{F540E5BF-A929-44AD-837D-0ACB1AC173F6}" destId="{85B92009-2DE0-41D1-89F9-862A29C03431}" srcOrd="0" destOrd="0" presId="urn:microsoft.com/office/officeart/2008/layout/NameandTitleOrganizationalChart"/>
    <dgm:cxn modelId="{F775AB26-FFEC-46F6-AA27-3509FE7BB83C}" type="presOf" srcId="{79F40210-A64B-4E7E-AA0D-B96EC8AB1394}" destId="{F4D0F44D-12FD-4BFA-8D70-F7C6F3908375}" srcOrd="0" destOrd="0" presId="urn:microsoft.com/office/officeart/2008/layout/NameandTitleOrganizationalChart"/>
    <dgm:cxn modelId="{E61A1827-9C64-4BBA-8A2E-9619D5885819}" type="presOf" srcId="{CADEA7A0-E257-45C6-B8C1-0D19914B0F98}" destId="{20E7F154-9C15-4CD6-BC79-681E2BD54E49}" srcOrd="0" destOrd="0" presId="urn:microsoft.com/office/officeart/2008/layout/NameandTitleOrganizationalChart"/>
    <dgm:cxn modelId="{6F374A27-8FF5-4263-A35F-65A1543540E2}" srcId="{80394FA0-14FF-407E-AEF1-62F9B07D6AE5}" destId="{5AE57848-827A-47E1-92D1-F08088ED49E3}" srcOrd="4" destOrd="0" parTransId="{CAFFD85F-239E-47F4-8282-72AFDA52238F}" sibTransId="{927765AA-5996-4F37-B8DA-B28AF943E558}"/>
    <dgm:cxn modelId="{DAF45327-3A59-46DA-897D-DD0658DE3897}" srcId="{C990A5E1-ADA8-4E1D-9EE1-88224A00A357}" destId="{FDE8042C-5979-4EAC-8E41-15DC67849914}" srcOrd="0" destOrd="0" parTransId="{62B2C482-59FD-429F-B493-E7418F1BF531}" sibTransId="{6333AB40-5EA7-4C3C-BCAA-627C20828F04}"/>
    <dgm:cxn modelId="{A7CB9327-4B1B-4A31-92AE-3247ED59EAD6}" type="presOf" srcId="{57D7CE9D-0978-4AFB-B6D9-BCD3CA2229EB}" destId="{FB32740C-8DC2-426F-B031-E2272990E064}" srcOrd="0" destOrd="0" presId="urn:microsoft.com/office/officeart/2008/layout/NameandTitleOrganizationalChart"/>
    <dgm:cxn modelId="{C7A91628-DD33-48A8-A5AC-5D8B52DE6AFC}" srcId="{356F1E70-7280-4D9A-98C3-6DF913ADC682}" destId="{9C069160-229B-4581-8576-3A89D6D94A25}" srcOrd="2" destOrd="0" parTransId="{1E2C769F-3062-46DA-8D46-94B6834F4EC8}" sibTransId="{199055F2-461B-4401-9718-37AED6883434}"/>
    <dgm:cxn modelId="{CE033F28-F31C-49CD-9113-63D710F4C0B7}" srcId="{7FB4D978-75F0-457D-88FA-4A078F33AEDF}" destId="{E320A9B7-6569-409D-A82B-C9F6BFD17056}" srcOrd="5" destOrd="0" parTransId="{BFCFC687-F71D-4DAB-8391-64397C85E2EE}" sibTransId="{F09CC6F1-B178-4105-8452-299F3EA9A408}"/>
    <dgm:cxn modelId="{130FBD28-8A18-4E84-A34F-C36B3069AEF4}" type="presOf" srcId="{0A3F52A5-06F1-4B17-899C-850380DFFE2D}" destId="{922C23F8-042B-41D0-8EC4-E0E680AA567F}" srcOrd="1" destOrd="0" presId="urn:microsoft.com/office/officeart/2008/layout/NameandTitleOrganizationalChart"/>
    <dgm:cxn modelId="{2B82F12A-CDDD-4163-BE59-5539D950A522}" type="presOf" srcId="{942C8DEC-C1B1-42FB-9194-9B7EB1AE53EE}" destId="{80341BDE-F995-4D7F-8487-8233CAEF1DEE}" srcOrd="0" destOrd="0" presId="urn:microsoft.com/office/officeart/2008/layout/NameandTitleOrganizationalChart"/>
    <dgm:cxn modelId="{F08BAA2B-F8AA-4BB2-BD99-70BE85C8785E}" type="presOf" srcId="{F2D48815-EC77-46DE-BD8E-911F964F021C}" destId="{33D26CE8-D976-4B7F-846D-D19CBF710402}" srcOrd="1" destOrd="0" presId="urn:microsoft.com/office/officeart/2008/layout/NameandTitleOrganizationalChart"/>
    <dgm:cxn modelId="{68B2112C-D3CA-4B3C-AE98-5A6B3F586416}" srcId="{942C8DEC-C1B1-42FB-9194-9B7EB1AE53EE}" destId="{09CC62A3-5469-49FC-A786-F060E682E2A5}" srcOrd="2" destOrd="0" parTransId="{482AB384-4C32-47B3-8FD6-5F997F9EA434}" sibTransId="{0863FAD4-0ECB-47E2-A8C2-9714C72C72F9}"/>
    <dgm:cxn modelId="{D40F252E-A809-4A38-B924-25F332209FC6}" type="presOf" srcId="{09CC62A3-5469-49FC-A786-F060E682E2A5}" destId="{BD64303B-418F-4467-8678-A550E1FE6CB5}" srcOrd="1" destOrd="0" presId="urn:microsoft.com/office/officeart/2008/layout/NameandTitleOrganizationalChart"/>
    <dgm:cxn modelId="{5F0D872F-2EAC-44A1-9011-F815735B0AFE}" type="presOf" srcId="{1BFF86D9-5F2A-42D6-A1C2-8D7358A082E0}" destId="{0FD57CB8-FF3E-4DB9-BA9D-377D67E7AC78}" srcOrd="0" destOrd="0" presId="urn:microsoft.com/office/officeart/2008/layout/NameandTitleOrganizationalChart"/>
    <dgm:cxn modelId="{A5205E30-1226-43B9-8E09-EC76BCCE877E}" type="presOf" srcId="{5AE57848-827A-47E1-92D1-F08088ED49E3}" destId="{B32EA8D3-0905-45C8-87FB-5245D4D65938}" srcOrd="0" destOrd="0" presId="urn:microsoft.com/office/officeart/2008/layout/NameandTitleOrganizationalChart"/>
    <dgm:cxn modelId="{6FBFDC30-1C47-4921-9E4D-D9BB7BBC9276}" type="presOf" srcId="{1E2C769F-3062-46DA-8D46-94B6834F4EC8}" destId="{42A42D91-ED5F-47F4-98B3-6CD3C724CB23}" srcOrd="0" destOrd="0" presId="urn:microsoft.com/office/officeart/2008/layout/NameandTitleOrganizationalChart"/>
    <dgm:cxn modelId="{4DCE5732-760D-4506-AD5C-E24A9A4029A4}" type="presOf" srcId="{92E884DA-13A5-4271-90BC-6968D19169D5}" destId="{3B334248-BAB9-42CA-9871-E261EB326B22}" srcOrd="0" destOrd="0" presId="urn:microsoft.com/office/officeart/2008/layout/NameandTitleOrganizationalChart"/>
    <dgm:cxn modelId="{49149D33-8A31-48C0-B6AE-73295448217B}" type="presOf" srcId="{F3FEAFBF-5091-4BC8-A49A-19A086608B90}" destId="{AB3696F1-3526-4C4D-924D-F80780FF4F0C}" srcOrd="0" destOrd="0" presId="urn:microsoft.com/office/officeart/2008/layout/NameandTitleOrganizationalChart"/>
    <dgm:cxn modelId="{42FF0034-2E38-4D99-B612-64CE701F1530}" type="presOf" srcId="{3499517F-1884-446D-A76D-45F8E857FACA}" destId="{76903F1D-62DB-4496-B7A2-068F7AFC3166}" srcOrd="1" destOrd="0" presId="urn:microsoft.com/office/officeart/2008/layout/NameandTitleOrganizationalChart"/>
    <dgm:cxn modelId="{2CB7A434-C2A3-4D08-9D17-DE1BF2126746}" type="presOf" srcId="{3B60A87F-9AFA-40CA-A39F-71D0FA6A1D8C}" destId="{C9FCDA64-E4D2-49F4-9F86-65418F2A6E46}" srcOrd="0" destOrd="0" presId="urn:microsoft.com/office/officeart/2008/layout/NameandTitleOrganizationalChart"/>
    <dgm:cxn modelId="{58FFF938-C4DC-41C2-8FD6-832F63440954}" type="presOf" srcId="{6EAE49A9-A3EF-4AA2-8DBC-884F8CB98652}" destId="{A169BE2D-AC1B-4E1E-82B3-332B63F8DA99}" srcOrd="0" destOrd="0" presId="urn:microsoft.com/office/officeart/2008/layout/NameandTitleOrganizationalChart"/>
    <dgm:cxn modelId="{9FE60C39-F2D6-478E-9C46-F72BF357617C}" type="presOf" srcId="{744C0E84-0471-4E3B-BBEE-7990758CABB7}" destId="{C7BF0D82-8D65-4535-9821-739EF66AC0DD}" srcOrd="0" destOrd="0" presId="urn:microsoft.com/office/officeart/2008/layout/NameandTitleOrganizationalChart"/>
    <dgm:cxn modelId="{B1355C39-6F7D-4B5A-835A-34705D7DF617}" type="presOf" srcId="{E65936DD-2EA5-4C01-8DDD-2793F70DD698}" destId="{AB41ED10-B5F0-4385-816B-939B1C5BEBCB}" srcOrd="1" destOrd="0" presId="urn:microsoft.com/office/officeart/2008/layout/NameandTitleOrganizationalChart"/>
    <dgm:cxn modelId="{50138239-548E-49C8-BFEA-9F1E8B5DD91D}" type="presOf" srcId="{CCEABBB7-338B-47E0-BEFB-7E66639CFF61}" destId="{3AAB482F-932F-42CC-844D-3D7DB6733225}" srcOrd="1" destOrd="0" presId="urn:microsoft.com/office/officeart/2008/layout/NameandTitleOrganizationalChart"/>
    <dgm:cxn modelId="{1348003B-E31F-4629-8736-CEF3EC88F70B}" type="presOf" srcId="{FDE8042C-5979-4EAC-8E41-15DC67849914}" destId="{4F340C7B-D382-48E8-90EA-3E9F9271D406}" srcOrd="1" destOrd="0" presId="urn:microsoft.com/office/officeart/2008/layout/NameandTitleOrganizationalChart"/>
    <dgm:cxn modelId="{705E4F3B-7674-49AC-97E5-97648E007CD6}" type="presOf" srcId="{504E8244-1CAD-478D-A5EE-6857132B600A}" destId="{949B4D2A-B6A1-4788-A404-6175DEF28063}" srcOrd="0" destOrd="0" presId="urn:microsoft.com/office/officeart/2008/layout/NameandTitleOrganizationalChart"/>
    <dgm:cxn modelId="{EBBB923B-312D-488D-BBE2-1DFA819BD8C1}" type="presOf" srcId="{BF97EDE8-7F5D-4A67-9088-84427FCF0EBB}" destId="{4E86D9E2-A71D-4E85-B491-00375E6F869D}" srcOrd="0" destOrd="0" presId="urn:microsoft.com/office/officeart/2008/layout/NameandTitleOrganizationalChart"/>
    <dgm:cxn modelId="{07CDFC3B-99A9-41C2-A1A5-E5642DE5EF49}" srcId="{13023F3E-BBF3-4FF4-A7C1-4A0B6BAF3A29}" destId="{361F6CE2-3FF8-4B58-A536-E5A8AB32CF5B}" srcOrd="0" destOrd="0" parTransId="{C50BEEDE-DCCE-4DF3-8F66-2B42730046B1}" sibTransId="{9BDEB05F-29B4-4F5B-B6BD-5E57B65B9657}"/>
    <dgm:cxn modelId="{1A8B7B3C-C8E1-42E5-83F7-41FD01C6D4F4}" type="presOf" srcId="{6618142D-B9B6-4E16-8E82-FE8D284D36E2}" destId="{6C242A2E-6772-40D7-8C82-27B6EB5D3217}" srcOrd="1" destOrd="0" presId="urn:microsoft.com/office/officeart/2008/layout/NameandTitleOrganizationalChart"/>
    <dgm:cxn modelId="{938C973C-B7A2-46CE-87DF-978B3DB956B7}" type="presOf" srcId="{2198CE2D-C983-4452-9369-60BE5DD26279}" destId="{40D6D671-8796-40DA-B4F8-2A39308CC54E}" srcOrd="0" destOrd="0" presId="urn:microsoft.com/office/officeart/2008/layout/NameandTitleOrganizationalChart"/>
    <dgm:cxn modelId="{BF8D183D-A4F4-493D-92D5-4C3D7BCE04B4}" type="presOf" srcId="{E384D70C-225E-4709-BA1C-B5D68B155C5C}" destId="{6EF8B4EE-6877-4512-B43B-3B1D377A41E4}" srcOrd="0" destOrd="0" presId="urn:microsoft.com/office/officeart/2008/layout/NameandTitleOrganizationalChart"/>
    <dgm:cxn modelId="{FE98C73E-1F7C-4616-A34E-697057ECD5FE}" type="presOf" srcId="{859BA693-07BB-4A81-93C9-BE4A6808C33D}" destId="{B94BEE16-363A-445D-A414-05E48962F259}" srcOrd="1" destOrd="0" presId="urn:microsoft.com/office/officeart/2008/layout/NameandTitleOrganizationalChart"/>
    <dgm:cxn modelId="{EF5B395D-6466-4D32-A4EF-964795466DA6}" type="presOf" srcId="{F93F2BB2-C1A3-4CA8-A9B9-7E0A9D0F9E7D}" destId="{70F7AA5A-5B9C-47B0-B630-A9A85D9FC14B}" srcOrd="1" destOrd="0" presId="urn:microsoft.com/office/officeart/2008/layout/NameandTitleOrganizationalChart"/>
    <dgm:cxn modelId="{D7086E5D-8E14-4FCF-B6A0-A85991C7F352}" type="presOf" srcId="{8C5B1473-5021-48AC-B977-AA217CBFFC7F}" destId="{80F9199A-2EE1-4FBA-9982-25ABFF45CC9B}" srcOrd="1" destOrd="0" presId="urn:microsoft.com/office/officeart/2008/layout/NameandTitleOrganizationalChart"/>
    <dgm:cxn modelId="{9F5EA45D-71C8-4A62-A869-C81BB043096C}" type="presOf" srcId="{2142D57B-A466-4852-A47A-47CE68E1AF32}" destId="{497F8702-6EA2-457B-A3A7-61F56827C5DD}" srcOrd="0" destOrd="0" presId="urn:microsoft.com/office/officeart/2008/layout/NameandTitleOrganizationalChart"/>
    <dgm:cxn modelId="{3DED1C5E-DA81-476B-9AE7-9FEA399A330B}" srcId="{58195434-CC28-4171-98DC-064A9A9C5BBC}" destId="{25E03141-74F1-48C9-90A5-C61C9D8E2AE0}" srcOrd="0" destOrd="0" parTransId="{CB18A920-F073-4639-AD71-F8F60BA7D0B8}" sibTransId="{9E020631-8259-4CF6-AEA5-10F0F2EDCFBA}"/>
    <dgm:cxn modelId="{9F1F3A5E-A882-4822-833E-031E17E43430}" type="presOf" srcId="{ABD8E950-DB0E-44E7-ADAD-07C138C8B33F}" destId="{D2AFCE57-00AC-4173-BE7C-DED0062BD73A}" srcOrd="0" destOrd="0" presId="urn:microsoft.com/office/officeart/2008/layout/NameandTitleOrganizationalChart"/>
    <dgm:cxn modelId="{DCE9E55F-FAEE-4128-883B-FD2C50C37D3C}" type="presOf" srcId="{C63FB8A5-EF3F-4DC2-9111-14E814F65315}" destId="{A98A12A0-375D-4106-ABCD-865408F0FABC}" srcOrd="0" destOrd="0" presId="urn:microsoft.com/office/officeart/2008/layout/NameandTitleOrganizationalChart"/>
    <dgm:cxn modelId="{F658CB61-2A1E-446B-A15F-14CB90E77733}" srcId="{7FB4D978-75F0-457D-88FA-4A078F33AEDF}" destId="{B4D6A501-92B6-4566-9276-79841C5F5B3E}" srcOrd="3" destOrd="0" parTransId="{E9DBF29B-09A5-4D79-8E4F-EB717D9379F5}" sibTransId="{C9B9E3AE-89C7-4A0A-8EF9-99B362783877}"/>
    <dgm:cxn modelId="{CB1FF943-AD32-43CF-BA01-23CD27FB626E}" type="presOf" srcId="{F44DB52C-8216-4AB7-8A08-EDE71151C600}" destId="{E520C092-21DF-430D-AD30-9DE7EAC090DC}" srcOrd="0" destOrd="0" presId="urn:microsoft.com/office/officeart/2008/layout/NameandTitleOrganizationalChart"/>
    <dgm:cxn modelId="{B18C3764-A84D-4E5C-AE49-6F21D5328473}" type="presOf" srcId="{79F40210-A64B-4E7E-AA0D-B96EC8AB1394}" destId="{1163A5E8-1064-42BC-8F10-316899942129}" srcOrd="1" destOrd="0" presId="urn:microsoft.com/office/officeart/2008/layout/NameandTitleOrganizationalChart"/>
    <dgm:cxn modelId="{04205844-9771-4E9B-94CB-D5FC088F8E17}" type="presOf" srcId="{810D2F77-420F-4A2C-BBE7-17FFFA0D1E0A}" destId="{C11BC66F-72F6-4BD9-93AE-C4B82F062BF0}" srcOrd="0" destOrd="0" presId="urn:microsoft.com/office/officeart/2008/layout/NameandTitleOrganizationalChart"/>
    <dgm:cxn modelId="{95449544-CCED-4EAD-9B7B-02C0E686694E}" type="presOf" srcId="{41B3A5C5-B0D3-4EFE-87E5-5FE88455A34B}" destId="{6729A0E4-2BD8-4A7C-9045-E43691F1EE7A}" srcOrd="0" destOrd="0" presId="urn:microsoft.com/office/officeart/2008/layout/NameandTitleOrganizationalChart"/>
    <dgm:cxn modelId="{3563D344-84C6-434E-8AE3-B7C5001A18A5}" type="presOf" srcId="{28A932F8-E948-4EA9-B4D3-92CB0CF0F16B}" destId="{E4376F8C-5058-4F0D-93C3-1A15FA20FB01}" srcOrd="0" destOrd="0" presId="urn:microsoft.com/office/officeart/2008/layout/NameandTitleOrganizationalChart"/>
    <dgm:cxn modelId="{652A0A45-38DD-43D4-BC81-3EE701C697EC}" type="presOf" srcId="{3499517F-1884-446D-A76D-45F8E857FACA}" destId="{45D0B1BF-78E7-496B-84E7-12A2829B813F}" srcOrd="0" destOrd="0" presId="urn:microsoft.com/office/officeart/2008/layout/NameandTitleOrganizationalChart"/>
    <dgm:cxn modelId="{94D06145-AE43-43A9-8CBA-BBF81D2DA269}" srcId="{7FB4D978-75F0-457D-88FA-4A078F33AEDF}" destId="{0A3F52A5-06F1-4B17-899C-850380DFFE2D}" srcOrd="4" destOrd="0" parTransId="{57D7CE9D-0978-4AFB-B6D9-BCD3CA2229EB}" sibTransId="{DA7358C6-809A-499F-8BF4-F22C96B0E8C7}"/>
    <dgm:cxn modelId="{4D966265-8F48-4950-832C-E008C34E287F}" type="presOf" srcId="{3DEA0941-3EB7-4C39-9548-5A620900EC81}" destId="{1C2C35A0-DA36-4916-81AB-51B535A188D6}" srcOrd="0" destOrd="0" presId="urn:microsoft.com/office/officeart/2008/layout/NameandTitleOrganizationalChart"/>
    <dgm:cxn modelId="{263F6F45-EE30-43BF-B045-55E75269263B}" type="presOf" srcId="{F93F2BB2-C1A3-4CA8-A9B9-7E0A9D0F9E7D}" destId="{DED1B4A9-A09B-463D-9097-C9D780CBCEB5}" srcOrd="0" destOrd="0" presId="urn:microsoft.com/office/officeart/2008/layout/NameandTitleOrganizationalChart"/>
    <dgm:cxn modelId="{1B02E566-A299-4D5E-A484-6E2D986DE2EC}" type="presOf" srcId="{45B9A766-E22E-48B1-8E35-C1633EB12FC9}" destId="{9B3BA139-5F5B-4E30-889D-A2F706A2695B}" srcOrd="0" destOrd="0" presId="urn:microsoft.com/office/officeart/2008/layout/NameandTitleOrganizationalChart"/>
    <dgm:cxn modelId="{BD93CB67-EA56-43CC-9323-AA6687487283}" type="presOf" srcId="{DA7358C6-809A-499F-8BF4-F22C96B0E8C7}" destId="{94955614-EFFB-4FA8-B43D-F911E9710223}" srcOrd="0" destOrd="0" presId="urn:microsoft.com/office/officeart/2008/layout/NameandTitleOrganizationalChart"/>
    <dgm:cxn modelId="{A3C3E167-2B37-4B45-A438-D22A956AB672}" type="presOf" srcId="{D0B61793-02E4-46A1-B677-D618546E6B25}" destId="{96CDDB58-1BB9-4BE2-A1B8-7655683EDCCC}" srcOrd="0" destOrd="0" presId="urn:microsoft.com/office/officeart/2008/layout/NameandTitleOrganizationalChart"/>
    <dgm:cxn modelId="{E83A0968-9AF6-4C5E-9D83-6A3736A8591C}" type="presOf" srcId="{13023F3E-BBF3-4FF4-A7C1-4A0B6BAF3A29}" destId="{7439A715-7671-47C4-8F06-B4B3F7D2CAFF}" srcOrd="0" destOrd="0" presId="urn:microsoft.com/office/officeart/2008/layout/NameandTitleOrganizationalChart"/>
    <dgm:cxn modelId="{D48B2648-0B59-4ED8-95C3-1512B54BF0D3}" srcId="{7FB4D978-75F0-457D-88FA-4A078F33AEDF}" destId="{92E884DA-13A5-4271-90BC-6968D19169D5}" srcOrd="2" destOrd="0" parTransId="{5B03490E-07D1-47F1-8071-71644FDC566A}" sibTransId="{ABD8E950-DB0E-44E7-ADAD-07C138C8B33F}"/>
    <dgm:cxn modelId="{F9C97C48-319F-4131-8644-0FFAFC2CABE9}" srcId="{80394FA0-14FF-407E-AEF1-62F9B07D6AE5}" destId="{47C39484-004A-4B1B-AFEB-A10AF893B4B7}" srcOrd="0" destOrd="0" parTransId="{573650C1-FE34-4FCF-832A-E802D184AD30}" sibTransId="{F3FEAFBF-5091-4BC8-A49A-19A086608B90}"/>
    <dgm:cxn modelId="{354DA148-79C5-48FD-BEE8-1B3DCC0AA1E6}" type="presOf" srcId="{9C069160-229B-4581-8576-3A89D6D94A25}" destId="{B9EC0917-8520-4865-ACE6-E26CFF0775A3}" srcOrd="0" destOrd="0" presId="urn:microsoft.com/office/officeart/2008/layout/NameandTitleOrganizationalChart"/>
    <dgm:cxn modelId="{FBA6A548-6BA1-4CEE-AE65-C2118090050C}" type="presOf" srcId="{1BDBDEE5-8FD0-4519-8E36-6B102EC2F701}" destId="{05F24F6B-42CA-49F9-AA28-237D8F7A928A}" srcOrd="0" destOrd="0" presId="urn:microsoft.com/office/officeart/2008/layout/NameandTitleOrganizationalChart"/>
    <dgm:cxn modelId="{08B2D548-4FC3-4395-A897-9E51E19DBCD7}" type="presOf" srcId="{F901C23F-B337-49EA-9886-DDDCCD4D6DAC}" destId="{CF40303A-144B-4634-9141-BA48ED9CC06F}" srcOrd="0" destOrd="0" presId="urn:microsoft.com/office/officeart/2008/layout/NameandTitleOrganizationalChart"/>
    <dgm:cxn modelId="{9EAE3269-26D8-4DC7-878B-F92BD7D94B05}" srcId="{1A569E30-937F-4904-88CA-1C8DD51AF791}" destId="{769C65BC-A8BD-4DCC-BE4D-60D934746620}" srcOrd="3" destOrd="0" parTransId="{3C574F4D-298E-4306-9B11-DCEDC5F7E73F}" sibTransId="{F9831A34-5F5B-429C-8FEB-29DCE8D427C6}"/>
    <dgm:cxn modelId="{92529569-5D8D-4D21-9B5B-6B7A1EB8D733}" type="presOf" srcId="{878346E3-8C64-42ED-816A-B1CE4FF74420}" destId="{FD9241F0-F46F-4849-8FD9-6CEDD626961B}" srcOrd="0" destOrd="0" presId="urn:microsoft.com/office/officeart/2008/layout/NameandTitleOrganizationalChart"/>
    <dgm:cxn modelId="{B7D5014A-B2D4-49B5-9927-0C60351F1A7C}" srcId="{CCEABBB7-338B-47E0-BEFB-7E66639CFF61}" destId="{E5FDC60D-2B34-4AB7-97CD-DEFA12BFC0CC}" srcOrd="2" destOrd="0" parTransId="{48C51B36-BD08-4EEF-A94B-C01A76863DFE}" sibTransId="{45B9A766-E22E-48B1-8E35-C1633EB12FC9}"/>
    <dgm:cxn modelId="{6912154C-F4CD-4BB9-9649-4566A1D74E31}" type="presOf" srcId="{54A7C8D6-8980-4203-933A-A6ABB9311ED9}" destId="{E8494AC8-C34C-4266-B228-2586A503492E}" srcOrd="0" destOrd="0" presId="urn:microsoft.com/office/officeart/2008/layout/NameandTitleOrganizationalChart"/>
    <dgm:cxn modelId="{B5565E4D-E4EA-4CF9-A89B-89473C4223E3}" type="presOf" srcId="{6333AB40-5EA7-4C3C-BCAA-627C20828F04}" destId="{40A51010-A244-4476-8A73-E299997DB333}" srcOrd="0" destOrd="0" presId="urn:microsoft.com/office/officeart/2008/layout/NameandTitleOrganizationalChart"/>
    <dgm:cxn modelId="{EC8EB96D-3590-495A-A3F2-834A81DF857D}" type="presOf" srcId="{1A569E30-937F-4904-88CA-1C8DD51AF791}" destId="{95D115B9-3817-4F30-BC77-D7F9529339A6}" srcOrd="1" destOrd="0" presId="urn:microsoft.com/office/officeart/2008/layout/NameandTitleOrganizationalChart"/>
    <dgm:cxn modelId="{96F0CF4D-4797-4D31-9FCC-653B13F84A64}" type="presOf" srcId="{8AD43FC2-3E73-4E26-9DA7-79665BCBAF83}" destId="{E2B66EEF-8637-4C9A-8508-285BC565F678}" srcOrd="0" destOrd="0" presId="urn:microsoft.com/office/officeart/2008/layout/NameandTitleOrganizationalChart"/>
    <dgm:cxn modelId="{ED425C6E-9FF1-4AA6-88C3-02AC6445F113}" type="presOf" srcId="{E5FDC60D-2B34-4AB7-97CD-DEFA12BFC0CC}" destId="{A1974806-8176-4775-A3F7-79EFBB25800A}" srcOrd="1" destOrd="0" presId="urn:microsoft.com/office/officeart/2008/layout/NameandTitleOrganizationalChart"/>
    <dgm:cxn modelId="{023B7D4F-4C90-48A6-A4AA-6AD508181C19}" srcId="{09CC62A3-5469-49FC-A786-F060E682E2A5}" destId="{3499517F-1884-446D-A76D-45F8E857FACA}" srcOrd="0" destOrd="0" parTransId="{844276F5-192D-4A16-91F3-47A6C6A9690F}" sibTransId="{CE68AC63-E24F-40F1-8D9A-5932A99E73B7}"/>
    <dgm:cxn modelId="{E1E61970-C52D-4208-B0E6-8BD01920E51F}" type="presOf" srcId="{482AB384-4C32-47B3-8FD6-5F997F9EA434}" destId="{8D476684-1BAD-40CB-932D-88D0398B2EAD}" srcOrd="0" destOrd="0" presId="urn:microsoft.com/office/officeart/2008/layout/NameandTitleOrganizationalChart"/>
    <dgm:cxn modelId="{F889B550-2BEC-45D8-BE1E-7E0009A65E17}" type="presOf" srcId="{C50BEEDE-DCCE-4DF3-8F66-2B42730046B1}" destId="{03B90242-3A34-42ED-8B7E-9D6782457C18}" srcOrd="0" destOrd="0" presId="urn:microsoft.com/office/officeart/2008/layout/NameandTitleOrganizationalChart"/>
    <dgm:cxn modelId="{1CF7F750-AACB-4CBE-B678-F6F81F583786}" srcId="{C990A5E1-ADA8-4E1D-9EE1-88224A00A357}" destId="{744C0E84-0471-4E3B-BBEE-7990758CABB7}" srcOrd="1" destOrd="0" parTransId="{3DEA0941-3EB7-4C39-9548-5A620900EC81}" sibTransId="{CE7A467F-0E17-47E5-B3F5-060D2DDA532A}"/>
    <dgm:cxn modelId="{61788351-86B5-49F3-BB2E-D46217FA47A4}" srcId="{1A569E30-937F-4904-88CA-1C8DD51AF791}" destId="{E58525F7-6FD9-448A-8404-8A7098194956}" srcOrd="4" destOrd="0" parTransId="{C00E2169-7733-4DB3-88A6-B7EC5C74D57D}" sibTransId="{E68BC0A1-C719-42FD-A03A-FE50D1259EA9}"/>
    <dgm:cxn modelId="{D4DAF351-0CB4-4D19-83EA-D9A1A6EE4545}" srcId="{942C8DEC-C1B1-42FB-9194-9B7EB1AE53EE}" destId="{859BA693-07BB-4A81-93C9-BE4A6808C33D}" srcOrd="0" destOrd="0" parTransId="{92CB946F-71D1-4C7D-9400-3446CBF271F8}" sibTransId="{55E857A5-48AA-4F40-BE93-91C56C4BCBB3}"/>
    <dgm:cxn modelId="{31967552-BE03-4EBD-911F-FA0BA835A0EC}" type="presOf" srcId="{D3ABDF34-2C17-4964-ABFA-F146B3608B3C}" destId="{89C329DE-2C82-4D8A-9BE7-F39B6FA0443D}" srcOrd="1" destOrd="0" presId="urn:microsoft.com/office/officeart/2008/layout/NameandTitleOrganizationalChart"/>
    <dgm:cxn modelId="{02D3D253-3A49-4622-ADC1-56E68B336E46}" srcId="{80394FA0-14FF-407E-AEF1-62F9B07D6AE5}" destId="{75BCF308-B12A-40F8-AF41-2AAED971F0BD}" srcOrd="2" destOrd="0" parTransId="{FE37289A-17F0-4F4A-A0B5-5B32E6BD32D1}" sibTransId="{951FDA6A-3ABA-458A-8918-2A31B60F12EE}"/>
    <dgm:cxn modelId="{BBABF873-79F6-47F1-9443-A6C9C528E5DA}" type="presOf" srcId="{54A7C8D6-8980-4203-933A-A6ABB9311ED9}" destId="{9C50F357-F33A-4F12-BB5B-EE1A4B94BE75}" srcOrd="1" destOrd="0" presId="urn:microsoft.com/office/officeart/2008/layout/NameandTitleOrganizationalChart"/>
    <dgm:cxn modelId="{CB9B0455-DE5E-42B2-AA21-00E2AC03FD64}" type="presOf" srcId="{13023F3E-BBF3-4FF4-A7C1-4A0B6BAF3A29}" destId="{AD199797-2A6C-4922-8622-4AA2D9D96060}" srcOrd="1" destOrd="0" presId="urn:microsoft.com/office/officeart/2008/layout/NameandTitleOrganizationalChart"/>
    <dgm:cxn modelId="{E34C9E75-09EC-4AA4-BA81-92B5C6660F38}" type="presOf" srcId="{EEE02E95-5DE7-4172-A3D1-230AAA8302F4}" destId="{69D58FF6-F2A9-41A2-9D61-C9D202626D17}" srcOrd="0" destOrd="0" presId="urn:microsoft.com/office/officeart/2008/layout/NameandTitleOrganizationalChart"/>
    <dgm:cxn modelId="{85511A77-7AFA-4870-B5EA-B7301F7291C5}" srcId="{875E5923-6B98-48CB-841C-0469D62FE199}" destId="{8CB44A18-F070-4EA8-BFEF-521BF9AC6FBF}" srcOrd="0" destOrd="0" parTransId="{1BDBDEE5-8FD0-4519-8E36-6B102EC2F701}" sibTransId="{8AD43FC2-3E73-4E26-9DA7-79665BCBAF83}"/>
    <dgm:cxn modelId="{468D7377-AC6A-40B9-87A6-7CD735998F31}" type="presOf" srcId="{41B3A5C5-B0D3-4EFE-87E5-5FE88455A34B}" destId="{21F15D16-F63A-4113-96AC-2D3A88365C26}" srcOrd="1" destOrd="0" presId="urn:microsoft.com/office/officeart/2008/layout/NameandTitleOrganizationalChart"/>
    <dgm:cxn modelId="{251BD357-954A-4FD2-B86D-08CAAB4E3DE9}" type="presOf" srcId="{4BB13FE6-09AB-4F08-8FB5-EEE94E7D9F9A}" destId="{412D1187-9389-4C3C-BCD8-BFDFE33E2A2F}" srcOrd="1" destOrd="0" presId="urn:microsoft.com/office/officeart/2008/layout/NameandTitleOrganizationalChart"/>
    <dgm:cxn modelId="{0259D477-11CC-49DD-AA09-385F64E7DDE3}" type="presOf" srcId="{844276F5-192D-4A16-91F3-47A6C6A9690F}" destId="{F4B25B85-D2E1-41E8-8612-F0F1274C95F0}" srcOrd="0" destOrd="0" presId="urn:microsoft.com/office/officeart/2008/layout/NameandTitleOrganizationalChart"/>
    <dgm:cxn modelId="{0C81C058-A850-4577-9F12-85B22B597A92}" type="presOf" srcId="{0700F839-9592-4E41-9B45-3DFC339D4E9C}" destId="{14E72DE9-77E0-4F43-9A65-A6DC12A9FBD5}" srcOrd="0" destOrd="0" presId="urn:microsoft.com/office/officeart/2008/layout/NameandTitleOrganizationalChart"/>
    <dgm:cxn modelId="{7EE7A459-7001-4852-BFD9-E220D59F6A36}" type="presOf" srcId="{A661F650-C3F7-49EB-97C4-9122D343AD35}" destId="{1888C889-CCB3-4620-816A-8602AF16DA18}" srcOrd="0" destOrd="0" presId="urn:microsoft.com/office/officeart/2008/layout/NameandTitleOrganizationalChart"/>
    <dgm:cxn modelId="{5233AF59-C160-438C-A80F-9BFB9ED19B5D}" type="presOf" srcId="{25E03141-74F1-48C9-90A5-C61C9D8E2AE0}" destId="{019F7FFD-9036-42CB-B450-ABD033DC3880}" srcOrd="0" destOrd="0" presId="urn:microsoft.com/office/officeart/2008/layout/NameandTitleOrganizationalChart"/>
    <dgm:cxn modelId="{AE35CF59-B2FC-4AC7-8AB6-7A76374D68A8}" srcId="{80394FA0-14FF-407E-AEF1-62F9B07D6AE5}" destId="{942C8DEC-C1B1-42FB-9194-9B7EB1AE53EE}" srcOrd="1" destOrd="0" parTransId="{37A0232B-06A5-4602-B064-5FBB228E3823}" sibTransId="{45DAD5B0-645F-4E87-8451-5B9D17DC113D}"/>
    <dgm:cxn modelId="{F2D1D159-4C38-4738-B93B-BDB0E5748E4E}" type="presOf" srcId="{37A0232B-06A5-4602-B064-5FBB228E3823}" destId="{409FAE65-7840-485F-9390-5501F77F21C2}" srcOrd="0" destOrd="0" presId="urn:microsoft.com/office/officeart/2008/layout/NameandTitleOrganizationalChart"/>
    <dgm:cxn modelId="{27FE145A-C9A7-4A19-8BDD-5F92D93B2D59}" type="presOf" srcId="{EDDD2953-7192-4A21-8C8D-2D068F8C3333}" destId="{5CAAB9C2-A50B-43BD-9A3C-C05C0FFCC722}" srcOrd="1" destOrd="0" presId="urn:microsoft.com/office/officeart/2008/layout/NameandTitleOrganizationalChart"/>
    <dgm:cxn modelId="{B638AE5A-66D3-4B81-BD18-C6121CE21FE9}" type="presOf" srcId="{0FAAD344-FB39-4FD9-87CB-6A8FB1C378C6}" destId="{CBB95FC9-11BD-4FC9-86E9-3BDEE76FC944}" srcOrd="0" destOrd="0" presId="urn:microsoft.com/office/officeart/2008/layout/NameandTitleOrganizationalChart"/>
    <dgm:cxn modelId="{A16B467B-29B6-4CAE-AB7A-C6385E0CABC5}" type="presOf" srcId="{C8E795B2-1818-4506-B346-FB160528F26B}" destId="{5F8B05EB-A732-4B65-8DB0-4496F54D3917}" srcOrd="0" destOrd="0" presId="urn:microsoft.com/office/officeart/2008/layout/NameandTitleOrganizationalChart"/>
    <dgm:cxn modelId="{71C1597B-7A17-449D-A434-FA99C76D47C0}" type="presOf" srcId="{5B03490E-07D1-47F1-8071-71644FDC566A}" destId="{EDD6DA7A-A100-4C22-9A9B-3DE29D7B3ACD}" srcOrd="0" destOrd="0" presId="urn:microsoft.com/office/officeart/2008/layout/NameandTitleOrganizationalChart"/>
    <dgm:cxn modelId="{1D76D27B-672A-4E4C-A801-3CA8484AA48B}" type="presOf" srcId="{C40722F0-6B71-4053-B9C1-5E2A846EA065}" destId="{E8B219DF-8FE2-4FB9-A64B-F062D301D077}" srcOrd="0" destOrd="0" presId="urn:microsoft.com/office/officeart/2008/layout/NameandTitleOrganizationalChart"/>
    <dgm:cxn modelId="{7E9A417C-A5E0-40AA-8C86-1D8C5367E533}" type="presOf" srcId="{EDDD2953-7192-4A21-8C8D-2D068F8C3333}" destId="{407CA84F-7F26-4F8D-85E4-26D6112E50D0}" srcOrd="0" destOrd="0" presId="urn:microsoft.com/office/officeart/2008/layout/NameandTitleOrganizationalChart"/>
    <dgm:cxn modelId="{09ED767C-184A-4AEE-8D2E-6492A1BAA4B3}" type="presOf" srcId="{7FB4D978-75F0-457D-88FA-4A078F33AEDF}" destId="{F74C3DC8-C63E-412B-ABEF-871CDA31BCFF}" srcOrd="1" destOrd="0" presId="urn:microsoft.com/office/officeart/2008/layout/NameandTitleOrganizationalChart"/>
    <dgm:cxn modelId="{E9AF797C-925D-43BF-AF3F-E6CC5A7FA1BB}" type="presOf" srcId="{5AE57848-827A-47E1-92D1-F08088ED49E3}" destId="{8E6C1C07-EB33-4DB1-9DE0-D33C0105E3BE}" srcOrd="1" destOrd="0" presId="urn:microsoft.com/office/officeart/2008/layout/NameandTitleOrganizationalChart"/>
    <dgm:cxn modelId="{2709C57C-0F03-46FE-9FE6-DAD9C2B8F752}" type="presOf" srcId="{859BA693-07BB-4A81-93C9-BE4A6808C33D}" destId="{FEDAC8C2-250E-4B32-8532-855473263F13}" srcOrd="0" destOrd="0" presId="urn:microsoft.com/office/officeart/2008/layout/NameandTitleOrganizationalChart"/>
    <dgm:cxn modelId="{8496307D-E5B7-466C-ADC1-682C2E750091}" type="presOf" srcId="{E320A9B7-6569-409D-A82B-C9F6BFD17056}" destId="{93FA6051-FADD-4579-9358-13C4D29000B6}" srcOrd="1" destOrd="0" presId="urn:microsoft.com/office/officeart/2008/layout/NameandTitleOrganizationalChart"/>
    <dgm:cxn modelId="{49C6257E-64B1-4F7B-86D5-A97263CB2F4C}" type="presOf" srcId="{FF664ECD-3B41-40FA-BEE6-9157643F9A38}" destId="{D92C7AD9-5FEB-47A5-8B7F-17A4D7720804}" srcOrd="0" destOrd="0" presId="urn:microsoft.com/office/officeart/2008/layout/NameandTitleOrganizationalChart"/>
    <dgm:cxn modelId="{E25BD07E-BBFC-44E1-819D-23AF7AFB9130}" type="presOf" srcId="{D3ABDF34-2C17-4964-ABFA-F146B3608B3C}" destId="{AFEDC19F-5E18-407A-91B8-4A37CB3005D9}" srcOrd="0" destOrd="0" presId="urn:microsoft.com/office/officeart/2008/layout/NameandTitleOrganizationalChart"/>
    <dgm:cxn modelId="{02DBFA7E-F31B-4F97-98EE-E5EB699E0368}" type="presOf" srcId="{87774D7B-42AC-4832-8762-24360B4FABFF}" destId="{F0DA88D1-3D92-4AD6-978B-B1AA19E850DD}" srcOrd="0" destOrd="0" presId="urn:microsoft.com/office/officeart/2008/layout/NameandTitleOrganizationalChart"/>
    <dgm:cxn modelId="{40B13C80-DBB6-4FC8-A640-B295006FFE8D}" type="presOf" srcId="{D4737680-E48A-4B8D-9C67-C69F9FCC7FB6}" destId="{2E0D561D-EF1C-4E03-8586-7217D3A1BA85}" srcOrd="0" destOrd="0" presId="urn:microsoft.com/office/officeart/2008/layout/NameandTitleOrganizationalChart"/>
    <dgm:cxn modelId="{C131BA85-035E-4A09-8E10-E75E72F8E1D5}" type="presOf" srcId="{F44DB52C-8216-4AB7-8A08-EDE71151C600}" destId="{FD67F42B-0805-41D2-AEE3-F7BCDE35BA4A}" srcOrd="1" destOrd="0" presId="urn:microsoft.com/office/officeart/2008/layout/NameandTitleOrganizationalChart"/>
    <dgm:cxn modelId="{2C703186-5144-4492-868F-777A9FB35A97}" type="presOf" srcId="{0C80C866-8B19-408C-A8BA-D463EAE70F26}" destId="{388E1053-73E6-4237-90F0-BBF595B7573C}" srcOrd="0" destOrd="0" presId="urn:microsoft.com/office/officeart/2008/layout/NameandTitleOrganizationalChart"/>
    <dgm:cxn modelId="{B18CAD86-23C3-4D62-83F7-530FDFCF5533}" type="presOf" srcId="{1A569E30-937F-4904-88CA-1C8DD51AF791}" destId="{4B35F7F9-45F9-459A-B5F2-1F7BB7C154DB}" srcOrd="0" destOrd="0" presId="urn:microsoft.com/office/officeart/2008/layout/NameandTitleOrganizationalChart"/>
    <dgm:cxn modelId="{35DE8D87-40FE-463B-B949-D6D91EF157E3}" srcId="{75BCF308-B12A-40F8-AF41-2AAED971F0BD}" destId="{D3ABDF34-2C17-4964-ABFA-F146B3608B3C}" srcOrd="2" destOrd="0" parTransId="{1A7603CB-DE7D-4AEC-B00F-115328F9699B}" sibTransId="{D4737680-E48A-4B8D-9C67-C69F9FCC7FB6}"/>
    <dgm:cxn modelId="{B54A9C87-40B9-443D-84DA-820145AE4DA9}" type="presOf" srcId="{504E8244-1CAD-478D-A5EE-6857132B600A}" destId="{FD9E512B-2E2C-4BC5-923E-B65D8E29A85D}" srcOrd="1" destOrd="0" presId="urn:microsoft.com/office/officeart/2008/layout/NameandTitleOrganizationalChart"/>
    <dgm:cxn modelId="{52483088-A18B-4CBB-A68D-1DFA41DF60D8}" type="presOf" srcId="{1BFF86D9-5F2A-42D6-A1C2-8D7358A082E0}" destId="{BD58068E-9D3C-4C6C-9B00-CF6C76773429}" srcOrd="1" destOrd="0" presId="urn:microsoft.com/office/officeart/2008/layout/NameandTitleOrganizationalChart"/>
    <dgm:cxn modelId="{4A928488-B94C-4CC0-9027-A3E96E5FF587}" type="presOf" srcId="{B4D6A501-92B6-4566-9276-79841C5F5B3E}" destId="{DC252E6D-89A2-4203-A634-555151787A5C}" srcOrd="1" destOrd="0" presId="urn:microsoft.com/office/officeart/2008/layout/NameandTitleOrganizationalChart"/>
    <dgm:cxn modelId="{B6F6E688-C7A6-43EC-B312-E5C7239E3CB4}" type="presOf" srcId="{199055F2-461B-4401-9718-37AED6883434}" destId="{A6DCDDFB-87E5-490F-8079-086A0A43A36B}" srcOrd="0" destOrd="0" presId="urn:microsoft.com/office/officeart/2008/layout/NameandTitleOrganizationalChart"/>
    <dgm:cxn modelId="{45D06089-019C-4213-A099-FD81CDAE7B66}" type="presOf" srcId="{78BD750B-AA95-4DA8-8000-88F315A536B5}" destId="{11479A7A-F6B0-4568-97AA-570024CA2197}" srcOrd="0" destOrd="0" presId="urn:microsoft.com/office/officeart/2008/layout/NameandTitleOrganizationalChart"/>
    <dgm:cxn modelId="{B3CCA389-67EB-4795-81D5-E0EA2906FA89}" type="presOf" srcId="{C990A5E1-ADA8-4E1D-9EE1-88224A00A357}" destId="{D6ACDEE1-5C4E-416E-847D-7A598B89CED0}" srcOrd="0" destOrd="0" presId="urn:microsoft.com/office/officeart/2008/layout/NameandTitleOrganizationalChart"/>
    <dgm:cxn modelId="{018C758B-0F75-4CD8-AA75-9F1FB4472218}" type="presOf" srcId="{92CB946F-71D1-4C7D-9400-3446CBF271F8}" destId="{CF4BBD4A-08BA-4925-8C99-6C66F75D79E7}" srcOrd="0" destOrd="0" presId="urn:microsoft.com/office/officeart/2008/layout/NameandTitleOrganizationalChart"/>
    <dgm:cxn modelId="{F207778C-3BE5-49AA-ADBC-4DB5F97BB96D}" type="presOf" srcId="{FE37289A-17F0-4F4A-A0B5-5B32E6BD32D1}" destId="{85E3B735-7102-43A0-A1E9-066BD01A6E5C}" srcOrd="0" destOrd="0" presId="urn:microsoft.com/office/officeart/2008/layout/NameandTitleOrganizationalChart"/>
    <dgm:cxn modelId="{B1A1F78F-9855-4DE2-8752-43ED81DE09D2}" type="presOf" srcId="{47C39484-004A-4B1B-AFEB-A10AF893B4B7}" destId="{DBAB87C3-56C5-4735-9266-2E2EB7CB8D9A}" srcOrd="1" destOrd="0" presId="urn:microsoft.com/office/officeart/2008/layout/NameandTitleOrganizationalChart"/>
    <dgm:cxn modelId="{A83EE790-4F99-410C-B78C-A921A232C50A}" type="presOf" srcId="{9A17181D-65E0-4EE4-9762-A81D9B0B4DE1}" destId="{FD2C1B63-12C7-44D5-B35D-2DC830D2B419}" srcOrd="0" destOrd="0" presId="urn:microsoft.com/office/officeart/2008/layout/NameandTitleOrganizationalChart"/>
    <dgm:cxn modelId="{8FC16291-2C10-44D1-A3FC-1053D6D7B1EE}" type="presOf" srcId="{192A6EE5-E3DC-4471-9A0A-1E32D76EA79D}" destId="{BD16258B-4C8C-4A60-8962-EA6A5C5C8CDC}" srcOrd="1" destOrd="0" presId="urn:microsoft.com/office/officeart/2008/layout/NameandTitleOrganizationalChart"/>
    <dgm:cxn modelId="{43B78593-B353-4607-B5C6-E9F5B3BDBC00}" type="presOf" srcId="{08DCC231-4CB5-4305-AB18-81EFFFD7E18E}" destId="{2CC094A4-FC30-4755-9A37-42497A83813E}" srcOrd="1" destOrd="0" presId="urn:microsoft.com/office/officeart/2008/layout/NameandTitleOrganizationalChart"/>
    <dgm:cxn modelId="{7C95F396-A695-4CA4-A2D9-EE89F87056F9}" srcId="{7FB4D978-75F0-457D-88FA-4A078F33AEDF}" destId="{C63FB8A5-EF3F-4DC2-9111-14E814F65315}" srcOrd="1" destOrd="0" parTransId="{CADEA7A0-E257-45C6-B8C1-0D19914B0F98}" sibTransId="{EAFA7E02-E0D2-470C-8C5D-9FF49B6A6DEA}"/>
    <dgm:cxn modelId="{45397997-F00C-4040-9E86-6C86C7B160A3}" type="presOf" srcId="{2F7ED289-7ECC-491C-9708-D022CAE1AEAE}" destId="{8C2E6AA0-A6B8-47F0-A74C-7096EE0D8B0C}" srcOrd="0" destOrd="0" presId="urn:microsoft.com/office/officeart/2008/layout/NameandTitleOrganizationalChart"/>
    <dgm:cxn modelId="{A3F82398-1C56-43C9-8DB3-844412F2BE9B}" type="presOf" srcId="{25E03141-74F1-48C9-90A5-C61C9D8E2AE0}" destId="{B16A1255-086D-40FB-A316-DB69620942F6}" srcOrd="1" destOrd="0" presId="urn:microsoft.com/office/officeart/2008/layout/NameandTitleOrganizationalChart"/>
    <dgm:cxn modelId="{63EED198-F05A-42DE-AEF2-28F2A89EB7ED}" type="presOf" srcId="{C990A5E1-ADA8-4E1D-9EE1-88224A00A357}" destId="{5043B625-E9EE-4256-A77F-6529F26F1DD0}" srcOrd="1" destOrd="0" presId="urn:microsoft.com/office/officeart/2008/layout/NameandTitleOrganizationalChart"/>
    <dgm:cxn modelId="{BFEB0C9A-6E2E-4581-ADF6-2B1779FE5D5F}" type="presOf" srcId="{769C65BC-A8BD-4DCC-BE4D-60D934746620}" destId="{3C264107-59F7-46E0-852A-C7DE39952C9D}" srcOrd="0" destOrd="0" presId="urn:microsoft.com/office/officeart/2008/layout/NameandTitleOrganizationalChart"/>
    <dgm:cxn modelId="{4D751E9A-F372-4EAF-96E9-F5CE71F1B97E}" type="presOf" srcId="{A3AB8EEE-B502-4238-A870-806967D81ED0}" destId="{FCA95584-C290-4366-9667-7EBFECCE6578}" srcOrd="0" destOrd="0" presId="urn:microsoft.com/office/officeart/2008/layout/NameandTitleOrganizationalChart"/>
    <dgm:cxn modelId="{7017B39E-990D-4604-8DAE-6028009957A5}" type="presOf" srcId="{CCEABBB7-338B-47E0-BEFB-7E66639CFF61}" destId="{2A0BCD83-2C24-4BE1-B20B-A9DCDFF5B535}" srcOrd="0" destOrd="0" presId="urn:microsoft.com/office/officeart/2008/layout/NameandTitleOrganizationalChart"/>
    <dgm:cxn modelId="{0200D09E-6F6D-4971-82AC-D46204A099B1}" type="presOf" srcId="{356F1E70-7280-4D9A-98C3-6DF913ADC682}" destId="{B90A13A0-98BD-41B8-9100-A41547601D22}" srcOrd="0" destOrd="0" presId="urn:microsoft.com/office/officeart/2008/layout/NameandTitleOrganizationalChart"/>
    <dgm:cxn modelId="{A324079F-4A48-4B4D-906C-FBD7475B8D3A}" type="presOf" srcId="{92E884DA-13A5-4271-90BC-6968D19169D5}" destId="{9845632A-96DB-4016-8EF3-6E9E9E37DDA4}" srcOrd="1" destOrd="0" presId="urn:microsoft.com/office/officeart/2008/layout/NameandTitleOrganizationalChart"/>
    <dgm:cxn modelId="{43F66DA1-E5D3-427E-A6C5-E7F4673E3136}" srcId="{75BCF308-B12A-40F8-AF41-2AAED971F0BD}" destId="{13023F3E-BBF3-4FF4-A7C1-4A0B6BAF3A29}" srcOrd="0" destOrd="0" parTransId="{6FF616BD-484A-4B07-B086-EAA610F3E144}" sibTransId="{F901C23F-B337-49EA-9886-DDDCCD4D6DAC}"/>
    <dgm:cxn modelId="{F5FEBBA1-0DD5-4602-B331-F1441BA45DD7}" type="presOf" srcId="{0600A3E2-6162-41AE-A0CB-551CB60E1EA2}" destId="{848A0AD0-6DD4-43B2-936E-7528D55AD57C}" srcOrd="0" destOrd="0" presId="urn:microsoft.com/office/officeart/2008/layout/NameandTitleOrganizationalChart"/>
    <dgm:cxn modelId="{AC700DA3-703D-446E-B4E8-3A53D82448D9}" type="presOf" srcId="{BCDC6BB2-D5AD-4985-8CB2-4A846B30E98E}" destId="{E6DC135A-6F27-4425-9A37-B7E67CEB6DB1}" srcOrd="0" destOrd="0" presId="urn:microsoft.com/office/officeart/2008/layout/NameandTitleOrganizationalChart"/>
    <dgm:cxn modelId="{A7D45AA4-C287-4339-A101-6ABAEAF4BD96}" type="presOf" srcId="{EDCBE86C-5252-4899-8633-5DD1BFE56D30}" destId="{1B96B8DA-0116-493D-8BEC-AF9251C326B3}" srcOrd="0" destOrd="0" presId="urn:microsoft.com/office/officeart/2008/layout/NameandTitleOrganizationalChart"/>
    <dgm:cxn modelId="{51CE05A5-4C61-4E8E-8D18-8812B54DDFD0}" srcId="{75BCF308-B12A-40F8-AF41-2AAED971F0BD}" destId="{CCEABBB7-338B-47E0-BEFB-7E66639CFF61}" srcOrd="1" destOrd="0" parTransId="{EE855179-559A-4EFF-B003-56EF85A8622B}" sibTransId="{B876D0C2-BA80-4486-98C8-E10AB2756FC5}"/>
    <dgm:cxn modelId="{866130A6-9004-4276-8845-F5EC223D8088}" type="presOf" srcId="{50187976-E2FD-4741-BA8B-DFB5A1C8B723}" destId="{64FD4C06-405F-4F77-8666-6546A82F8B82}" srcOrd="0" destOrd="0" presId="urn:microsoft.com/office/officeart/2008/layout/NameandTitleOrganizationalChart"/>
    <dgm:cxn modelId="{2F70CAA7-403A-4BC2-B65F-22F0576D0622}" type="presOf" srcId="{E320A9B7-6569-409D-A82B-C9F6BFD17056}" destId="{0324913E-DF24-4789-B17A-5497E9E7E66D}" srcOrd="0" destOrd="0" presId="urn:microsoft.com/office/officeart/2008/layout/NameandTitleOrganizationalChart"/>
    <dgm:cxn modelId="{C16B06A8-0A26-4AB5-A534-D6D9FA11255F}" type="presOf" srcId="{951FDA6A-3ABA-458A-8918-2A31B60F12EE}" destId="{BB5B700F-496F-45E0-9351-B2DF026C420E}" srcOrd="0" destOrd="0" presId="urn:microsoft.com/office/officeart/2008/layout/NameandTitleOrganizationalChart"/>
    <dgm:cxn modelId="{4F4519A8-3008-45DC-B23A-12D1BBFBBD3D}" type="presOf" srcId="{7FB4D978-75F0-457D-88FA-4A078F33AEDF}" destId="{EB0CFA4B-190D-468F-BA87-622AC9D67C24}" srcOrd="0" destOrd="0" presId="urn:microsoft.com/office/officeart/2008/layout/NameandTitleOrganizationalChart"/>
    <dgm:cxn modelId="{9E7AE3A8-2691-4274-9C0E-4D7F650BAFA2}" type="presOf" srcId="{6FF616BD-484A-4B07-B086-EAA610F3E144}" destId="{4F2029E6-4688-4E4A-930C-78819A801C6E}" srcOrd="0" destOrd="0" presId="urn:microsoft.com/office/officeart/2008/layout/NameandTitleOrganizationalChart"/>
    <dgm:cxn modelId="{82DDE8A8-03C7-4354-BC73-D1EF0496EB6C}" srcId="{A3AB8EEE-B502-4238-A870-806967D81ED0}" destId="{80394FA0-14FF-407E-AEF1-62F9B07D6AE5}" srcOrd="0" destOrd="0" parTransId="{34C0CDCF-078B-469E-BC3B-44011EEB0660}" sibTransId="{2142D57B-A466-4852-A47A-47CE68E1AF32}"/>
    <dgm:cxn modelId="{71B83FA9-2368-4C88-AE4E-BB2B0EFE8807}" type="presOf" srcId="{769C65BC-A8BD-4DCC-BE4D-60D934746620}" destId="{547B8573-7E03-4763-A415-4F0DEF31B99A}" srcOrd="1" destOrd="0" presId="urn:microsoft.com/office/officeart/2008/layout/NameandTitleOrganizationalChart"/>
    <dgm:cxn modelId="{D7E7C5A9-336C-44C0-8E72-CB40CB93CA5B}" type="presOf" srcId="{361F6CE2-3FF8-4B58-A536-E5A8AB32CF5B}" destId="{0C9F8BBE-2D70-4EDF-BE84-1E97862A8D2D}" srcOrd="0" destOrd="0" presId="urn:microsoft.com/office/officeart/2008/layout/NameandTitleOrganizationalChart"/>
    <dgm:cxn modelId="{C48CA1AC-1A79-43AE-AB7B-615D45CA0556}" type="presOf" srcId="{8C5B1473-5021-48AC-B977-AA217CBFFC7F}" destId="{DEA35268-0556-4DD4-8D4A-1E9ED04F6314}" srcOrd="0" destOrd="0" presId="urn:microsoft.com/office/officeart/2008/layout/NameandTitleOrganizationalChart"/>
    <dgm:cxn modelId="{50C5C0AE-3D3D-4205-A585-5702B2E94EDC}" srcId="{CCEABBB7-338B-47E0-BEFB-7E66639CFF61}" destId="{504E8244-1CAD-478D-A5EE-6857132B600A}" srcOrd="0" destOrd="0" parTransId="{78BD750B-AA95-4DA8-8000-88F315A536B5}" sibTransId="{EEE02E95-5DE7-4172-A3D1-230AAA8302F4}"/>
    <dgm:cxn modelId="{CE9246AF-DAB0-4154-98AD-B138D4913D69}" type="presOf" srcId="{FD7DE710-B3DD-4A7F-BB5A-B020114BC0B3}" destId="{A1C9AA26-E87D-40D9-B49A-6EA3CA89ABF8}" srcOrd="0" destOrd="0" presId="urn:microsoft.com/office/officeart/2008/layout/NameandTitleOrganizationalChart"/>
    <dgm:cxn modelId="{D15D56B1-3A82-4931-BD09-FDC5C7911FE5}" srcId="{80394FA0-14FF-407E-AEF1-62F9B07D6AE5}" destId="{C990A5E1-ADA8-4E1D-9EE1-88224A00A357}" srcOrd="3" destOrd="0" parTransId="{8F1E54FB-763A-4D00-B340-10FABD126BE3}" sibTransId="{A661F650-C3F7-49EB-97C4-9122D343AD35}"/>
    <dgm:cxn modelId="{CC1B7AB1-EA53-4C8A-8F76-42A3B8795D7F}" type="presOf" srcId="{D3E591C4-A00D-43DD-9D5E-3850620DF7A4}" destId="{6A15F474-B874-4116-9C30-7BEC48E608D4}" srcOrd="0" destOrd="0" presId="urn:microsoft.com/office/officeart/2008/layout/NameandTitleOrganizationalChart"/>
    <dgm:cxn modelId="{BA754BB4-0D9B-4027-9AD6-EEDD225E71E1}" type="presOf" srcId="{EAFA7E02-E0D2-470C-8C5D-9FF49B6A6DEA}" destId="{AEBDC091-F9F7-462C-AE0C-3B1BA757064D}" srcOrd="0" destOrd="0" presId="urn:microsoft.com/office/officeart/2008/layout/NameandTitleOrganizationalChart"/>
    <dgm:cxn modelId="{B6A07EB4-93A4-4CBA-885F-2515AB574A7A}" srcId="{75BCF308-B12A-40F8-AF41-2AAED971F0BD}" destId="{1A569E30-937F-4904-88CA-1C8DD51AF791}" srcOrd="3" destOrd="0" parTransId="{BF97EDE8-7F5D-4A67-9088-84427FCF0EBB}" sibTransId="{D65C5FFC-551E-4462-83B0-3004D251CAE6}"/>
    <dgm:cxn modelId="{A532C2B5-A1C0-40CC-AF2F-9911E3ACE730}" type="presOf" srcId="{08DCC231-4CB5-4305-AB18-81EFFFD7E18E}" destId="{DEA1CC30-36FD-43BC-A88E-53406C1EF371}" srcOrd="0" destOrd="0" presId="urn:microsoft.com/office/officeart/2008/layout/NameandTitleOrganizationalChart"/>
    <dgm:cxn modelId="{4B2CE2B5-275D-43CB-B16D-D1DF0F0681C9}" type="presOf" srcId="{E58525F7-6FD9-448A-8404-8A7098194956}" destId="{11E99FA4-EAAF-4CB3-A6A8-EBF087F801C0}" srcOrd="0" destOrd="0" presId="urn:microsoft.com/office/officeart/2008/layout/NameandTitleOrganizationalChart"/>
    <dgm:cxn modelId="{726F5EB7-A1C9-45AE-BD65-DCE4638B994A}" type="presOf" srcId="{573650C1-FE34-4FCF-832A-E802D184AD30}" destId="{FCD91427-577B-441A-8166-134B6937CF4D}" srcOrd="0" destOrd="0" presId="urn:microsoft.com/office/officeart/2008/layout/NameandTitleOrganizationalChart"/>
    <dgm:cxn modelId="{DE71E3B7-F62E-4183-A55B-74A7F983847D}" type="presOf" srcId="{58195434-CC28-4171-98DC-064A9A9C5BBC}" destId="{BA4515F9-2F3F-4798-B42C-76B1B7D04437}" srcOrd="1" destOrd="0" presId="urn:microsoft.com/office/officeart/2008/layout/NameandTitleOrganizationalChart"/>
    <dgm:cxn modelId="{2F9FC7B8-81E8-4E51-BF8E-648DC34474EB}" type="presOf" srcId="{06C295B5-A5A7-43C6-9F85-E8690B8944BA}" destId="{6955C9C3-02AA-4E9E-9650-5AB6827F1037}" srcOrd="0" destOrd="0" presId="urn:microsoft.com/office/officeart/2008/layout/NameandTitleOrganizationalChart"/>
    <dgm:cxn modelId="{D1A494B9-A5EF-4B1D-B387-D067415BDB05}" type="presOf" srcId="{C00E2169-7733-4DB3-88A6-B7EC5C74D57D}" destId="{999E9AF3-7A99-4C95-85B0-7F47F4AD18B4}" srcOrd="0" destOrd="0" presId="urn:microsoft.com/office/officeart/2008/layout/NameandTitleOrganizationalChart"/>
    <dgm:cxn modelId="{B8F67DBB-150F-4200-9C46-93A72BC62804}" type="presOf" srcId="{80394FA0-14FF-407E-AEF1-62F9B07D6AE5}" destId="{9CB627A4-2C01-467D-9E2F-FFFEA7E2E616}" srcOrd="0" destOrd="0" presId="urn:microsoft.com/office/officeart/2008/layout/NameandTitleOrganizationalChart"/>
    <dgm:cxn modelId="{CEE89ABE-C97D-499C-B519-9058D6891523}" type="presOf" srcId="{E68BC0A1-C719-42FD-A03A-FE50D1259EA9}" destId="{BB4B196B-FF06-4C54-A1B0-DA6A859E236E}" srcOrd="0" destOrd="0" presId="urn:microsoft.com/office/officeart/2008/layout/NameandTitleOrganizationalChart"/>
    <dgm:cxn modelId="{0ED2FEBE-54E7-49B1-B770-5BD9DB225946}" type="presOf" srcId="{09CC62A3-5469-49FC-A786-F060E682E2A5}" destId="{1C8E0FDE-B596-4BE4-B9DE-1133B8437399}" srcOrd="0" destOrd="0" presId="urn:microsoft.com/office/officeart/2008/layout/NameandTitleOrganizationalChart"/>
    <dgm:cxn modelId="{B5891EC0-5AF7-4494-8898-6304D388B271}" srcId="{356F1E70-7280-4D9A-98C3-6DF913ADC682}" destId="{79F40210-A64B-4E7E-AA0D-B96EC8AB1394}" srcOrd="0" destOrd="0" parTransId="{64EC115C-FC49-41D7-83E4-51E5041683E1}" sibTransId="{435B1CA8-757C-416B-AEBC-BA00A8F349E6}"/>
    <dgm:cxn modelId="{C71F38C4-EB45-4590-AA9B-2DA7326717F2}" type="presOf" srcId="{2F7ED289-7ECC-491C-9708-D022CAE1AEAE}" destId="{611AD4AE-829E-4DE8-A322-86F9B6F40668}" srcOrd="1" destOrd="0" presId="urn:microsoft.com/office/officeart/2008/layout/NameandTitleOrganizationalChart"/>
    <dgm:cxn modelId="{DC2DACC4-99A2-417A-8568-00FDB43D0C47}" type="presOf" srcId="{C63FB8A5-EF3F-4DC2-9111-14E814F65315}" destId="{D73D8E52-94A4-44C0-9B44-4E3B72A7DFE9}" srcOrd="1" destOrd="0" presId="urn:microsoft.com/office/officeart/2008/layout/NameandTitleOrganizationalChart"/>
    <dgm:cxn modelId="{C52A88C6-11D7-4767-8AA9-2A48B80A7951}" srcId="{1A569E30-937F-4904-88CA-1C8DD51AF791}" destId="{40A61076-DA91-47A8-A767-A7751DD3A9B8}" srcOrd="2" destOrd="0" parTransId="{878346E3-8C64-42ED-816A-B1CE4FF74420}" sibTransId="{A0CFFAF7-74B4-4EF7-8C40-C999341A4B00}"/>
    <dgm:cxn modelId="{F765A2C6-09CD-4E90-987C-C69F8A8E72EA}" srcId="{942C8DEC-C1B1-42FB-9194-9B7EB1AE53EE}" destId="{58195434-CC28-4171-98DC-064A9A9C5BBC}" srcOrd="1" destOrd="0" parTransId="{9F157D24-A5D1-4619-B1CE-207AD8F53CD5}" sibTransId="{AE4AF2AF-0AC7-472A-B043-2859192D62C9}"/>
    <dgm:cxn modelId="{8E0475C7-9DF3-409A-8DAD-2C37ACA8A501}" type="presOf" srcId="{AE4AF2AF-0AC7-472A-B043-2859192D62C9}" destId="{38BE10C7-FBDC-4133-91A6-59B93208FF60}" srcOrd="0" destOrd="0" presId="urn:microsoft.com/office/officeart/2008/layout/NameandTitleOrganizationalChart"/>
    <dgm:cxn modelId="{B223A0C8-53EC-42BE-8844-56E40B97D045}" type="presOf" srcId="{EE855179-559A-4EFF-B003-56EF85A8622B}" destId="{9DEECE6A-2DC7-462C-B4D3-4FDA509FDDFE}" srcOrd="0" destOrd="0" presId="urn:microsoft.com/office/officeart/2008/layout/NameandTitleOrganizationalChart"/>
    <dgm:cxn modelId="{ACB20EC9-9E7A-49AE-9145-5747B407F6CF}" type="presOf" srcId="{6618142D-B9B6-4E16-8E82-FE8D284D36E2}" destId="{73438895-88BB-4DE4-819D-DEECC1A76F75}" srcOrd="0" destOrd="0" presId="urn:microsoft.com/office/officeart/2008/layout/NameandTitleOrganizationalChart"/>
    <dgm:cxn modelId="{61C4B1CA-B6A2-4FED-9006-00B6E367D0D5}" type="presOf" srcId="{E4319104-1B95-45B9-85D4-9B14C9DDA4E1}" destId="{34D1D79C-E9EC-4928-9D09-43BB4377704D}" srcOrd="0" destOrd="0" presId="urn:microsoft.com/office/officeart/2008/layout/NameandTitleOrganizationalChart"/>
    <dgm:cxn modelId="{07D757CB-05EA-438F-AA6D-8BD9BFBEF930}" type="presOf" srcId="{62B2C482-59FD-429F-B493-E7418F1BF531}" destId="{17C0E377-961B-4B01-8864-941768A826A6}" srcOrd="0" destOrd="0" presId="urn:microsoft.com/office/officeart/2008/layout/NameandTitleOrganizationalChart"/>
    <dgm:cxn modelId="{DF54ABCB-3F1B-4334-9798-00189239ECA6}" type="presOf" srcId="{811F77D1-0FA2-4871-B581-A3DB297EA1F1}" destId="{D0328ED9-308E-4B30-B8DF-2D07A83A7C5A}" srcOrd="0" destOrd="0" presId="urn:microsoft.com/office/officeart/2008/layout/NameandTitleOrganizationalChart"/>
    <dgm:cxn modelId="{CB7352CC-AA74-410E-9CA7-A84597F30A51}" srcId="{D3ABDF34-2C17-4964-ABFA-F146B3608B3C}" destId="{4BB13FE6-09AB-4F08-8FB5-EEE94E7D9F9A}" srcOrd="0" destOrd="0" parTransId="{BE9EEB54-5108-4DF6-9420-722A70404B8A}" sibTransId="{0FAAD344-FB39-4FD9-87CB-6A8FB1C378C6}"/>
    <dgm:cxn modelId="{E57E52CD-755B-47E6-81C0-5C2B7456FFA4}" srcId="{1A569E30-937F-4904-88CA-1C8DD51AF791}" destId="{F93F2BB2-C1A3-4CA8-A9B9-7E0A9D0F9E7D}" srcOrd="1" destOrd="0" parTransId="{C40722F0-6B71-4053-B9C1-5E2A846EA065}" sibTransId="{48BF7844-A879-4A10-B55A-69E12A705B7F}"/>
    <dgm:cxn modelId="{7AF646CE-C84F-467B-BE78-E2237E4743DC}" type="presOf" srcId="{48C51B36-BD08-4EEF-A94B-C01A76863DFE}" destId="{FE1EFB4D-268A-4A0E-B476-1A579A15F8B5}" srcOrd="0" destOrd="0" presId="urn:microsoft.com/office/officeart/2008/layout/NameandTitleOrganizationalChart"/>
    <dgm:cxn modelId="{F15291D0-9527-45CA-9419-D624DC4F48B3}" type="presOf" srcId="{3C574F4D-298E-4306-9B11-DCEDC5F7E73F}" destId="{CCFBC367-DA40-467C-ADC9-BB5CB621FE6D}" srcOrd="0" destOrd="0" presId="urn:microsoft.com/office/officeart/2008/layout/NameandTitleOrganizationalChart"/>
    <dgm:cxn modelId="{5404C2D0-08FA-46BB-9358-9F52ED30EC4A}" srcId="{356F1E70-7280-4D9A-98C3-6DF913ADC682}" destId="{2F7ED289-7ECC-491C-9708-D022CAE1AEAE}" srcOrd="1" destOrd="0" parTransId="{D0B61793-02E4-46A1-B677-D618546E6B25}" sibTransId="{3C282FEB-14CF-476C-89C6-972E7890C5C9}"/>
    <dgm:cxn modelId="{240704D1-9470-4527-8B13-F6803CA54022}" type="presOf" srcId="{0863FAD4-0ECB-47E2-A8C2-9714C72C72F9}" destId="{44A4C9CE-925A-433F-8D8E-7EE62AF3AD4E}" srcOrd="0" destOrd="0" presId="urn:microsoft.com/office/officeart/2008/layout/NameandTitleOrganizationalChart"/>
    <dgm:cxn modelId="{F303CBD1-7DB1-41DA-881A-4EB938545714}" type="presOf" srcId="{875E5923-6B98-48CB-841C-0469D62FE199}" destId="{FCEBCD66-20A7-49BB-9CA1-3CAA56596B93}" srcOrd="0" destOrd="0" presId="urn:microsoft.com/office/officeart/2008/layout/NameandTitleOrganizationalChart"/>
    <dgm:cxn modelId="{D8BB59D3-609B-4B5B-B1A1-6776E8C4AE5E}" type="presOf" srcId="{E9DBF29B-09A5-4D79-8E4F-EB717D9379F5}" destId="{7D5D5120-7A69-4946-89D1-F27086829D97}" srcOrd="0" destOrd="0" presId="urn:microsoft.com/office/officeart/2008/layout/NameandTitleOrganizationalChart"/>
    <dgm:cxn modelId="{55012ED4-1278-4251-9D60-91328F2E02CD}" type="presOf" srcId="{75BCF308-B12A-40F8-AF41-2AAED971F0BD}" destId="{07E26C17-29DF-4787-B788-D11E5789DF29}" srcOrd="0" destOrd="0" presId="urn:microsoft.com/office/officeart/2008/layout/NameandTitleOrganizationalChart"/>
    <dgm:cxn modelId="{294C12D5-1EF7-4942-BB76-E1E3895C792F}" type="presOf" srcId="{356F1E70-7280-4D9A-98C3-6DF913ADC682}" destId="{C875C8DA-11A4-449A-B836-A681C84AB297}" srcOrd="1" destOrd="0" presId="urn:microsoft.com/office/officeart/2008/layout/NameandTitleOrganizationalChart"/>
    <dgm:cxn modelId="{B4CFA2D7-FBB7-4232-8C6A-7DFB758CF1C9}" srcId="{942C8DEC-C1B1-42FB-9194-9B7EB1AE53EE}" destId="{41B3A5C5-B0D3-4EFE-87E5-5FE88455A34B}" srcOrd="3" destOrd="0" parTransId="{2198CE2D-C983-4452-9369-60BE5DD26279}" sibTransId="{28A932F8-E948-4EA9-B4D3-92CB0CF0F16B}"/>
    <dgm:cxn modelId="{392154D8-CBFF-4B4C-8478-8E87F839EEA9}" type="presOf" srcId="{F2D48815-EC77-46DE-BD8E-911F964F021C}" destId="{AE163968-C8F5-4CDE-8368-4B26A70FA89D}" srcOrd="0" destOrd="0" presId="urn:microsoft.com/office/officeart/2008/layout/NameandTitleOrganizationalChart"/>
    <dgm:cxn modelId="{C9D2B1D8-1EFD-42C6-912E-1907925BA013}" type="presOf" srcId="{6978B3C3-05A8-44CF-B16B-FEEACF8AD8BB}" destId="{36541323-45F0-46FD-8FD0-F0D6ACB14DAD}" srcOrd="0" destOrd="0" presId="urn:microsoft.com/office/officeart/2008/layout/NameandTitleOrganizationalChart"/>
    <dgm:cxn modelId="{0E9D10D9-225E-421E-A85D-19EA1F7D98A0}" type="presOf" srcId="{8F1E54FB-763A-4D00-B340-10FABD126BE3}" destId="{C4806FF5-0F73-42BE-B14B-6EE4A529F02E}" srcOrd="0" destOrd="0" presId="urn:microsoft.com/office/officeart/2008/layout/NameandTitleOrganizationalChart"/>
    <dgm:cxn modelId="{B80CC4D9-9422-4CC5-93D5-F91F5E1DC1D8}" type="presOf" srcId="{FDE8042C-5979-4EAC-8E41-15DC67849914}" destId="{DECD435F-9BEF-4D02-A481-5DEC89B26A35}" srcOrd="0" destOrd="0" presId="urn:microsoft.com/office/officeart/2008/layout/NameandTitleOrganizationalChart"/>
    <dgm:cxn modelId="{68C121DA-D3BB-47F8-AD51-70FD52F30019}" type="presOf" srcId="{A0CFFAF7-74B4-4EF7-8C40-C999341A4B00}" destId="{8C6E2BA0-4419-4369-A683-78FC3BB7F6A7}" srcOrd="0" destOrd="0" presId="urn:microsoft.com/office/officeart/2008/layout/NameandTitleOrganizationalChart"/>
    <dgm:cxn modelId="{C4D4C3DA-3C43-4231-A9A0-CA6BB1AB70D1}" type="presOf" srcId="{877DA76B-5E9E-49DB-BF23-7B0B0214CBE5}" destId="{904D1964-9FA3-418A-9AA2-39CF8D327E59}" srcOrd="0" destOrd="0" presId="urn:microsoft.com/office/officeart/2008/layout/NameandTitleOrganizationalChart"/>
    <dgm:cxn modelId="{F534E2DB-C0AB-4CEE-A9E8-29EA015CEC5B}" srcId="{5AE57848-827A-47E1-92D1-F08088ED49E3}" destId="{875E5923-6B98-48CB-841C-0469D62FE199}" srcOrd="0" destOrd="0" parTransId="{C8E795B2-1818-4506-B346-FB160528F26B}" sibTransId="{FF664ECD-3B41-40FA-BEE6-9157643F9A38}"/>
    <dgm:cxn modelId="{89B303DC-1E63-47F9-A17F-7F4411B46EF2}" type="presOf" srcId="{744C0E84-0471-4E3B-BBEE-7990758CABB7}" destId="{3D140855-3F24-4F20-AD7A-E1A992E713F1}" srcOrd="1" destOrd="0" presId="urn:microsoft.com/office/officeart/2008/layout/NameandTitleOrganizationalChart"/>
    <dgm:cxn modelId="{84578CDC-7045-4E1F-B05F-D753F6EEB536}" type="presOf" srcId="{C9B9E3AE-89C7-4A0A-8EF9-99B362783877}" destId="{54A59613-1B04-48F2-9981-764D08BC337A}" srcOrd="0" destOrd="0" presId="urn:microsoft.com/office/officeart/2008/layout/NameandTitleOrganizationalChart"/>
    <dgm:cxn modelId="{BEFAA8DE-4B78-4138-9B91-16BA6B811707}" type="presOf" srcId="{BFCFC687-F71D-4DAB-8391-64397C85E2EE}" destId="{43DFA466-0E33-4527-9089-6C6C2C5EFDF8}" srcOrd="0" destOrd="0" presId="urn:microsoft.com/office/officeart/2008/layout/NameandTitleOrganizationalChart"/>
    <dgm:cxn modelId="{9DDEF4DE-A03D-4A8C-B51C-60E55D79295E}" srcId="{7FB4D978-75F0-457D-88FA-4A078F33AEDF}" destId="{08DCC231-4CB5-4305-AB18-81EFFFD7E18E}" srcOrd="0" destOrd="0" parTransId="{BCDC6BB2-D5AD-4985-8CB2-4A846B30E98E}" sibTransId="{0C80C866-8B19-408C-A8BA-D463EAE70F26}"/>
    <dgm:cxn modelId="{D8C138DF-4271-471B-A565-B48D153A6749}" type="presOf" srcId="{E58525F7-6FD9-448A-8404-8A7098194956}" destId="{0B08242C-BBD4-43A2-BFE1-C70B3891B683}" srcOrd="1" destOrd="0" presId="urn:microsoft.com/office/officeart/2008/layout/NameandTitleOrganizationalChart"/>
    <dgm:cxn modelId="{BDA3C3E1-46F3-46B8-A80B-B01FEBB8FA2A}" type="presOf" srcId="{927765AA-5996-4F37-B8DA-B28AF943E558}" destId="{1F0AC1AC-1501-4F43-9873-A63D35F3A6EB}" srcOrd="0" destOrd="0" presId="urn:microsoft.com/office/officeart/2008/layout/NameandTitleOrganizationalChart"/>
    <dgm:cxn modelId="{A0E48BE4-9136-417C-887B-8F62F001513C}" type="presOf" srcId="{E5FDC60D-2B34-4AB7-97CD-DEFA12BFC0CC}" destId="{CAB8B3C7-C8B8-46C1-8DDC-C9148F8110CA}" srcOrd="0" destOrd="0" presId="urn:microsoft.com/office/officeart/2008/layout/NameandTitleOrganizationalChart"/>
    <dgm:cxn modelId="{61B4A3E5-9855-411D-AC93-02D670B94F0A}" type="presOf" srcId="{435B1CA8-757C-416B-AEBC-BA00A8F349E6}" destId="{AA23DE0C-5E08-40CB-92E0-0904D54AA9FB}" srcOrd="0" destOrd="0" presId="urn:microsoft.com/office/officeart/2008/layout/NameandTitleOrganizationalChart"/>
    <dgm:cxn modelId="{99C6BFE6-AC98-4B71-AA06-4077DF082201}" type="presOf" srcId="{40A61076-DA91-47A8-A767-A7751DD3A9B8}" destId="{E85AC1B9-667E-429F-AAE4-DB16B38A802E}" srcOrd="0" destOrd="0" presId="urn:microsoft.com/office/officeart/2008/layout/NameandTitleOrganizationalChart"/>
    <dgm:cxn modelId="{DB1B5CE7-C7B2-4B1F-BE8D-C165ABA886AC}" type="presOf" srcId="{75BCF308-B12A-40F8-AF41-2AAED971F0BD}" destId="{B3523960-6B29-445A-8AB4-F425A7B3DDC6}" srcOrd="1" destOrd="0" presId="urn:microsoft.com/office/officeart/2008/layout/NameandTitleOrganizationalChart"/>
    <dgm:cxn modelId="{55374EE9-3443-4680-929E-A270FC9AD37C}" type="presOf" srcId="{55E857A5-48AA-4F40-BE93-91C56C4BCBB3}" destId="{656E15EF-04E1-41C4-A0E2-A1CAADE791E4}" srcOrd="0" destOrd="0" presId="urn:microsoft.com/office/officeart/2008/layout/NameandTitleOrganizationalChart"/>
    <dgm:cxn modelId="{BEE492E9-846B-4FED-AD72-E662F7D70CDE}" type="presOf" srcId="{CAFFD85F-239E-47F4-8282-72AFDA52238F}" destId="{BA7B61B4-2AA7-4E19-B8D2-5F6F2C88982B}" srcOrd="0" destOrd="0" presId="urn:microsoft.com/office/officeart/2008/layout/NameandTitleOrganizationalChart"/>
    <dgm:cxn modelId="{3FA4E3E9-D752-48FE-8E28-0E6CCCEB138E}" type="presOf" srcId="{48BF7844-A879-4A10-B55A-69E12A705B7F}" destId="{999C8EB7-F3F3-4881-8E2D-C941A99DD4F9}" srcOrd="0" destOrd="0" presId="urn:microsoft.com/office/officeart/2008/layout/NameandTitleOrganizationalChart"/>
    <dgm:cxn modelId="{D4F5D1EA-491C-462C-994D-DAB89105A1BC}" type="presOf" srcId="{0A3F52A5-06F1-4B17-899C-850380DFFE2D}" destId="{8EE6926A-F0D8-4CB6-A2B6-C7034E7F9C30}" srcOrd="0" destOrd="0" presId="urn:microsoft.com/office/officeart/2008/layout/NameandTitleOrganizationalChart"/>
    <dgm:cxn modelId="{7A6500EB-7006-4342-B4C9-DA1EC16AAEAF}" type="presOf" srcId="{58195434-CC28-4171-98DC-064A9A9C5BBC}" destId="{D5B37A4F-EF58-45F4-8276-218AE53A3C6F}" srcOrd="0" destOrd="0" presId="urn:microsoft.com/office/officeart/2008/layout/NameandTitleOrganizationalChart"/>
    <dgm:cxn modelId="{0104DEEC-4D57-444B-AEEA-37DA1344ADD6}" type="presOf" srcId="{B876D0C2-BA80-4486-98C8-E10AB2756FC5}" destId="{C0264484-DC40-4C1C-9103-106977643F89}" srcOrd="0" destOrd="0" presId="urn:microsoft.com/office/officeart/2008/layout/NameandTitleOrganizationalChart"/>
    <dgm:cxn modelId="{652142ED-2A12-4C15-8D3A-8505B71CA999}" type="presOf" srcId="{E384D70C-225E-4709-BA1C-B5D68B155C5C}" destId="{C4F53EB6-A1B9-407E-B447-32309F6C3730}" srcOrd="1" destOrd="0" presId="urn:microsoft.com/office/officeart/2008/layout/NameandTitleOrganizationalChart"/>
    <dgm:cxn modelId="{919B66ED-5B69-4296-AEB8-AFE0122E1231}" type="presOf" srcId="{47C39484-004A-4B1B-AFEB-A10AF893B4B7}" destId="{998ED5B5-C615-4F9E-8587-33B954BC6870}" srcOrd="0" destOrd="0" presId="urn:microsoft.com/office/officeart/2008/layout/NameandTitleOrganizationalChart"/>
    <dgm:cxn modelId="{A3889BED-57E6-4190-947E-FD4233E169B0}" srcId="{1A569E30-937F-4904-88CA-1C8DD51AF791}" destId="{EDDD2953-7192-4A21-8C8D-2D068F8C3333}" srcOrd="0" destOrd="0" parTransId="{87774D7B-42AC-4832-8762-24360B4FABFF}" sibTransId="{2330FBD9-58D9-405B-AFA1-3D360C274410}"/>
    <dgm:cxn modelId="{E54CBDED-1E74-4AF2-B78D-A65C0AFDED1C}" type="presOf" srcId="{E65936DD-2EA5-4C01-8DDD-2793F70DD698}" destId="{B2C068A0-EFBE-46E1-95F7-41BC31A04100}" srcOrd="0" destOrd="0" presId="urn:microsoft.com/office/officeart/2008/layout/NameandTitleOrganizationalChart"/>
    <dgm:cxn modelId="{1F90DAED-20A6-43E0-9441-92975E9F5BBC}" type="presOf" srcId="{942C8DEC-C1B1-42FB-9194-9B7EB1AE53EE}" destId="{FDA6F419-CBB2-4A3C-9F73-C993B51EE192}" srcOrd="1" destOrd="0" presId="urn:microsoft.com/office/officeart/2008/layout/NameandTitleOrganizationalChart"/>
    <dgm:cxn modelId="{1C6462EE-32C8-4D37-A349-EC7E395BAAB1}" srcId="{13023F3E-BBF3-4FF4-A7C1-4A0B6BAF3A29}" destId="{F44DB52C-8216-4AB7-8A08-EDE71151C600}" srcOrd="1" destOrd="0" parTransId="{6A36C91A-8256-4E5E-91AA-5BE09BE686C0}" sibTransId="{FD7DE710-B3DD-4A7F-BB5A-B020114BC0B3}"/>
    <dgm:cxn modelId="{3573C5EE-960A-4B5E-A79A-4CD9A16E6293}" srcId="{CCEABBB7-338B-47E0-BEFB-7E66639CFF61}" destId="{E384D70C-225E-4709-BA1C-B5D68B155C5C}" srcOrd="1" destOrd="0" parTransId="{6D40DF44-2BEC-4F94-9A4A-9971C23408F6}" sibTransId="{D6030610-5741-46D9-A768-E77D43E6BAE4}"/>
    <dgm:cxn modelId="{B14EF6EF-92AD-421C-9B3A-694C993255F1}" type="presOf" srcId="{A0358C33-22C3-4FCD-B6AA-08EC3B18FC1C}" destId="{0BDBAF9E-3423-4584-ABC0-48A2C0A2AB96}" srcOrd="0" destOrd="0" presId="urn:microsoft.com/office/officeart/2008/layout/NameandTitleOrganizationalChart"/>
    <dgm:cxn modelId="{CB685FF6-8805-4811-9715-DEA032051A9A}" type="presOf" srcId="{40A61076-DA91-47A8-A767-A7751DD3A9B8}" destId="{6B9D259E-1D95-406A-9E5F-FB7C7737CD09}" srcOrd="1" destOrd="0" presId="urn:microsoft.com/office/officeart/2008/layout/NameandTitleOrganizationalChart"/>
    <dgm:cxn modelId="{81A28FF8-9EB1-496F-889E-CE1496653079}" type="presOf" srcId="{D65C5FFC-551E-4462-83B0-3004D251CAE6}" destId="{55703F11-9F25-493F-BC19-BB4EC28CD8A6}" srcOrd="0" destOrd="0" presId="urn:microsoft.com/office/officeart/2008/layout/NameandTitleOrganizationalChart"/>
    <dgm:cxn modelId="{5112C6FA-3244-4353-BEDA-3FFA821A745E}" type="presOf" srcId="{9F157D24-A5D1-4619-B1CE-207AD8F53CD5}" destId="{021DD6D6-FCEC-41D9-B348-B74C8086787F}" srcOrd="0" destOrd="0" presId="urn:microsoft.com/office/officeart/2008/layout/NameandTitleOrganizationalChart"/>
    <dgm:cxn modelId="{381FAAFB-90B7-4E68-8A7E-C7126810CFBA}" type="presOf" srcId="{CE68AC63-E24F-40F1-8D9A-5932A99E73B7}" destId="{F67D9200-4BF3-464E-BD3D-2EBEA7A12FC2}" srcOrd="0" destOrd="0" presId="urn:microsoft.com/office/officeart/2008/layout/NameandTitleOrganizationalChart"/>
    <dgm:cxn modelId="{AD8DBCFC-5B86-443C-B258-D31366592292}" srcId="{47C39484-004A-4B1B-AFEB-A10AF893B4B7}" destId="{356F1E70-7280-4D9A-98C3-6DF913ADC682}" srcOrd="1" destOrd="0" parTransId="{E4319104-1B95-45B9-85D4-9B14C9DDA4E1}" sibTransId="{0600A3E2-6162-41AE-A0CB-551CB60E1EA2}"/>
    <dgm:cxn modelId="{65B59CFE-C384-4771-888C-DB93B403EB24}" type="presOf" srcId="{CE7A467F-0E17-47E5-B3F5-060D2DDA532A}" destId="{3C78A9C6-BB0E-4996-9576-402F0E96566C}" srcOrd="0" destOrd="0" presId="urn:microsoft.com/office/officeart/2008/layout/NameandTitleOrganizationalChart"/>
    <dgm:cxn modelId="{55A152FF-B651-406D-9592-AD3AEFF2ECF4}" type="presOf" srcId="{D6030610-5741-46D9-A768-E77D43E6BAE4}" destId="{D141C697-C6D4-4357-8EEB-E87E399E76B2}" srcOrd="0" destOrd="0" presId="urn:microsoft.com/office/officeart/2008/layout/NameandTitleOrganizationalChart"/>
    <dgm:cxn modelId="{6DE3BCE4-0864-42C8-85BC-C5A0F838C55F}" type="presParOf" srcId="{FCA95584-C290-4366-9667-7EBFECCE6578}" destId="{906B4734-EFAA-463B-A796-C9A7BB211290}" srcOrd="0" destOrd="0" presId="urn:microsoft.com/office/officeart/2008/layout/NameandTitleOrganizationalChart"/>
    <dgm:cxn modelId="{F97D3CBA-77F3-4BDF-B453-311D4B3F9278}" type="presParOf" srcId="{906B4734-EFAA-463B-A796-C9A7BB211290}" destId="{CC2501C2-D14F-417E-BE63-CD5F717E0F59}" srcOrd="0" destOrd="0" presId="urn:microsoft.com/office/officeart/2008/layout/NameandTitleOrganizationalChart"/>
    <dgm:cxn modelId="{5D115771-FC54-4E77-B088-95F8B0B09A0A}" type="presParOf" srcId="{CC2501C2-D14F-417E-BE63-CD5F717E0F59}" destId="{9CB627A4-2C01-467D-9E2F-FFFEA7E2E616}" srcOrd="0" destOrd="0" presId="urn:microsoft.com/office/officeart/2008/layout/NameandTitleOrganizationalChart"/>
    <dgm:cxn modelId="{BEA7809B-5DEA-45E5-9E4C-58827230D30F}" type="presParOf" srcId="{CC2501C2-D14F-417E-BE63-CD5F717E0F59}" destId="{497F8702-6EA2-457B-A3A7-61F56827C5DD}" srcOrd="1" destOrd="0" presId="urn:microsoft.com/office/officeart/2008/layout/NameandTitleOrganizationalChart"/>
    <dgm:cxn modelId="{C1D94D69-AB16-4BB4-946F-E965B8148BCC}" type="presParOf" srcId="{CC2501C2-D14F-417E-BE63-CD5F717E0F59}" destId="{2FCF7492-5D7A-40B6-B34F-0E243A7756A9}" srcOrd="2" destOrd="0" presId="urn:microsoft.com/office/officeart/2008/layout/NameandTitleOrganizationalChart"/>
    <dgm:cxn modelId="{9B544086-CD6E-404C-87CE-CF07A703FAD8}" type="presParOf" srcId="{906B4734-EFAA-463B-A796-C9A7BB211290}" destId="{C718AD6A-FDF4-4DFE-B639-235A92E0D1E5}" srcOrd="1" destOrd="0" presId="urn:microsoft.com/office/officeart/2008/layout/NameandTitleOrganizationalChart"/>
    <dgm:cxn modelId="{720E180B-FC01-491A-81C6-C63E60CE609E}" type="presParOf" srcId="{C718AD6A-FDF4-4DFE-B639-235A92E0D1E5}" destId="{FCD91427-577B-441A-8166-134B6937CF4D}" srcOrd="0" destOrd="0" presId="urn:microsoft.com/office/officeart/2008/layout/NameandTitleOrganizationalChart"/>
    <dgm:cxn modelId="{372C43BA-9988-4467-AAB7-E625C66A6FD4}" type="presParOf" srcId="{C718AD6A-FDF4-4DFE-B639-235A92E0D1E5}" destId="{B259CDD6-BBBB-468C-8D15-DA13015CC27C}" srcOrd="1" destOrd="0" presId="urn:microsoft.com/office/officeart/2008/layout/NameandTitleOrganizationalChart"/>
    <dgm:cxn modelId="{D80CA98A-723D-4738-B24E-51A2B6DA24DD}" type="presParOf" srcId="{B259CDD6-BBBB-468C-8D15-DA13015CC27C}" destId="{25C6C877-07BB-4E58-9E7F-F360623E193C}" srcOrd="0" destOrd="0" presId="urn:microsoft.com/office/officeart/2008/layout/NameandTitleOrganizationalChart"/>
    <dgm:cxn modelId="{79D10620-82E4-4C30-B478-6555CBB06D9C}" type="presParOf" srcId="{25C6C877-07BB-4E58-9E7F-F360623E193C}" destId="{998ED5B5-C615-4F9E-8587-33B954BC6870}" srcOrd="0" destOrd="0" presId="urn:microsoft.com/office/officeart/2008/layout/NameandTitleOrganizationalChart"/>
    <dgm:cxn modelId="{8CCEC882-2CBA-4D0D-9A69-448F800DD720}" type="presParOf" srcId="{25C6C877-07BB-4E58-9E7F-F360623E193C}" destId="{AB3696F1-3526-4C4D-924D-F80780FF4F0C}" srcOrd="1" destOrd="0" presId="urn:microsoft.com/office/officeart/2008/layout/NameandTitleOrganizationalChart"/>
    <dgm:cxn modelId="{99535485-4223-4CAA-8BB3-80BE434CEB6D}" type="presParOf" srcId="{25C6C877-07BB-4E58-9E7F-F360623E193C}" destId="{DBAB87C3-56C5-4735-9266-2E2EB7CB8D9A}" srcOrd="2" destOrd="0" presId="urn:microsoft.com/office/officeart/2008/layout/NameandTitleOrganizationalChart"/>
    <dgm:cxn modelId="{A085B679-4542-45D2-B55A-7E19C348A55A}" type="presParOf" srcId="{B259CDD6-BBBB-468C-8D15-DA13015CC27C}" destId="{8C26EA3C-4D37-4D8B-B26C-B92D36E7C656}" srcOrd="1" destOrd="0" presId="urn:microsoft.com/office/officeart/2008/layout/NameandTitleOrganizationalChart"/>
    <dgm:cxn modelId="{DC2EBAB3-AE6A-4DD4-BDA1-FBDC33B0751C}" type="presParOf" srcId="{8C26EA3C-4D37-4D8B-B26C-B92D36E7C656}" destId="{14E72DE9-77E0-4F43-9A65-A6DC12A9FBD5}" srcOrd="0" destOrd="0" presId="urn:microsoft.com/office/officeart/2008/layout/NameandTitleOrganizationalChart"/>
    <dgm:cxn modelId="{2BD979FB-A274-4B67-82C1-AFD0CDCE404B}" type="presParOf" srcId="{8C26EA3C-4D37-4D8B-B26C-B92D36E7C656}" destId="{106D0C8F-16A6-4D26-A9AB-55503422760F}" srcOrd="1" destOrd="0" presId="urn:microsoft.com/office/officeart/2008/layout/NameandTitleOrganizationalChart"/>
    <dgm:cxn modelId="{127CFC9C-AE48-4145-8173-4BADDC522822}" type="presParOf" srcId="{106D0C8F-16A6-4D26-A9AB-55503422760F}" destId="{4062BA55-6A1A-45B9-BC1B-5EBDFC96A696}" srcOrd="0" destOrd="0" presId="urn:microsoft.com/office/officeart/2008/layout/NameandTitleOrganizationalChart"/>
    <dgm:cxn modelId="{74957559-94DB-4BAC-80FA-C2CD04901A9D}" type="presParOf" srcId="{4062BA55-6A1A-45B9-BC1B-5EBDFC96A696}" destId="{EB0CFA4B-190D-468F-BA87-622AC9D67C24}" srcOrd="0" destOrd="0" presId="urn:microsoft.com/office/officeart/2008/layout/NameandTitleOrganizationalChart"/>
    <dgm:cxn modelId="{CAA91A89-9AA0-4E0C-BC43-0B6F630F0F94}" type="presParOf" srcId="{4062BA55-6A1A-45B9-BC1B-5EBDFC96A696}" destId="{FD2C1B63-12C7-44D5-B35D-2DC830D2B419}" srcOrd="1" destOrd="0" presId="urn:microsoft.com/office/officeart/2008/layout/NameandTitleOrganizationalChart"/>
    <dgm:cxn modelId="{FDC87273-FFB6-44D7-B681-BCCAA2909E6B}" type="presParOf" srcId="{4062BA55-6A1A-45B9-BC1B-5EBDFC96A696}" destId="{F74C3DC8-C63E-412B-ABEF-871CDA31BCFF}" srcOrd="2" destOrd="0" presId="urn:microsoft.com/office/officeart/2008/layout/NameandTitleOrganizationalChart"/>
    <dgm:cxn modelId="{82AE9327-E658-4A9F-BA94-ACDB8D4E6FFF}" type="presParOf" srcId="{106D0C8F-16A6-4D26-A9AB-55503422760F}" destId="{7835C65C-1263-4F3E-8D20-E822CA4296A8}" srcOrd="1" destOrd="0" presId="urn:microsoft.com/office/officeart/2008/layout/NameandTitleOrganizationalChart"/>
    <dgm:cxn modelId="{F0505178-0B85-411D-BBFE-D11D3B169957}" type="presParOf" srcId="{7835C65C-1263-4F3E-8D20-E822CA4296A8}" destId="{E6DC135A-6F27-4425-9A37-B7E67CEB6DB1}" srcOrd="0" destOrd="0" presId="urn:microsoft.com/office/officeart/2008/layout/NameandTitleOrganizationalChart"/>
    <dgm:cxn modelId="{2585DAAC-DED8-4F34-977F-4846BD1761A8}" type="presParOf" srcId="{7835C65C-1263-4F3E-8D20-E822CA4296A8}" destId="{9B4AAAFB-5E89-4F80-A540-38EF8A59C91E}" srcOrd="1" destOrd="0" presId="urn:microsoft.com/office/officeart/2008/layout/NameandTitleOrganizationalChart"/>
    <dgm:cxn modelId="{8626CBEF-F7C6-4D8B-8301-CF8C52B94905}" type="presParOf" srcId="{9B4AAAFB-5E89-4F80-A540-38EF8A59C91E}" destId="{F1268B51-0EBB-47AA-AEA1-84ABABB5BC1B}" srcOrd="0" destOrd="0" presId="urn:microsoft.com/office/officeart/2008/layout/NameandTitleOrganizationalChart"/>
    <dgm:cxn modelId="{FB56AFD0-EADA-4525-A53F-427F16E04CBB}" type="presParOf" srcId="{F1268B51-0EBB-47AA-AEA1-84ABABB5BC1B}" destId="{DEA1CC30-36FD-43BC-A88E-53406C1EF371}" srcOrd="0" destOrd="0" presId="urn:microsoft.com/office/officeart/2008/layout/NameandTitleOrganizationalChart"/>
    <dgm:cxn modelId="{BB62F105-E675-4112-AE7F-EB714E6381F7}" type="presParOf" srcId="{F1268B51-0EBB-47AA-AEA1-84ABABB5BC1B}" destId="{388E1053-73E6-4237-90F0-BBF595B7573C}" srcOrd="1" destOrd="0" presId="urn:microsoft.com/office/officeart/2008/layout/NameandTitleOrganizationalChart"/>
    <dgm:cxn modelId="{0F0841AB-0F45-47FB-83D0-FEDDB978AD7D}" type="presParOf" srcId="{F1268B51-0EBB-47AA-AEA1-84ABABB5BC1B}" destId="{2CC094A4-FC30-4755-9A37-42497A83813E}" srcOrd="2" destOrd="0" presId="urn:microsoft.com/office/officeart/2008/layout/NameandTitleOrganizationalChart"/>
    <dgm:cxn modelId="{70C333D0-E655-4A79-9198-EAD838396A1B}" type="presParOf" srcId="{9B4AAAFB-5E89-4F80-A540-38EF8A59C91E}" destId="{AE2DE5D9-B534-4DD8-B238-3B51E6C4937E}" srcOrd="1" destOrd="0" presId="urn:microsoft.com/office/officeart/2008/layout/NameandTitleOrganizationalChart"/>
    <dgm:cxn modelId="{0D14C42F-E5D4-43C6-BA2E-5BF78A98F502}" type="presParOf" srcId="{9B4AAAFB-5E89-4F80-A540-38EF8A59C91E}" destId="{902B0D8B-4FF7-4CC5-8639-8184A0B85AC8}" srcOrd="2" destOrd="0" presId="urn:microsoft.com/office/officeart/2008/layout/NameandTitleOrganizationalChart"/>
    <dgm:cxn modelId="{69837E25-6644-4551-B2C5-984BFF667045}" type="presParOf" srcId="{7835C65C-1263-4F3E-8D20-E822CA4296A8}" destId="{20E7F154-9C15-4CD6-BC79-681E2BD54E49}" srcOrd="2" destOrd="0" presId="urn:microsoft.com/office/officeart/2008/layout/NameandTitleOrganizationalChart"/>
    <dgm:cxn modelId="{2C671B86-CBCF-49DC-8CFC-62C6F476AD34}" type="presParOf" srcId="{7835C65C-1263-4F3E-8D20-E822CA4296A8}" destId="{3FC50FB5-1CA5-47C7-9448-9496CEEADA5B}" srcOrd="3" destOrd="0" presId="urn:microsoft.com/office/officeart/2008/layout/NameandTitleOrganizationalChart"/>
    <dgm:cxn modelId="{4F38ACA9-D6D6-4492-99B7-FEEB47FD279A}" type="presParOf" srcId="{3FC50FB5-1CA5-47C7-9448-9496CEEADA5B}" destId="{2F953524-D4DB-4C38-AB8A-D16B2B4F5A0D}" srcOrd="0" destOrd="0" presId="urn:microsoft.com/office/officeart/2008/layout/NameandTitleOrganizationalChart"/>
    <dgm:cxn modelId="{58DC4A73-E421-4D4A-90AD-C7EAE4BFB313}" type="presParOf" srcId="{2F953524-D4DB-4C38-AB8A-D16B2B4F5A0D}" destId="{A98A12A0-375D-4106-ABCD-865408F0FABC}" srcOrd="0" destOrd="0" presId="urn:microsoft.com/office/officeart/2008/layout/NameandTitleOrganizationalChart"/>
    <dgm:cxn modelId="{8CAF7C3D-650C-46F3-8A22-51FE7EE8909D}" type="presParOf" srcId="{2F953524-D4DB-4C38-AB8A-D16B2B4F5A0D}" destId="{AEBDC091-F9F7-462C-AE0C-3B1BA757064D}" srcOrd="1" destOrd="0" presId="urn:microsoft.com/office/officeart/2008/layout/NameandTitleOrganizationalChart"/>
    <dgm:cxn modelId="{694BD946-8F1B-4B69-9E4D-F50A6991E799}" type="presParOf" srcId="{2F953524-D4DB-4C38-AB8A-D16B2B4F5A0D}" destId="{D73D8E52-94A4-44C0-9B44-4E3B72A7DFE9}" srcOrd="2" destOrd="0" presId="urn:microsoft.com/office/officeart/2008/layout/NameandTitleOrganizationalChart"/>
    <dgm:cxn modelId="{9D1B7536-BB2C-4238-9CC7-77C51C0F4DDB}" type="presParOf" srcId="{3FC50FB5-1CA5-47C7-9448-9496CEEADA5B}" destId="{9DD77825-40EA-4D41-A8FB-30A926C91B8E}" srcOrd="1" destOrd="0" presId="urn:microsoft.com/office/officeart/2008/layout/NameandTitleOrganizationalChart"/>
    <dgm:cxn modelId="{13508CE2-5BEA-4BD9-BDAD-414C8C527984}" type="presParOf" srcId="{3FC50FB5-1CA5-47C7-9448-9496CEEADA5B}" destId="{081D69EA-2C35-4468-8648-69A46A04DDDC}" srcOrd="2" destOrd="0" presId="urn:microsoft.com/office/officeart/2008/layout/NameandTitleOrganizationalChart"/>
    <dgm:cxn modelId="{5075DFCF-7D68-449A-A0CB-6D4C482D9524}" type="presParOf" srcId="{7835C65C-1263-4F3E-8D20-E822CA4296A8}" destId="{EDD6DA7A-A100-4C22-9A9B-3DE29D7B3ACD}" srcOrd="4" destOrd="0" presId="urn:microsoft.com/office/officeart/2008/layout/NameandTitleOrganizationalChart"/>
    <dgm:cxn modelId="{8BACED4B-1A6E-4BDF-B19F-345735534538}" type="presParOf" srcId="{7835C65C-1263-4F3E-8D20-E822CA4296A8}" destId="{24F5B1F8-5287-42C0-975C-39FE2E3B36E9}" srcOrd="5" destOrd="0" presId="urn:microsoft.com/office/officeart/2008/layout/NameandTitleOrganizationalChart"/>
    <dgm:cxn modelId="{EC99DA0B-433A-461D-9510-7E01A29D985F}" type="presParOf" srcId="{24F5B1F8-5287-42C0-975C-39FE2E3B36E9}" destId="{33EA0CBC-CE13-4142-8B92-2FF60B7663A9}" srcOrd="0" destOrd="0" presId="urn:microsoft.com/office/officeart/2008/layout/NameandTitleOrganizationalChart"/>
    <dgm:cxn modelId="{EAE1C625-0A97-46EE-B009-204803F7B757}" type="presParOf" srcId="{33EA0CBC-CE13-4142-8B92-2FF60B7663A9}" destId="{3B334248-BAB9-42CA-9871-E261EB326B22}" srcOrd="0" destOrd="0" presId="urn:microsoft.com/office/officeart/2008/layout/NameandTitleOrganizationalChart"/>
    <dgm:cxn modelId="{054DF4DB-F5AA-4B36-BCFC-74D90C47A531}" type="presParOf" srcId="{33EA0CBC-CE13-4142-8B92-2FF60B7663A9}" destId="{D2AFCE57-00AC-4173-BE7C-DED0062BD73A}" srcOrd="1" destOrd="0" presId="urn:microsoft.com/office/officeart/2008/layout/NameandTitleOrganizationalChart"/>
    <dgm:cxn modelId="{60512943-DD15-4349-8DBD-19DDAFAFB1BA}" type="presParOf" srcId="{33EA0CBC-CE13-4142-8B92-2FF60B7663A9}" destId="{9845632A-96DB-4016-8EF3-6E9E9E37DDA4}" srcOrd="2" destOrd="0" presId="urn:microsoft.com/office/officeart/2008/layout/NameandTitleOrganizationalChart"/>
    <dgm:cxn modelId="{13D2FA56-9C27-4614-B5DC-BDD928BCEA1D}" type="presParOf" srcId="{24F5B1F8-5287-42C0-975C-39FE2E3B36E9}" destId="{E9DEFBE3-3EB2-4A8F-8290-2BDDF75E9C95}" srcOrd="1" destOrd="0" presId="urn:microsoft.com/office/officeart/2008/layout/NameandTitleOrganizationalChart"/>
    <dgm:cxn modelId="{B35E336F-3AE7-452A-8CB5-B4387319CBE6}" type="presParOf" srcId="{24F5B1F8-5287-42C0-975C-39FE2E3B36E9}" destId="{44FE56F0-9D5D-48CF-9ABA-489992301492}" srcOrd="2" destOrd="0" presId="urn:microsoft.com/office/officeart/2008/layout/NameandTitleOrganizationalChart"/>
    <dgm:cxn modelId="{DD7E9202-7E0C-4705-991B-C322E48C0D82}" type="presParOf" srcId="{7835C65C-1263-4F3E-8D20-E822CA4296A8}" destId="{7D5D5120-7A69-4946-89D1-F27086829D97}" srcOrd="6" destOrd="0" presId="urn:microsoft.com/office/officeart/2008/layout/NameandTitleOrganizationalChart"/>
    <dgm:cxn modelId="{8DDC2171-4829-4339-918D-EAF9F41D6ED3}" type="presParOf" srcId="{7835C65C-1263-4F3E-8D20-E822CA4296A8}" destId="{AACF44D8-8BC7-457C-8111-75E4B6B350B2}" srcOrd="7" destOrd="0" presId="urn:microsoft.com/office/officeart/2008/layout/NameandTitleOrganizationalChart"/>
    <dgm:cxn modelId="{CE1FA0A5-5855-40BC-9FED-3BC88CEA0672}" type="presParOf" srcId="{AACF44D8-8BC7-457C-8111-75E4B6B350B2}" destId="{B0984738-EA56-4036-9002-98CDB0829B27}" srcOrd="0" destOrd="0" presId="urn:microsoft.com/office/officeart/2008/layout/NameandTitleOrganizationalChart"/>
    <dgm:cxn modelId="{48F6705E-9A3E-49BD-B35E-0E399F76E97A}" type="presParOf" srcId="{B0984738-EA56-4036-9002-98CDB0829B27}" destId="{3D027C5F-090F-4E8F-AE5E-A815B0C02A94}" srcOrd="0" destOrd="0" presId="urn:microsoft.com/office/officeart/2008/layout/NameandTitleOrganizationalChart"/>
    <dgm:cxn modelId="{5F5D6A11-05CA-4D37-9697-1E114EEAC8E6}" type="presParOf" srcId="{B0984738-EA56-4036-9002-98CDB0829B27}" destId="{54A59613-1B04-48F2-9981-764D08BC337A}" srcOrd="1" destOrd="0" presId="urn:microsoft.com/office/officeart/2008/layout/NameandTitleOrganizationalChart"/>
    <dgm:cxn modelId="{4CB5AAB9-539B-47B2-8845-15CBC5C9FFB9}" type="presParOf" srcId="{B0984738-EA56-4036-9002-98CDB0829B27}" destId="{DC252E6D-89A2-4203-A634-555151787A5C}" srcOrd="2" destOrd="0" presId="urn:microsoft.com/office/officeart/2008/layout/NameandTitleOrganizationalChart"/>
    <dgm:cxn modelId="{720A0E71-D9FA-42A5-94DA-EDA29D70C6B3}" type="presParOf" srcId="{AACF44D8-8BC7-457C-8111-75E4B6B350B2}" destId="{ED8349DF-2CB7-4AE1-AEAF-B34F01029C95}" srcOrd="1" destOrd="0" presId="urn:microsoft.com/office/officeart/2008/layout/NameandTitleOrganizationalChart"/>
    <dgm:cxn modelId="{A4F7A2C8-DD62-4FBB-A28F-7102E36D0233}" type="presParOf" srcId="{AACF44D8-8BC7-457C-8111-75E4B6B350B2}" destId="{1F2B96C7-9BE3-47D8-804A-045C2FD8F4A3}" srcOrd="2" destOrd="0" presId="urn:microsoft.com/office/officeart/2008/layout/NameandTitleOrganizationalChart"/>
    <dgm:cxn modelId="{7C8C2C6A-B962-4BB9-969F-7FDFB89D1441}" type="presParOf" srcId="{7835C65C-1263-4F3E-8D20-E822CA4296A8}" destId="{FB32740C-8DC2-426F-B031-E2272990E064}" srcOrd="8" destOrd="0" presId="urn:microsoft.com/office/officeart/2008/layout/NameandTitleOrganizationalChart"/>
    <dgm:cxn modelId="{66C7D0C8-7036-4C4B-97FE-6A461FBC573D}" type="presParOf" srcId="{7835C65C-1263-4F3E-8D20-E822CA4296A8}" destId="{9CA23D89-DAAF-4D86-9890-061A9816ED15}" srcOrd="9" destOrd="0" presId="urn:microsoft.com/office/officeart/2008/layout/NameandTitleOrganizationalChart"/>
    <dgm:cxn modelId="{1D2AD20D-AE34-45B5-A4CD-596DEAE782D8}" type="presParOf" srcId="{9CA23D89-DAAF-4D86-9890-061A9816ED15}" destId="{90422346-D0DB-467A-AED9-D45150A5D6B4}" srcOrd="0" destOrd="0" presId="urn:microsoft.com/office/officeart/2008/layout/NameandTitleOrganizationalChart"/>
    <dgm:cxn modelId="{223341A8-6B95-4AB9-95D1-C402D0F7D921}" type="presParOf" srcId="{90422346-D0DB-467A-AED9-D45150A5D6B4}" destId="{8EE6926A-F0D8-4CB6-A2B6-C7034E7F9C30}" srcOrd="0" destOrd="0" presId="urn:microsoft.com/office/officeart/2008/layout/NameandTitleOrganizationalChart"/>
    <dgm:cxn modelId="{477CFAB8-8E5E-4938-BB95-8D45D66A2A61}" type="presParOf" srcId="{90422346-D0DB-467A-AED9-D45150A5D6B4}" destId="{94955614-EFFB-4FA8-B43D-F911E9710223}" srcOrd="1" destOrd="0" presId="urn:microsoft.com/office/officeart/2008/layout/NameandTitleOrganizationalChart"/>
    <dgm:cxn modelId="{486D1BDD-95D9-4D46-8E22-D3E9974F687C}" type="presParOf" srcId="{90422346-D0DB-467A-AED9-D45150A5D6B4}" destId="{922C23F8-042B-41D0-8EC4-E0E680AA567F}" srcOrd="2" destOrd="0" presId="urn:microsoft.com/office/officeart/2008/layout/NameandTitleOrganizationalChart"/>
    <dgm:cxn modelId="{06B5B1CF-BF64-4F26-B112-0ED004145539}" type="presParOf" srcId="{9CA23D89-DAAF-4D86-9890-061A9816ED15}" destId="{D51F6A4E-F15D-4B80-8C66-5DF6C798690C}" srcOrd="1" destOrd="0" presId="urn:microsoft.com/office/officeart/2008/layout/NameandTitleOrganizationalChart"/>
    <dgm:cxn modelId="{D2636A25-83D5-4F1F-8D8F-975A346B9852}" type="presParOf" srcId="{9CA23D89-DAAF-4D86-9890-061A9816ED15}" destId="{1543F621-295E-4ACE-A9D7-9CE1517E18CE}" srcOrd="2" destOrd="0" presId="urn:microsoft.com/office/officeart/2008/layout/NameandTitleOrganizationalChart"/>
    <dgm:cxn modelId="{82D5988F-73CA-48FA-83B2-2DD9BFB6174D}" type="presParOf" srcId="{7835C65C-1263-4F3E-8D20-E822CA4296A8}" destId="{43DFA466-0E33-4527-9089-6C6C2C5EFDF8}" srcOrd="10" destOrd="0" presId="urn:microsoft.com/office/officeart/2008/layout/NameandTitleOrganizationalChart"/>
    <dgm:cxn modelId="{60190B78-5D22-489B-985F-BACE02D4F962}" type="presParOf" srcId="{7835C65C-1263-4F3E-8D20-E822CA4296A8}" destId="{0DBC460E-C0EE-4CA3-9674-5E7845D213A4}" srcOrd="11" destOrd="0" presId="urn:microsoft.com/office/officeart/2008/layout/NameandTitleOrganizationalChart"/>
    <dgm:cxn modelId="{15A6BEDC-907A-41FF-9AF1-CEACB8D7B0D4}" type="presParOf" srcId="{0DBC460E-C0EE-4CA3-9674-5E7845D213A4}" destId="{92D6B303-6747-4360-B086-046852576FD9}" srcOrd="0" destOrd="0" presId="urn:microsoft.com/office/officeart/2008/layout/NameandTitleOrganizationalChart"/>
    <dgm:cxn modelId="{2E3141C2-4A02-49C4-837D-B524CAA1D874}" type="presParOf" srcId="{92D6B303-6747-4360-B086-046852576FD9}" destId="{0324913E-DF24-4789-B17A-5497E9E7E66D}" srcOrd="0" destOrd="0" presId="urn:microsoft.com/office/officeart/2008/layout/NameandTitleOrganizationalChart"/>
    <dgm:cxn modelId="{487783C2-C61D-4C19-B3E1-237B074BED02}" type="presParOf" srcId="{92D6B303-6747-4360-B086-046852576FD9}" destId="{F0907E31-8957-458E-92D9-FCA15A43F1F2}" srcOrd="1" destOrd="0" presId="urn:microsoft.com/office/officeart/2008/layout/NameandTitleOrganizationalChart"/>
    <dgm:cxn modelId="{EF77CAF1-1F72-4DA3-BA3A-C93927B3248E}" type="presParOf" srcId="{92D6B303-6747-4360-B086-046852576FD9}" destId="{93FA6051-FADD-4579-9358-13C4D29000B6}" srcOrd="2" destOrd="0" presId="urn:microsoft.com/office/officeart/2008/layout/NameandTitleOrganizationalChart"/>
    <dgm:cxn modelId="{93303002-EF8C-4A4A-A0A5-AF516FC6506A}" type="presParOf" srcId="{0DBC460E-C0EE-4CA3-9674-5E7845D213A4}" destId="{457EA18F-5933-4035-BAA4-356DAC17F9E6}" srcOrd="1" destOrd="0" presId="urn:microsoft.com/office/officeart/2008/layout/NameandTitleOrganizationalChart"/>
    <dgm:cxn modelId="{4541CB07-78FA-4D30-A2E0-85ECA161A1A7}" type="presParOf" srcId="{0DBC460E-C0EE-4CA3-9674-5E7845D213A4}" destId="{DFEEC7D9-4CEA-4A28-B0EF-8559BDF1A6CE}" srcOrd="2" destOrd="0" presId="urn:microsoft.com/office/officeart/2008/layout/NameandTitleOrganizationalChart"/>
    <dgm:cxn modelId="{29B1AA16-A1FC-4EE1-99DE-353A4E99562E}" type="presParOf" srcId="{7835C65C-1263-4F3E-8D20-E822CA4296A8}" destId="{85B92009-2DE0-41D1-89F9-862A29C03431}" srcOrd="12" destOrd="0" presId="urn:microsoft.com/office/officeart/2008/layout/NameandTitleOrganizationalChart"/>
    <dgm:cxn modelId="{9DC1FF96-1DB2-4EA6-9F8B-55C16969D652}" type="presParOf" srcId="{7835C65C-1263-4F3E-8D20-E822CA4296A8}" destId="{AB9C5514-5EB5-4DFF-BB9C-8F80E54A7F5F}" srcOrd="13" destOrd="0" presId="urn:microsoft.com/office/officeart/2008/layout/NameandTitleOrganizationalChart"/>
    <dgm:cxn modelId="{F3A957EF-0040-49DF-9A32-E08D966C70DE}" type="presParOf" srcId="{AB9C5514-5EB5-4DFF-BB9C-8F80E54A7F5F}" destId="{B59FFE32-A92C-4196-B714-7E7EDE1E0550}" srcOrd="0" destOrd="0" presId="urn:microsoft.com/office/officeart/2008/layout/NameandTitleOrganizationalChart"/>
    <dgm:cxn modelId="{7AC7C148-C51F-477A-800A-C838A82B0920}" type="presParOf" srcId="{B59FFE32-A92C-4196-B714-7E7EDE1E0550}" destId="{5B16D9B2-2665-4969-A326-41045BB72F81}" srcOrd="0" destOrd="0" presId="urn:microsoft.com/office/officeart/2008/layout/NameandTitleOrganizationalChart"/>
    <dgm:cxn modelId="{D33C3235-D1B0-403F-8E44-E5436FF861D4}" type="presParOf" srcId="{B59FFE32-A92C-4196-B714-7E7EDE1E0550}" destId="{C11BC66F-72F6-4BD9-93AE-C4B82F062BF0}" srcOrd="1" destOrd="0" presId="urn:microsoft.com/office/officeart/2008/layout/NameandTitleOrganizationalChart"/>
    <dgm:cxn modelId="{694E77A4-A7DE-48F6-80A2-A917921EF5F4}" type="presParOf" srcId="{B59FFE32-A92C-4196-B714-7E7EDE1E0550}" destId="{BD16258B-4C8C-4A60-8962-EA6A5C5C8CDC}" srcOrd="2" destOrd="0" presId="urn:microsoft.com/office/officeart/2008/layout/NameandTitleOrganizationalChart"/>
    <dgm:cxn modelId="{50A50787-4351-4F72-B9F2-9C07FF403B08}" type="presParOf" srcId="{AB9C5514-5EB5-4DFF-BB9C-8F80E54A7F5F}" destId="{9B220D42-CA84-413C-B292-4B09E85D8443}" srcOrd="1" destOrd="0" presId="urn:microsoft.com/office/officeart/2008/layout/NameandTitleOrganizationalChart"/>
    <dgm:cxn modelId="{52D8E93A-2211-4FB2-8DAB-209FE2846383}" type="presParOf" srcId="{AB9C5514-5EB5-4DFF-BB9C-8F80E54A7F5F}" destId="{8D1F73FA-3A3D-4D84-A61F-2A583721BBE5}" srcOrd="2" destOrd="0" presId="urn:microsoft.com/office/officeart/2008/layout/NameandTitleOrganizationalChart"/>
    <dgm:cxn modelId="{523A271E-78E9-4FAB-8A6A-52FF19613423}" type="presParOf" srcId="{7835C65C-1263-4F3E-8D20-E822CA4296A8}" destId="{D0328ED9-308E-4B30-B8DF-2D07A83A7C5A}" srcOrd="14" destOrd="0" presId="urn:microsoft.com/office/officeart/2008/layout/NameandTitleOrganizationalChart"/>
    <dgm:cxn modelId="{37F7ED85-BEEB-490D-846B-060265EF12DD}" type="presParOf" srcId="{7835C65C-1263-4F3E-8D20-E822CA4296A8}" destId="{5FE13490-0AF3-46A2-B46D-859E36BBE87B}" srcOrd="15" destOrd="0" presId="urn:microsoft.com/office/officeart/2008/layout/NameandTitleOrganizationalChart"/>
    <dgm:cxn modelId="{A43A54E3-AA39-42FE-9E2B-56A9E310F644}" type="presParOf" srcId="{5FE13490-0AF3-46A2-B46D-859E36BBE87B}" destId="{51C236CC-054D-4872-B7FB-1521D69B7B5D}" srcOrd="0" destOrd="0" presId="urn:microsoft.com/office/officeart/2008/layout/NameandTitleOrganizationalChart"/>
    <dgm:cxn modelId="{158E2620-058D-4085-AA55-CD857392AD8A}" type="presParOf" srcId="{51C236CC-054D-4872-B7FB-1521D69B7B5D}" destId="{B2C068A0-EFBE-46E1-95F7-41BC31A04100}" srcOrd="0" destOrd="0" presId="urn:microsoft.com/office/officeart/2008/layout/NameandTitleOrganizationalChart"/>
    <dgm:cxn modelId="{AB34A675-2D12-4B1F-95D7-9C6739AB8684}" type="presParOf" srcId="{51C236CC-054D-4872-B7FB-1521D69B7B5D}" destId="{286ACE62-2267-44E9-B567-168ED11E5C1E}" srcOrd="1" destOrd="0" presId="urn:microsoft.com/office/officeart/2008/layout/NameandTitleOrganizationalChart"/>
    <dgm:cxn modelId="{BE7EE578-7CEB-4960-8677-2DDCF5E3EEF5}" type="presParOf" srcId="{51C236CC-054D-4872-B7FB-1521D69B7B5D}" destId="{AB41ED10-B5F0-4385-816B-939B1C5BEBCB}" srcOrd="2" destOrd="0" presId="urn:microsoft.com/office/officeart/2008/layout/NameandTitleOrganizationalChart"/>
    <dgm:cxn modelId="{CAB84A8F-AF91-4D78-ABE6-9F92691FE22F}" type="presParOf" srcId="{5FE13490-0AF3-46A2-B46D-859E36BBE87B}" destId="{C388F2B2-116C-471D-A300-1A0F470508FF}" srcOrd="1" destOrd="0" presId="urn:microsoft.com/office/officeart/2008/layout/NameandTitleOrganizationalChart"/>
    <dgm:cxn modelId="{BECA705F-0922-492D-AA47-918CECA02E72}" type="presParOf" srcId="{5FE13490-0AF3-46A2-B46D-859E36BBE87B}" destId="{0D175FAF-1B36-4667-ACF0-EEB541A2D7D7}" srcOrd="2" destOrd="0" presId="urn:microsoft.com/office/officeart/2008/layout/NameandTitleOrganizationalChart"/>
    <dgm:cxn modelId="{81DB6311-CA09-4583-9844-191CBF378B62}" type="presParOf" srcId="{106D0C8F-16A6-4D26-A9AB-55503422760F}" destId="{9678BE81-3B11-4307-8FFC-145A0954A306}" srcOrd="2" destOrd="0" presId="urn:microsoft.com/office/officeart/2008/layout/NameandTitleOrganizationalChart"/>
    <dgm:cxn modelId="{E27FF338-5FA2-43C1-BDAD-74B7929723F6}" type="presParOf" srcId="{8C26EA3C-4D37-4D8B-B26C-B92D36E7C656}" destId="{34D1D79C-E9EC-4928-9D09-43BB4377704D}" srcOrd="2" destOrd="0" presId="urn:microsoft.com/office/officeart/2008/layout/NameandTitleOrganizationalChart"/>
    <dgm:cxn modelId="{A4F7E000-1735-4169-AD0C-41D55A523C46}" type="presParOf" srcId="{8C26EA3C-4D37-4D8B-B26C-B92D36E7C656}" destId="{B7162439-74C8-4C57-92E7-90B684979F0C}" srcOrd="3" destOrd="0" presId="urn:microsoft.com/office/officeart/2008/layout/NameandTitleOrganizationalChart"/>
    <dgm:cxn modelId="{7D41ABF8-D9F3-4589-A83F-8F0C02ADD6E4}" type="presParOf" srcId="{B7162439-74C8-4C57-92E7-90B684979F0C}" destId="{FCEA05BC-B71A-493D-B8C0-068CC08B97E3}" srcOrd="0" destOrd="0" presId="urn:microsoft.com/office/officeart/2008/layout/NameandTitleOrganizationalChart"/>
    <dgm:cxn modelId="{DE45CBE0-CEE8-4784-BBBC-89EED074F7B0}" type="presParOf" srcId="{FCEA05BC-B71A-493D-B8C0-068CC08B97E3}" destId="{B90A13A0-98BD-41B8-9100-A41547601D22}" srcOrd="0" destOrd="0" presId="urn:microsoft.com/office/officeart/2008/layout/NameandTitleOrganizationalChart"/>
    <dgm:cxn modelId="{86115AEB-9DF1-4DD2-8BDA-6929BBA7F34C}" type="presParOf" srcId="{FCEA05BC-B71A-493D-B8C0-068CC08B97E3}" destId="{848A0AD0-6DD4-43B2-936E-7528D55AD57C}" srcOrd="1" destOrd="0" presId="urn:microsoft.com/office/officeart/2008/layout/NameandTitleOrganizationalChart"/>
    <dgm:cxn modelId="{4324BCD9-5869-43DE-8445-81317491EC4F}" type="presParOf" srcId="{FCEA05BC-B71A-493D-B8C0-068CC08B97E3}" destId="{C875C8DA-11A4-449A-B836-A681C84AB297}" srcOrd="2" destOrd="0" presId="urn:microsoft.com/office/officeart/2008/layout/NameandTitleOrganizationalChart"/>
    <dgm:cxn modelId="{3863BCC4-B5EF-440D-A454-992610ADA004}" type="presParOf" srcId="{B7162439-74C8-4C57-92E7-90B684979F0C}" destId="{B4BEB3F6-C71C-4C48-B886-781CB924E6E2}" srcOrd="1" destOrd="0" presId="urn:microsoft.com/office/officeart/2008/layout/NameandTitleOrganizationalChart"/>
    <dgm:cxn modelId="{F2082741-1560-4FB1-882C-3C2181E85A49}" type="presParOf" srcId="{B4BEB3F6-C71C-4C48-B886-781CB924E6E2}" destId="{E119D3AC-63DD-48A0-B22C-B15A76F98514}" srcOrd="0" destOrd="0" presId="urn:microsoft.com/office/officeart/2008/layout/NameandTitleOrganizationalChart"/>
    <dgm:cxn modelId="{E1E60AE2-8020-4439-9388-02255CDD30FD}" type="presParOf" srcId="{B4BEB3F6-C71C-4C48-B886-781CB924E6E2}" destId="{CA171CCC-ECD3-4DB7-97D4-440724D655DF}" srcOrd="1" destOrd="0" presId="urn:microsoft.com/office/officeart/2008/layout/NameandTitleOrganizationalChart"/>
    <dgm:cxn modelId="{5A4DE4CE-99FD-4157-A598-525F022023A2}" type="presParOf" srcId="{CA171CCC-ECD3-4DB7-97D4-440724D655DF}" destId="{A7E81884-28E1-4944-BB45-2E362622D353}" srcOrd="0" destOrd="0" presId="urn:microsoft.com/office/officeart/2008/layout/NameandTitleOrganizationalChart"/>
    <dgm:cxn modelId="{1B8AA5CA-3759-493E-AD96-921DA34FA282}" type="presParOf" srcId="{A7E81884-28E1-4944-BB45-2E362622D353}" destId="{F4D0F44D-12FD-4BFA-8D70-F7C6F3908375}" srcOrd="0" destOrd="0" presId="urn:microsoft.com/office/officeart/2008/layout/NameandTitleOrganizationalChart"/>
    <dgm:cxn modelId="{DB70378B-B93B-471F-B933-44C9A2F4C4C2}" type="presParOf" srcId="{A7E81884-28E1-4944-BB45-2E362622D353}" destId="{AA23DE0C-5E08-40CB-92E0-0904D54AA9FB}" srcOrd="1" destOrd="0" presId="urn:microsoft.com/office/officeart/2008/layout/NameandTitleOrganizationalChart"/>
    <dgm:cxn modelId="{225FD80D-07BE-4E46-8964-E39338A363C9}" type="presParOf" srcId="{A7E81884-28E1-4944-BB45-2E362622D353}" destId="{1163A5E8-1064-42BC-8F10-316899942129}" srcOrd="2" destOrd="0" presId="urn:microsoft.com/office/officeart/2008/layout/NameandTitleOrganizationalChart"/>
    <dgm:cxn modelId="{324BE58D-7B16-4F50-9622-2A3DE0F1820E}" type="presParOf" srcId="{CA171CCC-ECD3-4DB7-97D4-440724D655DF}" destId="{3C31AE86-CACD-48F0-A7CE-F2E5453EFDB2}" srcOrd="1" destOrd="0" presId="urn:microsoft.com/office/officeart/2008/layout/NameandTitleOrganizationalChart"/>
    <dgm:cxn modelId="{BE2A0507-6E86-43C4-B65E-B7D537D0DF10}" type="presParOf" srcId="{CA171CCC-ECD3-4DB7-97D4-440724D655DF}" destId="{21C8776D-BAEE-4DCC-8C8A-03B309CB3DC1}" srcOrd="2" destOrd="0" presId="urn:microsoft.com/office/officeart/2008/layout/NameandTitleOrganizationalChart"/>
    <dgm:cxn modelId="{71FCB5A3-8666-4836-802B-AB57AC8844C2}" type="presParOf" srcId="{B4BEB3F6-C71C-4C48-B886-781CB924E6E2}" destId="{96CDDB58-1BB9-4BE2-A1B8-7655683EDCCC}" srcOrd="2" destOrd="0" presId="urn:microsoft.com/office/officeart/2008/layout/NameandTitleOrganizationalChart"/>
    <dgm:cxn modelId="{528F9165-812B-459E-8B5D-E19168E9D880}" type="presParOf" srcId="{B4BEB3F6-C71C-4C48-B886-781CB924E6E2}" destId="{9BE6CCFB-7956-4A6C-9BB7-D60551C0E742}" srcOrd="3" destOrd="0" presId="urn:microsoft.com/office/officeart/2008/layout/NameandTitleOrganizationalChart"/>
    <dgm:cxn modelId="{60D44FF1-E6A0-491F-AC3B-10EB07D0538C}" type="presParOf" srcId="{9BE6CCFB-7956-4A6C-9BB7-D60551C0E742}" destId="{F0EB6C0E-EFCE-4CC9-9280-99AB47351F9B}" srcOrd="0" destOrd="0" presId="urn:microsoft.com/office/officeart/2008/layout/NameandTitleOrganizationalChart"/>
    <dgm:cxn modelId="{DBD7C5D6-32D4-42D7-BBB4-75DE38BCD7AD}" type="presParOf" srcId="{F0EB6C0E-EFCE-4CC9-9280-99AB47351F9B}" destId="{8C2E6AA0-A6B8-47F0-A74C-7096EE0D8B0C}" srcOrd="0" destOrd="0" presId="urn:microsoft.com/office/officeart/2008/layout/NameandTitleOrganizationalChart"/>
    <dgm:cxn modelId="{87991968-AF2B-453B-B8C1-1437B755F76F}" type="presParOf" srcId="{F0EB6C0E-EFCE-4CC9-9280-99AB47351F9B}" destId="{A0971A63-0F7A-4CC9-BA3B-5D4436355018}" srcOrd="1" destOrd="0" presId="urn:microsoft.com/office/officeart/2008/layout/NameandTitleOrganizationalChart"/>
    <dgm:cxn modelId="{6CC4B9EE-C9B7-4EEF-A968-5BB90B5C898A}" type="presParOf" srcId="{F0EB6C0E-EFCE-4CC9-9280-99AB47351F9B}" destId="{611AD4AE-829E-4DE8-A322-86F9B6F40668}" srcOrd="2" destOrd="0" presId="urn:microsoft.com/office/officeart/2008/layout/NameandTitleOrganizationalChart"/>
    <dgm:cxn modelId="{18D8ACF3-C76A-47E5-817F-45FC29B75722}" type="presParOf" srcId="{9BE6CCFB-7956-4A6C-9BB7-D60551C0E742}" destId="{3DFE77D3-23E3-4E5B-A415-86C5041FA6C4}" srcOrd="1" destOrd="0" presId="urn:microsoft.com/office/officeart/2008/layout/NameandTitleOrganizationalChart"/>
    <dgm:cxn modelId="{87BCB198-6C8C-4E49-A578-A5CC6F490D37}" type="presParOf" srcId="{9BE6CCFB-7956-4A6C-9BB7-D60551C0E742}" destId="{924FA005-450E-4A34-B6FD-D11B14C9E01B}" srcOrd="2" destOrd="0" presId="urn:microsoft.com/office/officeart/2008/layout/NameandTitleOrganizationalChart"/>
    <dgm:cxn modelId="{FB59FDAB-0F47-4CA7-B2CD-602403DD3AD6}" type="presParOf" srcId="{B4BEB3F6-C71C-4C48-B886-781CB924E6E2}" destId="{42A42D91-ED5F-47F4-98B3-6CD3C724CB23}" srcOrd="4" destOrd="0" presId="urn:microsoft.com/office/officeart/2008/layout/NameandTitleOrganizationalChart"/>
    <dgm:cxn modelId="{D161C9A4-F201-446E-9324-822863E7E162}" type="presParOf" srcId="{B4BEB3F6-C71C-4C48-B886-781CB924E6E2}" destId="{257E0715-91E8-44F4-944F-BF8043BE81DB}" srcOrd="5" destOrd="0" presId="urn:microsoft.com/office/officeart/2008/layout/NameandTitleOrganizationalChart"/>
    <dgm:cxn modelId="{F0907384-4874-48B9-82F9-C74FBEF84F2D}" type="presParOf" srcId="{257E0715-91E8-44F4-944F-BF8043BE81DB}" destId="{5E5F7880-DA8A-447E-BFA2-C66A1960843A}" srcOrd="0" destOrd="0" presId="urn:microsoft.com/office/officeart/2008/layout/NameandTitleOrganizationalChart"/>
    <dgm:cxn modelId="{D1AFBDBC-FED8-4E6E-AD0D-ADBDC411C2E4}" type="presParOf" srcId="{5E5F7880-DA8A-447E-BFA2-C66A1960843A}" destId="{B9EC0917-8520-4865-ACE6-E26CFF0775A3}" srcOrd="0" destOrd="0" presId="urn:microsoft.com/office/officeart/2008/layout/NameandTitleOrganizationalChart"/>
    <dgm:cxn modelId="{40E3D135-044C-40BF-96B4-123FD86E9657}" type="presParOf" srcId="{5E5F7880-DA8A-447E-BFA2-C66A1960843A}" destId="{A6DCDDFB-87E5-490F-8079-086A0A43A36B}" srcOrd="1" destOrd="0" presId="urn:microsoft.com/office/officeart/2008/layout/NameandTitleOrganizationalChart"/>
    <dgm:cxn modelId="{73E4C523-930E-4762-88C8-52F905CDF943}" type="presParOf" srcId="{5E5F7880-DA8A-447E-BFA2-C66A1960843A}" destId="{C0219AED-3916-4724-B93A-E3D8F6BAD413}" srcOrd="2" destOrd="0" presId="urn:microsoft.com/office/officeart/2008/layout/NameandTitleOrganizationalChart"/>
    <dgm:cxn modelId="{CCBD1890-E69D-4411-8548-472DB909F20C}" type="presParOf" srcId="{257E0715-91E8-44F4-944F-BF8043BE81DB}" destId="{51C5FFB9-72D0-49A8-8912-AE166ED10856}" srcOrd="1" destOrd="0" presId="urn:microsoft.com/office/officeart/2008/layout/NameandTitleOrganizationalChart"/>
    <dgm:cxn modelId="{E6975022-473E-427D-92BE-C0E5788517E3}" type="presParOf" srcId="{257E0715-91E8-44F4-944F-BF8043BE81DB}" destId="{06415EB3-19F7-4657-A4D5-518DF9B7B192}" srcOrd="2" destOrd="0" presId="urn:microsoft.com/office/officeart/2008/layout/NameandTitleOrganizationalChart"/>
    <dgm:cxn modelId="{8262B252-5EA3-4975-B936-64B610857C43}" type="presParOf" srcId="{B7162439-74C8-4C57-92E7-90B684979F0C}" destId="{650BE601-FBEC-496B-AD8A-53851EFF9CDB}" srcOrd="2" destOrd="0" presId="urn:microsoft.com/office/officeart/2008/layout/NameandTitleOrganizationalChart"/>
    <dgm:cxn modelId="{60F2DA9B-4802-4F49-A3D7-B718028C3048}" type="presParOf" srcId="{8C26EA3C-4D37-4D8B-B26C-B92D36E7C656}" destId="{904D1964-9FA3-418A-9AA2-39CF8D327E59}" srcOrd="4" destOrd="0" presId="urn:microsoft.com/office/officeart/2008/layout/NameandTitleOrganizationalChart"/>
    <dgm:cxn modelId="{1A6187FA-23F7-466D-9863-05D4CA96CF93}" type="presParOf" srcId="{8C26EA3C-4D37-4D8B-B26C-B92D36E7C656}" destId="{6AF5F0DD-7FAC-4645-A07F-F79CCF12865E}" srcOrd="5" destOrd="0" presId="urn:microsoft.com/office/officeart/2008/layout/NameandTitleOrganizationalChart"/>
    <dgm:cxn modelId="{10EEDB74-93E6-4FC6-8684-8F7AB766CF92}" type="presParOf" srcId="{6AF5F0DD-7FAC-4645-A07F-F79CCF12865E}" destId="{C4CAE05B-9180-4392-80B4-84CBC5B50E8C}" srcOrd="0" destOrd="0" presId="urn:microsoft.com/office/officeart/2008/layout/NameandTitleOrganizationalChart"/>
    <dgm:cxn modelId="{66F8BC1A-BCE3-4593-B77C-A922029BB7A0}" type="presParOf" srcId="{C4CAE05B-9180-4392-80B4-84CBC5B50E8C}" destId="{E8494AC8-C34C-4266-B228-2586A503492E}" srcOrd="0" destOrd="0" presId="urn:microsoft.com/office/officeart/2008/layout/NameandTitleOrganizationalChart"/>
    <dgm:cxn modelId="{EE87B9CD-27FD-41F9-9C50-BA9E66639668}" type="presParOf" srcId="{C4CAE05B-9180-4392-80B4-84CBC5B50E8C}" destId="{6A15F474-B874-4116-9C30-7BEC48E608D4}" srcOrd="1" destOrd="0" presId="urn:microsoft.com/office/officeart/2008/layout/NameandTitleOrganizationalChart"/>
    <dgm:cxn modelId="{F7B8B7A6-800A-475E-9B9C-2130A618D0FA}" type="presParOf" srcId="{C4CAE05B-9180-4392-80B4-84CBC5B50E8C}" destId="{9C50F357-F33A-4F12-BB5B-EE1A4B94BE75}" srcOrd="2" destOrd="0" presId="urn:microsoft.com/office/officeart/2008/layout/NameandTitleOrganizationalChart"/>
    <dgm:cxn modelId="{8F1E09A0-1439-464E-B39E-94A283CB41B2}" type="presParOf" srcId="{6AF5F0DD-7FAC-4645-A07F-F79CCF12865E}" destId="{E54BBD25-C8C2-4BEA-B718-B62489530ED4}" srcOrd="1" destOrd="0" presId="urn:microsoft.com/office/officeart/2008/layout/NameandTitleOrganizationalChart"/>
    <dgm:cxn modelId="{26BF50FD-0E34-4F8A-8918-B282CAC55815}" type="presParOf" srcId="{E54BBD25-C8C2-4BEA-B718-B62489530ED4}" destId="{A169BE2D-AC1B-4E1E-82B3-332B63F8DA99}" srcOrd="0" destOrd="0" presId="urn:microsoft.com/office/officeart/2008/layout/NameandTitleOrganizationalChart"/>
    <dgm:cxn modelId="{1A7FB81D-85EC-4EAE-BD82-6A6992F68412}" type="presParOf" srcId="{E54BBD25-C8C2-4BEA-B718-B62489530ED4}" destId="{10B0C6FC-ABEE-4928-AA8A-ADC128BAD45B}" srcOrd="1" destOrd="0" presId="urn:microsoft.com/office/officeart/2008/layout/NameandTitleOrganizationalChart"/>
    <dgm:cxn modelId="{50EAA61D-7CC4-4D58-BE22-3F8B856E2CC9}" type="presParOf" srcId="{10B0C6FC-ABEE-4928-AA8A-ADC128BAD45B}" destId="{26E0A02E-403F-4EF4-8ECB-5D8D7BCCF49F}" srcOrd="0" destOrd="0" presId="urn:microsoft.com/office/officeart/2008/layout/NameandTitleOrganizationalChart"/>
    <dgm:cxn modelId="{962A5221-FA07-4526-B8BB-B3CF10FC5F40}" type="presParOf" srcId="{26E0A02E-403F-4EF4-8ECB-5D8D7BCCF49F}" destId="{0FD57CB8-FF3E-4DB9-BA9D-377D67E7AC78}" srcOrd="0" destOrd="0" presId="urn:microsoft.com/office/officeart/2008/layout/NameandTitleOrganizationalChart"/>
    <dgm:cxn modelId="{9F4B2F94-E542-4E94-915F-D9941F331CB1}" type="presParOf" srcId="{26E0A02E-403F-4EF4-8ECB-5D8D7BCCF49F}" destId="{1B96B8DA-0116-493D-8BEC-AF9251C326B3}" srcOrd="1" destOrd="0" presId="urn:microsoft.com/office/officeart/2008/layout/NameandTitleOrganizationalChart"/>
    <dgm:cxn modelId="{5D65CBA4-5D95-4EB7-AA2E-EDB3A7F77220}" type="presParOf" srcId="{26E0A02E-403F-4EF4-8ECB-5D8D7BCCF49F}" destId="{BD58068E-9D3C-4C6C-9B00-CF6C76773429}" srcOrd="2" destOrd="0" presId="urn:microsoft.com/office/officeart/2008/layout/NameandTitleOrganizationalChart"/>
    <dgm:cxn modelId="{7EAF7C3C-941F-4CB1-BC76-A7D2F0E08498}" type="presParOf" srcId="{10B0C6FC-ABEE-4928-AA8A-ADC128BAD45B}" destId="{41FBD8BE-21B4-4A87-AB9A-FDD4E73A32C6}" srcOrd="1" destOrd="0" presId="urn:microsoft.com/office/officeart/2008/layout/NameandTitleOrganizationalChart"/>
    <dgm:cxn modelId="{17DF2CD2-9F45-42D8-9377-946321AAF094}" type="presParOf" srcId="{10B0C6FC-ABEE-4928-AA8A-ADC128BAD45B}" destId="{D0A53C4A-C6A0-4549-A5AB-02E3449B8889}" srcOrd="2" destOrd="0" presId="urn:microsoft.com/office/officeart/2008/layout/NameandTitleOrganizationalChart"/>
    <dgm:cxn modelId="{36D61F78-FD53-46FE-94CD-F13D69E00C9E}" type="presParOf" srcId="{6AF5F0DD-7FAC-4645-A07F-F79CCF12865E}" destId="{C4F7239D-B6B8-464D-BFF8-F4AD42E39789}" srcOrd="2" destOrd="0" presId="urn:microsoft.com/office/officeart/2008/layout/NameandTitleOrganizationalChart"/>
    <dgm:cxn modelId="{CF92FB6F-06B4-4C3D-92C8-7FC963729DEF}" type="presParOf" srcId="{B259CDD6-BBBB-468C-8D15-DA13015CC27C}" destId="{70E8B616-AD92-4349-8733-351E10EB9BC5}" srcOrd="2" destOrd="0" presId="urn:microsoft.com/office/officeart/2008/layout/NameandTitleOrganizationalChart"/>
    <dgm:cxn modelId="{F9C31217-5231-42D4-92EF-E92B9C576E86}" type="presParOf" srcId="{C718AD6A-FDF4-4DFE-B639-235A92E0D1E5}" destId="{409FAE65-7840-485F-9390-5501F77F21C2}" srcOrd="2" destOrd="0" presId="urn:microsoft.com/office/officeart/2008/layout/NameandTitleOrganizationalChart"/>
    <dgm:cxn modelId="{505229A8-C95D-40C9-A0BB-78EDB6A81659}" type="presParOf" srcId="{C718AD6A-FDF4-4DFE-B639-235A92E0D1E5}" destId="{EE25A5A0-CA0E-4918-958D-6D45745F2B3D}" srcOrd="3" destOrd="0" presId="urn:microsoft.com/office/officeart/2008/layout/NameandTitleOrganizationalChart"/>
    <dgm:cxn modelId="{195A6245-28AB-45AA-A186-B9A8AC29D3E8}" type="presParOf" srcId="{EE25A5A0-CA0E-4918-958D-6D45745F2B3D}" destId="{65BD3730-F021-4E1E-B22E-E059C008CD70}" srcOrd="0" destOrd="0" presId="urn:microsoft.com/office/officeart/2008/layout/NameandTitleOrganizationalChart"/>
    <dgm:cxn modelId="{9A48EAF1-3991-4F37-B753-B739E32D109B}" type="presParOf" srcId="{65BD3730-F021-4E1E-B22E-E059C008CD70}" destId="{80341BDE-F995-4D7F-8487-8233CAEF1DEE}" srcOrd="0" destOrd="0" presId="urn:microsoft.com/office/officeart/2008/layout/NameandTitleOrganizationalChart"/>
    <dgm:cxn modelId="{820DF34B-A486-49DE-887E-B83334101BE9}" type="presParOf" srcId="{65BD3730-F021-4E1E-B22E-E059C008CD70}" destId="{DAA10A89-274A-46C3-823E-AE3B00B8A417}" srcOrd="1" destOrd="0" presId="urn:microsoft.com/office/officeart/2008/layout/NameandTitleOrganizationalChart"/>
    <dgm:cxn modelId="{742C1AE6-EF75-410B-B272-B54EF6269084}" type="presParOf" srcId="{65BD3730-F021-4E1E-B22E-E059C008CD70}" destId="{FDA6F419-CBB2-4A3C-9F73-C993B51EE192}" srcOrd="2" destOrd="0" presId="urn:microsoft.com/office/officeart/2008/layout/NameandTitleOrganizationalChart"/>
    <dgm:cxn modelId="{163AF646-5FC6-449D-B58F-96B7E1761842}" type="presParOf" srcId="{EE25A5A0-CA0E-4918-958D-6D45745F2B3D}" destId="{117AAFEB-46A0-4A49-B20E-63C14F3254F2}" srcOrd="1" destOrd="0" presId="urn:microsoft.com/office/officeart/2008/layout/NameandTitleOrganizationalChart"/>
    <dgm:cxn modelId="{B08E207F-CB51-45F1-B3BA-162B892A73C2}" type="presParOf" srcId="{117AAFEB-46A0-4A49-B20E-63C14F3254F2}" destId="{CF4BBD4A-08BA-4925-8C99-6C66F75D79E7}" srcOrd="0" destOrd="0" presId="urn:microsoft.com/office/officeart/2008/layout/NameandTitleOrganizationalChart"/>
    <dgm:cxn modelId="{A24F2104-BDE7-4DC3-92CC-233593053257}" type="presParOf" srcId="{117AAFEB-46A0-4A49-B20E-63C14F3254F2}" destId="{148A54C8-F792-4050-95D2-7AEBA733399D}" srcOrd="1" destOrd="0" presId="urn:microsoft.com/office/officeart/2008/layout/NameandTitleOrganizationalChart"/>
    <dgm:cxn modelId="{08DCF028-0A17-4E41-9C84-61DDA2CE2416}" type="presParOf" srcId="{148A54C8-F792-4050-95D2-7AEBA733399D}" destId="{9801DD3B-F879-4D19-AD8E-E2F858628D06}" srcOrd="0" destOrd="0" presId="urn:microsoft.com/office/officeart/2008/layout/NameandTitleOrganizationalChart"/>
    <dgm:cxn modelId="{2BF5AF46-5732-4AF9-87A8-9D4B155C5F4E}" type="presParOf" srcId="{9801DD3B-F879-4D19-AD8E-E2F858628D06}" destId="{FEDAC8C2-250E-4B32-8532-855473263F13}" srcOrd="0" destOrd="0" presId="urn:microsoft.com/office/officeart/2008/layout/NameandTitleOrganizationalChart"/>
    <dgm:cxn modelId="{08A8C016-556E-4A5F-9806-640600C74B78}" type="presParOf" srcId="{9801DD3B-F879-4D19-AD8E-E2F858628D06}" destId="{656E15EF-04E1-41C4-A0E2-A1CAADE791E4}" srcOrd="1" destOrd="0" presId="urn:microsoft.com/office/officeart/2008/layout/NameandTitleOrganizationalChart"/>
    <dgm:cxn modelId="{F81C78FE-987D-44A0-A13A-D7F5274C205F}" type="presParOf" srcId="{9801DD3B-F879-4D19-AD8E-E2F858628D06}" destId="{B94BEE16-363A-445D-A414-05E48962F259}" srcOrd="2" destOrd="0" presId="urn:microsoft.com/office/officeart/2008/layout/NameandTitleOrganizationalChart"/>
    <dgm:cxn modelId="{C7FF13A2-9B5C-4719-8B87-D04880420E08}" type="presParOf" srcId="{148A54C8-F792-4050-95D2-7AEBA733399D}" destId="{0C2F04B1-1204-4B56-AB54-61E6F56E9AA7}" srcOrd="1" destOrd="0" presId="urn:microsoft.com/office/officeart/2008/layout/NameandTitleOrganizationalChart"/>
    <dgm:cxn modelId="{FF1CA8A5-DEB6-4B88-B820-D0C4935A363C}" type="presParOf" srcId="{148A54C8-F792-4050-95D2-7AEBA733399D}" destId="{E40D165E-71E7-49EF-BFA4-8DD890CC24CB}" srcOrd="2" destOrd="0" presId="urn:microsoft.com/office/officeart/2008/layout/NameandTitleOrganizationalChart"/>
    <dgm:cxn modelId="{1AFABD4B-0989-4DC2-9FB5-D3FD268BC5DD}" type="presParOf" srcId="{117AAFEB-46A0-4A49-B20E-63C14F3254F2}" destId="{021DD6D6-FCEC-41D9-B348-B74C8086787F}" srcOrd="2" destOrd="0" presId="urn:microsoft.com/office/officeart/2008/layout/NameandTitleOrganizationalChart"/>
    <dgm:cxn modelId="{69578715-B0AA-49D6-96EF-F380502621EA}" type="presParOf" srcId="{117AAFEB-46A0-4A49-B20E-63C14F3254F2}" destId="{294C15F9-83B6-442D-8CAB-7CEA552C6C53}" srcOrd="3" destOrd="0" presId="urn:microsoft.com/office/officeart/2008/layout/NameandTitleOrganizationalChart"/>
    <dgm:cxn modelId="{8D03A008-CA98-4636-9FCE-35D5F2B09B2C}" type="presParOf" srcId="{294C15F9-83B6-442D-8CAB-7CEA552C6C53}" destId="{2CB66ADA-EDFB-4B3A-A4E8-D9C6281E60B9}" srcOrd="0" destOrd="0" presId="urn:microsoft.com/office/officeart/2008/layout/NameandTitleOrganizationalChart"/>
    <dgm:cxn modelId="{B9B47525-5F03-497F-89B0-6EAC84B87CA4}" type="presParOf" srcId="{2CB66ADA-EDFB-4B3A-A4E8-D9C6281E60B9}" destId="{D5B37A4F-EF58-45F4-8276-218AE53A3C6F}" srcOrd="0" destOrd="0" presId="urn:microsoft.com/office/officeart/2008/layout/NameandTitleOrganizationalChart"/>
    <dgm:cxn modelId="{40877869-AE70-4F4D-AE60-3F252ED616E2}" type="presParOf" srcId="{2CB66ADA-EDFB-4B3A-A4E8-D9C6281E60B9}" destId="{38BE10C7-FBDC-4133-91A6-59B93208FF60}" srcOrd="1" destOrd="0" presId="urn:microsoft.com/office/officeart/2008/layout/NameandTitleOrganizationalChart"/>
    <dgm:cxn modelId="{82B33111-2DB7-4C47-96A0-627B842615B9}" type="presParOf" srcId="{2CB66ADA-EDFB-4B3A-A4E8-D9C6281E60B9}" destId="{BA4515F9-2F3F-4798-B42C-76B1B7D04437}" srcOrd="2" destOrd="0" presId="urn:microsoft.com/office/officeart/2008/layout/NameandTitleOrganizationalChart"/>
    <dgm:cxn modelId="{5FC66052-F7CA-4482-A4AB-23A3EE9C6329}" type="presParOf" srcId="{294C15F9-83B6-442D-8CAB-7CEA552C6C53}" destId="{E1C93E84-5489-4B2C-A02B-0C5A6C46B817}" srcOrd="1" destOrd="0" presId="urn:microsoft.com/office/officeart/2008/layout/NameandTitleOrganizationalChart"/>
    <dgm:cxn modelId="{C321F11B-5CE5-4C19-9071-59093B31B5BD}" type="presParOf" srcId="{E1C93E84-5489-4B2C-A02B-0C5A6C46B817}" destId="{DF55F7A0-5262-4492-A421-74EE3244E2A7}" srcOrd="0" destOrd="0" presId="urn:microsoft.com/office/officeart/2008/layout/NameandTitleOrganizationalChart"/>
    <dgm:cxn modelId="{A7652650-B122-4002-A72C-296CCB8746AE}" type="presParOf" srcId="{E1C93E84-5489-4B2C-A02B-0C5A6C46B817}" destId="{76165F65-F094-4619-93B1-9E072FB1FDAD}" srcOrd="1" destOrd="0" presId="urn:microsoft.com/office/officeart/2008/layout/NameandTitleOrganizationalChart"/>
    <dgm:cxn modelId="{3AF7647E-7890-46CE-BE7C-3F217125361F}" type="presParOf" srcId="{76165F65-F094-4619-93B1-9E072FB1FDAD}" destId="{B9522AD3-9592-457C-9399-9ADD91FBEC66}" srcOrd="0" destOrd="0" presId="urn:microsoft.com/office/officeart/2008/layout/NameandTitleOrganizationalChart"/>
    <dgm:cxn modelId="{52B12144-2DFA-4FB6-8E85-B03AABB3990F}" type="presParOf" srcId="{B9522AD3-9592-457C-9399-9ADD91FBEC66}" destId="{019F7FFD-9036-42CB-B450-ABD033DC3880}" srcOrd="0" destOrd="0" presId="urn:microsoft.com/office/officeart/2008/layout/NameandTitleOrganizationalChart"/>
    <dgm:cxn modelId="{C1D1E3CB-6D34-4BBC-9945-9611C58663B2}" type="presParOf" srcId="{B9522AD3-9592-457C-9399-9ADD91FBEC66}" destId="{559352D2-DAA0-48CE-A551-A1FCE375E13C}" srcOrd="1" destOrd="0" presId="urn:microsoft.com/office/officeart/2008/layout/NameandTitleOrganizationalChart"/>
    <dgm:cxn modelId="{6B5BE272-04AD-4F08-B2B5-F5B806B1FE9E}" type="presParOf" srcId="{B9522AD3-9592-457C-9399-9ADD91FBEC66}" destId="{B16A1255-086D-40FB-A316-DB69620942F6}" srcOrd="2" destOrd="0" presId="urn:microsoft.com/office/officeart/2008/layout/NameandTitleOrganizationalChart"/>
    <dgm:cxn modelId="{23CB9A9B-0255-4AE6-87DF-8CEB25B69AD5}" type="presParOf" srcId="{76165F65-F094-4619-93B1-9E072FB1FDAD}" destId="{4EE2C858-621E-4D32-ADB1-152FDF7826E4}" srcOrd="1" destOrd="0" presId="urn:microsoft.com/office/officeart/2008/layout/NameandTitleOrganizationalChart"/>
    <dgm:cxn modelId="{5BEDEA43-7793-4DFA-A6E3-B1B26EFC1A52}" type="presParOf" srcId="{76165F65-F094-4619-93B1-9E072FB1FDAD}" destId="{AD362527-B351-47C2-AA3F-B5D020380132}" srcOrd="2" destOrd="0" presId="urn:microsoft.com/office/officeart/2008/layout/NameandTitleOrganizationalChart"/>
    <dgm:cxn modelId="{8162D494-2AFF-4477-B2BE-05D53582F6F6}" type="presParOf" srcId="{294C15F9-83B6-442D-8CAB-7CEA552C6C53}" destId="{FC26FEFB-0517-462B-A69A-3C2A16823FAB}" srcOrd="2" destOrd="0" presId="urn:microsoft.com/office/officeart/2008/layout/NameandTitleOrganizationalChart"/>
    <dgm:cxn modelId="{24EC93A8-A297-4C49-8A97-B15C9310DB7C}" type="presParOf" srcId="{117AAFEB-46A0-4A49-B20E-63C14F3254F2}" destId="{8D476684-1BAD-40CB-932D-88D0398B2EAD}" srcOrd="4" destOrd="0" presId="urn:microsoft.com/office/officeart/2008/layout/NameandTitleOrganizationalChart"/>
    <dgm:cxn modelId="{652471D5-253B-4FE7-A722-025B0EAED003}" type="presParOf" srcId="{117AAFEB-46A0-4A49-B20E-63C14F3254F2}" destId="{847FF59C-807A-43FA-A67D-46DE65F4B6D4}" srcOrd="5" destOrd="0" presId="urn:microsoft.com/office/officeart/2008/layout/NameandTitleOrganizationalChart"/>
    <dgm:cxn modelId="{84A8278F-4E5B-4C53-849F-A55BAD2AD89D}" type="presParOf" srcId="{847FF59C-807A-43FA-A67D-46DE65F4B6D4}" destId="{CBFABF1B-209C-4958-816C-F97F82F576B5}" srcOrd="0" destOrd="0" presId="urn:microsoft.com/office/officeart/2008/layout/NameandTitleOrganizationalChart"/>
    <dgm:cxn modelId="{A09EEA14-BC1C-4656-A08F-4B50776AB0C9}" type="presParOf" srcId="{CBFABF1B-209C-4958-816C-F97F82F576B5}" destId="{1C8E0FDE-B596-4BE4-B9DE-1133B8437399}" srcOrd="0" destOrd="0" presId="urn:microsoft.com/office/officeart/2008/layout/NameandTitleOrganizationalChart"/>
    <dgm:cxn modelId="{EB34E07C-AA69-43D9-940E-97DC7A3E8931}" type="presParOf" srcId="{CBFABF1B-209C-4958-816C-F97F82F576B5}" destId="{44A4C9CE-925A-433F-8D8E-7EE62AF3AD4E}" srcOrd="1" destOrd="0" presId="urn:microsoft.com/office/officeart/2008/layout/NameandTitleOrganizationalChart"/>
    <dgm:cxn modelId="{C906E060-C2F7-461E-A117-9546D114DA49}" type="presParOf" srcId="{CBFABF1B-209C-4958-816C-F97F82F576B5}" destId="{BD64303B-418F-4467-8678-A550E1FE6CB5}" srcOrd="2" destOrd="0" presId="urn:microsoft.com/office/officeart/2008/layout/NameandTitleOrganizationalChart"/>
    <dgm:cxn modelId="{4BD129F1-3EC8-4DC9-9A90-6D6EA57DF28B}" type="presParOf" srcId="{847FF59C-807A-43FA-A67D-46DE65F4B6D4}" destId="{2F8B1E01-C45A-47EC-A83E-7468853A47CD}" srcOrd="1" destOrd="0" presId="urn:microsoft.com/office/officeart/2008/layout/NameandTitleOrganizationalChart"/>
    <dgm:cxn modelId="{6C465198-33AF-4029-BAD4-12809F73C503}" type="presParOf" srcId="{2F8B1E01-C45A-47EC-A83E-7468853A47CD}" destId="{F4B25B85-D2E1-41E8-8612-F0F1274C95F0}" srcOrd="0" destOrd="0" presId="urn:microsoft.com/office/officeart/2008/layout/NameandTitleOrganizationalChart"/>
    <dgm:cxn modelId="{D781124E-1109-4C42-9E1F-97B599D9A404}" type="presParOf" srcId="{2F8B1E01-C45A-47EC-A83E-7468853A47CD}" destId="{34DC36F6-7298-4074-97DD-AD10BDAA69BC}" srcOrd="1" destOrd="0" presId="urn:microsoft.com/office/officeart/2008/layout/NameandTitleOrganizationalChart"/>
    <dgm:cxn modelId="{B8534050-E84A-422C-A881-083E28622EDB}" type="presParOf" srcId="{34DC36F6-7298-4074-97DD-AD10BDAA69BC}" destId="{3C7875D1-77C0-49EE-9CEC-9E6D275EC1BC}" srcOrd="0" destOrd="0" presId="urn:microsoft.com/office/officeart/2008/layout/NameandTitleOrganizationalChart"/>
    <dgm:cxn modelId="{85984155-B3A8-4137-A4CD-5F43075B71FB}" type="presParOf" srcId="{3C7875D1-77C0-49EE-9CEC-9E6D275EC1BC}" destId="{45D0B1BF-78E7-496B-84E7-12A2829B813F}" srcOrd="0" destOrd="0" presId="urn:microsoft.com/office/officeart/2008/layout/NameandTitleOrganizationalChart"/>
    <dgm:cxn modelId="{525C19C8-9E97-42BA-8E7B-D1D8A71F84D6}" type="presParOf" srcId="{3C7875D1-77C0-49EE-9CEC-9E6D275EC1BC}" destId="{F67D9200-4BF3-464E-BD3D-2EBEA7A12FC2}" srcOrd="1" destOrd="0" presId="urn:microsoft.com/office/officeart/2008/layout/NameandTitleOrganizationalChart"/>
    <dgm:cxn modelId="{5E204011-B770-45DC-A808-513625C51BFB}" type="presParOf" srcId="{3C7875D1-77C0-49EE-9CEC-9E6D275EC1BC}" destId="{76903F1D-62DB-4496-B7A2-068F7AFC3166}" srcOrd="2" destOrd="0" presId="urn:microsoft.com/office/officeart/2008/layout/NameandTitleOrganizationalChart"/>
    <dgm:cxn modelId="{585ED255-5A19-43AE-9CE7-EB5B6BEA8F8B}" type="presParOf" srcId="{34DC36F6-7298-4074-97DD-AD10BDAA69BC}" destId="{DC6B3329-65C4-4438-8F90-9CCF0B1AB428}" srcOrd="1" destOrd="0" presId="urn:microsoft.com/office/officeart/2008/layout/NameandTitleOrganizationalChart"/>
    <dgm:cxn modelId="{8B4EAF83-EA26-41D4-97E4-C63AE12F89CD}" type="presParOf" srcId="{34DC36F6-7298-4074-97DD-AD10BDAA69BC}" destId="{417D6D89-9761-4FC9-B47A-BB4618595A0E}" srcOrd="2" destOrd="0" presId="urn:microsoft.com/office/officeart/2008/layout/NameandTitleOrganizationalChart"/>
    <dgm:cxn modelId="{6BD443E7-CF8A-482B-AD3D-31EA303EE3FD}" type="presParOf" srcId="{847FF59C-807A-43FA-A67D-46DE65F4B6D4}" destId="{3A180A32-BF84-40B5-98E8-53FF2AF80FAE}" srcOrd="2" destOrd="0" presId="urn:microsoft.com/office/officeart/2008/layout/NameandTitleOrganizationalChart"/>
    <dgm:cxn modelId="{F112958E-1DA6-492E-B5AD-61B02C32AA3E}" type="presParOf" srcId="{117AAFEB-46A0-4A49-B20E-63C14F3254F2}" destId="{40D6D671-8796-40DA-B4F8-2A39308CC54E}" srcOrd="6" destOrd="0" presId="urn:microsoft.com/office/officeart/2008/layout/NameandTitleOrganizationalChart"/>
    <dgm:cxn modelId="{042E210D-8004-482D-8FEE-1A29038A7A35}" type="presParOf" srcId="{117AAFEB-46A0-4A49-B20E-63C14F3254F2}" destId="{9195DAB8-25C2-4336-8D7A-592D6B3B9CA1}" srcOrd="7" destOrd="0" presId="urn:microsoft.com/office/officeart/2008/layout/NameandTitleOrganizationalChart"/>
    <dgm:cxn modelId="{86A0358A-968E-4E47-A8CB-0937801EA4EC}" type="presParOf" srcId="{9195DAB8-25C2-4336-8D7A-592D6B3B9CA1}" destId="{EA22A7E7-46C7-4DC6-801D-3238EB374FC9}" srcOrd="0" destOrd="0" presId="urn:microsoft.com/office/officeart/2008/layout/NameandTitleOrganizationalChart"/>
    <dgm:cxn modelId="{0A7B13F8-EE54-4B01-A42D-834ED384F476}" type="presParOf" srcId="{EA22A7E7-46C7-4DC6-801D-3238EB374FC9}" destId="{6729A0E4-2BD8-4A7C-9045-E43691F1EE7A}" srcOrd="0" destOrd="0" presId="urn:microsoft.com/office/officeart/2008/layout/NameandTitleOrganizationalChart"/>
    <dgm:cxn modelId="{F2CD61F9-76AA-46A8-9B03-DF0F7481A466}" type="presParOf" srcId="{EA22A7E7-46C7-4DC6-801D-3238EB374FC9}" destId="{E4376F8C-5058-4F0D-93C3-1A15FA20FB01}" srcOrd="1" destOrd="0" presId="urn:microsoft.com/office/officeart/2008/layout/NameandTitleOrganizationalChart"/>
    <dgm:cxn modelId="{0C34FB81-9329-4B33-B5AE-0AA84239385A}" type="presParOf" srcId="{EA22A7E7-46C7-4DC6-801D-3238EB374FC9}" destId="{21F15D16-F63A-4113-96AC-2D3A88365C26}" srcOrd="2" destOrd="0" presId="urn:microsoft.com/office/officeart/2008/layout/NameandTitleOrganizationalChart"/>
    <dgm:cxn modelId="{5A3FD740-78CB-4726-BAFF-1019E24C9D4A}" type="presParOf" srcId="{9195DAB8-25C2-4336-8D7A-592D6B3B9CA1}" destId="{CB6CE4C9-87C9-4190-B3E5-BE404129D1DB}" srcOrd="1" destOrd="0" presId="urn:microsoft.com/office/officeart/2008/layout/NameandTitleOrganizationalChart"/>
    <dgm:cxn modelId="{942BC448-7B2C-4D30-B9F5-574342428D49}" type="presParOf" srcId="{9195DAB8-25C2-4336-8D7A-592D6B3B9CA1}" destId="{31DC3837-43A8-4F4C-8615-E6EB00A8FF99}" srcOrd="2" destOrd="0" presId="urn:microsoft.com/office/officeart/2008/layout/NameandTitleOrganizationalChart"/>
    <dgm:cxn modelId="{55C435BC-8C1B-4B59-873E-4C3FEE4C920F}" type="presParOf" srcId="{EE25A5A0-CA0E-4918-958D-6D45745F2B3D}" destId="{0DC4604F-5292-438E-BCEF-F30EBD16657D}" srcOrd="2" destOrd="0" presId="urn:microsoft.com/office/officeart/2008/layout/NameandTitleOrganizationalChart"/>
    <dgm:cxn modelId="{D82ED588-DEDF-476F-B7EF-7A9EB420824E}" type="presParOf" srcId="{C718AD6A-FDF4-4DFE-B639-235A92E0D1E5}" destId="{85E3B735-7102-43A0-A1E9-066BD01A6E5C}" srcOrd="4" destOrd="0" presId="urn:microsoft.com/office/officeart/2008/layout/NameandTitleOrganizationalChart"/>
    <dgm:cxn modelId="{FB1DC0C2-C6EE-4E97-9C7C-EE4E5FE4D16C}" type="presParOf" srcId="{C718AD6A-FDF4-4DFE-B639-235A92E0D1E5}" destId="{1FC75BCB-70D1-4812-953D-2A63C5BB5986}" srcOrd="5" destOrd="0" presId="urn:microsoft.com/office/officeart/2008/layout/NameandTitleOrganizationalChart"/>
    <dgm:cxn modelId="{7C0F6A63-6E74-468C-BCB9-3EEE9121569E}" type="presParOf" srcId="{1FC75BCB-70D1-4812-953D-2A63C5BB5986}" destId="{05DD70DF-5E79-4AD0-BE8F-10D8BA8CA6D9}" srcOrd="0" destOrd="0" presId="urn:microsoft.com/office/officeart/2008/layout/NameandTitleOrganizationalChart"/>
    <dgm:cxn modelId="{3C08A233-9304-4B09-A38B-A29DCC36EF0F}" type="presParOf" srcId="{05DD70DF-5E79-4AD0-BE8F-10D8BA8CA6D9}" destId="{07E26C17-29DF-4787-B788-D11E5789DF29}" srcOrd="0" destOrd="0" presId="urn:microsoft.com/office/officeart/2008/layout/NameandTitleOrganizationalChart"/>
    <dgm:cxn modelId="{10F45436-17AD-4049-BE30-00CE74ABBDE5}" type="presParOf" srcId="{05DD70DF-5E79-4AD0-BE8F-10D8BA8CA6D9}" destId="{BB5B700F-496F-45E0-9351-B2DF026C420E}" srcOrd="1" destOrd="0" presId="urn:microsoft.com/office/officeart/2008/layout/NameandTitleOrganizationalChart"/>
    <dgm:cxn modelId="{B93535ED-2CF3-4D3B-8C73-A0ED2FA38613}" type="presParOf" srcId="{05DD70DF-5E79-4AD0-BE8F-10D8BA8CA6D9}" destId="{B3523960-6B29-445A-8AB4-F425A7B3DDC6}" srcOrd="2" destOrd="0" presId="urn:microsoft.com/office/officeart/2008/layout/NameandTitleOrganizationalChart"/>
    <dgm:cxn modelId="{857F0CBA-0943-464D-B943-27568205A0EE}" type="presParOf" srcId="{1FC75BCB-70D1-4812-953D-2A63C5BB5986}" destId="{8CA688BB-7814-4855-AC18-C34A0C9ECD58}" srcOrd="1" destOrd="0" presId="urn:microsoft.com/office/officeart/2008/layout/NameandTitleOrganizationalChart"/>
    <dgm:cxn modelId="{86AED66D-6C1D-4C0E-BC46-D13B01E1E09C}" type="presParOf" srcId="{8CA688BB-7814-4855-AC18-C34A0C9ECD58}" destId="{4F2029E6-4688-4E4A-930C-78819A801C6E}" srcOrd="0" destOrd="0" presId="urn:microsoft.com/office/officeart/2008/layout/NameandTitleOrganizationalChart"/>
    <dgm:cxn modelId="{DD0D0C92-A1DB-457F-A31D-81D8EBE85476}" type="presParOf" srcId="{8CA688BB-7814-4855-AC18-C34A0C9ECD58}" destId="{07605D35-E4FB-4549-839B-984A5B219C30}" srcOrd="1" destOrd="0" presId="urn:microsoft.com/office/officeart/2008/layout/NameandTitleOrganizationalChart"/>
    <dgm:cxn modelId="{08931107-DCB4-415B-9E0B-FD778F4EA27D}" type="presParOf" srcId="{07605D35-E4FB-4549-839B-984A5B219C30}" destId="{78147A8C-291F-4F84-AA01-1394D9F0BF9B}" srcOrd="0" destOrd="0" presId="urn:microsoft.com/office/officeart/2008/layout/NameandTitleOrganizationalChart"/>
    <dgm:cxn modelId="{4697D525-6708-4186-9720-8F1F69090CE4}" type="presParOf" srcId="{78147A8C-291F-4F84-AA01-1394D9F0BF9B}" destId="{7439A715-7671-47C4-8F06-B4B3F7D2CAFF}" srcOrd="0" destOrd="0" presId="urn:microsoft.com/office/officeart/2008/layout/NameandTitleOrganizationalChart"/>
    <dgm:cxn modelId="{6AB8BEF5-08A0-4842-A73F-42190081F1E3}" type="presParOf" srcId="{78147A8C-291F-4F84-AA01-1394D9F0BF9B}" destId="{CF40303A-144B-4634-9141-BA48ED9CC06F}" srcOrd="1" destOrd="0" presId="urn:microsoft.com/office/officeart/2008/layout/NameandTitleOrganizationalChart"/>
    <dgm:cxn modelId="{4BD1B252-9C35-4BB3-A121-26F165669FBB}" type="presParOf" srcId="{78147A8C-291F-4F84-AA01-1394D9F0BF9B}" destId="{AD199797-2A6C-4922-8622-4AA2D9D96060}" srcOrd="2" destOrd="0" presId="urn:microsoft.com/office/officeart/2008/layout/NameandTitleOrganizationalChart"/>
    <dgm:cxn modelId="{AC196EB9-9E92-4433-910B-83AE2B8B984B}" type="presParOf" srcId="{07605D35-E4FB-4549-839B-984A5B219C30}" destId="{88099114-A96C-41BD-8F36-F3230C569575}" srcOrd="1" destOrd="0" presId="urn:microsoft.com/office/officeart/2008/layout/NameandTitleOrganizationalChart"/>
    <dgm:cxn modelId="{183114D8-96B8-4E0E-A1D0-839A476E8228}" type="presParOf" srcId="{88099114-A96C-41BD-8F36-F3230C569575}" destId="{03B90242-3A34-42ED-8B7E-9D6782457C18}" srcOrd="0" destOrd="0" presId="urn:microsoft.com/office/officeart/2008/layout/NameandTitleOrganizationalChart"/>
    <dgm:cxn modelId="{2F5BC40B-7272-4436-A9CF-DEA3B10AF631}" type="presParOf" srcId="{88099114-A96C-41BD-8F36-F3230C569575}" destId="{AA0208C1-5896-44F3-B44F-E203ACB9A26B}" srcOrd="1" destOrd="0" presId="urn:microsoft.com/office/officeart/2008/layout/NameandTitleOrganizationalChart"/>
    <dgm:cxn modelId="{F0E871F8-CE03-4862-9A21-B02581F2FF02}" type="presParOf" srcId="{AA0208C1-5896-44F3-B44F-E203ACB9A26B}" destId="{992BD382-3600-4279-9725-39E21746BF59}" srcOrd="0" destOrd="0" presId="urn:microsoft.com/office/officeart/2008/layout/NameandTitleOrganizationalChart"/>
    <dgm:cxn modelId="{69EF1155-95A4-4F2D-84C7-B6B1C5B85ED3}" type="presParOf" srcId="{992BD382-3600-4279-9725-39E21746BF59}" destId="{0C9F8BBE-2D70-4EDF-BE84-1E97862A8D2D}" srcOrd="0" destOrd="0" presId="urn:microsoft.com/office/officeart/2008/layout/NameandTitleOrganizationalChart"/>
    <dgm:cxn modelId="{43407F11-6240-4412-AE77-3FA89A114A57}" type="presParOf" srcId="{992BD382-3600-4279-9725-39E21746BF59}" destId="{03B94904-6BC5-4944-B998-9DA08457AB2D}" srcOrd="1" destOrd="0" presId="urn:microsoft.com/office/officeart/2008/layout/NameandTitleOrganizationalChart"/>
    <dgm:cxn modelId="{5603920C-F815-4283-87B3-7ECE2ACE34F3}" type="presParOf" srcId="{992BD382-3600-4279-9725-39E21746BF59}" destId="{3FB522F5-052C-4160-972A-53900489EEC1}" srcOrd="2" destOrd="0" presId="urn:microsoft.com/office/officeart/2008/layout/NameandTitleOrganizationalChart"/>
    <dgm:cxn modelId="{BF3C647C-F1A1-481F-B0C1-6DB74136CDD3}" type="presParOf" srcId="{AA0208C1-5896-44F3-B44F-E203ACB9A26B}" destId="{E1CB937D-9E80-41C4-B140-B6F7ED910098}" srcOrd="1" destOrd="0" presId="urn:microsoft.com/office/officeart/2008/layout/NameandTitleOrganizationalChart"/>
    <dgm:cxn modelId="{A35205B6-6592-4797-B120-6C33936379CE}" type="presParOf" srcId="{AA0208C1-5896-44F3-B44F-E203ACB9A26B}" destId="{CEFCEFBE-8AB4-49BC-8EE4-9C317A2FCE80}" srcOrd="2" destOrd="0" presId="urn:microsoft.com/office/officeart/2008/layout/NameandTitleOrganizationalChart"/>
    <dgm:cxn modelId="{B7A46D90-AC97-412C-80B8-C45BFA5C465C}" type="presParOf" srcId="{88099114-A96C-41BD-8F36-F3230C569575}" destId="{993CAB83-FFAC-4B6D-AA47-AE8935CF34E6}" srcOrd="2" destOrd="0" presId="urn:microsoft.com/office/officeart/2008/layout/NameandTitleOrganizationalChart"/>
    <dgm:cxn modelId="{26BE2165-713E-49B1-9DD9-2EE82FD2AFDA}" type="presParOf" srcId="{88099114-A96C-41BD-8F36-F3230C569575}" destId="{5A70F8E0-A06C-41F7-9FC9-C7F571132DDE}" srcOrd="3" destOrd="0" presId="urn:microsoft.com/office/officeart/2008/layout/NameandTitleOrganizationalChart"/>
    <dgm:cxn modelId="{C7D5CEE5-0E1D-43FC-8CFD-25B714415167}" type="presParOf" srcId="{5A70F8E0-A06C-41F7-9FC9-C7F571132DDE}" destId="{B0D1EBAF-9655-418D-9861-0413DDD8F05C}" srcOrd="0" destOrd="0" presId="urn:microsoft.com/office/officeart/2008/layout/NameandTitleOrganizationalChart"/>
    <dgm:cxn modelId="{E20CC2E6-544F-408D-97C9-9F81EDC24611}" type="presParOf" srcId="{B0D1EBAF-9655-418D-9861-0413DDD8F05C}" destId="{E520C092-21DF-430D-AD30-9DE7EAC090DC}" srcOrd="0" destOrd="0" presId="urn:microsoft.com/office/officeart/2008/layout/NameandTitleOrganizationalChart"/>
    <dgm:cxn modelId="{D7CCA2B2-8EEB-4042-9ADC-C52D78A23A96}" type="presParOf" srcId="{B0D1EBAF-9655-418D-9861-0413DDD8F05C}" destId="{A1C9AA26-E87D-40D9-B49A-6EA3CA89ABF8}" srcOrd="1" destOrd="0" presId="urn:microsoft.com/office/officeart/2008/layout/NameandTitleOrganizationalChart"/>
    <dgm:cxn modelId="{FA8FF0F7-FA4B-4799-A54C-BBC31A1C89FA}" type="presParOf" srcId="{B0D1EBAF-9655-418D-9861-0413DDD8F05C}" destId="{FD67F42B-0805-41D2-AEE3-F7BCDE35BA4A}" srcOrd="2" destOrd="0" presId="urn:microsoft.com/office/officeart/2008/layout/NameandTitleOrganizationalChart"/>
    <dgm:cxn modelId="{BB763A8D-3041-4879-BA31-746F68D215F3}" type="presParOf" srcId="{5A70F8E0-A06C-41F7-9FC9-C7F571132DDE}" destId="{B0AFCC0E-60D9-4CC9-85D9-67228B5917E7}" srcOrd="1" destOrd="0" presId="urn:microsoft.com/office/officeart/2008/layout/NameandTitleOrganizationalChart"/>
    <dgm:cxn modelId="{575EA67D-2607-4727-B29B-E3FD665B450A}" type="presParOf" srcId="{5A70F8E0-A06C-41F7-9FC9-C7F571132DDE}" destId="{E0E32FE3-F382-4F99-85E5-221FF83EEDDE}" srcOrd="2" destOrd="0" presId="urn:microsoft.com/office/officeart/2008/layout/NameandTitleOrganizationalChart"/>
    <dgm:cxn modelId="{68E4B89D-A63A-436E-8C66-B4E55E84AE49}" type="presParOf" srcId="{07605D35-E4FB-4549-839B-984A5B219C30}" destId="{4C60846A-AFF3-472B-A908-521A62D143A2}" srcOrd="2" destOrd="0" presId="urn:microsoft.com/office/officeart/2008/layout/NameandTitleOrganizationalChart"/>
    <dgm:cxn modelId="{B9CE5022-4D1B-4962-A94A-5C37F36C4833}" type="presParOf" srcId="{8CA688BB-7814-4855-AC18-C34A0C9ECD58}" destId="{9DEECE6A-2DC7-462C-B4D3-4FDA509FDDFE}" srcOrd="2" destOrd="0" presId="urn:microsoft.com/office/officeart/2008/layout/NameandTitleOrganizationalChart"/>
    <dgm:cxn modelId="{68846004-840F-4FF3-8F18-4CB78887F744}" type="presParOf" srcId="{8CA688BB-7814-4855-AC18-C34A0C9ECD58}" destId="{01AC8645-813A-4A9A-82C3-B574331D483D}" srcOrd="3" destOrd="0" presId="urn:microsoft.com/office/officeart/2008/layout/NameandTitleOrganizationalChart"/>
    <dgm:cxn modelId="{6D03379A-1F3B-408D-BBB3-50D6A08F2495}" type="presParOf" srcId="{01AC8645-813A-4A9A-82C3-B574331D483D}" destId="{2179E049-8235-41B9-A659-78E2FC8407B4}" srcOrd="0" destOrd="0" presId="urn:microsoft.com/office/officeart/2008/layout/NameandTitleOrganizationalChart"/>
    <dgm:cxn modelId="{4C5BD773-D593-47B3-AE74-BCDB2E33A86D}" type="presParOf" srcId="{2179E049-8235-41B9-A659-78E2FC8407B4}" destId="{2A0BCD83-2C24-4BE1-B20B-A9DCDFF5B535}" srcOrd="0" destOrd="0" presId="urn:microsoft.com/office/officeart/2008/layout/NameandTitleOrganizationalChart"/>
    <dgm:cxn modelId="{0FC378EF-AD9B-4015-B889-0BB3E313CCFA}" type="presParOf" srcId="{2179E049-8235-41B9-A659-78E2FC8407B4}" destId="{C0264484-DC40-4C1C-9103-106977643F89}" srcOrd="1" destOrd="0" presId="urn:microsoft.com/office/officeart/2008/layout/NameandTitleOrganizationalChart"/>
    <dgm:cxn modelId="{F1BD42BD-6CEC-482A-9F15-049A710DCD08}" type="presParOf" srcId="{2179E049-8235-41B9-A659-78E2FC8407B4}" destId="{3AAB482F-932F-42CC-844D-3D7DB6733225}" srcOrd="2" destOrd="0" presId="urn:microsoft.com/office/officeart/2008/layout/NameandTitleOrganizationalChart"/>
    <dgm:cxn modelId="{3BD6ECE3-803A-4B4E-B806-67C41DE7E02C}" type="presParOf" srcId="{01AC8645-813A-4A9A-82C3-B574331D483D}" destId="{98437BB9-BFF2-4F35-8ED6-E58FF9C749E4}" srcOrd="1" destOrd="0" presId="urn:microsoft.com/office/officeart/2008/layout/NameandTitleOrganizationalChart"/>
    <dgm:cxn modelId="{74351BE7-F450-4227-8694-80A678938F53}" type="presParOf" srcId="{98437BB9-BFF2-4F35-8ED6-E58FF9C749E4}" destId="{11479A7A-F6B0-4568-97AA-570024CA2197}" srcOrd="0" destOrd="0" presId="urn:microsoft.com/office/officeart/2008/layout/NameandTitleOrganizationalChart"/>
    <dgm:cxn modelId="{E46A206A-13CF-449C-95E0-CBA2EDA198D4}" type="presParOf" srcId="{98437BB9-BFF2-4F35-8ED6-E58FF9C749E4}" destId="{6A983487-B494-43C5-A160-F71A33CB8E1F}" srcOrd="1" destOrd="0" presId="urn:microsoft.com/office/officeart/2008/layout/NameandTitleOrganizationalChart"/>
    <dgm:cxn modelId="{CFE1C1C4-5D06-4B14-BBDF-C359D22BCD4A}" type="presParOf" srcId="{6A983487-B494-43C5-A160-F71A33CB8E1F}" destId="{197ABC2E-3C7E-40BD-A72E-686C6DD889BB}" srcOrd="0" destOrd="0" presId="urn:microsoft.com/office/officeart/2008/layout/NameandTitleOrganizationalChart"/>
    <dgm:cxn modelId="{40208EF6-031A-4612-B77F-1EF9016FEE79}" type="presParOf" srcId="{197ABC2E-3C7E-40BD-A72E-686C6DD889BB}" destId="{949B4D2A-B6A1-4788-A404-6175DEF28063}" srcOrd="0" destOrd="0" presId="urn:microsoft.com/office/officeart/2008/layout/NameandTitleOrganizationalChart"/>
    <dgm:cxn modelId="{EA67225C-3BB6-4680-82A7-40831B68C183}" type="presParOf" srcId="{197ABC2E-3C7E-40BD-A72E-686C6DD889BB}" destId="{69D58FF6-F2A9-41A2-9D61-C9D202626D17}" srcOrd="1" destOrd="0" presId="urn:microsoft.com/office/officeart/2008/layout/NameandTitleOrganizationalChart"/>
    <dgm:cxn modelId="{62096815-4513-4EC4-91A3-775E1FAF3C48}" type="presParOf" srcId="{197ABC2E-3C7E-40BD-A72E-686C6DD889BB}" destId="{FD9E512B-2E2C-4BC5-923E-B65D8E29A85D}" srcOrd="2" destOrd="0" presId="urn:microsoft.com/office/officeart/2008/layout/NameandTitleOrganizationalChart"/>
    <dgm:cxn modelId="{64475ECE-9876-4D6A-9679-EECDF3D2B842}" type="presParOf" srcId="{6A983487-B494-43C5-A160-F71A33CB8E1F}" destId="{D6752E81-C952-498F-8A73-F08C8B998EA4}" srcOrd="1" destOrd="0" presId="urn:microsoft.com/office/officeart/2008/layout/NameandTitleOrganizationalChart"/>
    <dgm:cxn modelId="{9BBA7289-5DE1-4B1A-8B5A-57F69C6240BE}" type="presParOf" srcId="{6A983487-B494-43C5-A160-F71A33CB8E1F}" destId="{7AF8C0CF-1C90-429E-8C73-8129969F9A99}" srcOrd="2" destOrd="0" presId="urn:microsoft.com/office/officeart/2008/layout/NameandTitleOrganizationalChart"/>
    <dgm:cxn modelId="{343AA519-A4D4-43F8-875C-1BB00F374FBC}" type="presParOf" srcId="{98437BB9-BFF2-4F35-8ED6-E58FF9C749E4}" destId="{CD07DC1F-C35D-4CEE-B564-0B104354C54F}" srcOrd="2" destOrd="0" presId="urn:microsoft.com/office/officeart/2008/layout/NameandTitleOrganizationalChart"/>
    <dgm:cxn modelId="{3EC504E8-F490-4B1D-ABCE-B6776BB38940}" type="presParOf" srcId="{98437BB9-BFF2-4F35-8ED6-E58FF9C749E4}" destId="{C6A4D50F-C8FF-4960-AF54-6104F8E5A71D}" srcOrd="3" destOrd="0" presId="urn:microsoft.com/office/officeart/2008/layout/NameandTitleOrganizationalChart"/>
    <dgm:cxn modelId="{73F8888E-AD19-4472-AED2-D1A3D0ADE015}" type="presParOf" srcId="{C6A4D50F-C8FF-4960-AF54-6104F8E5A71D}" destId="{E4E28379-DA7E-4001-AA75-6414083FD58F}" srcOrd="0" destOrd="0" presId="urn:microsoft.com/office/officeart/2008/layout/NameandTitleOrganizationalChart"/>
    <dgm:cxn modelId="{5815A167-96C2-4E0F-B37A-8DFF0DCE6616}" type="presParOf" srcId="{E4E28379-DA7E-4001-AA75-6414083FD58F}" destId="{6EF8B4EE-6877-4512-B43B-3B1D377A41E4}" srcOrd="0" destOrd="0" presId="urn:microsoft.com/office/officeart/2008/layout/NameandTitleOrganizationalChart"/>
    <dgm:cxn modelId="{75F9C4A5-6D9B-4A5A-8ADC-6FED12613BAB}" type="presParOf" srcId="{E4E28379-DA7E-4001-AA75-6414083FD58F}" destId="{D141C697-C6D4-4357-8EEB-E87E399E76B2}" srcOrd="1" destOrd="0" presId="urn:microsoft.com/office/officeart/2008/layout/NameandTitleOrganizationalChart"/>
    <dgm:cxn modelId="{205C951A-7536-4510-99E9-FDB5DED7E77F}" type="presParOf" srcId="{E4E28379-DA7E-4001-AA75-6414083FD58F}" destId="{C4F53EB6-A1B9-407E-B447-32309F6C3730}" srcOrd="2" destOrd="0" presId="urn:microsoft.com/office/officeart/2008/layout/NameandTitleOrganizationalChart"/>
    <dgm:cxn modelId="{FE4230C0-B763-4690-906A-B3E9A479A757}" type="presParOf" srcId="{C6A4D50F-C8FF-4960-AF54-6104F8E5A71D}" destId="{64CCC1DE-D153-46A4-AAB0-5C1293C361E7}" srcOrd="1" destOrd="0" presId="urn:microsoft.com/office/officeart/2008/layout/NameandTitleOrganizationalChart"/>
    <dgm:cxn modelId="{9DD36773-2B19-4660-96E1-F8DE518CBCBC}" type="presParOf" srcId="{C6A4D50F-C8FF-4960-AF54-6104F8E5A71D}" destId="{B406478C-14C9-4507-90D9-A21CD9E3AE39}" srcOrd="2" destOrd="0" presId="urn:microsoft.com/office/officeart/2008/layout/NameandTitleOrganizationalChart"/>
    <dgm:cxn modelId="{9AFF4680-23DA-4901-AF66-130F76987BDB}" type="presParOf" srcId="{98437BB9-BFF2-4F35-8ED6-E58FF9C749E4}" destId="{FE1EFB4D-268A-4A0E-B476-1A579A15F8B5}" srcOrd="4" destOrd="0" presId="urn:microsoft.com/office/officeart/2008/layout/NameandTitleOrganizationalChart"/>
    <dgm:cxn modelId="{7E53A1E4-9493-4814-B181-DD2A218A7AD4}" type="presParOf" srcId="{98437BB9-BFF2-4F35-8ED6-E58FF9C749E4}" destId="{949DD9B5-DA0A-42A5-8086-27D6C014E93C}" srcOrd="5" destOrd="0" presId="urn:microsoft.com/office/officeart/2008/layout/NameandTitleOrganizationalChart"/>
    <dgm:cxn modelId="{AA4FE4B8-4E0F-40FE-A6E0-1A9B55B1E252}" type="presParOf" srcId="{949DD9B5-DA0A-42A5-8086-27D6C014E93C}" destId="{1605120C-D1C0-482B-9AE2-EFCB8D44AD88}" srcOrd="0" destOrd="0" presId="urn:microsoft.com/office/officeart/2008/layout/NameandTitleOrganizationalChart"/>
    <dgm:cxn modelId="{9D64B310-C9A6-4B3B-9B49-A00B688D0911}" type="presParOf" srcId="{1605120C-D1C0-482B-9AE2-EFCB8D44AD88}" destId="{CAB8B3C7-C8B8-46C1-8DDC-C9148F8110CA}" srcOrd="0" destOrd="0" presId="urn:microsoft.com/office/officeart/2008/layout/NameandTitleOrganizationalChart"/>
    <dgm:cxn modelId="{59A78720-3335-48D2-8B1A-DFECFFF4805F}" type="presParOf" srcId="{1605120C-D1C0-482B-9AE2-EFCB8D44AD88}" destId="{9B3BA139-5F5B-4E30-889D-A2F706A2695B}" srcOrd="1" destOrd="0" presId="urn:microsoft.com/office/officeart/2008/layout/NameandTitleOrganizationalChart"/>
    <dgm:cxn modelId="{08D26EF4-F956-4516-9FC2-E2EC9B095850}" type="presParOf" srcId="{1605120C-D1C0-482B-9AE2-EFCB8D44AD88}" destId="{A1974806-8176-4775-A3F7-79EFBB25800A}" srcOrd="2" destOrd="0" presId="urn:microsoft.com/office/officeart/2008/layout/NameandTitleOrganizationalChart"/>
    <dgm:cxn modelId="{9EDB3E82-A295-4874-8AD0-96CFA1CC45C2}" type="presParOf" srcId="{949DD9B5-DA0A-42A5-8086-27D6C014E93C}" destId="{7C9BE08B-A832-462C-8951-234303DA27C7}" srcOrd="1" destOrd="0" presId="urn:microsoft.com/office/officeart/2008/layout/NameandTitleOrganizationalChart"/>
    <dgm:cxn modelId="{69ACE2D5-1C08-4E28-9C52-94BAB15F4709}" type="presParOf" srcId="{949DD9B5-DA0A-42A5-8086-27D6C014E93C}" destId="{AE625F04-F92D-4E2F-BCC7-D80B90B58C6E}" srcOrd="2" destOrd="0" presId="urn:microsoft.com/office/officeart/2008/layout/NameandTitleOrganizationalChart"/>
    <dgm:cxn modelId="{66278CE3-AE02-49A3-8FCB-D000959C344A}" type="presParOf" srcId="{01AC8645-813A-4A9A-82C3-B574331D483D}" destId="{D523BA46-F152-4A97-BC8F-40D5511871BF}" srcOrd="2" destOrd="0" presId="urn:microsoft.com/office/officeart/2008/layout/NameandTitleOrganizationalChart"/>
    <dgm:cxn modelId="{8591F3D8-81F5-47F9-9933-B1101D8E59D0}" type="presParOf" srcId="{8CA688BB-7814-4855-AC18-C34A0C9ECD58}" destId="{A2AAA880-5DAC-4A04-B8D6-C01D9612A6BA}" srcOrd="4" destOrd="0" presId="urn:microsoft.com/office/officeart/2008/layout/NameandTitleOrganizationalChart"/>
    <dgm:cxn modelId="{DC1C34B5-EC91-49B4-BBCD-D3E63760991C}" type="presParOf" srcId="{8CA688BB-7814-4855-AC18-C34A0C9ECD58}" destId="{499C3693-699C-40F1-97B6-AF9719ADBF37}" srcOrd="5" destOrd="0" presId="urn:microsoft.com/office/officeart/2008/layout/NameandTitleOrganizationalChart"/>
    <dgm:cxn modelId="{AD204587-9EB4-4385-AB07-ECF60B82F7F0}" type="presParOf" srcId="{499C3693-699C-40F1-97B6-AF9719ADBF37}" destId="{2B712D9A-6F0E-47A2-AE2B-B799EE160BC5}" srcOrd="0" destOrd="0" presId="urn:microsoft.com/office/officeart/2008/layout/NameandTitleOrganizationalChart"/>
    <dgm:cxn modelId="{79E40B42-C43D-4082-BFDD-ED56D64864A3}" type="presParOf" srcId="{2B712D9A-6F0E-47A2-AE2B-B799EE160BC5}" destId="{AFEDC19F-5E18-407A-91B8-4A37CB3005D9}" srcOrd="0" destOrd="0" presId="urn:microsoft.com/office/officeart/2008/layout/NameandTitleOrganizationalChart"/>
    <dgm:cxn modelId="{45D76D70-1856-4C0C-A8BE-BD6C4125E968}" type="presParOf" srcId="{2B712D9A-6F0E-47A2-AE2B-B799EE160BC5}" destId="{2E0D561D-EF1C-4E03-8586-7217D3A1BA85}" srcOrd="1" destOrd="0" presId="urn:microsoft.com/office/officeart/2008/layout/NameandTitleOrganizationalChart"/>
    <dgm:cxn modelId="{354AB615-6CAC-482B-9F62-E98871F827BC}" type="presParOf" srcId="{2B712D9A-6F0E-47A2-AE2B-B799EE160BC5}" destId="{89C329DE-2C82-4D8A-9BE7-F39B6FA0443D}" srcOrd="2" destOrd="0" presId="urn:microsoft.com/office/officeart/2008/layout/NameandTitleOrganizationalChart"/>
    <dgm:cxn modelId="{C329D195-9709-41AF-B7E4-EA4B151D7B46}" type="presParOf" srcId="{499C3693-699C-40F1-97B6-AF9719ADBF37}" destId="{E9FA59C9-6672-4A1C-BBA2-B50A741B8D39}" srcOrd="1" destOrd="0" presId="urn:microsoft.com/office/officeart/2008/layout/NameandTitleOrganizationalChart"/>
    <dgm:cxn modelId="{35096C8E-D8B2-48DC-9DD7-3CDA06E056CC}" type="presParOf" srcId="{E9FA59C9-6672-4A1C-BBA2-B50A741B8D39}" destId="{23198500-1E17-444D-B340-33E3ACF78C22}" srcOrd="0" destOrd="0" presId="urn:microsoft.com/office/officeart/2008/layout/NameandTitleOrganizationalChart"/>
    <dgm:cxn modelId="{83B57711-A20D-4C24-A6F9-D935665F117F}" type="presParOf" srcId="{E9FA59C9-6672-4A1C-BBA2-B50A741B8D39}" destId="{E1EB827F-A503-45CD-9A79-4E222894ED44}" srcOrd="1" destOrd="0" presId="urn:microsoft.com/office/officeart/2008/layout/NameandTitleOrganizationalChart"/>
    <dgm:cxn modelId="{0C8BBDDC-FE69-470C-BB77-F8D988C65DD0}" type="presParOf" srcId="{E1EB827F-A503-45CD-9A79-4E222894ED44}" destId="{4D05F6B8-E52D-4F7C-B68F-A6AAA32F97A6}" srcOrd="0" destOrd="0" presId="urn:microsoft.com/office/officeart/2008/layout/NameandTitleOrganizationalChart"/>
    <dgm:cxn modelId="{309A4EDB-177A-47D5-8DD2-BF4FF1EEA089}" type="presParOf" srcId="{4D05F6B8-E52D-4F7C-B68F-A6AAA32F97A6}" destId="{BAA32FE9-49CC-44D5-89DD-F0D474799F8B}" srcOrd="0" destOrd="0" presId="urn:microsoft.com/office/officeart/2008/layout/NameandTitleOrganizationalChart"/>
    <dgm:cxn modelId="{F549E621-82F0-42B4-88D2-7B3EABBC107A}" type="presParOf" srcId="{4D05F6B8-E52D-4F7C-B68F-A6AAA32F97A6}" destId="{CBB95FC9-11BD-4FC9-86E9-3BDEE76FC944}" srcOrd="1" destOrd="0" presId="urn:microsoft.com/office/officeart/2008/layout/NameandTitleOrganizationalChart"/>
    <dgm:cxn modelId="{0FD4F8AF-94A9-41F2-A831-BBED218009AF}" type="presParOf" srcId="{4D05F6B8-E52D-4F7C-B68F-A6AAA32F97A6}" destId="{412D1187-9389-4C3C-BCD8-BFDFE33E2A2F}" srcOrd="2" destOrd="0" presId="urn:microsoft.com/office/officeart/2008/layout/NameandTitleOrganizationalChart"/>
    <dgm:cxn modelId="{FDA4C9D9-4183-44F3-93D5-F0643CC484A2}" type="presParOf" srcId="{E1EB827F-A503-45CD-9A79-4E222894ED44}" destId="{B85E417E-DE21-4EDA-80E5-563A3E28D0EA}" srcOrd="1" destOrd="0" presId="urn:microsoft.com/office/officeart/2008/layout/NameandTitleOrganizationalChart"/>
    <dgm:cxn modelId="{BEB4BF60-1356-44A7-A7A9-E62A5EEC610D}" type="presParOf" srcId="{E1EB827F-A503-45CD-9A79-4E222894ED44}" destId="{7F9C57D5-090E-4D35-A160-9260A8E6BC6F}" srcOrd="2" destOrd="0" presId="urn:microsoft.com/office/officeart/2008/layout/NameandTitleOrganizationalChart"/>
    <dgm:cxn modelId="{9C23BD15-113D-475F-A394-4CE231086C83}" type="presParOf" srcId="{499C3693-699C-40F1-97B6-AF9719ADBF37}" destId="{38AAC22F-C221-4B6C-A4A8-7A149D43FDEE}" srcOrd="2" destOrd="0" presId="urn:microsoft.com/office/officeart/2008/layout/NameandTitleOrganizationalChart"/>
    <dgm:cxn modelId="{8257B6C1-3D81-4F14-A894-6E3021CCE07B}" type="presParOf" srcId="{8CA688BB-7814-4855-AC18-C34A0C9ECD58}" destId="{4E86D9E2-A71D-4E85-B491-00375E6F869D}" srcOrd="6" destOrd="0" presId="urn:microsoft.com/office/officeart/2008/layout/NameandTitleOrganizationalChart"/>
    <dgm:cxn modelId="{CD103852-44D6-475A-B1C1-B512CA13E004}" type="presParOf" srcId="{8CA688BB-7814-4855-AC18-C34A0C9ECD58}" destId="{50879790-53EF-4E8D-8CD8-8230E1380198}" srcOrd="7" destOrd="0" presId="urn:microsoft.com/office/officeart/2008/layout/NameandTitleOrganizationalChart"/>
    <dgm:cxn modelId="{FFC5C409-ED76-4DA1-A415-274DDCEC328A}" type="presParOf" srcId="{50879790-53EF-4E8D-8CD8-8230E1380198}" destId="{E7B21FCC-78F3-4B42-BB72-BCB036FFCE95}" srcOrd="0" destOrd="0" presId="urn:microsoft.com/office/officeart/2008/layout/NameandTitleOrganizationalChart"/>
    <dgm:cxn modelId="{EFB919E5-3CCE-42C0-8DAF-AA413E0F1B96}" type="presParOf" srcId="{E7B21FCC-78F3-4B42-BB72-BCB036FFCE95}" destId="{4B35F7F9-45F9-459A-B5F2-1F7BB7C154DB}" srcOrd="0" destOrd="0" presId="urn:microsoft.com/office/officeart/2008/layout/NameandTitleOrganizationalChart"/>
    <dgm:cxn modelId="{E6AAECD8-94F9-4951-899C-58AC131588AE}" type="presParOf" srcId="{E7B21FCC-78F3-4B42-BB72-BCB036FFCE95}" destId="{55703F11-9F25-493F-BC19-BB4EC28CD8A6}" srcOrd="1" destOrd="0" presId="urn:microsoft.com/office/officeart/2008/layout/NameandTitleOrganizationalChart"/>
    <dgm:cxn modelId="{B4B1C371-8AFA-4DB8-8301-978BE2688B10}" type="presParOf" srcId="{E7B21FCC-78F3-4B42-BB72-BCB036FFCE95}" destId="{95D115B9-3817-4F30-BC77-D7F9529339A6}" srcOrd="2" destOrd="0" presId="urn:microsoft.com/office/officeart/2008/layout/NameandTitleOrganizationalChart"/>
    <dgm:cxn modelId="{87FD56F8-2ACF-4B97-8A83-9F08E8BF6A2B}" type="presParOf" srcId="{50879790-53EF-4E8D-8CD8-8230E1380198}" destId="{F3980EA4-C2D8-4490-A72C-002E1860CAAD}" srcOrd="1" destOrd="0" presId="urn:microsoft.com/office/officeart/2008/layout/NameandTitleOrganizationalChart"/>
    <dgm:cxn modelId="{CBE22F6B-3BBB-4E77-B6D1-45AD3650D857}" type="presParOf" srcId="{F3980EA4-C2D8-4490-A72C-002E1860CAAD}" destId="{F0DA88D1-3D92-4AD6-978B-B1AA19E850DD}" srcOrd="0" destOrd="0" presId="urn:microsoft.com/office/officeart/2008/layout/NameandTitleOrganizationalChart"/>
    <dgm:cxn modelId="{FF192BFF-8E1B-42E3-8416-5A1614E6C5A3}" type="presParOf" srcId="{F3980EA4-C2D8-4490-A72C-002E1860CAAD}" destId="{2F3BBAB2-C3DA-43D4-BC0C-ECC1CC1BB254}" srcOrd="1" destOrd="0" presId="urn:microsoft.com/office/officeart/2008/layout/NameandTitleOrganizationalChart"/>
    <dgm:cxn modelId="{ADEEEC76-C74F-417F-B01B-9DC028487CF1}" type="presParOf" srcId="{2F3BBAB2-C3DA-43D4-BC0C-ECC1CC1BB254}" destId="{F2A6587A-6DC0-4AAB-AC64-2DAC0883B298}" srcOrd="0" destOrd="0" presId="urn:microsoft.com/office/officeart/2008/layout/NameandTitleOrganizationalChart"/>
    <dgm:cxn modelId="{36EE0F08-531B-4F1F-A800-0F0DE9CF4D69}" type="presParOf" srcId="{F2A6587A-6DC0-4AAB-AC64-2DAC0883B298}" destId="{407CA84F-7F26-4F8D-85E4-26D6112E50D0}" srcOrd="0" destOrd="0" presId="urn:microsoft.com/office/officeart/2008/layout/NameandTitleOrganizationalChart"/>
    <dgm:cxn modelId="{E1FF5B38-B681-4B04-B7BF-5D4E25EF6F75}" type="presParOf" srcId="{F2A6587A-6DC0-4AAB-AC64-2DAC0883B298}" destId="{F1ADF4D2-5BD1-4B1C-986D-BEFB19ED6475}" srcOrd="1" destOrd="0" presId="urn:microsoft.com/office/officeart/2008/layout/NameandTitleOrganizationalChart"/>
    <dgm:cxn modelId="{B1A40553-B88D-4F85-8000-07535BE20906}" type="presParOf" srcId="{F2A6587A-6DC0-4AAB-AC64-2DAC0883B298}" destId="{5CAAB9C2-A50B-43BD-9A3C-C05C0FFCC722}" srcOrd="2" destOrd="0" presId="urn:microsoft.com/office/officeart/2008/layout/NameandTitleOrganizationalChart"/>
    <dgm:cxn modelId="{6C7213F6-BE4A-469D-A909-AC87E2FA441B}" type="presParOf" srcId="{2F3BBAB2-C3DA-43D4-BC0C-ECC1CC1BB254}" destId="{CF4BAEF9-8FB1-4517-806F-9E7081E0E29B}" srcOrd="1" destOrd="0" presId="urn:microsoft.com/office/officeart/2008/layout/NameandTitleOrganizationalChart"/>
    <dgm:cxn modelId="{BDD48526-E257-42E8-AAB3-185B792DED7C}" type="presParOf" srcId="{2F3BBAB2-C3DA-43D4-BC0C-ECC1CC1BB254}" destId="{E1E8C353-EDAD-40BA-8361-3AC9B208ABCF}" srcOrd="2" destOrd="0" presId="urn:microsoft.com/office/officeart/2008/layout/NameandTitleOrganizationalChart"/>
    <dgm:cxn modelId="{58F78CFF-6818-44EF-972E-AB7A0B465CDB}" type="presParOf" srcId="{F3980EA4-C2D8-4490-A72C-002E1860CAAD}" destId="{E8B219DF-8FE2-4FB9-A64B-F062D301D077}" srcOrd="2" destOrd="0" presId="urn:microsoft.com/office/officeart/2008/layout/NameandTitleOrganizationalChart"/>
    <dgm:cxn modelId="{3C8D4329-E0E9-47A7-88C0-066FC58F0B44}" type="presParOf" srcId="{F3980EA4-C2D8-4490-A72C-002E1860CAAD}" destId="{A9139FA5-4605-4C2C-B6FB-1D7869C94460}" srcOrd="3" destOrd="0" presId="urn:microsoft.com/office/officeart/2008/layout/NameandTitleOrganizationalChart"/>
    <dgm:cxn modelId="{8A402EEC-BB34-4162-A38A-4C044F60E1D8}" type="presParOf" srcId="{A9139FA5-4605-4C2C-B6FB-1D7869C94460}" destId="{98FEABAE-BAF9-4CE0-B9B1-0F790314A6B1}" srcOrd="0" destOrd="0" presId="urn:microsoft.com/office/officeart/2008/layout/NameandTitleOrganizationalChart"/>
    <dgm:cxn modelId="{88EDEC94-EE28-4CA4-A283-4F47319A19FE}" type="presParOf" srcId="{98FEABAE-BAF9-4CE0-B9B1-0F790314A6B1}" destId="{DED1B4A9-A09B-463D-9097-C9D780CBCEB5}" srcOrd="0" destOrd="0" presId="urn:microsoft.com/office/officeart/2008/layout/NameandTitleOrganizationalChart"/>
    <dgm:cxn modelId="{D993CCC7-7E5D-45C2-AEF8-54DF67691BA5}" type="presParOf" srcId="{98FEABAE-BAF9-4CE0-B9B1-0F790314A6B1}" destId="{999C8EB7-F3F3-4881-8E2D-C941A99DD4F9}" srcOrd="1" destOrd="0" presId="urn:microsoft.com/office/officeart/2008/layout/NameandTitleOrganizationalChart"/>
    <dgm:cxn modelId="{F0834D5E-8079-4CB9-8153-6C3F2E7009FE}" type="presParOf" srcId="{98FEABAE-BAF9-4CE0-B9B1-0F790314A6B1}" destId="{70F7AA5A-5B9C-47B0-B630-A9A85D9FC14B}" srcOrd="2" destOrd="0" presId="urn:microsoft.com/office/officeart/2008/layout/NameandTitleOrganizationalChart"/>
    <dgm:cxn modelId="{2FBA3D4F-A915-4F10-A1AD-2C46BBF7EA65}" type="presParOf" srcId="{A9139FA5-4605-4C2C-B6FB-1D7869C94460}" destId="{8E82294A-9943-40A7-97E9-6C9E471FEF76}" srcOrd="1" destOrd="0" presId="urn:microsoft.com/office/officeart/2008/layout/NameandTitleOrganizationalChart"/>
    <dgm:cxn modelId="{A3CBED3A-F50B-4A28-870B-A801A30E991B}" type="presParOf" srcId="{A9139FA5-4605-4C2C-B6FB-1D7869C94460}" destId="{EBC09BEE-EAAA-4384-AD02-D21EF5D30224}" srcOrd="2" destOrd="0" presId="urn:microsoft.com/office/officeart/2008/layout/NameandTitleOrganizationalChart"/>
    <dgm:cxn modelId="{2C02D8BB-47EC-40F5-9548-61616B985855}" type="presParOf" srcId="{F3980EA4-C2D8-4490-A72C-002E1860CAAD}" destId="{FD9241F0-F46F-4849-8FD9-6CEDD626961B}" srcOrd="4" destOrd="0" presId="urn:microsoft.com/office/officeart/2008/layout/NameandTitleOrganizationalChart"/>
    <dgm:cxn modelId="{698B6E7C-BBF5-49C6-979B-4395F4AFE47B}" type="presParOf" srcId="{F3980EA4-C2D8-4490-A72C-002E1860CAAD}" destId="{1677CEC9-5FB3-4E42-851A-996F4B214C20}" srcOrd="5" destOrd="0" presId="urn:microsoft.com/office/officeart/2008/layout/NameandTitleOrganizationalChart"/>
    <dgm:cxn modelId="{EBF53085-3C61-49FE-B45F-B140DB039F65}" type="presParOf" srcId="{1677CEC9-5FB3-4E42-851A-996F4B214C20}" destId="{575E6B1C-D125-4323-BBE2-25F6F3F715F9}" srcOrd="0" destOrd="0" presId="urn:microsoft.com/office/officeart/2008/layout/NameandTitleOrganizationalChart"/>
    <dgm:cxn modelId="{B5A19603-4CF0-4DB1-9A4E-367E121719F1}" type="presParOf" srcId="{575E6B1C-D125-4323-BBE2-25F6F3F715F9}" destId="{E85AC1B9-667E-429F-AAE4-DB16B38A802E}" srcOrd="0" destOrd="0" presId="urn:microsoft.com/office/officeart/2008/layout/NameandTitleOrganizationalChart"/>
    <dgm:cxn modelId="{AC22565C-0A22-4CEA-989A-D6A944492BA6}" type="presParOf" srcId="{575E6B1C-D125-4323-BBE2-25F6F3F715F9}" destId="{8C6E2BA0-4419-4369-A683-78FC3BB7F6A7}" srcOrd="1" destOrd="0" presId="urn:microsoft.com/office/officeart/2008/layout/NameandTitleOrganizationalChart"/>
    <dgm:cxn modelId="{DAF49C72-71BC-4999-B324-06217315ACFD}" type="presParOf" srcId="{575E6B1C-D125-4323-BBE2-25F6F3F715F9}" destId="{6B9D259E-1D95-406A-9E5F-FB7C7737CD09}" srcOrd="2" destOrd="0" presId="urn:microsoft.com/office/officeart/2008/layout/NameandTitleOrganizationalChart"/>
    <dgm:cxn modelId="{82B91B1D-A42A-4AB7-9F26-F56677001039}" type="presParOf" srcId="{1677CEC9-5FB3-4E42-851A-996F4B214C20}" destId="{98C98210-0A72-4534-9C1F-9AFBD5CF66C6}" srcOrd="1" destOrd="0" presId="urn:microsoft.com/office/officeart/2008/layout/NameandTitleOrganizationalChart"/>
    <dgm:cxn modelId="{4732E8DC-CC07-45D2-9006-16983A7AB1E0}" type="presParOf" srcId="{1677CEC9-5FB3-4E42-851A-996F4B214C20}" destId="{C5823C38-BB67-48DA-A069-8C036319B263}" srcOrd="2" destOrd="0" presId="urn:microsoft.com/office/officeart/2008/layout/NameandTitleOrganizationalChart"/>
    <dgm:cxn modelId="{469A6BA9-42F3-461F-BB8D-3C0E2A0C6299}" type="presParOf" srcId="{F3980EA4-C2D8-4490-A72C-002E1860CAAD}" destId="{CCFBC367-DA40-467C-ADC9-BB5CB621FE6D}" srcOrd="6" destOrd="0" presId="urn:microsoft.com/office/officeart/2008/layout/NameandTitleOrganizationalChart"/>
    <dgm:cxn modelId="{A80F6476-DC99-4F5B-B6A6-1047CAC0DAEC}" type="presParOf" srcId="{F3980EA4-C2D8-4490-A72C-002E1860CAAD}" destId="{1A7BB1E3-066B-4117-A3F5-5FFC7BB126B7}" srcOrd="7" destOrd="0" presId="urn:microsoft.com/office/officeart/2008/layout/NameandTitleOrganizationalChart"/>
    <dgm:cxn modelId="{3A75D1DE-5F9A-495E-9BFF-CEA0943E5D31}" type="presParOf" srcId="{1A7BB1E3-066B-4117-A3F5-5FFC7BB126B7}" destId="{AA0BC5BD-E086-4C49-BA74-DE1CD7CFAE90}" srcOrd="0" destOrd="0" presId="urn:microsoft.com/office/officeart/2008/layout/NameandTitleOrganizationalChart"/>
    <dgm:cxn modelId="{B0B53F90-295E-4555-89F1-D4FC41C85AD3}" type="presParOf" srcId="{AA0BC5BD-E086-4C49-BA74-DE1CD7CFAE90}" destId="{3C264107-59F7-46E0-852A-C7DE39952C9D}" srcOrd="0" destOrd="0" presId="urn:microsoft.com/office/officeart/2008/layout/NameandTitleOrganizationalChart"/>
    <dgm:cxn modelId="{F775AE4D-36B2-4008-8649-CBB02B25722B}" type="presParOf" srcId="{AA0BC5BD-E086-4C49-BA74-DE1CD7CFAE90}" destId="{F7DC6F0D-2E0D-407C-B403-86685822E51E}" srcOrd="1" destOrd="0" presId="urn:microsoft.com/office/officeart/2008/layout/NameandTitleOrganizationalChart"/>
    <dgm:cxn modelId="{64B26A03-56B1-49FB-BF39-6D7133777DB2}" type="presParOf" srcId="{AA0BC5BD-E086-4C49-BA74-DE1CD7CFAE90}" destId="{547B8573-7E03-4763-A415-4F0DEF31B99A}" srcOrd="2" destOrd="0" presId="urn:microsoft.com/office/officeart/2008/layout/NameandTitleOrganizationalChart"/>
    <dgm:cxn modelId="{B40CB3EA-5B7E-46A3-8C15-026FD4AD2413}" type="presParOf" srcId="{1A7BB1E3-066B-4117-A3F5-5FFC7BB126B7}" destId="{D9C5F7A6-DE99-4041-976A-44A938BC27CD}" srcOrd="1" destOrd="0" presId="urn:microsoft.com/office/officeart/2008/layout/NameandTitleOrganizationalChart"/>
    <dgm:cxn modelId="{66279E25-633A-4C57-97C9-D83A2026D06B}" type="presParOf" srcId="{1A7BB1E3-066B-4117-A3F5-5FFC7BB126B7}" destId="{6EA592E0-AA07-4AE0-8591-027229109F9C}" srcOrd="2" destOrd="0" presId="urn:microsoft.com/office/officeart/2008/layout/NameandTitleOrganizationalChart"/>
    <dgm:cxn modelId="{C8A83AA6-963D-4F5D-B96F-18BE7C7A0E2A}" type="presParOf" srcId="{F3980EA4-C2D8-4490-A72C-002E1860CAAD}" destId="{999E9AF3-7A99-4C95-85B0-7F47F4AD18B4}" srcOrd="8" destOrd="0" presId="urn:microsoft.com/office/officeart/2008/layout/NameandTitleOrganizationalChart"/>
    <dgm:cxn modelId="{DB66227C-896D-4F15-A1F9-B20A9990A357}" type="presParOf" srcId="{F3980EA4-C2D8-4490-A72C-002E1860CAAD}" destId="{F4483D8F-E8FF-4194-8C7E-D49798EE78B6}" srcOrd="9" destOrd="0" presId="urn:microsoft.com/office/officeart/2008/layout/NameandTitleOrganizationalChart"/>
    <dgm:cxn modelId="{E77F36BB-64EB-42E8-A0F9-774A7E424AE2}" type="presParOf" srcId="{F4483D8F-E8FF-4194-8C7E-D49798EE78B6}" destId="{E612EE2B-189F-477C-9883-8F7D8030B9C3}" srcOrd="0" destOrd="0" presId="urn:microsoft.com/office/officeart/2008/layout/NameandTitleOrganizationalChart"/>
    <dgm:cxn modelId="{13BA74E3-0B3C-44ED-8F0F-FCD7D2CE7BB3}" type="presParOf" srcId="{E612EE2B-189F-477C-9883-8F7D8030B9C3}" destId="{11E99FA4-EAAF-4CB3-A6A8-EBF087F801C0}" srcOrd="0" destOrd="0" presId="urn:microsoft.com/office/officeart/2008/layout/NameandTitleOrganizationalChart"/>
    <dgm:cxn modelId="{55C3464C-F5D0-42E9-A652-4C02D03568E5}" type="presParOf" srcId="{E612EE2B-189F-477C-9883-8F7D8030B9C3}" destId="{BB4B196B-FF06-4C54-A1B0-DA6A859E236E}" srcOrd="1" destOrd="0" presId="urn:microsoft.com/office/officeart/2008/layout/NameandTitleOrganizationalChart"/>
    <dgm:cxn modelId="{F9241D91-72AA-4587-9DD1-01455FF73FDD}" type="presParOf" srcId="{E612EE2B-189F-477C-9883-8F7D8030B9C3}" destId="{0B08242C-BBD4-43A2-BFE1-C70B3891B683}" srcOrd="2" destOrd="0" presId="urn:microsoft.com/office/officeart/2008/layout/NameandTitleOrganizationalChart"/>
    <dgm:cxn modelId="{98F821C5-FEF3-43D1-81DD-05C00AF5E499}" type="presParOf" srcId="{F4483D8F-E8FF-4194-8C7E-D49798EE78B6}" destId="{900A2E05-34C7-4A9E-8ABF-BF00F266AA38}" srcOrd="1" destOrd="0" presId="urn:microsoft.com/office/officeart/2008/layout/NameandTitleOrganizationalChart"/>
    <dgm:cxn modelId="{9F335818-59DA-4F9D-9159-52929506E9F4}" type="presParOf" srcId="{F4483D8F-E8FF-4194-8C7E-D49798EE78B6}" destId="{6655B647-F9E2-4309-9F99-0066A46DAFC9}" srcOrd="2" destOrd="0" presId="urn:microsoft.com/office/officeart/2008/layout/NameandTitleOrganizationalChart"/>
    <dgm:cxn modelId="{1B98BA8A-E9FC-4CC1-8A41-14B65A7ADEE6}" type="presParOf" srcId="{50879790-53EF-4E8D-8CD8-8230E1380198}" destId="{1249C2EE-CF69-4FE6-A430-4FBB6891E8C8}" srcOrd="2" destOrd="0" presId="urn:microsoft.com/office/officeart/2008/layout/NameandTitleOrganizationalChart"/>
    <dgm:cxn modelId="{FB35A0AD-550D-4DF5-BA9C-AC91410209DF}" type="presParOf" srcId="{1FC75BCB-70D1-4812-953D-2A63C5BB5986}" destId="{4DF396A0-D096-4B34-9B34-885FE7AD1F93}" srcOrd="2" destOrd="0" presId="urn:microsoft.com/office/officeart/2008/layout/NameandTitleOrganizationalChart"/>
    <dgm:cxn modelId="{CAF9EA80-2715-42EF-87B6-C6D72D156DC7}" type="presParOf" srcId="{C718AD6A-FDF4-4DFE-B639-235A92E0D1E5}" destId="{C4806FF5-0F73-42BE-B14B-6EE4A529F02E}" srcOrd="6" destOrd="0" presId="urn:microsoft.com/office/officeart/2008/layout/NameandTitleOrganizationalChart"/>
    <dgm:cxn modelId="{40408729-37EC-4520-AF4D-6B5459D83A55}" type="presParOf" srcId="{C718AD6A-FDF4-4DFE-B639-235A92E0D1E5}" destId="{77A80244-DB68-46CD-8065-7E0038F9AA86}" srcOrd="7" destOrd="0" presId="urn:microsoft.com/office/officeart/2008/layout/NameandTitleOrganizationalChart"/>
    <dgm:cxn modelId="{2B83BC63-2A7F-4656-812F-BE78B5BB6ED3}" type="presParOf" srcId="{77A80244-DB68-46CD-8065-7E0038F9AA86}" destId="{A8F6DEE0-BACD-47D5-A695-FCE124E6F137}" srcOrd="0" destOrd="0" presId="urn:microsoft.com/office/officeart/2008/layout/NameandTitleOrganizationalChart"/>
    <dgm:cxn modelId="{88292A17-A51A-48FE-8FC9-25C6A7398109}" type="presParOf" srcId="{A8F6DEE0-BACD-47D5-A695-FCE124E6F137}" destId="{D6ACDEE1-5C4E-416E-847D-7A598B89CED0}" srcOrd="0" destOrd="0" presId="urn:microsoft.com/office/officeart/2008/layout/NameandTitleOrganizationalChart"/>
    <dgm:cxn modelId="{C02B51FB-F8F5-42BF-891B-5941F2B3A932}" type="presParOf" srcId="{A8F6DEE0-BACD-47D5-A695-FCE124E6F137}" destId="{1888C889-CCB3-4620-816A-8602AF16DA18}" srcOrd="1" destOrd="0" presId="urn:microsoft.com/office/officeart/2008/layout/NameandTitleOrganizationalChart"/>
    <dgm:cxn modelId="{5D5E412F-A55E-4E77-A646-DC432F1D7052}" type="presParOf" srcId="{A8F6DEE0-BACD-47D5-A695-FCE124E6F137}" destId="{5043B625-E9EE-4256-A77F-6529F26F1DD0}" srcOrd="2" destOrd="0" presId="urn:microsoft.com/office/officeart/2008/layout/NameandTitleOrganizationalChart"/>
    <dgm:cxn modelId="{DD153F15-1473-41B1-BC70-887314895E24}" type="presParOf" srcId="{77A80244-DB68-46CD-8065-7E0038F9AA86}" destId="{5228EAC1-AC6F-4EA3-AD31-8E8982F53E89}" srcOrd="1" destOrd="0" presId="urn:microsoft.com/office/officeart/2008/layout/NameandTitleOrganizationalChart"/>
    <dgm:cxn modelId="{D357408A-0322-485A-BBF8-97FBA7AC9DB8}" type="presParOf" srcId="{5228EAC1-AC6F-4EA3-AD31-8E8982F53E89}" destId="{17C0E377-961B-4B01-8864-941768A826A6}" srcOrd="0" destOrd="0" presId="urn:microsoft.com/office/officeart/2008/layout/NameandTitleOrganizationalChart"/>
    <dgm:cxn modelId="{BB07A8D3-84ED-406B-972D-5D35A2F118AB}" type="presParOf" srcId="{5228EAC1-AC6F-4EA3-AD31-8E8982F53E89}" destId="{5F5C9CD3-BC60-46DA-AD67-973CD661D1F3}" srcOrd="1" destOrd="0" presId="urn:microsoft.com/office/officeart/2008/layout/NameandTitleOrganizationalChart"/>
    <dgm:cxn modelId="{6DDBC0D1-6DE8-4F2F-A3D9-C348E92B6E7E}" type="presParOf" srcId="{5F5C9CD3-BC60-46DA-AD67-973CD661D1F3}" destId="{E44E5898-0C24-4F2C-BC2D-03B2C1A4D962}" srcOrd="0" destOrd="0" presId="urn:microsoft.com/office/officeart/2008/layout/NameandTitleOrganizationalChart"/>
    <dgm:cxn modelId="{71AD4B52-0587-45ED-87DA-D9BB2CDACB27}" type="presParOf" srcId="{E44E5898-0C24-4F2C-BC2D-03B2C1A4D962}" destId="{DECD435F-9BEF-4D02-A481-5DEC89B26A35}" srcOrd="0" destOrd="0" presId="urn:microsoft.com/office/officeart/2008/layout/NameandTitleOrganizationalChart"/>
    <dgm:cxn modelId="{3BFE9123-A76E-417A-A22E-6841932547F4}" type="presParOf" srcId="{E44E5898-0C24-4F2C-BC2D-03B2C1A4D962}" destId="{40A51010-A244-4476-8A73-E299997DB333}" srcOrd="1" destOrd="0" presId="urn:microsoft.com/office/officeart/2008/layout/NameandTitleOrganizationalChart"/>
    <dgm:cxn modelId="{F6E88F59-2723-4F0C-A55C-17EA4B935A11}" type="presParOf" srcId="{E44E5898-0C24-4F2C-BC2D-03B2C1A4D962}" destId="{4F340C7B-D382-48E8-90EA-3E9F9271D406}" srcOrd="2" destOrd="0" presId="urn:microsoft.com/office/officeart/2008/layout/NameandTitleOrganizationalChart"/>
    <dgm:cxn modelId="{3F65313B-BAC3-4D49-8324-1F76C610933F}" type="presParOf" srcId="{5F5C9CD3-BC60-46DA-AD67-973CD661D1F3}" destId="{532EA6CE-C9FA-4C69-B784-F9B8938CDE66}" srcOrd="1" destOrd="0" presId="urn:microsoft.com/office/officeart/2008/layout/NameandTitleOrganizationalChart"/>
    <dgm:cxn modelId="{A81F7C58-E3B5-4F64-82B4-06254B1FC3BF}" type="presParOf" srcId="{532EA6CE-C9FA-4C69-B784-F9B8938CDE66}" destId="{C9FCDA64-E4D2-49F4-9F86-65418F2A6E46}" srcOrd="0" destOrd="0" presId="urn:microsoft.com/office/officeart/2008/layout/NameandTitleOrganizationalChart"/>
    <dgm:cxn modelId="{8C8284F8-CD21-4189-9F86-17DF0694E572}" type="presParOf" srcId="{532EA6CE-C9FA-4C69-B784-F9B8938CDE66}" destId="{DA23E7E4-2E83-444F-930E-3E2C1DB3AD0B}" srcOrd="1" destOrd="0" presId="urn:microsoft.com/office/officeart/2008/layout/NameandTitleOrganizationalChart"/>
    <dgm:cxn modelId="{C93475F2-ABAE-4223-8AE9-12E24DD5C9DA}" type="presParOf" srcId="{DA23E7E4-2E83-444F-930E-3E2C1DB3AD0B}" destId="{D07EC6FE-0991-4F79-876A-73CDE0350953}" srcOrd="0" destOrd="0" presId="urn:microsoft.com/office/officeart/2008/layout/NameandTitleOrganizationalChart"/>
    <dgm:cxn modelId="{57CB4552-4E9A-4212-A7D1-FBF9EE96E1F6}" type="presParOf" srcId="{D07EC6FE-0991-4F79-876A-73CDE0350953}" destId="{AE163968-C8F5-4CDE-8368-4B26A70FA89D}" srcOrd="0" destOrd="0" presId="urn:microsoft.com/office/officeart/2008/layout/NameandTitleOrganizationalChart"/>
    <dgm:cxn modelId="{47C6038A-7ECA-4CA7-B903-BA3FF8A2C3E4}" type="presParOf" srcId="{D07EC6FE-0991-4F79-876A-73CDE0350953}" destId="{36541323-45F0-46FD-8FD0-F0D6ACB14DAD}" srcOrd="1" destOrd="0" presId="urn:microsoft.com/office/officeart/2008/layout/NameandTitleOrganizationalChart"/>
    <dgm:cxn modelId="{787B93CF-D973-42EB-9143-4E24E2702B8B}" type="presParOf" srcId="{D07EC6FE-0991-4F79-876A-73CDE0350953}" destId="{33D26CE8-D976-4B7F-846D-D19CBF710402}" srcOrd="2" destOrd="0" presId="urn:microsoft.com/office/officeart/2008/layout/NameandTitleOrganizationalChart"/>
    <dgm:cxn modelId="{34CC2085-9700-4562-997F-A711B9EC22F0}" type="presParOf" srcId="{DA23E7E4-2E83-444F-930E-3E2C1DB3AD0B}" destId="{8FBE5359-83BA-44F5-B204-676B45942157}" srcOrd="1" destOrd="0" presId="urn:microsoft.com/office/officeart/2008/layout/NameandTitleOrganizationalChart"/>
    <dgm:cxn modelId="{4918DD16-D60B-4AA7-A1F2-C05581DC81CE}" type="presParOf" srcId="{DA23E7E4-2E83-444F-930E-3E2C1DB3AD0B}" destId="{9D48E6ED-8E33-4E09-B521-4B6B7D71854E}" srcOrd="2" destOrd="0" presId="urn:microsoft.com/office/officeart/2008/layout/NameandTitleOrganizationalChart"/>
    <dgm:cxn modelId="{D8A112BA-FB10-418C-BA9C-B242CA100284}" type="presParOf" srcId="{5F5C9CD3-BC60-46DA-AD67-973CD661D1F3}" destId="{6C9EB9F2-585D-4357-9262-AB5F4BBE28A1}" srcOrd="2" destOrd="0" presId="urn:microsoft.com/office/officeart/2008/layout/NameandTitleOrganizationalChart"/>
    <dgm:cxn modelId="{689A894B-EB0D-4062-991C-5AC87808B90B}" type="presParOf" srcId="{5228EAC1-AC6F-4EA3-AD31-8E8982F53E89}" destId="{1C2C35A0-DA36-4916-81AB-51B535A188D6}" srcOrd="2" destOrd="0" presId="urn:microsoft.com/office/officeart/2008/layout/NameandTitleOrganizationalChart"/>
    <dgm:cxn modelId="{D5F80C66-A26E-4F48-B575-FAF0D38883E0}" type="presParOf" srcId="{5228EAC1-AC6F-4EA3-AD31-8E8982F53E89}" destId="{5950C762-832D-46E5-9AD2-24AE0F9FF2A6}" srcOrd="3" destOrd="0" presId="urn:microsoft.com/office/officeart/2008/layout/NameandTitleOrganizationalChart"/>
    <dgm:cxn modelId="{87B3527C-8399-4D12-AD70-59BD49DE0D80}" type="presParOf" srcId="{5950C762-832D-46E5-9AD2-24AE0F9FF2A6}" destId="{C939FF1A-DDCA-4C6A-80A0-C8FE2733EC33}" srcOrd="0" destOrd="0" presId="urn:microsoft.com/office/officeart/2008/layout/NameandTitleOrganizationalChart"/>
    <dgm:cxn modelId="{C9FA63CD-BBC8-4307-AE58-2D57B992ADF8}" type="presParOf" srcId="{C939FF1A-DDCA-4C6A-80A0-C8FE2733EC33}" destId="{C7BF0D82-8D65-4535-9821-739EF66AC0DD}" srcOrd="0" destOrd="0" presId="urn:microsoft.com/office/officeart/2008/layout/NameandTitleOrganizationalChart"/>
    <dgm:cxn modelId="{7E0DFC2B-67A8-4609-A33B-9F9E4F0CA097}" type="presParOf" srcId="{C939FF1A-DDCA-4C6A-80A0-C8FE2733EC33}" destId="{3C78A9C6-BB0E-4996-9576-402F0E96566C}" srcOrd="1" destOrd="0" presId="urn:microsoft.com/office/officeart/2008/layout/NameandTitleOrganizationalChart"/>
    <dgm:cxn modelId="{1FA499D7-E7B3-4DA2-9CC9-A04090D0132A}" type="presParOf" srcId="{C939FF1A-DDCA-4C6A-80A0-C8FE2733EC33}" destId="{3D140855-3F24-4F20-AD7A-E1A992E713F1}" srcOrd="2" destOrd="0" presId="urn:microsoft.com/office/officeart/2008/layout/NameandTitleOrganizationalChart"/>
    <dgm:cxn modelId="{B80838BF-AD96-4954-800B-6564FA5433C5}" type="presParOf" srcId="{5950C762-832D-46E5-9AD2-24AE0F9FF2A6}" destId="{EDB0A32B-CE3D-44F7-A956-EA77627E4D02}" srcOrd="1" destOrd="0" presId="urn:microsoft.com/office/officeart/2008/layout/NameandTitleOrganizationalChart"/>
    <dgm:cxn modelId="{86C7FD28-103C-481A-9959-5A93BC3ABB8E}" type="presParOf" srcId="{EDB0A32B-CE3D-44F7-A956-EA77627E4D02}" destId="{64FD4C06-405F-4F77-8666-6546A82F8B82}" srcOrd="0" destOrd="0" presId="urn:microsoft.com/office/officeart/2008/layout/NameandTitleOrganizationalChart"/>
    <dgm:cxn modelId="{50BFC95C-E50F-48A2-9343-F6BAFC910C39}" type="presParOf" srcId="{EDB0A32B-CE3D-44F7-A956-EA77627E4D02}" destId="{1B037245-813D-4119-A256-C9D4B26077A7}" srcOrd="1" destOrd="0" presId="urn:microsoft.com/office/officeart/2008/layout/NameandTitleOrganizationalChart"/>
    <dgm:cxn modelId="{8ABD06C1-1E56-40B4-AC27-21832436BED7}" type="presParOf" srcId="{1B037245-813D-4119-A256-C9D4B26077A7}" destId="{1D9D79F2-3593-4511-B2E1-9408F91FAABE}" srcOrd="0" destOrd="0" presId="urn:microsoft.com/office/officeart/2008/layout/NameandTitleOrganizationalChart"/>
    <dgm:cxn modelId="{902C0FC5-8130-41AC-8607-213224B2D6C8}" type="presParOf" srcId="{1D9D79F2-3593-4511-B2E1-9408F91FAABE}" destId="{DEA35268-0556-4DD4-8D4A-1E9ED04F6314}" srcOrd="0" destOrd="0" presId="urn:microsoft.com/office/officeart/2008/layout/NameandTitleOrganizationalChart"/>
    <dgm:cxn modelId="{AFF2BA84-2145-479E-8C3A-6D2D36B432B7}" type="presParOf" srcId="{1D9D79F2-3593-4511-B2E1-9408F91FAABE}" destId="{0408A24D-BB4D-4C78-B91E-8A32C55D7887}" srcOrd="1" destOrd="0" presId="urn:microsoft.com/office/officeart/2008/layout/NameandTitleOrganizationalChart"/>
    <dgm:cxn modelId="{151D9DB9-7950-47A7-86FB-A5F53E31982D}" type="presParOf" srcId="{1D9D79F2-3593-4511-B2E1-9408F91FAABE}" destId="{80F9199A-2EE1-4FBA-9982-25ABFF45CC9B}" srcOrd="2" destOrd="0" presId="urn:microsoft.com/office/officeart/2008/layout/NameandTitleOrganizationalChart"/>
    <dgm:cxn modelId="{C561256F-2AAB-474B-BC93-86A49524CA4D}" type="presParOf" srcId="{1B037245-813D-4119-A256-C9D4B26077A7}" destId="{10A1693D-9BAB-48A1-A8B0-734E39F76AE4}" srcOrd="1" destOrd="0" presId="urn:microsoft.com/office/officeart/2008/layout/NameandTitleOrganizationalChart"/>
    <dgm:cxn modelId="{02DBB14B-8A6F-49CC-B863-189BCB0FB2D8}" type="presParOf" srcId="{1B037245-813D-4119-A256-C9D4B26077A7}" destId="{638411CF-6FCA-4723-8021-E0DFD4229DA9}" srcOrd="2" destOrd="0" presId="urn:microsoft.com/office/officeart/2008/layout/NameandTitleOrganizationalChart"/>
    <dgm:cxn modelId="{9EEE70B1-AB1E-4F9E-BF0D-567C756B9AC2}" type="presParOf" srcId="{EDB0A32B-CE3D-44F7-A956-EA77627E4D02}" destId="{6955C9C3-02AA-4E9E-9650-5AB6827F1037}" srcOrd="2" destOrd="0" presId="urn:microsoft.com/office/officeart/2008/layout/NameandTitleOrganizationalChart"/>
    <dgm:cxn modelId="{11C0F234-2696-49F1-A1AF-6965BF90AE16}" type="presParOf" srcId="{EDB0A32B-CE3D-44F7-A956-EA77627E4D02}" destId="{5042901A-E105-47D1-ADF6-E8A5F97BC164}" srcOrd="3" destOrd="0" presId="urn:microsoft.com/office/officeart/2008/layout/NameandTitleOrganizationalChart"/>
    <dgm:cxn modelId="{4D254C53-2319-4DB7-A388-16995BF9D1D2}" type="presParOf" srcId="{5042901A-E105-47D1-ADF6-E8A5F97BC164}" destId="{AE52D497-463B-46F1-B8CB-47DE194C16E6}" srcOrd="0" destOrd="0" presId="urn:microsoft.com/office/officeart/2008/layout/NameandTitleOrganizationalChart"/>
    <dgm:cxn modelId="{CC6C24B6-BE92-4913-8CA1-7821EF5B88C5}" type="presParOf" srcId="{AE52D497-463B-46F1-B8CB-47DE194C16E6}" destId="{73438895-88BB-4DE4-819D-DEECC1A76F75}" srcOrd="0" destOrd="0" presId="urn:microsoft.com/office/officeart/2008/layout/NameandTitleOrganizationalChart"/>
    <dgm:cxn modelId="{2C37B238-7715-4F80-93AB-FA801019A7DC}" type="presParOf" srcId="{AE52D497-463B-46F1-B8CB-47DE194C16E6}" destId="{0BDBAF9E-3423-4584-ABC0-48A2C0A2AB96}" srcOrd="1" destOrd="0" presId="urn:microsoft.com/office/officeart/2008/layout/NameandTitleOrganizationalChart"/>
    <dgm:cxn modelId="{FC0B9748-D6D4-4E01-B843-A6FDC00719FF}" type="presParOf" srcId="{AE52D497-463B-46F1-B8CB-47DE194C16E6}" destId="{6C242A2E-6772-40D7-8C82-27B6EB5D3217}" srcOrd="2" destOrd="0" presId="urn:microsoft.com/office/officeart/2008/layout/NameandTitleOrganizationalChart"/>
    <dgm:cxn modelId="{80332C0F-9722-4F72-AFE5-ACA4AE1941C0}" type="presParOf" srcId="{5042901A-E105-47D1-ADF6-E8A5F97BC164}" destId="{A2E7630F-45CE-4121-B5A7-34FEBA214A70}" srcOrd="1" destOrd="0" presId="urn:microsoft.com/office/officeart/2008/layout/NameandTitleOrganizationalChart"/>
    <dgm:cxn modelId="{E872AF50-ED86-4413-AA70-ED6878FA94D1}" type="presParOf" srcId="{5042901A-E105-47D1-ADF6-E8A5F97BC164}" destId="{0C0B9777-5DB9-4B8E-9BF5-BE6D584DB767}" srcOrd="2" destOrd="0" presId="urn:microsoft.com/office/officeart/2008/layout/NameandTitleOrganizationalChart"/>
    <dgm:cxn modelId="{69E8D5D8-EB6C-45FF-BFBA-FBD5EE206A92}" type="presParOf" srcId="{5950C762-832D-46E5-9AD2-24AE0F9FF2A6}" destId="{51521855-0CC8-41B8-B5B5-3699E6D92FE2}" srcOrd="2" destOrd="0" presId="urn:microsoft.com/office/officeart/2008/layout/NameandTitleOrganizationalChart"/>
    <dgm:cxn modelId="{D60346E2-C622-44B9-B870-667C0E96C894}" type="presParOf" srcId="{77A80244-DB68-46CD-8065-7E0038F9AA86}" destId="{FF68E383-611B-4B47-9FD4-7DC333700DB8}" srcOrd="2" destOrd="0" presId="urn:microsoft.com/office/officeart/2008/layout/NameandTitleOrganizationalChart"/>
    <dgm:cxn modelId="{EAFA16EB-0A34-429A-BC1B-B12CC56C544E}" type="presParOf" srcId="{C718AD6A-FDF4-4DFE-B639-235A92E0D1E5}" destId="{BA7B61B4-2AA7-4E19-B8D2-5F6F2C88982B}" srcOrd="8" destOrd="0" presId="urn:microsoft.com/office/officeart/2008/layout/NameandTitleOrganizationalChart"/>
    <dgm:cxn modelId="{5CF98FAA-72E2-4E5D-B8FF-4AA73CAE8CA2}" type="presParOf" srcId="{C718AD6A-FDF4-4DFE-B639-235A92E0D1E5}" destId="{E73D2D7E-ABDC-4E2B-ADE2-2800496AF85C}" srcOrd="9" destOrd="0" presId="urn:microsoft.com/office/officeart/2008/layout/NameandTitleOrganizationalChart"/>
    <dgm:cxn modelId="{EB329A36-4B8F-48C9-8363-D69A6C503AC4}" type="presParOf" srcId="{E73D2D7E-ABDC-4E2B-ADE2-2800496AF85C}" destId="{EF5645CC-0EFF-4E21-B6C4-F2E3BDCF16A5}" srcOrd="0" destOrd="0" presId="urn:microsoft.com/office/officeart/2008/layout/NameandTitleOrganizationalChart"/>
    <dgm:cxn modelId="{80B57E24-ADB2-48B0-86D0-A374A1F1FE1E}" type="presParOf" srcId="{EF5645CC-0EFF-4E21-B6C4-F2E3BDCF16A5}" destId="{B32EA8D3-0905-45C8-87FB-5245D4D65938}" srcOrd="0" destOrd="0" presId="urn:microsoft.com/office/officeart/2008/layout/NameandTitleOrganizationalChart"/>
    <dgm:cxn modelId="{54882A1E-33E3-46F7-8551-EEDBC4985184}" type="presParOf" srcId="{EF5645CC-0EFF-4E21-B6C4-F2E3BDCF16A5}" destId="{1F0AC1AC-1501-4F43-9873-A63D35F3A6EB}" srcOrd="1" destOrd="0" presId="urn:microsoft.com/office/officeart/2008/layout/NameandTitleOrganizationalChart"/>
    <dgm:cxn modelId="{31EDEAEB-5400-4858-8963-700700926EF3}" type="presParOf" srcId="{EF5645CC-0EFF-4E21-B6C4-F2E3BDCF16A5}" destId="{8E6C1C07-EB33-4DB1-9DE0-D33C0105E3BE}" srcOrd="2" destOrd="0" presId="urn:microsoft.com/office/officeart/2008/layout/NameandTitleOrganizationalChart"/>
    <dgm:cxn modelId="{F1053D0C-A903-4103-BDBE-33A9BA809AEA}" type="presParOf" srcId="{E73D2D7E-ABDC-4E2B-ADE2-2800496AF85C}" destId="{99EE5E5E-7E52-41F0-BE3B-90B46919CE52}" srcOrd="1" destOrd="0" presId="urn:microsoft.com/office/officeart/2008/layout/NameandTitleOrganizationalChart"/>
    <dgm:cxn modelId="{DE0E1419-913B-4364-A0AE-0256266C1F18}" type="presParOf" srcId="{99EE5E5E-7E52-41F0-BE3B-90B46919CE52}" destId="{5F8B05EB-A732-4B65-8DB0-4496F54D3917}" srcOrd="0" destOrd="0" presId="urn:microsoft.com/office/officeart/2008/layout/NameandTitleOrganizationalChart"/>
    <dgm:cxn modelId="{3AE6A407-DA38-4AAF-BC2D-0E2E387E3208}" type="presParOf" srcId="{99EE5E5E-7E52-41F0-BE3B-90B46919CE52}" destId="{E8F583E1-C5EB-44A9-B18B-F29DCF58E9FE}" srcOrd="1" destOrd="0" presId="urn:microsoft.com/office/officeart/2008/layout/NameandTitleOrganizationalChart"/>
    <dgm:cxn modelId="{E7861F60-BCDB-48F6-A0EA-F4AE4B372309}" type="presParOf" srcId="{E8F583E1-C5EB-44A9-B18B-F29DCF58E9FE}" destId="{A3193406-6102-4B5D-84D4-2FD8475E3B1A}" srcOrd="0" destOrd="0" presId="urn:microsoft.com/office/officeart/2008/layout/NameandTitleOrganizationalChart"/>
    <dgm:cxn modelId="{4FB30BA8-7426-47FF-9545-AA64D3DECC66}" type="presParOf" srcId="{A3193406-6102-4B5D-84D4-2FD8475E3B1A}" destId="{FCEBCD66-20A7-49BB-9CA1-3CAA56596B93}" srcOrd="0" destOrd="0" presId="urn:microsoft.com/office/officeart/2008/layout/NameandTitleOrganizationalChart"/>
    <dgm:cxn modelId="{CEABD83B-B731-45EC-A6E2-D24064047CE2}" type="presParOf" srcId="{A3193406-6102-4B5D-84D4-2FD8475E3B1A}" destId="{D92C7AD9-5FEB-47A5-8B7F-17A4D7720804}" srcOrd="1" destOrd="0" presId="urn:microsoft.com/office/officeart/2008/layout/NameandTitleOrganizationalChart"/>
    <dgm:cxn modelId="{8117C0CD-7DD6-4C1F-9726-4B7B96FC4AF9}" type="presParOf" srcId="{A3193406-6102-4B5D-84D4-2FD8475E3B1A}" destId="{ED56348A-0C8E-42C2-9F7A-DDD8251273B0}" srcOrd="2" destOrd="0" presId="urn:microsoft.com/office/officeart/2008/layout/NameandTitleOrganizationalChart"/>
    <dgm:cxn modelId="{801AAF52-4E3C-4AF4-BB45-3DBAD4EC9B51}" type="presParOf" srcId="{E8F583E1-C5EB-44A9-B18B-F29DCF58E9FE}" destId="{C022E354-243D-4DBF-A6DC-DB36829276A8}" srcOrd="1" destOrd="0" presId="urn:microsoft.com/office/officeart/2008/layout/NameandTitleOrganizationalChart"/>
    <dgm:cxn modelId="{D9C7338F-CFB7-411D-BDA3-8B7F6F0D3C79}" type="presParOf" srcId="{C022E354-243D-4DBF-A6DC-DB36829276A8}" destId="{05F24F6B-42CA-49F9-AA28-237D8F7A928A}" srcOrd="0" destOrd="0" presId="urn:microsoft.com/office/officeart/2008/layout/NameandTitleOrganizationalChart"/>
    <dgm:cxn modelId="{85AAF8A2-F8FD-420C-8943-C0006D8178E2}" type="presParOf" srcId="{C022E354-243D-4DBF-A6DC-DB36829276A8}" destId="{F3A6646A-A88D-4740-B9FF-A472F7A6A7F8}" srcOrd="1" destOrd="0" presId="urn:microsoft.com/office/officeart/2008/layout/NameandTitleOrganizationalChart"/>
    <dgm:cxn modelId="{A7CEDB2A-280E-4932-BD0E-0BE77223A1B4}" type="presParOf" srcId="{F3A6646A-A88D-4740-B9FF-A472F7A6A7F8}" destId="{BD27A40B-49F4-4B1B-8EF5-57C1DB0586A4}" srcOrd="0" destOrd="0" presId="urn:microsoft.com/office/officeart/2008/layout/NameandTitleOrganizationalChart"/>
    <dgm:cxn modelId="{A67973B2-0FA9-477F-81F0-703EC3796E9E}" type="presParOf" srcId="{BD27A40B-49F4-4B1B-8EF5-57C1DB0586A4}" destId="{C8A8D71C-52D7-4B6F-96AD-9A23F9C58C85}" srcOrd="0" destOrd="0" presId="urn:microsoft.com/office/officeart/2008/layout/NameandTitleOrganizationalChart"/>
    <dgm:cxn modelId="{C54E66DF-B8D5-447C-B880-ACCC419BEB9D}" type="presParOf" srcId="{BD27A40B-49F4-4B1B-8EF5-57C1DB0586A4}" destId="{E2B66EEF-8637-4C9A-8508-285BC565F678}" srcOrd="1" destOrd="0" presId="urn:microsoft.com/office/officeart/2008/layout/NameandTitleOrganizationalChart"/>
    <dgm:cxn modelId="{17395898-36D1-4B52-B705-25184B1502B3}" type="presParOf" srcId="{BD27A40B-49F4-4B1B-8EF5-57C1DB0586A4}" destId="{11D5B773-E208-4764-A76D-F06002D0B287}" srcOrd="2" destOrd="0" presId="urn:microsoft.com/office/officeart/2008/layout/NameandTitleOrganizationalChart"/>
    <dgm:cxn modelId="{96706CDD-4F29-4783-9C1A-7BE92705B21F}" type="presParOf" srcId="{F3A6646A-A88D-4740-B9FF-A472F7A6A7F8}" destId="{BEC2AC46-99F9-4D75-907B-1D1784828BFF}" srcOrd="1" destOrd="0" presId="urn:microsoft.com/office/officeart/2008/layout/NameandTitleOrganizationalChart"/>
    <dgm:cxn modelId="{961E20D8-4E74-4B00-8426-50F07C173435}" type="presParOf" srcId="{F3A6646A-A88D-4740-B9FF-A472F7A6A7F8}" destId="{E312568D-389E-45D7-89FD-F840059F51CD}" srcOrd="2" destOrd="0" presId="urn:microsoft.com/office/officeart/2008/layout/NameandTitleOrganizationalChart"/>
    <dgm:cxn modelId="{7F0FB4FB-0EA6-47D6-8824-E123CC72CEF8}" type="presParOf" srcId="{E8F583E1-C5EB-44A9-B18B-F29DCF58E9FE}" destId="{EBF8766F-F1A3-4634-AFA7-207F09FBB88F}" srcOrd="2" destOrd="0" presId="urn:microsoft.com/office/officeart/2008/layout/NameandTitleOrganizationalChart"/>
    <dgm:cxn modelId="{A54FFFC0-13FD-48D4-97C6-D0B355FF84B3}" type="presParOf" srcId="{E73D2D7E-ABDC-4E2B-ADE2-2800496AF85C}" destId="{6830AD9D-E3AC-4F72-A4EA-5DFD8E67F26B}" srcOrd="2" destOrd="0" presId="urn:microsoft.com/office/officeart/2008/layout/NameandTitleOrganizationalChart"/>
    <dgm:cxn modelId="{3171C50C-78EB-4185-B12B-90D37C60168A}" type="presParOf" srcId="{906B4734-EFAA-463B-A796-C9A7BB211290}" destId="{A2F66C9E-DA13-42AE-BAFB-B7BD464EB344}" srcOrd="2" destOrd="0" presId="urn:microsoft.com/office/officeart/2008/layout/NameandTitleOrganizational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6267998A-6B38-4DE3-834F-CD4064CB486F}"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ru-RU"/>
        </a:p>
      </dgm:t>
    </dgm:pt>
    <dgm:pt modelId="{BBC50332-3E7B-4CED-8FC0-CAC8FA130A89}">
      <dgm:prSet phldrT="[Текст]"/>
      <dgm:spPr/>
      <dgm:t>
        <a:bodyPr/>
        <a:lstStyle/>
        <a:p>
          <a:r>
            <a:rPr lang="en-US"/>
            <a:t>Purple Dragons</a:t>
          </a:r>
          <a:endParaRPr lang="ru-RU"/>
        </a:p>
      </dgm:t>
    </dgm:pt>
    <dgm:pt modelId="{59CE5D5D-3FA9-4CBA-98DE-39CC81283388}" type="parTrans" cxnId="{E66A023B-7368-421F-AC99-16D1C4CF53FF}">
      <dgm:prSet/>
      <dgm:spPr/>
      <dgm:t>
        <a:bodyPr/>
        <a:lstStyle/>
        <a:p>
          <a:endParaRPr lang="ru-RU"/>
        </a:p>
      </dgm:t>
    </dgm:pt>
    <dgm:pt modelId="{8BAEE4D0-2F69-48C9-B3D2-12DCF5868D65}" type="sibTrans" cxnId="{E66A023B-7368-421F-AC99-16D1C4CF53FF}">
      <dgm:prSet/>
      <dgm:spPr/>
      <dgm:t>
        <a:bodyPr/>
        <a:lstStyle/>
        <a:p>
          <a:endParaRPr lang="ru-RU"/>
        </a:p>
      </dgm:t>
    </dgm:pt>
    <dgm:pt modelId="{A14CFB0F-10EA-452E-B74D-D84F89351C56}" type="asst">
      <dgm:prSet phldrT="[Текст]"/>
      <dgm:spPr/>
      <dgm:t>
        <a:bodyPr/>
        <a:lstStyle/>
        <a:p>
          <a:endParaRPr lang="ru-RU"/>
        </a:p>
      </dgm:t>
    </dgm:pt>
    <dgm:pt modelId="{EFD46750-BDE7-435A-858E-5EF5E6BF4E6F}" type="parTrans" cxnId="{228AE050-25A0-4806-9AED-EB8957A5DAC5}">
      <dgm:prSet/>
      <dgm:spPr/>
      <dgm:t>
        <a:bodyPr/>
        <a:lstStyle/>
        <a:p>
          <a:endParaRPr lang="ru-RU"/>
        </a:p>
      </dgm:t>
    </dgm:pt>
    <dgm:pt modelId="{CC76F6DA-B1A6-4DD0-8520-A28793E0C4D0}" type="sibTrans" cxnId="{228AE050-25A0-4806-9AED-EB8957A5DAC5}">
      <dgm:prSet/>
      <dgm:spPr/>
      <dgm:t>
        <a:bodyPr/>
        <a:lstStyle/>
        <a:p>
          <a:endParaRPr lang="ru-RU"/>
        </a:p>
      </dgm:t>
    </dgm:pt>
    <dgm:pt modelId="{BA60993D-FAF1-4069-81C0-DF78EE4D5974}">
      <dgm:prSet phldrT="[Текст]"/>
      <dgm:spPr/>
      <dgm:t>
        <a:bodyPr/>
        <a:lstStyle/>
        <a:p>
          <a:r>
            <a:rPr lang="en-US"/>
            <a:t>Western</a:t>
          </a:r>
          <a:endParaRPr lang="ru-RU"/>
        </a:p>
      </dgm:t>
    </dgm:pt>
    <dgm:pt modelId="{C78E911E-CF24-44D0-BB80-187587FF5F62}" type="parTrans" cxnId="{F67D2914-053E-42F1-A435-06596FA7AC87}">
      <dgm:prSet/>
      <dgm:spPr/>
      <dgm:t>
        <a:bodyPr/>
        <a:lstStyle/>
        <a:p>
          <a:endParaRPr lang="ru-RU"/>
        </a:p>
      </dgm:t>
    </dgm:pt>
    <dgm:pt modelId="{8EA69BFD-A273-48CB-A849-7194243F94CC}" type="sibTrans" cxnId="{F67D2914-053E-42F1-A435-06596FA7AC87}">
      <dgm:prSet/>
      <dgm:spPr/>
      <dgm:t>
        <a:bodyPr/>
        <a:lstStyle/>
        <a:p>
          <a:endParaRPr lang="ru-RU"/>
        </a:p>
      </dgm:t>
    </dgm:pt>
    <dgm:pt modelId="{C3CFA84E-BDB7-428A-8600-2D745E48BD95}">
      <dgm:prSet phldrT="[Текст]"/>
      <dgm:spPr/>
      <dgm:t>
        <a:bodyPr/>
        <a:lstStyle/>
        <a:p>
          <a:r>
            <a:rPr lang="en-US"/>
            <a:t>Eastern</a:t>
          </a:r>
          <a:endParaRPr lang="ru-RU"/>
        </a:p>
      </dgm:t>
    </dgm:pt>
    <dgm:pt modelId="{C5742CBF-C5FF-4C43-BFAA-5EA9D630B8DD}" type="parTrans" cxnId="{522A6AC7-540B-4F7D-8747-151336C36731}">
      <dgm:prSet/>
      <dgm:spPr/>
      <dgm:t>
        <a:bodyPr/>
        <a:lstStyle/>
        <a:p>
          <a:endParaRPr lang="ru-RU"/>
        </a:p>
      </dgm:t>
    </dgm:pt>
    <dgm:pt modelId="{67254E95-6E10-4553-A7A4-A8DBB1006922}" type="sibTrans" cxnId="{522A6AC7-540B-4F7D-8747-151336C36731}">
      <dgm:prSet/>
      <dgm:spPr/>
      <dgm:t>
        <a:bodyPr/>
        <a:lstStyle/>
        <a:p>
          <a:endParaRPr lang="ru-RU"/>
        </a:p>
      </dgm:t>
    </dgm:pt>
    <dgm:pt modelId="{2819D03B-1C96-45FD-BAC9-210EDE582BBE}">
      <dgm:prSet phldrT="[Текст]"/>
      <dgm:spPr/>
      <dgm:t>
        <a:bodyPr/>
        <a:lstStyle/>
        <a:p>
          <a:r>
            <a:rPr lang="en-US"/>
            <a:t>Heartlands</a:t>
          </a:r>
          <a:endParaRPr lang="ru-RU"/>
        </a:p>
      </dgm:t>
    </dgm:pt>
    <dgm:pt modelId="{45F039BD-73E6-42F7-9B41-A22FA0526D49}" type="parTrans" cxnId="{8FBE44A7-B76B-4E0C-A148-2DCDB0947F57}">
      <dgm:prSet/>
      <dgm:spPr/>
      <dgm:t>
        <a:bodyPr/>
        <a:lstStyle/>
        <a:p>
          <a:endParaRPr lang="ru-RU"/>
        </a:p>
      </dgm:t>
    </dgm:pt>
    <dgm:pt modelId="{4653215B-47A2-4C0E-90A5-2235E0BF2CA1}" type="sibTrans" cxnId="{8FBE44A7-B76B-4E0C-A148-2DCDB0947F57}">
      <dgm:prSet/>
      <dgm:spPr/>
      <dgm:t>
        <a:bodyPr/>
        <a:lstStyle/>
        <a:p>
          <a:endParaRPr lang="ru-RU"/>
        </a:p>
      </dgm:t>
    </dgm:pt>
    <dgm:pt modelId="{2783413D-E851-4416-BED1-D9AA0DE163ED}">
      <dgm:prSet phldrT="[Текст]"/>
      <dgm:spPr/>
      <dgm:t>
        <a:bodyPr/>
        <a:lstStyle/>
        <a:p>
          <a:r>
            <a:rPr lang="en-US"/>
            <a:t>Expedition Forces</a:t>
          </a:r>
          <a:endParaRPr lang="ru-RU"/>
        </a:p>
      </dgm:t>
    </dgm:pt>
    <dgm:pt modelId="{C7407858-2542-4E9B-8208-8D8562358EC1}" type="parTrans" cxnId="{8CF91B00-F4AE-478B-A582-CDC2714EB400}">
      <dgm:prSet/>
      <dgm:spPr/>
    </dgm:pt>
    <dgm:pt modelId="{E0D45957-02BB-4129-B74D-C9EE9746ED15}" type="sibTrans" cxnId="{8CF91B00-F4AE-478B-A582-CDC2714EB400}">
      <dgm:prSet/>
      <dgm:spPr/>
      <dgm:t>
        <a:bodyPr/>
        <a:lstStyle/>
        <a:p>
          <a:endParaRPr lang="ru-RU"/>
        </a:p>
      </dgm:t>
    </dgm:pt>
    <dgm:pt modelId="{651C21AE-2B7B-4F0E-BF03-4AE894DDC266}">
      <dgm:prSet phldrT="[Текст]"/>
      <dgm:spPr/>
      <dgm:t>
        <a:bodyPr/>
        <a:lstStyle/>
        <a:p>
          <a:r>
            <a:rPr lang="en-US"/>
            <a:t>Eastern</a:t>
          </a:r>
          <a:endParaRPr lang="ru-RU"/>
        </a:p>
      </dgm:t>
    </dgm:pt>
    <dgm:pt modelId="{9FDC9217-C084-4B4B-907D-FC630705DC85}" type="parTrans" cxnId="{613A0365-C4DF-4E55-9480-E81EA5C9C35A}">
      <dgm:prSet/>
      <dgm:spPr/>
    </dgm:pt>
    <dgm:pt modelId="{5D4A3EB0-C4D0-4001-B15B-0044B6401BF5}" type="sibTrans" cxnId="{613A0365-C4DF-4E55-9480-E81EA5C9C35A}">
      <dgm:prSet/>
      <dgm:spPr/>
      <dgm:t>
        <a:bodyPr/>
        <a:lstStyle/>
        <a:p>
          <a:endParaRPr lang="ru-RU"/>
        </a:p>
      </dgm:t>
    </dgm:pt>
    <dgm:pt modelId="{6DC89ECF-4F40-4CE4-B98E-D69AE12930B4}">
      <dgm:prSet phldrT="[Текст]"/>
      <dgm:spPr/>
      <dgm:t>
        <a:bodyPr/>
        <a:lstStyle/>
        <a:p>
          <a:r>
            <a:rPr lang="en-US"/>
            <a:t>Western</a:t>
          </a:r>
          <a:endParaRPr lang="ru-RU"/>
        </a:p>
      </dgm:t>
    </dgm:pt>
    <dgm:pt modelId="{699E020C-B66B-42E0-91F9-3F0315561DBA}" type="parTrans" cxnId="{19870B19-1B0B-480B-9C52-C6ECF4DBE7B9}">
      <dgm:prSet/>
      <dgm:spPr/>
    </dgm:pt>
    <dgm:pt modelId="{704E1ABA-28E1-4B0F-81C8-32335B564CA1}" type="sibTrans" cxnId="{19870B19-1B0B-480B-9C52-C6ECF4DBE7B9}">
      <dgm:prSet/>
      <dgm:spPr/>
      <dgm:t>
        <a:bodyPr/>
        <a:lstStyle/>
        <a:p>
          <a:endParaRPr lang="ru-RU"/>
        </a:p>
      </dgm:t>
    </dgm:pt>
    <dgm:pt modelId="{2502BB2F-8801-4A06-B3B9-20336CB6719B}">
      <dgm:prSet phldrT="[Текст]"/>
      <dgm:spPr/>
      <dgm:t>
        <a:bodyPr/>
        <a:lstStyle/>
        <a:p>
          <a:r>
            <a:rPr lang="en-US"/>
            <a:t>Arabel</a:t>
          </a:r>
          <a:endParaRPr lang="ru-RU"/>
        </a:p>
      </dgm:t>
    </dgm:pt>
    <dgm:pt modelId="{FE4C6757-28C5-4185-BE45-582ACA1A44DB}" type="parTrans" cxnId="{38936CDF-C9C6-4C52-A76D-3B62851F1E75}">
      <dgm:prSet/>
      <dgm:spPr/>
    </dgm:pt>
    <dgm:pt modelId="{6F4F2083-9D95-4741-BCC3-CEC0AEDC57E6}" type="sibTrans" cxnId="{38936CDF-C9C6-4C52-A76D-3B62851F1E75}">
      <dgm:prSet/>
      <dgm:spPr/>
      <dgm:t>
        <a:bodyPr/>
        <a:lstStyle/>
        <a:p>
          <a:endParaRPr lang="ru-RU"/>
        </a:p>
      </dgm:t>
    </dgm:pt>
    <dgm:pt modelId="{6183B913-3710-4B02-855A-29EBCA8C7789}">
      <dgm:prSet phldrT="[Текст]"/>
      <dgm:spPr/>
      <dgm:t>
        <a:bodyPr/>
        <a:lstStyle/>
        <a:p>
          <a:r>
            <a:rPr lang="en-US"/>
            <a:t>High Horn</a:t>
          </a:r>
          <a:endParaRPr lang="ru-RU"/>
        </a:p>
      </dgm:t>
    </dgm:pt>
    <dgm:pt modelId="{1A03AD42-2602-4A09-A9FA-77D5F730C264}" type="parTrans" cxnId="{C7C4785B-1675-4CBB-AED6-DF3119EA6E1E}">
      <dgm:prSet/>
      <dgm:spPr/>
    </dgm:pt>
    <dgm:pt modelId="{E337B767-CCFC-4BCF-898C-3CCE1029231A}" type="sibTrans" cxnId="{C7C4785B-1675-4CBB-AED6-DF3119EA6E1E}">
      <dgm:prSet/>
      <dgm:spPr/>
      <dgm:t>
        <a:bodyPr/>
        <a:lstStyle/>
        <a:p>
          <a:endParaRPr lang="ru-RU"/>
        </a:p>
      </dgm:t>
    </dgm:pt>
    <dgm:pt modelId="{283C519C-F54C-45D7-9890-F01128D78F50}">
      <dgm:prSet phldrT="[Текст]"/>
      <dgm:spPr/>
      <dgm:t>
        <a:bodyPr/>
        <a:lstStyle/>
        <a:p>
          <a:r>
            <a:rPr lang="en-US"/>
            <a:t>Suzail</a:t>
          </a:r>
          <a:endParaRPr lang="ru-RU"/>
        </a:p>
      </dgm:t>
    </dgm:pt>
    <dgm:pt modelId="{F60810DA-8ADB-4A7F-B499-79E67F2E9532}" type="parTrans" cxnId="{898E087E-E681-42EC-B948-95FC4C74EEBA}">
      <dgm:prSet/>
      <dgm:spPr/>
    </dgm:pt>
    <dgm:pt modelId="{23FCFE0C-351D-4A35-B058-8342691C9D82}" type="sibTrans" cxnId="{898E087E-E681-42EC-B948-95FC4C74EEBA}">
      <dgm:prSet/>
      <dgm:spPr/>
      <dgm:t>
        <a:bodyPr/>
        <a:lstStyle/>
        <a:p>
          <a:endParaRPr lang="ru-RU"/>
        </a:p>
      </dgm:t>
    </dgm:pt>
    <dgm:pt modelId="{13D2BF39-69A6-4159-B389-DC3DAF8A3FA3}">
      <dgm:prSet phldrT="[Текст]"/>
      <dgm:spPr/>
      <dgm:t>
        <a:bodyPr/>
        <a:lstStyle/>
        <a:p>
          <a:r>
            <a:rPr lang="en-US"/>
            <a:t>Marsember</a:t>
          </a:r>
          <a:endParaRPr lang="ru-RU"/>
        </a:p>
      </dgm:t>
    </dgm:pt>
    <dgm:pt modelId="{CE9E05EE-04C8-4620-8606-37312AAF1064}" type="parTrans" cxnId="{FB29E50C-7CC7-4791-9212-6C0C91612AA8}">
      <dgm:prSet/>
      <dgm:spPr/>
    </dgm:pt>
    <dgm:pt modelId="{B120328D-496C-4EB4-A854-328E9DB550C1}" type="sibTrans" cxnId="{FB29E50C-7CC7-4791-9212-6C0C91612AA8}">
      <dgm:prSet/>
      <dgm:spPr/>
      <dgm:t>
        <a:bodyPr/>
        <a:lstStyle/>
        <a:p>
          <a:endParaRPr lang="ru-RU"/>
        </a:p>
      </dgm:t>
    </dgm:pt>
    <dgm:pt modelId="{18207A75-FF2F-430C-8C33-29B4A9BAA219}">
      <dgm:prSet phldrT="[Текст]"/>
      <dgm:spPr/>
      <dgm:t>
        <a:bodyPr/>
        <a:lstStyle/>
        <a:p>
          <a:r>
            <a:rPr lang="en-US"/>
            <a:t>Wheelon</a:t>
          </a:r>
          <a:endParaRPr lang="ru-RU"/>
        </a:p>
      </dgm:t>
    </dgm:pt>
    <dgm:pt modelId="{CBB65A2E-E86A-45D5-A743-A2A85BBE99E2}" type="parTrans" cxnId="{05AE6C8C-D8F4-40DD-8A5C-A8B0E5573E37}">
      <dgm:prSet/>
      <dgm:spPr/>
    </dgm:pt>
    <dgm:pt modelId="{0F0DF679-76AE-4141-9F49-029CA5960430}" type="sibTrans" cxnId="{05AE6C8C-D8F4-40DD-8A5C-A8B0E5573E37}">
      <dgm:prSet/>
      <dgm:spPr/>
      <dgm:t>
        <a:bodyPr/>
        <a:lstStyle/>
        <a:p>
          <a:endParaRPr lang="ru-RU"/>
        </a:p>
      </dgm:t>
    </dgm:pt>
    <dgm:pt modelId="{9F280876-775F-4A56-9998-0C86EF3F4521}" type="pres">
      <dgm:prSet presAssocID="{6267998A-6B38-4DE3-834F-CD4064CB486F}" presName="hierChild1" presStyleCnt="0">
        <dgm:presLayoutVars>
          <dgm:orgChart val="1"/>
          <dgm:chPref val="1"/>
          <dgm:dir/>
          <dgm:animOne val="branch"/>
          <dgm:animLvl val="lvl"/>
          <dgm:resizeHandles/>
        </dgm:presLayoutVars>
      </dgm:prSet>
      <dgm:spPr/>
    </dgm:pt>
    <dgm:pt modelId="{36477F77-B483-4494-9714-E89E5D5D6693}" type="pres">
      <dgm:prSet presAssocID="{BBC50332-3E7B-4CED-8FC0-CAC8FA130A89}" presName="hierRoot1" presStyleCnt="0">
        <dgm:presLayoutVars>
          <dgm:hierBranch val="init"/>
        </dgm:presLayoutVars>
      </dgm:prSet>
      <dgm:spPr/>
    </dgm:pt>
    <dgm:pt modelId="{5F3605ED-6CEC-4F7A-B43B-439DCCD7425D}" type="pres">
      <dgm:prSet presAssocID="{BBC50332-3E7B-4CED-8FC0-CAC8FA130A89}" presName="rootComposite1" presStyleCnt="0"/>
      <dgm:spPr/>
    </dgm:pt>
    <dgm:pt modelId="{E6EBACDA-3339-49A6-BDDF-3A7DE9659758}" type="pres">
      <dgm:prSet presAssocID="{BBC50332-3E7B-4CED-8FC0-CAC8FA130A89}" presName="rootText1" presStyleLbl="node0" presStyleIdx="0" presStyleCnt="1">
        <dgm:presLayoutVars>
          <dgm:chMax/>
          <dgm:chPref val="3"/>
        </dgm:presLayoutVars>
      </dgm:prSet>
      <dgm:spPr/>
    </dgm:pt>
    <dgm:pt modelId="{1C5A6647-4B9B-4196-AA80-BCF78277C940}" type="pres">
      <dgm:prSet presAssocID="{BBC50332-3E7B-4CED-8FC0-CAC8FA130A89}" presName="titleText1" presStyleLbl="fgAcc0" presStyleIdx="0" presStyleCnt="1">
        <dgm:presLayoutVars>
          <dgm:chMax val="0"/>
          <dgm:chPref val="0"/>
        </dgm:presLayoutVars>
      </dgm:prSet>
      <dgm:spPr/>
    </dgm:pt>
    <dgm:pt modelId="{99B40FAF-966A-4991-B218-D61F540EADD6}" type="pres">
      <dgm:prSet presAssocID="{BBC50332-3E7B-4CED-8FC0-CAC8FA130A89}" presName="rootConnector1" presStyleLbl="node1" presStyleIdx="0" presStyleCnt="11"/>
      <dgm:spPr/>
    </dgm:pt>
    <dgm:pt modelId="{871A2DE7-4374-4974-A110-B095AC8CA540}" type="pres">
      <dgm:prSet presAssocID="{BBC50332-3E7B-4CED-8FC0-CAC8FA130A89}" presName="hierChild2" presStyleCnt="0"/>
      <dgm:spPr/>
    </dgm:pt>
    <dgm:pt modelId="{EF2197B4-1D57-4FB9-8F5C-AAA98BF278EA}" type="pres">
      <dgm:prSet presAssocID="{C78E911E-CF24-44D0-BB80-187587FF5F62}" presName="Name37" presStyleLbl="parChTrans1D2" presStyleIdx="0" presStyleCnt="5"/>
      <dgm:spPr/>
    </dgm:pt>
    <dgm:pt modelId="{5C210E9C-C274-446E-AD0E-F6DCE729CA19}" type="pres">
      <dgm:prSet presAssocID="{BA60993D-FAF1-4069-81C0-DF78EE4D5974}" presName="hierRoot2" presStyleCnt="0">
        <dgm:presLayoutVars>
          <dgm:hierBranch val="init"/>
        </dgm:presLayoutVars>
      </dgm:prSet>
      <dgm:spPr/>
    </dgm:pt>
    <dgm:pt modelId="{3DBBF06C-C44C-490F-A04D-8635B3463437}" type="pres">
      <dgm:prSet presAssocID="{BA60993D-FAF1-4069-81C0-DF78EE4D5974}" presName="rootComposite" presStyleCnt="0"/>
      <dgm:spPr/>
    </dgm:pt>
    <dgm:pt modelId="{35C4DCFD-8F81-46C5-8C3C-46D33A805997}" type="pres">
      <dgm:prSet presAssocID="{BA60993D-FAF1-4069-81C0-DF78EE4D5974}" presName="rootText" presStyleLbl="node1" presStyleIdx="0" presStyleCnt="11">
        <dgm:presLayoutVars>
          <dgm:chMax/>
          <dgm:chPref val="3"/>
        </dgm:presLayoutVars>
      </dgm:prSet>
      <dgm:spPr/>
    </dgm:pt>
    <dgm:pt modelId="{BB571B20-33F8-4B42-82E8-178EE47A598D}" type="pres">
      <dgm:prSet presAssocID="{BA60993D-FAF1-4069-81C0-DF78EE4D5974}" presName="titleText2" presStyleLbl="fgAcc1" presStyleIdx="0" presStyleCnt="11">
        <dgm:presLayoutVars>
          <dgm:chMax val="0"/>
          <dgm:chPref val="0"/>
        </dgm:presLayoutVars>
      </dgm:prSet>
      <dgm:spPr/>
    </dgm:pt>
    <dgm:pt modelId="{CDC383C7-9201-444B-8F40-CC70F3CB1446}" type="pres">
      <dgm:prSet presAssocID="{BA60993D-FAF1-4069-81C0-DF78EE4D5974}" presName="rootConnector" presStyleLbl="node2" presStyleIdx="0" presStyleCnt="0"/>
      <dgm:spPr/>
    </dgm:pt>
    <dgm:pt modelId="{EBB9BEDD-9746-473B-9B2C-24726AFDF520}" type="pres">
      <dgm:prSet presAssocID="{BA60993D-FAF1-4069-81C0-DF78EE4D5974}" presName="hierChild4" presStyleCnt="0"/>
      <dgm:spPr/>
    </dgm:pt>
    <dgm:pt modelId="{23335728-AC62-46CF-BA6C-D4A87CEFA966}" type="pres">
      <dgm:prSet presAssocID="{1A03AD42-2602-4A09-A9FA-77D5F730C264}" presName="Name37" presStyleLbl="parChTrans1D3" presStyleIdx="0" presStyleCnt="7"/>
      <dgm:spPr/>
    </dgm:pt>
    <dgm:pt modelId="{4790917A-4C69-4C98-9523-B6F946BE15F5}" type="pres">
      <dgm:prSet presAssocID="{6183B913-3710-4B02-855A-29EBCA8C7789}" presName="hierRoot2" presStyleCnt="0">
        <dgm:presLayoutVars>
          <dgm:hierBranch val="init"/>
        </dgm:presLayoutVars>
      </dgm:prSet>
      <dgm:spPr/>
    </dgm:pt>
    <dgm:pt modelId="{FEC92FFA-F426-4F60-97B4-8AA913DA4FFD}" type="pres">
      <dgm:prSet presAssocID="{6183B913-3710-4B02-855A-29EBCA8C7789}" presName="rootComposite" presStyleCnt="0"/>
      <dgm:spPr/>
    </dgm:pt>
    <dgm:pt modelId="{F8DA8E43-99D5-4F2E-847B-6C4DC2C066DB}" type="pres">
      <dgm:prSet presAssocID="{6183B913-3710-4B02-855A-29EBCA8C7789}" presName="rootText" presStyleLbl="node1" presStyleIdx="1" presStyleCnt="11">
        <dgm:presLayoutVars>
          <dgm:chMax/>
          <dgm:chPref val="3"/>
        </dgm:presLayoutVars>
      </dgm:prSet>
      <dgm:spPr/>
    </dgm:pt>
    <dgm:pt modelId="{0FE7C020-3551-4C23-820A-8DE9F7828467}" type="pres">
      <dgm:prSet presAssocID="{6183B913-3710-4B02-855A-29EBCA8C7789}" presName="titleText2" presStyleLbl="fgAcc1" presStyleIdx="1" presStyleCnt="11">
        <dgm:presLayoutVars>
          <dgm:chMax val="0"/>
          <dgm:chPref val="0"/>
        </dgm:presLayoutVars>
      </dgm:prSet>
      <dgm:spPr/>
    </dgm:pt>
    <dgm:pt modelId="{0155EEE6-0912-442E-950F-50B06D19E904}" type="pres">
      <dgm:prSet presAssocID="{6183B913-3710-4B02-855A-29EBCA8C7789}" presName="rootConnector" presStyleLbl="node3" presStyleIdx="0" presStyleCnt="0"/>
      <dgm:spPr/>
    </dgm:pt>
    <dgm:pt modelId="{E821E3A1-B4AC-4BE1-ACF9-C561D29F5174}" type="pres">
      <dgm:prSet presAssocID="{6183B913-3710-4B02-855A-29EBCA8C7789}" presName="hierChild4" presStyleCnt="0"/>
      <dgm:spPr/>
    </dgm:pt>
    <dgm:pt modelId="{26B59817-CDE2-4C25-8F8A-6F0261F3F4E7}" type="pres">
      <dgm:prSet presAssocID="{6183B913-3710-4B02-855A-29EBCA8C7789}" presName="hierChild5" presStyleCnt="0"/>
      <dgm:spPr/>
    </dgm:pt>
    <dgm:pt modelId="{E4D7E368-E3A1-47C4-A52D-55AE7BD1DBD4}" type="pres">
      <dgm:prSet presAssocID="{BA60993D-FAF1-4069-81C0-DF78EE4D5974}" presName="hierChild5" presStyleCnt="0"/>
      <dgm:spPr/>
    </dgm:pt>
    <dgm:pt modelId="{B0632F9D-BC8E-462C-846E-C0D84A1C9E43}" type="pres">
      <dgm:prSet presAssocID="{C5742CBF-C5FF-4C43-BFAA-5EA9D630B8DD}" presName="Name37" presStyleLbl="parChTrans1D2" presStyleIdx="1" presStyleCnt="5"/>
      <dgm:spPr/>
    </dgm:pt>
    <dgm:pt modelId="{BF63E51E-2D6C-42D8-BEDE-CFBE14B8322E}" type="pres">
      <dgm:prSet presAssocID="{C3CFA84E-BDB7-428A-8600-2D745E48BD95}" presName="hierRoot2" presStyleCnt="0">
        <dgm:presLayoutVars>
          <dgm:hierBranch val="init"/>
        </dgm:presLayoutVars>
      </dgm:prSet>
      <dgm:spPr/>
    </dgm:pt>
    <dgm:pt modelId="{BADDB5DF-07D4-4FE0-9669-0E671CF7BC8B}" type="pres">
      <dgm:prSet presAssocID="{C3CFA84E-BDB7-428A-8600-2D745E48BD95}" presName="rootComposite" presStyleCnt="0"/>
      <dgm:spPr/>
    </dgm:pt>
    <dgm:pt modelId="{78B9D6EE-2B07-4835-9969-00F171E017EB}" type="pres">
      <dgm:prSet presAssocID="{C3CFA84E-BDB7-428A-8600-2D745E48BD95}" presName="rootText" presStyleLbl="node1" presStyleIdx="2" presStyleCnt="11">
        <dgm:presLayoutVars>
          <dgm:chMax/>
          <dgm:chPref val="3"/>
        </dgm:presLayoutVars>
      </dgm:prSet>
      <dgm:spPr/>
    </dgm:pt>
    <dgm:pt modelId="{3CD0219D-EEE8-4BF7-A2D5-A40DEDCFAA1D}" type="pres">
      <dgm:prSet presAssocID="{C3CFA84E-BDB7-428A-8600-2D745E48BD95}" presName="titleText2" presStyleLbl="fgAcc1" presStyleIdx="2" presStyleCnt="11">
        <dgm:presLayoutVars>
          <dgm:chMax val="0"/>
          <dgm:chPref val="0"/>
        </dgm:presLayoutVars>
      </dgm:prSet>
      <dgm:spPr/>
    </dgm:pt>
    <dgm:pt modelId="{C56D29C0-F723-4479-B3DD-8E7FEF32DF63}" type="pres">
      <dgm:prSet presAssocID="{C3CFA84E-BDB7-428A-8600-2D745E48BD95}" presName="rootConnector" presStyleLbl="node2" presStyleIdx="0" presStyleCnt="0"/>
      <dgm:spPr/>
    </dgm:pt>
    <dgm:pt modelId="{1D889393-7FA6-4353-9E2E-FF58765FE57E}" type="pres">
      <dgm:prSet presAssocID="{C3CFA84E-BDB7-428A-8600-2D745E48BD95}" presName="hierChild4" presStyleCnt="0"/>
      <dgm:spPr/>
    </dgm:pt>
    <dgm:pt modelId="{D9B77E70-09D6-4FC5-8748-250E362262D7}" type="pres">
      <dgm:prSet presAssocID="{FE4C6757-28C5-4185-BE45-582ACA1A44DB}" presName="Name37" presStyleLbl="parChTrans1D3" presStyleIdx="1" presStyleCnt="7"/>
      <dgm:spPr/>
    </dgm:pt>
    <dgm:pt modelId="{A34E6759-B584-4F68-A162-2D09CFF9604D}" type="pres">
      <dgm:prSet presAssocID="{2502BB2F-8801-4A06-B3B9-20336CB6719B}" presName="hierRoot2" presStyleCnt="0">
        <dgm:presLayoutVars>
          <dgm:hierBranch val="init"/>
        </dgm:presLayoutVars>
      </dgm:prSet>
      <dgm:spPr/>
    </dgm:pt>
    <dgm:pt modelId="{6BE35856-F579-448F-B648-24F590D5B456}" type="pres">
      <dgm:prSet presAssocID="{2502BB2F-8801-4A06-B3B9-20336CB6719B}" presName="rootComposite" presStyleCnt="0"/>
      <dgm:spPr/>
    </dgm:pt>
    <dgm:pt modelId="{6808866E-B951-4E77-812C-725447E8F483}" type="pres">
      <dgm:prSet presAssocID="{2502BB2F-8801-4A06-B3B9-20336CB6719B}" presName="rootText" presStyleLbl="node1" presStyleIdx="3" presStyleCnt="11">
        <dgm:presLayoutVars>
          <dgm:chMax/>
          <dgm:chPref val="3"/>
        </dgm:presLayoutVars>
      </dgm:prSet>
      <dgm:spPr/>
    </dgm:pt>
    <dgm:pt modelId="{A62579A2-5090-49FE-A36F-8474F8ECBC11}" type="pres">
      <dgm:prSet presAssocID="{2502BB2F-8801-4A06-B3B9-20336CB6719B}" presName="titleText2" presStyleLbl="fgAcc1" presStyleIdx="3" presStyleCnt="11">
        <dgm:presLayoutVars>
          <dgm:chMax val="0"/>
          <dgm:chPref val="0"/>
        </dgm:presLayoutVars>
      </dgm:prSet>
      <dgm:spPr/>
    </dgm:pt>
    <dgm:pt modelId="{398A9DF5-741D-441B-A3BB-61299F11F011}" type="pres">
      <dgm:prSet presAssocID="{2502BB2F-8801-4A06-B3B9-20336CB6719B}" presName="rootConnector" presStyleLbl="node3" presStyleIdx="0" presStyleCnt="0"/>
      <dgm:spPr/>
    </dgm:pt>
    <dgm:pt modelId="{88ACB86F-389C-4B86-8E5B-1FE0CEC75F37}" type="pres">
      <dgm:prSet presAssocID="{2502BB2F-8801-4A06-B3B9-20336CB6719B}" presName="hierChild4" presStyleCnt="0"/>
      <dgm:spPr/>
    </dgm:pt>
    <dgm:pt modelId="{8B16EB87-F9FE-4FEE-8DF4-B11F0B058E92}" type="pres">
      <dgm:prSet presAssocID="{2502BB2F-8801-4A06-B3B9-20336CB6719B}" presName="hierChild5" presStyleCnt="0"/>
      <dgm:spPr/>
    </dgm:pt>
    <dgm:pt modelId="{91E4D24E-2039-4886-B516-42372D835860}" type="pres">
      <dgm:prSet presAssocID="{C3CFA84E-BDB7-428A-8600-2D745E48BD95}" presName="hierChild5" presStyleCnt="0"/>
      <dgm:spPr/>
    </dgm:pt>
    <dgm:pt modelId="{13E6FA61-EA6C-450B-BD07-71C02D4F6372}" type="pres">
      <dgm:prSet presAssocID="{45F039BD-73E6-42F7-9B41-A22FA0526D49}" presName="Name37" presStyleLbl="parChTrans1D2" presStyleIdx="2" presStyleCnt="5"/>
      <dgm:spPr/>
    </dgm:pt>
    <dgm:pt modelId="{EBCA514A-5218-420B-BDB9-132F0636AD35}" type="pres">
      <dgm:prSet presAssocID="{2819D03B-1C96-45FD-BAC9-210EDE582BBE}" presName="hierRoot2" presStyleCnt="0">
        <dgm:presLayoutVars>
          <dgm:hierBranch val="init"/>
        </dgm:presLayoutVars>
      </dgm:prSet>
      <dgm:spPr/>
    </dgm:pt>
    <dgm:pt modelId="{5FABA491-DF2B-4DA8-9E1C-B191EAE002BA}" type="pres">
      <dgm:prSet presAssocID="{2819D03B-1C96-45FD-BAC9-210EDE582BBE}" presName="rootComposite" presStyleCnt="0"/>
      <dgm:spPr/>
    </dgm:pt>
    <dgm:pt modelId="{0F7FE257-3318-4511-B2A8-5EBFDCBA0C41}" type="pres">
      <dgm:prSet presAssocID="{2819D03B-1C96-45FD-BAC9-210EDE582BBE}" presName="rootText" presStyleLbl="node1" presStyleIdx="4" presStyleCnt="11">
        <dgm:presLayoutVars>
          <dgm:chMax/>
          <dgm:chPref val="3"/>
        </dgm:presLayoutVars>
      </dgm:prSet>
      <dgm:spPr/>
    </dgm:pt>
    <dgm:pt modelId="{ED0AEAF9-905C-49DA-863E-AFB0BE95C156}" type="pres">
      <dgm:prSet presAssocID="{2819D03B-1C96-45FD-BAC9-210EDE582BBE}" presName="titleText2" presStyleLbl="fgAcc1" presStyleIdx="4" presStyleCnt="11">
        <dgm:presLayoutVars>
          <dgm:chMax val="0"/>
          <dgm:chPref val="0"/>
        </dgm:presLayoutVars>
      </dgm:prSet>
      <dgm:spPr/>
    </dgm:pt>
    <dgm:pt modelId="{1E14DB2A-8CBE-46BE-BA92-98EF7D06BB3D}" type="pres">
      <dgm:prSet presAssocID="{2819D03B-1C96-45FD-BAC9-210EDE582BBE}" presName="rootConnector" presStyleLbl="node2" presStyleIdx="0" presStyleCnt="0"/>
      <dgm:spPr/>
    </dgm:pt>
    <dgm:pt modelId="{1457877B-D59D-41EF-9F28-24F052E60254}" type="pres">
      <dgm:prSet presAssocID="{2819D03B-1C96-45FD-BAC9-210EDE582BBE}" presName="hierChild4" presStyleCnt="0"/>
      <dgm:spPr/>
    </dgm:pt>
    <dgm:pt modelId="{87D57680-9F6F-43F1-99E5-3BBD2E522927}" type="pres">
      <dgm:prSet presAssocID="{F60810DA-8ADB-4A7F-B499-79E67F2E9532}" presName="Name37" presStyleLbl="parChTrans1D3" presStyleIdx="2" presStyleCnt="7"/>
      <dgm:spPr/>
    </dgm:pt>
    <dgm:pt modelId="{BD962419-A456-4F89-8182-734C816CB908}" type="pres">
      <dgm:prSet presAssocID="{283C519C-F54C-45D7-9890-F01128D78F50}" presName="hierRoot2" presStyleCnt="0">
        <dgm:presLayoutVars>
          <dgm:hierBranch val="init"/>
        </dgm:presLayoutVars>
      </dgm:prSet>
      <dgm:spPr/>
    </dgm:pt>
    <dgm:pt modelId="{50791367-4B29-4011-A7FE-D6FCB2011043}" type="pres">
      <dgm:prSet presAssocID="{283C519C-F54C-45D7-9890-F01128D78F50}" presName="rootComposite" presStyleCnt="0"/>
      <dgm:spPr/>
    </dgm:pt>
    <dgm:pt modelId="{E3958C43-B47B-40B6-A140-3C37C5689E31}" type="pres">
      <dgm:prSet presAssocID="{283C519C-F54C-45D7-9890-F01128D78F50}" presName="rootText" presStyleLbl="node1" presStyleIdx="5" presStyleCnt="11">
        <dgm:presLayoutVars>
          <dgm:chMax/>
          <dgm:chPref val="3"/>
        </dgm:presLayoutVars>
      </dgm:prSet>
      <dgm:spPr/>
    </dgm:pt>
    <dgm:pt modelId="{3086B19C-1D64-438E-B5A9-5A9E61F89F8E}" type="pres">
      <dgm:prSet presAssocID="{283C519C-F54C-45D7-9890-F01128D78F50}" presName="titleText2" presStyleLbl="fgAcc1" presStyleIdx="5" presStyleCnt="11">
        <dgm:presLayoutVars>
          <dgm:chMax val="0"/>
          <dgm:chPref val="0"/>
        </dgm:presLayoutVars>
      </dgm:prSet>
      <dgm:spPr/>
    </dgm:pt>
    <dgm:pt modelId="{7C6CEAE3-6568-4417-B172-FB794D98157E}" type="pres">
      <dgm:prSet presAssocID="{283C519C-F54C-45D7-9890-F01128D78F50}" presName="rootConnector" presStyleLbl="node3" presStyleIdx="0" presStyleCnt="0"/>
      <dgm:spPr/>
    </dgm:pt>
    <dgm:pt modelId="{14B20551-397E-4460-ADA4-9343DBBFD018}" type="pres">
      <dgm:prSet presAssocID="{283C519C-F54C-45D7-9890-F01128D78F50}" presName="hierChild4" presStyleCnt="0"/>
      <dgm:spPr/>
    </dgm:pt>
    <dgm:pt modelId="{99F756E4-5CCC-42B7-876C-D193EC38C03F}" type="pres">
      <dgm:prSet presAssocID="{283C519C-F54C-45D7-9890-F01128D78F50}" presName="hierChild5" presStyleCnt="0"/>
      <dgm:spPr/>
    </dgm:pt>
    <dgm:pt modelId="{8DF0BFA3-E4DF-4DFA-94FF-DDE6D37AAA3F}" type="pres">
      <dgm:prSet presAssocID="{CE9E05EE-04C8-4620-8606-37312AAF1064}" presName="Name37" presStyleLbl="parChTrans1D3" presStyleIdx="3" presStyleCnt="7"/>
      <dgm:spPr/>
    </dgm:pt>
    <dgm:pt modelId="{83B92509-5264-4C24-BF67-DD99DA505405}" type="pres">
      <dgm:prSet presAssocID="{13D2BF39-69A6-4159-B389-DC3DAF8A3FA3}" presName="hierRoot2" presStyleCnt="0">
        <dgm:presLayoutVars>
          <dgm:hierBranch val="init"/>
        </dgm:presLayoutVars>
      </dgm:prSet>
      <dgm:spPr/>
    </dgm:pt>
    <dgm:pt modelId="{1A616D80-6DF6-4B95-9FD0-02C68B822BCB}" type="pres">
      <dgm:prSet presAssocID="{13D2BF39-69A6-4159-B389-DC3DAF8A3FA3}" presName="rootComposite" presStyleCnt="0"/>
      <dgm:spPr/>
    </dgm:pt>
    <dgm:pt modelId="{D350A84B-4781-47FE-BB69-C66C3EAF51FD}" type="pres">
      <dgm:prSet presAssocID="{13D2BF39-69A6-4159-B389-DC3DAF8A3FA3}" presName="rootText" presStyleLbl="node1" presStyleIdx="6" presStyleCnt="11">
        <dgm:presLayoutVars>
          <dgm:chMax/>
          <dgm:chPref val="3"/>
        </dgm:presLayoutVars>
      </dgm:prSet>
      <dgm:spPr/>
    </dgm:pt>
    <dgm:pt modelId="{D976B022-F884-48EF-8101-5BF473F32CDE}" type="pres">
      <dgm:prSet presAssocID="{13D2BF39-69A6-4159-B389-DC3DAF8A3FA3}" presName="titleText2" presStyleLbl="fgAcc1" presStyleIdx="6" presStyleCnt="11">
        <dgm:presLayoutVars>
          <dgm:chMax val="0"/>
          <dgm:chPref val="0"/>
        </dgm:presLayoutVars>
      </dgm:prSet>
      <dgm:spPr/>
    </dgm:pt>
    <dgm:pt modelId="{2169A8DD-832F-4C1D-B22A-C359014CF8D2}" type="pres">
      <dgm:prSet presAssocID="{13D2BF39-69A6-4159-B389-DC3DAF8A3FA3}" presName="rootConnector" presStyleLbl="node3" presStyleIdx="0" presStyleCnt="0"/>
      <dgm:spPr/>
    </dgm:pt>
    <dgm:pt modelId="{EE9CF81E-0CA0-4897-9CD7-26B96A204EAC}" type="pres">
      <dgm:prSet presAssocID="{13D2BF39-69A6-4159-B389-DC3DAF8A3FA3}" presName="hierChild4" presStyleCnt="0"/>
      <dgm:spPr/>
    </dgm:pt>
    <dgm:pt modelId="{B1042E23-089C-45E0-821A-52E63EF4AB23}" type="pres">
      <dgm:prSet presAssocID="{13D2BF39-69A6-4159-B389-DC3DAF8A3FA3}" presName="hierChild5" presStyleCnt="0"/>
      <dgm:spPr/>
    </dgm:pt>
    <dgm:pt modelId="{CD3F070F-20F6-441D-9398-BF94FF7B47B4}" type="pres">
      <dgm:prSet presAssocID="{CBB65A2E-E86A-45D5-A743-A2A85BBE99E2}" presName="Name37" presStyleLbl="parChTrans1D3" presStyleIdx="4" presStyleCnt="7"/>
      <dgm:spPr/>
    </dgm:pt>
    <dgm:pt modelId="{745C4ED3-3BB1-4CB2-8154-42E89405ADDC}" type="pres">
      <dgm:prSet presAssocID="{18207A75-FF2F-430C-8C33-29B4A9BAA219}" presName="hierRoot2" presStyleCnt="0">
        <dgm:presLayoutVars>
          <dgm:hierBranch val="init"/>
        </dgm:presLayoutVars>
      </dgm:prSet>
      <dgm:spPr/>
    </dgm:pt>
    <dgm:pt modelId="{744B8EA4-622A-4BA6-B7C0-1DD8381BA00E}" type="pres">
      <dgm:prSet presAssocID="{18207A75-FF2F-430C-8C33-29B4A9BAA219}" presName="rootComposite" presStyleCnt="0"/>
      <dgm:spPr/>
    </dgm:pt>
    <dgm:pt modelId="{98838342-333D-402F-98D2-589A7A1CF12D}" type="pres">
      <dgm:prSet presAssocID="{18207A75-FF2F-430C-8C33-29B4A9BAA219}" presName="rootText" presStyleLbl="node1" presStyleIdx="7" presStyleCnt="11">
        <dgm:presLayoutVars>
          <dgm:chMax/>
          <dgm:chPref val="3"/>
        </dgm:presLayoutVars>
      </dgm:prSet>
      <dgm:spPr/>
    </dgm:pt>
    <dgm:pt modelId="{08E4750C-CFBD-48C0-892C-52831820035E}" type="pres">
      <dgm:prSet presAssocID="{18207A75-FF2F-430C-8C33-29B4A9BAA219}" presName="titleText2" presStyleLbl="fgAcc1" presStyleIdx="7" presStyleCnt="11">
        <dgm:presLayoutVars>
          <dgm:chMax val="0"/>
          <dgm:chPref val="0"/>
        </dgm:presLayoutVars>
      </dgm:prSet>
      <dgm:spPr/>
    </dgm:pt>
    <dgm:pt modelId="{51D2D6BB-6859-482A-8F17-3B1383653FCF}" type="pres">
      <dgm:prSet presAssocID="{18207A75-FF2F-430C-8C33-29B4A9BAA219}" presName="rootConnector" presStyleLbl="node3" presStyleIdx="0" presStyleCnt="0"/>
      <dgm:spPr/>
    </dgm:pt>
    <dgm:pt modelId="{BB891DE8-7A1C-4C79-A916-C81A51F1ED9C}" type="pres">
      <dgm:prSet presAssocID="{18207A75-FF2F-430C-8C33-29B4A9BAA219}" presName="hierChild4" presStyleCnt="0"/>
      <dgm:spPr/>
    </dgm:pt>
    <dgm:pt modelId="{1E63CD70-F272-44C7-987E-0E34755272A0}" type="pres">
      <dgm:prSet presAssocID="{18207A75-FF2F-430C-8C33-29B4A9BAA219}" presName="hierChild5" presStyleCnt="0"/>
      <dgm:spPr/>
    </dgm:pt>
    <dgm:pt modelId="{DB34ED4B-3532-438C-B488-2088FA52D322}" type="pres">
      <dgm:prSet presAssocID="{2819D03B-1C96-45FD-BAC9-210EDE582BBE}" presName="hierChild5" presStyleCnt="0"/>
      <dgm:spPr/>
    </dgm:pt>
    <dgm:pt modelId="{77E2E251-1505-4B62-B6B3-4C2D349A4482}" type="pres">
      <dgm:prSet presAssocID="{C7407858-2542-4E9B-8208-8D8562358EC1}" presName="Name37" presStyleLbl="parChTrans1D2" presStyleIdx="3" presStyleCnt="5"/>
      <dgm:spPr/>
    </dgm:pt>
    <dgm:pt modelId="{17E709D7-5799-4B58-B561-7F4E2F62E822}" type="pres">
      <dgm:prSet presAssocID="{2783413D-E851-4416-BED1-D9AA0DE163ED}" presName="hierRoot2" presStyleCnt="0">
        <dgm:presLayoutVars>
          <dgm:hierBranch val="init"/>
        </dgm:presLayoutVars>
      </dgm:prSet>
      <dgm:spPr/>
    </dgm:pt>
    <dgm:pt modelId="{619A0135-C157-4DE5-8577-903737F0F81F}" type="pres">
      <dgm:prSet presAssocID="{2783413D-E851-4416-BED1-D9AA0DE163ED}" presName="rootComposite" presStyleCnt="0"/>
      <dgm:spPr/>
    </dgm:pt>
    <dgm:pt modelId="{16354587-0DC7-44CA-895D-3F5ADCC55956}" type="pres">
      <dgm:prSet presAssocID="{2783413D-E851-4416-BED1-D9AA0DE163ED}" presName="rootText" presStyleLbl="node1" presStyleIdx="8" presStyleCnt="11">
        <dgm:presLayoutVars>
          <dgm:chMax/>
          <dgm:chPref val="3"/>
        </dgm:presLayoutVars>
      </dgm:prSet>
      <dgm:spPr/>
    </dgm:pt>
    <dgm:pt modelId="{51C089F5-362B-4954-BB38-44F46E63B652}" type="pres">
      <dgm:prSet presAssocID="{2783413D-E851-4416-BED1-D9AA0DE163ED}" presName="titleText2" presStyleLbl="fgAcc1" presStyleIdx="8" presStyleCnt="11">
        <dgm:presLayoutVars>
          <dgm:chMax val="0"/>
          <dgm:chPref val="0"/>
        </dgm:presLayoutVars>
      </dgm:prSet>
      <dgm:spPr/>
    </dgm:pt>
    <dgm:pt modelId="{765EEF37-14EC-42E4-A79E-D7313B98ABE6}" type="pres">
      <dgm:prSet presAssocID="{2783413D-E851-4416-BED1-D9AA0DE163ED}" presName="rootConnector" presStyleLbl="node2" presStyleIdx="0" presStyleCnt="0"/>
      <dgm:spPr/>
    </dgm:pt>
    <dgm:pt modelId="{18A1B5AB-9E93-4D35-8D35-1FA8786E7089}" type="pres">
      <dgm:prSet presAssocID="{2783413D-E851-4416-BED1-D9AA0DE163ED}" presName="hierChild4" presStyleCnt="0"/>
      <dgm:spPr/>
    </dgm:pt>
    <dgm:pt modelId="{CA458D15-435E-4DCE-AF28-195BEB13B84C}" type="pres">
      <dgm:prSet presAssocID="{9FDC9217-C084-4B4B-907D-FC630705DC85}" presName="Name37" presStyleLbl="parChTrans1D3" presStyleIdx="5" presStyleCnt="7"/>
      <dgm:spPr/>
    </dgm:pt>
    <dgm:pt modelId="{EE6B530E-BE30-4E11-8C17-F84F5F86CCD8}" type="pres">
      <dgm:prSet presAssocID="{651C21AE-2B7B-4F0E-BF03-4AE894DDC266}" presName="hierRoot2" presStyleCnt="0">
        <dgm:presLayoutVars>
          <dgm:hierBranch val="init"/>
        </dgm:presLayoutVars>
      </dgm:prSet>
      <dgm:spPr/>
    </dgm:pt>
    <dgm:pt modelId="{80920C57-2DC8-4706-9A56-31EC4A311D3F}" type="pres">
      <dgm:prSet presAssocID="{651C21AE-2B7B-4F0E-BF03-4AE894DDC266}" presName="rootComposite" presStyleCnt="0"/>
      <dgm:spPr/>
    </dgm:pt>
    <dgm:pt modelId="{2F5F9BB8-02D6-4A79-BC65-B512B2912757}" type="pres">
      <dgm:prSet presAssocID="{651C21AE-2B7B-4F0E-BF03-4AE894DDC266}" presName="rootText" presStyleLbl="node1" presStyleIdx="9" presStyleCnt="11">
        <dgm:presLayoutVars>
          <dgm:chMax/>
          <dgm:chPref val="3"/>
        </dgm:presLayoutVars>
      </dgm:prSet>
      <dgm:spPr/>
    </dgm:pt>
    <dgm:pt modelId="{95B09502-8910-4CC6-ABDA-67A519F9FD87}" type="pres">
      <dgm:prSet presAssocID="{651C21AE-2B7B-4F0E-BF03-4AE894DDC266}" presName="titleText2" presStyleLbl="fgAcc1" presStyleIdx="9" presStyleCnt="11">
        <dgm:presLayoutVars>
          <dgm:chMax val="0"/>
          <dgm:chPref val="0"/>
        </dgm:presLayoutVars>
      </dgm:prSet>
      <dgm:spPr/>
    </dgm:pt>
    <dgm:pt modelId="{8D5CFADB-5F43-4D7F-8F55-9B91B3F23B26}" type="pres">
      <dgm:prSet presAssocID="{651C21AE-2B7B-4F0E-BF03-4AE894DDC266}" presName="rootConnector" presStyleLbl="node3" presStyleIdx="0" presStyleCnt="0"/>
      <dgm:spPr/>
    </dgm:pt>
    <dgm:pt modelId="{69801299-DF0D-48CE-BF96-D1E90E92E617}" type="pres">
      <dgm:prSet presAssocID="{651C21AE-2B7B-4F0E-BF03-4AE894DDC266}" presName="hierChild4" presStyleCnt="0"/>
      <dgm:spPr/>
    </dgm:pt>
    <dgm:pt modelId="{15EEF6E7-B70C-4E90-84DD-818720E5379D}" type="pres">
      <dgm:prSet presAssocID="{651C21AE-2B7B-4F0E-BF03-4AE894DDC266}" presName="hierChild5" presStyleCnt="0"/>
      <dgm:spPr/>
    </dgm:pt>
    <dgm:pt modelId="{5E86A909-4A31-417D-9EF3-B63CB7C906CE}" type="pres">
      <dgm:prSet presAssocID="{699E020C-B66B-42E0-91F9-3F0315561DBA}" presName="Name37" presStyleLbl="parChTrans1D3" presStyleIdx="6" presStyleCnt="7"/>
      <dgm:spPr/>
    </dgm:pt>
    <dgm:pt modelId="{8E7750A1-43E7-494C-858E-6A9E2304EC2F}" type="pres">
      <dgm:prSet presAssocID="{6DC89ECF-4F40-4CE4-B98E-D69AE12930B4}" presName="hierRoot2" presStyleCnt="0">
        <dgm:presLayoutVars>
          <dgm:hierBranch val="init"/>
        </dgm:presLayoutVars>
      </dgm:prSet>
      <dgm:spPr/>
    </dgm:pt>
    <dgm:pt modelId="{5BD390F9-8F6B-4544-B6A2-7F2808E06D8D}" type="pres">
      <dgm:prSet presAssocID="{6DC89ECF-4F40-4CE4-B98E-D69AE12930B4}" presName="rootComposite" presStyleCnt="0"/>
      <dgm:spPr/>
    </dgm:pt>
    <dgm:pt modelId="{E0B18F51-2E36-484A-BD5E-F884444C8260}" type="pres">
      <dgm:prSet presAssocID="{6DC89ECF-4F40-4CE4-B98E-D69AE12930B4}" presName="rootText" presStyleLbl="node1" presStyleIdx="10" presStyleCnt="11">
        <dgm:presLayoutVars>
          <dgm:chMax/>
          <dgm:chPref val="3"/>
        </dgm:presLayoutVars>
      </dgm:prSet>
      <dgm:spPr/>
    </dgm:pt>
    <dgm:pt modelId="{93AC23B4-2C65-4F3B-B883-BD86896328E9}" type="pres">
      <dgm:prSet presAssocID="{6DC89ECF-4F40-4CE4-B98E-D69AE12930B4}" presName="titleText2" presStyleLbl="fgAcc1" presStyleIdx="10" presStyleCnt="11">
        <dgm:presLayoutVars>
          <dgm:chMax val="0"/>
          <dgm:chPref val="0"/>
        </dgm:presLayoutVars>
      </dgm:prSet>
      <dgm:spPr/>
    </dgm:pt>
    <dgm:pt modelId="{9A2E4C9D-6F06-41CD-B697-6BE7079366C5}" type="pres">
      <dgm:prSet presAssocID="{6DC89ECF-4F40-4CE4-B98E-D69AE12930B4}" presName="rootConnector" presStyleLbl="node3" presStyleIdx="0" presStyleCnt="0"/>
      <dgm:spPr/>
    </dgm:pt>
    <dgm:pt modelId="{4870B23C-B706-4A80-9720-7E488C15D5FB}" type="pres">
      <dgm:prSet presAssocID="{6DC89ECF-4F40-4CE4-B98E-D69AE12930B4}" presName="hierChild4" presStyleCnt="0"/>
      <dgm:spPr/>
    </dgm:pt>
    <dgm:pt modelId="{3758941B-8A41-4F3E-B075-29FDA5C459DE}" type="pres">
      <dgm:prSet presAssocID="{6DC89ECF-4F40-4CE4-B98E-D69AE12930B4}" presName="hierChild5" presStyleCnt="0"/>
      <dgm:spPr/>
    </dgm:pt>
    <dgm:pt modelId="{16D0CC32-7984-498E-8FB3-FA907B51EFEF}" type="pres">
      <dgm:prSet presAssocID="{2783413D-E851-4416-BED1-D9AA0DE163ED}" presName="hierChild5" presStyleCnt="0"/>
      <dgm:spPr/>
    </dgm:pt>
    <dgm:pt modelId="{DFF44880-033E-42B8-B5D5-403C80AE0587}" type="pres">
      <dgm:prSet presAssocID="{BBC50332-3E7B-4CED-8FC0-CAC8FA130A89}" presName="hierChild3" presStyleCnt="0"/>
      <dgm:spPr/>
    </dgm:pt>
    <dgm:pt modelId="{971EE25D-1DF2-4F48-9857-50E5A7DE1C90}" type="pres">
      <dgm:prSet presAssocID="{EFD46750-BDE7-435A-858E-5EF5E6BF4E6F}" presName="Name96" presStyleLbl="parChTrans1D2" presStyleIdx="4" presStyleCnt="5"/>
      <dgm:spPr/>
    </dgm:pt>
    <dgm:pt modelId="{5C703E23-0D4D-4E01-8618-6F64C6010D32}" type="pres">
      <dgm:prSet presAssocID="{A14CFB0F-10EA-452E-B74D-D84F89351C56}" presName="hierRoot3" presStyleCnt="0">
        <dgm:presLayoutVars>
          <dgm:hierBranch val="init"/>
        </dgm:presLayoutVars>
      </dgm:prSet>
      <dgm:spPr/>
    </dgm:pt>
    <dgm:pt modelId="{E5FCE7EC-216D-402D-B762-34D9145BF91D}" type="pres">
      <dgm:prSet presAssocID="{A14CFB0F-10EA-452E-B74D-D84F89351C56}" presName="rootComposite3" presStyleCnt="0"/>
      <dgm:spPr/>
    </dgm:pt>
    <dgm:pt modelId="{7BD876AD-34A8-4756-A24B-6EC2940D0043}" type="pres">
      <dgm:prSet presAssocID="{A14CFB0F-10EA-452E-B74D-D84F89351C56}" presName="rootText3" presStyleLbl="asst1" presStyleIdx="0" presStyleCnt="1">
        <dgm:presLayoutVars>
          <dgm:chPref val="3"/>
        </dgm:presLayoutVars>
      </dgm:prSet>
      <dgm:spPr/>
    </dgm:pt>
    <dgm:pt modelId="{3A6BD22F-9E29-4118-AA90-E4D90393EAFC}" type="pres">
      <dgm:prSet presAssocID="{A14CFB0F-10EA-452E-B74D-D84F89351C56}" presName="titleText3" presStyleLbl="fgAcc2" presStyleIdx="0" presStyleCnt="1">
        <dgm:presLayoutVars>
          <dgm:chMax val="0"/>
          <dgm:chPref val="0"/>
        </dgm:presLayoutVars>
      </dgm:prSet>
      <dgm:spPr/>
    </dgm:pt>
    <dgm:pt modelId="{2C300209-532B-4ACD-96D0-2F85BDE828A6}" type="pres">
      <dgm:prSet presAssocID="{A14CFB0F-10EA-452E-B74D-D84F89351C56}" presName="rootConnector3" presStyleLbl="asst1" presStyleIdx="0" presStyleCnt="1"/>
      <dgm:spPr/>
    </dgm:pt>
    <dgm:pt modelId="{AAF7089A-AE98-4A9B-9D7F-0F68094124B2}" type="pres">
      <dgm:prSet presAssocID="{A14CFB0F-10EA-452E-B74D-D84F89351C56}" presName="hierChild6" presStyleCnt="0"/>
      <dgm:spPr/>
    </dgm:pt>
    <dgm:pt modelId="{BFBB8A1F-BA9A-4C09-940F-07B8471EA53A}" type="pres">
      <dgm:prSet presAssocID="{A14CFB0F-10EA-452E-B74D-D84F89351C56}" presName="hierChild7" presStyleCnt="0"/>
      <dgm:spPr/>
    </dgm:pt>
  </dgm:ptLst>
  <dgm:cxnLst>
    <dgm:cxn modelId="{8CF91B00-F4AE-478B-A582-CDC2714EB400}" srcId="{BBC50332-3E7B-4CED-8FC0-CAC8FA130A89}" destId="{2783413D-E851-4416-BED1-D9AA0DE163ED}" srcOrd="4" destOrd="0" parTransId="{C7407858-2542-4E9B-8208-8D8562358EC1}" sibTransId="{E0D45957-02BB-4129-B74D-C9EE9746ED15}"/>
    <dgm:cxn modelId="{AC185207-87CE-4433-A3CA-11E309F1ADA3}" type="presOf" srcId="{CE9E05EE-04C8-4620-8606-37312AAF1064}" destId="{8DF0BFA3-E4DF-4DFA-94FF-DDE6D37AAA3F}" srcOrd="0" destOrd="0" presId="urn:microsoft.com/office/officeart/2008/layout/NameandTitleOrganizationalChart"/>
    <dgm:cxn modelId="{8CF20409-CDC5-4021-A005-F2319A7B211D}" type="presOf" srcId="{8EA69BFD-A273-48CB-A849-7194243F94CC}" destId="{BB571B20-33F8-4B42-82E8-178EE47A598D}" srcOrd="0" destOrd="0" presId="urn:microsoft.com/office/officeart/2008/layout/NameandTitleOrganizationalChart"/>
    <dgm:cxn modelId="{FB29E50C-7CC7-4791-9212-6C0C91612AA8}" srcId="{2819D03B-1C96-45FD-BAC9-210EDE582BBE}" destId="{13D2BF39-69A6-4159-B389-DC3DAF8A3FA3}" srcOrd="1" destOrd="0" parTransId="{CE9E05EE-04C8-4620-8606-37312AAF1064}" sibTransId="{B120328D-496C-4EB4-A854-328E9DB550C1}"/>
    <dgm:cxn modelId="{F67D2914-053E-42F1-A435-06596FA7AC87}" srcId="{BBC50332-3E7B-4CED-8FC0-CAC8FA130A89}" destId="{BA60993D-FAF1-4069-81C0-DF78EE4D5974}" srcOrd="1" destOrd="0" parTransId="{C78E911E-CF24-44D0-BB80-187587FF5F62}" sibTransId="{8EA69BFD-A273-48CB-A849-7194243F94CC}"/>
    <dgm:cxn modelId="{19870B19-1B0B-480B-9C52-C6ECF4DBE7B9}" srcId="{2783413D-E851-4416-BED1-D9AA0DE163ED}" destId="{6DC89ECF-4F40-4CE4-B98E-D69AE12930B4}" srcOrd="1" destOrd="0" parTransId="{699E020C-B66B-42E0-91F9-3F0315561DBA}" sibTransId="{704E1ABA-28E1-4B0F-81C8-32335B564CA1}"/>
    <dgm:cxn modelId="{013A3419-AF12-4D9F-B7AC-A7325D55C148}" type="presOf" srcId="{13D2BF39-69A6-4159-B389-DC3DAF8A3FA3}" destId="{2169A8DD-832F-4C1D-B22A-C359014CF8D2}" srcOrd="1" destOrd="0" presId="urn:microsoft.com/office/officeart/2008/layout/NameandTitleOrganizationalChart"/>
    <dgm:cxn modelId="{AB94391D-7051-46BA-9BE8-843156312142}" type="presOf" srcId="{67254E95-6E10-4553-A7A4-A8DBB1006922}" destId="{3CD0219D-EEE8-4BF7-A2D5-A40DEDCFAA1D}" srcOrd="0" destOrd="0" presId="urn:microsoft.com/office/officeart/2008/layout/NameandTitleOrganizationalChart"/>
    <dgm:cxn modelId="{7D4D1020-E5B7-412F-8FE0-4CB4B4E6914B}" type="presOf" srcId="{C78E911E-CF24-44D0-BB80-187587FF5F62}" destId="{EF2197B4-1D57-4FB9-8F5C-AAA98BF278EA}" srcOrd="0" destOrd="0" presId="urn:microsoft.com/office/officeart/2008/layout/NameandTitleOrganizationalChart"/>
    <dgm:cxn modelId="{F5A71623-CACB-4D86-B43B-019BCF61FFB1}" type="presOf" srcId="{BBC50332-3E7B-4CED-8FC0-CAC8FA130A89}" destId="{E6EBACDA-3339-49A6-BDDF-3A7DE9659758}" srcOrd="0" destOrd="0" presId="urn:microsoft.com/office/officeart/2008/layout/NameandTitleOrganizationalChart"/>
    <dgm:cxn modelId="{F8630A2A-A4AB-4254-98E6-E7757CA5E355}" type="presOf" srcId="{2502BB2F-8801-4A06-B3B9-20336CB6719B}" destId="{398A9DF5-741D-441B-A3BB-61299F11F011}" srcOrd="1" destOrd="0" presId="urn:microsoft.com/office/officeart/2008/layout/NameandTitleOrganizationalChart"/>
    <dgm:cxn modelId="{ACF9992A-8141-4183-8CF6-834594903131}" type="presOf" srcId="{2502BB2F-8801-4A06-B3B9-20336CB6719B}" destId="{6808866E-B951-4E77-812C-725447E8F483}" srcOrd="0" destOrd="0" presId="urn:microsoft.com/office/officeart/2008/layout/NameandTitleOrganizationalChart"/>
    <dgm:cxn modelId="{F12C5D30-C39B-4439-B77F-D3D368A3C46D}" type="presOf" srcId="{8BAEE4D0-2F69-48C9-B3D2-12DCF5868D65}" destId="{1C5A6647-4B9B-4196-AA80-BCF78277C940}" srcOrd="0" destOrd="0" presId="urn:microsoft.com/office/officeart/2008/layout/NameandTitleOrganizationalChart"/>
    <dgm:cxn modelId="{4946A631-9F3F-4BC2-9839-BDCB25ED2295}" type="presOf" srcId="{2783413D-E851-4416-BED1-D9AA0DE163ED}" destId="{765EEF37-14EC-42E4-A79E-D7313B98ABE6}" srcOrd="1" destOrd="0" presId="urn:microsoft.com/office/officeart/2008/layout/NameandTitleOrganizationalChart"/>
    <dgm:cxn modelId="{9499D637-B574-4573-B432-6A33414FEC15}" type="presOf" srcId="{C3CFA84E-BDB7-428A-8600-2D745E48BD95}" destId="{78B9D6EE-2B07-4835-9969-00F171E017EB}" srcOrd="0" destOrd="0" presId="urn:microsoft.com/office/officeart/2008/layout/NameandTitleOrganizationalChart"/>
    <dgm:cxn modelId="{2061003B-574C-43FB-8917-1777152CB265}" type="presOf" srcId="{18207A75-FF2F-430C-8C33-29B4A9BAA219}" destId="{98838342-333D-402F-98D2-589A7A1CF12D}" srcOrd="0" destOrd="0" presId="urn:microsoft.com/office/officeart/2008/layout/NameandTitleOrganizationalChart"/>
    <dgm:cxn modelId="{E66A023B-7368-421F-AC99-16D1C4CF53FF}" srcId="{6267998A-6B38-4DE3-834F-CD4064CB486F}" destId="{BBC50332-3E7B-4CED-8FC0-CAC8FA130A89}" srcOrd="0" destOrd="0" parTransId="{59CE5D5D-3FA9-4CBA-98DE-39CC81283388}" sibTransId="{8BAEE4D0-2F69-48C9-B3D2-12DCF5868D65}"/>
    <dgm:cxn modelId="{C7C4785B-1675-4CBB-AED6-DF3119EA6E1E}" srcId="{BA60993D-FAF1-4069-81C0-DF78EE4D5974}" destId="{6183B913-3710-4B02-855A-29EBCA8C7789}" srcOrd="0" destOrd="0" parTransId="{1A03AD42-2602-4A09-A9FA-77D5F730C264}" sibTransId="{E337B767-CCFC-4BCF-898C-3CCE1029231A}"/>
    <dgm:cxn modelId="{88316764-B5F0-4551-A2E9-ED432C478571}" type="presOf" srcId="{C5742CBF-C5FF-4C43-BFAA-5EA9D630B8DD}" destId="{B0632F9D-BC8E-462C-846E-C0D84A1C9E43}" srcOrd="0" destOrd="0" presId="urn:microsoft.com/office/officeart/2008/layout/NameandTitleOrganizationalChart"/>
    <dgm:cxn modelId="{613A0365-C4DF-4E55-9480-E81EA5C9C35A}" srcId="{2783413D-E851-4416-BED1-D9AA0DE163ED}" destId="{651C21AE-2B7B-4F0E-BF03-4AE894DDC266}" srcOrd="0" destOrd="0" parTransId="{9FDC9217-C084-4B4B-907D-FC630705DC85}" sibTransId="{5D4A3EB0-C4D0-4001-B15B-0044B6401BF5}"/>
    <dgm:cxn modelId="{482EBF66-CF9A-4F1E-A8F1-0940F3648BC1}" type="presOf" srcId="{283C519C-F54C-45D7-9890-F01128D78F50}" destId="{7C6CEAE3-6568-4417-B172-FB794D98157E}" srcOrd="1" destOrd="0" presId="urn:microsoft.com/office/officeart/2008/layout/NameandTitleOrganizationalChart"/>
    <dgm:cxn modelId="{690F2D67-4992-4FBF-A20B-BE80E32BE4E7}" type="presOf" srcId="{6DC89ECF-4F40-4CE4-B98E-D69AE12930B4}" destId="{E0B18F51-2E36-484A-BD5E-F884444C8260}" srcOrd="0" destOrd="0" presId="urn:microsoft.com/office/officeart/2008/layout/NameandTitleOrganizationalChart"/>
    <dgm:cxn modelId="{01DF544A-0535-4FB9-A75F-FEC4D9D7BEB4}" type="presOf" srcId="{18207A75-FF2F-430C-8C33-29B4A9BAA219}" destId="{51D2D6BB-6859-482A-8F17-3B1383653FCF}" srcOrd="1" destOrd="0" presId="urn:microsoft.com/office/officeart/2008/layout/NameandTitleOrganizationalChart"/>
    <dgm:cxn modelId="{7728774A-086F-4473-B5B2-3663D22064CD}" type="presOf" srcId="{0F0DF679-76AE-4141-9F49-029CA5960430}" destId="{08E4750C-CFBD-48C0-892C-52831820035E}" srcOrd="0" destOrd="0" presId="urn:microsoft.com/office/officeart/2008/layout/NameandTitleOrganizationalChart"/>
    <dgm:cxn modelId="{F08F626B-55B3-492C-8319-2598D110BBCB}" type="presOf" srcId="{704E1ABA-28E1-4B0F-81C8-32335B564CA1}" destId="{93AC23B4-2C65-4F3B-B883-BD86896328E9}" srcOrd="0" destOrd="0" presId="urn:microsoft.com/office/officeart/2008/layout/NameandTitleOrganizationalChart"/>
    <dgm:cxn modelId="{0BEB626B-AF16-452E-9735-E507D551F8FD}" type="presOf" srcId="{6183B913-3710-4B02-855A-29EBCA8C7789}" destId="{0155EEE6-0912-442E-950F-50B06D19E904}" srcOrd="1" destOrd="0" presId="urn:microsoft.com/office/officeart/2008/layout/NameandTitleOrganizationalChart"/>
    <dgm:cxn modelId="{228AE050-25A0-4806-9AED-EB8957A5DAC5}" srcId="{BBC50332-3E7B-4CED-8FC0-CAC8FA130A89}" destId="{A14CFB0F-10EA-452E-B74D-D84F89351C56}" srcOrd="0" destOrd="0" parTransId="{EFD46750-BDE7-435A-858E-5EF5E6BF4E6F}" sibTransId="{CC76F6DA-B1A6-4DD0-8520-A28793E0C4D0}"/>
    <dgm:cxn modelId="{FFD76554-6816-4BBA-B825-D2C1C6691211}" type="presOf" srcId="{BA60993D-FAF1-4069-81C0-DF78EE4D5974}" destId="{35C4DCFD-8F81-46C5-8C3C-46D33A805997}" srcOrd="0" destOrd="0" presId="urn:microsoft.com/office/officeart/2008/layout/NameandTitleOrganizationalChart"/>
    <dgm:cxn modelId="{0F21C576-9A85-4898-97FB-FD578F8DF7ED}" type="presOf" srcId="{E337B767-CCFC-4BCF-898C-3CCE1029231A}" destId="{0FE7C020-3551-4C23-820A-8DE9F7828467}" srcOrd="0" destOrd="0" presId="urn:microsoft.com/office/officeart/2008/layout/NameandTitleOrganizationalChart"/>
    <dgm:cxn modelId="{E4C29777-5271-44CC-835A-052878C3AF61}" type="presOf" srcId="{6F4F2083-9D95-4741-BCC3-CEC0AEDC57E6}" destId="{A62579A2-5090-49FE-A36F-8474F8ECBC11}" srcOrd="0" destOrd="0" presId="urn:microsoft.com/office/officeart/2008/layout/NameandTitleOrganizationalChart"/>
    <dgm:cxn modelId="{103F6559-03A5-4804-A3F6-0E6D8742DEA4}" type="presOf" srcId="{45F039BD-73E6-42F7-9B41-A22FA0526D49}" destId="{13E6FA61-EA6C-450B-BD07-71C02D4F6372}" srcOrd="0" destOrd="0" presId="urn:microsoft.com/office/officeart/2008/layout/NameandTitleOrganizationalChart"/>
    <dgm:cxn modelId="{898E087E-E681-42EC-B948-95FC4C74EEBA}" srcId="{2819D03B-1C96-45FD-BAC9-210EDE582BBE}" destId="{283C519C-F54C-45D7-9890-F01128D78F50}" srcOrd="0" destOrd="0" parTransId="{F60810DA-8ADB-4A7F-B499-79E67F2E9532}" sibTransId="{23FCFE0C-351D-4A35-B058-8342691C9D82}"/>
    <dgm:cxn modelId="{1EB8DD86-42A9-4014-942C-6FB15F01245B}" type="presOf" srcId="{CBB65A2E-E86A-45D5-A743-A2A85BBE99E2}" destId="{CD3F070F-20F6-441D-9398-BF94FF7B47B4}" srcOrd="0" destOrd="0" presId="urn:microsoft.com/office/officeart/2008/layout/NameandTitleOrganizationalChart"/>
    <dgm:cxn modelId="{05AE6C8C-D8F4-40DD-8A5C-A8B0E5573E37}" srcId="{2819D03B-1C96-45FD-BAC9-210EDE582BBE}" destId="{18207A75-FF2F-430C-8C33-29B4A9BAA219}" srcOrd="2" destOrd="0" parTransId="{CBB65A2E-E86A-45D5-A743-A2A85BBE99E2}" sibTransId="{0F0DF679-76AE-4141-9F49-029CA5960430}"/>
    <dgm:cxn modelId="{AB9DA192-174C-48C3-84E7-2B5B7121DDDD}" type="presOf" srcId="{BBC50332-3E7B-4CED-8FC0-CAC8FA130A89}" destId="{99B40FAF-966A-4991-B218-D61F540EADD6}" srcOrd="1" destOrd="0" presId="urn:microsoft.com/office/officeart/2008/layout/NameandTitleOrganizationalChart"/>
    <dgm:cxn modelId="{35C8EC92-E693-49BE-B5B2-865B516D9512}" type="presOf" srcId="{6DC89ECF-4F40-4CE4-B98E-D69AE12930B4}" destId="{9A2E4C9D-6F06-41CD-B697-6BE7079366C5}" srcOrd="1" destOrd="0" presId="urn:microsoft.com/office/officeart/2008/layout/NameandTitleOrganizationalChart"/>
    <dgm:cxn modelId="{2C4EDC9A-E0D3-4436-9F37-A9AB654FC283}" type="presOf" srcId="{6267998A-6B38-4DE3-834F-CD4064CB486F}" destId="{9F280876-775F-4A56-9998-0C86EF3F4521}" srcOrd="0" destOrd="0" presId="urn:microsoft.com/office/officeart/2008/layout/NameandTitleOrganizationalChart"/>
    <dgm:cxn modelId="{8FBE44A7-B76B-4E0C-A148-2DCDB0947F57}" srcId="{BBC50332-3E7B-4CED-8FC0-CAC8FA130A89}" destId="{2819D03B-1C96-45FD-BAC9-210EDE582BBE}" srcOrd="3" destOrd="0" parTransId="{45F039BD-73E6-42F7-9B41-A22FA0526D49}" sibTransId="{4653215B-47A2-4C0E-90A5-2235E0BF2CA1}"/>
    <dgm:cxn modelId="{487221A9-91A1-40BE-B534-2D602190B583}" type="presOf" srcId="{CC76F6DA-B1A6-4DD0-8520-A28793E0C4D0}" destId="{3A6BD22F-9E29-4118-AA90-E4D90393EAFC}" srcOrd="0" destOrd="0" presId="urn:microsoft.com/office/officeart/2008/layout/NameandTitleOrganizationalChart"/>
    <dgm:cxn modelId="{534E36B0-4E90-449B-8F43-6611EE140E8C}" type="presOf" srcId="{699E020C-B66B-42E0-91F9-3F0315561DBA}" destId="{5E86A909-4A31-417D-9EF3-B63CB7C906CE}" srcOrd="0" destOrd="0" presId="urn:microsoft.com/office/officeart/2008/layout/NameandTitleOrganizationalChart"/>
    <dgm:cxn modelId="{BBE7E6B0-9900-4474-8C34-039853071E8B}" type="presOf" srcId="{1A03AD42-2602-4A09-A9FA-77D5F730C264}" destId="{23335728-AC62-46CF-BA6C-D4A87CEFA966}" srcOrd="0" destOrd="0" presId="urn:microsoft.com/office/officeart/2008/layout/NameandTitleOrganizationalChart"/>
    <dgm:cxn modelId="{A08352B3-72EB-4936-940D-70A0BF041FFE}" type="presOf" srcId="{BA60993D-FAF1-4069-81C0-DF78EE4D5974}" destId="{CDC383C7-9201-444B-8F40-CC70F3CB1446}" srcOrd="1" destOrd="0" presId="urn:microsoft.com/office/officeart/2008/layout/NameandTitleOrganizationalChart"/>
    <dgm:cxn modelId="{C7602FB4-BACA-40D6-9064-F2E306B51C2C}" type="presOf" srcId="{C7407858-2542-4E9B-8208-8D8562358EC1}" destId="{77E2E251-1505-4B62-B6B3-4C2D349A4482}" srcOrd="0" destOrd="0" presId="urn:microsoft.com/office/officeart/2008/layout/NameandTitleOrganizationalChart"/>
    <dgm:cxn modelId="{004A90B5-6DBE-462B-96C3-97553FAC01B5}" type="presOf" srcId="{4653215B-47A2-4C0E-90A5-2235E0BF2CA1}" destId="{ED0AEAF9-905C-49DA-863E-AFB0BE95C156}" srcOrd="0" destOrd="0" presId="urn:microsoft.com/office/officeart/2008/layout/NameandTitleOrganizationalChart"/>
    <dgm:cxn modelId="{9D44CFB7-1B4A-4DA4-8AA0-4B309EE628FD}" type="presOf" srcId="{F60810DA-8ADB-4A7F-B499-79E67F2E9532}" destId="{87D57680-9F6F-43F1-99E5-3BBD2E522927}" srcOrd="0" destOrd="0" presId="urn:microsoft.com/office/officeart/2008/layout/NameandTitleOrganizationalChart"/>
    <dgm:cxn modelId="{248B15BF-86C4-47E8-889F-BF5DC2DCB466}" type="presOf" srcId="{B120328D-496C-4EB4-A854-328E9DB550C1}" destId="{D976B022-F884-48EF-8101-5BF473F32CDE}" srcOrd="0" destOrd="0" presId="urn:microsoft.com/office/officeart/2008/layout/NameandTitleOrganizationalChart"/>
    <dgm:cxn modelId="{7F71E5C1-D3FB-4894-B3F3-18EDEB586C07}" type="presOf" srcId="{651C21AE-2B7B-4F0E-BF03-4AE894DDC266}" destId="{8D5CFADB-5F43-4D7F-8F55-9B91B3F23B26}" srcOrd="1" destOrd="0" presId="urn:microsoft.com/office/officeart/2008/layout/NameandTitleOrganizationalChart"/>
    <dgm:cxn modelId="{62311BC5-D8F6-43D4-BD1E-B6E3CA72F453}" type="presOf" srcId="{A14CFB0F-10EA-452E-B74D-D84F89351C56}" destId="{2C300209-532B-4ACD-96D0-2F85BDE828A6}" srcOrd="1" destOrd="0" presId="urn:microsoft.com/office/officeart/2008/layout/NameandTitleOrganizationalChart"/>
    <dgm:cxn modelId="{DB3385C5-81BB-4C19-BAE1-D747B2602FE9}" type="presOf" srcId="{9FDC9217-C084-4B4B-907D-FC630705DC85}" destId="{CA458D15-435E-4DCE-AF28-195BEB13B84C}" srcOrd="0" destOrd="0" presId="urn:microsoft.com/office/officeart/2008/layout/NameandTitleOrganizationalChart"/>
    <dgm:cxn modelId="{522A6AC7-540B-4F7D-8747-151336C36731}" srcId="{BBC50332-3E7B-4CED-8FC0-CAC8FA130A89}" destId="{C3CFA84E-BDB7-428A-8600-2D745E48BD95}" srcOrd="2" destOrd="0" parTransId="{C5742CBF-C5FF-4C43-BFAA-5EA9D630B8DD}" sibTransId="{67254E95-6E10-4553-A7A4-A8DBB1006922}"/>
    <dgm:cxn modelId="{6EBD48CA-F1F6-40EC-9A8A-9DA8E233E900}" type="presOf" srcId="{23FCFE0C-351D-4A35-B058-8342691C9D82}" destId="{3086B19C-1D64-438E-B5A9-5A9E61F89F8E}" srcOrd="0" destOrd="0" presId="urn:microsoft.com/office/officeart/2008/layout/NameandTitleOrganizationalChart"/>
    <dgm:cxn modelId="{D1AF34CB-6936-4D4C-BDBB-4DF18E502D20}" type="presOf" srcId="{651C21AE-2B7B-4F0E-BF03-4AE894DDC266}" destId="{2F5F9BB8-02D6-4A79-BC65-B512B2912757}" srcOrd="0" destOrd="0" presId="urn:microsoft.com/office/officeart/2008/layout/NameandTitleOrganizationalChart"/>
    <dgm:cxn modelId="{3B868BCE-792D-4B4B-ADFB-540220074772}" type="presOf" srcId="{A14CFB0F-10EA-452E-B74D-D84F89351C56}" destId="{7BD876AD-34A8-4756-A24B-6EC2940D0043}" srcOrd="0" destOrd="0" presId="urn:microsoft.com/office/officeart/2008/layout/NameandTitleOrganizationalChart"/>
    <dgm:cxn modelId="{54FD21D0-863C-4794-90F6-21D8D9F5EA96}" type="presOf" srcId="{2783413D-E851-4416-BED1-D9AA0DE163ED}" destId="{16354587-0DC7-44CA-895D-3F5ADCC55956}" srcOrd="0" destOrd="0" presId="urn:microsoft.com/office/officeart/2008/layout/NameandTitleOrganizationalChart"/>
    <dgm:cxn modelId="{9402B3D5-BD50-425F-ACF8-5A592C4FA9EA}" type="presOf" srcId="{6183B913-3710-4B02-855A-29EBCA8C7789}" destId="{F8DA8E43-99D5-4F2E-847B-6C4DC2C066DB}" srcOrd="0" destOrd="0" presId="urn:microsoft.com/office/officeart/2008/layout/NameandTitleOrganizationalChart"/>
    <dgm:cxn modelId="{73C82ED6-1D23-4F9A-BE9C-0D220063B5E5}" type="presOf" srcId="{EFD46750-BDE7-435A-858E-5EF5E6BF4E6F}" destId="{971EE25D-1DF2-4F48-9857-50E5A7DE1C90}" srcOrd="0" destOrd="0" presId="urn:microsoft.com/office/officeart/2008/layout/NameandTitleOrganizationalChart"/>
    <dgm:cxn modelId="{9603F8D8-0074-429B-8B7D-E24BBF985FA2}" type="presOf" srcId="{13D2BF39-69A6-4159-B389-DC3DAF8A3FA3}" destId="{D350A84B-4781-47FE-BB69-C66C3EAF51FD}" srcOrd="0" destOrd="0" presId="urn:microsoft.com/office/officeart/2008/layout/NameandTitleOrganizationalChart"/>
    <dgm:cxn modelId="{67BA08DB-0B16-4A0F-849B-3C429D1EF14D}" type="presOf" srcId="{E0D45957-02BB-4129-B74D-C9EE9746ED15}" destId="{51C089F5-362B-4954-BB38-44F46E63B652}" srcOrd="0" destOrd="0" presId="urn:microsoft.com/office/officeart/2008/layout/NameandTitleOrganizationalChart"/>
    <dgm:cxn modelId="{CFC007DF-1934-470F-A786-BB445EF0F4F0}" type="presOf" srcId="{2819D03B-1C96-45FD-BAC9-210EDE582BBE}" destId="{0F7FE257-3318-4511-B2A8-5EBFDCBA0C41}" srcOrd="0" destOrd="0" presId="urn:microsoft.com/office/officeart/2008/layout/NameandTitleOrganizationalChart"/>
    <dgm:cxn modelId="{38936CDF-C9C6-4C52-A76D-3B62851F1E75}" srcId="{C3CFA84E-BDB7-428A-8600-2D745E48BD95}" destId="{2502BB2F-8801-4A06-B3B9-20336CB6719B}" srcOrd="0" destOrd="0" parTransId="{FE4C6757-28C5-4185-BE45-582ACA1A44DB}" sibTransId="{6F4F2083-9D95-4741-BCC3-CEC0AEDC57E6}"/>
    <dgm:cxn modelId="{88DBE8E2-4C18-4AB7-B10D-F725BDA22FCF}" type="presOf" srcId="{283C519C-F54C-45D7-9890-F01128D78F50}" destId="{E3958C43-B47B-40B6-A140-3C37C5689E31}" srcOrd="0" destOrd="0" presId="urn:microsoft.com/office/officeart/2008/layout/NameandTitleOrganizationalChart"/>
    <dgm:cxn modelId="{B257B1E9-D95B-4670-A8DF-9D6A27A1A6D8}" type="presOf" srcId="{5D4A3EB0-C4D0-4001-B15B-0044B6401BF5}" destId="{95B09502-8910-4CC6-ABDA-67A519F9FD87}" srcOrd="0" destOrd="0" presId="urn:microsoft.com/office/officeart/2008/layout/NameandTitleOrganizationalChart"/>
    <dgm:cxn modelId="{18FE3EEE-ED6D-42F2-B71C-5C12E2D81A60}" type="presOf" srcId="{C3CFA84E-BDB7-428A-8600-2D745E48BD95}" destId="{C56D29C0-F723-4479-B3DD-8E7FEF32DF63}" srcOrd="1" destOrd="0" presId="urn:microsoft.com/office/officeart/2008/layout/NameandTitleOrganizationalChart"/>
    <dgm:cxn modelId="{74F44AFA-749D-49D7-BFCE-94690E889AF5}" type="presOf" srcId="{2819D03B-1C96-45FD-BAC9-210EDE582BBE}" destId="{1E14DB2A-8CBE-46BE-BA92-98EF7D06BB3D}" srcOrd="1" destOrd="0" presId="urn:microsoft.com/office/officeart/2008/layout/NameandTitleOrganizationalChart"/>
    <dgm:cxn modelId="{F7AB60FE-5DD6-44A0-BEE0-3E66F05AD660}" type="presOf" srcId="{FE4C6757-28C5-4185-BE45-582ACA1A44DB}" destId="{D9B77E70-09D6-4FC5-8748-250E362262D7}" srcOrd="0" destOrd="0" presId="urn:microsoft.com/office/officeart/2008/layout/NameandTitleOrganizationalChart"/>
    <dgm:cxn modelId="{1A42F0F0-E3F0-4A02-A5EE-AEADFCCA285D}" type="presParOf" srcId="{9F280876-775F-4A56-9998-0C86EF3F4521}" destId="{36477F77-B483-4494-9714-E89E5D5D6693}" srcOrd="0" destOrd="0" presId="urn:microsoft.com/office/officeart/2008/layout/NameandTitleOrganizationalChart"/>
    <dgm:cxn modelId="{0DBC8661-4BB5-4CEE-B39E-53A672C237F9}" type="presParOf" srcId="{36477F77-B483-4494-9714-E89E5D5D6693}" destId="{5F3605ED-6CEC-4F7A-B43B-439DCCD7425D}" srcOrd="0" destOrd="0" presId="urn:microsoft.com/office/officeart/2008/layout/NameandTitleOrganizationalChart"/>
    <dgm:cxn modelId="{0322D62F-5DA0-4CD3-A7E6-95F1C244F694}" type="presParOf" srcId="{5F3605ED-6CEC-4F7A-B43B-439DCCD7425D}" destId="{E6EBACDA-3339-49A6-BDDF-3A7DE9659758}" srcOrd="0" destOrd="0" presId="urn:microsoft.com/office/officeart/2008/layout/NameandTitleOrganizationalChart"/>
    <dgm:cxn modelId="{A8F0C36C-143F-4376-A96E-42DE1B3D45C4}" type="presParOf" srcId="{5F3605ED-6CEC-4F7A-B43B-439DCCD7425D}" destId="{1C5A6647-4B9B-4196-AA80-BCF78277C940}" srcOrd="1" destOrd="0" presId="urn:microsoft.com/office/officeart/2008/layout/NameandTitleOrganizationalChart"/>
    <dgm:cxn modelId="{DE6B13FE-3B9D-4BD5-8E5B-2C7E825F9FF5}" type="presParOf" srcId="{5F3605ED-6CEC-4F7A-B43B-439DCCD7425D}" destId="{99B40FAF-966A-4991-B218-D61F540EADD6}" srcOrd="2" destOrd="0" presId="urn:microsoft.com/office/officeart/2008/layout/NameandTitleOrganizationalChart"/>
    <dgm:cxn modelId="{943E62FD-3FF3-4C87-A04E-1D9CCB8BE4A5}" type="presParOf" srcId="{36477F77-B483-4494-9714-E89E5D5D6693}" destId="{871A2DE7-4374-4974-A110-B095AC8CA540}" srcOrd="1" destOrd="0" presId="urn:microsoft.com/office/officeart/2008/layout/NameandTitleOrganizationalChart"/>
    <dgm:cxn modelId="{3594DB49-DC0E-4277-9C2F-48E639B16355}" type="presParOf" srcId="{871A2DE7-4374-4974-A110-B095AC8CA540}" destId="{EF2197B4-1D57-4FB9-8F5C-AAA98BF278EA}" srcOrd="0" destOrd="0" presId="urn:microsoft.com/office/officeart/2008/layout/NameandTitleOrganizationalChart"/>
    <dgm:cxn modelId="{2FF0FFDC-0051-4128-970A-26F9545CA9DD}" type="presParOf" srcId="{871A2DE7-4374-4974-A110-B095AC8CA540}" destId="{5C210E9C-C274-446E-AD0E-F6DCE729CA19}" srcOrd="1" destOrd="0" presId="urn:microsoft.com/office/officeart/2008/layout/NameandTitleOrganizationalChart"/>
    <dgm:cxn modelId="{C273C352-D63C-42A1-9704-643ECFF0E88D}" type="presParOf" srcId="{5C210E9C-C274-446E-AD0E-F6DCE729CA19}" destId="{3DBBF06C-C44C-490F-A04D-8635B3463437}" srcOrd="0" destOrd="0" presId="urn:microsoft.com/office/officeart/2008/layout/NameandTitleOrganizationalChart"/>
    <dgm:cxn modelId="{486706CA-9D2A-4474-BFFD-5B15F957A9B1}" type="presParOf" srcId="{3DBBF06C-C44C-490F-A04D-8635B3463437}" destId="{35C4DCFD-8F81-46C5-8C3C-46D33A805997}" srcOrd="0" destOrd="0" presId="urn:microsoft.com/office/officeart/2008/layout/NameandTitleOrganizationalChart"/>
    <dgm:cxn modelId="{C30A530F-2EEC-42CD-B857-1DC709B98123}" type="presParOf" srcId="{3DBBF06C-C44C-490F-A04D-8635B3463437}" destId="{BB571B20-33F8-4B42-82E8-178EE47A598D}" srcOrd="1" destOrd="0" presId="urn:microsoft.com/office/officeart/2008/layout/NameandTitleOrganizationalChart"/>
    <dgm:cxn modelId="{D0173BEC-540F-46FD-96D6-0A3D667D1345}" type="presParOf" srcId="{3DBBF06C-C44C-490F-A04D-8635B3463437}" destId="{CDC383C7-9201-444B-8F40-CC70F3CB1446}" srcOrd="2" destOrd="0" presId="urn:microsoft.com/office/officeart/2008/layout/NameandTitleOrganizationalChart"/>
    <dgm:cxn modelId="{5EBD3E12-B655-4C1E-A239-5E8101E78CB4}" type="presParOf" srcId="{5C210E9C-C274-446E-AD0E-F6DCE729CA19}" destId="{EBB9BEDD-9746-473B-9B2C-24726AFDF520}" srcOrd="1" destOrd="0" presId="urn:microsoft.com/office/officeart/2008/layout/NameandTitleOrganizationalChart"/>
    <dgm:cxn modelId="{8F6D70B5-1132-4C4A-AE12-714B0C07FB4B}" type="presParOf" srcId="{EBB9BEDD-9746-473B-9B2C-24726AFDF520}" destId="{23335728-AC62-46CF-BA6C-D4A87CEFA966}" srcOrd="0" destOrd="0" presId="urn:microsoft.com/office/officeart/2008/layout/NameandTitleOrganizationalChart"/>
    <dgm:cxn modelId="{CC000096-C423-4ADE-A89B-D484E8E1930D}" type="presParOf" srcId="{EBB9BEDD-9746-473B-9B2C-24726AFDF520}" destId="{4790917A-4C69-4C98-9523-B6F946BE15F5}" srcOrd="1" destOrd="0" presId="urn:microsoft.com/office/officeart/2008/layout/NameandTitleOrganizationalChart"/>
    <dgm:cxn modelId="{3ABDEF62-A76E-4C72-AED7-1FED06D97182}" type="presParOf" srcId="{4790917A-4C69-4C98-9523-B6F946BE15F5}" destId="{FEC92FFA-F426-4F60-97B4-8AA913DA4FFD}" srcOrd="0" destOrd="0" presId="urn:microsoft.com/office/officeart/2008/layout/NameandTitleOrganizationalChart"/>
    <dgm:cxn modelId="{2C10AAF3-D58E-46CF-9E37-B598FEA49CC1}" type="presParOf" srcId="{FEC92FFA-F426-4F60-97B4-8AA913DA4FFD}" destId="{F8DA8E43-99D5-4F2E-847B-6C4DC2C066DB}" srcOrd="0" destOrd="0" presId="urn:microsoft.com/office/officeart/2008/layout/NameandTitleOrganizationalChart"/>
    <dgm:cxn modelId="{BD6B07B9-B80F-42BC-BFE2-778B24BE72FC}" type="presParOf" srcId="{FEC92FFA-F426-4F60-97B4-8AA913DA4FFD}" destId="{0FE7C020-3551-4C23-820A-8DE9F7828467}" srcOrd="1" destOrd="0" presId="urn:microsoft.com/office/officeart/2008/layout/NameandTitleOrganizationalChart"/>
    <dgm:cxn modelId="{02767E4F-A0AF-460E-A7A1-355C35332EA3}" type="presParOf" srcId="{FEC92FFA-F426-4F60-97B4-8AA913DA4FFD}" destId="{0155EEE6-0912-442E-950F-50B06D19E904}" srcOrd="2" destOrd="0" presId="urn:microsoft.com/office/officeart/2008/layout/NameandTitleOrganizationalChart"/>
    <dgm:cxn modelId="{FFFBF94F-CA25-4BE5-BE50-315BA5BF9F08}" type="presParOf" srcId="{4790917A-4C69-4C98-9523-B6F946BE15F5}" destId="{E821E3A1-B4AC-4BE1-ACF9-C561D29F5174}" srcOrd="1" destOrd="0" presId="urn:microsoft.com/office/officeart/2008/layout/NameandTitleOrganizationalChart"/>
    <dgm:cxn modelId="{A5684597-B341-4DCF-8876-49CE66AF4CF5}" type="presParOf" srcId="{4790917A-4C69-4C98-9523-B6F946BE15F5}" destId="{26B59817-CDE2-4C25-8F8A-6F0261F3F4E7}" srcOrd="2" destOrd="0" presId="urn:microsoft.com/office/officeart/2008/layout/NameandTitleOrganizationalChart"/>
    <dgm:cxn modelId="{C08E5525-8297-4CE7-B56F-1F44127CD4CB}" type="presParOf" srcId="{5C210E9C-C274-446E-AD0E-F6DCE729CA19}" destId="{E4D7E368-E3A1-47C4-A52D-55AE7BD1DBD4}" srcOrd="2" destOrd="0" presId="urn:microsoft.com/office/officeart/2008/layout/NameandTitleOrganizationalChart"/>
    <dgm:cxn modelId="{F871C7FF-E4C6-45D9-A784-723EF697284A}" type="presParOf" srcId="{871A2DE7-4374-4974-A110-B095AC8CA540}" destId="{B0632F9D-BC8E-462C-846E-C0D84A1C9E43}" srcOrd="2" destOrd="0" presId="urn:microsoft.com/office/officeart/2008/layout/NameandTitleOrganizationalChart"/>
    <dgm:cxn modelId="{54784064-AFFE-46D8-8E18-38367274FF1B}" type="presParOf" srcId="{871A2DE7-4374-4974-A110-B095AC8CA540}" destId="{BF63E51E-2D6C-42D8-BEDE-CFBE14B8322E}" srcOrd="3" destOrd="0" presId="urn:microsoft.com/office/officeart/2008/layout/NameandTitleOrganizationalChart"/>
    <dgm:cxn modelId="{89303007-F419-471B-8390-FCD3B68F5A15}" type="presParOf" srcId="{BF63E51E-2D6C-42D8-BEDE-CFBE14B8322E}" destId="{BADDB5DF-07D4-4FE0-9669-0E671CF7BC8B}" srcOrd="0" destOrd="0" presId="urn:microsoft.com/office/officeart/2008/layout/NameandTitleOrganizationalChart"/>
    <dgm:cxn modelId="{840445E4-9EFD-4BDD-B0F6-0B3F089862B1}" type="presParOf" srcId="{BADDB5DF-07D4-4FE0-9669-0E671CF7BC8B}" destId="{78B9D6EE-2B07-4835-9969-00F171E017EB}" srcOrd="0" destOrd="0" presId="urn:microsoft.com/office/officeart/2008/layout/NameandTitleOrganizationalChart"/>
    <dgm:cxn modelId="{FBD0AA5E-136B-4BBF-9746-652B4EAD9689}" type="presParOf" srcId="{BADDB5DF-07D4-4FE0-9669-0E671CF7BC8B}" destId="{3CD0219D-EEE8-4BF7-A2D5-A40DEDCFAA1D}" srcOrd="1" destOrd="0" presId="urn:microsoft.com/office/officeart/2008/layout/NameandTitleOrganizationalChart"/>
    <dgm:cxn modelId="{50106C17-110A-427C-AAC6-000CD5622D61}" type="presParOf" srcId="{BADDB5DF-07D4-4FE0-9669-0E671CF7BC8B}" destId="{C56D29C0-F723-4479-B3DD-8E7FEF32DF63}" srcOrd="2" destOrd="0" presId="urn:microsoft.com/office/officeart/2008/layout/NameandTitleOrganizationalChart"/>
    <dgm:cxn modelId="{1E9C9738-9325-4B6F-9BB6-82D5892FE646}" type="presParOf" srcId="{BF63E51E-2D6C-42D8-BEDE-CFBE14B8322E}" destId="{1D889393-7FA6-4353-9E2E-FF58765FE57E}" srcOrd="1" destOrd="0" presId="urn:microsoft.com/office/officeart/2008/layout/NameandTitleOrganizationalChart"/>
    <dgm:cxn modelId="{2739A50C-F8C6-4965-8044-B88EA42227BE}" type="presParOf" srcId="{1D889393-7FA6-4353-9E2E-FF58765FE57E}" destId="{D9B77E70-09D6-4FC5-8748-250E362262D7}" srcOrd="0" destOrd="0" presId="urn:microsoft.com/office/officeart/2008/layout/NameandTitleOrganizationalChart"/>
    <dgm:cxn modelId="{A5ECC810-78B4-49E5-A5DC-BBDBB1D00E57}" type="presParOf" srcId="{1D889393-7FA6-4353-9E2E-FF58765FE57E}" destId="{A34E6759-B584-4F68-A162-2D09CFF9604D}" srcOrd="1" destOrd="0" presId="urn:microsoft.com/office/officeart/2008/layout/NameandTitleOrganizationalChart"/>
    <dgm:cxn modelId="{CAEAFA1F-6D22-4288-A179-8F5D6CC27BF7}" type="presParOf" srcId="{A34E6759-B584-4F68-A162-2D09CFF9604D}" destId="{6BE35856-F579-448F-B648-24F590D5B456}" srcOrd="0" destOrd="0" presId="urn:microsoft.com/office/officeart/2008/layout/NameandTitleOrganizationalChart"/>
    <dgm:cxn modelId="{822F1EAF-A5E9-4D39-8356-543512440DD3}" type="presParOf" srcId="{6BE35856-F579-448F-B648-24F590D5B456}" destId="{6808866E-B951-4E77-812C-725447E8F483}" srcOrd="0" destOrd="0" presId="urn:microsoft.com/office/officeart/2008/layout/NameandTitleOrganizationalChart"/>
    <dgm:cxn modelId="{7B5E529D-BA77-45B7-8B46-555E156CE777}" type="presParOf" srcId="{6BE35856-F579-448F-B648-24F590D5B456}" destId="{A62579A2-5090-49FE-A36F-8474F8ECBC11}" srcOrd="1" destOrd="0" presId="urn:microsoft.com/office/officeart/2008/layout/NameandTitleOrganizationalChart"/>
    <dgm:cxn modelId="{B812082C-9FA9-4358-A071-AB94BECBFB95}" type="presParOf" srcId="{6BE35856-F579-448F-B648-24F590D5B456}" destId="{398A9DF5-741D-441B-A3BB-61299F11F011}" srcOrd="2" destOrd="0" presId="urn:microsoft.com/office/officeart/2008/layout/NameandTitleOrganizationalChart"/>
    <dgm:cxn modelId="{133BA05B-AB57-4257-B962-A85090552985}" type="presParOf" srcId="{A34E6759-B584-4F68-A162-2D09CFF9604D}" destId="{88ACB86F-389C-4B86-8E5B-1FE0CEC75F37}" srcOrd="1" destOrd="0" presId="urn:microsoft.com/office/officeart/2008/layout/NameandTitleOrganizationalChart"/>
    <dgm:cxn modelId="{A6278332-99F0-436D-BB4F-11A66D92CA1D}" type="presParOf" srcId="{A34E6759-B584-4F68-A162-2D09CFF9604D}" destId="{8B16EB87-F9FE-4FEE-8DF4-B11F0B058E92}" srcOrd="2" destOrd="0" presId="urn:microsoft.com/office/officeart/2008/layout/NameandTitleOrganizationalChart"/>
    <dgm:cxn modelId="{C29CCDF8-ECA3-41C7-A0CA-EB47C825E186}" type="presParOf" srcId="{BF63E51E-2D6C-42D8-BEDE-CFBE14B8322E}" destId="{91E4D24E-2039-4886-B516-42372D835860}" srcOrd="2" destOrd="0" presId="urn:microsoft.com/office/officeart/2008/layout/NameandTitleOrganizationalChart"/>
    <dgm:cxn modelId="{C1237568-39D4-4C64-969A-0EE6E6162945}" type="presParOf" srcId="{871A2DE7-4374-4974-A110-B095AC8CA540}" destId="{13E6FA61-EA6C-450B-BD07-71C02D4F6372}" srcOrd="4" destOrd="0" presId="urn:microsoft.com/office/officeart/2008/layout/NameandTitleOrganizationalChart"/>
    <dgm:cxn modelId="{FB22B1D8-7F94-47D7-93B7-C9D3CA87A209}" type="presParOf" srcId="{871A2DE7-4374-4974-A110-B095AC8CA540}" destId="{EBCA514A-5218-420B-BDB9-132F0636AD35}" srcOrd="5" destOrd="0" presId="urn:microsoft.com/office/officeart/2008/layout/NameandTitleOrganizationalChart"/>
    <dgm:cxn modelId="{67C82430-9225-4BD7-AE49-C6319E6A33DF}" type="presParOf" srcId="{EBCA514A-5218-420B-BDB9-132F0636AD35}" destId="{5FABA491-DF2B-4DA8-9E1C-B191EAE002BA}" srcOrd="0" destOrd="0" presId="urn:microsoft.com/office/officeart/2008/layout/NameandTitleOrganizationalChart"/>
    <dgm:cxn modelId="{9AC77A0A-E74A-43FD-B4E2-DD317FBF78B8}" type="presParOf" srcId="{5FABA491-DF2B-4DA8-9E1C-B191EAE002BA}" destId="{0F7FE257-3318-4511-B2A8-5EBFDCBA0C41}" srcOrd="0" destOrd="0" presId="urn:microsoft.com/office/officeart/2008/layout/NameandTitleOrganizationalChart"/>
    <dgm:cxn modelId="{F750CC33-14DF-4627-BE59-4176059E496D}" type="presParOf" srcId="{5FABA491-DF2B-4DA8-9E1C-B191EAE002BA}" destId="{ED0AEAF9-905C-49DA-863E-AFB0BE95C156}" srcOrd="1" destOrd="0" presId="urn:microsoft.com/office/officeart/2008/layout/NameandTitleOrganizationalChart"/>
    <dgm:cxn modelId="{ADD6ABC8-46F6-4C4F-8B14-FFD00AA2A14C}" type="presParOf" srcId="{5FABA491-DF2B-4DA8-9E1C-B191EAE002BA}" destId="{1E14DB2A-8CBE-46BE-BA92-98EF7D06BB3D}" srcOrd="2" destOrd="0" presId="urn:microsoft.com/office/officeart/2008/layout/NameandTitleOrganizationalChart"/>
    <dgm:cxn modelId="{DF856559-7EB1-4171-B5B2-D1564812DA23}" type="presParOf" srcId="{EBCA514A-5218-420B-BDB9-132F0636AD35}" destId="{1457877B-D59D-41EF-9F28-24F052E60254}" srcOrd="1" destOrd="0" presId="urn:microsoft.com/office/officeart/2008/layout/NameandTitleOrganizationalChart"/>
    <dgm:cxn modelId="{EC992D11-3F0F-4D2C-AB3D-C3240DB77079}" type="presParOf" srcId="{1457877B-D59D-41EF-9F28-24F052E60254}" destId="{87D57680-9F6F-43F1-99E5-3BBD2E522927}" srcOrd="0" destOrd="0" presId="urn:microsoft.com/office/officeart/2008/layout/NameandTitleOrganizationalChart"/>
    <dgm:cxn modelId="{D5B8319E-734C-4F86-9DD3-F75416E14736}" type="presParOf" srcId="{1457877B-D59D-41EF-9F28-24F052E60254}" destId="{BD962419-A456-4F89-8182-734C816CB908}" srcOrd="1" destOrd="0" presId="urn:microsoft.com/office/officeart/2008/layout/NameandTitleOrganizationalChart"/>
    <dgm:cxn modelId="{38A19324-383B-4285-9076-254C7C41CEF4}" type="presParOf" srcId="{BD962419-A456-4F89-8182-734C816CB908}" destId="{50791367-4B29-4011-A7FE-D6FCB2011043}" srcOrd="0" destOrd="0" presId="urn:microsoft.com/office/officeart/2008/layout/NameandTitleOrganizationalChart"/>
    <dgm:cxn modelId="{FFE38432-8A67-417C-B8FF-69886B81321B}" type="presParOf" srcId="{50791367-4B29-4011-A7FE-D6FCB2011043}" destId="{E3958C43-B47B-40B6-A140-3C37C5689E31}" srcOrd="0" destOrd="0" presId="urn:microsoft.com/office/officeart/2008/layout/NameandTitleOrganizationalChart"/>
    <dgm:cxn modelId="{0F857EA2-DBC8-45EF-85E3-9B42E8B17543}" type="presParOf" srcId="{50791367-4B29-4011-A7FE-D6FCB2011043}" destId="{3086B19C-1D64-438E-B5A9-5A9E61F89F8E}" srcOrd="1" destOrd="0" presId="urn:microsoft.com/office/officeart/2008/layout/NameandTitleOrganizationalChart"/>
    <dgm:cxn modelId="{DBBF1140-F6F4-4293-B5A0-5BBF0B957105}" type="presParOf" srcId="{50791367-4B29-4011-A7FE-D6FCB2011043}" destId="{7C6CEAE3-6568-4417-B172-FB794D98157E}" srcOrd="2" destOrd="0" presId="urn:microsoft.com/office/officeart/2008/layout/NameandTitleOrganizationalChart"/>
    <dgm:cxn modelId="{F036F9B2-924F-478D-8200-59DFB27ADB5C}" type="presParOf" srcId="{BD962419-A456-4F89-8182-734C816CB908}" destId="{14B20551-397E-4460-ADA4-9343DBBFD018}" srcOrd="1" destOrd="0" presId="urn:microsoft.com/office/officeart/2008/layout/NameandTitleOrganizationalChart"/>
    <dgm:cxn modelId="{89209D6C-6FC5-4354-826D-67D8EC3943B6}" type="presParOf" srcId="{BD962419-A456-4F89-8182-734C816CB908}" destId="{99F756E4-5CCC-42B7-876C-D193EC38C03F}" srcOrd="2" destOrd="0" presId="urn:microsoft.com/office/officeart/2008/layout/NameandTitleOrganizationalChart"/>
    <dgm:cxn modelId="{2E168D84-02B7-4A6A-B30D-F4C05698EB2D}" type="presParOf" srcId="{1457877B-D59D-41EF-9F28-24F052E60254}" destId="{8DF0BFA3-E4DF-4DFA-94FF-DDE6D37AAA3F}" srcOrd="2" destOrd="0" presId="urn:microsoft.com/office/officeart/2008/layout/NameandTitleOrganizationalChart"/>
    <dgm:cxn modelId="{3B7C4D09-3087-4D8B-A5F0-6D3D1E16F7F9}" type="presParOf" srcId="{1457877B-D59D-41EF-9F28-24F052E60254}" destId="{83B92509-5264-4C24-BF67-DD99DA505405}" srcOrd="3" destOrd="0" presId="urn:microsoft.com/office/officeart/2008/layout/NameandTitleOrganizationalChart"/>
    <dgm:cxn modelId="{14C1C3C5-B698-4C52-82B9-B3B41CB668BD}" type="presParOf" srcId="{83B92509-5264-4C24-BF67-DD99DA505405}" destId="{1A616D80-6DF6-4B95-9FD0-02C68B822BCB}" srcOrd="0" destOrd="0" presId="urn:microsoft.com/office/officeart/2008/layout/NameandTitleOrganizationalChart"/>
    <dgm:cxn modelId="{F30E8ED4-718C-4129-963B-D34194C04780}" type="presParOf" srcId="{1A616D80-6DF6-4B95-9FD0-02C68B822BCB}" destId="{D350A84B-4781-47FE-BB69-C66C3EAF51FD}" srcOrd="0" destOrd="0" presId="urn:microsoft.com/office/officeart/2008/layout/NameandTitleOrganizationalChart"/>
    <dgm:cxn modelId="{FED1925C-72C9-4EAC-B550-842E1FFC0471}" type="presParOf" srcId="{1A616D80-6DF6-4B95-9FD0-02C68B822BCB}" destId="{D976B022-F884-48EF-8101-5BF473F32CDE}" srcOrd="1" destOrd="0" presId="urn:microsoft.com/office/officeart/2008/layout/NameandTitleOrganizationalChart"/>
    <dgm:cxn modelId="{47E4A538-13DA-4162-9B88-33B23EC43E67}" type="presParOf" srcId="{1A616D80-6DF6-4B95-9FD0-02C68B822BCB}" destId="{2169A8DD-832F-4C1D-B22A-C359014CF8D2}" srcOrd="2" destOrd="0" presId="urn:microsoft.com/office/officeart/2008/layout/NameandTitleOrganizationalChart"/>
    <dgm:cxn modelId="{6479C260-9F25-40AE-97F3-B7277C4A4565}" type="presParOf" srcId="{83B92509-5264-4C24-BF67-DD99DA505405}" destId="{EE9CF81E-0CA0-4897-9CD7-26B96A204EAC}" srcOrd="1" destOrd="0" presId="urn:microsoft.com/office/officeart/2008/layout/NameandTitleOrganizationalChart"/>
    <dgm:cxn modelId="{6A002232-331D-4DBD-AEDB-CDA5F5D3FBEC}" type="presParOf" srcId="{83B92509-5264-4C24-BF67-DD99DA505405}" destId="{B1042E23-089C-45E0-821A-52E63EF4AB23}" srcOrd="2" destOrd="0" presId="urn:microsoft.com/office/officeart/2008/layout/NameandTitleOrganizationalChart"/>
    <dgm:cxn modelId="{E26142C2-697F-467A-A7C2-4E4CCFA6727B}" type="presParOf" srcId="{1457877B-D59D-41EF-9F28-24F052E60254}" destId="{CD3F070F-20F6-441D-9398-BF94FF7B47B4}" srcOrd="4" destOrd="0" presId="urn:microsoft.com/office/officeart/2008/layout/NameandTitleOrganizationalChart"/>
    <dgm:cxn modelId="{109592C1-1F81-4792-B121-6962680FF643}" type="presParOf" srcId="{1457877B-D59D-41EF-9F28-24F052E60254}" destId="{745C4ED3-3BB1-4CB2-8154-42E89405ADDC}" srcOrd="5" destOrd="0" presId="urn:microsoft.com/office/officeart/2008/layout/NameandTitleOrganizationalChart"/>
    <dgm:cxn modelId="{8BCDA98A-BDF5-4F43-99F3-FAD339495F1C}" type="presParOf" srcId="{745C4ED3-3BB1-4CB2-8154-42E89405ADDC}" destId="{744B8EA4-622A-4BA6-B7C0-1DD8381BA00E}" srcOrd="0" destOrd="0" presId="urn:microsoft.com/office/officeart/2008/layout/NameandTitleOrganizationalChart"/>
    <dgm:cxn modelId="{AD5AFAA4-988B-4402-ACB8-19A0521EA64D}" type="presParOf" srcId="{744B8EA4-622A-4BA6-B7C0-1DD8381BA00E}" destId="{98838342-333D-402F-98D2-589A7A1CF12D}" srcOrd="0" destOrd="0" presId="urn:microsoft.com/office/officeart/2008/layout/NameandTitleOrganizationalChart"/>
    <dgm:cxn modelId="{794F4392-4478-492C-A2F0-45DD00A9CA86}" type="presParOf" srcId="{744B8EA4-622A-4BA6-B7C0-1DD8381BA00E}" destId="{08E4750C-CFBD-48C0-892C-52831820035E}" srcOrd="1" destOrd="0" presId="urn:microsoft.com/office/officeart/2008/layout/NameandTitleOrganizationalChart"/>
    <dgm:cxn modelId="{266B03D5-09F2-4F3E-9A34-13081BB0C660}" type="presParOf" srcId="{744B8EA4-622A-4BA6-B7C0-1DD8381BA00E}" destId="{51D2D6BB-6859-482A-8F17-3B1383653FCF}" srcOrd="2" destOrd="0" presId="urn:microsoft.com/office/officeart/2008/layout/NameandTitleOrganizationalChart"/>
    <dgm:cxn modelId="{A9EDA1A2-2488-4094-A44F-2D48114B6DC9}" type="presParOf" srcId="{745C4ED3-3BB1-4CB2-8154-42E89405ADDC}" destId="{BB891DE8-7A1C-4C79-A916-C81A51F1ED9C}" srcOrd="1" destOrd="0" presId="urn:microsoft.com/office/officeart/2008/layout/NameandTitleOrganizationalChart"/>
    <dgm:cxn modelId="{8F948B98-523B-43C6-827D-E130C116D10D}" type="presParOf" srcId="{745C4ED3-3BB1-4CB2-8154-42E89405ADDC}" destId="{1E63CD70-F272-44C7-987E-0E34755272A0}" srcOrd="2" destOrd="0" presId="urn:microsoft.com/office/officeart/2008/layout/NameandTitleOrganizationalChart"/>
    <dgm:cxn modelId="{14024A4B-4EF8-40A7-BCBF-161520F1276B}" type="presParOf" srcId="{EBCA514A-5218-420B-BDB9-132F0636AD35}" destId="{DB34ED4B-3532-438C-B488-2088FA52D322}" srcOrd="2" destOrd="0" presId="urn:microsoft.com/office/officeart/2008/layout/NameandTitleOrganizationalChart"/>
    <dgm:cxn modelId="{4F39935D-E141-42DA-8DF4-1E49E230CCAF}" type="presParOf" srcId="{871A2DE7-4374-4974-A110-B095AC8CA540}" destId="{77E2E251-1505-4B62-B6B3-4C2D349A4482}" srcOrd="6" destOrd="0" presId="urn:microsoft.com/office/officeart/2008/layout/NameandTitleOrganizationalChart"/>
    <dgm:cxn modelId="{382F4915-00DA-408C-AC7A-77A9759FDF86}" type="presParOf" srcId="{871A2DE7-4374-4974-A110-B095AC8CA540}" destId="{17E709D7-5799-4B58-B561-7F4E2F62E822}" srcOrd="7" destOrd="0" presId="urn:microsoft.com/office/officeart/2008/layout/NameandTitleOrganizationalChart"/>
    <dgm:cxn modelId="{6D9DB686-29D3-498B-AE7C-C968C1177072}" type="presParOf" srcId="{17E709D7-5799-4B58-B561-7F4E2F62E822}" destId="{619A0135-C157-4DE5-8577-903737F0F81F}" srcOrd="0" destOrd="0" presId="urn:microsoft.com/office/officeart/2008/layout/NameandTitleOrganizationalChart"/>
    <dgm:cxn modelId="{362B8D82-5438-463D-8AAE-85C4D54B2562}" type="presParOf" srcId="{619A0135-C157-4DE5-8577-903737F0F81F}" destId="{16354587-0DC7-44CA-895D-3F5ADCC55956}" srcOrd="0" destOrd="0" presId="urn:microsoft.com/office/officeart/2008/layout/NameandTitleOrganizationalChart"/>
    <dgm:cxn modelId="{BF723F3D-786E-4EE5-B48F-AC5A2138B7FD}" type="presParOf" srcId="{619A0135-C157-4DE5-8577-903737F0F81F}" destId="{51C089F5-362B-4954-BB38-44F46E63B652}" srcOrd="1" destOrd="0" presId="urn:microsoft.com/office/officeart/2008/layout/NameandTitleOrganizationalChart"/>
    <dgm:cxn modelId="{6B15B0DB-A780-4F3E-8552-BC7D0F697C6B}" type="presParOf" srcId="{619A0135-C157-4DE5-8577-903737F0F81F}" destId="{765EEF37-14EC-42E4-A79E-D7313B98ABE6}" srcOrd="2" destOrd="0" presId="urn:microsoft.com/office/officeart/2008/layout/NameandTitleOrganizationalChart"/>
    <dgm:cxn modelId="{2BF4916F-B4FB-4EBA-900F-D7C1A1C61E6F}" type="presParOf" srcId="{17E709D7-5799-4B58-B561-7F4E2F62E822}" destId="{18A1B5AB-9E93-4D35-8D35-1FA8786E7089}" srcOrd="1" destOrd="0" presId="urn:microsoft.com/office/officeart/2008/layout/NameandTitleOrganizationalChart"/>
    <dgm:cxn modelId="{16533055-C83E-47C9-8A45-DC387009A523}" type="presParOf" srcId="{18A1B5AB-9E93-4D35-8D35-1FA8786E7089}" destId="{CA458D15-435E-4DCE-AF28-195BEB13B84C}" srcOrd="0" destOrd="0" presId="urn:microsoft.com/office/officeart/2008/layout/NameandTitleOrganizationalChart"/>
    <dgm:cxn modelId="{2B360665-690F-4B27-B3A9-7D229B2C53D1}" type="presParOf" srcId="{18A1B5AB-9E93-4D35-8D35-1FA8786E7089}" destId="{EE6B530E-BE30-4E11-8C17-F84F5F86CCD8}" srcOrd="1" destOrd="0" presId="urn:microsoft.com/office/officeart/2008/layout/NameandTitleOrganizationalChart"/>
    <dgm:cxn modelId="{F8E9811C-33A1-430F-B3C6-7D637370CD6E}" type="presParOf" srcId="{EE6B530E-BE30-4E11-8C17-F84F5F86CCD8}" destId="{80920C57-2DC8-4706-9A56-31EC4A311D3F}" srcOrd="0" destOrd="0" presId="urn:microsoft.com/office/officeart/2008/layout/NameandTitleOrganizationalChart"/>
    <dgm:cxn modelId="{2026D246-8E24-46E2-B2F9-9A5B6B3D6170}" type="presParOf" srcId="{80920C57-2DC8-4706-9A56-31EC4A311D3F}" destId="{2F5F9BB8-02D6-4A79-BC65-B512B2912757}" srcOrd="0" destOrd="0" presId="urn:microsoft.com/office/officeart/2008/layout/NameandTitleOrganizationalChart"/>
    <dgm:cxn modelId="{E60AABD0-4AD4-4D56-AAE8-575DA1C57C93}" type="presParOf" srcId="{80920C57-2DC8-4706-9A56-31EC4A311D3F}" destId="{95B09502-8910-4CC6-ABDA-67A519F9FD87}" srcOrd="1" destOrd="0" presId="urn:microsoft.com/office/officeart/2008/layout/NameandTitleOrganizationalChart"/>
    <dgm:cxn modelId="{4F7A4836-A5AD-428A-AD9A-19EF1E188DEF}" type="presParOf" srcId="{80920C57-2DC8-4706-9A56-31EC4A311D3F}" destId="{8D5CFADB-5F43-4D7F-8F55-9B91B3F23B26}" srcOrd="2" destOrd="0" presId="urn:microsoft.com/office/officeart/2008/layout/NameandTitleOrganizationalChart"/>
    <dgm:cxn modelId="{B592E492-A4B7-48CA-A698-437D8F539429}" type="presParOf" srcId="{EE6B530E-BE30-4E11-8C17-F84F5F86CCD8}" destId="{69801299-DF0D-48CE-BF96-D1E90E92E617}" srcOrd="1" destOrd="0" presId="urn:microsoft.com/office/officeart/2008/layout/NameandTitleOrganizationalChart"/>
    <dgm:cxn modelId="{175C4D07-B7F3-478D-9771-977C858223F3}" type="presParOf" srcId="{EE6B530E-BE30-4E11-8C17-F84F5F86CCD8}" destId="{15EEF6E7-B70C-4E90-84DD-818720E5379D}" srcOrd="2" destOrd="0" presId="urn:microsoft.com/office/officeart/2008/layout/NameandTitleOrganizationalChart"/>
    <dgm:cxn modelId="{7EB006E7-2E1D-4DE4-8E65-369D9E0805F2}" type="presParOf" srcId="{18A1B5AB-9E93-4D35-8D35-1FA8786E7089}" destId="{5E86A909-4A31-417D-9EF3-B63CB7C906CE}" srcOrd="2" destOrd="0" presId="urn:microsoft.com/office/officeart/2008/layout/NameandTitleOrganizationalChart"/>
    <dgm:cxn modelId="{9642ECE9-120F-4151-B123-275FD9549426}" type="presParOf" srcId="{18A1B5AB-9E93-4D35-8D35-1FA8786E7089}" destId="{8E7750A1-43E7-494C-858E-6A9E2304EC2F}" srcOrd="3" destOrd="0" presId="urn:microsoft.com/office/officeart/2008/layout/NameandTitleOrganizationalChart"/>
    <dgm:cxn modelId="{3BB541CC-9A6A-4CE2-ABDA-BFFD087646CB}" type="presParOf" srcId="{8E7750A1-43E7-494C-858E-6A9E2304EC2F}" destId="{5BD390F9-8F6B-4544-B6A2-7F2808E06D8D}" srcOrd="0" destOrd="0" presId="urn:microsoft.com/office/officeart/2008/layout/NameandTitleOrganizationalChart"/>
    <dgm:cxn modelId="{1A58E313-85CC-4474-B9E5-420EC89E011B}" type="presParOf" srcId="{5BD390F9-8F6B-4544-B6A2-7F2808E06D8D}" destId="{E0B18F51-2E36-484A-BD5E-F884444C8260}" srcOrd="0" destOrd="0" presId="urn:microsoft.com/office/officeart/2008/layout/NameandTitleOrganizationalChart"/>
    <dgm:cxn modelId="{8B1C55EA-17DB-4D49-B190-ECDC30C99AEB}" type="presParOf" srcId="{5BD390F9-8F6B-4544-B6A2-7F2808E06D8D}" destId="{93AC23B4-2C65-4F3B-B883-BD86896328E9}" srcOrd="1" destOrd="0" presId="urn:microsoft.com/office/officeart/2008/layout/NameandTitleOrganizationalChart"/>
    <dgm:cxn modelId="{88AF4E76-DDD0-4CB3-A3E7-4CF143B6052D}" type="presParOf" srcId="{5BD390F9-8F6B-4544-B6A2-7F2808E06D8D}" destId="{9A2E4C9D-6F06-41CD-B697-6BE7079366C5}" srcOrd="2" destOrd="0" presId="urn:microsoft.com/office/officeart/2008/layout/NameandTitleOrganizationalChart"/>
    <dgm:cxn modelId="{013BA654-40B9-43C0-9160-E8D9EF2BDBCD}" type="presParOf" srcId="{8E7750A1-43E7-494C-858E-6A9E2304EC2F}" destId="{4870B23C-B706-4A80-9720-7E488C15D5FB}" srcOrd="1" destOrd="0" presId="urn:microsoft.com/office/officeart/2008/layout/NameandTitleOrganizationalChart"/>
    <dgm:cxn modelId="{EDE0698E-434C-49E4-A5AE-7E48692B4089}" type="presParOf" srcId="{8E7750A1-43E7-494C-858E-6A9E2304EC2F}" destId="{3758941B-8A41-4F3E-B075-29FDA5C459DE}" srcOrd="2" destOrd="0" presId="urn:microsoft.com/office/officeart/2008/layout/NameandTitleOrganizationalChart"/>
    <dgm:cxn modelId="{83E395B4-A4C2-46A1-B7DF-E4D8D4E82ECF}" type="presParOf" srcId="{17E709D7-5799-4B58-B561-7F4E2F62E822}" destId="{16D0CC32-7984-498E-8FB3-FA907B51EFEF}" srcOrd="2" destOrd="0" presId="urn:microsoft.com/office/officeart/2008/layout/NameandTitleOrganizationalChart"/>
    <dgm:cxn modelId="{A056D6CA-CC22-4483-BBFD-1F4D75491115}" type="presParOf" srcId="{36477F77-B483-4494-9714-E89E5D5D6693}" destId="{DFF44880-033E-42B8-B5D5-403C80AE0587}" srcOrd="2" destOrd="0" presId="urn:microsoft.com/office/officeart/2008/layout/NameandTitleOrganizationalChart"/>
    <dgm:cxn modelId="{4737A6A0-EBD9-4341-ABA1-4DA825E456BE}" type="presParOf" srcId="{DFF44880-033E-42B8-B5D5-403C80AE0587}" destId="{971EE25D-1DF2-4F48-9857-50E5A7DE1C90}" srcOrd="0" destOrd="0" presId="urn:microsoft.com/office/officeart/2008/layout/NameandTitleOrganizationalChart"/>
    <dgm:cxn modelId="{22FE4D09-A1BF-4BB3-8F9A-118E801DADCB}" type="presParOf" srcId="{DFF44880-033E-42B8-B5D5-403C80AE0587}" destId="{5C703E23-0D4D-4E01-8618-6F64C6010D32}" srcOrd="1" destOrd="0" presId="urn:microsoft.com/office/officeart/2008/layout/NameandTitleOrganizationalChart"/>
    <dgm:cxn modelId="{2ACB274A-07D1-46D6-B15F-72C87062AFF6}" type="presParOf" srcId="{5C703E23-0D4D-4E01-8618-6F64C6010D32}" destId="{E5FCE7EC-216D-402D-B762-34D9145BF91D}" srcOrd="0" destOrd="0" presId="urn:microsoft.com/office/officeart/2008/layout/NameandTitleOrganizationalChart"/>
    <dgm:cxn modelId="{C62835E1-DF1C-4B6D-95CE-86A3A00C052E}" type="presParOf" srcId="{E5FCE7EC-216D-402D-B762-34D9145BF91D}" destId="{7BD876AD-34A8-4756-A24B-6EC2940D0043}" srcOrd="0" destOrd="0" presId="urn:microsoft.com/office/officeart/2008/layout/NameandTitleOrganizationalChart"/>
    <dgm:cxn modelId="{E4168A0A-B59D-4612-A9F1-69CED60A764A}" type="presParOf" srcId="{E5FCE7EC-216D-402D-B762-34D9145BF91D}" destId="{3A6BD22F-9E29-4118-AA90-E4D90393EAFC}" srcOrd="1" destOrd="0" presId="urn:microsoft.com/office/officeart/2008/layout/NameandTitleOrganizationalChart"/>
    <dgm:cxn modelId="{C69A8B44-823C-40B3-BFBD-48B1CAB17E46}" type="presParOf" srcId="{E5FCE7EC-216D-402D-B762-34D9145BF91D}" destId="{2C300209-532B-4ACD-96D0-2F85BDE828A6}" srcOrd="2" destOrd="0" presId="urn:microsoft.com/office/officeart/2008/layout/NameandTitleOrganizationalChart"/>
    <dgm:cxn modelId="{E1B6DFFB-8004-48F3-9263-10CF590640A8}" type="presParOf" srcId="{5C703E23-0D4D-4E01-8618-6F64C6010D32}" destId="{AAF7089A-AE98-4A9B-9D7F-0F68094124B2}" srcOrd="1" destOrd="0" presId="urn:microsoft.com/office/officeart/2008/layout/NameandTitleOrganizationalChart"/>
    <dgm:cxn modelId="{67F95098-53E2-4671-B730-1592DFBC546E}" type="presParOf" srcId="{5C703E23-0D4D-4E01-8618-6F64C6010D32}" destId="{BFBB8A1F-BA9A-4C09-940F-07B8471EA53A}" srcOrd="2" destOrd="0" presId="urn:microsoft.com/office/officeart/2008/layout/NameandTitleOrganizationalChart"/>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E8FC79B-76F0-41F5-A012-3187A9AC115C}"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ru-RU"/>
        </a:p>
      </dgm:t>
    </dgm:pt>
    <dgm:pt modelId="{F1654C6F-1BCD-47E6-96F0-4A8D2BF55594}">
      <dgm:prSet phldrT="[Текст]" custT="1"/>
      <dgm:spPr>
        <a:solidFill>
          <a:schemeClr val="tx1"/>
        </a:solidFill>
      </dgm:spPr>
      <dgm:t>
        <a:bodyPr/>
        <a:lstStyle/>
        <a:p>
          <a:r>
            <a:rPr lang="en-US" sz="1600">
              <a:solidFill>
                <a:srgbClr val="FF0000"/>
              </a:solidFill>
            </a:rPr>
            <a:t>Navy</a:t>
          </a:r>
          <a:endParaRPr lang="ru-RU" sz="1600">
            <a:solidFill>
              <a:srgbClr val="FF0000"/>
            </a:solidFill>
          </a:endParaRPr>
        </a:p>
      </dgm:t>
    </dgm:pt>
    <dgm:pt modelId="{4CE9B61C-568F-43E8-AB96-40EE191856F6}" type="parTrans" cxnId="{CC0B8882-9725-42FD-9C16-54C75F2DE13D}">
      <dgm:prSet/>
      <dgm:spPr/>
      <dgm:t>
        <a:bodyPr/>
        <a:lstStyle/>
        <a:p>
          <a:endParaRPr lang="ru-RU"/>
        </a:p>
      </dgm:t>
    </dgm:pt>
    <dgm:pt modelId="{735989BA-7323-449A-96EE-97D89A4D71DB}" type="sibTrans" cxnId="{CC0B8882-9725-42FD-9C16-54C75F2DE13D}">
      <dgm:prSet/>
      <dgm:spPr/>
      <dgm:t>
        <a:bodyPr/>
        <a:lstStyle/>
        <a:p>
          <a:r>
            <a:rPr lang="en-US"/>
            <a:t>61</a:t>
          </a:r>
          <a:endParaRPr lang="ru-RU"/>
        </a:p>
      </dgm:t>
    </dgm:pt>
    <dgm:pt modelId="{727E455D-E88A-4DFB-B24F-D6A498317184}">
      <dgm:prSet phldrT="[Текст]"/>
      <dgm:spPr>
        <a:solidFill>
          <a:srgbClr val="002060"/>
        </a:solidFill>
        <a:ln>
          <a:solidFill>
            <a:srgbClr val="FFC000"/>
          </a:solidFill>
        </a:ln>
      </dgm:spPr>
      <dgm:t>
        <a:bodyPr/>
        <a:lstStyle/>
        <a:p>
          <a:r>
            <a:rPr lang="en-US"/>
            <a:t>Suzail Fleet</a:t>
          </a:r>
          <a:endParaRPr lang="ru-RU"/>
        </a:p>
      </dgm:t>
    </dgm:pt>
    <dgm:pt modelId="{BDBC6950-F7AB-4F56-8B83-4D814DE532CC}" type="parTrans" cxnId="{6D04BE88-3F33-471B-BE40-5B94A42C6CF9}">
      <dgm:prSet/>
      <dgm:spPr/>
      <dgm:t>
        <a:bodyPr/>
        <a:lstStyle/>
        <a:p>
          <a:endParaRPr lang="ru-RU"/>
        </a:p>
      </dgm:t>
    </dgm:pt>
    <dgm:pt modelId="{3053ACE6-D7D7-473E-B21D-3A2FEC13D5F0}" type="sibTrans" cxnId="{6D04BE88-3F33-471B-BE40-5B94A42C6CF9}">
      <dgm:prSet/>
      <dgm:spPr/>
      <dgm:t>
        <a:bodyPr/>
        <a:lstStyle/>
        <a:p>
          <a:r>
            <a:rPr lang="en-US"/>
            <a:t>14</a:t>
          </a:r>
          <a:endParaRPr lang="ru-RU"/>
        </a:p>
      </dgm:t>
    </dgm:pt>
    <dgm:pt modelId="{11953D8A-6EAC-4E7A-AD95-EB292D54A892}">
      <dgm:prSet phldrT="[Текст]"/>
      <dgm:spPr>
        <a:solidFill>
          <a:srgbClr val="002060"/>
        </a:solidFill>
        <a:ln>
          <a:solidFill>
            <a:srgbClr val="FFC000"/>
          </a:solidFill>
        </a:ln>
      </dgm:spPr>
      <dgm:t>
        <a:bodyPr/>
        <a:lstStyle/>
        <a:p>
          <a:r>
            <a:rPr lang="en-US"/>
            <a:t>Marsember Fleet</a:t>
          </a:r>
          <a:endParaRPr lang="ru-RU"/>
        </a:p>
      </dgm:t>
    </dgm:pt>
    <dgm:pt modelId="{DF3B1DC3-9201-4EED-951D-5726E1303F11}" type="parTrans" cxnId="{3F1F3FE6-1C0B-434E-A350-9EE17A26FDB6}">
      <dgm:prSet/>
      <dgm:spPr/>
      <dgm:t>
        <a:bodyPr/>
        <a:lstStyle/>
        <a:p>
          <a:endParaRPr lang="ru-RU"/>
        </a:p>
      </dgm:t>
    </dgm:pt>
    <dgm:pt modelId="{7E7D5A36-99D7-499C-AE9B-1B77F7291EF2}" type="sibTrans" cxnId="{3F1F3FE6-1C0B-434E-A350-9EE17A26FDB6}">
      <dgm:prSet/>
      <dgm:spPr/>
      <dgm:t>
        <a:bodyPr/>
        <a:lstStyle/>
        <a:p>
          <a:r>
            <a:rPr lang="en-US"/>
            <a:t>16</a:t>
          </a:r>
          <a:endParaRPr lang="ru-RU"/>
        </a:p>
      </dgm:t>
    </dgm:pt>
    <dgm:pt modelId="{6BBBEDFC-16B6-4F94-8A24-1672C160C7C8}">
      <dgm:prSet phldrT="[Текст]"/>
      <dgm:spPr>
        <a:solidFill>
          <a:srgbClr val="002060"/>
        </a:solidFill>
        <a:ln>
          <a:solidFill>
            <a:srgbClr val="FFC000"/>
          </a:solidFill>
        </a:ln>
      </dgm:spPr>
      <dgm:t>
        <a:bodyPr/>
        <a:lstStyle/>
        <a:p>
          <a:r>
            <a:rPr lang="en-US"/>
            <a:t>Dawngleam Fleet</a:t>
          </a:r>
          <a:endParaRPr lang="ru-RU"/>
        </a:p>
      </dgm:t>
    </dgm:pt>
    <dgm:pt modelId="{14076670-5B22-4D8B-BE56-D538804E1A23}" type="parTrans" cxnId="{11BC50B5-A49E-4182-B378-2996AA1E7CC3}">
      <dgm:prSet/>
      <dgm:spPr/>
      <dgm:t>
        <a:bodyPr/>
        <a:lstStyle/>
        <a:p>
          <a:endParaRPr lang="ru-RU"/>
        </a:p>
      </dgm:t>
    </dgm:pt>
    <dgm:pt modelId="{77F6E827-1A02-4370-9B9C-07F44C03C9A9}" type="sibTrans" cxnId="{11BC50B5-A49E-4182-B378-2996AA1E7CC3}">
      <dgm:prSet/>
      <dgm:spPr/>
      <dgm:t>
        <a:bodyPr/>
        <a:lstStyle/>
        <a:p>
          <a:r>
            <a:rPr lang="en-US"/>
            <a:t>14</a:t>
          </a:r>
          <a:endParaRPr lang="ru-RU"/>
        </a:p>
      </dgm:t>
    </dgm:pt>
    <dgm:pt modelId="{CE17AF00-C362-4AAD-B419-AFEED7EBD340}" type="asst">
      <dgm:prSet/>
      <dgm:spPr>
        <a:solidFill>
          <a:srgbClr val="00B0F0"/>
        </a:solidFill>
        <a:ln>
          <a:solidFill>
            <a:srgbClr val="FFC000"/>
          </a:solidFill>
        </a:ln>
      </dgm:spPr>
      <dgm:t>
        <a:bodyPr/>
        <a:lstStyle/>
        <a:p>
          <a:r>
            <a:rPr lang="en-US"/>
            <a:t>6 Squadron</a:t>
          </a:r>
          <a:endParaRPr lang="ru-RU"/>
        </a:p>
      </dgm:t>
    </dgm:pt>
    <dgm:pt modelId="{6DDC9699-6ED4-4599-90BC-1787E5B9D759}" type="parTrans" cxnId="{995B4D18-FB85-49CF-94DE-99BF4726B2F5}">
      <dgm:prSet/>
      <dgm:spPr/>
      <dgm:t>
        <a:bodyPr/>
        <a:lstStyle/>
        <a:p>
          <a:endParaRPr lang="ru-RU"/>
        </a:p>
      </dgm:t>
    </dgm:pt>
    <dgm:pt modelId="{22B17A02-EB59-430D-8F2D-EAA86288C4BD}" type="sibTrans" cxnId="{995B4D18-FB85-49CF-94DE-99BF4726B2F5}">
      <dgm:prSet/>
      <dgm:spPr/>
      <dgm:t>
        <a:bodyPr/>
        <a:lstStyle/>
        <a:p>
          <a:r>
            <a:rPr lang="en-US"/>
            <a:t>5</a:t>
          </a:r>
          <a:endParaRPr lang="ru-RU"/>
        </a:p>
      </dgm:t>
    </dgm:pt>
    <dgm:pt modelId="{138F9918-DA42-4656-9F0E-FED203FE44E2}">
      <dgm:prSet/>
      <dgm:spPr>
        <a:solidFill>
          <a:srgbClr val="00B0F0"/>
        </a:solidFill>
        <a:ln>
          <a:solidFill>
            <a:srgbClr val="FFC000"/>
          </a:solidFill>
        </a:ln>
      </dgm:spPr>
      <dgm:t>
        <a:bodyPr/>
        <a:lstStyle/>
        <a:p>
          <a:r>
            <a:rPr lang="en-US"/>
            <a:t>1st Squadron</a:t>
          </a:r>
          <a:endParaRPr lang="ru-RU"/>
        </a:p>
      </dgm:t>
    </dgm:pt>
    <dgm:pt modelId="{5DA6C0B1-11A5-47B7-B6F9-F42DC4B133E4}" type="parTrans" cxnId="{812EB078-C9D6-479B-BCB9-F2420E627186}">
      <dgm:prSet/>
      <dgm:spPr/>
      <dgm:t>
        <a:bodyPr/>
        <a:lstStyle/>
        <a:p>
          <a:endParaRPr lang="ru-RU"/>
        </a:p>
      </dgm:t>
    </dgm:pt>
    <dgm:pt modelId="{391AC4E5-B898-46B2-B0F3-777182E071C7}" type="sibTrans" cxnId="{812EB078-C9D6-479B-BCB9-F2420E627186}">
      <dgm:prSet/>
      <dgm:spPr/>
      <dgm:t>
        <a:bodyPr/>
        <a:lstStyle/>
        <a:p>
          <a:r>
            <a:rPr lang="en-US"/>
            <a:t>5</a:t>
          </a:r>
          <a:endParaRPr lang="ru-RU"/>
        </a:p>
      </dgm:t>
    </dgm:pt>
    <dgm:pt modelId="{0E678B1D-CA7A-44BE-96D9-7C879A76AD2A}">
      <dgm:prSet/>
      <dgm:spPr>
        <a:solidFill>
          <a:srgbClr val="00B0F0"/>
        </a:solidFill>
        <a:ln>
          <a:solidFill>
            <a:srgbClr val="FFC000"/>
          </a:solidFill>
        </a:ln>
      </dgm:spPr>
      <dgm:t>
        <a:bodyPr/>
        <a:lstStyle/>
        <a:p>
          <a:r>
            <a:rPr lang="en-US"/>
            <a:t>2nd Squadron</a:t>
          </a:r>
          <a:endParaRPr lang="ru-RU"/>
        </a:p>
      </dgm:t>
    </dgm:pt>
    <dgm:pt modelId="{07C11DA3-3B8C-47F3-82C9-2B9835BA9CFE}" type="parTrans" cxnId="{77BC9CCB-F56F-435D-9763-1CF0548BFB5C}">
      <dgm:prSet/>
      <dgm:spPr/>
      <dgm:t>
        <a:bodyPr/>
        <a:lstStyle/>
        <a:p>
          <a:endParaRPr lang="ru-RU"/>
        </a:p>
      </dgm:t>
    </dgm:pt>
    <dgm:pt modelId="{086F9518-64B4-4320-B00E-F08546F93515}" type="sibTrans" cxnId="{77BC9CCB-F56F-435D-9763-1CF0548BFB5C}">
      <dgm:prSet/>
      <dgm:spPr/>
      <dgm:t>
        <a:bodyPr/>
        <a:lstStyle/>
        <a:p>
          <a:r>
            <a:rPr lang="en-US"/>
            <a:t>4</a:t>
          </a:r>
          <a:endParaRPr lang="ru-RU"/>
        </a:p>
      </dgm:t>
    </dgm:pt>
    <dgm:pt modelId="{78C8840C-70B7-4CF7-BA4E-DE17C1DDBB80}">
      <dgm:prSet/>
      <dgm:spPr>
        <a:solidFill>
          <a:srgbClr val="00B0F0"/>
        </a:solidFill>
        <a:ln>
          <a:solidFill>
            <a:srgbClr val="FFC000"/>
          </a:solidFill>
        </a:ln>
      </dgm:spPr>
      <dgm:t>
        <a:bodyPr/>
        <a:lstStyle/>
        <a:p>
          <a:r>
            <a:rPr lang="en-US"/>
            <a:t>3rd Squadron</a:t>
          </a:r>
          <a:endParaRPr lang="ru-RU"/>
        </a:p>
      </dgm:t>
    </dgm:pt>
    <dgm:pt modelId="{A1602992-DC71-4329-B7B5-638E30ECA561}" type="parTrans" cxnId="{7477D1FE-3189-467C-90E9-206AC7B6F1E9}">
      <dgm:prSet/>
      <dgm:spPr/>
      <dgm:t>
        <a:bodyPr/>
        <a:lstStyle/>
        <a:p>
          <a:endParaRPr lang="ru-RU"/>
        </a:p>
      </dgm:t>
    </dgm:pt>
    <dgm:pt modelId="{B7A1435E-2B8E-4853-8C1A-3DF880396857}" type="sibTrans" cxnId="{7477D1FE-3189-467C-90E9-206AC7B6F1E9}">
      <dgm:prSet/>
      <dgm:spPr/>
      <dgm:t>
        <a:bodyPr/>
        <a:lstStyle/>
        <a:p>
          <a:r>
            <a:rPr lang="en-US"/>
            <a:t>4</a:t>
          </a:r>
          <a:endParaRPr lang="ru-RU"/>
        </a:p>
      </dgm:t>
    </dgm:pt>
    <dgm:pt modelId="{35744798-F8E7-45C5-8A66-513833856EAB}">
      <dgm:prSet phldrT="[Текст]"/>
      <dgm:spPr>
        <a:solidFill>
          <a:srgbClr val="00B0F0"/>
        </a:solidFill>
        <a:ln>
          <a:solidFill>
            <a:srgbClr val="FFC000"/>
          </a:solidFill>
        </a:ln>
      </dgm:spPr>
      <dgm:t>
        <a:bodyPr/>
        <a:lstStyle/>
        <a:p>
          <a:r>
            <a:rPr lang="en-US"/>
            <a:t>4 Squadron</a:t>
          </a:r>
          <a:endParaRPr lang="ru-RU"/>
        </a:p>
      </dgm:t>
    </dgm:pt>
    <dgm:pt modelId="{2B8F8450-49D5-4D3C-9E6D-424054820BBE}" type="parTrans" cxnId="{25BB86EA-8373-4D0F-B050-6F9AD501731B}">
      <dgm:prSet/>
      <dgm:spPr/>
      <dgm:t>
        <a:bodyPr/>
        <a:lstStyle/>
        <a:p>
          <a:endParaRPr lang="ru-RU"/>
        </a:p>
      </dgm:t>
    </dgm:pt>
    <dgm:pt modelId="{AA703480-1A17-4BCC-ABD0-7108BF384347}" type="sibTrans" cxnId="{25BB86EA-8373-4D0F-B050-6F9AD501731B}">
      <dgm:prSet/>
      <dgm:spPr/>
      <dgm:t>
        <a:bodyPr/>
        <a:lstStyle/>
        <a:p>
          <a:r>
            <a:rPr lang="en-US"/>
            <a:t>6</a:t>
          </a:r>
          <a:endParaRPr lang="ru-RU"/>
        </a:p>
      </dgm:t>
    </dgm:pt>
    <dgm:pt modelId="{10E72BEC-3226-4401-BF29-1B348A3CD7E7}">
      <dgm:prSet phldrT="[Текст]"/>
      <dgm:spPr>
        <a:solidFill>
          <a:srgbClr val="00B0F0"/>
        </a:solidFill>
        <a:ln>
          <a:solidFill>
            <a:srgbClr val="FFC000"/>
          </a:solidFill>
        </a:ln>
      </dgm:spPr>
      <dgm:t>
        <a:bodyPr/>
        <a:lstStyle/>
        <a:p>
          <a:r>
            <a:rPr lang="en-US"/>
            <a:t>5 Squadron</a:t>
          </a:r>
          <a:endParaRPr lang="ru-RU"/>
        </a:p>
      </dgm:t>
    </dgm:pt>
    <dgm:pt modelId="{00DB5D1C-9548-488C-A254-2D1C08BF18E7}" type="parTrans" cxnId="{0BFED71D-56D8-402C-837F-3DBAFAEF70CA}">
      <dgm:prSet/>
      <dgm:spPr/>
      <dgm:t>
        <a:bodyPr/>
        <a:lstStyle/>
        <a:p>
          <a:endParaRPr lang="ru-RU"/>
        </a:p>
      </dgm:t>
    </dgm:pt>
    <dgm:pt modelId="{BEE46344-EE54-4BAD-BF32-AE5629A1684A}" type="sibTrans" cxnId="{0BFED71D-56D8-402C-837F-3DBAFAEF70CA}">
      <dgm:prSet/>
      <dgm:spPr/>
      <dgm:t>
        <a:bodyPr/>
        <a:lstStyle/>
        <a:p>
          <a:r>
            <a:rPr lang="en-US"/>
            <a:t>5</a:t>
          </a:r>
          <a:endParaRPr lang="ru-RU"/>
        </a:p>
      </dgm:t>
    </dgm:pt>
    <dgm:pt modelId="{C1445725-D6B2-42B1-866B-840AD260B3B3}">
      <dgm:prSet phldrT="[Текст]"/>
      <dgm:spPr>
        <a:solidFill>
          <a:srgbClr val="00B0F0"/>
        </a:solidFill>
        <a:ln>
          <a:solidFill>
            <a:srgbClr val="FFC000"/>
          </a:solidFill>
        </a:ln>
      </dgm:spPr>
      <dgm:t>
        <a:bodyPr/>
        <a:lstStyle/>
        <a:p>
          <a:r>
            <a:rPr lang="en-US"/>
            <a:t>Training Squadron</a:t>
          </a:r>
          <a:endParaRPr lang="ru-RU"/>
        </a:p>
      </dgm:t>
    </dgm:pt>
    <dgm:pt modelId="{07A0371C-38D4-491B-BC1A-F8DB1ECA7AB0}" type="parTrans" cxnId="{9A9376AA-3C32-42B9-85F9-163BE46720A0}">
      <dgm:prSet/>
      <dgm:spPr/>
      <dgm:t>
        <a:bodyPr/>
        <a:lstStyle/>
        <a:p>
          <a:endParaRPr lang="ru-RU"/>
        </a:p>
      </dgm:t>
    </dgm:pt>
    <dgm:pt modelId="{20D21282-5816-47C4-AB63-4C21E41FDC2A}" type="sibTrans" cxnId="{9A9376AA-3C32-42B9-85F9-163BE46720A0}">
      <dgm:prSet/>
      <dgm:spPr/>
      <dgm:t>
        <a:bodyPr/>
        <a:lstStyle/>
        <a:p>
          <a:r>
            <a:rPr lang="en-US"/>
            <a:t>4</a:t>
          </a:r>
          <a:endParaRPr lang="ru-RU"/>
        </a:p>
      </dgm:t>
    </dgm:pt>
    <dgm:pt modelId="{CDC1C333-31D5-4E80-9ED7-6EBE06399FED}" type="asst">
      <dgm:prSet/>
      <dgm:spPr>
        <a:solidFill>
          <a:srgbClr val="00B0F0"/>
        </a:solidFill>
        <a:ln>
          <a:solidFill>
            <a:srgbClr val="FFC000"/>
          </a:solidFill>
        </a:ln>
      </dgm:spPr>
      <dgm:t>
        <a:bodyPr/>
        <a:lstStyle/>
        <a:p>
          <a:r>
            <a:rPr lang="en-US"/>
            <a:t>7 Squadron</a:t>
          </a:r>
          <a:endParaRPr lang="ru-RU"/>
        </a:p>
      </dgm:t>
    </dgm:pt>
    <dgm:pt modelId="{E38461A3-4A23-453E-811E-BE847976849C}" type="parTrans" cxnId="{065A4557-92A1-431A-B54C-6C303BC827EF}">
      <dgm:prSet/>
      <dgm:spPr/>
      <dgm:t>
        <a:bodyPr/>
        <a:lstStyle/>
        <a:p>
          <a:endParaRPr lang="ru-RU"/>
        </a:p>
      </dgm:t>
    </dgm:pt>
    <dgm:pt modelId="{9F3D1EB5-2769-42EF-ADF6-8769EC34216C}" type="sibTrans" cxnId="{065A4557-92A1-431A-B54C-6C303BC827EF}">
      <dgm:prSet/>
      <dgm:spPr/>
      <dgm:t>
        <a:bodyPr/>
        <a:lstStyle/>
        <a:p>
          <a:r>
            <a:rPr lang="en-US"/>
            <a:t>5</a:t>
          </a:r>
          <a:endParaRPr lang="ru-RU"/>
        </a:p>
      </dgm:t>
    </dgm:pt>
    <dgm:pt modelId="{BF65CACB-4582-4818-A251-353985DA888E}">
      <dgm:prSet custT="1"/>
      <dgm:spPr>
        <a:solidFill>
          <a:schemeClr val="tx1"/>
        </a:solidFill>
        <a:ln w="12700" cap="flat" cmpd="sng" algn="ctr">
          <a:solidFill>
            <a:srgbClr val="FFC000"/>
          </a:solidFill>
          <a:prstDash val="solid"/>
        </a:ln>
        <a:effectLst/>
      </dgm:spPr>
      <dgm:t>
        <a:bodyPr spcFirstLastPara="0" vert="horz" wrap="square" lIns="5080" tIns="5080" rIns="5080" bIns="51963" numCol="1" spcCol="1270" anchor="ctr" anchorCtr="0"/>
        <a:lstStyle/>
        <a:p>
          <a:r>
            <a:rPr lang="en-US" sz="1000" b="1" kern="1200">
              <a:solidFill>
                <a:srgbClr val="FF0000"/>
              </a:solidFill>
              <a:latin typeface="Lato"/>
              <a:ea typeface="+mn-ea"/>
              <a:cs typeface="+mn-cs"/>
            </a:rPr>
            <a:t>Palaggar</a:t>
          </a:r>
          <a:r>
            <a:rPr lang="en-US" sz="1000" b="1" i="0" u="none" kern="1200">
              <a:solidFill>
                <a:srgbClr val="FF0000"/>
              </a:solidFill>
            </a:rPr>
            <a:t> </a:t>
          </a:r>
          <a:endParaRPr lang="en-US" sz="1000" b="1" kern="1200">
            <a:solidFill>
              <a:srgbClr val="FF0000"/>
            </a:solidFill>
          </a:endParaRPr>
        </a:p>
      </dgm:t>
    </dgm:pt>
    <dgm:pt modelId="{165209F2-829C-4AC9-BD25-8B99B9FC9069}" type="parTrans" cxnId="{7E60BC99-ADD7-4846-8188-DC105BF5AC4D}">
      <dgm:prSet/>
      <dgm:spPr/>
      <dgm:t>
        <a:bodyPr/>
        <a:lstStyle/>
        <a:p>
          <a:endParaRPr lang="ru-RU"/>
        </a:p>
      </dgm:t>
    </dgm:pt>
    <dgm:pt modelId="{87E81DC1-2FC7-4B7C-94B1-34DABC0F7380}" type="sibTrans" cxnId="{7E60BC99-ADD7-4846-8188-DC105BF5AC4D}">
      <dgm:prSet/>
      <dgm:spPr/>
      <dgm:t>
        <a:bodyPr/>
        <a:lstStyle/>
        <a:p>
          <a:r>
            <a:rPr lang="en-US"/>
            <a:t>10</a:t>
          </a:r>
          <a:endParaRPr lang="ru-RU"/>
        </a:p>
      </dgm:t>
    </dgm:pt>
    <dgm:pt modelId="{125C3862-231D-4EB1-A970-6F3D42F0F491}">
      <dgm:prSet/>
      <dgm:spPr>
        <a:solidFill>
          <a:schemeClr val="tx1"/>
        </a:solidFill>
        <a:ln w="12700" cap="flat" cmpd="sng" algn="ctr">
          <a:solidFill>
            <a:srgbClr val="FFC000"/>
          </a:solidFill>
          <a:prstDash val="solid"/>
        </a:ln>
        <a:effectLst/>
      </dgm:spPr>
      <dgm:t>
        <a:bodyPr spcFirstLastPara="0" vert="horz" wrap="square" lIns="3810" tIns="3810" rIns="3810" bIns="42992" numCol="1" spcCol="1270" anchor="ctr" anchorCtr="0"/>
        <a:lstStyle/>
        <a:p>
          <a:r>
            <a:rPr lang="en-US">
              <a:solidFill>
                <a:srgbClr val="FF0000"/>
              </a:solidFill>
            </a:rPr>
            <a:t>8 squadron (Rapid Forces)</a:t>
          </a:r>
          <a:endParaRPr lang="ru-RU">
            <a:solidFill>
              <a:srgbClr val="FF0000"/>
            </a:solidFill>
          </a:endParaRPr>
        </a:p>
      </dgm:t>
    </dgm:pt>
    <dgm:pt modelId="{887CC91A-B92B-44DB-8AAD-668FFEBB1FD5}" type="parTrans" cxnId="{8041FD2A-0D24-41FD-B487-8B69B87F941B}">
      <dgm:prSet/>
      <dgm:spPr/>
      <dgm:t>
        <a:bodyPr/>
        <a:lstStyle/>
        <a:p>
          <a:endParaRPr lang="ru-RU"/>
        </a:p>
      </dgm:t>
    </dgm:pt>
    <dgm:pt modelId="{54386165-F34E-48C7-841D-7889475D704E}" type="sibTrans" cxnId="{8041FD2A-0D24-41FD-B487-8B69B87F941B}">
      <dgm:prSet/>
      <dgm:spPr/>
      <dgm:t>
        <a:bodyPr/>
        <a:lstStyle/>
        <a:p>
          <a:r>
            <a:rPr lang="en-US"/>
            <a:t>5</a:t>
          </a:r>
          <a:endParaRPr lang="ru-RU"/>
        </a:p>
      </dgm:t>
    </dgm:pt>
    <dgm:pt modelId="{B1BCE3A6-262D-4F72-8168-C8827B8A436B}">
      <dgm:prSet/>
      <dgm:spPr/>
      <dgm:t>
        <a:bodyPr/>
        <a:lstStyle/>
        <a:p>
          <a:r>
            <a:rPr lang="en-US"/>
            <a:t>Palaggar Garrison</a:t>
          </a:r>
        </a:p>
      </dgm:t>
    </dgm:pt>
    <dgm:pt modelId="{A2E9CA53-01FF-4469-934C-1101486299FC}" type="parTrans" cxnId="{7B17C52A-B214-49A3-B21E-2A6E7F9FB013}">
      <dgm:prSet/>
      <dgm:spPr/>
      <dgm:t>
        <a:bodyPr/>
        <a:lstStyle/>
        <a:p>
          <a:endParaRPr lang="ru-RU"/>
        </a:p>
      </dgm:t>
    </dgm:pt>
    <dgm:pt modelId="{55E9D649-F731-41FC-8F40-9BA03A660E5B}" type="sibTrans" cxnId="{7B17C52A-B214-49A3-B21E-2A6E7F9FB013}">
      <dgm:prSet/>
      <dgm:spPr/>
      <dgm:t>
        <a:bodyPr/>
        <a:lstStyle/>
        <a:p>
          <a:endParaRPr lang="ru-RU"/>
        </a:p>
      </dgm:t>
    </dgm:pt>
    <dgm:pt modelId="{168FAB7D-8A9E-4565-ADF3-9E99AAEC0379}">
      <dgm:prSet/>
      <dgm:spPr/>
      <dgm:t>
        <a:bodyPr/>
        <a:lstStyle/>
        <a:p>
          <a:r>
            <a:rPr lang="en-US"/>
            <a:t>Dawngleam Garrison</a:t>
          </a:r>
          <a:endParaRPr lang="ru-RU"/>
        </a:p>
      </dgm:t>
    </dgm:pt>
    <dgm:pt modelId="{4BAAD2EB-2786-40FD-BF22-010CFFD5F14D}" type="parTrans" cxnId="{76FBCB42-8291-4329-80CA-63399DD7E8D2}">
      <dgm:prSet/>
      <dgm:spPr/>
      <dgm:t>
        <a:bodyPr/>
        <a:lstStyle/>
        <a:p>
          <a:endParaRPr lang="ru-RU"/>
        </a:p>
      </dgm:t>
    </dgm:pt>
    <dgm:pt modelId="{D4CF2BF8-97B3-4301-B361-0413EEDEF134}" type="sibTrans" cxnId="{76FBCB42-8291-4329-80CA-63399DD7E8D2}">
      <dgm:prSet/>
      <dgm:spPr/>
      <dgm:t>
        <a:bodyPr/>
        <a:lstStyle/>
        <a:p>
          <a:endParaRPr lang="ru-RU"/>
        </a:p>
      </dgm:t>
    </dgm:pt>
    <dgm:pt modelId="{BE7616AF-FD8B-40EA-A4C5-30CC33A5CDC7}">
      <dgm:prSet/>
      <dgm:spPr/>
      <dgm:t>
        <a:bodyPr/>
        <a:lstStyle/>
        <a:p>
          <a:r>
            <a:rPr lang="en-US"/>
            <a:t>Marsember Garrison</a:t>
          </a:r>
          <a:endParaRPr lang="ru-RU"/>
        </a:p>
      </dgm:t>
    </dgm:pt>
    <dgm:pt modelId="{DB8B4E4E-9BFC-439C-BC17-A2DB26D12C2C}" type="parTrans" cxnId="{90033349-BDB3-4582-BA0D-29B45A0D7883}">
      <dgm:prSet/>
      <dgm:spPr/>
      <dgm:t>
        <a:bodyPr/>
        <a:lstStyle/>
        <a:p>
          <a:endParaRPr lang="ru-RU"/>
        </a:p>
      </dgm:t>
    </dgm:pt>
    <dgm:pt modelId="{0D5FEF66-DEF3-400B-82D5-DC7484044367}" type="sibTrans" cxnId="{90033349-BDB3-4582-BA0D-29B45A0D7883}">
      <dgm:prSet/>
      <dgm:spPr/>
      <dgm:t>
        <a:bodyPr/>
        <a:lstStyle/>
        <a:p>
          <a:endParaRPr lang="ru-RU"/>
        </a:p>
      </dgm:t>
    </dgm:pt>
    <dgm:pt modelId="{1F3C524A-5861-4761-85F3-1722EC6A9323}">
      <dgm:prSet/>
      <dgm:spPr/>
      <dgm:t>
        <a:bodyPr/>
        <a:lstStyle/>
        <a:p>
          <a:r>
            <a:rPr lang="en-US"/>
            <a:t>Suzail Garrison</a:t>
          </a:r>
          <a:endParaRPr lang="ru-RU"/>
        </a:p>
      </dgm:t>
    </dgm:pt>
    <dgm:pt modelId="{E4386B7C-C536-4696-81DB-6B394A9BA0FA}" type="parTrans" cxnId="{25698EFF-0899-41C7-9248-51042C412AF8}">
      <dgm:prSet/>
      <dgm:spPr/>
      <dgm:t>
        <a:bodyPr/>
        <a:lstStyle/>
        <a:p>
          <a:endParaRPr lang="ru-RU"/>
        </a:p>
      </dgm:t>
    </dgm:pt>
    <dgm:pt modelId="{8178B971-706F-403A-A850-C3F7058D565F}" type="sibTrans" cxnId="{25698EFF-0899-41C7-9248-51042C412AF8}">
      <dgm:prSet/>
      <dgm:spPr/>
      <dgm:t>
        <a:bodyPr/>
        <a:lstStyle/>
        <a:p>
          <a:endParaRPr lang="ru-RU"/>
        </a:p>
      </dgm:t>
    </dgm:pt>
    <dgm:pt modelId="{98CD0CC4-2547-4747-8DCB-DC543BCC9478}" type="pres">
      <dgm:prSet presAssocID="{7E8FC79B-76F0-41F5-A012-3187A9AC115C}" presName="hierChild1" presStyleCnt="0">
        <dgm:presLayoutVars>
          <dgm:orgChart val="1"/>
          <dgm:chPref val="1"/>
          <dgm:dir/>
          <dgm:animOne val="branch"/>
          <dgm:animLvl val="lvl"/>
          <dgm:resizeHandles/>
        </dgm:presLayoutVars>
      </dgm:prSet>
      <dgm:spPr/>
    </dgm:pt>
    <dgm:pt modelId="{B2DCB7DE-B050-4D78-8560-B87EBED7F358}" type="pres">
      <dgm:prSet presAssocID="{F1654C6F-1BCD-47E6-96F0-4A8D2BF55594}" presName="hierRoot1" presStyleCnt="0">
        <dgm:presLayoutVars>
          <dgm:hierBranch val="init"/>
        </dgm:presLayoutVars>
      </dgm:prSet>
      <dgm:spPr/>
    </dgm:pt>
    <dgm:pt modelId="{6005FF58-0E92-4DBE-8757-F0501C18BADE}" type="pres">
      <dgm:prSet presAssocID="{F1654C6F-1BCD-47E6-96F0-4A8D2BF55594}" presName="rootComposite1" presStyleCnt="0"/>
      <dgm:spPr/>
    </dgm:pt>
    <dgm:pt modelId="{C63475E5-49FE-41EA-B82E-C38629E1BE06}" type="pres">
      <dgm:prSet presAssocID="{F1654C6F-1BCD-47E6-96F0-4A8D2BF55594}" presName="rootText1" presStyleLbl="node0" presStyleIdx="0" presStyleCnt="1" custScaleX="253579">
        <dgm:presLayoutVars>
          <dgm:chMax/>
          <dgm:chPref val="3"/>
        </dgm:presLayoutVars>
      </dgm:prSet>
      <dgm:spPr/>
    </dgm:pt>
    <dgm:pt modelId="{DC5A80F1-077C-4B03-8FED-F735DA16440B}" type="pres">
      <dgm:prSet presAssocID="{F1654C6F-1BCD-47E6-96F0-4A8D2BF55594}" presName="titleText1" presStyleLbl="fgAcc0" presStyleIdx="0" presStyleCnt="1">
        <dgm:presLayoutVars>
          <dgm:chMax val="0"/>
          <dgm:chPref val="0"/>
        </dgm:presLayoutVars>
      </dgm:prSet>
      <dgm:spPr/>
    </dgm:pt>
    <dgm:pt modelId="{9EAB8E64-8D51-4164-AB25-33BDE35EDF86}" type="pres">
      <dgm:prSet presAssocID="{F1654C6F-1BCD-47E6-96F0-4A8D2BF55594}" presName="rootConnector1" presStyleLbl="node1" presStyleIdx="0" presStyleCnt="15"/>
      <dgm:spPr/>
    </dgm:pt>
    <dgm:pt modelId="{4347FBD9-ACEC-419F-905E-41A795A064C2}" type="pres">
      <dgm:prSet presAssocID="{F1654C6F-1BCD-47E6-96F0-4A8D2BF55594}" presName="hierChild2" presStyleCnt="0"/>
      <dgm:spPr/>
    </dgm:pt>
    <dgm:pt modelId="{135FA63C-52BD-4F9E-ACBE-7DD5EFADF3D6}" type="pres">
      <dgm:prSet presAssocID="{BDBC6950-F7AB-4F56-8B83-4D814DE532CC}" presName="Name37" presStyleLbl="parChTrans1D2" presStyleIdx="0" presStyleCnt="4"/>
      <dgm:spPr/>
    </dgm:pt>
    <dgm:pt modelId="{97DE2D07-524C-4DB0-A1C9-BDA946160321}" type="pres">
      <dgm:prSet presAssocID="{727E455D-E88A-4DFB-B24F-D6A498317184}" presName="hierRoot2" presStyleCnt="0">
        <dgm:presLayoutVars>
          <dgm:hierBranch val="l"/>
        </dgm:presLayoutVars>
      </dgm:prSet>
      <dgm:spPr/>
    </dgm:pt>
    <dgm:pt modelId="{06158DD7-E4D0-45B3-A8F6-92E1348B9ACC}" type="pres">
      <dgm:prSet presAssocID="{727E455D-E88A-4DFB-B24F-D6A498317184}" presName="rootComposite" presStyleCnt="0"/>
      <dgm:spPr/>
    </dgm:pt>
    <dgm:pt modelId="{D2181851-053A-42E5-940F-FA681969B15D}" type="pres">
      <dgm:prSet presAssocID="{727E455D-E88A-4DFB-B24F-D6A498317184}" presName="rootText" presStyleLbl="node1" presStyleIdx="0" presStyleCnt="15" custScaleX="145881">
        <dgm:presLayoutVars>
          <dgm:chMax/>
          <dgm:chPref val="3"/>
        </dgm:presLayoutVars>
      </dgm:prSet>
      <dgm:spPr>
        <a:prstGeom prst="plaque">
          <a:avLst/>
        </a:prstGeom>
      </dgm:spPr>
    </dgm:pt>
    <dgm:pt modelId="{04A7C3AF-0EC6-4B0D-B2A7-02514E86451F}" type="pres">
      <dgm:prSet presAssocID="{727E455D-E88A-4DFB-B24F-D6A498317184}" presName="titleText2" presStyleLbl="fgAcc1" presStyleIdx="0" presStyleCnt="15">
        <dgm:presLayoutVars>
          <dgm:chMax val="0"/>
          <dgm:chPref val="0"/>
        </dgm:presLayoutVars>
      </dgm:prSet>
      <dgm:spPr/>
    </dgm:pt>
    <dgm:pt modelId="{88AA96A9-0D90-4D67-9F8D-34BC042970FA}" type="pres">
      <dgm:prSet presAssocID="{727E455D-E88A-4DFB-B24F-D6A498317184}" presName="rootConnector" presStyleLbl="node2" presStyleIdx="0" presStyleCnt="0"/>
      <dgm:spPr/>
    </dgm:pt>
    <dgm:pt modelId="{82B17AE8-06C2-4756-8F48-789C55CD34AD}" type="pres">
      <dgm:prSet presAssocID="{727E455D-E88A-4DFB-B24F-D6A498317184}" presName="hierChild4" presStyleCnt="0"/>
      <dgm:spPr/>
    </dgm:pt>
    <dgm:pt modelId="{DD440C76-09A0-41E7-84D0-454F46A01260}" type="pres">
      <dgm:prSet presAssocID="{5DA6C0B1-11A5-47B7-B6F9-F42DC4B133E4}" presName="Name44" presStyleLbl="parChTrans1D3" presStyleIdx="0" presStyleCnt="13"/>
      <dgm:spPr/>
    </dgm:pt>
    <dgm:pt modelId="{DDBC1742-BDE4-4758-949E-6F58069C9E82}" type="pres">
      <dgm:prSet presAssocID="{138F9918-DA42-4656-9F0E-FED203FE44E2}" presName="hierRoot2" presStyleCnt="0">
        <dgm:presLayoutVars>
          <dgm:hierBranch val="init"/>
        </dgm:presLayoutVars>
      </dgm:prSet>
      <dgm:spPr/>
    </dgm:pt>
    <dgm:pt modelId="{89E7E7F3-1C6F-4A53-A50B-2E8C1BDD7D87}" type="pres">
      <dgm:prSet presAssocID="{138F9918-DA42-4656-9F0E-FED203FE44E2}" presName="rootComposite" presStyleCnt="0"/>
      <dgm:spPr/>
    </dgm:pt>
    <dgm:pt modelId="{C28D24AD-24D1-42B8-A6A6-31797DE9F4E4}" type="pres">
      <dgm:prSet presAssocID="{138F9918-DA42-4656-9F0E-FED203FE44E2}" presName="rootText" presStyleLbl="node1" presStyleIdx="1" presStyleCnt="15" custScaleX="124526">
        <dgm:presLayoutVars>
          <dgm:chMax/>
          <dgm:chPref val="3"/>
        </dgm:presLayoutVars>
      </dgm:prSet>
      <dgm:spPr>
        <a:prstGeom prst="plaque">
          <a:avLst/>
        </a:prstGeom>
      </dgm:spPr>
    </dgm:pt>
    <dgm:pt modelId="{C8D7C9B5-5B36-4379-B872-A79AE5ACD0A3}" type="pres">
      <dgm:prSet presAssocID="{138F9918-DA42-4656-9F0E-FED203FE44E2}" presName="titleText2" presStyleLbl="fgAcc1" presStyleIdx="1" presStyleCnt="15">
        <dgm:presLayoutVars>
          <dgm:chMax val="0"/>
          <dgm:chPref val="0"/>
        </dgm:presLayoutVars>
      </dgm:prSet>
      <dgm:spPr/>
    </dgm:pt>
    <dgm:pt modelId="{6CA2D4AA-238E-4C99-836E-D68EBAE335BE}" type="pres">
      <dgm:prSet presAssocID="{138F9918-DA42-4656-9F0E-FED203FE44E2}" presName="rootConnector" presStyleLbl="node3" presStyleIdx="0" presStyleCnt="0"/>
      <dgm:spPr/>
    </dgm:pt>
    <dgm:pt modelId="{3F16FD19-87EC-46D7-9171-AC541F7AFF11}" type="pres">
      <dgm:prSet presAssocID="{138F9918-DA42-4656-9F0E-FED203FE44E2}" presName="hierChild4" presStyleCnt="0"/>
      <dgm:spPr/>
    </dgm:pt>
    <dgm:pt modelId="{69FD9384-D3BE-415C-86A8-539525EEC426}" type="pres">
      <dgm:prSet presAssocID="{138F9918-DA42-4656-9F0E-FED203FE44E2}" presName="hierChild5" presStyleCnt="0"/>
      <dgm:spPr/>
    </dgm:pt>
    <dgm:pt modelId="{DFA3C47A-C2DC-4E54-81D9-1506C411ABEC}" type="pres">
      <dgm:prSet presAssocID="{07C11DA3-3B8C-47F3-82C9-2B9835BA9CFE}" presName="Name44" presStyleLbl="parChTrans1D3" presStyleIdx="1" presStyleCnt="13"/>
      <dgm:spPr/>
    </dgm:pt>
    <dgm:pt modelId="{9A6EA603-95B8-4E60-971A-8FC69D756616}" type="pres">
      <dgm:prSet presAssocID="{0E678B1D-CA7A-44BE-96D9-7C879A76AD2A}" presName="hierRoot2" presStyleCnt="0">
        <dgm:presLayoutVars>
          <dgm:hierBranch val="init"/>
        </dgm:presLayoutVars>
      </dgm:prSet>
      <dgm:spPr/>
    </dgm:pt>
    <dgm:pt modelId="{40A1AB77-6934-4863-AC7C-9C1246C3274F}" type="pres">
      <dgm:prSet presAssocID="{0E678B1D-CA7A-44BE-96D9-7C879A76AD2A}" presName="rootComposite" presStyleCnt="0"/>
      <dgm:spPr/>
    </dgm:pt>
    <dgm:pt modelId="{67B62DB1-842A-4A3E-AAA6-69604899623A}" type="pres">
      <dgm:prSet presAssocID="{0E678B1D-CA7A-44BE-96D9-7C879A76AD2A}" presName="rootText" presStyleLbl="node1" presStyleIdx="2" presStyleCnt="15" custScaleX="124526">
        <dgm:presLayoutVars>
          <dgm:chMax/>
          <dgm:chPref val="3"/>
        </dgm:presLayoutVars>
      </dgm:prSet>
      <dgm:spPr>
        <a:prstGeom prst="plaque">
          <a:avLst/>
        </a:prstGeom>
      </dgm:spPr>
    </dgm:pt>
    <dgm:pt modelId="{6AC56C02-EE51-43D7-87D6-16AB2F762F36}" type="pres">
      <dgm:prSet presAssocID="{0E678B1D-CA7A-44BE-96D9-7C879A76AD2A}" presName="titleText2" presStyleLbl="fgAcc1" presStyleIdx="2" presStyleCnt="15">
        <dgm:presLayoutVars>
          <dgm:chMax val="0"/>
          <dgm:chPref val="0"/>
        </dgm:presLayoutVars>
      </dgm:prSet>
      <dgm:spPr/>
    </dgm:pt>
    <dgm:pt modelId="{F4BFAC31-F85B-4AA9-875D-3E9E2E3F6DFA}" type="pres">
      <dgm:prSet presAssocID="{0E678B1D-CA7A-44BE-96D9-7C879A76AD2A}" presName="rootConnector" presStyleLbl="node3" presStyleIdx="0" presStyleCnt="0"/>
      <dgm:spPr/>
    </dgm:pt>
    <dgm:pt modelId="{8E7D61C7-12E7-4774-AA7E-FE54C131186B}" type="pres">
      <dgm:prSet presAssocID="{0E678B1D-CA7A-44BE-96D9-7C879A76AD2A}" presName="hierChild4" presStyleCnt="0"/>
      <dgm:spPr/>
    </dgm:pt>
    <dgm:pt modelId="{E1173454-2DB3-4DD4-8B51-0B6D8F284107}" type="pres">
      <dgm:prSet presAssocID="{0E678B1D-CA7A-44BE-96D9-7C879A76AD2A}" presName="hierChild5" presStyleCnt="0"/>
      <dgm:spPr/>
    </dgm:pt>
    <dgm:pt modelId="{DA980299-CFA9-4B1C-BE45-82F8C0CA8769}" type="pres">
      <dgm:prSet presAssocID="{A1602992-DC71-4329-B7B5-638E30ECA561}" presName="Name44" presStyleLbl="parChTrans1D3" presStyleIdx="2" presStyleCnt="13"/>
      <dgm:spPr/>
    </dgm:pt>
    <dgm:pt modelId="{C1F29118-E09E-493F-9D59-3A9C4892080C}" type="pres">
      <dgm:prSet presAssocID="{78C8840C-70B7-4CF7-BA4E-DE17C1DDBB80}" presName="hierRoot2" presStyleCnt="0">
        <dgm:presLayoutVars>
          <dgm:hierBranch val="init"/>
        </dgm:presLayoutVars>
      </dgm:prSet>
      <dgm:spPr/>
    </dgm:pt>
    <dgm:pt modelId="{3F3A12B6-BF22-4FB2-B894-D796E9DCC132}" type="pres">
      <dgm:prSet presAssocID="{78C8840C-70B7-4CF7-BA4E-DE17C1DDBB80}" presName="rootComposite" presStyleCnt="0"/>
      <dgm:spPr/>
    </dgm:pt>
    <dgm:pt modelId="{3E56EE88-6177-4D83-9AA4-6F0581F8F0F2}" type="pres">
      <dgm:prSet presAssocID="{78C8840C-70B7-4CF7-BA4E-DE17C1DDBB80}" presName="rootText" presStyleLbl="node1" presStyleIdx="3" presStyleCnt="15" custScaleX="124526">
        <dgm:presLayoutVars>
          <dgm:chMax/>
          <dgm:chPref val="3"/>
        </dgm:presLayoutVars>
      </dgm:prSet>
      <dgm:spPr>
        <a:prstGeom prst="plaque">
          <a:avLst/>
        </a:prstGeom>
      </dgm:spPr>
    </dgm:pt>
    <dgm:pt modelId="{FBC08FFC-1062-4BE6-818D-A6B59324BFFA}" type="pres">
      <dgm:prSet presAssocID="{78C8840C-70B7-4CF7-BA4E-DE17C1DDBB80}" presName="titleText2" presStyleLbl="fgAcc1" presStyleIdx="3" presStyleCnt="15">
        <dgm:presLayoutVars>
          <dgm:chMax val="0"/>
          <dgm:chPref val="0"/>
        </dgm:presLayoutVars>
      </dgm:prSet>
      <dgm:spPr/>
    </dgm:pt>
    <dgm:pt modelId="{825D34BD-9AE9-403B-83BA-3E30CCDDA8D1}" type="pres">
      <dgm:prSet presAssocID="{78C8840C-70B7-4CF7-BA4E-DE17C1DDBB80}" presName="rootConnector" presStyleLbl="node3" presStyleIdx="0" presStyleCnt="0"/>
      <dgm:spPr/>
    </dgm:pt>
    <dgm:pt modelId="{B0332E70-20DB-4EB9-B6CA-87F4C2E4CB05}" type="pres">
      <dgm:prSet presAssocID="{78C8840C-70B7-4CF7-BA4E-DE17C1DDBB80}" presName="hierChild4" presStyleCnt="0"/>
      <dgm:spPr/>
    </dgm:pt>
    <dgm:pt modelId="{41D1420B-6E15-4DA6-BC57-90145B513151}" type="pres">
      <dgm:prSet presAssocID="{78C8840C-70B7-4CF7-BA4E-DE17C1DDBB80}" presName="hierChild5" presStyleCnt="0"/>
      <dgm:spPr/>
    </dgm:pt>
    <dgm:pt modelId="{30C7E6EE-E5ED-4D60-BE5E-DE0A9D0ACC32}" type="pres">
      <dgm:prSet presAssocID="{E4386B7C-C536-4696-81DB-6B394A9BA0FA}" presName="Name44" presStyleLbl="parChTrans1D3" presStyleIdx="3" presStyleCnt="13"/>
      <dgm:spPr/>
    </dgm:pt>
    <dgm:pt modelId="{2B5A833E-9ECD-4F5E-8FFB-A3C2BBE0426D}" type="pres">
      <dgm:prSet presAssocID="{1F3C524A-5861-4761-85F3-1722EC6A9323}" presName="hierRoot2" presStyleCnt="0">
        <dgm:presLayoutVars>
          <dgm:hierBranch val="init"/>
        </dgm:presLayoutVars>
      </dgm:prSet>
      <dgm:spPr/>
    </dgm:pt>
    <dgm:pt modelId="{D3AAE8DC-90F2-44A7-A35D-B51786F4D0F6}" type="pres">
      <dgm:prSet presAssocID="{1F3C524A-5861-4761-85F3-1722EC6A9323}" presName="rootComposite" presStyleCnt="0"/>
      <dgm:spPr/>
    </dgm:pt>
    <dgm:pt modelId="{F99F05AF-C1D3-4975-9E3C-F96827FB02C4}" type="pres">
      <dgm:prSet presAssocID="{1F3C524A-5861-4761-85F3-1722EC6A9323}" presName="rootText" presStyleLbl="node1" presStyleIdx="4" presStyleCnt="15" custScaleX="136314">
        <dgm:presLayoutVars>
          <dgm:chMax/>
          <dgm:chPref val="3"/>
        </dgm:presLayoutVars>
      </dgm:prSet>
      <dgm:spPr>
        <a:prstGeom prst="flowChartPredefinedProcess">
          <a:avLst/>
        </a:prstGeom>
      </dgm:spPr>
    </dgm:pt>
    <dgm:pt modelId="{14CFE4FA-4C5A-4B85-B078-7710894242C5}" type="pres">
      <dgm:prSet presAssocID="{1F3C524A-5861-4761-85F3-1722EC6A9323}" presName="titleText2" presStyleLbl="fgAcc1" presStyleIdx="4" presStyleCnt="15">
        <dgm:presLayoutVars>
          <dgm:chMax val="0"/>
          <dgm:chPref val="0"/>
        </dgm:presLayoutVars>
      </dgm:prSet>
      <dgm:spPr/>
    </dgm:pt>
    <dgm:pt modelId="{73318E41-6B81-468F-AC7C-12382BAB4D55}" type="pres">
      <dgm:prSet presAssocID="{1F3C524A-5861-4761-85F3-1722EC6A9323}" presName="rootConnector" presStyleLbl="node3" presStyleIdx="0" presStyleCnt="0"/>
      <dgm:spPr/>
    </dgm:pt>
    <dgm:pt modelId="{F8B338FF-FAC6-4F50-8454-601C6AC2BB98}" type="pres">
      <dgm:prSet presAssocID="{1F3C524A-5861-4761-85F3-1722EC6A9323}" presName="hierChild4" presStyleCnt="0"/>
      <dgm:spPr/>
    </dgm:pt>
    <dgm:pt modelId="{698A514A-05EE-4BA4-8A10-A0ABE0173B91}" type="pres">
      <dgm:prSet presAssocID="{1F3C524A-5861-4761-85F3-1722EC6A9323}" presName="hierChild5" presStyleCnt="0"/>
      <dgm:spPr/>
    </dgm:pt>
    <dgm:pt modelId="{A0321181-C970-4573-8639-0C8245BCE237}" type="pres">
      <dgm:prSet presAssocID="{727E455D-E88A-4DFB-B24F-D6A498317184}" presName="hierChild5" presStyleCnt="0"/>
      <dgm:spPr/>
    </dgm:pt>
    <dgm:pt modelId="{7DDDDEC9-2EA0-49B0-9D47-67345520EB38}" type="pres">
      <dgm:prSet presAssocID="{DF3B1DC3-9201-4EED-951D-5726E1303F11}" presName="Name37" presStyleLbl="parChTrans1D2" presStyleIdx="1" presStyleCnt="4"/>
      <dgm:spPr/>
    </dgm:pt>
    <dgm:pt modelId="{EFE0503B-6835-48C8-ADF5-FF302CFF4C83}" type="pres">
      <dgm:prSet presAssocID="{11953D8A-6EAC-4E7A-AD95-EB292D54A892}" presName="hierRoot2" presStyleCnt="0">
        <dgm:presLayoutVars>
          <dgm:hierBranch val="r"/>
        </dgm:presLayoutVars>
      </dgm:prSet>
      <dgm:spPr/>
    </dgm:pt>
    <dgm:pt modelId="{563EE255-826E-4399-99BA-2A24477E0941}" type="pres">
      <dgm:prSet presAssocID="{11953D8A-6EAC-4E7A-AD95-EB292D54A892}" presName="rootComposite" presStyleCnt="0"/>
      <dgm:spPr/>
    </dgm:pt>
    <dgm:pt modelId="{B336C763-2F89-4115-A9D4-36D6954E37D4}" type="pres">
      <dgm:prSet presAssocID="{11953D8A-6EAC-4E7A-AD95-EB292D54A892}" presName="rootText" presStyleLbl="node1" presStyleIdx="5" presStyleCnt="15" custScaleX="145881">
        <dgm:presLayoutVars>
          <dgm:chMax/>
          <dgm:chPref val="3"/>
        </dgm:presLayoutVars>
      </dgm:prSet>
      <dgm:spPr>
        <a:prstGeom prst="plaque">
          <a:avLst/>
        </a:prstGeom>
      </dgm:spPr>
    </dgm:pt>
    <dgm:pt modelId="{AEAE10B4-D5D9-4C45-BB28-7A8B710C4C88}" type="pres">
      <dgm:prSet presAssocID="{11953D8A-6EAC-4E7A-AD95-EB292D54A892}" presName="titleText2" presStyleLbl="fgAcc1" presStyleIdx="5" presStyleCnt="15">
        <dgm:presLayoutVars>
          <dgm:chMax val="0"/>
          <dgm:chPref val="0"/>
        </dgm:presLayoutVars>
      </dgm:prSet>
      <dgm:spPr/>
    </dgm:pt>
    <dgm:pt modelId="{9D09EF6D-9317-48AE-856C-57C8442726A9}" type="pres">
      <dgm:prSet presAssocID="{11953D8A-6EAC-4E7A-AD95-EB292D54A892}" presName="rootConnector" presStyleLbl="node2" presStyleIdx="0" presStyleCnt="0"/>
      <dgm:spPr/>
    </dgm:pt>
    <dgm:pt modelId="{4719FF6F-3B8D-4FB0-8D54-629421F369F9}" type="pres">
      <dgm:prSet presAssocID="{11953D8A-6EAC-4E7A-AD95-EB292D54A892}" presName="hierChild4" presStyleCnt="0"/>
      <dgm:spPr/>
    </dgm:pt>
    <dgm:pt modelId="{E1BAD458-DA77-46F9-9C3F-7C9ADAB032A4}" type="pres">
      <dgm:prSet presAssocID="{2B8F8450-49D5-4D3C-9E6D-424054820BBE}" presName="Name44" presStyleLbl="parChTrans1D3" presStyleIdx="4" presStyleCnt="13"/>
      <dgm:spPr/>
    </dgm:pt>
    <dgm:pt modelId="{6367FDF3-2F89-4F4C-BBFE-B8B53F53F00E}" type="pres">
      <dgm:prSet presAssocID="{35744798-F8E7-45C5-8A66-513833856EAB}" presName="hierRoot2" presStyleCnt="0">
        <dgm:presLayoutVars>
          <dgm:hierBranch val="init"/>
        </dgm:presLayoutVars>
      </dgm:prSet>
      <dgm:spPr/>
    </dgm:pt>
    <dgm:pt modelId="{E7F0FF00-929C-4966-863F-0F19AA6B2771}" type="pres">
      <dgm:prSet presAssocID="{35744798-F8E7-45C5-8A66-513833856EAB}" presName="rootComposite" presStyleCnt="0"/>
      <dgm:spPr/>
    </dgm:pt>
    <dgm:pt modelId="{91A6E367-A5D6-4D07-BE88-21E1D945C91D}" type="pres">
      <dgm:prSet presAssocID="{35744798-F8E7-45C5-8A66-513833856EAB}" presName="rootText" presStyleLbl="node1" presStyleIdx="6" presStyleCnt="15" custScaleX="124526">
        <dgm:presLayoutVars>
          <dgm:chMax/>
          <dgm:chPref val="3"/>
        </dgm:presLayoutVars>
      </dgm:prSet>
      <dgm:spPr>
        <a:prstGeom prst="plaque">
          <a:avLst/>
        </a:prstGeom>
      </dgm:spPr>
    </dgm:pt>
    <dgm:pt modelId="{B2E30EAD-3B9B-4B7A-9C76-A65F53E9B7EA}" type="pres">
      <dgm:prSet presAssocID="{35744798-F8E7-45C5-8A66-513833856EAB}" presName="titleText2" presStyleLbl="fgAcc1" presStyleIdx="6" presStyleCnt="15">
        <dgm:presLayoutVars>
          <dgm:chMax val="0"/>
          <dgm:chPref val="0"/>
        </dgm:presLayoutVars>
      </dgm:prSet>
      <dgm:spPr/>
    </dgm:pt>
    <dgm:pt modelId="{1AF18370-8A75-4A2B-AEE5-7E5C541BC082}" type="pres">
      <dgm:prSet presAssocID="{35744798-F8E7-45C5-8A66-513833856EAB}" presName="rootConnector" presStyleLbl="node3" presStyleIdx="0" presStyleCnt="0"/>
      <dgm:spPr/>
    </dgm:pt>
    <dgm:pt modelId="{C25DEC60-94EF-4E60-B798-17301B24ADA2}" type="pres">
      <dgm:prSet presAssocID="{35744798-F8E7-45C5-8A66-513833856EAB}" presName="hierChild4" presStyleCnt="0"/>
      <dgm:spPr/>
    </dgm:pt>
    <dgm:pt modelId="{6F008878-1568-44B7-A8F9-08EDB553D47C}" type="pres">
      <dgm:prSet presAssocID="{35744798-F8E7-45C5-8A66-513833856EAB}" presName="hierChild5" presStyleCnt="0"/>
      <dgm:spPr/>
    </dgm:pt>
    <dgm:pt modelId="{78E281D5-1471-4C50-AED8-78D2D8F7AAB6}" type="pres">
      <dgm:prSet presAssocID="{00DB5D1C-9548-488C-A254-2D1C08BF18E7}" presName="Name44" presStyleLbl="parChTrans1D3" presStyleIdx="5" presStyleCnt="13"/>
      <dgm:spPr/>
    </dgm:pt>
    <dgm:pt modelId="{3F193A1A-0A73-461B-85E8-6A35E617BE57}" type="pres">
      <dgm:prSet presAssocID="{10E72BEC-3226-4401-BF29-1B348A3CD7E7}" presName="hierRoot2" presStyleCnt="0">
        <dgm:presLayoutVars>
          <dgm:hierBranch val="init"/>
        </dgm:presLayoutVars>
      </dgm:prSet>
      <dgm:spPr/>
    </dgm:pt>
    <dgm:pt modelId="{05CE3F79-F6E8-471D-8960-27771B326039}" type="pres">
      <dgm:prSet presAssocID="{10E72BEC-3226-4401-BF29-1B348A3CD7E7}" presName="rootComposite" presStyleCnt="0"/>
      <dgm:spPr/>
    </dgm:pt>
    <dgm:pt modelId="{486EB147-7D30-49CE-8232-301A531AAF76}" type="pres">
      <dgm:prSet presAssocID="{10E72BEC-3226-4401-BF29-1B348A3CD7E7}" presName="rootText" presStyleLbl="node1" presStyleIdx="7" presStyleCnt="15" custScaleX="124526">
        <dgm:presLayoutVars>
          <dgm:chMax/>
          <dgm:chPref val="3"/>
        </dgm:presLayoutVars>
      </dgm:prSet>
      <dgm:spPr>
        <a:prstGeom prst="plaque">
          <a:avLst/>
        </a:prstGeom>
      </dgm:spPr>
    </dgm:pt>
    <dgm:pt modelId="{AA576CF0-2021-4847-8D47-5A07496D22CA}" type="pres">
      <dgm:prSet presAssocID="{10E72BEC-3226-4401-BF29-1B348A3CD7E7}" presName="titleText2" presStyleLbl="fgAcc1" presStyleIdx="7" presStyleCnt="15">
        <dgm:presLayoutVars>
          <dgm:chMax val="0"/>
          <dgm:chPref val="0"/>
        </dgm:presLayoutVars>
      </dgm:prSet>
      <dgm:spPr/>
    </dgm:pt>
    <dgm:pt modelId="{820450CD-2C9B-4CAC-BA30-1D0C84C3E4C9}" type="pres">
      <dgm:prSet presAssocID="{10E72BEC-3226-4401-BF29-1B348A3CD7E7}" presName="rootConnector" presStyleLbl="node3" presStyleIdx="0" presStyleCnt="0"/>
      <dgm:spPr/>
    </dgm:pt>
    <dgm:pt modelId="{95F8109F-EAD7-4FE0-A147-421EBC2634D2}" type="pres">
      <dgm:prSet presAssocID="{10E72BEC-3226-4401-BF29-1B348A3CD7E7}" presName="hierChild4" presStyleCnt="0"/>
      <dgm:spPr/>
    </dgm:pt>
    <dgm:pt modelId="{0515F75C-EB1A-4A33-A626-41210DCE2850}" type="pres">
      <dgm:prSet presAssocID="{10E72BEC-3226-4401-BF29-1B348A3CD7E7}" presName="hierChild5" presStyleCnt="0"/>
      <dgm:spPr/>
    </dgm:pt>
    <dgm:pt modelId="{E64A6F5F-3F64-4673-B0DC-B498858564F6}" type="pres">
      <dgm:prSet presAssocID="{07A0371C-38D4-491B-BC1A-F8DB1ECA7AB0}" presName="Name44" presStyleLbl="parChTrans1D3" presStyleIdx="6" presStyleCnt="13"/>
      <dgm:spPr/>
    </dgm:pt>
    <dgm:pt modelId="{00D1B495-C4E4-47AF-9E71-9FDEDF729DC2}" type="pres">
      <dgm:prSet presAssocID="{C1445725-D6B2-42B1-866B-840AD260B3B3}" presName="hierRoot2" presStyleCnt="0">
        <dgm:presLayoutVars>
          <dgm:hierBranch val="init"/>
        </dgm:presLayoutVars>
      </dgm:prSet>
      <dgm:spPr/>
    </dgm:pt>
    <dgm:pt modelId="{E53F1BCA-3D60-4B5F-A0A8-395DB0FC62AC}" type="pres">
      <dgm:prSet presAssocID="{C1445725-D6B2-42B1-866B-840AD260B3B3}" presName="rootComposite" presStyleCnt="0"/>
      <dgm:spPr/>
    </dgm:pt>
    <dgm:pt modelId="{B59F5AF5-5BAF-4785-9653-32EEEA74C996}" type="pres">
      <dgm:prSet presAssocID="{C1445725-D6B2-42B1-866B-840AD260B3B3}" presName="rootText" presStyleLbl="node1" presStyleIdx="8" presStyleCnt="15">
        <dgm:presLayoutVars>
          <dgm:chMax/>
          <dgm:chPref val="3"/>
        </dgm:presLayoutVars>
      </dgm:prSet>
      <dgm:spPr/>
    </dgm:pt>
    <dgm:pt modelId="{267F1486-F00D-442F-BD73-742EC19E385F}" type="pres">
      <dgm:prSet presAssocID="{C1445725-D6B2-42B1-866B-840AD260B3B3}" presName="titleText2" presStyleLbl="fgAcc1" presStyleIdx="8" presStyleCnt="15">
        <dgm:presLayoutVars>
          <dgm:chMax val="0"/>
          <dgm:chPref val="0"/>
        </dgm:presLayoutVars>
      </dgm:prSet>
      <dgm:spPr/>
    </dgm:pt>
    <dgm:pt modelId="{52E37727-0DA9-47FE-85AA-8EBF285C83D3}" type="pres">
      <dgm:prSet presAssocID="{C1445725-D6B2-42B1-866B-840AD260B3B3}" presName="rootConnector" presStyleLbl="node3" presStyleIdx="0" presStyleCnt="0"/>
      <dgm:spPr/>
    </dgm:pt>
    <dgm:pt modelId="{34B4AA07-D526-4326-942C-F4AB4440FC27}" type="pres">
      <dgm:prSet presAssocID="{C1445725-D6B2-42B1-866B-840AD260B3B3}" presName="hierChild4" presStyleCnt="0"/>
      <dgm:spPr/>
    </dgm:pt>
    <dgm:pt modelId="{DF163A23-BC83-4131-8284-6BA732B79921}" type="pres">
      <dgm:prSet presAssocID="{C1445725-D6B2-42B1-866B-840AD260B3B3}" presName="hierChild5" presStyleCnt="0"/>
      <dgm:spPr/>
    </dgm:pt>
    <dgm:pt modelId="{0895D5B3-4B6C-48B3-B73B-9A8B70F6F271}" type="pres">
      <dgm:prSet presAssocID="{DB8B4E4E-9BFC-439C-BC17-A2DB26D12C2C}" presName="Name44" presStyleLbl="parChTrans1D3" presStyleIdx="7" presStyleCnt="13"/>
      <dgm:spPr/>
    </dgm:pt>
    <dgm:pt modelId="{12C4F4E8-3ADD-428F-8C01-0FB109D325D3}" type="pres">
      <dgm:prSet presAssocID="{BE7616AF-FD8B-40EA-A4C5-30CC33A5CDC7}" presName="hierRoot2" presStyleCnt="0">
        <dgm:presLayoutVars>
          <dgm:hierBranch val="init"/>
        </dgm:presLayoutVars>
      </dgm:prSet>
      <dgm:spPr/>
    </dgm:pt>
    <dgm:pt modelId="{E16F7070-803E-4AD9-AB7B-B13CE6668D55}" type="pres">
      <dgm:prSet presAssocID="{BE7616AF-FD8B-40EA-A4C5-30CC33A5CDC7}" presName="rootComposite" presStyleCnt="0"/>
      <dgm:spPr/>
    </dgm:pt>
    <dgm:pt modelId="{0724F3ED-3541-4B8C-9757-44D606094879}" type="pres">
      <dgm:prSet presAssocID="{BE7616AF-FD8B-40EA-A4C5-30CC33A5CDC7}" presName="rootText" presStyleLbl="node1" presStyleIdx="9" presStyleCnt="15" custScaleX="136314">
        <dgm:presLayoutVars>
          <dgm:chMax/>
          <dgm:chPref val="3"/>
        </dgm:presLayoutVars>
      </dgm:prSet>
      <dgm:spPr>
        <a:prstGeom prst="flowChartPredefinedProcess">
          <a:avLst/>
        </a:prstGeom>
      </dgm:spPr>
    </dgm:pt>
    <dgm:pt modelId="{73E1B991-780B-4081-BBCC-FB82A65C5F62}" type="pres">
      <dgm:prSet presAssocID="{BE7616AF-FD8B-40EA-A4C5-30CC33A5CDC7}" presName="titleText2" presStyleLbl="fgAcc1" presStyleIdx="9" presStyleCnt="15">
        <dgm:presLayoutVars>
          <dgm:chMax val="0"/>
          <dgm:chPref val="0"/>
        </dgm:presLayoutVars>
      </dgm:prSet>
      <dgm:spPr/>
    </dgm:pt>
    <dgm:pt modelId="{4FE2825F-9606-484A-8E42-A9FD8F01DB35}" type="pres">
      <dgm:prSet presAssocID="{BE7616AF-FD8B-40EA-A4C5-30CC33A5CDC7}" presName="rootConnector" presStyleLbl="node3" presStyleIdx="0" presStyleCnt="0"/>
      <dgm:spPr/>
    </dgm:pt>
    <dgm:pt modelId="{B5DDA2C2-025F-4E60-A7FA-DDE2F1C2EF20}" type="pres">
      <dgm:prSet presAssocID="{BE7616AF-FD8B-40EA-A4C5-30CC33A5CDC7}" presName="hierChild4" presStyleCnt="0"/>
      <dgm:spPr/>
    </dgm:pt>
    <dgm:pt modelId="{B4E40E17-3B75-4AE1-B1A7-C9B2EC20EDFD}" type="pres">
      <dgm:prSet presAssocID="{BE7616AF-FD8B-40EA-A4C5-30CC33A5CDC7}" presName="hierChild5" presStyleCnt="0"/>
      <dgm:spPr/>
    </dgm:pt>
    <dgm:pt modelId="{B16A49EC-FA64-4CF8-9F73-134DE4669573}" type="pres">
      <dgm:prSet presAssocID="{11953D8A-6EAC-4E7A-AD95-EB292D54A892}" presName="hierChild5" presStyleCnt="0"/>
      <dgm:spPr/>
    </dgm:pt>
    <dgm:pt modelId="{C6DFEC26-61E7-4721-A81F-629E8A39C05B}" type="pres">
      <dgm:prSet presAssocID="{14076670-5B22-4D8B-BE56-D538804E1A23}" presName="Name37" presStyleLbl="parChTrans1D2" presStyleIdx="2" presStyleCnt="4"/>
      <dgm:spPr/>
    </dgm:pt>
    <dgm:pt modelId="{A8CF42C3-E930-4029-BE16-FBFD931DA1BA}" type="pres">
      <dgm:prSet presAssocID="{6BBBEDFC-16B6-4F94-8A24-1672C160C7C8}" presName="hierRoot2" presStyleCnt="0">
        <dgm:presLayoutVars>
          <dgm:hierBranch val="r"/>
        </dgm:presLayoutVars>
      </dgm:prSet>
      <dgm:spPr/>
    </dgm:pt>
    <dgm:pt modelId="{37F7DB77-44C3-4FF1-B66D-4FFA7C358D06}" type="pres">
      <dgm:prSet presAssocID="{6BBBEDFC-16B6-4F94-8A24-1672C160C7C8}" presName="rootComposite" presStyleCnt="0"/>
      <dgm:spPr/>
    </dgm:pt>
    <dgm:pt modelId="{F24A06B9-1E96-410C-B467-B29DBCDED2D7}" type="pres">
      <dgm:prSet presAssocID="{6BBBEDFC-16B6-4F94-8A24-1672C160C7C8}" presName="rootText" presStyleLbl="node1" presStyleIdx="10" presStyleCnt="15" custScaleX="145881">
        <dgm:presLayoutVars>
          <dgm:chMax/>
          <dgm:chPref val="3"/>
        </dgm:presLayoutVars>
      </dgm:prSet>
      <dgm:spPr>
        <a:prstGeom prst="plaque">
          <a:avLst/>
        </a:prstGeom>
      </dgm:spPr>
    </dgm:pt>
    <dgm:pt modelId="{232251A2-E0BB-43B5-82DB-631055C6B5CE}" type="pres">
      <dgm:prSet presAssocID="{6BBBEDFC-16B6-4F94-8A24-1672C160C7C8}" presName="titleText2" presStyleLbl="fgAcc1" presStyleIdx="10" presStyleCnt="15">
        <dgm:presLayoutVars>
          <dgm:chMax val="0"/>
          <dgm:chPref val="0"/>
        </dgm:presLayoutVars>
      </dgm:prSet>
      <dgm:spPr/>
    </dgm:pt>
    <dgm:pt modelId="{8B7875DC-567A-4654-8CAC-7E48D84046E7}" type="pres">
      <dgm:prSet presAssocID="{6BBBEDFC-16B6-4F94-8A24-1672C160C7C8}" presName="rootConnector" presStyleLbl="node2" presStyleIdx="0" presStyleCnt="0"/>
      <dgm:spPr/>
    </dgm:pt>
    <dgm:pt modelId="{81B53E2A-29F0-460B-A118-A8F5820CBC2B}" type="pres">
      <dgm:prSet presAssocID="{6BBBEDFC-16B6-4F94-8A24-1672C160C7C8}" presName="hierChild4" presStyleCnt="0"/>
      <dgm:spPr/>
    </dgm:pt>
    <dgm:pt modelId="{ED0EEA47-071D-4BE9-AF09-56F37DB9EE38}" type="pres">
      <dgm:prSet presAssocID="{4BAAD2EB-2786-40FD-BF22-010CFFD5F14D}" presName="Name44" presStyleLbl="parChTrans1D3" presStyleIdx="8" presStyleCnt="13"/>
      <dgm:spPr/>
    </dgm:pt>
    <dgm:pt modelId="{76929887-3D91-4393-A901-EBA462FE0915}" type="pres">
      <dgm:prSet presAssocID="{168FAB7D-8A9E-4565-ADF3-9E99AAEC0379}" presName="hierRoot2" presStyleCnt="0">
        <dgm:presLayoutVars>
          <dgm:hierBranch val="init"/>
        </dgm:presLayoutVars>
      </dgm:prSet>
      <dgm:spPr/>
    </dgm:pt>
    <dgm:pt modelId="{C5DD057D-8433-42F7-AE0A-384D3E28196F}" type="pres">
      <dgm:prSet presAssocID="{168FAB7D-8A9E-4565-ADF3-9E99AAEC0379}" presName="rootComposite" presStyleCnt="0"/>
      <dgm:spPr/>
    </dgm:pt>
    <dgm:pt modelId="{0E3078A9-540A-476B-8C3A-F45E11C75991}" type="pres">
      <dgm:prSet presAssocID="{168FAB7D-8A9E-4565-ADF3-9E99AAEC0379}" presName="rootText" presStyleLbl="node1" presStyleIdx="11" presStyleCnt="15" custScaleX="136314">
        <dgm:presLayoutVars>
          <dgm:chMax/>
          <dgm:chPref val="3"/>
        </dgm:presLayoutVars>
      </dgm:prSet>
      <dgm:spPr>
        <a:prstGeom prst="flowChartPredefinedProcess">
          <a:avLst/>
        </a:prstGeom>
      </dgm:spPr>
    </dgm:pt>
    <dgm:pt modelId="{A26328DC-935D-4CA0-8155-4F72A41495FB}" type="pres">
      <dgm:prSet presAssocID="{168FAB7D-8A9E-4565-ADF3-9E99AAEC0379}" presName="titleText2" presStyleLbl="fgAcc1" presStyleIdx="11" presStyleCnt="15">
        <dgm:presLayoutVars>
          <dgm:chMax val="0"/>
          <dgm:chPref val="0"/>
        </dgm:presLayoutVars>
      </dgm:prSet>
      <dgm:spPr/>
    </dgm:pt>
    <dgm:pt modelId="{3ADE899D-8794-451C-B4D9-A439AEBDF194}" type="pres">
      <dgm:prSet presAssocID="{168FAB7D-8A9E-4565-ADF3-9E99AAEC0379}" presName="rootConnector" presStyleLbl="node3" presStyleIdx="0" presStyleCnt="0"/>
      <dgm:spPr/>
    </dgm:pt>
    <dgm:pt modelId="{717DD111-33B4-4352-8824-A305A100486C}" type="pres">
      <dgm:prSet presAssocID="{168FAB7D-8A9E-4565-ADF3-9E99AAEC0379}" presName="hierChild4" presStyleCnt="0"/>
      <dgm:spPr/>
    </dgm:pt>
    <dgm:pt modelId="{8419174E-7C44-42A3-9166-0FFFB32308F3}" type="pres">
      <dgm:prSet presAssocID="{168FAB7D-8A9E-4565-ADF3-9E99AAEC0379}" presName="hierChild5" presStyleCnt="0"/>
      <dgm:spPr/>
    </dgm:pt>
    <dgm:pt modelId="{3A826A3A-6618-40C2-A27E-26851B16BFA7}" type="pres">
      <dgm:prSet presAssocID="{6BBBEDFC-16B6-4F94-8A24-1672C160C7C8}" presName="hierChild5" presStyleCnt="0"/>
      <dgm:spPr/>
    </dgm:pt>
    <dgm:pt modelId="{B00DD25B-858F-40FD-9679-789071762E79}" type="pres">
      <dgm:prSet presAssocID="{6DDC9699-6ED4-4599-90BC-1787E5B9D759}" presName="Name96" presStyleLbl="parChTrans1D3" presStyleIdx="9" presStyleCnt="13"/>
      <dgm:spPr/>
    </dgm:pt>
    <dgm:pt modelId="{EE6F8988-4F8B-4963-92AE-F5412CE76EDE}" type="pres">
      <dgm:prSet presAssocID="{CE17AF00-C362-4AAD-B419-AFEED7EBD340}" presName="hierRoot3" presStyleCnt="0">
        <dgm:presLayoutVars>
          <dgm:hierBranch val="init"/>
        </dgm:presLayoutVars>
      </dgm:prSet>
      <dgm:spPr/>
    </dgm:pt>
    <dgm:pt modelId="{267268A0-C2D4-4256-BE3B-957585E33AD5}" type="pres">
      <dgm:prSet presAssocID="{CE17AF00-C362-4AAD-B419-AFEED7EBD340}" presName="rootComposite3" presStyleCnt="0"/>
      <dgm:spPr/>
    </dgm:pt>
    <dgm:pt modelId="{CEF3B549-D084-45E5-B726-04FF8ABFC1FD}" type="pres">
      <dgm:prSet presAssocID="{CE17AF00-C362-4AAD-B419-AFEED7EBD340}" presName="rootText3" presStyleLbl="asst1" presStyleIdx="0" presStyleCnt="2" custScaleX="124526">
        <dgm:presLayoutVars>
          <dgm:chPref val="3"/>
        </dgm:presLayoutVars>
      </dgm:prSet>
      <dgm:spPr>
        <a:prstGeom prst="plaque">
          <a:avLst/>
        </a:prstGeom>
      </dgm:spPr>
    </dgm:pt>
    <dgm:pt modelId="{9DD619E1-EFBB-44CE-9D03-67534D360277}" type="pres">
      <dgm:prSet presAssocID="{CE17AF00-C362-4AAD-B419-AFEED7EBD340}" presName="titleText3" presStyleLbl="fgAcc2" presStyleIdx="0" presStyleCnt="2">
        <dgm:presLayoutVars>
          <dgm:chMax val="0"/>
          <dgm:chPref val="0"/>
        </dgm:presLayoutVars>
      </dgm:prSet>
      <dgm:spPr/>
    </dgm:pt>
    <dgm:pt modelId="{F57313CA-3D71-456A-A0B1-23D227DD8A48}" type="pres">
      <dgm:prSet presAssocID="{CE17AF00-C362-4AAD-B419-AFEED7EBD340}" presName="rootConnector3" presStyleLbl="asst2" presStyleIdx="0" presStyleCnt="0"/>
      <dgm:spPr/>
    </dgm:pt>
    <dgm:pt modelId="{1817DABB-FCFE-4716-8CB4-9031CD59ACE9}" type="pres">
      <dgm:prSet presAssocID="{CE17AF00-C362-4AAD-B419-AFEED7EBD340}" presName="hierChild6" presStyleCnt="0"/>
      <dgm:spPr/>
    </dgm:pt>
    <dgm:pt modelId="{430A3C9B-E241-46EA-AAB5-F1F7A2182670}" type="pres">
      <dgm:prSet presAssocID="{CE17AF00-C362-4AAD-B419-AFEED7EBD340}" presName="hierChild7" presStyleCnt="0"/>
      <dgm:spPr/>
    </dgm:pt>
    <dgm:pt modelId="{FB1ED469-91FF-49A1-8853-F6C591AB1C8B}" type="pres">
      <dgm:prSet presAssocID="{E38461A3-4A23-453E-811E-BE847976849C}" presName="Name96" presStyleLbl="parChTrans1D3" presStyleIdx="10" presStyleCnt="13"/>
      <dgm:spPr/>
    </dgm:pt>
    <dgm:pt modelId="{EB2F9F09-189B-4683-9AFE-A0143AD7A650}" type="pres">
      <dgm:prSet presAssocID="{CDC1C333-31D5-4E80-9ED7-6EBE06399FED}" presName="hierRoot3" presStyleCnt="0">
        <dgm:presLayoutVars>
          <dgm:hierBranch val="init"/>
        </dgm:presLayoutVars>
      </dgm:prSet>
      <dgm:spPr/>
    </dgm:pt>
    <dgm:pt modelId="{83A5B165-C392-4652-B602-F80E93520E80}" type="pres">
      <dgm:prSet presAssocID="{CDC1C333-31D5-4E80-9ED7-6EBE06399FED}" presName="rootComposite3" presStyleCnt="0"/>
      <dgm:spPr/>
    </dgm:pt>
    <dgm:pt modelId="{5BD07DC4-9743-4468-BA48-7C8EF9145C68}" type="pres">
      <dgm:prSet presAssocID="{CDC1C333-31D5-4E80-9ED7-6EBE06399FED}" presName="rootText3" presStyleLbl="asst1" presStyleIdx="1" presStyleCnt="2" custScaleX="124526">
        <dgm:presLayoutVars>
          <dgm:chPref val="3"/>
        </dgm:presLayoutVars>
      </dgm:prSet>
      <dgm:spPr>
        <a:prstGeom prst="plaque">
          <a:avLst/>
        </a:prstGeom>
      </dgm:spPr>
    </dgm:pt>
    <dgm:pt modelId="{4988456E-44F7-475D-99B2-DF3BE760170C}" type="pres">
      <dgm:prSet presAssocID="{CDC1C333-31D5-4E80-9ED7-6EBE06399FED}" presName="titleText3" presStyleLbl="fgAcc2" presStyleIdx="1" presStyleCnt="2">
        <dgm:presLayoutVars>
          <dgm:chMax val="0"/>
          <dgm:chPref val="0"/>
        </dgm:presLayoutVars>
      </dgm:prSet>
      <dgm:spPr/>
    </dgm:pt>
    <dgm:pt modelId="{3487D449-2A7D-49EC-B16B-2124597A33F1}" type="pres">
      <dgm:prSet presAssocID="{CDC1C333-31D5-4E80-9ED7-6EBE06399FED}" presName="rootConnector3" presStyleLbl="asst2" presStyleIdx="0" presStyleCnt="0"/>
      <dgm:spPr/>
    </dgm:pt>
    <dgm:pt modelId="{980546F3-7B4F-487B-9BE2-F64F75F0FEA1}" type="pres">
      <dgm:prSet presAssocID="{CDC1C333-31D5-4E80-9ED7-6EBE06399FED}" presName="hierChild6" presStyleCnt="0"/>
      <dgm:spPr/>
    </dgm:pt>
    <dgm:pt modelId="{6B320D01-1DBA-48D1-9EE1-DFAF163873FA}" type="pres">
      <dgm:prSet presAssocID="{CDC1C333-31D5-4E80-9ED7-6EBE06399FED}" presName="hierChild7" presStyleCnt="0"/>
      <dgm:spPr/>
    </dgm:pt>
    <dgm:pt modelId="{0D035DEB-C281-43DE-9BC1-834962B414F7}" type="pres">
      <dgm:prSet presAssocID="{165209F2-829C-4AC9-BD25-8B99B9FC9069}" presName="Name37" presStyleLbl="parChTrans1D2" presStyleIdx="3" presStyleCnt="4"/>
      <dgm:spPr/>
    </dgm:pt>
    <dgm:pt modelId="{EB4FD4D0-A763-425C-8C42-6246AA2BA3F4}" type="pres">
      <dgm:prSet presAssocID="{BF65CACB-4582-4818-A251-353985DA888E}" presName="hierRoot2" presStyleCnt="0">
        <dgm:presLayoutVars>
          <dgm:hierBranch val="hang"/>
        </dgm:presLayoutVars>
      </dgm:prSet>
      <dgm:spPr/>
    </dgm:pt>
    <dgm:pt modelId="{726F27F4-0866-484D-B1E2-CBB0CB771160}" type="pres">
      <dgm:prSet presAssocID="{BF65CACB-4582-4818-A251-353985DA888E}" presName="rootComposite" presStyleCnt="0"/>
      <dgm:spPr/>
    </dgm:pt>
    <dgm:pt modelId="{A33E0681-798E-4505-B6B8-8FC165173B50}" type="pres">
      <dgm:prSet presAssocID="{BF65CACB-4582-4818-A251-353985DA888E}" presName="rootText" presStyleLbl="node1" presStyleIdx="12" presStyleCnt="15" custScaleX="132058">
        <dgm:presLayoutVars>
          <dgm:chMax/>
          <dgm:chPref val="3"/>
        </dgm:presLayoutVars>
      </dgm:prSet>
      <dgm:spPr>
        <a:xfrm>
          <a:off x="4782757" y="582251"/>
          <a:ext cx="711232" cy="368244"/>
        </a:xfrm>
        <a:prstGeom prst="plaque">
          <a:avLst/>
        </a:prstGeom>
      </dgm:spPr>
    </dgm:pt>
    <dgm:pt modelId="{0EA90449-3CED-4A5A-9529-B4FCC4E6DC29}" type="pres">
      <dgm:prSet presAssocID="{BF65CACB-4582-4818-A251-353985DA888E}" presName="titleText2" presStyleLbl="fgAcc1" presStyleIdx="12" presStyleCnt="15">
        <dgm:presLayoutVars>
          <dgm:chMax val="0"/>
          <dgm:chPref val="0"/>
        </dgm:presLayoutVars>
      </dgm:prSet>
      <dgm:spPr/>
    </dgm:pt>
    <dgm:pt modelId="{D9AF999A-0205-4FAB-9CFC-5E69BC5D3428}" type="pres">
      <dgm:prSet presAssocID="{BF65CACB-4582-4818-A251-353985DA888E}" presName="rootConnector" presStyleLbl="node2" presStyleIdx="0" presStyleCnt="0"/>
      <dgm:spPr/>
    </dgm:pt>
    <dgm:pt modelId="{CB266C2E-4AFD-4C0C-9C91-465CFF2CA990}" type="pres">
      <dgm:prSet presAssocID="{BF65CACB-4582-4818-A251-353985DA888E}" presName="hierChild4" presStyleCnt="0"/>
      <dgm:spPr/>
    </dgm:pt>
    <dgm:pt modelId="{081E7B5B-E16D-482B-9C1D-3CAB3B85B812}" type="pres">
      <dgm:prSet presAssocID="{887CC91A-B92B-44DB-8AAD-668FFEBB1FD5}" presName="Name42" presStyleLbl="parChTrans1D3" presStyleIdx="11" presStyleCnt="13"/>
      <dgm:spPr/>
    </dgm:pt>
    <dgm:pt modelId="{1589FFC8-9C88-49DE-93D5-525DF2D106BE}" type="pres">
      <dgm:prSet presAssocID="{125C3862-231D-4EB1-A970-6F3D42F0F491}" presName="hierRoot2" presStyleCnt="0">
        <dgm:presLayoutVars>
          <dgm:hierBranch val="init"/>
        </dgm:presLayoutVars>
      </dgm:prSet>
      <dgm:spPr/>
    </dgm:pt>
    <dgm:pt modelId="{2D2FDFD8-3CB0-4517-9D57-FADCEBF0D3C3}" type="pres">
      <dgm:prSet presAssocID="{125C3862-231D-4EB1-A970-6F3D42F0F491}" presName="rootComposite" presStyleCnt="0"/>
      <dgm:spPr/>
    </dgm:pt>
    <dgm:pt modelId="{41187E60-E77D-42ED-B082-8E4D0532A4BB}" type="pres">
      <dgm:prSet presAssocID="{125C3862-231D-4EB1-A970-6F3D42F0F491}" presName="rootText" presStyleLbl="node1" presStyleIdx="13" presStyleCnt="15" custScaleX="159014" custLinFactNeighborX="4934" custLinFactNeighborY="-1362">
        <dgm:presLayoutVars>
          <dgm:chMax/>
          <dgm:chPref val="3"/>
        </dgm:presLayoutVars>
      </dgm:prSet>
      <dgm:spPr>
        <a:xfrm>
          <a:off x="4110333" y="957839"/>
          <a:ext cx="588441" cy="304668"/>
        </a:xfrm>
        <a:prstGeom prst="plaque">
          <a:avLst/>
        </a:prstGeom>
      </dgm:spPr>
    </dgm:pt>
    <dgm:pt modelId="{C76F80A7-F9F3-4875-86A8-984656DA1D41}" type="pres">
      <dgm:prSet presAssocID="{125C3862-231D-4EB1-A970-6F3D42F0F491}" presName="titleText2" presStyleLbl="fgAcc1" presStyleIdx="13" presStyleCnt="15">
        <dgm:presLayoutVars>
          <dgm:chMax val="0"/>
          <dgm:chPref val="0"/>
        </dgm:presLayoutVars>
      </dgm:prSet>
      <dgm:spPr/>
    </dgm:pt>
    <dgm:pt modelId="{54CF4A28-FC42-4637-B8C4-A7F618642D7C}" type="pres">
      <dgm:prSet presAssocID="{125C3862-231D-4EB1-A970-6F3D42F0F491}" presName="rootConnector" presStyleLbl="node3" presStyleIdx="0" presStyleCnt="0"/>
      <dgm:spPr/>
    </dgm:pt>
    <dgm:pt modelId="{37147CAB-EBA3-4A6E-BF6C-21916CAA972C}" type="pres">
      <dgm:prSet presAssocID="{125C3862-231D-4EB1-A970-6F3D42F0F491}" presName="hierChild4" presStyleCnt="0"/>
      <dgm:spPr/>
    </dgm:pt>
    <dgm:pt modelId="{518F4A90-1F09-4847-A603-93F7AA8BE83C}" type="pres">
      <dgm:prSet presAssocID="{125C3862-231D-4EB1-A970-6F3D42F0F491}" presName="hierChild5" presStyleCnt="0"/>
      <dgm:spPr/>
    </dgm:pt>
    <dgm:pt modelId="{56395623-D1B5-4271-9D74-F9A317C61429}" type="pres">
      <dgm:prSet presAssocID="{A2E9CA53-01FF-4469-934C-1101486299FC}" presName="Name42" presStyleLbl="parChTrans1D3" presStyleIdx="12" presStyleCnt="13"/>
      <dgm:spPr/>
    </dgm:pt>
    <dgm:pt modelId="{AA54C9E7-D378-4A6F-BEBD-8BC7BB095A23}" type="pres">
      <dgm:prSet presAssocID="{B1BCE3A6-262D-4F72-8168-C8827B8A436B}" presName="hierRoot2" presStyleCnt="0">
        <dgm:presLayoutVars>
          <dgm:hierBranch val="init"/>
        </dgm:presLayoutVars>
      </dgm:prSet>
      <dgm:spPr/>
    </dgm:pt>
    <dgm:pt modelId="{3C8FD12E-9228-412A-BAD1-C07C91D94900}" type="pres">
      <dgm:prSet presAssocID="{B1BCE3A6-262D-4F72-8168-C8827B8A436B}" presName="rootComposite" presStyleCnt="0"/>
      <dgm:spPr/>
    </dgm:pt>
    <dgm:pt modelId="{151566AD-AAAF-4EA2-95A0-7C782C90AA9A}" type="pres">
      <dgm:prSet presAssocID="{B1BCE3A6-262D-4F72-8168-C8827B8A436B}" presName="rootText" presStyleLbl="node1" presStyleIdx="14" presStyleCnt="15" custScaleX="136314">
        <dgm:presLayoutVars>
          <dgm:chMax/>
          <dgm:chPref val="3"/>
        </dgm:presLayoutVars>
      </dgm:prSet>
      <dgm:spPr>
        <a:prstGeom prst="flowChartPredefinedProcess">
          <a:avLst/>
        </a:prstGeom>
      </dgm:spPr>
    </dgm:pt>
    <dgm:pt modelId="{D80DD3E1-F643-47DB-820B-C4E9C9B61191}" type="pres">
      <dgm:prSet presAssocID="{B1BCE3A6-262D-4F72-8168-C8827B8A436B}" presName="titleText2" presStyleLbl="fgAcc1" presStyleIdx="14" presStyleCnt="15">
        <dgm:presLayoutVars>
          <dgm:chMax val="0"/>
          <dgm:chPref val="0"/>
        </dgm:presLayoutVars>
      </dgm:prSet>
      <dgm:spPr/>
    </dgm:pt>
    <dgm:pt modelId="{93795FCC-1585-4556-820E-CB5167E3B78A}" type="pres">
      <dgm:prSet presAssocID="{B1BCE3A6-262D-4F72-8168-C8827B8A436B}" presName="rootConnector" presStyleLbl="node3" presStyleIdx="0" presStyleCnt="0"/>
      <dgm:spPr/>
    </dgm:pt>
    <dgm:pt modelId="{B0C570FE-72BB-4305-86E8-516EFCB47FF7}" type="pres">
      <dgm:prSet presAssocID="{B1BCE3A6-262D-4F72-8168-C8827B8A436B}" presName="hierChild4" presStyleCnt="0"/>
      <dgm:spPr/>
    </dgm:pt>
    <dgm:pt modelId="{D2F4D9DB-B6CE-4E41-B01E-E173A080C239}" type="pres">
      <dgm:prSet presAssocID="{B1BCE3A6-262D-4F72-8168-C8827B8A436B}" presName="hierChild5" presStyleCnt="0"/>
      <dgm:spPr/>
    </dgm:pt>
    <dgm:pt modelId="{ED1090B9-4A23-44FE-B6CC-D71B21AC2FF1}" type="pres">
      <dgm:prSet presAssocID="{BF65CACB-4582-4818-A251-353985DA888E}" presName="hierChild5" presStyleCnt="0"/>
      <dgm:spPr/>
    </dgm:pt>
    <dgm:pt modelId="{F29F1333-3079-4F27-BBE5-927B268BBC73}" type="pres">
      <dgm:prSet presAssocID="{F1654C6F-1BCD-47E6-96F0-4A8D2BF55594}" presName="hierChild3" presStyleCnt="0"/>
      <dgm:spPr/>
    </dgm:pt>
  </dgm:ptLst>
  <dgm:cxnLst>
    <dgm:cxn modelId="{D5A83E01-6210-4BBB-B690-DF958703C148}" type="presOf" srcId="{0D5FEF66-DEF3-400B-82D5-DC7484044367}" destId="{73E1B991-780B-4081-BBCC-FB82A65C5F62}" srcOrd="0" destOrd="0" presId="urn:microsoft.com/office/officeart/2008/layout/NameandTitleOrganizationalChart"/>
    <dgm:cxn modelId="{D1589503-3821-47E1-B7A9-8BD4EB601601}" type="presOf" srcId="{C1445725-D6B2-42B1-866B-840AD260B3B3}" destId="{B59F5AF5-5BAF-4785-9653-32EEEA74C996}" srcOrd="0" destOrd="0" presId="urn:microsoft.com/office/officeart/2008/layout/NameandTitleOrganizationalChart"/>
    <dgm:cxn modelId="{8EC66404-EDC1-4CF1-9CA9-D38EE25CDAD3}" type="presOf" srcId="{6BBBEDFC-16B6-4F94-8A24-1672C160C7C8}" destId="{F24A06B9-1E96-410C-B467-B29DBCDED2D7}" srcOrd="0" destOrd="0" presId="urn:microsoft.com/office/officeart/2008/layout/NameandTitleOrganizationalChart"/>
    <dgm:cxn modelId="{4080FD04-3169-4F3D-BA39-91B257417498}" type="presOf" srcId="{6DDC9699-6ED4-4599-90BC-1787E5B9D759}" destId="{B00DD25B-858F-40FD-9679-789071762E79}" srcOrd="0" destOrd="0" presId="urn:microsoft.com/office/officeart/2008/layout/NameandTitleOrganizationalChart"/>
    <dgm:cxn modelId="{19D7170A-BBF9-4B87-9504-B995882E86B9}" type="presOf" srcId="{BF65CACB-4582-4818-A251-353985DA888E}" destId="{D9AF999A-0205-4FAB-9CFC-5E69BC5D3428}" srcOrd="1" destOrd="0" presId="urn:microsoft.com/office/officeart/2008/layout/NameandTitleOrganizationalChart"/>
    <dgm:cxn modelId="{3E9C280A-0A7E-42AD-8C27-E628E9D90A7B}" type="presOf" srcId="{BE7616AF-FD8B-40EA-A4C5-30CC33A5CDC7}" destId="{0724F3ED-3541-4B8C-9757-44D606094879}" srcOrd="0" destOrd="0" presId="urn:microsoft.com/office/officeart/2008/layout/NameandTitleOrganizationalChart"/>
    <dgm:cxn modelId="{2C0E630D-BB15-47AE-BA4C-DB2A6CF89AA1}" type="presOf" srcId="{5DA6C0B1-11A5-47B7-B6F9-F42DC4B133E4}" destId="{DD440C76-09A0-41E7-84D0-454F46A01260}" srcOrd="0" destOrd="0" presId="urn:microsoft.com/office/officeart/2008/layout/NameandTitleOrganizationalChart"/>
    <dgm:cxn modelId="{30CF2D16-7907-4002-9817-23AED351C290}" type="presOf" srcId="{CE17AF00-C362-4AAD-B419-AFEED7EBD340}" destId="{F57313CA-3D71-456A-A0B1-23D227DD8A48}" srcOrd="1" destOrd="0" presId="urn:microsoft.com/office/officeart/2008/layout/NameandTitleOrganizationalChart"/>
    <dgm:cxn modelId="{995B4D18-FB85-49CF-94DE-99BF4726B2F5}" srcId="{6BBBEDFC-16B6-4F94-8A24-1672C160C7C8}" destId="{CE17AF00-C362-4AAD-B419-AFEED7EBD340}" srcOrd="0" destOrd="0" parTransId="{6DDC9699-6ED4-4599-90BC-1787E5B9D759}" sibTransId="{22B17A02-EB59-430D-8F2D-EAA86288C4BD}"/>
    <dgm:cxn modelId="{DAE3F31B-396D-486C-A628-282FFF04D034}" type="presOf" srcId="{C1445725-D6B2-42B1-866B-840AD260B3B3}" destId="{52E37727-0DA9-47FE-85AA-8EBF285C83D3}" srcOrd="1" destOrd="0" presId="urn:microsoft.com/office/officeart/2008/layout/NameandTitleOrganizationalChart"/>
    <dgm:cxn modelId="{0BFED71D-56D8-402C-837F-3DBAFAEF70CA}" srcId="{11953D8A-6EAC-4E7A-AD95-EB292D54A892}" destId="{10E72BEC-3226-4401-BF29-1B348A3CD7E7}" srcOrd="1" destOrd="0" parTransId="{00DB5D1C-9548-488C-A254-2D1C08BF18E7}" sibTransId="{BEE46344-EE54-4BAD-BF32-AE5629A1684A}"/>
    <dgm:cxn modelId="{63DE4D1F-793E-4509-B902-C785D22652E5}" type="presOf" srcId="{78C8840C-70B7-4CF7-BA4E-DE17C1DDBB80}" destId="{825D34BD-9AE9-403B-83BA-3E30CCDDA8D1}" srcOrd="1" destOrd="0" presId="urn:microsoft.com/office/officeart/2008/layout/NameandTitleOrganizationalChart"/>
    <dgm:cxn modelId="{039B5921-E95A-4CBA-B786-5A414610C05B}" type="presOf" srcId="{168FAB7D-8A9E-4565-ADF3-9E99AAEC0379}" destId="{3ADE899D-8794-451C-B4D9-A439AEBDF194}" srcOrd="1" destOrd="0" presId="urn:microsoft.com/office/officeart/2008/layout/NameandTitleOrganizationalChart"/>
    <dgm:cxn modelId="{7B17C52A-B214-49A3-B21E-2A6E7F9FB013}" srcId="{BF65CACB-4582-4818-A251-353985DA888E}" destId="{B1BCE3A6-262D-4F72-8168-C8827B8A436B}" srcOrd="1" destOrd="0" parTransId="{A2E9CA53-01FF-4469-934C-1101486299FC}" sibTransId="{55E9D649-F731-41FC-8F40-9BA03A660E5B}"/>
    <dgm:cxn modelId="{8041FD2A-0D24-41FD-B487-8B69B87F941B}" srcId="{BF65CACB-4582-4818-A251-353985DA888E}" destId="{125C3862-231D-4EB1-A970-6F3D42F0F491}" srcOrd="0" destOrd="0" parTransId="{887CC91A-B92B-44DB-8AAD-668FFEBB1FD5}" sibTransId="{54386165-F34E-48C7-841D-7889475D704E}"/>
    <dgm:cxn modelId="{38B63130-184F-4307-BAF3-FFEBABB4A01D}" type="presOf" srcId="{165209F2-829C-4AC9-BD25-8B99B9FC9069}" destId="{0D035DEB-C281-43DE-9BC1-834962B414F7}" srcOrd="0" destOrd="0" presId="urn:microsoft.com/office/officeart/2008/layout/NameandTitleOrganizationalChart"/>
    <dgm:cxn modelId="{A34A8C38-35F4-45FB-9C5E-D0C40D473574}" type="presOf" srcId="{87E81DC1-2FC7-4B7C-94B1-34DABC0F7380}" destId="{0EA90449-3CED-4A5A-9529-B4FCC4E6DC29}" srcOrd="0" destOrd="0" presId="urn:microsoft.com/office/officeart/2008/layout/NameandTitleOrganizationalChart"/>
    <dgm:cxn modelId="{D411043B-F6B7-4ABC-AEA1-239D129D7B75}" type="presOf" srcId="{00DB5D1C-9548-488C-A254-2D1C08BF18E7}" destId="{78E281D5-1471-4C50-AED8-78D2D8F7AAB6}" srcOrd="0" destOrd="0" presId="urn:microsoft.com/office/officeart/2008/layout/NameandTitleOrganizationalChart"/>
    <dgm:cxn modelId="{E6AF8C40-9EE4-4F08-9F3D-26FA030AFC9A}" type="presOf" srcId="{735989BA-7323-449A-96EE-97D89A4D71DB}" destId="{DC5A80F1-077C-4B03-8FED-F735DA16440B}" srcOrd="0" destOrd="0" presId="urn:microsoft.com/office/officeart/2008/layout/NameandTitleOrganizationalChart"/>
    <dgm:cxn modelId="{F7D7415B-6C31-46FA-A55F-F5F448DD518C}" type="presOf" srcId="{125C3862-231D-4EB1-A970-6F3D42F0F491}" destId="{41187E60-E77D-42ED-B082-8E4D0532A4BB}" srcOrd="0" destOrd="0" presId="urn:microsoft.com/office/officeart/2008/layout/NameandTitleOrganizationalChart"/>
    <dgm:cxn modelId="{052F1F5F-C5B5-4091-8F38-236D406783B8}" type="presOf" srcId="{78C8840C-70B7-4CF7-BA4E-DE17C1DDBB80}" destId="{3E56EE88-6177-4D83-9AA4-6F0581F8F0F2}" srcOrd="0" destOrd="0" presId="urn:microsoft.com/office/officeart/2008/layout/NameandTitleOrganizationalChart"/>
    <dgm:cxn modelId="{A2EBC65F-0B22-469D-9FD0-ED66941D6823}" type="presOf" srcId="{BF65CACB-4582-4818-A251-353985DA888E}" destId="{A33E0681-798E-4505-B6B8-8FC165173B50}" srcOrd="0" destOrd="0" presId="urn:microsoft.com/office/officeart/2008/layout/NameandTitleOrganizationalChart"/>
    <dgm:cxn modelId="{7F5D0161-6C75-47EC-9586-9245027ECAEB}" type="presOf" srcId="{11953D8A-6EAC-4E7A-AD95-EB292D54A892}" destId="{9D09EF6D-9317-48AE-856C-57C8442726A9}" srcOrd="1" destOrd="0" presId="urn:microsoft.com/office/officeart/2008/layout/NameandTitleOrganizationalChart"/>
    <dgm:cxn modelId="{BB774A41-C97C-4925-84D0-5DDCCADC0E5C}" type="presOf" srcId="{8178B971-706F-403A-A850-C3F7058D565F}" destId="{14CFE4FA-4C5A-4B85-B078-7710894242C5}" srcOrd="0" destOrd="0" presId="urn:microsoft.com/office/officeart/2008/layout/NameandTitleOrganizationalChart"/>
    <dgm:cxn modelId="{5BD56B42-BE2B-49DD-BEDD-41DAD94C8C4B}" type="presOf" srcId="{77F6E827-1A02-4370-9B9C-07F44C03C9A9}" destId="{232251A2-E0BB-43B5-82DB-631055C6B5CE}" srcOrd="0" destOrd="0" presId="urn:microsoft.com/office/officeart/2008/layout/NameandTitleOrganizationalChart"/>
    <dgm:cxn modelId="{76FBCB42-8291-4329-80CA-63399DD7E8D2}" srcId="{6BBBEDFC-16B6-4F94-8A24-1672C160C7C8}" destId="{168FAB7D-8A9E-4565-ADF3-9E99AAEC0379}" srcOrd="2" destOrd="0" parTransId="{4BAAD2EB-2786-40FD-BF22-010CFFD5F14D}" sibTransId="{D4CF2BF8-97B3-4301-B361-0413EEDEF134}"/>
    <dgm:cxn modelId="{092A4248-8461-4C25-8223-B10A84BE0761}" type="presOf" srcId="{9F3D1EB5-2769-42EF-ADF6-8769EC34216C}" destId="{4988456E-44F7-475D-99B2-DF3BE760170C}" srcOrd="0" destOrd="0" presId="urn:microsoft.com/office/officeart/2008/layout/NameandTitleOrganizationalChart"/>
    <dgm:cxn modelId="{3B77CF48-41F0-480B-8742-163CFA55B83D}" type="presOf" srcId="{086F9518-64B4-4320-B00E-F08546F93515}" destId="{6AC56C02-EE51-43D7-87D6-16AB2F762F36}" srcOrd="0" destOrd="0" presId="urn:microsoft.com/office/officeart/2008/layout/NameandTitleOrganizationalChart"/>
    <dgm:cxn modelId="{90033349-BDB3-4582-BA0D-29B45A0D7883}" srcId="{11953D8A-6EAC-4E7A-AD95-EB292D54A892}" destId="{BE7616AF-FD8B-40EA-A4C5-30CC33A5CDC7}" srcOrd="3" destOrd="0" parTransId="{DB8B4E4E-9BFC-439C-BC17-A2DB26D12C2C}" sibTransId="{0D5FEF66-DEF3-400B-82D5-DC7484044367}"/>
    <dgm:cxn modelId="{74C8506B-5AE1-4645-BE60-3939465997C1}" type="presOf" srcId="{35744798-F8E7-45C5-8A66-513833856EAB}" destId="{91A6E367-A5D6-4D07-BE88-21E1D945C91D}" srcOrd="0" destOrd="0" presId="urn:microsoft.com/office/officeart/2008/layout/NameandTitleOrganizationalChart"/>
    <dgm:cxn modelId="{AD77D14E-7C0F-4AF3-9BB3-DE0921CF1D5E}" type="presOf" srcId="{B1BCE3A6-262D-4F72-8168-C8827B8A436B}" destId="{93795FCC-1585-4556-820E-CB5167E3B78A}" srcOrd="1" destOrd="0" presId="urn:microsoft.com/office/officeart/2008/layout/NameandTitleOrganizationalChart"/>
    <dgm:cxn modelId="{9CAE464F-08E1-48D9-8374-5BB22262EA63}" type="presOf" srcId="{A2E9CA53-01FF-4469-934C-1101486299FC}" destId="{56395623-D1B5-4271-9D74-F9A317C61429}" srcOrd="0" destOrd="0" presId="urn:microsoft.com/office/officeart/2008/layout/NameandTitleOrganizationalChart"/>
    <dgm:cxn modelId="{3C0E6870-FC0A-48A7-A109-1817FD4EF533}" type="presOf" srcId="{391AC4E5-B898-46B2-B0F3-777182E071C7}" destId="{C8D7C9B5-5B36-4379-B872-A79AE5ACD0A3}" srcOrd="0" destOrd="0" presId="urn:microsoft.com/office/officeart/2008/layout/NameandTitleOrganizationalChart"/>
    <dgm:cxn modelId="{7135CD51-0394-4B76-91EF-B48BA9B0313E}" type="presOf" srcId="{11953D8A-6EAC-4E7A-AD95-EB292D54A892}" destId="{B336C763-2F89-4115-A9D4-36D6954E37D4}" srcOrd="0" destOrd="0" presId="urn:microsoft.com/office/officeart/2008/layout/NameandTitleOrganizationalChart"/>
    <dgm:cxn modelId="{CE14D451-4AA6-4DEC-8D43-4021FEF00E16}" type="presOf" srcId="{55E9D649-F731-41FC-8F40-9BA03A660E5B}" destId="{D80DD3E1-F643-47DB-820B-C4E9C9B61191}" srcOrd="0" destOrd="0" presId="urn:microsoft.com/office/officeart/2008/layout/NameandTitleOrganizationalChart"/>
    <dgm:cxn modelId="{08A84D56-C7FF-4BC3-B526-1E6EB4B1CC82}" type="presOf" srcId="{2B8F8450-49D5-4D3C-9E6D-424054820BBE}" destId="{E1BAD458-DA77-46F9-9C3F-7C9ADAB032A4}" srcOrd="0" destOrd="0" presId="urn:microsoft.com/office/officeart/2008/layout/NameandTitleOrganizationalChart"/>
    <dgm:cxn modelId="{065A4557-92A1-431A-B54C-6C303BC827EF}" srcId="{6BBBEDFC-16B6-4F94-8A24-1672C160C7C8}" destId="{CDC1C333-31D5-4E80-9ED7-6EBE06399FED}" srcOrd="1" destOrd="0" parTransId="{E38461A3-4A23-453E-811E-BE847976849C}" sibTransId="{9F3D1EB5-2769-42EF-ADF6-8769EC34216C}"/>
    <dgm:cxn modelId="{A2F19377-2D44-4478-9772-6FFAF63F7C6A}" type="presOf" srcId="{138F9918-DA42-4656-9F0E-FED203FE44E2}" destId="{6CA2D4AA-238E-4C99-836E-D68EBAE335BE}" srcOrd="1" destOrd="0" presId="urn:microsoft.com/office/officeart/2008/layout/NameandTitleOrganizationalChart"/>
    <dgm:cxn modelId="{BFD4A377-D131-48E9-ABBD-DC552AAE5327}" type="presOf" srcId="{0E678B1D-CA7A-44BE-96D9-7C879A76AD2A}" destId="{F4BFAC31-F85B-4AA9-875D-3E9E2E3F6DFA}" srcOrd="1" destOrd="0" presId="urn:microsoft.com/office/officeart/2008/layout/NameandTitleOrganizationalChart"/>
    <dgm:cxn modelId="{7D975558-9CE8-4A8C-8A35-B39A07B34BFD}" type="presOf" srcId="{0E678B1D-CA7A-44BE-96D9-7C879A76AD2A}" destId="{67B62DB1-842A-4A3E-AAA6-69604899623A}" srcOrd="0" destOrd="0" presId="urn:microsoft.com/office/officeart/2008/layout/NameandTitleOrganizationalChart"/>
    <dgm:cxn modelId="{812EB078-C9D6-479B-BCB9-F2420E627186}" srcId="{727E455D-E88A-4DFB-B24F-D6A498317184}" destId="{138F9918-DA42-4656-9F0E-FED203FE44E2}" srcOrd="0" destOrd="0" parTransId="{5DA6C0B1-11A5-47B7-B6F9-F42DC4B133E4}" sibTransId="{391AC4E5-B898-46B2-B0F3-777182E071C7}"/>
    <dgm:cxn modelId="{632BC378-AA6D-40F9-967B-E415EE60FB49}" type="presOf" srcId="{BE7616AF-FD8B-40EA-A4C5-30CC33A5CDC7}" destId="{4FE2825F-9606-484A-8E42-A9FD8F01DB35}" srcOrd="1" destOrd="0" presId="urn:microsoft.com/office/officeart/2008/layout/NameandTitleOrganizationalChart"/>
    <dgm:cxn modelId="{A9C2AC7B-2B63-430D-88C4-075BE110ABFC}" type="presOf" srcId="{10E72BEC-3226-4401-BF29-1B348A3CD7E7}" destId="{486EB147-7D30-49CE-8232-301A531AAF76}" srcOrd="0" destOrd="0" presId="urn:microsoft.com/office/officeart/2008/layout/NameandTitleOrganizationalChart"/>
    <dgm:cxn modelId="{545F6D80-B593-4E41-A867-F5F8A1CED315}" type="presOf" srcId="{887CC91A-B92B-44DB-8AAD-668FFEBB1FD5}" destId="{081E7B5B-E16D-482B-9C1D-3CAB3B85B812}" srcOrd="0" destOrd="0" presId="urn:microsoft.com/office/officeart/2008/layout/NameandTitleOrganizationalChart"/>
    <dgm:cxn modelId="{B46FA881-3BB8-4DD6-9C47-CF9831134DB7}" type="presOf" srcId="{A1602992-DC71-4329-B7B5-638E30ECA561}" destId="{DA980299-CFA9-4B1C-BE45-82F8C0CA8769}" srcOrd="0" destOrd="0" presId="urn:microsoft.com/office/officeart/2008/layout/NameandTitleOrganizationalChart"/>
    <dgm:cxn modelId="{CC0B8882-9725-42FD-9C16-54C75F2DE13D}" srcId="{7E8FC79B-76F0-41F5-A012-3187A9AC115C}" destId="{F1654C6F-1BCD-47E6-96F0-4A8D2BF55594}" srcOrd="0" destOrd="0" parTransId="{4CE9B61C-568F-43E8-AB96-40EE191856F6}" sibTransId="{735989BA-7323-449A-96EE-97D89A4D71DB}"/>
    <dgm:cxn modelId="{5FDC0187-C83E-422C-9C3E-E5037E680D95}" type="presOf" srcId="{E38461A3-4A23-453E-811E-BE847976849C}" destId="{FB1ED469-91FF-49A1-8853-F6C591AB1C8B}" srcOrd="0" destOrd="0" presId="urn:microsoft.com/office/officeart/2008/layout/NameandTitleOrganizationalChart"/>
    <dgm:cxn modelId="{6D04BE88-3F33-471B-BE40-5B94A42C6CF9}" srcId="{F1654C6F-1BCD-47E6-96F0-4A8D2BF55594}" destId="{727E455D-E88A-4DFB-B24F-D6A498317184}" srcOrd="0" destOrd="0" parTransId="{BDBC6950-F7AB-4F56-8B83-4D814DE532CC}" sibTransId="{3053ACE6-D7D7-473E-B21D-3A2FEC13D5F0}"/>
    <dgm:cxn modelId="{C0F8D08F-0222-485A-936A-68F409E3D0EC}" type="presOf" srcId="{4BAAD2EB-2786-40FD-BF22-010CFFD5F14D}" destId="{ED0EEA47-071D-4BE9-AF09-56F37DB9EE38}" srcOrd="0" destOrd="0" presId="urn:microsoft.com/office/officeart/2008/layout/NameandTitleOrganizationalChart"/>
    <dgm:cxn modelId="{0285AD94-49BC-44DE-9A32-05DE3E2284C4}" type="presOf" srcId="{54386165-F34E-48C7-841D-7889475D704E}" destId="{C76F80A7-F9F3-4875-86A8-984656DA1D41}" srcOrd="0" destOrd="0" presId="urn:microsoft.com/office/officeart/2008/layout/NameandTitleOrganizationalChart"/>
    <dgm:cxn modelId="{6719CA94-E5D0-44E2-9DF4-E6CB4CF036EF}" type="presOf" srcId="{CE17AF00-C362-4AAD-B419-AFEED7EBD340}" destId="{CEF3B549-D084-45E5-B726-04FF8ABFC1FD}" srcOrd="0" destOrd="0" presId="urn:microsoft.com/office/officeart/2008/layout/NameandTitleOrganizationalChart"/>
    <dgm:cxn modelId="{D1F03E96-9BAC-453C-AD67-D5046575470F}" type="presOf" srcId="{DB8B4E4E-9BFC-439C-BC17-A2DB26D12C2C}" destId="{0895D5B3-4B6C-48B3-B73B-9A8B70F6F271}" srcOrd="0" destOrd="0" presId="urn:microsoft.com/office/officeart/2008/layout/NameandTitleOrganizationalChart"/>
    <dgm:cxn modelId="{3B3D8796-D9C4-498B-BBC2-7CD52C1EE296}" type="presOf" srcId="{727E455D-E88A-4DFB-B24F-D6A498317184}" destId="{88AA96A9-0D90-4D67-9F8D-34BC042970FA}" srcOrd="1" destOrd="0" presId="urn:microsoft.com/office/officeart/2008/layout/NameandTitleOrganizationalChart"/>
    <dgm:cxn modelId="{7E60BC99-ADD7-4846-8188-DC105BF5AC4D}" srcId="{F1654C6F-1BCD-47E6-96F0-4A8D2BF55594}" destId="{BF65CACB-4582-4818-A251-353985DA888E}" srcOrd="3" destOrd="0" parTransId="{165209F2-829C-4AC9-BD25-8B99B9FC9069}" sibTransId="{87E81DC1-2FC7-4B7C-94B1-34DABC0F7380}"/>
    <dgm:cxn modelId="{4F51CB9B-BCE7-4106-809F-C056352C62F6}" type="presOf" srcId="{BDBC6950-F7AB-4F56-8B83-4D814DE532CC}" destId="{135FA63C-52BD-4F9E-ACBE-7DD5EFADF3D6}" srcOrd="0" destOrd="0" presId="urn:microsoft.com/office/officeart/2008/layout/NameandTitleOrganizationalChart"/>
    <dgm:cxn modelId="{40AABB9D-E3E6-45FA-BE38-5B350CF824EA}" type="presOf" srcId="{CDC1C333-31D5-4E80-9ED7-6EBE06399FED}" destId="{3487D449-2A7D-49EC-B16B-2124597A33F1}" srcOrd="1" destOrd="0" presId="urn:microsoft.com/office/officeart/2008/layout/NameandTitleOrganizationalChart"/>
    <dgm:cxn modelId="{5677DFA0-2368-46B3-B05C-738E7E0AABE9}" type="presOf" srcId="{727E455D-E88A-4DFB-B24F-D6A498317184}" destId="{D2181851-053A-42E5-940F-FA681969B15D}" srcOrd="0" destOrd="0" presId="urn:microsoft.com/office/officeart/2008/layout/NameandTitleOrganizationalChart"/>
    <dgm:cxn modelId="{52859BA2-81B5-41B5-A2DC-128999D23094}" type="presOf" srcId="{10E72BEC-3226-4401-BF29-1B348A3CD7E7}" destId="{820450CD-2C9B-4CAC-BA30-1D0C84C3E4C9}" srcOrd="1" destOrd="0" presId="urn:microsoft.com/office/officeart/2008/layout/NameandTitleOrganizationalChart"/>
    <dgm:cxn modelId="{9A9376AA-3C32-42B9-85F9-163BE46720A0}" srcId="{11953D8A-6EAC-4E7A-AD95-EB292D54A892}" destId="{C1445725-D6B2-42B1-866B-840AD260B3B3}" srcOrd="2" destOrd="0" parTransId="{07A0371C-38D4-491B-BC1A-F8DB1ECA7AB0}" sibTransId="{20D21282-5816-47C4-AB63-4C21E41FDC2A}"/>
    <dgm:cxn modelId="{11BC50B5-A49E-4182-B378-2996AA1E7CC3}" srcId="{F1654C6F-1BCD-47E6-96F0-4A8D2BF55594}" destId="{6BBBEDFC-16B6-4F94-8A24-1672C160C7C8}" srcOrd="2" destOrd="0" parTransId="{14076670-5B22-4D8B-BE56-D538804E1A23}" sibTransId="{77F6E827-1A02-4370-9B9C-07F44C03C9A9}"/>
    <dgm:cxn modelId="{A0C757B6-7194-49C4-97A4-A7FD3BA6401D}" type="presOf" srcId="{35744798-F8E7-45C5-8A66-513833856EAB}" destId="{1AF18370-8A75-4A2B-AEE5-7E5C541BC082}" srcOrd="1" destOrd="0" presId="urn:microsoft.com/office/officeart/2008/layout/NameandTitleOrganizationalChart"/>
    <dgm:cxn modelId="{5D8A56B7-4C80-4F06-977D-92AB8BC3A92D}" type="presOf" srcId="{168FAB7D-8A9E-4565-ADF3-9E99AAEC0379}" destId="{0E3078A9-540A-476B-8C3A-F45E11C75991}" srcOrd="0" destOrd="0" presId="urn:microsoft.com/office/officeart/2008/layout/NameandTitleOrganizationalChart"/>
    <dgm:cxn modelId="{083DC6BB-70E9-452F-80A7-F23D9DCAE2EA}" type="presOf" srcId="{1F3C524A-5861-4761-85F3-1722EC6A9323}" destId="{73318E41-6B81-468F-AC7C-12382BAB4D55}" srcOrd="1" destOrd="0" presId="urn:microsoft.com/office/officeart/2008/layout/NameandTitleOrganizationalChart"/>
    <dgm:cxn modelId="{BD24CABC-6470-44D1-B555-4FBB67E1E354}" type="presOf" srcId="{07C11DA3-3B8C-47F3-82C9-2B9835BA9CFE}" destId="{DFA3C47A-C2DC-4E54-81D9-1506C411ABEC}" srcOrd="0" destOrd="0" presId="urn:microsoft.com/office/officeart/2008/layout/NameandTitleOrganizationalChart"/>
    <dgm:cxn modelId="{8EC61ABE-DDC6-4026-B9BD-8568A00EA133}" type="presOf" srcId="{1F3C524A-5861-4761-85F3-1722EC6A9323}" destId="{F99F05AF-C1D3-4975-9E3C-F96827FB02C4}" srcOrd="0" destOrd="0" presId="urn:microsoft.com/office/officeart/2008/layout/NameandTitleOrganizationalChart"/>
    <dgm:cxn modelId="{BDE2B9BF-0E9E-4D4D-AAEA-1C893C3EAF42}" type="presOf" srcId="{7E7D5A36-99D7-499C-AE9B-1B77F7291EF2}" destId="{AEAE10B4-D5D9-4C45-BB28-7A8B710C4C88}" srcOrd="0" destOrd="0" presId="urn:microsoft.com/office/officeart/2008/layout/NameandTitleOrganizationalChart"/>
    <dgm:cxn modelId="{4AF3CBC0-8CA2-4881-BC48-687670F0D08E}" type="presOf" srcId="{138F9918-DA42-4656-9F0E-FED203FE44E2}" destId="{C28D24AD-24D1-42B8-A6A6-31797DE9F4E4}" srcOrd="0" destOrd="0" presId="urn:microsoft.com/office/officeart/2008/layout/NameandTitleOrganizationalChart"/>
    <dgm:cxn modelId="{65C21BC5-E8A9-4B38-86A3-FC45106E4A79}" type="presOf" srcId="{AA703480-1A17-4BCC-ABD0-7108BF384347}" destId="{B2E30EAD-3B9B-4B7A-9C76-A65F53E9B7EA}" srcOrd="0" destOrd="0" presId="urn:microsoft.com/office/officeart/2008/layout/NameandTitleOrganizationalChart"/>
    <dgm:cxn modelId="{1004EEC7-93DC-4D33-BB2E-AA9E62A3EA91}" type="presOf" srcId="{BEE46344-EE54-4BAD-BF32-AE5629A1684A}" destId="{AA576CF0-2021-4847-8D47-5A07496D22CA}" srcOrd="0" destOrd="0" presId="urn:microsoft.com/office/officeart/2008/layout/NameandTitleOrganizationalChart"/>
    <dgm:cxn modelId="{712A13C9-DD19-49F5-9ED8-E76A9B266750}" type="presOf" srcId="{7E8FC79B-76F0-41F5-A012-3187A9AC115C}" destId="{98CD0CC4-2547-4747-8DCB-DC543BCC9478}" srcOrd="0" destOrd="0" presId="urn:microsoft.com/office/officeart/2008/layout/NameandTitleOrganizationalChart"/>
    <dgm:cxn modelId="{49E661CB-0B89-437C-BBE5-3B14827FB6E3}" type="presOf" srcId="{6BBBEDFC-16B6-4F94-8A24-1672C160C7C8}" destId="{8B7875DC-567A-4654-8CAC-7E48D84046E7}" srcOrd="1" destOrd="0" presId="urn:microsoft.com/office/officeart/2008/layout/NameandTitleOrganizationalChart"/>
    <dgm:cxn modelId="{9C2557CB-26A5-4705-B78D-39DF711791DB}" type="presOf" srcId="{E4386B7C-C536-4696-81DB-6B394A9BA0FA}" destId="{30C7E6EE-E5ED-4D60-BE5E-DE0A9D0ACC32}" srcOrd="0" destOrd="0" presId="urn:microsoft.com/office/officeart/2008/layout/NameandTitleOrganizationalChart"/>
    <dgm:cxn modelId="{77BC9CCB-F56F-435D-9763-1CF0548BFB5C}" srcId="{727E455D-E88A-4DFB-B24F-D6A498317184}" destId="{0E678B1D-CA7A-44BE-96D9-7C879A76AD2A}" srcOrd="1" destOrd="0" parTransId="{07C11DA3-3B8C-47F3-82C9-2B9835BA9CFE}" sibTransId="{086F9518-64B4-4320-B00E-F08546F93515}"/>
    <dgm:cxn modelId="{B9FAB3CB-8FB1-402B-9222-D52D62492476}" type="presOf" srcId="{B7A1435E-2B8E-4853-8C1A-3DF880396857}" destId="{FBC08FFC-1062-4BE6-818D-A6B59324BFFA}" srcOrd="0" destOrd="0" presId="urn:microsoft.com/office/officeart/2008/layout/NameandTitleOrganizationalChart"/>
    <dgm:cxn modelId="{FACEDCCB-160A-4601-AF2B-CE8A3091F6E7}" type="presOf" srcId="{D4CF2BF8-97B3-4301-B361-0413EEDEF134}" destId="{A26328DC-935D-4CA0-8155-4F72A41495FB}" srcOrd="0" destOrd="0" presId="urn:microsoft.com/office/officeart/2008/layout/NameandTitleOrganizationalChart"/>
    <dgm:cxn modelId="{B782E8D4-5179-4B9E-A6B2-66FE3F638D5A}" type="presOf" srcId="{22B17A02-EB59-430D-8F2D-EAA86288C4BD}" destId="{9DD619E1-EFBB-44CE-9D03-67534D360277}" srcOrd="0" destOrd="0" presId="urn:microsoft.com/office/officeart/2008/layout/NameandTitleOrganizationalChart"/>
    <dgm:cxn modelId="{4934CDD6-0073-4A54-B47F-9D8105696459}" type="presOf" srcId="{3053ACE6-D7D7-473E-B21D-3A2FEC13D5F0}" destId="{04A7C3AF-0EC6-4B0D-B2A7-02514E86451F}" srcOrd="0" destOrd="0" presId="urn:microsoft.com/office/officeart/2008/layout/NameandTitleOrganizationalChart"/>
    <dgm:cxn modelId="{2F3ED3DF-6BD5-4B6B-9868-08F84FA181B6}" type="presOf" srcId="{14076670-5B22-4D8B-BE56-D538804E1A23}" destId="{C6DFEC26-61E7-4721-A81F-629E8A39C05B}" srcOrd="0" destOrd="0" presId="urn:microsoft.com/office/officeart/2008/layout/NameandTitleOrganizationalChart"/>
    <dgm:cxn modelId="{3F1F3FE6-1C0B-434E-A350-9EE17A26FDB6}" srcId="{F1654C6F-1BCD-47E6-96F0-4A8D2BF55594}" destId="{11953D8A-6EAC-4E7A-AD95-EB292D54A892}" srcOrd="1" destOrd="0" parTransId="{DF3B1DC3-9201-4EED-951D-5726E1303F11}" sibTransId="{7E7D5A36-99D7-499C-AE9B-1B77F7291EF2}"/>
    <dgm:cxn modelId="{1B89C3E6-4C9A-49C0-8F6F-E4F5B91C9998}" type="presOf" srcId="{F1654C6F-1BCD-47E6-96F0-4A8D2BF55594}" destId="{9EAB8E64-8D51-4164-AB25-33BDE35EDF86}" srcOrd="1" destOrd="0" presId="urn:microsoft.com/office/officeart/2008/layout/NameandTitleOrganizationalChart"/>
    <dgm:cxn modelId="{25BB86EA-8373-4D0F-B050-6F9AD501731B}" srcId="{11953D8A-6EAC-4E7A-AD95-EB292D54A892}" destId="{35744798-F8E7-45C5-8A66-513833856EAB}" srcOrd="0" destOrd="0" parTransId="{2B8F8450-49D5-4D3C-9E6D-424054820BBE}" sibTransId="{AA703480-1A17-4BCC-ABD0-7108BF384347}"/>
    <dgm:cxn modelId="{0DF985F4-94DF-41A6-AD41-00324F43A3E8}" type="presOf" srcId="{DF3B1DC3-9201-4EED-951D-5726E1303F11}" destId="{7DDDDEC9-2EA0-49B0-9D47-67345520EB38}" srcOrd="0" destOrd="0" presId="urn:microsoft.com/office/officeart/2008/layout/NameandTitleOrganizationalChart"/>
    <dgm:cxn modelId="{B8820AF6-F6C6-4665-9EE2-56F748A78879}" type="presOf" srcId="{07A0371C-38D4-491B-BC1A-F8DB1ECA7AB0}" destId="{E64A6F5F-3F64-4673-B0DC-B498858564F6}" srcOrd="0" destOrd="0" presId="urn:microsoft.com/office/officeart/2008/layout/NameandTitleOrganizationalChart"/>
    <dgm:cxn modelId="{E53A21F7-F57E-47AE-AA13-CB4568FC36D8}" type="presOf" srcId="{20D21282-5816-47C4-AB63-4C21E41FDC2A}" destId="{267F1486-F00D-442F-BD73-742EC19E385F}" srcOrd="0" destOrd="0" presId="urn:microsoft.com/office/officeart/2008/layout/NameandTitleOrganizationalChart"/>
    <dgm:cxn modelId="{1A42C3FA-59A4-4F39-8D09-FF4C718291FE}" type="presOf" srcId="{125C3862-231D-4EB1-A970-6F3D42F0F491}" destId="{54CF4A28-FC42-4637-B8C4-A7F618642D7C}" srcOrd="1" destOrd="0" presId="urn:microsoft.com/office/officeart/2008/layout/NameandTitleOrganizationalChart"/>
    <dgm:cxn modelId="{D281ECFC-20F7-4897-817B-E514875F9EC2}" type="presOf" srcId="{CDC1C333-31D5-4E80-9ED7-6EBE06399FED}" destId="{5BD07DC4-9743-4468-BA48-7C8EF9145C68}" srcOrd="0" destOrd="0" presId="urn:microsoft.com/office/officeart/2008/layout/NameandTitleOrganizationalChart"/>
    <dgm:cxn modelId="{7477D1FE-3189-467C-90E9-206AC7B6F1E9}" srcId="{727E455D-E88A-4DFB-B24F-D6A498317184}" destId="{78C8840C-70B7-4CF7-BA4E-DE17C1DDBB80}" srcOrd="2" destOrd="0" parTransId="{A1602992-DC71-4329-B7B5-638E30ECA561}" sibTransId="{B7A1435E-2B8E-4853-8C1A-3DF880396857}"/>
    <dgm:cxn modelId="{C58EE2FE-BF2D-4AC6-8BDE-582E097976C5}" type="presOf" srcId="{B1BCE3A6-262D-4F72-8168-C8827B8A436B}" destId="{151566AD-AAAF-4EA2-95A0-7C782C90AA9A}" srcOrd="0" destOrd="0" presId="urn:microsoft.com/office/officeart/2008/layout/NameandTitleOrganizationalChart"/>
    <dgm:cxn modelId="{239850FF-9AB3-4CC2-B0F0-776ED830B057}" type="presOf" srcId="{F1654C6F-1BCD-47E6-96F0-4A8D2BF55594}" destId="{C63475E5-49FE-41EA-B82E-C38629E1BE06}" srcOrd="0" destOrd="0" presId="urn:microsoft.com/office/officeart/2008/layout/NameandTitleOrganizationalChart"/>
    <dgm:cxn modelId="{25698EFF-0899-41C7-9248-51042C412AF8}" srcId="{727E455D-E88A-4DFB-B24F-D6A498317184}" destId="{1F3C524A-5861-4761-85F3-1722EC6A9323}" srcOrd="3" destOrd="0" parTransId="{E4386B7C-C536-4696-81DB-6B394A9BA0FA}" sibTransId="{8178B971-706F-403A-A850-C3F7058D565F}"/>
    <dgm:cxn modelId="{21189A76-D232-40EB-9D99-AD3277CE44BA}" type="presParOf" srcId="{98CD0CC4-2547-4747-8DCB-DC543BCC9478}" destId="{B2DCB7DE-B050-4D78-8560-B87EBED7F358}" srcOrd="0" destOrd="0" presId="urn:microsoft.com/office/officeart/2008/layout/NameandTitleOrganizationalChart"/>
    <dgm:cxn modelId="{B6F45D09-C564-411D-A137-84336691B3CB}" type="presParOf" srcId="{B2DCB7DE-B050-4D78-8560-B87EBED7F358}" destId="{6005FF58-0E92-4DBE-8757-F0501C18BADE}" srcOrd="0" destOrd="0" presId="urn:microsoft.com/office/officeart/2008/layout/NameandTitleOrganizationalChart"/>
    <dgm:cxn modelId="{D1ED7E55-E5C6-4709-8E3B-FB8D5D9D47FA}" type="presParOf" srcId="{6005FF58-0E92-4DBE-8757-F0501C18BADE}" destId="{C63475E5-49FE-41EA-B82E-C38629E1BE06}" srcOrd="0" destOrd="0" presId="urn:microsoft.com/office/officeart/2008/layout/NameandTitleOrganizationalChart"/>
    <dgm:cxn modelId="{496653B4-8CF9-4388-8409-6FDED88CF529}" type="presParOf" srcId="{6005FF58-0E92-4DBE-8757-F0501C18BADE}" destId="{DC5A80F1-077C-4B03-8FED-F735DA16440B}" srcOrd="1" destOrd="0" presId="urn:microsoft.com/office/officeart/2008/layout/NameandTitleOrganizationalChart"/>
    <dgm:cxn modelId="{C732EBE9-8A98-41AD-A517-64539E595B12}" type="presParOf" srcId="{6005FF58-0E92-4DBE-8757-F0501C18BADE}" destId="{9EAB8E64-8D51-4164-AB25-33BDE35EDF86}" srcOrd="2" destOrd="0" presId="urn:microsoft.com/office/officeart/2008/layout/NameandTitleOrganizationalChart"/>
    <dgm:cxn modelId="{068A4DF7-ADFA-4663-A380-589D01FA1607}" type="presParOf" srcId="{B2DCB7DE-B050-4D78-8560-B87EBED7F358}" destId="{4347FBD9-ACEC-419F-905E-41A795A064C2}" srcOrd="1" destOrd="0" presId="urn:microsoft.com/office/officeart/2008/layout/NameandTitleOrganizationalChart"/>
    <dgm:cxn modelId="{1A0BD95D-70AD-428C-A5CF-F9EE2360475C}" type="presParOf" srcId="{4347FBD9-ACEC-419F-905E-41A795A064C2}" destId="{135FA63C-52BD-4F9E-ACBE-7DD5EFADF3D6}" srcOrd="0" destOrd="0" presId="urn:microsoft.com/office/officeart/2008/layout/NameandTitleOrganizationalChart"/>
    <dgm:cxn modelId="{FB8F355E-BD19-47E8-A800-15C7C42D0B81}" type="presParOf" srcId="{4347FBD9-ACEC-419F-905E-41A795A064C2}" destId="{97DE2D07-524C-4DB0-A1C9-BDA946160321}" srcOrd="1" destOrd="0" presId="urn:microsoft.com/office/officeart/2008/layout/NameandTitleOrganizationalChart"/>
    <dgm:cxn modelId="{FC59553A-13F7-40FB-B3E6-FFB74447B2DC}" type="presParOf" srcId="{97DE2D07-524C-4DB0-A1C9-BDA946160321}" destId="{06158DD7-E4D0-45B3-A8F6-92E1348B9ACC}" srcOrd="0" destOrd="0" presId="urn:microsoft.com/office/officeart/2008/layout/NameandTitleOrganizationalChart"/>
    <dgm:cxn modelId="{1E684C3F-A1A8-4C43-A85C-86B7E1C45D4A}" type="presParOf" srcId="{06158DD7-E4D0-45B3-A8F6-92E1348B9ACC}" destId="{D2181851-053A-42E5-940F-FA681969B15D}" srcOrd="0" destOrd="0" presId="urn:microsoft.com/office/officeart/2008/layout/NameandTitleOrganizationalChart"/>
    <dgm:cxn modelId="{3D9CC18F-354C-4A72-A8F6-9B826DE98D7B}" type="presParOf" srcId="{06158DD7-E4D0-45B3-A8F6-92E1348B9ACC}" destId="{04A7C3AF-0EC6-4B0D-B2A7-02514E86451F}" srcOrd="1" destOrd="0" presId="urn:microsoft.com/office/officeart/2008/layout/NameandTitleOrganizationalChart"/>
    <dgm:cxn modelId="{849C6282-C3FB-4C1C-82DB-8D9A365CBDF2}" type="presParOf" srcId="{06158DD7-E4D0-45B3-A8F6-92E1348B9ACC}" destId="{88AA96A9-0D90-4D67-9F8D-34BC042970FA}" srcOrd="2" destOrd="0" presId="urn:microsoft.com/office/officeart/2008/layout/NameandTitleOrganizationalChart"/>
    <dgm:cxn modelId="{07B8300A-39FF-45F2-A9FA-ED966D568C9B}" type="presParOf" srcId="{97DE2D07-524C-4DB0-A1C9-BDA946160321}" destId="{82B17AE8-06C2-4756-8F48-789C55CD34AD}" srcOrd="1" destOrd="0" presId="urn:microsoft.com/office/officeart/2008/layout/NameandTitleOrganizationalChart"/>
    <dgm:cxn modelId="{9BF52F74-18D6-4723-BB67-E990B799EFB4}" type="presParOf" srcId="{82B17AE8-06C2-4756-8F48-789C55CD34AD}" destId="{DD440C76-09A0-41E7-84D0-454F46A01260}" srcOrd="0" destOrd="0" presId="urn:microsoft.com/office/officeart/2008/layout/NameandTitleOrganizationalChart"/>
    <dgm:cxn modelId="{92501FA4-FB12-423B-8141-112C8A6746FA}" type="presParOf" srcId="{82B17AE8-06C2-4756-8F48-789C55CD34AD}" destId="{DDBC1742-BDE4-4758-949E-6F58069C9E82}" srcOrd="1" destOrd="0" presId="urn:microsoft.com/office/officeart/2008/layout/NameandTitleOrganizationalChart"/>
    <dgm:cxn modelId="{FC872B21-D87C-4C39-A289-90CAC6EAF07A}" type="presParOf" srcId="{DDBC1742-BDE4-4758-949E-6F58069C9E82}" destId="{89E7E7F3-1C6F-4A53-A50B-2E8C1BDD7D87}" srcOrd="0" destOrd="0" presId="urn:microsoft.com/office/officeart/2008/layout/NameandTitleOrganizationalChart"/>
    <dgm:cxn modelId="{B958F68A-B324-43CD-BB38-AEF28C4F6201}" type="presParOf" srcId="{89E7E7F3-1C6F-4A53-A50B-2E8C1BDD7D87}" destId="{C28D24AD-24D1-42B8-A6A6-31797DE9F4E4}" srcOrd="0" destOrd="0" presId="urn:microsoft.com/office/officeart/2008/layout/NameandTitleOrganizationalChart"/>
    <dgm:cxn modelId="{C0C04CFA-53E0-4523-A589-0588EFDF234D}" type="presParOf" srcId="{89E7E7F3-1C6F-4A53-A50B-2E8C1BDD7D87}" destId="{C8D7C9B5-5B36-4379-B872-A79AE5ACD0A3}" srcOrd="1" destOrd="0" presId="urn:microsoft.com/office/officeart/2008/layout/NameandTitleOrganizationalChart"/>
    <dgm:cxn modelId="{3D87FC88-A86E-4F20-827E-6AB0216F6FD9}" type="presParOf" srcId="{89E7E7F3-1C6F-4A53-A50B-2E8C1BDD7D87}" destId="{6CA2D4AA-238E-4C99-836E-D68EBAE335BE}" srcOrd="2" destOrd="0" presId="urn:microsoft.com/office/officeart/2008/layout/NameandTitleOrganizationalChart"/>
    <dgm:cxn modelId="{D2B537F0-0F11-44DF-9DEF-CDCF8F31E2C4}" type="presParOf" srcId="{DDBC1742-BDE4-4758-949E-6F58069C9E82}" destId="{3F16FD19-87EC-46D7-9171-AC541F7AFF11}" srcOrd="1" destOrd="0" presId="urn:microsoft.com/office/officeart/2008/layout/NameandTitleOrganizationalChart"/>
    <dgm:cxn modelId="{7FFD3289-97E1-4693-B1B0-2256E88B9331}" type="presParOf" srcId="{DDBC1742-BDE4-4758-949E-6F58069C9E82}" destId="{69FD9384-D3BE-415C-86A8-539525EEC426}" srcOrd="2" destOrd="0" presId="urn:microsoft.com/office/officeart/2008/layout/NameandTitleOrganizationalChart"/>
    <dgm:cxn modelId="{478DD784-2484-458E-8A69-E9353E25E289}" type="presParOf" srcId="{82B17AE8-06C2-4756-8F48-789C55CD34AD}" destId="{DFA3C47A-C2DC-4E54-81D9-1506C411ABEC}" srcOrd="2" destOrd="0" presId="urn:microsoft.com/office/officeart/2008/layout/NameandTitleOrganizationalChart"/>
    <dgm:cxn modelId="{1FD4A695-8CC3-4765-9761-68C1E7073794}" type="presParOf" srcId="{82B17AE8-06C2-4756-8F48-789C55CD34AD}" destId="{9A6EA603-95B8-4E60-971A-8FC69D756616}" srcOrd="3" destOrd="0" presId="urn:microsoft.com/office/officeart/2008/layout/NameandTitleOrganizationalChart"/>
    <dgm:cxn modelId="{3A316E35-99FA-4FCC-B59A-E130349E6081}" type="presParOf" srcId="{9A6EA603-95B8-4E60-971A-8FC69D756616}" destId="{40A1AB77-6934-4863-AC7C-9C1246C3274F}" srcOrd="0" destOrd="0" presId="urn:microsoft.com/office/officeart/2008/layout/NameandTitleOrganizationalChart"/>
    <dgm:cxn modelId="{5133F9E3-6278-45D1-B7D4-3B8196792705}" type="presParOf" srcId="{40A1AB77-6934-4863-AC7C-9C1246C3274F}" destId="{67B62DB1-842A-4A3E-AAA6-69604899623A}" srcOrd="0" destOrd="0" presId="urn:microsoft.com/office/officeart/2008/layout/NameandTitleOrganizationalChart"/>
    <dgm:cxn modelId="{9ECB1DC1-2C36-413A-9B18-FEF79D8DEEE7}" type="presParOf" srcId="{40A1AB77-6934-4863-AC7C-9C1246C3274F}" destId="{6AC56C02-EE51-43D7-87D6-16AB2F762F36}" srcOrd="1" destOrd="0" presId="urn:microsoft.com/office/officeart/2008/layout/NameandTitleOrganizationalChart"/>
    <dgm:cxn modelId="{612FDB26-9B22-45D8-91F5-8B9BECF3C14A}" type="presParOf" srcId="{40A1AB77-6934-4863-AC7C-9C1246C3274F}" destId="{F4BFAC31-F85B-4AA9-875D-3E9E2E3F6DFA}" srcOrd="2" destOrd="0" presId="urn:microsoft.com/office/officeart/2008/layout/NameandTitleOrganizationalChart"/>
    <dgm:cxn modelId="{1E500941-AC50-44D6-8AAF-3EA810EF8E7A}" type="presParOf" srcId="{9A6EA603-95B8-4E60-971A-8FC69D756616}" destId="{8E7D61C7-12E7-4774-AA7E-FE54C131186B}" srcOrd="1" destOrd="0" presId="urn:microsoft.com/office/officeart/2008/layout/NameandTitleOrganizationalChart"/>
    <dgm:cxn modelId="{F380AD93-063C-410E-B7A1-AC6F2A5256DD}" type="presParOf" srcId="{9A6EA603-95B8-4E60-971A-8FC69D756616}" destId="{E1173454-2DB3-4DD4-8B51-0B6D8F284107}" srcOrd="2" destOrd="0" presId="urn:microsoft.com/office/officeart/2008/layout/NameandTitleOrganizationalChart"/>
    <dgm:cxn modelId="{C5E6D885-73D5-4BA2-860F-65D4E928ED3B}" type="presParOf" srcId="{82B17AE8-06C2-4756-8F48-789C55CD34AD}" destId="{DA980299-CFA9-4B1C-BE45-82F8C0CA8769}" srcOrd="4" destOrd="0" presId="urn:microsoft.com/office/officeart/2008/layout/NameandTitleOrganizationalChart"/>
    <dgm:cxn modelId="{E2E6FE4D-AEE2-4666-924D-7C9FF17A4CE4}" type="presParOf" srcId="{82B17AE8-06C2-4756-8F48-789C55CD34AD}" destId="{C1F29118-E09E-493F-9D59-3A9C4892080C}" srcOrd="5" destOrd="0" presId="urn:microsoft.com/office/officeart/2008/layout/NameandTitleOrganizationalChart"/>
    <dgm:cxn modelId="{2410966C-3C88-4A9C-A9DB-4D6D638E1BE6}" type="presParOf" srcId="{C1F29118-E09E-493F-9D59-3A9C4892080C}" destId="{3F3A12B6-BF22-4FB2-B894-D796E9DCC132}" srcOrd="0" destOrd="0" presId="urn:microsoft.com/office/officeart/2008/layout/NameandTitleOrganizationalChart"/>
    <dgm:cxn modelId="{DAE41B1D-3DCC-4917-B473-AD68817F6276}" type="presParOf" srcId="{3F3A12B6-BF22-4FB2-B894-D796E9DCC132}" destId="{3E56EE88-6177-4D83-9AA4-6F0581F8F0F2}" srcOrd="0" destOrd="0" presId="urn:microsoft.com/office/officeart/2008/layout/NameandTitleOrganizationalChart"/>
    <dgm:cxn modelId="{5F3F3955-29B6-4D11-A5B2-CDFEE78D1A99}" type="presParOf" srcId="{3F3A12B6-BF22-4FB2-B894-D796E9DCC132}" destId="{FBC08FFC-1062-4BE6-818D-A6B59324BFFA}" srcOrd="1" destOrd="0" presId="urn:microsoft.com/office/officeart/2008/layout/NameandTitleOrganizationalChart"/>
    <dgm:cxn modelId="{85F64299-333B-4B3A-A2DB-6F48CF2B7B58}" type="presParOf" srcId="{3F3A12B6-BF22-4FB2-B894-D796E9DCC132}" destId="{825D34BD-9AE9-403B-83BA-3E30CCDDA8D1}" srcOrd="2" destOrd="0" presId="urn:microsoft.com/office/officeart/2008/layout/NameandTitleOrganizationalChart"/>
    <dgm:cxn modelId="{783141B7-780B-4B82-A75D-68FAB9A441F7}" type="presParOf" srcId="{C1F29118-E09E-493F-9D59-3A9C4892080C}" destId="{B0332E70-20DB-4EB9-B6CA-87F4C2E4CB05}" srcOrd="1" destOrd="0" presId="urn:microsoft.com/office/officeart/2008/layout/NameandTitleOrganizationalChart"/>
    <dgm:cxn modelId="{93760178-297D-420A-A4CC-23B6182AF4C1}" type="presParOf" srcId="{C1F29118-E09E-493F-9D59-3A9C4892080C}" destId="{41D1420B-6E15-4DA6-BC57-90145B513151}" srcOrd="2" destOrd="0" presId="urn:microsoft.com/office/officeart/2008/layout/NameandTitleOrganizationalChart"/>
    <dgm:cxn modelId="{11CDDB36-501B-40DC-A945-7AB8DEC8623F}" type="presParOf" srcId="{82B17AE8-06C2-4756-8F48-789C55CD34AD}" destId="{30C7E6EE-E5ED-4D60-BE5E-DE0A9D0ACC32}" srcOrd="6" destOrd="0" presId="urn:microsoft.com/office/officeart/2008/layout/NameandTitleOrganizationalChart"/>
    <dgm:cxn modelId="{46012555-6435-4EF3-B2D4-CA4CB396CDA9}" type="presParOf" srcId="{82B17AE8-06C2-4756-8F48-789C55CD34AD}" destId="{2B5A833E-9ECD-4F5E-8FFB-A3C2BBE0426D}" srcOrd="7" destOrd="0" presId="urn:microsoft.com/office/officeart/2008/layout/NameandTitleOrganizationalChart"/>
    <dgm:cxn modelId="{0CA30891-430A-4867-B7ED-06CD8F89ED1E}" type="presParOf" srcId="{2B5A833E-9ECD-4F5E-8FFB-A3C2BBE0426D}" destId="{D3AAE8DC-90F2-44A7-A35D-B51786F4D0F6}" srcOrd="0" destOrd="0" presId="urn:microsoft.com/office/officeart/2008/layout/NameandTitleOrganizationalChart"/>
    <dgm:cxn modelId="{35EEA3C2-9015-45DB-A5FD-96C9FA4DB383}" type="presParOf" srcId="{D3AAE8DC-90F2-44A7-A35D-B51786F4D0F6}" destId="{F99F05AF-C1D3-4975-9E3C-F96827FB02C4}" srcOrd="0" destOrd="0" presId="urn:microsoft.com/office/officeart/2008/layout/NameandTitleOrganizationalChart"/>
    <dgm:cxn modelId="{9DD8B700-B07E-4D66-89D9-21E7290BB84B}" type="presParOf" srcId="{D3AAE8DC-90F2-44A7-A35D-B51786F4D0F6}" destId="{14CFE4FA-4C5A-4B85-B078-7710894242C5}" srcOrd="1" destOrd="0" presId="urn:microsoft.com/office/officeart/2008/layout/NameandTitleOrganizationalChart"/>
    <dgm:cxn modelId="{A4692C4F-DC61-4936-B0D8-46BF97BE8968}" type="presParOf" srcId="{D3AAE8DC-90F2-44A7-A35D-B51786F4D0F6}" destId="{73318E41-6B81-468F-AC7C-12382BAB4D55}" srcOrd="2" destOrd="0" presId="urn:microsoft.com/office/officeart/2008/layout/NameandTitleOrganizationalChart"/>
    <dgm:cxn modelId="{1AAC9944-7EE3-49EB-A525-51E9162EDDD6}" type="presParOf" srcId="{2B5A833E-9ECD-4F5E-8FFB-A3C2BBE0426D}" destId="{F8B338FF-FAC6-4F50-8454-601C6AC2BB98}" srcOrd="1" destOrd="0" presId="urn:microsoft.com/office/officeart/2008/layout/NameandTitleOrganizationalChart"/>
    <dgm:cxn modelId="{FF98C053-E4A0-4979-BFA6-13B559A09B5A}" type="presParOf" srcId="{2B5A833E-9ECD-4F5E-8FFB-A3C2BBE0426D}" destId="{698A514A-05EE-4BA4-8A10-A0ABE0173B91}" srcOrd="2" destOrd="0" presId="urn:microsoft.com/office/officeart/2008/layout/NameandTitleOrganizationalChart"/>
    <dgm:cxn modelId="{AF25D79F-1D49-4075-BEDF-CD3510A0E5A4}" type="presParOf" srcId="{97DE2D07-524C-4DB0-A1C9-BDA946160321}" destId="{A0321181-C970-4573-8639-0C8245BCE237}" srcOrd="2" destOrd="0" presId="urn:microsoft.com/office/officeart/2008/layout/NameandTitleOrganizationalChart"/>
    <dgm:cxn modelId="{6690D3D4-93E2-4BB3-8FA7-2226648CDCD5}" type="presParOf" srcId="{4347FBD9-ACEC-419F-905E-41A795A064C2}" destId="{7DDDDEC9-2EA0-49B0-9D47-67345520EB38}" srcOrd="2" destOrd="0" presId="urn:microsoft.com/office/officeart/2008/layout/NameandTitleOrganizationalChart"/>
    <dgm:cxn modelId="{97988A11-28E9-4D29-AD27-60539A002E68}" type="presParOf" srcId="{4347FBD9-ACEC-419F-905E-41A795A064C2}" destId="{EFE0503B-6835-48C8-ADF5-FF302CFF4C83}" srcOrd="3" destOrd="0" presId="urn:microsoft.com/office/officeart/2008/layout/NameandTitleOrganizationalChart"/>
    <dgm:cxn modelId="{1F3654B0-5A3B-400D-8C94-829D8C3742A4}" type="presParOf" srcId="{EFE0503B-6835-48C8-ADF5-FF302CFF4C83}" destId="{563EE255-826E-4399-99BA-2A24477E0941}" srcOrd="0" destOrd="0" presId="urn:microsoft.com/office/officeart/2008/layout/NameandTitleOrganizationalChart"/>
    <dgm:cxn modelId="{08D82A22-3A41-4285-A9D2-3078E315E613}" type="presParOf" srcId="{563EE255-826E-4399-99BA-2A24477E0941}" destId="{B336C763-2F89-4115-A9D4-36D6954E37D4}" srcOrd="0" destOrd="0" presId="urn:microsoft.com/office/officeart/2008/layout/NameandTitleOrganizationalChart"/>
    <dgm:cxn modelId="{D7BFF728-0E47-4B98-8C4B-16B4956AE275}" type="presParOf" srcId="{563EE255-826E-4399-99BA-2A24477E0941}" destId="{AEAE10B4-D5D9-4C45-BB28-7A8B710C4C88}" srcOrd="1" destOrd="0" presId="urn:microsoft.com/office/officeart/2008/layout/NameandTitleOrganizationalChart"/>
    <dgm:cxn modelId="{8565E5B8-7584-42F1-A277-E5E0DD3BBF31}" type="presParOf" srcId="{563EE255-826E-4399-99BA-2A24477E0941}" destId="{9D09EF6D-9317-48AE-856C-57C8442726A9}" srcOrd="2" destOrd="0" presId="urn:microsoft.com/office/officeart/2008/layout/NameandTitleOrganizationalChart"/>
    <dgm:cxn modelId="{CF17AA07-5020-4A0A-84A6-D3025AA919F7}" type="presParOf" srcId="{EFE0503B-6835-48C8-ADF5-FF302CFF4C83}" destId="{4719FF6F-3B8D-4FB0-8D54-629421F369F9}" srcOrd="1" destOrd="0" presId="urn:microsoft.com/office/officeart/2008/layout/NameandTitleOrganizationalChart"/>
    <dgm:cxn modelId="{713BEC2B-CADD-4ED6-89C1-3C46B600DEC3}" type="presParOf" srcId="{4719FF6F-3B8D-4FB0-8D54-629421F369F9}" destId="{E1BAD458-DA77-46F9-9C3F-7C9ADAB032A4}" srcOrd="0" destOrd="0" presId="urn:microsoft.com/office/officeart/2008/layout/NameandTitleOrganizationalChart"/>
    <dgm:cxn modelId="{D4545122-F8BA-49A0-9D22-8A257244927A}" type="presParOf" srcId="{4719FF6F-3B8D-4FB0-8D54-629421F369F9}" destId="{6367FDF3-2F89-4F4C-BBFE-B8B53F53F00E}" srcOrd="1" destOrd="0" presId="urn:microsoft.com/office/officeart/2008/layout/NameandTitleOrganizationalChart"/>
    <dgm:cxn modelId="{908994A8-F0C2-4299-90DB-D8AA329EE7E9}" type="presParOf" srcId="{6367FDF3-2F89-4F4C-BBFE-B8B53F53F00E}" destId="{E7F0FF00-929C-4966-863F-0F19AA6B2771}" srcOrd="0" destOrd="0" presId="urn:microsoft.com/office/officeart/2008/layout/NameandTitleOrganizationalChart"/>
    <dgm:cxn modelId="{6B5767BC-FD0A-4056-966E-9433B42BFD67}" type="presParOf" srcId="{E7F0FF00-929C-4966-863F-0F19AA6B2771}" destId="{91A6E367-A5D6-4D07-BE88-21E1D945C91D}" srcOrd="0" destOrd="0" presId="urn:microsoft.com/office/officeart/2008/layout/NameandTitleOrganizationalChart"/>
    <dgm:cxn modelId="{A637F53E-B6EC-4AE5-B22E-DBB73AD6BDE5}" type="presParOf" srcId="{E7F0FF00-929C-4966-863F-0F19AA6B2771}" destId="{B2E30EAD-3B9B-4B7A-9C76-A65F53E9B7EA}" srcOrd="1" destOrd="0" presId="urn:microsoft.com/office/officeart/2008/layout/NameandTitleOrganizationalChart"/>
    <dgm:cxn modelId="{6BAA48BD-B397-4831-90D2-9662496C5382}" type="presParOf" srcId="{E7F0FF00-929C-4966-863F-0F19AA6B2771}" destId="{1AF18370-8A75-4A2B-AEE5-7E5C541BC082}" srcOrd="2" destOrd="0" presId="urn:microsoft.com/office/officeart/2008/layout/NameandTitleOrganizationalChart"/>
    <dgm:cxn modelId="{C3842E8D-45A4-40D4-B538-DEE64F5EF901}" type="presParOf" srcId="{6367FDF3-2F89-4F4C-BBFE-B8B53F53F00E}" destId="{C25DEC60-94EF-4E60-B798-17301B24ADA2}" srcOrd="1" destOrd="0" presId="urn:microsoft.com/office/officeart/2008/layout/NameandTitleOrganizationalChart"/>
    <dgm:cxn modelId="{65250027-50CE-4477-9168-FFD4DA84CD71}" type="presParOf" srcId="{6367FDF3-2F89-4F4C-BBFE-B8B53F53F00E}" destId="{6F008878-1568-44B7-A8F9-08EDB553D47C}" srcOrd="2" destOrd="0" presId="urn:microsoft.com/office/officeart/2008/layout/NameandTitleOrganizationalChart"/>
    <dgm:cxn modelId="{CA82ED56-13C5-4C2A-8522-7FB898AEFD4F}" type="presParOf" srcId="{4719FF6F-3B8D-4FB0-8D54-629421F369F9}" destId="{78E281D5-1471-4C50-AED8-78D2D8F7AAB6}" srcOrd="2" destOrd="0" presId="urn:microsoft.com/office/officeart/2008/layout/NameandTitleOrganizationalChart"/>
    <dgm:cxn modelId="{4DC64ECC-12F0-4FB4-AF02-EB95F9FB7EAB}" type="presParOf" srcId="{4719FF6F-3B8D-4FB0-8D54-629421F369F9}" destId="{3F193A1A-0A73-461B-85E8-6A35E617BE57}" srcOrd="3" destOrd="0" presId="urn:microsoft.com/office/officeart/2008/layout/NameandTitleOrganizationalChart"/>
    <dgm:cxn modelId="{364748EC-00DE-4DE1-8452-E4B43478B491}" type="presParOf" srcId="{3F193A1A-0A73-461B-85E8-6A35E617BE57}" destId="{05CE3F79-F6E8-471D-8960-27771B326039}" srcOrd="0" destOrd="0" presId="urn:microsoft.com/office/officeart/2008/layout/NameandTitleOrganizationalChart"/>
    <dgm:cxn modelId="{B5CDC2D0-0B55-4302-83AE-A3760B34C60B}" type="presParOf" srcId="{05CE3F79-F6E8-471D-8960-27771B326039}" destId="{486EB147-7D30-49CE-8232-301A531AAF76}" srcOrd="0" destOrd="0" presId="urn:microsoft.com/office/officeart/2008/layout/NameandTitleOrganizationalChart"/>
    <dgm:cxn modelId="{B6A20639-DCA6-4871-838D-D4FEB11AF7C8}" type="presParOf" srcId="{05CE3F79-F6E8-471D-8960-27771B326039}" destId="{AA576CF0-2021-4847-8D47-5A07496D22CA}" srcOrd="1" destOrd="0" presId="urn:microsoft.com/office/officeart/2008/layout/NameandTitleOrganizationalChart"/>
    <dgm:cxn modelId="{C669D175-7DE7-4DCF-9848-5A353126B61D}" type="presParOf" srcId="{05CE3F79-F6E8-471D-8960-27771B326039}" destId="{820450CD-2C9B-4CAC-BA30-1D0C84C3E4C9}" srcOrd="2" destOrd="0" presId="urn:microsoft.com/office/officeart/2008/layout/NameandTitleOrganizationalChart"/>
    <dgm:cxn modelId="{6610FC58-95C2-4BB1-8ED5-AECD8D2A5622}" type="presParOf" srcId="{3F193A1A-0A73-461B-85E8-6A35E617BE57}" destId="{95F8109F-EAD7-4FE0-A147-421EBC2634D2}" srcOrd="1" destOrd="0" presId="urn:microsoft.com/office/officeart/2008/layout/NameandTitleOrganizationalChart"/>
    <dgm:cxn modelId="{A53618F8-2D40-4140-B2B0-7C73AEBC8962}" type="presParOf" srcId="{3F193A1A-0A73-461B-85E8-6A35E617BE57}" destId="{0515F75C-EB1A-4A33-A626-41210DCE2850}" srcOrd="2" destOrd="0" presId="urn:microsoft.com/office/officeart/2008/layout/NameandTitleOrganizationalChart"/>
    <dgm:cxn modelId="{FAA9594C-3450-43B9-8FF3-A62079FCB66F}" type="presParOf" srcId="{4719FF6F-3B8D-4FB0-8D54-629421F369F9}" destId="{E64A6F5F-3F64-4673-B0DC-B498858564F6}" srcOrd="4" destOrd="0" presId="urn:microsoft.com/office/officeart/2008/layout/NameandTitleOrganizationalChart"/>
    <dgm:cxn modelId="{421F2999-D099-457B-8211-4010E8D5AE21}" type="presParOf" srcId="{4719FF6F-3B8D-4FB0-8D54-629421F369F9}" destId="{00D1B495-C4E4-47AF-9E71-9FDEDF729DC2}" srcOrd="5" destOrd="0" presId="urn:microsoft.com/office/officeart/2008/layout/NameandTitleOrganizationalChart"/>
    <dgm:cxn modelId="{73E34D77-EB78-4AB1-9801-1A2DBCE408B6}" type="presParOf" srcId="{00D1B495-C4E4-47AF-9E71-9FDEDF729DC2}" destId="{E53F1BCA-3D60-4B5F-A0A8-395DB0FC62AC}" srcOrd="0" destOrd="0" presId="urn:microsoft.com/office/officeart/2008/layout/NameandTitleOrganizationalChart"/>
    <dgm:cxn modelId="{13C5B02D-D110-4CA4-816B-711D0DA70B9F}" type="presParOf" srcId="{E53F1BCA-3D60-4B5F-A0A8-395DB0FC62AC}" destId="{B59F5AF5-5BAF-4785-9653-32EEEA74C996}" srcOrd="0" destOrd="0" presId="urn:microsoft.com/office/officeart/2008/layout/NameandTitleOrganizationalChart"/>
    <dgm:cxn modelId="{B0719A33-A799-458D-9C9A-B26D561105D8}" type="presParOf" srcId="{E53F1BCA-3D60-4B5F-A0A8-395DB0FC62AC}" destId="{267F1486-F00D-442F-BD73-742EC19E385F}" srcOrd="1" destOrd="0" presId="urn:microsoft.com/office/officeart/2008/layout/NameandTitleOrganizationalChart"/>
    <dgm:cxn modelId="{6A2CE47F-D8CE-41E4-A6C6-BCDBE6597CA4}" type="presParOf" srcId="{E53F1BCA-3D60-4B5F-A0A8-395DB0FC62AC}" destId="{52E37727-0DA9-47FE-85AA-8EBF285C83D3}" srcOrd="2" destOrd="0" presId="urn:microsoft.com/office/officeart/2008/layout/NameandTitleOrganizationalChart"/>
    <dgm:cxn modelId="{CDD8CF04-8A31-47C4-B5FD-831F4E050369}" type="presParOf" srcId="{00D1B495-C4E4-47AF-9E71-9FDEDF729DC2}" destId="{34B4AA07-D526-4326-942C-F4AB4440FC27}" srcOrd="1" destOrd="0" presId="urn:microsoft.com/office/officeart/2008/layout/NameandTitleOrganizationalChart"/>
    <dgm:cxn modelId="{F20FEE3A-5FD3-4E3D-BCC9-63428867A86A}" type="presParOf" srcId="{00D1B495-C4E4-47AF-9E71-9FDEDF729DC2}" destId="{DF163A23-BC83-4131-8284-6BA732B79921}" srcOrd="2" destOrd="0" presId="urn:microsoft.com/office/officeart/2008/layout/NameandTitleOrganizationalChart"/>
    <dgm:cxn modelId="{F8FC5A7F-A1B9-4564-80E9-A837BE3F6A2F}" type="presParOf" srcId="{4719FF6F-3B8D-4FB0-8D54-629421F369F9}" destId="{0895D5B3-4B6C-48B3-B73B-9A8B70F6F271}" srcOrd="6" destOrd="0" presId="urn:microsoft.com/office/officeart/2008/layout/NameandTitleOrganizationalChart"/>
    <dgm:cxn modelId="{3475D319-1A4E-46EA-B079-00E5A0CBFB50}" type="presParOf" srcId="{4719FF6F-3B8D-4FB0-8D54-629421F369F9}" destId="{12C4F4E8-3ADD-428F-8C01-0FB109D325D3}" srcOrd="7" destOrd="0" presId="urn:microsoft.com/office/officeart/2008/layout/NameandTitleOrganizationalChart"/>
    <dgm:cxn modelId="{E7C2143B-9BC7-4600-913A-CCAA28C39D73}" type="presParOf" srcId="{12C4F4E8-3ADD-428F-8C01-0FB109D325D3}" destId="{E16F7070-803E-4AD9-AB7B-B13CE6668D55}" srcOrd="0" destOrd="0" presId="urn:microsoft.com/office/officeart/2008/layout/NameandTitleOrganizationalChart"/>
    <dgm:cxn modelId="{71FB638B-E81E-448A-94C7-6DC0E5739E3F}" type="presParOf" srcId="{E16F7070-803E-4AD9-AB7B-B13CE6668D55}" destId="{0724F3ED-3541-4B8C-9757-44D606094879}" srcOrd="0" destOrd="0" presId="urn:microsoft.com/office/officeart/2008/layout/NameandTitleOrganizationalChart"/>
    <dgm:cxn modelId="{2E0AD174-883C-41D1-924E-99FDEC4D07FC}" type="presParOf" srcId="{E16F7070-803E-4AD9-AB7B-B13CE6668D55}" destId="{73E1B991-780B-4081-BBCC-FB82A65C5F62}" srcOrd="1" destOrd="0" presId="urn:microsoft.com/office/officeart/2008/layout/NameandTitleOrganizationalChart"/>
    <dgm:cxn modelId="{035B3D7F-3CF7-4ACA-B71C-BC4FD66BF375}" type="presParOf" srcId="{E16F7070-803E-4AD9-AB7B-B13CE6668D55}" destId="{4FE2825F-9606-484A-8E42-A9FD8F01DB35}" srcOrd="2" destOrd="0" presId="urn:microsoft.com/office/officeart/2008/layout/NameandTitleOrganizationalChart"/>
    <dgm:cxn modelId="{184577F4-6904-46DA-BDBE-085874727FFD}" type="presParOf" srcId="{12C4F4E8-3ADD-428F-8C01-0FB109D325D3}" destId="{B5DDA2C2-025F-4E60-A7FA-DDE2F1C2EF20}" srcOrd="1" destOrd="0" presId="urn:microsoft.com/office/officeart/2008/layout/NameandTitleOrganizationalChart"/>
    <dgm:cxn modelId="{3E86A70E-C655-4631-8708-E98DCC8E4FEE}" type="presParOf" srcId="{12C4F4E8-3ADD-428F-8C01-0FB109D325D3}" destId="{B4E40E17-3B75-4AE1-B1A7-C9B2EC20EDFD}" srcOrd="2" destOrd="0" presId="urn:microsoft.com/office/officeart/2008/layout/NameandTitleOrganizationalChart"/>
    <dgm:cxn modelId="{5B3F8A7B-05E2-4EFD-B6F1-F9B3FE6E2710}" type="presParOf" srcId="{EFE0503B-6835-48C8-ADF5-FF302CFF4C83}" destId="{B16A49EC-FA64-4CF8-9F73-134DE4669573}" srcOrd="2" destOrd="0" presId="urn:microsoft.com/office/officeart/2008/layout/NameandTitleOrganizationalChart"/>
    <dgm:cxn modelId="{E33FDCF8-570B-49EA-937B-28B3DE8A407C}" type="presParOf" srcId="{4347FBD9-ACEC-419F-905E-41A795A064C2}" destId="{C6DFEC26-61E7-4721-A81F-629E8A39C05B}" srcOrd="4" destOrd="0" presId="urn:microsoft.com/office/officeart/2008/layout/NameandTitleOrganizationalChart"/>
    <dgm:cxn modelId="{40867926-6956-4695-89F8-E63C5B318985}" type="presParOf" srcId="{4347FBD9-ACEC-419F-905E-41A795A064C2}" destId="{A8CF42C3-E930-4029-BE16-FBFD931DA1BA}" srcOrd="5" destOrd="0" presId="urn:microsoft.com/office/officeart/2008/layout/NameandTitleOrganizationalChart"/>
    <dgm:cxn modelId="{BC6F8A91-7D28-4650-B911-082D7EF1DBD0}" type="presParOf" srcId="{A8CF42C3-E930-4029-BE16-FBFD931DA1BA}" destId="{37F7DB77-44C3-4FF1-B66D-4FFA7C358D06}" srcOrd="0" destOrd="0" presId="urn:microsoft.com/office/officeart/2008/layout/NameandTitleOrganizationalChart"/>
    <dgm:cxn modelId="{3ED5F143-DB0E-472C-9082-621021E0B5C0}" type="presParOf" srcId="{37F7DB77-44C3-4FF1-B66D-4FFA7C358D06}" destId="{F24A06B9-1E96-410C-B467-B29DBCDED2D7}" srcOrd="0" destOrd="0" presId="urn:microsoft.com/office/officeart/2008/layout/NameandTitleOrganizationalChart"/>
    <dgm:cxn modelId="{BCCC5EAE-C535-4D80-BD09-33621521E228}" type="presParOf" srcId="{37F7DB77-44C3-4FF1-B66D-4FFA7C358D06}" destId="{232251A2-E0BB-43B5-82DB-631055C6B5CE}" srcOrd="1" destOrd="0" presId="urn:microsoft.com/office/officeart/2008/layout/NameandTitleOrganizationalChart"/>
    <dgm:cxn modelId="{44C10597-A899-45F9-B29B-74AE7EDD209C}" type="presParOf" srcId="{37F7DB77-44C3-4FF1-B66D-4FFA7C358D06}" destId="{8B7875DC-567A-4654-8CAC-7E48D84046E7}" srcOrd="2" destOrd="0" presId="urn:microsoft.com/office/officeart/2008/layout/NameandTitleOrganizationalChart"/>
    <dgm:cxn modelId="{1F02118C-6B47-4C2C-A405-4EFAEE5D55EE}" type="presParOf" srcId="{A8CF42C3-E930-4029-BE16-FBFD931DA1BA}" destId="{81B53E2A-29F0-460B-A118-A8F5820CBC2B}" srcOrd="1" destOrd="0" presId="urn:microsoft.com/office/officeart/2008/layout/NameandTitleOrganizationalChart"/>
    <dgm:cxn modelId="{7B1F29BD-AD15-48A1-B22A-9F245EBB0BBB}" type="presParOf" srcId="{81B53E2A-29F0-460B-A118-A8F5820CBC2B}" destId="{ED0EEA47-071D-4BE9-AF09-56F37DB9EE38}" srcOrd="0" destOrd="0" presId="urn:microsoft.com/office/officeart/2008/layout/NameandTitleOrganizationalChart"/>
    <dgm:cxn modelId="{1E0E4B96-EDBD-41B5-A897-9B376BC8FD3F}" type="presParOf" srcId="{81B53E2A-29F0-460B-A118-A8F5820CBC2B}" destId="{76929887-3D91-4393-A901-EBA462FE0915}" srcOrd="1" destOrd="0" presId="urn:microsoft.com/office/officeart/2008/layout/NameandTitleOrganizationalChart"/>
    <dgm:cxn modelId="{4AD0345F-251A-43E6-B975-1AA57F3CCBE6}" type="presParOf" srcId="{76929887-3D91-4393-A901-EBA462FE0915}" destId="{C5DD057D-8433-42F7-AE0A-384D3E28196F}" srcOrd="0" destOrd="0" presId="urn:microsoft.com/office/officeart/2008/layout/NameandTitleOrganizationalChart"/>
    <dgm:cxn modelId="{0D2F9B20-2037-4CAA-865B-C5ADB008937F}" type="presParOf" srcId="{C5DD057D-8433-42F7-AE0A-384D3E28196F}" destId="{0E3078A9-540A-476B-8C3A-F45E11C75991}" srcOrd="0" destOrd="0" presId="urn:microsoft.com/office/officeart/2008/layout/NameandTitleOrganizationalChart"/>
    <dgm:cxn modelId="{16EB64B5-6DE3-429A-9A45-C953789B9BD6}" type="presParOf" srcId="{C5DD057D-8433-42F7-AE0A-384D3E28196F}" destId="{A26328DC-935D-4CA0-8155-4F72A41495FB}" srcOrd="1" destOrd="0" presId="urn:microsoft.com/office/officeart/2008/layout/NameandTitleOrganizationalChart"/>
    <dgm:cxn modelId="{1060230D-CF18-40A8-9EAA-1CB6451E6ABF}" type="presParOf" srcId="{C5DD057D-8433-42F7-AE0A-384D3E28196F}" destId="{3ADE899D-8794-451C-B4D9-A439AEBDF194}" srcOrd="2" destOrd="0" presId="urn:microsoft.com/office/officeart/2008/layout/NameandTitleOrganizationalChart"/>
    <dgm:cxn modelId="{420F91AB-399E-4DD5-BF6E-92C6C93DDAF6}" type="presParOf" srcId="{76929887-3D91-4393-A901-EBA462FE0915}" destId="{717DD111-33B4-4352-8824-A305A100486C}" srcOrd="1" destOrd="0" presId="urn:microsoft.com/office/officeart/2008/layout/NameandTitleOrganizationalChart"/>
    <dgm:cxn modelId="{347ED4A4-0EE6-4F43-944A-48BCF4723832}" type="presParOf" srcId="{76929887-3D91-4393-A901-EBA462FE0915}" destId="{8419174E-7C44-42A3-9166-0FFFB32308F3}" srcOrd="2" destOrd="0" presId="urn:microsoft.com/office/officeart/2008/layout/NameandTitleOrganizationalChart"/>
    <dgm:cxn modelId="{96B8FC46-A247-40DD-AD92-4FBBB869FB7D}" type="presParOf" srcId="{A8CF42C3-E930-4029-BE16-FBFD931DA1BA}" destId="{3A826A3A-6618-40C2-A27E-26851B16BFA7}" srcOrd="2" destOrd="0" presId="urn:microsoft.com/office/officeart/2008/layout/NameandTitleOrganizationalChart"/>
    <dgm:cxn modelId="{AA46A328-F7D5-49AB-8917-A12A97B7F657}" type="presParOf" srcId="{3A826A3A-6618-40C2-A27E-26851B16BFA7}" destId="{B00DD25B-858F-40FD-9679-789071762E79}" srcOrd="0" destOrd="0" presId="urn:microsoft.com/office/officeart/2008/layout/NameandTitleOrganizationalChart"/>
    <dgm:cxn modelId="{81CC64EF-D691-4779-944A-6CAB5DB6D8F6}" type="presParOf" srcId="{3A826A3A-6618-40C2-A27E-26851B16BFA7}" destId="{EE6F8988-4F8B-4963-92AE-F5412CE76EDE}" srcOrd="1" destOrd="0" presId="urn:microsoft.com/office/officeart/2008/layout/NameandTitleOrganizationalChart"/>
    <dgm:cxn modelId="{180C0BEF-637F-40EF-A8CE-7186E2E764C7}" type="presParOf" srcId="{EE6F8988-4F8B-4963-92AE-F5412CE76EDE}" destId="{267268A0-C2D4-4256-BE3B-957585E33AD5}" srcOrd="0" destOrd="0" presId="urn:microsoft.com/office/officeart/2008/layout/NameandTitleOrganizationalChart"/>
    <dgm:cxn modelId="{37C0227E-216F-4159-9101-4C654CB981B8}" type="presParOf" srcId="{267268A0-C2D4-4256-BE3B-957585E33AD5}" destId="{CEF3B549-D084-45E5-B726-04FF8ABFC1FD}" srcOrd="0" destOrd="0" presId="urn:microsoft.com/office/officeart/2008/layout/NameandTitleOrganizationalChart"/>
    <dgm:cxn modelId="{B3100095-5533-47B2-A7E7-DA1C0E30F129}" type="presParOf" srcId="{267268A0-C2D4-4256-BE3B-957585E33AD5}" destId="{9DD619E1-EFBB-44CE-9D03-67534D360277}" srcOrd="1" destOrd="0" presId="urn:microsoft.com/office/officeart/2008/layout/NameandTitleOrganizationalChart"/>
    <dgm:cxn modelId="{19613948-D92C-4E05-B53A-68889506E354}" type="presParOf" srcId="{267268A0-C2D4-4256-BE3B-957585E33AD5}" destId="{F57313CA-3D71-456A-A0B1-23D227DD8A48}" srcOrd="2" destOrd="0" presId="urn:microsoft.com/office/officeart/2008/layout/NameandTitleOrganizationalChart"/>
    <dgm:cxn modelId="{675DF392-24D9-4AA2-8BB5-F234D915AC3A}" type="presParOf" srcId="{EE6F8988-4F8B-4963-92AE-F5412CE76EDE}" destId="{1817DABB-FCFE-4716-8CB4-9031CD59ACE9}" srcOrd="1" destOrd="0" presId="urn:microsoft.com/office/officeart/2008/layout/NameandTitleOrganizationalChart"/>
    <dgm:cxn modelId="{19A63FC3-B307-4286-8152-EB024BB99895}" type="presParOf" srcId="{EE6F8988-4F8B-4963-92AE-F5412CE76EDE}" destId="{430A3C9B-E241-46EA-AAB5-F1F7A2182670}" srcOrd="2" destOrd="0" presId="urn:microsoft.com/office/officeart/2008/layout/NameandTitleOrganizationalChart"/>
    <dgm:cxn modelId="{45930DA3-2A55-4C98-8ADA-13C0D1669E32}" type="presParOf" srcId="{3A826A3A-6618-40C2-A27E-26851B16BFA7}" destId="{FB1ED469-91FF-49A1-8853-F6C591AB1C8B}" srcOrd="2" destOrd="0" presId="urn:microsoft.com/office/officeart/2008/layout/NameandTitleOrganizationalChart"/>
    <dgm:cxn modelId="{66EFDD5A-F609-44EF-9191-F243FA14B0A2}" type="presParOf" srcId="{3A826A3A-6618-40C2-A27E-26851B16BFA7}" destId="{EB2F9F09-189B-4683-9AFE-A0143AD7A650}" srcOrd="3" destOrd="0" presId="urn:microsoft.com/office/officeart/2008/layout/NameandTitleOrganizationalChart"/>
    <dgm:cxn modelId="{970D4EA8-E3E3-48AD-8892-F13B35A5B282}" type="presParOf" srcId="{EB2F9F09-189B-4683-9AFE-A0143AD7A650}" destId="{83A5B165-C392-4652-B602-F80E93520E80}" srcOrd="0" destOrd="0" presId="urn:microsoft.com/office/officeart/2008/layout/NameandTitleOrganizationalChart"/>
    <dgm:cxn modelId="{5681A28E-2982-4D93-A140-304A8E64677D}" type="presParOf" srcId="{83A5B165-C392-4652-B602-F80E93520E80}" destId="{5BD07DC4-9743-4468-BA48-7C8EF9145C68}" srcOrd="0" destOrd="0" presId="urn:microsoft.com/office/officeart/2008/layout/NameandTitleOrganizationalChart"/>
    <dgm:cxn modelId="{E15D61DB-E67E-4529-9400-DABEF876A28A}" type="presParOf" srcId="{83A5B165-C392-4652-B602-F80E93520E80}" destId="{4988456E-44F7-475D-99B2-DF3BE760170C}" srcOrd="1" destOrd="0" presId="urn:microsoft.com/office/officeart/2008/layout/NameandTitleOrganizationalChart"/>
    <dgm:cxn modelId="{BBBE1CC4-AB61-4C50-BA37-5589054E690B}" type="presParOf" srcId="{83A5B165-C392-4652-B602-F80E93520E80}" destId="{3487D449-2A7D-49EC-B16B-2124597A33F1}" srcOrd="2" destOrd="0" presId="urn:microsoft.com/office/officeart/2008/layout/NameandTitleOrganizationalChart"/>
    <dgm:cxn modelId="{2F136E0A-77CB-40FA-80B3-FC0F6CDB4D30}" type="presParOf" srcId="{EB2F9F09-189B-4683-9AFE-A0143AD7A650}" destId="{980546F3-7B4F-487B-9BE2-F64F75F0FEA1}" srcOrd="1" destOrd="0" presId="urn:microsoft.com/office/officeart/2008/layout/NameandTitleOrganizationalChart"/>
    <dgm:cxn modelId="{3025C336-406B-4573-9F73-4C1E254E5031}" type="presParOf" srcId="{EB2F9F09-189B-4683-9AFE-A0143AD7A650}" destId="{6B320D01-1DBA-48D1-9EE1-DFAF163873FA}" srcOrd="2" destOrd="0" presId="urn:microsoft.com/office/officeart/2008/layout/NameandTitleOrganizationalChart"/>
    <dgm:cxn modelId="{75F83E9E-7226-495D-85B1-5880051BCDAF}" type="presParOf" srcId="{4347FBD9-ACEC-419F-905E-41A795A064C2}" destId="{0D035DEB-C281-43DE-9BC1-834962B414F7}" srcOrd="6" destOrd="0" presId="urn:microsoft.com/office/officeart/2008/layout/NameandTitleOrganizationalChart"/>
    <dgm:cxn modelId="{B09E9841-9709-4DC0-BED4-A5305C0F012E}" type="presParOf" srcId="{4347FBD9-ACEC-419F-905E-41A795A064C2}" destId="{EB4FD4D0-A763-425C-8C42-6246AA2BA3F4}" srcOrd="7" destOrd="0" presId="urn:microsoft.com/office/officeart/2008/layout/NameandTitleOrganizationalChart"/>
    <dgm:cxn modelId="{639B331B-D244-405C-A623-19B7D1C89862}" type="presParOf" srcId="{EB4FD4D0-A763-425C-8C42-6246AA2BA3F4}" destId="{726F27F4-0866-484D-B1E2-CBB0CB771160}" srcOrd="0" destOrd="0" presId="urn:microsoft.com/office/officeart/2008/layout/NameandTitleOrganizationalChart"/>
    <dgm:cxn modelId="{3433E82D-46E2-4F33-8A86-BC04086D362A}" type="presParOf" srcId="{726F27F4-0866-484D-B1E2-CBB0CB771160}" destId="{A33E0681-798E-4505-B6B8-8FC165173B50}" srcOrd="0" destOrd="0" presId="urn:microsoft.com/office/officeart/2008/layout/NameandTitleOrganizationalChart"/>
    <dgm:cxn modelId="{082FA55E-B738-45AE-8119-A13383CC7B0B}" type="presParOf" srcId="{726F27F4-0866-484D-B1E2-CBB0CB771160}" destId="{0EA90449-3CED-4A5A-9529-B4FCC4E6DC29}" srcOrd="1" destOrd="0" presId="urn:microsoft.com/office/officeart/2008/layout/NameandTitleOrganizationalChart"/>
    <dgm:cxn modelId="{10946049-54FF-4C5E-B635-C080A8B6E685}" type="presParOf" srcId="{726F27F4-0866-484D-B1E2-CBB0CB771160}" destId="{D9AF999A-0205-4FAB-9CFC-5E69BC5D3428}" srcOrd="2" destOrd="0" presId="urn:microsoft.com/office/officeart/2008/layout/NameandTitleOrganizationalChart"/>
    <dgm:cxn modelId="{FD447DEE-7758-4C23-9EFC-6704B19A29A2}" type="presParOf" srcId="{EB4FD4D0-A763-425C-8C42-6246AA2BA3F4}" destId="{CB266C2E-4AFD-4C0C-9C91-465CFF2CA990}" srcOrd="1" destOrd="0" presId="urn:microsoft.com/office/officeart/2008/layout/NameandTitleOrganizationalChart"/>
    <dgm:cxn modelId="{14677E58-43D9-4A5B-AB94-3F89ECEE2FF5}" type="presParOf" srcId="{CB266C2E-4AFD-4C0C-9C91-465CFF2CA990}" destId="{081E7B5B-E16D-482B-9C1D-3CAB3B85B812}" srcOrd="0" destOrd="0" presId="urn:microsoft.com/office/officeart/2008/layout/NameandTitleOrganizationalChart"/>
    <dgm:cxn modelId="{52B33A29-7853-49EC-8516-6DBF4CEE350A}" type="presParOf" srcId="{CB266C2E-4AFD-4C0C-9C91-465CFF2CA990}" destId="{1589FFC8-9C88-49DE-93D5-525DF2D106BE}" srcOrd="1" destOrd="0" presId="urn:microsoft.com/office/officeart/2008/layout/NameandTitleOrganizationalChart"/>
    <dgm:cxn modelId="{932561C5-1665-42DB-9344-D1E4D76B8EC9}" type="presParOf" srcId="{1589FFC8-9C88-49DE-93D5-525DF2D106BE}" destId="{2D2FDFD8-3CB0-4517-9D57-FADCEBF0D3C3}" srcOrd="0" destOrd="0" presId="urn:microsoft.com/office/officeart/2008/layout/NameandTitleOrganizationalChart"/>
    <dgm:cxn modelId="{00B9E861-0FF4-4F6E-B079-1F7E13CE6DD4}" type="presParOf" srcId="{2D2FDFD8-3CB0-4517-9D57-FADCEBF0D3C3}" destId="{41187E60-E77D-42ED-B082-8E4D0532A4BB}" srcOrd="0" destOrd="0" presId="urn:microsoft.com/office/officeart/2008/layout/NameandTitleOrganizationalChart"/>
    <dgm:cxn modelId="{03FD7467-E425-47AE-821A-45F8C5B5D8B9}" type="presParOf" srcId="{2D2FDFD8-3CB0-4517-9D57-FADCEBF0D3C3}" destId="{C76F80A7-F9F3-4875-86A8-984656DA1D41}" srcOrd="1" destOrd="0" presId="urn:microsoft.com/office/officeart/2008/layout/NameandTitleOrganizationalChart"/>
    <dgm:cxn modelId="{A7DDA8AE-ED59-4367-B65A-46AEB7E6689E}" type="presParOf" srcId="{2D2FDFD8-3CB0-4517-9D57-FADCEBF0D3C3}" destId="{54CF4A28-FC42-4637-B8C4-A7F618642D7C}" srcOrd="2" destOrd="0" presId="urn:microsoft.com/office/officeart/2008/layout/NameandTitleOrganizationalChart"/>
    <dgm:cxn modelId="{242E873C-43C2-4520-8E15-6175190D1EAE}" type="presParOf" srcId="{1589FFC8-9C88-49DE-93D5-525DF2D106BE}" destId="{37147CAB-EBA3-4A6E-BF6C-21916CAA972C}" srcOrd="1" destOrd="0" presId="urn:microsoft.com/office/officeart/2008/layout/NameandTitleOrganizationalChart"/>
    <dgm:cxn modelId="{E7E4EA7A-EDD8-42DE-A8C8-7F3F88AB3C16}" type="presParOf" srcId="{1589FFC8-9C88-49DE-93D5-525DF2D106BE}" destId="{518F4A90-1F09-4847-A603-93F7AA8BE83C}" srcOrd="2" destOrd="0" presId="urn:microsoft.com/office/officeart/2008/layout/NameandTitleOrganizationalChart"/>
    <dgm:cxn modelId="{71496E0D-4D3A-48CB-B0C0-8C7D1045D18D}" type="presParOf" srcId="{CB266C2E-4AFD-4C0C-9C91-465CFF2CA990}" destId="{56395623-D1B5-4271-9D74-F9A317C61429}" srcOrd="2" destOrd="0" presId="urn:microsoft.com/office/officeart/2008/layout/NameandTitleOrganizationalChart"/>
    <dgm:cxn modelId="{48D5100E-A3B4-4E7A-BC15-2DD5C9AC9B39}" type="presParOf" srcId="{CB266C2E-4AFD-4C0C-9C91-465CFF2CA990}" destId="{AA54C9E7-D378-4A6F-BEBD-8BC7BB095A23}" srcOrd="3" destOrd="0" presId="urn:microsoft.com/office/officeart/2008/layout/NameandTitleOrganizationalChart"/>
    <dgm:cxn modelId="{8C2F94AD-2670-4AFA-97E4-881A839BADD1}" type="presParOf" srcId="{AA54C9E7-D378-4A6F-BEBD-8BC7BB095A23}" destId="{3C8FD12E-9228-412A-BAD1-C07C91D94900}" srcOrd="0" destOrd="0" presId="urn:microsoft.com/office/officeart/2008/layout/NameandTitleOrganizationalChart"/>
    <dgm:cxn modelId="{FF2780D3-5AE4-4332-8E1E-34D8DBC1F563}" type="presParOf" srcId="{3C8FD12E-9228-412A-BAD1-C07C91D94900}" destId="{151566AD-AAAF-4EA2-95A0-7C782C90AA9A}" srcOrd="0" destOrd="0" presId="urn:microsoft.com/office/officeart/2008/layout/NameandTitleOrganizationalChart"/>
    <dgm:cxn modelId="{428ED59D-DA04-4CA2-926A-252EF970568E}" type="presParOf" srcId="{3C8FD12E-9228-412A-BAD1-C07C91D94900}" destId="{D80DD3E1-F643-47DB-820B-C4E9C9B61191}" srcOrd="1" destOrd="0" presId="urn:microsoft.com/office/officeart/2008/layout/NameandTitleOrganizationalChart"/>
    <dgm:cxn modelId="{4715EE70-0BCB-4223-B6E2-C53002F5934D}" type="presParOf" srcId="{3C8FD12E-9228-412A-BAD1-C07C91D94900}" destId="{93795FCC-1585-4556-820E-CB5167E3B78A}" srcOrd="2" destOrd="0" presId="urn:microsoft.com/office/officeart/2008/layout/NameandTitleOrganizationalChart"/>
    <dgm:cxn modelId="{A1856454-91DE-4838-92D7-0D98909B3FC2}" type="presParOf" srcId="{AA54C9E7-D378-4A6F-BEBD-8BC7BB095A23}" destId="{B0C570FE-72BB-4305-86E8-516EFCB47FF7}" srcOrd="1" destOrd="0" presId="urn:microsoft.com/office/officeart/2008/layout/NameandTitleOrganizationalChart"/>
    <dgm:cxn modelId="{956B27BA-AB7B-4D90-8244-B2ED7C525E67}" type="presParOf" srcId="{AA54C9E7-D378-4A6F-BEBD-8BC7BB095A23}" destId="{D2F4D9DB-B6CE-4E41-B01E-E173A080C239}" srcOrd="2" destOrd="0" presId="urn:microsoft.com/office/officeart/2008/layout/NameandTitleOrganizationalChart"/>
    <dgm:cxn modelId="{C7793F9D-61F9-4EEC-9861-2EAC356CC082}" type="presParOf" srcId="{EB4FD4D0-A763-425C-8C42-6246AA2BA3F4}" destId="{ED1090B9-4A23-44FE-B6CC-D71B21AC2FF1}" srcOrd="2" destOrd="0" presId="urn:microsoft.com/office/officeart/2008/layout/NameandTitleOrganizationalChart"/>
    <dgm:cxn modelId="{E0A63A35-34C3-4C81-955A-39AA3DCC9E14}" type="presParOf" srcId="{B2DCB7DE-B050-4D78-8560-B87EBED7F358}" destId="{F29F1333-3079-4F27-BBE5-927B268BBC73}" srcOrd="2" destOrd="0" presId="urn:microsoft.com/office/officeart/2008/layout/NameandTitleOrganizational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EDD9849B-333A-42C5-AF7A-9E88CDC9075A}" type="doc">
      <dgm:prSet loTypeId="urn:microsoft.com/office/officeart/2005/8/layout/orgChart1" loCatId="hierarchy" qsTypeId="urn:microsoft.com/office/officeart/2005/8/quickstyle/simple1" qsCatId="simple" csTypeId="urn:microsoft.com/office/officeart/2005/8/colors/accent0_1" csCatId="mainScheme" phldr="1"/>
      <dgm:spPr/>
      <dgm:t>
        <a:bodyPr/>
        <a:lstStyle/>
        <a:p>
          <a:endParaRPr lang="ru-RU"/>
        </a:p>
      </dgm:t>
    </dgm:pt>
    <dgm:pt modelId="{AF85FA4A-4FD0-4302-9DC3-0847D3618555}">
      <dgm:prSet phldrT="[Текст]"/>
      <dgm:spPr>
        <a:ln w="25400" cmpd="dbl"/>
      </dgm:spPr>
      <dgm:t>
        <a:bodyPr/>
        <a:lstStyle/>
        <a:p>
          <a:r>
            <a:rPr lang="ru-RU"/>
            <a:t>Капитан</a:t>
          </a:r>
        </a:p>
      </dgm:t>
    </dgm:pt>
    <dgm:pt modelId="{47763117-6F70-408C-ADA1-67182D39B920}" type="parTrans" cxnId="{2E2F8D93-2CCD-458D-8E55-63A4E760DD40}">
      <dgm:prSet/>
      <dgm:spPr/>
      <dgm:t>
        <a:bodyPr/>
        <a:lstStyle/>
        <a:p>
          <a:endParaRPr lang="ru-RU"/>
        </a:p>
      </dgm:t>
    </dgm:pt>
    <dgm:pt modelId="{987E47FD-D5E9-4175-A28D-52D526E32B98}" type="sibTrans" cxnId="{2E2F8D93-2CCD-458D-8E55-63A4E760DD40}">
      <dgm:prSet/>
      <dgm:spPr/>
      <dgm:t>
        <a:bodyPr/>
        <a:lstStyle/>
        <a:p>
          <a:endParaRPr lang="ru-RU"/>
        </a:p>
      </dgm:t>
    </dgm:pt>
    <dgm:pt modelId="{87BE60F3-B33A-4E08-A312-C26DA1ED27A6}">
      <dgm:prSet phldrT="[Текст]"/>
      <dgm:spPr/>
      <dgm:t>
        <a:bodyPr/>
        <a:lstStyle/>
        <a:p>
          <a:r>
            <a:rPr lang="ru-RU"/>
            <a:t>Маг</a:t>
          </a:r>
        </a:p>
      </dgm:t>
    </dgm:pt>
    <dgm:pt modelId="{9E4CE40F-4405-4EB9-86D0-F684B960D38F}" type="parTrans" cxnId="{276856DA-B5F9-4280-9BD3-65844AA114AE}">
      <dgm:prSet/>
      <dgm:spPr>
        <a:ln w="25400"/>
      </dgm:spPr>
      <dgm:t>
        <a:bodyPr/>
        <a:lstStyle/>
        <a:p>
          <a:endParaRPr lang="ru-RU"/>
        </a:p>
      </dgm:t>
    </dgm:pt>
    <dgm:pt modelId="{B4A080A0-4619-4AFB-92ED-32A029AB34DA}" type="sibTrans" cxnId="{276856DA-B5F9-4280-9BD3-65844AA114AE}">
      <dgm:prSet/>
      <dgm:spPr/>
      <dgm:t>
        <a:bodyPr/>
        <a:lstStyle/>
        <a:p>
          <a:endParaRPr lang="ru-RU"/>
        </a:p>
      </dgm:t>
    </dgm:pt>
    <dgm:pt modelId="{8518DF29-E268-4B17-AEB4-B10D5367671B}">
      <dgm:prSet phldrT="[Текст]"/>
      <dgm:spPr/>
      <dgm:t>
        <a:bodyPr/>
        <a:lstStyle/>
        <a:p>
          <a:r>
            <a:rPr lang="ru-RU"/>
            <a:t>Лекарь</a:t>
          </a:r>
        </a:p>
      </dgm:t>
    </dgm:pt>
    <dgm:pt modelId="{B2D5B730-6E42-4F6A-890B-B74191670D42}" type="parTrans" cxnId="{9D970800-17B4-483F-950E-58ECE69659EC}">
      <dgm:prSet/>
      <dgm:spPr/>
      <dgm:t>
        <a:bodyPr/>
        <a:lstStyle/>
        <a:p>
          <a:endParaRPr lang="ru-RU"/>
        </a:p>
      </dgm:t>
    </dgm:pt>
    <dgm:pt modelId="{9E34BE96-5F9A-46DE-8554-AFC8A4B92920}" type="sibTrans" cxnId="{9D970800-17B4-483F-950E-58ECE69659EC}">
      <dgm:prSet/>
      <dgm:spPr/>
      <dgm:t>
        <a:bodyPr/>
        <a:lstStyle/>
        <a:p>
          <a:endParaRPr lang="ru-RU"/>
        </a:p>
      </dgm:t>
    </dgm:pt>
    <dgm:pt modelId="{E9F75D67-5FD3-4073-91A6-5A630A83E109}">
      <dgm:prSet phldrT="[Текст]"/>
      <dgm:spPr>
        <a:ln w="25400" cmpd="dbl"/>
      </dgm:spPr>
      <dgm:t>
        <a:bodyPr/>
        <a:lstStyle/>
        <a:p>
          <a:r>
            <a:rPr lang="ru-RU"/>
            <a:t>Старший помощник</a:t>
          </a:r>
        </a:p>
      </dgm:t>
    </dgm:pt>
    <dgm:pt modelId="{CC40E4EF-AB9E-4625-8020-E7313F6789BE}" type="parTrans" cxnId="{88962AE2-21F1-4CD3-A876-70047517136E}">
      <dgm:prSet/>
      <dgm:spPr>
        <a:ln w="25400"/>
      </dgm:spPr>
      <dgm:t>
        <a:bodyPr/>
        <a:lstStyle/>
        <a:p>
          <a:endParaRPr lang="ru-RU"/>
        </a:p>
      </dgm:t>
    </dgm:pt>
    <dgm:pt modelId="{5B200E69-C415-40AC-88CB-6E55A7D38372}" type="sibTrans" cxnId="{88962AE2-21F1-4CD3-A876-70047517136E}">
      <dgm:prSet/>
      <dgm:spPr/>
      <dgm:t>
        <a:bodyPr/>
        <a:lstStyle/>
        <a:p>
          <a:endParaRPr lang="ru-RU"/>
        </a:p>
      </dgm:t>
    </dgm:pt>
    <dgm:pt modelId="{01C764A9-88A9-4655-A972-D34209FFED0A}">
      <dgm:prSet/>
      <dgm:spPr/>
      <dgm:t>
        <a:bodyPr/>
        <a:lstStyle/>
        <a:p>
          <a:r>
            <a:rPr lang="ru-RU"/>
            <a:t>Квартермейстер</a:t>
          </a:r>
        </a:p>
      </dgm:t>
    </dgm:pt>
    <dgm:pt modelId="{57F9CDD3-12ED-4351-BC7E-965E21056790}" type="parTrans" cxnId="{E5C3650C-41CC-4196-B795-46620EFE7F62}">
      <dgm:prSet/>
      <dgm:spPr>
        <a:ln w="25400"/>
      </dgm:spPr>
      <dgm:t>
        <a:bodyPr/>
        <a:lstStyle/>
        <a:p>
          <a:endParaRPr lang="ru-RU"/>
        </a:p>
      </dgm:t>
    </dgm:pt>
    <dgm:pt modelId="{45766174-1918-40FF-ACA1-F31BA04B13B0}" type="sibTrans" cxnId="{E5C3650C-41CC-4196-B795-46620EFE7F62}">
      <dgm:prSet/>
      <dgm:spPr/>
      <dgm:t>
        <a:bodyPr/>
        <a:lstStyle/>
        <a:p>
          <a:endParaRPr lang="ru-RU"/>
        </a:p>
      </dgm:t>
    </dgm:pt>
    <dgm:pt modelId="{388E981B-A473-43D6-8D85-6326C3BEA8A9}">
      <dgm:prSet/>
      <dgm:spPr>
        <a:ln w="25400" cmpd="dbl"/>
      </dgm:spPr>
      <dgm:t>
        <a:bodyPr/>
        <a:lstStyle/>
        <a:p>
          <a:r>
            <a:rPr lang="ru-RU"/>
            <a:t>Второй помощник</a:t>
          </a:r>
        </a:p>
      </dgm:t>
    </dgm:pt>
    <dgm:pt modelId="{02994E7F-F308-4CC3-8BFC-C49932E281E3}" type="parTrans" cxnId="{9EC796BF-0A7A-48C2-8995-37D74B60966B}">
      <dgm:prSet/>
      <dgm:spPr/>
      <dgm:t>
        <a:bodyPr/>
        <a:lstStyle/>
        <a:p>
          <a:endParaRPr lang="ru-RU"/>
        </a:p>
      </dgm:t>
    </dgm:pt>
    <dgm:pt modelId="{FF9FB527-56AF-4FBD-BF19-8718FEF2192C}" type="sibTrans" cxnId="{9EC796BF-0A7A-48C2-8995-37D74B60966B}">
      <dgm:prSet/>
      <dgm:spPr/>
      <dgm:t>
        <a:bodyPr/>
        <a:lstStyle/>
        <a:p>
          <a:endParaRPr lang="ru-RU"/>
        </a:p>
      </dgm:t>
    </dgm:pt>
    <dgm:pt modelId="{E5F01642-1A67-42FD-BB8C-C90C89F9BCCB}">
      <dgm:prSet/>
      <dgm:spPr/>
      <dgm:t>
        <a:bodyPr/>
        <a:lstStyle/>
        <a:p>
          <a:r>
            <a:rPr lang="ru-RU"/>
            <a:t>Кок</a:t>
          </a:r>
        </a:p>
      </dgm:t>
    </dgm:pt>
    <dgm:pt modelId="{A1FFB61D-30C3-4C46-BE9F-6DA4B52F56DF}" type="parTrans" cxnId="{B9B7C0D9-7675-4D0B-9A49-46313420387B}">
      <dgm:prSet/>
      <dgm:spPr/>
      <dgm:t>
        <a:bodyPr/>
        <a:lstStyle/>
        <a:p>
          <a:endParaRPr lang="ru-RU"/>
        </a:p>
      </dgm:t>
    </dgm:pt>
    <dgm:pt modelId="{840BB511-FC88-4DCB-945D-5D122601879E}" type="sibTrans" cxnId="{B9B7C0D9-7675-4D0B-9A49-46313420387B}">
      <dgm:prSet/>
      <dgm:spPr/>
      <dgm:t>
        <a:bodyPr/>
        <a:lstStyle/>
        <a:p>
          <a:endParaRPr lang="ru-RU"/>
        </a:p>
      </dgm:t>
    </dgm:pt>
    <dgm:pt modelId="{26F4F755-10F3-4023-A706-DF71B1A87308}">
      <dgm:prSet/>
      <dgm:spPr/>
      <dgm:t>
        <a:bodyPr/>
        <a:lstStyle/>
        <a:p>
          <a:r>
            <a:rPr lang="ru-RU"/>
            <a:t>Мастер по парусам</a:t>
          </a:r>
        </a:p>
      </dgm:t>
    </dgm:pt>
    <dgm:pt modelId="{2103A83F-5133-473A-B734-849238247488}" type="parTrans" cxnId="{B7DE39B9-12A9-4C77-A614-837A38EE4DE0}">
      <dgm:prSet/>
      <dgm:spPr/>
      <dgm:t>
        <a:bodyPr/>
        <a:lstStyle/>
        <a:p>
          <a:endParaRPr lang="ru-RU"/>
        </a:p>
      </dgm:t>
    </dgm:pt>
    <dgm:pt modelId="{7F118A7E-2655-44D6-9989-115299E9D45F}" type="sibTrans" cxnId="{B7DE39B9-12A9-4C77-A614-837A38EE4DE0}">
      <dgm:prSet/>
      <dgm:spPr/>
      <dgm:t>
        <a:bodyPr/>
        <a:lstStyle/>
        <a:p>
          <a:endParaRPr lang="ru-RU"/>
        </a:p>
      </dgm:t>
    </dgm:pt>
    <dgm:pt modelId="{4F47352A-6F03-489B-9B0E-EBD061C22E2D}">
      <dgm:prSet/>
      <dgm:spPr/>
      <dgm:t>
        <a:bodyPr/>
        <a:lstStyle/>
        <a:p>
          <a:r>
            <a:rPr lang="ru-RU"/>
            <a:t>Плотник</a:t>
          </a:r>
        </a:p>
      </dgm:t>
    </dgm:pt>
    <dgm:pt modelId="{3DF31E28-B756-4965-B6F0-B08F9F3C54B9}" type="parTrans" cxnId="{3C055B9B-56B0-432A-8A9B-05B0959C250C}">
      <dgm:prSet/>
      <dgm:spPr/>
      <dgm:t>
        <a:bodyPr/>
        <a:lstStyle/>
        <a:p>
          <a:endParaRPr lang="ru-RU"/>
        </a:p>
      </dgm:t>
    </dgm:pt>
    <dgm:pt modelId="{5FD4FB42-F3DD-4C94-B402-6A9D3818F303}" type="sibTrans" cxnId="{3C055B9B-56B0-432A-8A9B-05B0959C250C}">
      <dgm:prSet/>
      <dgm:spPr/>
      <dgm:t>
        <a:bodyPr/>
        <a:lstStyle/>
        <a:p>
          <a:endParaRPr lang="ru-RU"/>
        </a:p>
      </dgm:t>
    </dgm:pt>
    <dgm:pt modelId="{2DE38786-F1B5-451C-8C2A-728B9B426B30}">
      <dgm:prSet/>
      <dgm:spPr/>
      <dgm:t>
        <a:bodyPr/>
        <a:lstStyle/>
        <a:p>
          <a:r>
            <a:rPr lang="uk-UA"/>
            <a:t>Рулевой</a:t>
          </a:r>
          <a:endParaRPr lang="ru-RU"/>
        </a:p>
      </dgm:t>
    </dgm:pt>
    <dgm:pt modelId="{222AB457-A735-4744-AB07-DFAE0D9E1AE9}" type="parTrans" cxnId="{BD635B7F-8330-43CB-84AA-B6E33D591778}">
      <dgm:prSet/>
      <dgm:spPr/>
      <dgm:t>
        <a:bodyPr/>
        <a:lstStyle/>
        <a:p>
          <a:endParaRPr lang="ru-RU"/>
        </a:p>
      </dgm:t>
    </dgm:pt>
    <dgm:pt modelId="{7CC21AE6-DCE2-4FE7-A864-30341B58C03C}" type="sibTrans" cxnId="{BD635B7F-8330-43CB-84AA-B6E33D591778}">
      <dgm:prSet/>
      <dgm:spPr/>
      <dgm:t>
        <a:bodyPr/>
        <a:lstStyle/>
        <a:p>
          <a:endParaRPr lang="ru-RU"/>
        </a:p>
      </dgm:t>
    </dgm:pt>
    <dgm:pt modelId="{079784CF-3A58-4B9F-AA56-506D19D06B5B}">
      <dgm:prSet/>
      <dgm:spPr/>
      <dgm:t>
        <a:bodyPr/>
        <a:lstStyle/>
        <a:p>
          <a:r>
            <a:rPr lang="uk-UA"/>
            <a:t>Боцман</a:t>
          </a:r>
        </a:p>
      </dgm:t>
    </dgm:pt>
    <dgm:pt modelId="{C7BB423D-8907-4850-8EF9-E7196CEC1036}" type="parTrans" cxnId="{2C9842B8-5E22-403F-90FE-C9333D36DD67}">
      <dgm:prSet/>
      <dgm:spPr/>
      <dgm:t>
        <a:bodyPr/>
        <a:lstStyle/>
        <a:p>
          <a:endParaRPr lang="ru-RU"/>
        </a:p>
      </dgm:t>
    </dgm:pt>
    <dgm:pt modelId="{8472F82F-2D74-4A4B-8924-8137917C4D56}" type="sibTrans" cxnId="{2C9842B8-5E22-403F-90FE-C9333D36DD67}">
      <dgm:prSet/>
      <dgm:spPr/>
      <dgm:t>
        <a:bodyPr/>
        <a:lstStyle/>
        <a:p>
          <a:endParaRPr lang="ru-RU"/>
        </a:p>
      </dgm:t>
    </dgm:pt>
    <dgm:pt modelId="{863D5E84-D94E-4D53-9AB2-C9FBC0DDE0E7}">
      <dgm:prSet/>
      <dgm:spPr>
        <a:ln w="25400" cmpd="dbl"/>
      </dgm:spPr>
      <dgm:t>
        <a:bodyPr/>
        <a:lstStyle/>
        <a:p>
          <a:r>
            <a:rPr lang="uk-UA"/>
            <a:t>Третий помощник</a:t>
          </a:r>
          <a:endParaRPr lang="ru-RU"/>
        </a:p>
      </dgm:t>
    </dgm:pt>
    <dgm:pt modelId="{D8003EF9-5D9F-4612-A55A-E75C7D2AA858}" type="parTrans" cxnId="{8EFC45B2-0B1D-4C3A-9E5D-203358F3CC5A}">
      <dgm:prSet/>
      <dgm:spPr/>
      <dgm:t>
        <a:bodyPr/>
        <a:lstStyle/>
        <a:p>
          <a:endParaRPr lang="ru-RU"/>
        </a:p>
      </dgm:t>
    </dgm:pt>
    <dgm:pt modelId="{445558F8-C7C1-4BC5-A1C7-232A1EBF0D88}" type="sibTrans" cxnId="{8EFC45B2-0B1D-4C3A-9E5D-203358F3CC5A}">
      <dgm:prSet/>
      <dgm:spPr/>
      <dgm:t>
        <a:bodyPr/>
        <a:lstStyle/>
        <a:p>
          <a:endParaRPr lang="ru-RU"/>
        </a:p>
      </dgm:t>
    </dgm:pt>
    <dgm:pt modelId="{13B95718-7FA1-4D7C-B644-E757FE050EF7}">
      <dgm:prSet/>
      <dgm:spPr>
        <a:ln>
          <a:prstDash val="sysDot"/>
        </a:ln>
      </dgm:spPr>
      <dgm:t>
        <a:bodyPr/>
        <a:lstStyle/>
        <a:p>
          <a:r>
            <a:rPr lang="ru-RU"/>
            <a:t>Экипаж</a:t>
          </a:r>
        </a:p>
      </dgm:t>
    </dgm:pt>
    <dgm:pt modelId="{7B08CD7A-859B-4CEF-B095-A6285174A16A}" type="parTrans" cxnId="{2A7AFB83-E047-4905-ABFB-389F5CE02DD4}">
      <dgm:prSet/>
      <dgm:spPr/>
      <dgm:t>
        <a:bodyPr/>
        <a:lstStyle/>
        <a:p>
          <a:endParaRPr lang="ru-RU"/>
        </a:p>
      </dgm:t>
    </dgm:pt>
    <dgm:pt modelId="{7C0DBE1E-8542-4196-8EB5-644F744EE41F}" type="sibTrans" cxnId="{2A7AFB83-E047-4905-ABFB-389F5CE02DD4}">
      <dgm:prSet/>
      <dgm:spPr/>
      <dgm:t>
        <a:bodyPr/>
        <a:lstStyle/>
        <a:p>
          <a:endParaRPr lang="ru-RU"/>
        </a:p>
      </dgm:t>
    </dgm:pt>
    <dgm:pt modelId="{9888D7B0-F216-459F-9505-D1D74B71CBA6}">
      <dgm:prSet/>
      <dgm:spPr/>
      <dgm:t>
        <a:bodyPr/>
        <a:lstStyle/>
        <a:p>
          <a:r>
            <a:rPr lang="ru-RU"/>
            <a:t>1ая смена</a:t>
          </a:r>
        </a:p>
      </dgm:t>
    </dgm:pt>
    <dgm:pt modelId="{029CFB9D-CEF9-46A3-BE48-DBB552538E02}" type="parTrans" cxnId="{AFA9C78E-EE30-48C7-933F-60CFF9617FC9}">
      <dgm:prSet/>
      <dgm:spPr/>
      <dgm:t>
        <a:bodyPr/>
        <a:lstStyle/>
        <a:p>
          <a:endParaRPr lang="ru-RU"/>
        </a:p>
      </dgm:t>
    </dgm:pt>
    <dgm:pt modelId="{8107270A-B708-453A-BA36-72EAC99C528E}" type="sibTrans" cxnId="{AFA9C78E-EE30-48C7-933F-60CFF9617FC9}">
      <dgm:prSet/>
      <dgm:spPr/>
      <dgm:t>
        <a:bodyPr/>
        <a:lstStyle/>
        <a:p>
          <a:endParaRPr lang="ru-RU"/>
        </a:p>
      </dgm:t>
    </dgm:pt>
    <dgm:pt modelId="{9DC261E7-1DED-4698-8F26-6C01ADA33491}">
      <dgm:prSet/>
      <dgm:spPr/>
      <dgm:t>
        <a:bodyPr/>
        <a:lstStyle/>
        <a:p>
          <a:r>
            <a:rPr lang="ru-RU"/>
            <a:t>2ая смена</a:t>
          </a:r>
        </a:p>
      </dgm:t>
    </dgm:pt>
    <dgm:pt modelId="{DC45A04A-26DA-4053-9E06-AA21691F4A2F}" type="parTrans" cxnId="{07C8CAB4-8A65-4808-B34C-3E00D884DFD7}">
      <dgm:prSet/>
      <dgm:spPr/>
      <dgm:t>
        <a:bodyPr/>
        <a:lstStyle/>
        <a:p>
          <a:endParaRPr lang="ru-RU"/>
        </a:p>
      </dgm:t>
    </dgm:pt>
    <dgm:pt modelId="{5393BFCA-CF70-4DF8-8008-7E91C4296080}" type="sibTrans" cxnId="{07C8CAB4-8A65-4808-B34C-3E00D884DFD7}">
      <dgm:prSet/>
      <dgm:spPr/>
      <dgm:t>
        <a:bodyPr/>
        <a:lstStyle/>
        <a:p>
          <a:endParaRPr lang="ru-RU"/>
        </a:p>
      </dgm:t>
    </dgm:pt>
    <dgm:pt modelId="{5C7D34A7-1AC8-4495-8965-A53CB8CC8C84}">
      <dgm:prSet/>
      <dgm:spPr/>
      <dgm:t>
        <a:bodyPr/>
        <a:lstStyle/>
        <a:p>
          <a:r>
            <a:rPr lang="ru-RU"/>
            <a:t>3ая смена</a:t>
          </a:r>
        </a:p>
      </dgm:t>
    </dgm:pt>
    <dgm:pt modelId="{48ABF71B-6FAD-4805-8601-212F4E153F34}" type="parTrans" cxnId="{3D8FA0EC-FBBA-4056-9D3F-11BE52691FF1}">
      <dgm:prSet/>
      <dgm:spPr/>
      <dgm:t>
        <a:bodyPr/>
        <a:lstStyle/>
        <a:p>
          <a:endParaRPr lang="ru-RU"/>
        </a:p>
      </dgm:t>
    </dgm:pt>
    <dgm:pt modelId="{60958ABD-D04E-457B-96A1-E4E1E829D83D}" type="sibTrans" cxnId="{3D8FA0EC-FBBA-4056-9D3F-11BE52691FF1}">
      <dgm:prSet/>
      <dgm:spPr/>
      <dgm:t>
        <a:bodyPr/>
        <a:lstStyle/>
        <a:p>
          <a:endParaRPr lang="ru-RU"/>
        </a:p>
      </dgm:t>
    </dgm:pt>
    <dgm:pt modelId="{251AEFE7-29F2-46A1-9D88-C59D8B0535F8}">
      <dgm:prSet/>
      <dgm:spPr/>
      <dgm:t>
        <a:bodyPr/>
        <a:lstStyle/>
        <a:p>
          <a:endParaRPr lang="ru-RU"/>
        </a:p>
      </dgm:t>
    </dgm:pt>
    <dgm:pt modelId="{24B66B26-FD18-40AF-879E-81CFDF7154AF}" type="parTrans" cxnId="{58809727-7DF3-421C-A040-D66818191303}">
      <dgm:prSet/>
      <dgm:spPr/>
      <dgm:t>
        <a:bodyPr/>
        <a:lstStyle/>
        <a:p>
          <a:endParaRPr lang="ru-RU"/>
        </a:p>
      </dgm:t>
    </dgm:pt>
    <dgm:pt modelId="{BAC3FA2E-B5B9-4C39-AE51-712E42A7964F}" type="sibTrans" cxnId="{58809727-7DF3-421C-A040-D66818191303}">
      <dgm:prSet/>
      <dgm:spPr/>
      <dgm:t>
        <a:bodyPr/>
        <a:lstStyle/>
        <a:p>
          <a:endParaRPr lang="ru-RU"/>
        </a:p>
      </dgm:t>
    </dgm:pt>
    <dgm:pt modelId="{6600DAEE-F1CA-47E8-90B5-37C825BAE01B}" type="pres">
      <dgm:prSet presAssocID="{EDD9849B-333A-42C5-AF7A-9E88CDC9075A}" presName="hierChild1" presStyleCnt="0">
        <dgm:presLayoutVars>
          <dgm:orgChart val="1"/>
          <dgm:chPref val="1"/>
          <dgm:dir/>
          <dgm:animOne val="branch"/>
          <dgm:animLvl val="lvl"/>
          <dgm:resizeHandles/>
        </dgm:presLayoutVars>
      </dgm:prSet>
      <dgm:spPr/>
    </dgm:pt>
    <dgm:pt modelId="{995B8A7A-1B49-4B0B-AD6B-5854E7F70FF7}" type="pres">
      <dgm:prSet presAssocID="{AF85FA4A-4FD0-4302-9DC3-0847D3618555}" presName="hierRoot1" presStyleCnt="0">
        <dgm:presLayoutVars>
          <dgm:hierBranch val="init"/>
        </dgm:presLayoutVars>
      </dgm:prSet>
      <dgm:spPr/>
    </dgm:pt>
    <dgm:pt modelId="{5B7DDF95-E0BC-41B1-8D65-E63F0FC86F96}" type="pres">
      <dgm:prSet presAssocID="{AF85FA4A-4FD0-4302-9DC3-0847D3618555}" presName="rootComposite1" presStyleCnt="0"/>
      <dgm:spPr/>
    </dgm:pt>
    <dgm:pt modelId="{B2BE3EC8-3324-43EA-B8D7-796B52893122}" type="pres">
      <dgm:prSet presAssocID="{AF85FA4A-4FD0-4302-9DC3-0847D3618555}" presName="rootText1" presStyleLbl="node0" presStyleIdx="0" presStyleCnt="1" custScaleX="115898" custScaleY="64947" custLinFactNeighborX="12180" custLinFactNeighborY="2181">
        <dgm:presLayoutVars>
          <dgm:chPref val="3"/>
        </dgm:presLayoutVars>
      </dgm:prSet>
      <dgm:spPr>
        <a:prstGeom prst="plaque">
          <a:avLst/>
        </a:prstGeom>
      </dgm:spPr>
    </dgm:pt>
    <dgm:pt modelId="{79BE84F6-C332-4D15-89C0-DDFC29B12BAF}" type="pres">
      <dgm:prSet presAssocID="{AF85FA4A-4FD0-4302-9DC3-0847D3618555}" presName="rootConnector1" presStyleLbl="node1" presStyleIdx="0" presStyleCnt="0"/>
      <dgm:spPr/>
    </dgm:pt>
    <dgm:pt modelId="{EAC894A6-B5CA-463E-87B3-645C4ADC7BBB}" type="pres">
      <dgm:prSet presAssocID="{AF85FA4A-4FD0-4302-9DC3-0847D3618555}" presName="hierChild2" presStyleCnt="0"/>
      <dgm:spPr/>
    </dgm:pt>
    <dgm:pt modelId="{EF1B36B6-AE89-4854-AB4F-5607D63391AA}" type="pres">
      <dgm:prSet presAssocID="{9E4CE40F-4405-4EB9-86D0-F684B960D38F}" presName="Name37" presStyleLbl="parChTrans1D2" presStyleIdx="0" presStyleCnt="4"/>
      <dgm:spPr/>
    </dgm:pt>
    <dgm:pt modelId="{26111165-961A-49F6-9169-5D25476F8997}" type="pres">
      <dgm:prSet presAssocID="{87BE60F3-B33A-4E08-A312-C26DA1ED27A6}" presName="hierRoot2" presStyleCnt="0">
        <dgm:presLayoutVars>
          <dgm:hierBranch val="init"/>
        </dgm:presLayoutVars>
      </dgm:prSet>
      <dgm:spPr/>
    </dgm:pt>
    <dgm:pt modelId="{3BE80A75-0DD5-4502-94A0-835AA444589F}" type="pres">
      <dgm:prSet presAssocID="{87BE60F3-B33A-4E08-A312-C26DA1ED27A6}" presName="rootComposite" presStyleCnt="0"/>
      <dgm:spPr/>
    </dgm:pt>
    <dgm:pt modelId="{CC5B446D-D37C-41EF-A493-05F0830EF276}" type="pres">
      <dgm:prSet presAssocID="{87BE60F3-B33A-4E08-A312-C26DA1ED27A6}" presName="rootText" presStyleLbl="node2" presStyleIdx="0" presStyleCnt="4" custScaleX="95314" custScaleY="61029">
        <dgm:presLayoutVars>
          <dgm:chPref val="3"/>
        </dgm:presLayoutVars>
      </dgm:prSet>
      <dgm:spPr/>
    </dgm:pt>
    <dgm:pt modelId="{CA07D46E-07C9-45A4-BF79-9B36572E31F6}" type="pres">
      <dgm:prSet presAssocID="{87BE60F3-B33A-4E08-A312-C26DA1ED27A6}" presName="rootConnector" presStyleLbl="node2" presStyleIdx="0" presStyleCnt="4"/>
      <dgm:spPr/>
    </dgm:pt>
    <dgm:pt modelId="{D716784A-A6B4-42ED-A1B6-073B0CF9A97C}" type="pres">
      <dgm:prSet presAssocID="{87BE60F3-B33A-4E08-A312-C26DA1ED27A6}" presName="hierChild4" presStyleCnt="0"/>
      <dgm:spPr/>
    </dgm:pt>
    <dgm:pt modelId="{8322C573-A089-437F-8CC5-372237E59F4A}" type="pres">
      <dgm:prSet presAssocID="{87BE60F3-B33A-4E08-A312-C26DA1ED27A6}" presName="hierChild5" presStyleCnt="0"/>
      <dgm:spPr/>
    </dgm:pt>
    <dgm:pt modelId="{F050F701-4777-4426-A664-1067999680B8}" type="pres">
      <dgm:prSet presAssocID="{B2D5B730-6E42-4F6A-890B-B74191670D42}" presName="Name37" presStyleLbl="parChTrans1D2" presStyleIdx="1" presStyleCnt="4"/>
      <dgm:spPr/>
    </dgm:pt>
    <dgm:pt modelId="{DC400DE4-3F8A-436F-BA19-523BC368CCD7}" type="pres">
      <dgm:prSet presAssocID="{8518DF29-E268-4B17-AEB4-B10D5367671B}" presName="hierRoot2" presStyleCnt="0">
        <dgm:presLayoutVars>
          <dgm:hierBranch val="init"/>
        </dgm:presLayoutVars>
      </dgm:prSet>
      <dgm:spPr/>
    </dgm:pt>
    <dgm:pt modelId="{F4201050-E72D-403C-81A3-311D78A2A660}" type="pres">
      <dgm:prSet presAssocID="{8518DF29-E268-4B17-AEB4-B10D5367671B}" presName="rootComposite" presStyleCnt="0"/>
      <dgm:spPr/>
    </dgm:pt>
    <dgm:pt modelId="{C531E2A3-AE2F-4869-8A9B-1A809EE00684}" type="pres">
      <dgm:prSet presAssocID="{8518DF29-E268-4B17-AEB4-B10D5367671B}" presName="rootText" presStyleLbl="node2" presStyleIdx="1" presStyleCnt="4" custScaleX="95314" custScaleY="61029">
        <dgm:presLayoutVars>
          <dgm:chPref val="3"/>
        </dgm:presLayoutVars>
      </dgm:prSet>
      <dgm:spPr/>
    </dgm:pt>
    <dgm:pt modelId="{E858461D-83E6-4E5B-B1F7-EB4A3D85C8E8}" type="pres">
      <dgm:prSet presAssocID="{8518DF29-E268-4B17-AEB4-B10D5367671B}" presName="rootConnector" presStyleLbl="node2" presStyleIdx="1" presStyleCnt="4"/>
      <dgm:spPr/>
    </dgm:pt>
    <dgm:pt modelId="{9542FD72-CDA4-4DF8-A879-CB22DAA62201}" type="pres">
      <dgm:prSet presAssocID="{8518DF29-E268-4B17-AEB4-B10D5367671B}" presName="hierChild4" presStyleCnt="0"/>
      <dgm:spPr/>
    </dgm:pt>
    <dgm:pt modelId="{D4ED4E91-440B-4A1D-81CB-8A650560B927}" type="pres">
      <dgm:prSet presAssocID="{8518DF29-E268-4B17-AEB4-B10D5367671B}" presName="hierChild5" presStyleCnt="0"/>
      <dgm:spPr/>
    </dgm:pt>
    <dgm:pt modelId="{04FDA189-1F55-4110-ADD4-B7880E65234B}" type="pres">
      <dgm:prSet presAssocID="{CC40E4EF-AB9E-4625-8020-E7313F6789BE}" presName="Name37" presStyleLbl="parChTrans1D2" presStyleIdx="2" presStyleCnt="4"/>
      <dgm:spPr/>
    </dgm:pt>
    <dgm:pt modelId="{36C58A94-0920-4E2F-90DB-966E0D2F4B1B}" type="pres">
      <dgm:prSet presAssocID="{E9F75D67-5FD3-4073-91A6-5A630A83E109}" presName="hierRoot2" presStyleCnt="0">
        <dgm:presLayoutVars>
          <dgm:hierBranch/>
        </dgm:presLayoutVars>
      </dgm:prSet>
      <dgm:spPr/>
    </dgm:pt>
    <dgm:pt modelId="{D6A5D5D7-9409-44DD-B5F8-84EC03D58754}" type="pres">
      <dgm:prSet presAssocID="{E9F75D67-5FD3-4073-91A6-5A630A83E109}" presName="rootComposite" presStyleCnt="0"/>
      <dgm:spPr/>
    </dgm:pt>
    <dgm:pt modelId="{BD2936FF-4B28-4A5F-84AD-E3386BDC1DEA}" type="pres">
      <dgm:prSet presAssocID="{E9F75D67-5FD3-4073-91A6-5A630A83E109}" presName="rootText" presStyleLbl="node2" presStyleIdx="2" presStyleCnt="4" custScaleX="115898" custScaleY="64947">
        <dgm:presLayoutVars>
          <dgm:chPref val="3"/>
        </dgm:presLayoutVars>
      </dgm:prSet>
      <dgm:spPr>
        <a:prstGeom prst="plaque">
          <a:avLst/>
        </a:prstGeom>
      </dgm:spPr>
    </dgm:pt>
    <dgm:pt modelId="{C6956CEB-DEF2-4C94-B2E7-C5852496F877}" type="pres">
      <dgm:prSet presAssocID="{E9F75D67-5FD3-4073-91A6-5A630A83E109}" presName="rootConnector" presStyleLbl="node2" presStyleIdx="2" presStyleCnt="4"/>
      <dgm:spPr/>
    </dgm:pt>
    <dgm:pt modelId="{A446DB8A-C53D-4B43-B047-C49C23A81360}" type="pres">
      <dgm:prSet presAssocID="{E9F75D67-5FD3-4073-91A6-5A630A83E109}" presName="hierChild4" presStyleCnt="0"/>
      <dgm:spPr/>
    </dgm:pt>
    <dgm:pt modelId="{52E5AA4A-3769-45F2-9FD6-F7E532242856}" type="pres">
      <dgm:prSet presAssocID="{02994E7F-F308-4CC3-8BFC-C49932E281E3}" presName="Name35" presStyleLbl="parChTrans1D3" presStyleIdx="0" presStyleCnt="4"/>
      <dgm:spPr/>
    </dgm:pt>
    <dgm:pt modelId="{D9BB0010-6A7F-4D75-9152-596B65DEE72B}" type="pres">
      <dgm:prSet presAssocID="{388E981B-A473-43D6-8D85-6326C3BEA8A9}" presName="hierRoot2" presStyleCnt="0">
        <dgm:presLayoutVars>
          <dgm:hierBranch val="init"/>
        </dgm:presLayoutVars>
      </dgm:prSet>
      <dgm:spPr/>
    </dgm:pt>
    <dgm:pt modelId="{618DDF4D-B323-4A55-A0D6-163D4D579104}" type="pres">
      <dgm:prSet presAssocID="{388E981B-A473-43D6-8D85-6326C3BEA8A9}" presName="rootComposite" presStyleCnt="0"/>
      <dgm:spPr/>
    </dgm:pt>
    <dgm:pt modelId="{767D7A86-D95E-4AB6-A812-664A037043B6}" type="pres">
      <dgm:prSet presAssocID="{388E981B-A473-43D6-8D85-6326C3BEA8A9}" presName="rootText" presStyleLbl="node3" presStyleIdx="0" presStyleCnt="4" custScaleX="115898" custScaleY="64947">
        <dgm:presLayoutVars>
          <dgm:chPref val="3"/>
        </dgm:presLayoutVars>
      </dgm:prSet>
      <dgm:spPr>
        <a:prstGeom prst="plaque">
          <a:avLst/>
        </a:prstGeom>
      </dgm:spPr>
    </dgm:pt>
    <dgm:pt modelId="{D356E76F-E1AC-44E1-94F9-5F2D51D0ECFE}" type="pres">
      <dgm:prSet presAssocID="{388E981B-A473-43D6-8D85-6326C3BEA8A9}" presName="rootConnector" presStyleLbl="node3" presStyleIdx="0" presStyleCnt="4"/>
      <dgm:spPr/>
    </dgm:pt>
    <dgm:pt modelId="{F4BDE7A9-F946-48F8-B8FC-1FAF6E2E9A8B}" type="pres">
      <dgm:prSet presAssocID="{388E981B-A473-43D6-8D85-6326C3BEA8A9}" presName="hierChild4" presStyleCnt="0"/>
      <dgm:spPr/>
    </dgm:pt>
    <dgm:pt modelId="{224A3399-72D2-4E53-A64F-DF3B1CF60596}" type="pres">
      <dgm:prSet presAssocID="{222AB457-A735-4744-AB07-DFAE0D9E1AE9}" presName="Name37" presStyleLbl="parChTrans1D4" presStyleIdx="0" presStyleCnt="8"/>
      <dgm:spPr/>
    </dgm:pt>
    <dgm:pt modelId="{BC043048-E560-4438-9E4E-BBFEF8B3AB17}" type="pres">
      <dgm:prSet presAssocID="{2DE38786-F1B5-451C-8C2A-728B9B426B30}" presName="hierRoot2" presStyleCnt="0">
        <dgm:presLayoutVars>
          <dgm:hierBranch val="init"/>
        </dgm:presLayoutVars>
      </dgm:prSet>
      <dgm:spPr/>
    </dgm:pt>
    <dgm:pt modelId="{FC723CC5-AC32-4CF5-9368-3ECA64348F63}" type="pres">
      <dgm:prSet presAssocID="{2DE38786-F1B5-451C-8C2A-728B9B426B30}" presName="rootComposite" presStyleCnt="0"/>
      <dgm:spPr/>
    </dgm:pt>
    <dgm:pt modelId="{761A973D-08A0-4FCB-BA64-8FAD94B60C95}" type="pres">
      <dgm:prSet presAssocID="{2DE38786-F1B5-451C-8C2A-728B9B426B30}" presName="rootText" presStyleLbl="node4" presStyleIdx="0" presStyleCnt="8" custScaleX="95314" custScaleY="61029">
        <dgm:presLayoutVars>
          <dgm:chPref val="3"/>
        </dgm:presLayoutVars>
      </dgm:prSet>
      <dgm:spPr/>
    </dgm:pt>
    <dgm:pt modelId="{8A047929-57DA-4A51-AA48-3A93A7923226}" type="pres">
      <dgm:prSet presAssocID="{2DE38786-F1B5-451C-8C2A-728B9B426B30}" presName="rootConnector" presStyleLbl="node4" presStyleIdx="0" presStyleCnt="8"/>
      <dgm:spPr/>
    </dgm:pt>
    <dgm:pt modelId="{65B7DECC-1377-4E2D-8896-65CC6C303CF0}" type="pres">
      <dgm:prSet presAssocID="{2DE38786-F1B5-451C-8C2A-728B9B426B30}" presName="hierChild4" presStyleCnt="0"/>
      <dgm:spPr/>
    </dgm:pt>
    <dgm:pt modelId="{458B0B2C-3295-46BC-9B90-36EC55D150DA}" type="pres">
      <dgm:prSet presAssocID="{2DE38786-F1B5-451C-8C2A-728B9B426B30}" presName="hierChild5" presStyleCnt="0"/>
      <dgm:spPr/>
    </dgm:pt>
    <dgm:pt modelId="{F2ED3A7F-BDC9-45B4-A65C-98CDC7CC78D6}" type="pres">
      <dgm:prSet presAssocID="{D8003EF9-5D9F-4612-A55A-E75C7D2AA858}" presName="Name37" presStyleLbl="parChTrans1D4" presStyleIdx="1" presStyleCnt="8"/>
      <dgm:spPr/>
    </dgm:pt>
    <dgm:pt modelId="{339C932F-20BD-4167-8FDB-D7E9F65E5318}" type="pres">
      <dgm:prSet presAssocID="{863D5E84-D94E-4D53-9AB2-C9FBC0DDE0E7}" presName="hierRoot2" presStyleCnt="0">
        <dgm:presLayoutVars>
          <dgm:hierBranch val="init"/>
        </dgm:presLayoutVars>
      </dgm:prSet>
      <dgm:spPr/>
    </dgm:pt>
    <dgm:pt modelId="{5712D1E4-F6FD-4C6D-9972-BB878924878D}" type="pres">
      <dgm:prSet presAssocID="{863D5E84-D94E-4D53-9AB2-C9FBC0DDE0E7}" presName="rootComposite" presStyleCnt="0"/>
      <dgm:spPr/>
    </dgm:pt>
    <dgm:pt modelId="{39EE4533-8C71-40BE-9A02-51685BCEB75F}" type="pres">
      <dgm:prSet presAssocID="{863D5E84-D94E-4D53-9AB2-C9FBC0DDE0E7}" presName="rootText" presStyleLbl="node4" presStyleIdx="1" presStyleCnt="8" custScaleX="115898" custScaleY="64947">
        <dgm:presLayoutVars>
          <dgm:chPref val="3"/>
        </dgm:presLayoutVars>
      </dgm:prSet>
      <dgm:spPr>
        <a:prstGeom prst="plaque">
          <a:avLst/>
        </a:prstGeom>
      </dgm:spPr>
    </dgm:pt>
    <dgm:pt modelId="{B517BF34-E869-48D1-8B3D-4194F9230B07}" type="pres">
      <dgm:prSet presAssocID="{863D5E84-D94E-4D53-9AB2-C9FBC0DDE0E7}" presName="rootConnector" presStyleLbl="node4" presStyleIdx="1" presStyleCnt="8"/>
      <dgm:spPr/>
    </dgm:pt>
    <dgm:pt modelId="{4025F71C-61AA-4319-8202-ED898CA0ED3F}" type="pres">
      <dgm:prSet presAssocID="{863D5E84-D94E-4D53-9AB2-C9FBC0DDE0E7}" presName="hierChild4" presStyleCnt="0"/>
      <dgm:spPr/>
    </dgm:pt>
    <dgm:pt modelId="{8D16020E-2F33-40BC-AF2C-94CA35B3DFB9}" type="pres">
      <dgm:prSet presAssocID="{7B08CD7A-859B-4CEF-B095-A6285174A16A}" presName="Name37" presStyleLbl="parChTrans1D4" presStyleIdx="2" presStyleCnt="8"/>
      <dgm:spPr/>
    </dgm:pt>
    <dgm:pt modelId="{563AB2EA-8E59-42A1-9757-C75766E49707}" type="pres">
      <dgm:prSet presAssocID="{13B95718-7FA1-4D7C-B644-E757FE050EF7}" presName="hierRoot2" presStyleCnt="0">
        <dgm:presLayoutVars>
          <dgm:hierBranch/>
        </dgm:presLayoutVars>
      </dgm:prSet>
      <dgm:spPr/>
    </dgm:pt>
    <dgm:pt modelId="{8DD3C787-3878-4E25-83D0-9A89AFF57F09}" type="pres">
      <dgm:prSet presAssocID="{13B95718-7FA1-4D7C-B644-E757FE050EF7}" presName="rootComposite" presStyleCnt="0"/>
      <dgm:spPr/>
    </dgm:pt>
    <dgm:pt modelId="{90119492-4379-4B9E-A340-7AF13DBEC56B}" type="pres">
      <dgm:prSet presAssocID="{13B95718-7FA1-4D7C-B644-E757FE050EF7}" presName="rootText" presStyleLbl="node4" presStyleIdx="2" presStyleCnt="8" custScaleX="95314" custScaleY="61029">
        <dgm:presLayoutVars>
          <dgm:chPref val="3"/>
        </dgm:presLayoutVars>
      </dgm:prSet>
      <dgm:spPr/>
    </dgm:pt>
    <dgm:pt modelId="{E1524C93-3385-4C38-8460-30C362719A12}" type="pres">
      <dgm:prSet presAssocID="{13B95718-7FA1-4D7C-B644-E757FE050EF7}" presName="rootConnector" presStyleLbl="node4" presStyleIdx="2" presStyleCnt="8"/>
      <dgm:spPr/>
    </dgm:pt>
    <dgm:pt modelId="{F8363CDA-2DBA-4805-8F48-C54477666AA6}" type="pres">
      <dgm:prSet presAssocID="{13B95718-7FA1-4D7C-B644-E757FE050EF7}" presName="hierChild4" presStyleCnt="0"/>
      <dgm:spPr/>
    </dgm:pt>
    <dgm:pt modelId="{1CD87A99-5385-41A9-B069-E8DA60565996}" type="pres">
      <dgm:prSet presAssocID="{029CFB9D-CEF9-46A3-BE48-DBB552538E02}" presName="Name35" presStyleLbl="parChTrans1D4" presStyleIdx="3" presStyleCnt="8"/>
      <dgm:spPr/>
    </dgm:pt>
    <dgm:pt modelId="{08E02A76-A3DD-4E1F-BD01-A1F3A6763A28}" type="pres">
      <dgm:prSet presAssocID="{9888D7B0-F216-459F-9505-D1D74B71CBA6}" presName="hierRoot2" presStyleCnt="0">
        <dgm:presLayoutVars>
          <dgm:hierBranch val="init"/>
        </dgm:presLayoutVars>
      </dgm:prSet>
      <dgm:spPr/>
    </dgm:pt>
    <dgm:pt modelId="{C4D668FE-6CC3-4A4C-8854-5BC5D65DD71F}" type="pres">
      <dgm:prSet presAssocID="{9888D7B0-F216-459F-9505-D1D74B71CBA6}" presName="rootComposite" presStyleCnt="0"/>
      <dgm:spPr/>
    </dgm:pt>
    <dgm:pt modelId="{7B7C5741-8E94-4CD6-A0C5-A8F58DC2E22C}" type="pres">
      <dgm:prSet presAssocID="{9888D7B0-F216-459F-9505-D1D74B71CBA6}" presName="rootText" presStyleLbl="node4" presStyleIdx="3" presStyleCnt="8" custScaleX="95314" custScaleY="61029">
        <dgm:presLayoutVars>
          <dgm:chPref val="3"/>
        </dgm:presLayoutVars>
      </dgm:prSet>
      <dgm:spPr/>
    </dgm:pt>
    <dgm:pt modelId="{AB064344-2A71-4743-AD96-8EF513AB16E6}" type="pres">
      <dgm:prSet presAssocID="{9888D7B0-F216-459F-9505-D1D74B71CBA6}" presName="rootConnector" presStyleLbl="node4" presStyleIdx="3" presStyleCnt="8"/>
      <dgm:spPr/>
    </dgm:pt>
    <dgm:pt modelId="{D1A67AB3-66F9-4CE6-BF8A-B8A6DEE26C78}" type="pres">
      <dgm:prSet presAssocID="{9888D7B0-F216-459F-9505-D1D74B71CBA6}" presName="hierChild4" presStyleCnt="0"/>
      <dgm:spPr/>
    </dgm:pt>
    <dgm:pt modelId="{3B94739F-901F-457C-9FF4-EFA699141413}" type="pres">
      <dgm:prSet presAssocID="{9888D7B0-F216-459F-9505-D1D74B71CBA6}" presName="hierChild5" presStyleCnt="0"/>
      <dgm:spPr/>
    </dgm:pt>
    <dgm:pt modelId="{1562EF09-8450-4FD7-9DB2-8195342075E6}" type="pres">
      <dgm:prSet presAssocID="{DC45A04A-26DA-4053-9E06-AA21691F4A2F}" presName="Name35" presStyleLbl="parChTrans1D4" presStyleIdx="4" presStyleCnt="8"/>
      <dgm:spPr/>
    </dgm:pt>
    <dgm:pt modelId="{A768BFCC-EF65-481E-AF6E-E26235DDEDC9}" type="pres">
      <dgm:prSet presAssocID="{9DC261E7-1DED-4698-8F26-6C01ADA33491}" presName="hierRoot2" presStyleCnt="0">
        <dgm:presLayoutVars>
          <dgm:hierBranch val="init"/>
        </dgm:presLayoutVars>
      </dgm:prSet>
      <dgm:spPr/>
    </dgm:pt>
    <dgm:pt modelId="{44535E48-37AB-4B58-A824-656114DB4A9F}" type="pres">
      <dgm:prSet presAssocID="{9DC261E7-1DED-4698-8F26-6C01ADA33491}" presName="rootComposite" presStyleCnt="0"/>
      <dgm:spPr/>
    </dgm:pt>
    <dgm:pt modelId="{DC2A1F2E-C2D2-4F6D-B3FC-2828391A0D5F}" type="pres">
      <dgm:prSet presAssocID="{9DC261E7-1DED-4698-8F26-6C01ADA33491}" presName="rootText" presStyleLbl="node4" presStyleIdx="4" presStyleCnt="8" custScaleX="95314" custScaleY="61029">
        <dgm:presLayoutVars>
          <dgm:chPref val="3"/>
        </dgm:presLayoutVars>
      </dgm:prSet>
      <dgm:spPr/>
    </dgm:pt>
    <dgm:pt modelId="{5C478B53-B4E2-4C29-9E8C-E22F93C6AF32}" type="pres">
      <dgm:prSet presAssocID="{9DC261E7-1DED-4698-8F26-6C01ADA33491}" presName="rootConnector" presStyleLbl="node4" presStyleIdx="4" presStyleCnt="8"/>
      <dgm:spPr/>
    </dgm:pt>
    <dgm:pt modelId="{458D5864-EEC2-4F2D-BAE2-3F7889E1D891}" type="pres">
      <dgm:prSet presAssocID="{9DC261E7-1DED-4698-8F26-6C01ADA33491}" presName="hierChild4" presStyleCnt="0"/>
      <dgm:spPr/>
    </dgm:pt>
    <dgm:pt modelId="{4A86048A-6006-4808-A638-7598DA90EF53}" type="pres">
      <dgm:prSet presAssocID="{9DC261E7-1DED-4698-8F26-6C01ADA33491}" presName="hierChild5" presStyleCnt="0"/>
      <dgm:spPr/>
    </dgm:pt>
    <dgm:pt modelId="{A11362F8-498C-4B7F-9192-88933932E808}" type="pres">
      <dgm:prSet presAssocID="{48ABF71B-6FAD-4805-8601-212F4E153F34}" presName="Name35" presStyleLbl="parChTrans1D4" presStyleIdx="5" presStyleCnt="8"/>
      <dgm:spPr/>
    </dgm:pt>
    <dgm:pt modelId="{104A152C-1B08-4E97-B9DF-4EF3AEC85A46}" type="pres">
      <dgm:prSet presAssocID="{5C7D34A7-1AC8-4495-8965-A53CB8CC8C84}" presName="hierRoot2" presStyleCnt="0">
        <dgm:presLayoutVars>
          <dgm:hierBranch val="init"/>
        </dgm:presLayoutVars>
      </dgm:prSet>
      <dgm:spPr/>
    </dgm:pt>
    <dgm:pt modelId="{5F79AFB2-9495-4E57-8649-D9D11020DDF2}" type="pres">
      <dgm:prSet presAssocID="{5C7D34A7-1AC8-4495-8965-A53CB8CC8C84}" presName="rootComposite" presStyleCnt="0"/>
      <dgm:spPr/>
    </dgm:pt>
    <dgm:pt modelId="{C035BC5F-DE07-498D-A2FB-0B2C6CB53B5C}" type="pres">
      <dgm:prSet presAssocID="{5C7D34A7-1AC8-4495-8965-A53CB8CC8C84}" presName="rootText" presStyleLbl="node4" presStyleIdx="5" presStyleCnt="8" custScaleX="95314" custScaleY="61029">
        <dgm:presLayoutVars>
          <dgm:chPref val="3"/>
        </dgm:presLayoutVars>
      </dgm:prSet>
      <dgm:spPr/>
    </dgm:pt>
    <dgm:pt modelId="{A1DC5F8E-CE18-4CF7-8929-A7B4AFEEE1C3}" type="pres">
      <dgm:prSet presAssocID="{5C7D34A7-1AC8-4495-8965-A53CB8CC8C84}" presName="rootConnector" presStyleLbl="node4" presStyleIdx="5" presStyleCnt="8"/>
      <dgm:spPr/>
    </dgm:pt>
    <dgm:pt modelId="{FF747FD8-313E-4AEB-9713-73C131D1E822}" type="pres">
      <dgm:prSet presAssocID="{5C7D34A7-1AC8-4495-8965-A53CB8CC8C84}" presName="hierChild4" presStyleCnt="0"/>
      <dgm:spPr/>
    </dgm:pt>
    <dgm:pt modelId="{03AFF9A8-6455-4E4E-9D5D-EEA2C4319CE7}" type="pres">
      <dgm:prSet presAssocID="{5C7D34A7-1AC8-4495-8965-A53CB8CC8C84}" presName="hierChild5" presStyleCnt="0"/>
      <dgm:spPr/>
    </dgm:pt>
    <dgm:pt modelId="{108013D9-998B-470E-8F44-3C3935BA18D1}" type="pres">
      <dgm:prSet presAssocID="{13B95718-7FA1-4D7C-B644-E757FE050EF7}" presName="hierChild5" presStyleCnt="0"/>
      <dgm:spPr/>
    </dgm:pt>
    <dgm:pt modelId="{C2E120A6-FB7E-4895-A7A3-716CCDE09AB1}" type="pres">
      <dgm:prSet presAssocID="{863D5E84-D94E-4D53-9AB2-C9FBC0DDE0E7}" presName="hierChild5" presStyleCnt="0"/>
      <dgm:spPr/>
    </dgm:pt>
    <dgm:pt modelId="{232AE845-D27C-4386-85BD-9EB621298706}" type="pres">
      <dgm:prSet presAssocID="{C7BB423D-8907-4850-8EF9-E7196CEC1036}" presName="Name37" presStyleLbl="parChTrans1D4" presStyleIdx="6" presStyleCnt="8"/>
      <dgm:spPr/>
    </dgm:pt>
    <dgm:pt modelId="{8EFA952B-C0BB-457A-9131-0B47F0123224}" type="pres">
      <dgm:prSet presAssocID="{079784CF-3A58-4B9F-AA56-506D19D06B5B}" presName="hierRoot2" presStyleCnt="0">
        <dgm:presLayoutVars>
          <dgm:hierBranch val="init"/>
        </dgm:presLayoutVars>
      </dgm:prSet>
      <dgm:spPr/>
    </dgm:pt>
    <dgm:pt modelId="{8ABF1FF8-1A6D-4212-AC65-FCDD6106197D}" type="pres">
      <dgm:prSet presAssocID="{079784CF-3A58-4B9F-AA56-506D19D06B5B}" presName="rootComposite" presStyleCnt="0"/>
      <dgm:spPr/>
    </dgm:pt>
    <dgm:pt modelId="{780C14CC-E439-4642-A7A5-8069517B9E2A}" type="pres">
      <dgm:prSet presAssocID="{079784CF-3A58-4B9F-AA56-506D19D06B5B}" presName="rootText" presStyleLbl="node4" presStyleIdx="6" presStyleCnt="8" custScaleX="95314" custScaleY="61029">
        <dgm:presLayoutVars>
          <dgm:chPref val="3"/>
        </dgm:presLayoutVars>
      </dgm:prSet>
      <dgm:spPr/>
    </dgm:pt>
    <dgm:pt modelId="{CF2FF7F9-BCF3-4ADF-AF9F-E3BC05D2D407}" type="pres">
      <dgm:prSet presAssocID="{079784CF-3A58-4B9F-AA56-506D19D06B5B}" presName="rootConnector" presStyleLbl="node4" presStyleIdx="6" presStyleCnt="8"/>
      <dgm:spPr/>
    </dgm:pt>
    <dgm:pt modelId="{06844536-B2AD-4324-AD05-1D7FFE141EBE}" type="pres">
      <dgm:prSet presAssocID="{079784CF-3A58-4B9F-AA56-506D19D06B5B}" presName="hierChild4" presStyleCnt="0"/>
      <dgm:spPr/>
    </dgm:pt>
    <dgm:pt modelId="{2C4528AC-4550-4955-8C7B-18E0DB5600DD}" type="pres">
      <dgm:prSet presAssocID="{079784CF-3A58-4B9F-AA56-506D19D06B5B}" presName="hierChild5" presStyleCnt="0"/>
      <dgm:spPr/>
    </dgm:pt>
    <dgm:pt modelId="{0E40DCB5-16F8-43ED-95FB-9FD81724F96D}" type="pres">
      <dgm:prSet presAssocID="{388E981B-A473-43D6-8D85-6326C3BEA8A9}" presName="hierChild5" presStyleCnt="0"/>
      <dgm:spPr/>
    </dgm:pt>
    <dgm:pt modelId="{F49960C2-0D9C-4A84-B3B4-AC0A4E4DDEEF}" type="pres">
      <dgm:prSet presAssocID="{E9F75D67-5FD3-4073-91A6-5A630A83E109}" presName="hierChild5" presStyleCnt="0"/>
      <dgm:spPr/>
    </dgm:pt>
    <dgm:pt modelId="{D2790FD2-2750-4F27-ADAE-E43707A8589A}" type="pres">
      <dgm:prSet presAssocID="{57F9CDD3-12ED-4351-BC7E-965E21056790}" presName="Name37" presStyleLbl="parChTrans1D2" presStyleIdx="3" presStyleCnt="4"/>
      <dgm:spPr/>
    </dgm:pt>
    <dgm:pt modelId="{19F80617-26C3-4CF0-8F56-5C79C573C3CC}" type="pres">
      <dgm:prSet presAssocID="{01C764A9-88A9-4655-A972-D34209FFED0A}" presName="hierRoot2" presStyleCnt="0">
        <dgm:presLayoutVars>
          <dgm:hierBranch val="init"/>
        </dgm:presLayoutVars>
      </dgm:prSet>
      <dgm:spPr/>
    </dgm:pt>
    <dgm:pt modelId="{E3147B26-712A-4048-BA92-6D562FC15961}" type="pres">
      <dgm:prSet presAssocID="{01C764A9-88A9-4655-A972-D34209FFED0A}" presName="rootComposite" presStyleCnt="0"/>
      <dgm:spPr/>
    </dgm:pt>
    <dgm:pt modelId="{1DF16E22-F90D-480A-9692-3AA53EAEC143}" type="pres">
      <dgm:prSet presAssocID="{01C764A9-88A9-4655-A972-D34209FFED0A}" presName="rootText" presStyleLbl="node2" presStyleIdx="3" presStyleCnt="4" custScaleX="95314" custScaleY="61029" custLinFactNeighborX="-2137" custLinFactNeighborY="2137">
        <dgm:presLayoutVars>
          <dgm:chPref val="3"/>
        </dgm:presLayoutVars>
      </dgm:prSet>
      <dgm:spPr/>
    </dgm:pt>
    <dgm:pt modelId="{6D47F777-C360-4249-A7A7-E953D08523FB}" type="pres">
      <dgm:prSet presAssocID="{01C764A9-88A9-4655-A972-D34209FFED0A}" presName="rootConnector" presStyleLbl="node2" presStyleIdx="3" presStyleCnt="4"/>
      <dgm:spPr/>
    </dgm:pt>
    <dgm:pt modelId="{17A9BB3C-9CB7-4E2B-A14B-9C16D7553CF6}" type="pres">
      <dgm:prSet presAssocID="{01C764A9-88A9-4655-A972-D34209FFED0A}" presName="hierChild4" presStyleCnt="0"/>
      <dgm:spPr/>
    </dgm:pt>
    <dgm:pt modelId="{30405FC6-B547-4EC0-B546-9F0D63438670}" type="pres">
      <dgm:prSet presAssocID="{A1FFB61D-30C3-4C46-BE9F-6DA4B52F56DF}" presName="Name37" presStyleLbl="parChTrans1D3" presStyleIdx="1" presStyleCnt="4"/>
      <dgm:spPr/>
    </dgm:pt>
    <dgm:pt modelId="{4487A36F-9022-49B9-9044-484F4184AF77}" type="pres">
      <dgm:prSet presAssocID="{E5F01642-1A67-42FD-BB8C-C90C89F9BCCB}" presName="hierRoot2" presStyleCnt="0">
        <dgm:presLayoutVars>
          <dgm:hierBranch val="init"/>
        </dgm:presLayoutVars>
      </dgm:prSet>
      <dgm:spPr/>
    </dgm:pt>
    <dgm:pt modelId="{0B0FDA8E-B176-44D9-9FCD-98EE63BE1EBD}" type="pres">
      <dgm:prSet presAssocID="{E5F01642-1A67-42FD-BB8C-C90C89F9BCCB}" presName="rootComposite" presStyleCnt="0"/>
      <dgm:spPr/>
    </dgm:pt>
    <dgm:pt modelId="{2477C34C-0E3C-4424-B70A-3AF357CD7EB9}" type="pres">
      <dgm:prSet presAssocID="{E5F01642-1A67-42FD-BB8C-C90C89F9BCCB}" presName="rootText" presStyleLbl="node3" presStyleIdx="1" presStyleCnt="4" custScaleX="95314" custScaleY="61029">
        <dgm:presLayoutVars>
          <dgm:chPref val="3"/>
        </dgm:presLayoutVars>
      </dgm:prSet>
      <dgm:spPr/>
    </dgm:pt>
    <dgm:pt modelId="{1B54CDF2-55DC-482F-A768-CC78BD254131}" type="pres">
      <dgm:prSet presAssocID="{E5F01642-1A67-42FD-BB8C-C90C89F9BCCB}" presName="rootConnector" presStyleLbl="node3" presStyleIdx="1" presStyleCnt="4"/>
      <dgm:spPr/>
    </dgm:pt>
    <dgm:pt modelId="{DA4E00CB-5187-4DE6-8F1D-1BDC9380F693}" type="pres">
      <dgm:prSet presAssocID="{E5F01642-1A67-42FD-BB8C-C90C89F9BCCB}" presName="hierChild4" presStyleCnt="0"/>
      <dgm:spPr/>
    </dgm:pt>
    <dgm:pt modelId="{38FB5DF8-27CF-4389-BD9E-F9849A3C9E48}" type="pres">
      <dgm:prSet presAssocID="{24B66B26-FD18-40AF-879E-81CFDF7154AF}" presName="Name37" presStyleLbl="parChTrans1D4" presStyleIdx="7" presStyleCnt="8"/>
      <dgm:spPr/>
    </dgm:pt>
    <dgm:pt modelId="{9CC6BF96-B62E-4699-BB85-7D74BBCA94FC}" type="pres">
      <dgm:prSet presAssocID="{251AEFE7-29F2-46A1-9D88-C59D8B0535F8}" presName="hierRoot2" presStyleCnt="0">
        <dgm:presLayoutVars>
          <dgm:hierBranch val="init"/>
        </dgm:presLayoutVars>
      </dgm:prSet>
      <dgm:spPr/>
    </dgm:pt>
    <dgm:pt modelId="{7D720A2E-F9D0-4928-94E9-9AA1BDA6130C}" type="pres">
      <dgm:prSet presAssocID="{251AEFE7-29F2-46A1-9D88-C59D8B0535F8}" presName="rootComposite" presStyleCnt="0"/>
      <dgm:spPr/>
    </dgm:pt>
    <dgm:pt modelId="{D126335F-D843-4B3B-86B9-D0CE1C810EB4}" type="pres">
      <dgm:prSet presAssocID="{251AEFE7-29F2-46A1-9D88-C59D8B0535F8}" presName="rootText" presStyleLbl="node4" presStyleIdx="7" presStyleCnt="8" custScaleY="60154">
        <dgm:presLayoutVars>
          <dgm:chPref val="3"/>
        </dgm:presLayoutVars>
      </dgm:prSet>
      <dgm:spPr/>
    </dgm:pt>
    <dgm:pt modelId="{E44D25E9-42B3-4564-B17C-68C04C34C144}" type="pres">
      <dgm:prSet presAssocID="{251AEFE7-29F2-46A1-9D88-C59D8B0535F8}" presName="rootConnector" presStyleLbl="node4" presStyleIdx="7" presStyleCnt="8"/>
      <dgm:spPr/>
    </dgm:pt>
    <dgm:pt modelId="{772F430A-B416-47C7-9425-4ADB23CC0C1B}" type="pres">
      <dgm:prSet presAssocID="{251AEFE7-29F2-46A1-9D88-C59D8B0535F8}" presName="hierChild4" presStyleCnt="0"/>
      <dgm:spPr/>
    </dgm:pt>
    <dgm:pt modelId="{7D2D146B-67A0-4534-9CEA-7762F370BF04}" type="pres">
      <dgm:prSet presAssocID="{251AEFE7-29F2-46A1-9D88-C59D8B0535F8}" presName="hierChild5" presStyleCnt="0"/>
      <dgm:spPr/>
    </dgm:pt>
    <dgm:pt modelId="{13A232DD-9C25-4411-8C40-5A8BC9D35FEB}" type="pres">
      <dgm:prSet presAssocID="{E5F01642-1A67-42FD-BB8C-C90C89F9BCCB}" presName="hierChild5" presStyleCnt="0"/>
      <dgm:spPr/>
    </dgm:pt>
    <dgm:pt modelId="{56C07640-0316-481B-96DA-4AA80B550C26}" type="pres">
      <dgm:prSet presAssocID="{2103A83F-5133-473A-B734-849238247488}" presName="Name37" presStyleLbl="parChTrans1D3" presStyleIdx="2" presStyleCnt="4"/>
      <dgm:spPr/>
    </dgm:pt>
    <dgm:pt modelId="{716BC13E-5323-412B-9589-E8824DEB58D1}" type="pres">
      <dgm:prSet presAssocID="{26F4F755-10F3-4023-A706-DF71B1A87308}" presName="hierRoot2" presStyleCnt="0">
        <dgm:presLayoutVars>
          <dgm:hierBranch val="init"/>
        </dgm:presLayoutVars>
      </dgm:prSet>
      <dgm:spPr/>
    </dgm:pt>
    <dgm:pt modelId="{55F9191E-372D-4DBA-B2B3-CB89943E0BB7}" type="pres">
      <dgm:prSet presAssocID="{26F4F755-10F3-4023-A706-DF71B1A87308}" presName="rootComposite" presStyleCnt="0"/>
      <dgm:spPr/>
    </dgm:pt>
    <dgm:pt modelId="{F4890984-593B-41C2-9D0E-F1BE86A2E3FD}" type="pres">
      <dgm:prSet presAssocID="{26F4F755-10F3-4023-A706-DF71B1A87308}" presName="rootText" presStyleLbl="node3" presStyleIdx="2" presStyleCnt="4" custScaleX="95314" custScaleY="61029">
        <dgm:presLayoutVars>
          <dgm:chPref val="3"/>
        </dgm:presLayoutVars>
      </dgm:prSet>
      <dgm:spPr/>
    </dgm:pt>
    <dgm:pt modelId="{09F60D85-3B40-431B-8DA7-59960776C5DB}" type="pres">
      <dgm:prSet presAssocID="{26F4F755-10F3-4023-A706-DF71B1A87308}" presName="rootConnector" presStyleLbl="node3" presStyleIdx="2" presStyleCnt="4"/>
      <dgm:spPr/>
    </dgm:pt>
    <dgm:pt modelId="{0F38C6DA-9023-4349-B220-70963B95354B}" type="pres">
      <dgm:prSet presAssocID="{26F4F755-10F3-4023-A706-DF71B1A87308}" presName="hierChild4" presStyleCnt="0"/>
      <dgm:spPr/>
    </dgm:pt>
    <dgm:pt modelId="{906B6CB5-9BCE-4AB8-AC13-E5F35FA1CA7A}" type="pres">
      <dgm:prSet presAssocID="{26F4F755-10F3-4023-A706-DF71B1A87308}" presName="hierChild5" presStyleCnt="0"/>
      <dgm:spPr/>
    </dgm:pt>
    <dgm:pt modelId="{FFA6DFF8-A50E-486B-8260-109844690ECC}" type="pres">
      <dgm:prSet presAssocID="{3DF31E28-B756-4965-B6F0-B08F9F3C54B9}" presName="Name37" presStyleLbl="parChTrans1D3" presStyleIdx="3" presStyleCnt="4"/>
      <dgm:spPr/>
    </dgm:pt>
    <dgm:pt modelId="{FD21D539-5819-4D19-BDB2-565D56C10DFA}" type="pres">
      <dgm:prSet presAssocID="{4F47352A-6F03-489B-9B0E-EBD061C22E2D}" presName="hierRoot2" presStyleCnt="0">
        <dgm:presLayoutVars>
          <dgm:hierBranch val="init"/>
        </dgm:presLayoutVars>
      </dgm:prSet>
      <dgm:spPr/>
    </dgm:pt>
    <dgm:pt modelId="{E9CC050A-3381-4AEA-AA50-2888818C993A}" type="pres">
      <dgm:prSet presAssocID="{4F47352A-6F03-489B-9B0E-EBD061C22E2D}" presName="rootComposite" presStyleCnt="0"/>
      <dgm:spPr/>
    </dgm:pt>
    <dgm:pt modelId="{8ACD67BC-E0E4-4A7F-A290-B158365CC801}" type="pres">
      <dgm:prSet presAssocID="{4F47352A-6F03-489B-9B0E-EBD061C22E2D}" presName="rootText" presStyleLbl="node3" presStyleIdx="3" presStyleCnt="4" custScaleX="95314" custScaleY="61029">
        <dgm:presLayoutVars>
          <dgm:chPref val="3"/>
        </dgm:presLayoutVars>
      </dgm:prSet>
      <dgm:spPr/>
    </dgm:pt>
    <dgm:pt modelId="{BC7BA951-8CF7-4413-8B96-2324B0892641}" type="pres">
      <dgm:prSet presAssocID="{4F47352A-6F03-489B-9B0E-EBD061C22E2D}" presName="rootConnector" presStyleLbl="node3" presStyleIdx="3" presStyleCnt="4"/>
      <dgm:spPr/>
    </dgm:pt>
    <dgm:pt modelId="{36DA00BB-AFC3-4DEA-A757-BD8146239D5D}" type="pres">
      <dgm:prSet presAssocID="{4F47352A-6F03-489B-9B0E-EBD061C22E2D}" presName="hierChild4" presStyleCnt="0"/>
      <dgm:spPr/>
    </dgm:pt>
    <dgm:pt modelId="{88B396F3-4BAD-4D43-A311-05C23C51224C}" type="pres">
      <dgm:prSet presAssocID="{4F47352A-6F03-489B-9B0E-EBD061C22E2D}" presName="hierChild5" presStyleCnt="0"/>
      <dgm:spPr/>
    </dgm:pt>
    <dgm:pt modelId="{ED71DF0E-9E10-4187-9E36-3CD342EAE6A6}" type="pres">
      <dgm:prSet presAssocID="{01C764A9-88A9-4655-A972-D34209FFED0A}" presName="hierChild5" presStyleCnt="0"/>
      <dgm:spPr/>
    </dgm:pt>
    <dgm:pt modelId="{82883AE6-5C89-4627-95DA-CB2E6507B7D8}" type="pres">
      <dgm:prSet presAssocID="{AF85FA4A-4FD0-4302-9DC3-0847D3618555}" presName="hierChild3" presStyleCnt="0"/>
      <dgm:spPr/>
    </dgm:pt>
  </dgm:ptLst>
  <dgm:cxnLst>
    <dgm:cxn modelId="{9D970800-17B4-483F-950E-58ECE69659EC}" srcId="{AF85FA4A-4FD0-4302-9DC3-0847D3618555}" destId="{8518DF29-E268-4B17-AEB4-B10D5367671B}" srcOrd="1" destOrd="0" parTransId="{B2D5B730-6E42-4F6A-890B-B74191670D42}" sibTransId="{9E34BE96-5F9A-46DE-8554-AFC8A4B92920}"/>
    <dgm:cxn modelId="{58225F03-5428-471E-8012-05711E2CEC86}" type="presOf" srcId="{2DE38786-F1B5-451C-8C2A-728B9B426B30}" destId="{8A047929-57DA-4A51-AA48-3A93A7923226}" srcOrd="1" destOrd="0" presId="urn:microsoft.com/office/officeart/2005/8/layout/orgChart1"/>
    <dgm:cxn modelId="{1940860A-5016-47C6-B950-F3EF022D57A9}" type="presOf" srcId="{863D5E84-D94E-4D53-9AB2-C9FBC0DDE0E7}" destId="{B517BF34-E869-48D1-8B3D-4194F9230B07}" srcOrd="1" destOrd="0" presId="urn:microsoft.com/office/officeart/2005/8/layout/orgChart1"/>
    <dgm:cxn modelId="{E5C3650C-41CC-4196-B795-46620EFE7F62}" srcId="{AF85FA4A-4FD0-4302-9DC3-0847D3618555}" destId="{01C764A9-88A9-4655-A972-D34209FFED0A}" srcOrd="3" destOrd="0" parTransId="{57F9CDD3-12ED-4351-BC7E-965E21056790}" sibTransId="{45766174-1918-40FF-ACA1-F31BA04B13B0}"/>
    <dgm:cxn modelId="{B738890F-F2AE-4835-BFBA-D5E9D10BFB8E}" type="presOf" srcId="{8518DF29-E268-4B17-AEB4-B10D5367671B}" destId="{C531E2A3-AE2F-4869-8A9B-1A809EE00684}" srcOrd="0" destOrd="0" presId="urn:microsoft.com/office/officeart/2005/8/layout/orgChart1"/>
    <dgm:cxn modelId="{B36B6B14-D20B-4D7F-8D3F-F11092EE6AF0}" type="presOf" srcId="{D8003EF9-5D9F-4612-A55A-E75C7D2AA858}" destId="{F2ED3A7F-BDC9-45B4-A65C-98CDC7CC78D6}" srcOrd="0" destOrd="0" presId="urn:microsoft.com/office/officeart/2005/8/layout/orgChart1"/>
    <dgm:cxn modelId="{99EB171C-CA29-4E35-B75D-94EE89CAD05E}" type="presOf" srcId="{029CFB9D-CEF9-46A3-BE48-DBB552538E02}" destId="{1CD87A99-5385-41A9-B069-E8DA60565996}" srcOrd="0" destOrd="0" presId="urn:microsoft.com/office/officeart/2005/8/layout/orgChart1"/>
    <dgm:cxn modelId="{A1536825-1BEF-4C23-AD91-FFE7DE4E313D}" type="presOf" srcId="{2DE38786-F1B5-451C-8C2A-728B9B426B30}" destId="{761A973D-08A0-4FCB-BA64-8FAD94B60C95}" srcOrd="0" destOrd="0" presId="urn:microsoft.com/office/officeart/2005/8/layout/orgChart1"/>
    <dgm:cxn modelId="{58809727-7DF3-421C-A040-D66818191303}" srcId="{E5F01642-1A67-42FD-BB8C-C90C89F9BCCB}" destId="{251AEFE7-29F2-46A1-9D88-C59D8B0535F8}" srcOrd="0" destOrd="0" parTransId="{24B66B26-FD18-40AF-879E-81CFDF7154AF}" sibTransId="{BAC3FA2E-B5B9-4C39-AE51-712E42A7964F}"/>
    <dgm:cxn modelId="{9FD61C2C-03E2-4E09-9D1D-6511CFAA3BAC}" type="presOf" srcId="{5C7D34A7-1AC8-4495-8965-A53CB8CC8C84}" destId="{A1DC5F8E-CE18-4CF7-8929-A7B4AFEEE1C3}" srcOrd="1" destOrd="0" presId="urn:microsoft.com/office/officeart/2005/8/layout/orgChart1"/>
    <dgm:cxn modelId="{2EC2AD2C-2154-4816-85B4-370AFDC861E0}" type="presOf" srcId="{13B95718-7FA1-4D7C-B644-E757FE050EF7}" destId="{E1524C93-3385-4C38-8460-30C362719A12}" srcOrd="1" destOrd="0" presId="urn:microsoft.com/office/officeart/2005/8/layout/orgChart1"/>
    <dgm:cxn modelId="{C71B2336-A1F1-4483-8058-B79682CA39F6}" type="presOf" srcId="{079784CF-3A58-4B9F-AA56-506D19D06B5B}" destId="{780C14CC-E439-4642-A7A5-8069517B9E2A}" srcOrd="0" destOrd="0" presId="urn:microsoft.com/office/officeart/2005/8/layout/orgChart1"/>
    <dgm:cxn modelId="{4849F63B-DFC4-441E-B8FF-F52CB8F84C49}" type="presOf" srcId="{C7BB423D-8907-4850-8EF9-E7196CEC1036}" destId="{232AE845-D27C-4386-85BD-9EB621298706}" srcOrd="0" destOrd="0" presId="urn:microsoft.com/office/officeart/2005/8/layout/orgChart1"/>
    <dgm:cxn modelId="{A60CB65D-318E-4FA5-837B-C1DBD21D414E}" type="presOf" srcId="{48ABF71B-6FAD-4805-8601-212F4E153F34}" destId="{A11362F8-498C-4B7F-9192-88933932E808}" srcOrd="0" destOrd="0" presId="urn:microsoft.com/office/officeart/2005/8/layout/orgChart1"/>
    <dgm:cxn modelId="{3470EC5E-6E87-41B1-AA07-A92BE32E1F08}" type="presOf" srcId="{26F4F755-10F3-4023-A706-DF71B1A87308}" destId="{F4890984-593B-41C2-9D0E-F1BE86A2E3FD}" srcOrd="0" destOrd="0" presId="urn:microsoft.com/office/officeart/2005/8/layout/orgChart1"/>
    <dgm:cxn modelId="{4BB9AE44-7FF1-4C08-931C-9B601BD68D71}" type="presOf" srcId="{251AEFE7-29F2-46A1-9D88-C59D8B0535F8}" destId="{D126335F-D843-4B3B-86B9-D0CE1C810EB4}" srcOrd="0" destOrd="0" presId="urn:microsoft.com/office/officeart/2005/8/layout/orgChart1"/>
    <dgm:cxn modelId="{D1630467-67D2-44FC-B499-C4B74FF8F5DE}" type="presOf" srcId="{B2D5B730-6E42-4F6A-890B-B74191670D42}" destId="{F050F701-4777-4426-A664-1067999680B8}" srcOrd="0" destOrd="0" presId="urn:microsoft.com/office/officeart/2005/8/layout/orgChart1"/>
    <dgm:cxn modelId="{F7341168-8164-439A-AC6C-06BF4F1CE040}" type="presOf" srcId="{9DC261E7-1DED-4698-8F26-6C01ADA33491}" destId="{DC2A1F2E-C2D2-4F6D-B3FC-2828391A0D5F}" srcOrd="0" destOrd="0" presId="urn:microsoft.com/office/officeart/2005/8/layout/orgChart1"/>
    <dgm:cxn modelId="{28FC7F48-06A5-4667-8A39-CA1EC865493D}" type="presOf" srcId="{079784CF-3A58-4B9F-AA56-506D19D06B5B}" destId="{CF2FF7F9-BCF3-4ADF-AF9F-E3BC05D2D407}" srcOrd="1" destOrd="0" presId="urn:microsoft.com/office/officeart/2005/8/layout/orgChart1"/>
    <dgm:cxn modelId="{03E5376E-5A19-4E8F-85C3-026419C8821E}" type="presOf" srcId="{57F9CDD3-12ED-4351-BC7E-965E21056790}" destId="{D2790FD2-2750-4F27-ADAE-E43707A8589A}" srcOrd="0" destOrd="0" presId="urn:microsoft.com/office/officeart/2005/8/layout/orgChart1"/>
    <dgm:cxn modelId="{6BBF364F-01C3-4C05-B643-037A9DB84D50}" type="presOf" srcId="{26F4F755-10F3-4023-A706-DF71B1A87308}" destId="{09F60D85-3B40-431B-8DA7-59960776C5DB}" srcOrd="1" destOrd="0" presId="urn:microsoft.com/office/officeart/2005/8/layout/orgChart1"/>
    <dgm:cxn modelId="{366C744F-47C2-4B2B-9F74-13B7AA80E312}" type="presOf" srcId="{A1FFB61D-30C3-4C46-BE9F-6DA4B52F56DF}" destId="{30405FC6-B547-4EC0-B546-9F0D63438670}" srcOrd="0" destOrd="0" presId="urn:microsoft.com/office/officeart/2005/8/layout/orgChart1"/>
    <dgm:cxn modelId="{F97BF153-7315-4EEF-A84B-3AA63659F562}" type="presOf" srcId="{E9F75D67-5FD3-4073-91A6-5A630A83E109}" destId="{C6956CEB-DEF2-4C94-B2E7-C5852496F877}" srcOrd="1" destOrd="0" presId="urn:microsoft.com/office/officeart/2005/8/layout/orgChart1"/>
    <dgm:cxn modelId="{5BADBC59-CAE0-47BE-BBC9-AE655BC2B55B}" type="presOf" srcId="{9888D7B0-F216-459F-9505-D1D74B71CBA6}" destId="{AB064344-2A71-4743-AD96-8EF513AB16E6}" srcOrd="1" destOrd="0" presId="urn:microsoft.com/office/officeart/2005/8/layout/orgChart1"/>
    <dgm:cxn modelId="{1C0A137A-CAC7-4DF9-BFAA-73535BFE9145}" type="presOf" srcId="{01C764A9-88A9-4655-A972-D34209FFED0A}" destId="{6D47F777-C360-4249-A7A7-E953D08523FB}" srcOrd="1" destOrd="0" presId="urn:microsoft.com/office/officeart/2005/8/layout/orgChart1"/>
    <dgm:cxn modelId="{D4FC505A-9221-4629-AA01-41180D3E3639}" type="presOf" srcId="{EDD9849B-333A-42C5-AF7A-9E88CDC9075A}" destId="{6600DAEE-F1CA-47E8-90B5-37C825BAE01B}" srcOrd="0" destOrd="0" presId="urn:microsoft.com/office/officeart/2005/8/layout/orgChart1"/>
    <dgm:cxn modelId="{F7EE867B-2343-42AA-8988-BD87C8514563}" type="presOf" srcId="{9DC261E7-1DED-4698-8F26-6C01ADA33491}" destId="{5C478B53-B4E2-4C29-9E8C-E22F93C6AF32}" srcOrd="1" destOrd="0" presId="urn:microsoft.com/office/officeart/2005/8/layout/orgChart1"/>
    <dgm:cxn modelId="{BD635B7F-8330-43CB-84AA-B6E33D591778}" srcId="{388E981B-A473-43D6-8D85-6326C3BEA8A9}" destId="{2DE38786-F1B5-451C-8C2A-728B9B426B30}" srcOrd="0" destOrd="0" parTransId="{222AB457-A735-4744-AB07-DFAE0D9E1AE9}" sibTransId="{7CC21AE6-DCE2-4FE7-A864-30341B58C03C}"/>
    <dgm:cxn modelId="{313CEE81-0983-4029-986F-D53AA8F59542}" type="presOf" srcId="{3DF31E28-B756-4965-B6F0-B08F9F3C54B9}" destId="{FFA6DFF8-A50E-486B-8260-109844690ECC}" srcOrd="0" destOrd="0" presId="urn:microsoft.com/office/officeart/2005/8/layout/orgChart1"/>
    <dgm:cxn modelId="{2A7AFB83-E047-4905-ABFB-389F5CE02DD4}" srcId="{863D5E84-D94E-4D53-9AB2-C9FBC0DDE0E7}" destId="{13B95718-7FA1-4D7C-B644-E757FE050EF7}" srcOrd="0" destOrd="0" parTransId="{7B08CD7A-859B-4CEF-B095-A6285174A16A}" sibTransId="{7C0DBE1E-8542-4196-8EB5-644F744EE41F}"/>
    <dgm:cxn modelId="{A6028A84-4DE9-4CD0-ABCD-60920D5C2936}" type="presOf" srcId="{5C7D34A7-1AC8-4495-8965-A53CB8CC8C84}" destId="{C035BC5F-DE07-498D-A2FB-0B2C6CB53B5C}" srcOrd="0" destOrd="0" presId="urn:microsoft.com/office/officeart/2005/8/layout/orgChart1"/>
    <dgm:cxn modelId="{F1579F87-F526-45AF-82E3-4CAB0729853C}" type="presOf" srcId="{AF85FA4A-4FD0-4302-9DC3-0847D3618555}" destId="{B2BE3EC8-3324-43EA-B8D7-796B52893122}" srcOrd="0" destOrd="0" presId="urn:microsoft.com/office/officeart/2005/8/layout/orgChart1"/>
    <dgm:cxn modelId="{9028A887-AA9C-4A12-9993-2ED1E9CB9006}" type="presOf" srcId="{7B08CD7A-859B-4CEF-B095-A6285174A16A}" destId="{8D16020E-2F33-40BC-AF2C-94CA35B3DFB9}" srcOrd="0" destOrd="0" presId="urn:microsoft.com/office/officeart/2005/8/layout/orgChart1"/>
    <dgm:cxn modelId="{FEB72F8A-17D8-4E38-8BC2-21BC71E23C55}" type="presOf" srcId="{87BE60F3-B33A-4E08-A312-C26DA1ED27A6}" destId="{CC5B446D-D37C-41EF-A493-05F0830EF276}" srcOrd="0" destOrd="0" presId="urn:microsoft.com/office/officeart/2005/8/layout/orgChart1"/>
    <dgm:cxn modelId="{AFA9C78E-EE30-48C7-933F-60CFF9617FC9}" srcId="{13B95718-7FA1-4D7C-B644-E757FE050EF7}" destId="{9888D7B0-F216-459F-9505-D1D74B71CBA6}" srcOrd="0" destOrd="0" parTransId="{029CFB9D-CEF9-46A3-BE48-DBB552538E02}" sibTransId="{8107270A-B708-453A-BA36-72EAC99C528E}"/>
    <dgm:cxn modelId="{2E2F8D93-2CCD-458D-8E55-63A4E760DD40}" srcId="{EDD9849B-333A-42C5-AF7A-9E88CDC9075A}" destId="{AF85FA4A-4FD0-4302-9DC3-0847D3618555}" srcOrd="0" destOrd="0" parTransId="{47763117-6F70-408C-ADA1-67182D39B920}" sibTransId="{987E47FD-D5E9-4175-A28D-52D526E32B98}"/>
    <dgm:cxn modelId="{483C7397-5A5B-4863-93D7-0A626BE4FCEB}" type="presOf" srcId="{9E4CE40F-4405-4EB9-86D0-F684B960D38F}" destId="{EF1B36B6-AE89-4854-AB4F-5607D63391AA}" srcOrd="0" destOrd="0" presId="urn:microsoft.com/office/officeart/2005/8/layout/orgChart1"/>
    <dgm:cxn modelId="{AA8D8198-F5E1-4D65-A900-A39742C483A2}" type="presOf" srcId="{87BE60F3-B33A-4E08-A312-C26DA1ED27A6}" destId="{CA07D46E-07C9-45A4-BF79-9B36572E31F6}" srcOrd="1" destOrd="0" presId="urn:microsoft.com/office/officeart/2005/8/layout/orgChart1"/>
    <dgm:cxn modelId="{3C055B9B-56B0-432A-8A9B-05B0959C250C}" srcId="{01C764A9-88A9-4655-A972-D34209FFED0A}" destId="{4F47352A-6F03-489B-9B0E-EBD061C22E2D}" srcOrd="2" destOrd="0" parTransId="{3DF31E28-B756-4965-B6F0-B08F9F3C54B9}" sibTransId="{5FD4FB42-F3DD-4C94-B402-6A9D3818F303}"/>
    <dgm:cxn modelId="{E88D4B9C-4FCB-408F-94FB-E0942D717FF4}" type="presOf" srcId="{01C764A9-88A9-4655-A972-D34209FFED0A}" destId="{1DF16E22-F90D-480A-9692-3AA53EAEC143}" srcOrd="0" destOrd="0" presId="urn:microsoft.com/office/officeart/2005/8/layout/orgChart1"/>
    <dgm:cxn modelId="{8922A1A2-CF0A-438A-B3C8-6A85E80EF905}" type="presOf" srcId="{251AEFE7-29F2-46A1-9D88-C59D8B0535F8}" destId="{E44D25E9-42B3-4564-B17C-68C04C34C144}" srcOrd="1" destOrd="0" presId="urn:microsoft.com/office/officeart/2005/8/layout/orgChart1"/>
    <dgm:cxn modelId="{C66904A7-E0EF-4179-A8AD-1E554368FDD6}" type="presOf" srcId="{AF85FA4A-4FD0-4302-9DC3-0847D3618555}" destId="{79BE84F6-C332-4D15-89C0-DDFC29B12BAF}" srcOrd="1" destOrd="0" presId="urn:microsoft.com/office/officeart/2005/8/layout/orgChart1"/>
    <dgm:cxn modelId="{41196CA7-0493-42BD-BB78-6F9A28AB2196}" type="presOf" srcId="{4F47352A-6F03-489B-9B0E-EBD061C22E2D}" destId="{8ACD67BC-E0E4-4A7F-A290-B158365CC801}" srcOrd="0" destOrd="0" presId="urn:microsoft.com/office/officeart/2005/8/layout/orgChart1"/>
    <dgm:cxn modelId="{4DA435B0-66FB-490A-859A-49ECC9BCBBC6}" type="presOf" srcId="{E5F01642-1A67-42FD-BB8C-C90C89F9BCCB}" destId="{2477C34C-0E3C-4424-B70A-3AF357CD7EB9}" srcOrd="0" destOrd="0" presId="urn:microsoft.com/office/officeart/2005/8/layout/orgChart1"/>
    <dgm:cxn modelId="{32D763B1-1141-43FB-9EF7-6508F22268E7}" type="presOf" srcId="{4F47352A-6F03-489B-9B0E-EBD061C22E2D}" destId="{BC7BA951-8CF7-4413-8B96-2324B0892641}" srcOrd="1" destOrd="0" presId="urn:microsoft.com/office/officeart/2005/8/layout/orgChart1"/>
    <dgm:cxn modelId="{8EFC45B2-0B1D-4C3A-9E5D-203358F3CC5A}" srcId="{388E981B-A473-43D6-8D85-6326C3BEA8A9}" destId="{863D5E84-D94E-4D53-9AB2-C9FBC0DDE0E7}" srcOrd="1" destOrd="0" parTransId="{D8003EF9-5D9F-4612-A55A-E75C7D2AA858}" sibTransId="{445558F8-C7C1-4BC5-A1C7-232A1EBF0D88}"/>
    <dgm:cxn modelId="{07C8CAB4-8A65-4808-B34C-3E00D884DFD7}" srcId="{13B95718-7FA1-4D7C-B644-E757FE050EF7}" destId="{9DC261E7-1DED-4698-8F26-6C01ADA33491}" srcOrd="1" destOrd="0" parTransId="{DC45A04A-26DA-4053-9E06-AA21691F4A2F}" sibTransId="{5393BFCA-CF70-4DF8-8008-7E91C4296080}"/>
    <dgm:cxn modelId="{2C9842B8-5E22-403F-90FE-C9333D36DD67}" srcId="{388E981B-A473-43D6-8D85-6326C3BEA8A9}" destId="{079784CF-3A58-4B9F-AA56-506D19D06B5B}" srcOrd="2" destOrd="0" parTransId="{C7BB423D-8907-4850-8EF9-E7196CEC1036}" sibTransId="{8472F82F-2D74-4A4B-8924-8137917C4D56}"/>
    <dgm:cxn modelId="{B7DE39B9-12A9-4C77-A614-837A38EE4DE0}" srcId="{01C764A9-88A9-4655-A972-D34209FFED0A}" destId="{26F4F755-10F3-4023-A706-DF71B1A87308}" srcOrd="1" destOrd="0" parTransId="{2103A83F-5133-473A-B734-849238247488}" sibTransId="{7F118A7E-2655-44D6-9989-115299E9D45F}"/>
    <dgm:cxn modelId="{9EC796BF-0A7A-48C2-8995-37D74B60966B}" srcId="{E9F75D67-5FD3-4073-91A6-5A630A83E109}" destId="{388E981B-A473-43D6-8D85-6326C3BEA8A9}" srcOrd="0" destOrd="0" parTransId="{02994E7F-F308-4CC3-8BFC-C49932E281E3}" sibTransId="{FF9FB527-56AF-4FBD-BF19-8718FEF2192C}"/>
    <dgm:cxn modelId="{F2DD58C4-5778-461D-962F-9C7D0CF98D0A}" type="presOf" srcId="{9888D7B0-F216-459F-9505-D1D74B71CBA6}" destId="{7B7C5741-8E94-4CD6-A0C5-A8F58DC2E22C}" srcOrd="0" destOrd="0" presId="urn:microsoft.com/office/officeart/2005/8/layout/orgChart1"/>
    <dgm:cxn modelId="{C58694C8-1F6F-439F-A4AA-BEE95A2B8E5B}" type="presOf" srcId="{388E981B-A473-43D6-8D85-6326C3BEA8A9}" destId="{767D7A86-D95E-4AB6-A812-664A037043B6}" srcOrd="0" destOrd="0" presId="urn:microsoft.com/office/officeart/2005/8/layout/orgChart1"/>
    <dgm:cxn modelId="{5EE93FCB-B598-48DA-835F-E882C35BA7FA}" type="presOf" srcId="{E9F75D67-5FD3-4073-91A6-5A630A83E109}" destId="{BD2936FF-4B28-4A5F-84AD-E3386BDC1DEA}" srcOrd="0" destOrd="0" presId="urn:microsoft.com/office/officeart/2005/8/layout/orgChart1"/>
    <dgm:cxn modelId="{26870DCE-EC28-473D-93FB-84CDC05CFD3E}" type="presOf" srcId="{13B95718-7FA1-4D7C-B644-E757FE050EF7}" destId="{90119492-4379-4B9E-A340-7AF13DBEC56B}" srcOrd="0" destOrd="0" presId="urn:microsoft.com/office/officeart/2005/8/layout/orgChart1"/>
    <dgm:cxn modelId="{AA578ECF-6B63-420E-93BA-E928473FF17B}" type="presOf" srcId="{24B66B26-FD18-40AF-879E-81CFDF7154AF}" destId="{38FB5DF8-27CF-4389-BD9E-F9849A3C9E48}" srcOrd="0" destOrd="0" presId="urn:microsoft.com/office/officeart/2005/8/layout/orgChart1"/>
    <dgm:cxn modelId="{5F3C64D4-5866-4B30-89A9-CFA65AB50339}" type="presOf" srcId="{DC45A04A-26DA-4053-9E06-AA21691F4A2F}" destId="{1562EF09-8450-4FD7-9DB2-8195342075E6}" srcOrd="0" destOrd="0" presId="urn:microsoft.com/office/officeart/2005/8/layout/orgChart1"/>
    <dgm:cxn modelId="{B9B7C0D9-7675-4D0B-9A49-46313420387B}" srcId="{01C764A9-88A9-4655-A972-D34209FFED0A}" destId="{E5F01642-1A67-42FD-BB8C-C90C89F9BCCB}" srcOrd="0" destOrd="0" parTransId="{A1FFB61D-30C3-4C46-BE9F-6DA4B52F56DF}" sibTransId="{840BB511-FC88-4DCB-945D-5D122601879E}"/>
    <dgm:cxn modelId="{276856DA-B5F9-4280-9BD3-65844AA114AE}" srcId="{AF85FA4A-4FD0-4302-9DC3-0847D3618555}" destId="{87BE60F3-B33A-4E08-A312-C26DA1ED27A6}" srcOrd="0" destOrd="0" parTransId="{9E4CE40F-4405-4EB9-86D0-F684B960D38F}" sibTransId="{B4A080A0-4619-4AFB-92ED-32A029AB34DA}"/>
    <dgm:cxn modelId="{E4A188DD-5464-4551-9D88-4F28AC02780D}" type="presOf" srcId="{2103A83F-5133-473A-B734-849238247488}" destId="{56C07640-0316-481B-96DA-4AA80B550C26}" srcOrd="0" destOrd="0" presId="urn:microsoft.com/office/officeart/2005/8/layout/orgChart1"/>
    <dgm:cxn modelId="{78C5A7DD-BF22-4954-A5D5-02B13031C294}" type="presOf" srcId="{E5F01642-1A67-42FD-BB8C-C90C89F9BCCB}" destId="{1B54CDF2-55DC-482F-A768-CC78BD254131}" srcOrd="1" destOrd="0" presId="urn:microsoft.com/office/officeart/2005/8/layout/orgChart1"/>
    <dgm:cxn modelId="{88962AE2-21F1-4CD3-A876-70047517136E}" srcId="{AF85FA4A-4FD0-4302-9DC3-0847D3618555}" destId="{E9F75D67-5FD3-4073-91A6-5A630A83E109}" srcOrd="2" destOrd="0" parTransId="{CC40E4EF-AB9E-4625-8020-E7313F6789BE}" sibTransId="{5B200E69-C415-40AC-88CB-6E55A7D38372}"/>
    <dgm:cxn modelId="{99A439E7-C25F-4F3B-ACAB-D6800D9485B5}" type="presOf" srcId="{222AB457-A735-4744-AB07-DFAE0D9E1AE9}" destId="{224A3399-72D2-4E53-A64F-DF3B1CF60596}" srcOrd="0" destOrd="0" presId="urn:microsoft.com/office/officeart/2005/8/layout/orgChart1"/>
    <dgm:cxn modelId="{1F1E4FE8-5F6C-4C59-8012-E680BDC6F9D2}" type="presOf" srcId="{8518DF29-E268-4B17-AEB4-B10D5367671B}" destId="{E858461D-83E6-4E5B-B1F7-EB4A3D85C8E8}" srcOrd="1" destOrd="0" presId="urn:microsoft.com/office/officeart/2005/8/layout/orgChart1"/>
    <dgm:cxn modelId="{3D8FA0EC-FBBA-4056-9D3F-11BE52691FF1}" srcId="{13B95718-7FA1-4D7C-B644-E757FE050EF7}" destId="{5C7D34A7-1AC8-4495-8965-A53CB8CC8C84}" srcOrd="2" destOrd="0" parTransId="{48ABF71B-6FAD-4805-8601-212F4E153F34}" sibTransId="{60958ABD-D04E-457B-96A1-E4E1E829D83D}"/>
    <dgm:cxn modelId="{2301C3EC-A613-4655-8842-B4C3E1F547AE}" type="presOf" srcId="{388E981B-A473-43D6-8D85-6326C3BEA8A9}" destId="{D356E76F-E1AC-44E1-94F9-5F2D51D0ECFE}" srcOrd="1" destOrd="0" presId="urn:microsoft.com/office/officeart/2005/8/layout/orgChart1"/>
    <dgm:cxn modelId="{A75E52EE-1D88-4CB4-98BE-B933FC5198F1}" type="presOf" srcId="{863D5E84-D94E-4D53-9AB2-C9FBC0DDE0E7}" destId="{39EE4533-8C71-40BE-9A02-51685BCEB75F}" srcOrd="0" destOrd="0" presId="urn:microsoft.com/office/officeart/2005/8/layout/orgChart1"/>
    <dgm:cxn modelId="{E1C1D1EF-13F2-498C-A469-965B1D829DD5}" type="presOf" srcId="{02994E7F-F308-4CC3-8BFC-C49932E281E3}" destId="{52E5AA4A-3769-45F2-9FD6-F7E532242856}" srcOrd="0" destOrd="0" presId="urn:microsoft.com/office/officeart/2005/8/layout/orgChart1"/>
    <dgm:cxn modelId="{B1DE86FA-2E27-441A-A1C5-3011BB44B0BE}" type="presOf" srcId="{CC40E4EF-AB9E-4625-8020-E7313F6789BE}" destId="{04FDA189-1F55-4110-ADD4-B7880E65234B}" srcOrd="0" destOrd="0" presId="urn:microsoft.com/office/officeart/2005/8/layout/orgChart1"/>
    <dgm:cxn modelId="{7710DFA5-F47C-4908-B3CA-D4A7ABAB98C9}" type="presParOf" srcId="{6600DAEE-F1CA-47E8-90B5-37C825BAE01B}" destId="{995B8A7A-1B49-4B0B-AD6B-5854E7F70FF7}" srcOrd="0" destOrd="0" presId="urn:microsoft.com/office/officeart/2005/8/layout/orgChart1"/>
    <dgm:cxn modelId="{3813A984-C4C5-4946-8F5D-081D965BD858}" type="presParOf" srcId="{995B8A7A-1B49-4B0B-AD6B-5854E7F70FF7}" destId="{5B7DDF95-E0BC-41B1-8D65-E63F0FC86F96}" srcOrd="0" destOrd="0" presId="urn:microsoft.com/office/officeart/2005/8/layout/orgChart1"/>
    <dgm:cxn modelId="{980B9691-6470-4776-8295-D0514B462F6F}" type="presParOf" srcId="{5B7DDF95-E0BC-41B1-8D65-E63F0FC86F96}" destId="{B2BE3EC8-3324-43EA-B8D7-796B52893122}" srcOrd="0" destOrd="0" presId="urn:microsoft.com/office/officeart/2005/8/layout/orgChart1"/>
    <dgm:cxn modelId="{64C5A64D-F3EA-48DF-BA5F-E51856E6F195}" type="presParOf" srcId="{5B7DDF95-E0BC-41B1-8D65-E63F0FC86F96}" destId="{79BE84F6-C332-4D15-89C0-DDFC29B12BAF}" srcOrd="1" destOrd="0" presId="urn:microsoft.com/office/officeart/2005/8/layout/orgChart1"/>
    <dgm:cxn modelId="{5AF024C1-085D-4156-952A-E39F1BF17EA3}" type="presParOf" srcId="{995B8A7A-1B49-4B0B-AD6B-5854E7F70FF7}" destId="{EAC894A6-B5CA-463E-87B3-645C4ADC7BBB}" srcOrd="1" destOrd="0" presId="urn:microsoft.com/office/officeart/2005/8/layout/orgChart1"/>
    <dgm:cxn modelId="{3F74B219-AEB6-4668-A968-ECE55E6FC24F}" type="presParOf" srcId="{EAC894A6-B5CA-463E-87B3-645C4ADC7BBB}" destId="{EF1B36B6-AE89-4854-AB4F-5607D63391AA}" srcOrd="0" destOrd="0" presId="urn:microsoft.com/office/officeart/2005/8/layout/orgChart1"/>
    <dgm:cxn modelId="{FDFFA153-8955-40C4-BCC3-913E16ADA71F}" type="presParOf" srcId="{EAC894A6-B5CA-463E-87B3-645C4ADC7BBB}" destId="{26111165-961A-49F6-9169-5D25476F8997}" srcOrd="1" destOrd="0" presId="urn:microsoft.com/office/officeart/2005/8/layout/orgChart1"/>
    <dgm:cxn modelId="{015DF7E6-FBB5-4FD7-B57D-F63DB583F5FC}" type="presParOf" srcId="{26111165-961A-49F6-9169-5D25476F8997}" destId="{3BE80A75-0DD5-4502-94A0-835AA444589F}" srcOrd="0" destOrd="0" presId="urn:microsoft.com/office/officeart/2005/8/layout/orgChart1"/>
    <dgm:cxn modelId="{12B3A33F-431E-42C7-B3BE-0545B552D5F3}" type="presParOf" srcId="{3BE80A75-0DD5-4502-94A0-835AA444589F}" destId="{CC5B446D-D37C-41EF-A493-05F0830EF276}" srcOrd="0" destOrd="0" presId="urn:microsoft.com/office/officeart/2005/8/layout/orgChart1"/>
    <dgm:cxn modelId="{258C16CE-64D2-4377-88D8-B4B71E4F025E}" type="presParOf" srcId="{3BE80A75-0DD5-4502-94A0-835AA444589F}" destId="{CA07D46E-07C9-45A4-BF79-9B36572E31F6}" srcOrd="1" destOrd="0" presId="urn:microsoft.com/office/officeart/2005/8/layout/orgChart1"/>
    <dgm:cxn modelId="{8F365D7A-7FB5-4936-812F-3EDB6E41407A}" type="presParOf" srcId="{26111165-961A-49F6-9169-5D25476F8997}" destId="{D716784A-A6B4-42ED-A1B6-073B0CF9A97C}" srcOrd="1" destOrd="0" presId="urn:microsoft.com/office/officeart/2005/8/layout/orgChart1"/>
    <dgm:cxn modelId="{F900CBA0-3192-4CDD-AB8B-3C6EB61F7B04}" type="presParOf" srcId="{26111165-961A-49F6-9169-5D25476F8997}" destId="{8322C573-A089-437F-8CC5-372237E59F4A}" srcOrd="2" destOrd="0" presId="urn:microsoft.com/office/officeart/2005/8/layout/orgChart1"/>
    <dgm:cxn modelId="{A621926F-6406-491D-A60B-F47420D276E2}" type="presParOf" srcId="{EAC894A6-B5CA-463E-87B3-645C4ADC7BBB}" destId="{F050F701-4777-4426-A664-1067999680B8}" srcOrd="2" destOrd="0" presId="urn:microsoft.com/office/officeart/2005/8/layout/orgChart1"/>
    <dgm:cxn modelId="{12B99C52-375E-4E20-B0C9-B8310018324C}" type="presParOf" srcId="{EAC894A6-B5CA-463E-87B3-645C4ADC7BBB}" destId="{DC400DE4-3F8A-436F-BA19-523BC368CCD7}" srcOrd="3" destOrd="0" presId="urn:microsoft.com/office/officeart/2005/8/layout/orgChart1"/>
    <dgm:cxn modelId="{367B22B7-E1EC-4084-95FA-68E219244884}" type="presParOf" srcId="{DC400DE4-3F8A-436F-BA19-523BC368CCD7}" destId="{F4201050-E72D-403C-81A3-311D78A2A660}" srcOrd="0" destOrd="0" presId="urn:microsoft.com/office/officeart/2005/8/layout/orgChart1"/>
    <dgm:cxn modelId="{F5A0A2F6-864A-43EB-BA31-541928F491AC}" type="presParOf" srcId="{F4201050-E72D-403C-81A3-311D78A2A660}" destId="{C531E2A3-AE2F-4869-8A9B-1A809EE00684}" srcOrd="0" destOrd="0" presId="urn:microsoft.com/office/officeart/2005/8/layout/orgChart1"/>
    <dgm:cxn modelId="{E4B35747-ADF4-4E3C-8C85-478942145BBD}" type="presParOf" srcId="{F4201050-E72D-403C-81A3-311D78A2A660}" destId="{E858461D-83E6-4E5B-B1F7-EB4A3D85C8E8}" srcOrd="1" destOrd="0" presId="urn:microsoft.com/office/officeart/2005/8/layout/orgChart1"/>
    <dgm:cxn modelId="{F941F487-71E0-408D-81BD-0442509FFE44}" type="presParOf" srcId="{DC400DE4-3F8A-436F-BA19-523BC368CCD7}" destId="{9542FD72-CDA4-4DF8-A879-CB22DAA62201}" srcOrd="1" destOrd="0" presId="urn:microsoft.com/office/officeart/2005/8/layout/orgChart1"/>
    <dgm:cxn modelId="{7B34AD98-DA09-4A0F-A149-6E0959979D74}" type="presParOf" srcId="{DC400DE4-3F8A-436F-BA19-523BC368CCD7}" destId="{D4ED4E91-440B-4A1D-81CB-8A650560B927}" srcOrd="2" destOrd="0" presId="urn:microsoft.com/office/officeart/2005/8/layout/orgChart1"/>
    <dgm:cxn modelId="{8575DEEF-7FDA-40EB-85AB-64FEA5EA7E00}" type="presParOf" srcId="{EAC894A6-B5CA-463E-87B3-645C4ADC7BBB}" destId="{04FDA189-1F55-4110-ADD4-B7880E65234B}" srcOrd="4" destOrd="0" presId="urn:microsoft.com/office/officeart/2005/8/layout/orgChart1"/>
    <dgm:cxn modelId="{67EB49BB-340D-4FDA-9591-2B12B2DDE92D}" type="presParOf" srcId="{EAC894A6-B5CA-463E-87B3-645C4ADC7BBB}" destId="{36C58A94-0920-4E2F-90DB-966E0D2F4B1B}" srcOrd="5" destOrd="0" presId="urn:microsoft.com/office/officeart/2005/8/layout/orgChart1"/>
    <dgm:cxn modelId="{9A99517C-965D-4D7D-A210-7963F435C03E}" type="presParOf" srcId="{36C58A94-0920-4E2F-90DB-966E0D2F4B1B}" destId="{D6A5D5D7-9409-44DD-B5F8-84EC03D58754}" srcOrd="0" destOrd="0" presId="urn:microsoft.com/office/officeart/2005/8/layout/orgChart1"/>
    <dgm:cxn modelId="{29DF825B-A240-423F-8B15-FB410365962D}" type="presParOf" srcId="{D6A5D5D7-9409-44DD-B5F8-84EC03D58754}" destId="{BD2936FF-4B28-4A5F-84AD-E3386BDC1DEA}" srcOrd="0" destOrd="0" presId="urn:microsoft.com/office/officeart/2005/8/layout/orgChart1"/>
    <dgm:cxn modelId="{087912B6-2580-4624-A9FA-B35C3933D45F}" type="presParOf" srcId="{D6A5D5D7-9409-44DD-B5F8-84EC03D58754}" destId="{C6956CEB-DEF2-4C94-B2E7-C5852496F877}" srcOrd="1" destOrd="0" presId="urn:microsoft.com/office/officeart/2005/8/layout/orgChart1"/>
    <dgm:cxn modelId="{2AD2122F-936F-43F7-A133-207F1B68FF95}" type="presParOf" srcId="{36C58A94-0920-4E2F-90DB-966E0D2F4B1B}" destId="{A446DB8A-C53D-4B43-B047-C49C23A81360}" srcOrd="1" destOrd="0" presId="urn:microsoft.com/office/officeart/2005/8/layout/orgChart1"/>
    <dgm:cxn modelId="{BA5B158F-0185-4123-B89F-772C5A88F82B}" type="presParOf" srcId="{A446DB8A-C53D-4B43-B047-C49C23A81360}" destId="{52E5AA4A-3769-45F2-9FD6-F7E532242856}" srcOrd="0" destOrd="0" presId="urn:microsoft.com/office/officeart/2005/8/layout/orgChart1"/>
    <dgm:cxn modelId="{A15EB2C8-420F-4BC9-A0FF-0C5A5912AA7A}" type="presParOf" srcId="{A446DB8A-C53D-4B43-B047-C49C23A81360}" destId="{D9BB0010-6A7F-4D75-9152-596B65DEE72B}" srcOrd="1" destOrd="0" presId="urn:microsoft.com/office/officeart/2005/8/layout/orgChart1"/>
    <dgm:cxn modelId="{157A1779-DD08-410F-B850-90EFEE5D98E5}" type="presParOf" srcId="{D9BB0010-6A7F-4D75-9152-596B65DEE72B}" destId="{618DDF4D-B323-4A55-A0D6-163D4D579104}" srcOrd="0" destOrd="0" presId="urn:microsoft.com/office/officeart/2005/8/layout/orgChart1"/>
    <dgm:cxn modelId="{B7099F3C-6D62-4A3B-9951-CB5B6DD5EA51}" type="presParOf" srcId="{618DDF4D-B323-4A55-A0D6-163D4D579104}" destId="{767D7A86-D95E-4AB6-A812-664A037043B6}" srcOrd="0" destOrd="0" presId="urn:microsoft.com/office/officeart/2005/8/layout/orgChart1"/>
    <dgm:cxn modelId="{1157EB52-B42E-4C82-A75D-7947C07ED2F0}" type="presParOf" srcId="{618DDF4D-B323-4A55-A0D6-163D4D579104}" destId="{D356E76F-E1AC-44E1-94F9-5F2D51D0ECFE}" srcOrd="1" destOrd="0" presId="urn:microsoft.com/office/officeart/2005/8/layout/orgChart1"/>
    <dgm:cxn modelId="{BCDE19FB-53D6-40DD-A689-2B4CEB98B386}" type="presParOf" srcId="{D9BB0010-6A7F-4D75-9152-596B65DEE72B}" destId="{F4BDE7A9-F946-48F8-B8FC-1FAF6E2E9A8B}" srcOrd="1" destOrd="0" presId="urn:microsoft.com/office/officeart/2005/8/layout/orgChart1"/>
    <dgm:cxn modelId="{7936375A-11FF-4B60-ADA4-A894ABF8C15E}" type="presParOf" srcId="{F4BDE7A9-F946-48F8-B8FC-1FAF6E2E9A8B}" destId="{224A3399-72D2-4E53-A64F-DF3B1CF60596}" srcOrd="0" destOrd="0" presId="urn:microsoft.com/office/officeart/2005/8/layout/orgChart1"/>
    <dgm:cxn modelId="{2E5918F8-FE66-4C38-A3A0-811A9718063E}" type="presParOf" srcId="{F4BDE7A9-F946-48F8-B8FC-1FAF6E2E9A8B}" destId="{BC043048-E560-4438-9E4E-BBFEF8B3AB17}" srcOrd="1" destOrd="0" presId="urn:microsoft.com/office/officeart/2005/8/layout/orgChart1"/>
    <dgm:cxn modelId="{C6BAA6EB-0ACD-40E7-95A9-0BD4666DBFFE}" type="presParOf" srcId="{BC043048-E560-4438-9E4E-BBFEF8B3AB17}" destId="{FC723CC5-AC32-4CF5-9368-3ECA64348F63}" srcOrd="0" destOrd="0" presId="urn:microsoft.com/office/officeart/2005/8/layout/orgChart1"/>
    <dgm:cxn modelId="{9851435B-F8CE-49C3-8B31-CDFCC0B5750C}" type="presParOf" srcId="{FC723CC5-AC32-4CF5-9368-3ECA64348F63}" destId="{761A973D-08A0-4FCB-BA64-8FAD94B60C95}" srcOrd="0" destOrd="0" presId="urn:microsoft.com/office/officeart/2005/8/layout/orgChart1"/>
    <dgm:cxn modelId="{8074D5CB-27F1-4A9E-946F-0556046DEB89}" type="presParOf" srcId="{FC723CC5-AC32-4CF5-9368-3ECA64348F63}" destId="{8A047929-57DA-4A51-AA48-3A93A7923226}" srcOrd="1" destOrd="0" presId="urn:microsoft.com/office/officeart/2005/8/layout/orgChart1"/>
    <dgm:cxn modelId="{79C65A4A-F007-42A5-9179-A2B3F3A279D1}" type="presParOf" srcId="{BC043048-E560-4438-9E4E-BBFEF8B3AB17}" destId="{65B7DECC-1377-4E2D-8896-65CC6C303CF0}" srcOrd="1" destOrd="0" presId="urn:microsoft.com/office/officeart/2005/8/layout/orgChart1"/>
    <dgm:cxn modelId="{13C9364B-7591-410B-A145-4D4BB0D2C0E4}" type="presParOf" srcId="{BC043048-E560-4438-9E4E-BBFEF8B3AB17}" destId="{458B0B2C-3295-46BC-9B90-36EC55D150DA}" srcOrd="2" destOrd="0" presId="urn:microsoft.com/office/officeart/2005/8/layout/orgChart1"/>
    <dgm:cxn modelId="{9099103B-684E-4046-AAE1-7A23914DDD1A}" type="presParOf" srcId="{F4BDE7A9-F946-48F8-B8FC-1FAF6E2E9A8B}" destId="{F2ED3A7F-BDC9-45B4-A65C-98CDC7CC78D6}" srcOrd="2" destOrd="0" presId="urn:microsoft.com/office/officeart/2005/8/layout/orgChart1"/>
    <dgm:cxn modelId="{B8A1B481-5AE6-4767-AE23-5488301936F3}" type="presParOf" srcId="{F4BDE7A9-F946-48F8-B8FC-1FAF6E2E9A8B}" destId="{339C932F-20BD-4167-8FDB-D7E9F65E5318}" srcOrd="3" destOrd="0" presId="urn:microsoft.com/office/officeart/2005/8/layout/orgChart1"/>
    <dgm:cxn modelId="{C49BC9B6-6037-4166-855C-7CC00AC489DB}" type="presParOf" srcId="{339C932F-20BD-4167-8FDB-D7E9F65E5318}" destId="{5712D1E4-F6FD-4C6D-9972-BB878924878D}" srcOrd="0" destOrd="0" presId="urn:microsoft.com/office/officeart/2005/8/layout/orgChart1"/>
    <dgm:cxn modelId="{72EB8ACC-6D2A-4B96-990B-5086F511BFF7}" type="presParOf" srcId="{5712D1E4-F6FD-4C6D-9972-BB878924878D}" destId="{39EE4533-8C71-40BE-9A02-51685BCEB75F}" srcOrd="0" destOrd="0" presId="urn:microsoft.com/office/officeart/2005/8/layout/orgChart1"/>
    <dgm:cxn modelId="{3498156E-CD6B-46E8-8C59-C938DFFB8DD6}" type="presParOf" srcId="{5712D1E4-F6FD-4C6D-9972-BB878924878D}" destId="{B517BF34-E869-48D1-8B3D-4194F9230B07}" srcOrd="1" destOrd="0" presId="urn:microsoft.com/office/officeart/2005/8/layout/orgChart1"/>
    <dgm:cxn modelId="{B504E5AA-DA4B-43B8-B395-BE6BA26782E0}" type="presParOf" srcId="{339C932F-20BD-4167-8FDB-D7E9F65E5318}" destId="{4025F71C-61AA-4319-8202-ED898CA0ED3F}" srcOrd="1" destOrd="0" presId="urn:microsoft.com/office/officeart/2005/8/layout/orgChart1"/>
    <dgm:cxn modelId="{7589794B-74A0-4AFE-994E-C581852F955A}" type="presParOf" srcId="{4025F71C-61AA-4319-8202-ED898CA0ED3F}" destId="{8D16020E-2F33-40BC-AF2C-94CA35B3DFB9}" srcOrd="0" destOrd="0" presId="urn:microsoft.com/office/officeart/2005/8/layout/orgChart1"/>
    <dgm:cxn modelId="{8203ADA9-12BC-4F4B-A278-A186DB9EE527}" type="presParOf" srcId="{4025F71C-61AA-4319-8202-ED898CA0ED3F}" destId="{563AB2EA-8E59-42A1-9757-C75766E49707}" srcOrd="1" destOrd="0" presId="urn:microsoft.com/office/officeart/2005/8/layout/orgChart1"/>
    <dgm:cxn modelId="{F4587B1A-FB96-4DFF-AE0F-3D61A5FB436E}" type="presParOf" srcId="{563AB2EA-8E59-42A1-9757-C75766E49707}" destId="{8DD3C787-3878-4E25-83D0-9A89AFF57F09}" srcOrd="0" destOrd="0" presId="urn:microsoft.com/office/officeart/2005/8/layout/orgChart1"/>
    <dgm:cxn modelId="{31528566-5A65-4E44-B929-2508D4AA3A01}" type="presParOf" srcId="{8DD3C787-3878-4E25-83D0-9A89AFF57F09}" destId="{90119492-4379-4B9E-A340-7AF13DBEC56B}" srcOrd="0" destOrd="0" presId="urn:microsoft.com/office/officeart/2005/8/layout/orgChart1"/>
    <dgm:cxn modelId="{FE743624-BEE7-4B8C-A9BD-7E884E2C0999}" type="presParOf" srcId="{8DD3C787-3878-4E25-83D0-9A89AFF57F09}" destId="{E1524C93-3385-4C38-8460-30C362719A12}" srcOrd="1" destOrd="0" presId="urn:microsoft.com/office/officeart/2005/8/layout/orgChart1"/>
    <dgm:cxn modelId="{B0781ABD-E030-43E0-8200-22CD5D020412}" type="presParOf" srcId="{563AB2EA-8E59-42A1-9757-C75766E49707}" destId="{F8363CDA-2DBA-4805-8F48-C54477666AA6}" srcOrd="1" destOrd="0" presId="urn:microsoft.com/office/officeart/2005/8/layout/orgChart1"/>
    <dgm:cxn modelId="{20B637B3-611C-4501-B31E-8D0F218A52AE}" type="presParOf" srcId="{F8363CDA-2DBA-4805-8F48-C54477666AA6}" destId="{1CD87A99-5385-41A9-B069-E8DA60565996}" srcOrd="0" destOrd="0" presId="urn:microsoft.com/office/officeart/2005/8/layout/orgChart1"/>
    <dgm:cxn modelId="{9844BB89-19F0-41D8-9099-57C6EB3FB261}" type="presParOf" srcId="{F8363CDA-2DBA-4805-8F48-C54477666AA6}" destId="{08E02A76-A3DD-4E1F-BD01-A1F3A6763A28}" srcOrd="1" destOrd="0" presId="urn:microsoft.com/office/officeart/2005/8/layout/orgChart1"/>
    <dgm:cxn modelId="{0FE3C4D6-7229-40F4-B146-F00CCCD01C73}" type="presParOf" srcId="{08E02A76-A3DD-4E1F-BD01-A1F3A6763A28}" destId="{C4D668FE-6CC3-4A4C-8854-5BC5D65DD71F}" srcOrd="0" destOrd="0" presId="urn:microsoft.com/office/officeart/2005/8/layout/orgChart1"/>
    <dgm:cxn modelId="{C259BE86-0139-4C61-8297-DE11621775D4}" type="presParOf" srcId="{C4D668FE-6CC3-4A4C-8854-5BC5D65DD71F}" destId="{7B7C5741-8E94-4CD6-A0C5-A8F58DC2E22C}" srcOrd="0" destOrd="0" presId="urn:microsoft.com/office/officeart/2005/8/layout/orgChart1"/>
    <dgm:cxn modelId="{B571E39F-64EE-4A94-9739-BBEB029812BB}" type="presParOf" srcId="{C4D668FE-6CC3-4A4C-8854-5BC5D65DD71F}" destId="{AB064344-2A71-4743-AD96-8EF513AB16E6}" srcOrd="1" destOrd="0" presId="urn:microsoft.com/office/officeart/2005/8/layout/orgChart1"/>
    <dgm:cxn modelId="{77941245-B05F-4DD4-A2D5-9DF7F962F3B3}" type="presParOf" srcId="{08E02A76-A3DD-4E1F-BD01-A1F3A6763A28}" destId="{D1A67AB3-66F9-4CE6-BF8A-B8A6DEE26C78}" srcOrd="1" destOrd="0" presId="urn:microsoft.com/office/officeart/2005/8/layout/orgChart1"/>
    <dgm:cxn modelId="{FEB90C53-E372-4FA4-95FF-BECF6CF7C12B}" type="presParOf" srcId="{08E02A76-A3DD-4E1F-BD01-A1F3A6763A28}" destId="{3B94739F-901F-457C-9FF4-EFA699141413}" srcOrd="2" destOrd="0" presId="urn:microsoft.com/office/officeart/2005/8/layout/orgChart1"/>
    <dgm:cxn modelId="{98CE8404-B4A1-4B81-8925-3EBF7227099C}" type="presParOf" srcId="{F8363CDA-2DBA-4805-8F48-C54477666AA6}" destId="{1562EF09-8450-4FD7-9DB2-8195342075E6}" srcOrd="2" destOrd="0" presId="urn:microsoft.com/office/officeart/2005/8/layout/orgChart1"/>
    <dgm:cxn modelId="{56256513-0787-4DB7-B041-7D281D6FCFCC}" type="presParOf" srcId="{F8363CDA-2DBA-4805-8F48-C54477666AA6}" destId="{A768BFCC-EF65-481E-AF6E-E26235DDEDC9}" srcOrd="3" destOrd="0" presId="urn:microsoft.com/office/officeart/2005/8/layout/orgChart1"/>
    <dgm:cxn modelId="{CAC3220E-1603-4A0B-8A69-351E5B4C06AA}" type="presParOf" srcId="{A768BFCC-EF65-481E-AF6E-E26235DDEDC9}" destId="{44535E48-37AB-4B58-A824-656114DB4A9F}" srcOrd="0" destOrd="0" presId="urn:microsoft.com/office/officeart/2005/8/layout/orgChart1"/>
    <dgm:cxn modelId="{FDACC00A-1DB5-48B4-92A6-B61E26CE7912}" type="presParOf" srcId="{44535E48-37AB-4B58-A824-656114DB4A9F}" destId="{DC2A1F2E-C2D2-4F6D-B3FC-2828391A0D5F}" srcOrd="0" destOrd="0" presId="urn:microsoft.com/office/officeart/2005/8/layout/orgChart1"/>
    <dgm:cxn modelId="{58514C7D-ABF1-4623-A9D1-5A765E5BA8A7}" type="presParOf" srcId="{44535E48-37AB-4B58-A824-656114DB4A9F}" destId="{5C478B53-B4E2-4C29-9E8C-E22F93C6AF32}" srcOrd="1" destOrd="0" presId="urn:microsoft.com/office/officeart/2005/8/layout/orgChart1"/>
    <dgm:cxn modelId="{E704E78C-252E-4A57-A7CF-E51578AAD2CA}" type="presParOf" srcId="{A768BFCC-EF65-481E-AF6E-E26235DDEDC9}" destId="{458D5864-EEC2-4F2D-BAE2-3F7889E1D891}" srcOrd="1" destOrd="0" presId="urn:microsoft.com/office/officeart/2005/8/layout/orgChart1"/>
    <dgm:cxn modelId="{C2383804-A83D-47E9-88B0-5163E9CAF9D6}" type="presParOf" srcId="{A768BFCC-EF65-481E-AF6E-E26235DDEDC9}" destId="{4A86048A-6006-4808-A638-7598DA90EF53}" srcOrd="2" destOrd="0" presId="urn:microsoft.com/office/officeart/2005/8/layout/orgChart1"/>
    <dgm:cxn modelId="{957B5E1E-CEC8-4C5C-BD49-6E37B31E1AF1}" type="presParOf" srcId="{F8363CDA-2DBA-4805-8F48-C54477666AA6}" destId="{A11362F8-498C-4B7F-9192-88933932E808}" srcOrd="4" destOrd="0" presId="urn:microsoft.com/office/officeart/2005/8/layout/orgChart1"/>
    <dgm:cxn modelId="{CC39AA1E-207B-4249-AD72-810A6D473D3C}" type="presParOf" srcId="{F8363CDA-2DBA-4805-8F48-C54477666AA6}" destId="{104A152C-1B08-4E97-B9DF-4EF3AEC85A46}" srcOrd="5" destOrd="0" presId="urn:microsoft.com/office/officeart/2005/8/layout/orgChart1"/>
    <dgm:cxn modelId="{6F99B469-C906-4875-B9A0-8299B2C1701E}" type="presParOf" srcId="{104A152C-1B08-4E97-B9DF-4EF3AEC85A46}" destId="{5F79AFB2-9495-4E57-8649-D9D11020DDF2}" srcOrd="0" destOrd="0" presId="urn:microsoft.com/office/officeart/2005/8/layout/orgChart1"/>
    <dgm:cxn modelId="{3CF0DE08-60D9-4009-BEA6-3A6FB9EB2E14}" type="presParOf" srcId="{5F79AFB2-9495-4E57-8649-D9D11020DDF2}" destId="{C035BC5F-DE07-498D-A2FB-0B2C6CB53B5C}" srcOrd="0" destOrd="0" presId="urn:microsoft.com/office/officeart/2005/8/layout/orgChart1"/>
    <dgm:cxn modelId="{89411AC5-B490-4462-B121-7C815C12789A}" type="presParOf" srcId="{5F79AFB2-9495-4E57-8649-D9D11020DDF2}" destId="{A1DC5F8E-CE18-4CF7-8929-A7B4AFEEE1C3}" srcOrd="1" destOrd="0" presId="urn:microsoft.com/office/officeart/2005/8/layout/orgChart1"/>
    <dgm:cxn modelId="{8F38F1C2-5E4B-425E-8A5B-7795B573A787}" type="presParOf" srcId="{104A152C-1B08-4E97-B9DF-4EF3AEC85A46}" destId="{FF747FD8-313E-4AEB-9713-73C131D1E822}" srcOrd="1" destOrd="0" presId="urn:microsoft.com/office/officeart/2005/8/layout/orgChart1"/>
    <dgm:cxn modelId="{DBA565EA-A3AC-45F6-90C6-D17635A0A385}" type="presParOf" srcId="{104A152C-1B08-4E97-B9DF-4EF3AEC85A46}" destId="{03AFF9A8-6455-4E4E-9D5D-EEA2C4319CE7}" srcOrd="2" destOrd="0" presId="urn:microsoft.com/office/officeart/2005/8/layout/orgChart1"/>
    <dgm:cxn modelId="{4A39DCB4-6968-4DD6-AB2B-9ACC4243F985}" type="presParOf" srcId="{563AB2EA-8E59-42A1-9757-C75766E49707}" destId="{108013D9-998B-470E-8F44-3C3935BA18D1}" srcOrd="2" destOrd="0" presId="urn:microsoft.com/office/officeart/2005/8/layout/orgChart1"/>
    <dgm:cxn modelId="{6C2F9BEF-1AC2-4E46-899F-3C70DBD752B9}" type="presParOf" srcId="{339C932F-20BD-4167-8FDB-D7E9F65E5318}" destId="{C2E120A6-FB7E-4895-A7A3-716CCDE09AB1}" srcOrd="2" destOrd="0" presId="urn:microsoft.com/office/officeart/2005/8/layout/orgChart1"/>
    <dgm:cxn modelId="{B6341141-9C17-43E4-949B-2855CEB7C181}" type="presParOf" srcId="{F4BDE7A9-F946-48F8-B8FC-1FAF6E2E9A8B}" destId="{232AE845-D27C-4386-85BD-9EB621298706}" srcOrd="4" destOrd="0" presId="urn:microsoft.com/office/officeart/2005/8/layout/orgChart1"/>
    <dgm:cxn modelId="{FB723EFD-5ECA-44AE-B48B-F92D0E5AFD68}" type="presParOf" srcId="{F4BDE7A9-F946-48F8-B8FC-1FAF6E2E9A8B}" destId="{8EFA952B-C0BB-457A-9131-0B47F0123224}" srcOrd="5" destOrd="0" presId="urn:microsoft.com/office/officeart/2005/8/layout/orgChart1"/>
    <dgm:cxn modelId="{09FECDAD-30D5-485D-9385-B44808373951}" type="presParOf" srcId="{8EFA952B-C0BB-457A-9131-0B47F0123224}" destId="{8ABF1FF8-1A6D-4212-AC65-FCDD6106197D}" srcOrd="0" destOrd="0" presId="urn:microsoft.com/office/officeart/2005/8/layout/orgChart1"/>
    <dgm:cxn modelId="{0CB79E38-F0A2-4A84-8663-C5B1080BC4AA}" type="presParOf" srcId="{8ABF1FF8-1A6D-4212-AC65-FCDD6106197D}" destId="{780C14CC-E439-4642-A7A5-8069517B9E2A}" srcOrd="0" destOrd="0" presId="urn:microsoft.com/office/officeart/2005/8/layout/orgChart1"/>
    <dgm:cxn modelId="{6279ECCA-F27B-4372-8238-AB1C8B7BAEE8}" type="presParOf" srcId="{8ABF1FF8-1A6D-4212-AC65-FCDD6106197D}" destId="{CF2FF7F9-BCF3-4ADF-AF9F-E3BC05D2D407}" srcOrd="1" destOrd="0" presId="urn:microsoft.com/office/officeart/2005/8/layout/orgChart1"/>
    <dgm:cxn modelId="{50494E00-8937-4407-A823-311B520AD4D1}" type="presParOf" srcId="{8EFA952B-C0BB-457A-9131-0B47F0123224}" destId="{06844536-B2AD-4324-AD05-1D7FFE141EBE}" srcOrd="1" destOrd="0" presId="urn:microsoft.com/office/officeart/2005/8/layout/orgChart1"/>
    <dgm:cxn modelId="{4C869BC1-EE2B-4D2A-96A5-6ADDAC6A8E63}" type="presParOf" srcId="{8EFA952B-C0BB-457A-9131-0B47F0123224}" destId="{2C4528AC-4550-4955-8C7B-18E0DB5600DD}" srcOrd="2" destOrd="0" presId="urn:microsoft.com/office/officeart/2005/8/layout/orgChart1"/>
    <dgm:cxn modelId="{11D021C4-ED80-46A8-AA22-3D477BEB8596}" type="presParOf" srcId="{D9BB0010-6A7F-4D75-9152-596B65DEE72B}" destId="{0E40DCB5-16F8-43ED-95FB-9FD81724F96D}" srcOrd="2" destOrd="0" presId="urn:microsoft.com/office/officeart/2005/8/layout/orgChart1"/>
    <dgm:cxn modelId="{64420063-9580-49A6-8BD3-C06C888AB6EA}" type="presParOf" srcId="{36C58A94-0920-4E2F-90DB-966E0D2F4B1B}" destId="{F49960C2-0D9C-4A84-B3B4-AC0A4E4DDEEF}" srcOrd="2" destOrd="0" presId="urn:microsoft.com/office/officeart/2005/8/layout/orgChart1"/>
    <dgm:cxn modelId="{F59BD047-0754-4075-BE51-CFC05BC5125B}" type="presParOf" srcId="{EAC894A6-B5CA-463E-87B3-645C4ADC7BBB}" destId="{D2790FD2-2750-4F27-ADAE-E43707A8589A}" srcOrd="6" destOrd="0" presId="urn:microsoft.com/office/officeart/2005/8/layout/orgChart1"/>
    <dgm:cxn modelId="{1133F9BE-F01A-4120-8117-D5C4FDE2058A}" type="presParOf" srcId="{EAC894A6-B5CA-463E-87B3-645C4ADC7BBB}" destId="{19F80617-26C3-4CF0-8F56-5C79C573C3CC}" srcOrd="7" destOrd="0" presId="urn:microsoft.com/office/officeart/2005/8/layout/orgChart1"/>
    <dgm:cxn modelId="{7DF2C242-845E-4A86-8762-E64F89B2CFA0}" type="presParOf" srcId="{19F80617-26C3-4CF0-8F56-5C79C573C3CC}" destId="{E3147B26-712A-4048-BA92-6D562FC15961}" srcOrd="0" destOrd="0" presId="urn:microsoft.com/office/officeart/2005/8/layout/orgChart1"/>
    <dgm:cxn modelId="{38D1A38C-0341-4B3F-BBDA-D12422ACA579}" type="presParOf" srcId="{E3147B26-712A-4048-BA92-6D562FC15961}" destId="{1DF16E22-F90D-480A-9692-3AA53EAEC143}" srcOrd="0" destOrd="0" presId="urn:microsoft.com/office/officeart/2005/8/layout/orgChart1"/>
    <dgm:cxn modelId="{F5B337B4-E40A-4550-96DE-5EAA162E75EC}" type="presParOf" srcId="{E3147B26-712A-4048-BA92-6D562FC15961}" destId="{6D47F777-C360-4249-A7A7-E953D08523FB}" srcOrd="1" destOrd="0" presId="urn:microsoft.com/office/officeart/2005/8/layout/orgChart1"/>
    <dgm:cxn modelId="{85125C0F-50B6-4F01-80E4-14B745D88417}" type="presParOf" srcId="{19F80617-26C3-4CF0-8F56-5C79C573C3CC}" destId="{17A9BB3C-9CB7-4E2B-A14B-9C16D7553CF6}" srcOrd="1" destOrd="0" presId="urn:microsoft.com/office/officeart/2005/8/layout/orgChart1"/>
    <dgm:cxn modelId="{F94271FE-DFF3-4BA8-AB8F-E0D5B7FE1554}" type="presParOf" srcId="{17A9BB3C-9CB7-4E2B-A14B-9C16D7553CF6}" destId="{30405FC6-B547-4EC0-B546-9F0D63438670}" srcOrd="0" destOrd="0" presId="urn:microsoft.com/office/officeart/2005/8/layout/orgChart1"/>
    <dgm:cxn modelId="{2DE41AB1-BEA6-4FBB-BE18-BD1A8A4E5851}" type="presParOf" srcId="{17A9BB3C-9CB7-4E2B-A14B-9C16D7553CF6}" destId="{4487A36F-9022-49B9-9044-484F4184AF77}" srcOrd="1" destOrd="0" presId="urn:microsoft.com/office/officeart/2005/8/layout/orgChart1"/>
    <dgm:cxn modelId="{783DA409-469A-4EC4-9BC5-98926EB65F1F}" type="presParOf" srcId="{4487A36F-9022-49B9-9044-484F4184AF77}" destId="{0B0FDA8E-B176-44D9-9FCD-98EE63BE1EBD}" srcOrd="0" destOrd="0" presId="urn:microsoft.com/office/officeart/2005/8/layout/orgChart1"/>
    <dgm:cxn modelId="{6B567B25-21B8-428E-9FEC-E138510BB1A1}" type="presParOf" srcId="{0B0FDA8E-B176-44D9-9FCD-98EE63BE1EBD}" destId="{2477C34C-0E3C-4424-B70A-3AF357CD7EB9}" srcOrd="0" destOrd="0" presId="urn:microsoft.com/office/officeart/2005/8/layout/orgChart1"/>
    <dgm:cxn modelId="{BA05526A-6E9A-467F-9268-6EDB04620A66}" type="presParOf" srcId="{0B0FDA8E-B176-44D9-9FCD-98EE63BE1EBD}" destId="{1B54CDF2-55DC-482F-A768-CC78BD254131}" srcOrd="1" destOrd="0" presId="urn:microsoft.com/office/officeart/2005/8/layout/orgChart1"/>
    <dgm:cxn modelId="{22D3E1AB-C385-4E65-9F53-E4760F3FA925}" type="presParOf" srcId="{4487A36F-9022-49B9-9044-484F4184AF77}" destId="{DA4E00CB-5187-4DE6-8F1D-1BDC9380F693}" srcOrd="1" destOrd="0" presId="urn:microsoft.com/office/officeart/2005/8/layout/orgChart1"/>
    <dgm:cxn modelId="{E36D919C-E62A-4DA7-B92E-525B71637F8F}" type="presParOf" srcId="{DA4E00CB-5187-4DE6-8F1D-1BDC9380F693}" destId="{38FB5DF8-27CF-4389-BD9E-F9849A3C9E48}" srcOrd="0" destOrd="0" presId="urn:microsoft.com/office/officeart/2005/8/layout/orgChart1"/>
    <dgm:cxn modelId="{83348742-3FDE-4093-BBC5-BD44D1DFF1B4}" type="presParOf" srcId="{DA4E00CB-5187-4DE6-8F1D-1BDC9380F693}" destId="{9CC6BF96-B62E-4699-BB85-7D74BBCA94FC}" srcOrd="1" destOrd="0" presId="urn:microsoft.com/office/officeart/2005/8/layout/orgChart1"/>
    <dgm:cxn modelId="{5A3A73C6-97A8-4114-87FD-335227B13442}" type="presParOf" srcId="{9CC6BF96-B62E-4699-BB85-7D74BBCA94FC}" destId="{7D720A2E-F9D0-4928-94E9-9AA1BDA6130C}" srcOrd="0" destOrd="0" presId="urn:microsoft.com/office/officeart/2005/8/layout/orgChart1"/>
    <dgm:cxn modelId="{DB68791B-DE67-4F8E-9AF4-8315A39AC0BD}" type="presParOf" srcId="{7D720A2E-F9D0-4928-94E9-9AA1BDA6130C}" destId="{D126335F-D843-4B3B-86B9-D0CE1C810EB4}" srcOrd="0" destOrd="0" presId="urn:microsoft.com/office/officeart/2005/8/layout/orgChart1"/>
    <dgm:cxn modelId="{EC523192-0747-4AF2-9116-37F2A0FE3350}" type="presParOf" srcId="{7D720A2E-F9D0-4928-94E9-9AA1BDA6130C}" destId="{E44D25E9-42B3-4564-B17C-68C04C34C144}" srcOrd="1" destOrd="0" presId="urn:microsoft.com/office/officeart/2005/8/layout/orgChart1"/>
    <dgm:cxn modelId="{F5D39A2B-6411-4C23-AA0C-87364AFF7D22}" type="presParOf" srcId="{9CC6BF96-B62E-4699-BB85-7D74BBCA94FC}" destId="{772F430A-B416-47C7-9425-4ADB23CC0C1B}" srcOrd="1" destOrd="0" presId="urn:microsoft.com/office/officeart/2005/8/layout/orgChart1"/>
    <dgm:cxn modelId="{208DE0B2-9A70-4972-8B89-6E24E3B12DB1}" type="presParOf" srcId="{9CC6BF96-B62E-4699-BB85-7D74BBCA94FC}" destId="{7D2D146B-67A0-4534-9CEA-7762F370BF04}" srcOrd="2" destOrd="0" presId="urn:microsoft.com/office/officeart/2005/8/layout/orgChart1"/>
    <dgm:cxn modelId="{9A0F2D07-B141-4765-B226-591810D84D77}" type="presParOf" srcId="{4487A36F-9022-49B9-9044-484F4184AF77}" destId="{13A232DD-9C25-4411-8C40-5A8BC9D35FEB}" srcOrd="2" destOrd="0" presId="urn:microsoft.com/office/officeart/2005/8/layout/orgChart1"/>
    <dgm:cxn modelId="{BF3E2D33-65A2-4766-9145-9D2B24410809}" type="presParOf" srcId="{17A9BB3C-9CB7-4E2B-A14B-9C16D7553CF6}" destId="{56C07640-0316-481B-96DA-4AA80B550C26}" srcOrd="2" destOrd="0" presId="urn:microsoft.com/office/officeart/2005/8/layout/orgChart1"/>
    <dgm:cxn modelId="{F9877788-B05F-41D7-A88B-0E806FBEA644}" type="presParOf" srcId="{17A9BB3C-9CB7-4E2B-A14B-9C16D7553CF6}" destId="{716BC13E-5323-412B-9589-E8824DEB58D1}" srcOrd="3" destOrd="0" presId="urn:microsoft.com/office/officeart/2005/8/layout/orgChart1"/>
    <dgm:cxn modelId="{5460E092-D523-4B54-A83B-E381EB557CF7}" type="presParOf" srcId="{716BC13E-5323-412B-9589-E8824DEB58D1}" destId="{55F9191E-372D-4DBA-B2B3-CB89943E0BB7}" srcOrd="0" destOrd="0" presId="urn:microsoft.com/office/officeart/2005/8/layout/orgChart1"/>
    <dgm:cxn modelId="{9A4ECD09-1B5D-46BC-BDB6-A08437132CE9}" type="presParOf" srcId="{55F9191E-372D-4DBA-B2B3-CB89943E0BB7}" destId="{F4890984-593B-41C2-9D0E-F1BE86A2E3FD}" srcOrd="0" destOrd="0" presId="urn:microsoft.com/office/officeart/2005/8/layout/orgChart1"/>
    <dgm:cxn modelId="{63EE7D9D-8ABA-416F-8D16-32E76F1A8783}" type="presParOf" srcId="{55F9191E-372D-4DBA-B2B3-CB89943E0BB7}" destId="{09F60D85-3B40-431B-8DA7-59960776C5DB}" srcOrd="1" destOrd="0" presId="urn:microsoft.com/office/officeart/2005/8/layout/orgChart1"/>
    <dgm:cxn modelId="{055C5E1D-D834-40F3-A470-CD0525D935D6}" type="presParOf" srcId="{716BC13E-5323-412B-9589-E8824DEB58D1}" destId="{0F38C6DA-9023-4349-B220-70963B95354B}" srcOrd="1" destOrd="0" presId="urn:microsoft.com/office/officeart/2005/8/layout/orgChart1"/>
    <dgm:cxn modelId="{EFEC12F5-4F28-46FA-A5D8-D85F6A45B266}" type="presParOf" srcId="{716BC13E-5323-412B-9589-E8824DEB58D1}" destId="{906B6CB5-9BCE-4AB8-AC13-E5F35FA1CA7A}" srcOrd="2" destOrd="0" presId="urn:microsoft.com/office/officeart/2005/8/layout/orgChart1"/>
    <dgm:cxn modelId="{FC004245-916E-47C2-810B-04240D7190D1}" type="presParOf" srcId="{17A9BB3C-9CB7-4E2B-A14B-9C16D7553CF6}" destId="{FFA6DFF8-A50E-486B-8260-109844690ECC}" srcOrd="4" destOrd="0" presId="urn:microsoft.com/office/officeart/2005/8/layout/orgChart1"/>
    <dgm:cxn modelId="{833415EE-728F-430B-A41D-1C0B0297E68B}" type="presParOf" srcId="{17A9BB3C-9CB7-4E2B-A14B-9C16D7553CF6}" destId="{FD21D539-5819-4D19-BDB2-565D56C10DFA}" srcOrd="5" destOrd="0" presId="urn:microsoft.com/office/officeart/2005/8/layout/orgChart1"/>
    <dgm:cxn modelId="{735F8906-0ABA-49FA-9FF8-ABAC333252CB}" type="presParOf" srcId="{FD21D539-5819-4D19-BDB2-565D56C10DFA}" destId="{E9CC050A-3381-4AEA-AA50-2888818C993A}" srcOrd="0" destOrd="0" presId="urn:microsoft.com/office/officeart/2005/8/layout/orgChart1"/>
    <dgm:cxn modelId="{8C08EE36-FA93-4336-B421-F4972659CCFB}" type="presParOf" srcId="{E9CC050A-3381-4AEA-AA50-2888818C993A}" destId="{8ACD67BC-E0E4-4A7F-A290-B158365CC801}" srcOrd="0" destOrd="0" presId="urn:microsoft.com/office/officeart/2005/8/layout/orgChart1"/>
    <dgm:cxn modelId="{280AB249-05DA-47FC-A9A1-C27F9F701A11}" type="presParOf" srcId="{E9CC050A-3381-4AEA-AA50-2888818C993A}" destId="{BC7BA951-8CF7-4413-8B96-2324B0892641}" srcOrd="1" destOrd="0" presId="urn:microsoft.com/office/officeart/2005/8/layout/orgChart1"/>
    <dgm:cxn modelId="{CF79E6FA-64FE-4938-9478-88745C86C720}" type="presParOf" srcId="{FD21D539-5819-4D19-BDB2-565D56C10DFA}" destId="{36DA00BB-AFC3-4DEA-A757-BD8146239D5D}" srcOrd="1" destOrd="0" presId="urn:microsoft.com/office/officeart/2005/8/layout/orgChart1"/>
    <dgm:cxn modelId="{F7E071DD-FA8B-459D-8231-4358BC6FEF6E}" type="presParOf" srcId="{FD21D539-5819-4D19-BDB2-565D56C10DFA}" destId="{88B396F3-4BAD-4D43-A311-05C23C51224C}" srcOrd="2" destOrd="0" presId="urn:microsoft.com/office/officeart/2005/8/layout/orgChart1"/>
    <dgm:cxn modelId="{91EE6D20-DF36-4C0D-92ED-F44082205102}" type="presParOf" srcId="{19F80617-26C3-4CF0-8F56-5C79C573C3CC}" destId="{ED71DF0E-9E10-4187-9E36-3CD342EAE6A6}" srcOrd="2" destOrd="0" presId="urn:microsoft.com/office/officeart/2005/8/layout/orgChart1"/>
    <dgm:cxn modelId="{58FDD2AE-E365-457C-9D63-224B5DB26FB8}" type="presParOf" srcId="{995B8A7A-1B49-4B0B-AD6B-5854E7F70FF7}" destId="{82883AE6-5C89-4627-95DA-CB2E6507B7D8}" srcOrd="2" destOrd="0" presId="urn:microsoft.com/office/officeart/2005/8/layout/orgChar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EDD9849B-333A-42C5-AF7A-9E88CDC9075A}" type="doc">
      <dgm:prSet loTypeId="urn:microsoft.com/office/officeart/2005/8/layout/orgChart1" loCatId="hierarchy" qsTypeId="urn:microsoft.com/office/officeart/2005/8/quickstyle/simple1" qsCatId="simple" csTypeId="urn:microsoft.com/office/officeart/2005/8/colors/accent0_1" csCatId="mainScheme" phldr="1"/>
      <dgm:spPr/>
      <dgm:t>
        <a:bodyPr/>
        <a:lstStyle/>
        <a:p>
          <a:endParaRPr lang="ru-RU"/>
        </a:p>
      </dgm:t>
    </dgm:pt>
    <dgm:pt modelId="{AF85FA4A-4FD0-4302-9DC3-0847D3618555}">
      <dgm:prSet phldrT="[Текст]"/>
      <dgm:spPr>
        <a:ln w="25400" cmpd="dbl"/>
      </dgm:spPr>
      <dgm:t>
        <a:bodyPr/>
        <a:lstStyle/>
        <a:p>
          <a:r>
            <a:rPr lang="en-US"/>
            <a:t>Captain</a:t>
          </a:r>
          <a:endParaRPr lang="ru-RU"/>
        </a:p>
      </dgm:t>
    </dgm:pt>
    <dgm:pt modelId="{47763117-6F70-408C-ADA1-67182D39B920}" type="parTrans" cxnId="{2E2F8D93-2CCD-458D-8E55-63A4E760DD40}">
      <dgm:prSet/>
      <dgm:spPr/>
      <dgm:t>
        <a:bodyPr/>
        <a:lstStyle/>
        <a:p>
          <a:endParaRPr lang="ru-RU"/>
        </a:p>
      </dgm:t>
    </dgm:pt>
    <dgm:pt modelId="{987E47FD-D5E9-4175-A28D-52D526E32B98}" type="sibTrans" cxnId="{2E2F8D93-2CCD-458D-8E55-63A4E760DD40}">
      <dgm:prSet/>
      <dgm:spPr/>
      <dgm:t>
        <a:bodyPr/>
        <a:lstStyle/>
        <a:p>
          <a:endParaRPr lang="ru-RU"/>
        </a:p>
      </dgm:t>
    </dgm:pt>
    <dgm:pt modelId="{87BE60F3-B33A-4E08-A312-C26DA1ED27A6}">
      <dgm:prSet phldrT="[Текст]"/>
      <dgm:spPr/>
      <dgm:t>
        <a:bodyPr/>
        <a:lstStyle/>
        <a:p>
          <a:r>
            <a:rPr lang="en-US"/>
            <a:t>Mage</a:t>
          </a:r>
          <a:endParaRPr lang="ru-RU"/>
        </a:p>
      </dgm:t>
    </dgm:pt>
    <dgm:pt modelId="{9E4CE40F-4405-4EB9-86D0-F684B960D38F}" type="parTrans" cxnId="{276856DA-B5F9-4280-9BD3-65844AA114AE}">
      <dgm:prSet/>
      <dgm:spPr>
        <a:ln w="25400"/>
      </dgm:spPr>
      <dgm:t>
        <a:bodyPr/>
        <a:lstStyle/>
        <a:p>
          <a:endParaRPr lang="ru-RU"/>
        </a:p>
      </dgm:t>
    </dgm:pt>
    <dgm:pt modelId="{B4A080A0-4619-4AFB-92ED-32A029AB34DA}" type="sibTrans" cxnId="{276856DA-B5F9-4280-9BD3-65844AA114AE}">
      <dgm:prSet/>
      <dgm:spPr/>
      <dgm:t>
        <a:bodyPr/>
        <a:lstStyle/>
        <a:p>
          <a:endParaRPr lang="ru-RU"/>
        </a:p>
      </dgm:t>
    </dgm:pt>
    <dgm:pt modelId="{8518DF29-E268-4B17-AEB4-B10D5367671B}">
      <dgm:prSet phldrT="[Текст]"/>
      <dgm:spPr/>
      <dgm:t>
        <a:bodyPr/>
        <a:lstStyle/>
        <a:p>
          <a:r>
            <a:rPr lang="en-US"/>
            <a:t>Healer</a:t>
          </a:r>
          <a:endParaRPr lang="ru-RU"/>
        </a:p>
      </dgm:t>
    </dgm:pt>
    <dgm:pt modelId="{B2D5B730-6E42-4F6A-890B-B74191670D42}" type="parTrans" cxnId="{9D970800-17B4-483F-950E-58ECE69659EC}">
      <dgm:prSet/>
      <dgm:spPr/>
      <dgm:t>
        <a:bodyPr/>
        <a:lstStyle/>
        <a:p>
          <a:endParaRPr lang="ru-RU"/>
        </a:p>
      </dgm:t>
    </dgm:pt>
    <dgm:pt modelId="{9E34BE96-5F9A-46DE-8554-AFC8A4B92920}" type="sibTrans" cxnId="{9D970800-17B4-483F-950E-58ECE69659EC}">
      <dgm:prSet/>
      <dgm:spPr/>
      <dgm:t>
        <a:bodyPr/>
        <a:lstStyle/>
        <a:p>
          <a:endParaRPr lang="ru-RU"/>
        </a:p>
      </dgm:t>
    </dgm:pt>
    <dgm:pt modelId="{E9F75D67-5FD3-4073-91A6-5A630A83E109}">
      <dgm:prSet phldrT="[Текст]"/>
      <dgm:spPr>
        <a:ln w="25400" cmpd="dbl"/>
      </dgm:spPr>
      <dgm:t>
        <a:bodyPr/>
        <a:lstStyle/>
        <a:p>
          <a:r>
            <a:rPr lang="en-US"/>
            <a:t>1st mate</a:t>
          </a:r>
          <a:endParaRPr lang="ru-RU"/>
        </a:p>
      </dgm:t>
    </dgm:pt>
    <dgm:pt modelId="{CC40E4EF-AB9E-4625-8020-E7313F6789BE}" type="parTrans" cxnId="{88962AE2-21F1-4CD3-A876-70047517136E}">
      <dgm:prSet/>
      <dgm:spPr>
        <a:ln w="25400"/>
      </dgm:spPr>
      <dgm:t>
        <a:bodyPr/>
        <a:lstStyle/>
        <a:p>
          <a:endParaRPr lang="ru-RU"/>
        </a:p>
      </dgm:t>
    </dgm:pt>
    <dgm:pt modelId="{5B200E69-C415-40AC-88CB-6E55A7D38372}" type="sibTrans" cxnId="{88962AE2-21F1-4CD3-A876-70047517136E}">
      <dgm:prSet/>
      <dgm:spPr/>
      <dgm:t>
        <a:bodyPr/>
        <a:lstStyle/>
        <a:p>
          <a:endParaRPr lang="ru-RU"/>
        </a:p>
      </dgm:t>
    </dgm:pt>
    <dgm:pt modelId="{01C764A9-88A9-4655-A972-D34209FFED0A}">
      <dgm:prSet/>
      <dgm:spPr/>
      <dgm:t>
        <a:bodyPr/>
        <a:lstStyle/>
        <a:p>
          <a:r>
            <a:rPr lang="en-US"/>
            <a:t>Quartermaster</a:t>
          </a:r>
          <a:endParaRPr lang="ru-RU"/>
        </a:p>
      </dgm:t>
    </dgm:pt>
    <dgm:pt modelId="{57F9CDD3-12ED-4351-BC7E-965E21056790}" type="parTrans" cxnId="{E5C3650C-41CC-4196-B795-46620EFE7F62}">
      <dgm:prSet/>
      <dgm:spPr>
        <a:ln w="25400"/>
      </dgm:spPr>
      <dgm:t>
        <a:bodyPr/>
        <a:lstStyle/>
        <a:p>
          <a:endParaRPr lang="ru-RU"/>
        </a:p>
      </dgm:t>
    </dgm:pt>
    <dgm:pt modelId="{45766174-1918-40FF-ACA1-F31BA04B13B0}" type="sibTrans" cxnId="{E5C3650C-41CC-4196-B795-46620EFE7F62}">
      <dgm:prSet/>
      <dgm:spPr/>
      <dgm:t>
        <a:bodyPr/>
        <a:lstStyle/>
        <a:p>
          <a:endParaRPr lang="ru-RU"/>
        </a:p>
      </dgm:t>
    </dgm:pt>
    <dgm:pt modelId="{388E981B-A473-43D6-8D85-6326C3BEA8A9}">
      <dgm:prSet/>
      <dgm:spPr>
        <a:ln w="25400" cmpd="dbl"/>
      </dgm:spPr>
      <dgm:t>
        <a:bodyPr/>
        <a:lstStyle/>
        <a:p>
          <a:r>
            <a:rPr lang="en-US"/>
            <a:t>2nd mate</a:t>
          </a:r>
          <a:endParaRPr lang="ru-RU"/>
        </a:p>
      </dgm:t>
    </dgm:pt>
    <dgm:pt modelId="{02994E7F-F308-4CC3-8BFC-C49932E281E3}" type="parTrans" cxnId="{9EC796BF-0A7A-48C2-8995-37D74B60966B}">
      <dgm:prSet/>
      <dgm:spPr/>
      <dgm:t>
        <a:bodyPr/>
        <a:lstStyle/>
        <a:p>
          <a:endParaRPr lang="ru-RU"/>
        </a:p>
      </dgm:t>
    </dgm:pt>
    <dgm:pt modelId="{FF9FB527-56AF-4FBD-BF19-8718FEF2192C}" type="sibTrans" cxnId="{9EC796BF-0A7A-48C2-8995-37D74B60966B}">
      <dgm:prSet/>
      <dgm:spPr/>
      <dgm:t>
        <a:bodyPr/>
        <a:lstStyle/>
        <a:p>
          <a:endParaRPr lang="ru-RU"/>
        </a:p>
      </dgm:t>
    </dgm:pt>
    <dgm:pt modelId="{E5F01642-1A67-42FD-BB8C-C90C89F9BCCB}">
      <dgm:prSet/>
      <dgm:spPr/>
      <dgm:t>
        <a:bodyPr/>
        <a:lstStyle/>
        <a:p>
          <a:r>
            <a:rPr lang="en-US"/>
            <a:t>Cook</a:t>
          </a:r>
          <a:endParaRPr lang="ru-RU"/>
        </a:p>
      </dgm:t>
    </dgm:pt>
    <dgm:pt modelId="{A1FFB61D-30C3-4C46-BE9F-6DA4B52F56DF}" type="parTrans" cxnId="{B9B7C0D9-7675-4D0B-9A49-46313420387B}">
      <dgm:prSet/>
      <dgm:spPr/>
      <dgm:t>
        <a:bodyPr/>
        <a:lstStyle/>
        <a:p>
          <a:endParaRPr lang="ru-RU"/>
        </a:p>
      </dgm:t>
    </dgm:pt>
    <dgm:pt modelId="{840BB511-FC88-4DCB-945D-5D122601879E}" type="sibTrans" cxnId="{B9B7C0D9-7675-4D0B-9A49-46313420387B}">
      <dgm:prSet/>
      <dgm:spPr/>
      <dgm:t>
        <a:bodyPr/>
        <a:lstStyle/>
        <a:p>
          <a:endParaRPr lang="ru-RU"/>
        </a:p>
      </dgm:t>
    </dgm:pt>
    <dgm:pt modelId="{26F4F755-10F3-4023-A706-DF71B1A87308}">
      <dgm:prSet/>
      <dgm:spPr/>
      <dgm:t>
        <a:bodyPr/>
        <a:lstStyle/>
        <a:p>
          <a:r>
            <a:rPr lang="en-US"/>
            <a:t>Sailmaster</a:t>
          </a:r>
          <a:endParaRPr lang="ru-RU"/>
        </a:p>
      </dgm:t>
    </dgm:pt>
    <dgm:pt modelId="{2103A83F-5133-473A-B734-849238247488}" type="parTrans" cxnId="{B7DE39B9-12A9-4C77-A614-837A38EE4DE0}">
      <dgm:prSet/>
      <dgm:spPr/>
      <dgm:t>
        <a:bodyPr/>
        <a:lstStyle/>
        <a:p>
          <a:endParaRPr lang="ru-RU"/>
        </a:p>
      </dgm:t>
    </dgm:pt>
    <dgm:pt modelId="{7F118A7E-2655-44D6-9989-115299E9D45F}" type="sibTrans" cxnId="{B7DE39B9-12A9-4C77-A614-837A38EE4DE0}">
      <dgm:prSet/>
      <dgm:spPr/>
      <dgm:t>
        <a:bodyPr/>
        <a:lstStyle/>
        <a:p>
          <a:endParaRPr lang="ru-RU"/>
        </a:p>
      </dgm:t>
    </dgm:pt>
    <dgm:pt modelId="{4F47352A-6F03-489B-9B0E-EBD061C22E2D}">
      <dgm:prSet/>
      <dgm:spPr/>
      <dgm:t>
        <a:bodyPr/>
        <a:lstStyle/>
        <a:p>
          <a:r>
            <a:rPr lang="en-US"/>
            <a:t>Carpenter</a:t>
          </a:r>
          <a:endParaRPr lang="ru-RU"/>
        </a:p>
      </dgm:t>
    </dgm:pt>
    <dgm:pt modelId="{3DF31E28-B756-4965-B6F0-B08F9F3C54B9}" type="parTrans" cxnId="{3C055B9B-56B0-432A-8A9B-05B0959C250C}">
      <dgm:prSet/>
      <dgm:spPr/>
      <dgm:t>
        <a:bodyPr/>
        <a:lstStyle/>
        <a:p>
          <a:endParaRPr lang="ru-RU"/>
        </a:p>
      </dgm:t>
    </dgm:pt>
    <dgm:pt modelId="{5FD4FB42-F3DD-4C94-B402-6A9D3818F303}" type="sibTrans" cxnId="{3C055B9B-56B0-432A-8A9B-05B0959C250C}">
      <dgm:prSet/>
      <dgm:spPr/>
      <dgm:t>
        <a:bodyPr/>
        <a:lstStyle/>
        <a:p>
          <a:endParaRPr lang="ru-RU"/>
        </a:p>
      </dgm:t>
    </dgm:pt>
    <dgm:pt modelId="{2DE38786-F1B5-451C-8C2A-728B9B426B30}">
      <dgm:prSet/>
      <dgm:spPr/>
      <dgm:t>
        <a:bodyPr/>
        <a:lstStyle/>
        <a:p>
          <a:r>
            <a:rPr lang="en-US"/>
            <a:t>Helmsman</a:t>
          </a:r>
          <a:endParaRPr lang="ru-RU"/>
        </a:p>
      </dgm:t>
    </dgm:pt>
    <dgm:pt modelId="{222AB457-A735-4744-AB07-DFAE0D9E1AE9}" type="parTrans" cxnId="{BD635B7F-8330-43CB-84AA-B6E33D591778}">
      <dgm:prSet/>
      <dgm:spPr/>
      <dgm:t>
        <a:bodyPr/>
        <a:lstStyle/>
        <a:p>
          <a:endParaRPr lang="ru-RU"/>
        </a:p>
      </dgm:t>
    </dgm:pt>
    <dgm:pt modelId="{7CC21AE6-DCE2-4FE7-A864-30341B58C03C}" type="sibTrans" cxnId="{BD635B7F-8330-43CB-84AA-B6E33D591778}">
      <dgm:prSet/>
      <dgm:spPr/>
      <dgm:t>
        <a:bodyPr/>
        <a:lstStyle/>
        <a:p>
          <a:endParaRPr lang="ru-RU"/>
        </a:p>
      </dgm:t>
    </dgm:pt>
    <dgm:pt modelId="{079784CF-3A58-4B9F-AA56-506D19D06B5B}">
      <dgm:prSet/>
      <dgm:spPr/>
      <dgm:t>
        <a:bodyPr/>
        <a:lstStyle/>
        <a:p>
          <a:r>
            <a:rPr lang="en-US"/>
            <a:t>Boatswain</a:t>
          </a:r>
          <a:endParaRPr lang="uk-UA"/>
        </a:p>
      </dgm:t>
    </dgm:pt>
    <dgm:pt modelId="{C7BB423D-8907-4850-8EF9-E7196CEC1036}" type="parTrans" cxnId="{2C9842B8-5E22-403F-90FE-C9333D36DD67}">
      <dgm:prSet/>
      <dgm:spPr/>
      <dgm:t>
        <a:bodyPr/>
        <a:lstStyle/>
        <a:p>
          <a:endParaRPr lang="ru-RU"/>
        </a:p>
      </dgm:t>
    </dgm:pt>
    <dgm:pt modelId="{8472F82F-2D74-4A4B-8924-8137917C4D56}" type="sibTrans" cxnId="{2C9842B8-5E22-403F-90FE-C9333D36DD67}">
      <dgm:prSet/>
      <dgm:spPr/>
      <dgm:t>
        <a:bodyPr/>
        <a:lstStyle/>
        <a:p>
          <a:endParaRPr lang="ru-RU"/>
        </a:p>
      </dgm:t>
    </dgm:pt>
    <dgm:pt modelId="{863D5E84-D94E-4D53-9AB2-C9FBC0DDE0E7}">
      <dgm:prSet/>
      <dgm:spPr>
        <a:ln w="25400" cmpd="dbl"/>
      </dgm:spPr>
      <dgm:t>
        <a:bodyPr/>
        <a:lstStyle/>
        <a:p>
          <a:r>
            <a:rPr lang="en-US"/>
            <a:t>3rd mate</a:t>
          </a:r>
          <a:endParaRPr lang="ru-RU"/>
        </a:p>
      </dgm:t>
    </dgm:pt>
    <dgm:pt modelId="{D8003EF9-5D9F-4612-A55A-E75C7D2AA858}" type="parTrans" cxnId="{8EFC45B2-0B1D-4C3A-9E5D-203358F3CC5A}">
      <dgm:prSet/>
      <dgm:spPr/>
      <dgm:t>
        <a:bodyPr/>
        <a:lstStyle/>
        <a:p>
          <a:endParaRPr lang="ru-RU"/>
        </a:p>
      </dgm:t>
    </dgm:pt>
    <dgm:pt modelId="{445558F8-C7C1-4BC5-A1C7-232A1EBF0D88}" type="sibTrans" cxnId="{8EFC45B2-0B1D-4C3A-9E5D-203358F3CC5A}">
      <dgm:prSet/>
      <dgm:spPr/>
      <dgm:t>
        <a:bodyPr/>
        <a:lstStyle/>
        <a:p>
          <a:endParaRPr lang="ru-RU"/>
        </a:p>
      </dgm:t>
    </dgm:pt>
    <dgm:pt modelId="{13B95718-7FA1-4D7C-B644-E757FE050EF7}">
      <dgm:prSet/>
      <dgm:spPr>
        <a:ln>
          <a:prstDash val="sysDot"/>
        </a:ln>
      </dgm:spPr>
      <dgm:t>
        <a:bodyPr/>
        <a:lstStyle/>
        <a:p>
          <a:r>
            <a:rPr lang="en-US"/>
            <a:t>Crew</a:t>
          </a:r>
          <a:endParaRPr lang="ru-RU"/>
        </a:p>
      </dgm:t>
    </dgm:pt>
    <dgm:pt modelId="{7B08CD7A-859B-4CEF-B095-A6285174A16A}" type="parTrans" cxnId="{2A7AFB83-E047-4905-ABFB-389F5CE02DD4}">
      <dgm:prSet/>
      <dgm:spPr/>
      <dgm:t>
        <a:bodyPr/>
        <a:lstStyle/>
        <a:p>
          <a:endParaRPr lang="ru-RU"/>
        </a:p>
      </dgm:t>
    </dgm:pt>
    <dgm:pt modelId="{7C0DBE1E-8542-4196-8EB5-644F744EE41F}" type="sibTrans" cxnId="{2A7AFB83-E047-4905-ABFB-389F5CE02DD4}">
      <dgm:prSet/>
      <dgm:spPr/>
      <dgm:t>
        <a:bodyPr/>
        <a:lstStyle/>
        <a:p>
          <a:endParaRPr lang="ru-RU"/>
        </a:p>
      </dgm:t>
    </dgm:pt>
    <dgm:pt modelId="{9888D7B0-F216-459F-9505-D1D74B71CBA6}">
      <dgm:prSet/>
      <dgm:spPr/>
      <dgm:t>
        <a:bodyPr/>
        <a:lstStyle/>
        <a:p>
          <a:r>
            <a:rPr lang="en-US"/>
            <a:t>1st watch</a:t>
          </a:r>
          <a:endParaRPr lang="ru-RU"/>
        </a:p>
      </dgm:t>
    </dgm:pt>
    <dgm:pt modelId="{029CFB9D-CEF9-46A3-BE48-DBB552538E02}" type="parTrans" cxnId="{AFA9C78E-EE30-48C7-933F-60CFF9617FC9}">
      <dgm:prSet/>
      <dgm:spPr/>
      <dgm:t>
        <a:bodyPr/>
        <a:lstStyle/>
        <a:p>
          <a:endParaRPr lang="ru-RU"/>
        </a:p>
      </dgm:t>
    </dgm:pt>
    <dgm:pt modelId="{8107270A-B708-453A-BA36-72EAC99C528E}" type="sibTrans" cxnId="{AFA9C78E-EE30-48C7-933F-60CFF9617FC9}">
      <dgm:prSet/>
      <dgm:spPr/>
      <dgm:t>
        <a:bodyPr/>
        <a:lstStyle/>
        <a:p>
          <a:endParaRPr lang="ru-RU"/>
        </a:p>
      </dgm:t>
    </dgm:pt>
    <dgm:pt modelId="{9DC261E7-1DED-4698-8F26-6C01ADA33491}">
      <dgm:prSet/>
      <dgm:spPr/>
      <dgm:t>
        <a:bodyPr/>
        <a:lstStyle/>
        <a:p>
          <a:r>
            <a:rPr lang="en-US"/>
            <a:t>2nd watch</a:t>
          </a:r>
          <a:endParaRPr lang="ru-RU"/>
        </a:p>
      </dgm:t>
    </dgm:pt>
    <dgm:pt modelId="{DC45A04A-26DA-4053-9E06-AA21691F4A2F}" type="parTrans" cxnId="{07C8CAB4-8A65-4808-B34C-3E00D884DFD7}">
      <dgm:prSet/>
      <dgm:spPr/>
      <dgm:t>
        <a:bodyPr/>
        <a:lstStyle/>
        <a:p>
          <a:endParaRPr lang="ru-RU"/>
        </a:p>
      </dgm:t>
    </dgm:pt>
    <dgm:pt modelId="{5393BFCA-CF70-4DF8-8008-7E91C4296080}" type="sibTrans" cxnId="{07C8CAB4-8A65-4808-B34C-3E00D884DFD7}">
      <dgm:prSet/>
      <dgm:spPr/>
      <dgm:t>
        <a:bodyPr/>
        <a:lstStyle/>
        <a:p>
          <a:endParaRPr lang="ru-RU"/>
        </a:p>
      </dgm:t>
    </dgm:pt>
    <dgm:pt modelId="{5C7D34A7-1AC8-4495-8965-A53CB8CC8C84}">
      <dgm:prSet/>
      <dgm:spPr/>
      <dgm:t>
        <a:bodyPr/>
        <a:lstStyle/>
        <a:p>
          <a:r>
            <a:rPr lang="en-US"/>
            <a:t>3rd watch</a:t>
          </a:r>
          <a:endParaRPr lang="ru-RU"/>
        </a:p>
      </dgm:t>
    </dgm:pt>
    <dgm:pt modelId="{48ABF71B-6FAD-4805-8601-212F4E153F34}" type="parTrans" cxnId="{3D8FA0EC-FBBA-4056-9D3F-11BE52691FF1}">
      <dgm:prSet/>
      <dgm:spPr/>
      <dgm:t>
        <a:bodyPr/>
        <a:lstStyle/>
        <a:p>
          <a:endParaRPr lang="ru-RU"/>
        </a:p>
      </dgm:t>
    </dgm:pt>
    <dgm:pt modelId="{60958ABD-D04E-457B-96A1-E4E1E829D83D}" type="sibTrans" cxnId="{3D8FA0EC-FBBA-4056-9D3F-11BE52691FF1}">
      <dgm:prSet/>
      <dgm:spPr/>
      <dgm:t>
        <a:bodyPr/>
        <a:lstStyle/>
        <a:p>
          <a:endParaRPr lang="ru-RU"/>
        </a:p>
      </dgm:t>
    </dgm:pt>
    <dgm:pt modelId="{A3BCCF41-C0B5-47D1-BD7A-7DFAFF8AAA76}">
      <dgm:prSet/>
      <dgm:spPr/>
      <dgm:t>
        <a:bodyPr/>
        <a:lstStyle/>
        <a:p>
          <a:r>
            <a:rPr lang="en-US"/>
            <a:t>Cabnin boys</a:t>
          </a:r>
          <a:endParaRPr lang="ru-RU"/>
        </a:p>
      </dgm:t>
    </dgm:pt>
    <dgm:pt modelId="{FAA2BBE1-A8BE-440E-BD2E-7EBC893C9BD9}" type="parTrans" cxnId="{7176DC60-73DF-41A8-8644-6DA200505213}">
      <dgm:prSet/>
      <dgm:spPr/>
      <dgm:t>
        <a:bodyPr/>
        <a:lstStyle/>
        <a:p>
          <a:endParaRPr lang="ru-RU"/>
        </a:p>
      </dgm:t>
    </dgm:pt>
    <dgm:pt modelId="{4DCE99E9-760E-4462-B0E9-F5B15854ACB1}" type="sibTrans" cxnId="{7176DC60-73DF-41A8-8644-6DA200505213}">
      <dgm:prSet/>
      <dgm:spPr/>
      <dgm:t>
        <a:bodyPr/>
        <a:lstStyle/>
        <a:p>
          <a:endParaRPr lang="ru-RU"/>
        </a:p>
      </dgm:t>
    </dgm:pt>
    <dgm:pt modelId="{6600DAEE-F1CA-47E8-90B5-37C825BAE01B}" type="pres">
      <dgm:prSet presAssocID="{EDD9849B-333A-42C5-AF7A-9E88CDC9075A}" presName="hierChild1" presStyleCnt="0">
        <dgm:presLayoutVars>
          <dgm:orgChart val="1"/>
          <dgm:chPref val="1"/>
          <dgm:dir/>
          <dgm:animOne val="branch"/>
          <dgm:animLvl val="lvl"/>
          <dgm:resizeHandles/>
        </dgm:presLayoutVars>
      </dgm:prSet>
      <dgm:spPr/>
    </dgm:pt>
    <dgm:pt modelId="{995B8A7A-1B49-4B0B-AD6B-5854E7F70FF7}" type="pres">
      <dgm:prSet presAssocID="{AF85FA4A-4FD0-4302-9DC3-0847D3618555}" presName="hierRoot1" presStyleCnt="0">
        <dgm:presLayoutVars>
          <dgm:hierBranch val="init"/>
        </dgm:presLayoutVars>
      </dgm:prSet>
      <dgm:spPr/>
    </dgm:pt>
    <dgm:pt modelId="{5B7DDF95-E0BC-41B1-8D65-E63F0FC86F96}" type="pres">
      <dgm:prSet presAssocID="{AF85FA4A-4FD0-4302-9DC3-0847D3618555}" presName="rootComposite1" presStyleCnt="0"/>
      <dgm:spPr/>
    </dgm:pt>
    <dgm:pt modelId="{B2BE3EC8-3324-43EA-B8D7-796B52893122}" type="pres">
      <dgm:prSet presAssocID="{AF85FA4A-4FD0-4302-9DC3-0847D3618555}" presName="rootText1" presStyleLbl="node0" presStyleIdx="0" presStyleCnt="1" custScaleX="115898" custScaleY="64947" custLinFactNeighborX="-45358" custLinFactNeighborY="-8607">
        <dgm:presLayoutVars>
          <dgm:chPref val="3"/>
        </dgm:presLayoutVars>
      </dgm:prSet>
      <dgm:spPr>
        <a:prstGeom prst="plaque">
          <a:avLst/>
        </a:prstGeom>
      </dgm:spPr>
    </dgm:pt>
    <dgm:pt modelId="{79BE84F6-C332-4D15-89C0-DDFC29B12BAF}" type="pres">
      <dgm:prSet presAssocID="{AF85FA4A-4FD0-4302-9DC3-0847D3618555}" presName="rootConnector1" presStyleLbl="node1" presStyleIdx="0" presStyleCnt="0"/>
      <dgm:spPr/>
    </dgm:pt>
    <dgm:pt modelId="{EAC894A6-B5CA-463E-87B3-645C4ADC7BBB}" type="pres">
      <dgm:prSet presAssocID="{AF85FA4A-4FD0-4302-9DC3-0847D3618555}" presName="hierChild2" presStyleCnt="0"/>
      <dgm:spPr/>
    </dgm:pt>
    <dgm:pt modelId="{EF1B36B6-AE89-4854-AB4F-5607D63391AA}" type="pres">
      <dgm:prSet presAssocID="{9E4CE40F-4405-4EB9-86D0-F684B960D38F}" presName="Name37" presStyleLbl="parChTrans1D2" presStyleIdx="0" presStyleCnt="4"/>
      <dgm:spPr/>
    </dgm:pt>
    <dgm:pt modelId="{26111165-961A-49F6-9169-5D25476F8997}" type="pres">
      <dgm:prSet presAssocID="{87BE60F3-B33A-4E08-A312-C26DA1ED27A6}" presName="hierRoot2" presStyleCnt="0">
        <dgm:presLayoutVars>
          <dgm:hierBranch val="init"/>
        </dgm:presLayoutVars>
      </dgm:prSet>
      <dgm:spPr/>
    </dgm:pt>
    <dgm:pt modelId="{3BE80A75-0DD5-4502-94A0-835AA444589F}" type="pres">
      <dgm:prSet presAssocID="{87BE60F3-B33A-4E08-A312-C26DA1ED27A6}" presName="rootComposite" presStyleCnt="0"/>
      <dgm:spPr/>
    </dgm:pt>
    <dgm:pt modelId="{CC5B446D-D37C-41EF-A493-05F0830EF276}" type="pres">
      <dgm:prSet presAssocID="{87BE60F3-B33A-4E08-A312-C26DA1ED27A6}" presName="rootText" presStyleLbl="node2" presStyleIdx="0" presStyleCnt="4" custScaleX="95314" custScaleY="61029">
        <dgm:presLayoutVars>
          <dgm:chPref val="3"/>
        </dgm:presLayoutVars>
      </dgm:prSet>
      <dgm:spPr/>
    </dgm:pt>
    <dgm:pt modelId="{CA07D46E-07C9-45A4-BF79-9B36572E31F6}" type="pres">
      <dgm:prSet presAssocID="{87BE60F3-B33A-4E08-A312-C26DA1ED27A6}" presName="rootConnector" presStyleLbl="node2" presStyleIdx="0" presStyleCnt="4"/>
      <dgm:spPr/>
    </dgm:pt>
    <dgm:pt modelId="{D716784A-A6B4-42ED-A1B6-073B0CF9A97C}" type="pres">
      <dgm:prSet presAssocID="{87BE60F3-B33A-4E08-A312-C26DA1ED27A6}" presName="hierChild4" presStyleCnt="0"/>
      <dgm:spPr/>
    </dgm:pt>
    <dgm:pt modelId="{8322C573-A089-437F-8CC5-372237E59F4A}" type="pres">
      <dgm:prSet presAssocID="{87BE60F3-B33A-4E08-A312-C26DA1ED27A6}" presName="hierChild5" presStyleCnt="0"/>
      <dgm:spPr/>
    </dgm:pt>
    <dgm:pt modelId="{F050F701-4777-4426-A664-1067999680B8}" type="pres">
      <dgm:prSet presAssocID="{B2D5B730-6E42-4F6A-890B-B74191670D42}" presName="Name37" presStyleLbl="parChTrans1D2" presStyleIdx="1" presStyleCnt="4"/>
      <dgm:spPr/>
    </dgm:pt>
    <dgm:pt modelId="{DC400DE4-3F8A-436F-BA19-523BC368CCD7}" type="pres">
      <dgm:prSet presAssocID="{8518DF29-E268-4B17-AEB4-B10D5367671B}" presName="hierRoot2" presStyleCnt="0">
        <dgm:presLayoutVars>
          <dgm:hierBranch val="init"/>
        </dgm:presLayoutVars>
      </dgm:prSet>
      <dgm:spPr/>
    </dgm:pt>
    <dgm:pt modelId="{F4201050-E72D-403C-81A3-311D78A2A660}" type="pres">
      <dgm:prSet presAssocID="{8518DF29-E268-4B17-AEB4-B10D5367671B}" presName="rootComposite" presStyleCnt="0"/>
      <dgm:spPr/>
    </dgm:pt>
    <dgm:pt modelId="{C531E2A3-AE2F-4869-8A9B-1A809EE00684}" type="pres">
      <dgm:prSet presAssocID="{8518DF29-E268-4B17-AEB4-B10D5367671B}" presName="rootText" presStyleLbl="node2" presStyleIdx="1" presStyleCnt="4" custScaleX="95314" custScaleY="61029">
        <dgm:presLayoutVars>
          <dgm:chPref val="3"/>
        </dgm:presLayoutVars>
      </dgm:prSet>
      <dgm:spPr/>
    </dgm:pt>
    <dgm:pt modelId="{E858461D-83E6-4E5B-B1F7-EB4A3D85C8E8}" type="pres">
      <dgm:prSet presAssocID="{8518DF29-E268-4B17-AEB4-B10D5367671B}" presName="rootConnector" presStyleLbl="node2" presStyleIdx="1" presStyleCnt="4"/>
      <dgm:spPr/>
    </dgm:pt>
    <dgm:pt modelId="{9542FD72-CDA4-4DF8-A879-CB22DAA62201}" type="pres">
      <dgm:prSet presAssocID="{8518DF29-E268-4B17-AEB4-B10D5367671B}" presName="hierChild4" presStyleCnt="0"/>
      <dgm:spPr/>
    </dgm:pt>
    <dgm:pt modelId="{D4ED4E91-440B-4A1D-81CB-8A650560B927}" type="pres">
      <dgm:prSet presAssocID="{8518DF29-E268-4B17-AEB4-B10D5367671B}" presName="hierChild5" presStyleCnt="0"/>
      <dgm:spPr/>
    </dgm:pt>
    <dgm:pt modelId="{04FDA189-1F55-4110-ADD4-B7880E65234B}" type="pres">
      <dgm:prSet presAssocID="{CC40E4EF-AB9E-4625-8020-E7313F6789BE}" presName="Name37" presStyleLbl="parChTrans1D2" presStyleIdx="2" presStyleCnt="4"/>
      <dgm:spPr/>
    </dgm:pt>
    <dgm:pt modelId="{36C58A94-0920-4E2F-90DB-966E0D2F4B1B}" type="pres">
      <dgm:prSet presAssocID="{E9F75D67-5FD3-4073-91A6-5A630A83E109}" presName="hierRoot2" presStyleCnt="0">
        <dgm:presLayoutVars>
          <dgm:hierBranch/>
        </dgm:presLayoutVars>
      </dgm:prSet>
      <dgm:spPr/>
    </dgm:pt>
    <dgm:pt modelId="{D6A5D5D7-9409-44DD-B5F8-84EC03D58754}" type="pres">
      <dgm:prSet presAssocID="{E9F75D67-5FD3-4073-91A6-5A630A83E109}" presName="rootComposite" presStyleCnt="0"/>
      <dgm:spPr/>
    </dgm:pt>
    <dgm:pt modelId="{BD2936FF-4B28-4A5F-84AD-E3386BDC1DEA}" type="pres">
      <dgm:prSet presAssocID="{E9F75D67-5FD3-4073-91A6-5A630A83E109}" presName="rootText" presStyleLbl="node2" presStyleIdx="2" presStyleCnt="4" custScaleX="115898" custScaleY="64947">
        <dgm:presLayoutVars>
          <dgm:chPref val="3"/>
        </dgm:presLayoutVars>
      </dgm:prSet>
      <dgm:spPr>
        <a:prstGeom prst="plaque">
          <a:avLst/>
        </a:prstGeom>
      </dgm:spPr>
    </dgm:pt>
    <dgm:pt modelId="{C6956CEB-DEF2-4C94-B2E7-C5852496F877}" type="pres">
      <dgm:prSet presAssocID="{E9F75D67-5FD3-4073-91A6-5A630A83E109}" presName="rootConnector" presStyleLbl="node2" presStyleIdx="2" presStyleCnt="4"/>
      <dgm:spPr/>
    </dgm:pt>
    <dgm:pt modelId="{A446DB8A-C53D-4B43-B047-C49C23A81360}" type="pres">
      <dgm:prSet presAssocID="{E9F75D67-5FD3-4073-91A6-5A630A83E109}" presName="hierChild4" presStyleCnt="0"/>
      <dgm:spPr/>
    </dgm:pt>
    <dgm:pt modelId="{52E5AA4A-3769-45F2-9FD6-F7E532242856}" type="pres">
      <dgm:prSet presAssocID="{02994E7F-F308-4CC3-8BFC-C49932E281E3}" presName="Name35" presStyleLbl="parChTrans1D3" presStyleIdx="0" presStyleCnt="4"/>
      <dgm:spPr/>
    </dgm:pt>
    <dgm:pt modelId="{D9BB0010-6A7F-4D75-9152-596B65DEE72B}" type="pres">
      <dgm:prSet presAssocID="{388E981B-A473-43D6-8D85-6326C3BEA8A9}" presName="hierRoot2" presStyleCnt="0">
        <dgm:presLayoutVars>
          <dgm:hierBranch val="init"/>
        </dgm:presLayoutVars>
      </dgm:prSet>
      <dgm:spPr/>
    </dgm:pt>
    <dgm:pt modelId="{618DDF4D-B323-4A55-A0D6-163D4D579104}" type="pres">
      <dgm:prSet presAssocID="{388E981B-A473-43D6-8D85-6326C3BEA8A9}" presName="rootComposite" presStyleCnt="0"/>
      <dgm:spPr/>
    </dgm:pt>
    <dgm:pt modelId="{767D7A86-D95E-4AB6-A812-664A037043B6}" type="pres">
      <dgm:prSet presAssocID="{388E981B-A473-43D6-8D85-6326C3BEA8A9}" presName="rootText" presStyleLbl="node3" presStyleIdx="0" presStyleCnt="4" custScaleX="115898" custScaleY="64947">
        <dgm:presLayoutVars>
          <dgm:chPref val="3"/>
        </dgm:presLayoutVars>
      </dgm:prSet>
      <dgm:spPr>
        <a:prstGeom prst="plaque">
          <a:avLst/>
        </a:prstGeom>
      </dgm:spPr>
    </dgm:pt>
    <dgm:pt modelId="{D356E76F-E1AC-44E1-94F9-5F2D51D0ECFE}" type="pres">
      <dgm:prSet presAssocID="{388E981B-A473-43D6-8D85-6326C3BEA8A9}" presName="rootConnector" presStyleLbl="node3" presStyleIdx="0" presStyleCnt="4"/>
      <dgm:spPr/>
    </dgm:pt>
    <dgm:pt modelId="{F4BDE7A9-F946-48F8-B8FC-1FAF6E2E9A8B}" type="pres">
      <dgm:prSet presAssocID="{388E981B-A473-43D6-8D85-6326C3BEA8A9}" presName="hierChild4" presStyleCnt="0"/>
      <dgm:spPr/>
    </dgm:pt>
    <dgm:pt modelId="{224A3399-72D2-4E53-A64F-DF3B1CF60596}" type="pres">
      <dgm:prSet presAssocID="{222AB457-A735-4744-AB07-DFAE0D9E1AE9}" presName="Name37" presStyleLbl="parChTrans1D4" presStyleIdx="0" presStyleCnt="8"/>
      <dgm:spPr/>
    </dgm:pt>
    <dgm:pt modelId="{BC043048-E560-4438-9E4E-BBFEF8B3AB17}" type="pres">
      <dgm:prSet presAssocID="{2DE38786-F1B5-451C-8C2A-728B9B426B30}" presName="hierRoot2" presStyleCnt="0">
        <dgm:presLayoutVars>
          <dgm:hierBranch val="init"/>
        </dgm:presLayoutVars>
      </dgm:prSet>
      <dgm:spPr/>
    </dgm:pt>
    <dgm:pt modelId="{FC723CC5-AC32-4CF5-9368-3ECA64348F63}" type="pres">
      <dgm:prSet presAssocID="{2DE38786-F1B5-451C-8C2A-728B9B426B30}" presName="rootComposite" presStyleCnt="0"/>
      <dgm:spPr/>
    </dgm:pt>
    <dgm:pt modelId="{761A973D-08A0-4FCB-BA64-8FAD94B60C95}" type="pres">
      <dgm:prSet presAssocID="{2DE38786-F1B5-451C-8C2A-728B9B426B30}" presName="rootText" presStyleLbl="node4" presStyleIdx="0" presStyleCnt="8" custScaleX="95314" custScaleY="61029">
        <dgm:presLayoutVars>
          <dgm:chPref val="3"/>
        </dgm:presLayoutVars>
      </dgm:prSet>
      <dgm:spPr/>
    </dgm:pt>
    <dgm:pt modelId="{8A047929-57DA-4A51-AA48-3A93A7923226}" type="pres">
      <dgm:prSet presAssocID="{2DE38786-F1B5-451C-8C2A-728B9B426B30}" presName="rootConnector" presStyleLbl="node4" presStyleIdx="0" presStyleCnt="8"/>
      <dgm:spPr/>
    </dgm:pt>
    <dgm:pt modelId="{65B7DECC-1377-4E2D-8896-65CC6C303CF0}" type="pres">
      <dgm:prSet presAssocID="{2DE38786-F1B5-451C-8C2A-728B9B426B30}" presName="hierChild4" presStyleCnt="0"/>
      <dgm:spPr/>
    </dgm:pt>
    <dgm:pt modelId="{458B0B2C-3295-46BC-9B90-36EC55D150DA}" type="pres">
      <dgm:prSet presAssocID="{2DE38786-F1B5-451C-8C2A-728B9B426B30}" presName="hierChild5" presStyleCnt="0"/>
      <dgm:spPr/>
    </dgm:pt>
    <dgm:pt modelId="{F2ED3A7F-BDC9-45B4-A65C-98CDC7CC78D6}" type="pres">
      <dgm:prSet presAssocID="{D8003EF9-5D9F-4612-A55A-E75C7D2AA858}" presName="Name37" presStyleLbl="parChTrans1D4" presStyleIdx="1" presStyleCnt="8"/>
      <dgm:spPr/>
    </dgm:pt>
    <dgm:pt modelId="{339C932F-20BD-4167-8FDB-D7E9F65E5318}" type="pres">
      <dgm:prSet presAssocID="{863D5E84-D94E-4D53-9AB2-C9FBC0DDE0E7}" presName="hierRoot2" presStyleCnt="0">
        <dgm:presLayoutVars>
          <dgm:hierBranch val="init"/>
        </dgm:presLayoutVars>
      </dgm:prSet>
      <dgm:spPr/>
    </dgm:pt>
    <dgm:pt modelId="{5712D1E4-F6FD-4C6D-9972-BB878924878D}" type="pres">
      <dgm:prSet presAssocID="{863D5E84-D94E-4D53-9AB2-C9FBC0DDE0E7}" presName="rootComposite" presStyleCnt="0"/>
      <dgm:spPr/>
    </dgm:pt>
    <dgm:pt modelId="{39EE4533-8C71-40BE-9A02-51685BCEB75F}" type="pres">
      <dgm:prSet presAssocID="{863D5E84-D94E-4D53-9AB2-C9FBC0DDE0E7}" presName="rootText" presStyleLbl="node4" presStyleIdx="1" presStyleCnt="8" custScaleX="115898" custScaleY="64947">
        <dgm:presLayoutVars>
          <dgm:chPref val="3"/>
        </dgm:presLayoutVars>
      </dgm:prSet>
      <dgm:spPr>
        <a:prstGeom prst="plaque">
          <a:avLst/>
        </a:prstGeom>
      </dgm:spPr>
    </dgm:pt>
    <dgm:pt modelId="{B517BF34-E869-48D1-8B3D-4194F9230B07}" type="pres">
      <dgm:prSet presAssocID="{863D5E84-D94E-4D53-9AB2-C9FBC0DDE0E7}" presName="rootConnector" presStyleLbl="node4" presStyleIdx="1" presStyleCnt="8"/>
      <dgm:spPr/>
    </dgm:pt>
    <dgm:pt modelId="{4025F71C-61AA-4319-8202-ED898CA0ED3F}" type="pres">
      <dgm:prSet presAssocID="{863D5E84-D94E-4D53-9AB2-C9FBC0DDE0E7}" presName="hierChild4" presStyleCnt="0"/>
      <dgm:spPr/>
    </dgm:pt>
    <dgm:pt modelId="{8D16020E-2F33-40BC-AF2C-94CA35B3DFB9}" type="pres">
      <dgm:prSet presAssocID="{7B08CD7A-859B-4CEF-B095-A6285174A16A}" presName="Name37" presStyleLbl="parChTrans1D4" presStyleIdx="2" presStyleCnt="8"/>
      <dgm:spPr/>
    </dgm:pt>
    <dgm:pt modelId="{563AB2EA-8E59-42A1-9757-C75766E49707}" type="pres">
      <dgm:prSet presAssocID="{13B95718-7FA1-4D7C-B644-E757FE050EF7}" presName="hierRoot2" presStyleCnt="0">
        <dgm:presLayoutVars>
          <dgm:hierBranch/>
        </dgm:presLayoutVars>
      </dgm:prSet>
      <dgm:spPr/>
    </dgm:pt>
    <dgm:pt modelId="{8DD3C787-3878-4E25-83D0-9A89AFF57F09}" type="pres">
      <dgm:prSet presAssocID="{13B95718-7FA1-4D7C-B644-E757FE050EF7}" presName="rootComposite" presStyleCnt="0"/>
      <dgm:spPr/>
    </dgm:pt>
    <dgm:pt modelId="{90119492-4379-4B9E-A340-7AF13DBEC56B}" type="pres">
      <dgm:prSet presAssocID="{13B95718-7FA1-4D7C-B644-E757FE050EF7}" presName="rootText" presStyleLbl="node4" presStyleIdx="2" presStyleCnt="8" custScaleX="95314" custScaleY="61029">
        <dgm:presLayoutVars>
          <dgm:chPref val="3"/>
        </dgm:presLayoutVars>
      </dgm:prSet>
      <dgm:spPr/>
    </dgm:pt>
    <dgm:pt modelId="{E1524C93-3385-4C38-8460-30C362719A12}" type="pres">
      <dgm:prSet presAssocID="{13B95718-7FA1-4D7C-B644-E757FE050EF7}" presName="rootConnector" presStyleLbl="node4" presStyleIdx="2" presStyleCnt="8"/>
      <dgm:spPr/>
    </dgm:pt>
    <dgm:pt modelId="{F8363CDA-2DBA-4805-8F48-C54477666AA6}" type="pres">
      <dgm:prSet presAssocID="{13B95718-7FA1-4D7C-B644-E757FE050EF7}" presName="hierChild4" presStyleCnt="0"/>
      <dgm:spPr/>
    </dgm:pt>
    <dgm:pt modelId="{1CD87A99-5385-41A9-B069-E8DA60565996}" type="pres">
      <dgm:prSet presAssocID="{029CFB9D-CEF9-46A3-BE48-DBB552538E02}" presName="Name35" presStyleLbl="parChTrans1D4" presStyleIdx="3" presStyleCnt="8"/>
      <dgm:spPr/>
    </dgm:pt>
    <dgm:pt modelId="{08E02A76-A3DD-4E1F-BD01-A1F3A6763A28}" type="pres">
      <dgm:prSet presAssocID="{9888D7B0-F216-459F-9505-D1D74B71CBA6}" presName="hierRoot2" presStyleCnt="0">
        <dgm:presLayoutVars>
          <dgm:hierBranch val="init"/>
        </dgm:presLayoutVars>
      </dgm:prSet>
      <dgm:spPr/>
    </dgm:pt>
    <dgm:pt modelId="{C4D668FE-6CC3-4A4C-8854-5BC5D65DD71F}" type="pres">
      <dgm:prSet presAssocID="{9888D7B0-F216-459F-9505-D1D74B71CBA6}" presName="rootComposite" presStyleCnt="0"/>
      <dgm:spPr/>
    </dgm:pt>
    <dgm:pt modelId="{7B7C5741-8E94-4CD6-A0C5-A8F58DC2E22C}" type="pres">
      <dgm:prSet presAssocID="{9888D7B0-F216-459F-9505-D1D74B71CBA6}" presName="rootText" presStyleLbl="node4" presStyleIdx="3" presStyleCnt="8" custScaleX="95314" custScaleY="61029">
        <dgm:presLayoutVars>
          <dgm:chPref val="3"/>
        </dgm:presLayoutVars>
      </dgm:prSet>
      <dgm:spPr/>
    </dgm:pt>
    <dgm:pt modelId="{AB064344-2A71-4743-AD96-8EF513AB16E6}" type="pres">
      <dgm:prSet presAssocID="{9888D7B0-F216-459F-9505-D1D74B71CBA6}" presName="rootConnector" presStyleLbl="node4" presStyleIdx="3" presStyleCnt="8"/>
      <dgm:spPr/>
    </dgm:pt>
    <dgm:pt modelId="{D1A67AB3-66F9-4CE6-BF8A-B8A6DEE26C78}" type="pres">
      <dgm:prSet presAssocID="{9888D7B0-F216-459F-9505-D1D74B71CBA6}" presName="hierChild4" presStyleCnt="0"/>
      <dgm:spPr/>
    </dgm:pt>
    <dgm:pt modelId="{3B94739F-901F-457C-9FF4-EFA699141413}" type="pres">
      <dgm:prSet presAssocID="{9888D7B0-F216-459F-9505-D1D74B71CBA6}" presName="hierChild5" presStyleCnt="0"/>
      <dgm:spPr/>
    </dgm:pt>
    <dgm:pt modelId="{1562EF09-8450-4FD7-9DB2-8195342075E6}" type="pres">
      <dgm:prSet presAssocID="{DC45A04A-26DA-4053-9E06-AA21691F4A2F}" presName="Name35" presStyleLbl="parChTrans1D4" presStyleIdx="4" presStyleCnt="8"/>
      <dgm:spPr/>
    </dgm:pt>
    <dgm:pt modelId="{A768BFCC-EF65-481E-AF6E-E26235DDEDC9}" type="pres">
      <dgm:prSet presAssocID="{9DC261E7-1DED-4698-8F26-6C01ADA33491}" presName="hierRoot2" presStyleCnt="0">
        <dgm:presLayoutVars>
          <dgm:hierBranch val="init"/>
        </dgm:presLayoutVars>
      </dgm:prSet>
      <dgm:spPr/>
    </dgm:pt>
    <dgm:pt modelId="{44535E48-37AB-4B58-A824-656114DB4A9F}" type="pres">
      <dgm:prSet presAssocID="{9DC261E7-1DED-4698-8F26-6C01ADA33491}" presName="rootComposite" presStyleCnt="0"/>
      <dgm:spPr/>
    </dgm:pt>
    <dgm:pt modelId="{DC2A1F2E-C2D2-4F6D-B3FC-2828391A0D5F}" type="pres">
      <dgm:prSet presAssocID="{9DC261E7-1DED-4698-8F26-6C01ADA33491}" presName="rootText" presStyleLbl="node4" presStyleIdx="4" presStyleCnt="8" custScaleX="95314" custScaleY="61029">
        <dgm:presLayoutVars>
          <dgm:chPref val="3"/>
        </dgm:presLayoutVars>
      </dgm:prSet>
      <dgm:spPr/>
    </dgm:pt>
    <dgm:pt modelId="{5C478B53-B4E2-4C29-9E8C-E22F93C6AF32}" type="pres">
      <dgm:prSet presAssocID="{9DC261E7-1DED-4698-8F26-6C01ADA33491}" presName="rootConnector" presStyleLbl="node4" presStyleIdx="4" presStyleCnt="8"/>
      <dgm:spPr/>
    </dgm:pt>
    <dgm:pt modelId="{458D5864-EEC2-4F2D-BAE2-3F7889E1D891}" type="pres">
      <dgm:prSet presAssocID="{9DC261E7-1DED-4698-8F26-6C01ADA33491}" presName="hierChild4" presStyleCnt="0"/>
      <dgm:spPr/>
    </dgm:pt>
    <dgm:pt modelId="{4A86048A-6006-4808-A638-7598DA90EF53}" type="pres">
      <dgm:prSet presAssocID="{9DC261E7-1DED-4698-8F26-6C01ADA33491}" presName="hierChild5" presStyleCnt="0"/>
      <dgm:spPr/>
    </dgm:pt>
    <dgm:pt modelId="{A11362F8-498C-4B7F-9192-88933932E808}" type="pres">
      <dgm:prSet presAssocID="{48ABF71B-6FAD-4805-8601-212F4E153F34}" presName="Name35" presStyleLbl="parChTrans1D4" presStyleIdx="5" presStyleCnt="8"/>
      <dgm:spPr/>
    </dgm:pt>
    <dgm:pt modelId="{104A152C-1B08-4E97-B9DF-4EF3AEC85A46}" type="pres">
      <dgm:prSet presAssocID="{5C7D34A7-1AC8-4495-8965-A53CB8CC8C84}" presName="hierRoot2" presStyleCnt="0">
        <dgm:presLayoutVars>
          <dgm:hierBranch val="init"/>
        </dgm:presLayoutVars>
      </dgm:prSet>
      <dgm:spPr/>
    </dgm:pt>
    <dgm:pt modelId="{5F79AFB2-9495-4E57-8649-D9D11020DDF2}" type="pres">
      <dgm:prSet presAssocID="{5C7D34A7-1AC8-4495-8965-A53CB8CC8C84}" presName="rootComposite" presStyleCnt="0"/>
      <dgm:spPr/>
    </dgm:pt>
    <dgm:pt modelId="{C035BC5F-DE07-498D-A2FB-0B2C6CB53B5C}" type="pres">
      <dgm:prSet presAssocID="{5C7D34A7-1AC8-4495-8965-A53CB8CC8C84}" presName="rootText" presStyleLbl="node4" presStyleIdx="5" presStyleCnt="8" custScaleX="95314" custScaleY="61029">
        <dgm:presLayoutVars>
          <dgm:chPref val="3"/>
        </dgm:presLayoutVars>
      </dgm:prSet>
      <dgm:spPr/>
    </dgm:pt>
    <dgm:pt modelId="{A1DC5F8E-CE18-4CF7-8929-A7B4AFEEE1C3}" type="pres">
      <dgm:prSet presAssocID="{5C7D34A7-1AC8-4495-8965-A53CB8CC8C84}" presName="rootConnector" presStyleLbl="node4" presStyleIdx="5" presStyleCnt="8"/>
      <dgm:spPr/>
    </dgm:pt>
    <dgm:pt modelId="{FF747FD8-313E-4AEB-9713-73C131D1E822}" type="pres">
      <dgm:prSet presAssocID="{5C7D34A7-1AC8-4495-8965-A53CB8CC8C84}" presName="hierChild4" presStyleCnt="0"/>
      <dgm:spPr/>
    </dgm:pt>
    <dgm:pt modelId="{03AFF9A8-6455-4E4E-9D5D-EEA2C4319CE7}" type="pres">
      <dgm:prSet presAssocID="{5C7D34A7-1AC8-4495-8965-A53CB8CC8C84}" presName="hierChild5" presStyleCnt="0"/>
      <dgm:spPr/>
    </dgm:pt>
    <dgm:pt modelId="{108013D9-998B-470E-8F44-3C3935BA18D1}" type="pres">
      <dgm:prSet presAssocID="{13B95718-7FA1-4D7C-B644-E757FE050EF7}" presName="hierChild5" presStyleCnt="0"/>
      <dgm:spPr/>
    </dgm:pt>
    <dgm:pt modelId="{C2E120A6-FB7E-4895-A7A3-716CCDE09AB1}" type="pres">
      <dgm:prSet presAssocID="{863D5E84-D94E-4D53-9AB2-C9FBC0DDE0E7}" presName="hierChild5" presStyleCnt="0"/>
      <dgm:spPr/>
    </dgm:pt>
    <dgm:pt modelId="{232AE845-D27C-4386-85BD-9EB621298706}" type="pres">
      <dgm:prSet presAssocID="{C7BB423D-8907-4850-8EF9-E7196CEC1036}" presName="Name37" presStyleLbl="parChTrans1D4" presStyleIdx="6" presStyleCnt="8"/>
      <dgm:spPr/>
    </dgm:pt>
    <dgm:pt modelId="{8EFA952B-C0BB-457A-9131-0B47F0123224}" type="pres">
      <dgm:prSet presAssocID="{079784CF-3A58-4B9F-AA56-506D19D06B5B}" presName="hierRoot2" presStyleCnt="0">
        <dgm:presLayoutVars>
          <dgm:hierBranch val="init"/>
        </dgm:presLayoutVars>
      </dgm:prSet>
      <dgm:spPr/>
    </dgm:pt>
    <dgm:pt modelId="{8ABF1FF8-1A6D-4212-AC65-FCDD6106197D}" type="pres">
      <dgm:prSet presAssocID="{079784CF-3A58-4B9F-AA56-506D19D06B5B}" presName="rootComposite" presStyleCnt="0"/>
      <dgm:spPr/>
    </dgm:pt>
    <dgm:pt modelId="{780C14CC-E439-4642-A7A5-8069517B9E2A}" type="pres">
      <dgm:prSet presAssocID="{079784CF-3A58-4B9F-AA56-506D19D06B5B}" presName="rootText" presStyleLbl="node4" presStyleIdx="6" presStyleCnt="8" custScaleX="95314" custScaleY="61029">
        <dgm:presLayoutVars>
          <dgm:chPref val="3"/>
        </dgm:presLayoutVars>
      </dgm:prSet>
      <dgm:spPr/>
    </dgm:pt>
    <dgm:pt modelId="{CF2FF7F9-BCF3-4ADF-AF9F-E3BC05D2D407}" type="pres">
      <dgm:prSet presAssocID="{079784CF-3A58-4B9F-AA56-506D19D06B5B}" presName="rootConnector" presStyleLbl="node4" presStyleIdx="6" presStyleCnt="8"/>
      <dgm:spPr/>
    </dgm:pt>
    <dgm:pt modelId="{06844536-B2AD-4324-AD05-1D7FFE141EBE}" type="pres">
      <dgm:prSet presAssocID="{079784CF-3A58-4B9F-AA56-506D19D06B5B}" presName="hierChild4" presStyleCnt="0"/>
      <dgm:spPr/>
    </dgm:pt>
    <dgm:pt modelId="{2C4528AC-4550-4955-8C7B-18E0DB5600DD}" type="pres">
      <dgm:prSet presAssocID="{079784CF-3A58-4B9F-AA56-506D19D06B5B}" presName="hierChild5" presStyleCnt="0"/>
      <dgm:spPr/>
    </dgm:pt>
    <dgm:pt modelId="{0E40DCB5-16F8-43ED-95FB-9FD81724F96D}" type="pres">
      <dgm:prSet presAssocID="{388E981B-A473-43D6-8D85-6326C3BEA8A9}" presName="hierChild5" presStyleCnt="0"/>
      <dgm:spPr/>
    </dgm:pt>
    <dgm:pt modelId="{F49960C2-0D9C-4A84-B3B4-AC0A4E4DDEEF}" type="pres">
      <dgm:prSet presAssocID="{E9F75D67-5FD3-4073-91A6-5A630A83E109}" presName="hierChild5" presStyleCnt="0"/>
      <dgm:spPr/>
    </dgm:pt>
    <dgm:pt modelId="{D2790FD2-2750-4F27-ADAE-E43707A8589A}" type="pres">
      <dgm:prSet presAssocID="{57F9CDD3-12ED-4351-BC7E-965E21056790}" presName="Name37" presStyleLbl="parChTrans1D2" presStyleIdx="3" presStyleCnt="4"/>
      <dgm:spPr/>
    </dgm:pt>
    <dgm:pt modelId="{19F80617-26C3-4CF0-8F56-5C79C573C3CC}" type="pres">
      <dgm:prSet presAssocID="{01C764A9-88A9-4655-A972-D34209FFED0A}" presName="hierRoot2" presStyleCnt="0">
        <dgm:presLayoutVars>
          <dgm:hierBranch val="init"/>
        </dgm:presLayoutVars>
      </dgm:prSet>
      <dgm:spPr/>
    </dgm:pt>
    <dgm:pt modelId="{E3147B26-712A-4048-BA92-6D562FC15961}" type="pres">
      <dgm:prSet presAssocID="{01C764A9-88A9-4655-A972-D34209FFED0A}" presName="rootComposite" presStyleCnt="0"/>
      <dgm:spPr/>
    </dgm:pt>
    <dgm:pt modelId="{1DF16E22-F90D-480A-9692-3AA53EAEC143}" type="pres">
      <dgm:prSet presAssocID="{01C764A9-88A9-4655-A972-D34209FFED0A}" presName="rootText" presStyleLbl="node2" presStyleIdx="3" presStyleCnt="4" custScaleX="95314" custScaleY="61029" custLinFactNeighborX="-2137" custLinFactNeighborY="2137">
        <dgm:presLayoutVars>
          <dgm:chPref val="3"/>
        </dgm:presLayoutVars>
      </dgm:prSet>
      <dgm:spPr/>
    </dgm:pt>
    <dgm:pt modelId="{6D47F777-C360-4249-A7A7-E953D08523FB}" type="pres">
      <dgm:prSet presAssocID="{01C764A9-88A9-4655-A972-D34209FFED0A}" presName="rootConnector" presStyleLbl="node2" presStyleIdx="3" presStyleCnt="4"/>
      <dgm:spPr/>
    </dgm:pt>
    <dgm:pt modelId="{17A9BB3C-9CB7-4E2B-A14B-9C16D7553CF6}" type="pres">
      <dgm:prSet presAssocID="{01C764A9-88A9-4655-A972-D34209FFED0A}" presName="hierChild4" presStyleCnt="0"/>
      <dgm:spPr/>
    </dgm:pt>
    <dgm:pt modelId="{30405FC6-B547-4EC0-B546-9F0D63438670}" type="pres">
      <dgm:prSet presAssocID="{A1FFB61D-30C3-4C46-BE9F-6DA4B52F56DF}" presName="Name37" presStyleLbl="parChTrans1D3" presStyleIdx="1" presStyleCnt="4"/>
      <dgm:spPr/>
    </dgm:pt>
    <dgm:pt modelId="{4487A36F-9022-49B9-9044-484F4184AF77}" type="pres">
      <dgm:prSet presAssocID="{E5F01642-1A67-42FD-BB8C-C90C89F9BCCB}" presName="hierRoot2" presStyleCnt="0">
        <dgm:presLayoutVars>
          <dgm:hierBranch val="init"/>
        </dgm:presLayoutVars>
      </dgm:prSet>
      <dgm:spPr/>
    </dgm:pt>
    <dgm:pt modelId="{0B0FDA8E-B176-44D9-9FCD-98EE63BE1EBD}" type="pres">
      <dgm:prSet presAssocID="{E5F01642-1A67-42FD-BB8C-C90C89F9BCCB}" presName="rootComposite" presStyleCnt="0"/>
      <dgm:spPr/>
    </dgm:pt>
    <dgm:pt modelId="{2477C34C-0E3C-4424-B70A-3AF357CD7EB9}" type="pres">
      <dgm:prSet presAssocID="{E5F01642-1A67-42FD-BB8C-C90C89F9BCCB}" presName="rootText" presStyleLbl="node3" presStyleIdx="1" presStyleCnt="4" custScaleX="95314" custScaleY="61029">
        <dgm:presLayoutVars>
          <dgm:chPref val="3"/>
        </dgm:presLayoutVars>
      </dgm:prSet>
      <dgm:spPr/>
    </dgm:pt>
    <dgm:pt modelId="{1B54CDF2-55DC-482F-A768-CC78BD254131}" type="pres">
      <dgm:prSet presAssocID="{E5F01642-1A67-42FD-BB8C-C90C89F9BCCB}" presName="rootConnector" presStyleLbl="node3" presStyleIdx="1" presStyleCnt="4"/>
      <dgm:spPr/>
    </dgm:pt>
    <dgm:pt modelId="{DA4E00CB-5187-4DE6-8F1D-1BDC9380F693}" type="pres">
      <dgm:prSet presAssocID="{E5F01642-1A67-42FD-BB8C-C90C89F9BCCB}" presName="hierChild4" presStyleCnt="0"/>
      <dgm:spPr/>
    </dgm:pt>
    <dgm:pt modelId="{22F6CB68-0835-412B-8834-CAABB3FE980D}" type="pres">
      <dgm:prSet presAssocID="{FAA2BBE1-A8BE-440E-BD2E-7EBC893C9BD9}" presName="Name37" presStyleLbl="parChTrans1D4" presStyleIdx="7" presStyleCnt="8"/>
      <dgm:spPr/>
    </dgm:pt>
    <dgm:pt modelId="{6572D74B-A25E-4DB8-A1B0-74F8B8DF570D}" type="pres">
      <dgm:prSet presAssocID="{A3BCCF41-C0B5-47D1-BD7A-7DFAFF8AAA76}" presName="hierRoot2" presStyleCnt="0">
        <dgm:presLayoutVars>
          <dgm:hierBranch val="init"/>
        </dgm:presLayoutVars>
      </dgm:prSet>
      <dgm:spPr/>
    </dgm:pt>
    <dgm:pt modelId="{56DD1755-2700-41B1-B231-B0698AF80359}" type="pres">
      <dgm:prSet presAssocID="{A3BCCF41-C0B5-47D1-BD7A-7DFAFF8AAA76}" presName="rootComposite" presStyleCnt="0"/>
      <dgm:spPr/>
    </dgm:pt>
    <dgm:pt modelId="{7A916860-8EFB-4112-8F9C-A5A7DDD980FC}" type="pres">
      <dgm:prSet presAssocID="{A3BCCF41-C0B5-47D1-BD7A-7DFAFF8AAA76}" presName="rootText" presStyleLbl="node4" presStyleIdx="7" presStyleCnt="8" custScaleY="69822">
        <dgm:presLayoutVars>
          <dgm:chPref val="3"/>
        </dgm:presLayoutVars>
      </dgm:prSet>
      <dgm:spPr/>
    </dgm:pt>
    <dgm:pt modelId="{F9BEB19E-1749-428C-81C4-170FDF2723C7}" type="pres">
      <dgm:prSet presAssocID="{A3BCCF41-C0B5-47D1-BD7A-7DFAFF8AAA76}" presName="rootConnector" presStyleLbl="node4" presStyleIdx="7" presStyleCnt="8"/>
      <dgm:spPr/>
    </dgm:pt>
    <dgm:pt modelId="{CAFAAA38-2F97-49B5-9B52-09530DE73751}" type="pres">
      <dgm:prSet presAssocID="{A3BCCF41-C0B5-47D1-BD7A-7DFAFF8AAA76}" presName="hierChild4" presStyleCnt="0"/>
      <dgm:spPr/>
    </dgm:pt>
    <dgm:pt modelId="{E422FEF6-F546-4E4B-B0DF-13FE26EF77D6}" type="pres">
      <dgm:prSet presAssocID="{A3BCCF41-C0B5-47D1-BD7A-7DFAFF8AAA76}" presName="hierChild5" presStyleCnt="0"/>
      <dgm:spPr/>
    </dgm:pt>
    <dgm:pt modelId="{13A232DD-9C25-4411-8C40-5A8BC9D35FEB}" type="pres">
      <dgm:prSet presAssocID="{E5F01642-1A67-42FD-BB8C-C90C89F9BCCB}" presName="hierChild5" presStyleCnt="0"/>
      <dgm:spPr/>
    </dgm:pt>
    <dgm:pt modelId="{56C07640-0316-481B-96DA-4AA80B550C26}" type="pres">
      <dgm:prSet presAssocID="{2103A83F-5133-473A-B734-849238247488}" presName="Name37" presStyleLbl="parChTrans1D3" presStyleIdx="2" presStyleCnt="4"/>
      <dgm:spPr/>
    </dgm:pt>
    <dgm:pt modelId="{716BC13E-5323-412B-9589-E8824DEB58D1}" type="pres">
      <dgm:prSet presAssocID="{26F4F755-10F3-4023-A706-DF71B1A87308}" presName="hierRoot2" presStyleCnt="0">
        <dgm:presLayoutVars>
          <dgm:hierBranch val="init"/>
        </dgm:presLayoutVars>
      </dgm:prSet>
      <dgm:spPr/>
    </dgm:pt>
    <dgm:pt modelId="{55F9191E-372D-4DBA-B2B3-CB89943E0BB7}" type="pres">
      <dgm:prSet presAssocID="{26F4F755-10F3-4023-A706-DF71B1A87308}" presName="rootComposite" presStyleCnt="0"/>
      <dgm:spPr/>
    </dgm:pt>
    <dgm:pt modelId="{F4890984-593B-41C2-9D0E-F1BE86A2E3FD}" type="pres">
      <dgm:prSet presAssocID="{26F4F755-10F3-4023-A706-DF71B1A87308}" presName="rootText" presStyleLbl="node3" presStyleIdx="2" presStyleCnt="4" custScaleX="95314" custScaleY="61029">
        <dgm:presLayoutVars>
          <dgm:chPref val="3"/>
        </dgm:presLayoutVars>
      </dgm:prSet>
      <dgm:spPr/>
    </dgm:pt>
    <dgm:pt modelId="{09F60D85-3B40-431B-8DA7-59960776C5DB}" type="pres">
      <dgm:prSet presAssocID="{26F4F755-10F3-4023-A706-DF71B1A87308}" presName="rootConnector" presStyleLbl="node3" presStyleIdx="2" presStyleCnt="4"/>
      <dgm:spPr/>
    </dgm:pt>
    <dgm:pt modelId="{0F38C6DA-9023-4349-B220-70963B95354B}" type="pres">
      <dgm:prSet presAssocID="{26F4F755-10F3-4023-A706-DF71B1A87308}" presName="hierChild4" presStyleCnt="0"/>
      <dgm:spPr/>
    </dgm:pt>
    <dgm:pt modelId="{906B6CB5-9BCE-4AB8-AC13-E5F35FA1CA7A}" type="pres">
      <dgm:prSet presAssocID="{26F4F755-10F3-4023-A706-DF71B1A87308}" presName="hierChild5" presStyleCnt="0"/>
      <dgm:spPr/>
    </dgm:pt>
    <dgm:pt modelId="{FFA6DFF8-A50E-486B-8260-109844690ECC}" type="pres">
      <dgm:prSet presAssocID="{3DF31E28-B756-4965-B6F0-B08F9F3C54B9}" presName="Name37" presStyleLbl="parChTrans1D3" presStyleIdx="3" presStyleCnt="4"/>
      <dgm:spPr/>
    </dgm:pt>
    <dgm:pt modelId="{FD21D539-5819-4D19-BDB2-565D56C10DFA}" type="pres">
      <dgm:prSet presAssocID="{4F47352A-6F03-489B-9B0E-EBD061C22E2D}" presName="hierRoot2" presStyleCnt="0">
        <dgm:presLayoutVars>
          <dgm:hierBranch val="init"/>
        </dgm:presLayoutVars>
      </dgm:prSet>
      <dgm:spPr/>
    </dgm:pt>
    <dgm:pt modelId="{E9CC050A-3381-4AEA-AA50-2888818C993A}" type="pres">
      <dgm:prSet presAssocID="{4F47352A-6F03-489B-9B0E-EBD061C22E2D}" presName="rootComposite" presStyleCnt="0"/>
      <dgm:spPr/>
    </dgm:pt>
    <dgm:pt modelId="{8ACD67BC-E0E4-4A7F-A290-B158365CC801}" type="pres">
      <dgm:prSet presAssocID="{4F47352A-6F03-489B-9B0E-EBD061C22E2D}" presName="rootText" presStyleLbl="node3" presStyleIdx="3" presStyleCnt="4" custScaleX="95314" custScaleY="61029">
        <dgm:presLayoutVars>
          <dgm:chPref val="3"/>
        </dgm:presLayoutVars>
      </dgm:prSet>
      <dgm:spPr/>
    </dgm:pt>
    <dgm:pt modelId="{BC7BA951-8CF7-4413-8B96-2324B0892641}" type="pres">
      <dgm:prSet presAssocID="{4F47352A-6F03-489B-9B0E-EBD061C22E2D}" presName="rootConnector" presStyleLbl="node3" presStyleIdx="3" presStyleCnt="4"/>
      <dgm:spPr/>
    </dgm:pt>
    <dgm:pt modelId="{36DA00BB-AFC3-4DEA-A757-BD8146239D5D}" type="pres">
      <dgm:prSet presAssocID="{4F47352A-6F03-489B-9B0E-EBD061C22E2D}" presName="hierChild4" presStyleCnt="0"/>
      <dgm:spPr/>
    </dgm:pt>
    <dgm:pt modelId="{88B396F3-4BAD-4D43-A311-05C23C51224C}" type="pres">
      <dgm:prSet presAssocID="{4F47352A-6F03-489B-9B0E-EBD061C22E2D}" presName="hierChild5" presStyleCnt="0"/>
      <dgm:spPr/>
    </dgm:pt>
    <dgm:pt modelId="{ED71DF0E-9E10-4187-9E36-3CD342EAE6A6}" type="pres">
      <dgm:prSet presAssocID="{01C764A9-88A9-4655-A972-D34209FFED0A}" presName="hierChild5" presStyleCnt="0"/>
      <dgm:spPr/>
    </dgm:pt>
    <dgm:pt modelId="{82883AE6-5C89-4627-95DA-CB2E6507B7D8}" type="pres">
      <dgm:prSet presAssocID="{AF85FA4A-4FD0-4302-9DC3-0847D3618555}" presName="hierChild3" presStyleCnt="0"/>
      <dgm:spPr/>
    </dgm:pt>
  </dgm:ptLst>
  <dgm:cxnLst>
    <dgm:cxn modelId="{9D970800-17B4-483F-950E-58ECE69659EC}" srcId="{AF85FA4A-4FD0-4302-9DC3-0847D3618555}" destId="{8518DF29-E268-4B17-AEB4-B10D5367671B}" srcOrd="1" destOrd="0" parTransId="{B2D5B730-6E42-4F6A-890B-B74191670D42}" sibTransId="{9E34BE96-5F9A-46DE-8554-AFC8A4B92920}"/>
    <dgm:cxn modelId="{58225F03-5428-471E-8012-05711E2CEC86}" type="presOf" srcId="{2DE38786-F1B5-451C-8C2A-728B9B426B30}" destId="{8A047929-57DA-4A51-AA48-3A93A7923226}" srcOrd="1" destOrd="0" presId="urn:microsoft.com/office/officeart/2005/8/layout/orgChart1"/>
    <dgm:cxn modelId="{A533760A-AB1C-4DDB-9F1C-C13AB78F78F6}" type="presOf" srcId="{A3BCCF41-C0B5-47D1-BD7A-7DFAFF8AAA76}" destId="{F9BEB19E-1749-428C-81C4-170FDF2723C7}" srcOrd="1" destOrd="0" presId="urn:microsoft.com/office/officeart/2005/8/layout/orgChart1"/>
    <dgm:cxn modelId="{1940860A-5016-47C6-B950-F3EF022D57A9}" type="presOf" srcId="{863D5E84-D94E-4D53-9AB2-C9FBC0DDE0E7}" destId="{B517BF34-E869-48D1-8B3D-4194F9230B07}" srcOrd="1" destOrd="0" presId="urn:microsoft.com/office/officeart/2005/8/layout/orgChart1"/>
    <dgm:cxn modelId="{E5C3650C-41CC-4196-B795-46620EFE7F62}" srcId="{AF85FA4A-4FD0-4302-9DC3-0847D3618555}" destId="{01C764A9-88A9-4655-A972-D34209FFED0A}" srcOrd="3" destOrd="0" parTransId="{57F9CDD3-12ED-4351-BC7E-965E21056790}" sibTransId="{45766174-1918-40FF-ACA1-F31BA04B13B0}"/>
    <dgm:cxn modelId="{B738890F-F2AE-4835-BFBA-D5E9D10BFB8E}" type="presOf" srcId="{8518DF29-E268-4B17-AEB4-B10D5367671B}" destId="{C531E2A3-AE2F-4869-8A9B-1A809EE00684}" srcOrd="0" destOrd="0" presId="urn:microsoft.com/office/officeart/2005/8/layout/orgChart1"/>
    <dgm:cxn modelId="{B36B6B14-D20B-4D7F-8D3F-F11092EE6AF0}" type="presOf" srcId="{D8003EF9-5D9F-4612-A55A-E75C7D2AA858}" destId="{F2ED3A7F-BDC9-45B4-A65C-98CDC7CC78D6}" srcOrd="0" destOrd="0" presId="urn:microsoft.com/office/officeart/2005/8/layout/orgChart1"/>
    <dgm:cxn modelId="{99EB171C-CA29-4E35-B75D-94EE89CAD05E}" type="presOf" srcId="{029CFB9D-CEF9-46A3-BE48-DBB552538E02}" destId="{1CD87A99-5385-41A9-B069-E8DA60565996}" srcOrd="0" destOrd="0" presId="urn:microsoft.com/office/officeart/2005/8/layout/orgChart1"/>
    <dgm:cxn modelId="{A1536825-1BEF-4C23-AD91-FFE7DE4E313D}" type="presOf" srcId="{2DE38786-F1B5-451C-8C2A-728B9B426B30}" destId="{761A973D-08A0-4FCB-BA64-8FAD94B60C95}" srcOrd="0" destOrd="0" presId="urn:microsoft.com/office/officeart/2005/8/layout/orgChart1"/>
    <dgm:cxn modelId="{9FD61C2C-03E2-4E09-9D1D-6511CFAA3BAC}" type="presOf" srcId="{5C7D34A7-1AC8-4495-8965-A53CB8CC8C84}" destId="{A1DC5F8E-CE18-4CF7-8929-A7B4AFEEE1C3}" srcOrd="1" destOrd="0" presId="urn:microsoft.com/office/officeart/2005/8/layout/orgChart1"/>
    <dgm:cxn modelId="{2EC2AD2C-2154-4816-85B4-370AFDC861E0}" type="presOf" srcId="{13B95718-7FA1-4D7C-B644-E757FE050EF7}" destId="{E1524C93-3385-4C38-8460-30C362719A12}" srcOrd="1" destOrd="0" presId="urn:microsoft.com/office/officeart/2005/8/layout/orgChart1"/>
    <dgm:cxn modelId="{C71B2336-A1F1-4483-8058-B79682CA39F6}" type="presOf" srcId="{079784CF-3A58-4B9F-AA56-506D19D06B5B}" destId="{780C14CC-E439-4642-A7A5-8069517B9E2A}" srcOrd="0" destOrd="0" presId="urn:microsoft.com/office/officeart/2005/8/layout/orgChart1"/>
    <dgm:cxn modelId="{4849F63B-DFC4-441E-B8FF-F52CB8F84C49}" type="presOf" srcId="{C7BB423D-8907-4850-8EF9-E7196CEC1036}" destId="{232AE845-D27C-4386-85BD-9EB621298706}" srcOrd="0" destOrd="0" presId="urn:microsoft.com/office/officeart/2005/8/layout/orgChart1"/>
    <dgm:cxn modelId="{A60CB65D-318E-4FA5-837B-C1DBD21D414E}" type="presOf" srcId="{48ABF71B-6FAD-4805-8601-212F4E153F34}" destId="{A11362F8-498C-4B7F-9192-88933932E808}" srcOrd="0" destOrd="0" presId="urn:microsoft.com/office/officeart/2005/8/layout/orgChart1"/>
    <dgm:cxn modelId="{3470EC5E-6E87-41B1-AA07-A92BE32E1F08}" type="presOf" srcId="{26F4F755-10F3-4023-A706-DF71B1A87308}" destId="{F4890984-593B-41C2-9D0E-F1BE86A2E3FD}" srcOrd="0" destOrd="0" presId="urn:microsoft.com/office/officeart/2005/8/layout/orgChart1"/>
    <dgm:cxn modelId="{0D76EC5F-D92E-4949-96A0-411C1EC0323B}" type="presOf" srcId="{FAA2BBE1-A8BE-440E-BD2E-7EBC893C9BD9}" destId="{22F6CB68-0835-412B-8834-CAABB3FE980D}" srcOrd="0" destOrd="0" presId="urn:microsoft.com/office/officeart/2005/8/layout/orgChart1"/>
    <dgm:cxn modelId="{7176DC60-73DF-41A8-8644-6DA200505213}" srcId="{E5F01642-1A67-42FD-BB8C-C90C89F9BCCB}" destId="{A3BCCF41-C0B5-47D1-BD7A-7DFAFF8AAA76}" srcOrd="0" destOrd="0" parTransId="{FAA2BBE1-A8BE-440E-BD2E-7EBC893C9BD9}" sibTransId="{4DCE99E9-760E-4462-B0E9-F5B15854ACB1}"/>
    <dgm:cxn modelId="{B4FDEA61-9CCE-4F9B-AC5D-88E505E97BA2}" type="presOf" srcId="{A3BCCF41-C0B5-47D1-BD7A-7DFAFF8AAA76}" destId="{7A916860-8EFB-4112-8F9C-A5A7DDD980FC}" srcOrd="0" destOrd="0" presId="urn:microsoft.com/office/officeart/2005/8/layout/orgChart1"/>
    <dgm:cxn modelId="{D1630467-67D2-44FC-B499-C4B74FF8F5DE}" type="presOf" srcId="{B2D5B730-6E42-4F6A-890B-B74191670D42}" destId="{F050F701-4777-4426-A664-1067999680B8}" srcOrd="0" destOrd="0" presId="urn:microsoft.com/office/officeart/2005/8/layout/orgChart1"/>
    <dgm:cxn modelId="{F7341168-8164-439A-AC6C-06BF4F1CE040}" type="presOf" srcId="{9DC261E7-1DED-4698-8F26-6C01ADA33491}" destId="{DC2A1F2E-C2D2-4F6D-B3FC-2828391A0D5F}" srcOrd="0" destOrd="0" presId="urn:microsoft.com/office/officeart/2005/8/layout/orgChart1"/>
    <dgm:cxn modelId="{28FC7F48-06A5-4667-8A39-CA1EC865493D}" type="presOf" srcId="{079784CF-3A58-4B9F-AA56-506D19D06B5B}" destId="{CF2FF7F9-BCF3-4ADF-AF9F-E3BC05D2D407}" srcOrd="1" destOrd="0" presId="urn:microsoft.com/office/officeart/2005/8/layout/orgChart1"/>
    <dgm:cxn modelId="{03E5376E-5A19-4E8F-85C3-026419C8821E}" type="presOf" srcId="{57F9CDD3-12ED-4351-BC7E-965E21056790}" destId="{D2790FD2-2750-4F27-ADAE-E43707A8589A}" srcOrd="0" destOrd="0" presId="urn:microsoft.com/office/officeart/2005/8/layout/orgChart1"/>
    <dgm:cxn modelId="{6BBF364F-01C3-4C05-B643-037A9DB84D50}" type="presOf" srcId="{26F4F755-10F3-4023-A706-DF71B1A87308}" destId="{09F60D85-3B40-431B-8DA7-59960776C5DB}" srcOrd="1" destOrd="0" presId="urn:microsoft.com/office/officeart/2005/8/layout/orgChart1"/>
    <dgm:cxn modelId="{366C744F-47C2-4B2B-9F74-13B7AA80E312}" type="presOf" srcId="{A1FFB61D-30C3-4C46-BE9F-6DA4B52F56DF}" destId="{30405FC6-B547-4EC0-B546-9F0D63438670}" srcOrd="0" destOrd="0" presId="urn:microsoft.com/office/officeart/2005/8/layout/orgChart1"/>
    <dgm:cxn modelId="{F97BF153-7315-4EEF-A84B-3AA63659F562}" type="presOf" srcId="{E9F75D67-5FD3-4073-91A6-5A630A83E109}" destId="{C6956CEB-DEF2-4C94-B2E7-C5852496F877}" srcOrd="1" destOrd="0" presId="urn:microsoft.com/office/officeart/2005/8/layout/orgChart1"/>
    <dgm:cxn modelId="{5BADBC59-CAE0-47BE-BBC9-AE655BC2B55B}" type="presOf" srcId="{9888D7B0-F216-459F-9505-D1D74B71CBA6}" destId="{AB064344-2A71-4743-AD96-8EF513AB16E6}" srcOrd="1" destOrd="0" presId="urn:microsoft.com/office/officeart/2005/8/layout/orgChart1"/>
    <dgm:cxn modelId="{1C0A137A-CAC7-4DF9-BFAA-73535BFE9145}" type="presOf" srcId="{01C764A9-88A9-4655-A972-D34209FFED0A}" destId="{6D47F777-C360-4249-A7A7-E953D08523FB}" srcOrd="1" destOrd="0" presId="urn:microsoft.com/office/officeart/2005/8/layout/orgChart1"/>
    <dgm:cxn modelId="{D4FC505A-9221-4629-AA01-41180D3E3639}" type="presOf" srcId="{EDD9849B-333A-42C5-AF7A-9E88CDC9075A}" destId="{6600DAEE-F1CA-47E8-90B5-37C825BAE01B}" srcOrd="0" destOrd="0" presId="urn:microsoft.com/office/officeart/2005/8/layout/orgChart1"/>
    <dgm:cxn modelId="{F7EE867B-2343-42AA-8988-BD87C8514563}" type="presOf" srcId="{9DC261E7-1DED-4698-8F26-6C01ADA33491}" destId="{5C478B53-B4E2-4C29-9E8C-E22F93C6AF32}" srcOrd="1" destOrd="0" presId="urn:microsoft.com/office/officeart/2005/8/layout/orgChart1"/>
    <dgm:cxn modelId="{BD635B7F-8330-43CB-84AA-B6E33D591778}" srcId="{388E981B-A473-43D6-8D85-6326C3BEA8A9}" destId="{2DE38786-F1B5-451C-8C2A-728B9B426B30}" srcOrd="0" destOrd="0" parTransId="{222AB457-A735-4744-AB07-DFAE0D9E1AE9}" sibTransId="{7CC21AE6-DCE2-4FE7-A864-30341B58C03C}"/>
    <dgm:cxn modelId="{313CEE81-0983-4029-986F-D53AA8F59542}" type="presOf" srcId="{3DF31E28-B756-4965-B6F0-B08F9F3C54B9}" destId="{FFA6DFF8-A50E-486B-8260-109844690ECC}" srcOrd="0" destOrd="0" presId="urn:microsoft.com/office/officeart/2005/8/layout/orgChart1"/>
    <dgm:cxn modelId="{2A7AFB83-E047-4905-ABFB-389F5CE02DD4}" srcId="{863D5E84-D94E-4D53-9AB2-C9FBC0DDE0E7}" destId="{13B95718-7FA1-4D7C-B644-E757FE050EF7}" srcOrd="0" destOrd="0" parTransId="{7B08CD7A-859B-4CEF-B095-A6285174A16A}" sibTransId="{7C0DBE1E-8542-4196-8EB5-644F744EE41F}"/>
    <dgm:cxn modelId="{A6028A84-4DE9-4CD0-ABCD-60920D5C2936}" type="presOf" srcId="{5C7D34A7-1AC8-4495-8965-A53CB8CC8C84}" destId="{C035BC5F-DE07-498D-A2FB-0B2C6CB53B5C}" srcOrd="0" destOrd="0" presId="urn:microsoft.com/office/officeart/2005/8/layout/orgChart1"/>
    <dgm:cxn modelId="{F1579F87-F526-45AF-82E3-4CAB0729853C}" type="presOf" srcId="{AF85FA4A-4FD0-4302-9DC3-0847D3618555}" destId="{B2BE3EC8-3324-43EA-B8D7-796B52893122}" srcOrd="0" destOrd="0" presId="urn:microsoft.com/office/officeart/2005/8/layout/orgChart1"/>
    <dgm:cxn modelId="{9028A887-AA9C-4A12-9993-2ED1E9CB9006}" type="presOf" srcId="{7B08CD7A-859B-4CEF-B095-A6285174A16A}" destId="{8D16020E-2F33-40BC-AF2C-94CA35B3DFB9}" srcOrd="0" destOrd="0" presId="urn:microsoft.com/office/officeart/2005/8/layout/orgChart1"/>
    <dgm:cxn modelId="{FEB72F8A-17D8-4E38-8BC2-21BC71E23C55}" type="presOf" srcId="{87BE60F3-B33A-4E08-A312-C26DA1ED27A6}" destId="{CC5B446D-D37C-41EF-A493-05F0830EF276}" srcOrd="0" destOrd="0" presId="urn:microsoft.com/office/officeart/2005/8/layout/orgChart1"/>
    <dgm:cxn modelId="{AFA9C78E-EE30-48C7-933F-60CFF9617FC9}" srcId="{13B95718-7FA1-4D7C-B644-E757FE050EF7}" destId="{9888D7B0-F216-459F-9505-D1D74B71CBA6}" srcOrd="0" destOrd="0" parTransId="{029CFB9D-CEF9-46A3-BE48-DBB552538E02}" sibTransId="{8107270A-B708-453A-BA36-72EAC99C528E}"/>
    <dgm:cxn modelId="{2E2F8D93-2CCD-458D-8E55-63A4E760DD40}" srcId="{EDD9849B-333A-42C5-AF7A-9E88CDC9075A}" destId="{AF85FA4A-4FD0-4302-9DC3-0847D3618555}" srcOrd="0" destOrd="0" parTransId="{47763117-6F70-408C-ADA1-67182D39B920}" sibTransId="{987E47FD-D5E9-4175-A28D-52D526E32B98}"/>
    <dgm:cxn modelId="{483C7397-5A5B-4863-93D7-0A626BE4FCEB}" type="presOf" srcId="{9E4CE40F-4405-4EB9-86D0-F684B960D38F}" destId="{EF1B36B6-AE89-4854-AB4F-5607D63391AA}" srcOrd="0" destOrd="0" presId="urn:microsoft.com/office/officeart/2005/8/layout/orgChart1"/>
    <dgm:cxn modelId="{AA8D8198-F5E1-4D65-A900-A39742C483A2}" type="presOf" srcId="{87BE60F3-B33A-4E08-A312-C26DA1ED27A6}" destId="{CA07D46E-07C9-45A4-BF79-9B36572E31F6}" srcOrd="1" destOrd="0" presId="urn:microsoft.com/office/officeart/2005/8/layout/orgChart1"/>
    <dgm:cxn modelId="{3C055B9B-56B0-432A-8A9B-05B0959C250C}" srcId="{01C764A9-88A9-4655-A972-D34209FFED0A}" destId="{4F47352A-6F03-489B-9B0E-EBD061C22E2D}" srcOrd="2" destOrd="0" parTransId="{3DF31E28-B756-4965-B6F0-B08F9F3C54B9}" sibTransId="{5FD4FB42-F3DD-4C94-B402-6A9D3818F303}"/>
    <dgm:cxn modelId="{E88D4B9C-4FCB-408F-94FB-E0942D717FF4}" type="presOf" srcId="{01C764A9-88A9-4655-A972-D34209FFED0A}" destId="{1DF16E22-F90D-480A-9692-3AA53EAEC143}" srcOrd="0" destOrd="0" presId="urn:microsoft.com/office/officeart/2005/8/layout/orgChart1"/>
    <dgm:cxn modelId="{C66904A7-E0EF-4179-A8AD-1E554368FDD6}" type="presOf" srcId="{AF85FA4A-4FD0-4302-9DC3-0847D3618555}" destId="{79BE84F6-C332-4D15-89C0-DDFC29B12BAF}" srcOrd="1" destOrd="0" presId="urn:microsoft.com/office/officeart/2005/8/layout/orgChart1"/>
    <dgm:cxn modelId="{41196CA7-0493-42BD-BB78-6F9A28AB2196}" type="presOf" srcId="{4F47352A-6F03-489B-9B0E-EBD061C22E2D}" destId="{8ACD67BC-E0E4-4A7F-A290-B158365CC801}" srcOrd="0" destOrd="0" presId="urn:microsoft.com/office/officeart/2005/8/layout/orgChart1"/>
    <dgm:cxn modelId="{4DA435B0-66FB-490A-859A-49ECC9BCBBC6}" type="presOf" srcId="{E5F01642-1A67-42FD-BB8C-C90C89F9BCCB}" destId="{2477C34C-0E3C-4424-B70A-3AF357CD7EB9}" srcOrd="0" destOrd="0" presId="urn:microsoft.com/office/officeart/2005/8/layout/orgChart1"/>
    <dgm:cxn modelId="{32D763B1-1141-43FB-9EF7-6508F22268E7}" type="presOf" srcId="{4F47352A-6F03-489B-9B0E-EBD061C22E2D}" destId="{BC7BA951-8CF7-4413-8B96-2324B0892641}" srcOrd="1" destOrd="0" presId="urn:microsoft.com/office/officeart/2005/8/layout/orgChart1"/>
    <dgm:cxn modelId="{8EFC45B2-0B1D-4C3A-9E5D-203358F3CC5A}" srcId="{388E981B-A473-43D6-8D85-6326C3BEA8A9}" destId="{863D5E84-D94E-4D53-9AB2-C9FBC0DDE0E7}" srcOrd="1" destOrd="0" parTransId="{D8003EF9-5D9F-4612-A55A-E75C7D2AA858}" sibTransId="{445558F8-C7C1-4BC5-A1C7-232A1EBF0D88}"/>
    <dgm:cxn modelId="{07C8CAB4-8A65-4808-B34C-3E00D884DFD7}" srcId="{13B95718-7FA1-4D7C-B644-E757FE050EF7}" destId="{9DC261E7-1DED-4698-8F26-6C01ADA33491}" srcOrd="1" destOrd="0" parTransId="{DC45A04A-26DA-4053-9E06-AA21691F4A2F}" sibTransId="{5393BFCA-CF70-4DF8-8008-7E91C4296080}"/>
    <dgm:cxn modelId="{2C9842B8-5E22-403F-90FE-C9333D36DD67}" srcId="{388E981B-A473-43D6-8D85-6326C3BEA8A9}" destId="{079784CF-3A58-4B9F-AA56-506D19D06B5B}" srcOrd="2" destOrd="0" parTransId="{C7BB423D-8907-4850-8EF9-E7196CEC1036}" sibTransId="{8472F82F-2D74-4A4B-8924-8137917C4D56}"/>
    <dgm:cxn modelId="{B7DE39B9-12A9-4C77-A614-837A38EE4DE0}" srcId="{01C764A9-88A9-4655-A972-D34209FFED0A}" destId="{26F4F755-10F3-4023-A706-DF71B1A87308}" srcOrd="1" destOrd="0" parTransId="{2103A83F-5133-473A-B734-849238247488}" sibTransId="{7F118A7E-2655-44D6-9989-115299E9D45F}"/>
    <dgm:cxn modelId="{9EC796BF-0A7A-48C2-8995-37D74B60966B}" srcId="{E9F75D67-5FD3-4073-91A6-5A630A83E109}" destId="{388E981B-A473-43D6-8D85-6326C3BEA8A9}" srcOrd="0" destOrd="0" parTransId="{02994E7F-F308-4CC3-8BFC-C49932E281E3}" sibTransId="{FF9FB527-56AF-4FBD-BF19-8718FEF2192C}"/>
    <dgm:cxn modelId="{F2DD58C4-5778-461D-962F-9C7D0CF98D0A}" type="presOf" srcId="{9888D7B0-F216-459F-9505-D1D74B71CBA6}" destId="{7B7C5741-8E94-4CD6-A0C5-A8F58DC2E22C}" srcOrd="0" destOrd="0" presId="urn:microsoft.com/office/officeart/2005/8/layout/orgChart1"/>
    <dgm:cxn modelId="{C58694C8-1F6F-439F-A4AA-BEE95A2B8E5B}" type="presOf" srcId="{388E981B-A473-43D6-8D85-6326C3BEA8A9}" destId="{767D7A86-D95E-4AB6-A812-664A037043B6}" srcOrd="0" destOrd="0" presId="urn:microsoft.com/office/officeart/2005/8/layout/orgChart1"/>
    <dgm:cxn modelId="{5EE93FCB-B598-48DA-835F-E882C35BA7FA}" type="presOf" srcId="{E9F75D67-5FD3-4073-91A6-5A630A83E109}" destId="{BD2936FF-4B28-4A5F-84AD-E3386BDC1DEA}" srcOrd="0" destOrd="0" presId="urn:microsoft.com/office/officeart/2005/8/layout/orgChart1"/>
    <dgm:cxn modelId="{26870DCE-EC28-473D-93FB-84CDC05CFD3E}" type="presOf" srcId="{13B95718-7FA1-4D7C-B644-E757FE050EF7}" destId="{90119492-4379-4B9E-A340-7AF13DBEC56B}" srcOrd="0" destOrd="0" presId="urn:microsoft.com/office/officeart/2005/8/layout/orgChart1"/>
    <dgm:cxn modelId="{5F3C64D4-5866-4B30-89A9-CFA65AB50339}" type="presOf" srcId="{DC45A04A-26DA-4053-9E06-AA21691F4A2F}" destId="{1562EF09-8450-4FD7-9DB2-8195342075E6}" srcOrd="0" destOrd="0" presId="urn:microsoft.com/office/officeart/2005/8/layout/orgChart1"/>
    <dgm:cxn modelId="{B9B7C0D9-7675-4D0B-9A49-46313420387B}" srcId="{01C764A9-88A9-4655-A972-D34209FFED0A}" destId="{E5F01642-1A67-42FD-BB8C-C90C89F9BCCB}" srcOrd="0" destOrd="0" parTransId="{A1FFB61D-30C3-4C46-BE9F-6DA4B52F56DF}" sibTransId="{840BB511-FC88-4DCB-945D-5D122601879E}"/>
    <dgm:cxn modelId="{276856DA-B5F9-4280-9BD3-65844AA114AE}" srcId="{AF85FA4A-4FD0-4302-9DC3-0847D3618555}" destId="{87BE60F3-B33A-4E08-A312-C26DA1ED27A6}" srcOrd="0" destOrd="0" parTransId="{9E4CE40F-4405-4EB9-86D0-F684B960D38F}" sibTransId="{B4A080A0-4619-4AFB-92ED-32A029AB34DA}"/>
    <dgm:cxn modelId="{E4A188DD-5464-4551-9D88-4F28AC02780D}" type="presOf" srcId="{2103A83F-5133-473A-B734-849238247488}" destId="{56C07640-0316-481B-96DA-4AA80B550C26}" srcOrd="0" destOrd="0" presId="urn:microsoft.com/office/officeart/2005/8/layout/orgChart1"/>
    <dgm:cxn modelId="{78C5A7DD-BF22-4954-A5D5-02B13031C294}" type="presOf" srcId="{E5F01642-1A67-42FD-BB8C-C90C89F9BCCB}" destId="{1B54CDF2-55DC-482F-A768-CC78BD254131}" srcOrd="1" destOrd="0" presId="urn:microsoft.com/office/officeart/2005/8/layout/orgChart1"/>
    <dgm:cxn modelId="{88962AE2-21F1-4CD3-A876-70047517136E}" srcId="{AF85FA4A-4FD0-4302-9DC3-0847D3618555}" destId="{E9F75D67-5FD3-4073-91A6-5A630A83E109}" srcOrd="2" destOrd="0" parTransId="{CC40E4EF-AB9E-4625-8020-E7313F6789BE}" sibTransId="{5B200E69-C415-40AC-88CB-6E55A7D38372}"/>
    <dgm:cxn modelId="{99A439E7-C25F-4F3B-ACAB-D6800D9485B5}" type="presOf" srcId="{222AB457-A735-4744-AB07-DFAE0D9E1AE9}" destId="{224A3399-72D2-4E53-A64F-DF3B1CF60596}" srcOrd="0" destOrd="0" presId="urn:microsoft.com/office/officeart/2005/8/layout/orgChart1"/>
    <dgm:cxn modelId="{1F1E4FE8-5F6C-4C59-8012-E680BDC6F9D2}" type="presOf" srcId="{8518DF29-E268-4B17-AEB4-B10D5367671B}" destId="{E858461D-83E6-4E5B-B1F7-EB4A3D85C8E8}" srcOrd="1" destOrd="0" presId="urn:microsoft.com/office/officeart/2005/8/layout/orgChart1"/>
    <dgm:cxn modelId="{3D8FA0EC-FBBA-4056-9D3F-11BE52691FF1}" srcId="{13B95718-7FA1-4D7C-B644-E757FE050EF7}" destId="{5C7D34A7-1AC8-4495-8965-A53CB8CC8C84}" srcOrd="2" destOrd="0" parTransId="{48ABF71B-6FAD-4805-8601-212F4E153F34}" sibTransId="{60958ABD-D04E-457B-96A1-E4E1E829D83D}"/>
    <dgm:cxn modelId="{2301C3EC-A613-4655-8842-B4C3E1F547AE}" type="presOf" srcId="{388E981B-A473-43D6-8D85-6326C3BEA8A9}" destId="{D356E76F-E1AC-44E1-94F9-5F2D51D0ECFE}" srcOrd="1" destOrd="0" presId="urn:microsoft.com/office/officeart/2005/8/layout/orgChart1"/>
    <dgm:cxn modelId="{A75E52EE-1D88-4CB4-98BE-B933FC5198F1}" type="presOf" srcId="{863D5E84-D94E-4D53-9AB2-C9FBC0DDE0E7}" destId="{39EE4533-8C71-40BE-9A02-51685BCEB75F}" srcOrd="0" destOrd="0" presId="urn:microsoft.com/office/officeart/2005/8/layout/orgChart1"/>
    <dgm:cxn modelId="{E1C1D1EF-13F2-498C-A469-965B1D829DD5}" type="presOf" srcId="{02994E7F-F308-4CC3-8BFC-C49932E281E3}" destId="{52E5AA4A-3769-45F2-9FD6-F7E532242856}" srcOrd="0" destOrd="0" presId="urn:microsoft.com/office/officeart/2005/8/layout/orgChart1"/>
    <dgm:cxn modelId="{B1DE86FA-2E27-441A-A1C5-3011BB44B0BE}" type="presOf" srcId="{CC40E4EF-AB9E-4625-8020-E7313F6789BE}" destId="{04FDA189-1F55-4110-ADD4-B7880E65234B}" srcOrd="0" destOrd="0" presId="urn:microsoft.com/office/officeart/2005/8/layout/orgChart1"/>
    <dgm:cxn modelId="{7710DFA5-F47C-4908-B3CA-D4A7ABAB98C9}" type="presParOf" srcId="{6600DAEE-F1CA-47E8-90B5-37C825BAE01B}" destId="{995B8A7A-1B49-4B0B-AD6B-5854E7F70FF7}" srcOrd="0" destOrd="0" presId="urn:microsoft.com/office/officeart/2005/8/layout/orgChart1"/>
    <dgm:cxn modelId="{3813A984-C4C5-4946-8F5D-081D965BD858}" type="presParOf" srcId="{995B8A7A-1B49-4B0B-AD6B-5854E7F70FF7}" destId="{5B7DDF95-E0BC-41B1-8D65-E63F0FC86F96}" srcOrd="0" destOrd="0" presId="urn:microsoft.com/office/officeart/2005/8/layout/orgChart1"/>
    <dgm:cxn modelId="{980B9691-6470-4776-8295-D0514B462F6F}" type="presParOf" srcId="{5B7DDF95-E0BC-41B1-8D65-E63F0FC86F96}" destId="{B2BE3EC8-3324-43EA-B8D7-796B52893122}" srcOrd="0" destOrd="0" presId="urn:microsoft.com/office/officeart/2005/8/layout/orgChart1"/>
    <dgm:cxn modelId="{64C5A64D-F3EA-48DF-BA5F-E51856E6F195}" type="presParOf" srcId="{5B7DDF95-E0BC-41B1-8D65-E63F0FC86F96}" destId="{79BE84F6-C332-4D15-89C0-DDFC29B12BAF}" srcOrd="1" destOrd="0" presId="urn:microsoft.com/office/officeart/2005/8/layout/orgChart1"/>
    <dgm:cxn modelId="{5AF024C1-085D-4156-952A-E39F1BF17EA3}" type="presParOf" srcId="{995B8A7A-1B49-4B0B-AD6B-5854E7F70FF7}" destId="{EAC894A6-B5CA-463E-87B3-645C4ADC7BBB}" srcOrd="1" destOrd="0" presId="urn:microsoft.com/office/officeart/2005/8/layout/orgChart1"/>
    <dgm:cxn modelId="{3F74B219-AEB6-4668-A968-ECE55E6FC24F}" type="presParOf" srcId="{EAC894A6-B5CA-463E-87B3-645C4ADC7BBB}" destId="{EF1B36B6-AE89-4854-AB4F-5607D63391AA}" srcOrd="0" destOrd="0" presId="urn:microsoft.com/office/officeart/2005/8/layout/orgChart1"/>
    <dgm:cxn modelId="{FDFFA153-8955-40C4-BCC3-913E16ADA71F}" type="presParOf" srcId="{EAC894A6-B5CA-463E-87B3-645C4ADC7BBB}" destId="{26111165-961A-49F6-9169-5D25476F8997}" srcOrd="1" destOrd="0" presId="urn:microsoft.com/office/officeart/2005/8/layout/orgChart1"/>
    <dgm:cxn modelId="{015DF7E6-FBB5-4FD7-B57D-F63DB583F5FC}" type="presParOf" srcId="{26111165-961A-49F6-9169-5D25476F8997}" destId="{3BE80A75-0DD5-4502-94A0-835AA444589F}" srcOrd="0" destOrd="0" presId="urn:microsoft.com/office/officeart/2005/8/layout/orgChart1"/>
    <dgm:cxn modelId="{12B3A33F-431E-42C7-B3BE-0545B552D5F3}" type="presParOf" srcId="{3BE80A75-0DD5-4502-94A0-835AA444589F}" destId="{CC5B446D-D37C-41EF-A493-05F0830EF276}" srcOrd="0" destOrd="0" presId="urn:microsoft.com/office/officeart/2005/8/layout/orgChart1"/>
    <dgm:cxn modelId="{258C16CE-64D2-4377-88D8-B4B71E4F025E}" type="presParOf" srcId="{3BE80A75-0DD5-4502-94A0-835AA444589F}" destId="{CA07D46E-07C9-45A4-BF79-9B36572E31F6}" srcOrd="1" destOrd="0" presId="urn:microsoft.com/office/officeart/2005/8/layout/orgChart1"/>
    <dgm:cxn modelId="{8F365D7A-7FB5-4936-812F-3EDB6E41407A}" type="presParOf" srcId="{26111165-961A-49F6-9169-5D25476F8997}" destId="{D716784A-A6B4-42ED-A1B6-073B0CF9A97C}" srcOrd="1" destOrd="0" presId="urn:microsoft.com/office/officeart/2005/8/layout/orgChart1"/>
    <dgm:cxn modelId="{F900CBA0-3192-4CDD-AB8B-3C6EB61F7B04}" type="presParOf" srcId="{26111165-961A-49F6-9169-5D25476F8997}" destId="{8322C573-A089-437F-8CC5-372237E59F4A}" srcOrd="2" destOrd="0" presId="urn:microsoft.com/office/officeart/2005/8/layout/orgChart1"/>
    <dgm:cxn modelId="{A621926F-6406-491D-A60B-F47420D276E2}" type="presParOf" srcId="{EAC894A6-B5CA-463E-87B3-645C4ADC7BBB}" destId="{F050F701-4777-4426-A664-1067999680B8}" srcOrd="2" destOrd="0" presId="urn:microsoft.com/office/officeart/2005/8/layout/orgChart1"/>
    <dgm:cxn modelId="{12B99C52-375E-4E20-B0C9-B8310018324C}" type="presParOf" srcId="{EAC894A6-B5CA-463E-87B3-645C4ADC7BBB}" destId="{DC400DE4-3F8A-436F-BA19-523BC368CCD7}" srcOrd="3" destOrd="0" presId="urn:microsoft.com/office/officeart/2005/8/layout/orgChart1"/>
    <dgm:cxn modelId="{367B22B7-E1EC-4084-95FA-68E219244884}" type="presParOf" srcId="{DC400DE4-3F8A-436F-BA19-523BC368CCD7}" destId="{F4201050-E72D-403C-81A3-311D78A2A660}" srcOrd="0" destOrd="0" presId="urn:microsoft.com/office/officeart/2005/8/layout/orgChart1"/>
    <dgm:cxn modelId="{F5A0A2F6-864A-43EB-BA31-541928F491AC}" type="presParOf" srcId="{F4201050-E72D-403C-81A3-311D78A2A660}" destId="{C531E2A3-AE2F-4869-8A9B-1A809EE00684}" srcOrd="0" destOrd="0" presId="urn:microsoft.com/office/officeart/2005/8/layout/orgChart1"/>
    <dgm:cxn modelId="{E4B35747-ADF4-4E3C-8C85-478942145BBD}" type="presParOf" srcId="{F4201050-E72D-403C-81A3-311D78A2A660}" destId="{E858461D-83E6-4E5B-B1F7-EB4A3D85C8E8}" srcOrd="1" destOrd="0" presId="urn:microsoft.com/office/officeart/2005/8/layout/orgChart1"/>
    <dgm:cxn modelId="{F941F487-71E0-408D-81BD-0442509FFE44}" type="presParOf" srcId="{DC400DE4-3F8A-436F-BA19-523BC368CCD7}" destId="{9542FD72-CDA4-4DF8-A879-CB22DAA62201}" srcOrd="1" destOrd="0" presId="urn:microsoft.com/office/officeart/2005/8/layout/orgChart1"/>
    <dgm:cxn modelId="{7B34AD98-DA09-4A0F-A149-6E0959979D74}" type="presParOf" srcId="{DC400DE4-3F8A-436F-BA19-523BC368CCD7}" destId="{D4ED4E91-440B-4A1D-81CB-8A650560B927}" srcOrd="2" destOrd="0" presId="urn:microsoft.com/office/officeart/2005/8/layout/orgChart1"/>
    <dgm:cxn modelId="{8575DEEF-7FDA-40EB-85AB-64FEA5EA7E00}" type="presParOf" srcId="{EAC894A6-B5CA-463E-87B3-645C4ADC7BBB}" destId="{04FDA189-1F55-4110-ADD4-B7880E65234B}" srcOrd="4" destOrd="0" presId="urn:microsoft.com/office/officeart/2005/8/layout/orgChart1"/>
    <dgm:cxn modelId="{67EB49BB-340D-4FDA-9591-2B12B2DDE92D}" type="presParOf" srcId="{EAC894A6-B5CA-463E-87B3-645C4ADC7BBB}" destId="{36C58A94-0920-4E2F-90DB-966E0D2F4B1B}" srcOrd="5" destOrd="0" presId="urn:microsoft.com/office/officeart/2005/8/layout/orgChart1"/>
    <dgm:cxn modelId="{9A99517C-965D-4D7D-A210-7963F435C03E}" type="presParOf" srcId="{36C58A94-0920-4E2F-90DB-966E0D2F4B1B}" destId="{D6A5D5D7-9409-44DD-B5F8-84EC03D58754}" srcOrd="0" destOrd="0" presId="urn:microsoft.com/office/officeart/2005/8/layout/orgChart1"/>
    <dgm:cxn modelId="{29DF825B-A240-423F-8B15-FB410365962D}" type="presParOf" srcId="{D6A5D5D7-9409-44DD-B5F8-84EC03D58754}" destId="{BD2936FF-4B28-4A5F-84AD-E3386BDC1DEA}" srcOrd="0" destOrd="0" presId="urn:microsoft.com/office/officeart/2005/8/layout/orgChart1"/>
    <dgm:cxn modelId="{087912B6-2580-4624-A9FA-B35C3933D45F}" type="presParOf" srcId="{D6A5D5D7-9409-44DD-B5F8-84EC03D58754}" destId="{C6956CEB-DEF2-4C94-B2E7-C5852496F877}" srcOrd="1" destOrd="0" presId="urn:microsoft.com/office/officeart/2005/8/layout/orgChart1"/>
    <dgm:cxn modelId="{2AD2122F-936F-43F7-A133-207F1B68FF95}" type="presParOf" srcId="{36C58A94-0920-4E2F-90DB-966E0D2F4B1B}" destId="{A446DB8A-C53D-4B43-B047-C49C23A81360}" srcOrd="1" destOrd="0" presId="urn:microsoft.com/office/officeart/2005/8/layout/orgChart1"/>
    <dgm:cxn modelId="{BA5B158F-0185-4123-B89F-772C5A88F82B}" type="presParOf" srcId="{A446DB8A-C53D-4B43-B047-C49C23A81360}" destId="{52E5AA4A-3769-45F2-9FD6-F7E532242856}" srcOrd="0" destOrd="0" presId="urn:microsoft.com/office/officeart/2005/8/layout/orgChart1"/>
    <dgm:cxn modelId="{A15EB2C8-420F-4BC9-A0FF-0C5A5912AA7A}" type="presParOf" srcId="{A446DB8A-C53D-4B43-B047-C49C23A81360}" destId="{D9BB0010-6A7F-4D75-9152-596B65DEE72B}" srcOrd="1" destOrd="0" presId="urn:microsoft.com/office/officeart/2005/8/layout/orgChart1"/>
    <dgm:cxn modelId="{157A1779-DD08-410F-B850-90EFEE5D98E5}" type="presParOf" srcId="{D9BB0010-6A7F-4D75-9152-596B65DEE72B}" destId="{618DDF4D-B323-4A55-A0D6-163D4D579104}" srcOrd="0" destOrd="0" presId="urn:microsoft.com/office/officeart/2005/8/layout/orgChart1"/>
    <dgm:cxn modelId="{B7099F3C-6D62-4A3B-9951-CB5B6DD5EA51}" type="presParOf" srcId="{618DDF4D-B323-4A55-A0D6-163D4D579104}" destId="{767D7A86-D95E-4AB6-A812-664A037043B6}" srcOrd="0" destOrd="0" presId="urn:microsoft.com/office/officeart/2005/8/layout/orgChart1"/>
    <dgm:cxn modelId="{1157EB52-B42E-4C82-A75D-7947C07ED2F0}" type="presParOf" srcId="{618DDF4D-B323-4A55-A0D6-163D4D579104}" destId="{D356E76F-E1AC-44E1-94F9-5F2D51D0ECFE}" srcOrd="1" destOrd="0" presId="urn:microsoft.com/office/officeart/2005/8/layout/orgChart1"/>
    <dgm:cxn modelId="{BCDE19FB-53D6-40DD-A689-2B4CEB98B386}" type="presParOf" srcId="{D9BB0010-6A7F-4D75-9152-596B65DEE72B}" destId="{F4BDE7A9-F946-48F8-B8FC-1FAF6E2E9A8B}" srcOrd="1" destOrd="0" presId="urn:microsoft.com/office/officeart/2005/8/layout/orgChart1"/>
    <dgm:cxn modelId="{7936375A-11FF-4B60-ADA4-A894ABF8C15E}" type="presParOf" srcId="{F4BDE7A9-F946-48F8-B8FC-1FAF6E2E9A8B}" destId="{224A3399-72D2-4E53-A64F-DF3B1CF60596}" srcOrd="0" destOrd="0" presId="urn:microsoft.com/office/officeart/2005/8/layout/orgChart1"/>
    <dgm:cxn modelId="{2E5918F8-FE66-4C38-A3A0-811A9718063E}" type="presParOf" srcId="{F4BDE7A9-F946-48F8-B8FC-1FAF6E2E9A8B}" destId="{BC043048-E560-4438-9E4E-BBFEF8B3AB17}" srcOrd="1" destOrd="0" presId="urn:microsoft.com/office/officeart/2005/8/layout/orgChart1"/>
    <dgm:cxn modelId="{C6BAA6EB-0ACD-40E7-95A9-0BD4666DBFFE}" type="presParOf" srcId="{BC043048-E560-4438-9E4E-BBFEF8B3AB17}" destId="{FC723CC5-AC32-4CF5-9368-3ECA64348F63}" srcOrd="0" destOrd="0" presId="urn:microsoft.com/office/officeart/2005/8/layout/orgChart1"/>
    <dgm:cxn modelId="{9851435B-F8CE-49C3-8B31-CDFCC0B5750C}" type="presParOf" srcId="{FC723CC5-AC32-4CF5-9368-3ECA64348F63}" destId="{761A973D-08A0-4FCB-BA64-8FAD94B60C95}" srcOrd="0" destOrd="0" presId="urn:microsoft.com/office/officeart/2005/8/layout/orgChart1"/>
    <dgm:cxn modelId="{8074D5CB-27F1-4A9E-946F-0556046DEB89}" type="presParOf" srcId="{FC723CC5-AC32-4CF5-9368-3ECA64348F63}" destId="{8A047929-57DA-4A51-AA48-3A93A7923226}" srcOrd="1" destOrd="0" presId="urn:microsoft.com/office/officeart/2005/8/layout/orgChart1"/>
    <dgm:cxn modelId="{79C65A4A-F007-42A5-9179-A2B3F3A279D1}" type="presParOf" srcId="{BC043048-E560-4438-9E4E-BBFEF8B3AB17}" destId="{65B7DECC-1377-4E2D-8896-65CC6C303CF0}" srcOrd="1" destOrd="0" presId="urn:microsoft.com/office/officeart/2005/8/layout/orgChart1"/>
    <dgm:cxn modelId="{13C9364B-7591-410B-A145-4D4BB0D2C0E4}" type="presParOf" srcId="{BC043048-E560-4438-9E4E-BBFEF8B3AB17}" destId="{458B0B2C-3295-46BC-9B90-36EC55D150DA}" srcOrd="2" destOrd="0" presId="urn:microsoft.com/office/officeart/2005/8/layout/orgChart1"/>
    <dgm:cxn modelId="{9099103B-684E-4046-AAE1-7A23914DDD1A}" type="presParOf" srcId="{F4BDE7A9-F946-48F8-B8FC-1FAF6E2E9A8B}" destId="{F2ED3A7F-BDC9-45B4-A65C-98CDC7CC78D6}" srcOrd="2" destOrd="0" presId="urn:microsoft.com/office/officeart/2005/8/layout/orgChart1"/>
    <dgm:cxn modelId="{B8A1B481-5AE6-4767-AE23-5488301936F3}" type="presParOf" srcId="{F4BDE7A9-F946-48F8-B8FC-1FAF6E2E9A8B}" destId="{339C932F-20BD-4167-8FDB-D7E9F65E5318}" srcOrd="3" destOrd="0" presId="urn:microsoft.com/office/officeart/2005/8/layout/orgChart1"/>
    <dgm:cxn modelId="{C49BC9B6-6037-4166-855C-7CC00AC489DB}" type="presParOf" srcId="{339C932F-20BD-4167-8FDB-D7E9F65E5318}" destId="{5712D1E4-F6FD-4C6D-9972-BB878924878D}" srcOrd="0" destOrd="0" presId="urn:microsoft.com/office/officeart/2005/8/layout/orgChart1"/>
    <dgm:cxn modelId="{72EB8ACC-6D2A-4B96-990B-5086F511BFF7}" type="presParOf" srcId="{5712D1E4-F6FD-4C6D-9972-BB878924878D}" destId="{39EE4533-8C71-40BE-9A02-51685BCEB75F}" srcOrd="0" destOrd="0" presId="urn:microsoft.com/office/officeart/2005/8/layout/orgChart1"/>
    <dgm:cxn modelId="{3498156E-CD6B-46E8-8C59-C938DFFB8DD6}" type="presParOf" srcId="{5712D1E4-F6FD-4C6D-9972-BB878924878D}" destId="{B517BF34-E869-48D1-8B3D-4194F9230B07}" srcOrd="1" destOrd="0" presId="urn:microsoft.com/office/officeart/2005/8/layout/orgChart1"/>
    <dgm:cxn modelId="{B504E5AA-DA4B-43B8-B395-BE6BA26782E0}" type="presParOf" srcId="{339C932F-20BD-4167-8FDB-D7E9F65E5318}" destId="{4025F71C-61AA-4319-8202-ED898CA0ED3F}" srcOrd="1" destOrd="0" presId="urn:microsoft.com/office/officeart/2005/8/layout/orgChart1"/>
    <dgm:cxn modelId="{7589794B-74A0-4AFE-994E-C581852F955A}" type="presParOf" srcId="{4025F71C-61AA-4319-8202-ED898CA0ED3F}" destId="{8D16020E-2F33-40BC-AF2C-94CA35B3DFB9}" srcOrd="0" destOrd="0" presId="urn:microsoft.com/office/officeart/2005/8/layout/orgChart1"/>
    <dgm:cxn modelId="{8203ADA9-12BC-4F4B-A278-A186DB9EE527}" type="presParOf" srcId="{4025F71C-61AA-4319-8202-ED898CA0ED3F}" destId="{563AB2EA-8E59-42A1-9757-C75766E49707}" srcOrd="1" destOrd="0" presId="urn:microsoft.com/office/officeart/2005/8/layout/orgChart1"/>
    <dgm:cxn modelId="{F4587B1A-FB96-4DFF-AE0F-3D61A5FB436E}" type="presParOf" srcId="{563AB2EA-8E59-42A1-9757-C75766E49707}" destId="{8DD3C787-3878-4E25-83D0-9A89AFF57F09}" srcOrd="0" destOrd="0" presId="urn:microsoft.com/office/officeart/2005/8/layout/orgChart1"/>
    <dgm:cxn modelId="{31528566-5A65-4E44-B929-2508D4AA3A01}" type="presParOf" srcId="{8DD3C787-3878-4E25-83D0-9A89AFF57F09}" destId="{90119492-4379-4B9E-A340-7AF13DBEC56B}" srcOrd="0" destOrd="0" presId="urn:microsoft.com/office/officeart/2005/8/layout/orgChart1"/>
    <dgm:cxn modelId="{FE743624-BEE7-4B8C-A9BD-7E884E2C0999}" type="presParOf" srcId="{8DD3C787-3878-4E25-83D0-9A89AFF57F09}" destId="{E1524C93-3385-4C38-8460-30C362719A12}" srcOrd="1" destOrd="0" presId="urn:microsoft.com/office/officeart/2005/8/layout/orgChart1"/>
    <dgm:cxn modelId="{B0781ABD-E030-43E0-8200-22CD5D020412}" type="presParOf" srcId="{563AB2EA-8E59-42A1-9757-C75766E49707}" destId="{F8363CDA-2DBA-4805-8F48-C54477666AA6}" srcOrd="1" destOrd="0" presId="urn:microsoft.com/office/officeart/2005/8/layout/orgChart1"/>
    <dgm:cxn modelId="{20B637B3-611C-4501-B31E-8D0F218A52AE}" type="presParOf" srcId="{F8363CDA-2DBA-4805-8F48-C54477666AA6}" destId="{1CD87A99-5385-41A9-B069-E8DA60565996}" srcOrd="0" destOrd="0" presId="urn:microsoft.com/office/officeart/2005/8/layout/orgChart1"/>
    <dgm:cxn modelId="{9844BB89-19F0-41D8-9099-57C6EB3FB261}" type="presParOf" srcId="{F8363CDA-2DBA-4805-8F48-C54477666AA6}" destId="{08E02A76-A3DD-4E1F-BD01-A1F3A6763A28}" srcOrd="1" destOrd="0" presId="urn:microsoft.com/office/officeart/2005/8/layout/orgChart1"/>
    <dgm:cxn modelId="{0FE3C4D6-7229-40F4-B146-F00CCCD01C73}" type="presParOf" srcId="{08E02A76-A3DD-4E1F-BD01-A1F3A6763A28}" destId="{C4D668FE-6CC3-4A4C-8854-5BC5D65DD71F}" srcOrd="0" destOrd="0" presId="urn:microsoft.com/office/officeart/2005/8/layout/orgChart1"/>
    <dgm:cxn modelId="{C259BE86-0139-4C61-8297-DE11621775D4}" type="presParOf" srcId="{C4D668FE-6CC3-4A4C-8854-5BC5D65DD71F}" destId="{7B7C5741-8E94-4CD6-A0C5-A8F58DC2E22C}" srcOrd="0" destOrd="0" presId="urn:microsoft.com/office/officeart/2005/8/layout/orgChart1"/>
    <dgm:cxn modelId="{B571E39F-64EE-4A94-9739-BBEB029812BB}" type="presParOf" srcId="{C4D668FE-6CC3-4A4C-8854-5BC5D65DD71F}" destId="{AB064344-2A71-4743-AD96-8EF513AB16E6}" srcOrd="1" destOrd="0" presId="urn:microsoft.com/office/officeart/2005/8/layout/orgChart1"/>
    <dgm:cxn modelId="{77941245-B05F-4DD4-A2D5-9DF7F962F3B3}" type="presParOf" srcId="{08E02A76-A3DD-4E1F-BD01-A1F3A6763A28}" destId="{D1A67AB3-66F9-4CE6-BF8A-B8A6DEE26C78}" srcOrd="1" destOrd="0" presId="urn:microsoft.com/office/officeart/2005/8/layout/orgChart1"/>
    <dgm:cxn modelId="{FEB90C53-E372-4FA4-95FF-BECF6CF7C12B}" type="presParOf" srcId="{08E02A76-A3DD-4E1F-BD01-A1F3A6763A28}" destId="{3B94739F-901F-457C-9FF4-EFA699141413}" srcOrd="2" destOrd="0" presId="urn:microsoft.com/office/officeart/2005/8/layout/orgChart1"/>
    <dgm:cxn modelId="{98CE8404-B4A1-4B81-8925-3EBF7227099C}" type="presParOf" srcId="{F8363CDA-2DBA-4805-8F48-C54477666AA6}" destId="{1562EF09-8450-4FD7-9DB2-8195342075E6}" srcOrd="2" destOrd="0" presId="urn:microsoft.com/office/officeart/2005/8/layout/orgChart1"/>
    <dgm:cxn modelId="{56256513-0787-4DB7-B041-7D281D6FCFCC}" type="presParOf" srcId="{F8363CDA-2DBA-4805-8F48-C54477666AA6}" destId="{A768BFCC-EF65-481E-AF6E-E26235DDEDC9}" srcOrd="3" destOrd="0" presId="urn:microsoft.com/office/officeart/2005/8/layout/orgChart1"/>
    <dgm:cxn modelId="{CAC3220E-1603-4A0B-8A69-351E5B4C06AA}" type="presParOf" srcId="{A768BFCC-EF65-481E-AF6E-E26235DDEDC9}" destId="{44535E48-37AB-4B58-A824-656114DB4A9F}" srcOrd="0" destOrd="0" presId="urn:microsoft.com/office/officeart/2005/8/layout/orgChart1"/>
    <dgm:cxn modelId="{FDACC00A-1DB5-48B4-92A6-B61E26CE7912}" type="presParOf" srcId="{44535E48-37AB-4B58-A824-656114DB4A9F}" destId="{DC2A1F2E-C2D2-4F6D-B3FC-2828391A0D5F}" srcOrd="0" destOrd="0" presId="urn:microsoft.com/office/officeart/2005/8/layout/orgChart1"/>
    <dgm:cxn modelId="{58514C7D-ABF1-4623-A9D1-5A765E5BA8A7}" type="presParOf" srcId="{44535E48-37AB-4B58-A824-656114DB4A9F}" destId="{5C478B53-B4E2-4C29-9E8C-E22F93C6AF32}" srcOrd="1" destOrd="0" presId="urn:microsoft.com/office/officeart/2005/8/layout/orgChart1"/>
    <dgm:cxn modelId="{E704E78C-252E-4A57-A7CF-E51578AAD2CA}" type="presParOf" srcId="{A768BFCC-EF65-481E-AF6E-E26235DDEDC9}" destId="{458D5864-EEC2-4F2D-BAE2-3F7889E1D891}" srcOrd="1" destOrd="0" presId="urn:microsoft.com/office/officeart/2005/8/layout/orgChart1"/>
    <dgm:cxn modelId="{C2383804-A83D-47E9-88B0-5163E9CAF9D6}" type="presParOf" srcId="{A768BFCC-EF65-481E-AF6E-E26235DDEDC9}" destId="{4A86048A-6006-4808-A638-7598DA90EF53}" srcOrd="2" destOrd="0" presId="urn:microsoft.com/office/officeart/2005/8/layout/orgChart1"/>
    <dgm:cxn modelId="{957B5E1E-CEC8-4C5C-BD49-6E37B31E1AF1}" type="presParOf" srcId="{F8363CDA-2DBA-4805-8F48-C54477666AA6}" destId="{A11362F8-498C-4B7F-9192-88933932E808}" srcOrd="4" destOrd="0" presId="urn:microsoft.com/office/officeart/2005/8/layout/orgChart1"/>
    <dgm:cxn modelId="{CC39AA1E-207B-4249-AD72-810A6D473D3C}" type="presParOf" srcId="{F8363CDA-2DBA-4805-8F48-C54477666AA6}" destId="{104A152C-1B08-4E97-B9DF-4EF3AEC85A46}" srcOrd="5" destOrd="0" presId="urn:microsoft.com/office/officeart/2005/8/layout/orgChart1"/>
    <dgm:cxn modelId="{6F99B469-C906-4875-B9A0-8299B2C1701E}" type="presParOf" srcId="{104A152C-1B08-4E97-B9DF-4EF3AEC85A46}" destId="{5F79AFB2-9495-4E57-8649-D9D11020DDF2}" srcOrd="0" destOrd="0" presId="urn:microsoft.com/office/officeart/2005/8/layout/orgChart1"/>
    <dgm:cxn modelId="{3CF0DE08-60D9-4009-BEA6-3A6FB9EB2E14}" type="presParOf" srcId="{5F79AFB2-9495-4E57-8649-D9D11020DDF2}" destId="{C035BC5F-DE07-498D-A2FB-0B2C6CB53B5C}" srcOrd="0" destOrd="0" presId="urn:microsoft.com/office/officeart/2005/8/layout/orgChart1"/>
    <dgm:cxn modelId="{89411AC5-B490-4462-B121-7C815C12789A}" type="presParOf" srcId="{5F79AFB2-9495-4E57-8649-D9D11020DDF2}" destId="{A1DC5F8E-CE18-4CF7-8929-A7B4AFEEE1C3}" srcOrd="1" destOrd="0" presId="urn:microsoft.com/office/officeart/2005/8/layout/orgChart1"/>
    <dgm:cxn modelId="{8F38F1C2-5E4B-425E-8A5B-7795B573A787}" type="presParOf" srcId="{104A152C-1B08-4E97-B9DF-4EF3AEC85A46}" destId="{FF747FD8-313E-4AEB-9713-73C131D1E822}" srcOrd="1" destOrd="0" presId="urn:microsoft.com/office/officeart/2005/8/layout/orgChart1"/>
    <dgm:cxn modelId="{DBA565EA-A3AC-45F6-90C6-D17635A0A385}" type="presParOf" srcId="{104A152C-1B08-4E97-B9DF-4EF3AEC85A46}" destId="{03AFF9A8-6455-4E4E-9D5D-EEA2C4319CE7}" srcOrd="2" destOrd="0" presId="urn:microsoft.com/office/officeart/2005/8/layout/orgChart1"/>
    <dgm:cxn modelId="{4A39DCB4-6968-4DD6-AB2B-9ACC4243F985}" type="presParOf" srcId="{563AB2EA-8E59-42A1-9757-C75766E49707}" destId="{108013D9-998B-470E-8F44-3C3935BA18D1}" srcOrd="2" destOrd="0" presId="urn:microsoft.com/office/officeart/2005/8/layout/orgChart1"/>
    <dgm:cxn modelId="{6C2F9BEF-1AC2-4E46-899F-3C70DBD752B9}" type="presParOf" srcId="{339C932F-20BD-4167-8FDB-D7E9F65E5318}" destId="{C2E120A6-FB7E-4895-A7A3-716CCDE09AB1}" srcOrd="2" destOrd="0" presId="urn:microsoft.com/office/officeart/2005/8/layout/orgChart1"/>
    <dgm:cxn modelId="{B6341141-9C17-43E4-949B-2855CEB7C181}" type="presParOf" srcId="{F4BDE7A9-F946-48F8-B8FC-1FAF6E2E9A8B}" destId="{232AE845-D27C-4386-85BD-9EB621298706}" srcOrd="4" destOrd="0" presId="urn:microsoft.com/office/officeart/2005/8/layout/orgChart1"/>
    <dgm:cxn modelId="{FB723EFD-5ECA-44AE-B48B-F92D0E5AFD68}" type="presParOf" srcId="{F4BDE7A9-F946-48F8-B8FC-1FAF6E2E9A8B}" destId="{8EFA952B-C0BB-457A-9131-0B47F0123224}" srcOrd="5" destOrd="0" presId="urn:microsoft.com/office/officeart/2005/8/layout/orgChart1"/>
    <dgm:cxn modelId="{09FECDAD-30D5-485D-9385-B44808373951}" type="presParOf" srcId="{8EFA952B-C0BB-457A-9131-0B47F0123224}" destId="{8ABF1FF8-1A6D-4212-AC65-FCDD6106197D}" srcOrd="0" destOrd="0" presId="urn:microsoft.com/office/officeart/2005/8/layout/orgChart1"/>
    <dgm:cxn modelId="{0CB79E38-F0A2-4A84-8663-C5B1080BC4AA}" type="presParOf" srcId="{8ABF1FF8-1A6D-4212-AC65-FCDD6106197D}" destId="{780C14CC-E439-4642-A7A5-8069517B9E2A}" srcOrd="0" destOrd="0" presId="urn:microsoft.com/office/officeart/2005/8/layout/orgChart1"/>
    <dgm:cxn modelId="{6279ECCA-F27B-4372-8238-AB1C8B7BAEE8}" type="presParOf" srcId="{8ABF1FF8-1A6D-4212-AC65-FCDD6106197D}" destId="{CF2FF7F9-BCF3-4ADF-AF9F-E3BC05D2D407}" srcOrd="1" destOrd="0" presId="urn:microsoft.com/office/officeart/2005/8/layout/orgChart1"/>
    <dgm:cxn modelId="{50494E00-8937-4407-A823-311B520AD4D1}" type="presParOf" srcId="{8EFA952B-C0BB-457A-9131-0B47F0123224}" destId="{06844536-B2AD-4324-AD05-1D7FFE141EBE}" srcOrd="1" destOrd="0" presId="urn:microsoft.com/office/officeart/2005/8/layout/orgChart1"/>
    <dgm:cxn modelId="{4C869BC1-EE2B-4D2A-96A5-6ADDAC6A8E63}" type="presParOf" srcId="{8EFA952B-C0BB-457A-9131-0B47F0123224}" destId="{2C4528AC-4550-4955-8C7B-18E0DB5600DD}" srcOrd="2" destOrd="0" presId="urn:microsoft.com/office/officeart/2005/8/layout/orgChart1"/>
    <dgm:cxn modelId="{11D021C4-ED80-46A8-AA22-3D477BEB8596}" type="presParOf" srcId="{D9BB0010-6A7F-4D75-9152-596B65DEE72B}" destId="{0E40DCB5-16F8-43ED-95FB-9FD81724F96D}" srcOrd="2" destOrd="0" presId="urn:microsoft.com/office/officeart/2005/8/layout/orgChart1"/>
    <dgm:cxn modelId="{64420063-9580-49A6-8BD3-C06C888AB6EA}" type="presParOf" srcId="{36C58A94-0920-4E2F-90DB-966E0D2F4B1B}" destId="{F49960C2-0D9C-4A84-B3B4-AC0A4E4DDEEF}" srcOrd="2" destOrd="0" presId="urn:microsoft.com/office/officeart/2005/8/layout/orgChart1"/>
    <dgm:cxn modelId="{F59BD047-0754-4075-BE51-CFC05BC5125B}" type="presParOf" srcId="{EAC894A6-B5CA-463E-87B3-645C4ADC7BBB}" destId="{D2790FD2-2750-4F27-ADAE-E43707A8589A}" srcOrd="6" destOrd="0" presId="urn:microsoft.com/office/officeart/2005/8/layout/orgChart1"/>
    <dgm:cxn modelId="{1133F9BE-F01A-4120-8117-D5C4FDE2058A}" type="presParOf" srcId="{EAC894A6-B5CA-463E-87B3-645C4ADC7BBB}" destId="{19F80617-26C3-4CF0-8F56-5C79C573C3CC}" srcOrd="7" destOrd="0" presId="urn:microsoft.com/office/officeart/2005/8/layout/orgChart1"/>
    <dgm:cxn modelId="{7DF2C242-845E-4A86-8762-E64F89B2CFA0}" type="presParOf" srcId="{19F80617-26C3-4CF0-8F56-5C79C573C3CC}" destId="{E3147B26-712A-4048-BA92-6D562FC15961}" srcOrd="0" destOrd="0" presId="urn:microsoft.com/office/officeart/2005/8/layout/orgChart1"/>
    <dgm:cxn modelId="{38D1A38C-0341-4B3F-BBDA-D12422ACA579}" type="presParOf" srcId="{E3147B26-712A-4048-BA92-6D562FC15961}" destId="{1DF16E22-F90D-480A-9692-3AA53EAEC143}" srcOrd="0" destOrd="0" presId="urn:microsoft.com/office/officeart/2005/8/layout/orgChart1"/>
    <dgm:cxn modelId="{F5B337B4-E40A-4550-96DE-5EAA162E75EC}" type="presParOf" srcId="{E3147B26-712A-4048-BA92-6D562FC15961}" destId="{6D47F777-C360-4249-A7A7-E953D08523FB}" srcOrd="1" destOrd="0" presId="urn:microsoft.com/office/officeart/2005/8/layout/orgChart1"/>
    <dgm:cxn modelId="{85125C0F-50B6-4F01-80E4-14B745D88417}" type="presParOf" srcId="{19F80617-26C3-4CF0-8F56-5C79C573C3CC}" destId="{17A9BB3C-9CB7-4E2B-A14B-9C16D7553CF6}" srcOrd="1" destOrd="0" presId="urn:microsoft.com/office/officeart/2005/8/layout/orgChart1"/>
    <dgm:cxn modelId="{F94271FE-DFF3-4BA8-AB8F-E0D5B7FE1554}" type="presParOf" srcId="{17A9BB3C-9CB7-4E2B-A14B-9C16D7553CF6}" destId="{30405FC6-B547-4EC0-B546-9F0D63438670}" srcOrd="0" destOrd="0" presId="urn:microsoft.com/office/officeart/2005/8/layout/orgChart1"/>
    <dgm:cxn modelId="{2DE41AB1-BEA6-4FBB-BE18-BD1A8A4E5851}" type="presParOf" srcId="{17A9BB3C-9CB7-4E2B-A14B-9C16D7553CF6}" destId="{4487A36F-9022-49B9-9044-484F4184AF77}" srcOrd="1" destOrd="0" presId="urn:microsoft.com/office/officeart/2005/8/layout/orgChart1"/>
    <dgm:cxn modelId="{783DA409-469A-4EC4-9BC5-98926EB65F1F}" type="presParOf" srcId="{4487A36F-9022-49B9-9044-484F4184AF77}" destId="{0B0FDA8E-B176-44D9-9FCD-98EE63BE1EBD}" srcOrd="0" destOrd="0" presId="urn:microsoft.com/office/officeart/2005/8/layout/orgChart1"/>
    <dgm:cxn modelId="{6B567B25-21B8-428E-9FEC-E138510BB1A1}" type="presParOf" srcId="{0B0FDA8E-B176-44D9-9FCD-98EE63BE1EBD}" destId="{2477C34C-0E3C-4424-B70A-3AF357CD7EB9}" srcOrd="0" destOrd="0" presId="urn:microsoft.com/office/officeart/2005/8/layout/orgChart1"/>
    <dgm:cxn modelId="{BA05526A-6E9A-467F-9268-6EDB04620A66}" type="presParOf" srcId="{0B0FDA8E-B176-44D9-9FCD-98EE63BE1EBD}" destId="{1B54CDF2-55DC-482F-A768-CC78BD254131}" srcOrd="1" destOrd="0" presId="urn:microsoft.com/office/officeart/2005/8/layout/orgChart1"/>
    <dgm:cxn modelId="{22D3E1AB-C385-4E65-9F53-E4760F3FA925}" type="presParOf" srcId="{4487A36F-9022-49B9-9044-484F4184AF77}" destId="{DA4E00CB-5187-4DE6-8F1D-1BDC9380F693}" srcOrd="1" destOrd="0" presId="urn:microsoft.com/office/officeart/2005/8/layout/orgChart1"/>
    <dgm:cxn modelId="{F3E25F92-D920-44B6-9BF1-789E9567007C}" type="presParOf" srcId="{DA4E00CB-5187-4DE6-8F1D-1BDC9380F693}" destId="{22F6CB68-0835-412B-8834-CAABB3FE980D}" srcOrd="0" destOrd="0" presId="urn:microsoft.com/office/officeart/2005/8/layout/orgChart1"/>
    <dgm:cxn modelId="{DD6A69A5-EB5A-4495-B20A-4F184CFD93E2}" type="presParOf" srcId="{DA4E00CB-5187-4DE6-8F1D-1BDC9380F693}" destId="{6572D74B-A25E-4DB8-A1B0-74F8B8DF570D}" srcOrd="1" destOrd="0" presId="urn:microsoft.com/office/officeart/2005/8/layout/orgChart1"/>
    <dgm:cxn modelId="{B1F976C0-ED14-497E-9B1F-76F9C7DB5996}" type="presParOf" srcId="{6572D74B-A25E-4DB8-A1B0-74F8B8DF570D}" destId="{56DD1755-2700-41B1-B231-B0698AF80359}" srcOrd="0" destOrd="0" presId="urn:microsoft.com/office/officeart/2005/8/layout/orgChart1"/>
    <dgm:cxn modelId="{AA313D79-FBB2-4983-A19C-70B35492C200}" type="presParOf" srcId="{56DD1755-2700-41B1-B231-B0698AF80359}" destId="{7A916860-8EFB-4112-8F9C-A5A7DDD980FC}" srcOrd="0" destOrd="0" presId="urn:microsoft.com/office/officeart/2005/8/layout/orgChart1"/>
    <dgm:cxn modelId="{C57BD9B5-A051-4FA5-A430-21064736CD66}" type="presParOf" srcId="{56DD1755-2700-41B1-B231-B0698AF80359}" destId="{F9BEB19E-1749-428C-81C4-170FDF2723C7}" srcOrd="1" destOrd="0" presId="urn:microsoft.com/office/officeart/2005/8/layout/orgChart1"/>
    <dgm:cxn modelId="{2AD8F482-B9E3-4162-85DF-A2BC98839901}" type="presParOf" srcId="{6572D74B-A25E-4DB8-A1B0-74F8B8DF570D}" destId="{CAFAAA38-2F97-49B5-9B52-09530DE73751}" srcOrd="1" destOrd="0" presId="urn:microsoft.com/office/officeart/2005/8/layout/orgChart1"/>
    <dgm:cxn modelId="{63591B46-6031-4D25-8AC3-0BA9C962A468}" type="presParOf" srcId="{6572D74B-A25E-4DB8-A1B0-74F8B8DF570D}" destId="{E422FEF6-F546-4E4B-B0DF-13FE26EF77D6}" srcOrd="2" destOrd="0" presId="urn:microsoft.com/office/officeart/2005/8/layout/orgChart1"/>
    <dgm:cxn modelId="{9A0F2D07-B141-4765-B226-591810D84D77}" type="presParOf" srcId="{4487A36F-9022-49B9-9044-484F4184AF77}" destId="{13A232DD-9C25-4411-8C40-5A8BC9D35FEB}" srcOrd="2" destOrd="0" presId="urn:microsoft.com/office/officeart/2005/8/layout/orgChart1"/>
    <dgm:cxn modelId="{BF3E2D33-65A2-4766-9145-9D2B24410809}" type="presParOf" srcId="{17A9BB3C-9CB7-4E2B-A14B-9C16D7553CF6}" destId="{56C07640-0316-481B-96DA-4AA80B550C26}" srcOrd="2" destOrd="0" presId="urn:microsoft.com/office/officeart/2005/8/layout/orgChart1"/>
    <dgm:cxn modelId="{F9877788-B05F-41D7-A88B-0E806FBEA644}" type="presParOf" srcId="{17A9BB3C-9CB7-4E2B-A14B-9C16D7553CF6}" destId="{716BC13E-5323-412B-9589-E8824DEB58D1}" srcOrd="3" destOrd="0" presId="urn:microsoft.com/office/officeart/2005/8/layout/orgChart1"/>
    <dgm:cxn modelId="{5460E092-D523-4B54-A83B-E381EB557CF7}" type="presParOf" srcId="{716BC13E-5323-412B-9589-E8824DEB58D1}" destId="{55F9191E-372D-4DBA-B2B3-CB89943E0BB7}" srcOrd="0" destOrd="0" presId="urn:microsoft.com/office/officeart/2005/8/layout/orgChart1"/>
    <dgm:cxn modelId="{9A4ECD09-1B5D-46BC-BDB6-A08437132CE9}" type="presParOf" srcId="{55F9191E-372D-4DBA-B2B3-CB89943E0BB7}" destId="{F4890984-593B-41C2-9D0E-F1BE86A2E3FD}" srcOrd="0" destOrd="0" presId="urn:microsoft.com/office/officeart/2005/8/layout/orgChart1"/>
    <dgm:cxn modelId="{63EE7D9D-8ABA-416F-8D16-32E76F1A8783}" type="presParOf" srcId="{55F9191E-372D-4DBA-B2B3-CB89943E0BB7}" destId="{09F60D85-3B40-431B-8DA7-59960776C5DB}" srcOrd="1" destOrd="0" presId="urn:microsoft.com/office/officeart/2005/8/layout/orgChart1"/>
    <dgm:cxn modelId="{055C5E1D-D834-40F3-A470-CD0525D935D6}" type="presParOf" srcId="{716BC13E-5323-412B-9589-E8824DEB58D1}" destId="{0F38C6DA-9023-4349-B220-70963B95354B}" srcOrd="1" destOrd="0" presId="urn:microsoft.com/office/officeart/2005/8/layout/orgChart1"/>
    <dgm:cxn modelId="{EFEC12F5-4F28-46FA-A5D8-D85F6A45B266}" type="presParOf" srcId="{716BC13E-5323-412B-9589-E8824DEB58D1}" destId="{906B6CB5-9BCE-4AB8-AC13-E5F35FA1CA7A}" srcOrd="2" destOrd="0" presId="urn:microsoft.com/office/officeart/2005/8/layout/orgChart1"/>
    <dgm:cxn modelId="{FC004245-916E-47C2-810B-04240D7190D1}" type="presParOf" srcId="{17A9BB3C-9CB7-4E2B-A14B-9C16D7553CF6}" destId="{FFA6DFF8-A50E-486B-8260-109844690ECC}" srcOrd="4" destOrd="0" presId="urn:microsoft.com/office/officeart/2005/8/layout/orgChart1"/>
    <dgm:cxn modelId="{833415EE-728F-430B-A41D-1C0B0297E68B}" type="presParOf" srcId="{17A9BB3C-9CB7-4E2B-A14B-9C16D7553CF6}" destId="{FD21D539-5819-4D19-BDB2-565D56C10DFA}" srcOrd="5" destOrd="0" presId="urn:microsoft.com/office/officeart/2005/8/layout/orgChart1"/>
    <dgm:cxn modelId="{735F8906-0ABA-49FA-9FF8-ABAC333252CB}" type="presParOf" srcId="{FD21D539-5819-4D19-BDB2-565D56C10DFA}" destId="{E9CC050A-3381-4AEA-AA50-2888818C993A}" srcOrd="0" destOrd="0" presId="urn:microsoft.com/office/officeart/2005/8/layout/orgChart1"/>
    <dgm:cxn modelId="{8C08EE36-FA93-4336-B421-F4972659CCFB}" type="presParOf" srcId="{E9CC050A-3381-4AEA-AA50-2888818C993A}" destId="{8ACD67BC-E0E4-4A7F-A290-B158365CC801}" srcOrd="0" destOrd="0" presId="urn:microsoft.com/office/officeart/2005/8/layout/orgChart1"/>
    <dgm:cxn modelId="{280AB249-05DA-47FC-A9A1-C27F9F701A11}" type="presParOf" srcId="{E9CC050A-3381-4AEA-AA50-2888818C993A}" destId="{BC7BA951-8CF7-4413-8B96-2324B0892641}" srcOrd="1" destOrd="0" presId="urn:microsoft.com/office/officeart/2005/8/layout/orgChart1"/>
    <dgm:cxn modelId="{CF79E6FA-64FE-4938-9478-88745C86C720}" type="presParOf" srcId="{FD21D539-5819-4D19-BDB2-565D56C10DFA}" destId="{36DA00BB-AFC3-4DEA-A757-BD8146239D5D}" srcOrd="1" destOrd="0" presId="urn:microsoft.com/office/officeart/2005/8/layout/orgChart1"/>
    <dgm:cxn modelId="{F7E071DD-FA8B-459D-8231-4358BC6FEF6E}" type="presParOf" srcId="{FD21D539-5819-4D19-BDB2-565D56C10DFA}" destId="{88B396F3-4BAD-4D43-A311-05C23C51224C}" srcOrd="2" destOrd="0" presId="urn:microsoft.com/office/officeart/2005/8/layout/orgChart1"/>
    <dgm:cxn modelId="{91EE6D20-DF36-4C0D-92ED-F44082205102}" type="presParOf" srcId="{19F80617-26C3-4CF0-8F56-5C79C573C3CC}" destId="{ED71DF0E-9E10-4187-9E36-3CD342EAE6A6}" srcOrd="2" destOrd="0" presId="urn:microsoft.com/office/officeart/2005/8/layout/orgChart1"/>
    <dgm:cxn modelId="{58FDD2AE-E365-457C-9D63-224B5DB26FB8}" type="presParOf" srcId="{995B8A7A-1B49-4B0B-AD6B-5854E7F70FF7}" destId="{82883AE6-5C89-4627-95DA-CB2E6507B7D8}" srcOrd="2" destOrd="0" presId="urn:microsoft.com/office/officeart/2005/8/layout/orgChart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5F24F6B-42CA-49F9-AA28-237D8F7A928A}">
      <dsp:nvSpPr>
        <dsp:cNvPr id="0" name=""/>
        <dsp:cNvSpPr/>
      </dsp:nvSpPr>
      <dsp:spPr>
        <a:xfrm>
          <a:off x="14310228" y="2062415"/>
          <a:ext cx="91440" cy="199361"/>
        </a:xfrm>
        <a:custGeom>
          <a:avLst/>
          <a:gdLst/>
          <a:ahLst/>
          <a:cxnLst/>
          <a:rect l="0" t="0" r="0" b="0"/>
          <a:pathLst>
            <a:path>
              <a:moveTo>
                <a:pt x="45720" y="0"/>
              </a:moveTo>
              <a:lnTo>
                <a:pt x="45720" y="126549"/>
              </a:lnTo>
              <a:lnTo>
                <a:pt x="59919" y="126549"/>
              </a:lnTo>
              <a:lnTo>
                <a:pt x="59919" y="19936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F8B05EB-A732-4B65-8DB0-4496F54D3917}">
      <dsp:nvSpPr>
        <dsp:cNvPr id="0" name=""/>
        <dsp:cNvSpPr/>
      </dsp:nvSpPr>
      <dsp:spPr>
        <a:xfrm>
          <a:off x="14310228" y="1570071"/>
          <a:ext cx="91440" cy="180294"/>
        </a:xfrm>
        <a:custGeom>
          <a:avLst/>
          <a:gdLst/>
          <a:ahLst/>
          <a:cxnLst/>
          <a:rect l="0" t="0" r="0" b="0"/>
          <a:pathLst>
            <a:path>
              <a:moveTo>
                <a:pt x="45720" y="0"/>
              </a:moveTo>
              <a:lnTo>
                <a:pt x="4572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7B61B4-2AA7-4E19-B8D2-5F6F2C88982B}">
      <dsp:nvSpPr>
        <dsp:cNvPr id="0" name=""/>
        <dsp:cNvSpPr/>
      </dsp:nvSpPr>
      <dsp:spPr>
        <a:xfrm>
          <a:off x="8033976" y="1090689"/>
          <a:ext cx="6321972" cy="167332"/>
        </a:xfrm>
        <a:custGeom>
          <a:avLst/>
          <a:gdLst/>
          <a:ahLst/>
          <a:cxnLst/>
          <a:rect l="0" t="0" r="0" b="0"/>
          <a:pathLst>
            <a:path>
              <a:moveTo>
                <a:pt x="0" y="0"/>
              </a:moveTo>
              <a:lnTo>
                <a:pt x="0" y="94521"/>
              </a:lnTo>
              <a:lnTo>
                <a:pt x="6321972" y="94521"/>
              </a:lnTo>
              <a:lnTo>
                <a:pt x="6321972" y="167332"/>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955C9C3-02AA-4E9E-9650-5AB6827F1037}">
      <dsp:nvSpPr>
        <dsp:cNvPr id="0" name=""/>
        <dsp:cNvSpPr/>
      </dsp:nvSpPr>
      <dsp:spPr>
        <a:xfrm>
          <a:off x="12922598" y="2062415"/>
          <a:ext cx="374159" cy="180294"/>
        </a:xfrm>
        <a:custGeom>
          <a:avLst/>
          <a:gdLst/>
          <a:ahLst/>
          <a:cxnLst/>
          <a:rect l="0" t="0" r="0" b="0"/>
          <a:pathLst>
            <a:path>
              <a:moveTo>
                <a:pt x="0" y="0"/>
              </a:moveTo>
              <a:lnTo>
                <a:pt x="0" y="107483"/>
              </a:lnTo>
              <a:lnTo>
                <a:pt x="374159" y="107483"/>
              </a:lnTo>
              <a:lnTo>
                <a:pt x="374159"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4FD4C06-405F-4F77-8666-6546A82F8B82}">
      <dsp:nvSpPr>
        <dsp:cNvPr id="0" name=""/>
        <dsp:cNvSpPr/>
      </dsp:nvSpPr>
      <dsp:spPr>
        <a:xfrm>
          <a:off x="12488169" y="2062415"/>
          <a:ext cx="434428" cy="180294"/>
        </a:xfrm>
        <a:custGeom>
          <a:avLst/>
          <a:gdLst/>
          <a:ahLst/>
          <a:cxnLst/>
          <a:rect l="0" t="0" r="0" b="0"/>
          <a:pathLst>
            <a:path>
              <a:moveTo>
                <a:pt x="434428" y="0"/>
              </a:moveTo>
              <a:lnTo>
                <a:pt x="434428" y="107483"/>
              </a:lnTo>
              <a:lnTo>
                <a:pt x="0" y="107483"/>
              </a:lnTo>
              <a:lnTo>
                <a:pt x="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C2C35A0-DA36-4916-81AB-51B535A188D6}">
      <dsp:nvSpPr>
        <dsp:cNvPr id="0" name=""/>
        <dsp:cNvSpPr/>
      </dsp:nvSpPr>
      <dsp:spPr>
        <a:xfrm>
          <a:off x="12294630" y="1570071"/>
          <a:ext cx="627967" cy="180294"/>
        </a:xfrm>
        <a:custGeom>
          <a:avLst/>
          <a:gdLst/>
          <a:ahLst/>
          <a:cxnLst/>
          <a:rect l="0" t="0" r="0" b="0"/>
          <a:pathLst>
            <a:path>
              <a:moveTo>
                <a:pt x="0" y="0"/>
              </a:moveTo>
              <a:lnTo>
                <a:pt x="0" y="107483"/>
              </a:lnTo>
              <a:lnTo>
                <a:pt x="627967" y="107483"/>
              </a:lnTo>
              <a:lnTo>
                <a:pt x="627967"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FCDA64-E4D2-49F4-9F86-65418F2A6E46}">
      <dsp:nvSpPr>
        <dsp:cNvPr id="0" name=""/>
        <dsp:cNvSpPr/>
      </dsp:nvSpPr>
      <dsp:spPr>
        <a:xfrm>
          <a:off x="11644885" y="2062415"/>
          <a:ext cx="91440" cy="143716"/>
        </a:xfrm>
        <a:custGeom>
          <a:avLst/>
          <a:gdLst/>
          <a:ahLst/>
          <a:cxnLst/>
          <a:rect l="0" t="0" r="0" b="0"/>
          <a:pathLst>
            <a:path>
              <a:moveTo>
                <a:pt x="64831" y="0"/>
              </a:moveTo>
              <a:lnTo>
                <a:pt x="64831" y="70905"/>
              </a:lnTo>
              <a:lnTo>
                <a:pt x="45720" y="70905"/>
              </a:lnTo>
              <a:lnTo>
                <a:pt x="45720" y="14371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7C0E377-961B-4B01-8864-941768A826A6}">
      <dsp:nvSpPr>
        <dsp:cNvPr id="0" name=""/>
        <dsp:cNvSpPr/>
      </dsp:nvSpPr>
      <dsp:spPr>
        <a:xfrm>
          <a:off x="11709716" y="1570071"/>
          <a:ext cx="584913" cy="180294"/>
        </a:xfrm>
        <a:custGeom>
          <a:avLst/>
          <a:gdLst/>
          <a:ahLst/>
          <a:cxnLst/>
          <a:rect l="0" t="0" r="0" b="0"/>
          <a:pathLst>
            <a:path>
              <a:moveTo>
                <a:pt x="584913" y="0"/>
              </a:moveTo>
              <a:lnTo>
                <a:pt x="584913" y="107483"/>
              </a:lnTo>
              <a:lnTo>
                <a:pt x="0" y="107483"/>
              </a:lnTo>
              <a:lnTo>
                <a:pt x="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4806FF5-0F73-42BE-B14B-6EE4A529F02E}">
      <dsp:nvSpPr>
        <dsp:cNvPr id="0" name=""/>
        <dsp:cNvSpPr/>
      </dsp:nvSpPr>
      <dsp:spPr>
        <a:xfrm>
          <a:off x="8033976" y="1090689"/>
          <a:ext cx="4260654" cy="167332"/>
        </a:xfrm>
        <a:custGeom>
          <a:avLst/>
          <a:gdLst/>
          <a:ahLst/>
          <a:cxnLst/>
          <a:rect l="0" t="0" r="0" b="0"/>
          <a:pathLst>
            <a:path>
              <a:moveTo>
                <a:pt x="0" y="0"/>
              </a:moveTo>
              <a:lnTo>
                <a:pt x="0" y="94521"/>
              </a:lnTo>
              <a:lnTo>
                <a:pt x="4260654" y="94521"/>
              </a:lnTo>
              <a:lnTo>
                <a:pt x="4260654" y="167332"/>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99E9AF3-7A99-4C95-85B0-7F47F4AD18B4}">
      <dsp:nvSpPr>
        <dsp:cNvPr id="0" name=""/>
        <dsp:cNvSpPr/>
      </dsp:nvSpPr>
      <dsp:spPr>
        <a:xfrm>
          <a:off x="10159372" y="2062415"/>
          <a:ext cx="151080" cy="2305694"/>
        </a:xfrm>
        <a:custGeom>
          <a:avLst/>
          <a:gdLst/>
          <a:ahLst/>
          <a:cxnLst/>
          <a:rect l="0" t="0" r="0" b="0"/>
          <a:pathLst>
            <a:path>
              <a:moveTo>
                <a:pt x="0" y="0"/>
              </a:moveTo>
              <a:lnTo>
                <a:pt x="0" y="2305694"/>
              </a:lnTo>
              <a:lnTo>
                <a:pt x="151080" y="23056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FBC367-DA40-467C-ADC9-BB5CB621FE6D}">
      <dsp:nvSpPr>
        <dsp:cNvPr id="0" name=""/>
        <dsp:cNvSpPr/>
      </dsp:nvSpPr>
      <dsp:spPr>
        <a:xfrm>
          <a:off x="10159372" y="2062415"/>
          <a:ext cx="151080" cy="1813350"/>
        </a:xfrm>
        <a:custGeom>
          <a:avLst/>
          <a:gdLst/>
          <a:ahLst/>
          <a:cxnLst/>
          <a:rect l="0" t="0" r="0" b="0"/>
          <a:pathLst>
            <a:path>
              <a:moveTo>
                <a:pt x="0" y="0"/>
              </a:moveTo>
              <a:lnTo>
                <a:pt x="0" y="1813350"/>
              </a:lnTo>
              <a:lnTo>
                <a:pt x="151080" y="181335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D9241F0-F46F-4849-8FD9-6CEDD626961B}">
      <dsp:nvSpPr>
        <dsp:cNvPr id="0" name=""/>
        <dsp:cNvSpPr/>
      </dsp:nvSpPr>
      <dsp:spPr>
        <a:xfrm>
          <a:off x="10159372" y="2062415"/>
          <a:ext cx="151080" cy="1321006"/>
        </a:xfrm>
        <a:custGeom>
          <a:avLst/>
          <a:gdLst/>
          <a:ahLst/>
          <a:cxnLst/>
          <a:rect l="0" t="0" r="0" b="0"/>
          <a:pathLst>
            <a:path>
              <a:moveTo>
                <a:pt x="0" y="0"/>
              </a:moveTo>
              <a:lnTo>
                <a:pt x="0" y="1321006"/>
              </a:lnTo>
              <a:lnTo>
                <a:pt x="151080" y="132100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B219DF-8FE2-4FB9-A64B-F062D301D077}">
      <dsp:nvSpPr>
        <dsp:cNvPr id="0" name=""/>
        <dsp:cNvSpPr/>
      </dsp:nvSpPr>
      <dsp:spPr>
        <a:xfrm>
          <a:off x="10159372" y="2062415"/>
          <a:ext cx="151080" cy="828663"/>
        </a:xfrm>
        <a:custGeom>
          <a:avLst/>
          <a:gdLst/>
          <a:ahLst/>
          <a:cxnLst/>
          <a:rect l="0" t="0" r="0" b="0"/>
          <a:pathLst>
            <a:path>
              <a:moveTo>
                <a:pt x="0" y="0"/>
              </a:moveTo>
              <a:lnTo>
                <a:pt x="0" y="828663"/>
              </a:lnTo>
              <a:lnTo>
                <a:pt x="151080" y="82866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0DA88D1-3D92-4AD6-978B-B1AA19E850DD}">
      <dsp:nvSpPr>
        <dsp:cNvPr id="0" name=""/>
        <dsp:cNvSpPr/>
      </dsp:nvSpPr>
      <dsp:spPr>
        <a:xfrm>
          <a:off x="10159372" y="2062415"/>
          <a:ext cx="151080" cy="336319"/>
        </a:xfrm>
        <a:custGeom>
          <a:avLst/>
          <a:gdLst/>
          <a:ahLst/>
          <a:cxnLst/>
          <a:rect l="0" t="0" r="0" b="0"/>
          <a:pathLst>
            <a:path>
              <a:moveTo>
                <a:pt x="0" y="0"/>
              </a:moveTo>
              <a:lnTo>
                <a:pt x="0" y="336319"/>
              </a:lnTo>
              <a:lnTo>
                <a:pt x="151080" y="33631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E86D9E2-A71D-4E85-B491-00375E6F869D}">
      <dsp:nvSpPr>
        <dsp:cNvPr id="0" name=""/>
        <dsp:cNvSpPr/>
      </dsp:nvSpPr>
      <dsp:spPr>
        <a:xfrm>
          <a:off x="8785742" y="1570071"/>
          <a:ext cx="1776512" cy="180294"/>
        </a:xfrm>
        <a:custGeom>
          <a:avLst/>
          <a:gdLst/>
          <a:ahLst/>
          <a:cxnLst/>
          <a:rect l="0" t="0" r="0" b="0"/>
          <a:pathLst>
            <a:path>
              <a:moveTo>
                <a:pt x="0" y="0"/>
              </a:moveTo>
              <a:lnTo>
                <a:pt x="0" y="107483"/>
              </a:lnTo>
              <a:lnTo>
                <a:pt x="1776512" y="107483"/>
              </a:lnTo>
              <a:lnTo>
                <a:pt x="1776512"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3198500-1E17-444D-B340-33E3ACF78C22}">
      <dsp:nvSpPr>
        <dsp:cNvPr id="0" name=""/>
        <dsp:cNvSpPr/>
      </dsp:nvSpPr>
      <dsp:spPr>
        <a:xfrm>
          <a:off x="9316436" y="2062415"/>
          <a:ext cx="91440" cy="172880"/>
        </a:xfrm>
        <a:custGeom>
          <a:avLst/>
          <a:gdLst/>
          <a:ahLst/>
          <a:cxnLst/>
          <a:rect l="0" t="0" r="0" b="0"/>
          <a:pathLst>
            <a:path>
              <a:moveTo>
                <a:pt x="45720" y="0"/>
              </a:moveTo>
              <a:lnTo>
                <a:pt x="45720" y="100069"/>
              </a:lnTo>
              <a:lnTo>
                <a:pt x="53603" y="100069"/>
              </a:lnTo>
              <a:lnTo>
                <a:pt x="53603" y="17288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2AAA880-5DAC-4A04-B8D6-C01D9612A6BA}">
      <dsp:nvSpPr>
        <dsp:cNvPr id="0" name=""/>
        <dsp:cNvSpPr/>
      </dsp:nvSpPr>
      <dsp:spPr>
        <a:xfrm>
          <a:off x="8785742" y="1570071"/>
          <a:ext cx="576414" cy="180294"/>
        </a:xfrm>
        <a:custGeom>
          <a:avLst/>
          <a:gdLst/>
          <a:ahLst/>
          <a:cxnLst/>
          <a:rect l="0" t="0" r="0" b="0"/>
          <a:pathLst>
            <a:path>
              <a:moveTo>
                <a:pt x="0" y="0"/>
              </a:moveTo>
              <a:lnTo>
                <a:pt x="0" y="107483"/>
              </a:lnTo>
              <a:lnTo>
                <a:pt x="576414" y="107483"/>
              </a:lnTo>
              <a:lnTo>
                <a:pt x="576414"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E1EFB4D-268A-4A0E-B476-1A579A15F8B5}">
      <dsp:nvSpPr>
        <dsp:cNvPr id="0" name=""/>
        <dsp:cNvSpPr/>
      </dsp:nvSpPr>
      <dsp:spPr>
        <a:xfrm>
          <a:off x="7759175" y="2062415"/>
          <a:ext cx="151080" cy="1321006"/>
        </a:xfrm>
        <a:custGeom>
          <a:avLst/>
          <a:gdLst/>
          <a:ahLst/>
          <a:cxnLst/>
          <a:rect l="0" t="0" r="0" b="0"/>
          <a:pathLst>
            <a:path>
              <a:moveTo>
                <a:pt x="0" y="0"/>
              </a:moveTo>
              <a:lnTo>
                <a:pt x="0" y="1321006"/>
              </a:lnTo>
              <a:lnTo>
                <a:pt x="151080" y="132100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D07DC1F-C35D-4CEE-B564-0B104354C54F}">
      <dsp:nvSpPr>
        <dsp:cNvPr id="0" name=""/>
        <dsp:cNvSpPr/>
      </dsp:nvSpPr>
      <dsp:spPr>
        <a:xfrm>
          <a:off x="7759175" y="2062415"/>
          <a:ext cx="151080" cy="828663"/>
        </a:xfrm>
        <a:custGeom>
          <a:avLst/>
          <a:gdLst/>
          <a:ahLst/>
          <a:cxnLst/>
          <a:rect l="0" t="0" r="0" b="0"/>
          <a:pathLst>
            <a:path>
              <a:moveTo>
                <a:pt x="0" y="0"/>
              </a:moveTo>
              <a:lnTo>
                <a:pt x="0" y="828663"/>
              </a:lnTo>
              <a:lnTo>
                <a:pt x="151080" y="82866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1479A7A-F6B0-4568-97AA-570024CA2197}">
      <dsp:nvSpPr>
        <dsp:cNvPr id="0" name=""/>
        <dsp:cNvSpPr/>
      </dsp:nvSpPr>
      <dsp:spPr>
        <a:xfrm>
          <a:off x="7759175" y="2062415"/>
          <a:ext cx="151080" cy="336319"/>
        </a:xfrm>
        <a:custGeom>
          <a:avLst/>
          <a:gdLst/>
          <a:ahLst/>
          <a:cxnLst/>
          <a:rect l="0" t="0" r="0" b="0"/>
          <a:pathLst>
            <a:path>
              <a:moveTo>
                <a:pt x="0" y="0"/>
              </a:moveTo>
              <a:lnTo>
                <a:pt x="0" y="336319"/>
              </a:lnTo>
              <a:lnTo>
                <a:pt x="151080" y="33631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DEECE6A-2DC7-462C-B4D3-4FDA509FDDFE}">
      <dsp:nvSpPr>
        <dsp:cNvPr id="0" name=""/>
        <dsp:cNvSpPr/>
      </dsp:nvSpPr>
      <dsp:spPr>
        <a:xfrm>
          <a:off x="8162058" y="1570071"/>
          <a:ext cx="623683" cy="180294"/>
        </a:xfrm>
        <a:custGeom>
          <a:avLst/>
          <a:gdLst/>
          <a:ahLst/>
          <a:cxnLst/>
          <a:rect l="0" t="0" r="0" b="0"/>
          <a:pathLst>
            <a:path>
              <a:moveTo>
                <a:pt x="623683" y="0"/>
              </a:moveTo>
              <a:lnTo>
                <a:pt x="623683" y="107483"/>
              </a:lnTo>
              <a:lnTo>
                <a:pt x="0" y="107483"/>
              </a:lnTo>
              <a:lnTo>
                <a:pt x="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93CAB83-FFAC-4B6D-AA47-AE8935CF34E6}">
      <dsp:nvSpPr>
        <dsp:cNvPr id="0" name=""/>
        <dsp:cNvSpPr/>
      </dsp:nvSpPr>
      <dsp:spPr>
        <a:xfrm>
          <a:off x="7009229" y="2062415"/>
          <a:ext cx="374159" cy="180294"/>
        </a:xfrm>
        <a:custGeom>
          <a:avLst/>
          <a:gdLst/>
          <a:ahLst/>
          <a:cxnLst/>
          <a:rect l="0" t="0" r="0" b="0"/>
          <a:pathLst>
            <a:path>
              <a:moveTo>
                <a:pt x="0" y="0"/>
              </a:moveTo>
              <a:lnTo>
                <a:pt x="0" y="107483"/>
              </a:lnTo>
              <a:lnTo>
                <a:pt x="374159" y="107483"/>
              </a:lnTo>
              <a:lnTo>
                <a:pt x="374159"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3B90242-3A34-42ED-8B7E-9D6782457C18}">
      <dsp:nvSpPr>
        <dsp:cNvPr id="0" name=""/>
        <dsp:cNvSpPr/>
      </dsp:nvSpPr>
      <dsp:spPr>
        <a:xfrm>
          <a:off x="6574800" y="2062415"/>
          <a:ext cx="434428" cy="180294"/>
        </a:xfrm>
        <a:custGeom>
          <a:avLst/>
          <a:gdLst/>
          <a:ahLst/>
          <a:cxnLst/>
          <a:rect l="0" t="0" r="0" b="0"/>
          <a:pathLst>
            <a:path>
              <a:moveTo>
                <a:pt x="434428" y="0"/>
              </a:moveTo>
              <a:lnTo>
                <a:pt x="434428" y="107483"/>
              </a:lnTo>
              <a:lnTo>
                <a:pt x="0" y="107483"/>
              </a:lnTo>
              <a:lnTo>
                <a:pt x="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F2029E6-4688-4E4A-930C-78819A801C6E}">
      <dsp:nvSpPr>
        <dsp:cNvPr id="0" name=""/>
        <dsp:cNvSpPr/>
      </dsp:nvSpPr>
      <dsp:spPr>
        <a:xfrm>
          <a:off x="7009229" y="1570071"/>
          <a:ext cx="1776512" cy="180294"/>
        </a:xfrm>
        <a:custGeom>
          <a:avLst/>
          <a:gdLst/>
          <a:ahLst/>
          <a:cxnLst/>
          <a:rect l="0" t="0" r="0" b="0"/>
          <a:pathLst>
            <a:path>
              <a:moveTo>
                <a:pt x="1776512" y="0"/>
              </a:moveTo>
              <a:lnTo>
                <a:pt x="1776512" y="107483"/>
              </a:lnTo>
              <a:lnTo>
                <a:pt x="0" y="107483"/>
              </a:lnTo>
              <a:lnTo>
                <a:pt x="0"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E3B735-7102-43A0-A1E9-066BD01A6E5C}">
      <dsp:nvSpPr>
        <dsp:cNvPr id="0" name=""/>
        <dsp:cNvSpPr/>
      </dsp:nvSpPr>
      <dsp:spPr>
        <a:xfrm>
          <a:off x="8033976" y="1090689"/>
          <a:ext cx="751765" cy="167332"/>
        </a:xfrm>
        <a:custGeom>
          <a:avLst/>
          <a:gdLst/>
          <a:ahLst/>
          <a:cxnLst/>
          <a:rect l="0" t="0" r="0" b="0"/>
          <a:pathLst>
            <a:path>
              <a:moveTo>
                <a:pt x="0" y="0"/>
              </a:moveTo>
              <a:lnTo>
                <a:pt x="0" y="94521"/>
              </a:lnTo>
              <a:lnTo>
                <a:pt x="751765" y="94521"/>
              </a:lnTo>
              <a:lnTo>
                <a:pt x="751765" y="167332"/>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D6D671-8796-40DA-B4F8-2A39308CC54E}">
      <dsp:nvSpPr>
        <dsp:cNvPr id="0" name=""/>
        <dsp:cNvSpPr/>
      </dsp:nvSpPr>
      <dsp:spPr>
        <a:xfrm>
          <a:off x="5135098" y="1570071"/>
          <a:ext cx="91440" cy="1413773"/>
        </a:xfrm>
        <a:custGeom>
          <a:avLst/>
          <a:gdLst/>
          <a:ahLst/>
          <a:cxnLst/>
          <a:rect l="0" t="0" r="0" b="0"/>
          <a:pathLst>
            <a:path>
              <a:moveTo>
                <a:pt x="45720" y="0"/>
              </a:moveTo>
              <a:lnTo>
                <a:pt x="45720" y="1413773"/>
              </a:lnTo>
              <a:lnTo>
                <a:pt x="118531" y="141377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4B25B85-D2E1-41E8-8612-F0F1274C95F0}">
      <dsp:nvSpPr>
        <dsp:cNvPr id="0" name=""/>
        <dsp:cNvSpPr/>
      </dsp:nvSpPr>
      <dsp:spPr>
        <a:xfrm>
          <a:off x="4260063" y="3139869"/>
          <a:ext cx="91440" cy="180294"/>
        </a:xfrm>
        <a:custGeom>
          <a:avLst/>
          <a:gdLst/>
          <a:ahLst/>
          <a:cxnLst/>
          <a:rect l="0" t="0" r="0" b="0"/>
          <a:pathLst>
            <a:path>
              <a:moveTo>
                <a:pt x="45720" y="0"/>
              </a:moveTo>
              <a:lnTo>
                <a:pt x="45720" y="107483"/>
              </a:lnTo>
              <a:lnTo>
                <a:pt x="53392" y="107483"/>
              </a:lnTo>
              <a:lnTo>
                <a:pt x="53392"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476684-1BAD-40CB-932D-88D0398B2EAD}">
      <dsp:nvSpPr>
        <dsp:cNvPr id="0" name=""/>
        <dsp:cNvSpPr/>
      </dsp:nvSpPr>
      <dsp:spPr>
        <a:xfrm>
          <a:off x="5062286" y="1570071"/>
          <a:ext cx="91440" cy="1413773"/>
        </a:xfrm>
        <a:custGeom>
          <a:avLst/>
          <a:gdLst/>
          <a:ahLst/>
          <a:cxnLst/>
          <a:rect l="0" t="0" r="0" b="0"/>
          <a:pathLst>
            <a:path>
              <a:moveTo>
                <a:pt x="118531" y="0"/>
              </a:moveTo>
              <a:lnTo>
                <a:pt x="118531" y="1413773"/>
              </a:lnTo>
              <a:lnTo>
                <a:pt x="45720" y="141377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F55F7A0-5262-4492-A421-74EE3244E2A7}">
      <dsp:nvSpPr>
        <dsp:cNvPr id="0" name=""/>
        <dsp:cNvSpPr/>
      </dsp:nvSpPr>
      <dsp:spPr>
        <a:xfrm>
          <a:off x="5755617" y="2179390"/>
          <a:ext cx="91440" cy="156086"/>
        </a:xfrm>
        <a:custGeom>
          <a:avLst/>
          <a:gdLst/>
          <a:ahLst/>
          <a:cxnLst/>
          <a:rect l="0" t="0" r="0" b="0"/>
          <a:pathLst>
            <a:path>
              <a:moveTo>
                <a:pt x="51198" y="0"/>
              </a:moveTo>
              <a:lnTo>
                <a:pt x="51198" y="83274"/>
              </a:lnTo>
              <a:lnTo>
                <a:pt x="45720" y="83274"/>
              </a:lnTo>
              <a:lnTo>
                <a:pt x="45720" y="15608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21DD6D6-FCEC-41D9-B348-B74C8086787F}">
      <dsp:nvSpPr>
        <dsp:cNvPr id="0" name=""/>
        <dsp:cNvSpPr/>
      </dsp:nvSpPr>
      <dsp:spPr>
        <a:xfrm>
          <a:off x="5135098" y="1570071"/>
          <a:ext cx="91440" cy="429085"/>
        </a:xfrm>
        <a:custGeom>
          <a:avLst/>
          <a:gdLst/>
          <a:ahLst/>
          <a:cxnLst/>
          <a:rect l="0" t="0" r="0" b="0"/>
          <a:pathLst>
            <a:path>
              <a:moveTo>
                <a:pt x="45720" y="0"/>
              </a:moveTo>
              <a:lnTo>
                <a:pt x="45720" y="429085"/>
              </a:lnTo>
              <a:lnTo>
                <a:pt x="118531" y="42908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F4BBD4A-08BA-4925-8C99-6C66F75D79E7}">
      <dsp:nvSpPr>
        <dsp:cNvPr id="0" name=""/>
        <dsp:cNvSpPr/>
      </dsp:nvSpPr>
      <dsp:spPr>
        <a:xfrm>
          <a:off x="4721715" y="1570071"/>
          <a:ext cx="459102" cy="412203"/>
        </a:xfrm>
        <a:custGeom>
          <a:avLst/>
          <a:gdLst/>
          <a:ahLst/>
          <a:cxnLst/>
          <a:rect l="0" t="0" r="0" b="0"/>
          <a:pathLst>
            <a:path>
              <a:moveTo>
                <a:pt x="459102" y="0"/>
              </a:moveTo>
              <a:lnTo>
                <a:pt x="459102" y="412203"/>
              </a:lnTo>
              <a:lnTo>
                <a:pt x="0" y="41220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9FAE65-7840-485F-9390-5501F77F21C2}">
      <dsp:nvSpPr>
        <dsp:cNvPr id="0" name=""/>
        <dsp:cNvSpPr/>
      </dsp:nvSpPr>
      <dsp:spPr>
        <a:xfrm>
          <a:off x="5180818" y="1090689"/>
          <a:ext cx="2853157" cy="167332"/>
        </a:xfrm>
        <a:custGeom>
          <a:avLst/>
          <a:gdLst/>
          <a:ahLst/>
          <a:cxnLst/>
          <a:rect l="0" t="0" r="0" b="0"/>
          <a:pathLst>
            <a:path>
              <a:moveTo>
                <a:pt x="2853157" y="0"/>
              </a:moveTo>
              <a:lnTo>
                <a:pt x="2853157" y="94521"/>
              </a:lnTo>
              <a:lnTo>
                <a:pt x="0" y="94521"/>
              </a:lnTo>
              <a:lnTo>
                <a:pt x="0" y="167332"/>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169BE2D-AC1B-4E1E-82B3-332B63F8DA99}">
      <dsp:nvSpPr>
        <dsp:cNvPr id="0" name=""/>
        <dsp:cNvSpPr/>
      </dsp:nvSpPr>
      <dsp:spPr>
        <a:xfrm>
          <a:off x="2934905" y="2096003"/>
          <a:ext cx="91440" cy="180294"/>
        </a:xfrm>
        <a:custGeom>
          <a:avLst/>
          <a:gdLst/>
          <a:ahLst/>
          <a:cxnLst/>
          <a:rect l="0" t="0" r="0" b="0"/>
          <a:pathLst>
            <a:path>
              <a:moveTo>
                <a:pt x="45720" y="0"/>
              </a:moveTo>
              <a:lnTo>
                <a:pt x="45720" y="107483"/>
              </a:lnTo>
              <a:lnTo>
                <a:pt x="47962" y="107483"/>
              </a:lnTo>
              <a:lnTo>
                <a:pt x="47962" y="180294"/>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04D1964-9FA3-418A-9AA2-39CF8D327E59}">
      <dsp:nvSpPr>
        <dsp:cNvPr id="0" name=""/>
        <dsp:cNvSpPr/>
      </dsp:nvSpPr>
      <dsp:spPr>
        <a:xfrm>
          <a:off x="1873625" y="1570071"/>
          <a:ext cx="1107000" cy="213882"/>
        </a:xfrm>
        <a:custGeom>
          <a:avLst/>
          <a:gdLst/>
          <a:ahLst/>
          <a:cxnLst/>
          <a:rect l="0" t="0" r="0" b="0"/>
          <a:pathLst>
            <a:path>
              <a:moveTo>
                <a:pt x="0" y="0"/>
              </a:moveTo>
              <a:lnTo>
                <a:pt x="0" y="141071"/>
              </a:lnTo>
              <a:lnTo>
                <a:pt x="1107000" y="141071"/>
              </a:lnTo>
              <a:lnTo>
                <a:pt x="1107000" y="213882"/>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2A42D91-ED5F-47F4-98B3-6CD3C724CB23}">
      <dsp:nvSpPr>
        <dsp:cNvPr id="0" name=""/>
        <dsp:cNvSpPr/>
      </dsp:nvSpPr>
      <dsp:spPr>
        <a:xfrm>
          <a:off x="1642863" y="2096003"/>
          <a:ext cx="151080" cy="1321006"/>
        </a:xfrm>
        <a:custGeom>
          <a:avLst/>
          <a:gdLst/>
          <a:ahLst/>
          <a:cxnLst/>
          <a:rect l="0" t="0" r="0" b="0"/>
          <a:pathLst>
            <a:path>
              <a:moveTo>
                <a:pt x="0" y="0"/>
              </a:moveTo>
              <a:lnTo>
                <a:pt x="0" y="1321006"/>
              </a:lnTo>
              <a:lnTo>
                <a:pt x="151080" y="132100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6CDDB58-1BB9-4BE2-A1B8-7655683EDCCC}">
      <dsp:nvSpPr>
        <dsp:cNvPr id="0" name=""/>
        <dsp:cNvSpPr/>
      </dsp:nvSpPr>
      <dsp:spPr>
        <a:xfrm>
          <a:off x="1642863" y="2096003"/>
          <a:ext cx="151080" cy="828663"/>
        </a:xfrm>
        <a:custGeom>
          <a:avLst/>
          <a:gdLst/>
          <a:ahLst/>
          <a:cxnLst/>
          <a:rect l="0" t="0" r="0" b="0"/>
          <a:pathLst>
            <a:path>
              <a:moveTo>
                <a:pt x="0" y="0"/>
              </a:moveTo>
              <a:lnTo>
                <a:pt x="0" y="828663"/>
              </a:lnTo>
              <a:lnTo>
                <a:pt x="151080" y="82866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119D3AC-63DD-48A0-B22C-B15A76F98514}">
      <dsp:nvSpPr>
        <dsp:cNvPr id="0" name=""/>
        <dsp:cNvSpPr/>
      </dsp:nvSpPr>
      <dsp:spPr>
        <a:xfrm>
          <a:off x="1642863" y="2096003"/>
          <a:ext cx="151080" cy="336319"/>
        </a:xfrm>
        <a:custGeom>
          <a:avLst/>
          <a:gdLst/>
          <a:ahLst/>
          <a:cxnLst/>
          <a:rect l="0" t="0" r="0" b="0"/>
          <a:pathLst>
            <a:path>
              <a:moveTo>
                <a:pt x="0" y="0"/>
              </a:moveTo>
              <a:lnTo>
                <a:pt x="0" y="336319"/>
              </a:lnTo>
              <a:lnTo>
                <a:pt x="151080" y="33631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4D1D79C-E9EC-4928-9D09-43BB4377704D}">
      <dsp:nvSpPr>
        <dsp:cNvPr id="0" name=""/>
        <dsp:cNvSpPr/>
      </dsp:nvSpPr>
      <dsp:spPr>
        <a:xfrm>
          <a:off x="1873625" y="1570071"/>
          <a:ext cx="172120" cy="213882"/>
        </a:xfrm>
        <a:custGeom>
          <a:avLst/>
          <a:gdLst/>
          <a:ahLst/>
          <a:cxnLst/>
          <a:rect l="0" t="0" r="0" b="0"/>
          <a:pathLst>
            <a:path>
              <a:moveTo>
                <a:pt x="0" y="0"/>
              </a:moveTo>
              <a:lnTo>
                <a:pt x="0" y="141071"/>
              </a:lnTo>
              <a:lnTo>
                <a:pt x="172120" y="141071"/>
              </a:lnTo>
              <a:lnTo>
                <a:pt x="172120" y="213882"/>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0328ED9-308E-4B30-B8DF-2D07A83A7C5A}">
      <dsp:nvSpPr>
        <dsp:cNvPr id="0" name=""/>
        <dsp:cNvSpPr/>
      </dsp:nvSpPr>
      <dsp:spPr>
        <a:xfrm>
          <a:off x="847197" y="2096003"/>
          <a:ext cx="91440" cy="1815137"/>
        </a:xfrm>
        <a:custGeom>
          <a:avLst/>
          <a:gdLst/>
          <a:ahLst/>
          <a:cxnLst/>
          <a:rect l="0" t="0" r="0" b="0"/>
          <a:pathLst>
            <a:path>
              <a:moveTo>
                <a:pt x="45720" y="0"/>
              </a:moveTo>
              <a:lnTo>
                <a:pt x="45720" y="1815137"/>
              </a:lnTo>
              <a:lnTo>
                <a:pt x="118531" y="181513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B92009-2DE0-41D1-89F9-862A29C03431}">
      <dsp:nvSpPr>
        <dsp:cNvPr id="0" name=""/>
        <dsp:cNvSpPr/>
      </dsp:nvSpPr>
      <dsp:spPr>
        <a:xfrm>
          <a:off x="759836" y="2096003"/>
          <a:ext cx="133080" cy="1813350"/>
        </a:xfrm>
        <a:custGeom>
          <a:avLst/>
          <a:gdLst/>
          <a:ahLst/>
          <a:cxnLst/>
          <a:rect l="0" t="0" r="0" b="0"/>
          <a:pathLst>
            <a:path>
              <a:moveTo>
                <a:pt x="133080" y="0"/>
              </a:moveTo>
              <a:lnTo>
                <a:pt x="133080" y="1813350"/>
              </a:lnTo>
              <a:lnTo>
                <a:pt x="0" y="181335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DFA466-0E33-4527-9089-6C6C2C5EFDF8}">
      <dsp:nvSpPr>
        <dsp:cNvPr id="0" name=""/>
        <dsp:cNvSpPr/>
      </dsp:nvSpPr>
      <dsp:spPr>
        <a:xfrm>
          <a:off x="847197" y="2096003"/>
          <a:ext cx="91440" cy="1321006"/>
        </a:xfrm>
        <a:custGeom>
          <a:avLst/>
          <a:gdLst/>
          <a:ahLst/>
          <a:cxnLst/>
          <a:rect l="0" t="0" r="0" b="0"/>
          <a:pathLst>
            <a:path>
              <a:moveTo>
                <a:pt x="45720" y="0"/>
              </a:moveTo>
              <a:lnTo>
                <a:pt x="45720" y="1321006"/>
              </a:lnTo>
              <a:lnTo>
                <a:pt x="118531" y="132100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B32740C-8DC2-426F-B031-E2272990E064}">
      <dsp:nvSpPr>
        <dsp:cNvPr id="0" name=""/>
        <dsp:cNvSpPr/>
      </dsp:nvSpPr>
      <dsp:spPr>
        <a:xfrm>
          <a:off x="759836" y="2096003"/>
          <a:ext cx="133080" cy="1321006"/>
        </a:xfrm>
        <a:custGeom>
          <a:avLst/>
          <a:gdLst/>
          <a:ahLst/>
          <a:cxnLst/>
          <a:rect l="0" t="0" r="0" b="0"/>
          <a:pathLst>
            <a:path>
              <a:moveTo>
                <a:pt x="133080" y="0"/>
              </a:moveTo>
              <a:lnTo>
                <a:pt x="133080" y="1321006"/>
              </a:lnTo>
              <a:lnTo>
                <a:pt x="0" y="132100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D5D5120-7A69-4946-89D1-F27086829D97}">
      <dsp:nvSpPr>
        <dsp:cNvPr id="0" name=""/>
        <dsp:cNvSpPr/>
      </dsp:nvSpPr>
      <dsp:spPr>
        <a:xfrm>
          <a:off x="847197" y="2096003"/>
          <a:ext cx="91440" cy="828663"/>
        </a:xfrm>
        <a:custGeom>
          <a:avLst/>
          <a:gdLst/>
          <a:ahLst/>
          <a:cxnLst/>
          <a:rect l="0" t="0" r="0" b="0"/>
          <a:pathLst>
            <a:path>
              <a:moveTo>
                <a:pt x="45720" y="0"/>
              </a:moveTo>
              <a:lnTo>
                <a:pt x="45720" y="828663"/>
              </a:lnTo>
              <a:lnTo>
                <a:pt x="118531" y="82866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DD6DA7A-A100-4C22-9A9B-3DE29D7B3ACD}">
      <dsp:nvSpPr>
        <dsp:cNvPr id="0" name=""/>
        <dsp:cNvSpPr/>
      </dsp:nvSpPr>
      <dsp:spPr>
        <a:xfrm>
          <a:off x="759836" y="2096003"/>
          <a:ext cx="133080" cy="828663"/>
        </a:xfrm>
        <a:custGeom>
          <a:avLst/>
          <a:gdLst/>
          <a:ahLst/>
          <a:cxnLst/>
          <a:rect l="0" t="0" r="0" b="0"/>
          <a:pathLst>
            <a:path>
              <a:moveTo>
                <a:pt x="133080" y="0"/>
              </a:moveTo>
              <a:lnTo>
                <a:pt x="133080" y="828663"/>
              </a:lnTo>
              <a:lnTo>
                <a:pt x="0" y="82866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0E7F154-9C15-4CD6-BC79-681E2BD54E49}">
      <dsp:nvSpPr>
        <dsp:cNvPr id="0" name=""/>
        <dsp:cNvSpPr/>
      </dsp:nvSpPr>
      <dsp:spPr>
        <a:xfrm>
          <a:off x="847197" y="2096003"/>
          <a:ext cx="91440" cy="336319"/>
        </a:xfrm>
        <a:custGeom>
          <a:avLst/>
          <a:gdLst/>
          <a:ahLst/>
          <a:cxnLst/>
          <a:rect l="0" t="0" r="0" b="0"/>
          <a:pathLst>
            <a:path>
              <a:moveTo>
                <a:pt x="45720" y="0"/>
              </a:moveTo>
              <a:lnTo>
                <a:pt x="45720" y="336319"/>
              </a:lnTo>
              <a:lnTo>
                <a:pt x="118531" y="33631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6DC135A-6F27-4425-9A37-B7E67CEB6DB1}">
      <dsp:nvSpPr>
        <dsp:cNvPr id="0" name=""/>
        <dsp:cNvSpPr/>
      </dsp:nvSpPr>
      <dsp:spPr>
        <a:xfrm>
          <a:off x="759836" y="2096003"/>
          <a:ext cx="133080" cy="336319"/>
        </a:xfrm>
        <a:custGeom>
          <a:avLst/>
          <a:gdLst/>
          <a:ahLst/>
          <a:cxnLst/>
          <a:rect l="0" t="0" r="0" b="0"/>
          <a:pathLst>
            <a:path>
              <a:moveTo>
                <a:pt x="133080" y="0"/>
              </a:moveTo>
              <a:lnTo>
                <a:pt x="133080" y="336319"/>
              </a:lnTo>
              <a:lnTo>
                <a:pt x="0" y="33631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4E72DE9-77E0-4F43-9A65-A6DC12A9FBD5}">
      <dsp:nvSpPr>
        <dsp:cNvPr id="0" name=""/>
        <dsp:cNvSpPr/>
      </dsp:nvSpPr>
      <dsp:spPr>
        <a:xfrm>
          <a:off x="892917" y="1570071"/>
          <a:ext cx="980708" cy="213882"/>
        </a:xfrm>
        <a:custGeom>
          <a:avLst/>
          <a:gdLst/>
          <a:ahLst/>
          <a:cxnLst/>
          <a:rect l="0" t="0" r="0" b="0"/>
          <a:pathLst>
            <a:path>
              <a:moveTo>
                <a:pt x="980708" y="0"/>
              </a:moveTo>
              <a:lnTo>
                <a:pt x="980708" y="141071"/>
              </a:lnTo>
              <a:lnTo>
                <a:pt x="0" y="141071"/>
              </a:lnTo>
              <a:lnTo>
                <a:pt x="0" y="213882"/>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CD91427-577B-441A-8166-134B6937CF4D}">
      <dsp:nvSpPr>
        <dsp:cNvPr id="0" name=""/>
        <dsp:cNvSpPr/>
      </dsp:nvSpPr>
      <dsp:spPr>
        <a:xfrm>
          <a:off x="1873625" y="1090689"/>
          <a:ext cx="6160350" cy="167332"/>
        </a:xfrm>
        <a:custGeom>
          <a:avLst/>
          <a:gdLst/>
          <a:ahLst/>
          <a:cxnLst/>
          <a:rect l="0" t="0" r="0" b="0"/>
          <a:pathLst>
            <a:path>
              <a:moveTo>
                <a:pt x="6160350" y="0"/>
              </a:moveTo>
              <a:lnTo>
                <a:pt x="6160350" y="94521"/>
              </a:lnTo>
              <a:lnTo>
                <a:pt x="0" y="94521"/>
              </a:lnTo>
              <a:lnTo>
                <a:pt x="0" y="167332"/>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CB627A4-2C01-467D-9E2F-FFFEA7E2E616}">
      <dsp:nvSpPr>
        <dsp:cNvPr id="0" name=""/>
        <dsp:cNvSpPr/>
      </dsp:nvSpPr>
      <dsp:spPr>
        <a:xfrm>
          <a:off x="7216468" y="632970"/>
          <a:ext cx="1635015" cy="457719"/>
        </a:xfrm>
        <a:prstGeom prst="flowChartPredefinedProcess">
          <a:avLst/>
        </a:prstGeom>
        <a:solidFill>
          <a:srgbClr val="7030A0"/>
        </a:solidFill>
        <a:ln w="28575" cap="flat" cmpd="sng"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44034" numCol="1" spcCol="1270" anchor="ctr" anchorCtr="0">
          <a:noAutofit/>
        </a:bodyPr>
        <a:lstStyle/>
        <a:p>
          <a:pPr marL="0" lvl="0" indent="0" algn="ctr" defTabSz="711200">
            <a:lnSpc>
              <a:spcPct val="90000"/>
            </a:lnSpc>
            <a:spcBef>
              <a:spcPct val="0"/>
            </a:spcBef>
            <a:spcAft>
              <a:spcPct val="35000"/>
            </a:spcAft>
            <a:buNone/>
          </a:pPr>
          <a:r>
            <a:rPr lang="en-US" sz="1600" b="0" i="0" kern="1200">
              <a:solidFill>
                <a:schemeClr val="bg1"/>
              </a:solidFill>
              <a:latin typeface="Cyrillic5e" panose="02000506040000020004" pitchFamily="2" charset="-52"/>
            </a:rPr>
            <a:t>Military Forces</a:t>
          </a:r>
          <a:endParaRPr lang="ru-RU" sz="1600" b="0" i="0" kern="1200">
            <a:solidFill>
              <a:schemeClr val="bg1"/>
            </a:solidFill>
            <a:latin typeface="Cyrillic5e" panose="02000506040000020004" pitchFamily="2" charset="-52"/>
          </a:endParaRPr>
        </a:p>
      </dsp:txBody>
      <dsp:txXfrm>
        <a:off x="7420845" y="632970"/>
        <a:ext cx="1226261" cy="457719"/>
      </dsp:txXfrm>
    </dsp:sp>
    <dsp:sp modelId="{497F8702-6EA2-457B-A3A7-61F56827C5DD}">
      <dsp:nvSpPr>
        <dsp:cNvPr id="0" name=""/>
        <dsp:cNvSpPr/>
      </dsp:nvSpPr>
      <dsp:spPr>
        <a:xfrm>
          <a:off x="8090901" y="951912"/>
          <a:ext cx="1340518" cy="223762"/>
        </a:xfrm>
        <a:prstGeom prst="plaque">
          <a:avLst/>
        </a:prstGeom>
        <a:solidFill>
          <a:srgbClr val="7030A0">
            <a:alpha val="90000"/>
          </a:srgbClr>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dsp:style>
      <dsp:txBody>
        <a:bodyPr spcFirstLastPara="0" vert="horz" wrap="square" lIns="17780" tIns="4445" rIns="17780" bIns="4445" numCol="1" spcCol="1270" anchor="ctr" anchorCtr="0">
          <a:noAutofit/>
        </a:bodyPr>
        <a:lstStyle/>
        <a:p>
          <a:pPr marL="0" lvl="0" indent="0" algn="r" defTabSz="311150">
            <a:lnSpc>
              <a:spcPct val="90000"/>
            </a:lnSpc>
            <a:spcBef>
              <a:spcPct val="0"/>
            </a:spcBef>
            <a:spcAft>
              <a:spcPct val="35000"/>
            </a:spcAft>
            <a:buNone/>
          </a:pPr>
          <a:r>
            <a:rPr lang="en-US" sz="700" kern="1200">
              <a:solidFill>
                <a:schemeClr val="bg1"/>
              </a:solidFill>
            </a:rPr>
            <a:t>High Marshal Crown Prince </a:t>
          </a:r>
          <a:endParaRPr lang="ru-RU" sz="700" kern="1200">
            <a:solidFill>
              <a:schemeClr val="bg1"/>
            </a:solidFill>
          </a:endParaRPr>
        </a:p>
      </dsp:txBody>
      <dsp:txXfrm>
        <a:off x="8117272" y="978283"/>
        <a:ext cx="1287776" cy="171020"/>
      </dsp:txXfrm>
    </dsp:sp>
    <dsp:sp modelId="{998ED5B5-C615-4F9E-8587-33B954BC6870}">
      <dsp:nvSpPr>
        <dsp:cNvPr id="0" name=""/>
        <dsp:cNvSpPr/>
      </dsp:nvSpPr>
      <dsp:spPr>
        <a:xfrm>
          <a:off x="1159232" y="1258022"/>
          <a:ext cx="1428785" cy="312048"/>
        </a:xfrm>
        <a:prstGeom prst="plaque">
          <a:avLst/>
        </a:prstGeom>
        <a:solidFill>
          <a:srgbClr val="002060"/>
        </a:solidFill>
        <a:ln w="25400" cap="flat" cmpd="dbl"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bg1"/>
              </a:solidFill>
            </a:rPr>
            <a:t>Army of the Eastern Marches</a:t>
          </a:r>
          <a:endParaRPr lang="ru-RU" sz="800" b="1" kern="1200">
            <a:solidFill>
              <a:schemeClr val="bg1"/>
            </a:solidFill>
          </a:endParaRPr>
        </a:p>
      </dsp:txBody>
      <dsp:txXfrm>
        <a:off x="1196008" y="1294798"/>
        <a:ext cx="1355233" cy="238496"/>
      </dsp:txXfrm>
    </dsp:sp>
    <dsp:sp modelId="{AB3696F1-3526-4C4D-924D-F80780FF4F0C}">
      <dsp:nvSpPr>
        <dsp:cNvPr id="0" name=""/>
        <dsp:cNvSpPr/>
      </dsp:nvSpPr>
      <dsp:spPr>
        <a:xfrm>
          <a:off x="1940431" y="1488852"/>
          <a:ext cx="1060436" cy="17119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2860" tIns="5715" rIns="22860" bIns="5715" numCol="1" spcCol="1270" anchor="ctr" anchorCtr="0">
          <a:noAutofit/>
        </a:bodyPr>
        <a:lstStyle/>
        <a:p>
          <a:pPr marL="0" lvl="0" indent="0" algn="r" defTabSz="400050">
            <a:lnSpc>
              <a:spcPct val="90000"/>
            </a:lnSpc>
            <a:spcBef>
              <a:spcPct val="0"/>
            </a:spcBef>
            <a:spcAft>
              <a:spcPct val="35000"/>
            </a:spcAft>
            <a:buNone/>
          </a:pPr>
          <a:r>
            <a:rPr lang="en-US" sz="900" b="0" i="0" u="none" kern="1200"/>
            <a:t>Battlemaster</a:t>
          </a:r>
          <a:endParaRPr lang="ru-RU" sz="900" kern="1200"/>
        </a:p>
      </dsp:txBody>
      <dsp:txXfrm>
        <a:off x="1940431" y="1488852"/>
        <a:ext cx="1060436" cy="171192"/>
      </dsp:txXfrm>
    </dsp:sp>
    <dsp:sp modelId="{EB0CFA4B-190D-468F-BA87-622AC9D67C24}">
      <dsp:nvSpPr>
        <dsp:cNvPr id="0" name=""/>
        <dsp:cNvSpPr/>
      </dsp:nvSpPr>
      <dsp:spPr>
        <a:xfrm>
          <a:off x="389314" y="1783954"/>
          <a:ext cx="1007206"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Arabel</a:t>
          </a:r>
          <a:endParaRPr lang="ru-RU" sz="800" b="1" i="0" kern="1200">
            <a:solidFill>
              <a:schemeClr val="tx1"/>
            </a:solidFill>
          </a:endParaRPr>
        </a:p>
      </dsp:txBody>
      <dsp:txXfrm>
        <a:off x="426090" y="1820730"/>
        <a:ext cx="933654" cy="238496"/>
      </dsp:txXfrm>
    </dsp:sp>
    <dsp:sp modelId="{FD2C1B63-12C7-44D5-B35D-2DC830D2B419}">
      <dsp:nvSpPr>
        <dsp:cNvPr id="0" name=""/>
        <dsp:cNvSpPr/>
      </dsp:nvSpPr>
      <dsp:spPr>
        <a:xfrm>
          <a:off x="712108" y="2026659"/>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712108" y="2026659"/>
        <a:ext cx="542425" cy="104016"/>
      </dsp:txXfrm>
    </dsp:sp>
    <dsp:sp modelId="{DEA1CC30-36FD-43BC-A88E-53406C1EF371}">
      <dsp:nvSpPr>
        <dsp:cNvPr id="0" name=""/>
        <dsp:cNvSpPr/>
      </dsp:nvSpPr>
      <dsp:spPr>
        <a:xfrm>
          <a:off x="157141" y="2276298"/>
          <a:ext cx="602695" cy="312048"/>
        </a:xfrm>
        <a:prstGeom prst="rect">
          <a:avLst/>
        </a:prstGeom>
        <a:solidFill>
          <a:schemeClr val="accent2">
            <a:lumMod val="5000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Redspring</a:t>
          </a:r>
          <a:endParaRPr lang="ru-RU" sz="600" kern="1200"/>
        </a:p>
      </dsp:txBody>
      <dsp:txXfrm>
        <a:off x="157141" y="2276298"/>
        <a:ext cx="602695" cy="312048"/>
      </dsp:txXfrm>
    </dsp:sp>
    <dsp:sp modelId="{388E1053-73E6-4237-90F0-BBF595B7573C}">
      <dsp:nvSpPr>
        <dsp:cNvPr id="0" name=""/>
        <dsp:cNvSpPr/>
      </dsp:nvSpPr>
      <dsp:spPr>
        <a:xfrm>
          <a:off x="277680" y="2519003"/>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77680" y="2519003"/>
        <a:ext cx="542425" cy="104016"/>
      </dsp:txXfrm>
    </dsp:sp>
    <dsp:sp modelId="{A98A12A0-375D-4106-ABCD-865408F0FABC}">
      <dsp:nvSpPr>
        <dsp:cNvPr id="0" name=""/>
        <dsp:cNvSpPr/>
      </dsp:nvSpPr>
      <dsp:spPr>
        <a:xfrm>
          <a:off x="965728" y="2276298"/>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Goblin Mountain Outpost</a:t>
          </a:r>
          <a:endParaRPr lang="ru-RU" sz="600" kern="1200"/>
        </a:p>
      </dsp:txBody>
      <dsp:txXfrm>
        <a:off x="965728" y="2276298"/>
        <a:ext cx="602695" cy="312048"/>
      </dsp:txXfrm>
    </dsp:sp>
    <dsp:sp modelId="{AEBDC091-F9F7-462C-AE0C-3B1BA757064D}">
      <dsp:nvSpPr>
        <dsp:cNvPr id="0" name=""/>
        <dsp:cNvSpPr/>
      </dsp:nvSpPr>
      <dsp:spPr>
        <a:xfrm>
          <a:off x="1086267" y="2519003"/>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86267" y="2519003"/>
        <a:ext cx="542425" cy="104016"/>
      </dsp:txXfrm>
    </dsp:sp>
    <dsp:sp modelId="{3B334248-BAB9-42CA-9871-E261EB326B22}">
      <dsp:nvSpPr>
        <dsp:cNvPr id="0" name=""/>
        <dsp:cNvSpPr/>
      </dsp:nvSpPr>
      <dsp:spPr>
        <a:xfrm>
          <a:off x="157141" y="2768642"/>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Thunder Gap border outpost</a:t>
          </a:r>
          <a:endParaRPr lang="ru-RU" sz="600" kern="1200"/>
        </a:p>
      </dsp:txBody>
      <dsp:txXfrm>
        <a:off x="157141" y="2768642"/>
        <a:ext cx="602695" cy="312048"/>
      </dsp:txXfrm>
    </dsp:sp>
    <dsp:sp modelId="{D2AFCE57-00AC-4173-BE7C-DED0062BD73A}">
      <dsp:nvSpPr>
        <dsp:cNvPr id="0" name=""/>
        <dsp:cNvSpPr/>
      </dsp:nvSpPr>
      <dsp:spPr>
        <a:xfrm>
          <a:off x="277680" y="3011346"/>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77680" y="3011346"/>
        <a:ext cx="542425" cy="104016"/>
      </dsp:txXfrm>
    </dsp:sp>
    <dsp:sp modelId="{3D027C5F-090F-4E8F-AE5E-A815B0C02A94}">
      <dsp:nvSpPr>
        <dsp:cNvPr id="0" name=""/>
        <dsp:cNvSpPr/>
      </dsp:nvSpPr>
      <dsp:spPr>
        <a:xfrm>
          <a:off x="965728" y="2768642"/>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Masoner's Bridge waypost</a:t>
          </a:r>
          <a:endParaRPr lang="ru-RU" sz="600" kern="1200"/>
        </a:p>
      </dsp:txBody>
      <dsp:txXfrm>
        <a:off x="965728" y="2768642"/>
        <a:ext cx="602695" cy="312048"/>
      </dsp:txXfrm>
    </dsp:sp>
    <dsp:sp modelId="{54A59613-1B04-48F2-9981-764D08BC337A}">
      <dsp:nvSpPr>
        <dsp:cNvPr id="0" name=""/>
        <dsp:cNvSpPr/>
      </dsp:nvSpPr>
      <dsp:spPr>
        <a:xfrm>
          <a:off x="1086267" y="3011346"/>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86267" y="3011346"/>
        <a:ext cx="542425" cy="104016"/>
      </dsp:txXfrm>
    </dsp:sp>
    <dsp:sp modelId="{8EE6926A-F0D8-4CB6-A2B6-C7034E7F9C30}">
      <dsp:nvSpPr>
        <dsp:cNvPr id="0" name=""/>
        <dsp:cNvSpPr/>
      </dsp:nvSpPr>
      <dsp:spPr>
        <a:xfrm>
          <a:off x="157141" y="3260985"/>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East Way waypost</a:t>
          </a:r>
          <a:endParaRPr lang="ru-RU" sz="600" kern="1200"/>
        </a:p>
      </dsp:txBody>
      <dsp:txXfrm>
        <a:off x="157141" y="3260985"/>
        <a:ext cx="602695" cy="312048"/>
      </dsp:txXfrm>
    </dsp:sp>
    <dsp:sp modelId="{94955614-EFFB-4FA8-B43D-F911E9710223}">
      <dsp:nvSpPr>
        <dsp:cNvPr id="0" name=""/>
        <dsp:cNvSpPr/>
      </dsp:nvSpPr>
      <dsp:spPr>
        <a:xfrm>
          <a:off x="277680" y="3503690"/>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77680" y="3503690"/>
        <a:ext cx="542425" cy="104016"/>
      </dsp:txXfrm>
    </dsp:sp>
    <dsp:sp modelId="{0324913E-DF24-4789-B17A-5497E9E7E66D}">
      <dsp:nvSpPr>
        <dsp:cNvPr id="0" name=""/>
        <dsp:cNvSpPr/>
      </dsp:nvSpPr>
      <dsp:spPr>
        <a:xfrm>
          <a:off x="965728" y="3260985"/>
          <a:ext cx="602695"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patrols into the Stonelands</a:t>
          </a:r>
          <a:endParaRPr lang="ru-RU" sz="500" kern="1200">
            <a:solidFill>
              <a:sysClr val="window" lastClr="FFFFFF"/>
            </a:solidFill>
            <a:latin typeface="Lato"/>
            <a:ea typeface="+mn-ea"/>
            <a:cs typeface="+mn-cs"/>
          </a:endParaRPr>
        </a:p>
      </dsp:txBody>
      <dsp:txXfrm>
        <a:off x="965728" y="3260985"/>
        <a:ext cx="602695" cy="312048"/>
      </dsp:txXfrm>
    </dsp:sp>
    <dsp:sp modelId="{F0907E31-8957-458E-92D9-FCA15A43F1F2}">
      <dsp:nvSpPr>
        <dsp:cNvPr id="0" name=""/>
        <dsp:cNvSpPr/>
      </dsp:nvSpPr>
      <dsp:spPr>
        <a:xfrm>
          <a:off x="1086267" y="3503690"/>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86267" y="3503690"/>
        <a:ext cx="542425" cy="104016"/>
      </dsp:txXfrm>
    </dsp:sp>
    <dsp:sp modelId="{5B16D9B2-2665-4969-A326-41045BB72F81}">
      <dsp:nvSpPr>
        <dsp:cNvPr id="0" name=""/>
        <dsp:cNvSpPr/>
      </dsp:nvSpPr>
      <dsp:spPr>
        <a:xfrm>
          <a:off x="157141" y="3753329"/>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Yeoman Bridge</a:t>
          </a:r>
          <a:endParaRPr lang="en-US" sz="600" kern="1200"/>
        </a:p>
      </dsp:txBody>
      <dsp:txXfrm>
        <a:off x="157141" y="3753329"/>
        <a:ext cx="602695" cy="312048"/>
      </dsp:txXfrm>
    </dsp:sp>
    <dsp:sp modelId="{C11BC66F-72F6-4BD9-93AE-C4B82F062BF0}">
      <dsp:nvSpPr>
        <dsp:cNvPr id="0" name=""/>
        <dsp:cNvSpPr/>
      </dsp:nvSpPr>
      <dsp:spPr>
        <a:xfrm>
          <a:off x="277680" y="3996034"/>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77680" y="3996034"/>
        <a:ext cx="542425" cy="104016"/>
      </dsp:txXfrm>
    </dsp:sp>
    <dsp:sp modelId="{B2C068A0-EFBE-46E1-95F7-41BC31A04100}">
      <dsp:nvSpPr>
        <dsp:cNvPr id="0" name=""/>
        <dsp:cNvSpPr/>
      </dsp:nvSpPr>
      <dsp:spPr>
        <a:xfrm>
          <a:off x="965728" y="3753329"/>
          <a:ext cx="746799" cy="315621"/>
        </a:xfrm>
        <a:prstGeom prst="plaque">
          <a:avLst/>
        </a:prstGeom>
        <a:solidFill>
          <a:schemeClr val="tx1"/>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Eveningstar</a:t>
          </a:r>
        </a:p>
      </dsp:txBody>
      <dsp:txXfrm>
        <a:off x="1002925" y="3790526"/>
        <a:ext cx="672405" cy="241227"/>
      </dsp:txXfrm>
    </dsp:sp>
    <dsp:sp modelId="{286ACE62-2267-44E9-B567-168ED11E5C1E}">
      <dsp:nvSpPr>
        <dsp:cNvPr id="0" name=""/>
        <dsp:cNvSpPr/>
      </dsp:nvSpPr>
      <dsp:spPr>
        <a:xfrm>
          <a:off x="1158319" y="3997820"/>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158319" y="3997820"/>
        <a:ext cx="542425" cy="104016"/>
      </dsp:txXfrm>
    </dsp:sp>
    <dsp:sp modelId="{B90A13A0-98BD-41B8-9100-A41547601D22}">
      <dsp:nvSpPr>
        <dsp:cNvPr id="0" name=""/>
        <dsp:cNvSpPr/>
      </dsp:nvSpPr>
      <dsp:spPr>
        <a:xfrm>
          <a:off x="1542143" y="1783954"/>
          <a:ext cx="1007206"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Castle Crag</a:t>
          </a:r>
          <a:endParaRPr lang="ru-RU" sz="800" b="1" i="0" kern="1200">
            <a:solidFill>
              <a:schemeClr val="tx1"/>
            </a:solidFill>
          </a:endParaRPr>
        </a:p>
      </dsp:txBody>
      <dsp:txXfrm>
        <a:off x="1578919" y="1820730"/>
        <a:ext cx="933654" cy="238496"/>
      </dsp:txXfrm>
    </dsp:sp>
    <dsp:sp modelId="{848A0AD0-6DD4-43B2-936E-7528D55AD57C}">
      <dsp:nvSpPr>
        <dsp:cNvPr id="0" name=""/>
        <dsp:cNvSpPr/>
      </dsp:nvSpPr>
      <dsp:spPr>
        <a:xfrm>
          <a:off x="1864937" y="2026659"/>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1864937" y="2026659"/>
        <a:ext cx="542425" cy="104016"/>
      </dsp:txXfrm>
    </dsp:sp>
    <dsp:sp modelId="{F4D0F44D-12FD-4BFA-8D70-F7C6F3908375}">
      <dsp:nvSpPr>
        <dsp:cNvPr id="0" name=""/>
        <dsp:cNvSpPr/>
      </dsp:nvSpPr>
      <dsp:spPr>
        <a:xfrm>
          <a:off x="1793944" y="2276298"/>
          <a:ext cx="602695" cy="312048"/>
        </a:xfrm>
        <a:prstGeom prst="rect">
          <a:avLst/>
        </a:prstGeom>
        <a:solidFill>
          <a:schemeClr val="accent2">
            <a:lumMod val="5000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Slingdyke</a:t>
          </a:r>
          <a:endParaRPr lang="ru-RU" sz="600" kern="1200"/>
        </a:p>
      </dsp:txBody>
      <dsp:txXfrm>
        <a:off x="1793944" y="2276298"/>
        <a:ext cx="602695" cy="312048"/>
      </dsp:txXfrm>
    </dsp:sp>
    <dsp:sp modelId="{AA23DE0C-5E08-40CB-92E0-0904D54AA9FB}">
      <dsp:nvSpPr>
        <dsp:cNvPr id="0" name=""/>
        <dsp:cNvSpPr/>
      </dsp:nvSpPr>
      <dsp:spPr>
        <a:xfrm>
          <a:off x="1914483" y="2519003"/>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914483" y="2519003"/>
        <a:ext cx="542425" cy="104016"/>
      </dsp:txXfrm>
    </dsp:sp>
    <dsp:sp modelId="{8C2E6AA0-A6B8-47F0-A74C-7096EE0D8B0C}">
      <dsp:nvSpPr>
        <dsp:cNvPr id="0" name=""/>
        <dsp:cNvSpPr/>
      </dsp:nvSpPr>
      <dsp:spPr>
        <a:xfrm>
          <a:off x="1793944" y="2768642"/>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Hillmarch</a:t>
          </a:r>
          <a:endParaRPr lang="ru-RU" sz="600" kern="1200"/>
        </a:p>
      </dsp:txBody>
      <dsp:txXfrm>
        <a:off x="1793944" y="2768642"/>
        <a:ext cx="602695" cy="312048"/>
      </dsp:txXfrm>
    </dsp:sp>
    <dsp:sp modelId="{A0971A63-0F7A-4CC9-BA3B-5D4436355018}">
      <dsp:nvSpPr>
        <dsp:cNvPr id="0" name=""/>
        <dsp:cNvSpPr/>
      </dsp:nvSpPr>
      <dsp:spPr>
        <a:xfrm>
          <a:off x="1914483" y="3011346"/>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914483" y="3011346"/>
        <a:ext cx="542425" cy="104016"/>
      </dsp:txXfrm>
    </dsp:sp>
    <dsp:sp modelId="{B9EC0917-8520-4865-ACE6-E26CFF0775A3}">
      <dsp:nvSpPr>
        <dsp:cNvPr id="0" name=""/>
        <dsp:cNvSpPr/>
      </dsp:nvSpPr>
      <dsp:spPr>
        <a:xfrm>
          <a:off x="1793944" y="3260985"/>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Gnollpost</a:t>
          </a:r>
          <a:endParaRPr lang="ru-RU" sz="600" kern="1200"/>
        </a:p>
      </dsp:txBody>
      <dsp:txXfrm>
        <a:off x="1793944" y="3260985"/>
        <a:ext cx="602695" cy="312048"/>
      </dsp:txXfrm>
    </dsp:sp>
    <dsp:sp modelId="{A6DCDDFB-87E5-490F-8079-086A0A43A36B}">
      <dsp:nvSpPr>
        <dsp:cNvPr id="0" name=""/>
        <dsp:cNvSpPr/>
      </dsp:nvSpPr>
      <dsp:spPr>
        <a:xfrm>
          <a:off x="1914483" y="3503690"/>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914483" y="3503690"/>
        <a:ext cx="542425" cy="104016"/>
      </dsp:txXfrm>
    </dsp:sp>
    <dsp:sp modelId="{E8494AC8-C34C-4266-B228-2586A503492E}">
      <dsp:nvSpPr>
        <dsp:cNvPr id="0" name=""/>
        <dsp:cNvSpPr/>
      </dsp:nvSpPr>
      <dsp:spPr>
        <a:xfrm>
          <a:off x="2679278" y="1783954"/>
          <a:ext cx="602695" cy="312048"/>
        </a:xfrm>
        <a:prstGeom prst="rect">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694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Halfhap</a:t>
          </a:r>
          <a:endParaRPr lang="ru-RU" sz="800" b="1" i="0" kern="1200">
            <a:solidFill>
              <a:sysClr val="windowText" lastClr="000000"/>
            </a:solidFill>
            <a:latin typeface="Lato"/>
            <a:ea typeface="+mn-ea"/>
            <a:cs typeface="+mn-cs"/>
          </a:endParaRPr>
        </a:p>
      </dsp:txBody>
      <dsp:txXfrm>
        <a:off x="2679278" y="1783954"/>
        <a:ext cx="602695" cy="312048"/>
      </dsp:txXfrm>
    </dsp:sp>
    <dsp:sp modelId="{6A15F474-B874-4116-9C30-7BEC48E608D4}">
      <dsp:nvSpPr>
        <dsp:cNvPr id="0" name=""/>
        <dsp:cNvSpPr/>
      </dsp:nvSpPr>
      <dsp:spPr>
        <a:xfrm>
          <a:off x="2815511" y="2026659"/>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815511" y="2026659"/>
        <a:ext cx="542425" cy="104016"/>
      </dsp:txXfrm>
    </dsp:sp>
    <dsp:sp modelId="{0FD57CB8-FF3E-4DB9-BA9D-377D67E7AC78}">
      <dsp:nvSpPr>
        <dsp:cNvPr id="0" name=""/>
        <dsp:cNvSpPr/>
      </dsp:nvSpPr>
      <dsp:spPr>
        <a:xfrm>
          <a:off x="2681520" y="2276298"/>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Mootpost</a:t>
          </a:r>
          <a:endParaRPr lang="ru-RU" sz="600" kern="1200"/>
        </a:p>
      </dsp:txBody>
      <dsp:txXfrm>
        <a:off x="2681520" y="2276298"/>
        <a:ext cx="602695" cy="312048"/>
      </dsp:txXfrm>
    </dsp:sp>
    <dsp:sp modelId="{1B96B8DA-0116-493D-8BEC-AF9251C326B3}">
      <dsp:nvSpPr>
        <dsp:cNvPr id="0" name=""/>
        <dsp:cNvSpPr/>
      </dsp:nvSpPr>
      <dsp:spPr>
        <a:xfrm>
          <a:off x="2815511" y="2519003"/>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815511" y="2519003"/>
        <a:ext cx="542425" cy="104016"/>
      </dsp:txXfrm>
    </dsp:sp>
    <dsp:sp modelId="{80341BDE-F995-4D7F-8487-8233CAEF1DEE}">
      <dsp:nvSpPr>
        <dsp:cNvPr id="0" name=""/>
        <dsp:cNvSpPr/>
      </dsp:nvSpPr>
      <dsp:spPr>
        <a:xfrm>
          <a:off x="4466425" y="1258022"/>
          <a:ext cx="1428785" cy="312048"/>
        </a:xfrm>
        <a:prstGeom prst="plaque">
          <a:avLst/>
        </a:prstGeom>
        <a:solidFill>
          <a:srgbClr val="002060"/>
        </a:solidFill>
        <a:ln w="25400" cap="flat" cmpd="dbl"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bg1"/>
              </a:solidFill>
            </a:rPr>
            <a:t>Army of Western Marches</a:t>
          </a:r>
        </a:p>
      </dsp:txBody>
      <dsp:txXfrm>
        <a:off x="4503201" y="1294798"/>
        <a:ext cx="1355233" cy="238496"/>
      </dsp:txXfrm>
    </dsp:sp>
    <dsp:sp modelId="{DAA10A89-274A-46C3-823E-AE3B00B8A417}">
      <dsp:nvSpPr>
        <dsp:cNvPr id="0" name=""/>
        <dsp:cNvSpPr/>
      </dsp:nvSpPr>
      <dsp:spPr>
        <a:xfrm>
          <a:off x="5275309" y="1490068"/>
          <a:ext cx="1236670" cy="241131"/>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38100" tIns="9525" rIns="38100" bIns="9525" numCol="1" spcCol="1270" anchor="ctr" anchorCtr="0">
          <a:noAutofit/>
        </a:bodyPr>
        <a:lstStyle/>
        <a:p>
          <a:pPr marL="0" lvl="0" indent="0" algn="r" defTabSz="666750">
            <a:lnSpc>
              <a:spcPct val="90000"/>
            </a:lnSpc>
            <a:spcBef>
              <a:spcPct val="0"/>
            </a:spcBef>
            <a:spcAft>
              <a:spcPct val="35000"/>
            </a:spcAft>
            <a:buNone/>
          </a:pPr>
          <a:r>
            <a:rPr lang="en-US" sz="1500" b="0" i="0" u="none" kern="1200"/>
            <a:t>Battlemaster</a:t>
          </a:r>
          <a:endParaRPr lang="ru-RU" sz="1500" kern="1200"/>
        </a:p>
      </dsp:txBody>
      <dsp:txXfrm>
        <a:off x="5275309" y="1490068"/>
        <a:ext cx="1236670" cy="241131"/>
      </dsp:txXfrm>
    </dsp:sp>
    <dsp:sp modelId="{FEDAC8C2-250E-4B32-8532-855473263F13}">
      <dsp:nvSpPr>
        <dsp:cNvPr id="0" name=""/>
        <dsp:cNvSpPr/>
      </dsp:nvSpPr>
      <dsp:spPr>
        <a:xfrm>
          <a:off x="4119020" y="1826251"/>
          <a:ext cx="602695" cy="312048"/>
        </a:xfrm>
        <a:prstGeom prst="rect">
          <a:avLst/>
        </a:prstGeom>
        <a:solidFill>
          <a:srgbClr val="4472C4">
            <a:hueOff val="0"/>
            <a:satOff val="0"/>
            <a:lumOff val="0"/>
            <a:alphaOff val="0"/>
          </a:srgbClr>
        </a:solidFill>
        <a:ln w="12700" cap="flat" cmpd="sng" algn="ctr">
          <a:solidFill>
            <a:sysClr val="window" lastClr="FFFFFF">
              <a:hueOff val="0"/>
              <a:satOff val="0"/>
              <a:lumOff val="0"/>
              <a:alphaOff val="0"/>
            </a:sys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5591" numCol="1" spcCol="1270" anchor="ctr" anchorCtr="0">
          <a:noAutofit/>
        </a:bodyPr>
        <a:lstStyle/>
        <a:p>
          <a:pPr marL="0" lvl="0" indent="0" algn="ctr" defTabSz="266700">
            <a:lnSpc>
              <a:spcPct val="90000"/>
            </a:lnSpc>
            <a:spcBef>
              <a:spcPct val="0"/>
            </a:spcBef>
            <a:spcAft>
              <a:spcPct val="35000"/>
            </a:spcAft>
            <a:buNone/>
          </a:pPr>
          <a:r>
            <a:rPr lang="en-US" sz="600" b="0" i="1" kern="1200">
              <a:solidFill>
                <a:sysClr val="window" lastClr="FFFFFF"/>
              </a:solidFill>
              <a:latin typeface="Lato"/>
              <a:ea typeface="+mn-ea"/>
              <a:cs typeface="+mn-cs"/>
            </a:rPr>
            <a:t>Eagle Peak</a:t>
          </a:r>
          <a:endParaRPr lang="ru-RU" sz="600" b="0" i="1" kern="1200">
            <a:solidFill>
              <a:sysClr val="window" lastClr="FFFFFF"/>
            </a:solidFill>
            <a:latin typeface="Lato"/>
            <a:ea typeface="+mn-ea"/>
            <a:cs typeface="+mn-cs"/>
          </a:endParaRPr>
        </a:p>
      </dsp:txBody>
      <dsp:txXfrm>
        <a:off x="4119020" y="1826251"/>
        <a:ext cx="602695" cy="312048"/>
      </dsp:txXfrm>
    </dsp:sp>
    <dsp:sp modelId="{656E15EF-04E1-41C4-A0E2-A1CAADE791E4}">
      <dsp:nvSpPr>
        <dsp:cNvPr id="0" name=""/>
        <dsp:cNvSpPr/>
      </dsp:nvSpPr>
      <dsp:spPr>
        <a:xfrm>
          <a:off x="3624098" y="2061629"/>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3624098" y="2061629"/>
        <a:ext cx="542425" cy="104016"/>
      </dsp:txXfrm>
    </dsp:sp>
    <dsp:sp modelId="{D5B37A4F-EF58-45F4-8276-218AE53A3C6F}">
      <dsp:nvSpPr>
        <dsp:cNvPr id="0" name=""/>
        <dsp:cNvSpPr/>
      </dsp:nvSpPr>
      <dsp:spPr>
        <a:xfrm>
          <a:off x="5253629" y="1818924"/>
          <a:ext cx="1106373" cy="360466"/>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High Horn</a:t>
          </a:r>
        </a:p>
      </dsp:txBody>
      <dsp:txXfrm>
        <a:off x="5296111" y="1861406"/>
        <a:ext cx="1021409" cy="275502"/>
      </dsp:txXfrm>
    </dsp:sp>
    <dsp:sp modelId="{38BE10C7-FBDC-4133-91A6-59B93208FF60}">
      <dsp:nvSpPr>
        <dsp:cNvPr id="0" name=""/>
        <dsp:cNvSpPr/>
      </dsp:nvSpPr>
      <dsp:spPr>
        <a:xfrm>
          <a:off x="5626007" y="2085837"/>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5626007" y="2085837"/>
        <a:ext cx="542425" cy="104016"/>
      </dsp:txXfrm>
    </dsp:sp>
    <dsp:sp modelId="{019F7FFD-9036-42CB-B450-ABD033DC3880}">
      <dsp:nvSpPr>
        <dsp:cNvPr id="0" name=""/>
        <dsp:cNvSpPr/>
      </dsp:nvSpPr>
      <dsp:spPr>
        <a:xfrm>
          <a:off x="5499990" y="2335476"/>
          <a:ext cx="602695" cy="312048"/>
        </a:xfrm>
        <a:prstGeom prst="rect">
          <a:avLst/>
        </a:prstGeom>
        <a:solidFill>
          <a:schemeClr val="accent2">
            <a:lumMod val="5000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Tyrluk</a:t>
          </a:r>
          <a:endParaRPr lang="en-US" sz="600" kern="1200"/>
        </a:p>
      </dsp:txBody>
      <dsp:txXfrm>
        <a:off x="5499990" y="2335476"/>
        <a:ext cx="602695" cy="312048"/>
      </dsp:txXfrm>
    </dsp:sp>
    <dsp:sp modelId="{559352D2-DAA0-48CE-A551-A1FCE375E13C}">
      <dsp:nvSpPr>
        <dsp:cNvPr id="0" name=""/>
        <dsp:cNvSpPr/>
      </dsp:nvSpPr>
      <dsp:spPr>
        <a:xfrm>
          <a:off x="5595873" y="257818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5595873" y="2578181"/>
        <a:ext cx="542425" cy="104016"/>
      </dsp:txXfrm>
    </dsp:sp>
    <dsp:sp modelId="{1C8E0FDE-B596-4BE4-B9DE-1133B8437399}">
      <dsp:nvSpPr>
        <dsp:cNvPr id="0" name=""/>
        <dsp:cNvSpPr/>
      </dsp:nvSpPr>
      <dsp:spPr>
        <a:xfrm>
          <a:off x="3503559" y="2827820"/>
          <a:ext cx="1604447"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559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Skull Crag</a:t>
          </a:r>
        </a:p>
      </dsp:txBody>
      <dsp:txXfrm>
        <a:off x="3540335" y="2864596"/>
        <a:ext cx="1530895" cy="238496"/>
      </dsp:txXfrm>
    </dsp:sp>
    <dsp:sp modelId="{44A4C9CE-925A-433F-8D8E-7EE62AF3AD4E}">
      <dsp:nvSpPr>
        <dsp:cNvPr id="0" name=""/>
        <dsp:cNvSpPr/>
      </dsp:nvSpPr>
      <dsp:spPr>
        <a:xfrm>
          <a:off x="4124974" y="307052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Constal</a:t>
          </a:r>
          <a:endParaRPr lang="ru-RU" sz="600" kern="1200"/>
        </a:p>
      </dsp:txBody>
      <dsp:txXfrm>
        <a:off x="4124974" y="3070525"/>
        <a:ext cx="542425" cy="104016"/>
      </dsp:txXfrm>
    </dsp:sp>
    <dsp:sp modelId="{45D0B1BF-78E7-496B-84E7-12A2829B813F}">
      <dsp:nvSpPr>
        <dsp:cNvPr id="0" name=""/>
        <dsp:cNvSpPr/>
      </dsp:nvSpPr>
      <dsp:spPr>
        <a:xfrm>
          <a:off x="3790861" y="3320164"/>
          <a:ext cx="1045188"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Greatgaunt</a:t>
          </a:r>
        </a:p>
      </dsp:txBody>
      <dsp:txXfrm>
        <a:off x="3790861" y="3320164"/>
        <a:ext cx="1045188" cy="312048"/>
      </dsp:txXfrm>
    </dsp:sp>
    <dsp:sp modelId="{F67D9200-4BF3-464E-BD3D-2EBEA7A12FC2}">
      <dsp:nvSpPr>
        <dsp:cNvPr id="0" name=""/>
        <dsp:cNvSpPr/>
      </dsp:nvSpPr>
      <dsp:spPr>
        <a:xfrm>
          <a:off x="4124974" y="3562869"/>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4124974" y="3562869"/>
        <a:ext cx="542425" cy="104016"/>
      </dsp:txXfrm>
    </dsp:sp>
    <dsp:sp modelId="{6729A0E4-2BD8-4A7C-9045-E43691F1EE7A}">
      <dsp:nvSpPr>
        <dsp:cNvPr id="0" name=""/>
        <dsp:cNvSpPr/>
      </dsp:nvSpPr>
      <dsp:spPr>
        <a:xfrm>
          <a:off x="5253629" y="2827820"/>
          <a:ext cx="1208934"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559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Greatgaunt</a:t>
          </a:r>
          <a:endParaRPr lang="ru-RU" sz="800" b="1" i="0" kern="1200">
            <a:solidFill>
              <a:sysClr val="windowText" lastClr="000000"/>
            </a:solidFill>
            <a:latin typeface="Lato"/>
            <a:ea typeface="+mn-ea"/>
            <a:cs typeface="+mn-cs"/>
          </a:endParaRPr>
        </a:p>
      </dsp:txBody>
      <dsp:txXfrm>
        <a:off x="5290405" y="2864596"/>
        <a:ext cx="1135382" cy="238496"/>
      </dsp:txXfrm>
    </dsp:sp>
    <dsp:sp modelId="{E4376F8C-5058-4F0D-93C3-1A15FA20FB01}">
      <dsp:nvSpPr>
        <dsp:cNvPr id="0" name=""/>
        <dsp:cNvSpPr/>
      </dsp:nvSpPr>
      <dsp:spPr>
        <a:xfrm>
          <a:off x="5677288" y="307052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5677288" y="3070525"/>
        <a:ext cx="542425" cy="104016"/>
      </dsp:txXfrm>
    </dsp:sp>
    <dsp:sp modelId="{07E26C17-29DF-4787-B788-D11E5789DF29}">
      <dsp:nvSpPr>
        <dsp:cNvPr id="0" name=""/>
        <dsp:cNvSpPr/>
      </dsp:nvSpPr>
      <dsp:spPr>
        <a:xfrm>
          <a:off x="8071349" y="1258022"/>
          <a:ext cx="1428785" cy="312048"/>
        </a:xfrm>
        <a:prstGeom prst="plaque">
          <a:avLst/>
        </a:prstGeom>
        <a:solidFill>
          <a:srgbClr val="002060"/>
        </a:solidFill>
        <a:ln w="25400" cap="flat" cmpd="dbl"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bg1"/>
              </a:solidFill>
            </a:rPr>
            <a:t>Army of the Heartlands</a:t>
          </a:r>
          <a:endParaRPr lang="ru-RU" sz="800" b="1" kern="1200">
            <a:solidFill>
              <a:schemeClr val="bg1"/>
            </a:solidFill>
          </a:endParaRPr>
        </a:p>
      </dsp:txBody>
      <dsp:txXfrm>
        <a:off x="8108125" y="1294798"/>
        <a:ext cx="1355233" cy="238496"/>
      </dsp:txXfrm>
    </dsp:sp>
    <dsp:sp modelId="{BB5B700F-496F-45E0-9351-B2DF026C420E}">
      <dsp:nvSpPr>
        <dsp:cNvPr id="0" name=""/>
        <dsp:cNvSpPr/>
      </dsp:nvSpPr>
      <dsp:spPr>
        <a:xfrm>
          <a:off x="8604933" y="1500727"/>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Battlemaster</a:t>
          </a:r>
          <a:endParaRPr lang="ru-RU" sz="600" kern="1200"/>
        </a:p>
      </dsp:txBody>
      <dsp:txXfrm>
        <a:off x="8604933" y="1500727"/>
        <a:ext cx="542425" cy="104016"/>
      </dsp:txXfrm>
    </dsp:sp>
    <dsp:sp modelId="{7439A715-7671-47C4-8F06-B4B3F7D2CAFF}">
      <dsp:nvSpPr>
        <dsp:cNvPr id="0" name=""/>
        <dsp:cNvSpPr/>
      </dsp:nvSpPr>
      <dsp:spPr>
        <a:xfrm>
          <a:off x="6505626" y="1750366"/>
          <a:ext cx="1007206"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Arabel</a:t>
          </a:r>
          <a:endParaRPr lang="ru-RU" sz="800" b="1" i="0" kern="1200">
            <a:solidFill>
              <a:schemeClr val="tx1"/>
            </a:solidFill>
          </a:endParaRPr>
        </a:p>
      </dsp:txBody>
      <dsp:txXfrm>
        <a:off x="6542402" y="1787142"/>
        <a:ext cx="933654" cy="238496"/>
      </dsp:txXfrm>
    </dsp:sp>
    <dsp:sp modelId="{CF40303A-144B-4634-9141-BA48ED9CC06F}">
      <dsp:nvSpPr>
        <dsp:cNvPr id="0" name=""/>
        <dsp:cNvSpPr/>
      </dsp:nvSpPr>
      <dsp:spPr>
        <a:xfrm>
          <a:off x="6828420"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6828420" y="1993071"/>
        <a:ext cx="542425" cy="104016"/>
      </dsp:txXfrm>
    </dsp:sp>
    <dsp:sp modelId="{0C9F8BBE-2D70-4EDF-BE84-1E97862A8D2D}">
      <dsp:nvSpPr>
        <dsp:cNvPr id="0" name=""/>
        <dsp:cNvSpPr/>
      </dsp:nvSpPr>
      <dsp:spPr>
        <a:xfrm>
          <a:off x="6273452" y="2242710"/>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0" kern="1200"/>
            <a:t>Immersea</a:t>
          </a:r>
          <a:endParaRPr lang="ru-RU" sz="600" i="0" kern="1200"/>
        </a:p>
      </dsp:txBody>
      <dsp:txXfrm>
        <a:off x="6273452" y="2242710"/>
        <a:ext cx="602695" cy="312048"/>
      </dsp:txXfrm>
    </dsp:sp>
    <dsp:sp modelId="{03B94904-6BC5-4944-B998-9DA08457AB2D}">
      <dsp:nvSpPr>
        <dsp:cNvPr id="0" name=""/>
        <dsp:cNvSpPr/>
      </dsp:nvSpPr>
      <dsp:spPr>
        <a:xfrm>
          <a:off x="6393992"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6393992" y="2485415"/>
        <a:ext cx="542425" cy="104016"/>
      </dsp:txXfrm>
    </dsp:sp>
    <dsp:sp modelId="{E520C092-21DF-430D-AD30-9DE7EAC090DC}">
      <dsp:nvSpPr>
        <dsp:cNvPr id="0" name=""/>
        <dsp:cNvSpPr/>
      </dsp:nvSpPr>
      <dsp:spPr>
        <a:xfrm>
          <a:off x="7082040" y="2242710"/>
          <a:ext cx="602695"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66700">
            <a:lnSpc>
              <a:spcPct val="90000"/>
            </a:lnSpc>
            <a:spcBef>
              <a:spcPct val="0"/>
            </a:spcBef>
            <a:spcAft>
              <a:spcPct val="35000"/>
            </a:spcAft>
            <a:buNone/>
          </a:pPr>
          <a:r>
            <a:rPr lang="en-US" sz="600" kern="1200"/>
            <a:t>New Tilverton</a:t>
          </a:r>
          <a:endParaRPr lang="ru-RU" sz="600" kern="1200"/>
        </a:p>
      </dsp:txBody>
      <dsp:txXfrm>
        <a:off x="7082040" y="2242710"/>
        <a:ext cx="602695" cy="312048"/>
      </dsp:txXfrm>
    </dsp:sp>
    <dsp:sp modelId="{A1C9AA26-E87D-40D9-B49A-6EA3CA89ABF8}">
      <dsp:nvSpPr>
        <dsp:cNvPr id="0" name=""/>
        <dsp:cNvSpPr/>
      </dsp:nvSpPr>
      <dsp:spPr>
        <a:xfrm>
          <a:off x="7202579"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Constal</a:t>
          </a:r>
          <a:endParaRPr lang="ru-RU" sz="600" kern="1200"/>
        </a:p>
      </dsp:txBody>
      <dsp:txXfrm>
        <a:off x="7202579" y="2485415"/>
        <a:ext cx="542425" cy="104016"/>
      </dsp:txXfrm>
    </dsp:sp>
    <dsp:sp modelId="{2A0BCD83-2C24-4BE1-B20B-A9DCDFF5B535}">
      <dsp:nvSpPr>
        <dsp:cNvPr id="0" name=""/>
        <dsp:cNvSpPr/>
      </dsp:nvSpPr>
      <dsp:spPr>
        <a:xfrm>
          <a:off x="7658455" y="1750366"/>
          <a:ext cx="1007206"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Suzail</a:t>
          </a:r>
        </a:p>
      </dsp:txBody>
      <dsp:txXfrm>
        <a:off x="7695231" y="1787142"/>
        <a:ext cx="933654" cy="238496"/>
      </dsp:txXfrm>
    </dsp:sp>
    <dsp:sp modelId="{C0264484-DC40-4C1C-9103-106977643F89}">
      <dsp:nvSpPr>
        <dsp:cNvPr id="0" name=""/>
        <dsp:cNvSpPr/>
      </dsp:nvSpPr>
      <dsp:spPr>
        <a:xfrm>
          <a:off x="7981249"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7981249" y="1993071"/>
        <a:ext cx="542425" cy="104016"/>
      </dsp:txXfrm>
    </dsp:sp>
    <dsp:sp modelId="{949B4D2A-B6A1-4788-A404-6175DEF28063}">
      <dsp:nvSpPr>
        <dsp:cNvPr id="0" name=""/>
        <dsp:cNvSpPr/>
      </dsp:nvSpPr>
      <dsp:spPr>
        <a:xfrm>
          <a:off x="7910256" y="2242710"/>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Waymoot</a:t>
          </a:r>
        </a:p>
      </dsp:txBody>
      <dsp:txXfrm>
        <a:off x="7910256" y="2242710"/>
        <a:ext cx="602695" cy="312048"/>
      </dsp:txXfrm>
    </dsp:sp>
    <dsp:sp modelId="{69D58FF6-F2A9-41A2-9D61-C9D202626D17}">
      <dsp:nvSpPr>
        <dsp:cNvPr id="0" name=""/>
        <dsp:cNvSpPr/>
      </dsp:nvSpPr>
      <dsp:spPr>
        <a:xfrm>
          <a:off x="8030795"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8030795" y="2485415"/>
        <a:ext cx="542425" cy="104016"/>
      </dsp:txXfrm>
    </dsp:sp>
    <dsp:sp modelId="{6EF8B4EE-6877-4512-B43B-3B1D377A41E4}">
      <dsp:nvSpPr>
        <dsp:cNvPr id="0" name=""/>
        <dsp:cNvSpPr/>
      </dsp:nvSpPr>
      <dsp:spPr>
        <a:xfrm>
          <a:off x="7910256" y="2735054"/>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Jester's Green</a:t>
          </a:r>
        </a:p>
      </dsp:txBody>
      <dsp:txXfrm>
        <a:off x="7910256" y="2735054"/>
        <a:ext cx="602695" cy="312048"/>
      </dsp:txXfrm>
    </dsp:sp>
    <dsp:sp modelId="{D141C697-C6D4-4357-8EEB-E87E399E76B2}">
      <dsp:nvSpPr>
        <dsp:cNvPr id="0" name=""/>
        <dsp:cNvSpPr/>
      </dsp:nvSpPr>
      <dsp:spPr>
        <a:xfrm>
          <a:off x="8030795" y="2977758"/>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8030795" y="2977758"/>
        <a:ext cx="542425" cy="104016"/>
      </dsp:txXfrm>
    </dsp:sp>
    <dsp:sp modelId="{CAB8B3C7-C8B8-46C1-8DDC-C9148F8110CA}">
      <dsp:nvSpPr>
        <dsp:cNvPr id="0" name=""/>
        <dsp:cNvSpPr/>
      </dsp:nvSpPr>
      <dsp:spPr>
        <a:xfrm>
          <a:off x="7910256" y="3227398"/>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Calantar's Bridge</a:t>
          </a:r>
        </a:p>
      </dsp:txBody>
      <dsp:txXfrm>
        <a:off x="7910256" y="3227398"/>
        <a:ext cx="602695" cy="312048"/>
      </dsp:txXfrm>
    </dsp:sp>
    <dsp:sp modelId="{9B3BA139-5F5B-4E30-889D-A2F706A2695B}">
      <dsp:nvSpPr>
        <dsp:cNvPr id="0" name=""/>
        <dsp:cNvSpPr/>
      </dsp:nvSpPr>
      <dsp:spPr>
        <a:xfrm>
          <a:off x="8030795" y="3470102"/>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8030795" y="3470102"/>
        <a:ext cx="542425" cy="104016"/>
      </dsp:txXfrm>
    </dsp:sp>
    <dsp:sp modelId="{AFEDC19F-5E18-407A-91B8-4A37CB3005D9}">
      <dsp:nvSpPr>
        <dsp:cNvPr id="0" name=""/>
        <dsp:cNvSpPr/>
      </dsp:nvSpPr>
      <dsp:spPr>
        <a:xfrm>
          <a:off x="8811284" y="1750366"/>
          <a:ext cx="1101744"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694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Marsember</a:t>
          </a:r>
          <a:endParaRPr lang="ru-RU" sz="800" b="1" i="0" kern="1200">
            <a:solidFill>
              <a:sysClr val="windowText" lastClr="000000"/>
            </a:solidFill>
            <a:latin typeface="Lato"/>
            <a:ea typeface="+mn-ea"/>
            <a:cs typeface="+mn-cs"/>
          </a:endParaRPr>
        </a:p>
      </dsp:txBody>
      <dsp:txXfrm>
        <a:off x="8848060" y="1787142"/>
        <a:ext cx="1028192" cy="238496"/>
      </dsp:txXfrm>
    </dsp:sp>
    <dsp:sp modelId="{2E0D561D-EF1C-4E03-8586-7217D3A1BA85}">
      <dsp:nvSpPr>
        <dsp:cNvPr id="0" name=""/>
        <dsp:cNvSpPr/>
      </dsp:nvSpPr>
      <dsp:spPr>
        <a:xfrm>
          <a:off x="9181347"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r>
            <a:rPr lang="en-US" sz="500" b="0" i="0" u="none" kern="1200"/>
            <a:t>Lord Admiral</a:t>
          </a:r>
        </a:p>
        <a:p>
          <a:pPr marL="0" lvl="0" indent="0" algn="r" defTabSz="222250">
            <a:lnSpc>
              <a:spcPct val="90000"/>
            </a:lnSpc>
            <a:spcBef>
              <a:spcPct val="0"/>
            </a:spcBef>
            <a:spcAft>
              <a:spcPct val="35000"/>
            </a:spcAft>
            <a:buNone/>
          </a:pPr>
          <a:endParaRPr lang="ru-RU" sz="500" kern="1200"/>
        </a:p>
      </dsp:txBody>
      <dsp:txXfrm>
        <a:off x="9181347" y="1993071"/>
        <a:ext cx="542425" cy="104016"/>
      </dsp:txXfrm>
    </dsp:sp>
    <dsp:sp modelId="{BAA32FE9-49CC-44D5-89DD-F0D474799F8B}">
      <dsp:nvSpPr>
        <dsp:cNvPr id="0" name=""/>
        <dsp:cNvSpPr/>
      </dsp:nvSpPr>
      <dsp:spPr>
        <a:xfrm>
          <a:off x="9068692" y="2235296"/>
          <a:ext cx="602695"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Dawngleam</a:t>
          </a:r>
        </a:p>
      </dsp:txBody>
      <dsp:txXfrm>
        <a:off x="9068692" y="2235296"/>
        <a:ext cx="602695" cy="312048"/>
      </dsp:txXfrm>
    </dsp:sp>
    <dsp:sp modelId="{CBB95FC9-11BD-4FC9-86E9-3BDEE76FC944}">
      <dsp:nvSpPr>
        <dsp:cNvPr id="0" name=""/>
        <dsp:cNvSpPr/>
      </dsp:nvSpPr>
      <dsp:spPr>
        <a:xfrm>
          <a:off x="9151213"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Constal</a:t>
          </a:r>
          <a:endParaRPr lang="ru-RU" sz="600" kern="1200"/>
        </a:p>
      </dsp:txBody>
      <dsp:txXfrm>
        <a:off x="9151213" y="2485415"/>
        <a:ext cx="542425" cy="104016"/>
      </dsp:txXfrm>
    </dsp:sp>
    <dsp:sp modelId="{4B35F7F9-45F9-459A-B5F2-1F7BB7C154DB}">
      <dsp:nvSpPr>
        <dsp:cNvPr id="0" name=""/>
        <dsp:cNvSpPr/>
      </dsp:nvSpPr>
      <dsp:spPr>
        <a:xfrm>
          <a:off x="10058651" y="1750366"/>
          <a:ext cx="1007206"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44034" numCol="1" spcCol="1270" anchor="ctr" anchorCtr="0">
          <a:noAutofit/>
        </a:bodyPr>
        <a:lstStyle/>
        <a:p>
          <a:pPr marL="0" lvl="0" indent="0" algn="ctr" defTabSz="355600">
            <a:lnSpc>
              <a:spcPct val="90000"/>
            </a:lnSpc>
            <a:spcBef>
              <a:spcPct val="0"/>
            </a:spcBef>
            <a:spcAft>
              <a:spcPct val="35000"/>
            </a:spcAft>
            <a:buNone/>
          </a:pPr>
          <a:r>
            <a:rPr lang="en-US" sz="800" b="1" i="0" kern="1200">
              <a:solidFill>
                <a:schemeClr val="tx1"/>
              </a:solidFill>
            </a:rPr>
            <a:t>Wheelon</a:t>
          </a:r>
          <a:endParaRPr lang="ru-RU" sz="800" b="1" i="0" kern="1200">
            <a:solidFill>
              <a:schemeClr val="tx1"/>
            </a:solidFill>
          </a:endParaRPr>
        </a:p>
      </dsp:txBody>
      <dsp:txXfrm>
        <a:off x="10095427" y="1787142"/>
        <a:ext cx="933654" cy="238496"/>
      </dsp:txXfrm>
    </dsp:sp>
    <dsp:sp modelId="{55703F11-9F25-493F-BC19-BB4EC28CD8A6}">
      <dsp:nvSpPr>
        <dsp:cNvPr id="0" name=""/>
        <dsp:cNvSpPr/>
      </dsp:nvSpPr>
      <dsp:spPr>
        <a:xfrm>
          <a:off x="10381446"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10381446" y="1993071"/>
        <a:ext cx="542425" cy="104016"/>
      </dsp:txXfrm>
    </dsp:sp>
    <dsp:sp modelId="{407CA84F-7F26-4F8D-85E4-26D6112E50D0}">
      <dsp:nvSpPr>
        <dsp:cNvPr id="0" name=""/>
        <dsp:cNvSpPr/>
      </dsp:nvSpPr>
      <dsp:spPr>
        <a:xfrm>
          <a:off x="10310453" y="2242710"/>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Hultail</a:t>
          </a:r>
          <a:endParaRPr lang="en-US" sz="600" kern="1200"/>
        </a:p>
      </dsp:txBody>
      <dsp:txXfrm>
        <a:off x="10310453" y="2242710"/>
        <a:ext cx="602695" cy="312048"/>
      </dsp:txXfrm>
    </dsp:sp>
    <dsp:sp modelId="{F1ADF4D2-5BD1-4B1C-986D-BEFB19ED6475}">
      <dsp:nvSpPr>
        <dsp:cNvPr id="0" name=""/>
        <dsp:cNvSpPr/>
      </dsp:nvSpPr>
      <dsp:spPr>
        <a:xfrm>
          <a:off x="10430992"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430992" y="2485415"/>
        <a:ext cx="542425" cy="104016"/>
      </dsp:txXfrm>
    </dsp:sp>
    <dsp:sp modelId="{DED1B4A9-A09B-463D-9097-C9D780CBCEB5}">
      <dsp:nvSpPr>
        <dsp:cNvPr id="0" name=""/>
        <dsp:cNvSpPr/>
      </dsp:nvSpPr>
      <dsp:spPr>
        <a:xfrm>
          <a:off x="10310453" y="2735054"/>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Ghars</a:t>
          </a:r>
          <a:endParaRPr lang="en-US" sz="600" kern="1200"/>
        </a:p>
      </dsp:txBody>
      <dsp:txXfrm>
        <a:off x="10310453" y="2735054"/>
        <a:ext cx="602695" cy="312048"/>
      </dsp:txXfrm>
    </dsp:sp>
    <dsp:sp modelId="{999C8EB7-F3F3-4881-8E2D-C941A99DD4F9}">
      <dsp:nvSpPr>
        <dsp:cNvPr id="0" name=""/>
        <dsp:cNvSpPr/>
      </dsp:nvSpPr>
      <dsp:spPr>
        <a:xfrm>
          <a:off x="10430992" y="2977758"/>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430992" y="2977758"/>
        <a:ext cx="542425" cy="104016"/>
      </dsp:txXfrm>
    </dsp:sp>
    <dsp:sp modelId="{E85AC1B9-667E-429F-AAE4-DB16B38A802E}">
      <dsp:nvSpPr>
        <dsp:cNvPr id="0" name=""/>
        <dsp:cNvSpPr/>
      </dsp:nvSpPr>
      <dsp:spPr>
        <a:xfrm>
          <a:off x="10310453" y="3227398"/>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Battlerise</a:t>
          </a:r>
          <a:endParaRPr lang="en-US" sz="600" kern="1200"/>
        </a:p>
      </dsp:txBody>
      <dsp:txXfrm>
        <a:off x="10310453" y="3227398"/>
        <a:ext cx="602695" cy="312048"/>
      </dsp:txXfrm>
    </dsp:sp>
    <dsp:sp modelId="{8C6E2BA0-4419-4369-A683-78FC3BB7F6A7}">
      <dsp:nvSpPr>
        <dsp:cNvPr id="0" name=""/>
        <dsp:cNvSpPr/>
      </dsp:nvSpPr>
      <dsp:spPr>
        <a:xfrm>
          <a:off x="10430992" y="3470102"/>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430992" y="3470102"/>
        <a:ext cx="542425" cy="104016"/>
      </dsp:txXfrm>
    </dsp:sp>
    <dsp:sp modelId="{3C264107-59F7-46E0-852A-C7DE39952C9D}">
      <dsp:nvSpPr>
        <dsp:cNvPr id="0" name=""/>
        <dsp:cNvSpPr/>
      </dsp:nvSpPr>
      <dsp:spPr>
        <a:xfrm>
          <a:off x="10310453" y="3719741"/>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Juniril</a:t>
          </a:r>
          <a:endParaRPr lang="en-US" sz="600" kern="1200"/>
        </a:p>
      </dsp:txBody>
      <dsp:txXfrm>
        <a:off x="10310453" y="3719741"/>
        <a:ext cx="602695" cy="312048"/>
      </dsp:txXfrm>
    </dsp:sp>
    <dsp:sp modelId="{F7DC6F0D-2E0D-407C-B403-86685822E51E}">
      <dsp:nvSpPr>
        <dsp:cNvPr id="0" name=""/>
        <dsp:cNvSpPr/>
      </dsp:nvSpPr>
      <dsp:spPr>
        <a:xfrm>
          <a:off x="10430992" y="3962446"/>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430992" y="3962446"/>
        <a:ext cx="542425" cy="104016"/>
      </dsp:txXfrm>
    </dsp:sp>
    <dsp:sp modelId="{11E99FA4-EAAF-4CB3-A6A8-EBF087F801C0}">
      <dsp:nvSpPr>
        <dsp:cNvPr id="0" name=""/>
        <dsp:cNvSpPr/>
      </dsp:nvSpPr>
      <dsp:spPr>
        <a:xfrm>
          <a:off x="10310453" y="4212085"/>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b="0" i="1" kern="1200"/>
            <a:t>Kirinwood</a:t>
          </a:r>
          <a:endParaRPr lang="en-US" sz="600" kern="1200"/>
        </a:p>
      </dsp:txBody>
      <dsp:txXfrm>
        <a:off x="10310453" y="4212085"/>
        <a:ext cx="602695" cy="312048"/>
      </dsp:txXfrm>
    </dsp:sp>
    <dsp:sp modelId="{BB4B196B-FF06-4C54-A1B0-DA6A859E236E}">
      <dsp:nvSpPr>
        <dsp:cNvPr id="0" name=""/>
        <dsp:cNvSpPr/>
      </dsp:nvSpPr>
      <dsp:spPr>
        <a:xfrm>
          <a:off x="10430992" y="4454790"/>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0430992" y="4454790"/>
        <a:ext cx="542425" cy="104016"/>
      </dsp:txXfrm>
    </dsp:sp>
    <dsp:sp modelId="{D6ACDEE1-5C4E-416E-847D-7A598B89CED0}">
      <dsp:nvSpPr>
        <dsp:cNvPr id="0" name=""/>
        <dsp:cNvSpPr/>
      </dsp:nvSpPr>
      <dsp:spPr>
        <a:xfrm>
          <a:off x="11678851" y="1258022"/>
          <a:ext cx="1231559" cy="312048"/>
        </a:xfrm>
        <a:prstGeom prst="rect">
          <a:avLst/>
        </a:prstGeom>
        <a:solidFill>
          <a:srgbClr val="002060"/>
        </a:solidFill>
        <a:ln w="25400" cap="flat" cmpd="dbl"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902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 lastClr="FFFFFF"/>
              </a:solidFill>
              <a:latin typeface="Lato"/>
              <a:ea typeface="+mn-ea"/>
              <a:cs typeface="+mn-cs"/>
            </a:rPr>
            <a:t>Expedition Forces</a:t>
          </a:r>
          <a:endParaRPr lang="ru-RU" sz="800" b="1" i="0" kern="1200">
            <a:solidFill>
              <a:sysClr val="window" lastClr="FFFFFF"/>
            </a:solidFill>
            <a:latin typeface="Lato"/>
            <a:ea typeface="+mn-ea"/>
            <a:cs typeface="+mn-cs"/>
          </a:endParaRPr>
        </a:p>
      </dsp:txBody>
      <dsp:txXfrm>
        <a:off x="11678851" y="1258022"/>
        <a:ext cx="1231559" cy="312048"/>
      </dsp:txXfrm>
    </dsp:sp>
    <dsp:sp modelId="{1888C889-CCB3-4620-816A-8602AF16DA18}">
      <dsp:nvSpPr>
        <dsp:cNvPr id="0" name=""/>
        <dsp:cNvSpPr/>
      </dsp:nvSpPr>
      <dsp:spPr>
        <a:xfrm>
          <a:off x="12113822" y="1500727"/>
          <a:ext cx="542425" cy="104016"/>
        </a:xfrm>
        <a:prstGeom prst="rect">
          <a:avLst/>
        </a:prstGeom>
        <a:noFill/>
        <a:ln w="12700" cap="flat" cmpd="sng" algn="ctr">
          <a:no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2113822" y="1500727"/>
        <a:ext cx="542425" cy="104016"/>
      </dsp:txXfrm>
    </dsp:sp>
    <dsp:sp modelId="{DECD435F-9BEF-4D02-A481-5DEC89B26A35}">
      <dsp:nvSpPr>
        <dsp:cNvPr id="0" name=""/>
        <dsp:cNvSpPr/>
      </dsp:nvSpPr>
      <dsp:spPr>
        <a:xfrm>
          <a:off x="11211480" y="1750366"/>
          <a:ext cx="996472"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694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Daerlun</a:t>
          </a:r>
          <a:endParaRPr lang="ru-RU" sz="800" b="1" i="0" kern="1200">
            <a:solidFill>
              <a:sysClr val="windowText" lastClr="000000"/>
            </a:solidFill>
            <a:latin typeface="Lato"/>
            <a:ea typeface="+mn-ea"/>
            <a:cs typeface="+mn-cs"/>
          </a:endParaRPr>
        </a:p>
      </dsp:txBody>
      <dsp:txXfrm>
        <a:off x="11248256" y="1787142"/>
        <a:ext cx="922920" cy="238496"/>
      </dsp:txXfrm>
    </dsp:sp>
    <dsp:sp modelId="{40A51010-A244-4476-8A73-E299997DB333}">
      <dsp:nvSpPr>
        <dsp:cNvPr id="0" name=""/>
        <dsp:cNvSpPr/>
      </dsp:nvSpPr>
      <dsp:spPr>
        <a:xfrm>
          <a:off x="11528908"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11528908" y="1993071"/>
        <a:ext cx="542425" cy="104016"/>
      </dsp:txXfrm>
    </dsp:sp>
    <dsp:sp modelId="{AE163968-C8F5-4CDE-8368-4B26A70FA89D}">
      <dsp:nvSpPr>
        <dsp:cNvPr id="0" name=""/>
        <dsp:cNvSpPr/>
      </dsp:nvSpPr>
      <dsp:spPr>
        <a:xfrm>
          <a:off x="11389257" y="2206132"/>
          <a:ext cx="602695"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22250">
            <a:lnSpc>
              <a:spcPct val="90000"/>
            </a:lnSpc>
            <a:spcBef>
              <a:spcPct val="0"/>
            </a:spcBef>
            <a:spcAft>
              <a:spcPct val="35000"/>
            </a:spcAft>
            <a:buNone/>
          </a:pPr>
          <a:r>
            <a:rPr lang="en-US" sz="500" kern="1200">
              <a:solidFill>
                <a:sysClr val="window" lastClr="FFFFFF"/>
              </a:solidFill>
              <a:latin typeface="Lato"/>
              <a:ea typeface="+mn-ea"/>
              <a:cs typeface="+mn-cs"/>
            </a:rPr>
            <a:t>Urlamspyr</a:t>
          </a:r>
          <a:endParaRPr lang="ru-RU" sz="500" kern="1200">
            <a:solidFill>
              <a:sysClr val="window" lastClr="FFFFFF"/>
            </a:solidFill>
            <a:latin typeface="Lato"/>
            <a:ea typeface="+mn-ea"/>
            <a:cs typeface="+mn-cs"/>
          </a:endParaRPr>
        </a:p>
      </dsp:txBody>
      <dsp:txXfrm>
        <a:off x="11389257" y="2206132"/>
        <a:ext cx="602695" cy="312048"/>
      </dsp:txXfrm>
    </dsp:sp>
    <dsp:sp modelId="{36541323-45F0-46FD-8FD0-F0D6ACB14DAD}">
      <dsp:nvSpPr>
        <dsp:cNvPr id="0" name=""/>
        <dsp:cNvSpPr/>
      </dsp:nvSpPr>
      <dsp:spPr>
        <a:xfrm>
          <a:off x="11498773"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Constal</a:t>
          </a:r>
        </a:p>
      </dsp:txBody>
      <dsp:txXfrm>
        <a:off x="11498773" y="2485415"/>
        <a:ext cx="542425" cy="104016"/>
      </dsp:txXfrm>
    </dsp:sp>
    <dsp:sp modelId="{C7BF0D82-8D65-4535-9821-739EF66AC0DD}">
      <dsp:nvSpPr>
        <dsp:cNvPr id="0" name=""/>
        <dsp:cNvSpPr/>
      </dsp:nvSpPr>
      <dsp:spPr>
        <a:xfrm>
          <a:off x="12467415" y="1750366"/>
          <a:ext cx="910365"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694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Proskur</a:t>
          </a:r>
          <a:endParaRPr lang="ru-RU" sz="800" b="1" i="0" kern="1200">
            <a:solidFill>
              <a:sysClr val="windowText" lastClr="000000"/>
            </a:solidFill>
            <a:latin typeface="Lato"/>
            <a:ea typeface="+mn-ea"/>
            <a:cs typeface="+mn-cs"/>
          </a:endParaRPr>
        </a:p>
      </dsp:txBody>
      <dsp:txXfrm>
        <a:off x="12504191" y="1787142"/>
        <a:ext cx="836813" cy="238496"/>
      </dsp:txXfrm>
    </dsp:sp>
    <dsp:sp modelId="{3C78A9C6-BB0E-4996-9576-402F0E96566C}">
      <dsp:nvSpPr>
        <dsp:cNvPr id="0" name=""/>
        <dsp:cNvSpPr/>
      </dsp:nvSpPr>
      <dsp:spPr>
        <a:xfrm>
          <a:off x="12741789"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b="0" i="0" u="none" kern="1200"/>
            <a:t>Oversword</a:t>
          </a:r>
          <a:endParaRPr lang="ru-RU" sz="600" kern="1200"/>
        </a:p>
      </dsp:txBody>
      <dsp:txXfrm>
        <a:off x="12741789" y="1993071"/>
        <a:ext cx="542425" cy="104016"/>
      </dsp:txXfrm>
    </dsp:sp>
    <dsp:sp modelId="{DEA35268-0556-4DD4-8D4A-1E9ED04F6314}">
      <dsp:nvSpPr>
        <dsp:cNvPr id="0" name=""/>
        <dsp:cNvSpPr/>
      </dsp:nvSpPr>
      <dsp:spPr>
        <a:xfrm>
          <a:off x="12186822" y="2242710"/>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Teziir</a:t>
          </a:r>
          <a:endParaRPr lang="ru-RU" sz="600" kern="1200"/>
        </a:p>
      </dsp:txBody>
      <dsp:txXfrm>
        <a:off x="12186822" y="2242710"/>
        <a:ext cx="602695" cy="312048"/>
      </dsp:txXfrm>
    </dsp:sp>
    <dsp:sp modelId="{0408A24D-BB4D-4C78-B91E-8A32C55D7887}">
      <dsp:nvSpPr>
        <dsp:cNvPr id="0" name=""/>
        <dsp:cNvSpPr/>
      </dsp:nvSpPr>
      <dsp:spPr>
        <a:xfrm>
          <a:off x="12307361"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2307361" y="2485415"/>
        <a:ext cx="542425" cy="104016"/>
      </dsp:txXfrm>
    </dsp:sp>
    <dsp:sp modelId="{73438895-88BB-4DE4-819D-DEECC1A76F75}">
      <dsp:nvSpPr>
        <dsp:cNvPr id="0" name=""/>
        <dsp:cNvSpPr/>
      </dsp:nvSpPr>
      <dsp:spPr>
        <a:xfrm>
          <a:off x="12995409" y="2242710"/>
          <a:ext cx="602695" cy="31204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4034" numCol="1" spcCol="1270" anchor="ctr" anchorCtr="0">
          <a:noAutofit/>
        </a:bodyPr>
        <a:lstStyle/>
        <a:p>
          <a:pPr marL="0" lvl="0" indent="0" algn="ctr" defTabSz="266700">
            <a:lnSpc>
              <a:spcPct val="90000"/>
            </a:lnSpc>
            <a:spcBef>
              <a:spcPct val="0"/>
            </a:spcBef>
            <a:spcAft>
              <a:spcPct val="35000"/>
            </a:spcAft>
            <a:buNone/>
          </a:pPr>
          <a:r>
            <a:rPr lang="en-US" sz="600" kern="1200"/>
            <a:t>Priapurl</a:t>
          </a:r>
          <a:endParaRPr lang="ru-RU" sz="600" kern="1200"/>
        </a:p>
      </dsp:txBody>
      <dsp:txXfrm>
        <a:off x="12995409" y="2242710"/>
        <a:ext cx="602695" cy="312048"/>
      </dsp:txXfrm>
    </dsp:sp>
    <dsp:sp modelId="{0BDBAF9E-3423-4584-ABC0-48A2C0A2AB96}">
      <dsp:nvSpPr>
        <dsp:cNvPr id="0" name=""/>
        <dsp:cNvSpPr/>
      </dsp:nvSpPr>
      <dsp:spPr>
        <a:xfrm>
          <a:off x="13115948"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3115948" y="2485415"/>
        <a:ext cx="542425" cy="104016"/>
      </dsp:txXfrm>
    </dsp:sp>
    <dsp:sp modelId="{B32EA8D3-0905-45C8-87FB-5245D4D65938}">
      <dsp:nvSpPr>
        <dsp:cNvPr id="0" name=""/>
        <dsp:cNvSpPr/>
      </dsp:nvSpPr>
      <dsp:spPr>
        <a:xfrm>
          <a:off x="13803177" y="1258022"/>
          <a:ext cx="1105541" cy="312048"/>
        </a:xfrm>
        <a:prstGeom prst="rect">
          <a:avLst/>
        </a:prstGeom>
        <a:solidFill>
          <a:srgbClr val="002060"/>
        </a:solidFill>
        <a:ln w="25400" cap="flat" cmpd="dbl" algn="ctr">
          <a:solidFill>
            <a:srgbClr val="FF0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902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 lastClr="FFFFFF"/>
              </a:solidFill>
              <a:latin typeface="Lato"/>
              <a:ea typeface="+mn-ea"/>
              <a:cs typeface="+mn-cs"/>
            </a:rPr>
            <a:t>Special Forces</a:t>
          </a:r>
          <a:endParaRPr lang="ru-RU" sz="800" b="1" i="0" kern="1200">
            <a:solidFill>
              <a:sysClr val="window" lastClr="FFFFFF"/>
            </a:solidFill>
            <a:latin typeface="Lato"/>
            <a:ea typeface="+mn-ea"/>
            <a:cs typeface="+mn-cs"/>
          </a:endParaRPr>
        </a:p>
      </dsp:txBody>
      <dsp:txXfrm>
        <a:off x="13803177" y="1258022"/>
        <a:ext cx="1105541" cy="312048"/>
      </dsp:txXfrm>
    </dsp:sp>
    <dsp:sp modelId="{1F0AC1AC-1501-4F43-9873-A63D35F3A6EB}">
      <dsp:nvSpPr>
        <dsp:cNvPr id="0" name=""/>
        <dsp:cNvSpPr/>
      </dsp:nvSpPr>
      <dsp:spPr>
        <a:xfrm>
          <a:off x="14175139" y="1500727"/>
          <a:ext cx="542425" cy="104016"/>
        </a:xfrm>
        <a:prstGeom prst="rect">
          <a:avLst/>
        </a:prstGeom>
        <a:noFill/>
        <a:ln w="12700" cap="flat" cmpd="sng" algn="ctr">
          <a:no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4175139" y="1500727"/>
        <a:ext cx="542425" cy="104016"/>
      </dsp:txXfrm>
    </dsp:sp>
    <dsp:sp modelId="{FCEBCD66-20A7-49BB-9CA1-3CAA56596B93}">
      <dsp:nvSpPr>
        <dsp:cNvPr id="0" name=""/>
        <dsp:cNvSpPr/>
      </dsp:nvSpPr>
      <dsp:spPr>
        <a:xfrm>
          <a:off x="13795933" y="1750366"/>
          <a:ext cx="1120030" cy="312048"/>
        </a:xfrm>
        <a:prstGeom prst="plaque">
          <a:avLst/>
        </a:prstGeom>
        <a:solidFill>
          <a:srgbClr val="7030A0">
            <a:alpha val="50000"/>
          </a:srgb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36941" numCol="1" spcCol="1270" anchor="ctr" anchorCtr="0">
          <a:noAutofit/>
        </a:bodyPr>
        <a:lstStyle/>
        <a:p>
          <a:pPr marL="0" lvl="0" indent="0" algn="ctr" defTabSz="355600">
            <a:lnSpc>
              <a:spcPct val="90000"/>
            </a:lnSpc>
            <a:spcBef>
              <a:spcPct val="0"/>
            </a:spcBef>
            <a:spcAft>
              <a:spcPct val="35000"/>
            </a:spcAft>
            <a:buNone/>
          </a:pPr>
          <a:r>
            <a:rPr lang="en-US" sz="800" b="1" i="0" kern="1200">
              <a:solidFill>
                <a:sysClr val="windowText" lastClr="000000"/>
              </a:solidFill>
              <a:latin typeface="Lato"/>
              <a:ea typeface="+mn-ea"/>
              <a:cs typeface="+mn-cs"/>
            </a:rPr>
            <a:t>Royal Corps of Monster Hunters</a:t>
          </a:r>
          <a:endParaRPr lang="ru-RU" sz="800" b="1" i="0" kern="1200">
            <a:solidFill>
              <a:sysClr val="windowText" lastClr="000000"/>
            </a:solidFill>
            <a:latin typeface="Lato"/>
            <a:ea typeface="+mn-ea"/>
            <a:cs typeface="+mn-cs"/>
          </a:endParaRPr>
        </a:p>
      </dsp:txBody>
      <dsp:txXfrm>
        <a:off x="13832709" y="1787142"/>
        <a:ext cx="1046478" cy="238496"/>
      </dsp:txXfrm>
    </dsp:sp>
    <dsp:sp modelId="{D92C7AD9-5FEB-47A5-8B7F-17A4D7720804}">
      <dsp:nvSpPr>
        <dsp:cNvPr id="0" name=""/>
        <dsp:cNvSpPr/>
      </dsp:nvSpPr>
      <dsp:spPr>
        <a:xfrm>
          <a:off x="14175139" y="1993071"/>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4175139" y="1993071"/>
        <a:ext cx="542425" cy="104016"/>
      </dsp:txXfrm>
    </dsp:sp>
    <dsp:sp modelId="{C8A8D71C-52D7-4B6F-96AD-9A23F9C58C85}">
      <dsp:nvSpPr>
        <dsp:cNvPr id="0" name=""/>
        <dsp:cNvSpPr/>
      </dsp:nvSpPr>
      <dsp:spPr>
        <a:xfrm>
          <a:off x="13818196" y="2261776"/>
          <a:ext cx="1103902" cy="312048"/>
        </a:xfrm>
        <a:prstGeom prst="rect">
          <a:avLst/>
        </a:prstGeom>
        <a:solidFill>
          <a:sysClr val="windowText" lastClr="00000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175" tIns="3175" rIns="3175" bIns="39021" numCol="1" spcCol="1270" anchor="ctr" anchorCtr="0">
          <a:noAutofit/>
        </a:bodyPr>
        <a:lstStyle/>
        <a:p>
          <a:pPr marL="0" lvl="0" indent="0" algn="ctr" defTabSz="222250">
            <a:lnSpc>
              <a:spcPct val="90000"/>
            </a:lnSpc>
            <a:spcBef>
              <a:spcPct val="0"/>
            </a:spcBef>
            <a:spcAft>
              <a:spcPct val="35000"/>
            </a:spcAft>
            <a:buNone/>
          </a:pPr>
          <a:r>
            <a:rPr lang="en-US" sz="500" b="1" i="0" kern="1200">
              <a:solidFill>
                <a:srgbClr val="FF0000"/>
              </a:solidFill>
            </a:rPr>
            <a:t>Thunderstone</a:t>
          </a:r>
          <a:endParaRPr lang="en-US" sz="500" kern="1200"/>
        </a:p>
      </dsp:txBody>
      <dsp:txXfrm>
        <a:off x="13818196" y="2261776"/>
        <a:ext cx="1103902" cy="312048"/>
      </dsp:txXfrm>
    </dsp:sp>
    <dsp:sp modelId="{E2B66EEF-8637-4C9A-8508-285BC565F678}">
      <dsp:nvSpPr>
        <dsp:cNvPr id="0" name=""/>
        <dsp:cNvSpPr/>
      </dsp:nvSpPr>
      <dsp:spPr>
        <a:xfrm>
          <a:off x="14175139" y="2485415"/>
          <a:ext cx="542425" cy="104016"/>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4175139" y="2485415"/>
        <a:ext cx="542425" cy="10401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71EE25D-1DF2-4F48-9857-50E5A7DE1C90}">
      <dsp:nvSpPr>
        <dsp:cNvPr id="0" name=""/>
        <dsp:cNvSpPr/>
      </dsp:nvSpPr>
      <dsp:spPr>
        <a:xfrm>
          <a:off x="1968424" y="867369"/>
          <a:ext cx="91440" cy="273475"/>
        </a:xfrm>
        <a:custGeom>
          <a:avLst/>
          <a:gdLst/>
          <a:ahLst/>
          <a:cxnLst/>
          <a:rect l="0" t="0" r="0" b="0"/>
          <a:pathLst>
            <a:path>
              <a:moveTo>
                <a:pt x="129429" y="0"/>
              </a:moveTo>
              <a:lnTo>
                <a:pt x="129429" y="273475"/>
              </a:lnTo>
              <a:lnTo>
                <a:pt x="45720" y="273475"/>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86A909-4A31-417D-9EF3-B63CB7C906CE}">
      <dsp:nvSpPr>
        <dsp:cNvPr id="0" name=""/>
        <dsp:cNvSpPr/>
      </dsp:nvSpPr>
      <dsp:spPr>
        <a:xfrm>
          <a:off x="3905970" y="1668060"/>
          <a:ext cx="328748" cy="146605"/>
        </a:xfrm>
        <a:custGeom>
          <a:avLst/>
          <a:gdLst/>
          <a:ahLst/>
          <a:cxnLst/>
          <a:rect l="0" t="0" r="0" b="0"/>
          <a:pathLst>
            <a:path>
              <a:moveTo>
                <a:pt x="0" y="0"/>
              </a:moveTo>
              <a:lnTo>
                <a:pt x="0" y="87399"/>
              </a:lnTo>
              <a:lnTo>
                <a:pt x="328748" y="87399"/>
              </a:lnTo>
              <a:lnTo>
                <a:pt x="328748"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A458D15-435E-4DCE-AF28-195BEB13B84C}">
      <dsp:nvSpPr>
        <dsp:cNvPr id="0" name=""/>
        <dsp:cNvSpPr/>
      </dsp:nvSpPr>
      <dsp:spPr>
        <a:xfrm>
          <a:off x="3577222" y="1668060"/>
          <a:ext cx="328748" cy="146605"/>
        </a:xfrm>
        <a:custGeom>
          <a:avLst/>
          <a:gdLst/>
          <a:ahLst/>
          <a:cxnLst/>
          <a:rect l="0" t="0" r="0" b="0"/>
          <a:pathLst>
            <a:path>
              <a:moveTo>
                <a:pt x="328748" y="0"/>
              </a:moveTo>
              <a:lnTo>
                <a:pt x="328748" y="87399"/>
              </a:lnTo>
              <a:lnTo>
                <a:pt x="0" y="87399"/>
              </a:lnTo>
              <a:lnTo>
                <a:pt x="0"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7E2E251-1505-4B62-B6B3-4C2D349A4482}">
      <dsp:nvSpPr>
        <dsp:cNvPr id="0" name=""/>
        <dsp:cNvSpPr/>
      </dsp:nvSpPr>
      <dsp:spPr>
        <a:xfrm>
          <a:off x="2097854" y="867369"/>
          <a:ext cx="1808116" cy="546951"/>
        </a:xfrm>
        <a:custGeom>
          <a:avLst/>
          <a:gdLst/>
          <a:ahLst/>
          <a:cxnLst/>
          <a:rect l="0" t="0" r="0" b="0"/>
          <a:pathLst>
            <a:path>
              <a:moveTo>
                <a:pt x="0" y="0"/>
              </a:moveTo>
              <a:lnTo>
                <a:pt x="0" y="487745"/>
              </a:lnTo>
              <a:lnTo>
                <a:pt x="1808116" y="487745"/>
              </a:lnTo>
              <a:lnTo>
                <a:pt x="1808116" y="546951"/>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D3F070F-20F6-441D-9398-BF94FF7B47B4}">
      <dsp:nvSpPr>
        <dsp:cNvPr id="0" name=""/>
        <dsp:cNvSpPr/>
      </dsp:nvSpPr>
      <dsp:spPr>
        <a:xfrm>
          <a:off x="2262228" y="1668060"/>
          <a:ext cx="657496" cy="146605"/>
        </a:xfrm>
        <a:custGeom>
          <a:avLst/>
          <a:gdLst/>
          <a:ahLst/>
          <a:cxnLst/>
          <a:rect l="0" t="0" r="0" b="0"/>
          <a:pathLst>
            <a:path>
              <a:moveTo>
                <a:pt x="0" y="0"/>
              </a:moveTo>
              <a:lnTo>
                <a:pt x="0" y="87399"/>
              </a:lnTo>
              <a:lnTo>
                <a:pt x="657496" y="87399"/>
              </a:lnTo>
              <a:lnTo>
                <a:pt x="657496"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F0BFA3-E4DF-4DFA-94FF-DDE6D37AAA3F}">
      <dsp:nvSpPr>
        <dsp:cNvPr id="0" name=""/>
        <dsp:cNvSpPr/>
      </dsp:nvSpPr>
      <dsp:spPr>
        <a:xfrm>
          <a:off x="2216508" y="1668060"/>
          <a:ext cx="91440" cy="146605"/>
        </a:xfrm>
        <a:custGeom>
          <a:avLst/>
          <a:gdLst/>
          <a:ahLst/>
          <a:cxnLst/>
          <a:rect l="0" t="0" r="0" b="0"/>
          <a:pathLst>
            <a:path>
              <a:moveTo>
                <a:pt x="45720" y="0"/>
              </a:moveTo>
              <a:lnTo>
                <a:pt x="45720"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7D57680-9F6F-43F1-99E5-3BBD2E522927}">
      <dsp:nvSpPr>
        <dsp:cNvPr id="0" name=""/>
        <dsp:cNvSpPr/>
      </dsp:nvSpPr>
      <dsp:spPr>
        <a:xfrm>
          <a:off x="1604731" y="1668060"/>
          <a:ext cx="657496" cy="146605"/>
        </a:xfrm>
        <a:custGeom>
          <a:avLst/>
          <a:gdLst/>
          <a:ahLst/>
          <a:cxnLst/>
          <a:rect l="0" t="0" r="0" b="0"/>
          <a:pathLst>
            <a:path>
              <a:moveTo>
                <a:pt x="657496" y="0"/>
              </a:moveTo>
              <a:lnTo>
                <a:pt x="657496" y="87399"/>
              </a:lnTo>
              <a:lnTo>
                <a:pt x="0" y="87399"/>
              </a:lnTo>
              <a:lnTo>
                <a:pt x="0"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3E6FA61-EA6C-450B-BD07-71C02D4F6372}">
      <dsp:nvSpPr>
        <dsp:cNvPr id="0" name=""/>
        <dsp:cNvSpPr/>
      </dsp:nvSpPr>
      <dsp:spPr>
        <a:xfrm>
          <a:off x="2097854" y="867369"/>
          <a:ext cx="164374" cy="546951"/>
        </a:xfrm>
        <a:custGeom>
          <a:avLst/>
          <a:gdLst/>
          <a:ahLst/>
          <a:cxnLst/>
          <a:rect l="0" t="0" r="0" b="0"/>
          <a:pathLst>
            <a:path>
              <a:moveTo>
                <a:pt x="0" y="0"/>
              </a:moveTo>
              <a:lnTo>
                <a:pt x="0" y="487745"/>
              </a:lnTo>
              <a:lnTo>
                <a:pt x="164374" y="487745"/>
              </a:lnTo>
              <a:lnTo>
                <a:pt x="164374" y="546951"/>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9B77E70-09D6-4FC5-8748-250E362262D7}">
      <dsp:nvSpPr>
        <dsp:cNvPr id="0" name=""/>
        <dsp:cNvSpPr/>
      </dsp:nvSpPr>
      <dsp:spPr>
        <a:xfrm>
          <a:off x="901514" y="1668060"/>
          <a:ext cx="91440" cy="146605"/>
        </a:xfrm>
        <a:custGeom>
          <a:avLst/>
          <a:gdLst/>
          <a:ahLst/>
          <a:cxnLst/>
          <a:rect l="0" t="0" r="0" b="0"/>
          <a:pathLst>
            <a:path>
              <a:moveTo>
                <a:pt x="45720" y="0"/>
              </a:moveTo>
              <a:lnTo>
                <a:pt x="45720"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0632F9D-BC8E-462C-846E-C0D84A1C9E43}">
      <dsp:nvSpPr>
        <dsp:cNvPr id="0" name=""/>
        <dsp:cNvSpPr/>
      </dsp:nvSpPr>
      <dsp:spPr>
        <a:xfrm>
          <a:off x="947234" y="867369"/>
          <a:ext cx="1150619" cy="546951"/>
        </a:xfrm>
        <a:custGeom>
          <a:avLst/>
          <a:gdLst/>
          <a:ahLst/>
          <a:cxnLst/>
          <a:rect l="0" t="0" r="0" b="0"/>
          <a:pathLst>
            <a:path>
              <a:moveTo>
                <a:pt x="1150619" y="0"/>
              </a:moveTo>
              <a:lnTo>
                <a:pt x="1150619" y="487745"/>
              </a:lnTo>
              <a:lnTo>
                <a:pt x="0" y="487745"/>
              </a:lnTo>
              <a:lnTo>
                <a:pt x="0" y="546951"/>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3335728-AC62-46CF-BA6C-D4A87CEFA966}">
      <dsp:nvSpPr>
        <dsp:cNvPr id="0" name=""/>
        <dsp:cNvSpPr/>
      </dsp:nvSpPr>
      <dsp:spPr>
        <a:xfrm>
          <a:off x="244017" y="1668060"/>
          <a:ext cx="91440" cy="146605"/>
        </a:xfrm>
        <a:custGeom>
          <a:avLst/>
          <a:gdLst/>
          <a:ahLst/>
          <a:cxnLst/>
          <a:rect l="0" t="0" r="0" b="0"/>
          <a:pathLst>
            <a:path>
              <a:moveTo>
                <a:pt x="45720" y="0"/>
              </a:moveTo>
              <a:lnTo>
                <a:pt x="45720" y="1466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F2197B4-1D57-4FB9-8F5C-AAA98BF278EA}">
      <dsp:nvSpPr>
        <dsp:cNvPr id="0" name=""/>
        <dsp:cNvSpPr/>
      </dsp:nvSpPr>
      <dsp:spPr>
        <a:xfrm>
          <a:off x="289737" y="867369"/>
          <a:ext cx="1808116" cy="546951"/>
        </a:xfrm>
        <a:custGeom>
          <a:avLst/>
          <a:gdLst/>
          <a:ahLst/>
          <a:cxnLst/>
          <a:rect l="0" t="0" r="0" b="0"/>
          <a:pathLst>
            <a:path>
              <a:moveTo>
                <a:pt x="1808116" y="0"/>
              </a:moveTo>
              <a:lnTo>
                <a:pt x="1808116" y="487745"/>
              </a:lnTo>
              <a:lnTo>
                <a:pt x="0" y="487745"/>
              </a:lnTo>
              <a:lnTo>
                <a:pt x="0" y="546951"/>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6EBACDA-3339-49A6-BDDF-3A7DE9659758}">
      <dsp:nvSpPr>
        <dsp:cNvPr id="0" name=""/>
        <dsp:cNvSpPr/>
      </dsp:nvSpPr>
      <dsp:spPr>
        <a:xfrm>
          <a:off x="1852815" y="613629"/>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Purple Dragons</a:t>
          </a:r>
          <a:endParaRPr lang="ru-RU" sz="700" kern="1200"/>
        </a:p>
      </dsp:txBody>
      <dsp:txXfrm>
        <a:off x="1852815" y="613629"/>
        <a:ext cx="490077" cy="253740"/>
      </dsp:txXfrm>
    </dsp:sp>
    <dsp:sp modelId="{1C5A6647-4B9B-4196-AA80-BCF78277C940}">
      <dsp:nvSpPr>
        <dsp:cNvPr id="0" name=""/>
        <dsp:cNvSpPr/>
      </dsp:nvSpPr>
      <dsp:spPr>
        <a:xfrm>
          <a:off x="1950831" y="810982"/>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1950831" y="810982"/>
        <a:ext cx="441069" cy="84580"/>
      </dsp:txXfrm>
    </dsp:sp>
    <dsp:sp modelId="{35C4DCFD-8F81-46C5-8C3C-46D33A805997}">
      <dsp:nvSpPr>
        <dsp:cNvPr id="0" name=""/>
        <dsp:cNvSpPr/>
      </dsp:nvSpPr>
      <dsp:spPr>
        <a:xfrm>
          <a:off x="44699" y="1414320"/>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Western</a:t>
          </a:r>
          <a:endParaRPr lang="ru-RU" sz="700" kern="1200"/>
        </a:p>
      </dsp:txBody>
      <dsp:txXfrm>
        <a:off x="44699" y="1414320"/>
        <a:ext cx="490077" cy="253740"/>
      </dsp:txXfrm>
    </dsp:sp>
    <dsp:sp modelId="{BB571B20-33F8-4B42-82E8-178EE47A598D}">
      <dsp:nvSpPr>
        <dsp:cNvPr id="0" name=""/>
        <dsp:cNvSpPr/>
      </dsp:nvSpPr>
      <dsp:spPr>
        <a:xfrm>
          <a:off x="142714" y="1611674"/>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142714" y="1611674"/>
        <a:ext cx="441069" cy="84580"/>
      </dsp:txXfrm>
    </dsp:sp>
    <dsp:sp modelId="{F8DA8E43-99D5-4F2E-847B-6C4DC2C066DB}">
      <dsp:nvSpPr>
        <dsp:cNvPr id="0" name=""/>
        <dsp:cNvSpPr/>
      </dsp:nvSpPr>
      <dsp:spPr>
        <a:xfrm>
          <a:off x="44699"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High Horn</a:t>
          </a:r>
          <a:endParaRPr lang="ru-RU" sz="700" kern="1200"/>
        </a:p>
      </dsp:txBody>
      <dsp:txXfrm>
        <a:off x="44699" y="1814666"/>
        <a:ext cx="490077" cy="253740"/>
      </dsp:txXfrm>
    </dsp:sp>
    <dsp:sp modelId="{0FE7C020-3551-4C23-820A-8DE9F7828467}">
      <dsp:nvSpPr>
        <dsp:cNvPr id="0" name=""/>
        <dsp:cNvSpPr/>
      </dsp:nvSpPr>
      <dsp:spPr>
        <a:xfrm>
          <a:off x="142714"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142714" y="2012019"/>
        <a:ext cx="441069" cy="84580"/>
      </dsp:txXfrm>
    </dsp:sp>
    <dsp:sp modelId="{78B9D6EE-2B07-4835-9969-00F171E017EB}">
      <dsp:nvSpPr>
        <dsp:cNvPr id="0" name=""/>
        <dsp:cNvSpPr/>
      </dsp:nvSpPr>
      <dsp:spPr>
        <a:xfrm>
          <a:off x="702196" y="1414320"/>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Eastern</a:t>
          </a:r>
          <a:endParaRPr lang="ru-RU" sz="700" kern="1200"/>
        </a:p>
      </dsp:txBody>
      <dsp:txXfrm>
        <a:off x="702196" y="1414320"/>
        <a:ext cx="490077" cy="253740"/>
      </dsp:txXfrm>
    </dsp:sp>
    <dsp:sp modelId="{3CD0219D-EEE8-4BF7-A2D5-A40DEDCFAA1D}">
      <dsp:nvSpPr>
        <dsp:cNvPr id="0" name=""/>
        <dsp:cNvSpPr/>
      </dsp:nvSpPr>
      <dsp:spPr>
        <a:xfrm>
          <a:off x="800211" y="1611674"/>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800211" y="1611674"/>
        <a:ext cx="441069" cy="84580"/>
      </dsp:txXfrm>
    </dsp:sp>
    <dsp:sp modelId="{6808866E-B951-4E77-812C-725447E8F483}">
      <dsp:nvSpPr>
        <dsp:cNvPr id="0" name=""/>
        <dsp:cNvSpPr/>
      </dsp:nvSpPr>
      <dsp:spPr>
        <a:xfrm>
          <a:off x="702196"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Arabel</a:t>
          </a:r>
          <a:endParaRPr lang="ru-RU" sz="700" kern="1200"/>
        </a:p>
      </dsp:txBody>
      <dsp:txXfrm>
        <a:off x="702196" y="1814666"/>
        <a:ext cx="490077" cy="253740"/>
      </dsp:txXfrm>
    </dsp:sp>
    <dsp:sp modelId="{A62579A2-5090-49FE-A36F-8474F8ECBC11}">
      <dsp:nvSpPr>
        <dsp:cNvPr id="0" name=""/>
        <dsp:cNvSpPr/>
      </dsp:nvSpPr>
      <dsp:spPr>
        <a:xfrm>
          <a:off x="800211"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800211" y="2012019"/>
        <a:ext cx="441069" cy="84580"/>
      </dsp:txXfrm>
    </dsp:sp>
    <dsp:sp modelId="{0F7FE257-3318-4511-B2A8-5EBFDCBA0C41}">
      <dsp:nvSpPr>
        <dsp:cNvPr id="0" name=""/>
        <dsp:cNvSpPr/>
      </dsp:nvSpPr>
      <dsp:spPr>
        <a:xfrm>
          <a:off x="2017190" y="1414320"/>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Heartlands</a:t>
          </a:r>
          <a:endParaRPr lang="ru-RU" sz="700" kern="1200"/>
        </a:p>
      </dsp:txBody>
      <dsp:txXfrm>
        <a:off x="2017190" y="1414320"/>
        <a:ext cx="490077" cy="253740"/>
      </dsp:txXfrm>
    </dsp:sp>
    <dsp:sp modelId="{ED0AEAF9-905C-49DA-863E-AFB0BE95C156}">
      <dsp:nvSpPr>
        <dsp:cNvPr id="0" name=""/>
        <dsp:cNvSpPr/>
      </dsp:nvSpPr>
      <dsp:spPr>
        <a:xfrm>
          <a:off x="2115205" y="1611674"/>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2115205" y="1611674"/>
        <a:ext cx="441069" cy="84580"/>
      </dsp:txXfrm>
    </dsp:sp>
    <dsp:sp modelId="{E3958C43-B47B-40B6-A140-3C37C5689E31}">
      <dsp:nvSpPr>
        <dsp:cNvPr id="0" name=""/>
        <dsp:cNvSpPr/>
      </dsp:nvSpPr>
      <dsp:spPr>
        <a:xfrm>
          <a:off x="1359693"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Suzail</a:t>
          </a:r>
          <a:endParaRPr lang="ru-RU" sz="700" kern="1200"/>
        </a:p>
      </dsp:txBody>
      <dsp:txXfrm>
        <a:off x="1359693" y="1814666"/>
        <a:ext cx="490077" cy="253740"/>
      </dsp:txXfrm>
    </dsp:sp>
    <dsp:sp modelId="{3086B19C-1D64-438E-B5A9-5A9E61F89F8E}">
      <dsp:nvSpPr>
        <dsp:cNvPr id="0" name=""/>
        <dsp:cNvSpPr/>
      </dsp:nvSpPr>
      <dsp:spPr>
        <a:xfrm>
          <a:off x="1457708"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1457708" y="2012019"/>
        <a:ext cx="441069" cy="84580"/>
      </dsp:txXfrm>
    </dsp:sp>
    <dsp:sp modelId="{D350A84B-4781-47FE-BB69-C66C3EAF51FD}">
      <dsp:nvSpPr>
        <dsp:cNvPr id="0" name=""/>
        <dsp:cNvSpPr/>
      </dsp:nvSpPr>
      <dsp:spPr>
        <a:xfrm>
          <a:off x="2017190"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Marsember</a:t>
          </a:r>
          <a:endParaRPr lang="ru-RU" sz="700" kern="1200"/>
        </a:p>
      </dsp:txBody>
      <dsp:txXfrm>
        <a:off x="2017190" y="1814666"/>
        <a:ext cx="490077" cy="253740"/>
      </dsp:txXfrm>
    </dsp:sp>
    <dsp:sp modelId="{D976B022-F884-48EF-8101-5BF473F32CDE}">
      <dsp:nvSpPr>
        <dsp:cNvPr id="0" name=""/>
        <dsp:cNvSpPr/>
      </dsp:nvSpPr>
      <dsp:spPr>
        <a:xfrm>
          <a:off x="2115205"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2115205" y="2012019"/>
        <a:ext cx="441069" cy="84580"/>
      </dsp:txXfrm>
    </dsp:sp>
    <dsp:sp modelId="{98838342-333D-402F-98D2-589A7A1CF12D}">
      <dsp:nvSpPr>
        <dsp:cNvPr id="0" name=""/>
        <dsp:cNvSpPr/>
      </dsp:nvSpPr>
      <dsp:spPr>
        <a:xfrm>
          <a:off x="2674687"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Wheelon</a:t>
          </a:r>
          <a:endParaRPr lang="ru-RU" sz="700" kern="1200"/>
        </a:p>
      </dsp:txBody>
      <dsp:txXfrm>
        <a:off x="2674687" y="1814666"/>
        <a:ext cx="490077" cy="253740"/>
      </dsp:txXfrm>
    </dsp:sp>
    <dsp:sp modelId="{08E4750C-CFBD-48C0-892C-52831820035E}">
      <dsp:nvSpPr>
        <dsp:cNvPr id="0" name=""/>
        <dsp:cNvSpPr/>
      </dsp:nvSpPr>
      <dsp:spPr>
        <a:xfrm>
          <a:off x="2772702"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2772702" y="2012019"/>
        <a:ext cx="441069" cy="84580"/>
      </dsp:txXfrm>
    </dsp:sp>
    <dsp:sp modelId="{16354587-0DC7-44CA-895D-3F5ADCC55956}">
      <dsp:nvSpPr>
        <dsp:cNvPr id="0" name=""/>
        <dsp:cNvSpPr/>
      </dsp:nvSpPr>
      <dsp:spPr>
        <a:xfrm>
          <a:off x="3660932" y="1414320"/>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Expedition Forces</a:t>
          </a:r>
          <a:endParaRPr lang="ru-RU" sz="700" kern="1200"/>
        </a:p>
      </dsp:txBody>
      <dsp:txXfrm>
        <a:off x="3660932" y="1414320"/>
        <a:ext cx="490077" cy="253740"/>
      </dsp:txXfrm>
    </dsp:sp>
    <dsp:sp modelId="{51C089F5-362B-4954-BB38-44F46E63B652}">
      <dsp:nvSpPr>
        <dsp:cNvPr id="0" name=""/>
        <dsp:cNvSpPr/>
      </dsp:nvSpPr>
      <dsp:spPr>
        <a:xfrm>
          <a:off x="3758947" y="1611674"/>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3758947" y="1611674"/>
        <a:ext cx="441069" cy="84580"/>
      </dsp:txXfrm>
    </dsp:sp>
    <dsp:sp modelId="{2F5F9BB8-02D6-4A79-BC65-B512B2912757}">
      <dsp:nvSpPr>
        <dsp:cNvPr id="0" name=""/>
        <dsp:cNvSpPr/>
      </dsp:nvSpPr>
      <dsp:spPr>
        <a:xfrm>
          <a:off x="3332183"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Eastern</a:t>
          </a:r>
          <a:endParaRPr lang="ru-RU" sz="700" kern="1200"/>
        </a:p>
      </dsp:txBody>
      <dsp:txXfrm>
        <a:off x="3332183" y="1814666"/>
        <a:ext cx="490077" cy="253740"/>
      </dsp:txXfrm>
    </dsp:sp>
    <dsp:sp modelId="{95B09502-8910-4CC6-ABDA-67A519F9FD87}">
      <dsp:nvSpPr>
        <dsp:cNvPr id="0" name=""/>
        <dsp:cNvSpPr/>
      </dsp:nvSpPr>
      <dsp:spPr>
        <a:xfrm>
          <a:off x="3430199"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3430199" y="2012019"/>
        <a:ext cx="441069" cy="84580"/>
      </dsp:txXfrm>
    </dsp:sp>
    <dsp:sp modelId="{E0B18F51-2E36-484A-BD5E-F884444C8260}">
      <dsp:nvSpPr>
        <dsp:cNvPr id="0" name=""/>
        <dsp:cNvSpPr/>
      </dsp:nvSpPr>
      <dsp:spPr>
        <a:xfrm>
          <a:off x="3989680" y="1814666"/>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r>
            <a:rPr lang="en-US" sz="700" kern="1200"/>
            <a:t>Western</a:t>
          </a:r>
          <a:endParaRPr lang="ru-RU" sz="700" kern="1200"/>
        </a:p>
      </dsp:txBody>
      <dsp:txXfrm>
        <a:off x="3989680" y="1814666"/>
        <a:ext cx="490077" cy="253740"/>
      </dsp:txXfrm>
    </dsp:sp>
    <dsp:sp modelId="{93AC23B4-2C65-4F3B-B883-BD86896328E9}">
      <dsp:nvSpPr>
        <dsp:cNvPr id="0" name=""/>
        <dsp:cNvSpPr/>
      </dsp:nvSpPr>
      <dsp:spPr>
        <a:xfrm>
          <a:off x="4087696" y="2012019"/>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4087696" y="2012019"/>
        <a:ext cx="441069" cy="84580"/>
      </dsp:txXfrm>
    </dsp:sp>
    <dsp:sp modelId="{7BD876AD-34A8-4756-A24B-6EC2940D0043}">
      <dsp:nvSpPr>
        <dsp:cNvPr id="0" name=""/>
        <dsp:cNvSpPr/>
      </dsp:nvSpPr>
      <dsp:spPr>
        <a:xfrm>
          <a:off x="1524067" y="1013974"/>
          <a:ext cx="490077" cy="25374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35806" numCol="1" spcCol="1270" anchor="ctr" anchorCtr="0">
          <a:noAutofit/>
        </a:bodyPr>
        <a:lstStyle/>
        <a:p>
          <a:pPr marL="0" lvl="0" indent="0" algn="ctr" defTabSz="311150">
            <a:lnSpc>
              <a:spcPct val="90000"/>
            </a:lnSpc>
            <a:spcBef>
              <a:spcPct val="0"/>
            </a:spcBef>
            <a:spcAft>
              <a:spcPct val="35000"/>
            </a:spcAft>
            <a:buNone/>
          </a:pPr>
          <a:endParaRPr lang="ru-RU" sz="700" kern="1200"/>
        </a:p>
      </dsp:txBody>
      <dsp:txXfrm>
        <a:off x="1524067" y="1013974"/>
        <a:ext cx="490077" cy="253740"/>
      </dsp:txXfrm>
    </dsp:sp>
    <dsp:sp modelId="{3A6BD22F-9E29-4118-AA90-E4D90393EAFC}">
      <dsp:nvSpPr>
        <dsp:cNvPr id="0" name=""/>
        <dsp:cNvSpPr/>
      </dsp:nvSpPr>
      <dsp:spPr>
        <a:xfrm>
          <a:off x="1622082" y="1211328"/>
          <a:ext cx="441069" cy="84580"/>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2700" tIns="3175" rIns="12700" bIns="3175" numCol="1" spcCol="1270" anchor="ctr" anchorCtr="0">
          <a:noAutofit/>
        </a:bodyPr>
        <a:lstStyle/>
        <a:p>
          <a:pPr marL="0" lvl="0" indent="0" algn="r" defTabSz="222250">
            <a:lnSpc>
              <a:spcPct val="90000"/>
            </a:lnSpc>
            <a:spcBef>
              <a:spcPct val="0"/>
            </a:spcBef>
            <a:spcAft>
              <a:spcPct val="35000"/>
            </a:spcAft>
            <a:buNone/>
          </a:pPr>
          <a:endParaRPr lang="ru-RU" sz="500" kern="1200"/>
        </a:p>
      </dsp:txBody>
      <dsp:txXfrm>
        <a:off x="1622082" y="1211328"/>
        <a:ext cx="441069" cy="84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6395623-D1B5-4271-9D74-F9A317C61429}">
      <dsp:nvSpPr>
        <dsp:cNvPr id="0" name=""/>
        <dsp:cNvSpPr/>
      </dsp:nvSpPr>
      <dsp:spPr>
        <a:xfrm>
          <a:off x="6126149" y="786194"/>
          <a:ext cx="91440" cy="328233"/>
        </a:xfrm>
        <a:custGeom>
          <a:avLst/>
          <a:gdLst/>
          <a:ahLst/>
          <a:cxnLst/>
          <a:rect l="0" t="0" r="0" b="0"/>
          <a:pathLst>
            <a:path>
              <a:moveTo>
                <a:pt x="45720" y="0"/>
              </a:moveTo>
              <a:lnTo>
                <a:pt x="45720" y="328233"/>
              </a:lnTo>
              <a:lnTo>
                <a:pt x="116780" y="328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81E7B5B-E16D-482B-9C1D-3CAB3B85B812}">
      <dsp:nvSpPr>
        <dsp:cNvPr id="0" name=""/>
        <dsp:cNvSpPr/>
      </dsp:nvSpPr>
      <dsp:spPr>
        <a:xfrm>
          <a:off x="6084110" y="786194"/>
          <a:ext cx="91440" cy="324085"/>
        </a:xfrm>
        <a:custGeom>
          <a:avLst/>
          <a:gdLst/>
          <a:ahLst/>
          <a:cxnLst/>
          <a:rect l="0" t="0" r="0" b="0"/>
          <a:pathLst>
            <a:path>
              <a:moveTo>
                <a:pt x="87758" y="0"/>
              </a:moveTo>
              <a:lnTo>
                <a:pt x="87758" y="324085"/>
              </a:lnTo>
              <a:lnTo>
                <a:pt x="45720" y="32408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D035DEB-C281-43DE-9BC1-834962B414F7}">
      <dsp:nvSpPr>
        <dsp:cNvPr id="0" name=""/>
        <dsp:cNvSpPr/>
      </dsp:nvSpPr>
      <dsp:spPr>
        <a:xfrm>
          <a:off x="3943622" y="305687"/>
          <a:ext cx="2228246" cy="175960"/>
        </a:xfrm>
        <a:custGeom>
          <a:avLst/>
          <a:gdLst/>
          <a:ahLst/>
          <a:cxnLst/>
          <a:rect l="0" t="0" r="0" b="0"/>
          <a:pathLst>
            <a:path>
              <a:moveTo>
                <a:pt x="0" y="0"/>
              </a:moveTo>
              <a:lnTo>
                <a:pt x="0" y="104899"/>
              </a:lnTo>
              <a:lnTo>
                <a:pt x="2228246" y="104899"/>
              </a:lnTo>
              <a:lnTo>
                <a:pt x="2228246" y="175960"/>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B1ED469-91FF-49A1-8853-F6C591AB1C8B}">
      <dsp:nvSpPr>
        <dsp:cNvPr id="0" name=""/>
        <dsp:cNvSpPr/>
      </dsp:nvSpPr>
      <dsp:spPr>
        <a:xfrm>
          <a:off x="4174109" y="786194"/>
          <a:ext cx="91440" cy="328233"/>
        </a:xfrm>
        <a:custGeom>
          <a:avLst/>
          <a:gdLst/>
          <a:ahLst/>
          <a:cxnLst/>
          <a:rect l="0" t="0" r="0" b="0"/>
          <a:pathLst>
            <a:path>
              <a:moveTo>
                <a:pt x="45720" y="0"/>
              </a:moveTo>
              <a:lnTo>
                <a:pt x="45720" y="328233"/>
              </a:lnTo>
              <a:lnTo>
                <a:pt x="116780" y="328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00DD25B-858F-40FD-9679-789071762E79}">
      <dsp:nvSpPr>
        <dsp:cNvPr id="0" name=""/>
        <dsp:cNvSpPr/>
      </dsp:nvSpPr>
      <dsp:spPr>
        <a:xfrm>
          <a:off x="4103048" y="786194"/>
          <a:ext cx="91440" cy="328233"/>
        </a:xfrm>
        <a:custGeom>
          <a:avLst/>
          <a:gdLst/>
          <a:ahLst/>
          <a:cxnLst/>
          <a:rect l="0" t="0" r="0" b="0"/>
          <a:pathLst>
            <a:path>
              <a:moveTo>
                <a:pt x="116780" y="0"/>
              </a:moveTo>
              <a:lnTo>
                <a:pt x="116780" y="328233"/>
              </a:lnTo>
              <a:lnTo>
                <a:pt x="45720" y="328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D0EEA47-071D-4BE9-AF09-56F37DB9EE38}">
      <dsp:nvSpPr>
        <dsp:cNvPr id="0" name=""/>
        <dsp:cNvSpPr/>
      </dsp:nvSpPr>
      <dsp:spPr>
        <a:xfrm>
          <a:off x="4219829" y="786194"/>
          <a:ext cx="128711" cy="808740"/>
        </a:xfrm>
        <a:custGeom>
          <a:avLst/>
          <a:gdLst/>
          <a:ahLst/>
          <a:cxnLst/>
          <a:rect l="0" t="0" r="0" b="0"/>
          <a:pathLst>
            <a:path>
              <a:moveTo>
                <a:pt x="0" y="0"/>
              </a:moveTo>
              <a:lnTo>
                <a:pt x="0" y="808740"/>
              </a:lnTo>
              <a:lnTo>
                <a:pt x="128711" y="80874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DFEC26-61E7-4721-A81F-629E8A39C05B}">
      <dsp:nvSpPr>
        <dsp:cNvPr id="0" name=""/>
        <dsp:cNvSpPr/>
      </dsp:nvSpPr>
      <dsp:spPr>
        <a:xfrm>
          <a:off x="3943622" y="305687"/>
          <a:ext cx="276206" cy="175960"/>
        </a:xfrm>
        <a:custGeom>
          <a:avLst/>
          <a:gdLst/>
          <a:ahLst/>
          <a:cxnLst/>
          <a:rect l="0" t="0" r="0" b="0"/>
          <a:pathLst>
            <a:path>
              <a:moveTo>
                <a:pt x="0" y="0"/>
              </a:moveTo>
              <a:lnTo>
                <a:pt x="0" y="104899"/>
              </a:lnTo>
              <a:lnTo>
                <a:pt x="276206" y="104899"/>
              </a:lnTo>
              <a:lnTo>
                <a:pt x="276206" y="175960"/>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895D5B3-4B6C-48B3-B73B-9A8B70F6F271}">
      <dsp:nvSpPr>
        <dsp:cNvPr id="0" name=""/>
        <dsp:cNvSpPr/>
      </dsp:nvSpPr>
      <dsp:spPr>
        <a:xfrm>
          <a:off x="2412999" y="786194"/>
          <a:ext cx="128711" cy="1769753"/>
        </a:xfrm>
        <a:custGeom>
          <a:avLst/>
          <a:gdLst/>
          <a:ahLst/>
          <a:cxnLst/>
          <a:rect l="0" t="0" r="0" b="0"/>
          <a:pathLst>
            <a:path>
              <a:moveTo>
                <a:pt x="0" y="0"/>
              </a:moveTo>
              <a:lnTo>
                <a:pt x="0" y="1769753"/>
              </a:lnTo>
              <a:lnTo>
                <a:pt x="128711" y="176975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64A6F5F-3F64-4673-B0DC-B498858564F6}">
      <dsp:nvSpPr>
        <dsp:cNvPr id="0" name=""/>
        <dsp:cNvSpPr/>
      </dsp:nvSpPr>
      <dsp:spPr>
        <a:xfrm>
          <a:off x="2412999" y="786194"/>
          <a:ext cx="128711" cy="1289246"/>
        </a:xfrm>
        <a:custGeom>
          <a:avLst/>
          <a:gdLst/>
          <a:ahLst/>
          <a:cxnLst/>
          <a:rect l="0" t="0" r="0" b="0"/>
          <a:pathLst>
            <a:path>
              <a:moveTo>
                <a:pt x="0" y="0"/>
              </a:moveTo>
              <a:lnTo>
                <a:pt x="0" y="1289246"/>
              </a:lnTo>
              <a:lnTo>
                <a:pt x="128711" y="128924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8E281D5-1471-4C50-AED8-78D2D8F7AAB6}">
      <dsp:nvSpPr>
        <dsp:cNvPr id="0" name=""/>
        <dsp:cNvSpPr/>
      </dsp:nvSpPr>
      <dsp:spPr>
        <a:xfrm>
          <a:off x="2412999" y="786194"/>
          <a:ext cx="128711" cy="808740"/>
        </a:xfrm>
        <a:custGeom>
          <a:avLst/>
          <a:gdLst/>
          <a:ahLst/>
          <a:cxnLst/>
          <a:rect l="0" t="0" r="0" b="0"/>
          <a:pathLst>
            <a:path>
              <a:moveTo>
                <a:pt x="0" y="0"/>
              </a:moveTo>
              <a:lnTo>
                <a:pt x="0" y="808740"/>
              </a:lnTo>
              <a:lnTo>
                <a:pt x="128711" y="80874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1BAD458-DA77-46F9-9C3F-7C9ADAB032A4}">
      <dsp:nvSpPr>
        <dsp:cNvPr id="0" name=""/>
        <dsp:cNvSpPr/>
      </dsp:nvSpPr>
      <dsp:spPr>
        <a:xfrm>
          <a:off x="2412999" y="786194"/>
          <a:ext cx="128711" cy="328233"/>
        </a:xfrm>
        <a:custGeom>
          <a:avLst/>
          <a:gdLst/>
          <a:ahLst/>
          <a:cxnLst/>
          <a:rect l="0" t="0" r="0" b="0"/>
          <a:pathLst>
            <a:path>
              <a:moveTo>
                <a:pt x="0" y="0"/>
              </a:moveTo>
              <a:lnTo>
                <a:pt x="0" y="328233"/>
              </a:lnTo>
              <a:lnTo>
                <a:pt x="128711" y="328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DDDDEC9-2EA0-49B0-9D47-67345520EB38}">
      <dsp:nvSpPr>
        <dsp:cNvPr id="0" name=""/>
        <dsp:cNvSpPr/>
      </dsp:nvSpPr>
      <dsp:spPr>
        <a:xfrm>
          <a:off x="2756230" y="305687"/>
          <a:ext cx="1187391" cy="175960"/>
        </a:xfrm>
        <a:custGeom>
          <a:avLst/>
          <a:gdLst/>
          <a:ahLst/>
          <a:cxnLst/>
          <a:rect l="0" t="0" r="0" b="0"/>
          <a:pathLst>
            <a:path>
              <a:moveTo>
                <a:pt x="1187391" y="0"/>
              </a:moveTo>
              <a:lnTo>
                <a:pt x="1187391" y="104899"/>
              </a:lnTo>
              <a:lnTo>
                <a:pt x="0" y="104899"/>
              </a:lnTo>
              <a:lnTo>
                <a:pt x="0" y="175960"/>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0C7E6EE-E5ED-4D60-BE5E-DE0A9D0ACC32}">
      <dsp:nvSpPr>
        <dsp:cNvPr id="0" name=""/>
        <dsp:cNvSpPr/>
      </dsp:nvSpPr>
      <dsp:spPr>
        <a:xfrm>
          <a:off x="1970549" y="786194"/>
          <a:ext cx="128711" cy="1769753"/>
        </a:xfrm>
        <a:custGeom>
          <a:avLst/>
          <a:gdLst/>
          <a:ahLst/>
          <a:cxnLst/>
          <a:rect l="0" t="0" r="0" b="0"/>
          <a:pathLst>
            <a:path>
              <a:moveTo>
                <a:pt x="128711" y="0"/>
              </a:moveTo>
              <a:lnTo>
                <a:pt x="128711" y="1769753"/>
              </a:lnTo>
              <a:lnTo>
                <a:pt x="0" y="176975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A980299-CFA9-4B1C-BE45-82F8C0CA8769}">
      <dsp:nvSpPr>
        <dsp:cNvPr id="0" name=""/>
        <dsp:cNvSpPr/>
      </dsp:nvSpPr>
      <dsp:spPr>
        <a:xfrm>
          <a:off x="1970549" y="786194"/>
          <a:ext cx="128711" cy="1289246"/>
        </a:xfrm>
        <a:custGeom>
          <a:avLst/>
          <a:gdLst/>
          <a:ahLst/>
          <a:cxnLst/>
          <a:rect l="0" t="0" r="0" b="0"/>
          <a:pathLst>
            <a:path>
              <a:moveTo>
                <a:pt x="128711" y="0"/>
              </a:moveTo>
              <a:lnTo>
                <a:pt x="128711" y="1289246"/>
              </a:lnTo>
              <a:lnTo>
                <a:pt x="0" y="1289246"/>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FA3C47A-C2DC-4E54-81D9-1506C411ABEC}">
      <dsp:nvSpPr>
        <dsp:cNvPr id="0" name=""/>
        <dsp:cNvSpPr/>
      </dsp:nvSpPr>
      <dsp:spPr>
        <a:xfrm>
          <a:off x="1970549" y="786194"/>
          <a:ext cx="128711" cy="808740"/>
        </a:xfrm>
        <a:custGeom>
          <a:avLst/>
          <a:gdLst/>
          <a:ahLst/>
          <a:cxnLst/>
          <a:rect l="0" t="0" r="0" b="0"/>
          <a:pathLst>
            <a:path>
              <a:moveTo>
                <a:pt x="128711" y="0"/>
              </a:moveTo>
              <a:lnTo>
                <a:pt x="128711" y="808740"/>
              </a:lnTo>
              <a:lnTo>
                <a:pt x="0" y="80874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D440C76-09A0-41E7-84D0-454F46A01260}">
      <dsp:nvSpPr>
        <dsp:cNvPr id="0" name=""/>
        <dsp:cNvSpPr/>
      </dsp:nvSpPr>
      <dsp:spPr>
        <a:xfrm>
          <a:off x="1970549" y="786194"/>
          <a:ext cx="128711" cy="328233"/>
        </a:xfrm>
        <a:custGeom>
          <a:avLst/>
          <a:gdLst/>
          <a:ahLst/>
          <a:cxnLst/>
          <a:rect l="0" t="0" r="0" b="0"/>
          <a:pathLst>
            <a:path>
              <a:moveTo>
                <a:pt x="128711" y="0"/>
              </a:moveTo>
              <a:lnTo>
                <a:pt x="128711" y="328233"/>
              </a:lnTo>
              <a:lnTo>
                <a:pt x="0" y="328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35FA63C-52BD-4F9E-ACBE-7DD5EFADF3D6}">
      <dsp:nvSpPr>
        <dsp:cNvPr id="0" name=""/>
        <dsp:cNvSpPr/>
      </dsp:nvSpPr>
      <dsp:spPr>
        <a:xfrm>
          <a:off x="1756029" y="305687"/>
          <a:ext cx="2187592" cy="175960"/>
        </a:xfrm>
        <a:custGeom>
          <a:avLst/>
          <a:gdLst/>
          <a:ahLst/>
          <a:cxnLst/>
          <a:rect l="0" t="0" r="0" b="0"/>
          <a:pathLst>
            <a:path>
              <a:moveTo>
                <a:pt x="2187592" y="0"/>
              </a:moveTo>
              <a:lnTo>
                <a:pt x="2187592" y="104899"/>
              </a:lnTo>
              <a:lnTo>
                <a:pt x="0" y="104899"/>
              </a:lnTo>
              <a:lnTo>
                <a:pt x="0" y="175960"/>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3475E5-49FE-41EA-B82E-C38629E1BE06}">
      <dsp:nvSpPr>
        <dsp:cNvPr id="0" name=""/>
        <dsp:cNvSpPr/>
      </dsp:nvSpPr>
      <dsp:spPr>
        <a:xfrm>
          <a:off x="3197840" y="1140"/>
          <a:ext cx="1491564" cy="304546"/>
        </a:xfrm>
        <a:prstGeom prst="rect">
          <a:avLst/>
        </a:prstGeom>
        <a:solidFill>
          <a:schemeClr val="tx1"/>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0160" tIns="10160" rIns="10160" bIns="42975" numCol="1" spcCol="1270" anchor="ctr" anchorCtr="0">
          <a:noAutofit/>
        </a:bodyPr>
        <a:lstStyle/>
        <a:p>
          <a:pPr marL="0" lvl="0" indent="0" algn="ctr" defTabSz="711200">
            <a:lnSpc>
              <a:spcPct val="90000"/>
            </a:lnSpc>
            <a:spcBef>
              <a:spcPct val="0"/>
            </a:spcBef>
            <a:spcAft>
              <a:spcPct val="35000"/>
            </a:spcAft>
            <a:buNone/>
          </a:pPr>
          <a:r>
            <a:rPr lang="en-US" sz="1600" kern="1200">
              <a:solidFill>
                <a:srgbClr val="FF0000"/>
              </a:solidFill>
            </a:rPr>
            <a:t>Navy</a:t>
          </a:r>
          <a:endParaRPr lang="ru-RU" sz="1600" kern="1200">
            <a:solidFill>
              <a:srgbClr val="FF0000"/>
            </a:solidFill>
          </a:endParaRPr>
        </a:p>
      </dsp:txBody>
      <dsp:txXfrm>
        <a:off x="3197840" y="1140"/>
        <a:ext cx="1491564" cy="304546"/>
      </dsp:txXfrm>
    </dsp:sp>
    <dsp:sp modelId="{DC5A80F1-077C-4B03-8FED-F735DA16440B}">
      <dsp:nvSpPr>
        <dsp:cNvPr id="0" name=""/>
        <dsp:cNvSpPr/>
      </dsp:nvSpPr>
      <dsp:spPr>
        <a:xfrm>
          <a:off x="3767161" y="238010"/>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61</a:t>
          </a:r>
          <a:endParaRPr lang="ru-RU" sz="600" kern="1200"/>
        </a:p>
      </dsp:txBody>
      <dsp:txXfrm>
        <a:off x="3767161" y="238010"/>
        <a:ext cx="529384" cy="101515"/>
      </dsp:txXfrm>
    </dsp:sp>
    <dsp:sp modelId="{D2181851-053A-42E5-940F-FA681969B15D}">
      <dsp:nvSpPr>
        <dsp:cNvPr id="0" name=""/>
        <dsp:cNvSpPr/>
      </dsp:nvSpPr>
      <dsp:spPr>
        <a:xfrm>
          <a:off x="1326990" y="481647"/>
          <a:ext cx="858079" cy="304546"/>
        </a:xfrm>
        <a:prstGeom prst="plaque">
          <a:avLst/>
        </a:prstGeom>
        <a:solidFill>
          <a:srgbClr val="00206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Suzail Fleet</a:t>
          </a:r>
          <a:endParaRPr lang="ru-RU" sz="600" kern="1200"/>
        </a:p>
      </dsp:txBody>
      <dsp:txXfrm>
        <a:off x="1362882" y="517539"/>
        <a:ext cx="786295" cy="232762"/>
      </dsp:txXfrm>
    </dsp:sp>
    <dsp:sp modelId="{04A7C3AF-0EC6-4B0D-B2A7-02514E86451F}">
      <dsp:nvSpPr>
        <dsp:cNvPr id="0" name=""/>
        <dsp:cNvSpPr/>
      </dsp:nvSpPr>
      <dsp:spPr>
        <a:xfrm>
          <a:off x="1579568" y="718517"/>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14</a:t>
          </a:r>
          <a:endParaRPr lang="ru-RU" sz="600" kern="1200"/>
        </a:p>
      </dsp:txBody>
      <dsp:txXfrm>
        <a:off x="1579568" y="718517"/>
        <a:ext cx="529384" cy="101515"/>
      </dsp:txXfrm>
    </dsp:sp>
    <dsp:sp modelId="{C28D24AD-24D1-42B8-A6A6-31797DE9F4E4}">
      <dsp:nvSpPr>
        <dsp:cNvPr id="0" name=""/>
        <dsp:cNvSpPr/>
      </dsp:nvSpPr>
      <dsp:spPr>
        <a:xfrm>
          <a:off x="1238081" y="962154"/>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1st Squadron</a:t>
          </a:r>
          <a:endParaRPr lang="ru-RU" sz="600" kern="1200"/>
        </a:p>
      </dsp:txBody>
      <dsp:txXfrm>
        <a:off x="1273973" y="998046"/>
        <a:ext cx="660684" cy="232762"/>
      </dsp:txXfrm>
    </dsp:sp>
    <dsp:sp modelId="{C8D7C9B5-5B36-4379-B872-A79AE5ACD0A3}">
      <dsp:nvSpPr>
        <dsp:cNvPr id="0" name=""/>
        <dsp:cNvSpPr/>
      </dsp:nvSpPr>
      <dsp:spPr>
        <a:xfrm>
          <a:off x="1427854"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5</a:t>
          </a:r>
          <a:endParaRPr lang="ru-RU" sz="600" kern="1200"/>
        </a:p>
      </dsp:txBody>
      <dsp:txXfrm>
        <a:off x="1427854" y="1199023"/>
        <a:ext cx="529384" cy="101515"/>
      </dsp:txXfrm>
    </dsp:sp>
    <dsp:sp modelId="{67B62DB1-842A-4A3E-AAA6-69604899623A}">
      <dsp:nvSpPr>
        <dsp:cNvPr id="0" name=""/>
        <dsp:cNvSpPr/>
      </dsp:nvSpPr>
      <dsp:spPr>
        <a:xfrm>
          <a:off x="1238081" y="1442660"/>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2nd Squadron</a:t>
          </a:r>
          <a:endParaRPr lang="ru-RU" sz="600" kern="1200"/>
        </a:p>
      </dsp:txBody>
      <dsp:txXfrm>
        <a:off x="1273973" y="1478552"/>
        <a:ext cx="660684" cy="232762"/>
      </dsp:txXfrm>
    </dsp:sp>
    <dsp:sp modelId="{6AC56C02-EE51-43D7-87D6-16AB2F762F36}">
      <dsp:nvSpPr>
        <dsp:cNvPr id="0" name=""/>
        <dsp:cNvSpPr/>
      </dsp:nvSpPr>
      <dsp:spPr>
        <a:xfrm>
          <a:off x="1427854" y="1679530"/>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4</a:t>
          </a:r>
          <a:endParaRPr lang="ru-RU" sz="600" kern="1200"/>
        </a:p>
      </dsp:txBody>
      <dsp:txXfrm>
        <a:off x="1427854" y="1679530"/>
        <a:ext cx="529384" cy="101515"/>
      </dsp:txXfrm>
    </dsp:sp>
    <dsp:sp modelId="{3E56EE88-6177-4D83-9AA4-6F0581F8F0F2}">
      <dsp:nvSpPr>
        <dsp:cNvPr id="0" name=""/>
        <dsp:cNvSpPr/>
      </dsp:nvSpPr>
      <dsp:spPr>
        <a:xfrm>
          <a:off x="1238081" y="1923167"/>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3rd Squadron</a:t>
          </a:r>
          <a:endParaRPr lang="ru-RU" sz="600" kern="1200"/>
        </a:p>
      </dsp:txBody>
      <dsp:txXfrm>
        <a:off x="1273973" y="1959059"/>
        <a:ext cx="660684" cy="232762"/>
      </dsp:txXfrm>
    </dsp:sp>
    <dsp:sp modelId="{FBC08FFC-1062-4BE6-818D-A6B59324BFFA}">
      <dsp:nvSpPr>
        <dsp:cNvPr id="0" name=""/>
        <dsp:cNvSpPr/>
      </dsp:nvSpPr>
      <dsp:spPr>
        <a:xfrm>
          <a:off x="1427854" y="2160036"/>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4</a:t>
          </a:r>
          <a:endParaRPr lang="ru-RU" sz="600" kern="1200"/>
        </a:p>
      </dsp:txBody>
      <dsp:txXfrm>
        <a:off x="1427854" y="2160036"/>
        <a:ext cx="529384" cy="101515"/>
      </dsp:txXfrm>
    </dsp:sp>
    <dsp:sp modelId="{F99F05AF-C1D3-4975-9E3C-F96827FB02C4}">
      <dsp:nvSpPr>
        <dsp:cNvPr id="0" name=""/>
        <dsp:cNvSpPr/>
      </dsp:nvSpPr>
      <dsp:spPr>
        <a:xfrm>
          <a:off x="1168744" y="2403674"/>
          <a:ext cx="801805" cy="304546"/>
        </a:xfrm>
        <a:prstGeom prst="flowChartPredefinedProcess">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Suzail Garrison</a:t>
          </a:r>
          <a:endParaRPr lang="ru-RU" sz="600" kern="1200"/>
        </a:p>
      </dsp:txBody>
      <dsp:txXfrm>
        <a:off x="1268970" y="2403674"/>
        <a:ext cx="601353" cy="304546"/>
      </dsp:txXfrm>
    </dsp:sp>
    <dsp:sp modelId="{14CFE4FA-4C5A-4B85-B078-7710894242C5}">
      <dsp:nvSpPr>
        <dsp:cNvPr id="0" name=""/>
        <dsp:cNvSpPr/>
      </dsp:nvSpPr>
      <dsp:spPr>
        <a:xfrm>
          <a:off x="1393185" y="264054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1393185" y="2640543"/>
        <a:ext cx="529384" cy="101515"/>
      </dsp:txXfrm>
    </dsp:sp>
    <dsp:sp modelId="{B336C763-2F89-4115-A9D4-36D6954E37D4}">
      <dsp:nvSpPr>
        <dsp:cNvPr id="0" name=""/>
        <dsp:cNvSpPr/>
      </dsp:nvSpPr>
      <dsp:spPr>
        <a:xfrm>
          <a:off x="2327191" y="481647"/>
          <a:ext cx="858079" cy="304546"/>
        </a:xfrm>
        <a:prstGeom prst="plaque">
          <a:avLst/>
        </a:prstGeom>
        <a:solidFill>
          <a:srgbClr val="00206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Marsember Fleet</a:t>
          </a:r>
          <a:endParaRPr lang="ru-RU" sz="600" kern="1200"/>
        </a:p>
      </dsp:txBody>
      <dsp:txXfrm>
        <a:off x="2363083" y="517539"/>
        <a:ext cx="786295" cy="232762"/>
      </dsp:txXfrm>
    </dsp:sp>
    <dsp:sp modelId="{AEAE10B4-D5D9-4C45-BB28-7A8B710C4C88}">
      <dsp:nvSpPr>
        <dsp:cNvPr id="0" name=""/>
        <dsp:cNvSpPr/>
      </dsp:nvSpPr>
      <dsp:spPr>
        <a:xfrm>
          <a:off x="2579769" y="718517"/>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16</a:t>
          </a:r>
          <a:endParaRPr lang="ru-RU" sz="600" kern="1200"/>
        </a:p>
      </dsp:txBody>
      <dsp:txXfrm>
        <a:off x="2579769" y="718517"/>
        <a:ext cx="529384" cy="101515"/>
      </dsp:txXfrm>
    </dsp:sp>
    <dsp:sp modelId="{91A6E367-A5D6-4D07-BE88-21E1D945C91D}">
      <dsp:nvSpPr>
        <dsp:cNvPr id="0" name=""/>
        <dsp:cNvSpPr/>
      </dsp:nvSpPr>
      <dsp:spPr>
        <a:xfrm>
          <a:off x="2541711" y="962154"/>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4 Squadron</a:t>
          </a:r>
          <a:endParaRPr lang="ru-RU" sz="600" kern="1200"/>
        </a:p>
      </dsp:txBody>
      <dsp:txXfrm>
        <a:off x="2577603" y="998046"/>
        <a:ext cx="660684" cy="232762"/>
      </dsp:txXfrm>
    </dsp:sp>
    <dsp:sp modelId="{B2E30EAD-3B9B-4B7A-9C76-A65F53E9B7EA}">
      <dsp:nvSpPr>
        <dsp:cNvPr id="0" name=""/>
        <dsp:cNvSpPr/>
      </dsp:nvSpPr>
      <dsp:spPr>
        <a:xfrm>
          <a:off x="2731483"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6</a:t>
          </a:r>
          <a:endParaRPr lang="ru-RU" sz="600" kern="1200"/>
        </a:p>
      </dsp:txBody>
      <dsp:txXfrm>
        <a:off x="2731483" y="1199023"/>
        <a:ext cx="529384" cy="101515"/>
      </dsp:txXfrm>
    </dsp:sp>
    <dsp:sp modelId="{486EB147-7D30-49CE-8232-301A531AAF76}">
      <dsp:nvSpPr>
        <dsp:cNvPr id="0" name=""/>
        <dsp:cNvSpPr/>
      </dsp:nvSpPr>
      <dsp:spPr>
        <a:xfrm>
          <a:off x="2541711" y="1442660"/>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5 Squadron</a:t>
          </a:r>
          <a:endParaRPr lang="ru-RU" sz="600" kern="1200"/>
        </a:p>
      </dsp:txBody>
      <dsp:txXfrm>
        <a:off x="2577603" y="1478552"/>
        <a:ext cx="660684" cy="232762"/>
      </dsp:txXfrm>
    </dsp:sp>
    <dsp:sp modelId="{AA576CF0-2021-4847-8D47-5A07496D22CA}">
      <dsp:nvSpPr>
        <dsp:cNvPr id="0" name=""/>
        <dsp:cNvSpPr/>
      </dsp:nvSpPr>
      <dsp:spPr>
        <a:xfrm>
          <a:off x="2731483" y="1679530"/>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5</a:t>
          </a:r>
          <a:endParaRPr lang="ru-RU" sz="600" kern="1200"/>
        </a:p>
      </dsp:txBody>
      <dsp:txXfrm>
        <a:off x="2731483" y="1679530"/>
        <a:ext cx="529384" cy="101515"/>
      </dsp:txXfrm>
    </dsp:sp>
    <dsp:sp modelId="{B59F5AF5-5BAF-4785-9653-32EEEA74C996}">
      <dsp:nvSpPr>
        <dsp:cNvPr id="0" name=""/>
        <dsp:cNvSpPr/>
      </dsp:nvSpPr>
      <dsp:spPr>
        <a:xfrm>
          <a:off x="2541711" y="1923167"/>
          <a:ext cx="588204" cy="304546"/>
        </a:xfrm>
        <a:prstGeom prst="rect">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Training Squadron</a:t>
          </a:r>
          <a:endParaRPr lang="ru-RU" sz="600" kern="1200"/>
        </a:p>
      </dsp:txBody>
      <dsp:txXfrm>
        <a:off x="2541711" y="1923167"/>
        <a:ext cx="588204" cy="304546"/>
      </dsp:txXfrm>
    </dsp:sp>
    <dsp:sp modelId="{267F1486-F00D-442F-BD73-742EC19E385F}">
      <dsp:nvSpPr>
        <dsp:cNvPr id="0" name=""/>
        <dsp:cNvSpPr/>
      </dsp:nvSpPr>
      <dsp:spPr>
        <a:xfrm>
          <a:off x="2659352" y="2160036"/>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4</a:t>
          </a:r>
          <a:endParaRPr lang="ru-RU" sz="600" kern="1200"/>
        </a:p>
      </dsp:txBody>
      <dsp:txXfrm>
        <a:off x="2659352" y="2160036"/>
        <a:ext cx="529384" cy="101515"/>
      </dsp:txXfrm>
    </dsp:sp>
    <dsp:sp modelId="{0724F3ED-3541-4B8C-9757-44D606094879}">
      <dsp:nvSpPr>
        <dsp:cNvPr id="0" name=""/>
        <dsp:cNvSpPr/>
      </dsp:nvSpPr>
      <dsp:spPr>
        <a:xfrm>
          <a:off x="2541711" y="2403674"/>
          <a:ext cx="801805" cy="304546"/>
        </a:xfrm>
        <a:prstGeom prst="flowChartPredefinedProcess">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Marsember Garrison</a:t>
          </a:r>
          <a:endParaRPr lang="ru-RU" sz="600" kern="1200"/>
        </a:p>
      </dsp:txBody>
      <dsp:txXfrm>
        <a:off x="2641937" y="2403674"/>
        <a:ext cx="601353" cy="304546"/>
      </dsp:txXfrm>
    </dsp:sp>
    <dsp:sp modelId="{73E1B991-780B-4081-BBCC-FB82A65C5F62}">
      <dsp:nvSpPr>
        <dsp:cNvPr id="0" name=""/>
        <dsp:cNvSpPr/>
      </dsp:nvSpPr>
      <dsp:spPr>
        <a:xfrm>
          <a:off x="2766152" y="264054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2766152" y="2640543"/>
        <a:ext cx="529384" cy="101515"/>
      </dsp:txXfrm>
    </dsp:sp>
    <dsp:sp modelId="{F24A06B9-1E96-410C-B467-B29DBCDED2D7}">
      <dsp:nvSpPr>
        <dsp:cNvPr id="0" name=""/>
        <dsp:cNvSpPr/>
      </dsp:nvSpPr>
      <dsp:spPr>
        <a:xfrm>
          <a:off x="3790790" y="481647"/>
          <a:ext cx="858079" cy="304546"/>
        </a:xfrm>
        <a:prstGeom prst="plaque">
          <a:avLst/>
        </a:prstGeom>
        <a:solidFill>
          <a:srgbClr val="00206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Dawngleam Fleet</a:t>
          </a:r>
          <a:endParaRPr lang="ru-RU" sz="600" kern="1200"/>
        </a:p>
      </dsp:txBody>
      <dsp:txXfrm>
        <a:off x="3826682" y="517539"/>
        <a:ext cx="786295" cy="232762"/>
      </dsp:txXfrm>
    </dsp:sp>
    <dsp:sp modelId="{232251A2-E0BB-43B5-82DB-631055C6B5CE}">
      <dsp:nvSpPr>
        <dsp:cNvPr id="0" name=""/>
        <dsp:cNvSpPr/>
      </dsp:nvSpPr>
      <dsp:spPr>
        <a:xfrm>
          <a:off x="4043368" y="718517"/>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14</a:t>
          </a:r>
          <a:endParaRPr lang="ru-RU" sz="600" kern="1200"/>
        </a:p>
      </dsp:txBody>
      <dsp:txXfrm>
        <a:off x="4043368" y="718517"/>
        <a:ext cx="529384" cy="101515"/>
      </dsp:txXfrm>
    </dsp:sp>
    <dsp:sp modelId="{0E3078A9-540A-476B-8C3A-F45E11C75991}">
      <dsp:nvSpPr>
        <dsp:cNvPr id="0" name=""/>
        <dsp:cNvSpPr/>
      </dsp:nvSpPr>
      <dsp:spPr>
        <a:xfrm>
          <a:off x="4348541" y="1442660"/>
          <a:ext cx="801805" cy="304546"/>
        </a:xfrm>
        <a:prstGeom prst="flowChartPredefinedProcess">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Dawngleam Garrison</a:t>
          </a:r>
          <a:endParaRPr lang="ru-RU" sz="600" kern="1200"/>
        </a:p>
      </dsp:txBody>
      <dsp:txXfrm>
        <a:off x="4448767" y="1442660"/>
        <a:ext cx="601353" cy="304546"/>
      </dsp:txXfrm>
    </dsp:sp>
    <dsp:sp modelId="{A26328DC-935D-4CA0-8155-4F72A41495FB}">
      <dsp:nvSpPr>
        <dsp:cNvPr id="0" name=""/>
        <dsp:cNvSpPr/>
      </dsp:nvSpPr>
      <dsp:spPr>
        <a:xfrm>
          <a:off x="4572983" y="1679530"/>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4572983" y="1679530"/>
        <a:ext cx="529384" cy="101515"/>
      </dsp:txXfrm>
    </dsp:sp>
    <dsp:sp modelId="{CEF3B549-D084-45E5-B726-04FF8ABFC1FD}">
      <dsp:nvSpPr>
        <dsp:cNvPr id="0" name=""/>
        <dsp:cNvSpPr/>
      </dsp:nvSpPr>
      <dsp:spPr>
        <a:xfrm>
          <a:off x="3416300" y="962154"/>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6 Squadron</a:t>
          </a:r>
          <a:endParaRPr lang="ru-RU" sz="600" kern="1200"/>
        </a:p>
      </dsp:txBody>
      <dsp:txXfrm>
        <a:off x="3452192" y="998046"/>
        <a:ext cx="660684" cy="232762"/>
      </dsp:txXfrm>
    </dsp:sp>
    <dsp:sp modelId="{9DD619E1-EFBB-44CE-9D03-67534D360277}">
      <dsp:nvSpPr>
        <dsp:cNvPr id="0" name=""/>
        <dsp:cNvSpPr/>
      </dsp:nvSpPr>
      <dsp:spPr>
        <a:xfrm>
          <a:off x="3606073"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5</a:t>
          </a:r>
          <a:endParaRPr lang="ru-RU" sz="600" kern="1200"/>
        </a:p>
      </dsp:txBody>
      <dsp:txXfrm>
        <a:off x="3606073" y="1199023"/>
        <a:ext cx="529384" cy="101515"/>
      </dsp:txXfrm>
    </dsp:sp>
    <dsp:sp modelId="{5BD07DC4-9743-4468-BA48-7C8EF9145C68}">
      <dsp:nvSpPr>
        <dsp:cNvPr id="0" name=""/>
        <dsp:cNvSpPr/>
      </dsp:nvSpPr>
      <dsp:spPr>
        <a:xfrm>
          <a:off x="4290890" y="962154"/>
          <a:ext cx="732468" cy="304546"/>
        </a:xfrm>
        <a:prstGeom prst="plaque">
          <a:avLst/>
        </a:prstGeom>
        <a:solidFill>
          <a:srgbClr val="00B0F0"/>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7 Squadron</a:t>
          </a:r>
          <a:endParaRPr lang="ru-RU" sz="600" kern="1200"/>
        </a:p>
      </dsp:txBody>
      <dsp:txXfrm>
        <a:off x="4326782" y="998046"/>
        <a:ext cx="660684" cy="232762"/>
      </dsp:txXfrm>
    </dsp:sp>
    <dsp:sp modelId="{4988456E-44F7-475D-99B2-DF3BE760170C}">
      <dsp:nvSpPr>
        <dsp:cNvPr id="0" name=""/>
        <dsp:cNvSpPr/>
      </dsp:nvSpPr>
      <dsp:spPr>
        <a:xfrm>
          <a:off x="4480663"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5</a:t>
          </a:r>
          <a:endParaRPr lang="ru-RU" sz="600" kern="1200"/>
        </a:p>
      </dsp:txBody>
      <dsp:txXfrm>
        <a:off x="4480663" y="1199023"/>
        <a:ext cx="529384" cy="101515"/>
      </dsp:txXfrm>
    </dsp:sp>
    <dsp:sp modelId="{A33E0681-798E-4505-B6B8-8FC165173B50}">
      <dsp:nvSpPr>
        <dsp:cNvPr id="0" name=""/>
        <dsp:cNvSpPr/>
      </dsp:nvSpPr>
      <dsp:spPr>
        <a:xfrm>
          <a:off x="5783483" y="481647"/>
          <a:ext cx="776771" cy="304546"/>
        </a:xfrm>
        <a:prstGeom prst="plaque">
          <a:avLst/>
        </a:prstGeom>
        <a:solidFill>
          <a:schemeClr val="tx1"/>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080" tIns="5080" rIns="5080" bIns="51963" numCol="1" spcCol="1270" anchor="ctr" anchorCtr="0">
          <a:noAutofit/>
        </a:bodyPr>
        <a:lstStyle/>
        <a:p>
          <a:pPr marL="0" lvl="0" indent="0" algn="ctr" defTabSz="444500">
            <a:lnSpc>
              <a:spcPct val="90000"/>
            </a:lnSpc>
            <a:spcBef>
              <a:spcPct val="0"/>
            </a:spcBef>
            <a:spcAft>
              <a:spcPct val="35000"/>
            </a:spcAft>
            <a:buNone/>
          </a:pPr>
          <a:r>
            <a:rPr lang="en-US" sz="1000" b="1" kern="1200">
              <a:solidFill>
                <a:srgbClr val="FF0000"/>
              </a:solidFill>
              <a:latin typeface="Lato"/>
              <a:ea typeface="+mn-ea"/>
              <a:cs typeface="+mn-cs"/>
            </a:rPr>
            <a:t>Palaggar</a:t>
          </a:r>
          <a:r>
            <a:rPr lang="en-US" sz="1000" b="1" i="0" u="none" kern="1200">
              <a:solidFill>
                <a:srgbClr val="FF0000"/>
              </a:solidFill>
            </a:rPr>
            <a:t> </a:t>
          </a:r>
          <a:endParaRPr lang="en-US" sz="1000" b="1" kern="1200">
            <a:solidFill>
              <a:srgbClr val="FF0000"/>
            </a:solidFill>
          </a:endParaRPr>
        </a:p>
      </dsp:txBody>
      <dsp:txXfrm>
        <a:off x="5819375" y="517539"/>
        <a:ext cx="704987" cy="232762"/>
      </dsp:txXfrm>
    </dsp:sp>
    <dsp:sp modelId="{0EA90449-3CED-4A5A-9529-B4FCC4E6DC29}">
      <dsp:nvSpPr>
        <dsp:cNvPr id="0" name=""/>
        <dsp:cNvSpPr/>
      </dsp:nvSpPr>
      <dsp:spPr>
        <a:xfrm>
          <a:off x="5995407" y="718517"/>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10</a:t>
          </a:r>
          <a:endParaRPr lang="ru-RU" sz="600" kern="1200"/>
        </a:p>
      </dsp:txBody>
      <dsp:txXfrm>
        <a:off x="5995407" y="718517"/>
        <a:ext cx="529384" cy="101515"/>
      </dsp:txXfrm>
    </dsp:sp>
    <dsp:sp modelId="{41187E60-E77D-42ED-B082-8E4D0532A4BB}">
      <dsp:nvSpPr>
        <dsp:cNvPr id="0" name=""/>
        <dsp:cNvSpPr/>
      </dsp:nvSpPr>
      <dsp:spPr>
        <a:xfrm>
          <a:off x="5194502" y="958006"/>
          <a:ext cx="935328" cy="304546"/>
        </a:xfrm>
        <a:prstGeom prst="plaque">
          <a:avLst/>
        </a:prstGeom>
        <a:solidFill>
          <a:schemeClr val="tx1"/>
        </a:solidFill>
        <a:ln w="12700" cap="flat" cmpd="sng" algn="ctr">
          <a:solidFill>
            <a:srgbClr val="FFC00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92" numCol="1" spcCol="1270" anchor="ctr" anchorCtr="0">
          <a:noAutofit/>
        </a:bodyPr>
        <a:lstStyle/>
        <a:p>
          <a:pPr marL="0" lvl="0" indent="0" algn="ctr" defTabSz="266700">
            <a:lnSpc>
              <a:spcPct val="90000"/>
            </a:lnSpc>
            <a:spcBef>
              <a:spcPct val="0"/>
            </a:spcBef>
            <a:spcAft>
              <a:spcPct val="35000"/>
            </a:spcAft>
            <a:buNone/>
          </a:pPr>
          <a:r>
            <a:rPr lang="en-US" sz="600" kern="1200">
              <a:solidFill>
                <a:srgbClr val="FF0000"/>
              </a:solidFill>
            </a:rPr>
            <a:t>8 squadron (Rapid Forces)</a:t>
          </a:r>
          <a:endParaRPr lang="ru-RU" sz="600" kern="1200">
            <a:solidFill>
              <a:srgbClr val="FF0000"/>
            </a:solidFill>
          </a:endParaRPr>
        </a:p>
      </dsp:txBody>
      <dsp:txXfrm>
        <a:off x="5230394" y="993898"/>
        <a:ext cx="863544" cy="232762"/>
      </dsp:txXfrm>
    </dsp:sp>
    <dsp:sp modelId="{C76F80A7-F9F3-4875-86A8-984656DA1D41}">
      <dsp:nvSpPr>
        <dsp:cNvPr id="0" name=""/>
        <dsp:cNvSpPr/>
      </dsp:nvSpPr>
      <dsp:spPr>
        <a:xfrm>
          <a:off x="5456682"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r>
            <a:rPr lang="en-US" sz="600" kern="1200"/>
            <a:t>5</a:t>
          </a:r>
          <a:endParaRPr lang="ru-RU" sz="600" kern="1200"/>
        </a:p>
      </dsp:txBody>
      <dsp:txXfrm>
        <a:off x="5456682" y="1199023"/>
        <a:ext cx="529384" cy="101515"/>
      </dsp:txXfrm>
    </dsp:sp>
    <dsp:sp modelId="{151566AD-AAAF-4EA2-95A0-7C782C90AA9A}">
      <dsp:nvSpPr>
        <dsp:cNvPr id="0" name=""/>
        <dsp:cNvSpPr/>
      </dsp:nvSpPr>
      <dsp:spPr>
        <a:xfrm>
          <a:off x="6242930" y="962154"/>
          <a:ext cx="801805" cy="304546"/>
        </a:xfrm>
        <a:prstGeom prst="flowChartPredefinedProcess">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 tIns="3810" rIns="3810" bIns="42975" numCol="1" spcCol="1270" anchor="ctr" anchorCtr="0">
          <a:noAutofit/>
        </a:bodyPr>
        <a:lstStyle/>
        <a:p>
          <a:pPr marL="0" lvl="0" indent="0" algn="ctr" defTabSz="266700">
            <a:lnSpc>
              <a:spcPct val="90000"/>
            </a:lnSpc>
            <a:spcBef>
              <a:spcPct val="0"/>
            </a:spcBef>
            <a:spcAft>
              <a:spcPct val="35000"/>
            </a:spcAft>
            <a:buNone/>
          </a:pPr>
          <a:r>
            <a:rPr lang="en-US" sz="600" kern="1200"/>
            <a:t>Palaggar Garrison</a:t>
          </a:r>
        </a:p>
      </dsp:txBody>
      <dsp:txXfrm>
        <a:off x="6343156" y="962154"/>
        <a:ext cx="601353" cy="304546"/>
      </dsp:txXfrm>
    </dsp:sp>
    <dsp:sp modelId="{D80DD3E1-F643-47DB-820B-C4E9C9B61191}">
      <dsp:nvSpPr>
        <dsp:cNvPr id="0" name=""/>
        <dsp:cNvSpPr/>
      </dsp:nvSpPr>
      <dsp:spPr>
        <a:xfrm>
          <a:off x="6467371" y="1199023"/>
          <a:ext cx="529384" cy="101515"/>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15240" tIns="3810" rIns="15240" bIns="3810" numCol="1" spcCol="1270" anchor="ctr" anchorCtr="0">
          <a:noAutofit/>
        </a:bodyPr>
        <a:lstStyle/>
        <a:p>
          <a:pPr marL="0" lvl="0" indent="0" algn="r" defTabSz="266700">
            <a:lnSpc>
              <a:spcPct val="90000"/>
            </a:lnSpc>
            <a:spcBef>
              <a:spcPct val="0"/>
            </a:spcBef>
            <a:spcAft>
              <a:spcPct val="35000"/>
            </a:spcAft>
            <a:buNone/>
          </a:pPr>
          <a:endParaRPr lang="ru-RU" sz="600" kern="1200"/>
        </a:p>
      </dsp:txBody>
      <dsp:txXfrm>
        <a:off x="6467371" y="1199023"/>
        <a:ext cx="529384" cy="10151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FA6DFF8-A50E-486B-8260-109844690ECC}">
      <dsp:nvSpPr>
        <dsp:cNvPr id="0" name=""/>
        <dsp:cNvSpPr/>
      </dsp:nvSpPr>
      <dsp:spPr>
        <a:xfrm>
          <a:off x="5220509" y="866064"/>
          <a:ext cx="990762" cy="166713"/>
        </a:xfrm>
        <a:custGeom>
          <a:avLst/>
          <a:gdLst/>
          <a:ahLst/>
          <a:cxnLst/>
          <a:rect l="0" t="0" r="0" b="0"/>
          <a:pathLst>
            <a:path>
              <a:moveTo>
                <a:pt x="0" y="0"/>
              </a:moveTo>
              <a:lnTo>
                <a:pt x="0" y="78888"/>
              </a:lnTo>
              <a:lnTo>
                <a:pt x="990762" y="78888"/>
              </a:lnTo>
              <a:lnTo>
                <a:pt x="990762" y="166713"/>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6C07640-0316-481B-96DA-4AA80B550C26}">
      <dsp:nvSpPr>
        <dsp:cNvPr id="0" name=""/>
        <dsp:cNvSpPr/>
      </dsp:nvSpPr>
      <dsp:spPr>
        <a:xfrm>
          <a:off x="5174789" y="866064"/>
          <a:ext cx="91440" cy="166713"/>
        </a:xfrm>
        <a:custGeom>
          <a:avLst/>
          <a:gdLst/>
          <a:ahLst/>
          <a:cxnLst/>
          <a:rect l="0" t="0" r="0" b="0"/>
          <a:pathLst>
            <a:path>
              <a:moveTo>
                <a:pt x="45720" y="0"/>
              </a:moveTo>
              <a:lnTo>
                <a:pt x="45720" y="78888"/>
              </a:lnTo>
              <a:lnTo>
                <a:pt x="63594" y="78888"/>
              </a:lnTo>
              <a:lnTo>
                <a:pt x="63594" y="166713"/>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8FB5DF8-27CF-4389-BD9E-F9849A3C9E48}">
      <dsp:nvSpPr>
        <dsp:cNvPr id="0" name=""/>
        <dsp:cNvSpPr/>
      </dsp:nvSpPr>
      <dsp:spPr>
        <a:xfrm>
          <a:off x="3946601" y="1288011"/>
          <a:ext cx="119585" cy="301437"/>
        </a:xfrm>
        <a:custGeom>
          <a:avLst/>
          <a:gdLst/>
          <a:ahLst/>
          <a:cxnLst/>
          <a:rect l="0" t="0" r="0" b="0"/>
          <a:pathLst>
            <a:path>
              <a:moveTo>
                <a:pt x="0" y="0"/>
              </a:moveTo>
              <a:lnTo>
                <a:pt x="0" y="301437"/>
              </a:lnTo>
              <a:lnTo>
                <a:pt x="119585" y="301437"/>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0405FC6-B547-4EC0-B546-9F0D63438670}">
      <dsp:nvSpPr>
        <dsp:cNvPr id="0" name=""/>
        <dsp:cNvSpPr/>
      </dsp:nvSpPr>
      <dsp:spPr>
        <a:xfrm>
          <a:off x="4265496" y="866064"/>
          <a:ext cx="955013" cy="166713"/>
        </a:xfrm>
        <a:custGeom>
          <a:avLst/>
          <a:gdLst/>
          <a:ahLst/>
          <a:cxnLst/>
          <a:rect l="0" t="0" r="0" b="0"/>
          <a:pathLst>
            <a:path>
              <a:moveTo>
                <a:pt x="955013" y="0"/>
              </a:moveTo>
              <a:lnTo>
                <a:pt x="955013" y="78888"/>
              </a:lnTo>
              <a:lnTo>
                <a:pt x="0" y="78888"/>
              </a:lnTo>
              <a:lnTo>
                <a:pt x="0" y="166713"/>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2790FD2-2750-4F27-ADAE-E43707A8589A}">
      <dsp:nvSpPr>
        <dsp:cNvPr id="0" name=""/>
        <dsp:cNvSpPr/>
      </dsp:nvSpPr>
      <dsp:spPr>
        <a:xfrm>
          <a:off x="2921611" y="435364"/>
          <a:ext cx="2298898" cy="175466"/>
        </a:xfrm>
        <a:custGeom>
          <a:avLst/>
          <a:gdLst/>
          <a:ahLst/>
          <a:cxnLst/>
          <a:rect l="0" t="0" r="0" b="0"/>
          <a:pathLst>
            <a:path>
              <a:moveTo>
                <a:pt x="0" y="0"/>
              </a:moveTo>
              <a:lnTo>
                <a:pt x="0" y="87641"/>
              </a:lnTo>
              <a:lnTo>
                <a:pt x="2298898" y="87641"/>
              </a:lnTo>
              <a:lnTo>
                <a:pt x="2298898" y="175466"/>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232AE845-D27C-4386-85BD-9EB621298706}">
      <dsp:nvSpPr>
        <dsp:cNvPr id="0" name=""/>
        <dsp:cNvSpPr/>
      </dsp:nvSpPr>
      <dsp:spPr>
        <a:xfrm>
          <a:off x="2432944" y="1320782"/>
          <a:ext cx="1058973" cy="175650"/>
        </a:xfrm>
        <a:custGeom>
          <a:avLst/>
          <a:gdLst/>
          <a:ahLst/>
          <a:cxnLst/>
          <a:rect l="0" t="0" r="0" b="0"/>
          <a:pathLst>
            <a:path>
              <a:moveTo>
                <a:pt x="0" y="0"/>
              </a:moveTo>
              <a:lnTo>
                <a:pt x="0" y="87825"/>
              </a:lnTo>
              <a:lnTo>
                <a:pt x="1058973" y="87825"/>
              </a:lnTo>
              <a:lnTo>
                <a:pt x="1058973"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11362F8-498C-4B7F-9192-88933932E808}">
      <dsp:nvSpPr>
        <dsp:cNvPr id="0" name=""/>
        <dsp:cNvSpPr/>
      </dsp:nvSpPr>
      <dsp:spPr>
        <a:xfrm>
          <a:off x="2432944" y="2198936"/>
          <a:ext cx="972887" cy="175650"/>
        </a:xfrm>
        <a:custGeom>
          <a:avLst/>
          <a:gdLst/>
          <a:ahLst/>
          <a:cxnLst/>
          <a:rect l="0" t="0" r="0" b="0"/>
          <a:pathLst>
            <a:path>
              <a:moveTo>
                <a:pt x="0" y="0"/>
              </a:moveTo>
              <a:lnTo>
                <a:pt x="0" y="87825"/>
              </a:lnTo>
              <a:lnTo>
                <a:pt x="972887" y="87825"/>
              </a:lnTo>
              <a:lnTo>
                <a:pt x="972887"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562EF09-8450-4FD7-9DB2-8195342075E6}">
      <dsp:nvSpPr>
        <dsp:cNvPr id="0" name=""/>
        <dsp:cNvSpPr/>
      </dsp:nvSpPr>
      <dsp:spPr>
        <a:xfrm>
          <a:off x="2387224" y="2198936"/>
          <a:ext cx="91440" cy="175650"/>
        </a:xfrm>
        <a:custGeom>
          <a:avLst/>
          <a:gdLst/>
          <a:ahLst/>
          <a:cxnLst/>
          <a:rect l="0" t="0" r="0" b="0"/>
          <a:pathLst>
            <a:path>
              <a:moveTo>
                <a:pt x="45720" y="0"/>
              </a:moveTo>
              <a:lnTo>
                <a:pt x="4572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CD87A99-5385-41A9-B069-E8DA60565996}">
      <dsp:nvSpPr>
        <dsp:cNvPr id="0" name=""/>
        <dsp:cNvSpPr/>
      </dsp:nvSpPr>
      <dsp:spPr>
        <a:xfrm>
          <a:off x="1460056" y="2198936"/>
          <a:ext cx="972887" cy="175650"/>
        </a:xfrm>
        <a:custGeom>
          <a:avLst/>
          <a:gdLst/>
          <a:ahLst/>
          <a:cxnLst/>
          <a:rect l="0" t="0" r="0" b="0"/>
          <a:pathLst>
            <a:path>
              <a:moveTo>
                <a:pt x="972887" y="0"/>
              </a:moveTo>
              <a:lnTo>
                <a:pt x="972887" y="87825"/>
              </a:lnTo>
              <a:lnTo>
                <a:pt x="0" y="87825"/>
              </a:lnTo>
              <a:lnTo>
                <a:pt x="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16020E-2F33-40BC-AF2C-94CA35B3DFB9}">
      <dsp:nvSpPr>
        <dsp:cNvPr id="0" name=""/>
        <dsp:cNvSpPr/>
      </dsp:nvSpPr>
      <dsp:spPr>
        <a:xfrm>
          <a:off x="2387224" y="1768052"/>
          <a:ext cx="91440" cy="175650"/>
        </a:xfrm>
        <a:custGeom>
          <a:avLst/>
          <a:gdLst/>
          <a:ahLst/>
          <a:cxnLst/>
          <a:rect l="0" t="0" r="0" b="0"/>
          <a:pathLst>
            <a:path>
              <a:moveTo>
                <a:pt x="45720" y="0"/>
              </a:moveTo>
              <a:lnTo>
                <a:pt x="4572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2ED3A7F-BDC9-45B4-A65C-98CDC7CC78D6}">
      <dsp:nvSpPr>
        <dsp:cNvPr id="0" name=""/>
        <dsp:cNvSpPr/>
      </dsp:nvSpPr>
      <dsp:spPr>
        <a:xfrm>
          <a:off x="2387224" y="1320782"/>
          <a:ext cx="91440" cy="175650"/>
        </a:xfrm>
        <a:custGeom>
          <a:avLst/>
          <a:gdLst/>
          <a:ahLst/>
          <a:cxnLst/>
          <a:rect l="0" t="0" r="0" b="0"/>
          <a:pathLst>
            <a:path>
              <a:moveTo>
                <a:pt x="45720" y="0"/>
              </a:moveTo>
              <a:lnTo>
                <a:pt x="4572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24A3399-72D2-4E53-A64F-DF3B1CF60596}">
      <dsp:nvSpPr>
        <dsp:cNvPr id="0" name=""/>
        <dsp:cNvSpPr/>
      </dsp:nvSpPr>
      <dsp:spPr>
        <a:xfrm>
          <a:off x="1373970" y="1320782"/>
          <a:ext cx="1058973" cy="175650"/>
        </a:xfrm>
        <a:custGeom>
          <a:avLst/>
          <a:gdLst/>
          <a:ahLst/>
          <a:cxnLst/>
          <a:rect l="0" t="0" r="0" b="0"/>
          <a:pathLst>
            <a:path>
              <a:moveTo>
                <a:pt x="1058973" y="0"/>
              </a:moveTo>
              <a:lnTo>
                <a:pt x="1058973" y="87825"/>
              </a:lnTo>
              <a:lnTo>
                <a:pt x="0" y="87825"/>
              </a:lnTo>
              <a:lnTo>
                <a:pt x="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2E5AA4A-3769-45F2-9FD6-F7E532242856}">
      <dsp:nvSpPr>
        <dsp:cNvPr id="0" name=""/>
        <dsp:cNvSpPr/>
      </dsp:nvSpPr>
      <dsp:spPr>
        <a:xfrm>
          <a:off x="2387224" y="873513"/>
          <a:ext cx="91440" cy="175650"/>
        </a:xfrm>
        <a:custGeom>
          <a:avLst/>
          <a:gdLst/>
          <a:ahLst/>
          <a:cxnLst/>
          <a:rect l="0" t="0" r="0" b="0"/>
          <a:pathLst>
            <a:path>
              <a:moveTo>
                <a:pt x="45720" y="0"/>
              </a:moveTo>
              <a:lnTo>
                <a:pt x="45720" y="175650"/>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4FDA189-1F55-4110-ADD4-B7880E65234B}">
      <dsp:nvSpPr>
        <dsp:cNvPr id="0" name=""/>
        <dsp:cNvSpPr/>
      </dsp:nvSpPr>
      <dsp:spPr>
        <a:xfrm>
          <a:off x="2432944" y="435364"/>
          <a:ext cx="488666" cy="166529"/>
        </a:xfrm>
        <a:custGeom>
          <a:avLst/>
          <a:gdLst/>
          <a:ahLst/>
          <a:cxnLst/>
          <a:rect l="0" t="0" r="0" b="0"/>
          <a:pathLst>
            <a:path>
              <a:moveTo>
                <a:pt x="488666" y="0"/>
              </a:moveTo>
              <a:lnTo>
                <a:pt x="488666" y="78704"/>
              </a:lnTo>
              <a:lnTo>
                <a:pt x="0" y="78704"/>
              </a:lnTo>
              <a:lnTo>
                <a:pt x="0" y="166529"/>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F050F701-4777-4426-A664-1067999680B8}">
      <dsp:nvSpPr>
        <dsp:cNvPr id="0" name=""/>
        <dsp:cNvSpPr/>
      </dsp:nvSpPr>
      <dsp:spPr>
        <a:xfrm>
          <a:off x="1373970" y="435364"/>
          <a:ext cx="1547640" cy="166529"/>
        </a:xfrm>
        <a:custGeom>
          <a:avLst/>
          <a:gdLst/>
          <a:ahLst/>
          <a:cxnLst/>
          <a:rect l="0" t="0" r="0" b="0"/>
          <a:pathLst>
            <a:path>
              <a:moveTo>
                <a:pt x="1547640" y="0"/>
              </a:moveTo>
              <a:lnTo>
                <a:pt x="1547640" y="78704"/>
              </a:lnTo>
              <a:lnTo>
                <a:pt x="0" y="78704"/>
              </a:lnTo>
              <a:lnTo>
                <a:pt x="0" y="166529"/>
              </a:lnTo>
            </a:path>
          </a:pathLst>
        </a:custGeom>
        <a:noFill/>
        <a:ln w="12700" cap="flat" cmpd="sng" algn="ctr">
          <a:solidFill>
            <a:schemeClr val="dk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F1B36B6-AE89-4854-AB4F-5607D63391AA}">
      <dsp:nvSpPr>
        <dsp:cNvPr id="0" name=""/>
        <dsp:cNvSpPr/>
      </dsp:nvSpPr>
      <dsp:spPr>
        <a:xfrm>
          <a:off x="401083" y="435364"/>
          <a:ext cx="2520527" cy="166529"/>
        </a:xfrm>
        <a:custGeom>
          <a:avLst/>
          <a:gdLst/>
          <a:ahLst/>
          <a:cxnLst/>
          <a:rect l="0" t="0" r="0" b="0"/>
          <a:pathLst>
            <a:path>
              <a:moveTo>
                <a:pt x="2520527" y="0"/>
              </a:moveTo>
              <a:lnTo>
                <a:pt x="2520527" y="78704"/>
              </a:lnTo>
              <a:lnTo>
                <a:pt x="0" y="78704"/>
              </a:lnTo>
              <a:lnTo>
                <a:pt x="0" y="166529"/>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B2BE3EC8-3324-43EA-B8D7-796B52893122}">
      <dsp:nvSpPr>
        <dsp:cNvPr id="0" name=""/>
        <dsp:cNvSpPr/>
      </dsp:nvSpPr>
      <dsp:spPr>
        <a:xfrm>
          <a:off x="2436906" y="163746"/>
          <a:ext cx="969408" cy="271618"/>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Капитан</a:t>
          </a:r>
        </a:p>
      </dsp:txBody>
      <dsp:txXfrm>
        <a:off x="2468917" y="195757"/>
        <a:ext cx="905386" cy="207596"/>
      </dsp:txXfrm>
    </dsp:sp>
    <dsp:sp modelId="{CC5B446D-D37C-41EF-A493-05F0830EF276}">
      <dsp:nvSpPr>
        <dsp:cNvPr id="0" name=""/>
        <dsp:cNvSpPr/>
      </dsp:nvSpPr>
      <dsp:spPr>
        <a:xfrm>
          <a:off x="2464" y="601894"/>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Маг</a:t>
          </a:r>
        </a:p>
      </dsp:txBody>
      <dsp:txXfrm>
        <a:off x="2464" y="601894"/>
        <a:ext cx="797237" cy="255233"/>
      </dsp:txXfrm>
    </dsp:sp>
    <dsp:sp modelId="{C531E2A3-AE2F-4869-8A9B-1A809EE00684}">
      <dsp:nvSpPr>
        <dsp:cNvPr id="0" name=""/>
        <dsp:cNvSpPr/>
      </dsp:nvSpPr>
      <dsp:spPr>
        <a:xfrm>
          <a:off x="975352" y="601894"/>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Лекарь</a:t>
          </a:r>
        </a:p>
      </dsp:txBody>
      <dsp:txXfrm>
        <a:off x="975352" y="601894"/>
        <a:ext cx="797237" cy="255233"/>
      </dsp:txXfrm>
    </dsp:sp>
    <dsp:sp modelId="{BD2936FF-4B28-4A5F-84AD-E3386BDC1DEA}">
      <dsp:nvSpPr>
        <dsp:cNvPr id="0" name=""/>
        <dsp:cNvSpPr/>
      </dsp:nvSpPr>
      <dsp:spPr>
        <a:xfrm>
          <a:off x="1948240" y="601894"/>
          <a:ext cx="969408" cy="271618"/>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Старший помощник</a:t>
          </a:r>
        </a:p>
      </dsp:txBody>
      <dsp:txXfrm>
        <a:off x="1980251" y="633905"/>
        <a:ext cx="905386" cy="207596"/>
      </dsp:txXfrm>
    </dsp:sp>
    <dsp:sp modelId="{767D7A86-D95E-4AB6-A812-664A037043B6}">
      <dsp:nvSpPr>
        <dsp:cNvPr id="0" name=""/>
        <dsp:cNvSpPr/>
      </dsp:nvSpPr>
      <dsp:spPr>
        <a:xfrm>
          <a:off x="1948240" y="1049164"/>
          <a:ext cx="969408" cy="271618"/>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Второй помощник</a:t>
          </a:r>
        </a:p>
      </dsp:txBody>
      <dsp:txXfrm>
        <a:off x="1980251" y="1081175"/>
        <a:ext cx="905386" cy="207596"/>
      </dsp:txXfrm>
    </dsp:sp>
    <dsp:sp modelId="{761A973D-08A0-4FCB-BA64-8FAD94B60C95}">
      <dsp:nvSpPr>
        <dsp:cNvPr id="0" name=""/>
        <dsp:cNvSpPr/>
      </dsp:nvSpPr>
      <dsp:spPr>
        <a:xfrm>
          <a:off x="975352" y="1496433"/>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uk-UA" sz="700" kern="1200"/>
            <a:t>Рулевой</a:t>
          </a:r>
          <a:endParaRPr lang="ru-RU" sz="700" kern="1200"/>
        </a:p>
      </dsp:txBody>
      <dsp:txXfrm>
        <a:off x="975352" y="1496433"/>
        <a:ext cx="797237" cy="255233"/>
      </dsp:txXfrm>
    </dsp:sp>
    <dsp:sp modelId="{39EE4533-8C71-40BE-9A02-51685BCEB75F}">
      <dsp:nvSpPr>
        <dsp:cNvPr id="0" name=""/>
        <dsp:cNvSpPr/>
      </dsp:nvSpPr>
      <dsp:spPr>
        <a:xfrm>
          <a:off x="1948240" y="1496433"/>
          <a:ext cx="969408" cy="271618"/>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uk-UA" sz="700" kern="1200"/>
            <a:t>Третий помощник</a:t>
          </a:r>
          <a:endParaRPr lang="ru-RU" sz="700" kern="1200"/>
        </a:p>
      </dsp:txBody>
      <dsp:txXfrm>
        <a:off x="1980251" y="1528444"/>
        <a:ext cx="905386" cy="207596"/>
      </dsp:txXfrm>
    </dsp:sp>
    <dsp:sp modelId="{90119492-4379-4B9E-A340-7AF13DBEC56B}">
      <dsp:nvSpPr>
        <dsp:cNvPr id="0" name=""/>
        <dsp:cNvSpPr/>
      </dsp:nvSpPr>
      <dsp:spPr>
        <a:xfrm>
          <a:off x="2034325" y="1943703"/>
          <a:ext cx="797237" cy="255233"/>
        </a:xfrm>
        <a:prstGeom prst="rect">
          <a:avLst/>
        </a:prstGeom>
        <a:solidFill>
          <a:schemeClr val="lt1">
            <a:hueOff val="0"/>
            <a:satOff val="0"/>
            <a:lumOff val="0"/>
            <a:alphaOff val="0"/>
          </a:schemeClr>
        </a:solidFill>
        <a:ln w="12700" cap="flat" cmpd="sng" algn="ctr">
          <a:solidFill>
            <a:scrgbClr r="0" g="0" b="0"/>
          </a:solidFill>
          <a:prstDash val="sysDot"/>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Экипаж</a:t>
          </a:r>
        </a:p>
      </dsp:txBody>
      <dsp:txXfrm>
        <a:off x="2034325" y="1943703"/>
        <a:ext cx="797237" cy="255233"/>
      </dsp:txXfrm>
    </dsp:sp>
    <dsp:sp modelId="{7B7C5741-8E94-4CD6-A0C5-A8F58DC2E22C}">
      <dsp:nvSpPr>
        <dsp:cNvPr id="0" name=""/>
        <dsp:cNvSpPr/>
      </dsp:nvSpPr>
      <dsp:spPr>
        <a:xfrm>
          <a:off x="1061438" y="2374587"/>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1ая смена</a:t>
          </a:r>
        </a:p>
      </dsp:txBody>
      <dsp:txXfrm>
        <a:off x="1061438" y="2374587"/>
        <a:ext cx="797237" cy="255233"/>
      </dsp:txXfrm>
    </dsp:sp>
    <dsp:sp modelId="{DC2A1F2E-C2D2-4F6D-B3FC-2828391A0D5F}">
      <dsp:nvSpPr>
        <dsp:cNvPr id="0" name=""/>
        <dsp:cNvSpPr/>
      </dsp:nvSpPr>
      <dsp:spPr>
        <a:xfrm>
          <a:off x="2034325" y="2374587"/>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2ая смена</a:t>
          </a:r>
        </a:p>
      </dsp:txBody>
      <dsp:txXfrm>
        <a:off x="2034325" y="2374587"/>
        <a:ext cx="797237" cy="255233"/>
      </dsp:txXfrm>
    </dsp:sp>
    <dsp:sp modelId="{C035BC5F-DE07-498D-A2FB-0B2C6CB53B5C}">
      <dsp:nvSpPr>
        <dsp:cNvPr id="0" name=""/>
        <dsp:cNvSpPr/>
      </dsp:nvSpPr>
      <dsp:spPr>
        <a:xfrm>
          <a:off x="3007213" y="2374587"/>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3ая смена</a:t>
          </a:r>
        </a:p>
      </dsp:txBody>
      <dsp:txXfrm>
        <a:off x="3007213" y="2374587"/>
        <a:ext cx="797237" cy="255233"/>
      </dsp:txXfrm>
    </dsp:sp>
    <dsp:sp modelId="{780C14CC-E439-4642-A7A5-8069517B9E2A}">
      <dsp:nvSpPr>
        <dsp:cNvPr id="0" name=""/>
        <dsp:cNvSpPr/>
      </dsp:nvSpPr>
      <dsp:spPr>
        <a:xfrm>
          <a:off x="3093299" y="1496433"/>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uk-UA" sz="700" kern="1200"/>
            <a:t>Боцман</a:t>
          </a:r>
        </a:p>
      </dsp:txBody>
      <dsp:txXfrm>
        <a:off x="3093299" y="1496433"/>
        <a:ext cx="797237" cy="255233"/>
      </dsp:txXfrm>
    </dsp:sp>
    <dsp:sp modelId="{1DF16E22-F90D-480A-9692-3AA53EAEC143}">
      <dsp:nvSpPr>
        <dsp:cNvPr id="0" name=""/>
        <dsp:cNvSpPr/>
      </dsp:nvSpPr>
      <dsp:spPr>
        <a:xfrm>
          <a:off x="4821890" y="610831"/>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Квартермейстер</a:t>
          </a:r>
        </a:p>
      </dsp:txBody>
      <dsp:txXfrm>
        <a:off x="4821890" y="610831"/>
        <a:ext cx="797237" cy="255233"/>
      </dsp:txXfrm>
    </dsp:sp>
    <dsp:sp modelId="{2477C34C-0E3C-4424-B70A-3AF357CD7EB9}">
      <dsp:nvSpPr>
        <dsp:cNvPr id="0" name=""/>
        <dsp:cNvSpPr/>
      </dsp:nvSpPr>
      <dsp:spPr>
        <a:xfrm>
          <a:off x="3866877" y="1032778"/>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Кок</a:t>
          </a:r>
        </a:p>
      </dsp:txBody>
      <dsp:txXfrm>
        <a:off x="3866877" y="1032778"/>
        <a:ext cx="797237" cy="255233"/>
      </dsp:txXfrm>
    </dsp:sp>
    <dsp:sp modelId="{D126335F-D843-4B3B-86B9-D0CE1C810EB4}">
      <dsp:nvSpPr>
        <dsp:cNvPr id="0" name=""/>
        <dsp:cNvSpPr/>
      </dsp:nvSpPr>
      <dsp:spPr>
        <a:xfrm>
          <a:off x="4066187" y="1463662"/>
          <a:ext cx="836432" cy="25157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endParaRPr lang="ru-RU" sz="700" kern="1200"/>
        </a:p>
      </dsp:txBody>
      <dsp:txXfrm>
        <a:off x="4066187" y="1463662"/>
        <a:ext cx="836432" cy="251573"/>
      </dsp:txXfrm>
    </dsp:sp>
    <dsp:sp modelId="{F4890984-593B-41C2-9D0E-F1BE86A2E3FD}">
      <dsp:nvSpPr>
        <dsp:cNvPr id="0" name=""/>
        <dsp:cNvSpPr/>
      </dsp:nvSpPr>
      <dsp:spPr>
        <a:xfrm>
          <a:off x="4839765" y="1032778"/>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Мастер по парусам</a:t>
          </a:r>
        </a:p>
      </dsp:txBody>
      <dsp:txXfrm>
        <a:off x="4839765" y="1032778"/>
        <a:ext cx="797237" cy="255233"/>
      </dsp:txXfrm>
    </dsp:sp>
    <dsp:sp modelId="{8ACD67BC-E0E4-4A7F-A290-B158365CC801}">
      <dsp:nvSpPr>
        <dsp:cNvPr id="0" name=""/>
        <dsp:cNvSpPr/>
      </dsp:nvSpPr>
      <dsp:spPr>
        <a:xfrm>
          <a:off x="5812653" y="1032778"/>
          <a:ext cx="797237" cy="255233"/>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4445" numCol="1" spcCol="1270" anchor="ctr" anchorCtr="0">
          <a:noAutofit/>
        </a:bodyPr>
        <a:lstStyle/>
        <a:p>
          <a:pPr marL="0" lvl="0" indent="0" algn="ctr" defTabSz="311150">
            <a:lnSpc>
              <a:spcPct val="90000"/>
            </a:lnSpc>
            <a:spcBef>
              <a:spcPct val="0"/>
            </a:spcBef>
            <a:spcAft>
              <a:spcPct val="35000"/>
            </a:spcAft>
            <a:buNone/>
          </a:pPr>
          <a:r>
            <a:rPr lang="ru-RU" sz="700" kern="1200"/>
            <a:t>Плотник</a:t>
          </a:r>
        </a:p>
      </dsp:txBody>
      <dsp:txXfrm>
        <a:off x="5812653" y="1032778"/>
        <a:ext cx="797237" cy="255233"/>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FA6DFF8-A50E-486B-8260-109844690ECC}">
      <dsp:nvSpPr>
        <dsp:cNvPr id="0" name=""/>
        <dsp:cNvSpPr/>
      </dsp:nvSpPr>
      <dsp:spPr>
        <a:xfrm>
          <a:off x="6277690" y="800390"/>
          <a:ext cx="1113955" cy="187442"/>
        </a:xfrm>
        <a:custGeom>
          <a:avLst/>
          <a:gdLst/>
          <a:ahLst/>
          <a:cxnLst/>
          <a:rect l="0" t="0" r="0" b="0"/>
          <a:pathLst>
            <a:path>
              <a:moveTo>
                <a:pt x="0" y="0"/>
              </a:moveTo>
              <a:lnTo>
                <a:pt x="0" y="88697"/>
              </a:lnTo>
              <a:lnTo>
                <a:pt x="1113955" y="88697"/>
              </a:lnTo>
              <a:lnTo>
                <a:pt x="1113955" y="187442"/>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6C07640-0316-481B-96DA-4AA80B550C26}">
      <dsp:nvSpPr>
        <dsp:cNvPr id="0" name=""/>
        <dsp:cNvSpPr/>
      </dsp:nvSpPr>
      <dsp:spPr>
        <a:xfrm>
          <a:off x="6231970" y="800390"/>
          <a:ext cx="91440" cy="187442"/>
        </a:xfrm>
        <a:custGeom>
          <a:avLst/>
          <a:gdLst/>
          <a:ahLst/>
          <a:cxnLst/>
          <a:rect l="0" t="0" r="0" b="0"/>
          <a:pathLst>
            <a:path>
              <a:moveTo>
                <a:pt x="45720" y="0"/>
              </a:moveTo>
              <a:lnTo>
                <a:pt x="45720" y="88697"/>
              </a:lnTo>
              <a:lnTo>
                <a:pt x="65817" y="88697"/>
              </a:lnTo>
              <a:lnTo>
                <a:pt x="65817" y="187442"/>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2F6CB68-0835-412B-8834-CAABB3FE980D}">
      <dsp:nvSpPr>
        <dsp:cNvPr id="0" name=""/>
        <dsp:cNvSpPr/>
      </dsp:nvSpPr>
      <dsp:spPr>
        <a:xfrm>
          <a:off x="4845382" y="1274803"/>
          <a:ext cx="134455" cy="361649"/>
        </a:xfrm>
        <a:custGeom>
          <a:avLst/>
          <a:gdLst/>
          <a:ahLst/>
          <a:cxnLst/>
          <a:rect l="0" t="0" r="0" b="0"/>
          <a:pathLst>
            <a:path>
              <a:moveTo>
                <a:pt x="0" y="0"/>
              </a:moveTo>
              <a:lnTo>
                <a:pt x="0" y="361649"/>
              </a:lnTo>
              <a:lnTo>
                <a:pt x="134455" y="361649"/>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0405FC6-B547-4EC0-B546-9F0D63438670}">
      <dsp:nvSpPr>
        <dsp:cNvPr id="0" name=""/>
        <dsp:cNvSpPr/>
      </dsp:nvSpPr>
      <dsp:spPr>
        <a:xfrm>
          <a:off x="5203929" y="800390"/>
          <a:ext cx="1073761" cy="187442"/>
        </a:xfrm>
        <a:custGeom>
          <a:avLst/>
          <a:gdLst/>
          <a:ahLst/>
          <a:cxnLst/>
          <a:rect l="0" t="0" r="0" b="0"/>
          <a:pathLst>
            <a:path>
              <a:moveTo>
                <a:pt x="1073761" y="0"/>
              </a:moveTo>
              <a:lnTo>
                <a:pt x="1073761" y="88697"/>
              </a:lnTo>
              <a:lnTo>
                <a:pt x="0" y="88697"/>
              </a:lnTo>
              <a:lnTo>
                <a:pt x="0" y="187442"/>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2790FD2-2750-4F27-ADAE-E43707A8589A}">
      <dsp:nvSpPr>
        <dsp:cNvPr id="0" name=""/>
        <dsp:cNvSpPr/>
      </dsp:nvSpPr>
      <dsp:spPr>
        <a:xfrm>
          <a:off x="3151835" y="305392"/>
          <a:ext cx="3125855" cy="208029"/>
        </a:xfrm>
        <a:custGeom>
          <a:avLst/>
          <a:gdLst/>
          <a:ahLst/>
          <a:cxnLst/>
          <a:rect l="0" t="0" r="0" b="0"/>
          <a:pathLst>
            <a:path>
              <a:moveTo>
                <a:pt x="0" y="0"/>
              </a:moveTo>
              <a:lnTo>
                <a:pt x="0" y="109283"/>
              </a:lnTo>
              <a:lnTo>
                <a:pt x="3125855" y="109283"/>
              </a:lnTo>
              <a:lnTo>
                <a:pt x="3125855" y="208029"/>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232AE845-D27C-4386-85BD-9EB621298706}">
      <dsp:nvSpPr>
        <dsp:cNvPr id="0" name=""/>
        <dsp:cNvSpPr/>
      </dsp:nvSpPr>
      <dsp:spPr>
        <a:xfrm>
          <a:off x="3143514" y="1311649"/>
          <a:ext cx="1190647" cy="197491"/>
        </a:xfrm>
        <a:custGeom>
          <a:avLst/>
          <a:gdLst/>
          <a:ahLst/>
          <a:cxnLst/>
          <a:rect l="0" t="0" r="0" b="0"/>
          <a:pathLst>
            <a:path>
              <a:moveTo>
                <a:pt x="0" y="0"/>
              </a:moveTo>
              <a:lnTo>
                <a:pt x="0" y="98745"/>
              </a:lnTo>
              <a:lnTo>
                <a:pt x="1190647" y="98745"/>
              </a:lnTo>
              <a:lnTo>
                <a:pt x="1190647"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11362F8-498C-4B7F-9192-88933932E808}">
      <dsp:nvSpPr>
        <dsp:cNvPr id="0" name=""/>
        <dsp:cNvSpPr/>
      </dsp:nvSpPr>
      <dsp:spPr>
        <a:xfrm>
          <a:off x="3143514" y="2298994"/>
          <a:ext cx="1093858" cy="197491"/>
        </a:xfrm>
        <a:custGeom>
          <a:avLst/>
          <a:gdLst/>
          <a:ahLst/>
          <a:cxnLst/>
          <a:rect l="0" t="0" r="0" b="0"/>
          <a:pathLst>
            <a:path>
              <a:moveTo>
                <a:pt x="0" y="0"/>
              </a:moveTo>
              <a:lnTo>
                <a:pt x="0" y="98745"/>
              </a:lnTo>
              <a:lnTo>
                <a:pt x="1093858" y="98745"/>
              </a:lnTo>
              <a:lnTo>
                <a:pt x="1093858"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562EF09-8450-4FD7-9DB2-8195342075E6}">
      <dsp:nvSpPr>
        <dsp:cNvPr id="0" name=""/>
        <dsp:cNvSpPr/>
      </dsp:nvSpPr>
      <dsp:spPr>
        <a:xfrm>
          <a:off x="3097794" y="2298994"/>
          <a:ext cx="91440" cy="197491"/>
        </a:xfrm>
        <a:custGeom>
          <a:avLst/>
          <a:gdLst/>
          <a:ahLst/>
          <a:cxnLst/>
          <a:rect l="0" t="0" r="0" b="0"/>
          <a:pathLst>
            <a:path>
              <a:moveTo>
                <a:pt x="45720" y="0"/>
              </a:moveTo>
              <a:lnTo>
                <a:pt x="4572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CD87A99-5385-41A9-B069-E8DA60565996}">
      <dsp:nvSpPr>
        <dsp:cNvPr id="0" name=""/>
        <dsp:cNvSpPr/>
      </dsp:nvSpPr>
      <dsp:spPr>
        <a:xfrm>
          <a:off x="2049656" y="2298994"/>
          <a:ext cx="1093858" cy="197491"/>
        </a:xfrm>
        <a:custGeom>
          <a:avLst/>
          <a:gdLst/>
          <a:ahLst/>
          <a:cxnLst/>
          <a:rect l="0" t="0" r="0" b="0"/>
          <a:pathLst>
            <a:path>
              <a:moveTo>
                <a:pt x="1093858" y="0"/>
              </a:moveTo>
              <a:lnTo>
                <a:pt x="1093858" y="98745"/>
              </a:lnTo>
              <a:lnTo>
                <a:pt x="0" y="98745"/>
              </a:lnTo>
              <a:lnTo>
                <a:pt x="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16020E-2F33-40BC-AF2C-94CA35B3DFB9}">
      <dsp:nvSpPr>
        <dsp:cNvPr id="0" name=""/>
        <dsp:cNvSpPr/>
      </dsp:nvSpPr>
      <dsp:spPr>
        <a:xfrm>
          <a:off x="3097794" y="1814533"/>
          <a:ext cx="91440" cy="197491"/>
        </a:xfrm>
        <a:custGeom>
          <a:avLst/>
          <a:gdLst/>
          <a:ahLst/>
          <a:cxnLst/>
          <a:rect l="0" t="0" r="0" b="0"/>
          <a:pathLst>
            <a:path>
              <a:moveTo>
                <a:pt x="45720" y="0"/>
              </a:moveTo>
              <a:lnTo>
                <a:pt x="4572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2ED3A7F-BDC9-45B4-A65C-98CDC7CC78D6}">
      <dsp:nvSpPr>
        <dsp:cNvPr id="0" name=""/>
        <dsp:cNvSpPr/>
      </dsp:nvSpPr>
      <dsp:spPr>
        <a:xfrm>
          <a:off x="3097794" y="1311649"/>
          <a:ext cx="91440" cy="197491"/>
        </a:xfrm>
        <a:custGeom>
          <a:avLst/>
          <a:gdLst/>
          <a:ahLst/>
          <a:cxnLst/>
          <a:rect l="0" t="0" r="0" b="0"/>
          <a:pathLst>
            <a:path>
              <a:moveTo>
                <a:pt x="45720" y="0"/>
              </a:moveTo>
              <a:lnTo>
                <a:pt x="4572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24A3399-72D2-4E53-A64F-DF3B1CF60596}">
      <dsp:nvSpPr>
        <dsp:cNvPr id="0" name=""/>
        <dsp:cNvSpPr/>
      </dsp:nvSpPr>
      <dsp:spPr>
        <a:xfrm>
          <a:off x="1952866" y="1311649"/>
          <a:ext cx="1190647" cy="197491"/>
        </a:xfrm>
        <a:custGeom>
          <a:avLst/>
          <a:gdLst/>
          <a:ahLst/>
          <a:cxnLst/>
          <a:rect l="0" t="0" r="0" b="0"/>
          <a:pathLst>
            <a:path>
              <a:moveTo>
                <a:pt x="1190647" y="0"/>
              </a:moveTo>
              <a:lnTo>
                <a:pt x="1190647" y="98745"/>
              </a:lnTo>
              <a:lnTo>
                <a:pt x="0" y="98745"/>
              </a:lnTo>
              <a:lnTo>
                <a:pt x="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2E5AA4A-3769-45F2-9FD6-F7E532242856}">
      <dsp:nvSpPr>
        <dsp:cNvPr id="0" name=""/>
        <dsp:cNvSpPr/>
      </dsp:nvSpPr>
      <dsp:spPr>
        <a:xfrm>
          <a:off x="3097794" y="808765"/>
          <a:ext cx="91440" cy="197491"/>
        </a:xfrm>
        <a:custGeom>
          <a:avLst/>
          <a:gdLst/>
          <a:ahLst/>
          <a:cxnLst/>
          <a:rect l="0" t="0" r="0" b="0"/>
          <a:pathLst>
            <a:path>
              <a:moveTo>
                <a:pt x="45720" y="0"/>
              </a:moveTo>
              <a:lnTo>
                <a:pt x="45720" y="197491"/>
              </a:lnTo>
            </a:path>
          </a:pathLst>
        </a:custGeom>
        <a:noFill/>
        <a:ln w="12700" cap="flat" cmpd="sng" algn="ctr">
          <a:solidFill>
            <a:schemeClr val="dk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4FDA189-1F55-4110-ADD4-B7880E65234B}">
      <dsp:nvSpPr>
        <dsp:cNvPr id="0" name=""/>
        <dsp:cNvSpPr/>
      </dsp:nvSpPr>
      <dsp:spPr>
        <a:xfrm>
          <a:off x="3097794" y="305392"/>
          <a:ext cx="91440" cy="197980"/>
        </a:xfrm>
        <a:custGeom>
          <a:avLst/>
          <a:gdLst/>
          <a:ahLst/>
          <a:cxnLst/>
          <a:rect l="0" t="0" r="0" b="0"/>
          <a:pathLst>
            <a:path>
              <a:moveTo>
                <a:pt x="54040" y="0"/>
              </a:moveTo>
              <a:lnTo>
                <a:pt x="54040" y="99235"/>
              </a:lnTo>
              <a:lnTo>
                <a:pt x="45720" y="99235"/>
              </a:lnTo>
              <a:lnTo>
                <a:pt x="45720" y="197980"/>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F050F701-4777-4426-A664-1067999680B8}">
      <dsp:nvSpPr>
        <dsp:cNvPr id="0" name=""/>
        <dsp:cNvSpPr/>
      </dsp:nvSpPr>
      <dsp:spPr>
        <a:xfrm>
          <a:off x="1952866" y="305392"/>
          <a:ext cx="1198968" cy="197980"/>
        </a:xfrm>
        <a:custGeom>
          <a:avLst/>
          <a:gdLst/>
          <a:ahLst/>
          <a:cxnLst/>
          <a:rect l="0" t="0" r="0" b="0"/>
          <a:pathLst>
            <a:path>
              <a:moveTo>
                <a:pt x="1198968" y="0"/>
              </a:moveTo>
              <a:lnTo>
                <a:pt x="1198968" y="99235"/>
              </a:lnTo>
              <a:lnTo>
                <a:pt x="0" y="99235"/>
              </a:lnTo>
              <a:lnTo>
                <a:pt x="0" y="197980"/>
              </a:lnTo>
            </a:path>
          </a:pathLst>
        </a:custGeom>
        <a:noFill/>
        <a:ln w="12700" cap="flat" cmpd="sng" algn="ctr">
          <a:solidFill>
            <a:schemeClr val="dk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F1B36B6-AE89-4854-AB4F-5607D63391AA}">
      <dsp:nvSpPr>
        <dsp:cNvPr id="0" name=""/>
        <dsp:cNvSpPr/>
      </dsp:nvSpPr>
      <dsp:spPr>
        <a:xfrm>
          <a:off x="859008" y="305392"/>
          <a:ext cx="2292826" cy="197980"/>
        </a:xfrm>
        <a:custGeom>
          <a:avLst/>
          <a:gdLst/>
          <a:ahLst/>
          <a:cxnLst/>
          <a:rect l="0" t="0" r="0" b="0"/>
          <a:pathLst>
            <a:path>
              <a:moveTo>
                <a:pt x="2292826" y="0"/>
              </a:moveTo>
              <a:lnTo>
                <a:pt x="2292826" y="99235"/>
              </a:lnTo>
              <a:lnTo>
                <a:pt x="0" y="99235"/>
              </a:lnTo>
              <a:lnTo>
                <a:pt x="0" y="197980"/>
              </a:lnTo>
            </a:path>
          </a:pathLst>
        </a:custGeom>
        <a:noFill/>
        <a:ln w="25400" cap="flat" cmpd="sng" algn="ctr">
          <a:solidFill>
            <a:scrgbClr r="0" g="0" b="0"/>
          </a:solidFill>
          <a:prstDash val="solid"/>
        </a:ln>
        <a:effectLst/>
      </dsp:spPr>
      <dsp:style>
        <a:lnRef idx="2">
          <a:scrgbClr r="0" g="0" b="0"/>
        </a:lnRef>
        <a:fillRef idx="0">
          <a:scrgbClr r="0" g="0" b="0"/>
        </a:fillRef>
        <a:effectRef idx="0">
          <a:scrgbClr r="0" g="0" b="0"/>
        </a:effectRef>
        <a:fontRef idx="minor"/>
      </dsp:style>
    </dsp:sp>
    <dsp:sp modelId="{B2BE3EC8-3324-43EA-B8D7-796B52893122}">
      <dsp:nvSpPr>
        <dsp:cNvPr id="0" name=""/>
        <dsp:cNvSpPr/>
      </dsp:nvSpPr>
      <dsp:spPr>
        <a:xfrm>
          <a:off x="2606862" y="0"/>
          <a:ext cx="1089946" cy="305392"/>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Captain</a:t>
          </a:r>
          <a:endParaRPr lang="ru-RU" sz="1000" kern="1200"/>
        </a:p>
      </dsp:txBody>
      <dsp:txXfrm>
        <a:off x="2642854" y="35992"/>
        <a:ext cx="1017962" cy="233408"/>
      </dsp:txXfrm>
    </dsp:sp>
    <dsp:sp modelId="{CC5B446D-D37C-41EF-A493-05F0830EF276}">
      <dsp:nvSpPr>
        <dsp:cNvPr id="0" name=""/>
        <dsp:cNvSpPr/>
      </dsp:nvSpPr>
      <dsp:spPr>
        <a:xfrm>
          <a:off x="410825" y="503373"/>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Mage</a:t>
          </a:r>
          <a:endParaRPr lang="ru-RU" sz="1000" kern="1200"/>
        </a:p>
      </dsp:txBody>
      <dsp:txXfrm>
        <a:off x="410825" y="503373"/>
        <a:ext cx="896366" cy="286969"/>
      </dsp:txXfrm>
    </dsp:sp>
    <dsp:sp modelId="{C531E2A3-AE2F-4869-8A9B-1A809EE00684}">
      <dsp:nvSpPr>
        <dsp:cNvPr id="0" name=""/>
        <dsp:cNvSpPr/>
      </dsp:nvSpPr>
      <dsp:spPr>
        <a:xfrm>
          <a:off x="1504683" y="503373"/>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Healer</a:t>
          </a:r>
          <a:endParaRPr lang="ru-RU" sz="1000" kern="1200"/>
        </a:p>
      </dsp:txBody>
      <dsp:txXfrm>
        <a:off x="1504683" y="503373"/>
        <a:ext cx="896366" cy="286969"/>
      </dsp:txXfrm>
    </dsp:sp>
    <dsp:sp modelId="{BD2936FF-4B28-4A5F-84AD-E3386BDC1DEA}">
      <dsp:nvSpPr>
        <dsp:cNvPr id="0" name=""/>
        <dsp:cNvSpPr/>
      </dsp:nvSpPr>
      <dsp:spPr>
        <a:xfrm>
          <a:off x="2598541" y="503373"/>
          <a:ext cx="1089946" cy="305392"/>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1st mate</a:t>
          </a:r>
          <a:endParaRPr lang="ru-RU" sz="1000" kern="1200"/>
        </a:p>
      </dsp:txBody>
      <dsp:txXfrm>
        <a:off x="2634533" y="539365"/>
        <a:ext cx="1017962" cy="233408"/>
      </dsp:txXfrm>
    </dsp:sp>
    <dsp:sp modelId="{767D7A86-D95E-4AB6-A812-664A037043B6}">
      <dsp:nvSpPr>
        <dsp:cNvPr id="0" name=""/>
        <dsp:cNvSpPr/>
      </dsp:nvSpPr>
      <dsp:spPr>
        <a:xfrm>
          <a:off x="2598541" y="1006257"/>
          <a:ext cx="1089946" cy="305392"/>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2nd mate</a:t>
          </a:r>
          <a:endParaRPr lang="ru-RU" sz="1000" kern="1200"/>
        </a:p>
      </dsp:txBody>
      <dsp:txXfrm>
        <a:off x="2634533" y="1042249"/>
        <a:ext cx="1017962" cy="233408"/>
      </dsp:txXfrm>
    </dsp:sp>
    <dsp:sp modelId="{761A973D-08A0-4FCB-BA64-8FAD94B60C95}">
      <dsp:nvSpPr>
        <dsp:cNvPr id="0" name=""/>
        <dsp:cNvSpPr/>
      </dsp:nvSpPr>
      <dsp:spPr>
        <a:xfrm>
          <a:off x="1504683" y="1509140"/>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Helmsman</a:t>
          </a:r>
          <a:endParaRPr lang="ru-RU" sz="1000" kern="1200"/>
        </a:p>
      </dsp:txBody>
      <dsp:txXfrm>
        <a:off x="1504683" y="1509140"/>
        <a:ext cx="896366" cy="286969"/>
      </dsp:txXfrm>
    </dsp:sp>
    <dsp:sp modelId="{39EE4533-8C71-40BE-9A02-51685BCEB75F}">
      <dsp:nvSpPr>
        <dsp:cNvPr id="0" name=""/>
        <dsp:cNvSpPr/>
      </dsp:nvSpPr>
      <dsp:spPr>
        <a:xfrm>
          <a:off x="2598541" y="1509140"/>
          <a:ext cx="1089946" cy="305392"/>
        </a:xfrm>
        <a:prstGeom prst="plaque">
          <a:avLst/>
        </a:prstGeom>
        <a:solidFill>
          <a:schemeClr val="lt1">
            <a:hueOff val="0"/>
            <a:satOff val="0"/>
            <a:lumOff val="0"/>
            <a:alphaOff val="0"/>
          </a:schemeClr>
        </a:solidFill>
        <a:ln w="25400" cap="flat" cmpd="dbl" algn="ctr">
          <a:solidFill>
            <a:scrgbClr r="0" g="0" b="0"/>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3rd mate</a:t>
          </a:r>
          <a:endParaRPr lang="ru-RU" sz="1000" kern="1200"/>
        </a:p>
      </dsp:txBody>
      <dsp:txXfrm>
        <a:off x="2634533" y="1545132"/>
        <a:ext cx="1017962" cy="233408"/>
      </dsp:txXfrm>
    </dsp:sp>
    <dsp:sp modelId="{90119492-4379-4B9E-A340-7AF13DBEC56B}">
      <dsp:nvSpPr>
        <dsp:cNvPr id="0" name=""/>
        <dsp:cNvSpPr/>
      </dsp:nvSpPr>
      <dsp:spPr>
        <a:xfrm>
          <a:off x="2695331" y="2012024"/>
          <a:ext cx="896366" cy="286969"/>
        </a:xfrm>
        <a:prstGeom prst="rect">
          <a:avLst/>
        </a:prstGeom>
        <a:solidFill>
          <a:schemeClr val="lt1">
            <a:hueOff val="0"/>
            <a:satOff val="0"/>
            <a:lumOff val="0"/>
            <a:alphaOff val="0"/>
          </a:schemeClr>
        </a:solidFill>
        <a:ln w="12700" cap="flat" cmpd="sng" algn="ctr">
          <a:solidFill>
            <a:scrgbClr r="0" g="0" b="0"/>
          </a:solidFill>
          <a:prstDash val="sysDot"/>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Crew</a:t>
          </a:r>
          <a:endParaRPr lang="ru-RU" sz="1000" kern="1200"/>
        </a:p>
      </dsp:txBody>
      <dsp:txXfrm>
        <a:off x="2695331" y="2012024"/>
        <a:ext cx="896366" cy="286969"/>
      </dsp:txXfrm>
    </dsp:sp>
    <dsp:sp modelId="{7B7C5741-8E94-4CD6-A0C5-A8F58DC2E22C}">
      <dsp:nvSpPr>
        <dsp:cNvPr id="0" name=""/>
        <dsp:cNvSpPr/>
      </dsp:nvSpPr>
      <dsp:spPr>
        <a:xfrm>
          <a:off x="1601473" y="2496485"/>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1st watch</a:t>
          </a:r>
          <a:endParaRPr lang="ru-RU" sz="1000" kern="1200"/>
        </a:p>
      </dsp:txBody>
      <dsp:txXfrm>
        <a:off x="1601473" y="2496485"/>
        <a:ext cx="896366" cy="286969"/>
      </dsp:txXfrm>
    </dsp:sp>
    <dsp:sp modelId="{DC2A1F2E-C2D2-4F6D-B3FC-2828391A0D5F}">
      <dsp:nvSpPr>
        <dsp:cNvPr id="0" name=""/>
        <dsp:cNvSpPr/>
      </dsp:nvSpPr>
      <dsp:spPr>
        <a:xfrm>
          <a:off x="2695331" y="2496485"/>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2nd watch</a:t>
          </a:r>
          <a:endParaRPr lang="ru-RU" sz="1000" kern="1200"/>
        </a:p>
      </dsp:txBody>
      <dsp:txXfrm>
        <a:off x="2695331" y="2496485"/>
        <a:ext cx="896366" cy="286969"/>
      </dsp:txXfrm>
    </dsp:sp>
    <dsp:sp modelId="{C035BC5F-DE07-498D-A2FB-0B2C6CB53B5C}">
      <dsp:nvSpPr>
        <dsp:cNvPr id="0" name=""/>
        <dsp:cNvSpPr/>
      </dsp:nvSpPr>
      <dsp:spPr>
        <a:xfrm>
          <a:off x="3789189" y="2496485"/>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3rd watch</a:t>
          </a:r>
          <a:endParaRPr lang="ru-RU" sz="1000" kern="1200"/>
        </a:p>
      </dsp:txBody>
      <dsp:txXfrm>
        <a:off x="3789189" y="2496485"/>
        <a:ext cx="896366" cy="286969"/>
      </dsp:txXfrm>
    </dsp:sp>
    <dsp:sp modelId="{780C14CC-E439-4642-A7A5-8069517B9E2A}">
      <dsp:nvSpPr>
        <dsp:cNvPr id="0" name=""/>
        <dsp:cNvSpPr/>
      </dsp:nvSpPr>
      <dsp:spPr>
        <a:xfrm>
          <a:off x="3885979" y="1509140"/>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Boatswain</a:t>
          </a:r>
          <a:endParaRPr lang="uk-UA" sz="1000" kern="1200"/>
        </a:p>
      </dsp:txBody>
      <dsp:txXfrm>
        <a:off x="3885979" y="1509140"/>
        <a:ext cx="896366" cy="286969"/>
      </dsp:txXfrm>
    </dsp:sp>
    <dsp:sp modelId="{1DF16E22-F90D-480A-9692-3AA53EAEC143}">
      <dsp:nvSpPr>
        <dsp:cNvPr id="0" name=""/>
        <dsp:cNvSpPr/>
      </dsp:nvSpPr>
      <dsp:spPr>
        <a:xfrm>
          <a:off x="5829507" y="513421"/>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Quartermaster</a:t>
          </a:r>
          <a:endParaRPr lang="ru-RU" sz="1000" kern="1200"/>
        </a:p>
      </dsp:txBody>
      <dsp:txXfrm>
        <a:off x="5829507" y="513421"/>
        <a:ext cx="896366" cy="286969"/>
      </dsp:txXfrm>
    </dsp:sp>
    <dsp:sp modelId="{2477C34C-0E3C-4424-B70A-3AF357CD7EB9}">
      <dsp:nvSpPr>
        <dsp:cNvPr id="0" name=""/>
        <dsp:cNvSpPr/>
      </dsp:nvSpPr>
      <dsp:spPr>
        <a:xfrm>
          <a:off x="4755746" y="987833"/>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Cook</a:t>
          </a:r>
          <a:endParaRPr lang="ru-RU" sz="1000" kern="1200"/>
        </a:p>
      </dsp:txBody>
      <dsp:txXfrm>
        <a:off x="4755746" y="987833"/>
        <a:ext cx="896366" cy="286969"/>
      </dsp:txXfrm>
    </dsp:sp>
    <dsp:sp modelId="{7A916860-8EFB-4112-8F9C-A5A7DDD980FC}">
      <dsp:nvSpPr>
        <dsp:cNvPr id="0" name=""/>
        <dsp:cNvSpPr/>
      </dsp:nvSpPr>
      <dsp:spPr>
        <a:xfrm>
          <a:off x="4979837" y="1472294"/>
          <a:ext cx="940435" cy="328315"/>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Cabnin boys</a:t>
          </a:r>
          <a:endParaRPr lang="ru-RU" sz="1000" kern="1200"/>
        </a:p>
      </dsp:txBody>
      <dsp:txXfrm>
        <a:off x="4979837" y="1472294"/>
        <a:ext cx="940435" cy="328315"/>
      </dsp:txXfrm>
    </dsp:sp>
    <dsp:sp modelId="{F4890984-593B-41C2-9D0E-F1BE86A2E3FD}">
      <dsp:nvSpPr>
        <dsp:cNvPr id="0" name=""/>
        <dsp:cNvSpPr/>
      </dsp:nvSpPr>
      <dsp:spPr>
        <a:xfrm>
          <a:off x="5849604" y="987833"/>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Sailmaster</a:t>
          </a:r>
          <a:endParaRPr lang="ru-RU" sz="1000" kern="1200"/>
        </a:p>
      </dsp:txBody>
      <dsp:txXfrm>
        <a:off x="5849604" y="987833"/>
        <a:ext cx="896366" cy="286969"/>
      </dsp:txXfrm>
    </dsp:sp>
    <dsp:sp modelId="{8ACD67BC-E0E4-4A7F-A290-B158365CC801}">
      <dsp:nvSpPr>
        <dsp:cNvPr id="0" name=""/>
        <dsp:cNvSpPr/>
      </dsp:nvSpPr>
      <dsp:spPr>
        <a:xfrm>
          <a:off x="6943462" y="987833"/>
          <a:ext cx="896366" cy="286969"/>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6350" numCol="1" spcCol="1270" anchor="ctr" anchorCtr="0">
          <a:noAutofit/>
        </a:bodyPr>
        <a:lstStyle/>
        <a:p>
          <a:pPr marL="0" lvl="0" indent="0" algn="ctr" defTabSz="444500">
            <a:lnSpc>
              <a:spcPct val="90000"/>
            </a:lnSpc>
            <a:spcBef>
              <a:spcPct val="0"/>
            </a:spcBef>
            <a:spcAft>
              <a:spcPct val="35000"/>
            </a:spcAft>
            <a:buNone/>
          </a:pPr>
          <a:r>
            <a:rPr lang="en-US" sz="1000" kern="1200"/>
            <a:t>Carpenter</a:t>
          </a:r>
          <a:endParaRPr lang="ru-RU" sz="1000" kern="1200"/>
        </a:p>
      </dsp:txBody>
      <dsp:txXfrm>
        <a:off x="6943462" y="987833"/>
        <a:ext cx="896366" cy="286969"/>
      </dsp:txXfrm>
    </dsp:sp>
  </dsp:spTree>
</dsp:drawing>
</file>

<file path=xl/diagrams/layout1.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g"/><Relationship Id="rId5" Type="http://schemas.openxmlformats.org/officeDocument/2006/relationships/image" Target="../media/image12.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6" Type="http://schemas.openxmlformats.org/officeDocument/2006/relationships/image" Target="../media/image38.png"/><Relationship Id="rId117" Type="http://schemas.openxmlformats.org/officeDocument/2006/relationships/image" Target="../media/image129.png"/><Relationship Id="rId21" Type="http://schemas.openxmlformats.org/officeDocument/2006/relationships/image" Target="../media/image33.png"/><Relationship Id="rId42" Type="http://schemas.openxmlformats.org/officeDocument/2006/relationships/image" Target="../media/image54.png"/><Relationship Id="rId47" Type="http://schemas.openxmlformats.org/officeDocument/2006/relationships/image" Target="../media/image59.png"/><Relationship Id="rId63" Type="http://schemas.openxmlformats.org/officeDocument/2006/relationships/image" Target="../media/image75.png"/><Relationship Id="rId68" Type="http://schemas.openxmlformats.org/officeDocument/2006/relationships/image" Target="../media/image80.png"/><Relationship Id="rId84" Type="http://schemas.openxmlformats.org/officeDocument/2006/relationships/image" Target="../media/image96.png"/><Relationship Id="rId89" Type="http://schemas.openxmlformats.org/officeDocument/2006/relationships/image" Target="../media/image101.png"/><Relationship Id="rId112" Type="http://schemas.openxmlformats.org/officeDocument/2006/relationships/image" Target="../media/image124.png"/><Relationship Id="rId133" Type="http://schemas.openxmlformats.org/officeDocument/2006/relationships/image" Target="../media/image145.png"/><Relationship Id="rId138" Type="http://schemas.openxmlformats.org/officeDocument/2006/relationships/image" Target="../media/image150.png"/><Relationship Id="rId16" Type="http://schemas.openxmlformats.org/officeDocument/2006/relationships/image" Target="../media/image28.png"/><Relationship Id="rId107" Type="http://schemas.openxmlformats.org/officeDocument/2006/relationships/image" Target="../media/image119.png"/><Relationship Id="rId11" Type="http://schemas.openxmlformats.org/officeDocument/2006/relationships/image" Target="../media/image23.png"/><Relationship Id="rId32" Type="http://schemas.openxmlformats.org/officeDocument/2006/relationships/image" Target="../media/image44.png"/><Relationship Id="rId37" Type="http://schemas.openxmlformats.org/officeDocument/2006/relationships/image" Target="../media/image49.png"/><Relationship Id="rId53" Type="http://schemas.openxmlformats.org/officeDocument/2006/relationships/image" Target="../media/image65.png"/><Relationship Id="rId58" Type="http://schemas.openxmlformats.org/officeDocument/2006/relationships/image" Target="../media/image70.png"/><Relationship Id="rId74" Type="http://schemas.openxmlformats.org/officeDocument/2006/relationships/image" Target="../media/image86.png"/><Relationship Id="rId79" Type="http://schemas.openxmlformats.org/officeDocument/2006/relationships/image" Target="../media/image91.png"/><Relationship Id="rId102" Type="http://schemas.openxmlformats.org/officeDocument/2006/relationships/image" Target="../media/image114.png"/><Relationship Id="rId123" Type="http://schemas.openxmlformats.org/officeDocument/2006/relationships/image" Target="../media/image135.png"/><Relationship Id="rId128" Type="http://schemas.openxmlformats.org/officeDocument/2006/relationships/image" Target="../media/image140.png"/><Relationship Id="rId144" Type="http://schemas.openxmlformats.org/officeDocument/2006/relationships/image" Target="../media/image156.png"/><Relationship Id="rId5" Type="http://schemas.openxmlformats.org/officeDocument/2006/relationships/image" Target="../media/image17.png"/><Relationship Id="rId90" Type="http://schemas.openxmlformats.org/officeDocument/2006/relationships/image" Target="../media/image102.png"/><Relationship Id="rId95" Type="http://schemas.openxmlformats.org/officeDocument/2006/relationships/image" Target="../media/image107.png"/><Relationship Id="rId22" Type="http://schemas.openxmlformats.org/officeDocument/2006/relationships/image" Target="../media/image34.png"/><Relationship Id="rId27" Type="http://schemas.openxmlformats.org/officeDocument/2006/relationships/image" Target="../media/image39.png"/><Relationship Id="rId43" Type="http://schemas.openxmlformats.org/officeDocument/2006/relationships/image" Target="../media/image55.png"/><Relationship Id="rId48" Type="http://schemas.openxmlformats.org/officeDocument/2006/relationships/image" Target="../media/image60.png"/><Relationship Id="rId64" Type="http://schemas.openxmlformats.org/officeDocument/2006/relationships/image" Target="../media/image76.png"/><Relationship Id="rId69" Type="http://schemas.openxmlformats.org/officeDocument/2006/relationships/image" Target="../media/image81.png"/><Relationship Id="rId113" Type="http://schemas.openxmlformats.org/officeDocument/2006/relationships/image" Target="../media/image125.png"/><Relationship Id="rId118" Type="http://schemas.openxmlformats.org/officeDocument/2006/relationships/image" Target="../media/image130.png"/><Relationship Id="rId134" Type="http://schemas.openxmlformats.org/officeDocument/2006/relationships/image" Target="../media/image146.png"/><Relationship Id="rId139" Type="http://schemas.openxmlformats.org/officeDocument/2006/relationships/image" Target="../media/image151.png"/><Relationship Id="rId80" Type="http://schemas.openxmlformats.org/officeDocument/2006/relationships/image" Target="../media/image92.png"/><Relationship Id="rId85" Type="http://schemas.openxmlformats.org/officeDocument/2006/relationships/image" Target="../media/image97.png"/><Relationship Id="rId3" Type="http://schemas.openxmlformats.org/officeDocument/2006/relationships/image" Target="../media/image15.png"/><Relationship Id="rId12" Type="http://schemas.openxmlformats.org/officeDocument/2006/relationships/image" Target="../media/image24.png"/><Relationship Id="rId17" Type="http://schemas.openxmlformats.org/officeDocument/2006/relationships/image" Target="../media/image29.png"/><Relationship Id="rId25" Type="http://schemas.openxmlformats.org/officeDocument/2006/relationships/image" Target="../media/image37.png"/><Relationship Id="rId33" Type="http://schemas.openxmlformats.org/officeDocument/2006/relationships/image" Target="../media/image45.png"/><Relationship Id="rId38" Type="http://schemas.openxmlformats.org/officeDocument/2006/relationships/image" Target="../media/image50.png"/><Relationship Id="rId46" Type="http://schemas.openxmlformats.org/officeDocument/2006/relationships/image" Target="../media/image58.png"/><Relationship Id="rId59" Type="http://schemas.openxmlformats.org/officeDocument/2006/relationships/image" Target="../media/image71.png"/><Relationship Id="rId67" Type="http://schemas.openxmlformats.org/officeDocument/2006/relationships/image" Target="../media/image79.png"/><Relationship Id="rId103" Type="http://schemas.openxmlformats.org/officeDocument/2006/relationships/image" Target="../media/image115.png"/><Relationship Id="rId108" Type="http://schemas.openxmlformats.org/officeDocument/2006/relationships/image" Target="../media/image120.png"/><Relationship Id="rId116" Type="http://schemas.openxmlformats.org/officeDocument/2006/relationships/image" Target="../media/image128.png"/><Relationship Id="rId124" Type="http://schemas.openxmlformats.org/officeDocument/2006/relationships/image" Target="../media/image136.png"/><Relationship Id="rId129" Type="http://schemas.openxmlformats.org/officeDocument/2006/relationships/image" Target="../media/image141.png"/><Relationship Id="rId137" Type="http://schemas.openxmlformats.org/officeDocument/2006/relationships/image" Target="../media/image149.png"/><Relationship Id="rId20" Type="http://schemas.openxmlformats.org/officeDocument/2006/relationships/image" Target="../media/image32.png"/><Relationship Id="rId41" Type="http://schemas.openxmlformats.org/officeDocument/2006/relationships/image" Target="../media/image53.png"/><Relationship Id="rId54" Type="http://schemas.openxmlformats.org/officeDocument/2006/relationships/image" Target="../media/image66.png"/><Relationship Id="rId62" Type="http://schemas.openxmlformats.org/officeDocument/2006/relationships/image" Target="../media/image74.png"/><Relationship Id="rId70" Type="http://schemas.openxmlformats.org/officeDocument/2006/relationships/image" Target="../media/image82.png"/><Relationship Id="rId75" Type="http://schemas.openxmlformats.org/officeDocument/2006/relationships/image" Target="../media/image87.png"/><Relationship Id="rId83" Type="http://schemas.openxmlformats.org/officeDocument/2006/relationships/image" Target="../media/image95.png"/><Relationship Id="rId88" Type="http://schemas.openxmlformats.org/officeDocument/2006/relationships/image" Target="../media/image100.png"/><Relationship Id="rId91" Type="http://schemas.openxmlformats.org/officeDocument/2006/relationships/image" Target="../media/image103.png"/><Relationship Id="rId96" Type="http://schemas.openxmlformats.org/officeDocument/2006/relationships/image" Target="../media/image108.png"/><Relationship Id="rId111" Type="http://schemas.openxmlformats.org/officeDocument/2006/relationships/image" Target="../media/image123.png"/><Relationship Id="rId132" Type="http://schemas.openxmlformats.org/officeDocument/2006/relationships/image" Target="../media/image144.png"/><Relationship Id="rId140" Type="http://schemas.openxmlformats.org/officeDocument/2006/relationships/image" Target="../media/image152.png"/><Relationship Id="rId145" Type="http://schemas.openxmlformats.org/officeDocument/2006/relationships/image" Target="../media/image157.png"/><Relationship Id="rId1" Type="http://schemas.openxmlformats.org/officeDocument/2006/relationships/image" Target="../media/image13.png"/><Relationship Id="rId6" Type="http://schemas.openxmlformats.org/officeDocument/2006/relationships/image" Target="../media/image18.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40.png"/><Relationship Id="rId36" Type="http://schemas.openxmlformats.org/officeDocument/2006/relationships/image" Target="../media/image48.png"/><Relationship Id="rId49" Type="http://schemas.openxmlformats.org/officeDocument/2006/relationships/image" Target="../media/image61.png"/><Relationship Id="rId57" Type="http://schemas.openxmlformats.org/officeDocument/2006/relationships/image" Target="../media/image69.png"/><Relationship Id="rId106" Type="http://schemas.openxmlformats.org/officeDocument/2006/relationships/image" Target="../media/image118.png"/><Relationship Id="rId114" Type="http://schemas.openxmlformats.org/officeDocument/2006/relationships/image" Target="../media/image126.png"/><Relationship Id="rId119" Type="http://schemas.openxmlformats.org/officeDocument/2006/relationships/image" Target="../media/image131.png"/><Relationship Id="rId127" Type="http://schemas.openxmlformats.org/officeDocument/2006/relationships/image" Target="../media/image139.png"/><Relationship Id="rId10" Type="http://schemas.openxmlformats.org/officeDocument/2006/relationships/image" Target="../media/image22.png"/><Relationship Id="rId31" Type="http://schemas.openxmlformats.org/officeDocument/2006/relationships/image" Target="../media/image43.png"/><Relationship Id="rId44" Type="http://schemas.openxmlformats.org/officeDocument/2006/relationships/image" Target="../media/image56.png"/><Relationship Id="rId52" Type="http://schemas.openxmlformats.org/officeDocument/2006/relationships/image" Target="../media/image64.png"/><Relationship Id="rId60" Type="http://schemas.openxmlformats.org/officeDocument/2006/relationships/image" Target="../media/image72.png"/><Relationship Id="rId65" Type="http://schemas.openxmlformats.org/officeDocument/2006/relationships/image" Target="../media/image77.png"/><Relationship Id="rId73" Type="http://schemas.openxmlformats.org/officeDocument/2006/relationships/image" Target="../media/image85.png"/><Relationship Id="rId78" Type="http://schemas.openxmlformats.org/officeDocument/2006/relationships/image" Target="../media/image90.png"/><Relationship Id="rId81" Type="http://schemas.openxmlformats.org/officeDocument/2006/relationships/image" Target="../media/image93.png"/><Relationship Id="rId86" Type="http://schemas.openxmlformats.org/officeDocument/2006/relationships/image" Target="../media/image98.png"/><Relationship Id="rId94" Type="http://schemas.openxmlformats.org/officeDocument/2006/relationships/image" Target="../media/image106.png"/><Relationship Id="rId99" Type="http://schemas.openxmlformats.org/officeDocument/2006/relationships/image" Target="../media/image111.png"/><Relationship Id="rId101" Type="http://schemas.openxmlformats.org/officeDocument/2006/relationships/image" Target="../media/image113.png"/><Relationship Id="rId122" Type="http://schemas.openxmlformats.org/officeDocument/2006/relationships/image" Target="../media/image134.png"/><Relationship Id="rId130" Type="http://schemas.openxmlformats.org/officeDocument/2006/relationships/image" Target="../media/image142.png"/><Relationship Id="rId135" Type="http://schemas.openxmlformats.org/officeDocument/2006/relationships/image" Target="../media/image147.png"/><Relationship Id="rId143" Type="http://schemas.openxmlformats.org/officeDocument/2006/relationships/image" Target="../media/image155.png"/><Relationship Id="rId4" Type="http://schemas.openxmlformats.org/officeDocument/2006/relationships/image" Target="../media/image16.png"/><Relationship Id="rId9" Type="http://schemas.openxmlformats.org/officeDocument/2006/relationships/image" Target="../media/image21.png"/><Relationship Id="rId13" Type="http://schemas.openxmlformats.org/officeDocument/2006/relationships/image" Target="../media/image25.png"/><Relationship Id="rId18" Type="http://schemas.openxmlformats.org/officeDocument/2006/relationships/image" Target="../media/image30.png"/><Relationship Id="rId39" Type="http://schemas.openxmlformats.org/officeDocument/2006/relationships/image" Target="../media/image51.png"/><Relationship Id="rId109" Type="http://schemas.openxmlformats.org/officeDocument/2006/relationships/image" Target="../media/image121.png"/><Relationship Id="rId34" Type="http://schemas.openxmlformats.org/officeDocument/2006/relationships/image" Target="../media/image46.png"/><Relationship Id="rId50" Type="http://schemas.openxmlformats.org/officeDocument/2006/relationships/image" Target="../media/image62.png"/><Relationship Id="rId55" Type="http://schemas.openxmlformats.org/officeDocument/2006/relationships/image" Target="../media/image67.png"/><Relationship Id="rId76" Type="http://schemas.openxmlformats.org/officeDocument/2006/relationships/image" Target="../media/image88.png"/><Relationship Id="rId97" Type="http://schemas.openxmlformats.org/officeDocument/2006/relationships/image" Target="../media/image109.png"/><Relationship Id="rId104" Type="http://schemas.openxmlformats.org/officeDocument/2006/relationships/image" Target="../media/image116.png"/><Relationship Id="rId120" Type="http://schemas.openxmlformats.org/officeDocument/2006/relationships/image" Target="../media/image132.png"/><Relationship Id="rId125" Type="http://schemas.openxmlformats.org/officeDocument/2006/relationships/image" Target="../media/image137.png"/><Relationship Id="rId141" Type="http://schemas.openxmlformats.org/officeDocument/2006/relationships/image" Target="../media/image153.png"/><Relationship Id="rId146" Type="http://schemas.openxmlformats.org/officeDocument/2006/relationships/image" Target="../media/image158.png"/><Relationship Id="rId7" Type="http://schemas.openxmlformats.org/officeDocument/2006/relationships/image" Target="../media/image19.png"/><Relationship Id="rId71" Type="http://schemas.openxmlformats.org/officeDocument/2006/relationships/image" Target="../media/image83.png"/><Relationship Id="rId92" Type="http://schemas.openxmlformats.org/officeDocument/2006/relationships/image" Target="../media/image104.png"/><Relationship Id="rId2" Type="http://schemas.openxmlformats.org/officeDocument/2006/relationships/image" Target="../media/image14.png"/><Relationship Id="rId29" Type="http://schemas.openxmlformats.org/officeDocument/2006/relationships/image" Target="../media/image41.png"/><Relationship Id="rId24" Type="http://schemas.openxmlformats.org/officeDocument/2006/relationships/image" Target="../media/image36.png"/><Relationship Id="rId40" Type="http://schemas.openxmlformats.org/officeDocument/2006/relationships/image" Target="../media/image52.png"/><Relationship Id="rId45" Type="http://schemas.openxmlformats.org/officeDocument/2006/relationships/image" Target="../media/image57.png"/><Relationship Id="rId66" Type="http://schemas.openxmlformats.org/officeDocument/2006/relationships/image" Target="../media/image78.png"/><Relationship Id="rId87" Type="http://schemas.openxmlformats.org/officeDocument/2006/relationships/image" Target="../media/image99.png"/><Relationship Id="rId110" Type="http://schemas.openxmlformats.org/officeDocument/2006/relationships/image" Target="../media/image122.png"/><Relationship Id="rId115" Type="http://schemas.openxmlformats.org/officeDocument/2006/relationships/image" Target="../media/image127.png"/><Relationship Id="rId131" Type="http://schemas.openxmlformats.org/officeDocument/2006/relationships/image" Target="../media/image143.png"/><Relationship Id="rId136" Type="http://schemas.openxmlformats.org/officeDocument/2006/relationships/image" Target="../media/image148.png"/><Relationship Id="rId61" Type="http://schemas.openxmlformats.org/officeDocument/2006/relationships/image" Target="../media/image73.png"/><Relationship Id="rId82" Type="http://schemas.openxmlformats.org/officeDocument/2006/relationships/image" Target="../media/image94.png"/><Relationship Id="rId19" Type="http://schemas.openxmlformats.org/officeDocument/2006/relationships/image" Target="../media/image31.png"/><Relationship Id="rId14" Type="http://schemas.openxmlformats.org/officeDocument/2006/relationships/image" Target="../media/image26.png"/><Relationship Id="rId30" Type="http://schemas.openxmlformats.org/officeDocument/2006/relationships/image" Target="../media/image42.png"/><Relationship Id="rId35" Type="http://schemas.openxmlformats.org/officeDocument/2006/relationships/image" Target="../media/image47.png"/><Relationship Id="rId56" Type="http://schemas.openxmlformats.org/officeDocument/2006/relationships/image" Target="../media/image68.png"/><Relationship Id="rId77" Type="http://schemas.openxmlformats.org/officeDocument/2006/relationships/image" Target="../media/image89.png"/><Relationship Id="rId100" Type="http://schemas.openxmlformats.org/officeDocument/2006/relationships/image" Target="../media/image112.png"/><Relationship Id="rId105" Type="http://schemas.openxmlformats.org/officeDocument/2006/relationships/image" Target="../media/image117.png"/><Relationship Id="rId126" Type="http://schemas.openxmlformats.org/officeDocument/2006/relationships/image" Target="../media/image138.png"/><Relationship Id="rId8" Type="http://schemas.openxmlformats.org/officeDocument/2006/relationships/image" Target="../media/image20.png"/><Relationship Id="rId51" Type="http://schemas.openxmlformats.org/officeDocument/2006/relationships/image" Target="../media/image63.png"/><Relationship Id="rId72" Type="http://schemas.openxmlformats.org/officeDocument/2006/relationships/image" Target="../media/image84.png"/><Relationship Id="rId93" Type="http://schemas.openxmlformats.org/officeDocument/2006/relationships/image" Target="../media/image105.png"/><Relationship Id="rId98" Type="http://schemas.openxmlformats.org/officeDocument/2006/relationships/image" Target="../media/image110.png"/><Relationship Id="rId121" Type="http://schemas.openxmlformats.org/officeDocument/2006/relationships/image" Target="../media/image133.png"/><Relationship Id="rId142" Type="http://schemas.openxmlformats.org/officeDocument/2006/relationships/image" Target="../media/image15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65.jpeg"/><Relationship Id="rId2" Type="http://schemas.openxmlformats.org/officeDocument/2006/relationships/image" Target="../media/image164.jpeg"/><Relationship Id="rId1" Type="http://schemas.openxmlformats.org/officeDocument/2006/relationships/image" Target="../media/image163.jpeg"/><Relationship Id="rId4" Type="http://schemas.openxmlformats.org/officeDocument/2006/relationships/image" Target="../media/image166.jpeg"/></Relationships>
</file>

<file path=xl/drawings/_rels/drawing16.xml.rels><?xml version="1.0" encoding="UTF-8" standalone="yes"?>
<Relationships xmlns="http://schemas.openxmlformats.org/package/2006/relationships"><Relationship Id="rId8" Type="http://schemas.openxmlformats.org/officeDocument/2006/relationships/diagramLayout" Target="../diagrams/layout2.xml"/><Relationship Id="rId3" Type="http://schemas.openxmlformats.org/officeDocument/2006/relationships/diagramQuickStyle" Target="../diagrams/quickStyle1.xml"/><Relationship Id="rId7" Type="http://schemas.openxmlformats.org/officeDocument/2006/relationships/diagramData" Target="../diagrams/data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67.jpeg"/><Relationship Id="rId11" Type="http://schemas.microsoft.com/office/2007/relationships/diagramDrawing" Target="../diagrams/drawing2.xml"/><Relationship Id="rId5" Type="http://schemas.microsoft.com/office/2007/relationships/diagramDrawing" Target="../diagrams/drawing1.xml"/><Relationship Id="rId10" Type="http://schemas.openxmlformats.org/officeDocument/2006/relationships/diagramColors" Target="../diagrams/colors2.xml"/><Relationship Id="rId4" Type="http://schemas.openxmlformats.org/officeDocument/2006/relationships/diagramColors" Target="../diagrams/colors1.xml"/><Relationship Id="rId9" Type="http://schemas.openxmlformats.org/officeDocument/2006/relationships/diagramQuickStyle" Target="../diagrams/quickStyle2.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69.jpeg"/><Relationship Id="rId1" Type="http://schemas.openxmlformats.org/officeDocument/2006/relationships/image" Target="../media/image168.jpeg"/></Relationships>
</file>

<file path=xl/drawings/_rels/drawing18.xml.rels><?xml version="1.0" encoding="UTF-8" standalone="yes"?>
<Relationships xmlns="http://schemas.openxmlformats.org/package/2006/relationships"><Relationship Id="rId8" Type="http://schemas.openxmlformats.org/officeDocument/2006/relationships/diagramQuickStyle" Target="../diagrams/quickStyle4.xml"/><Relationship Id="rId13" Type="http://schemas.openxmlformats.org/officeDocument/2006/relationships/diagramQuickStyle" Target="../diagrams/quickStyle5.xml"/><Relationship Id="rId3" Type="http://schemas.openxmlformats.org/officeDocument/2006/relationships/diagramQuickStyle" Target="../diagrams/quickStyle3.xml"/><Relationship Id="rId7" Type="http://schemas.openxmlformats.org/officeDocument/2006/relationships/diagramLayout" Target="../diagrams/layout4.xml"/><Relationship Id="rId12" Type="http://schemas.openxmlformats.org/officeDocument/2006/relationships/diagramLayout" Target="../diagrams/layout5.xml"/><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diagramData" Target="../diagrams/data4.xml"/><Relationship Id="rId11" Type="http://schemas.openxmlformats.org/officeDocument/2006/relationships/diagramData" Target="../diagrams/data5.xml"/><Relationship Id="rId5" Type="http://schemas.microsoft.com/office/2007/relationships/diagramDrawing" Target="../diagrams/drawing3.xml"/><Relationship Id="rId15" Type="http://schemas.microsoft.com/office/2007/relationships/diagramDrawing" Target="../diagrams/drawing5.xml"/><Relationship Id="rId10" Type="http://schemas.microsoft.com/office/2007/relationships/diagramDrawing" Target="../diagrams/drawing4.xml"/><Relationship Id="rId4" Type="http://schemas.openxmlformats.org/officeDocument/2006/relationships/diagramColors" Target="../diagrams/colors3.xml"/><Relationship Id="rId9" Type="http://schemas.openxmlformats.org/officeDocument/2006/relationships/diagramColors" Target="../diagrams/colors4.xml"/><Relationship Id="rId14" Type="http://schemas.openxmlformats.org/officeDocument/2006/relationships/diagramColors" Target="../diagrams/colors5.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72.png"/><Relationship Id="rId2" Type="http://schemas.openxmlformats.org/officeDocument/2006/relationships/image" Target="../media/image171.jpeg"/><Relationship Id="rId1" Type="http://schemas.openxmlformats.org/officeDocument/2006/relationships/image" Target="../media/image170.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73.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26</xdr:col>
      <xdr:colOff>130752</xdr:colOff>
      <xdr:row>39</xdr:row>
      <xdr:rowOff>58882</xdr:rowOff>
    </xdr:to>
    <xdr:pic>
      <xdr:nvPicPr>
        <xdr:cNvPr id="2" name="Рисунок 1" descr="Machine generated alternative text:&#10;THE &#10;HIGHHARVESTIDE &#10;AUTUMN EQUINOX &#10;Eleint 21 &#10;CALENDAR HARPTOS &#10;FEAST OF THE MOON &#10;WINTER SOLSTICE &#10;Nightal 20 &#10;MIDWINTER &#10;__,.C.YES &#10;GREENGRASS &#10;SUMMER SOLSTICE &#10;Kythorn 20 &#10;PRING EQUINOX &#10;Ches 19 &#10;.3 &#10;SHIELDMEET &#10;O nee every 4 _ &#10;MIDSUMMER ">
          <a:extLst>
            <a:ext uri="{FF2B5EF4-FFF2-40B4-BE49-F238E27FC236}">
              <a16:creationId xmlns:a16="http://schemas.microsoft.com/office/drawing/2014/main" id="{177A8265-CBC1-4663-8E5A-B72819230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26575" y="762000"/>
          <a:ext cx="8055552" cy="9012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9</xdr:col>
      <xdr:colOff>85725</xdr:colOff>
      <xdr:row>0</xdr:row>
      <xdr:rowOff>66675</xdr:rowOff>
    </xdr:from>
    <xdr:ext cx="1943100" cy="314325"/>
    <xdr:grpSp>
      <xdr:nvGrpSpPr>
        <xdr:cNvPr id="2" name="Shape 2" title="Drawing">
          <a:extLst>
            <a:ext uri="{FF2B5EF4-FFF2-40B4-BE49-F238E27FC236}">
              <a16:creationId xmlns:a16="http://schemas.microsoft.com/office/drawing/2014/main" id="{D3E33350-ABF5-4972-9BCE-3CCAE61FD77B}"/>
            </a:ext>
          </a:extLst>
        </xdr:cNvPr>
        <xdr:cNvGrpSpPr/>
      </xdr:nvGrpSpPr>
      <xdr:grpSpPr>
        <a:xfrm>
          <a:off x="5962650" y="66675"/>
          <a:ext cx="1943100" cy="314325"/>
          <a:chOff x="152400" y="1776350"/>
          <a:chExt cx="9144000" cy="1440650"/>
        </a:xfrm>
      </xdr:grpSpPr>
      <xdr:pic>
        <xdr:nvPicPr>
          <xdr:cNvPr id="3" name="Shape 13" descr="Orange Button - Free vector graphic on Pixabay">
            <a:extLst>
              <a:ext uri="{FF2B5EF4-FFF2-40B4-BE49-F238E27FC236}">
                <a16:creationId xmlns:a16="http://schemas.microsoft.com/office/drawing/2014/main" id="{30B7B1D6-7D49-474F-8473-7207A6FD4793}"/>
              </a:ext>
            </a:extLst>
          </xdr:cNvPr>
          <xdr:cNvPicPr preferRelativeResize="0"/>
        </xdr:nvPicPr>
        <xdr:blipFill rotWithShape="1">
          <a:blip xmlns:r="http://schemas.openxmlformats.org/officeDocument/2006/relationships" r:embed="rId1">
            <a:alphaModFix/>
          </a:blip>
          <a:srcRect t="23741" b="24240"/>
          <a:stretch/>
        </xdr:blipFill>
        <xdr:spPr>
          <a:xfrm>
            <a:off x="152400" y="1776350"/>
            <a:ext cx="9144000" cy="1440650"/>
          </a:xfrm>
          <a:prstGeom prst="rect">
            <a:avLst/>
          </a:prstGeom>
          <a:noFill/>
          <a:ln w="9525" cap="flat" cmpd="sng">
            <a:solidFill>
              <a:srgbClr val="000000"/>
            </a:solidFill>
            <a:prstDash val="solid"/>
            <a:round/>
            <a:headEnd type="none" w="sm" len="sm"/>
            <a:tailEnd type="none" w="sm" len="sm"/>
          </a:ln>
        </xdr:spPr>
      </xdr:pic>
      <xdr:sp macro="" textlink="">
        <xdr:nvSpPr>
          <xdr:cNvPr id="4" name="Shape 14">
            <a:extLst>
              <a:ext uri="{FF2B5EF4-FFF2-40B4-BE49-F238E27FC236}">
                <a16:creationId xmlns:a16="http://schemas.microsoft.com/office/drawing/2014/main" id="{08B7FD21-EF40-4471-AD83-D105AC55C53D}"/>
              </a:ext>
            </a:extLst>
          </xdr:cNvPr>
          <xdr:cNvSpPr txBox="1"/>
        </xdr:nvSpPr>
        <xdr:spPr>
          <a:xfrm>
            <a:off x="838200" y="1981200"/>
            <a:ext cx="7695000" cy="1052100"/>
          </a:xfrm>
          <a:prstGeom prst="rect">
            <a:avLst/>
          </a:prstGeom>
          <a:noFill/>
          <a:ln>
            <a:noFill/>
          </a:ln>
        </xdr:spPr>
        <xdr:txBody>
          <a:bodyPr spcFirstLastPara="1" wrap="square" lIns="91425" tIns="91425" rIns="91425" bIns="91425" anchor="t" anchorCtr="0">
            <a:noAutofit/>
          </a:bodyPr>
          <a:lstStyle/>
          <a:p>
            <a:pPr marL="0" lvl="0" indent="0" algn="ctr" rtl="0">
              <a:spcBef>
                <a:spcPts val="0"/>
              </a:spcBef>
              <a:spcAft>
                <a:spcPts val="0"/>
              </a:spcAft>
              <a:buNone/>
            </a:pPr>
            <a:r>
              <a:rPr lang="en-US" sz="6000" b="1" i="1"/>
              <a:t>Randomise Weather</a:t>
            </a:r>
            <a:endParaRPr sz="6000" b="1" i="1"/>
          </a:p>
        </xdr:txBody>
      </xdr:sp>
    </xdr:grp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5</xdr:col>
      <xdr:colOff>227453</xdr:colOff>
      <xdr:row>301</xdr:row>
      <xdr:rowOff>71356</xdr:rowOff>
    </xdr:from>
    <xdr:to>
      <xdr:col>11</xdr:col>
      <xdr:colOff>1116941</xdr:colOff>
      <xdr:row>308</xdr:row>
      <xdr:rowOff>147523</xdr:rowOff>
    </xdr:to>
    <xdr:pic>
      <xdr:nvPicPr>
        <xdr:cNvPr id="2" name="Рисунок 1">
          <a:extLst>
            <a:ext uri="{FF2B5EF4-FFF2-40B4-BE49-F238E27FC236}">
              <a16:creationId xmlns:a16="http://schemas.microsoft.com/office/drawing/2014/main" id="{442E3045-EA70-4D6F-8287-F11BD4009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14878" y="60488431"/>
          <a:ext cx="6404463" cy="149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707845</xdr:colOff>
      <xdr:row>288</xdr:row>
      <xdr:rowOff>216303</xdr:rowOff>
    </xdr:from>
    <xdr:to>
      <xdr:col>6</xdr:col>
      <xdr:colOff>875536</xdr:colOff>
      <xdr:row>296</xdr:row>
      <xdr:rowOff>72886</xdr:rowOff>
    </xdr:to>
    <xdr:pic>
      <xdr:nvPicPr>
        <xdr:cNvPr id="3" name="Рисунок 2">
          <a:extLst>
            <a:ext uri="{FF2B5EF4-FFF2-40B4-BE49-F238E27FC236}">
              <a16:creationId xmlns:a16="http://schemas.microsoft.com/office/drawing/2014/main" id="{A7391FBB-060B-4B62-AABE-F19515B9DE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78172" y="56428457"/>
          <a:ext cx="6666672" cy="163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481984</xdr:colOff>
      <xdr:row>3</xdr:row>
      <xdr:rowOff>95249</xdr:rowOff>
    </xdr:from>
    <xdr:to>
      <xdr:col>15</xdr:col>
      <xdr:colOff>154470</xdr:colOff>
      <xdr:row>25</xdr:row>
      <xdr:rowOff>109266</xdr:rowOff>
    </xdr:to>
    <xdr:pic>
      <xdr:nvPicPr>
        <xdr:cNvPr id="4" name="Рисунок 3">
          <a:extLst>
            <a:ext uri="{FF2B5EF4-FFF2-40B4-BE49-F238E27FC236}">
              <a16:creationId xmlns:a16="http://schemas.microsoft.com/office/drawing/2014/main" id="{99EFE0DD-28CD-47A4-BFF2-59E07381A3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161849" y="783980"/>
          <a:ext cx="5424121" cy="4043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43</xdr:col>
      <xdr:colOff>0</xdr:colOff>
      <xdr:row>18</xdr:row>
      <xdr:rowOff>0</xdr:rowOff>
    </xdr:from>
    <xdr:to>
      <xdr:col>43</xdr:col>
      <xdr:colOff>161925</xdr:colOff>
      <xdr:row>20</xdr:row>
      <xdr:rowOff>161925</xdr:rowOff>
    </xdr:to>
    <xdr:sp macro="" textlink="">
      <xdr:nvSpPr>
        <xdr:cNvPr id="3" name="Полілінія: фігура 2">
          <a:extLst>
            <a:ext uri="{FF2B5EF4-FFF2-40B4-BE49-F238E27FC236}">
              <a16:creationId xmlns:a16="http://schemas.microsoft.com/office/drawing/2014/main" id="{9280E49B-52EF-4F22-8995-F998C203BBB0}"/>
            </a:ext>
          </a:extLst>
        </xdr:cNvPr>
        <xdr:cNvSpPr/>
      </xdr:nvSpPr>
      <xdr:spPr>
        <a:xfrm>
          <a:off x="10648950" y="3771900"/>
          <a:ext cx="161925" cy="581025"/>
        </a:xfrm>
        <a:custGeom>
          <a:avLst/>
          <a:gdLst>
            <a:gd name="connsiteX0" fmla="*/ 85725 w 161925"/>
            <a:gd name="connsiteY0" fmla="*/ 0 h 581025"/>
            <a:gd name="connsiteX1" fmla="*/ 104775 w 161925"/>
            <a:gd name="connsiteY1" fmla="*/ 47625 h 581025"/>
            <a:gd name="connsiteX2" fmla="*/ 123825 w 161925"/>
            <a:gd name="connsiteY2" fmla="*/ 76200 h 581025"/>
            <a:gd name="connsiteX3" fmla="*/ 38100 w 161925"/>
            <a:gd name="connsiteY3" fmla="*/ 123825 h 581025"/>
            <a:gd name="connsiteX4" fmla="*/ 19050 w 161925"/>
            <a:gd name="connsiteY4" fmla="*/ 152400 h 581025"/>
            <a:gd name="connsiteX5" fmla="*/ 0 w 161925"/>
            <a:gd name="connsiteY5" fmla="*/ 209550 h 581025"/>
            <a:gd name="connsiteX6" fmla="*/ 9525 w 161925"/>
            <a:gd name="connsiteY6" fmla="*/ 238125 h 581025"/>
            <a:gd name="connsiteX7" fmla="*/ 38100 w 161925"/>
            <a:gd name="connsiteY7" fmla="*/ 257175 h 581025"/>
            <a:gd name="connsiteX8" fmla="*/ 57150 w 161925"/>
            <a:gd name="connsiteY8" fmla="*/ 285750 h 581025"/>
            <a:gd name="connsiteX9" fmla="*/ 66675 w 161925"/>
            <a:gd name="connsiteY9" fmla="*/ 361950 h 581025"/>
            <a:gd name="connsiteX10" fmla="*/ 95250 w 161925"/>
            <a:gd name="connsiteY10" fmla="*/ 447675 h 581025"/>
            <a:gd name="connsiteX11" fmla="*/ 114300 w 161925"/>
            <a:gd name="connsiteY11" fmla="*/ 514350 h 581025"/>
            <a:gd name="connsiteX12" fmla="*/ 133350 w 161925"/>
            <a:gd name="connsiteY12" fmla="*/ 542925 h 581025"/>
            <a:gd name="connsiteX13" fmla="*/ 161925 w 161925"/>
            <a:gd name="connsiteY13" fmla="*/ 581025 h 581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61925" h="581025">
              <a:moveTo>
                <a:pt x="85725" y="0"/>
              </a:moveTo>
              <a:cubicBezTo>
                <a:pt x="92075" y="15875"/>
                <a:pt x="97129" y="32332"/>
                <a:pt x="104775" y="47625"/>
              </a:cubicBezTo>
              <a:cubicBezTo>
                <a:pt x="109895" y="57864"/>
                <a:pt x="129505" y="66261"/>
                <a:pt x="123825" y="76200"/>
              </a:cubicBezTo>
              <a:cubicBezTo>
                <a:pt x="108412" y="103172"/>
                <a:pt x="66429" y="114382"/>
                <a:pt x="38100" y="123825"/>
              </a:cubicBezTo>
              <a:cubicBezTo>
                <a:pt x="31750" y="133350"/>
                <a:pt x="23699" y="141939"/>
                <a:pt x="19050" y="152400"/>
              </a:cubicBezTo>
              <a:cubicBezTo>
                <a:pt x="10895" y="170750"/>
                <a:pt x="0" y="209550"/>
                <a:pt x="0" y="209550"/>
              </a:cubicBezTo>
              <a:cubicBezTo>
                <a:pt x="3175" y="219075"/>
                <a:pt x="3253" y="230285"/>
                <a:pt x="9525" y="238125"/>
              </a:cubicBezTo>
              <a:cubicBezTo>
                <a:pt x="16676" y="247064"/>
                <a:pt x="30005" y="249080"/>
                <a:pt x="38100" y="257175"/>
              </a:cubicBezTo>
              <a:cubicBezTo>
                <a:pt x="46195" y="265270"/>
                <a:pt x="50800" y="276225"/>
                <a:pt x="57150" y="285750"/>
              </a:cubicBezTo>
              <a:cubicBezTo>
                <a:pt x="60325" y="311150"/>
                <a:pt x="61312" y="336921"/>
                <a:pt x="66675" y="361950"/>
              </a:cubicBezTo>
              <a:cubicBezTo>
                <a:pt x="80963" y="428625"/>
                <a:pt x="83344" y="400050"/>
                <a:pt x="95250" y="447675"/>
              </a:cubicBezTo>
              <a:cubicBezTo>
                <a:pt x="98302" y="459882"/>
                <a:pt x="107468" y="500685"/>
                <a:pt x="114300" y="514350"/>
              </a:cubicBezTo>
              <a:cubicBezTo>
                <a:pt x="119420" y="524589"/>
                <a:pt x="128230" y="532686"/>
                <a:pt x="133350" y="542925"/>
              </a:cubicBezTo>
              <a:cubicBezTo>
                <a:pt x="152967" y="582159"/>
                <a:pt x="128346" y="564236"/>
                <a:pt x="161925" y="581025"/>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170</xdr:col>
      <xdr:colOff>63211</xdr:colOff>
      <xdr:row>1</xdr:row>
      <xdr:rowOff>86590</xdr:rowOff>
    </xdr:from>
    <xdr:ext cx="561927" cy="498824"/>
    <xdr:pic>
      <xdr:nvPicPr>
        <xdr:cNvPr id="2" name="Picture 137">
          <a:extLst>
            <a:ext uri="{FF2B5EF4-FFF2-40B4-BE49-F238E27FC236}">
              <a16:creationId xmlns:a16="http://schemas.microsoft.com/office/drawing/2014/main" id="{790F5A99-B696-4001-8DD4-CA1A058A63C1}"/>
            </a:ext>
          </a:extLst>
        </xdr:cNvPr>
        <xdr:cNvPicPr>
          <a:picLocks noChangeAspect="1"/>
        </xdr:cNvPicPr>
      </xdr:nvPicPr>
      <xdr:blipFill>
        <a:blip xmlns:r="http://schemas.openxmlformats.org/officeDocument/2006/relationships" r:embed="rId1"/>
        <a:stretch>
          <a:fillRect/>
        </a:stretch>
      </xdr:blipFill>
      <xdr:spPr>
        <a:xfrm>
          <a:off x="16189036" y="181840"/>
          <a:ext cx="561927" cy="498824"/>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22</xdr:col>
      <xdr:colOff>133350</xdr:colOff>
      <xdr:row>23</xdr:row>
      <xdr:rowOff>95252</xdr:rowOff>
    </xdr:from>
    <xdr:ext cx="704850" cy="733425"/>
    <xdr:sp macro="" textlink="">
      <xdr:nvSpPr>
        <xdr:cNvPr id="3" name="Shape 4">
          <a:extLst>
            <a:ext uri="{FF2B5EF4-FFF2-40B4-BE49-F238E27FC236}">
              <a16:creationId xmlns:a16="http://schemas.microsoft.com/office/drawing/2014/main" id="{2A4D70A1-51AB-45F7-893C-B382B96D3D74}"/>
            </a:ext>
          </a:extLst>
        </xdr:cNvPr>
        <xdr:cNvSpPr/>
      </xdr:nvSpPr>
      <xdr:spPr>
        <a:xfrm rot="5400000">
          <a:off x="4348162" y="5167315"/>
          <a:ext cx="733425" cy="704850"/>
        </a:xfrm>
        <a:prstGeom prst="flowChartDelay">
          <a:avLst/>
        </a:prstGeom>
        <a:solidFill>
          <a:schemeClr val="dk1">
            <a:alpha val="24705"/>
          </a:schemeClr>
        </a:solidFill>
        <a:ln w="25400" cap="flat" cmpd="sng">
          <a:solidFill>
            <a:schemeClr val="dk1"/>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22</xdr:col>
      <xdr:colOff>161925</xdr:colOff>
      <xdr:row>29</xdr:row>
      <xdr:rowOff>9525</xdr:rowOff>
    </xdr:from>
    <xdr:ext cx="952500" cy="742950"/>
    <xdr:sp macro="" textlink="">
      <xdr:nvSpPr>
        <xdr:cNvPr id="2" name="Shape 3">
          <a:extLst>
            <a:ext uri="{FF2B5EF4-FFF2-40B4-BE49-F238E27FC236}">
              <a16:creationId xmlns:a16="http://schemas.microsoft.com/office/drawing/2014/main" id="{3E955880-1B23-4F68-A742-147D53D34C41}"/>
            </a:ext>
          </a:extLst>
        </xdr:cNvPr>
        <xdr:cNvSpPr/>
      </xdr:nvSpPr>
      <xdr:spPr>
        <a:xfrm>
          <a:off x="21326475" y="4705350"/>
          <a:ext cx="952500" cy="742950"/>
        </a:xfrm>
        <a:prstGeom prst="heart">
          <a:avLst/>
        </a:prstGeom>
        <a:solidFill>
          <a:srgbClr val="C00000">
            <a:alpha val="20000"/>
          </a:srgbClr>
        </a:solidFill>
        <a:ln w="25400" cap="flat" cmpd="sng">
          <a:solidFill>
            <a:srgbClr val="C00000"/>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rgbClr val="000000"/>
            </a:solidFill>
          </a:endParaRPr>
        </a:p>
      </xdr:txBody>
    </xdr:sp>
    <xdr:clientData fLocksWithSheet="0"/>
  </xdr:oneCellAnchor>
  <xdr:oneCellAnchor>
    <xdr:from>
      <xdr:col>10</xdr:col>
      <xdr:colOff>171450</xdr:colOff>
      <xdr:row>30</xdr:row>
      <xdr:rowOff>219075</xdr:rowOff>
    </xdr:from>
    <xdr:ext cx="1400175" cy="981075"/>
    <xdr:pic>
      <xdr:nvPicPr>
        <xdr:cNvPr id="4" name="image1.jpg" title="Image">
          <a:extLst>
            <a:ext uri="{FF2B5EF4-FFF2-40B4-BE49-F238E27FC236}">
              <a16:creationId xmlns:a16="http://schemas.microsoft.com/office/drawing/2014/main" id="{A38062FB-6B9C-4435-B1C9-5E73A6F04844}"/>
            </a:ext>
          </a:extLst>
        </xdr:cNvPr>
        <xdr:cNvPicPr preferRelativeResize="0"/>
      </xdr:nvPicPr>
      <xdr:blipFill>
        <a:blip xmlns:r="http://schemas.openxmlformats.org/officeDocument/2006/relationships" r:embed="rId1" cstate="print"/>
        <a:stretch>
          <a:fillRect/>
        </a:stretch>
      </xdr:blipFill>
      <xdr:spPr>
        <a:xfrm>
          <a:off x="9791700" y="5019675"/>
          <a:ext cx="1400175" cy="981075"/>
        </a:xfrm>
        <a:prstGeom prst="rect">
          <a:avLst/>
        </a:prstGeom>
        <a:noFill/>
      </xdr:spPr>
    </xdr:pic>
    <xdr:clientData fLocksWithSheet="0"/>
  </xdr:oneCellAnchor>
  <xdr:oneCellAnchor>
    <xdr:from>
      <xdr:col>10</xdr:col>
      <xdr:colOff>47625</xdr:colOff>
      <xdr:row>27</xdr:row>
      <xdr:rowOff>9525</xdr:rowOff>
    </xdr:from>
    <xdr:ext cx="323850" cy="361950"/>
    <xdr:pic>
      <xdr:nvPicPr>
        <xdr:cNvPr id="5" name="image5.png" title="Image">
          <a:extLst>
            <a:ext uri="{FF2B5EF4-FFF2-40B4-BE49-F238E27FC236}">
              <a16:creationId xmlns:a16="http://schemas.microsoft.com/office/drawing/2014/main" id="{83F5C259-6645-43D4-8DBA-6A5156B1DAF4}"/>
            </a:ext>
          </a:extLst>
        </xdr:cNvPr>
        <xdr:cNvPicPr preferRelativeResize="0"/>
      </xdr:nvPicPr>
      <xdr:blipFill>
        <a:blip xmlns:r="http://schemas.openxmlformats.org/officeDocument/2006/relationships" r:embed="rId2" cstate="print"/>
        <a:stretch>
          <a:fillRect/>
        </a:stretch>
      </xdr:blipFill>
      <xdr:spPr>
        <a:xfrm>
          <a:off x="9667875" y="4381500"/>
          <a:ext cx="323850" cy="361950"/>
        </a:xfrm>
        <a:prstGeom prst="rect">
          <a:avLst/>
        </a:prstGeom>
        <a:noFill/>
      </xdr:spPr>
    </xdr:pic>
    <xdr:clientData fLocksWithSheet="0"/>
  </xdr:oneCellAnchor>
  <xdr:oneCellAnchor>
    <xdr:from>
      <xdr:col>13</xdr:col>
      <xdr:colOff>28575</xdr:colOff>
      <xdr:row>27</xdr:row>
      <xdr:rowOff>9525</xdr:rowOff>
    </xdr:from>
    <xdr:ext cx="333375" cy="361950"/>
    <xdr:pic>
      <xdr:nvPicPr>
        <xdr:cNvPr id="6" name="image3.png" title="Image">
          <a:extLst>
            <a:ext uri="{FF2B5EF4-FFF2-40B4-BE49-F238E27FC236}">
              <a16:creationId xmlns:a16="http://schemas.microsoft.com/office/drawing/2014/main" id="{724AA930-399D-4A55-AD04-ECBBBB7A5E64}"/>
            </a:ext>
          </a:extLst>
        </xdr:cNvPr>
        <xdr:cNvPicPr preferRelativeResize="0"/>
      </xdr:nvPicPr>
      <xdr:blipFill>
        <a:blip xmlns:r="http://schemas.openxmlformats.org/officeDocument/2006/relationships" r:embed="rId3" cstate="print"/>
        <a:stretch>
          <a:fillRect/>
        </a:stretch>
      </xdr:blipFill>
      <xdr:spPr>
        <a:xfrm>
          <a:off x="12534900" y="4381500"/>
          <a:ext cx="333375" cy="361950"/>
        </a:xfrm>
        <a:prstGeom prst="rect">
          <a:avLst/>
        </a:prstGeom>
        <a:noFill/>
      </xdr:spPr>
    </xdr:pic>
    <xdr:clientData fLocksWithSheet="0"/>
  </xdr:oneCellAnchor>
  <xdr:oneCellAnchor>
    <xdr:from>
      <xdr:col>15</xdr:col>
      <xdr:colOff>190500</xdr:colOff>
      <xdr:row>26</xdr:row>
      <xdr:rowOff>200025</xdr:rowOff>
    </xdr:from>
    <xdr:ext cx="333375" cy="361950"/>
    <xdr:pic>
      <xdr:nvPicPr>
        <xdr:cNvPr id="7" name="image5.png" title="Image">
          <a:extLst>
            <a:ext uri="{FF2B5EF4-FFF2-40B4-BE49-F238E27FC236}">
              <a16:creationId xmlns:a16="http://schemas.microsoft.com/office/drawing/2014/main" id="{97F12782-CA8B-404D-AE8B-64E06596C466}"/>
            </a:ext>
          </a:extLst>
        </xdr:cNvPr>
        <xdr:cNvPicPr preferRelativeResize="0"/>
      </xdr:nvPicPr>
      <xdr:blipFill>
        <a:blip xmlns:r="http://schemas.openxmlformats.org/officeDocument/2006/relationships" r:embed="rId2" cstate="print"/>
        <a:stretch>
          <a:fillRect/>
        </a:stretch>
      </xdr:blipFill>
      <xdr:spPr>
        <a:xfrm>
          <a:off x="14620875" y="4371975"/>
          <a:ext cx="333375" cy="361950"/>
        </a:xfrm>
        <a:prstGeom prst="rect">
          <a:avLst/>
        </a:prstGeom>
        <a:noFill/>
      </xdr:spPr>
    </xdr:pic>
    <xdr:clientData fLocksWithSheet="0"/>
  </xdr:oneCellAnchor>
  <xdr:oneCellAnchor>
    <xdr:from>
      <xdr:col>15</xdr:col>
      <xdr:colOff>76200</xdr:colOff>
      <xdr:row>18</xdr:row>
      <xdr:rowOff>9525</xdr:rowOff>
    </xdr:from>
    <xdr:ext cx="638175" cy="733425"/>
    <xdr:pic>
      <xdr:nvPicPr>
        <xdr:cNvPr id="8" name="image4.png" title="Image">
          <a:extLst>
            <a:ext uri="{FF2B5EF4-FFF2-40B4-BE49-F238E27FC236}">
              <a16:creationId xmlns:a16="http://schemas.microsoft.com/office/drawing/2014/main" id="{716BD3C3-35DC-46DA-8929-D16EDD012056}"/>
            </a:ext>
          </a:extLst>
        </xdr:cNvPr>
        <xdr:cNvPicPr preferRelativeResize="0"/>
      </xdr:nvPicPr>
      <xdr:blipFill>
        <a:blip xmlns:r="http://schemas.openxmlformats.org/officeDocument/2006/relationships" r:embed="rId4" cstate="print"/>
        <a:stretch>
          <a:fillRect/>
        </a:stretch>
      </xdr:blipFill>
      <xdr:spPr>
        <a:xfrm>
          <a:off x="14506575" y="2924175"/>
          <a:ext cx="638175" cy="733425"/>
        </a:xfrm>
        <a:prstGeom prst="rect">
          <a:avLst/>
        </a:prstGeom>
        <a:noFill/>
      </xdr:spPr>
    </xdr:pic>
    <xdr:clientData fLocksWithSheet="0"/>
  </xdr:oneCellAnchor>
  <xdr:oneCellAnchor>
    <xdr:from>
      <xdr:col>10</xdr:col>
      <xdr:colOff>38100</xdr:colOff>
      <xdr:row>17</xdr:row>
      <xdr:rowOff>200025</xdr:rowOff>
    </xdr:from>
    <xdr:ext cx="723900" cy="723900"/>
    <xdr:pic>
      <xdr:nvPicPr>
        <xdr:cNvPr id="9" name="image2.png" title="Image">
          <a:extLst>
            <a:ext uri="{FF2B5EF4-FFF2-40B4-BE49-F238E27FC236}">
              <a16:creationId xmlns:a16="http://schemas.microsoft.com/office/drawing/2014/main" id="{0139581C-3CCB-489A-B369-06B88B34CCA0}"/>
            </a:ext>
          </a:extLst>
        </xdr:cNvPr>
        <xdr:cNvPicPr preferRelativeResize="0"/>
      </xdr:nvPicPr>
      <xdr:blipFill>
        <a:blip xmlns:r="http://schemas.openxmlformats.org/officeDocument/2006/relationships" r:embed="rId5" cstate="print"/>
        <a:stretch>
          <a:fillRect/>
        </a:stretch>
      </xdr:blipFill>
      <xdr:spPr>
        <a:xfrm>
          <a:off x="9658350" y="2914650"/>
          <a:ext cx="723900" cy="72390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18</xdr:col>
      <xdr:colOff>9494</xdr:colOff>
      <xdr:row>3</xdr:row>
      <xdr:rowOff>13054</xdr:rowOff>
    </xdr:from>
    <xdr:to>
      <xdr:col>18</xdr:col>
      <xdr:colOff>189494</xdr:colOff>
      <xdr:row>4</xdr:row>
      <xdr:rowOff>1960</xdr:rowOff>
    </xdr:to>
    <xdr:pic>
      <xdr:nvPicPr>
        <xdr:cNvPr id="2" name="Picture 53">
          <a:extLst>
            <a:ext uri="{FF2B5EF4-FFF2-40B4-BE49-F238E27FC236}">
              <a16:creationId xmlns:a16="http://schemas.microsoft.com/office/drawing/2014/main" id="{AA77A275-85FD-4F09-A2F6-CCBEDFC5CC23}"/>
            </a:ext>
          </a:extLst>
        </xdr:cNvPr>
        <xdr:cNvPicPr>
          <a:picLocks noChangeAspect="1"/>
        </xdr:cNvPicPr>
      </xdr:nvPicPr>
      <xdr:blipFill>
        <a:blip xmlns:r="http://schemas.openxmlformats.org/officeDocument/2006/relationships" r:embed="rId1"/>
        <a:stretch>
          <a:fillRect/>
        </a:stretch>
      </xdr:blipFill>
      <xdr:spPr>
        <a:xfrm>
          <a:off x="3438494" y="584554"/>
          <a:ext cx="180000" cy="179406"/>
        </a:xfrm>
        <a:prstGeom prst="rect">
          <a:avLst/>
        </a:prstGeom>
      </xdr:spPr>
    </xdr:pic>
    <xdr:clientData/>
  </xdr:twoCellAnchor>
  <xdr:twoCellAnchor editAs="oneCell">
    <xdr:from>
      <xdr:col>9</xdr:col>
      <xdr:colOff>60578</xdr:colOff>
      <xdr:row>26</xdr:row>
      <xdr:rowOff>170234</xdr:rowOff>
    </xdr:from>
    <xdr:to>
      <xdr:col>9</xdr:col>
      <xdr:colOff>148007</xdr:colOff>
      <xdr:row>27</xdr:row>
      <xdr:rowOff>188020</xdr:rowOff>
    </xdr:to>
    <xdr:pic>
      <xdr:nvPicPr>
        <xdr:cNvPr id="3" name="Picture 1">
          <a:extLst>
            <a:ext uri="{FF2B5EF4-FFF2-40B4-BE49-F238E27FC236}">
              <a16:creationId xmlns:a16="http://schemas.microsoft.com/office/drawing/2014/main" id="{52930139-31E8-4E74-9025-79793CDECB03}"/>
            </a:ext>
          </a:extLst>
        </xdr:cNvPr>
        <xdr:cNvPicPr>
          <a:picLocks noChangeAspect="1"/>
        </xdr:cNvPicPr>
      </xdr:nvPicPr>
      <xdr:blipFill>
        <a:blip xmlns:r="http://schemas.openxmlformats.org/officeDocument/2006/relationships" r:embed="rId2"/>
        <a:stretch>
          <a:fillRect/>
        </a:stretch>
      </xdr:blipFill>
      <xdr:spPr>
        <a:xfrm>
          <a:off x="1775078" y="5123234"/>
          <a:ext cx="87429" cy="208286"/>
        </a:xfrm>
        <a:prstGeom prst="rect">
          <a:avLst/>
        </a:prstGeom>
      </xdr:spPr>
    </xdr:pic>
    <xdr:clientData/>
  </xdr:twoCellAnchor>
  <xdr:twoCellAnchor editAs="oneCell">
    <xdr:from>
      <xdr:col>8</xdr:col>
      <xdr:colOff>184678</xdr:colOff>
      <xdr:row>26</xdr:row>
      <xdr:rowOff>63524</xdr:rowOff>
    </xdr:from>
    <xdr:to>
      <xdr:col>9</xdr:col>
      <xdr:colOff>127254</xdr:colOff>
      <xdr:row>26</xdr:row>
      <xdr:rowOff>161238</xdr:rowOff>
    </xdr:to>
    <xdr:pic>
      <xdr:nvPicPr>
        <xdr:cNvPr id="4" name="Picture 2">
          <a:extLst>
            <a:ext uri="{FF2B5EF4-FFF2-40B4-BE49-F238E27FC236}">
              <a16:creationId xmlns:a16="http://schemas.microsoft.com/office/drawing/2014/main" id="{36C1315D-0137-4C91-B376-6C5B4A72D2C1}"/>
            </a:ext>
          </a:extLst>
        </xdr:cNvPr>
        <xdr:cNvPicPr>
          <a:picLocks noChangeAspect="1"/>
        </xdr:cNvPicPr>
      </xdr:nvPicPr>
      <xdr:blipFill>
        <a:blip xmlns:r="http://schemas.openxmlformats.org/officeDocument/2006/relationships" r:embed="rId3"/>
        <a:stretch>
          <a:fillRect/>
        </a:stretch>
      </xdr:blipFill>
      <xdr:spPr>
        <a:xfrm>
          <a:off x="1708678" y="5016524"/>
          <a:ext cx="187504" cy="97714"/>
        </a:xfrm>
        <a:prstGeom prst="rect">
          <a:avLst/>
        </a:prstGeom>
      </xdr:spPr>
    </xdr:pic>
    <xdr:clientData/>
  </xdr:twoCellAnchor>
  <xdr:twoCellAnchor editAs="oneCell">
    <xdr:from>
      <xdr:col>7</xdr:col>
      <xdr:colOff>62168</xdr:colOff>
      <xdr:row>4</xdr:row>
      <xdr:rowOff>152855</xdr:rowOff>
    </xdr:from>
    <xdr:to>
      <xdr:col>7</xdr:col>
      <xdr:colOff>136739</xdr:colOff>
      <xdr:row>5</xdr:row>
      <xdr:rowOff>170641</xdr:rowOff>
    </xdr:to>
    <xdr:pic>
      <xdr:nvPicPr>
        <xdr:cNvPr id="5" name="Picture 3">
          <a:extLst>
            <a:ext uri="{FF2B5EF4-FFF2-40B4-BE49-F238E27FC236}">
              <a16:creationId xmlns:a16="http://schemas.microsoft.com/office/drawing/2014/main" id="{64DFBAAC-3B16-458B-91C5-90A22784F6FA}"/>
            </a:ext>
          </a:extLst>
        </xdr:cNvPr>
        <xdr:cNvPicPr>
          <a:picLocks noChangeAspect="1"/>
        </xdr:cNvPicPr>
      </xdr:nvPicPr>
      <xdr:blipFill>
        <a:blip xmlns:r="http://schemas.openxmlformats.org/officeDocument/2006/relationships" r:embed="rId4"/>
        <a:stretch>
          <a:fillRect/>
        </a:stretch>
      </xdr:blipFill>
      <xdr:spPr>
        <a:xfrm>
          <a:off x="1395668" y="914855"/>
          <a:ext cx="74571" cy="208286"/>
        </a:xfrm>
        <a:prstGeom prst="rect">
          <a:avLst/>
        </a:prstGeom>
      </xdr:spPr>
    </xdr:pic>
    <xdr:clientData/>
  </xdr:twoCellAnchor>
  <xdr:twoCellAnchor editAs="oneCell">
    <xdr:from>
      <xdr:col>9</xdr:col>
      <xdr:colOff>7371</xdr:colOff>
      <xdr:row>5</xdr:row>
      <xdr:rowOff>41925</xdr:rowOff>
    </xdr:from>
    <xdr:to>
      <xdr:col>9</xdr:col>
      <xdr:colOff>196607</xdr:colOff>
      <xdr:row>5</xdr:row>
      <xdr:rowOff>116496</xdr:rowOff>
    </xdr:to>
    <xdr:pic>
      <xdr:nvPicPr>
        <xdr:cNvPr id="6" name="Picture 4">
          <a:extLst>
            <a:ext uri="{FF2B5EF4-FFF2-40B4-BE49-F238E27FC236}">
              <a16:creationId xmlns:a16="http://schemas.microsoft.com/office/drawing/2014/main" id="{AC836131-FF95-45BD-A695-484F450EA765}"/>
            </a:ext>
          </a:extLst>
        </xdr:cNvPr>
        <xdr:cNvPicPr>
          <a:picLocks noChangeAspect="1"/>
        </xdr:cNvPicPr>
      </xdr:nvPicPr>
      <xdr:blipFill>
        <a:blip xmlns:r="http://schemas.openxmlformats.org/officeDocument/2006/relationships" r:embed="rId5"/>
        <a:stretch>
          <a:fillRect/>
        </a:stretch>
      </xdr:blipFill>
      <xdr:spPr>
        <a:xfrm>
          <a:off x="1721871" y="994425"/>
          <a:ext cx="189236" cy="74571"/>
        </a:xfrm>
        <a:prstGeom prst="rect">
          <a:avLst/>
        </a:prstGeom>
      </xdr:spPr>
    </xdr:pic>
    <xdr:clientData/>
  </xdr:twoCellAnchor>
  <xdr:twoCellAnchor editAs="oneCell">
    <xdr:from>
      <xdr:col>7</xdr:col>
      <xdr:colOff>4053</xdr:colOff>
      <xdr:row>9</xdr:row>
      <xdr:rowOff>101330</xdr:rowOff>
    </xdr:from>
    <xdr:to>
      <xdr:col>8</xdr:col>
      <xdr:colOff>99417</xdr:colOff>
      <xdr:row>10</xdr:row>
      <xdr:rowOff>80544</xdr:rowOff>
    </xdr:to>
    <xdr:pic>
      <xdr:nvPicPr>
        <xdr:cNvPr id="7" name="Picture 5">
          <a:extLst>
            <a:ext uri="{FF2B5EF4-FFF2-40B4-BE49-F238E27FC236}">
              <a16:creationId xmlns:a16="http://schemas.microsoft.com/office/drawing/2014/main" id="{5F2409AD-D8CF-4135-AC1B-DEDBF44FDCB9}"/>
            </a:ext>
          </a:extLst>
        </xdr:cNvPr>
        <xdr:cNvPicPr>
          <a:picLocks noChangeAspect="1"/>
        </xdr:cNvPicPr>
      </xdr:nvPicPr>
      <xdr:blipFill>
        <a:blip xmlns:r="http://schemas.openxmlformats.org/officeDocument/2006/relationships" r:embed="rId6"/>
        <a:stretch>
          <a:fillRect/>
        </a:stretch>
      </xdr:blipFill>
      <xdr:spPr>
        <a:xfrm>
          <a:off x="1337553" y="1815830"/>
          <a:ext cx="340293" cy="169714"/>
        </a:xfrm>
        <a:prstGeom prst="rect">
          <a:avLst/>
        </a:prstGeom>
      </xdr:spPr>
    </xdr:pic>
    <xdr:clientData/>
  </xdr:twoCellAnchor>
  <xdr:twoCellAnchor editAs="oneCell">
    <xdr:from>
      <xdr:col>5</xdr:col>
      <xdr:colOff>36479</xdr:colOff>
      <xdr:row>9</xdr:row>
      <xdr:rowOff>44585</xdr:rowOff>
    </xdr:from>
    <xdr:to>
      <xdr:col>5</xdr:col>
      <xdr:colOff>187143</xdr:colOff>
      <xdr:row>11</xdr:row>
      <xdr:rowOff>23585</xdr:rowOff>
    </xdr:to>
    <xdr:pic>
      <xdr:nvPicPr>
        <xdr:cNvPr id="8" name="Picture 6">
          <a:extLst>
            <a:ext uri="{FF2B5EF4-FFF2-40B4-BE49-F238E27FC236}">
              <a16:creationId xmlns:a16="http://schemas.microsoft.com/office/drawing/2014/main" id="{381FD295-6EE5-40BD-BFC9-88757C3345B1}"/>
            </a:ext>
          </a:extLst>
        </xdr:cNvPr>
        <xdr:cNvPicPr>
          <a:picLocks noChangeAspect="1"/>
        </xdr:cNvPicPr>
      </xdr:nvPicPr>
      <xdr:blipFill>
        <a:blip xmlns:r="http://schemas.openxmlformats.org/officeDocument/2006/relationships" r:embed="rId7"/>
        <a:stretch>
          <a:fillRect/>
        </a:stretch>
      </xdr:blipFill>
      <xdr:spPr>
        <a:xfrm>
          <a:off x="988979" y="1759085"/>
          <a:ext cx="150664" cy="360000"/>
        </a:xfrm>
        <a:prstGeom prst="rect">
          <a:avLst/>
        </a:prstGeom>
      </xdr:spPr>
    </xdr:pic>
    <xdr:clientData/>
  </xdr:twoCellAnchor>
  <xdr:twoCellAnchor editAs="oneCell">
    <xdr:from>
      <xdr:col>8</xdr:col>
      <xdr:colOff>206797</xdr:colOff>
      <xdr:row>9</xdr:row>
      <xdr:rowOff>76787</xdr:rowOff>
    </xdr:from>
    <xdr:to>
      <xdr:col>10</xdr:col>
      <xdr:colOff>56017</xdr:colOff>
      <xdr:row>10</xdr:row>
      <xdr:rowOff>56001</xdr:rowOff>
    </xdr:to>
    <xdr:pic>
      <xdr:nvPicPr>
        <xdr:cNvPr id="9" name="Picture 7">
          <a:extLst>
            <a:ext uri="{FF2B5EF4-FFF2-40B4-BE49-F238E27FC236}">
              <a16:creationId xmlns:a16="http://schemas.microsoft.com/office/drawing/2014/main" id="{925EC38B-89B1-4418-A2B9-98A1E762742D}"/>
            </a:ext>
          </a:extLst>
        </xdr:cNvPr>
        <xdr:cNvPicPr>
          <a:picLocks noChangeAspect="1"/>
        </xdr:cNvPicPr>
      </xdr:nvPicPr>
      <xdr:blipFill>
        <a:blip xmlns:r="http://schemas.openxmlformats.org/officeDocument/2006/relationships" r:embed="rId8"/>
        <a:stretch>
          <a:fillRect/>
        </a:stretch>
      </xdr:blipFill>
      <xdr:spPr>
        <a:xfrm>
          <a:off x="1711747" y="1791287"/>
          <a:ext cx="339077" cy="169714"/>
        </a:xfrm>
        <a:prstGeom prst="rect">
          <a:avLst/>
        </a:prstGeom>
      </xdr:spPr>
    </xdr:pic>
    <xdr:clientData/>
  </xdr:twoCellAnchor>
  <xdr:twoCellAnchor editAs="oneCell">
    <xdr:from>
      <xdr:col>3</xdr:col>
      <xdr:colOff>27925</xdr:colOff>
      <xdr:row>9</xdr:row>
      <xdr:rowOff>13166</xdr:rowOff>
    </xdr:from>
    <xdr:to>
      <xdr:col>3</xdr:col>
      <xdr:colOff>188114</xdr:colOff>
      <xdr:row>10</xdr:row>
      <xdr:rowOff>182666</xdr:rowOff>
    </xdr:to>
    <xdr:pic>
      <xdr:nvPicPr>
        <xdr:cNvPr id="10" name="Picture 8">
          <a:extLst>
            <a:ext uri="{FF2B5EF4-FFF2-40B4-BE49-F238E27FC236}">
              <a16:creationId xmlns:a16="http://schemas.microsoft.com/office/drawing/2014/main" id="{C0025F4A-349F-498D-ACB7-1E3786B2579A}"/>
            </a:ext>
          </a:extLst>
        </xdr:cNvPr>
        <xdr:cNvPicPr>
          <a:picLocks noChangeAspect="1"/>
        </xdr:cNvPicPr>
      </xdr:nvPicPr>
      <xdr:blipFill>
        <a:blip xmlns:r="http://schemas.openxmlformats.org/officeDocument/2006/relationships" r:embed="rId9"/>
        <a:stretch>
          <a:fillRect/>
        </a:stretch>
      </xdr:blipFill>
      <xdr:spPr>
        <a:xfrm>
          <a:off x="599425" y="1727666"/>
          <a:ext cx="160189" cy="360000"/>
        </a:xfrm>
        <a:prstGeom prst="rect">
          <a:avLst/>
        </a:prstGeom>
      </xdr:spPr>
    </xdr:pic>
    <xdr:clientData/>
  </xdr:twoCellAnchor>
  <xdr:twoCellAnchor editAs="oneCell">
    <xdr:from>
      <xdr:col>4</xdr:col>
      <xdr:colOff>206152</xdr:colOff>
      <xdr:row>7</xdr:row>
      <xdr:rowOff>16213</xdr:rowOff>
    </xdr:from>
    <xdr:to>
      <xdr:col>5</xdr:col>
      <xdr:colOff>132853</xdr:colOff>
      <xdr:row>7</xdr:row>
      <xdr:rowOff>185927</xdr:rowOff>
    </xdr:to>
    <xdr:pic>
      <xdr:nvPicPr>
        <xdr:cNvPr id="11" name="Picture 9">
          <a:extLst>
            <a:ext uri="{FF2B5EF4-FFF2-40B4-BE49-F238E27FC236}">
              <a16:creationId xmlns:a16="http://schemas.microsoft.com/office/drawing/2014/main" id="{B5AE7954-3402-4EC8-A6C1-79B0DA64E78C}"/>
            </a:ext>
          </a:extLst>
        </xdr:cNvPr>
        <xdr:cNvPicPr>
          <a:picLocks noChangeAspect="1"/>
        </xdr:cNvPicPr>
      </xdr:nvPicPr>
      <xdr:blipFill>
        <a:blip xmlns:r="http://schemas.openxmlformats.org/officeDocument/2006/relationships" r:embed="rId10"/>
        <a:stretch>
          <a:fillRect/>
        </a:stretch>
      </xdr:blipFill>
      <xdr:spPr>
        <a:xfrm>
          <a:off x="949102" y="1349713"/>
          <a:ext cx="171630" cy="169714"/>
        </a:xfrm>
        <a:prstGeom prst="rect">
          <a:avLst/>
        </a:prstGeom>
      </xdr:spPr>
    </xdr:pic>
    <xdr:clientData/>
  </xdr:twoCellAnchor>
  <xdr:twoCellAnchor editAs="oneCell">
    <xdr:from>
      <xdr:col>2</xdr:col>
      <xdr:colOff>210207</xdr:colOff>
      <xdr:row>7</xdr:row>
      <xdr:rowOff>0</xdr:rowOff>
    </xdr:from>
    <xdr:to>
      <xdr:col>3</xdr:col>
      <xdr:colOff>134335</xdr:colOff>
      <xdr:row>7</xdr:row>
      <xdr:rowOff>172286</xdr:rowOff>
    </xdr:to>
    <xdr:pic>
      <xdr:nvPicPr>
        <xdr:cNvPr id="12" name="Picture 10">
          <a:extLst>
            <a:ext uri="{FF2B5EF4-FFF2-40B4-BE49-F238E27FC236}">
              <a16:creationId xmlns:a16="http://schemas.microsoft.com/office/drawing/2014/main" id="{3D0B7E64-4B68-485B-8383-E2D82340232B}"/>
            </a:ext>
          </a:extLst>
        </xdr:cNvPr>
        <xdr:cNvPicPr>
          <a:picLocks noChangeAspect="1"/>
        </xdr:cNvPicPr>
      </xdr:nvPicPr>
      <xdr:blipFill>
        <a:blip xmlns:r="http://schemas.openxmlformats.org/officeDocument/2006/relationships" r:embed="rId11"/>
        <a:stretch>
          <a:fillRect/>
        </a:stretch>
      </xdr:blipFill>
      <xdr:spPr>
        <a:xfrm>
          <a:off x="572157" y="1333500"/>
          <a:ext cx="169057" cy="172286"/>
        </a:xfrm>
        <a:prstGeom prst="rect">
          <a:avLst/>
        </a:prstGeom>
      </xdr:spPr>
    </xdr:pic>
    <xdr:clientData/>
  </xdr:twoCellAnchor>
  <xdr:twoCellAnchor editAs="oneCell">
    <xdr:from>
      <xdr:col>7</xdr:col>
      <xdr:colOff>31866</xdr:colOff>
      <xdr:row>7</xdr:row>
      <xdr:rowOff>16213</xdr:rowOff>
    </xdr:from>
    <xdr:to>
      <xdr:col>7</xdr:col>
      <xdr:colOff>195186</xdr:colOff>
      <xdr:row>7</xdr:row>
      <xdr:rowOff>185927</xdr:rowOff>
    </xdr:to>
    <xdr:pic>
      <xdr:nvPicPr>
        <xdr:cNvPr id="13" name="Picture 11">
          <a:extLst>
            <a:ext uri="{FF2B5EF4-FFF2-40B4-BE49-F238E27FC236}">
              <a16:creationId xmlns:a16="http://schemas.microsoft.com/office/drawing/2014/main" id="{66CF1503-A0FC-49DF-AF6C-48F3FB7020C9}"/>
            </a:ext>
          </a:extLst>
        </xdr:cNvPr>
        <xdr:cNvPicPr>
          <a:picLocks noChangeAspect="1"/>
        </xdr:cNvPicPr>
      </xdr:nvPicPr>
      <xdr:blipFill>
        <a:blip xmlns:r="http://schemas.openxmlformats.org/officeDocument/2006/relationships" r:embed="rId12"/>
        <a:stretch>
          <a:fillRect/>
        </a:stretch>
      </xdr:blipFill>
      <xdr:spPr>
        <a:xfrm>
          <a:off x="1365366" y="1349713"/>
          <a:ext cx="163320" cy="169714"/>
        </a:xfrm>
        <a:prstGeom prst="rect">
          <a:avLst/>
        </a:prstGeom>
      </xdr:spPr>
    </xdr:pic>
    <xdr:clientData/>
  </xdr:twoCellAnchor>
  <xdr:twoCellAnchor editAs="oneCell">
    <xdr:from>
      <xdr:col>9</xdr:col>
      <xdr:colOff>27813</xdr:colOff>
      <xdr:row>7</xdr:row>
      <xdr:rowOff>36479</xdr:rowOff>
    </xdr:from>
    <xdr:to>
      <xdr:col>9</xdr:col>
      <xdr:colOff>188562</xdr:colOff>
      <xdr:row>8</xdr:row>
      <xdr:rowOff>18265</xdr:rowOff>
    </xdr:to>
    <xdr:pic>
      <xdr:nvPicPr>
        <xdr:cNvPr id="14" name="Picture 12">
          <a:extLst>
            <a:ext uri="{FF2B5EF4-FFF2-40B4-BE49-F238E27FC236}">
              <a16:creationId xmlns:a16="http://schemas.microsoft.com/office/drawing/2014/main" id="{06F26DCB-F845-4CB0-BC3F-66EFFD4DC016}"/>
            </a:ext>
          </a:extLst>
        </xdr:cNvPr>
        <xdr:cNvPicPr>
          <a:picLocks noChangeAspect="1"/>
        </xdr:cNvPicPr>
      </xdr:nvPicPr>
      <xdr:blipFill>
        <a:blip xmlns:r="http://schemas.openxmlformats.org/officeDocument/2006/relationships" r:embed="rId13"/>
        <a:stretch>
          <a:fillRect/>
        </a:stretch>
      </xdr:blipFill>
      <xdr:spPr>
        <a:xfrm>
          <a:off x="1742313" y="1369979"/>
          <a:ext cx="160749" cy="172286"/>
        </a:xfrm>
        <a:prstGeom prst="rect">
          <a:avLst/>
        </a:prstGeom>
      </xdr:spPr>
    </xdr:pic>
    <xdr:clientData/>
  </xdr:twoCellAnchor>
  <xdr:twoCellAnchor editAs="oneCell">
    <xdr:from>
      <xdr:col>7</xdr:col>
      <xdr:colOff>17192</xdr:colOff>
      <xdr:row>13</xdr:row>
      <xdr:rowOff>155112</xdr:rowOff>
    </xdr:from>
    <xdr:to>
      <xdr:col>7</xdr:col>
      <xdr:colOff>189478</xdr:colOff>
      <xdr:row>14</xdr:row>
      <xdr:rowOff>136898</xdr:rowOff>
    </xdr:to>
    <xdr:pic>
      <xdr:nvPicPr>
        <xdr:cNvPr id="15" name="Picture 13">
          <a:extLst>
            <a:ext uri="{FF2B5EF4-FFF2-40B4-BE49-F238E27FC236}">
              <a16:creationId xmlns:a16="http://schemas.microsoft.com/office/drawing/2014/main" id="{4548F516-915B-414B-87BD-210766C692C2}"/>
            </a:ext>
          </a:extLst>
        </xdr:cNvPr>
        <xdr:cNvPicPr>
          <a:picLocks noChangeAspect="1"/>
        </xdr:cNvPicPr>
      </xdr:nvPicPr>
      <xdr:blipFill>
        <a:blip xmlns:r="http://schemas.openxmlformats.org/officeDocument/2006/relationships" r:embed="rId14"/>
        <a:stretch>
          <a:fillRect/>
        </a:stretch>
      </xdr:blipFill>
      <xdr:spPr>
        <a:xfrm>
          <a:off x="1350692" y="2631612"/>
          <a:ext cx="172286" cy="172286"/>
        </a:xfrm>
        <a:prstGeom prst="rect">
          <a:avLst/>
        </a:prstGeom>
      </xdr:spPr>
    </xdr:pic>
    <xdr:clientData/>
  </xdr:twoCellAnchor>
  <xdr:twoCellAnchor editAs="oneCell">
    <xdr:from>
      <xdr:col>9</xdr:col>
      <xdr:colOff>34494</xdr:colOff>
      <xdr:row>13</xdr:row>
      <xdr:rowOff>44362</xdr:rowOff>
    </xdr:from>
    <xdr:to>
      <xdr:col>10</xdr:col>
      <xdr:colOff>137572</xdr:colOff>
      <xdr:row>15</xdr:row>
      <xdr:rowOff>25933</xdr:rowOff>
    </xdr:to>
    <xdr:pic>
      <xdr:nvPicPr>
        <xdr:cNvPr id="16" name="Picture 14">
          <a:extLst>
            <a:ext uri="{FF2B5EF4-FFF2-40B4-BE49-F238E27FC236}">
              <a16:creationId xmlns:a16="http://schemas.microsoft.com/office/drawing/2014/main" id="{F14845B9-69E8-45AF-820A-BE74AF9F07C5}"/>
            </a:ext>
          </a:extLst>
        </xdr:cNvPr>
        <xdr:cNvPicPr>
          <a:picLocks noChangeAspect="1"/>
        </xdr:cNvPicPr>
      </xdr:nvPicPr>
      <xdr:blipFill>
        <a:blip xmlns:r="http://schemas.openxmlformats.org/officeDocument/2006/relationships" r:embed="rId15"/>
        <a:stretch>
          <a:fillRect/>
        </a:stretch>
      </xdr:blipFill>
      <xdr:spPr>
        <a:xfrm>
          <a:off x="1748994" y="2520862"/>
          <a:ext cx="348007" cy="362571"/>
        </a:xfrm>
        <a:prstGeom prst="rect">
          <a:avLst/>
        </a:prstGeom>
      </xdr:spPr>
    </xdr:pic>
    <xdr:clientData/>
  </xdr:twoCellAnchor>
  <xdr:twoCellAnchor editAs="oneCell">
    <xdr:from>
      <xdr:col>2</xdr:col>
      <xdr:colOff>121596</xdr:colOff>
      <xdr:row>13</xdr:row>
      <xdr:rowOff>4053</xdr:rowOff>
    </xdr:from>
    <xdr:to>
      <xdr:col>3</xdr:col>
      <xdr:colOff>67817</xdr:colOff>
      <xdr:row>14</xdr:row>
      <xdr:rowOff>21839</xdr:rowOff>
    </xdr:to>
    <xdr:pic>
      <xdr:nvPicPr>
        <xdr:cNvPr id="17" name="Picture 15">
          <a:extLst>
            <a:ext uri="{FF2B5EF4-FFF2-40B4-BE49-F238E27FC236}">
              <a16:creationId xmlns:a16="http://schemas.microsoft.com/office/drawing/2014/main" id="{91E5AD03-40D4-4CD0-A793-CFAA2F3F8C82}"/>
            </a:ext>
          </a:extLst>
        </xdr:cNvPr>
        <xdr:cNvPicPr>
          <a:picLocks noChangeAspect="1"/>
        </xdr:cNvPicPr>
      </xdr:nvPicPr>
      <xdr:blipFill>
        <a:blip xmlns:r="http://schemas.openxmlformats.org/officeDocument/2006/relationships" r:embed="rId16"/>
        <a:stretch>
          <a:fillRect/>
        </a:stretch>
      </xdr:blipFill>
      <xdr:spPr>
        <a:xfrm>
          <a:off x="502596" y="2480553"/>
          <a:ext cx="191150" cy="208286"/>
        </a:xfrm>
        <a:prstGeom prst="rect">
          <a:avLst/>
        </a:prstGeom>
      </xdr:spPr>
    </xdr:pic>
    <xdr:clientData/>
  </xdr:twoCellAnchor>
  <xdr:twoCellAnchor editAs="oneCell">
    <xdr:from>
      <xdr:col>4</xdr:col>
      <xdr:colOff>121595</xdr:colOff>
      <xdr:row>13</xdr:row>
      <xdr:rowOff>4054</xdr:rowOff>
    </xdr:from>
    <xdr:to>
      <xdr:col>5</xdr:col>
      <xdr:colOff>64686</xdr:colOff>
      <xdr:row>14</xdr:row>
      <xdr:rowOff>24411</xdr:rowOff>
    </xdr:to>
    <xdr:pic>
      <xdr:nvPicPr>
        <xdr:cNvPr id="18" name="Picture 16">
          <a:extLst>
            <a:ext uri="{FF2B5EF4-FFF2-40B4-BE49-F238E27FC236}">
              <a16:creationId xmlns:a16="http://schemas.microsoft.com/office/drawing/2014/main" id="{1CEAE86B-1976-4259-AA33-FD961E26C98D}"/>
            </a:ext>
          </a:extLst>
        </xdr:cNvPr>
        <xdr:cNvPicPr>
          <a:picLocks noChangeAspect="1"/>
        </xdr:cNvPicPr>
      </xdr:nvPicPr>
      <xdr:blipFill>
        <a:blip xmlns:r="http://schemas.openxmlformats.org/officeDocument/2006/relationships" r:embed="rId17"/>
        <a:stretch>
          <a:fillRect/>
        </a:stretch>
      </xdr:blipFill>
      <xdr:spPr>
        <a:xfrm>
          <a:off x="883595" y="2480554"/>
          <a:ext cx="188020" cy="210857"/>
        </a:xfrm>
        <a:prstGeom prst="rect">
          <a:avLst/>
        </a:prstGeom>
      </xdr:spPr>
    </xdr:pic>
    <xdr:clientData/>
  </xdr:twoCellAnchor>
  <xdr:twoCellAnchor editAs="oneCell">
    <xdr:from>
      <xdr:col>4</xdr:col>
      <xdr:colOff>121596</xdr:colOff>
      <xdr:row>15</xdr:row>
      <xdr:rowOff>4053</xdr:rowOff>
    </xdr:from>
    <xdr:to>
      <xdr:col>5</xdr:col>
      <xdr:colOff>76284</xdr:colOff>
      <xdr:row>16</xdr:row>
      <xdr:rowOff>29553</xdr:rowOff>
    </xdr:to>
    <xdr:pic>
      <xdr:nvPicPr>
        <xdr:cNvPr id="19" name="Picture 17">
          <a:extLst>
            <a:ext uri="{FF2B5EF4-FFF2-40B4-BE49-F238E27FC236}">
              <a16:creationId xmlns:a16="http://schemas.microsoft.com/office/drawing/2014/main" id="{8FD290B1-1B09-46F2-BEF4-0099CC6E8687}"/>
            </a:ext>
          </a:extLst>
        </xdr:cNvPr>
        <xdr:cNvPicPr>
          <a:picLocks noChangeAspect="1"/>
        </xdr:cNvPicPr>
      </xdr:nvPicPr>
      <xdr:blipFill>
        <a:blip xmlns:r="http://schemas.openxmlformats.org/officeDocument/2006/relationships" r:embed="rId18"/>
        <a:stretch>
          <a:fillRect/>
        </a:stretch>
      </xdr:blipFill>
      <xdr:spPr>
        <a:xfrm>
          <a:off x="883596" y="2861553"/>
          <a:ext cx="199617" cy="216000"/>
        </a:xfrm>
        <a:prstGeom prst="rect">
          <a:avLst/>
        </a:prstGeom>
      </xdr:spPr>
    </xdr:pic>
    <xdr:clientData/>
  </xdr:twoCellAnchor>
  <xdr:twoCellAnchor editAs="oneCell">
    <xdr:from>
      <xdr:col>2</xdr:col>
      <xdr:colOff>121595</xdr:colOff>
      <xdr:row>15</xdr:row>
      <xdr:rowOff>4054</xdr:rowOff>
    </xdr:from>
    <xdr:to>
      <xdr:col>3</xdr:col>
      <xdr:colOff>64686</xdr:colOff>
      <xdr:row>16</xdr:row>
      <xdr:rowOff>24411</xdr:rowOff>
    </xdr:to>
    <xdr:pic>
      <xdr:nvPicPr>
        <xdr:cNvPr id="20" name="Picture 18">
          <a:extLst>
            <a:ext uri="{FF2B5EF4-FFF2-40B4-BE49-F238E27FC236}">
              <a16:creationId xmlns:a16="http://schemas.microsoft.com/office/drawing/2014/main" id="{2C39F89A-E86B-45EC-B766-28BB6DAE04C9}"/>
            </a:ext>
          </a:extLst>
        </xdr:cNvPr>
        <xdr:cNvPicPr>
          <a:picLocks noChangeAspect="1"/>
        </xdr:cNvPicPr>
      </xdr:nvPicPr>
      <xdr:blipFill>
        <a:blip xmlns:r="http://schemas.openxmlformats.org/officeDocument/2006/relationships" r:embed="rId19"/>
        <a:stretch>
          <a:fillRect/>
        </a:stretch>
      </xdr:blipFill>
      <xdr:spPr>
        <a:xfrm>
          <a:off x="502595" y="2861554"/>
          <a:ext cx="188020" cy="210857"/>
        </a:xfrm>
        <a:prstGeom prst="rect">
          <a:avLst/>
        </a:prstGeom>
      </xdr:spPr>
    </xdr:pic>
    <xdr:clientData/>
  </xdr:twoCellAnchor>
  <xdr:twoCellAnchor editAs="oneCell">
    <xdr:from>
      <xdr:col>2</xdr:col>
      <xdr:colOff>48639</xdr:colOff>
      <xdr:row>17</xdr:row>
      <xdr:rowOff>170234</xdr:rowOff>
    </xdr:from>
    <xdr:to>
      <xdr:col>3</xdr:col>
      <xdr:colOff>165537</xdr:colOff>
      <xdr:row>20</xdr:row>
      <xdr:rowOff>2448</xdr:rowOff>
    </xdr:to>
    <xdr:pic>
      <xdr:nvPicPr>
        <xdr:cNvPr id="21" name="Picture 19">
          <a:extLst>
            <a:ext uri="{FF2B5EF4-FFF2-40B4-BE49-F238E27FC236}">
              <a16:creationId xmlns:a16="http://schemas.microsoft.com/office/drawing/2014/main" id="{4E9620EB-972C-4C6A-87B2-EC36C0DF07E9}"/>
            </a:ext>
          </a:extLst>
        </xdr:cNvPr>
        <xdr:cNvPicPr>
          <a:picLocks noChangeAspect="1"/>
        </xdr:cNvPicPr>
      </xdr:nvPicPr>
      <xdr:blipFill>
        <a:blip xmlns:r="http://schemas.openxmlformats.org/officeDocument/2006/relationships" r:embed="rId20"/>
        <a:stretch>
          <a:fillRect/>
        </a:stretch>
      </xdr:blipFill>
      <xdr:spPr>
        <a:xfrm>
          <a:off x="429639" y="3408734"/>
          <a:ext cx="361827" cy="403714"/>
        </a:xfrm>
        <a:prstGeom prst="rect">
          <a:avLst/>
        </a:prstGeom>
      </xdr:spPr>
    </xdr:pic>
    <xdr:clientData/>
  </xdr:twoCellAnchor>
  <xdr:twoCellAnchor editAs="oneCell">
    <xdr:from>
      <xdr:col>5</xdr:col>
      <xdr:colOff>48638</xdr:colOff>
      <xdr:row>17</xdr:row>
      <xdr:rowOff>170235</xdr:rowOff>
    </xdr:from>
    <xdr:to>
      <xdr:col>6</xdr:col>
      <xdr:colOff>168108</xdr:colOff>
      <xdr:row>19</xdr:row>
      <xdr:rowOff>190378</xdr:rowOff>
    </xdr:to>
    <xdr:pic>
      <xdr:nvPicPr>
        <xdr:cNvPr id="22" name="Picture 20">
          <a:extLst>
            <a:ext uri="{FF2B5EF4-FFF2-40B4-BE49-F238E27FC236}">
              <a16:creationId xmlns:a16="http://schemas.microsoft.com/office/drawing/2014/main" id="{8BBFA75C-30AD-4536-A20C-F704445A49C0}"/>
            </a:ext>
          </a:extLst>
        </xdr:cNvPr>
        <xdr:cNvPicPr>
          <a:picLocks noChangeAspect="1"/>
        </xdr:cNvPicPr>
      </xdr:nvPicPr>
      <xdr:blipFill>
        <a:blip xmlns:r="http://schemas.openxmlformats.org/officeDocument/2006/relationships" r:embed="rId21"/>
        <a:stretch>
          <a:fillRect/>
        </a:stretch>
      </xdr:blipFill>
      <xdr:spPr>
        <a:xfrm>
          <a:off x="1001138" y="3408735"/>
          <a:ext cx="364398" cy="401143"/>
        </a:xfrm>
        <a:prstGeom prst="rect">
          <a:avLst/>
        </a:prstGeom>
      </xdr:spPr>
    </xdr:pic>
    <xdr:clientData/>
  </xdr:twoCellAnchor>
  <xdr:twoCellAnchor editAs="oneCell">
    <xdr:from>
      <xdr:col>5</xdr:col>
      <xdr:colOff>48639</xdr:colOff>
      <xdr:row>20</xdr:row>
      <xdr:rowOff>170234</xdr:rowOff>
    </xdr:from>
    <xdr:to>
      <xdr:col>6</xdr:col>
      <xdr:colOff>165538</xdr:colOff>
      <xdr:row>23</xdr:row>
      <xdr:rowOff>2448</xdr:rowOff>
    </xdr:to>
    <xdr:pic>
      <xdr:nvPicPr>
        <xdr:cNvPr id="23" name="Picture 21">
          <a:extLst>
            <a:ext uri="{FF2B5EF4-FFF2-40B4-BE49-F238E27FC236}">
              <a16:creationId xmlns:a16="http://schemas.microsoft.com/office/drawing/2014/main" id="{75C756E1-69D4-4EEE-A535-0FE93E3A8325}"/>
            </a:ext>
          </a:extLst>
        </xdr:cNvPr>
        <xdr:cNvPicPr>
          <a:picLocks noChangeAspect="1"/>
        </xdr:cNvPicPr>
      </xdr:nvPicPr>
      <xdr:blipFill>
        <a:blip xmlns:r="http://schemas.openxmlformats.org/officeDocument/2006/relationships" r:embed="rId22"/>
        <a:stretch>
          <a:fillRect/>
        </a:stretch>
      </xdr:blipFill>
      <xdr:spPr>
        <a:xfrm>
          <a:off x="1001139" y="3980234"/>
          <a:ext cx="361827" cy="403714"/>
        </a:xfrm>
        <a:prstGeom prst="rect">
          <a:avLst/>
        </a:prstGeom>
      </xdr:spPr>
    </xdr:pic>
    <xdr:clientData/>
  </xdr:twoCellAnchor>
  <xdr:twoCellAnchor editAs="oneCell">
    <xdr:from>
      <xdr:col>2</xdr:col>
      <xdr:colOff>48638</xdr:colOff>
      <xdr:row>20</xdr:row>
      <xdr:rowOff>170235</xdr:rowOff>
    </xdr:from>
    <xdr:to>
      <xdr:col>3</xdr:col>
      <xdr:colOff>168107</xdr:colOff>
      <xdr:row>22</xdr:row>
      <xdr:rowOff>190378</xdr:rowOff>
    </xdr:to>
    <xdr:pic>
      <xdr:nvPicPr>
        <xdr:cNvPr id="24" name="Picture 22">
          <a:extLst>
            <a:ext uri="{FF2B5EF4-FFF2-40B4-BE49-F238E27FC236}">
              <a16:creationId xmlns:a16="http://schemas.microsoft.com/office/drawing/2014/main" id="{5428F969-5986-4F61-B531-DDBD0E7611C4}"/>
            </a:ext>
          </a:extLst>
        </xdr:cNvPr>
        <xdr:cNvPicPr>
          <a:picLocks noChangeAspect="1"/>
        </xdr:cNvPicPr>
      </xdr:nvPicPr>
      <xdr:blipFill>
        <a:blip xmlns:r="http://schemas.openxmlformats.org/officeDocument/2006/relationships" r:embed="rId23"/>
        <a:stretch>
          <a:fillRect/>
        </a:stretch>
      </xdr:blipFill>
      <xdr:spPr>
        <a:xfrm>
          <a:off x="429638" y="3980235"/>
          <a:ext cx="364398" cy="401143"/>
        </a:xfrm>
        <a:prstGeom prst="rect">
          <a:avLst/>
        </a:prstGeom>
      </xdr:spPr>
    </xdr:pic>
    <xdr:clientData/>
  </xdr:twoCellAnchor>
  <xdr:twoCellAnchor editAs="oneCell">
    <xdr:from>
      <xdr:col>8</xdr:col>
      <xdr:colOff>16213</xdr:colOff>
      <xdr:row>19</xdr:row>
      <xdr:rowOff>0</xdr:rowOff>
    </xdr:from>
    <xdr:to>
      <xdr:col>8</xdr:col>
      <xdr:colOff>204233</xdr:colOff>
      <xdr:row>20</xdr:row>
      <xdr:rowOff>17786</xdr:rowOff>
    </xdr:to>
    <xdr:pic>
      <xdr:nvPicPr>
        <xdr:cNvPr id="25" name="Picture 23">
          <a:extLst>
            <a:ext uri="{FF2B5EF4-FFF2-40B4-BE49-F238E27FC236}">
              <a16:creationId xmlns:a16="http://schemas.microsoft.com/office/drawing/2014/main" id="{79A4BB15-2A6C-40BB-8DB0-9D0FCEA04F63}"/>
            </a:ext>
          </a:extLst>
        </xdr:cNvPr>
        <xdr:cNvPicPr>
          <a:picLocks noChangeAspect="1"/>
        </xdr:cNvPicPr>
      </xdr:nvPicPr>
      <xdr:blipFill>
        <a:blip xmlns:r="http://schemas.openxmlformats.org/officeDocument/2006/relationships" r:embed="rId24"/>
        <a:stretch>
          <a:fillRect/>
        </a:stretch>
      </xdr:blipFill>
      <xdr:spPr>
        <a:xfrm>
          <a:off x="1540213" y="3619500"/>
          <a:ext cx="188020" cy="208286"/>
        </a:xfrm>
        <a:prstGeom prst="rect">
          <a:avLst/>
        </a:prstGeom>
      </xdr:spPr>
    </xdr:pic>
    <xdr:clientData/>
  </xdr:twoCellAnchor>
  <xdr:twoCellAnchor editAs="oneCell">
    <xdr:from>
      <xdr:col>10</xdr:col>
      <xdr:colOff>16213</xdr:colOff>
      <xdr:row>19</xdr:row>
      <xdr:rowOff>0</xdr:rowOff>
    </xdr:from>
    <xdr:to>
      <xdr:col>10</xdr:col>
      <xdr:colOff>204233</xdr:colOff>
      <xdr:row>20</xdr:row>
      <xdr:rowOff>17786</xdr:rowOff>
    </xdr:to>
    <xdr:pic>
      <xdr:nvPicPr>
        <xdr:cNvPr id="26" name="Picture 24">
          <a:extLst>
            <a:ext uri="{FF2B5EF4-FFF2-40B4-BE49-F238E27FC236}">
              <a16:creationId xmlns:a16="http://schemas.microsoft.com/office/drawing/2014/main" id="{AC8369C6-4ED5-4719-80F5-063EB06FF077}"/>
            </a:ext>
          </a:extLst>
        </xdr:cNvPr>
        <xdr:cNvPicPr>
          <a:picLocks noChangeAspect="1"/>
        </xdr:cNvPicPr>
      </xdr:nvPicPr>
      <xdr:blipFill>
        <a:blip xmlns:r="http://schemas.openxmlformats.org/officeDocument/2006/relationships" r:embed="rId25"/>
        <a:stretch>
          <a:fillRect/>
        </a:stretch>
      </xdr:blipFill>
      <xdr:spPr>
        <a:xfrm>
          <a:off x="1921213" y="3619500"/>
          <a:ext cx="188020" cy="208286"/>
        </a:xfrm>
        <a:prstGeom prst="rect">
          <a:avLst/>
        </a:prstGeom>
      </xdr:spPr>
    </xdr:pic>
    <xdr:clientData/>
  </xdr:twoCellAnchor>
  <xdr:twoCellAnchor editAs="oneCell">
    <xdr:from>
      <xdr:col>10</xdr:col>
      <xdr:colOff>16213</xdr:colOff>
      <xdr:row>21</xdr:row>
      <xdr:rowOff>0</xdr:rowOff>
    </xdr:from>
    <xdr:to>
      <xdr:col>10</xdr:col>
      <xdr:colOff>204233</xdr:colOff>
      <xdr:row>22</xdr:row>
      <xdr:rowOff>17786</xdr:rowOff>
    </xdr:to>
    <xdr:pic>
      <xdr:nvPicPr>
        <xdr:cNvPr id="27" name="Picture 25">
          <a:extLst>
            <a:ext uri="{FF2B5EF4-FFF2-40B4-BE49-F238E27FC236}">
              <a16:creationId xmlns:a16="http://schemas.microsoft.com/office/drawing/2014/main" id="{86572CF3-B7B2-4286-A5F7-0BF781E874F1}"/>
            </a:ext>
          </a:extLst>
        </xdr:cNvPr>
        <xdr:cNvPicPr>
          <a:picLocks noChangeAspect="1"/>
        </xdr:cNvPicPr>
      </xdr:nvPicPr>
      <xdr:blipFill>
        <a:blip xmlns:r="http://schemas.openxmlformats.org/officeDocument/2006/relationships" r:embed="rId26"/>
        <a:stretch>
          <a:fillRect/>
        </a:stretch>
      </xdr:blipFill>
      <xdr:spPr>
        <a:xfrm>
          <a:off x="1921213" y="4000500"/>
          <a:ext cx="188020" cy="208286"/>
        </a:xfrm>
        <a:prstGeom prst="rect">
          <a:avLst/>
        </a:prstGeom>
      </xdr:spPr>
    </xdr:pic>
    <xdr:clientData/>
  </xdr:twoCellAnchor>
  <xdr:twoCellAnchor editAs="oneCell">
    <xdr:from>
      <xdr:col>8</xdr:col>
      <xdr:colOff>16213</xdr:colOff>
      <xdr:row>21</xdr:row>
      <xdr:rowOff>0</xdr:rowOff>
    </xdr:from>
    <xdr:to>
      <xdr:col>8</xdr:col>
      <xdr:colOff>204233</xdr:colOff>
      <xdr:row>22</xdr:row>
      <xdr:rowOff>17786</xdr:rowOff>
    </xdr:to>
    <xdr:pic>
      <xdr:nvPicPr>
        <xdr:cNvPr id="28" name="Picture 26">
          <a:extLst>
            <a:ext uri="{FF2B5EF4-FFF2-40B4-BE49-F238E27FC236}">
              <a16:creationId xmlns:a16="http://schemas.microsoft.com/office/drawing/2014/main" id="{D6925C98-D667-46C8-AEFF-3E5F2ECE1797}"/>
            </a:ext>
          </a:extLst>
        </xdr:cNvPr>
        <xdr:cNvPicPr>
          <a:picLocks noChangeAspect="1"/>
        </xdr:cNvPicPr>
      </xdr:nvPicPr>
      <xdr:blipFill>
        <a:blip xmlns:r="http://schemas.openxmlformats.org/officeDocument/2006/relationships" r:embed="rId27"/>
        <a:stretch>
          <a:fillRect/>
        </a:stretch>
      </xdr:blipFill>
      <xdr:spPr>
        <a:xfrm>
          <a:off x="1540213" y="4000500"/>
          <a:ext cx="188020" cy="208286"/>
        </a:xfrm>
        <a:prstGeom prst="rect">
          <a:avLst/>
        </a:prstGeom>
      </xdr:spPr>
    </xdr:pic>
    <xdr:clientData/>
  </xdr:twoCellAnchor>
  <xdr:twoCellAnchor editAs="oneCell">
    <xdr:from>
      <xdr:col>4</xdr:col>
      <xdr:colOff>72957</xdr:colOff>
      <xdr:row>27</xdr:row>
      <xdr:rowOff>12161</xdr:rowOff>
    </xdr:from>
    <xdr:to>
      <xdr:col>4</xdr:col>
      <xdr:colOff>134671</xdr:colOff>
      <xdr:row>27</xdr:row>
      <xdr:rowOff>176732</xdr:rowOff>
    </xdr:to>
    <xdr:pic>
      <xdr:nvPicPr>
        <xdr:cNvPr id="29" name="Picture 27">
          <a:extLst>
            <a:ext uri="{FF2B5EF4-FFF2-40B4-BE49-F238E27FC236}">
              <a16:creationId xmlns:a16="http://schemas.microsoft.com/office/drawing/2014/main" id="{568BE32F-A8B6-4951-B406-B78DF349E7EA}"/>
            </a:ext>
          </a:extLst>
        </xdr:cNvPr>
        <xdr:cNvPicPr>
          <a:picLocks noChangeAspect="1"/>
        </xdr:cNvPicPr>
      </xdr:nvPicPr>
      <xdr:blipFill>
        <a:blip xmlns:r="http://schemas.openxmlformats.org/officeDocument/2006/relationships" r:embed="rId28"/>
        <a:stretch>
          <a:fillRect/>
        </a:stretch>
      </xdr:blipFill>
      <xdr:spPr>
        <a:xfrm>
          <a:off x="834957" y="5155661"/>
          <a:ext cx="61714" cy="164571"/>
        </a:xfrm>
        <a:prstGeom prst="rect">
          <a:avLst/>
        </a:prstGeom>
      </xdr:spPr>
    </xdr:pic>
    <xdr:clientData/>
  </xdr:twoCellAnchor>
  <xdr:twoCellAnchor editAs="oneCell">
    <xdr:from>
      <xdr:col>4</xdr:col>
      <xdr:colOff>12161</xdr:colOff>
      <xdr:row>26</xdr:row>
      <xdr:rowOff>60798</xdr:rowOff>
    </xdr:from>
    <xdr:to>
      <xdr:col>4</xdr:col>
      <xdr:colOff>176732</xdr:colOff>
      <xdr:row>26</xdr:row>
      <xdr:rowOff>122512</xdr:rowOff>
    </xdr:to>
    <xdr:pic>
      <xdr:nvPicPr>
        <xdr:cNvPr id="30" name="Picture 28">
          <a:extLst>
            <a:ext uri="{FF2B5EF4-FFF2-40B4-BE49-F238E27FC236}">
              <a16:creationId xmlns:a16="http://schemas.microsoft.com/office/drawing/2014/main" id="{A5FBD7E2-30B9-4E89-8468-A0C2F602D11D}"/>
            </a:ext>
          </a:extLst>
        </xdr:cNvPr>
        <xdr:cNvPicPr>
          <a:picLocks noChangeAspect="1"/>
        </xdr:cNvPicPr>
      </xdr:nvPicPr>
      <xdr:blipFill>
        <a:blip xmlns:r="http://schemas.openxmlformats.org/officeDocument/2006/relationships" r:embed="rId29"/>
        <a:stretch>
          <a:fillRect/>
        </a:stretch>
      </xdr:blipFill>
      <xdr:spPr>
        <a:xfrm>
          <a:off x="774161" y="5013798"/>
          <a:ext cx="164571" cy="61714"/>
        </a:xfrm>
        <a:prstGeom prst="rect">
          <a:avLst/>
        </a:prstGeom>
      </xdr:spPr>
    </xdr:pic>
    <xdr:clientData/>
  </xdr:twoCellAnchor>
  <xdr:twoCellAnchor editAs="oneCell">
    <xdr:from>
      <xdr:col>4</xdr:col>
      <xdr:colOff>52692</xdr:colOff>
      <xdr:row>24</xdr:row>
      <xdr:rowOff>186447</xdr:rowOff>
    </xdr:from>
    <xdr:to>
      <xdr:col>4</xdr:col>
      <xdr:colOff>109263</xdr:colOff>
      <xdr:row>25</xdr:row>
      <xdr:rowOff>165661</xdr:rowOff>
    </xdr:to>
    <xdr:pic>
      <xdr:nvPicPr>
        <xdr:cNvPr id="31" name="Picture 29">
          <a:extLst>
            <a:ext uri="{FF2B5EF4-FFF2-40B4-BE49-F238E27FC236}">
              <a16:creationId xmlns:a16="http://schemas.microsoft.com/office/drawing/2014/main" id="{CEE2AC5C-8A74-488A-A3AD-188E01555BFB}"/>
            </a:ext>
          </a:extLst>
        </xdr:cNvPr>
        <xdr:cNvPicPr>
          <a:picLocks noChangeAspect="1"/>
        </xdr:cNvPicPr>
      </xdr:nvPicPr>
      <xdr:blipFill>
        <a:blip xmlns:r="http://schemas.openxmlformats.org/officeDocument/2006/relationships" r:embed="rId30"/>
        <a:stretch>
          <a:fillRect/>
        </a:stretch>
      </xdr:blipFill>
      <xdr:spPr>
        <a:xfrm>
          <a:off x="814692" y="4758447"/>
          <a:ext cx="56571" cy="169714"/>
        </a:xfrm>
        <a:prstGeom prst="rect">
          <a:avLst/>
        </a:prstGeom>
      </xdr:spPr>
    </xdr:pic>
    <xdr:clientData/>
  </xdr:twoCellAnchor>
  <xdr:twoCellAnchor editAs="oneCell">
    <xdr:from>
      <xdr:col>4</xdr:col>
      <xdr:colOff>24319</xdr:colOff>
      <xdr:row>24</xdr:row>
      <xdr:rowOff>48640</xdr:rowOff>
    </xdr:from>
    <xdr:to>
      <xdr:col>4</xdr:col>
      <xdr:colOff>194033</xdr:colOff>
      <xdr:row>24</xdr:row>
      <xdr:rowOff>105211</xdr:rowOff>
    </xdr:to>
    <xdr:pic>
      <xdr:nvPicPr>
        <xdr:cNvPr id="32" name="Picture 30">
          <a:extLst>
            <a:ext uri="{FF2B5EF4-FFF2-40B4-BE49-F238E27FC236}">
              <a16:creationId xmlns:a16="http://schemas.microsoft.com/office/drawing/2014/main" id="{E533262A-38D1-45F4-B551-02B1DD927318}"/>
            </a:ext>
          </a:extLst>
        </xdr:cNvPr>
        <xdr:cNvPicPr>
          <a:picLocks noChangeAspect="1"/>
        </xdr:cNvPicPr>
      </xdr:nvPicPr>
      <xdr:blipFill>
        <a:blip xmlns:r="http://schemas.openxmlformats.org/officeDocument/2006/relationships" r:embed="rId31"/>
        <a:stretch>
          <a:fillRect/>
        </a:stretch>
      </xdr:blipFill>
      <xdr:spPr>
        <a:xfrm>
          <a:off x="786319" y="4620640"/>
          <a:ext cx="169714" cy="56571"/>
        </a:xfrm>
        <a:prstGeom prst="rect">
          <a:avLst/>
        </a:prstGeom>
      </xdr:spPr>
    </xdr:pic>
    <xdr:clientData/>
  </xdr:twoCellAnchor>
  <xdr:twoCellAnchor editAs="oneCell">
    <xdr:from>
      <xdr:col>6</xdr:col>
      <xdr:colOff>0</xdr:colOff>
      <xdr:row>24</xdr:row>
      <xdr:rowOff>1</xdr:rowOff>
    </xdr:from>
    <xdr:to>
      <xdr:col>6</xdr:col>
      <xdr:colOff>169714</xdr:colOff>
      <xdr:row>24</xdr:row>
      <xdr:rowOff>167144</xdr:rowOff>
    </xdr:to>
    <xdr:pic>
      <xdr:nvPicPr>
        <xdr:cNvPr id="33" name="Picture 31">
          <a:extLst>
            <a:ext uri="{FF2B5EF4-FFF2-40B4-BE49-F238E27FC236}">
              <a16:creationId xmlns:a16="http://schemas.microsoft.com/office/drawing/2014/main" id="{4016294E-2EC6-4268-B42F-32DDF1F6BABC}"/>
            </a:ext>
          </a:extLst>
        </xdr:cNvPr>
        <xdr:cNvPicPr>
          <a:picLocks noChangeAspect="1"/>
        </xdr:cNvPicPr>
      </xdr:nvPicPr>
      <xdr:blipFill>
        <a:blip xmlns:r="http://schemas.openxmlformats.org/officeDocument/2006/relationships" r:embed="rId32"/>
        <a:stretch>
          <a:fillRect/>
        </a:stretch>
      </xdr:blipFill>
      <xdr:spPr>
        <a:xfrm>
          <a:off x="1143000" y="4572001"/>
          <a:ext cx="169714" cy="167143"/>
        </a:xfrm>
        <a:prstGeom prst="rect">
          <a:avLst/>
        </a:prstGeom>
      </xdr:spPr>
    </xdr:pic>
    <xdr:clientData/>
  </xdr:twoCellAnchor>
  <xdr:twoCellAnchor editAs="oneCell">
    <xdr:from>
      <xdr:col>7</xdr:col>
      <xdr:colOff>0</xdr:colOff>
      <xdr:row>24</xdr:row>
      <xdr:rowOff>1</xdr:rowOff>
    </xdr:from>
    <xdr:to>
      <xdr:col>7</xdr:col>
      <xdr:colOff>169714</xdr:colOff>
      <xdr:row>24</xdr:row>
      <xdr:rowOff>167144</xdr:rowOff>
    </xdr:to>
    <xdr:pic>
      <xdr:nvPicPr>
        <xdr:cNvPr id="34" name="Picture 32">
          <a:extLst>
            <a:ext uri="{FF2B5EF4-FFF2-40B4-BE49-F238E27FC236}">
              <a16:creationId xmlns:a16="http://schemas.microsoft.com/office/drawing/2014/main" id="{A03C49AA-050A-4D73-9BF1-CB21E91F5B1B}"/>
            </a:ext>
          </a:extLst>
        </xdr:cNvPr>
        <xdr:cNvPicPr>
          <a:picLocks noChangeAspect="1"/>
        </xdr:cNvPicPr>
      </xdr:nvPicPr>
      <xdr:blipFill>
        <a:blip xmlns:r="http://schemas.openxmlformats.org/officeDocument/2006/relationships" r:embed="rId33"/>
        <a:stretch>
          <a:fillRect/>
        </a:stretch>
      </xdr:blipFill>
      <xdr:spPr>
        <a:xfrm>
          <a:off x="1333500" y="4572001"/>
          <a:ext cx="169714" cy="167143"/>
        </a:xfrm>
        <a:prstGeom prst="rect">
          <a:avLst/>
        </a:prstGeom>
      </xdr:spPr>
    </xdr:pic>
    <xdr:clientData/>
  </xdr:twoCellAnchor>
  <xdr:twoCellAnchor editAs="oneCell">
    <xdr:from>
      <xdr:col>8</xdr:col>
      <xdr:colOff>0</xdr:colOff>
      <xdr:row>24</xdr:row>
      <xdr:rowOff>0</xdr:rowOff>
    </xdr:from>
    <xdr:to>
      <xdr:col>8</xdr:col>
      <xdr:colOff>172286</xdr:colOff>
      <xdr:row>24</xdr:row>
      <xdr:rowOff>172286</xdr:rowOff>
    </xdr:to>
    <xdr:pic>
      <xdr:nvPicPr>
        <xdr:cNvPr id="35" name="Picture 33">
          <a:extLst>
            <a:ext uri="{FF2B5EF4-FFF2-40B4-BE49-F238E27FC236}">
              <a16:creationId xmlns:a16="http://schemas.microsoft.com/office/drawing/2014/main" id="{62A46770-E6F1-4378-BC36-668E4A3A67D2}"/>
            </a:ext>
          </a:extLst>
        </xdr:cNvPr>
        <xdr:cNvPicPr>
          <a:picLocks noChangeAspect="1"/>
        </xdr:cNvPicPr>
      </xdr:nvPicPr>
      <xdr:blipFill>
        <a:blip xmlns:r="http://schemas.openxmlformats.org/officeDocument/2006/relationships" r:embed="rId34"/>
        <a:stretch>
          <a:fillRect/>
        </a:stretch>
      </xdr:blipFill>
      <xdr:spPr>
        <a:xfrm>
          <a:off x="1524000" y="4572000"/>
          <a:ext cx="172286" cy="172286"/>
        </a:xfrm>
        <a:prstGeom prst="rect">
          <a:avLst/>
        </a:prstGeom>
      </xdr:spPr>
    </xdr:pic>
    <xdr:clientData/>
  </xdr:twoCellAnchor>
  <xdr:twoCellAnchor editAs="oneCell">
    <xdr:from>
      <xdr:col>5</xdr:col>
      <xdr:colOff>0</xdr:colOff>
      <xdr:row>25</xdr:row>
      <xdr:rowOff>1</xdr:rowOff>
    </xdr:from>
    <xdr:to>
      <xdr:col>5</xdr:col>
      <xdr:colOff>169714</xdr:colOff>
      <xdr:row>25</xdr:row>
      <xdr:rowOff>167144</xdr:rowOff>
    </xdr:to>
    <xdr:pic>
      <xdr:nvPicPr>
        <xdr:cNvPr id="36" name="Picture 34">
          <a:extLst>
            <a:ext uri="{FF2B5EF4-FFF2-40B4-BE49-F238E27FC236}">
              <a16:creationId xmlns:a16="http://schemas.microsoft.com/office/drawing/2014/main" id="{B65612FD-90CB-4AD6-910B-E158460BF084}"/>
            </a:ext>
          </a:extLst>
        </xdr:cNvPr>
        <xdr:cNvPicPr>
          <a:picLocks noChangeAspect="1"/>
        </xdr:cNvPicPr>
      </xdr:nvPicPr>
      <xdr:blipFill>
        <a:blip xmlns:r="http://schemas.openxmlformats.org/officeDocument/2006/relationships" r:embed="rId35"/>
        <a:stretch>
          <a:fillRect/>
        </a:stretch>
      </xdr:blipFill>
      <xdr:spPr>
        <a:xfrm>
          <a:off x="952500" y="4762501"/>
          <a:ext cx="169714" cy="167143"/>
        </a:xfrm>
        <a:prstGeom prst="rect">
          <a:avLst/>
        </a:prstGeom>
      </xdr:spPr>
    </xdr:pic>
    <xdr:clientData/>
  </xdr:twoCellAnchor>
  <xdr:twoCellAnchor editAs="oneCell">
    <xdr:from>
      <xdr:col>6</xdr:col>
      <xdr:colOff>0</xdr:colOff>
      <xdr:row>25</xdr:row>
      <xdr:rowOff>0</xdr:rowOff>
    </xdr:from>
    <xdr:to>
      <xdr:col>6</xdr:col>
      <xdr:colOff>169714</xdr:colOff>
      <xdr:row>25</xdr:row>
      <xdr:rowOff>169714</xdr:rowOff>
    </xdr:to>
    <xdr:pic>
      <xdr:nvPicPr>
        <xdr:cNvPr id="37" name="Picture 35">
          <a:extLst>
            <a:ext uri="{FF2B5EF4-FFF2-40B4-BE49-F238E27FC236}">
              <a16:creationId xmlns:a16="http://schemas.microsoft.com/office/drawing/2014/main" id="{8D898656-7801-451F-B79B-8FE35E14FD16}"/>
            </a:ext>
          </a:extLst>
        </xdr:cNvPr>
        <xdr:cNvPicPr>
          <a:picLocks noChangeAspect="1"/>
        </xdr:cNvPicPr>
      </xdr:nvPicPr>
      <xdr:blipFill>
        <a:blip xmlns:r="http://schemas.openxmlformats.org/officeDocument/2006/relationships" r:embed="rId36"/>
        <a:stretch>
          <a:fillRect/>
        </a:stretch>
      </xdr:blipFill>
      <xdr:spPr>
        <a:xfrm>
          <a:off x="1143000" y="4762500"/>
          <a:ext cx="169714" cy="169714"/>
        </a:xfrm>
        <a:prstGeom prst="rect">
          <a:avLst/>
        </a:prstGeom>
      </xdr:spPr>
    </xdr:pic>
    <xdr:clientData/>
  </xdr:twoCellAnchor>
  <xdr:twoCellAnchor editAs="oneCell">
    <xdr:from>
      <xdr:col>7</xdr:col>
      <xdr:colOff>0</xdr:colOff>
      <xdr:row>25</xdr:row>
      <xdr:rowOff>0</xdr:rowOff>
    </xdr:from>
    <xdr:to>
      <xdr:col>7</xdr:col>
      <xdr:colOff>169714</xdr:colOff>
      <xdr:row>25</xdr:row>
      <xdr:rowOff>172286</xdr:rowOff>
    </xdr:to>
    <xdr:pic>
      <xdr:nvPicPr>
        <xdr:cNvPr id="38" name="Picture 36">
          <a:extLst>
            <a:ext uri="{FF2B5EF4-FFF2-40B4-BE49-F238E27FC236}">
              <a16:creationId xmlns:a16="http://schemas.microsoft.com/office/drawing/2014/main" id="{11E5CE2D-A443-4965-88DC-90968CB35FCF}"/>
            </a:ext>
          </a:extLst>
        </xdr:cNvPr>
        <xdr:cNvPicPr>
          <a:picLocks noChangeAspect="1"/>
        </xdr:cNvPicPr>
      </xdr:nvPicPr>
      <xdr:blipFill>
        <a:blip xmlns:r="http://schemas.openxmlformats.org/officeDocument/2006/relationships" r:embed="rId37"/>
        <a:stretch>
          <a:fillRect/>
        </a:stretch>
      </xdr:blipFill>
      <xdr:spPr>
        <a:xfrm>
          <a:off x="1333500" y="4762500"/>
          <a:ext cx="169714" cy="172286"/>
        </a:xfrm>
        <a:prstGeom prst="rect">
          <a:avLst/>
        </a:prstGeom>
      </xdr:spPr>
    </xdr:pic>
    <xdr:clientData/>
  </xdr:twoCellAnchor>
  <xdr:twoCellAnchor editAs="oneCell">
    <xdr:from>
      <xdr:col>8</xdr:col>
      <xdr:colOff>1</xdr:colOff>
      <xdr:row>25</xdr:row>
      <xdr:rowOff>1</xdr:rowOff>
    </xdr:from>
    <xdr:to>
      <xdr:col>8</xdr:col>
      <xdr:colOff>167144</xdr:colOff>
      <xdr:row>25</xdr:row>
      <xdr:rowOff>167144</xdr:rowOff>
    </xdr:to>
    <xdr:pic>
      <xdr:nvPicPr>
        <xdr:cNvPr id="39" name="Picture 37">
          <a:extLst>
            <a:ext uri="{FF2B5EF4-FFF2-40B4-BE49-F238E27FC236}">
              <a16:creationId xmlns:a16="http://schemas.microsoft.com/office/drawing/2014/main" id="{897D46B2-0E4E-4B72-AE56-02E7BEEBEB2A}"/>
            </a:ext>
          </a:extLst>
        </xdr:cNvPr>
        <xdr:cNvPicPr>
          <a:picLocks noChangeAspect="1"/>
        </xdr:cNvPicPr>
      </xdr:nvPicPr>
      <xdr:blipFill>
        <a:blip xmlns:r="http://schemas.openxmlformats.org/officeDocument/2006/relationships" r:embed="rId38"/>
        <a:stretch>
          <a:fillRect/>
        </a:stretch>
      </xdr:blipFill>
      <xdr:spPr>
        <a:xfrm>
          <a:off x="1524001" y="4762501"/>
          <a:ext cx="167143" cy="167143"/>
        </a:xfrm>
        <a:prstGeom prst="rect">
          <a:avLst/>
        </a:prstGeom>
      </xdr:spPr>
    </xdr:pic>
    <xdr:clientData/>
  </xdr:twoCellAnchor>
  <xdr:twoCellAnchor editAs="oneCell">
    <xdr:from>
      <xdr:col>5</xdr:col>
      <xdr:colOff>1</xdr:colOff>
      <xdr:row>26</xdr:row>
      <xdr:rowOff>1</xdr:rowOff>
    </xdr:from>
    <xdr:to>
      <xdr:col>5</xdr:col>
      <xdr:colOff>164572</xdr:colOff>
      <xdr:row>26</xdr:row>
      <xdr:rowOff>164572</xdr:rowOff>
    </xdr:to>
    <xdr:pic>
      <xdr:nvPicPr>
        <xdr:cNvPr id="40" name="Picture 38">
          <a:extLst>
            <a:ext uri="{FF2B5EF4-FFF2-40B4-BE49-F238E27FC236}">
              <a16:creationId xmlns:a16="http://schemas.microsoft.com/office/drawing/2014/main" id="{17773C4C-7122-492E-98A9-69E291DB5509}"/>
            </a:ext>
          </a:extLst>
        </xdr:cNvPr>
        <xdr:cNvPicPr>
          <a:picLocks noChangeAspect="1"/>
        </xdr:cNvPicPr>
      </xdr:nvPicPr>
      <xdr:blipFill>
        <a:blip xmlns:r="http://schemas.openxmlformats.org/officeDocument/2006/relationships" r:embed="rId39"/>
        <a:stretch>
          <a:fillRect/>
        </a:stretch>
      </xdr:blipFill>
      <xdr:spPr>
        <a:xfrm>
          <a:off x="952501" y="4953001"/>
          <a:ext cx="164571" cy="164571"/>
        </a:xfrm>
        <a:prstGeom prst="rect">
          <a:avLst/>
        </a:prstGeom>
      </xdr:spPr>
    </xdr:pic>
    <xdr:clientData/>
  </xdr:twoCellAnchor>
  <xdr:twoCellAnchor editAs="oneCell">
    <xdr:from>
      <xdr:col>6</xdr:col>
      <xdr:colOff>1</xdr:colOff>
      <xdr:row>26</xdr:row>
      <xdr:rowOff>1</xdr:rowOff>
    </xdr:from>
    <xdr:to>
      <xdr:col>6</xdr:col>
      <xdr:colOff>164572</xdr:colOff>
      <xdr:row>26</xdr:row>
      <xdr:rowOff>167144</xdr:rowOff>
    </xdr:to>
    <xdr:pic>
      <xdr:nvPicPr>
        <xdr:cNvPr id="41" name="Picture 39">
          <a:extLst>
            <a:ext uri="{FF2B5EF4-FFF2-40B4-BE49-F238E27FC236}">
              <a16:creationId xmlns:a16="http://schemas.microsoft.com/office/drawing/2014/main" id="{02D12004-7A4C-4E9F-B884-FEEC74744B9D}"/>
            </a:ext>
          </a:extLst>
        </xdr:cNvPr>
        <xdr:cNvPicPr>
          <a:picLocks noChangeAspect="1"/>
        </xdr:cNvPicPr>
      </xdr:nvPicPr>
      <xdr:blipFill>
        <a:blip xmlns:r="http://schemas.openxmlformats.org/officeDocument/2006/relationships" r:embed="rId40"/>
        <a:stretch>
          <a:fillRect/>
        </a:stretch>
      </xdr:blipFill>
      <xdr:spPr>
        <a:xfrm>
          <a:off x="1143001" y="4953001"/>
          <a:ext cx="164571" cy="167143"/>
        </a:xfrm>
        <a:prstGeom prst="rect">
          <a:avLst/>
        </a:prstGeom>
      </xdr:spPr>
    </xdr:pic>
    <xdr:clientData/>
  </xdr:twoCellAnchor>
  <xdr:twoCellAnchor editAs="oneCell">
    <xdr:from>
      <xdr:col>7</xdr:col>
      <xdr:colOff>1</xdr:colOff>
      <xdr:row>26</xdr:row>
      <xdr:rowOff>1</xdr:rowOff>
    </xdr:from>
    <xdr:to>
      <xdr:col>7</xdr:col>
      <xdr:colOff>167144</xdr:colOff>
      <xdr:row>26</xdr:row>
      <xdr:rowOff>167144</xdr:rowOff>
    </xdr:to>
    <xdr:pic>
      <xdr:nvPicPr>
        <xdr:cNvPr id="42" name="Picture 40">
          <a:extLst>
            <a:ext uri="{FF2B5EF4-FFF2-40B4-BE49-F238E27FC236}">
              <a16:creationId xmlns:a16="http://schemas.microsoft.com/office/drawing/2014/main" id="{69C1086F-1873-490E-93D4-00DEF24DF7B6}"/>
            </a:ext>
          </a:extLst>
        </xdr:cNvPr>
        <xdr:cNvPicPr>
          <a:picLocks noChangeAspect="1"/>
        </xdr:cNvPicPr>
      </xdr:nvPicPr>
      <xdr:blipFill>
        <a:blip xmlns:r="http://schemas.openxmlformats.org/officeDocument/2006/relationships" r:embed="rId41"/>
        <a:stretch>
          <a:fillRect/>
        </a:stretch>
      </xdr:blipFill>
      <xdr:spPr>
        <a:xfrm>
          <a:off x="1333501" y="4953001"/>
          <a:ext cx="167143" cy="167143"/>
        </a:xfrm>
        <a:prstGeom prst="rect">
          <a:avLst/>
        </a:prstGeom>
      </xdr:spPr>
    </xdr:pic>
    <xdr:clientData/>
  </xdr:twoCellAnchor>
  <xdr:twoCellAnchor editAs="oneCell">
    <xdr:from>
      <xdr:col>5</xdr:col>
      <xdr:colOff>1</xdr:colOff>
      <xdr:row>27</xdr:row>
      <xdr:rowOff>1</xdr:rowOff>
    </xdr:from>
    <xdr:to>
      <xdr:col>5</xdr:col>
      <xdr:colOff>164572</xdr:colOff>
      <xdr:row>27</xdr:row>
      <xdr:rowOff>167144</xdr:rowOff>
    </xdr:to>
    <xdr:pic>
      <xdr:nvPicPr>
        <xdr:cNvPr id="43" name="Picture 41">
          <a:extLst>
            <a:ext uri="{FF2B5EF4-FFF2-40B4-BE49-F238E27FC236}">
              <a16:creationId xmlns:a16="http://schemas.microsoft.com/office/drawing/2014/main" id="{074B354E-9EDA-4231-9152-7B8655F7D088}"/>
            </a:ext>
          </a:extLst>
        </xdr:cNvPr>
        <xdr:cNvPicPr>
          <a:picLocks noChangeAspect="1"/>
        </xdr:cNvPicPr>
      </xdr:nvPicPr>
      <xdr:blipFill>
        <a:blip xmlns:r="http://schemas.openxmlformats.org/officeDocument/2006/relationships" r:embed="rId42"/>
        <a:stretch>
          <a:fillRect/>
        </a:stretch>
      </xdr:blipFill>
      <xdr:spPr>
        <a:xfrm>
          <a:off x="952501" y="5143501"/>
          <a:ext cx="164571" cy="167143"/>
        </a:xfrm>
        <a:prstGeom prst="rect">
          <a:avLst/>
        </a:prstGeom>
      </xdr:spPr>
    </xdr:pic>
    <xdr:clientData/>
  </xdr:twoCellAnchor>
  <xdr:twoCellAnchor editAs="oneCell">
    <xdr:from>
      <xdr:col>6</xdr:col>
      <xdr:colOff>0</xdr:colOff>
      <xdr:row>27</xdr:row>
      <xdr:rowOff>1</xdr:rowOff>
    </xdr:from>
    <xdr:to>
      <xdr:col>6</xdr:col>
      <xdr:colOff>162000</xdr:colOff>
      <xdr:row>27</xdr:row>
      <xdr:rowOff>164572</xdr:rowOff>
    </xdr:to>
    <xdr:pic>
      <xdr:nvPicPr>
        <xdr:cNvPr id="44" name="Picture 42">
          <a:extLst>
            <a:ext uri="{FF2B5EF4-FFF2-40B4-BE49-F238E27FC236}">
              <a16:creationId xmlns:a16="http://schemas.microsoft.com/office/drawing/2014/main" id="{C40B25C4-9DF3-4E77-A76C-64668A75F343}"/>
            </a:ext>
          </a:extLst>
        </xdr:cNvPr>
        <xdr:cNvPicPr>
          <a:picLocks noChangeAspect="1"/>
        </xdr:cNvPicPr>
      </xdr:nvPicPr>
      <xdr:blipFill>
        <a:blip xmlns:r="http://schemas.openxmlformats.org/officeDocument/2006/relationships" r:embed="rId43"/>
        <a:stretch>
          <a:fillRect/>
        </a:stretch>
      </xdr:blipFill>
      <xdr:spPr>
        <a:xfrm>
          <a:off x="1143000" y="5143501"/>
          <a:ext cx="162000" cy="164571"/>
        </a:xfrm>
        <a:prstGeom prst="rect">
          <a:avLst/>
        </a:prstGeom>
      </xdr:spPr>
    </xdr:pic>
    <xdr:clientData/>
  </xdr:twoCellAnchor>
  <xdr:twoCellAnchor editAs="oneCell">
    <xdr:from>
      <xdr:col>7</xdr:col>
      <xdr:colOff>1</xdr:colOff>
      <xdr:row>27</xdr:row>
      <xdr:rowOff>1</xdr:rowOff>
    </xdr:from>
    <xdr:to>
      <xdr:col>7</xdr:col>
      <xdr:colOff>167144</xdr:colOff>
      <xdr:row>27</xdr:row>
      <xdr:rowOff>167144</xdr:rowOff>
    </xdr:to>
    <xdr:pic>
      <xdr:nvPicPr>
        <xdr:cNvPr id="45" name="Picture 43">
          <a:extLst>
            <a:ext uri="{FF2B5EF4-FFF2-40B4-BE49-F238E27FC236}">
              <a16:creationId xmlns:a16="http://schemas.microsoft.com/office/drawing/2014/main" id="{0F2E386B-41B4-4744-ABA8-3B9630E61462}"/>
            </a:ext>
          </a:extLst>
        </xdr:cNvPr>
        <xdr:cNvPicPr>
          <a:picLocks noChangeAspect="1"/>
        </xdr:cNvPicPr>
      </xdr:nvPicPr>
      <xdr:blipFill>
        <a:blip xmlns:r="http://schemas.openxmlformats.org/officeDocument/2006/relationships" r:embed="rId44"/>
        <a:stretch>
          <a:fillRect/>
        </a:stretch>
      </xdr:blipFill>
      <xdr:spPr>
        <a:xfrm>
          <a:off x="1333501" y="5143501"/>
          <a:ext cx="167143" cy="167143"/>
        </a:xfrm>
        <a:prstGeom prst="rect">
          <a:avLst/>
        </a:prstGeom>
      </xdr:spPr>
    </xdr:pic>
    <xdr:clientData/>
  </xdr:twoCellAnchor>
  <xdr:twoCellAnchor editAs="oneCell">
    <xdr:from>
      <xdr:col>5</xdr:col>
      <xdr:colOff>1</xdr:colOff>
      <xdr:row>28</xdr:row>
      <xdr:rowOff>1</xdr:rowOff>
    </xdr:from>
    <xdr:to>
      <xdr:col>5</xdr:col>
      <xdr:colOff>164572</xdr:colOff>
      <xdr:row>28</xdr:row>
      <xdr:rowOff>164572</xdr:rowOff>
    </xdr:to>
    <xdr:pic>
      <xdr:nvPicPr>
        <xdr:cNvPr id="46" name="Picture 44">
          <a:extLst>
            <a:ext uri="{FF2B5EF4-FFF2-40B4-BE49-F238E27FC236}">
              <a16:creationId xmlns:a16="http://schemas.microsoft.com/office/drawing/2014/main" id="{F2CABE90-F40D-4941-B62D-0AE43924D0D6}"/>
            </a:ext>
          </a:extLst>
        </xdr:cNvPr>
        <xdr:cNvPicPr>
          <a:picLocks noChangeAspect="1"/>
        </xdr:cNvPicPr>
      </xdr:nvPicPr>
      <xdr:blipFill>
        <a:blip xmlns:r="http://schemas.openxmlformats.org/officeDocument/2006/relationships" r:embed="rId45"/>
        <a:stretch>
          <a:fillRect/>
        </a:stretch>
      </xdr:blipFill>
      <xdr:spPr>
        <a:xfrm>
          <a:off x="952501" y="5334001"/>
          <a:ext cx="164571" cy="164571"/>
        </a:xfrm>
        <a:prstGeom prst="rect">
          <a:avLst/>
        </a:prstGeom>
      </xdr:spPr>
    </xdr:pic>
    <xdr:clientData/>
  </xdr:twoCellAnchor>
  <xdr:twoCellAnchor editAs="oneCell">
    <xdr:from>
      <xdr:col>6</xdr:col>
      <xdr:colOff>1</xdr:colOff>
      <xdr:row>28</xdr:row>
      <xdr:rowOff>1</xdr:rowOff>
    </xdr:from>
    <xdr:to>
      <xdr:col>6</xdr:col>
      <xdr:colOff>6096</xdr:colOff>
      <xdr:row>28</xdr:row>
      <xdr:rowOff>6096</xdr:rowOff>
    </xdr:to>
    <xdr:pic>
      <xdr:nvPicPr>
        <xdr:cNvPr id="47" name="Picture 45">
          <a:extLst>
            <a:ext uri="{FF2B5EF4-FFF2-40B4-BE49-F238E27FC236}">
              <a16:creationId xmlns:a16="http://schemas.microsoft.com/office/drawing/2014/main" id="{8C1B321E-5D6E-44C4-AA6E-C049C819F08B}"/>
            </a:ext>
          </a:extLst>
        </xdr:cNvPr>
        <xdr:cNvPicPr>
          <a:picLocks noChangeAspect="1"/>
        </xdr:cNvPicPr>
      </xdr:nvPicPr>
      <xdr:blipFill>
        <a:blip xmlns:r="http://schemas.openxmlformats.org/officeDocument/2006/relationships" r:embed="rId45"/>
        <a:stretch>
          <a:fillRect/>
        </a:stretch>
      </xdr:blipFill>
      <xdr:spPr>
        <a:xfrm>
          <a:off x="1143001" y="5334001"/>
          <a:ext cx="6095" cy="6095"/>
        </a:xfrm>
        <a:prstGeom prst="rect">
          <a:avLst/>
        </a:prstGeom>
      </xdr:spPr>
    </xdr:pic>
    <xdr:clientData/>
  </xdr:twoCellAnchor>
  <xdr:twoCellAnchor editAs="oneCell">
    <xdr:from>
      <xdr:col>6</xdr:col>
      <xdr:colOff>1</xdr:colOff>
      <xdr:row>28</xdr:row>
      <xdr:rowOff>1</xdr:rowOff>
    </xdr:from>
    <xdr:to>
      <xdr:col>6</xdr:col>
      <xdr:colOff>164572</xdr:colOff>
      <xdr:row>28</xdr:row>
      <xdr:rowOff>164572</xdr:rowOff>
    </xdr:to>
    <xdr:pic>
      <xdr:nvPicPr>
        <xdr:cNvPr id="48" name="Picture 46">
          <a:extLst>
            <a:ext uri="{FF2B5EF4-FFF2-40B4-BE49-F238E27FC236}">
              <a16:creationId xmlns:a16="http://schemas.microsoft.com/office/drawing/2014/main" id="{B0DC00ED-33E5-43FD-8549-2EA92D83E972}"/>
            </a:ext>
          </a:extLst>
        </xdr:cNvPr>
        <xdr:cNvPicPr>
          <a:picLocks noChangeAspect="1"/>
        </xdr:cNvPicPr>
      </xdr:nvPicPr>
      <xdr:blipFill>
        <a:blip xmlns:r="http://schemas.openxmlformats.org/officeDocument/2006/relationships" r:embed="rId46"/>
        <a:stretch>
          <a:fillRect/>
        </a:stretch>
      </xdr:blipFill>
      <xdr:spPr>
        <a:xfrm>
          <a:off x="1143001" y="5334001"/>
          <a:ext cx="164571" cy="164571"/>
        </a:xfrm>
        <a:prstGeom prst="rect">
          <a:avLst/>
        </a:prstGeom>
      </xdr:spPr>
    </xdr:pic>
    <xdr:clientData/>
  </xdr:twoCellAnchor>
  <xdr:twoCellAnchor editAs="oneCell">
    <xdr:from>
      <xdr:col>7</xdr:col>
      <xdr:colOff>0</xdr:colOff>
      <xdr:row>28</xdr:row>
      <xdr:rowOff>0</xdr:rowOff>
    </xdr:from>
    <xdr:to>
      <xdr:col>7</xdr:col>
      <xdr:colOff>162000</xdr:colOff>
      <xdr:row>28</xdr:row>
      <xdr:rowOff>162000</xdr:rowOff>
    </xdr:to>
    <xdr:pic>
      <xdr:nvPicPr>
        <xdr:cNvPr id="49" name="Picture 47">
          <a:extLst>
            <a:ext uri="{FF2B5EF4-FFF2-40B4-BE49-F238E27FC236}">
              <a16:creationId xmlns:a16="http://schemas.microsoft.com/office/drawing/2014/main" id="{6B745210-DB9E-4D6D-A865-E5249BD662D6}"/>
            </a:ext>
          </a:extLst>
        </xdr:cNvPr>
        <xdr:cNvPicPr>
          <a:picLocks noChangeAspect="1"/>
        </xdr:cNvPicPr>
      </xdr:nvPicPr>
      <xdr:blipFill>
        <a:blip xmlns:r="http://schemas.openxmlformats.org/officeDocument/2006/relationships" r:embed="rId47"/>
        <a:stretch>
          <a:fillRect/>
        </a:stretch>
      </xdr:blipFill>
      <xdr:spPr>
        <a:xfrm>
          <a:off x="1333500" y="5334000"/>
          <a:ext cx="162000" cy="162000"/>
        </a:xfrm>
        <a:prstGeom prst="rect">
          <a:avLst/>
        </a:prstGeom>
      </xdr:spPr>
    </xdr:pic>
    <xdr:clientData/>
  </xdr:twoCellAnchor>
  <xdr:twoCellAnchor editAs="oneCell">
    <xdr:from>
      <xdr:col>8</xdr:col>
      <xdr:colOff>1</xdr:colOff>
      <xdr:row>26</xdr:row>
      <xdr:rowOff>0</xdr:rowOff>
    </xdr:from>
    <xdr:to>
      <xdr:col>8</xdr:col>
      <xdr:colOff>167144</xdr:colOff>
      <xdr:row>26</xdr:row>
      <xdr:rowOff>162000</xdr:rowOff>
    </xdr:to>
    <xdr:pic>
      <xdr:nvPicPr>
        <xdr:cNvPr id="50" name="Picture 48">
          <a:extLst>
            <a:ext uri="{FF2B5EF4-FFF2-40B4-BE49-F238E27FC236}">
              <a16:creationId xmlns:a16="http://schemas.microsoft.com/office/drawing/2014/main" id="{6BB352CC-305D-4F18-A67E-FBD7AD08AE1D}"/>
            </a:ext>
          </a:extLst>
        </xdr:cNvPr>
        <xdr:cNvPicPr>
          <a:picLocks noChangeAspect="1"/>
        </xdr:cNvPicPr>
      </xdr:nvPicPr>
      <xdr:blipFill>
        <a:blip xmlns:r="http://schemas.openxmlformats.org/officeDocument/2006/relationships" r:embed="rId48"/>
        <a:stretch>
          <a:fillRect/>
        </a:stretch>
      </xdr:blipFill>
      <xdr:spPr>
        <a:xfrm>
          <a:off x="1524001" y="4953000"/>
          <a:ext cx="167143" cy="162000"/>
        </a:xfrm>
        <a:prstGeom prst="rect">
          <a:avLst/>
        </a:prstGeom>
      </xdr:spPr>
    </xdr:pic>
    <xdr:clientData/>
  </xdr:twoCellAnchor>
  <xdr:twoCellAnchor editAs="oneCell">
    <xdr:from>
      <xdr:col>8</xdr:col>
      <xdr:colOff>1</xdr:colOff>
      <xdr:row>27</xdr:row>
      <xdr:rowOff>1</xdr:rowOff>
    </xdr:from>
    <xdr:to>
      <xdr:col>8</xdr:col>
      <xdr:colOff>167144</xdr:colOff>
      <xdr:row>27</xdr:row>
      <xdr:rowOff>167144</xdr:rowOff>
    </xdr:to>
    <xdr:pic>
      <xdr:nvPicPr>
        <xdr:cNvPr id="51" name="Picture 49">
          <a:extLst>
            <a:ext uri="{FF2B5EF4-FFF2-40B4-BE49-F238E27FC236}">
              <a16:creationId xmlns:a16="http://schemas.microsoft.com/office/drawing/2014/main" id="{A8EC7F2F-9C27-48B4-B83D-A308A1FA7818}"/>
            </a:ext>
          </a:extLst>
        </xdr:cNvPr>
        <xdr:cNvPicPr>
          <a:picLocks noChangeAspect="1"/>
        </xdr:cNvPicPr>
      </xdr:nvPicPr>
      <xdr:blipFill>
        <a:blip xmlns:r="http://schemas.openxmlformats.org/officeDocument/2006/relationships" r:embed="rId49"/>
        <a:stretch>
          <a:fillRect/>
        </a:stretch>
      </xdr:blipFill>
      <xdr:spPr>
        <a:xfrm>
          <a:off x="1524001" y="5143501"/>
          <a:ext cx="167143" cy="167143"/>
        </a:xfrm>
        <a:prstGeom prst="rect">
          <a:avLst/>
        </a:prstGeom>
      </xdr:spPr>
    </xdr:pic>
    <xdr:clientData/>
  </xdr:twoCellAnchor>
  <xdr:twoCellAnchor editAs="oneCell">
    <xdr:from>
      <xdr:col>8</xdr:col>
      <xdr:colOff>1</xdr:colOff>
      <xdr:row>28</xdr:row>
      <xdr:rowOff>1</xdr:rowOff>
    </xdr:from>
    <xdr:to>
      <xdr:col>8</xdr:col>
      <xdr:colOff>164572</xdr:colOff>
      <xdr:row>28</xdr:row>
      <xdr:rowOff>164572</xdr:rowOff>
    </xdr:to>
    <xdr:pic>
      <xdr:nvPicPr>
        <xdr:cNvPr id="52" name="Picture 50">
          <a:extLst>
            <a:ext uri="{FF2B5EF4-FFF2-40B4-BE49-F238E27FC236}">
              <a16:creationId xmlns:a16="http://schemas.microsoft.com/office/drawing/2014/main" id="{232DCA83-E930-468B-BBB7-0A5F1CB66520}"/>
            </a:ext>
          </a:extLst>
        </xdr:cNvPr>
        <xdr:cNvPicPr>
          <a:picLocks noChangeAspect="1"/>
        </xdr:cNvPicPr>
      </xdr:nvPicPr>
      <xdr:blipFill>
        <a:blip xmlns:r="http://schemas.openxmlformats.org/officeDocument/2006/relationships" r:embed="rId50"/>
        <a:stretch>
          <a:fillRect/>
        </a:stretch>
      </xdr:blipFill>
      <xdr:spPr>
        <a:xfrm>
          <a:off x="1524001" y="5334001"/>
          <a:ext cx="164571" cy="164571"/>
        </a:xfrm>
        <a:prstGeom prst="rect">
          <a:avLst/>
        </a:prstGeom>
      </xdr:spPr>
    </xdr:pic>
    <xdr:clientData/>
  </xdr:twoCellAnchor>
  <xdr:twoCellAnchor editAs="oneCell">
    <xdr:from>
      <xdr:col>7</xdr:col>
      <xdr:colOff>42610</xdr:colOff>
      <xdr:row>1</xdr:row>
      <xdr:rowOff>178823</xdr:rowOff>
    </xdr:from>
    <xdr:to>
      <xdr:col>7</xdr:col>
      <xdr:colOff>135181</xdr:colOff>
      <xdr:row>4</xdr:row>
      <xdr:rowOff>8466</xdr:rowOff>
    </xdr:to>
    <xdr:pic>
      <xdr:nvPicPr>
        <xdr:cNvPr id="53" name="Picture 51">
          <a:extLst>
            <a:ext uri="{FF2B5EF4-FFF2-40B4-BE49-F238E27FC236}">
              <a16:creationId xmlns:a16="http://schemas.microsoft.com/office/drawing/2014/main" id="{700C6794-D6F4-4F51-8F12-C709A67C95E1}"/>
            </a:ext>
          </a:extLst>
        </xdr:cNvPr>
        <xdr:cNvPicPr>
          <a:picLocks noChangeAspect="1"/>
        </xdr:cNvPicPr>
      </xdr:nvPicPr>
      <xdr:blipFill>
        <a:blip xmlns:r="http://schemas.openxmlformats.org/officeDocument/2006/relationships" r:embed="rId51"/>
        <a:stretch>
          <a:fillRect/>
        </a:stretch>
      </xdr:blipFill>
      <xdr:spPr>
        <a:xfrm>
          <a:off x="1376110" y="369323"/>
          <a:ext cx="92571" cy="401143"/>
        </a:xfrm>
        <a:prstGeom prst="rect">
          <a:avLst/>
        </a:prstGeom>
      </xdr:spPr>
    </xdr:pic>
    <xdr:clientData/>
  </xdr:twoCellAnchor>
  <xdr:twoCellAnchor editAs="oneCell">
    <xdr:from>
      <xdr:col>8</xdr:col>
      <xdr:colOff>64699</xdr:colOff>
      <xdr:row>3</xdr:row>
      <xdr:rowOff>42407</xdr:rowOff>
    </xdr:from>
    <xdr:to>
      <xdr:col>9</xdr:col>
      <xdr:colOff>182814</xdr:colOff>
      <xdr:row>3</xdr:row>
      <xdr:rowOff>134978</xdr:rowOff>
    </xdr:to>
    <xdr:pic>
      <xdr:nvPicPr>
        <xdr:cNvPr id="54" name="Picture 52">
          <a:extLst>
            <a:ext uri="{FF2B5EF4-FFF2-40B4-BE49-F238E27FC236}">
              <a16:creationId xmlns:a16="http://schemas.microsoft.com/office/drawing/2014/main" id="{6F8DE209-1864-4598-977F-1372C82DC030}"/>
            </a:ext>
          </a:extLst>
        </xdr:cNvPr>
        <xdr:cNvPicPr>
          <a:picLocks noChangeAspect="1"/>
        </xdr:cNvPicPr>
      </xdr:nvPicPr>
      <xdr:blipFill>
        <a:blip xmlns:r="http://schemas.openxmlformats.org/officeDocument/2006/relationships" r:embed="rId52"/>
        <a:stretch>
          <a:fillRect/>
        </a:stretch>
      </xdr:blipFill>
      <xdr:spPr>
        <a:xfrm>
          <a:off x="1588699" y="613907"/>
          <a:ext cx="363043" cy="92571"/>
        </a:xfrm>
        <a:prstGeom prst="rect">
          <a:avLst/>
        </a:prstGeom>
      </xdr:spPr>
    </xdr:pic>
    <xdr:clientData/>
  </xdr:twoCellAnchor>
  <xdr:twoCellAnchor editAs="oneCell">
    <xdr:from>
      <xdr:col>9</xdr:col>
      <xdr:colOff>28099</xdr:colOff>
      <xdr:row>28</xdr:row>
      <xdr:rowOff>46672</xdr:rowOff>
    </xdr:from>
    <xdr:to>
      <xdr:col>9</xdr:col>
      <xdr:colOff>159242</xdr:colOff>
      <xdr:row>28</xdr:row>
      <xdr:rowOff>141815</xdr:rowOff>
    </xdr:to>
    <xdr:pic>
      <xdr:nvPicPr>
        <xdr:cNvPr id="55" name="Picture 54">
          <a:extLst>
            <a:ext uri="{FF2B5EF4-FFF2-40B4-BE49-F238E27FC236}">
              <a16:creationId xmlns:a16="http://schemas.microsoft.com/office/drawing/2014/main" id="{5090208F-FF95-40AA-9417-C4E237F3B79D}"/>
            </a:ext>
          </a:extLst>
        </xdr:cNvPr>
        <xdr:cNvPicPr>
          <a:picLocks noChangeAspect="1"/>
        </xdr:cNvPicPr>
      </xdr:nvPicPr>
      <xdr:blipFill>
        <a:blip xmlns:r="http://schemas.openxmlformats.org/officeDocument/2006/relationships" r:embed="rId53"/>
        <a:stretch>
          <a:fillRect/>
        </a:stretch>
      </xdr:blipFill>
      <xdr:spPr>
        <a:xfrm>
          <a:off x="1742599" y="5380672"/>
          <a:ext cx="131143" cy="95143"/>
        </a:xfrm>
        <a:prstGeom prst="rect">
          <a:avLst/>
        </a:prstGeom>
      </xdr:spPr>
    </xdr:pic>
    <xdr:clientData/>
  </xdr:twoCellAnchor>
  <xdr:twoCellAnchor editAs="oneCell">
    <xdr:from>
      <xdr:col>5</xdr:col>
      <xdr:colOff>54517</xdr:colOff>
      <xdr:row>3</xdr:row>
      <xdr:rowOff>6435</xdr:rowOff>
    </xdr:from>
    <xdr:to>
      <xdr:col>5</xdr:col>
      <xdr:colOff>113660</xdr:colOff>
      <xdr:row>4</xdr:row>
      <xdr:rowOff>6221</xdr:rowOff>
    </xdr:to>
    <xdr:pic>
      <xdr:nvPicPr>
        <xdr:cNvPr id="56" name="Picture 55">
          <a:extLst>
            <a:ext uri="{FF2B5EF4-FFF2-40B4-BE49-F238E27FC236}">
              <a16:creationId xmlns:a16="http://schemas.microsoft.com/office/drawing/2014/main" id="{B8D7FDDC-07DC-440F-AEC1-097F2085D79E}"/>
            </a:ext>
          </a:extLst>
        </xdr:cNvPr>
        <xdr:cNvPicPr>
          <a:picLocks noChangeAspect="1"/>
        </xdr:cNvPicPr>
      </xdr:nvPicPr>
      <xdr:blipFill>
        <a:blip xmlns:r="http://schemas.openxmlformats.org/officeDocument/2006/relationships" r:embed="rId54"/>
        <a:stretch>
          <a:fillRect/>
        </a:stretch>
      </xdr:blipFill>
      <xdr:spPr>
        <a:xfrm>
          <a:off x="1007017" y="577935"/>
          <a:ext cx="59143" cy="190286"/>
        </a:xfrm>
        <a:prstGeom prst="rect">
          <a:avLst/>
        </a:prstGeom>
      </xdr:spPr>
    </xdr:pic>
    <xdr:clientData/>
  </xdr:twoCellAnchor>
  <xdr:twoCellAnchor editAs="oneCell">
    <xdr:from>
      <xdr:col>4</xdr:col>
      <xdr:colOff>202407</xdr:colOff>
      <xdr:row>5</xdr:row>
      <xdr:rowOff>66219</xdr:rowOff>
    </xdr:from>
    <xdr:to>
      <xdr:col>5</xdr:col>
      <xdr:colOff>137023</xdr:colOff>
      <xdr:row>5</xdr:row>
      <xdr:rowOff>125362</xdr:rowOff>
    </xdr:to>
    <xdr:pic>
      <xdr:nvPicPr>
        <xdr:cNvPr id="57" name="Picture 56">
          <a:extLst>
            <a:ext uri="{FF2B5EF4-FFF2-40B4-BE49-F238E27FC236}">
              <a16:creationId xmlns:a16="http://schemas.microsoft.com/office/drawing/2014/main" id="{5F7D68DD-2554-4C09-9A84-461E8677EF0A}"/>
            </a:ext>
          </a:extLst>
        </xdr:cNvPr>
        <xdr:cNvPicPr>
          <a:picLocks noChangeAspect="1"/>
        </xdr:cNvPicPr>
      </xdr:nvPicPr>
      <xdr:blipFill>
        <a:blip xmlns:r="http://schemas.openxmlformats.org/officeDocument/2006/relationships" r:embed="rId55"/>
        <a:stretch>
          <a:fillRect/>
        </a:stretch>
      </xdr:blipFill>
      <xdr:spPr>
        <a:xfrm>
          <a:off x="954882" y="1018719"/>
          <a:ext cx="179545" cy="59143"/>
        </a:xfrm>
        <a:prstGeom prst="rect">
          <a:avLst/>
        </a:prstGeom>
      </xdr:spPr>
    </xdr:pic>
    <xdr:clientData/>
  </xdr:twoCellAnchor>
  <xdr:twoCellAnchor editAs="oneCell">
    <xdr:from>
      <xdr:col>3</xdr:col>
      <xdr:colOff>81064</xdr:colOff>
      <xdr:row>2</xdr:row>
      <xdr:rowOff>178341</xdr:rowOff>
    </xdr:from>
    <xdr:to>
      <xdr:col>3</xdr:col>
      <xdr:colOff>135064</xdr:colOff>
      <xdr:row>4</xdr:row>
      <xdr:rowOff>10770</xdr:rowOff>
    </xdr:to>
    <xdr:pic>
      <xdr:nvPicPr>
        <xdr:cNvPr id="58" name="Picture 57">
          <a:extLst>
            <a:ext uri="{FF2B5EF4-FFF2-40B4-BE49-F238E27FC236}">
              <a16:creationId xmlns:a16="http://schemas.microsoft.com/office/drawing/2014/main" id="{075CA83B-AB20-40D2-8635-B2A792C555A2}"/>
            </a:ext>
          </a:extLst>
        </xdr:cNvPr>
        <xdr:cNvPicPr>
          <a:picLocks noChangeAspect="1"/>
        </xdr:cNvPicPr>
      </xdr:nvPicPr>
      <xdr:blipFill>
        <a:blip xmlns:r="http://schemas.openxmlformats.org/officeDocument/2006/relationships" r:embed="rId56"/>
        <a:stretch>
          <a:fillRect/>
        </a:stretch>
      </xdr:blipFill>
      <xdr:spPr>
        <a:xfrm>
          <a:off x="652564" y="559341"/>
          <a:ext cx="54000" cy="213429"/>
        </a:xfrm>
        <a:prstGeom prst="rect">
          <a:avLst/>
        </a:prstGeom>
      </xdr:spPr>
    </xdr:pic>
    <xdr:clientData/>
  </xdr:twoCellAnchor>
  <xdr:twoCellAnchor editAs="oneCell">
    <xdr:from>
      <xdr:col>2</xdr:col>
      <xdr:colOff>204788</xdr:colOff>
      <xdr:row>5</xdr:row>
      <xdr:rowOff>52362</xdr:rowOff>
    </xdr:from>
    <xdr:to>
      <xdr:col>3</xdr:col>
      <xdr:colOff>154238</xdr:colOff>
      <xdr:row>5</xdr:row>
      <xdr:rowOff>106362</xdr:rowOff>
    </xdr:to>
    <xdr:pic>
      <xdr:nvPicPr>
        <xdr:cNvPr id="59" name="Picture 58">
          <a:extLst>
            <a:ext uri="{FF2B5EF4-FFF2-40B4-BE49-F238E27FC236}">
              <a16:creationId xmlns:a16="http://schemas.microsoft.com/office/drawing/2014/main" id="{046C78AA-2772-4798-9AD9-D131DACC5CDB}"/>
            </a:ext>
          </a:extLst>
        </xdr:cNvPr>
        <xdr:cNvPicPr>
          <a:picLocks noChangeAspect="1"/>
        </xdr:cNvPicPr>
      </xdr:nvPicPr>
      <xdr:blipFill>
        <a:blip xmlns:r="http://schemas.openxmlformats.org/officeDocument/2006/relationships" r:embed="rId57"/>
        <a:stretch>
          <a:fillRect/>
        </a:stretch>
      </xdr:blipFill>
      <xdr:spPr>
        <a:xfrm>
          <a:off x="566738" y="1004862"/>
          <a:ext cx="194379" cy="54000"/>
        </a:xfrm>
        <a:prstGeom prst="rect">
          <a:avLst/>
        </a:prstGeom>
      </xdr:spPr>
    </xdr:pic>
    <xdr:clientData/>
  </xdr:twoCellAnchor>
  <xdr:twoCellAnchor editAs="oneCell">
    <xdr:from>
      <xdr:col>9</xdr:col>
      <xdr:colOff>1</xdr:colOff>
      <xdr:row>24</xdr:row>
      <xdr:rowOff>1</xdr:rowOff>
    </xdr:from>
    <xdr:to>
      <xdr:col>9</xdr:col>
      <xdr:colOff>102858</xdr:colOff>
      <xdr:row>25</xdr:row>
      <xdr:rowOff>22930</xdr:rowOff>
    </xdr:to>
    <xdr:pic>
      <xdr:nvPicPr>
        <xdr:cNvPr id="60" name="Picture 59">
          <a:extLst>
            <a:ext uri="{FF2B5EF4-FFF2-40B4-BE49-F238E27FC236}">
              <a16:creationId xmlns:a16="http://schemas.microsoft.com/office/drawing/2014/main" id="{B8AABA59-7F0E-4E72-B851-1EDF0975E4AC}"/>
            </a:ext>
          </a:extLst>
        </xdr:cNvPr>
        <xdr:cNvPicPr>
          <a:picLocks noChangeAspect="1"/>
        </xdr:cNvPicPr>
      </xdr:nvPicPr>
      <xdr:blipFill>
        <a:blip xmlns:r="http://schemas.openxmlformats.org/officeDocument/2006/relationships" r:embed="rId58"/>
        <a:stretch>
          <a:fillRect/>
        </a:stretch>
      </xdr:blipFill>
      <xdr:spPr>
        <a:xfrm>
          <a:off x="1714501" y="4572001"/>
          <a:ext cx="102857" cy="213429"/>
        </a:xfrm>
        <a:prstGeom prst="rect">
          <a:avLst/>
        </a:prstGeom>
      </xdr:spPr>
    </xdr:pic>
    <xdr:clientData/>
  </xdr:twoCellAnchor>
  <xdr:twoCellAnchor editAs="oneCell">
    <xdr:from>
      <xdr:col>9</xdr:col>
      <xdr:colOff>1</xdr:colOff>
      <xdr:row>25</xdr:row>
      <xdr:rowOff>1</xdr:rowOff>
    </xdr:from>
    <xdr:to>
      <xdr:col>9</xdr:col>
      <xdr:colOff>194380</xdr:colOff>
      <xdr:row>25</xdr:row>
      <xdr:rowOff>102858</xdr:rowOff>
    </xdr:to>
    <xdr:pic>
      <xdr:nvPicPr>
        <xdr:cNvPr id="61" name="Picture 60">
          <a:extLst>
            <a:ext uri="{FF2B5EF4-FFF2-40B4-BE49-F238E27FC236}">
              <a16:creationId xmlns:a16="http://schemas.microsoft.com/office/drawing/2014/main" id="{DEBC498A-7FFC-43BB-A78C-C904FD2CF713}"/>
            </a:ext>
          </a:extLst>
        </xdr:cNvPr>
        <xdr:cNvPicPr>
          <a:picLocks noChangeAspect="1"/>
        </xdr:cNvPicPr>
      </xdr:nvPicPr>
      <xdr:blipFill>
        <a:blip xmlns:r="http://schemas.openxmlformats.org/officeDocument/2006/relationships" r:embed="rId59"/>
        <a:stretch>
          <a:fillRect/>
        </a:stretch>
      </xdr:blipFill>
      <xdr:spPr>
        <a:xfrm>
          <a:off x="1714501" y="4762501"/>
          <a:ext cx="194379" cy="102857"/>
        </a:xfrm>
        <a:prstGeom prst="rect">
          <a:avLst/>
        </a:prstGeom>
      </xdr:spPr>
    </xdr:pic>
    <xdr:clientData/>
  </xdr:twoCellAnchor>
  <xdr:twoCellAnchor editAs="oneCell">
    <xdr:from>
      <xdr:col>18</xdr:col>
      <xdr:colOff>0</xdr:colOff>
      <xdr:row>5</xdr:row>
      <xdr:rowOff>0</xdr:rowOff>
    </xdr:from>
    <xdr:to>
      <xdr:col>18</xdr:col>
      <xdr:colOff>180000</xdr:colOff>
      <xdr:row>5</xdr:row>
      <xdr:rowOff>180000</xdr:rowOff>
    </xdr:to>
    <xdr:pic>
      <xdr:nvPicPr>
        <xdr:cNvPr id="62" name="Picture 61">
          <a:extLst>
            <a:ext uri="{FF2B5EF4-FFF2-40B4-BE49-F238E27FC236}">
              <a16:creationId xmlns:a16="http://schemas.microsoft.com/office/drawing/2014/main" id="{3A765A18-727A-4451-BA6D-2A7613FCD05D}"/>
            </a:ext>
          </a:extLst>
        </xdr:cNvPr>
        <xdr:cNvPicPr>
          <a:picLocks noChangeAspect="1"/>
        </xdr:cNvPicPr>
      </xdr:nvPicPr>
      <xdr:blipFill>
        <a:blip xmlns:r="http://schemas.openxmlformats.org/officeDocument/2006/relationships" r:embed="rId60"/>
        <a:stretch>
          <a:fillRect/>
        </a:stretch>
      </xdr:blipFill>
      <xdr:spPr>
        <a:xfrm>
          <a:off x="3429000" y="952500"/>
          <a:ext cx="180000" cy="180000"/>
        </a:xfrm>
        <a:prstGeom prst="rect">
          <a:avLst/>
        </a:prstGeom>
      </xdr:spPr>
    </xdr:pic>
    <xdr:clientData/>
  </xdr:twoCellAnchor>
  <xdr:twoCellAnchor editAs="oneCell">
    <xdr:from>
      <xdr:col>18</xdr:col>
      <xdr:colOff>0</xdr:colOff>
      <xdr:row>9</xdr:row>
      <xdr:rowOff>0</xdr:rowOff>
    </xdr:from>
    <xdr:to>
      <xdr:col>18</xdr:col>
      <xdr:colOff>180000</xdr:colOff>
      <xdr:row>9</xdr:row>
      <xdr:rowOff>180000</xdr:rowOff>
    </xdr:to>
    <xdr:pic>
      <xdr:nvPicPr>
        <xdr:cNvPr id="63" name="Picture 62">
          <a:extLst>
            <a:ext uri="{FF2B5EF4-FFF2-40B4-BE49-F238E27FC236}">
              <a16:creationId xmlns:a16="http://schemas.microsoft.com/office/drawing/2014/main" id="{FAA11201-CB0A-4CC0-8D03-33A56A3C6D88}"/>
            </a:ext>
          </a:extLst>
        </xdr:cNvPr>
        <xdr:cNvPicPr>
          <a:picLocks noChangeAspect="1"/>
        </xdr:cNvPicPr>
      </xdr:nvPicPr>
      <xdr:blipFill>
        <a:blip xmlns:r="http://schemas.openxmlformats.org/officeDocument/2006/relationships" r:embed="rId61"/>
        <a:stretch>
          <a:fillRect/>
        </a:stretch>
      </xdr:blipFill>
      <xdr:spPr>
        <a:xfrm>
          <a:off x="4408714" y="1714500"/>
          <a:ext cx="180000" cy="180000"/>
        </a:xfrm>
        <a:prstGeom prst="rect">
          <a:avLst/>
        </a:prstGeom>
      </xdr:spPr>
    </xdr:pic>
    <xdr:clientData/>
  </xdr:twoCellAnchor>
  <xdr:twoCellAnchor editAs="oneCell">
    <xdr:from>
      <xdr:col>19</xdr:col>
      <xdr:colOff>0</xdr:colOff>
      <xdr:row>9</xdr:row>
      <xdr:rowOff>0</xdr:rowOff>
    </xdr:from>
    <xdr:to>
      <xdr:col>19</xdr:col>
      <xdr:colOff>180000</xdr:colOff>
      <xdr:row>9</xdr:row>
      <xdr:rowOff>180000</xdr:rowOff>
    </xdr:to>
    <xdr:pic>
      <xdr:nvPicPr>
        <xdr:cNvPr id="64" name="Picture 63">
          <a:extLst>
            <a:ext uri="{FF2B5EF4-FFF2-40B4-BE49-F238E27FC236}">
              <a16:creationId xmlns:a16="http://schemas.microsoft.com/office/drawing/2014/main" id="{03EE670D-181C-4A7F-A9A1-519255797018}"/>
            </a:ext>
          </a:extLst>
        </xdr:cNvPr>
        <xdr:cNvPicPr>
          <a:picLocks noChangeAspect="1"/>
        </xdr:cNvPicPr>
      </xdr:nvPicPr>
      <xdr:blipFill>
        <a:blip xmlns:r="http://schemas.openxmlformats.org/officeDocument/2006/relationships" r:embed="rId62"/>
        <a:stretch>
          <a:fillRect/>
        </a:stretch>
      </xdr:blipFill>
      <xdr:spPr>
        <a:xfrm>
          <a:off x="3619500" y="1714500"/>
          <a:ext cx="180000" cy="180000"/>
        </a:xfrm>
        <a:prstGeom prst="rect">
          <a:avLst/>
        </a:prstGeom>
      </xdr:spPr>
    </xdr:pic>
    <xdr:clientData/>
  </xdr:twoCellAnchor>
  <xdr:twoCellAnchor editAs="oneCell">
    <xdr:from>
      <xdr:col>20</xdr:col>
      <xdr:colOff>0</xdr:colOff>
      <xdr:row>9</xdr:row>
      <xdr:rowOff>0</xdr:rowOff>
    </xdr:from>
    <xdr:to>
      <xdr:col>20</xdr:col>
      <xdr:colOff>180000</xdr:colOff>
      <xdr:row>9</xdr:row>
      <xdr:rowOff>180000</xdr:rowOff>
    </xdr:to>
    <xdr:pic>
      <xdr:nvPicPr>
        <xdr:cNvPr id="65" name="Picture 64">
          <a:extLst>
            <a:ext uri="{FF2B5EF4-FFF2-40B4-BE49-F238E27FC236}">
              <a16:creationId xmlns:a16="http://schemas.microsoft.com/office/drawing/2014/main" id="{D3F3681C-2690-4F50-8A85-ADC3F04CE48E}"/>
            </a:ext>
          </a:extLst>
        </xdr:cNvPr>
        <xdr:cNvPicPr>
          <a:picLocks noChangeAspect="1"/>
        </xdr:cNvPicPr>
      </xdr:nvPicPr>
      <xdr:blipFill>
        <a:blip xmlns:r="http://schemas.openxmlformats.org/officeDocument/2006/relationships" r:embed="rId63"/>
        <a:stretch>
          <a:fillRect/>
        </a:stretch>
      </xdr:blipFill>
      <xdr:spPr>
        <a:xfrm>
          <a:off x="3810000" y="1714500"/>
          <a:ext cx="180000" cy="180000"/>
        </a:xfrm>
        <a:prstGeom prst="rect">
          <a:avLst/>
        </a:prstGeom>
      </xdr:spPr>
    </xdr:pic>
    <xdr:clientData/>
  </xdr:twoCellAnchor>
  <xdr:twoCellAnchor editAs="oneCell">
    <xdr:from>
      <xdr:col>18</xdr:col>
      <xdr:colOff>0</xdr:colOff>
      <xdr:row>11</xdr:row>
      <xdr:rowOff>0</xdr:rowOff>
    </xdr:from>
    <xdr:to>
      <xdr:col>18</xdr:col>
      <xdr:colOff>180000</xdr:colOff>
      <xdr:row>11</xdr:row>
      <xdr:rowOff>180000</xdr:rowOff>
    </xdr:to>
    <xdr:pic>
      <xdr:nvPicPr>
        <xdr:cNvPr id="66" name="Picture 65">
          <a:extLst>
            <a:ext uri="{FF2B5EF4-FFF2-40B4-BE49-F238E27FC236}">
              <a16:creationId xmlns:a16="http://schemas.microsoft.com/office/drawing/2014/main" id="{F44BEBCF-B7AD-4FC0-BBCD-D74ACD5BCC22}"/>
            </a:ext>
          </a:extLst>
        </xdr:cNvPr>
        <xdr:cNvPicPr>
          <a:picLocks noChangeAspect="1"/>
        </xdr:cNvPicPr>
      </xdr:nvPicPr>
      <xdr:blipFill>
        <a:blip xmlns:r="http://schemas.openxmlformats.org/officeDocument/2006/relationships" r:embed="rId64"/>
        <a:stretch>
          <a:fillRect/>
        </a:stretch>
      </xdr:blipFill>
      <xdr:spPr>
        <a:xfrm>
          <a:off x="3429000" y="2095500"/>
          <a:ext cx="180000" cy="180000"/>
        </a:xfrm>
        <a:prstGeom prst="rect">
          <a:avLst/>
        </a:prstGeom>
      </xdr:spPr>
    </xdr:pic>
    <xdr:clientData/>
  </xdr:twoCellAnchor>
  <xdr:twoCellAnchor editAs="oneCell">
    <xdr:from>
      <xdr:col>18</xdr:col>
      <xdr:colOff>0</xdr:colOff>
      <xdr:row>7</xdr:row>
      <xdr:rowOff>0</xdr:rowOff>
    </xdr:from>
    <xdr:to>
      <xdr:col>18</xdr:col>
      <xdr:colOff>180000</xdr:colOff>
      <xdr:row>7</xdr:row>
      <xdr:rowOff>180000</xdr:rowOff>
    </xdr:to>
    <xdr:pic>
      <xdr:nvPicPr>
        <xdr:cNvPr id="67" name="Picture 66">
          <a:extLst>
            <a:ext uri="{FF2B5EF4-FFF2-40B4-BE49-F238E27FC236}">
              <a16:creationId xmlns:a16="http://schemas.microsoft.com/office/drawing/2014/main" id="{B4CF9C10-E083-4A87-B713-107D4D7636A2}"/>
            </a:ext>
          </a:extLst>
        </xdr:cNvPr>
        <xdr:cNvPicPr>
          <a:picLocks noChangeAspect="1"/>
        </xdr:cNvPicPr>
      </xdr:nvPicPr>
      <xdr:blipFill>
        <a:blip xmlns:r="http://schemas.openxmlformats.org/officeDocument/2006/relationships" r:embed="rId65"/>
        <a:stretch>
          <a:fillRect/>
        </a:stretch>
      </xdr:blipFill>
      <xdr:spPr>
        <a:xfrm>
          <a:off x="3429000" y="1333500"/>
          <a:ext cx="180000" cy="180000"/>
        </a:xfrm>
        <a:prstGeom prst="rect">
          <a:avLst/>
        </a:prstGeom>
      </xdr:spPr>
    </xdr:pic>
    <xdr:clientData/>
  </xdr:twoCellAnchor>
  <xdr:twoCellAnchor editAs="oneCell">
    <xdr:from>
      <xdr:col>19</xdr:col>
      <xdr:colOff>0</xdr:colOff>
      <xdr:row>5</xdr:row>
      <xdr:rowOff>0</xdr:rowOff>
    </xdr:from>
    <xdr:to>
      <xdr:col>19</xdr:col>
      <xdr:colOff>180000</xdr:colOff>
      <xdr:row>5</xdr:row>
      <xdr:rowOff>180000</xdr:rowOff>
    </xdr:to>
    <xdr:pic>
      <xdr:nvPicPr>
        <xdr:cNvPr id="68" name="Picture 67">
          <a:extLst>
            <a:ext uri="{FF2B5EF4-FFF2-40B4-BE49-F238E27FC236}">
              <a16:creationId xmlns:a16="http://schemas.microsoft.com/office/drawing/2014/main" id="{7A22A45C-A05A-4D11-A22F-FD3096660B4F}"/>
            </a:ext>
          </a:extLst>
        </xdr:cNvPr>
        <xdr:cNvPicPr>
          <a:picLocks noChangeAspect="1"/>
        </xdr:cNvPicPr>
      </xdr:nvPicPr>
      <xdr:blipFill>
        <a:blip xmlns:r="http://schemas.openxmlformats.org/officeDocument/2006/relationships" r:embed="rId66"/>
        <a:stretch>
          <a:fillRect/>
        </a:stretch>
      </xdr:blipFill>
      <xdr:spPr>
        <a:xfrm>
          <a:off x="3619500" y="952500"/>
          <a:ext cx="180000" cy="180000"/>
        </a:xfrm>
        <a:prstGeom prst="rect">
          <a:avLst/>
        </a:prstGeom>
      </xdr:spPr>
    </xdr:pic>
    <xdr:clientData/>
  </xdr:twoCellAnchor>
  <xdr:twoCellAnchor editAs="oneCell">
    <xdr:from>
      <xdr:col>20</xdr:col>
      <xdr:colOff>0</xdr:colOff>
      <xdr:row>5</xdr:row>
      <xdr:rowOff>0</xdr:rowOff>
    </xdr:from>
    <xdr:to>
      <xdr:col>20</xdr:col>
      <xdr:colOff>180000</xdr:colOff>
      <xdr:row>5</xdr:row>
      <xdr:rowOff>180000</xdr:rowOff>
    </xdr:to>
    <xdr:pic>
      <xdr:nvPicPr>
        <xdr:cNvPr id="69" name="Picture 68">
          <a:extLst>
            <a:ext uri="{FF2B5EF4-FFF2-40B4-BE49-F238E27FC236}">
              <a16:creationId xmlns:a16="http://schemas.microsoft.com/office/drawing/2014/main" id="{1CED4E2D-42C3-4475-961E-30333767A23D}"/>
            </a:ext>
          </a:extLst>
        </xdr:cNvPr>
        <xdr:cNvPicPr>
          <a:picLocks noChangeAspect="1"/>
        </xdr:cNvPicPr>
      </xdr:nvPicPr>
      <xdr:blipFill>
        <a:blip xmlns:r="http://schemas.openxmlformats.org/officeDocument/2006/relationships" r:embed="rId67"/>
        <a:stretch>
          <a:fillRect/>
        </a:stretch>
      </xdr:blipFill>
      <xdr:spPr>
        <a:xfrm>
          <a:off x="3810000" y="952500"/>
          <a:ext cx="180000" cy="180000"/>
        </a:xfrm>
        <a:prstGeom prst="rect">
          <a:avLst/>
        </a:prstGeom>
      </xdr:spPr>
    </xdr:pic>
    <xdr:clientData/>
  </xdr:twoCellAnchor>
  <xdr:twoCellAnchor editAs="oneCell">
    <xdr:from>
      <xdr:col>19</xdr:col>
      <xdr:colOff>0</xdr:colOff>
      <xdr:row>3</xdr:row>
      <xdr:rowOff>0</xdr:rowOff>
    </xdr:from>
    <xdr:to>
      <xdr:col>19</xdr:col>
      <xdr:colOff>180000</xdr:colOff>
      <xdr:row>3</xdr:row>
      <xdr:rowOff>180000</xdr:rowOff>
    </xdr:to>
    <xdr:pic>
      <xdr:nvPicPr>
        <xdr:cNvPr id="70" name="Picture 69">
          <a:extLst>
            <a:ext uri="{FF2B5EF4-FFF2-40B4-BE49-F238E27FC236}">
              <a16:creationId xmlns:a16="http://schemas.microsoft.com/office/drawing/2014/main" id="{542F185A-030F-4F0D-9F62-D6372B608B23}"/>
            </a:ext>
          </a:extLst>
        </xdr:cNvPr>
        <xdr:cNvPicPr>
          <a:picLocks noChangeAspect="1"/>
        </xdr:cNvPicPr>
      </xdr:nvPicPr>
      <xdr:blipFill>
        <a:blip xmlns:r="http://schemas.openxmlformats.org/officeDocument/2006/relationships" r:embed="rId68"/>
        <a:stretch>
          <a:fillRect/>
        </a:stretch>
      </xdr:blipFill>
      <xdr:spPr>
        <a:xfrm>
          <a:off x="3619500" y="571500"/>
          <a:ext cx="180000" cy="180000"/>
        </a:xfrm>
        <a:prstGeom prst="rect">
          <a:avLst/>
        </a:prstGeom>
      </xdr:spPr>
    </xdr:pic>
    <xdr:clientData/>
  </xdr:twoCellAnchor>
  <xdr:twoCellAnchor editAs="oneCell">
    <xdr:from>
      <xdr:col>20</xdr:col>
      <xdr:colOff>0</xdr:colOff>
      <xdr:row>3</xdr:row>
      <xdr:rowOff>0</xdr:rowOff>
    </xdr:from>
    <xdr:to>
      <xdr:col>20</xdr:col>
      <xdr:colOff>180000</xdr:colOff>
      <xdr:row>3</xdr:row>
      <xdr:rowOff>180000</xdr:rowOff>
    </xdr:to>
    <xdr:pic>
      <xdr:nvPicPr>
        <xdr:cNvPr id="71" name="Picture 70">
          <a:extLst>
            <a:ext uri="{FF2B5EF4-FFF2-40B4-BE49-F238E27FC236}">
              <a16:creationId xmlns:a16="http://schemas.microsoft.com/office/drawing/2014/main" id="{F7C389F5-4EC6-4C10-84E6-0687AEB4070A}"/>
            </a:ext>
          </a:extLst>
        </xdr:cNvPr>
        <xdr:cNvPicPr>
          <a:picLocks noChangeAspect="1"/>
        </xdr:cNvPicPr>
      </xdr:nvPicPr>
      <xdr:blipFill>
        <a:blip xmlns:r="http://schemas.openxmlformats.org/officeDocument/2006/relationships" r:embed="rId69"/>
        <a:stretch>
          <a:fillRect/>
        </a:stretch>
      </xdr:blipFill>
      <xdr:spPr>
        <a:xfrm>
          <a:off x="3810000" y="571500"/>
          <a:ext cx="180000" cy="180000"/>
        </a:xfrm>
        <a:prstGeom prst="rect">
          <a:avLst/>
        </a:prstGeom>
      </xdr:spPr>
    </xdr:pic>
    <xdr:clientData/>
  </xdr:twoCellAnchor>
  <xdr:twoCellAnchor editAs="oneCell">
    <xdr:from>
      <xdr:col>21</xdr:col>
      <xdr:colOff>0</xdr:colOff>
      <xdr:row>3</xdr:row>
      <xdr:rowOff>0</xdr:rowOff>
    </xdr:from>
    <xdr:to>
      <xdr:col>21</xdr:col>
      <xdr:colOff>180000</xdr:colOff>
      <xdr:row>3</xdr:row>
      <xdr:rowOff>180000</xdr:rowOff>
    </xdr:to>
    <xdr:pic>
      <xdr:nvPicPr>
        <xdr:cNvPr id="72" name="Picture 71">
          <a:extLst>
            <a:ext uri="{FF2B5EF4-FFF2-40B4-BE49-F238E27FC236}">
              <a16:creationId xmlns:a16="http://schemas.microsoft.com/office/drawing/2014/main" id="{2A2196B7-D43B-4137-9209-1F47AFAF4836}"/>
            </a:ext>
          </a:extLst>
        </xdr:cNvPr>
        <xdr:cNvPicPr>
          <a:picLocks noChangeAspect="1"/>
        </xdr:cNvPicPr>
      </xdr:nvPicPr>
      <xdr:blipFill>
        <a:blip xmlns:r="http://schemas.openxmlformats.org/officeDocument/2006/relationships" r:embed="rId70"/>
        <a:stretch>
          <a:fillRect/>
        </a:stretch>
      </xdr:blipFill>
      <xdr:spPr>
        <a:xfrm>
          <a:off x="4000500" y="571500"/>
          <a:ext cx="180000" cy="180000"/>
        </a:xfrm>
        <a:prstGeom prst="rect">
          <a:avLst/>
        </a:prstGeom>
      </xdr:spPr>
    </xdr:pic>
    <xdr:clientData/>
  </xdr:twoCellAnchor>
  <xdr:twoCellAnchor editAs="oneCell">
    <xdr:from>
      <xdr:col>19</xdr:col>
      <xdr:colOff>0</xdr:colOff>
      <xdr:row>11</xdr:row>
      <xdr:rowOff>0</xdr:rowOff>
    </xdr:from>
    <xdr:to>
      <xdr:col>19</xdr:col>
      <xdr:colOff>180000</xdr:colOff>
      <xdr:row>11</xdr:row>
      <xdr:rowOff>180000</xdr:rowOff>
    </xdr:to>
    <xdr:pic>
      <xdr:nvPicPr>
        <xdr:cNvPr id="73" name="Picture 72">
          <a:extLst>
            <a:ext uri="{FF2B5EF4-FFF2-40B4-BE49-F238E27FC236}">
              <a16:creationId xmlns:a16="http://schemas.microsoft.com/office/drawing/2014/main" id="{CB4338A9-3E11-4C00-8000-5E929271B08C}"/>
            </a:ext>
          </a:extLst>
        </xdr:cNvPr>
        <xdr:cNvPicPr>
          <a:picLocks noChangeAspect="1"/>
        </xdr:cNvPicPr>
      </xdr:nvPicPr>
      <xdr:blipFill>
        <a:blip xmlns:r="http://schemas.openxmlformats.org/officeDocument/2006/relationships" r:embed="rId71"/>
        <a:stretch>
          <a:fillRect/>
        </a:stretch>
      </xdr:blipFill>
      <xdr:spPr>
        <a:xfrm>
          <a:off x="3619500" y="2095500"/>
          <a:ext cx="180000" cy="180000"/>
        </a:xfrm>
        <a:prstGeom prst="rect">
          <a:avLst/>
        </a:prstGeom>
      </xdr:spPr>
    </xdr:pic>
    <xdr:clientData/>
  </xdr:twoCellAnchor>
  <xdr:twoCellAnchor editAs="oneCell">
    <xdr:from>
      <xdr:col>21</xdr:col>
      <xdr:colOff>0</xdr:colOff>
      <xdr:row>9</xdr:row>
      <xdr:rowOff>0</xdr:rowOff>
    </xdr:from>
    <xdr:to>
      <xdr:col>21</xdr:col>
      <xdr:colOff>180000</xdr:colOff>
      <xdr:row>9</xdr:row>
      <xdr:rowOff>180000</xdr:rowOff>
    </xdr:to>
    <xdr:pic>
      <xdr:nvPicPr>
        <xdr:cNvPr id="74" name="Picture 73">
          <a:extLst>
            <a:ext uri="{FF2B5EF4-FFF2-40B4-BE49-F238E27FC236}">
              <a16:creationId xmlns:a16="http://schemas.microsoft.com/office/drawing/2014/main" id="{0A0C57BE-4FE5-4A61-BBCD-D52FD52163D1}"/>
            </a:ext>
          </a:extLst>
        </xdr:cNvPr>
        <xdr:cNvPicPr>
          <a:picLocks noChangeAspect="1"/>
        </xdr:cNvPicPr>
      </xdr:nvPicPr>
      <xdr:blipFill>
        <a:blip xmlns:r="http://schemas.openxmlformats.org/officeDocument/2006/relationships" r:embed="rId72"/>
        <a:stretch>
          <a:fillRect/>
        </a:stretch>
      </xdr:blipFill>
      <xdr:spPr>
        <a:xfrm>
          <a:off x="4000500" y="1714500"/>
          <a:ext cx="180000" cy="180000"/>
        </a:xfrm>
        <a:prstGeom prst="rect">
          <a:avLst/>
        </a:prstGeom>
      </xdr:spPr>
    </xdr:pic>
    <xdr:clientData/>
  </xdr:twoCellAnchor>
  <xdr:twoCellAnchor editAs="oneCell">
    <xdr:from>
      <xdr:col>19</xdr:col>
      <xdr:colOff>0</xdr:colOff>
      <xdr:row>7</xdr:row>
      <xdr:rowOff>0</xdr:rowOff>
    </xdr:from>
    <xdr:to>
      <xdr:col>19</xdr:col>
      <xdr:colOff>180000</xdr:colOff>
      <xdr:row>7</xdr:row>
      <xdr:rowOff>180000</xdr:rowOff>
    </xdr:to>
    <xdr:pic>
      <xdr:nvPicPr>
        <xdr:cNvPr id="75" name="Picture 74">
          <a:extLst>
            <a:ext uri="{FF2B5EF4-FFF2-40B4-BE49-F238E27FC236}">
              <a16:creationId xmlns:a16="http://schemas.microsoft.com/office/drawing/2014/main" id="{008D98E7-51FF-4C55-AD7B-0E93B48DBC9E}"/>
            </a:ext>
          </a:extLst>
        </xdr:cNvPr>
        <xdr:cNvPicPr>
          <a:picLocks noChangeAspect="1"/>
        </xdr:cNvPicPr>
      </xdr:nvPicPr>
      <xdr:blipFill>
        <a:blip xmlns:r="http://schemas.openxmlformats.org/officeDocument/2006/relationships" r:embed="rId73"/>
        <a:stretch>
          <a:fillRect/>
        </a:stretch>
      </xdr:blipFill>
      <xdr:spPr>
        <a:xfrm>
          <a:off x="3619500" y="1333500"/>
          <a:ext cx="180000" cy="180000"/>
        </a:xfrm>
        <a:prstGeom prst="rect">
          <a:avLst/>
        </a:prstGeom>
      </xdr:spPr>
    </xdr:pic>
    <xdr:clientData/>
  </xdr:twoCellAnchor>
  <xdr:twoCellAnchor editAs="oneCell">
    <xdr:from>
      <xdr:col>21</xdr:col>
      <xdr:colOff>0</xdr:colOff>
      <xdr:row>5</xdr:row>
      <xdr:rowOff>0</xdr:rowOff>
    </xdr:from>
    <xdr:to>
      <xdr:col>21</xdr:col>
      <xdr:colOff>180000</xdr:colOff>
      <xdr:row>5</xdr:row>
      <xdr:rowOff>180000</xdr:rowOff>
    </xdr:to>
    <xdr:pic>
      <xdr:nvPicPr>
        <xdr:cNvPr id="76" name="Picture 75">
          <a:extLst>
            <a:ext uri="{FF2B5EF4-FFF2-40B4-BE49-F238E27FC236}">
              <a16:creationId xmlns:a16="http://schemas.microsoft.com/office/drawing/2014/main" id="{6A808840-8C6A-4374-9A28-E1AB5F832CA6}"/>
            </a:ext>
          </a:extLst>
        </xdr:cNvPr>
        <xdr:cNvPicPr>
          <a:picLocks noChangeAspect="1"/>
        </xdr:cNvPicPr>
      </xdr:nvPicPr>
      <xdr:blipFill>
        <a:blip xmlns:r="http://schemas.openxmlformats.org/officeDocument/2006/relationships" r:embed="rId74"/>
        <a:stretch>
          <a:fillRect/>
        </a:stretch>
      </xdr:blipFill>
      <xdr:spPr>
        <a:xfrm>
          <a:off x="4000500" y="952500"/>
          <a:ext cx="180000" cy="180000"/>
        </a:xfrm>
        <a:prstGeom prst="rect">
          <a:avLst/>
        </a:prstGeom>
      </xdr:spPr>
    </xdr:pic>
    <xdr:clientData/>
  </xdr:twoCellAnchor>
  <xdr:twoCellAnchor editAs="oneCell">
    <xdr:from>
      <xdr:col>20</xdr:col>
      <xdr:colOff>0</xdr:colOff>
      <xdr:row>7</xdr:row>
      <xdr:rowOff>0</xdr:rowOff>
    </xdr:from>
    <xdr:to>
      <xdr:col>20</xdr:col>
      <xdr:colOff>180000</xdr:colOff>
      <xdr:row>7</xdr:row>
      <xdr:rowOff>180000</xdr:rowOff>
    </xdr:to>
    <xdr:pic>
      <xdr:nvPicPr>
        <xdr:cNvPr id="77" name="Picture 76">
          <a:extLst>
            <a:ext uri="{FF2B5EF4-FFF2-40B4-BE49-F238E27FC236}">
              <a16:creationId xmlns:a16="http://schemas.microsoft.com/office/drawing/2014/main" id="{EA5C4165-247C-4724-A8FF-B55E5EB7825C}"/>
            </a:ext>
          </a:extLst>
        </xdr:cNvPr>
        <xdr:cNvPicPr>
          <a:picLocks noChangeAspect="1"/>
        </xdr:cNvPicPr>
      </xdr:nvPicPr>
      <xdr:blipFill>
        <a:blip xmlns:r="http://schemas.openxmlformats.org/officeDocument/2006/relationships" r:embed="rId75"/>
        <a:stretch>
          <a:fillRect/>
        </a:stretch>
      </xdr:blipFill>
      <xdr:spPr>
        <a:xfrm>
          <a:off x="3810000" y="1333500"/>
          <a:ext cx="180000" cy="180000"/>
        </a:xfrm>
        <a:prstGeom prst="rect">
          <a:avLst/>
        </a:prstGeom>
      </xdr:spPr>
    </xdr:pic>
    <xdr:clientData/>
  </xdr:twoCellAnchor>
  <xdr:twoCellAnchor editAs="oneCell">
    <xdr:from>
      <xdr:col>22</xdr:col>
      <xdr:colOff>0</xdr:colOff>
      <xdr:row>9</xdr:row>
      <xdr:rowOff>0</xdr:rowOff>
    </xdr:from>
    <xdr:to>
      <xdr:col>22</xdr:col>
      <xdr:colOff>180000</xdr:colOff>
      <xdr:row>9</xdr:row>
      <xdr:rowOff>180000</xdr:rowOff>
    </xdr:to>
    <xdr:pic>
      <xdr:nvPicPr>
        <xdr:cNvPr id="78" name="Picture 77">
          <a:extLst>
            <a:ext uri="{FF2B5EF4-FFF2-40B4-BE49-F238E27FC236}">
              <a16:creationId xmlns:a16="http://schemas.microsoft.com/office/drawing/2014/main" id="{3F0BB379-FB3E-4A10-8022-F64B2A0B8DC2}"/>
            </a:ext>
          </a:extLst>
        </xdr:cNvPr>
        <xdr:cNvPicPr>
          <a:picLocks noChangeAspect="1"/>
        </xdr:cNvPicPr>
      </xdr:nvPicPr>
      <xdr:blipFill>
        <a:blip xmlns:r="http://schemas.openxmlformats.org/officeDocument/2006/relationships" r:embed="rId76"/>
        <a:stretch>
          <a:fillRect/>
        </a:stretch>
      </xdr:blipFill>
      <xdr:spPr>
        <a:xfrm>
          <a:off x="4191000" y="1714500"/>
          <a:ext cx="180000" cy="180000"/>
        </a:xfrm>
        <a:prstGeom prst="rect">
          <a:avLst/>
        </a:prstGeom>
      </xdr:spPr>
    </xdr:pic>
    <xdr:clientData/>
  </xdr:twoCellAnchor>
  <xdr:twoCellAnchor editAs="oneCell">
    <xdr:from>
      <xdr:col>22</xdr:col>
      <xdr:colOff>0</xdr:colOff>
      <xdr:row>3</xdr:row>
      <xdr:rowOff>0</xdr:rowOff>
    </xdr:from>
    <xdr:to>
      <xdr:col>22</xdr:col>
      <xdr:colOff>180000</xdr:colOff>
      <xdr:row>3</xdr:row>
      <xdr:rowOff>180000</xdr:rowOff>
    </xdr:to>
    <xdr:pic>
      <xdr:nvPicPr>
        <xdr:cNvPr id="79" name="Picture 78">
          <a:extLst>
            <a:ext uri="{FF2B5EF4-FFF2-40B4-BE49-F238E27FC236}">
              <a16:creationId xmlns:a16="http://schemas.microsoft.com/office/drawing/2014/main" id="{C3732892-0A35-4319-ABBC-324D138CEC45}"/>
            </a:ext>
          </a:extLst>
        </xdr:cNvPr>
        <xdr:cNvPicPr>
          <a:picLocks noChangeAspect="1"/>
        </xdr:cNvPicPr>
      </xdr:nvPicPr>
      <xdr:blipFill>
        <a:blip xmlns:r="http://schemas.openxmlformats.org/officeDocument/2006/relationships" r:embed="rId77"/>
        <a:stretch>
          <a:fillRect/>
        </a:stretch>
      </xdr:blipFill>
      <xdr:spPr>
        <a:xfrm>
          <a:off x="4191000" y="571500"/>
          <a:ext cx="180000" cy="180000"/>
        </a:xfrm>
        <a:prstGeom prst="rect">
          <a:avLst/>
        </a:prstGeom>
      </xdr:spPr>
    </xdr:pic>
    <xdr:clientData/>
  </xdr:twoCellAnchor>
  <xdr:twoCellAnchor editAs="oneCell">
    <xdr:from>
      <xdr:col>20</xdr:col>
      <xdr:colOff>0</xdr:colOff>
      <xdr:row>11</xdr:row>
      <xdr:rowOff>0</xdr:rowOff>
    </xdr:from>
    <xdr:to>
      <xdr:col>20</xdr:col>
      <xdr:colOff>180000</xdr:colOff>
      <xdr:row>11</xdr:row>
      <xdr:rowOff>180000</xdr:rowOff>
    </xdr:to>
    <xdr:pic>
      <xdr:nvPicPr>
        <xdr:cNvPr id="80" name="Picture 79">
          <a:extLst>
            <a:ext uri="{FF2B5EF4-FFF2-40B4-BE49-F238E27FC236}">
              <a16:creationId xmlns:a16="http://schemas.microsoft.com/office/drawing/2014/main" id="{7E786E6E-86B6-4159-A3E5-5B4A024D4E80}"/>
            </a:ext>
          </a:extLst>
        </xdr:cNvPr>
        <xdr:cNvPicPr>
          <a:picLocks noChangeAspect="1"/>
        </xdr:cNvPicPr>
      </xdr:nvPicPr>
      <xdr:blipFill>
        <a:blip xmlns:r="http://schemas.openxmlformats.org/officeDocument/2006/relationships" r:embed="rId78"/>
        <a:stretch>
          <a:fillRect/>
        </a:stretch>
      </xdr:blipFill>
      <xdr:spPr>
        <a:xfrm>
          <a:off x="3810000" y="2095500"/>
          <a:ext cx="180000" cy="180000"/>
        </a:xfrm>
        <a:prstGeom prst="rect">
          <a:avLst/>
        </a:prstGeom>
      </xdr:spPr>
    </xdr:pic>
    <xdr:clientData/>
  </xdr:twoCellAnchor>
  <xdr:twoCellAnchor editAs="oneCell">
    <xdr:from>
      <xdr:col>22</xdr:col>
      <xdr:colOff>0</xdr:colOff>
      <xdr:row>5</xdr:row>
      <xdr:rowOff>0</xdr:rowOff>
    </xdr:from>
    <xdr:to>
      <xdr:col>22</xdr:col>
      <xdr:colOff>180000</xdr:colOff>
      <xdr:row>5</xdr:row>
      <xdr:rowOff>180000</xdr:rowOff>
    </xdr:to>
    <xdr:pic>
      <xdr:nvPicPr>
        <xdr:cNvPr id="81" name="Picture 80">
          <a:extLst>
            <a:ext uri="{FF2B5EF4-FFF2-40B4-BE49-F238E27FC236}">
              <a16:creationId xmlns:a16="http://schemas.microsoft.com/office/drawing/2014/main" id="{E8906F40-5FF7-4B43-948F-31F63BDB840C}"/>
            </a:ext>
          </a:extLst>
        </xdr:cNvPr>
        <xdr:cNvPicPr>
          <a:picLocks noChangeAspect="1"/>
        </xdr:cNvPicPr>
      </xdr:nvPicPr>
      <xdr:blipFill>
        <a:blip xmlns:r="http://schemas.openxmlformats.org/officeDocument/2006/relationships" r:embed="rId79"/>
        <a:stretch>
          <a:fillRect/>
        </a:stretch>
      </xdr:blipFill>
      <xdr:spPr>
        <a:xfrm>
          <a:off x="4191000" y="952500"/>
          <a:ext cx="180000" cy="180000"/>
        </a:xfrm>
        <a:prstGeom prst="rect">
          <a:avLst/>
        </a:prstGeom>
      </xdr:spPr>
    </xdr:pic>
    <xdr:clientData/>
  </xdr:twoCellAnchor>
  <xdr:twoCellAnchor editAs="oneCell">
    <xdr:from>
      <xdr:col>23</xdr:col>
      <xdr:colOff>0</xdr:colOff>
      <xdr:row>5</xdr:row>
      <xdr:rowOff>0</xdr:rowOff>
    </xdr:from>
    <xdr:to>
      <xdr:col>23</xdr:col>
      <xdr:colOff>180000</xdr:colOff>
      <xdr:row>5</xdr:row>
      <xdr:rowOff>180000</xdr:rowOff>
    </xdr:to>
    <xdr:pic>
      <xdr:nvPicPr>
        <xdr:cNvPr id="82" name="Picture 81">
          <a:extLst>
            <a:ext uri="{FF2B5EF4-FFF2-40B4-BE49-F238E27FC236}">
              <a16:creationId xmlns:a16="http://schemas.microsoft.com/office/drawing/2014/main" id="{17AB500F-BE8B-4BCD-8E3D-06146BC5BC60}"/>
            </a:ext>
          </a:extLst>
        </xdr:cNvPr>
        <xdr:cNvPicPr>
          <a:picLocks noChangeAspect="1"/>
        </xdr:cNvPicPr>
      </xdr:nvPicPr>
      <xdr:blipFill>
        <a:blip xmlns:r="http://schemas.openxmlformats.org/officeDocument/2006/relationships" r:embed="rId80"/>
        <a:stretch>
          <a:fillRect/>
        </a:stretch>
      </xdr:blipFill>
      <xdr:spPr>
        <a:xfrm>
          <a:off x="4381500" y="952500"/>
          <a:ext cx="180000" cy="180000"/>
        </a:xfrm>
        <a:prstGeom prst="rect">
          <a:avLst/>
        </a:prstGeom>
      </xdr:spPr>
    </xdr:pic>
    <xdr:clientData/>
  </xdr:twoCellAnchor>
  <xdr:twoCellAnchor editAs="oneCell">
    <xdr:from>
      <xdr:col>23</xdr:col>
      <xdr:colOff>0</xdr:colOff>
      <xdr:row>9</xdr:row>
      <xdr:rowOff>0</xdr:rowOff>
    </xdr:from>
    <xdr:to>
      <xdr:col>23</xdr:col>
      <xdr:colOff>180000</xdr:colOff>
      <xdr:row>9</xdr:row>
      <xdr:rowOff>180000</xdr:rowOff>
    </xdr:to>
    <xdr:pic>
      <xdr:nvPicPr>
        <xdr:cNvPr id="83" name="Picture 82">
          <a:extLst>
            <a:ext uri="{FF2B5EF4-FFF2-40B4-BE49-F238E27FC236}">
              <a16:creationId xmlns:a16="http://schemas.microsoft.com/office/drawing/2014/main" id="{721191B3-6B98-431E-932C-00E2608A6E81}"/>
            </a:ext>
          </a:extLst>
        </xdr:cNvPr>
        <xdr:cNvPicPr>
          <a:picLocks noChangeAspect="1"/>
        </xdr:cNvPicPr>
      </xdr:nvPicPr>
      <xdr:blipFill>
        <a:blip xmlns:r="http://schemas.openxmlformats.org/officeDocument/2006/relationships" r:embed="rId81"/>
        <a:stretch>
          <a:fillRect/>
        </a:stretch>
      </xdr:blipFill>
      <xdr:spPr>
        <a:xfrm>
          <a:off x="4381500" y="1714500"/>
          <a:ext cx="180000" cy="180000"/>
        </a:xfrm>
        <a:prstGeom prst="rect">
          <a:avLst/>
        </a:prstGeom>
      </xdr:spPr>
    </xdr:pic>
    <xdr:clientData/>
  </xdr:twoCellAnchor>
  <xdr:twoCellAnchor editAs="oneCell">
    <xdr:from>
      <xdr:col>23</xdr:col>
      <xdr:colOff>0</xdr:colOff>
      <xdr:row>3</xdr:row>
      <xdr:rowOff>0</xdr:rowOff>
    </xdr:from>
    <xdr:to>
      <xdr:col>23</xdr:col>
      <xdr:colOff>180000</xdr:colOff>
      <xdr:row>3</xdr:row>
      <xdr:rowOff>180000</xdr:rowOff>
    </xdr:to>
    <xdr:pic>
      <xdr:nvPicPr>
        <xdr:cNvPr id="84" name="Picture 83">
          <a:extLst>
            <a:ext uri="{FF2B5EF4-FFF2-40B4-BE49-F238E27FC236}">
              <a16:creationId xmlns:a16="http://schemas.microsoft.com/office/drawing/2014/main" id="{F45F4027-D08F-4A89-9182-0B3B916F9E31}"/>
            </a:ext>
          </a:extLst>
        </xdr:cNvPr>
        <xdr:cNvPicPr>
          <a:picLocks noChangeAspect="1"/>
        </xdr:cNvPicPr>
      </xdr:nvPicPr>
      <xdr:blipFill>
        <a:blip xmlns:r="http://schemas.openxmlformats.org/officeDocument/2006/relationships" r:embed="rId82"/>
        <a:stretch>
          <a:fillRect/>
        </a:stretch>
      </xdr:blipFill>
      <xdr:spPr>
        <a:xfrm>
          <a:off x="4381500" y="571500"/>
          <a:ext cx="180000" cy="180000"/>
        </a:xfrm>
        <a:prstGeom prst="rect">
          <a:avLst/>
        </a:prstGeom>
      </xdr:spPr>
    </xdr:pic>
    <xdr:clientData/>
  </xdr:twoCellAnchor>
  <xdr:twoCellAnchor editAs="oneCell">
    <xdr:from>
      <xdr:col>21</xdr:col>
      <xdr:colOff>0</xdr:colOff>
      <xdr:row>7</xdr:row>
      <xdr:rowOff>0</xdr:rowOff>
    </xdr:from>
    <xdr:to>
      <xdr:col>21</xdr:col>
      <xdr:colOff>180000</xdr:colOff>
      <xdr:row>7</xdr:row>
      <xdr:rowOff>180000</xdr:rowOff>
    </xdr:to>
    <xdr:pic>
      <xdr:nvPicPr>
        <xdr:cNvPr id="85" name="Picture 84">
          <a:extLst>
            <a:ext uri="{FF2B5EF4-FFF2-40B4-BE49-F238E27FC236}">
              <a16:creationId xmlns:a16="http://schemas.microsoft.com/office/drawing/2014/main" id="{055C3A0B-6698-41F4-98C3-259905498C37}"/>
            </a:ext>
          </a:extLst>
        </xdr:cNvPr>
        <xdr:cNvPicPr>
          <a:picLocks noChangeAspect="1"/>
        </xdr:cNvPicPr>
      </xdr:nvPicPr>
      <xdr:blipFill>
        <a:blip xmlns:r="http://schemas.openxmlformats.org/officeDocument/2006/relationships" r:embed="rId83"/>
        <a:stretch>
          <a:fillRect/>
        </a:stretch>
      </xdr:blipFill>
      <xdr:spPr>
        <a:xfrm>
          <a:off x="4000500" y="1333500"/>
          <a:ext cx="180000" cy="180000"/>
        </a:xfrm>
        <a:prstGeom prst="rect">
          <a:avLst/>
        </a:prstGeom>
      </xdr:spPr>
    </xdr:pic>
    <xdr:clientData/>
  </xdr:twoCellAnchor>
  <xdr:twoCellAnchor editAs="oneCell">
    <xdr:from>
      <xdr:col>22</xdr:col>
      <xdr:colOff>0</xdr:colOff>
      <xdr:row>7</xdr:row>
      <xdr:rowOff>0</xdr:rowOff>
    </xdr:from>
    <xdr:to>
      <xdr:col>22</xdr:col>
      <xdr:colOff>180000</xdr:colOff>
      <xdr:row>7</xdr:row>
      <xdr:rowOff>180000</xdr:rowOff>
    </xdr:to>
    <xdr:pic>
      <xdr:nvPicPr>
        <xdr:cNvPr id="86" name="Picture 85">
          <a:extLst>
            <a:ext uri="{FF2B5EF4-FFF2-40B4-BE49-F238E27FC236}">
              <a16:creationId xmlns:a16="http://schemas.microsoft.com/office/drawing/2014/main" id="{062E1F89-44A7-472D-B888-EA23EA0D38BA}"/>
            </a:ext>
          </a:extLst>
        </xdr:cNvPr>
        <xdr:cNvPicPr>
          <a:picLocks noChangeAspect="1"/>
        </xdr:cNvPicPr>
      </xdr:nvPicPr>
      <xdr:blipFill>
        <a:blip xmlns:r="http://schemas.openxmlformats.org/officeDocument/2006/relationships" r:embed="rId84"/>
        <a:stretch>
          <a:fillRect/>
        </a:stretch>
      </xdr:blipFill>
      <xdr:spPr>
        <a:xfrm>
          <a:off x="4191000" y="1333500"/>
          <a:ext cx="180000" cy="180000"/>
        </a:xfrm>
        <a:prstGeom prst="rect">
          <a:avLst/>
        </a:prstGeom>
      </xdr:spPr>
    </xdr:pic>
    <xdr:clientData/>
  </xdr:twoCellAnchor>
  <xdr:twoCellAnchor editAs="oneCell">
    <xdr:from>
      <xdr:col>24</xdr:col>
      <xdr:colOff>0</xdr:colOff>
      <xdr:row>5</xdr:row>
      <xdr:rowOff>0</xdr:rowOff>
    </xdr:from>
    <xdr:to>
      <xdr:col>24</xdr:col>
      <xdr:colOff>180000</xdr:colOff>
      <xdr:row>5</xdr:row>
      <xdr:rowOff>180000</xdr:rowOff>
    </xdr:to>
    <xdr:pic>
      <xdr:nvPicPr>
        <xdr:cNvPr id="87" name="Picture 86">
          <a:extLst>
            <a:ext uri="{FF2B5EF4-FFF2-40B4-BE49-F238E27FC236}">
              <a16:creationId xmlns:a16="http://schemas.microsoft.com/office/drawing/2014/main" id="{00347505-6F99-407D-B1D9-78F143FAD016}"/>
            </a:ext>
          </a:extLst>
        </xdr:cNvPr>
        <xdr:cNvPicPr>
          <a:picLocks noChangeAspect="1"/>
        </xdr:cNvPicPr>
      </xdr:nvPicPr>
      <xdr:blipFill>
        <a:blip xmlns:r="http://schemas.openxmlformats.org/officeDocument/2006/relationships" r:embed="rId85"/>
        <a:stretch>
          <a:fillRect/>
        </a:stretch>
      </xdr:blipFill>
      <xdr:spPr>
        <a:xfrm>
          <a:off x="4572000" y="952500"/>
          <a:ext cx="180000" cy="180000"/>
        </a:xfrm>
        <a:prstGeom prst="rect">
          <a:avLst/>
        </a:prstGeom>
      </xdr:spPr>
    </xdr:pic>
    <xdr:clientData/>
  </xdr:twoCellAnchor>
  <xdr:twoCellAnchor editAs="oneCell">
    <xdr:from>
      <xdr:col>24</xdr:col>
      <xdr:colOff>0</xdr:colOff>
      <xdr:row>9</xdr:row>
      <xdr:rowOff>0</xdr:rowOff>
    </xdr:from>
    <xdr:to>
      <xdr:col>24</xdr:col>
      <xdr:colOff>180000</xdr:colOff>
      <xdr:row>9</xdr:row>
      <xdr:rowOff>180000</xdr:rowOff>
    </xdr:to>
    <xdr:pic>
      <xdr:nvPicPr>
        <xdr:cNvPr id="88" name="Picture 87">
          <a:extLst>
            <a:ext uri="{FF2B5EF4-FFF2-40B4-BE49-F238E27FC236}">
              <a16:creationId xmlns:a16="http://schemas.microsoft.com/office/drawing/2014/main" id="{D0A2D224-F97F-4FD4-9B02-EAE48E943963}"/>
            </a:ext>
          </a:extLst>
        </xdr:cNvPr>
        <xdr:cNvPicPr>
          <a:picLocks noChangeAspect="1"/>
        </xdr:cNvPicPr>
      </xdr:nvPicPr>
      <xdr:blipFill>
        <a:blip xmlns:r="http://schemas.openxmlformats.org/officeDocument/2006/relationships" r:embed="rId86"/>
        <a:stretch>
          <a:fillRect/>
        </a:stretch>
      </xdr:blipFill>
      <xdr:spPr>
        <a:xfrm>
          <a:off x="4572000" y="1714500"/>
          <a:ext cx="180000" cy="180000"/>
        </a:xfrm>
        <a:prstGeom prst="rect">
          <a:avLst/>
        </a:prstGeom>
      </xdr:spPr>
    </xdr:pic>
    <xdr:clientData/>
  </xdr:twoCellAnchor>
  <xdr:twoCellAnchor editAs="oneCell">
    <xdr:from>
      <xdr:col>23</xdr:col>
      <xdr:colOff>0</xdr:colOff>
      <xdr:row>7</xdr:row>
      <xdr:rowOff>0</xdr:rowOff>
    </xdr:from>
    <xdr:to>
      <xdr:col>23</xdr:col>
      <xdr:colOff>180000</xdr:colOff>
      <xdr:row>7</xdr:row>
      <xdr:rowOff>180000</xdr:rowOff>
    </xdr:to>
    <xdr:pic>
      <xdr:nvPicPr>
        <xdr:cNvPr id="89" name="Picture 88">
          <a:extLst>
            <a:ext uri="{FF2B5EF4-FFF2-40B4-BE49-F238E27FC236}">
              <a16:creationId xmlns:a16="http://schemas.microsoft.com/office/drawing/2014/main" id="{BA93FFDC-7CD5-4D14-8F8E-AF316FA06D04}"/>
            </a:ext>
          </a:extLst>
        </xdr:cNvPr>
        <xdr:cNvPicPr>
          <a:picLocks noChangeAspect="1"/>
        </xdr:cNvPicPr>
      </xdr:nvPicPr>
      <xdr:blipFill>
        <a:blip xmlns:r="http://schemas.openxmlformats.org/officeDocument/2006/relationships" r:embed="rId87"/>
        <a:stretch>
          <a:fillRect/>
        </a:stretch>
      </xdr:blipFill>
      <xdr:spPr>
        <a:xfrm>
          <a:off x="4381500" y="1333500"/>
          <a:ext cx="180000" cy="180000"/>
        </a:xfrm>
        <a:prstGeom prst="rect">
          <a:avLst/>
        </a:prstGeom>
      </xdr:spPr>
    </xdr:pic>
    <xdr:clientData/>
  </xdr:twoCellAnchor>
  <xdr:twoCellAnchor editAs="oneCell">
    <xdr:from>
      <xdr:col>24</xdr:col>
      <xdr:colOff>0</xdr:colOff>
      <xdr:row>7</xdr:row>
      <xdr:rowOff>0</xdr:rowOff>
    </xdr:from>
    <xdr:to>
      <xdr:col>24</xdr:col>
      <xdr:colOff>180000</xdr:colOff>
      <xdr:row>7</xdr:row>
      <xdr:rowOff>180000</xdr:rowOff>
    </xdr:to>
    <xdr:pic>
      <xdr:nvPicPr>
        <xdr:cNvPr id="90" name="Picture 89">
          <a:extLst>
            <a:ext uri="{FF2B5EF4-FFF2-40B4-BE49-F238E27FC236}">
              <a16:creationId xmlns:a16="http://schemas.microsoft.com/office/drawing/2014/main" id="{04C19BE3-5FAD-42CF-8B20-AE7BDB89F710}"/>
            </a:ext>
          </a:extLst>
        </xdr:cNvPr>
        <xdr:cNvPicPr>
          <a:picLocks noChangeAspect="1"/>
        </xdr:cNvPicPr>
      </xdr:nvPicPr>
      <xdr:blipFill>
        <a:blip xmlns:r="http://schemas.openxmlformats.org/officeDocument/2006/relationships" r:embed="rId88"/>
        <a:stretch>
          <a:fillRect/>
        </a:stretch>
      </xdr:blipFill>
      <xdr:spPr>
        <a:xfrm>
          <a:off x="4572000" y="1333500"/>
          <a:ext cx="180000" cy="180000"/>
        </a:xfrm>
        <a:prstGeom prst="rect">
          <a:avLst/>
        </a:prstGeom>
      </xdr:spPr>
    </xdr:pic>
    <xdr:clientData/>
  </xdr:twoCellAnchor>
  <xdr:twoCellAnchor editAs="oneCell">
    <xdr:from>
      <xdr:col>24</xdr:col>
      <xdr:colOff>0</xdr:colOff>
      <xdr:row>3</xdr:row>
      <xdr:rowOff>0</xdr:rowOff>
    </xdr:from>
    <xdr:to>
      <xdr:col>24</xdr:col>
      <xdr:colOff>180000</xdr:colOff>
      <xdr:row>3</xdr:row>
      <xdr:rowOff>180000</xdr:rowOff>
    </xdr:to>
    <xdr:pic>
      <xdr:nvPicPr>
        <xdr:cNvPr id="91" name="Picture 90">
          <a:extLst>
            <a:ext uri="{FF2B5EF4-FFF2-40B4-BE49-F238E27FC236}">
              <a16:creationId xmlns:a16="http://schemas.microsoft.com/office/drawing/2014/main" id="{F580D29C-C32D-4C29-BF2E-3832AB6CB4ED}"/>
            </a:ext>
          </a:extLst>
        </xdr:cNvPr>
        <xdr:cNvPicPr>
          <a:picLocks noChangeAspect="1"/>
        </xdr:cNvPicPr>
      </xdr:nvPicPr>
      <xdr:blipFill>
        <a:blip xmlns:r="http://schemas.openxmlformats.org/officeDocument/2006/relationships" r:embed="rId89"/>
        <a:stretch>
          <a:fillRect/>
        </a:stretch>
      </xdr:blipFill>
      <xdr:spPr>
        <a:xfrm>
          <a:off x="4572000" y="571500"/>
          <a:ext cx="180000" cy="180000"/>
        </a:xfrm>
        <a:prstGeom prst="rect">
          <a:avLst/>
        </a:prstGeom>
      </xdr:spPr>
    </xdr:pic>
    <xdr:clientData/>
  </xdr:twoCellAnchor>
  <xdr:twoCellAnchor editAs="oneCell">
    <xdr:from>
      <xdr:col>25</xdr:col>
      <xdr:colOff>0</xdr:colOff>
      <xdr:row>3</xdr:row>
      <xdr:rowOff>0</xdr:rowOff>
    </xdr:from>
    <xdr:to>
      <xdr:col>25</xdr:col>
      <xdr:colOff>180000</xdr:colOff>
      <xdr:row>3</xdr:row>
      <xdr:rowOff>180000</xdr:rowOff>
    </xdr:to>
    <xdr:pic>
      <xdr:nvPicPr>
        <xdr:cNvPr id="92" name="Picture 91">
          <a:extLst>
            <a:ext uri="{FF2B5EF4-FFF2-40B4-BE49-F238E27FC236}">
              <a16:creationId xmlns:a16="http://schemas.microsoft.com/office/drawing/2014/main" id="{525C6B39-C587-4CE5-AE63-BDC8FB8C2D05}"/>
            </a:ext>
          </a:extLst>
        </xdr:cNvPr>
        <xdr:cNvPicPr>
          <a:picLocks noChangeAspect="1"/>
        </xdr:cNvPicPr>
      </xdr:nvPicPr>
      <xdr:blipFill>
        <a:blip xmlns:r="http://schemas.openxmlformats.org/officeDocument/2006/relationships" r:embed="rId90"/>
        <a:stretch>
          <a:fillRect/>
        </a:stretch>
      </xdr:blipFill>
      <xdr:spPr>
        <a:xfrm>
          <a:off x="4762500" y="571500"/>
          <a:ext cx="180000" cy="180000"/>
        </a:xfrm>
        <a:prstGeom prst="rect">
          <a:avLst/>
        </a:prstGeom>
      </xdr:spPr>
    </xdr:pic>
    <xdr:clientData/>
  </xdr:twoCellAnchor>
  <xdr:twoCellAnchor editAs="oneCell">
    <xdr:from>
      <xdr:col>26</xdr:col>
      <xdr:colOff>0</xdr:colOff>
      <xdr:row>3</xdr:row>
      <xdr:rowOff>0</xdr:rowOff>
    </xdr:from>
    <xdr:to>
      <xdr:col>26</xdr:col>
      <xdr:colOff>180000</xdr:colOff>
      <xdr:row>3</xdr:row>
      <xdr:rowOff>180000</xdr:rowOff>
    </xdr:to>
    <xdr:pic>
      <xdr:nvPicPr>
        <xdr:cNvPr id="93" name="Picture 92">
          <a:extLst>
            <a:ext uri="{FF2B5EF4-FFF2-40B4-BE49-F238E27FC236}">
              <a16:creationId xmlns:a16="http://schemas.microsoft.com/office/drawing/2014/main" id="{73D5303A-CD64-438D-B0BF-DD57EA80EC3D}"/>
            </a:ext>
          </a:extLst>
        </xdr:cNvPr>
        <xdr:cNvPicPr>
          <a:picLocks noChangeAspect="1"/>
        </xdr:cNvPicPr>
      </xdr:nvPicPr>
      <xdr:blipFill>
        <a:blip xmlns:r="http://schemas.openxmlformats.org/officeDocument/2006/relationships" r:embed="rId91"/>
        <a:stretch>
          <a:fillRect/>
        </a:stretch>
      </xdr:blipFill>
      <xdr:spPr>
        <a:xfrm>
          <a:off x="4953000" y="571500"/>
          <a:ext cx="180000" cy="180000"/>
        </a:xfrm>
        <a:prstGeom prst="rect">
          <a:avLst/>
        </a:prstGeom>
      </xdr:spPr>
    </xdr:pic>
    <xdr:clientData/>
  </xdr:twoCellAnchor>
  <xdr:twoCellAnchor editAs="oneCell">
    <xdr:from>
      <xdr:col>27</xdr:col>
      <xdr:colOff>0</xdr:colOff>
      <xdr:row>3</xdr:row>
      <xdr:rowOff>0</xdr:rowOff>
    </xdr:from>
    <xdr:to>
      <xdr:col>27</xdr:col>
      <xdr:colOff>180000</xdr:colOff>
      <xdr:row>3</xdr:row>
      <xdr:rowOff>180000</xdr:rowOff>
    </xdr:to>
    <xdr:pic>
      <xdr:nvPicPr>
        <xdr:cNvPr id="94" name="Picture 93">
          <a:extLst>
            <a:ext uri="{FF2B5EF4-FFF2-40B4-BE49-F238E27FC236}">
              <a16:creationId xmlns:a16="http://schemas.microsoft.com/office/drawing/2014/main" id="{8DED32AB-AD6F-4241-BA95-9704F9AC65C7}"/>
            </a:ext>
          </a:extLst>
        </xdr:cNvPr>
        <xdr:cNvPicPr>
          <a:picLocks noChangeAspect="1"/>
        </xdr:cNvPicPr>
      </xdr:nvPicPr>
      <xdr:blipFill>
        <a:blip xmlns:r="http://schemas.openxmlformats.org/officeDocument/2006/relationships" r:embed="rId92"/>
        <a:stretch>
          <a:fillRect/>
        </a:stretch>
      </xdr:blipFill>
      <xdr:spPr>
        <a:xfrm>
          <a:off x="5143500" y="571500"/>
          <a:ext cx="180000" cy="180000"/>
        </a:xfrm>
        <a:prstGeom prst="rect">
          <a:avLst/>
        </a:prstGeom>
      </xdr:spPr>
    </xdr:pic>
    <xdr:clientData/>
  </xdr:twoCellAnchor>
  <xdr:twoCellAnchor editAs="oneCell">
    <xdr:from>
      <xdr:col>25</xdr:col>
      <xdr:colOff>0</xdr:colOff>
      <xdr:row>5</xdr:row>
      <xdr:rowOff>0</xdr:rowOff>
    </xdr:from>
    <xdr:to>
      <xdr:col>25</xdr:col>
      <xdr:colOff>180000</xdr:colOff>
      <xdr:row>5</xdr:row>
      <xdr:rowOff>180000</xdr:rowOff>
    </xdr:to>
    <xdr:pic>
      <xdr:nvPicPr>
        <xdr:cNvPr id="95" name="Picture 94">
          <a:extLst>
            <a:ext uri="{FF2B5EF4-FFF2-40B4-BE49-F238E27FC236}">
              <a16:creationId xmlns:a16="http://schemas.microsoft.com/office/drawing/2014/main" id="{6D501298-BD26-4268-A7D1-ED64D138FDC1}"/>
            </a:ext>
          </a:extLst>
        </xdr:cNvPr>
        <xdr:cNvPicPr>
          <a:picLocks noChangeAspect="1"/>
        </xdr:cNvPicPr>
      </xdr:nvPicPr>
      <xdr:blipFill>
        <a:blip xmlns:r="http://schemas.openxmlformats.org/officeDocument/2006/relationships" r:embed="rId93"/>
        <a:stretch>
          <a:fillRect/>
        </a:stretch>
      </xdr:blipFill>
      <xdr:spPr>
        <a:xfrm>
          <a:off x="4762500" y="952500"/>
          <a:ext cx="180000" cy="180000"/>
        </a:xfrm>
        <a:prstGeom prst="rect">
          <a:avLst/>
        </a:prstGeom>
      </xdr:spPr>
    </xdr:pic>
    <xdr:clientData/>
  </xdr:twoCellAnchor>
  <xdr:twoCellAnchor editAs="oneCell">
    <xdr:from>
      <xdr:col>28</xdr:col>
      <xdr:colOff>0</xdr:colOff>
      <xdr:row>3</xdr:row>
      <xdr:rowOff>0</xdr:rowOff>
    </xdr:from>
    <xdr:to>
      <xdr:col>28</xdr:col>
      <xdr:colOff>180000</xdr:colOff>
      <xdr:row>3</xdr:row>
      <xdr:rowOff>180000</xdr:rowOff>
    </xdr:to>
    <xdr:pic>
      <xdr:nvPicPr>
        <xdr:cNvPr id="96" name="Picture 95">
          <a:extLst>
            <a:ext uri="{FF2B5EF4-FFF2-40B4-BE49-F238E27FC236}">
              <a16:creationId xmlns:a16="http://schemas.microsoft.com/office/drawing/2014/main" id="{E2859DBB-AEF1-4EF2-8BAA-3F7C10C4C59B}"/>
            </a:ext>
          </a:extLst>
        </xdr:cNvPr>
        <xdr:cNvPicPr>
          <a:picLocks noChangeAspect="1"/>
        </xdr:cNvPicPr>
      </xdr:nvPicPr>
      <xdr:blipFill>
        <a:blip xmlns:r="http://schemas.openxmlformats.org/officeDocument/2006/relationships" r:embed="rId94"/>
        <a:stretch>
          <a:fillRect/>
        </a:stretch>
      </xdr:blipFill>
      <xdr:spPr>
        <a:xfrm>
          <a:off x="5334000" y="571500"/>
          <a:ext cx="180000" cy="180000"/>
        </a:xfrm>
        <a:prstGeom prst="rect">
          <a:avLst/>
        </a:prstGeom>
      </xdr:spPr>
    </xdr:pic>
    <xdr:clientData/>
  </xdr:twoCellAnchor>
  <xdr:twoCellAnchor editAs="oneCell">
    <xdr:from>
      <xdr:col>25</xdr:col>
      <xdr:colOff>0</xdr:colOff>
      <xdr:row>9</xdr:row>
      <xdr:rowOff>0</xdr:rowOff>
    </xdr:from>
    <xdr:to>
      <xdr:col>25</xdr:col>
      <xdr:colOff>180000</xdr:colOff>
      <xdr:row>9</xdr:row>
      <xdr:rowOff>180000</xdr:rowOff>
    </xdr:to>
    <xdr:pic>
      <xdr:nvPicPr>
        <xdr:cNvPr id="97" name="Picture 96">
          <a:extLst>
            <a:ext uri="{FF2B5EF4-FFF2-40B4-BE49-F238E27FC236}">
              <a16:creationId xmlns:a16="http://schemas.microsoft.com/office/drawing/2014/main" id="{E5E258BC-2DC5-4429-A132-9CF376416598}"/>
            </a:ext>
          </a:extLst>
        </xdr:cNvPr>
        <xdr:cNvPicPr>
          <a:picLocks noChangeAspect="1"/>
        </xdr:cNvPicPr>
      </xdr:nvPicPr>
      <xdr:blipFill>
        <a:blip xmlns:r="http://schemas.openxmlformats.org/officeDocument/2006/relationships" r:embed="rId95"/>
        <a:stretch>
          <a:fillRect/>
        </a:stretch>
      </xdr:blipFill>
      <xdr:spPr>
        <a:xfrm>
          <a:off x="4762500" y="1714500"/>
          <a:ext cx="180000" cy="180000"/>
        </a:xfrm>
        <a:prstGeom prst="rect">
          <a:avLst/>
        </a:prstGeom>
      </xdr:spPr>
    </xdr:pic>
    <xdr:clientData/>
  </xdr:twoCellAnchor>
  <xdr:twoCellAnchor editAs="oneCell">
    <xdr:from>
      <xdr:col>25</xdr:col>
      <xdr:colOff>0</xdr:colOff>
      <xdr:row>7</xdr:row>
      <xdr:rowOff>0</xdr:rowOff>
    </xdr:from>
    <xdr:to>
      <xdr:col>25</xdr:col>
      <xdr:colOff>180000</xdr:colOff>
      <xdr:row>7</xdr:row>
      <xdr:rowOff>180000</xdr:rowOff>
    </xdr:to>
    <xdr:pic>
      <xdr:nvPicPr>
        <xdr:cNvPr id="98" name="Picture 97">
          <a:extLst>
            <a:ext uri="{FF2B5EF4-FFF2-40B4-BE49-F238E27FC236}">
              <a16:creationId xmlns:a16="http://schemas.microsoft.com/office/drawing/2014/main" id="{16C6E2BE-046B-4AA7-A749-929B5F59EEC5}"/>
            </a:ext>
          </a:extLst>
        </xdr:cNvPr>
        <xdr:cNvPicPr>
          <a:picLocks noChangeAspect="1"/>
        </xdr:cNvPicPr>
      </xdr:nvPicPr>
      <xdr:blipFill>
        <a:blip xmlns:r="http://schemas.openxmlformats.org/officeDocument/2006/relationships" r:embed="rId96"/>
        <a:stretch>
          <a:fillRect/>
        </a:stretch>
      </xdr:blipFill>
      <xdr:spPr>
        <a:xfrm>
          <a:off x="4762500" y="1333500"/>
          <a:ext cx="180000" cy="180000"/>
        </a:xfrm>
        <a:prstGeom prst="rect">
          <a:avLst/>
        </a:prstGeom>
      </xdr:spPr>
    </xdr:pic>
    <xdr:clientData/>
  </xdr:twoCellAnchor>
  <xdr:twoCellAnchor editAs="oneCell">
    <xdr:from>
      <xdr:col>26</xdr:col>
      <xdr:colOff>0</xdr:colOff>
      <xdr:row>7</xdr:row>
      <xdr:rowOff>0</xdr:rowOff>
    </xdr:from>
    <xdr:to>
      <xdr:col>26</xdr:col>
      <xdr:colOff>180000</xdr:colOff>
      <xdr:row>7</xdr:row>
      <xdr:rowOff>180000</xdr:rowOff>
    </xdr:to>
    <xdr:pic>
      <xdr:nvPicPr>
        <xdr:cNvPr id="99" name="Picture 98">
          <a:extLst>
            <a:ext uri="{FF2B5EF4-FFF2-40B4-BE49-F238E27FC236}">
              <a16:creationId xmlns:a16="http://schemas.microsoft.com/office/drawing/2014/main" id="{D839D34C-CC07-4609-A4EB-A6EF7C4F088C}"/>
            </a:ext>
          </a:extLst>
        </xdr:cNvPr>
        <xdr:cNvPicPr>
          <a:picLocks noChangeAspect="1"/>
        </xdr:cNvPicPr>
      </xdr:nvPicPr>
      <xdr:blipFill>
        <a:blip xmlns:r="http://schemas.openxmlformats.org/officeDocument/2006/relationships" r:embed="rId97"/>
        <a:stretch>
          <a:fillRect/>
        </a:stretch>
      </xdr:blipFill>
      <xdr:spPr>
        <a:xfrm>
          <a:off x="4953000" y="1333500"/>
          <a:ext cx="180000" cy="180000"/>
        </a:xfrm>
        <a:prstGeom prst="rect">
          <a:avLst/>
        </a:prstGeom>
      </xdr:spPr>
    </xdr:pic>
    <xdr:clientData/>
  </xdr:twoCellAnchor>
  <xdr:twoCellAnchor editAs="oneCell">
    <xdr:from>
      <xdr:col>26</xdr:col>
      <xdr:colOff>0</xdr:colOff>
      <xdr:row>9</xdr:row>
      <xdr:rowOff>0</xdr:rowOff>
    </xdr:from>
    <xdr:to>
      <xdr:col>26</xdr:col>
      <xdr:colOff>180000</xdr:colOff>
      <xdr:row>9</xdr:row>
      <xdr:rowOff>180000</xdr:rowOff>
    </xdr:to>
    <xdr:pic>
      <xdr:nvPicPr>
        <xdr:cNvPr id="100" name="Picture 99">
          <a:extLst>
            <a:ext uri="{FF2B5EF4-FFF2-40B4-BE49-F238E27FC236}">
              <a16:creationId xmlns:a16="http://schemas.microsoft.com/office/drawing/2014/main" id="{0335BEC4-28AA-4BFC-B863-AC2F359FA1AF}"/>
            </a:ext>
          </a:extLst>
        </xdr:cNvPr>
        <xdr:cNvPicPr>
          <a:picLocks noChangeAspect="1"/>
        </xdr:cNvPicPr>
      </xdr:nvPicPr>
      <xdr:blipFill>
        <a:blip xmlns:r="http://schemas.openxmlformats.org/officeDocument/2006/relationships" r:embed="rId98"/>
        <a:stretch>
          <a:fillRect/>
        </a:stretch>
      </xdr:blipFill>
      <xdr:spPr>
        <a:xfrm>
          <a:off x="4953000" y="1714500"/>
          <a:ext cx="180000" cy="180000"/>
        </a:xfrm>
        <a:prstGeom prst="rect">
          <a:avLst/>
        </a:prstGeom>
      </xdr:spPr>
    </xdr:pic>
    <xdr:clientData/>
  </xdr:twoCellAnchor>
  <xdr:twoCellAnchor editAs="oneCell">
    <xdr:from>
      <xdr:col>26</xdr:col>
      <xdr:colOff>0</xdr:colOff>
      <xdr:row>5</xdr:row>
      <xdr:rowOff>0</xdr:rowOff>
    </xdr:from>
    <xdr:to>
      <xdr:col>26</xdr:col>
      <xdr:colOff>180000</xdr:colOff>
      <xdr:row>5</xdr:row>
      <xdr:rowOff>180000</xdr:rowOff>
    </xdr:to>
    <xdr:pic>
      <xdr:nvPicPr>
        <xdr:cNvPr id="101" name="Picture 100">
          <a:extLst>
            <a:ext uri="{FF2B5EF4-FFF2-40B4-BE49-F238E27FC236}">
              <a16:creationId xmlns:a16="http://schemas.microsoft.com/office/drawing/2014/main" id="{94C497BC-847D-4142-BB5F-CEF74C1AF21E}"/>
            </a:ext>
          </a:extLst>
        </xdr:cNvPr>
        <xdr:cNvPicPr>
          <a:picLocks noChangeAspect="1"/>
        </xdr:cNvPicPr>
      </xdr:nvPicPr>
      <xdr:blipFill>
        <a:blip xmlns:r="http://schemas.openxmlformats.org/officeDocument/2006/relationships" r:embed="rId99"/>
        <a:stretch>
          <a:fillRect/>
        </a:stretch>
      </xdr:blipFill>
      <xdr:spPr>
        <a:xfrm>
          <a:off x="4953000" y="952500"/>
          <a:ext cx="180000" cy="180000"/>
        </a:xfrm>
        <a:prstGeom prst="rect">
          <a:avLst/>
        </a:prstGeom>
      </xdr:spPr>
    </xdr:pic>
    <xdr:clientData/>
  </xdr:twoCellAnchor>
  <xdr:twoCellAnchor editAs="oneCell">
    <xdr:from>
      <xdr:col>27</xdr:col>
      <xdr:colOff>0</xdr:colOff>
      <xdr:row>7</xdr:row>
      <xdr:rowOff>0</xdr:rowOff>
    </xdr:from>
    <xdr:to>
      <xdr:col>27</xdr:col>
      <xdr:colOff>180000</xdr:colOff>
      <xdr:row>7</xdr:row>
      <xdr:rowOff>180000</xdr:rowOff>
    </xdr:to>
    <xdr:pic>
      <xdr:nvPicPr>
        <xdr:cNvPr id="102" name="Picture 101">
          <a:extLst>
            <a:ext uri="{FF2B5EF4-FFF2-40B4-BE49-F238E27FC236}">
              <a16:creationId xmlns:a16="http://schemas.microsoft.com/office/drawing/2014/main" id="{65A54BE7-D10B-46FB-A580-9953429A817B}"/>
            </a:ext>
          </a:extLst>
        </xdr:cNvPr>
        <xdr:cNvPicPr>
          <a:picLocks noChangeAspect="1"/>
        </xdr:cNvPicPr>
      </xdr:nvPicPr>
      <xdr:blipFill>
        <a:blip xmlns:r="http://schemas.openxmlformats.org/officeDocument/2006/relationships" r:embed="rId100"/>
        <a:stretch>
          <a:fillRect/>
        </a:stretch>
      </xdr:blipFill>
      <xdr:spPr>
        <a:xfrm>
          <a:off x="5143500" y="1333500"/>
          <a:ext cx="180000" cy="180000"/>
        </a:xfrm>
        <a:prstGeom prst="rect">
          <a:avLst/>
        </a:prstGeom>
      </xdr:spPr>
    </xdr:pic>
    <xdr:clientData/>
  </xdr:twoCellAnchor>
  <xdr:twoCellAnchor editAs="oneCell">
    <xdr:from>
      <xdr:col>27</xdr:col>
      <xdr:colOff>0</xdr:colOff>
      <xdr:row>9</xdr:row>
      <xdr:rowOff>0</xdr:rowOff>
    </xdr:from>
    <xdr:to>
      <xdr:col>27</xdr:col>
      <xdr:colOff>180000</xdr:colOff>
      <xdr:row>9</xdr:row>
      <xdr:rowOff>180000</xdr:rowOff>
    </xdr:to>
    <xdr:pic>
      <xdr:nvPicPr>
        <xdr:cNvPr id="103" name="Picture 103">
          <a:extLst>
            <a:ext uri="{FF2B5EF4-FFF2-40B4-BE49-F238E27FC236}">
              <a16:creationId xmlns:a16="http://schemas.microsoft.com/office/drawing/2014/main" id="{027B9204-D91C-4875-8DE8-41D7B804BE00}"/>
            </a:ext>
          </a:extLst>
        </xdr:cNvPr>
        <xdr:cNvPicPr>
          <a:picLocks noChangeAspect="1"/>
        </xdr:cNvPicPr>
      </xdr:nvPicPr>
      <xdr:blipFill>
        <a:blip xmlns:r="http://schemas.openxmlformats.org/officeDocument/2006/relationships" r:embed="rId101"/>
        <a:stretch>
          <a:fillRect/>
        </a:stretch>
      </xdr:blipFill>
      <xdr:spPr>
        <a:xfrm>
          <a:off x="5143500" y="1714500"/>
          <a:ext cx="180000" cy="180000"/>
        </a:xfrm>
        <a:prstGeom prst="rect">
          <a:avLst/>
        </a:prstGeom>
      </xdr:spPr>
    </xdr:pic>
    <xdr:clientData/>
  </xdr:twoCellAnchor>
  <xdr:twoCellAnchor editAs="oneCell">
    <xdr:from>
      <xdr:col>28</xdr:col>
      <xdr:colOff>0</xdr:colOff>
      <xdr:row>9</xdr:row>
      <xdr:rowOff>0</xdr:rowOff>
    </xdr:from>
    <xdr:to>
      <xdr:col>28</xdr:col>
      <xdr:colOff>180000</xdr:colOff>
      <xdr:row>9</xdr:row>
      <xdr:rowOff>180000</xdr:rowOff>
    </xdr:to>
    <xdr:pic>
      <xdr:nvPicPr>
        <xdr:cNvPr id="104" name="Picture 104">
          <a:extLst>
            <a:ext uri="{FF2B5EF4-FFF2-40B4-BE49-F238E27FC236}">
              <a16:creationId xmlns:a16="http://schemas.microsoft.com/office/drawing/2014/main" id="{2FA51B76-93A7-4669-9963-73073ECF8579}"/>
            </a:ext>
          </a:extLst>
        </xdr:cNvPr>
        <xdr:cNvPicPr>
          <a:picLocks noChangeAspect="1"/>
        </xdr:cNvPicPr>
      </xdr:nvPicPr>
      <xdr:blipFill>
        <a:blip xmlns:r="http://schemas.openxmlformats.org/officeDocument/2006/relationships" r:embed="rId102"/>
        <a:stretch>
          <a:fillRect/>
        </a:stretch>
      </xdr:blipFill>
      <xdr:spPr>
        <a:xfrm>
          <a:off x="5334000" y="1714500"/>
          <a:ext cx="180000" cy="180000"/>
        </a:xfrm>
        <a:prstGeom prst="rect">
          <a:avLst/>
        </a:prstGeom>
      </xdr:spPr>
    </xdr:pic>
    <xdr:clientData/>
  </xdr:twoCellAnchor>
  <xdr:twoCellAnchor editAs="oneCell">
    <xdr:from>
      <xdr:col>28</xdr:col>
      <xdr:colOff>0</xdr:colOff>
      <xdr:row>5</xdr:row>
      <xdr:rowOff>0</xdr:rowOff>
    </xdr:from>
    <xdr:to>
      <xdr:col>28</xdr:col>
      <xdr:colOff>180000</xdr:colOff>
      <xdr:row>5</xdr:row>
      <xdr:rowOff>180000</xdr:rowOff>
    </xdr:to>
    <xdr:pic>
      <xdr:nvPicPr>
        <xdr:cNvPr id="105" name="Picture 106">
          <a:extLst>
            <a:ext uri="{FF2B5EF4-FFF2-40B4-BE49-F238E27FC236}">
              <a16:creationId xmlns:a16="http://schemas.microsoft.com/office/drawing/2014/main" id="{86FCE73E-AF79-4FF7-BD22-60A9C27C7CE1}"/>
            </a:ext>
          </a:extLst>
        </xdr:cNvPr>
        <xdr:cNvPicPr>
          <a:picLocks noChangeAspect="1"/>
        </xdr:cNvPicPr>
      </xdr:nvPicPr>
      <xdr:blipFill>
        <a:blip xmlns:r="http://schemas.openxmlformats.org/officeDocument/2006/relationships" r:embed="rId103"/>
        <a:stretch>
          <a:fillRect/>
        </a:stretch>
      </xdr:blipFill>
      <xdr:spPr>
        <a:xfrm>
          <a:off x="5334000" y="952500"/>
          <a:ext cx="180000" cy="180000"/>
        </a:xfrm>
        <a:prstGeom prst="rect">
          <a:avLst/>
        </a:prstGeom>
      </xdr:spPr>
    </xdr:pic>
    <xdr:clientData/>
  </xdr:twoCellAnchor>
  <xdr:twoCellAnchor editAs="oneCell">
    <xdr:from>
      <xdr:col>18</xdr:col>
      <xdr:colOff>0</xdr:colOff>
      <xdr:row>13</xdr:row>
      <xdr:rowOff>0</xdr:rowOff>
    </xdr:from>
    <xdr:to>
      <xdr:col>18</xdr:col>
      <xdr:colOff>180000</xdr:colOff>
      <xdr:row>13</xdr:row>
      <xdr:rowOff>180000</xdr:rowOff>
    </xdr:to>
    <xdr:pic>
      <xdr:nvPicPr>
        <xdr:cNvPr id="106" name="Picture 107">
          <a:extLst>
            <a:ext uri="{FF2B5EF4-FFF2-40B4-BE49-F238E27FC236}">
              <a16:creationId xmlns:a16="http://schemas.microsoft.com/office/drawing/2014/main" id="{D9BCD32E-B2D7-4684-A6D9-9B19DA3EB07B}"/>
            </a:ext>
          </a:extLst>
        </xdr:cNvPr>
        <xdr:cNvPicPr>
          <a:picLocks noChangeAspect="1"/>
        </xdr:cNvPicPr>
      </xdr:nvPicPr>
      <xdr:blipFill>
        <a:blip xmlns:r="http://schemas.openxmlformats.org/officeDocument/2006/relationships" r:embed="rId104"/>
        <a:stretch>
          <a:fillRect/>
        </a:stretch>
      </xdr:blipFill>
      <xdr:spPr>
        <a:xfrm>
          <a:off x="3429000" y="2476500"/>
          <a:ext cx="180000" cy="180000"/>
        </a:xfrm>
        <a:prstGeom prst="rect">
          <a:avLst/>
        </a:prstGeom>
      </xdr:spPr>
    </xdr:pic>
    <xdr:clientData/>
  </xdr:twoCellAnchor>
  <xdr:twoCellAnchor editAs="oneCell">
    <xdr:from>
      <xdr:col>21</xdr:col>
      <xdr:colOff>0</xdr:colOff>
      <xdr:row>11</xdr:row>
      <xdr:rowOff>0</xdr:rowOff>
    </xdr:from>
    <xdr:to>
      <xdr:col>21</xdr:col>
      <xdr:colOff>180000</xdr:colOff>
      <xdr:row>11</xdr:row>
      <xdr:rowOff>180000</xdr:rowOff>
    </xdr:to>
    <xdr:pic>
      <xdr:nvPicPr>
        <xdr:cNvPr id="107" name="Picture 108">
          <a:extLst>
            <a:ext uri="{FF2B5EF4-FFF2-40B4-BE49-F238E27FC236}">
              <a16:creationId xmlns:a16="http://schemas.microsoft.com/office/drawing/2014/main" id="{1D783AA0-8785-4C4A-8A46-F935EC4E3CBB}"/>
            </a:ext>
          </a:extLst>
        </xdr:cNvPr>
        <xdr:cNvPicPr>
          <a:picLocks noChangeAspect="1"/>
        </xdr:cNvPicPr>
      </xdr:nvPicPr>
      <xdr:blipFill>
        <a:blip xmlns:r="http://schemas.openxmlformats.org/officeDocument/2006/relationships" r:embed="rId105"/>
        <a:stretch>
          <a:fillRect/>
        </a:stretch>
      </xdr:blipFill>
      <xdr:spPr>
        <a:xfrm>
          <a:off x="4000500" y="2095500"/>
          <a:ext cx="180000" cy="180000"/>
        </a:xfrm>
        <a:prstGeom prst="rect">
          <a:avLst/>
        </a:prstGeom>
      </xdr:spPr>
    </xdr:pic>
    <xdr:clientData/>
  </xdr:twoCellAnchor>
  <xdr:twoCellAnchor editAs="oneCell">
    <xdr:from>
      <xdr:col>19</xdr:col>
      <xdr:colOff>0</xdr:colOff>
      <xdr:row>13</xdr:row>
      <xdr:rowOff>0</xdr:rowOff>
    </xdr:from>
    <xdr:to>
      <xdr:col>19</xdr:col>
      <xdr:colOff>180000</xdr:colOff>
      <xdr:row>13</xdr:row>
      <xdr:rowOff>180000</xdr:rowOff>
    </xdr:to>
    <xdr:pic>
      <xdr:nvPicPr>
        <xdr:cNvPr id="108" name="Picture 109">
          <a:extLst>
            <a:ext uri="{FF2B5EF4-FFF2-40B4-BE49-F238E27FC236}">
              <a16:creationId xmlns:a16="http://schemas.microsoft.com/office/drawing/2014/main" id="{41C37AED-998C-4E1B-9B84-87340B9ACAF1}"/>
            </a:ext>
          </a:extLst>
        </xdr:cNvPr>
        <xdr:cNvPicPr>
          <a:picLocks noChangeAspect="1"/>
        </xdr:cNvPicPr>
      </xdr:nvPicPr>
      <xdr:blipFill>
        <a:blip xmlns:r="http://schemas.openxmlformats.org/officeDocument/2006/relationships" r:embed="rId106"/>
        <a:stretch>
          <a:fillRect/>
        </a:stretch>
      </xdr:blipFill>
      <xdr:spPr>
        <a:xfrm>
          <a:off x="3619500" y="2476500"/>
          <a:ext cx="180000" cy="180000"/>
        </a:xfrm>
        <a:prstGeom prst="rect">
          <a:avLst/>
        </a:prstGeom>
      </xdr:spPr>
    </xdr:pic>
    <xdr:clientData/>
  </xdr:twoCellAnchor>
  <xdr:twoCellAnchor editAs="oneCell">
    <xdr:from>
      <xdr:col>20</xdr:col>
      <xdr:colOff>0</xdr:colOff>
      <xdr:row>13</xdr:row>
      <xdr:rowOff>0</xdr:rowOff>
    </xdr:from>
    <xdr:to>
      <xdr:col>20</xdr:col>
      <xdr:colOff>180000</xdr:colOff>
      <xdr:row>13</xdr:row>
      <xdr:rowOff>180000</xdr:rowOff>
    </xdr:to>
    <xdr:pic>
      <xdr:nvPicPr>
        <xdr:cNvPr id="109" name="Picture 110">
          <a:extLst>
            <a:ext uri="{FF2B5EF4-FFF2-40B4-BE49-F238E27FC236}">
              <a16:creationId xmlns:a16="http://schemas.microsoft.com/office/drawing/2014/main" id="{17CF323C-3C19-4D6C-BB17-1312AE0067EE}"/>
            </a:ext>
          </a:extLst>
        </xdr:cNvPr>
        <xdr:cNvPicPr>
          <a:picLocks noChangeAspect="1"/>
        </xdr:cNvPicPr>
      </xdr:nvPicPr>
      <xdr:blipFill>
        <a:blip xmlns:r="http://schemas.openxmlformats.org/officeDocument/2006/relationships" r:embed="rId107"/>
        <a:stretch>
          <a:fillRect/>
        </a:stretch>
      </xdr:blipFill>
      <xdr:spPr>
        <a:xfrm>
          <a:off x="3810000" y="2476500"/>
          <a:ext cx="180000" cy="180000"/>
        </a:xfrm>
        <a:prstGeom prst="rect">
          <a:avLst/>
        </a:prstGeom>
      </xdr:spPr>
    </xdr:pic>
    <xdr:clientData/>
  </xdr:twoCellAnchor>
  <xdr:twoCellAnchor editAs="oneCell">
    <xdr:from>
      <xdr:col>22</xdr:col>
      <xdr:colOff>0</xdr:colOff>
      <xdr:row>11</xdr:row>
      <xdr:rowOff>0</xdr:rowOff>
    </xdr:from>
    <xdr:to>
      <xdr:col>22</xdr:col>
      <xdr:colOff>180000</xdr:colOff>
      <xdr:row>11</xdr:row>
      <xdr:rowOff>180000</xdr:rowOff>
    </xdr:to>
    <xdr:pic>
      <xdr:nvPicPr>
        <xdr:cNvPr id="110" name="Picture 111">
          <a:extLst>
            <a:ext uri="{FF2B5EF4-FFF2-40B4-BE49-F238E27FC236}">
              <a16:creationId xmlns:a16="http://schemas.microsoft.com/office/drawing/2014/main" id="{A723CEF5-F5F1-413C-A6A5-87C68AA7929D}"/>
            </a:ext>
          </a:extLst>
        </xdr:cNvPr>
        <xdr:cNvPicPr>
          <a:picLocks noChangeAspect="1"/>
        </xdr:cNvPicPr>
      </xdr:nvPicPr>
      <xdr:blipFill>
        <a:blip xmlns:r="http://schemas.openxmlformats.org/officeDocument/2006/relationships" r:embed="rId108"/>
        <a:stretch>
          <a:fillRect/>
        </a:stretch>
      </xdr:blipFill>
      <xdr:spPr>
        <a:xfrm>
          <a:off x="4191000" y="2095500"/>
          <a:ext cx="180000" cy="180000"/>
        </a:xfrm>
        <a:prstGeom prst="rect">
          <a:avLst/>
        </a:prstGeom>
      </xdr:spPr>
    </xdr:pic>
    <xdr:clientData/>
  </xdr:twoCellAnchor>
  <xdr:twoCellAnchor editAs="oneCell">
    <xdr:from>
      <xdr:col>23</xdr:col>
      <xdr:colOff>0</xdr:colOff>
      <xdr:row>11</xdr:row>
      <xdr:rowOff>0</xdr:rowOff>
    </xdr:from>
    <xdr:to>
      <xdr:col>23</xdr:col>
      <xdr:colOff>180000</xdr:colOff>
      <xdr:row>11</xdr:row>
      <xdr:rowOff>180000</xdr:rowOff>
    </xdr:to>
    <xdr:pic>
      <xdr:nvPicPr>
        <xdr:cNvPr id="111" name="Picture 112">
          <a:extLst>
            <a:ext uri="{FF2B5EF4-FFF2-40B4-BE49-F238E27FC236}">
              <a16:creationId xmlns:a16="http://schemas.microsoft.com/office/drawing/2014/main" id="{B7D734F2-AB18-4988-BC5C-0DC39928D063}"/>
            </a:ext>
          </a:extLst>
        </xdr:cNvPr>
        <xdr:cNvPicPr>
          <a:picLocks noChangeAspect="1"/>
        </xdr:cNvPicPr>
      </xdr:nvPicPr>
      <xdr:blipFill>
        <a:blip xmlns:r="http://schemas.openxmlformats.org/officeDocument/2006/relationships" r:embed="rId109"/>
        <a:stretch>
          <a:fillRect/>
        </a:stretch>
      </xdr:blipFill>
      <xdr:spPr>
        <a:xfrm>
          <a:off x="4381500" y="2095500"/>
          <a:ext cx="180000" cy="180000"/>
        </a:xfrm>
        <a:prstGeom prst="rect">
          <a:avLst/>
        </a:prstGeom>
      </xdr:spPr>
    </xdr:pic>
    <xdr:clientData/>
  </xdr:twoCellAnchor>
  <xdr:twoCellAnchor editAs="oneCell">
    <xdr:from>
      <xdr:col>24</xdr:col>
      <xdr:colOff>0</xdr:colOff>
      <xdr:row>11</xdr:row>
      <xdr:rowOff>0</xdr:rowOff>
    </xdr:from>
    <xdr:to>
      <xdr:col>24</xdr:col>
      <xdr:colOff>180000</xdr:colOff>
      <xdr:row>11</xdr:row>
      <xdr:rowOff>180000</xdr:rowOff>
    </xdr:to>
    <xdr:pic>
      <xdr:nvPicPr>
        <xdr:cNvPr id="112" name="Picture 113">
          <a:extLst>
            <a:ext uri="{FF2B5EF4-FFF2-40B4-BE49-F238E27FC236}">
              <a16:creationId xmlns:a16="http://schemas.microsoft.com/office/drawing/2014/main" id="{502464BD-39BB-45C4-88E0-120B85A5CE5D}"/>
            </a:ext>
          </a:extLst>
        </xdr:cNvPr>
        <xdr:cNvPicPr>
          <a:picLocks noChangeAspect="1"/>
        </xdr:cNvPicPr>
      </xdr:nvPicPr>
      <xdr:blipFill>
        <a:blip xmlns:r="http://schemas.openxmlformats.org/officeDocument/2006/relationships" r:embed="rId110"/>
        <a:stretch>
          <a:fillRect/>
        </a:stretch>
      </xdr:blipFill>
      <xdr:spPr>
        <a:xfrm>
          <a:off x="4572000" y="2095500"/>
          <a:ext cx="180000" cy="180000"/>
        </a:xfrm>
        <a:prstGeom prst="rect">
          <a:avLst/>
        </a:prstGeom>
      </xdr:spPr>
    </xdr:pic>
    <xdr:clientData/>
  </xdr:twoCellAnchor>
  <xdr:twoCellAnchor editAs="oneCell">
    <xdr:from>
      <xdr:col>25</xdr:col>
      <xdr:colOff>0</xdr:colOff>
      <xdr:row>11</xdr:row>
      <xdr:rowOff>0</xdr:rowOff>
    </xdr:from>
    <xdr:to>
      <xdr:col>25</xdr:col>
      <xdr:colOff>180000</xdr:colOff>
      <xdr:row>11</xdr:row>
      <xdr:rowOff>180000</xdr:rowOff>
    </xdr:to>
    <xdr:pic>
      <xdr:nvPicPr>
        <xdr:cNvPr id="113" name="Picture 114">
          <a:extLst>
            <a:ext uri="{FF2B5EF4-FFF2-40B4-BE49-F238E27FC236}">
              <a16:creationId xmlns:a16="http://schemas.microsoft.com/office/drawing/2014/main" id="{012B2CF5-80DB-467A-AF04-134E032E2473}"/>
            </a:ext>
          </a:extLst>
        </xdr:cNvPr>
        <xdr:cNvPicPr>
          <a:picLocks noChangeAspect="1"/>
        </xdr:cNvPicPr>
      </xdr:nvPicPr>
      <xdr:blipFill>
        <a:blip xmlns:r="http://schemas.openxmlformats.org/officeDocument/2006/relationships" r:embed="rId111"/>
        <a:stretch>
          <a:fillRect/>
        </a:stretch>
      </xdr:blipFill>
      <xdr:spPr>
        <a:xfrm>
          <a:off x="4762500" y="2095500"/>
          <a:ext cx="180000" cy="180000"/>
        </a:xfrm>
        <a:prstGeom prst="rect">
          <a:avLst/>
        </a:prstGeom>
      </xdr:spPr>
    </xdr:pic>
    <xdr:clientData/>
  </xdr:twoCellAnchor>
  <xdr:twoCellAnchor editAs="oneCell">
    <xdr:from>
      <xdr:col>26</xdr:col>
      <xdr:colOff>0</xdr:colOff>
      <xdr:row>11</xdr:row>
      <xdr:rowOff>0</xdr:rowOff>
    </xdr:from>
    <xdr:to>
      <xdr:col>26</xdr:col>
      <xdr:colOff>180000</xdr:colOff>
      <xdr:row>11</xdr:row>
      <xdr:rowOff>180000</xdr:rowOff>
    </xdr:to>
    <xdr:pic>
      <xdr:nvPicPr>
        <xdr:cNvPr id="114" name="Picture 115">
          <a:extLst>
            <a:ext uri="{FF2B5EF4-FFF2-40B4-BE49-F238E27FC236}">
              <a16:creationId xmlns:a16="http://schemas.microsoft.com/office/drawing/2014/main" id="{32DC8CE1-90E5-443E-B16D-D9B0BA773E22}"/>
            </a:ext>
          </a:extLst>
        </xdr:cNvPr>
        <xdr:cNvPicPr>
          <a:picLocks noChangeAspect="1"/>
        </xdr:cNvPicPr>
      </xdr:nvPicPr>
      <xdr:blipFill>
        <a:blip xmlns:r="http://schemas.openxmlformats.org/officeDocument/2006/relationships" r:embed="rId112"/>
        <a:stretch>
          <a:fillRect/>
        </a:stretch>
      </xdr:blipFill>
      <xdr:spPr>
        <a:xfrm>
          <a:off x="4953000" y="2095500"/>
          <a:ext cx="180000" cy="180000"/>
        </a:xfrm>
        <a:prstGeom prst="rect">
          <a:avLst/>
        </a:prstGeom>
      </xdr:spPr>
    </xdr:pic>
    <xdr:clientData/>
  </xdr:twoCellAnchor>
  <xdr:twoCellAnchor editAs="oneCell">
    <xdr:from>
      <xdr:col>21</xdr:col>
      <xdr:colOff>0</xdr:colOff>
      <xdr:row>13</xdr:row>
      <xdr:rowOff>0</xdr:rowOff>
    </xdr:from>
    <xdr:to>
      <xdr:col>21</xdr:col>
      <xdr:colOff>180000</xdr:colOff>
      <xdr:row>13</xdr:row>
      <xdr:rowOff>180000</xdr:rowOff>
    </xdr:to>
    <xdr:pic>
      <xdr:nvPicPr>
        <xdr:cNvPr id="115" name="Picture 116">
          <a:extLst>
            <a:ext uri="{FF2B5EF4-FFF2-40B4-BE49-F238E27FC236}">
              <a16:creationId xmlns:a16="http://schemas.microsoft.com/office/drawing/2014/main" id="{FD4B6098-AF35-4DB1-8B39-00F70E01E5BB}"/>
            </a:ext>
          </a:extLst>
        </xdr:cNvPr>
        <xdr:cNvPicPr>
          <a:picLocks noChangeAspect="1"/>
        </xdr:cNvPicPr>
      </xdr:nvPicPr>
      <xdr:blipFill>
        <a:blip xmlns:r="http://schemas.openxmlformats.org/officeDocument/2006/relationships" r:embed="rId113"/>
        <a:stretch>
          <a:fillRect/>
        </a:stretch>
      </xdr:blipFill>
      <xdr:spPr>
        <a:xfrm>
          <a:off x="4000500" y="2476500"/>
          <a:ext cx="180000" cy="180000"/>
        </a:xfrm>
        <a:prstGeom prst="rect">
          <a:avLst/>
        </a:prstGeom>
      </xdr:spPr>
    </xdr:pic>
    <xdr:clientData/>
  </xdr:twoCellAnchor>
  <xdr:twoCellAnchor editAs="oneCell">
    <xdr:from>
      <xdr:col>27</xdr:col>
      <xdr:colOff>0</xdr:colOff>
      <xdr:row>11</xdr:row>
      <xdr:rowOff>0</xdr:rowOff>
    </xdr:from>
    <xdr:to>
      <xdr:col>27</xdr:col>
      <xdr:colOff>180000</xdr:colOff>
      <xdr:row>11</xdr:row>
      <xdr:rowOff>180000</xdr:rowOff>
    </xdr:to>
    <xdr:pic>
      <xdr:nvPicPr>
        <xdr:cNvPr id="116" name="Picture 117">
          <a:extLst>
            <a:ext uri="{FF2B5EF4-FFF2-40B4-BE49-F238E27FC236}">
              <a16:creationId xmlns:a16="http://schemas.microsoft.com/office/drawing/2014/main" id="{A0748BE2-66F4-4870-8E14-1D4E894E7272}"/>
            </a:ext>
          </a:extLst>
        </xdr:cNvPr>
        <xdr:cNvPicPr>
          <a:picLocks noChangeAspect="1"/>
        </xdr:cNvPicPr>
      </xdr:nvPicPr>
      <xdr:blipFill>
        <a:blip xmlns:r="http://schemas.openxmlformats.org/officeDocument/2006/relationships" r:embed="rId114"/>
        <a:stretch>
          <a:fillRect/>
        </a:stretch>
      </xdr:blipFill>
      <xdr:spPr>
        <a:xfrm>
          <a:off x="5143500" y="2095500"/>
          <a:ext cx="180000" cy="180000"/>
        </a:xfrm>
        <a:prstGeom prst="rect">
          <a:avLst/>
        </a:prstGeom>
      </xdr:spPr>
    </xdr:pic>
    <xdr:clientData/>
  </xdr:twoCellAnchor>
  <xdr:twoCellAnchor editAs="oneCell">
    <xdr:from>
      <xdr:col>28</xdr:col>
      <xdr:colOff>0</xdr:colOff>
      <xdr:row>11</xdr:row>
      <xdr:rowOff>0</xdr:rowOff>
    </xdr:from>
    <xdr:to>
      <xdr:col>28</xdr:col>
      <xdr:colOff>180000</xdr:colOff>
      <xdr:row>11</xdr:row>
      <xdr:rowOff>180000</xdr:rowOff>
    </xdr:to>
    <xdr:pic>
      <xdr:nvPicPr>
        <xdr:cNvPr id="117" name="Picture 118">
          <a:extLst>
            <a:ext uri="{FF2B5EF4-FFF2-40B4-BE49-F238E27FC236}">
              <a16:creationId xmlns:a16="http://schemas.microsoft.com/office/drawing/2014/main" id="{09ACF6DC-1717-4E25-9141-FCC60DE23F20}"/>
            </a:ext>
          </a:extLst>
        </xdr:cNvPr>
        <xdr:cNvPicPr>
          <a:picLocks noChangeAspect="1"/>
        </xdr:cNvPicPr>
      </xdr:nvPicPr>
      <xdr:blipFill>
        <a:blip xmlns:r="http://schemas.openxmlformats.org/officeDocument/2006/relationships" r:embed="rId115"/>
        <a:stretch>
          <a:fillRect/>
        </a:stretch>
      </xdr:blipFill>
      <xdr:spPr>
        <a:xfrm>
          <a:off x="5334000" y="2095500"/>
          <a:ext cx="180000" cy="180000"/>
        </a:xfrm>
        <a:prstGeom prst="rect">
          <a:avLst/>
        </a:prstGeom>
      </xdr:spPr>
    </xdr:pic>
    <xdr:clientData/>
  </xdr:twoCellAnchor>
  <xdr:twoCellAnchor editAs="oneCell">
    <xdr:from>
      <xdr:col>22</xdr:col>
      <xdr:colOff>0</xdr:colOff>
      <xdr:row>13</xdr:row>
      <xdr:rowOff>0</xdr:rowOff>
    </xdr:from>
    <xdr:to>
      <xdr:col>22</xdr:col>
      <xdr:colOff>180000</xdr:colOff>
      <xdr:row>13</xdr:row>
      <xdr:rowOff>180000</xdr:rowOff>
    </xdr:to>
    <xdr:pic>
      <xdr:nvPicPr>
        <xdr:cNvPr id="118" name="Picture 119">
          <a:extLst>
            <a:ext uri="{FF2B5EF4-FFF2-40B4-BE49-F238E27FC236}">
              <a16:creationId xmlns:a16="http://schemas.microsoft.com/office/drawing/2014/main" id="{49B4F14F-2303-474F-BD97-34CA85FA5CA6}"/>
            </a:ext>
          </a:extLst>
        </xdr:cNvPr>
        <xdr:cNvPicPr>
          <a:picLocks noChangeAspect="1"/>
        </xdr:cNvPicPr>
      </xdr:nvPicPr>
      <xdr:blipFill>
        <a:blip xmlns:r="http://schemas.openxmlformats.org/officeDocument/2006/relationships" r:embed="rId116"/>
        <a:stretch>
          <a:fillRect/>
        </a:stretch>
      </xdr:blipFill>
      <xdr:spPr>
        <a:xfrm>
          <a:off x="4191000" y="2476500"/>
          <a:ext cx="180000" cy="180000"/>
        </a:xfrm>
        <a:prstGeom prst="rect">
          <a:avLst/>
        </a:prstGeom>
      </xdr:spPr>
    </xdr:pic>
    <xdr:clientData/>
  </xdr:twoCellAnchor>
  <xdr:twoCellAnchor editAs="oneCell">
    <xdr:from>
      <xdr:col>27</xdr:col>
      <xdr:colOff>0</xdr:colOff>
      <xdr:row>5</xdr:row>
      <xdr:rowOff>0</xdr:rowOff>
    </xdr:from>
    <xdr:to>
      <xdr:col>27</xdr:col>
      <xdr:colOff>180000</xdr:colOff>
      <xdr:row>5</xdr:row>
      <xdr:rowOff>180000</xdr:rowOff>
    </xdr:to>
    <xdr:pic>
      <xdr:nvPicPr>
        <xdr:cNvPr id="119" name="Picture 120">
          <a:extLst>
            <a:ext uri="{FF2B5EF4-FFF2-40B4-BE49-F238E27FC236}">
              <a16:creationId xmlns:a16="http://schemas.microsoft.com/office/drawing/2014/main" id="{F1709A79-19C0-4AB2-AA74-399679B0B0C2}"/>
            </a:ext>
          </a:extLst>
        </xdr:cNvPr>
        <xdr:cNvPicPr>
          <a:picLocks noChangeAspect="1"/>
        </xdr:cNvPicPr>
      </xdr:nvPicPr>
      <xdr:blipFill>
        <a:blip xmlns:r="http://schemas.openxmlformats.org/officeDocument/2006/relationships" r:embed="rId117"/>
        <a:stretch>
          <a:fillRect/>
        </a:stretch>
      </xdr:blipFill>
      <xdr:spPr>
        <a:xfrm>
          <a:off x="5143500" y="952500"/>
          <a:ext cx="180000" cy="180000"/>
        </a:xfrm>
        <a:prstGeom prst="rect">
          <a:avLst/>
        </a:prstGeom>
      </xdr:spPr>
    </xdr:pic>
    <xdr:clientData/>
  </xdr:twoCellAnchor>
  <xdr:twoCellAnchor editAs="oneCell">
    <xdr:from>
      <xdr:col>23</xdr:col>
      <xdr:colOff>0</xdr:colOff>
      <xdr:row>13</xdr:row>
      <xdr:rowOff>0</xdr:rowOff>
    </xdr:from>
    <xdr:to>
      <xdr:col>23</xdr:col>
      <xdr:colOff>180000</xdr:colOff>
      <xdr:row>13</xdr:row>
      <xdr:rowOff>180000</xdr:rowOff>
    </xdr:to>
    <xdr:pic>
      <xdr:nvPicPr>
        <xdr:cNvPr id="120" name="Picture 121">
          <a:extLst>
            <a:ext uri="{FF2B5EF4-FFF2-40B4-BE49-F238E27FC236}">
              <a16:creationId xmlns:a16="http://schemas.microsoft.com/office/drawing/2014/main" id="{F034C28B-D5BD-4580-B37E-3E6F7AD4BE1A}"/>
            </a:ext>
          </a:extLst>
        </xdr:cNvPr>
        <xdr:cNvPicPr>
          <a:picLocks noChangeAspect="1"/>
        </xdr:cNvPicPr>
      </xdr:nvPicPr>
      <xdr:blipFill>
        <a:blip xmlns:r="http://schemas.openxmlformats.org/officeDocument/2006/relationships" r:embed="rId118"/>
        <a:stretch>
          <a:fillRect/>
        </a:stretch>
      </xdr:blipFill>
      <xdr:spPr>
        <a:xfrm>
          <a:off x="4381500" y="2476500"/>
          <a:ext cx="180000" cy="180000"/>
        </a:xfrm>
        <a:prstGeom prst="rect">
          <a:avLst/>
        </a:prstGeom>
      </xdr:spPr>
    </xdr:pic>
    <xdr:clientData/>
  </xdr:twoCellAnchor>
  <xdr:twoCellAnchor editAs="oneCell">
    <xdr:from>
      <xdr:col>24</xdr:col>
      <xdr:colOff>0</xdr:colOff>
      <xdr:row>13</xdr:row>
      <xdr:rowOff>0</xdr:rowOff>
    </xdr:from>
    <xdr:to>
      <xdr:col>24</xdr:col>
      <xdr:colOff>180000</xdr:colOff>
      <xdr:row>13</xdr:row>
      <xdr:rowOff>180000</xdr:rowOff>
    </xdr:to>
    <xdr:pic>
      <xdr:nvPicPr>
        <xdr:cNvPr id="121" name="Picture 122">
          <a:extLst>
            <a:ext uri="{FF2B5EF4-FFF2-40B4-BE49-F238E27FC236}">
              <a16:creationId xmlns:a16="http://schemas.microsoft.com/office/drawing/2014/main" id="{528B8441-6465-4F6E-9EC6-B5A08793CAE6}"/>
            </a:ext>
          </a:extLst>
        </xdr:cNvPr>
        <xdr:cNvPicPr>
          <a:picLocks noChangeAspect="1"/>
        </xdr:cNvPicPr>
      </xdr:nvPicPr>
      <xdr:blipFill>
        <a:blip xmlns:r="http://schemas.openxmlformats.org/officeDocument/2006/relationships" r:embed="rId119"/>
        <a:stretch>
          <a:fillRect/>
        </a:stretch>
      </xdr:blipFill>
      <xdr:spPr>
        <a:xfrm>
          <a:off x="4572000" y="2476500"/>
          <a:ext cx="180000" cy="180000"/>
        </a:xfrm>
        <a:prstGeom prst="rect">
          <a:avLst/>
        </a:prstGeom>
      </xdr:spPr>
    </xdr:pic>
    <xdr:clientData/>
  </xdr:twoCellAnchor>
  <xdr:twoCellAnchor editAs="oneCell">
    <xdr:from>
      <xdr:col>25</xdr:col>
      <xdr:colOff>0</xdr:colOff>
      <xdr:row>13</xdr:row>
      <xdr:rowOff>0</xdr:rowOff>
    </xdr:from>
    <xdr:to>
      <xdr:col>25</xdr:col>
      <xdr:colOff>180000</xdr:colOff>
      <xdr:row>13</xdr:row>
      <xdr:rowOff>180000</xdr:rowOff>
    </xdr:to>
    <xdr:pic>
      <xdr:nvPicPr>
        <xdr:cNvPr id="122" name="Picture 123">
          <a:extLst>
            <a:ext uri="{FF2B5EF4-FFF2-40B4-BE49-F238E27FC236}">
              <a16:creationId xmlns:a16="http://schemas.microsoft.com/office/drawing/2014/main" id="{93E829AC-A096-4CF8-BA91-194431362941}"/>
            </a:ext>
          </a:extLst>
        </xdr:cNvPr>
        <xdr:cNvPicPr>
          <a:picLocks noChangeAspect="1"/>
        </xdr:cNvPicPr>
      </xdr:nvPicPr>
      <xdr:blipFill>
        <a:blip xmlns:r="http://schemas.openxmlformats.org/officeDocument/2006/relationships" r:embed="rId120"/>
        <a:stretch>
          <a:fillRect/>
        </a:stretch>
      </xdr:blipFill>
      <xdr:spPr>
        <a:xfrm>
          <a:off x="4762500" y="2476500"/>
          <a:ext cx="180000" cy="180000"/>
        </a:xfrm>
        <a:prstGeom prst="rect">
          <a:avLst/>
        </a:prstGeom>
      </xdr:spPr>
    </xdr:pic>
    <xdr:clientData/>
  </xdr:twoCellAnchor>
  <xdr:twoCellAnchor editAs="oneCell">
    <xdr:from>
      <xdr:col>26</xdr:col>
      <xdr:colOff>0</xdr:colOff>
      <xdr:row>13</xdr:row>
      <xdr:rowOff>0</xdr:rowOff>
    </xdr:from>
    <xdr:to>
      <xdr:col>26</xdr:col>
      <xdr:colOff>180000</xdr:colOff>
      <xdr:row>13</xdr:row>
      <xdr:rowOff>180000</xdr:rowOff>
    </xdr:to>
    <xdr:pic>
      <xdr:nvPicPr>
        <xdr:cNvPr id="123" name="Picture 124">
          <a:extLst>
            <a:ext uri="{FF2B5EF4-FFF2-40B4-BE49-F238E27FC236}">
              <a16:creationId xmlns:a16="http://schemas.microsoft.com/office/drawing/2014/main" id="{1F509B07-C4EA-47C4-A749-D39A3EA925A8}"/>
            </a:ext>
          </a:extLst>
        </xdr:cNvPr>
        <xdr:cNvPicPr>
          <a:picLocks noChangeAspect="1"/>
        </xdr:cNvPicPr>
      </xdr:nvPicPr>
      <xdr:blipFill>
        <a:blip xmlns:r="http://schemas.openxmlformats.org/officeDocument/2006/relationships" r:embed="rId121"/>
        <a:stretch>
          <a:fillRect/>
        </a:stretch>
      </xdr:blipFill>
      <xdr:spPr>
        <a:xfrm>
          <a:off x="4953000" y="2476500"/>
          <a:ext cx="180000" cy="180000"/>
        </a:xfrm>
        <a:prstGeom prst="rect">
          <a:avLst/>
        </a:prstGeom>
      </xdr:spPr>
    </xdr:pic>
    <xdr:clientData/>
  </xdr:twoCellAnchor>
  <xdr:twoCellAnchor editAs="oneCell">
    <xdr:from>
      <xdr:col>27</xdr:col>
      <xdr:colOff>0</xdr:colOff>
      <xdr:row>13</xdr:row>
      <xdr:rowOff>0</xdr:rowOff>
    </xdr:from>
    <xdr:to>
      <xdr:col>27</xdr:col>
      <xdr:colOff>180000</xdr:colOff>
      <xdr:row>13</xdr:row>
      <xdr:rowOff>180000</xdr:rowOff>
    </xdr:to>
    <xdr:pic>
      <xdr:nvPicPr>
        <xdr:cNvPr id="124" name="Picture 125">
          <a:extLst>
            <a:ext uri="{FF2B5EF4-FFF2-40B4-BE49-F238E27FC236}">
              <a16:creationId xmlns:a16="http://schemas.microsoft.com/office/drawing/2014/main" id="{B31382AD-3741-45E1-BC19-3F463B01AFA6}"/>
            </a:ext>
          </a:extLst>
        </xdr:cNvPr>
        <xdr:cNvPicPr>
          <a:picLocks noChangeAspect="1"/>
        </xdr:cNvPicPr>
      </xdr:nvPicPr>
      <xdr:blipFill>
        <a:blip xmlns:r="http://schemas.openxmlformats.org/officeDocument/2006/relationships" r:embed="rId122"/>
        <a:stretch>
          <a:fillRect/>
        </a:stretch>
      </xdr:blipFill>
      <xdr:spPr>
        <a:xfrm>
          <a:off x="5143500" y="2476500"/>
          <a:ext cx="180000" cy="180000"/>
        </a:xfrm>
        <a:prstGeom prst="rect">
          <a:avLst/>
        </a:prstGeom>
      </xdr:spPr>
    </xdr:pic>
    <xdr:clientData/>
  </xdr:twoCellAnchor>
  <xdr:twoCellAnchor editAs="oneCell">
    <xdr:from>
      <xdr:col>28</xdr:col>
      <xdr:colOff>0</xdr:colOff>
      <xdr:row>13</xdr:row>
      <xdr:rowOff>0</xdr:rowOff>
    </xdr:from>
    <xdr:to>
      <xdr:col>28</xdr:col>
      <xdr:colOff>180000</xdr:colOff>
      <xdr:row>13</xdr:row>
      <xdr:rowOff>180000</xdr:rowOff>
    </xdr:to>
    <xdr:pic>
      <xdr:nvPicPr>
        <xdr:cNvPr id="125" name="Picture 126">
          <a:extLst>
            <a:ext uri="{FF2B5EF4-FFF2-40B4-BE49-F238E27FC236}">
              <a16:creationId xmlns:a16="http://schemas.microsoft.com/office/drawing/2014/main" id="{32518FD4-AB9A-4DE5-B719-1A9F98F49A42}"/>
            </a:ext>
          </a:extLst>
        </xdr:cNvPr>
        <xdr:cNvPicPr>
          <a:picLocks noChangeAspect="1"/>
        </xdr:cNvPicPr>
      </xdr:nvPicPr>
      <xdr:blipFill>
        <a:blip xmlns:r="http://schemas.openxmlformats.org/officeDocument/2006/relationships" r:embed="rId123"/>
        <a:stretch>
          <a:fillRect/>
        </a:stretch>
      </xdr:blipFill>
      <xdr:spPr>
        <a:xfrm>
          <a:off x="5334000" y="2476500"/>
          <a:ext cx="180000" cy="180000"/>
        </a:xfrm>
        <a:prstGeom prst="rect">
          <a:avLst/>
        </a:prstGeom>
      </xdr:spPr>
    </xdr:pic>
    <xdr:clientData/>
  </xdr:twoCellAnchor>
  <xdr:twoCellAnchor editAs="oneCell">
    <xdr:from>
      <xdr:col>18</xdr:col>
      <xdr:colOff>0</xdr:colOff>
      <xdr:row>15</xdr:row>
      <xdr:rowOff>0</xdr:rowOff>
    </xdr:from>
    <xdr:to>
      <xdr:col>18</xdr:col>
      <xdr:colOff>180000</xdr:colOff>
      <xdr:row>15</xdr:row>
      <xdr:rowOff>180000</xdr:rowOff>
    </xdr:to>
    <xdr:pic>
      <xdr:nvPicPr>
        <xdr:cNvPr id="126" name="Picture 127">
          <a:extLst>
            <a:ext uri="{FF2B5EF4-FFF2-40B4-BE49-F238E27FC236}">
              <a16:creationId xmlns:a16="http://schemas.microsoft.com/office/drawing/2014/main" id="{08DD101C-D21B-45B6-A197-87615235DACC}"/>
            </a:ext>
          </a:extLst>
        </xdr:cNvPr>
        <xdr:cNvPicPr>
          <a:picLocks noChangeAspect="1"/>
        </xdr:cNvPicPr>
      </xdr:nvPicPr>
      <xdr:blipFill>
        <a:blip xmlns:r="http://schemas.openxmlformats.org/officeDocument/2006/relationships" r:embed="rId124"/>
        <a:stretch>
          <a:fillRect/>
        </a:stretch>
      </xdr:blipFill>
      <xdr:spPr>
        <a:xfrm>
          <a:off x="3429000" y="2857500"/>
          <a:ext cx="180000" cy="180000"/>
        </a:xfrm>
        <a:prstGeom prst="rect">
          <a:avLst/>
        </a:prstGeom>
      </xdr:spPr>
    </xdr:pic>
    <xdr:clientData/>
  </xdr:twoCellAnchor>
  <xdr:twoCellAnchor editAs="oneCell">
    <xdr:from>
      <xdr:col>19</xdr:col>
      <xdr:colOff>0</xdr:colOff>
      <xdr:row>15</xdr:row>
      <xdr:rowOff>0</xdr:rowOff>
    </xdr:from>
    <xdr:to>
      <xdr:col>19</xdr:col>
      <xdr:colOff>180000</xdr:colOff>
      <xdr:row>15</xdr:row>
      <xdr:rowOff>180000</xdr:rowOff>
    </xdr:to>
    <xdr:pic>
      <xdr:nvPicPr>
        <xdr:cNvPr id="127" name="Picture 128">
          <a:extLst>
            <a:ext uri="{FF2B5EF4-FFF2-40B4-BE49-F238E27FC236}">
              <a16:creationId xmlns:a16="http://schemas.microsoft.com/office/drawing/2014/main" id="{D2F66637-9B69-4902-9BE2-17CBA52F289B}"/>
            </a:ext>
          </a:extLst>
        </xdr:cNvPr>
        <xdr:cNvPicPr>
          <a:picLocks noChangeAspect="1"/>
        </xdr:cNvPicPr>
      </xdr:nvPicPr>
      <xdr:blipFill>
        <a:blip xmlns:r="http://schemas.openxmlformats.org/officeDocument/2006/relationships" r:embed="rId125"/>
        <a:stretch>
          <a:fillRect/>
        </a:stretch>
      </xdr:blipFill>
      <xdr:spPr>
        <a:xfrm>
          <a:off x="3619500" y="2857500"/>
          <a:ext cx="180000" cy="180000"/>
        </a:xfrm>
        <a:prstGeom prst="rect">
          <a:avLst/>
        </a:prstGeom>
      </xdr:spPr>
    </xdr:pic>
    <xdr:clientData/>
  </xdr:twoCellAnchor>
  <xdr:twoCellAnchor editAs="oneCell">
    <xdr:from>
      <xdr:col>20</xdr:col>
      <xdr:colOff>0</xdr:colOff>
      <xdr:row>15</xdr:row>
      <xdr:rowOff>0</xdr:rowOff>
    </xdr:from>
    <xdr:to>
      <xdr:col>20</xdr:col>
      <xdr:colOff>180000</xdr:colOff>
      <xdr:row>15</xdr:row>
      <xdr:rowOff>180000</xdr:rowOff>
    </xdr:to>
    <xdr:pic>
      <xdr:nvPicPr>
        <xdr:cNvPr id="128" name="Picture 129">
          <a:extLst>
            <a:ext uri="{FF2B5EF4-FFF2-40B4-BE49-F238E27FC236}">
              <a16:creationId xmlns:a16="http://schemas.microsoft.com/office/drawing/2014/main" id="{CB7EF200-DD06-453C-9859-BC1AB8C66543}"/>
            </a:ext>
          </a:extLst>
        </xdr:cNvPr>
        <xdr:cNvPicPr>
          <a:picLocks noChangeAspect="1"/>
        </xdr:cNvPicPr>
      </xdr:nvPicPr>
      <xdr:blipFill>
        <a:blip xmlns:r="http://schemas.openxmlformats.org/officeDocument/2006/relationships" r:embed="rId126"/>
        <a:stretch>
          <a:fillRect/>
        </a:stretch>
      </xdr:blipFill>
      <xdr:spPr>
        <a:xfrm>
          <a:off x="3810000" y="2857500"/>
          <a:ext cx="180000" cy="180000"/>
        </a:xfrm>
        <a:prstGeom prst="rect">
          <a:avLst/>
        </a:prstGeom>
      </xdr:spPr>
    </xdr:pic>
    <xdr:clientData/>
  </xdr:twoCellAnchor>
  <xdr:twoCellAnchor editAs="oneCell">
    <xdr:from>
      <xdr:col>21</xdr:col>
      <xdr:colOff>0</xdr:colOff>
      <xdr:row>15</xdr:row>
      <xdr:rowOff>0</xdr:rowOff>
    </xdr:from>
    <xdr:to>
      <xdr:col>21</xdr:col>
      <xdr:colOff>180000</xdr:colOff>
      <xdr:row>15</xdr:row>
      <xdr:rowOff>180000</xdr:rowOff>
    </xdr:to>
    <xdr:pic>
      <xdr:nvPicPr>
        <xdr:cNvPr id="129" name="Picture 130">
          <a:extLst>
            <a:ext uri="{FF2B5EF4-FFF2-40B4-BE49-F238E27FC236}">
              <a16:creationId xmlns:a16="http://schemas.microsoft.com/office/drawing/2014/main" id="{A8D230E4-CD08-47E1-B057-5862CD9DC0C5}"/>
            </a:ext>
          </a:extLst>
        </xdr:cNvPr>
        <xdr:cNvPicPr>
          <a:picLocks noChangeAspect="1"/>
        </xdr:cNvPicPr>
      </xdr:nvPicPr>
      <xdr:blipFill>
        <a:blip xmlns:r="http://schemas.openxmlformats.org/officeDocument/2006/relationships" r:embed="rId127"/>
        <a:stretch>
          <a:fillRect/>
        </a:stretch>
      </xdr:blipFill>
      <xdr:spPr>
        <a:xfrm>
          <a:off x="4000500" y="2857500"/>
          <a:ext cx="180000" cy="180000"/>
        </a:xfrm>
        <a:prstGeom prst="rect">
          <a:avLst/>
        </a:prstGeom>
      </xdr:spPr>
    </xdr:pic>
    <xdr:clientData/>
  </xdr:twoCellAnchor>
  <xdr:twoCellAnchor editAs="oneCell">
    <xdr:from>
      <xdr:col>22</xdr:col>
      <xdr:colOff>0</xdr:colOff>
      <xdr:row>15</xdr:row>
      <xdr:rowOff>0</xdr:rowOff>
    </xdr:from>
    <xdr:to>
      <xdr:col>22</xdr:col>
      <xdr:colOff>180000</xdr:colOff>
      <xdr:row>15</xdr:row>
      <xdr:rowOff>180000</xdr:rowOff>
    </xdr:to>
    <xdr:pic>
      <xdr:nvPicPr>
        <xdr:cNvPr id="130" name="Picture 131">
          <a:extLst>
            <a:ext uri="{FF2B5EF4-FFF2-40B4-BE49-F238E27FC236}">
              <a16:creationId xmlns:a16="http://schemas.microsoft.com/office/drawing/2014/main" id="{FEE81C35-3FF0-45C1-BC3F-2EAB3DA773F4}"/>
            </a:ext>
          </a:extLst>
        </xdr:cNvPr>
        <xdr:cNvPicPr>
          <a:picLocks noChangeAspect="1"/>
        </xdr:cNvPicPr>
      </xdr:nvPicPr>
      <xdr:blipFill>
        <a:blip xmlns:r="http://schemas.openxmlformats.org/officeDocument/2006/relationships" r:embed="rId128"/>
        <a:stretch>
          <a:fillRect/>
        </a:stretch>
      </xdr:blipFill>
      <xdr:spPr>
        <a:xfrm>
          <a:off x="4191000" y="2857500"/>
          <a:ext cx="180000" cy="180000"/>
        </a:xfrm>
        <a:prstGeom prst="rect">
          <a:avLst/>
        </a:prstGeom>
      </xdr:spPr>
    </xdr:pic>
    <xdr:clientData/>
  </xdr:twoCellAnchor>
  <xdr:twoCellAnchor editAs="oneCell">
    <xdr:from>
      <xdr:col>23</xdr:col>
      <xdr:colOff>0</xdr:colOff>
      <xdr:row>15</xdr:row>
      <xdr:rowOff>0</xdr:rowOff>
    </xdr:from>
    <xdr:to>
      <xdr:col>23</xdr:col>
      <xdr:colOff>180000</xdr:colOff>
      <xdr:row>15</xdr:row>
      <xdr:rowOff>180000</xdr:rowOff>
    </xdr:to>
    <xdr:pic>
      <xdr:nvPicPr>
        <xdr:cNvPr id="131" name="Picture 132">
          <a:extLst>
            <a:ext uri="{FF2B5EF4-FFF2-40B4-BE49-F238E27FC236}">
              <a16:creationId xmlns:a16="http://schemas.microsoft.com/office/drawing/2014/main" id="{9BD8EA59-53A5-42D6-9FC8-3D979CD40FB6}"/>
            </a:ext>
          </a:extLst>
        </xdr:cNvPr>
        <xdr:cNvPicPr>
          <a:picLocks noChangeAspect="1"/>
        </xdr:cNvPicPr>
      </xdr:nvPicPr>
      <xdr:blipFill>
        <a:blip xmlns:r="http://schemas.openxmlformats.org/officeDocument/2006/relationships" r:embed="rId129"/>
        <a:stretch>
          <a:fillRect/>
        </a:stretch>
      </xdr:blipFill>
      <xdr:spPr>
        <a:xfrm>
          <a:off x="4381500" y="2857500"/>
          <a:ext cx="180000" cy="180000"/>
        </a:xfrm>
        <a:prstGeom prst="rect">
          <a:avLst/>
        </a:prstGeom>
      </xdr:spPr>
    </xdr:pic>
    <xdr:clientData/>
  </xdr:twoCellAnchor>
  <xdr:twoCellAnchor editAs="oneCell">
    <xdr:from>
      <xdr:col>24</xdr:col>
      <xdr:colOff>0</xdr:colOff>
      <xdr:row>15</xdr:row>
      <xdr:rowOff>0</xdr:rowOff>
    </xdr:from>
    <xdr:to>
      <xdr:col>24</xdr:col>
      <xdr:colOff>180000</xdr:colOff>
      <xdr:row>15</xdr:row>
      <xdr:rowOff>180000</xdr:rowOff>
    </xdr:to>
    <xdr:pic>
      <xdr:nvPicPr>
        <xdr:cNvPr id="132" name="Picture 133">
          <a:extLst>
            <a:ext uri="{FF2B5EF4-FFF2-40B4-BE49-F238E27FC236}">
              <a16:creationId xmlns:a16="http://schemas.microsoft.com/office/drawing/2014/main" id="{9E57AB3D-8609-44E7-BB72-0C37BC5E4101}"/>
            </a:ext>
          </a:extLst>
        </xdr:cNvPr>
        <xdr:cNvPicPr>
          <a:picLocks noChangeAspect="1"/>
        </xdr:cNvPicPr>
      </xdr:nvPicPr>
      <xdr:blipFill>
        <a:blip xmlns:r="http://schemas.openxmlformats.org/officeDocument/2006/relationships" r:embed="rId130"/>
        <a:stretch>
          <a:fillRect/>
        </a:stretch>
      </xdr:blipFill>
      <xdr:spPr>
        <a:xfrm>
          <a:off x="4572000" y="2857500"/>
          <a:ext cx="180000" cy="180000"/>
        </a:xfrm>
        <a:prstGeom prst="rect">
          <a:avLst/>
        </a:prstGeom>
      </xdr:spPr>
    </xdr:pic>
    <xdr:clientData/>
  </xdr:twoCellAnchor>
  <xdr:twoCellAnchor editAs="oneCell">
    <xdr:from>
      <xdr:col>25</xdr:col>
      <xdr:colOff>0</xdr:colOff>
      <xdr:row>15</xdr:row>
      <xdr:rowOff>0</xdr:rowOff>
    </xdr:from>
    <xdr:to>
      <xdr:col>25</xdr:col>
      <xdr:colOff>180000</xdr:colOff>
      <xdr:row>15</xdr:row>
      <xdr:rowOff>180000</xdr:rowOff>
    </xdr:to>
    <xdr:pic>
      <xdr:nvPicPr>
        <xdr:cNvPr id="133" name="Picture 134">
          <a:extLst>
            <a:ext uri="{FF2B5EF4-FFF2-40B4-BE49-F238E27FC236}">
              <a16:creationId xmlns:a16="http://schemas.microsoft.com/office/drawing/2014/main" id="{81921C80-DADE-40C6-863E-9B31061FAFAA}"/>
            </a:ext>
          </a:extLst>
        </xdr:cNvPr>
        <xdr:cNvPicPr>
          <a:picLocks noChangeAspect="1"/>
        </xdr:cNvPicPr>
      </xdr:nvPicPr>
      <xdr:blipFill>
        <a:blip xmlns:r="http://schemas.openxmlformats.org/officeDocument/2006/relationships" r:embed="rId131"/>
        <a:stretch>
          <a:fillRect/>
        </a:stretch>
      </xdr:blipFill>
      <xdr:spPr>
        <a:xfrm>
          <a:off x="4762500" y="2857500"/>
          <a:ext cx="180000" cy="180000"/>
        </a:xfrm>
        <a:prstGeom prst="rect">
          <a:avLst/>
        </a:prstGeom>
      </xdr:spPr>
    </xdr:pic>
    <xdr:clientData/>
  </xdr:twoCellAnchor>
  <xdr:twoCellAnchor editAs="oneCell">
    <xdr:from>
      <xdr:col>26</xdr:col>
      <xdr:colOff>0</xdr:colOff>
      <xdr:row>15</xdr:row>
      <xdr:rowOff>0</xdr:rowOff>
    </xdr:from>
    <xdr:to>
      <xdr:col>26</xdr:col>
      <xdr:colOff>180000</xdr:colOff>
      <xdr:row>15</xdr:row>
      <xdr:rowOff>180000</xdr:rowOff>
    </xdr:to>
    <xdr:pic>
      <xdr:nvPicPr>
        <xdr:cNvPr id="134" name="Picture 135">
          <a:extLst>
            <a:ext uri="{FF2B5EF4-FFF2-40B4-BE49-F238E27FC236}">
              <a16:creationId xmlns:a16="http://schemas.microsoft.com/office/drawing/2014/main" id="{448C6D2E-BDAE-4328-AFF2-D2EA9204BE18}"/>
            </a:ext>
          </a:extLst>
        </xdr:cNvPr>
        <xdr:cNvPicPr>
          <a:picLocks noChangeAspect="1"/>
        </xdr:cNvPicPr>
      </xdr:nvPicPr>
      <xdr:blipFill>
        <a:blip xmlns:r="http://schemas.openxmlformats.org/officeDocument/2006/relationships" r:embed="rId132"/>
        <a:stretch>
          <a:fillRect/>
        </a:stretch>
      </xdr:blipFill>
      <xdr:spPr>
        <a:xfrm>
          <a:off x="4953000" y="2857500"/>
          <a:ext cx="180000" cy="180000"/>
        </a:xfrm>
        <a:prstGeom prst="rect">
          <a:avLst/>
        </a:prstGeom>
      </xdr:spPr>
    </xdr:pic>
    <xdr:clientData/>
  </xdr:twoCellAnchor>
  <xdr:twoCellAnchor editAs="oneCell">
    <xdr:from>
      <xdr:col>27</xdr:col>
      <xdr:colOff>0</xdr:colOff>
      <xdr:row>15</xdr:row>
      <xdr:rowOff>0</xdr:rowOff>
    </xdr:from>
    <xdr:to>
      <xdr:col>27</xdr:col>
      <xdr:colOff>180000</xdr:colOff>
      <xdr:row>15</xdr:row>
      <xdr:rowOff>180000</xdr:rowOff>
    </xdr:to>
    <xdr:pic>
      <xdr:nvPicPr>
        <xdr:cNvPr id="135" name="Picture 136">
          <a:extLst>
            <a:ext uri="{FF2B5EF4-FFF2-40B4-BE49-F238E27FC236}">
              <a16:creationId xmlns:a16="http://schemas.microsoft.com/office/drawing/2014/main" id="{3E5D05E5-72F8-4587-A2A2-5E994F2A62E9}"/>
            </a:ext>
          </a:extLst>
        </xdr:cNvPr>
        <xdr:cNvPicPr>
          <a:picLocks noChangeAspect="1"/>
        </xdr:cNvPicPr>
      </xdr:nvPicPr>
      <xdr:blipFill>
        <a:blip xmlns:r="http://schemas.openxmlformats.org/officeDocument/2006/relationships" r:embed="rId133"/>
        <a:stretch>
          <a:fillRect/>
        </a:stretch>
      </xdr:blipFill>
      <xdr:spPr>
        <a:xfrm>
          <a:off x="5143500" y="2857500"/>
          <a:ext cx="180000" cy="180000"/>
        </a:xfrm>
        <a:prstGeom prst="rect">
          <a:avLst/>
        </a:prstGeom>
      </xdr:spPr>
    </xdr:pic>
    <xdr:clientData/>
  </xdr:twoCellAnchor>
  <xdr:twoCellAnchor editAs="oneCell">
    <xdr:from>
      <xdr:col>28</xdr:col>
      <xdr:colOff>0</xdr:colOff>
      <xdr:row>7</xdr:row>
      <xdr:rowOff>0</xdr:rowOff>
    </xdr:from>
    <xdr:to>
      <xdr:col>28</xdr:col>
      <xdr:colOff>180000</xdr:colOff>
      <xdr:row>7</xdr:row>
      <xdr:rowOff>180000</xdr:rowOff>
    </xdr:to>
    <xdr:pic>
      <xdr:nvPicPr>
        <xdr:cNvPr id="136" name="Picture 138">
          <a:extLst>
            <a:ext uri="{FF2B5EF4-FFF2-40B4-BE49-F238E27FC236}">
              <a16:creationId xmlns:a16="http://schemas.microsoft.com/office/drawing/2014/main" id="{BC15C7F3-4F89-4557-9DDF-62C5EF2F0316}"/>
            </a:ext>
          </a:extLst>
        </xdr:cNvPr>
        <xdr:cNvPicPr>
          <a:picLocks noChangeAspect="1"/>
        </xdr:cNvPicPr>
      </xdr:nvPicPr>
      <xdr:blipFill>
        <a:blip xmlns:r="http://schemas.openxmlformats.org/officeDocument/2006/relationships" r:embed="rId134"/>
        <a:stretch>
          <a:fillRect/>
        </a:stretch>
      </xdr:blipFill>
      <xdr:spPr>
        <a:xfrm>
          <a:off x="5334000" y="1333500"/>
          <a:ext cx="180000" cy="180000"/>
        </a:xfrm>
        <a:prstGeom prst="rect">
          <a:avLst/>
        </a:prstGeom>
      </xdr:spPr>
    </xdr:pic>
    <xdr:clientData/>
  </xdr:twoCellAnchor>
  <xdr:twoCellAnchor editAs="oneCell">
    <xdr:from>
      <xdr:col>18</xdr:col>
      <xdr:colOff>0</xdr:colOff>
      <xdr:row>17</xdr:row>
      <xdr:rowOff>0</xdr:rowOff>
    </xdr:from>
    <xdr:to>
      <xdr:col>18</xdr:col>
      <xdr:colOff>180000</xdr:colOff>
      <xdr:row>17</xdr:row>
      <xdr:rowOff>180000</xdr:rowOff>
    </xdr:to>
    <xdr:pic>
      <xdr:nvPicPr>
        <xdr:cNvPr id="137" name="Picture 139">
          <a:extLst>
            <a:ext uri="{FF2B5EF4-FFF2-40B4-BE49-F238E27FC236}">
              <a16:creationId xmlns:a16="http://schemas.microsoft.com/office/drawing/2014/main" id="{A5F991F9-8495-4DB9-9853-76FD3A2B6CF0}"/>
            </a:ext>
          </a:extLst>
        </xdr:cNvPr>
        <xdr:cNvPicPr>
          <a:picLocks noChangeAspect="1"/>
        </xdr:cNvPicPr>
      </xdr:nvPicPr>
      <xdr:blipFill>
        <a:blip xmlns:r="http://schemas.openxmlformats.org/officeDocument/2006/relationships" r:embed="rId135"/>
        <a:stretch>
          <a:fillRect/>
        </a:stretch>
      </xdr:blipFill>
      <xdr:spPr>
        <a:xfrm>
          <a:off x="3429000" y="3238500"/>
          <a:ext cx="180000" cy="180000"/>
        </a:xfrm>
        <a:prstGeom prst="rect">
          <a:avLst/>
        </a:prstGeom>
      </xdr:spPr>
    </xdr:pic>
    <xdr:clientData/>
  </xdr:twoCellAnchor>
  <xdr:twoCellAnchor editAs="oneCell">
    <xdr:from>
      <xdr:col>19</xdr:col>
      <xdr:colOff>0</xdr:colOff>
      <xdr:row>17</xdr:row>
      <xdr:rowOff>0</xdr:rowOff>
    </xdr:from>
    <xdr:to>
      <xdr:col>19</xdr:col>
      <xdr:colOff>180000</xdr:colOff>
      <xdr:row>17</xdr:row>
      <xdr:rowOff>180000</xdr:rowOff>
    </xdr:to>
    <xdr:pic>
      <xdr:nvPicPr>
        <xdr:cNvPr id="138" name="Picture 140">
          <a:extLst>
            <a:ext uri="{FF2B5EF4-FFF2-40B4-BE49-F238E27FC236}">
              <a16:creationId xmlns:a16="http://schemas.microsoft.com/office/drawing/2014/main" id="{0D8EB4C0-9358-4782-BE4A-E72AF8A65FA3}"/>
            </a:ext>
          </a:extLst>
        </xdr:cNvPr>
        <xdr:cNvPicPr>
          <a:picLocks noChangeAspect="1"/>
        </xdr:cNvPicPr>
      </xdr:nvPicPr>
      <xdr:blipFill>
        <a:blip xmlns:r="http://schemas.openxmlformats.org/officeDocument/2006/relationships" r:embed="rId136"/>
        <a:stretch>
          <a:fillRect/>
        </a:stretch>
      </xdr:blipFill>
      <xdr:spPr>
        <a:xfrm>
          <a:off x="3619500" y="3238500"/>
          <a:ext cx="180000" cy="180000"/>
        </a:xfrm>
        <a:prstGeom prst="rect">
          <a:avLst/>
        </a:prstGeom>
      </xdr:spPr>
    </xdr:pic>
    <xdr:clientData/>
  </xdr:twoCellAnchor>
  <xdr:twoCellAnchor editAs="oneCell">
    <xdr:from>
      <xdr:col>20</xdr:col>
      <xdr:colOff>0</xdr:colOff>
      <xdr:row>17</xdr:row>
      <xdr:rowOff>0</xdr:rowOff>
    </xdr:from>
    <xdr:to>
      <xdr:col>20</xdr:col>
      <xdr:colOff>180000</xdr:colOff>
      <xdr:row>17</xdr:row>
      <xdr:rowOff>180000</xdr:rowOff>
    </xdr:to>
    <xdr:pic>
      <xdr:nvPicPr>
        <xdr:cNvPr id="139" name="Picture 141">
          <a:extLst>
            <a:ext uri="{FF2B5EF4-FFF2-40B4-BE49-F238E27FC236}">
              <a16:creationId xmlns:a16="http://schemas.microsoft.com/office/drawing/2014/main" id="{47BED3BC-153E-4A29-B7B2-541AF4CAE950}"/>
            </a:ext>
          </a:extLst>
        </xdr:cNvPr>
        <xdr:cNvPicPr>
          <a:picLocks noChangeAspect="1"/>
        </xdr:cNvPicPr>
      </xdr:nvPicPr>
      <xdr:blipFill>
        <a:blip xmlns:r="http://schemas.openxmlformats.org/officeDocument/2006/relationships" r:embed="rId137"/>
        <a:stretch>
          <a:fillRect/>
        </a:stretch>
      </xdr:blipFill>
      <xdr:spPr>
        <a:xfrm>
          <a:off x="3810000" y="3238500"/>
          <a:ext cx="180000" cy="180000"/>
        </a:xfrm>
        <a:prstGeom prst="rect">
          <a:avLst/>
        </a:prstGeom>
      </xdr:spPr>
    </xdr:pic>
    <xdr:clientData/>
  </xdr:twoCellAnchor>
  <xdr:twoCellAnchor editAs="oneCell">
    <xdr:from>
      <xdr:col>21</xdr:col>
      <xdr:colOff>0</xdr:colOff>
      <xdr:row>17</xdr:row>
      <xdr:rowOff>0</xdr:rowOff>
    </xdr:from>
    <xdr:to>
      <xdr:col>21</xdr:col>
      <xdr:colOff>180000</xdr:colOff>
      <xdr:row>17</xdr:row>
      <xdr:rowOff>180000</xdr:rowOff>
    </xdr:to>
    <xdr:pic>
      <xdr:nvPicPr>
        <xdr:cNvPr id="140" name="Picture 142">
          <a:extLst>
            <a:ext uri="{FF2B5EF4-FFF2-40B4-BE49-F238E27FC236}">
              <a16:creationId xmlns:a16="http://schemas.microsoft.com/office/drawing/2014/main" id="{CC4297B3-B330-4DC3-8539-E14A7810195D}"/>
            </a:ext>
          </a:extLst>
        </xdr:cNvPr>
        <xdr:cNvPicPr>
          <a:picLocks noChangeAspect="1"/>
        </xdr:cNvPicPr>
      </xdr:nvPicPr>
      <xdr:blipFill>
        <a:blip xmlns:r="http://schemas.openxmlformats.org/officeDocument/2006/relationships" r:embed="rId138"/>
        <a:stretch>
          <a:fillRect/>
        </a:stretch>
      </xdr:blipFill>
      <xdr:spPr>
        <a:xfrm>
          <a:off x="4000500" y="3238500"/>
          <a:ext cx="180000" cy="180000"/>
        </a:xfrm>
        <a:prstGeom prst="rect">
          <a:avLst/>
        </a:prstGeom>
      </xdr:spPr>
    </xdr:pic>
    <xdr:clientData/>
  </xdr:twoCellAnchor>
  <xdr:twoCellAnchor editAs="oneCell">
    <xdr:from>
      <xdr:col>22</xdr:col>
      <xdr:colOff>0</xdr:colOff>
      <xdr:row>17</xdr:row>
      <xdr:rowOff>0</xdr:rowOff>
    </xdr:from>
    <xdr:to>
      <xdr:col>22</xdr:col>
      <xdr:colOff>180000</xdr:colOff>
      <xdr:row>17</xdr:row>
      <xdr:rowOff>180000</xdr:rowOff>
    </xdr:to>
    <xdr:pic>
      <xdr:nvPicPr>
        <xdr:cNvPr id="141" name="Picture 143">
          <a:extLst>
            <a:ext uri="{FF2B5EF4-FFF2-40B4-BE49-F238E27FC236}">
              <a16:creationId xmlns:a16="http://schemas.microsoft.com/office/drawing/2014/main" id="{C174E4D3-A4FD-4586-96F7-72CE1F5F41DD}"/>
            </a:ext>
          </a:extLst>
        </xdr:cNvPr>
        <xdr:cNvPicPr>
          <a:picLocks noChangeAspect="1"/>
        </xdr:cNvPicPr>
      </xdr:nvPicPr>
      <xdr:blipFill>
        <a:blip xmlns:r="http://schemas.openxmlformats.org/officeDocument/2006/relationships" r:embed="rId139"/>
        <a:stretch>
          <a:fillRect/>
        </a:stretch>
      </xdr:blipFill>
      <xdr:spPr>
        <a:xfrm>
          <a:off x="4191000" y="3238500"/>
          <a:ext cx="180000" cy="180000"/>
        </a:xfrm>
        <a:prstGeom prst="rect">
          <a:avLst/>
        </a:prstGeom>
      </xdr:spPr>
    </xdr:pic>
    <xdr:clientData/>
  </xdr:twoCellAnchor>
  <xdr:twoCellAnchor editAs="oneCell">
    <xdr:from>
      <xdr:col>23</xdr:col>
      <xdr:colOff>0</xdr:colOff>
      <xdr:row>17</xdr:row>
      <xdr:rowOff>0</xdr:rowOff>
    </xdr:from>
    <xdr:to>
      <xdr:col>23</xdr:col>
      <xdr:colOff>180000</xdr:colOff>
      <xdr:row>17</xdr:row>
      <xdr:rowOff>180000</xdr:rowOff>
    </xdr:to>
    <xdr:pic>
      <xdr:nvPicPr>
        <xdr:cNvPr id="142" name="Picture 144">
          <a:extLst>
            <a:ext uri="{FF2B5EF4-FFF2-40B4-BE49-F238E27FC236}">
              <a16:creationId xmlns:a16="http://schemas.microsoft.com/office/drawing/2014/main" id="{E9CB71F6-12BF-4CE8-A12B-915566EC1EB1}"/>
            </a:ext>
          </a:extLst>
        </xdr:cNvPr>
        <xdr:cNvPicPr>
          <a:picLocks noChangeAspect="1"/>
        </xdr:cNvPicPr>
      </xdr:nvPicPr>
      <xdr:blipFill>
        <a:blip xmlns:r="http://schemas.openxmlformats.org/officeDocument/2006/relationships" r:embed="rId140"/>
        <a:stretch>
          <a:fillRect/>
        </a:stretch>
      </xdr:blipFill>
      <xdr:spPr>
        <a:xfrm>
          <a:off x="4381500" y="3238500"/>
          <a:ext cx="180000" cy="180000"/>
        </a:xfrm>
        <a:prstGeom prst="rect">
          <a:avLst/>
        </a:prstGeom>
      </xdr:spPr>
    </xdr:pic>
    <xdr:clientData/>
  </xdr:twoCellAnchor>
  <xdr:twoCellAnchor editAs="oneCell">
    <xdr:from>
      <xdr:col>24</xdr:col>
      <xdr:colOff>0</xdr:colOff>
      <xdr:row>17</xdr:row>
      <xdr:rowOff>0</xdr:rowOff>
    </xdr:from>
    <xdr:to>
      <xdr:col>24</xdr:col>
      <xdr:colOff>180000</xdr:colOff>
      <xdr:row>17</xdr:row>
      <xdr:rowOff>180000</xdr:rowOff>
    </xdr:to>
    <xdr:pic>
      <xdr:nvPicPr>
        <xdr:cNvPr id="143" name="Picture 145">
          <a:extLst>
            <a:ext uri="{FF2B5EF4-FFF2-40B4-BE49-F238E27FC236}">
              <a16:creationId xmlns:a16="http://schemas.microsoft.com/office/drawing/2014/main" id="{A6C1FB4B-ABD0-40B1-A964-3C821C89E2DC}"/>
            </a:ext>
          </a:extLst>
        </xdr:cNvPr>
        <xdr:cNvPicPr>
          <a:picLocks noChangeAspect="1"/>
        </xdr:cNvPicPr>
      </xdr:nvPicPr>
      <xdr:blipFill>
        <a:blip xmlns:r="http://schemas.openxmlformats.org/officeDocument/2006/relationships" r:embed="rId141"/>
        <a:stretch>
          <a:fillRect/>
        </a:stretch>
      </xdr:blipFill>
      <xdr:spPr>
        <a:xfrm>
          <a:off x="4572000" y="3238500"/>
          <a:ext cx="180000" cy="180000"/>
        </a:xfrm>
        <a:prstGeom prst="rect">
          <a:avLst/>
        </a:prstGeom>
      </xdr:spPr>
    </xdr:pic>
    <xdr:clientData/>
  </xdr:twoCellAnchor>
  <xdr:twoCellAnchor editAs="oneCell">
    <xdr:from>
      <xdr:col>28</xdr:col>
      <xdr:colOff>0</xdr:colOff>
      <xdr:row>15</xdr:row>
      <xdr:rowOff>0</xdr:rowOff>
    </xdr:from>
    <xdr:to>
      <xdr:col>28</xdr:col>
      <xdr:colOff>180000</xdr:colOff>
      <xdr:row>15</xdr:row>
      <xdr:rowOff>180000</xdr:rowOff>
    </xdr:to>
    <xdr:pic>
      <xdr:nvPicPr>
        <xdr:cNvPr id="144" name="Picture 146">
          <a:extLst>
            <a:ext uri="{FF2B5EF4-FFF2-40B4-BE49-F238E27FC236}">
              <a16:creationId xmlns:a16="http://schemas.microsoft.com/office/drawing/2014/main" id="{24B81E28-C3D2-4B6F-A6B2-335155BB537C}"/>
            </a:ext>
          </a:extLst>
        </xdr:cNvPr>
        <xdr:cNvPicPr>
          <a:picLocks noChangeAspect="1"/>
        </xdr:cNvPicPr>
      </xdr:nvPicPr>
      <xdr:blipFill>
        <a:blip xmlns:r="http://schemas.openxmlformats.org/officeDocument/2006/relationships" r:embed="rId142"/>
        <a:stretch>
          <a:fillRect/>
        </a:stretch>
      </xdr:blipFill>
      <xdr:spPr>
        <a:xfrm>
          <a:off x="5334000" y="2857500"/>
          <a:ext cx="180000" cy="180000"/>
        </a:xfrm>
        <a:prstGeom prst="rect">
          <a:avLst/>
        </a:prstGeom>
      </xdr:spPr>
    </xdr:pic>
    <xdr:clientData/>
  </xdr:twoCellAnchor>
  <xdr:twoCellAnchor editAs="oneCell">
    <xdr:from>
      <xdr:col>25</xdr:col>
      <xdr:colOff>0</xdr:colOff>
      <xdr:row>17</xdr:row>
      <xdr:rowOff>0</xdr:rowOff>
    </xdr:from>
    <xdr:to>
      <xdr:col>25</xdr:col>
      <xdr:colOff>180000</xdr:colOff>
      <xdr:row>17</xdr:row>
      <xdr:rowOff>180000</xdr:rowOff>
    </xdr:to>
    <xdr:pic>
      <xdr:nvPicPr>
        <xdr:cNvPr id="145" name="Picture 147">
          <a:extLst>
            <a:ext uri="{FF2B5EF4-FFF2-40B4-BE49-F238E27FC236}">
              <a16:creationId xmlns:a16="http://schemas.microsoft.com/office/drawing/2014/main" id="{27A90B5D-7EB8-43F6-B051-6437AD3E2FFB}"/>
            </a:ext>
          </a:extLst>
        </xdr:cNvPr>
        <xdr:cNvPicPr>
          <a:picLocks noChangeAspect="1"/>
        </xdr:cNvPicPr>
      </xdr:nvPicPr>
      <xdr:blipFill>
        <a:blip xmlns:r="http://schemas.openxmlformats.org/officeDocument/2006/relationships" r:embed="rId143"/>
        <a:stretch>
          <a:fillRect/>
        </a:stretch>
      </xdr:blipFill>
      <xdr:spPr>
        <a:xfrm>
          <a:off x="4762500" y="3238500"/>
          <a:ext cx="180000" cy="180000"/>
        </a:xfrm>
        <a:prstGeom prst="rect">
          <a:avLst/>
        </a:prstGeom>
      </xdr:spPr>
    </xdr:pic>
    <xdr:clientData/>
  </xdr:twoCellAnchor>
  <xdr:twoCellAnchor editAs="oneCell">
    <xdr:from>
      <xdr:col>26</xdr:col>
      <xdr:colOff>0</xdr:colOff>
      <xdr:row>17</xdr:row>
      <xdr:rowOff>0</xdr:rowOff>
    </xdr:from>
    <xdr:to>
      <xdr:col>26</xdr:col>
      <xdr:colOff>180000</xdr:colOff>
      <xdr:row>17</xdr:row>
      <xdr:rowOff>180000</xdr:rowOff>
    </xdr:to>
    <xdr:pic>
      <xdr:nvPicPr>
        <xdr:cNvPr id="146" name="Picture 148">
          <a:extLst>
            <a:ext uri="{FF2B5EF4-FFF2-40B4-BE49-F238E27FC236}">
              <a16:creationId xmlns:a16="http://schemas.microsoft.com/office/drawing/2014/main" id="{09B5775B-3AC8-4982-B49F-0CCD4305B07C}"/>
            </a:ext>
          </a:extLst>
        </xdr:cNvPr>
        <xdr:cNvPicPr>
          <a:picLocks noChangeAspect="1"/>
        </xdr:cNvPicPr>
      </xdr:nvPicPr>
      <xdr:blipFill>
        <a:blip xmlns:r="http://schemas.openxmlformats.org/officeDocument/2006/relationships" r:embed="rId144"/>
        <a:stretch>
          <a:fillRect/>
        </a:stretch>
      </xdr:blipFill>
      <xdr:spPr>
        <a:xfrm>
          <a:off x="4953000" y="3238500"/>
          <a:ext cx="180000" cy="180000"/>
        </a:xfrm>
        <a:prstGeom prst="rect">
          <a:avLst/>
        </a:prstGeom>
      </xdr:spPr>
    </xdr:pic>
    <xdr:clientData/>
  </xdr:twoCellAnchor>
  <xdr:twoCellAnchor>
    <xdr:from>
      <xdr:col>26</xdr:col>
      <xdr:colOff>244928</xdr:colOff>
      <xdr:row>17</xdr:row>
      <xdr:rowOff>0</xdr:rowOff>
    </xdr:from>
    <xdr:to>
      <xdr:col>28</xdr:col>
      <xdr:colOff>180000</xdr:colOff>
      <xdr:row>17</xdr:row>
      <xdr:rowOff>180000</xdr:rowOff>
    </xdr:to>
    <xdr:grpSp>
      <xdr:nvGrpSpPr>
        <xdr:cNvPr id="149" name="Групувати 148">
          <a:extLst>
            <a:ext uri="{FF2B5EF4-FFF2-40B4-BE49-F238E27FC236}">
              <a16:creationId xmlns:a16="http://schemas.microsoft.com/office/drawing/2014/main" id="{7B71C772-D2AB-4D0D-A51E-F991222CD0FA}"/>
            </a:ext>
          </a:extLst>
        </xdr:cNvPr>
        <xdr:cNvGrpSpPr/>
      </xdr:nvGrpSpPr>
      <xdr:grpSpPr>
        <a:xfrm>
          <a:off x="6613071" y="3238500"/>
          <a:ext cx="424929" cy="180000"/>
          <a:chOff x="6613071" y="3238500"/>
          <a:chExt cx="424929" cy="180000"/>
        </a:xfrm>
      </xdr:grpSpPr>
      <xdr:pic>
        <xdr:nvPicPr>
          <xdr:cNvPr id="147" name="Picture 149">
            <a:extLst>
              <a:ext uri="{FF2B5EF4-FFF2-40B4-BE49-F238E27FC236}">
                <a16:creationId xmlns:a16="http://schemas.microsoft.com/office/drawing/2014/main" id="{22BAB33A-5ABC-4B5D-A8DA-C0D1C8290885}"/>
              </a:ext>
            </a:extLst>
          </xdr:cNvPr>
          <xdr:cNvPicPr>
            <a:picLocks noChangeAspect="1"/>
          </xdr:cNvPicPr>
        </xdr:nvPicPr>
        <xdr:blipFill>
          <a:blip xmlns:r="http://schemas.openxmlformats.org/officeDocument/2006/relationships" r:embed="rId145"/>
          <a:stretch>
            <a:fillRect/>
          </a:stretch>
        </xdr:blipFill>
        <xdr:spPr>
          <a:xfrm>
            <a:off x="6613071" y="3238500"/>
            <a:ext cx="180000" cy="180000"/>
          </a:xfrm>
          <a:prstGeom prst="rect">
            <a:avLst/>
          </a:prstGeom>
        </xdr:spPr>
      </xdr:pic>
      <xdr:pic>
        <xdr:nvPicPr>
          <xdr:cNvPr id="148" name="Picture 150">
            <a:extLst>
              <a:ext uri="{FF2B5EF4-FFF2-40B4-BE49-F238E27FC236}">
                <a16:creationId xmlns:a16="http://schemas.microsoft.com/office/drawing/2014/main" id="{B57F3F57-1E86-47AD-978D-68B264F0565B}"/>
              </a:ext>
            </a:extLst>
          </xdr:cNvPr>
          <xdr:cNvPicPr>
            <a:picLocks noChangeAspect="1"/>
          </xdr:cNvPicPr>
        </xdr:nvPicPr>
        <xdr:blipFill>
          <a:blip xmlns:r="http://schemas.openxmlformats.org/officeDocument/2006/relationships" r:embed="rId146"/>
          <a:stretch>
            <a:fillRect/>
          </a:stretch>
        </xdr:blipFill>
        <xdr:spPr>
          <a:xfrm>
            <a:off x="6858000" y="3238500"/>
            <a:ext cx="180000" cy="180000"/>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33</xdr:col>
      <xdr:colOff>0</xdr:colOff>
      <xdr:row>0</xdr:row>
      <xdr:rowOff>0</xdr:rowOff>
    </xdr:from>
    <xdr:to>
      <xdr:col>42</xdr:col>
      <xdr:colOff>152400</xdr:colOff>
      <xdr:row>3</xdr:row>
      <xdr:rowOff>95250</xdr:rowOff>
    </xdr:to>
    <xdr:sp macro="" textlink="">
      <xdr:nvSpPr>
        <xdr:cNvPr id="4" name="TextBox 3">
          <a:extLst>
            <a:ext uri="{FF2B5EF4-FFF2-40B4-BE49-F238E27FC236}">
              <a16:creationId xmlns:a16="http://schemas.microsoft.com/office/drawing/2014/main" id="{8B303DCC-882E-4FEE-AD4C-CD24C5A95433}"/>
            </a:ext>
          </a:extLst>
        </xdr:cNvPr>
        <xdr:cNvSpPr txBox="1"/>
      </xdr:nvSpPr>
      <xdr:spPr>
        <a:xfrm>
          <a:off x="27946350" y="0"/>
          <a:ext cx="63246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This loot generator is the product of many hours of thought, whilst it may not be perfect I encourage its use for the purpose of the campaign "the city". Feel free to use it on any other campaigns that you would see fit. In this first page(sheet3) I will teach you the basics of using this program.</a:t>
          </a:r>
        </a:p>
      </xdr:txBody>
    </xdr:sp>
    <xdr:clientData/>
  </xdr:twoCellAnchor>
  <xdr:twoCellAnchor>
    <xdr:from>
      <xdr:col>33</xdr:col>
      <xdr:colOff>0</xdr:colOff>
      <xdr:row>4</xdr:row>
      <xdr:rowOff>0</xdr:rowOff>
    </xdr:from>
    <xdr:to>
      <xdr:col>40</xdr:col>
      <xdr:colOff>628650</xdr:colOff>
      <xdr:row>70</xdr:row>
      <xdr:rowOff>104777</xdr:rowOff>
    </xdr:to>
    <xdr:sp macro="" textlink="">
      <xdr:nvSpPr>
        <xdr:cNvPr id="5" name="TextBox 4">
          <a:extLst>
            <a:ext uri="{FF2B5EF4-FFF2-40B4-BE49-F238E27FC236}">
              <a16:creationId xmlns:a16="http://schemas.microsoft.com/office/drawing/2014/main" id="{40799263-50CF-4E83-A20C-A5B91DE8A7E7}"/>
            </a:ext>
          </a:extLst>
        </xdr:cNvPr>
        <xdr:cNvSpPr txBox="1"/>
      </xdr:nvSpPr>
      <xdr:spPr>
        <a:xfrm>
          <a:off x="27946350" y="838200"/>
          <a:ext cx="5429250" cy="13935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 loot generator; (sheet1)</a:t>
          </a:r>
        </a:p>
        <a:p>
          <a:r>
            <a:rPr lang="en-AU" sz="1100">
              <a:solidFill>
                <a:schemeClr val="dk1"/>
              </a:solidFill>
              <a:effectLst/>
              <a:latin typeface="+mn-lt"/>
              <a:ea typeface="+mn-ea"/>
              <a:cs typeface="+mn-cs"/>
            </a:rPr>
            <a:t>	As I could not seem to make a refresh button simply hit </a:t>
          </a:r>
          <a:r>
            <a:rPr lang="en-AU" sz="1100" i="1">
              <a:solidFill>
                <a:schemeClr val="dk1"/>
              </a:solidFill>
              <a:effectLst/>
              <a:latin typeface="+mn-lt"/>
              <a:ea typeface="+mn-ea"/>
              <a:cs typeface="+mn-cs"/>
            </a:rPr>
            <a:t>F9</a:t>
          </a:r>
          <a:r>
            <a:rPr lang="en-AU" sz="1100">
              <a:solidFill>
                <a:schemeClr val="dk1"/>
              </a:solidFill>
              <a:effectLst/>
              <a:latin typeface="+mn-lt"/>
              <a:ea typeface="+mn-ea"/>
              <a:cs typeface="+mn-cs"/>
            </a:rPr>
            <a:t>. This will refresh the page and the numbers accordingly.</a:t>
          </a:r>
        </a:p>
        <a:p>
          <a:r>
            <a:rPr lang="en-AU" sz="1100">
              <a:solidFill>
                <a:schemeClr val="dk1"/>
              </a:solidFill>
              <a:effectLst/>
              <a:latin typeface="+mn-lt"/>
              <a:ea typeface="+mn-ea"/>
              <a:cs typeface="+mn-cs"/>
            </a:rPr>
            <a:t>The prompts for the looting are incorporated within the tables, however some discretion will need to be used when ascertaining whether or not the item will be useful and how so, for example;</a:t>
          </a:r>
        </a:p>
        <a:p>
          <a:r>
            <a:rPr lang="en-AU" sz="1100">
              <a:solidFill>
                <a:schemeClr val="dk1"/>
              </a:solidFill>
              <a:effectLst/>
              <a:latin typeface="+mn-lt"/>
              <a:ea typeface="+mn-ea"/>
              <a:cs typeface="+mn-cs"/>
            </a:rPr>
            <a:t>	Player rolls on the poor table, the results are;</a:t>
          </a:r>
        </a:p>
        <a:p>
          <a:r>
            <a:rPr lang="en-AU" sz="1100">
              <a:solidFill>
                <a:schemeClr val="dk1"/>
              </a:solidFill>
              <a:effectLst/>
              <a:latin typeface="+mn-lt"/>
              <a:ea typeface="+mn-ea"/>
              <a:cs typeface="+mn-cs"/>
            </a:rPr>
            <a:t>	Gold }  5 </a:t>
          </a:r>
        </a:p>
        <a:p>
          <a:r>
            <a:rPr lang="en-AU" sz="1100">
              <a:solidFill>
                <a:schemeClr val="dk1"/>
              </a:solidFill>
              <a:effectLst/>
              <a:latin typeface="+mn-lt"/>
              <a:ea typeface="+mn-ea"/>
              <a:cs typeface="+mn-cs"/>
            </a:rPr>
            <a:t>	Magic loot } trade tools Of illusion </a:t>
          </a:r>
        </a:p>
        <a:p>
          <a:r>
            <a:rPr lang="en-AU" sz="1100">
              <a:solidFill>
                <a:schemeClr val="dk1"/>
              </a:solidFill>
              <a:effectLst/>
              <a:latin typeface="+mn-lt"/>
              <a:ea typeface="+mn-ea"/>
              <a:cs typeface="+mn-cs"/>
            </a:rPr>
            <a:t>	Item quality} 47 </a:t>
          </a:r>
        </a:p>
        <a:p>
          <a:r>
            <a:rPr lang="en-AU" sz="1100">
              <a:solidFill>
                <a:schemeClr val="dk1"/>
              </a:solidFill>
              <a:effectLst/>
              <a:latin typeface="+mn-lt"/>
              <a:ea typeface="+mn-ea"/>
              <a:cs typeface="+mn-cs"/>
            </a:rPr>
            <a:t>Now because these tools of illusion are between 31-70 they are good items, no negative effects. with this, as the DM, you could say;</a:t>
          </a:r>
        </a:p>
        <a:p>
          <a:r>
            <a:rPr lang="en-AU" sz="1100">
              <a:solidFill>
                <a:schemeClr val="dk1"/>
              </a:solidFill>
              <a:effectLst/>
              <a:latin typeface="+mn-lt"/>
              <a:ea typeface="+mn-ea"/>
              <a:cs typeface="+mn-cs"/>
            </a:rPr>
            <a:t>"these trade tools (we will make them thieves tools) give off an illusion while using them that makes it harder for you to be seen. They create the illusion that you are simply standing by the door, not doing anything that would cause suspicion."</a:t>
          </a:r>
        </a:p>
        <a:p>
          <a:r>
            <a:rPr lang="en-AU" sz="1100">
              <a:solidFill>
                <a:schemeClr val="dk1"/>
              </a:solidFill>
              <a:effectLst/>
              <a:latin typeface="+mn-lt"/>
              <a:ea typeface="+mn-ea"/>
              <a:cs typeface="+mn-cs"/>
            </a:rPr>
            <a:t>with this you can then add in the bonuses to the usage of these tools.</a:t>
          </a:r>
        </a:p>
        <a:p>
          <a:r>
            <a:rPr lang="en-AU" sz="1100">
              <a:solidFill>
                <a:schemeClr val="dk1"/>
              </a:solidFill>
              <a:effectLst/>
              <a:latin typeface="+mn-lt"/>
              <a:ea typeface="+mn-ea"/>
              <a:cs typeface="+mn-cs"/>
            </a:rPr>
            <a:t>	Or as a bad result, for example;</a:t>
          </a:r>
        </a:p>
        <a:p>
          <a:r>
            <a:rPr lang="en-AU" sz="1100">
              <a:solidFill>
                <a:schemeClr val="dk1"/>
              </a:solidFill>
              <a:effectLst/>
              <a:latin typeface="+mn-lt"/>
              <a:ea typeface="+mn-ea"/>
              <a:cs typeface="+mn-cs"/>
            </a:rPr>
            <a:t>	Gold}   19</a:t>
          </a:r>
        </a:p>
        <a:p>
          <a:r>
            <a:rPr lang="en-AU" sz="1100">
              <a:solidFill>
                <a:schemeClr val="dk1"/>
              </a:solidFill>
              <a:effectLst/>
              <a:latin typeface="+mn-lt"/>
              <a:ea typeface="+mn-ea"/>
              <a:cs typeface="+mn-cs"/>
            </a:rPr>
            <a:t>	Magic loot}  gloves Of ac</a:t>
          </a:r>
        </a:p>
        <a:p>
          <a:r>
            <a:rPr lang="en-AU" sz="1100">
              <a:solidFill>
                <a:schemeClr val="dk1"/>
              </a:solidFill>
              <a:effectLst/>
              <a:latin typeface="+mn-lt"/>
              <a:ea typeface="+mn-ea"/>
              <a:cs typeface="+mn-cs"/>
            </a:rPr>
            <a:t> 	Item quality}   16 </a:t>
          </a:r>
        </a:p>
        <a:p>
          <a:r>
            <a:rPr lang="en-AU" sz="1100">
              <a:solidFill>
                <a:schemeClr val="dk1"/>
              </a:solidFill>
              <a:effectLst/>
              <a:latin typeface="+mn-lt"/>
              <a:ea typeface="+mn-ea"/>
              <a:cs typeface="+mn-cs"/>
            </a:rPr>
            <a:t>"these gloves give an AC bonus alright, but only to </a:t>
          </a:r>
          <a:r>
            <a:rPr lang="en-AU" sz="1100" i="1">
              <a:solidFill>
                <a:schemeClr val="dk1"/>
              </a:solidFill>
              <a:effectLst/>
              <a:latin typeface="+mn-lt"/>
              <a:ea typeface="+mn-ea"/>
              <a:cs typeface="+mn-cs"/>
            </a:rPr>
            <a:t>accidently-banging-your-fingers-with-a-hammer-while-holding-a-nail-in-place</a:t>
          </a:r>
          <a:r>
            <a:rPr lang="en-AU" sz="1100">
              <a:solidFill>
                <a:schemeClr val="dk1"/>
              </a:solidFill>
              <a:effectLst/>
              <a:latin typeface="+mn-lt"/>
              <a:ea typeface="+mn-ea"/>
              <a:cs typeface="+mn-cs"/>
            </a:rPr>
            <a:t>". Or if you are feeling less creative or cruel, they give a -1 to AC and require a remove curse or something similar.</a:t>
          </a:r>
        </a:p>
        <a:p>
          <a:r>
            <a:rPr lang="en-AU" sz="1100">
              <a:solidFill>
                <a:schemeClr val="dk1"/>
              </a:solidFill>
              <a:effectLst/>
              <a:latin typeface="+mn-lt"/>
              <a:ea typeface="+mn-ea"/>
              <a:cs typeface="+mn-cs"/>
            </a:rPr>
            <a:t>The term, epic, would be a greater result. this will either be a +2/higher level/upgraded dice, etc.</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The</a:t>
          </a:r>
          <a:r>
            <a:rPr lang="en-AU" sz="1100" i="1">
              <a:solidFill>
                <a:schemeClr val="dk1"/>
              </a:solidFill>
              <a:effectLst/>
              <a:latin typeface="+mn-lt"/>
              <a:ea typeface="+mn-ea"/>
              <a:cs typeface="+mn-cs"/>
            </a:rPr>
            <a:t> others </a:t>
          </a:r>
          <a:r>
            <a:rPr lang="en-AU" sz="1100">
              <a:solidFill>
                <a:schemeClr val="dk1"/>
              </a:solidFill>
              <a:effectLst/>
              <a:latin typeface="+mn-lt"/>
              <a:ea typeface="+mn-ea"/>
              <a:cs typeface="+mn-cs"/>
            </a:rPr>
            <a:t>tab is for the associated enchantments, the prompts should be enough to go by, but here is an example anyway;</a:t>
          </a:r>
        </a:p>
        <a:p>
          <a:r>
            <a:rPr lang="en-AU" sz="1100">
              <a:solidFill>
                <a:schemeClr val="dk1"/>
              </a:solidFill>
              <a:effectLst/>
              <a:latin typeface="+mn-lt"/>
              <a:ea typeface="+mn-ea"/>
              <a:cs typeface="+mn-cs"/>
            </a:rPr>
            <a:t>	Rich districts</a:t>
          </a:r>
        </a:p>
        <a:p>
          <a:r>
            <a:rPr lang="en-AU" sz="1100">
              <a:solidFill>
                <a:schemeClr val="dk1"/>
              </a:solidFill>
              <a:effectLst/>
              <a:latin typeface="+mn-lt"/>
              <a:ea typeface="+mn-ea"/>
              <a:cs typeface="+mn-cs"/>
            </a:rPr>
            <a:t>	Gold}   35 </a:t>
          </a:r>
        </a:p>
        <a:p>
          <a:r>
            <a:rPr lang="en-AU" sz="1100">
              <a:solidFill>
                <a:schemeClr val="dk1"/>
              </a:solidFill>
              <a:effectLst/>
              <a:latin typeface="+mn-lt"/>
              <a:ea typeface="+mn-ea"/>
              <a:cs typeface="+mn-cs"/>
            </a:rPr>
            <a:t>	Magic loot}   instruments Of and elemental 1d4</a:t>
          </a:r>
        </a:p>
        <a:p>
          <a:r>
            <a:rPr lang="en-AU" sz="1100">
              <a:solidFill>
                <a:schemeClr val="dk1"/>
              </a:solidFill>
              <a:effectLst/>
              <a:latin typeface="+mn-lt"/>
              <a:ea typeface="+mn-ea"/>
              <a:cs typeface="+mn-cs"/>
            </a:rPr>
            <a:t>	and	quarterstaff Of sentience </a:t>
          </a:r>
        </a:p>
        <a:p>
          <a:r>
            <a:rPr lang="en-AU" sz="1100">
              <a:solidFill>
                <a:schemeClr val="dk1"/>
              </a:solidFill>
              <a:effectLst/>
              <a:latin typeface="+mn-lt"/>
              <a:ea typeface="+mn-ea"/>
              <a:cs typeface="+mn-cs"/>
            </a:rPr>
            <a:t>	Item quality} 71 </a:t>
          </a:r>
        </a:p>
        <a:p>
          <a:r>
            <a:rPr lang="en-AU" sz="1100">
              <a:solidFill>
                <a:schemeClr val="dk1"/>
              </a:solidFill>
              <a:effectLst/>
              <a:latin typeface="+mn-lt"/>
              <a:ea typeface="+mn-ea"/>
              <a:cs typeface="+mn-cs"/>
            </a:rPr>
            <a:t>then using the chart;</a:t>
          </a:r>
        </a:p>
        <a:p>
          <a:r>
            <a:rPr lang="en-AU" sz="1100">
              <a:solidFill>
                <a:schemeClr val="dk1"/>
              </a:solidFill>
              <a:effectLst/>
              <a:latin typeface="+mn-lt"/>
              <a:ea typeface="+mn-ea"/>
              <a:cs typeface="+mn-cs"/>
            </a:rPr>
            <a:t>	sentience trait} good </a:t>
          </a:r>
        </a:p>
        <a:p>
          <a:r>
            <a:rPr lang="en-AU" sz="1100">
              <a:solidFill>
                <a:schemeClr val="dk1"/>
              </a:solidFill>
              <a:effectLst/>
              <a:latin typeface="+mn-lt"/>
              <a:ea typeface="+mn-ea"/>
              <a:cs typeface="+mn-cs"/>
            </a:rPr>
            <a:t>	resistance type} exhaustion </a:t>
          </a:r>
        </a:p>
        <a:p>
          <a:r>
            <a:rPr lang="en-AU" sz="1100">
              <a:solidFill>
                <a:schemeClr val="dk1"/>
              </a:solidFill>
              <a:effectLst/>
              <a:latin typeface="+mn-lt"/>
              <a:ea typeface="+mn-ea"/>
              <a:cs typeface="+mn-cs"/>
            </a:rPr>
            <a:t>	elemental type} cold </a:t>
          </a:r>
        </a:p>
        <a:p>
          <a:r>
            <a:rPr lang="en-AU" sz="1100">
              <a:solidFill>
                <a:schemeClr val="dk1"/>
              </a:solidFill>
              <a:effectLst/>
              <a:latin typeface="+mn-lt"/>
              <a:ea typeface="+mn-ea"/>
              <a:cs typeface="+mn-cs"/>
            </a:rPr>
            <a:t>We can tell that the instrument, when played, will invoke a 1d4 of cold damage to the opponent (as it is a superior quality item). Using this we can also see that the Quarterstaff is sentient who's trait is a good aligned character.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The looting</a:t>
          </a:r>
          <a:r>
            <a:rPr lang="en-AU" sz="1100" baseline="0">
              <a:solidFill>
                <a:schemeClr val="dk1"/>
              </a:solidFill>
              <a:effectLst/>
              <a:latin typeface="+mn-lt"/>
              <a:ea typeface="+mn-ea"/>
              <a:cs typeface="+mn-cs"/>
            </a:rPr>
            <a:t> total has also been added to the bottom of the tables, this will determine how many rooms can be searched, this number will change every refresh, so keep the number aside when rerolling the tables.</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 </a:t>
          </a:r>
        </a:p>
        <a:p>
          <a:r>
            <a:rPr lang="en-AU" sz="1100" u="sng">
              <a:solidFill>
                <a:schemeClr val="dk1"/>
              </a:solidFill>
              <a:effectLst/>
              <a:latin typeface="+mn-lt"/>
              <a:ea typeface="+mn-ea"/>
              <a:cs typeface="+mn-cs"/>
            </a:rPr>
            <a:t>The shops.</a:t>
          </a:r>
        </a:p>
        <a:p>
          <a:r>
            <a:rPr lang="en-AU" sz="1100">
              <a:solidFill>
                <a:schemeClr val="dk1"/>
              </a:solidFill>
              <a:effectLst/>
              <a:latin typeface="+mn-lt"/>
              <a:ea typeface="+mn-ea"/>
              <a:cs typeface="+mn-cs"/>
            </a:rPr>
            <a:t>	These zones have been sub-categorized into basic types and amounts. The resources/lbs or items found simply indicate how much/many of something can be found. The zones are open for interpretation but are as such.</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Small goods. </a:t>
          </a:r>
          <a:r>
            <a:rPr lang="en-AU" sz="1100">
              <a:solidFill>
                <a:schemeClr val="dk1"/>
              </a:solidFill>
              <a:effectLst/>
              <a:latin typeface="+mn-lt"/>
              <a:ea typeface="+mn-ea"/>
              <a:cs typeface="+mn-cs"/>
            </a:rPr>
            <a:t>"from trinkets to amulets and potions in-between, this place has everything for every occasion." rolling through this place would be on the mundane tables, unless the player rolls high for investigation or similar.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Leather works</a:t>
          </a:r>
          <a:r>
            <a:rPr lang="en-AU" sz="1100">
              <a:solidFill>
                <a:schemeClr val="dk1"/>
              </a:solidFill>
              <a:effectLst/>
              <a:latin typeface="+mn-lt"/>
              <a:ea typeface="+mn-ea"/>
              <a:cs typeface="+mn-cs"/>
            </a:rPr>
            <a:t>. "saddles, bags and armour oh my!" yeah, as the names suggests. anything that can be made from these tanners would be here, if the players are trolling for tackle, armour or fittings these places can deliver.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Food shops. </a:t>
          </a:r>
          <a:r>
            <a:rPr lang="en-AU" sz="1100">
              <a:solidFill>
                <a:schemeClr val="dk1"/>
              </a:solidFill>
              <a:effectLst/>
              <a:latin typeface="+mn-lt"/>
              <a:ea typeface="+mn-ea"/>
              <a:cs typeface="+mn-cs"/>
            </a:rPr>
            <a:t>"yum." you would imagine that after 10 years the places would be full of rotten food, but with the amount of magical crap in this city, it is not hard to imagine that they would have food storage. bakeries, butchers and fruit and veg joints aplenty here</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Smith. </a:t>
          </a:r>
          <a:r>
            <a:rPr lang="en-AU" sz="1100">
              <a:solidFill>
                <a:schemeClr val="dk1"/>
              </a:solidFill>
              <a:effectLst/>
              <a:latin typeface="+mn-lt"/>
              <a:ea typeface="+mn-ea"/>
              <a:cs typeface="+mn-cs"/>
            </a:rPr>
            <a:t>"There is nothing a man cannot do with a hot forge and a solid anvil." here you have it all, there is a good chance at having pre-made gear, but also the chance at the raw goods, this will allow players to try for thier own specialty gear, if they are casters.</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Bank. </a:t>
          </a:r>
          <a:r>
            <a:rPr lang="en-AU" sz="1100">
              <a:solidFill>
                <a:schemeClr val="dk1"/>
              </a:solidFill>
              <a:effectLst/>
              <a:latin typeface="+mn-lt"/>
              <a:ea typeface="+mn-ea"/>
              <a:cs typeface="+mn-cs"/>
            </a:rPr>
            <a:t>"Well, I mean... it was just sitting there all alone." a quote from any rogue. The amount of lootable gold here is massive, and so it should be, because, its a bank...there will also be a decent chance at having epic loot. Roll a few times and see what you come up with for that.</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Stables</a:t>
          </a:r>
          <a:r>
            <a:rPr lang="en-AU" sz="1100">
              <a:solidFill>
                <a:schemeClr val="dk1"/>
              </a:solidFill>
              <a:effectLst/>
              <a:latin typeface="+mn-lt"/>
              <a:ea typeface="+mn-ea"/>
              <a:cs typeface="+mn-cs"/>
            </a:rPr>
            <a:t>. "smells like a barn in here...." this place can find any animal that are found in the common section of the players handbook, or your imagination. Feed and water is always regenerated.</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Magic emporia</a:t>
          </a:r>
          <a:r>
            <a:rPr lang="en-AU" sz="1100">
              <a:solidFill>
                <a:schemeClr val="dk1"/>
              </a:solidFill>
              <a:effectLst/>
              <a:latin typeface="+mn-lt"/>
              <a:ea typeface="+mn-ea"/>
              <a:cs typeface="+mn-cs"/>
            </a:rPr>
            <a:t>. "there's like, everything here. shame most of it has been looted." roll once on each table for the amount of items generated for stuff you find in the debris.</a:t>
          </a:r>
        </a:p>
        <a:p>
          <a:endParaRPr lang="en-AU" sz="1100" baseline="0"/>
        </a:p>
        <a:p>
          <a:r>
            <a:rPr lang="en-AU" sz="1100" baseline="0"/>
            <a:t>	</a:t>
          </a:r>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552450</xdr:colOff>
      <xdr:row>2</xdr:row>
      <xdr:rowOff>19050</xdr:rowOff>
    </xdr:from>
    <xdr:to>
      <xdr:col>13</xdr:col>
      <xdr:colOff>190500</xdr:colOff>
      <xdr:row>4</xdr:row>
      <xdr:rowOff>95250</xdr:rowOff>
    </xdr:to>
    <xdr:sp macro="" textlink="">
      <xdr:nvSpPr>
        <xdr:cNvPr id="3" name="Text Box 2">
          <a:extLst>
            <a:ext uri="{FF2B5EF4-FFF2-40B4-BE49-F238E27FC236}">
              <a16:creationId xmlns:a16="http://schemas.microsoft.com/office/drawing/2014/main" id="{0FC471D5-3F33-411C-9820-B871F62CE405}"/>
            </a:ext>
          </a:extLst>
        </xdr:cNvPr>
        <xdr:cNvSpPr txBox="1">
          <a:spLocks noChangeArrowheads="1"/>
        </xdr:cNvSpPr>
      </xdr:nvSpPr>
      <xdr:spPr bwMode="auto">
        <a:xfrm>
          <a:off x="10239375" y="342900"/>
          <a:ext cx="1466850" cy="400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Crown tax is for stuff PC sell</a:t>
          </a:r>
        </a:p>
        <a:p>
          <a:pPr algn="l" rtl="0">
            <a:defRPr sz="1000"/>
          </a:pPr>
          <a:r>
            <a:rPr lang="ru-RU" sz="800" b="0" i="0" u="none" strike="noStrike" baseline="0">
              <a:solidFill>
                <a:srgbClr val="FF0000"/>
              </a:solidFill>
              <a:latin typeface="Arial"/>
              <a:cs typeface="Arial"/>
            </a:rPr>
            <a:t>Sales tax is on stuff they buy</a:t>
          </a:r>
        </a:p>
        <a:p>
          <a:pPr algn="l" rtl="0">
            <a:defRPr sz="1000"/>
          </a:pPr>
          <a:endParaRPr lang="ru-RU" sz="800" b="0" i="0" u="none" strike="noStrike" baseline="0">
            <a:solidFill>
              <a:srgbClr val="FF0000"/>
            </a:solidFill>
            <a:latin typeface="Arial"/>
            <a:cs typeface="Arial"/>
          </a:endParaRPr>
        </a:p>
      </xdr:txBody>
    </xdr:sp>
    <xdr:clientData/>
  </xdr:twoCellAnchor>
  <xdr:twoCellAnchor>
    <xdr:from>
      <xdr:col>5</xdr:col>
      <xdr:colOff>57150</xdr:colOff>
      <xdr:row>92</xdr:row>
      <xdr:rowOff>28575</xdr:rowOff>
    </xdr:from>
    <xdr:to>
      <xdr:col>7</xdr:col>
      <xdr:colOff>419100</xdr:colOff>
      <xdr:row>97</xdr:row>
      <xdr:rowOff>0</xdr:rowOff>
    </xdr:to>
    <xdr:sp macro="" textlink="">
      <xdr:nvSpPr>
        <xdr:cNvPr id="4" name="Text Box 3">
          <a:extLst>
            <a:ext uri="{FF2B5EF4-FFF2-40B4-BE49-F238E27FC236}">
              <a16:creationId xmlns:a16="http://schemas.microsoft.com/office/drawing/2014/main" id="{EE26B7EF-0E5D-42B4-A60A-10D8A2FD4608}"/>
            </a:ext>
          </a:extLst>
        </xdr:cNvPr>
        <xdr:cNvSpPr txBox="1">
          <a:spLocks noChangeArrowheads="1"/>
        </xdr:cNvSpPr>
      </xdr:nvSpPr>
      <xdr:spPr bwMode="auto">
        <a:xfrm>
          <a:off x="6924675" y="15049500"/>
          <a:ext cx="1476375" cy="781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66675</xdr:colOff>
      <xdr:row>105</xdr:row>
      <xdr:rowOff>47625</xdr:rowOff>
    </xdr:from>
    <xdr:to>
      <xdr:col>7</xdr:col>
      <xdr:colOff>409575</xdr:colOff>
      <xdr:row>109</xdr:row>
      <xdr:rowOff>114300</xdr:rowOff>
    </xdr:to>
    <xdr:sp macro="" textlink="">
      <xdr:nvSpPr>
        <xdr:cNvPr id="5" name="Text Box 4">
          <a:extLst>
            <a:ext uri="{FF2B5EF4-FFF2-40B4-BE49-F238E27FC236}">
              <a16:creationId xmlns:a16="http://schemas.microsoft.com/office/drawing/2014/main" id="{24A83B2D-8A87-42CD-8908-AE756314CEF6}"/>
            </a:ext>
          </a:extLst>
        </xdr:cNvPr>
        <xdr:cNvSpPr txBox="1">
          <a:spLocks noChangeArrowheads="1"/>
        </xdr:cNvSpPr>
      </xdr:nvSpPr>
      <xdr:spPr bwMode="auto">
        <a:xfrm>
          <a:off x="6934200" y="17173575"/>
          <a:ext cx="1457325" cy="7143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1">
              <a:effectLst/>
              <a:latin typeface="+mn-lt"/>
              <a:ea typeface="+mn-ea"/>
              <a:cs typeface="+mn-cs"/>
            </a:rPr>
            <a:t>Minroe</a:t>
          </a: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114</xdr:row>
      <xdr:rowOff>57150</xdr:rowOff>
    </xdr:from>
    <xdr:to>
      <xdr:col>7</xdr:col>
      <xdr:colOff>409575</xdr:colOff>
      <xdr:row>118</xdr:row>
      <xdr:rowOff>133350</xdr:rowOff>
    </xdr:to>
    <xdr:sp macro="" textlink="">
      <xdr:nvSpPr>
        <xdr:cNvPr id="6" name="Text Box 5">
          <a:extLst>
            <a:ext uri="{FF2B5EF4-FFF2-40B4-BE49-F238E27FC236}">
              <a16:creationId xmlns:a16="http://schemas.microsoft.com/office/drawing/2014/main" id="{E2E02D9A-CBB4-4E09-A2D6-F950F7693058}"/>
            </a:ext>
          </a:extLst>
        </xdr:cNvPr>
        <xdr:cNvSpPr txBox="1">
          <a:spLocks noChangeArrowheads="1"/>
        </xdr:cNvSpPr>
      </xdr:nvSpPr>
      <xdr:spPr bwMode="auto">
        <a:xfrm>
          <a:off x="6924675" y="18640425"/>
          <a:ext cx="146685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129</xdr:row>
      <xdr:rowOff>28575</xdr:rowOff>
    </xdr:from>
    <xdr:to>
      <xdr:col>7</xdr:col>
      <xdr:colOff>419100</xdr:colOff>
      <xdr:row>133</xdr:row>
      <xdr:rowOff>123825</xdr:rowOff>
    </xdr:to>
    <xdr:sp macro="" textlink="">
      <xdr:nvSpPr>
        <xdr:cNvPr id="7" name="Text Box 6">
          <a:extLst>
            <a:ext uri="{FF2B5EF4-FFF2-40B4-BE49-F238E27FC236}">
              <a16:creationId xmlns:a16="http://schemas.microsoft.com/office/drawing/2014/main" id="{B3404170-53F2-4215-BF86-6F014542EF86}"/>
            </a:ext>
          </a:extLst>
        </xdr:cNvPr>
        <xdr:cNvSpPr txBox="1">
          <a:spLocks noChangeArrowheads="1"/>
        </xdr:cNvSpPr>
      </xdr:nvSpPr>
      <xdr:spPr bwMode="auto">
        <a:xfrm>
          <a:off x="6915150" y="21040725"/>
          <a:ext cx="1485900" cy="7429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.30</a:t>
          </a:r>
        </a:p>
        <a:p>
          <a:pPr algn="l" rtl="0">
            <a:defRPr sz="1000"/>
          </a:pPr>
          <a:r>
            <a:rPr lang="ru-RU" sz="800" b="0" i="0" u="none" strike="noStrike" baseline="0">
              <a:solidFill>
                <a:srgbClr val="000000"/>
              </a:solidFill>
              <a:latin typeface="Arial"/>
              <a:cs typeface="Arial"/>
            </a:rPr>
            <a:t>Sales Tax: .35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139</xdr:row>
      <xdr:rowOff>19050</xdr:rowOff>
    </xdr:from>
    <xdr:to>
      <xdr:col>7</xdr:col>
      <xdr:colOff>419100</xdr:colOff>
      <xdr:row>141</xdr:row>
      <xdr:rowOff>0</xdr:rowOff>
    </xdr:to>
    <xdr:sp macro="" textlink="">
      <xdr:nvSpPr>
        <xdr:cNvPr id="8" name="Text Box 7">
          <a:extLst>
            <a:ext uri="{FF2B5EF4-FFF2-40B4-BE49-F238E27FC236}">
              <a16:creationId xmlns:a16="http://schemas.microsoft.com/office/drawing/2014/main" id="{AEA9A393-1DD6-401B-8EFF-B0844DB6A4E0}"/>
            </a:ext>
          </a:extLst>
        </xdr:cNvPr>
        <xdr:cNvSpPr txBox="1">
          <a:spLocks noChangeArrowheads="1"/>
        </xdr:cNvSpPr>
      </xdr:nvSpPr>
      <xdr:spPr bwMode="auto">
        <a:xfrm>
          <a:off x="6915150" y="22650450"/>
          <a:ext cx="1485900" cy="3048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Mining is unlawful; except by </a:t>
          </a:r>
        </a:p>
        <a:p>
          <a:pPr algn="l" rtl="0">
            <a:defRPr sz="1000"/>
          </a:pPr>
          <a:r>
            <a:rPr lang="ru-RU" sz="800" b="0" i="0" u="none" strike="noStrike" baseline="0">
              <a:solidFill>
                <a:srgbClr val="FF0000"/>
              </a:solidFill>
              <a:latin typeface="Arial"/>
              <a:cs typeface="Arial"/>
            </a:rPr>
            <a:t>the Crown's Permit</a:t>
          </a:r>
        </a:p>
      </xdr:txBody>
    </xdr:sp>
    <xdr:clientData/>
  </xdr:twoCellAnchor>
  <xdr:twoCellAnchor>
    <xdr:from>
      <xdr:col>5</xdr:col>
      <xdr:colOff>47625</xdr:colOff>
      <xdr:row>153</xdr:row>
      <xdr:rowOff>38100</xdr:rowOff>
    </xdr:from>
    <xdr:to>
      <xdr:col>7</xdr:col>
      <xdr:colOff>438150</xdr:colOff>
      <xdr:row>158</xdr:row>
      <xdr:rowOff>28575</xdr:rowOff>
    </xdr:to>
    <xdr:sp macro="" textlink="">
      <xdr:nvSpPr>
        <xdr:cNvPr id="9" name="Text Box 8">
          <a:extLst>
            <a:ext uri="{FF2B5EF4-FFF2-40B4-BE49-F238E27FC236}">
              <a16:creationId xmlns:a16="http://schemas.microsoft.com/office/drawing/2014/main" id="{C5A0E773-BDFE-4F62-A218-06A7B201F14C}"/>
            </a:ext>
          </a:extLst>
        </xdr:cNvPr>
        <xdr:cNvSpPr txBox="1">
          <a:spLocks noChangeArrowheads="1"/>
        </xdr:cNvSpPr>
      </xdr:nvSpPr>
      <xdr:spPr bwMode="auto">
        <a:xfrm>
          <a:off x="6915150" y="24936450"/>
          <a:ext cx="1504950" cy="800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191</xdr:row>
      <xdr:rowOff>9525</xdr:rowOff>
    </xdr:from>
    <xdr:to>
      <xdr:col>7</xdr:col>
      <xdr:colOff>409575</xdr:colOff>
      <xdr:row>195</xdr:row>
      <xdr:rowOff>57150</xdr:rowOff>
    </xdr:to>
    <xdr:sp macro="" textlink="">
      <xdr:nvSpPr>
        <xdr:cNvPr id="10" name="Text Box 9">
          <a:extLst>
            <a:ext uri="{FF2B5EF4-FFF2-40B4-BE49-F238E27FC236}">
              <a16:creationId xmlns:a16="http://schemas.microsoft.com/office/drawing/2014/main" id="{B463FAE8-D8A1-42C2-9E06-412C0BBA7603}"/>
            </a:ext>
          </a:extLst>
        </xdr:cNvPr>
        <xdr:cNvSpPr txBox="1">
          <a:spLocks noChangeArrowheads="1"/>
        </xdr:cNvSpPr>
      </xdr:nvSpPr>
      <xdr:spPr bwMode="auto">
        <a:xfrm>
          <a:off x="6924675" y="29927550"/>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xdr:txBody>
    </xdr:sp>
    <xdr:clientData/>
  </xdr:twoCellAnchor>
  <xdr:twoCellAnchor>
    <xdr:from>
      <xdr:col>5</xdr:col>
      <xdr:colOff>47625</xdr:colOff>
      <xdr:row>229</xdr:row>
      <xdr:rowOff>47625</xdr:rowOff>
    </xdr:from>
    <xdr:to>
      <xdr:col>7</xdr:col>
      <xdr:colOff>419100</xdr:colOff>
      <xdr:row>234</xdr:row>
      <xdr:rowOff>0</xdr:rowOff>
    </xdr:to>
    <xdr:sp macro="" textlink="">
      <xdr:nvSpPr>
        <xdr:cNvPr id="11" name="Text Box 10">
          <a:extLst>
            <a:ext uri="{FF2B5EF4-FFF2-40B4-BE49-F238E27FC236}">
              <a16:creationId xmlns:a16="http://schemas.microsoft.com/office/drawing/2014/main" id="{70485656-4E44-41D0-951F-4C7F8E6886F9}"/>
            </a:ext>
          </a:extLst>
        </xdr:cNvPr>
        <xdr:cNvSpPr txBox="1">
          <a:spLocks noChangeArrowheads="1"/>
        </xdr:cNvSpPr>
      </xdr:nvSpPr>
      <xdr:spPr bwMode="auto">
        <a:xfrm>
          <a:off x="6915150" y="34499550"/>
          <a:ext cx="1485900" cy="7620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309</xdr:row>
      <xdr:rowOff>19050</xdr:rowOff>
    </xdr:from>
    <xdr:to>
      <xdr:col>7</xdr:col>
      <xdr:colOff>457200</xdr:colOff>
      <xdr:row>317</xdr:row>
      <xdr:rowOff>57150</xdr:rowOff>
    </xdr:to>
    <xdr:sp macro="" textlink="">
      <xdr:nvSpPr>
        <xdr:cNvPr id="12" name="Text Box 11">
          <a:extLst>
            <a:ext uri="{FF2B5EF4-FFF2-40B4-BE49-F238E27FC236}">
              <a16:creationId xmlns:a16="http://schemas.microsoft.com/office/drawing/2014/main" id="{D501A2AD-F820-404A-831F-4CBADBE9C6CC}"/>
            </a:ext>
          </a:extLst>
        </xdr:cNvPr>
        <xdr:cNvSpPr txBox="1">
          <a:spLocks noChangeArrowheads="1"/>
        </xdr:cNvSpPr>
      </xdr:nvSpPr>
      <xdr:spPr bwMode="auto">
        <a:xfrm>
          <a:off x="6905625" y="46091475"/>
          <a:ext cx="1533525" cy="523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These monks keep idle travellers away but are open to aiding people</a:t>
          </a:r>
        </a:p>
      </xdr:txBody>
    </xdr:sp>
    <xdr:clientData/>
  </xdr:twoCellAnchor>
  <xdr:twoCellAnchor>
    <xdr:from>
      <xdr:col>5</xdr:col>
      <xdr:colOff>47625</xdr:colOff>
      <xdr:row>321</xdr:row>
      <xdr:rowOff>19051</xdr:rowOff>
    </xdr:from>
    <xdr:to>
      <xdr:col>7</xdr:col>
      <xdr:colOff>428625</xdr:colOff>
      <xdr:row>324</xdr:row>
      <xdr:rowOff>1</xdr:rowOff>
    </xdr:to>
    <xdr:sp macro="" textlink="">
      <xdr:nvSpPr>
        <xdr:cNvPr id="13" name="Text Box 12">
          <a:extLst>
            <a:ext uri="{FF2B5EF4-FFF2-40B4-BE49-F238E27FC236}">
              <a16:creationId xmlns:a16="http://schemas.microsoft.com/office/drawing/2014/main" id="{203A5756-9954-4A22-A827-0B3E67A4907B}"/>
            </a:ext>
          </a:extLst>
        </xdr:cNvPr>
        <xdr:cNvSpPr txBox="1">
          <a:spLocks noChangeArrowheads="1"/>
        </xdr:cNvSpPr>
      </xdr:nvSpPr>
      <xdr:spPr bwMode="auto">
        <a:xfrm>
          <a:off x="8876886" y="49449660"/>
          <a:ext cx="1797326" cy="52760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endParaRPr lang="ru-RU" sz="800" b="0" i="0" u="none" strike="noStrike" baseline="0">
            <a:solidFill>
              <a:srgbClr val="FF0000"/>
            </a:solidFill>
            <a:latin typeface="Arial"/>
            <a:cs typeface="Arial"/>
          </a:endParaRPr>
        </a:p>
      </xdr:txBody>
    </xdr:sp>
    <xdr:clientData/>
  </xdr:twoCellAnchor>
  <xdr:twoCellAnchor>
    <xdr:from>
      <xdr:col>5</xdr:col>
      <xdr:colOff>47625</xdr:colOff>
      <xdr:row>498</xdr:row>
      <xdr:rowOff>28575</xdr:rowOff>
    </xdr:from>
    <xdr:to>
      <xdr:col>7</xdr:col>
      <xdr:colOff>438150</xdr:colOff>
      <xdr:row>503</xdr:row>
      <xdr:rowOff>123825</xdr:rowOff>
    </xdr:to>
    <xdr:sp macro="" textlink="">
      <xdr:nvSpPr>
        <xdr:cNvPr id="14" name="Text Box 13">
          <a:extLst>
            <a:ext uri="{FF2B5EF4-FFF2-40B4-BE49-F238E27FC236}">
              <a16:creationId xmlns:a16="http://schemas.microsoft.com/office/drawing/2014/main" id="{A5E68A40-78D4-4730-9B58-B22AC2C2A4AF}"/>
            </a:ext>
          </a:extLst>
        </xdr:cNvPr>
        <xdr:cNvSpPr txBox="1">
          <a:spLocks noChangeArrowheads="1"/>
        </xdr:cNvSpPr>
      </xdr:nvSpPr>
      <xdr:spPr bwMode="auto">
        <a:xfrm>
          <a:off x="6915150" y="71247000"/>
          <a:ext cx="1504950" cy="904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a:t>
          </a:r>
        </a:p>
        <a:p>
          <a:pPr algn="l" rtl="0">
            <a:defRPr sz="1000"/>
          </a:pPr>
          <a:r>
            <a:rPr lang="ru-RU" sz="800" b="0" i="0" u="none" strike="noStrike" baseline="0">
              <a:solidFill>
                <a:srgbClr val="000000"/>
              </a:solidFill>
              <a:latin typeface="Arial"/>
              <a:cs typeface="Arial"/>
            </a:rPr>
            <a:t>Sales Tax</a:t>
          </a: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509</xdr:row>
      <xdr:rowOff>38100</xdr:rowOff>
    </xdr:from>
    <xdr:to>
      <xdr:col>7</xdr:col>
      <xdr:colOff>428625</xdr:colOff>
      <xdr:row>514</xdr:row>
      <xdr:rowOff>123825</xdr:rowOff>
    </xdr:to>
    <xdr:sp macro="" textlink="">
      <xdr:nvSpPr>
        <xdr:cNvPr id="15" name="Text Box 14">
          <a:extLst>
            <a:ext uri="{FF2B5EF4-FFF2-40B4-BE49-F238E27FC236}">
              <a16:creationId xmlns:a16="http://schemas.microsoft.com/office/drawing/2014/main" id="{C5910F2C-4596-4B6D-A2B8-AFA8AC1C82D1}"/>
            </a:ext>
          </a:extLst>
        </xdr:cNvPr>
        <xdr:cNvSpPr txBox="1">
          <a:spLocks noChangeArrowheads="1"/>
        </xdr:cNvSpPr>
      </xdr:nvSpPr>
      <xdr:spPr bwMode="auto">
        <a:xfrm>
          <a:off x="6905625" y="73037700"/>
          <a:ext cx="1504950" cy="895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481</xdr:row>
      <xdr:rowOff>47625</xdr:rowOff>
    </xdr:from>
    <xdr:to>
      <xdr:col>7</xdr:col>
      <xdr:colOff>390525</xdr:colOff>
      <xdr:row>485</xdr:row>
      <xdr:rowOff>95250</xdr:rowOff>
    </xdr:to>
    <xdr:sp macro="" textlink="">
      <xdr:nvSpPr>
        <xdr:cNvPr id="16" name="Text Box 15">
          <a:extLst>
            <a:ext uri="{FF2B5EF4-FFF2-40B4-BE49-F238E27FC236}">
              <a16:creationId xmlns:a16="http://schemas.microsoft.com/office/drawing/2014/main" id="{29306A5C-8403-425D-BEDF-D4C5ACF8580C}"/>
            </a:ext>
          </a:extLst>
        </xdr:cNvPr>
        <xdr:cNvSpPr txBox="1">
          <a:spLocks noChangeArrowheads="1"/>
        </xdr:cNvSpPr>
      </xdr:nvSpPr>
      <xdr:spPr bwMode="auto">
        <a:xfrm>
          <a:off x="6905625" y="68513325"/>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.28</a:t>
          </a:r>
        </a:p>
        <a:p>
          <a:pPr algn="l" rtl="0">
            <a:defRPr sz="1000"/>
          </a:pPr>
          <a:r>
            <a:rPr lang="ru-RU" sz="800" b="0" i="0" u="none" strike="noStrike" baseline="0">
              <a:solidFill>
                <a:srgbClr val="000000"/>
              </a:solidFill>
              <a:latin typeface="Arial"/>
              <a:cs typeface="Arial"/>
            </a:rPr>
            <a:t>Sales Tax: .36</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471</xdr:row>
      <xdr:rowOff>38100</xdr:rowOff>
    </xdr:from>
    <xdr:to>
      <xdr:col>7</xdr:col>
      <xdr:colOff>447675</xdr:colOff>
      <xdr:row>475</xdr:row>
      <xdr:rowOff>114300</xdr:rowOff>
    </xdr:to>
    <xdr:sp macro="" textlink="">
      <xdr:nvSpPr>
        <xdr:cNvPr id="17" name="Text Box 16">
          <a:extLst>
            <a:ext uri="{FF2B5EF4-FFF2-40B4-BE49-F238E27FC236}">
              <a16:creationId xmlns:a16="http://schemas.microsoft.com/office/drawing/2014/main" id="{4FA7A755-F069-47EC-8B1C-87FF7FD46AFC}"/>
            </a:ext>
          </a:extLst>
        </xdr:cNvPr>
        <xdr:cNvSpPr txBox="1">
          <a:spLocks noChangeArrowheads="1"/>
        </xdr:cNvSpPr>
      </xdr:nvSpPr>
      <xdr:spPr bwMode="auto">
        <a:xfrm>
          <a:off x="6905625" y="66884550"/>
          <a:ext cx="152400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.18</a:t>
          </a:r>
        </a:p>
        <a:p>
          <a:pPr algn="l" rtl="0">
            <a:defRPr sz="1000"/>
          </a:pPr>
          <a:r>
            <a:rPr lang="ru-RU" sz="800" b="0" i="0" u="none" strike="noStrike" baseline="0">
              <a:solidFill>
                <a:srgbClr val="000000"/>
              </a:solidFill>
              <a:latin typeface="Arial"/>
              <a:cs typeface="Arial"/>
            </a:rPr>
            <a:t>Sales Tax: .21</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65942</xdr:colOff>
      <xdr:row>0</xdr:row>
      <xdr:rowOff>0</xdr:rowOff>
    </xdr:from>
    <xdr:to>
      <xdr:col>98</xdr:col>
      <xdr:colOff>141323</xdr:colOff>
      <xdr:row>123</xdr:row>
      <xdr:rowOff>47623</xdr:rowOff>
    </xdr:to>
    <xdr:pic>
      <xdr:nvPicPr>
        <xdr:cNvPr id="2" name="Рисунок 1">
          <a:extLst>
            <a:ext uri="{FF2B5EF4-FFF2-40B4-BE49-F238E27FC236}">
              <a16:creationId xmlns:a16="http://schemas.microsoft.com/office/drawing/2014/main" id="{36F4E6A5-BAE5-4E8E-B01D-49CFCDF4A99E}"/>
            </a:ext>
          </a:extLst>
        </xdr:cNvPr>
        <xdr:cNvPicPr>
          <a:picLocks/>
        </xdr:cNvPicPr>
      </xdr:nvPicPr>
      <xdr:blipFill>
        <a:blip xmlns:r="http://schemas.openxmlformats.org/officeDocument/2006/relationships" r:embed="rId1">
          <a:alphaModFix amt="22000"/>
        </a:blip>
        <a:stretch>
          <a:fillRect/>
        </a:stretch>
      </xdr:blipFill>
      <xdr:spPr>
        <a:xfrm>
          <a:off x="65942" y="0"/>
          <a:ext cx="15872227" cy="207754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155863</xdr:colOff>
      <xdr:row>0</xdr:row>
      <xdr:rowOff>0</xdr:rowOff>
    </xdr:from>
    <xdr:to>
      <xdr:col>18</xdr:col>
      <xdr:colOff>725577</xdr:colOff>
      <xdr:row>59</xdr:row>
      <xdr:rowOff>0</xdr:rowOff>
    </xdr:to>
    <xdr:pic>
      <xdr:nvPicPr>
        <xdr:cNvPr id="2" name="Рисунок 1">
          <a:extLst>
            <a:ext uri="{FF2B5EF4-FFF2-40B4-BE49-F238E27FC236}">
              <a16:creationId xmlns:a16="http://schemas.microsoft.com/office/drawing/2014/main" id="{99897AFB-5B9C-49E2-8015-E997EB4FABC5}"/>
            </a:ext>
          </a:extLst>
        </xdr:cNvPr>
        <xdr:cNvPicPr>
          <a:picLocks noChangeAspect="1"/>
        </xdr:cNvPicPr>
      </xdr:nvPicPr>
      <xdr:blipFill>
        <a:blip xmlns:r="http://schemas.openxmlformats.org/officeDocument/2006/relationships" r:embed="rId1"/>
        <a:stretch>
          <a:fillRect/>
        </a:stretch>
      </xdr:blipFill>
      <xdr:spPr>
        <a:xfrm>
          <a:off x="155863" y="0"/>
          <a:ext cx="14285714" cy="1021772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1064204</xdr:colOff>
      <xdr:row>0</xdr:row>
      <xdr:rowOff>142875</xdr:rowOff>
    </xdr:from>
    <xdr:to>
      <xdr:col>14</xdr:col>
      <xdr:colOff>596432</xdr:colOff>
      <xdr:row>15</xdr:row>
      <xdr:rowOff>2240</xdr:rowOff>
    </xdr:to>
    <xdr:pic>
      <xdr:nvPicPr>
        <xdr:cNvPr id="10" name="Рисунок 9" descr="VoLo's RaT)Ngs System &#10;Pipes &#10;Inn &#10;Tankards &#10;averus &#10;ODD &#10;DODD &#10;DDDDD &#10;Coins &#10;rice &#10;Daggers &#10;Alleyways, ">
          <a:extLst>
            <a:ext uri="{FF2B5EF4-FFF2-40B4-BE49-F238E27FC236}">
              <a16:creationId xmlns:a16="http://schemas.microsoft.com/office/drawing/2014/main" id="{16249D34-397C-4221-A767-6F07FAF88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89767" y="142875"/>
          <a:ext cx="7890416" cy="483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3151568</xdr:colOff>
      <xdr:row>214</xdr:row>
      <xdr:rowOff>144014</xdr:rowOff>
    </xdr:from>
    <xdr:to>
      <xdr:col>14</xdr:col>
      <xdr:colOff>164260</xdr:colOff>
      <xdr:row>227</xdr:row>
      <xdr:rowOff>66675</xdr:rowOff>
    </xdr:to>
    <xdr:pic>
      <xdr:nvPicPr>
        <xdr:cNvPr id="2" name="Рисунок 1">
          <a:extLst>
            <a:ext uri="{FF2B5EF4-FFF2-40B4-BE49-F238E27FC236}">
              <a16:creationId xmlns:a16="http://schemas.microsoft.com/office/drawing/2014/main" id="{DE263C72-7093-4E1D-AC9D-0D0D5910E013}"/>
            </a:ext>
          </a:extLst>
        </xdr:cNvPr>
        <xdr:cNvPicPr>
          <a:picLocks noChangeAspect="1"/>
        </xdr:cNvPicPr>
      </xdr:nvPicPr>
      <xdr:blipFill>
        <a:blip xmlns:r="http://schemas.openxmlformats.org/officeDocument/2006/relationships" r:embed="rId1"/>
        <a:stretch>
          <a:fillRect/>
        </a:stretch>
      </xdr:blipFill>
      <xdr:spPr>
        <a:xfrm>
          <a:off x="20239418" y="39691814"/>
          <a:ext cx="2251442" cy="227533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333375</xdr:colOff>
      <xdr:row>32</xdr:row>
      <xdr:rowOff>31296</xdr:rowOff>
    </xdr:from>
    <xdr:to>
      <xdr:col>1</xdr:col>
      <xdr:colOff>1506511</xdr:colOff>
      <xdr:row>64</xdr:row>
      <xdr:rowOff>129787</xdr:rowOff>
    </xdr:to>
    <xdr:pic>
      <xdr:nvPicPr>
        <xdr:cNvPr id="2" name="Рисунок 1">
          <a:extLst>
            <a:ext uri="{FF2B5EF4-FFF2-40B4-BE49-F238E27FC236}">
              <a16:creationId xmlns:a16="http://schemas.microsoft.com/office/drawing/2014/main" id="{3A88FD0D-9ADF-497C-8B45-2291BBD9C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 y="6832146"/>
          <a:ext cx="2935261" cy="6318316"/>
        </a:xfrm>
        <a:prstGeom prst="rect">
          <a:avLst/>
        </a:prstGeom>
      </xdr:spPr>
    </xdr:pic>
    <xdr:clientData/>
  </xdr:twoCellAnchor>
  <xdr:twoCellAnchor editAs="oneCell">
    <xdr:from>
      <xdr:col>2</xdr:col>
      <xdr:colOff>490264</xdr:colOff>
      <xdr:row>31</xdr:row>
      <xdr:rowOff>83892</xdr:rowOff>
    </xdr:from>
    <xdr:to>
      <xdr:col>4</xdr:col>
      <xdr:colOff>712744</xdr:colOff>
      <xdr:row>63</xdr:row>
      <xdr:rowOff>107864</xdr:rowOff>
    </xdr:to>
    <xdr:pic>
      <xdr:nvPicPr>
        <xdr:cNvPr id="3" name="Рисунок 2">
          <a:extLst>
            <a:ext uri="{FF2B5EF4-FFF2-40B4-BE49-F238E27FC236}">
              <a16:creationId xmlns:a16="http://schemas.microsoft.com/office/drawing/2014/main" id="{D9A23B8A-9C11-48BC-B467-2E727FBE59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66864" y="6618042"/>
          <a:ext cx="2918055" cy="6329522"/>
        </a:xfrm>
        <a:prstGeom prst="rect">
          <a:avLst/>
        </a:prstGeom>
      </xdr:spPr>
    </xdr:pic>
    <xdr:clientData/>
  </xdr:twoCellAnchor>
  <xdr:twoCellAnchor editAs="oneCell">
    <xdr:from>
      <xdr:col>3</xdr:col>
      <xdr:colOff>925286</xdr:colOff>
      <xdr:row>134</xdr:row>
      <xdr:rowOff>85939</xdr:rowOff>
    </xdr:from>
    <xdr:to>
      <xdr:col>17</xdr:col>
      <xdr:colOff>285749</xdr:colOff>
      <xdr:row>159</xdr:row>
      <xdr:rowOff>431344</xdr:rowOff>
    </xdr:to>
    <xdr:pic>
      <xdr:nvPicPr>
        <xdr:cNvPr id="4" name="Рисунок 3">
          <a:extLst>
            <a:ext uri="{FF2B5EF4-FFF2-40B4-BE49-F238E27FC236}">
              <a16:creationId xmlns:a16="http://schemas.microsoft.com/office/drawing/2014/main" id="{BA68FE36-CB05-4CD6-B55A-8F5A1E3EC5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00" y="26483796"/>
          <a:ext cx="17076963" cy="6582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205</xdr:row>
      <xdr:rowOff>57150</xdr:rowOff>
    </xdr:from>
    <xdr:to>
      <xdr:col>11</xdr:col>
      <xdr:colOff>874059</xdr:colOff>
      <xdr:row>212</xdr:row>
      <xdr:rowOff>9524</xdr:rowOff>
    </xdr:to>
    <xdr:pic>
      <xdr:nvPicPr>
        <xdr:cNvPr id="5" name="Рисунок 4">
          <a:extLst>
            <a:ext uri="{FF2B5EF4-FFF2-40B4-BE49-F238E27FC236}">
              <a16:creationId xmlns:a16="http://schemas.microsoft.com/office/drawing/2014/main" id="{1960AF94-E9EA-43F2-B0E1-59B273737F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47875" y="46158150"/>
          <a:ext cx="14409084" cy="1219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6</xdr:col>
      <xdr:colOff>257175</xdr:colOff>
      <xdr:row>3</xdr:row>
      <xdr:rowOff>47625</xdr:rowOff>
    </xdr:from>
    <xdr:to>
      <xdr:col>9</xdr:col>
      <xdr:colOff>304800</xdr:colOff>
      <xdr:row>6</xdr:row>
      <xdr:rowOff>104775</xdr:rowOff>
    </xdr:to>
    <xdr:sp macro="" textlink="">
      <xdr:nvSpPr>
        <xdr:cNvPr id="2" name="Табличка 1">
          <a:extLst>
            <a:ext uri="{FF2B5EF4-FFF2-40B4-BE49-F238E27FC236}">
              <a16:creationId xmlns:a16="http://schemas.microsoft.com/office/drawing/2014/main" id="{19EEEB04-6A1A-43C8-8B5E-DD53204484FF}"/>
            </a:ext>
          </a:extLst>
        </xdr:cNvPr>
        <xdr:cNvSpPr/>
      </xdr:nvSpPr>
      <xdr:spPr>
        <a:xfrm>
          <a:off x="4829175" y="590550"/>
          <a:ext cx="2333625" cy="600075"/>
        </a:xfrm>
        <a:prstGeom prst="plaqu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0</xdr:colOff>
      <xdr:row>9</xdr:row>
      <xdr:rowOff>0</xdr:rowOff>
    </xdr:from>
    <xdr:to>
      <xdr:col>26</xdr:col>
      <xdr:colOff>223630</xdr:colOff>
      <xdr:row>37</xdr:row>
      <xdr:rowOff>124477</xdr:rowOff>
    </xdr:to>
    <xdr:graphicFrame macro="">
      <xdr:nvGraphicFramePr>
        <xdr:cNvPr id="2" name="Схема 5">
          <a:extLst>
            <a:ext uri="{FF2B5EF4-FFF2-40B4-BE49-F238E27FC236}">
              <a16:creationId xmlns:a16="http://schemas.microsoft.com/office/drawing/2014/main" id="{67CF2EF4-FC51-4701-A241-BEEAB1B41E9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18</xdr:col>
      <xdr:colOff>0</xdr:colOff>
      <xdr:row>94</xdr:row>
      <xdr:rowOff>0</xdr:rowOff>
    </xdr:from>
    <xdr:to>
      <xdr:col>30</xdr:col>
      <xdr:colOff>65124</xdr:colOff>
      <xdr:row>128</xdr:row>
      <xdr:rowOff>47625</xdr:rowOff>
    </xdr:to>
    <xdr:pic>
      <xdr:nvPicPr>
        <xdr:cNvPr id="4" name="Рисунок 3">
          <a:extLst>
            <a:ext uri="{FF2B5EF4-FFF2-40B4-BE49-F238E27FC236}">
              <a16:creationId xmlns:a16="http://schemas.microsoft.com/office/drawing/2014/main" id="{43F165C8-9052-46EC-977F-49EE9BBBE28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111654" y="17218269"/>
          <a:ext cx="9949143" cy="6275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468923</xdr:colOff>
      <xdr:row>65</xdr:row>
      <xdr:rowOff>134082</xdr:rowOff>
    </xdr:from>
    <xdr:to>
      <xdr:col>11</xdr:col>
      <xdr:colOff>432288</xdr:colOff>
      <xdr:row>80</xdr:row>
      <xdr:rowOff>129686</xdr:rowOff>
    </xdr:to>
    <xdr:graphicFrame macro="">
      <xdr:nvGraphicFramePr>
        <xdr:cNvPr id="3" name="Схема 2">
          <a:extLst>
            <a:ext uri="{FF2B5EF4-FFF2-40B4-BE49-F238E27FC236}">
              <a16:creationId xmlns:a16="http://schemas.microsoft.com/office/drawing/2014/main" id="{5D595FB3-4F18-485A-9444-FC72245365E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885825</xdr:colOff>
      <xdr:row>103</xdr:row>
      <xdr:rowOff>152400</xdr:rowOff>
    </xdr:from>
    <xdr:to>
      <xdr:col>25</xdr:col>
      <xdr:colOff>190499</xdr:colOff>
      <xdr:row>132</xdr:row>
      <xdr:rowOff>123825</xdr:rowOff>
    </xdr:to>
    <xdr:pic>
      <xdr:nvPicPr>
        <xdr:cNvPr id="2" name="Рисунок 1">
          <a:extLst>
            <a:ext uri="{FF2B5EF4-FFF2-40B4-BE49-F238E27FC236}">
              <a16:creationId xmlns:a16="http://schemas.microsoft.com/office/drawing/2014/main" id="{7EF3F41A-EA25-498D-8912-F965B2A48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20625" y="20088225"/>
          <a:ext cx="13030199"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1489364</xdr:colOff>
      <xdr:row>108</xdr:row>
      <xdr:rowOff>86590</xdr:rowOff>
    </xdr:from>
    <xdr:to>
      <xdr:col>29</xdr:col>
      <xdr:colOff>549852</xdr:colOff>
      <xdr:row>137</xdr:row>
      <xdr:rowOff>96116</xdr:rowOff>
    </xdr:to>
    <xdr:pic>
      <xdr:nvPicPr>
        <xdr:cNvPr id="3" name="Рисунок 2">
          <a:extLst>
            <a:ext uri="{FF2B5EF4-FFF2-40B4-BE49-F238E27FC236}">
              <a16:creationId xmlns:a16="http://schemas.microsoft.com/office/drawing/2014/main" id="{F7723557-2200-4DE8-BE7E-72DB64F5D1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327091" y="20244954"/>
          <a:ext cx="9711170" cy="5031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xdr:row>
      <xdr:rowOff>119429</xdr:rowOff>
    </xdr:from>
    <xdr:to>
      <xdr:col>10</xdr:col>
      <xdr:colOff>593480</xdr:colOff>
      <xdr:row>16</xdr:row>
      <xdr:rowOff>148004</xdr:rowOff>
    </xdr:to>
    <xdr:graphicFrame macro="">
      <xdr:nvGraphicFramePr>
        <xdr:cNvPr id="2" name="Схема 1">
          <a:extLst>
            <a:ext uri="{FF2B5EF4-FFF2-40B4-BE49-F238E27FC236}">
              <a16:creationId xmlns:a16="http://schemas.microsoft.com/office/drawing/2014/main" id="{A57B7E42-5822-4E3F-8DF9-F5A3880C33D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xdr:col>
      <xdr:colOff>16212</xdr:colOff>
      <xdr:row>25</xdr:row>
      <xdr:rowOff>162128</xdr:rowOff>
    </xdr:from>
    <xdr:to>
      <xdr:col>10</xdr:col>
      <xdr:colOff>532567</xdr:colOff>
      <xdr:row>41</xdr:row>
      <xdr:rowOff>50973</xdr:rowOff>
    </xdr:to>
    <xdr:graphicFrame macro="">
      <xdr:nvGraphicFramePr>
        <xdr:cNvPr id="3" name="Схема 2">
          <a:extLst>
            <a:ext uri="{FF2B5EF4-FFF2-40B4-BE49-F238E27FC236}">
              <a16:creationId xmlns:a16="http://schemas.microsoft.com/office/drawing/2014/main" id="{8A56D5CC-9BA0-4465-84F2-322F883D5D0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11</xdr:col>
      <xdr:colOff>0</xdr:colOff>
      <xdr:row>6</xdr:row>
      <xdr:rowOff>0</xdr:rowOff>
    </xdr:from>
    <xdr:to>
      <xdr:col>19</xdr:col>
      <xdr:colOff>516355</xdr:colOff>
      <xdr:row>21</xdr:row>
      <xdr:rowOff>69319</xdr:rowOff>
    </xdr:to>
    <xdr:graphicFrame macro="">
      <xdr:nvGraphicFramePr>
        <xdr:cNvPr id="4" name="Схема 3">
          <a:extLst>
            <a:ext uri="{FF2B5EF4-FFF2-40B4-BE49-F238E27FC236}">
              <a16:creationId xmlns:a16="http://schemas.microsoft.com/office/drawing/2014/main" id="{D895E3F2-DCA4-4915-A925-543DAA0D211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83</xdr:col>
      <xdr:colOff>0</xdr:colOff>
      <xdr:row>229</xdr:row>
      <xdr:rowOff>0</xdr:rowOff>
    </xdr:from>
    <xdr:to>
      <xdr:col>87</xdr:col>
      <xdr:colOff>628650</xdr:colOff>
      <xdr:row>230</xdr:row>
      <xdr:rowOff>142875</xdr:rowOff>
    </xdr:to>
    <xdr:pic>
      <xdr:nvPicPr>
        <xdr:cNvPr id="4" name="Picutre 81">
          <a:extLst>
            <a:ext uri="{FF2B5EF4-FFF2-40B4-BE49-F238E27FC236}">
              <a16:creationId xmlns:a16="http://schemas.microsoft.com/office/drawing/2014/main" id="{4D181D6B-187B-40AD-A85D-9F5C0BD9EB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343000" y="51758850"/>
          <a:ext cx="36766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83</xdr:col>
      <xdr:colOff>0</xdr:colOff>
      <xdr:row>231</xdr:row>
      <xdr:rowOff>0</xdr:rowOff>
    </xdr:from>
    <xdr:to>
      <xdr:col>91</xdr:col>
      <xdr:colOff>314325</xdr:colOff>
      <xdr:row>236</xdr:row>
      <xdr:rowOff>152400</xdr:rowOff>
    </xdr:to>
    <xdr:pic>
      <xdr:nvPicPr>
        <xdr:cNvPr id="5" name="Picutre 82">
          <a:extLst>
            <a:ext uri="{FF2B5EF4-FFF2-40B4-BE49-F238E27FC236}">
              <a16:creationId xmlns:a16="http://schemas.microsoft.com/office/drawing/2014/main" id="{36663DD8-DD57-490F-A438-D2E803E7D4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343000" y="52197000"/>
          <a:ext cx="6410325"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0</xdr:colOff>
      <xdr:row>136</xdr:row>
      <xdr:rowOff>0</xdr:rowOff>
    </xdr:from>
    <xdr:to>
      <xdr:col>80</xdr:col>
      <xdr:colOff>42545</xdr:colOff>
      <xdr:row>171</xdr:row>
      <xdr:rowOff>71016</xdr:rowOff>
    </xdr:to>
    <xdr:pic>
      <xdr:nvPicPr>
        <xdr:cNvPr id="6" name="Picutre 88">
          <a:extLst>
            <a:ext uri="{FF2B5EF4-FFF2-40B4-BE49-F238E27FC236}">
              <a16:creationId xmlns:a16="http://schemas.microsoft.com/office/drawing/2014/main" id="{AFC2FEDC-A070-4F40-A5E9-415D8556469E}"/>
            </a:ext>
          </a:extLst>
        </xdr:cNvPr>
        <xdr:cNvPicPr/>
      </xdr:nvPicPr>
      <xdr:blipFill>
        <a:blip xmlns:r="http://schemas.openxmlformats.org/officeDocument/2006/relationships" r:embed="rId3"/>
        <a:stretch/>
      </xdr:blipFill>
      <xdr:spPr>
        <a:xfrm>
          <a:off x="71991682" y="30999545"/>
          <a:ext cx="3090545" cy="772922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57150</xdr:colOff>
      <xdr:row>3</xdr:row>
      <xdr:rowOff>123825</xdr:rowOff>
    </xdr:from>
    <xdr:to>
      <xdr:col>15</xdr:col>
      <xdr:colOff>66675</xdr:colOff>
      <xdr:row>19</xdr:row>
      <xdr:rowOff>85725</xdr:rowOff>
    </xdr:to>
    <xdr:pic>
      <xdr:nvPicPr>
        <xdr:cNvPr id="2" name="Рисунок 1">
          <a:extLst>
            <a:ext uri="{FF2B5EF4-FFF2-40B4-BE49-F238E27FC236}">
              <a16:creationId xmlns:a16="http://schemas.microsoft.com/office/drawing/2014/main" id="{936EE33A-E2FD-401C-B2DF-8DD66EB91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828675"/>
          <a:ext cx="31051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161924</xdr:colOff>
      <xdr:row>0</xdr:row>
      <xdr:rowOff>19050</xdr:rowOff>
    </xdr:from>
    <xdr:to>
      <xdr:col>61</xdr:col>
      <xdr:colOff>247649</xdr:colOff>
      <xdr:row>13</xdr:row>
      <xdr:rowOff>9526</xdr:rowOff>
    </xdr:to>
    <xdr:sp macro="" textlink="">
      <xdr:nvSpPr>
        <xdr:cNvPr id="3" name="TextBox 2">
          <a:extLst>
            <a:ext uri="{FF2B5EF4-FFF2-40B4-BE49-F238E27FC236}">
              <a16:creationId xmlns:a16="http://schemas.microsoft.com/office/drawing/2014/main" id="{590FEA9C-EF7B-4974-8806-D562B27725B5}"/>
            </a:ext>
          </a:extLst>
        </xdr:cNvPr>
        <xdr:cNvSpPr txBox="1"/>
      </xdr:nvSpPr>
      <xdr:spPr>
        <a:xfrm>
          <a:off x="8648699" y="19050"/>
          <a:ext cx="6524625" cy="2505076"/>
        </a:xfrm>
        <a:prstGeom prst="rect">
          <a:avLst/>
        </a:prstGeom>
        <a:solidFill>
          <a:srgbClr val="002060"/>
        </a:solidFill>
        <a:ln w="3810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l"/>
          <a:r>
            <a:rPr lang="en-US" sz="3200" b="0">
              <a:solidFill>
                <a:srgbClr val="FFFF00"/>
              </a:solidFill>
              <a:effectLst/>
              <a:latin typeface="Cyrillic5e" panose="02000506040000020004" pitchFamily="2" charset="-52"/>
              <a:ea typeface="+mn-ea"/>
              <a:cs typeface="+mn-cs"/>
            </a:rPr>
            <a:t>Cormyr in tables</a:t>
          </a:r>
          <a:endParaRPr lang="en-AU" sz="3200" b="0" i="0" u="none" strike="noStrike">
            <a:solidFill>
              <a:srgbClr val="FFFF00"/>
            </a:solidFill>
            <a:effectLst/>
            <a:latin typeface="Cyrillic5e" panose="02000506040000020004" pitchFamily="2" charset="-52"/>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AU" sz="1800" b="1" i="0" u="none" strike="noStrike">
              <a:solidFill>
                <a:srgbClr val="FFFF00"/>
              </a:solidFill>
              <a:effectLst/>
              <a:latin typeface="Cyrillic5e" panose="02000506040000020004" pitchFamily="2" charset="-52"/>
              <a:ea typeface="+mn-ea"/>
              <a:cs typeface="+mn-cs"/>
            </a:rPr>
            <a:t>----------------------------------------------------------------------------------------------------------</a:t>
          </a:r>
        </a:p>
        <a:p>
          <a:pPr algn="l"/>
          <a:r>
            <a:rPr lang="en-GB" sz="1800" b="0">
              <a:solidFill>
                <a:srgbClr val="FFFF00"/>
              </a:solidFill>
              <a:effectLst/>
              <a:latin typeface="Cyrillic5e" panose="02000506040000020004" pitchFamily="2" charset="-52"/>
              <a:ea typeface="+mn-ea"/>
              <a:cs typeface="+mn-cs"/>
            </a:rPr>
            <a:t>Gamemaster</a:t>
          </a:r>
          <a:r>
            <a:rPr lang="en-GB" sz="1800" b="0" baseline="0">
              <a:solidFill>
                <a:srgbClr val="FFFF00"/>
              </a:solidFill>
              <a:effectLst/>
              <a:latin typeface="Cyrillic5e" panose="02000506040000020004" pitchFamily="2" charset="-52"/>
              <a:ea typeface="+mn-ea"/>
              <a:cs typeface="+mn-cs"/>
            </a:rPr>
            <a:t> Screen and Statistical information about Cormyr in Spreadsheet format</a:t>
          </a:r>
        </a:p>
        <a:p>
          <a:pPr algn="l"/>
          <a:r>
            <a:rPr lang="en-GB" sz="1800" b="1" i="0" u="none" strike="noStrike">
              <a:solidFill>
                <a:srgbClr val="FFFF00"/>
              </a:solidFill>
              <a:effectLst/>
              <a:latin typeface="Cyrillic5e" panose="02000506040000020004" pitchFamily="2" charset="-52"/>
              <a:ea typeface="+mn-ea"/>
              <a:cs typeface="+mn-cs"/>
            </a:rPr>
            <a:t>--------------------------------------------------------------------------------------------------------</a:t>
          </a:r>
        </a:p>
        <a:p>
          <a:pPr algn="l"/>
          <a:r>
            <a:rPr lang="en-GB" sz="1800" b="1" baseline="0">
              <a:solidFill>
                <a:srgbClr val="FFFF00"/>
              </a:solidFill>
              <a:effectLst/>
              <a:latin typeface="Cyrillic5e" panose="02000506040000020004" pitchFamily="2" charset="-52"/>
              <a:ea typeface="+mn-ea"/>
              <a:cs typeface="+mn-cs"/>
            </a:rPr>
            <a:t>version 0.6</a:t>
          </a:r>
        </a:p>
        <a:p>
          <a:pPr algn="l"/>
          <a:r>
            <a:rPr lang="en-GB" sz="1800" b="1" baseline="0">
              <a:solidFill>
                <a:srgbClr val="FFFF00"/>
              </a:solidFill>
              <a:effectLst/>
              <a:latin typeface="Cyrillic5e" panose="02000506040000020004" pitchFamily="2" charset="-52"/>
              <a:ea typeface="+mn-ea"/>
              <a:cs typeface="+mn-cs"/>
            </a:rPr>
            <a:t>===============================================================</a:t>
          </a:r>
          <a:endParaRPr lang="en-GB" sz="1800" baseline="0">
            <a:solidFill>
              <a:srgbClr val="FFFF00"/>
            </a:solidFill>
            <a:effectLst/>
            <a:latin typeface="Cyrillic5e" panose="02000506040000020004" pitchFamily="2" charset="-52"/>
            <a:ea typeface="+mn-ea"/>
            <a:cs typeface="+mn-cs"/>
          </a:endParaRPr>
        </a:p>
        <a:p>
          <a:pPr algn="l"/>
          <a:endParaRPr lang="en-GB" sz="1800">
            <a:solidFill>
              <a:schemeClr val="dk1"/>
            </a:solidFill>
            <a:effectLst/>
            <a:latin typeface="Cyrillic5e" panose="02000506040000020004" pitchFamily="2" charset="-52"/>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295274</xdr:colOff>
      <xdr:row>1</xdr:row>
      <xdr:rowOff>19050</xdr:rowOff>
    </xdr:from>
    <xdr:to>
      <xdr:col>20</xdr:col>
      <xdr:colOff>9525</xdr:colOff>
      <xdr:row>52</xdr:row>
      <xdr:rowOff>123826</xdr:rowOff>
    </xdr:to>
    <xdr:sp macro="" textlink="">
      <xdr:nvSpPr>
        <xdr:cNvPr id="2" name="TextBox 1">
          <a:extLst>
            <a:ext uri="{FF2B5EF4-FFF2-40B4-BE49-F238E27FC236}">
              <a16:creationId xmlns:a16="http://schemas.microsoft.com/office/drawing/2014/main" id="{B9045A60-36E8-440A-8C52-87A3FDBFAE14}"/>
            </a:ext>
          </a:extLst>
        </xdr:cNvPr>
        <xdr:cNvSpPr txBox="1"/>
      </xdr:nvSpPr>
      <xdr:spPr>
        <a:xfrm>
          <a:off x="295274" y="209550"/>
          <a:ext cx="11601451" cy="9820276"/>
        </a:xfrm>
        <a:prstGeom prst="rect">
          <a:avLst/>
        </a:prstGeom>
        <a:ln w="3810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1" i="0" u="none" strike="noStrike" baseline="0">
              <a:solidFill>
                <a:schemeClr val="dk1"/>
              </a:solidFill>
              <a:latin typeface="+mn-lt"/>
              <a:ea typeface="+mn-ea"/>
              <a:cs typeface="+mn-cs"/>
            </a:rPr>
            <a:t>OPEN GAME LICENSE Version 1.0a </a:t>
          </a:r>
        </a:p>
        <a:p>
          <a:endParaRPr lang="en-AU" sz="1100" b="1" i="0" u="none" strike="noStrike" baseline="0">
            <a:solidFill>
              <a:schemeClr val="dk1"/>
            </a:solidFill>
            <a:latin typeface="+mn-lt"/>
            <a:ea typeface="+mn-ea"/>
            <a:cs typeface="+mn-cs"/>
          </a:endParaRPr>
        </a:p>
        <a:p>
          <a:r>
            <a:rPr lang="en-AU" sz="1100" b="0" i="0" u="none" strike="noStrike" baseline="0">
              <a:solidFill>
                <a:schemeClr val="dk1"/>
              </a:solidFill>
              <a:latin typeface="+mn-lt"/>
              <a:ea typeface="+mn-ea"/>
              <a:cs typeface="+mn-cs"/>
            </a:rPr>
            <a:t>The following text is the property of Wizards of the Coast, Inc. and is Copyright 2000 Wizards of the Coast, Inc ("Wizards"). All Rights Reserved. </a:t>
          </a:r>
        </a:p>
        <a:p>
          <a:r>
            <a:rPr lang="en-AU" sz="1100" b="0" i="0" u="none" strike="noStrike" baseline="0">
              <a:solidFill>
                <a:schemeClr val="dk1"/>
              </a:solidFill>
              <a:latin typeface="+mn-lt"/>
              <a:ea typeface="+mn-ea"/>
              <a:cs typeface="+mn-cs"/>
            </a:rPr>
            <a:t>1. Definitions: (a)"Contributors" means the copyright and/or trademark owners who have contributed Open Game Content; (b)"Derivative Material" means copyrighted material including derivative works and translations (including into other computer languages), potation,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a:t>
          </a:r>
        </a:p>
        <a:p>
          <a:r>
            <a:rPr lang="en-AU" sz="1100" b="0" i="0" u="none" strike="noStrike" baseline="0">
              <a:solidFill>
                <a:schemeClr val="dk1"/>
              </a:solidFill>
              <a:latin typeface="+mn-lt"/>
              <a:ea typeface="+mn-ea"/>
              <a:cs typeface="+mn-cs"/>
            </a:rPr>
            <a:t>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a:t>
          </a:r>
        </a:p>
        <a:p>
          <a:r>
            <a:rPr lang="en-AU" sz="1100" b="0" i="0" u="none" strike="noStrike" baseline="0">
              <a:solidFill>
                <a:schemeClr val="dk1"/>
              </a:solidFill>
              <a:latin typeface="+mn-lt"/>
              <a:ea typeface="+mn-ea"/>
              <a:cs typeface="+mn-cs"/>
            </a:rPr>
            <a:t>3.Offer and Acceptance: By Using the Open Game Content You indicate Your acceptance of the terms of this License. </a:t>
          </a:r>
        </a:p>
        <a:p>
          <a:r>
            <a:rPr lang="en-AU" sz="1100" b="0" i="0" u="none" strike="noStrike" baseline="0">
              <a:solidFill>
                <a:schemeClr val="dk1"/>
              </a:solidFill>
              <a:latin typeface="+mn-lt"/>
              <a:ea typeface="+mn-ea"/>
              <a:cs typeface="+mn-cs"/>
            </a:rPr>
            <a:t>4. Grant and Consideration: In consideration for agreeing to use this License, the Contributors grant You a perpetual, worldwide, royalty-free, non-exclusive license with the exact terms of this License to Use, the Open Game Content. Dusty Door </a:t>
          </a:r>
        </a:p>
        <a:p>
          <a:r>
            <a:rPr lang="en-AU" sz="1100" b="0" i="0" u="none" strike="noStrike" baseline="0">
              <a:solidFill>
                <a:schemeClr val="dk1"/>
              </a:solidFill>
              <a:latin typeface="+mn-lt"/>
              <a:ea typeface="+mn-ea"/>
              <a:cs typeface="+mn-cs"/>
            </a:rPr>
            <a:t>5.Representation of Authority to Contribute: If You are contributing original material as Open Game Content, You represent that Your Contributions are Your original creation and/or You have sufficient rights to grant the rights conveyed by this License. </a:t>
          </a:r>
        </a:p>
        <a:p>
          <a:r>
            <a:rPr lang="en-AU" sz="1100" b="0" i="0" u="none" strike="noStrike" baseline="0">
              <a:solidFill>
                <a:schemeClr val="dk1"/>
              </a:solidFill>
              <a:latin typeface="+mn-lt"/>
              <a:ea typeface="+mn-ea"/>
              <a:cs typeface="+mn-cs"/>
            </a:rPr>
            <a:t>6.Notice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a:t>
          </a:r>
        </a:p>
        <a:p>
          <a:r>
            <a:rPr lang="en-AU" sz="1100" b="0" i="0" u="none" strike="noStrike" baseline="0">
              <a:solidFill>
                <a:schemeClr val="dk1"/>
              </a:solidFill>
              <a:latin typeface="+mn-lt"/>
              <a:ea typeface="+mn-ea"/>
              <a:cs typeface="+mn-cs"/>
            </a:rPr>
            <a:t>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a:t>
          </a:r>
        </a:p>
        <a:p>
          <a:r>
            <a:rPr lang="en-AU" sz="1100" b="0" i="0" u="none" strike="noStrike" baseline="0">
              <a:solidFill>
                <a:schemeClr val="dk1"/>
              </a:solidFill>
              <a:latin typeface="+mn-lt"/>
              <a:ea typeface="+mn-ea"/>
              <a:cs typeface="+mn-cs"/>
            </a:rPr>
            <a:t>8. Identification: If you distribute Open Game Content You must clearly indicate which portions of the work that you are distributing are Open Game Content. The following material is released as Open Game Content as per the terms of the Open Game License: All character and monster stats, all magic item abilities, all spells, trap mechanics and other items that describe game mechanics. All other content remains Product Identity. </a:t>
          </a:r>
        </a:p>
        <a:p>
          <a:r>
            <a:rPr lang="en-AU" sz="1100" b="0" i="0" u="none" strike="noStrike" baseline="0">
              <a:solidFill>
                <a:schemeClr val="dk1"/>
              </a:solidFill>
              <a:latin typeface="+mn-lt"/>
              <a:ea typeface="+mn-ea"/>
              <a:cs typeface="+mn-cs"/>
            </a:rPr>
            <a:t>9. Updating the License: Wizards or its designated Agents may publish updated versions of this License. You may use any authorized version of this License to copy, modify and distribute any Open Game Content originally distributed under any version of this License. </a:t>
          </a:r>
        </a:p>
        <a:p>
          <a:r>
            <a:rPr lang="en-AU" sz="1100" b="0" i="0" u="none" strike="noStrike" baseline="0">
              <a:solidFill>
                <a:schemeClr val="dk1"/>
              </a:solidFill>
              <a:latin typeface="+mn-lt"/>
              <a:ea typeface="+mn-ea"/>
              <a:cs typeface="+mn-cs"/>
            </a:rPr>
            <a:t>10 Copy of this License: You MUST include a copy of this License with every copy of the Open Game Content You Distribute. </a:t>
          </a:r>
        </a:p>
        <a:p>
          <a:r>
            <a:rPr lang="en-AU" sz="1100" b="0" i="0" u="none" strike="noStrike" baseline="0">
              <a:solidFill>
                <a:schemeClr val="dk1"/>
              </a:solidFill>
              <a:latin typeface="+mn-lt"/>
              <a:ea typeface="+mn-ea"/>
              <a:cs typeface="+mn-cs"/>
            </a:rPr>
            <a:t>11. Use of Contributor Credits: You may not market or advertise the Open Game Content using the name of any Contributor unless You have written permission from the Contributor to do so. </a:t>
          </a:r>
        </a:p>
        <a:p>
          <a:r>
            <a:rPr lang="en-AU" sz="1100" b="0" i="0" u="none" strike="noStrike" baseline="0">
              <a:solidFill>
                <a:schemeClr val="dk1"/>
              </a:solidFill>
              <a:latin typeface="+mn-lt"/>
              <a:ea typeface="+mn-ea"/>
              <a:cs typeface="+mn-cs"/>
            </a:rPr>
            <a:t>12 Inability to Comply: If it is impossible for You to comply with any of the terms of this License with respect to some or all of the Open Game Content due to statute, judicial order, or governmental regulation then You may not Use any Open Game Material so affected. </a:t>
          </a:r>
        </a:p>
        <a:p>
          <a:r>
            <a:rPr lang="en-AU" sz="1100" b="0" i="0" u="none" strike="noStrike" baseline="0">
              <a:solidFill>
                <a:schemeClr val="dk1"/>
              </a:solidFill>
              <a:latin typeface="+mn-lt"/>
              <a:ea typeface="+mn-ea"/>
              <a:cs typeface="+mn-cs"/>
            </a:rPr>
            <a:t>13 Termination: This License will terminate automatically if You fail to comply with all terms herein and fail to cure such breach within 30 days of becoming aware of the breach. All sublicenses shall survive the termination of this License. </a:t>
          </a:r>
        </a:p>
        <a:p>
          <a:r>
            <a:rPr lang="en-AU" sz="1100" b="0" i="0" u="none" strike="noStrike" baseline="0">
              <a:solidFill>
                <a:schemeClr val="dk1"/>
              </a:solidFill>
              <a:latin typeface="+mn-lt"/>
              <a:ea typeface="+mn-ea"/>
              <a:cs typeface="+mn-cs"/>
            </a:rPr>
            <a:t>14 Reformation: If any provision of this License is held to be unenforceable, such provision shall be reformed only to the extent necessary to make it enforceable. Dusty Door </a:t>
          </a:r>
        </a:p>
        <a:p>
          <a:r>
            <a:rPr lang="en-AU" sz="1100" b="0" i="0" u="none" strike="noStrike" baseline="0">
              <a:solidFill>
                <a:schemeClr val="dk1"/>
              </a:solidFill>
              <a:latin typeface="+mn-lt"/>
              <a:ea typeface="+mn-ea"/>
              <a:cs typeface="+mn-cs"/>
            </a:rPr>
            <a:t>15 COPYRIGHT NOTICE Open Game License v 1.0 Copyright 2000, Wizards of the Coast, Inc. </a:t>
          </a:r>
        </a:p>
        <a:p>
          <a:r>
            <a:rPr lang="en-AU" sz="1100" b="0" i="0" u="none" strike="noStrike" baseline="0">
              <a:solidFill>
                <a:schemeClr val="dk1"/>
              </a:solidFill>
              <a:latin typeface="+mn-lt"/>
              <a:ea typeface="+mn-ea"/>
              <a:cs typeface="+mn-cs"/>
            </a:rPr>
            <a:t>System Reference Document Copyright 2000, Wizards of the Coast, Inc.; Authors Jonathon Tweet, Monte Cook, Skip Williams, based on original material by E. Gary Gygax and Dave Arneson. System Reference Document Copyright 2000-2003, Wizards of the Coast, Inc.; Authors Jonathan Tweet, Monte Cook, Skip Williams, Rich Baker, Andy Collins, David Noonan, Rich Redman, Bruce R. Cordell, John D. Rateliff, Thomas Reid, James Wyatt, based on original material by E. Gary Gygax and Dave Arneson. </a:t>
          </a:r>
        </a:p>
        <a:p>
          <a:r>
            <a:rPr lang="en-AU" sz="1100" b="0" i="0" u="none" strike="noStrike" baseline="0">
              <a:solidFill>
                <a:schemeClr val="dk1"/>
              </a:solidFill>
              <a:latin typeface="+mn-lt"/>
              <a:ea typeface="+mn-ea"/>
              <a:cs typeface="+mn-cs"/>
            </a:rPr>
            <a:t>Modern System Reference Document Copyright 2002-2004, Wizards of the Coast, Inc.; Authors Bill Slavicsek, Jeff Grubb, Rich Redman, Charles Ryan, Eric Cagle, David Noonan, Stan!, Christopher Perkins, Rodney Thompson, and JD Wiker, based on material by Jonathan Tweet, Monte Cook, Skip Williams, Richard Baker, Peter Adkison, Bruce R. Cordell, John Tynes, Andy Collins, and JD Wiker. </a:t>
          </a:r>
        </a:p>
        <a:p>
          <a:r>
            <a:rPr lang="en-AU" sz="1100" b="0" i="0" u="none" strike="noStrike" baseline="0">
              <a:solidFill>
                <a:schemeClr val="dk1"/>
              </a:solidFill>
              <a:latin typeface="+mn-lt"/>
              <a:ea typeface="+mn-ea"/>
              <a:cs typeface="+mn-cs"/>
            </a:rPr>
            <a:t>Castles &amp; Crusades: Players Handbook, Copyright 2004, Troll Lord Games; Authors Davis Chenault and Mac Golden. </a:t>
          </a:r>
        </a:p>
        <a:p>
          <a:r>
            <a:rPr lang="en-AU" sz="1100" b="0" i="0" u="none" strike="noStrike" baseline="0">
              <a:solidFill>
                <a:schemeClr val="dk1"/>
              </a:solidFill>
              <a:latin typeface="+mn-lt"/>
              <a:ea typeface="+mn-ea"/>
              <a:cs typeface="+mn-cs"/>
            </a:rPr>
            <a:t>Cave Cricket from the Tome of Horrors, copyright 2002, Necromancer Games, Inc.; Authors Scott Greene and Clark Peterson, based on original material by Gary Gygax. </a:t>
          </a:r>
        </a:p>
        <a:p>
          <a:r>
            <a:rPr lang="en-AU" sz="1100" b="0" i="0" u="none" strike="noStrike" baseline="0">
              <a:solidFill>
                <a:schemeClr val="dk1"/>
              </a:solidFill>
              <a:latin typeface="+mn-lt"/>
              <a:ea typeface="+mn-ea"/>
              <a:cs typeface="+mn-cs"/>
            </a:rPr>
            <a:t>Crab, Monstrous from the Tome of Horrors, copyright 2002, Necromancer Games, Inc.; Author Scott Greene, based on original material by Gary Gygax. </a:t>
          </a:r>
        </a:p>
        <a:p>
          <a:r>
            <a:rPr lang="en-AU" sz="1100" b="0" i="0" u="none" strike="noStrike" baseline="0">
              <a:solidFill>
                <a:schemeClr val="dk1"/>
              </a:solidFill>
              <a:latin typeface="+mn-lt"/>
              <a:ea typeface="+mn-ea"/>
              <a:cs typeface="+mn-cs"/>
            </a:rPr>
            <a:t>Fly, Giant from the Tome of Horrors, copyright 2002, Necromancer Games, Inc.; Author Scott Greene, based on original material by Gary Gygax. </a:t>
          </a:r>
        </a:p>
        <a:p>
          <a:r>
            <a:rPr lang="en-AU" sz="1100" b="0" i="0" u="none" strike="noStrike" baseline="0">
              <a:solidFill>
                <a:schemeClr val="dk1"/>
              </a:solidFill>
              <a:latin typeface="+mn-lt"/>
              <a:ea typeface="+mn-ea"/>
              <a:cs typeface="+mn-cs"/>
            </a:rPr>
            <a:t>Golem, Wood from the Tome of Horrors, copyright 2002, Necromancer Games, Inc.; Authors Scott Greene and Patrick Lawinger. </a:t>
          </a:r>
        </a:p>
        <a:p>
          <a:r>
            <a:rPr lang="en-AU" sz="1100" b="0" i="0" u="none" strike="noStrike" baseline="0">
              <a:solidFill>
                <a:schemeClr val="dk1"/>
              </a:solidFill>
              <a:latin typeface="+mn-lt"/>
              <a:ea typeface="+mn-ea"/>
              <a:cs typeface="+mn-cs"/>
            </a:rPr>
            <a:t>Kamadan from the Tome of Horrors, copyright 2002, Necromancer Games, Inc.; Author Scott Greene, based on original material by Nick Louth. </a:t>
          </a:r>
        </a:p>
        <a:p>
          <a:r>
            <a:rPr lang="en-AU" sz="1100" b="0" i="0" u="none" strike="noStrike" baseline="0">
              <a:solidFill>
                <a:schemeClr val="dk1"/>
              </a:solidFill>
              <a:latin typeface="+mn-lt"/>
              <a:ea typeface="+mn-ea"/>
              <a:cs typeface="+mn-cs"/>
            </a:rPr>
            <a:t>Rot Grub from the Tome of Horrors , Copyright 2002, Necromancer Games, Inc.; Authors Scott Greene and Clark Peterson, based on original material by Gary Gygax </a:t>
          </a:r>
        </a:p>
        <a:p>
          <a:r>
            <a:rPr lang="en-AU" sz="1100" b="0" i="0" u="none" strike="noStrike" baseline="0">
              <a:solidFill>
                <a:schemeClr val="dk1"/>
              </a:solidFill>
              <a:latin typeface="+mn-lt"/>
              <a:ea typeface="+mn-ea"/>
              <a:cs typeface="+mn-cs"/>
            </a:rPr>
            <a:t>3 Toadstools Publishing Copyright 2018, Shane Ward. All Room Descriptions &amp; Story.</a:t>
          </a:r>
          <a:endParaRPr lang="en-GB" sz="1100">
            <a:solidFill>
              <a:schemeClr val="dk1"/>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alant\Onedrive\TRPG\ZZ_TOOLS\0_DEVELOPMENT\032_WATERDEEP%20IN%20TABLES\WATERDEEP%20IN%20TABLES%20v.0.99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4050d6280c872bd7/TRPG/ZZ_TOOLS/0_DEVELOPMENT/EBERR/ORACLE%20OF%20WAR/SALVAGE%20BASES%20AND%20MISSIONS%20GENER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4050d6280c872bd7/TRPG/ZZ_TOOLS/0_DEVELOPMENT/051_EQUIPMENT/EQUIPMENT%20DnD%205e%20FR%20Palant%20v12%201208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Palant\Onedrive\TRPG\ZZ_TOOLS\0_DEVELOPMENT\004%20Excel%20online%20resources\dnd-5e-random-character-generator-v97%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palant\onedrive\trpg\zz_tools\0_development\004%20excel%20online%20resources\Palant%20Ultimate%20DM%20Screen%203.0%20-%20Public.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1050;&#1085;&#1080;&#1075;&#1072;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_LUNAR_CYCLE"/>
      <sheetName val="Sheet1"/>
      <sheetName val="WEATHER_NORMAL"/>
      <sheetName val="WEATHER_CHULT"/>
      <sheetName val="CALENDAR7 (2)"/>
      <sheetName val="COVER_TOC"/>
      <sheetName val="RECOMMEND"/>
      <sheetName val="TABLE OF CONTENTS"/>
      <sheetName val="DM_SCREEN"/>
      <sheetName val="Random_Scenes_Encounters"/>
      <sheetName val="DMSCREEN_NPC"/>
      <sheetName val="R NPC"/>
      <sheetName val="DMSCREEN_LOOT"/>
      <sheetName val="Building Cost Calculator"/>
      <sheetName val="Calendar for 1492"/>
      <sheetName val="CALENDAR1"/>
      <sheetName val="CALENDAR2"/>
      <sheetName val="Аркуш2"/>
      <sheetName val="CALENDAR4"/>
      <sheetName val="CALENDAR3"/>
      <sheetName val="CALENDAR7"/>
      <sheetName val="CALENDAR5"/>
      <sheetName val="Moon_Calendar"/>
      <sheetName val="HOLIDAYS"/>
      <sheetName val="T Holidays"/>
      <sheetName val="CALENDAR6"/>
      <sheetName val="Table Wards"/>
      <sheetName val="WA STATUS"/>
      <sheetName val="T Buildings"/>
      <sheetName val="Locations In Waterdeep"/>
      <sheetName val="aux building 1"/>
      <sheetName val="T Environs"/>
      <sheetName val="T Families"/>
      <sheetName val="T Folk All"/>
      <sheetName val="PERSONES LOOKUP"/>
      <sheetName val="T Organizations"/>
      <sheetName val="Аркуш1"/>
      <sheetName val="D Harpers"/>
      <sheetName val="D Zhentarim"/>
      <sheetName val="Chart Moonstars"/>
      <sheetName val="T Folk Special"/>
      <sheetName val="Name Generator"/>
      <sheetName val="NOBLES 3E"/>
      <sheetName val="T City Watch"/>
      <sheetName val="D City Watch"/>
      <sheetName val="Chart City Watch"/>
      <sheetName val="D City Guard"/>
      <sheetName val="T City Guard"/>
      <sheetName val="T City Navy"/>
      <sheetName val="T Armed Forces"/>
      <sheetName val="D Armed Forces"/>
      <sheetName val="T Spellcasting Services"/>
      <sheetName val="02VG"/>
      <sheetName val="T Ships"/>
      <sheetName val="CODE"/>
      <sheetName val="Аркуш8"/>
      <sheetName val="T Broadsheets"/>
      <sheetName val="Table Coins"/>
      <sheetName val="T Costs"/>
      <sheetName val="Tables Other"/>
      <sheetName val="Table Aurora's Emporium Catalog"/>
      <sheetName val="Table Gangs"/>
      <sheetName val="09_MATERIAL COMPONENTS"/>
      <sheetName val="Random Tables"/>
      <sheetName val="Аркуш3"/>
      <sheetName val="Аркуш5"/>
      <sheetName val="Table Languages"/>
      <sheetName val="MISC"/>
      <sheetName val="Аркуш4"/>
      <sheetName val="0Z__"/>
      <sheetName val="DGtT"/>
      <sheetName val="Table History"/>
      <sheetName val="Other products"/>
      <sheetName val="Table Dragons 3e"/>
      <sheetName val="Weather Generator"/>
      <sheetName val="SOURCES"/>
      <sheetName val="Аркуш7"/>
      <sheetName val="OUR PRODUCTS"/>
      <sheetName val="Waterdeep Weather"/>
      <sheetName val="OPTIONAL CONTENT"/>
      <sheetName val="RND_Faerun_Events_Local"/>
      <sheetName val="Horses"/>
      <sheetName val="RND_Faerun_Events_Regional"/>
      <sheetName val="CYBORGS &amp; MAGES"/>
      <sheetName val="WATERDEEP IN TABLES v.0.998"/>
    </sheetNames>
    <sheetDataSet>
      <sheetData sheetId="0" refreshError="1"/>
      <sheetData sheetId="1">
        <row r="3">
          <cell r="G3" t="str">
            <v xml:space="preserve">BT (Blackstaff Tower &amp; Candelkeep-Forum replies by Steven E. Schend) </v>
          </cell>
        </row>
        <row r="4">
          <cell r="G4" t="str">
            <v xml:space="preserve">MS (Mistshore) </v>
          </cell>
        </row>
        <row r="5">
          <cell r="G5" t="str">
            <v xml:space="preserve">DS (Downshadow) </v>
          </cell>
        </row>
        <row r="6">
          <cell r="G6" t="str">
            <v xml:space="preserve">CotD (City of the Dead) </v>
          </cell>
        </row>
        <row r="7">
          <cell r="G7" t="str">
            <v xml:space="preserve">TGC (The God Catcher) </v>
          </cell>
        </row>
        <row r="8">
          <cell r="G8" t="str">
            <v xml:space="preserve">CoS (Circle of Skulls) </v>
          </cell>
        </row>
        <row r="9">
          <cell r="G9" t="str">
            <v>S:TA The Adversary (HC)</v>
          </cell>
        </row>
        <row r="10">
          <cell r="G10" t="str">
            <v>E:DM (Death Masks)</v>
          </cell>
        </row>
        <row r="11">
          <cell r="G11" t="str">
            <v>EFR (Elminster's Forgotten Realms)</v>
          </cell>
        </row>
        <row r="12">
          <cell r="G12" t="str">
            <v>*Note: The sourcebook draws on material from different times, so I included only those infos that stated a current or no date</v>
          </cell>
        </row>
        <row r="13">
          <cell r="G13" t="str">
            <v xml:space="preserve">HoU (Halls of Undermountain) </v>
          </cell>
        </row>
        <row r="14">
          <cell r="G14" t="str">
            <v>*Note: I left out the adventures adversaries, considering them to be dead, and adventurers, as they might no longer live in Waterdeep, but kept neutral NPC's who could have allied or could have been rescued by the heroes</v>
          </cell>
        </row>
        <row r="15">
          <cell r="G15" t="str">
            <v>SCAG (Sword Coast Adventurer's Guide)</v>
          </cell>
        </row>
        <row r="16">
          <cell r="G16" t="str">
            <v>FRCG (Forgotten Realms Campaign Guide 4ed)</v>
          </cell>
        </row>
        <row r="17">
          <cell r="G17" t="str">
            <v xml:space="preserve">Dra2 (Draconomicon2) </v>
          </cell>
        </row>
        <row r="18">
          <cell r="G18" t="str">
            <v>CoSp/WiW (City of Splendors Boxed Set Who is Who)</v>
          </cell>
        </row>
        <row r="19">
          <cell r="G19" t="str">
            <v>CW (City of Splendors: Waterdeep)</v>
          </cell>
        </row>
        <row r="20">
          <cell r="G20" t="str">
            <v xml:space="preserve">Du (Dungeon Magazine) </v>
          </cell>
        </row>
        <row r="21">
          <cell r="G21" t="str">
            <v>Dr (Dragon Magazine)</v>
          </cell>
        </row>
        <row r="22">
          <cell r="G22" t="str">
            <v>ED (Ed Greenwood via the Hooded One on Candlekeep Forums)</v>
          </cell>
        </row>
        <row r="23">
          <cell r="G23" t="str">
            <v xml:space="preserve">SAY (Spin a Yarn 2008) </v>
          </cell>
        </row>
        <row r="24">
          <cell r="G24" t="str">
            <v>BRJ (Brian R. James unofficial timeline)</v>
          </cell>
        </row>
        <row r="25">
          <cell r="G25" t="str">
            <v xml:space="preserve">IDWFR1 (Forgotten Realms Comic #1 from IDW) </v>
          </cell>
        </row>
        <row r="26">
          <cell r="G26" t="str">
            <v>*Note: it's unclear in which time the comic takes place</v>
          </cell>
        </row>
        <row r="27">
          <cell r="G27" t="str">
            <v>WATE (LFR-Adv.)</v>
          </cell>
        </row>
        <row r="28">
          <cell r="G28" t="str">
            <v>*Note: These adventures are not seen as canon by many</v>
          </cell>
        </row>
        <row r="29">
          <cell r="G29" t="str">
            <v>SG - Ed Greenwood - Sardolphyn's Gambit</v>
          </cell>
        </row>
      </sheetData>
      <sheetData sheetId="2" refreshError="1"/>
      <sheetData sheetId="3" refreshError="1"/>
      <sheetData sheetId="4" refreshError="1"/>
      <sheetData sheetId="5" refreshError="1"/>
      <sheetData sheetId="6" refreshError="1"/>
      <sheetData sheetId="7" refreshError="1"/>
      <sheetData sheetId="8">
        <row r="2">
          <cell r="U2" t="str">
            <v>CITY OF DEAD</v>
          </cell>
        </row>
      </sheetData>
      <sheetData sheetId="9" refreshError="1"/>
      <sheetData sheetId="10" refreshError="1"/>
      <sheetData sheetId="11">
        <row r="1">
          <cell r="L1" t="str">
            <v>BARD</v>
          </cell>
        </row>
        <row r="2">
          <cell r="F2">
            <v>16</v>
          </cell>
          <cell r="H2">
            <v>18</v>
          </cell>
        </row>
        <row r="3">
          <cell r="F3">
            <v>7</v>
          </cell>
          <cell r="H3">
            <v>18</v>
          </cell>
        </row>
        <row r="4">
          <cell r="F4">
            <v>16</v>
          </cell>
          <cell r="H4">
            <v>16</v>
          </cell>
        </row>
        <row r="5">
          <cell r="F5">
            <v>15</v>
          </cell>
          <cell r="H5">
            <v>17</v>
          </cell>
        </row>
        <row r="6">
          <cell r="F6">
            <v>10</v>
          </cell>
          <cell r="H6">
            <v>17</v>
          </cell>
        </row>
        <row r="7">
          <cell r="F7">
            <v>15</v>
          </cell>
          <cell r="H7">
            <v>16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66">
          <cell r="AA66" t="str">
            <v>ґ</v>
          </cell>
        </row>
        <row r="106">
          <cell r="D106" t="str">
            <v>The guard is... 3. A veteran of warfare.
The guard works for... Patriotic devotion.
On the guard’s face is... 1. A large wart.
The guard carries... 5. A trophy from a criminal.
The watch’s captain is... 6. A celebrated war hero.
The watch’s attitude toward their captain is... Cautious and uncertain.
The watch has a reputation for... 10. Intoxication.</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ow r="2">
          <cell r="T2" t="str">
            <v>1 assassin</v>
          </cell>
          <cell r="W2" t="str">
            <v>1d8+1 acolytes</v>
          </cell>
          <cell r="AA2" t="str">
            <v>A noble shouts \</v>
          </cell>
          <cell r="AG2" t="str">
            <v xml:space="preserve">Word on the streets says that someone’s been stockpiling smokepowder. There’s no good reason for that.  </v>
          </cell>
          <cell r="AQ2" t="str">
            <v xml:space="preserve">Members of the Waterdeep constabulary.  </v>
          </cell>
          <cell r="LF2" t="str">
            <v>Natic</v>
          </cell>
        </row>
        <row r="3">
          <cell r="EP3" t="str">
            <v>Muggers</v>
          </cell>
          <cell r="EQ3" t="str">
            <v>Luck Seeker</v>
          </cell>
          <cell r="ER3" t="str">
            <v xml:space="preserve">masked </v>
          </cell>
          <cell r="ES3" t="str">
            <v>Muggers</v>
          </cell>
          <cell r="ET3" t="str">
            <v>Masked Lord</v>
          </cell>
          <cell r="EU3" t="str">
            <v>Muggers</v>
          </cell>
          <cell r="EV3" t="str">
            <v>Magister</v>
          </cell>
          <cell r="EW3" t="str">
            <v>Luck Seeker</v>
          </cell>
          <cell r="IS3" t="str">
            <v>Another group of adventurers is staggering through town. It looks as if they are barely hanging onto life. If the party asks them what happened, they will be told about a powerful creature plaguing an abandoned building in town or perhaps one of the nearby farms. There is a reward given by the city for dispatching this foe.</v>
          </cell>
          <cell r="IV3" t="str">
            <v>Diplomatic Incident!</v>
          </cell>
          <cell r="IW3" t="str">
            <v>Three days ago, thieves stole the Luskan city flag from the Luskan embassy grounds in the Castle Ward. There is no cause for concern, and the authorities are working together to solve the problem as quickly as possible. If you have any relevant information, or can help solve the matter, approach Captain Kolden in the Castle Ward.</v>
          </cell>
          <cell r="IX3" t="str">
            <v>There is great cause for concern. The relationship between Waterdeep and Luskan is at an all-time low, and this incident could lead to a full-scale war. Currently, the Waterdhavian diplomats are working tirelessly to pacify their Luskar counterparts. Captain Kolden is sure that the flag was stolen by an enemy agent to justify a war. In reality, a pair of drunk students stole the flag, which now flies in the students' humble abode in the South Ward. One of the students, named Icarium (CN male half-elf apprentice wizard VGTM 209), stole a potion of flying from a tutor's office and used it to swipe the flag directly from the pole. An old man who needed to relieve himself saw the flying student in his school uniform of the Watchful Order of Magists and Protectors, but nobody believes him since he is senile.</v>
          </cell>
          <cell r="JD3" t="str">
            <v>Nobles Demand Halt to Sale of Paintings</v>
          </cell>
          <cell r="JE3" t="str">
            <v xml:space="preserve">Waterdeep: Agents and members of the Phull noble family burst into a public sale of paintings this morn and angrily demanded the sale be stopped. They attempted to seize certain items and were accused of attempted theft. Swords were drawn, brief strife followed with no one suffering serious injuries (witnesses say the vendors defended themselves by using the disputed items as shields, causing the Phulls to put up their blades), and the Watch summoned.
Watch officer Estrar Thongolyr says no charges have yet been laid and no persons were detained, but the Watch has taken possession of the disputed items pending magisterial decision. As with most matters involving nobility, proceedings are almost certain to be referred to the Lords of the city.
The sale, by merchants of the newly established Flying Falcons Coster, was held at the Frowning Face* rental hall, which is west-front of the High Road and facing down River Street.
The family Phull claim the disputed items, which were painted panels depicting portraits of distinguished-looking, richly garbed men and women, were stolen from their city villa in North Ward late last year, and these portraits depict dead, much-loved forebearers. One would-be buyer said that if this is true, the artists "flattered the Phulls incredibly" (not an uncommon practice, when portraits of the wealthy and powerful are limned) or "perhaps the family is much fallen into coarseness of features since the time of the people depicted."
*The hall is so-named for the appearance of its street-facing wall, which is of fieldstone sculpted into the likeness of a severe human face, with windows for the eyes and the entry doors located in the mouth.
</v>
          </cell>
        </row>
        <row r="4">
          <cell r="FG4" t="str">
            <v>A troupe of halfling street performers put on a puppet show, reenact an ancient battle, or play instruments for coin.</v>
          </cell>
          <cell r="FL4" t="str">
            <v>A ghost glides through a dark alley before passing through a wall and disappearing.</v>
          </cell>
          <cell r="JY4" t="str">
            <v>Signet ring</v>
          </cell>
        </row>
        <row r="5">
          <cell r="KD5" t="str">
            <v>A vandal paints the symbol of the Xanathar (a circle with ten equidistant spokes radiating out from its circumference) on a building or parked coach.</v>
          </cell>
        </row>
        <row r="6">
          <cell r="KS6" t="e">
            <v>#N/A</v>
          </cell>
        </row>
        <row r="15">
          <cell r="KR15" t="e">
            <v>#N/A</v>
          </cell>
        </row>
        <row r="16">
          <cell r="KK16" t="str">
            <v>Three stories without basement</v>
          </cell>
          <cell r="KN16" t="str">
            <v>Two stories with basement</v>
          </cell>
          <cell r="KR16" t="e">
            <v>#N/A</v>
          </cell>
        </row>
        <row r="17">
          <cell r="KR17" t="e">
            <v>#N/A</v>
          </cell>
        </row>
        <row r="18">
          <cell r="KR18" t="str">
            <v>Ramshackle, badly in need of repair;</v>
          </cell>
        </row>
        <row r="21">
          <cell r="KN21" t="str">
            <v>One story, without basement</v>
          </cell>
        </row>
        <row r="26">
          <cell r="KQ26">
            <v>0</v>
          </cell>
          <cell r="KR26" t="str">
            <v>Warehouse (with elevator or interior hoist)</v>
          </cell>
          <cell r="KS26" t="str">
            <v>Row House, Offices &amp; Apartments above Ground Floor Shop</v>
          </cell>
          <cell r="KT26" t="str">
            <v>Warehouse</v>
          </cell>
        </row>
        <row r="27">
          <cell r="KK27" t="str">
            <v>Ramshackle, badly in need of repair;</v>
          </cell>
          <cell r="KN27" t="str">
            <v>New, well-cared for, and freshly redecorated.</v>
          </cell>
        </row>
        <row r="33">
          <cell r="KD33" t="str">
            <v>57-60 A captured criminal or monster is moved through the city in a heavily guarded prison wagon, escorted by twelve veterans of the City Watch and a mage from the Watchful Order of Magists &amp; Protectors.</v>
          </cell>
        </row>
        <row r="77">
          <cell r="T77">
            <v>0</v>
          </cell>
        </row>
        <row r="83">
          <cell r="EL83" t="str">
            <v>CITY OF THE DEAD</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Adventurers_base"/>
      <sheetName val="MOURNALND_EFFECTS"/>
      <sheetName val="Mission_generation"/>
      <sheetName val="Random_encounters"/>
    </sheetNames>
    <sheetDataSet>
      <sheetData sheetId="0">
        <row r="5">
          <cell r="G5" t="str">
            <v>1</v>
          </cell>
        </row>
      </sheetData>
      <sheetData sheetId="1"/>
      <sheetData sheetId="2" refreshError="1"/>
      <sheetData sheetId="3">
        <row r="2">
          <cell r="B2" t="str">
            <v>Retrieve one or more important objects from the Mournland.</v>
          </cell>
        </row>
        <row r="17">
          <cell r="B17" t="str">
            <v>The villains are fleeing from some larger danger (determined by the DM) and seek the base as shelter to get away from it.</v>
          </cell>
        </row>
        <row r="30">
          <cell r="B30" t="str">
            <v>The characters interrogate an enemy who tells them where the salvage is.</v>
          </cell>
        </row>
        <row r="39">
          <cell r="B39" t="str">
            <v>Enclave of a dragonmarked house of the DM’s choice</v>
          </cell>
        </row>
        <row r="62">
          <cell r="B62" t="str">
            <v>Lords of Dust</v>
          </cell>
        </row>
        <row r="79">
          <cell r="B79" t="str">
            <v>Unseen Meddler</v>
          </cell>
          <cell r="C79" t="str">
            <v>A stealthy, possibly invisible, creature stalks the characters as they go about the adventure and meddles in their plans. This creature’s motivations are yours. It might be a mischievous poltergeist, an assassin hired by the characters’ enemies trying to pick them off from afar, or a pixie driven mad by time spent in the Mournland looking to have some violent fun.</v>
          </cell>
        </row>
      </sheetData>
      <sheetData sheetId="4">
        <row r="3">
          <cell r="C3" t="str">
            <v>1 living lightning bolt (see Eberron: Risingfrom the Last War)</v>
          </cell>
          <cell r="G3" t="str">
            <v>1d2 ochre jellies</v>
          </cell>
          <cell r="K3" t="str">
            <v>1 saber-toothed tiger</v>
          </cell>
          <cell r="O3" t="str">
            <v>3d6 giant rats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RBAL_BREW"/>
      <sheetName val="Reference (Herbs)"/>
      <sheetName val="HERBS_REGIONS"/>
      <sheetName val="HERBS"/>
      <sheetName val="Аркуш2"/>
      <sheetName val="Randomizer"/>
      <sheetName val="Spell List"/>
      <sheetName val="Mi_OUTPUIT"/>
      <sheetName val="MI_PRICES"/>
      <sheetName val="MI_A"/>
      <sheetName val="MI_COMPLICATIONS"/>
      <sheetName val="WEATHER_NORMAL"/>
      <sheetName val="WEATHER_CHULT"/>
      <sheetName val="Instructions"/>
      <sheetName val="Random NPC Generator"/>
      <sheetName val="NAMES_GENERATOR"/>
      <sheetName val="NAMES_DATA"/>
      <sheetName val="DMG (2)"/>
      <sheetName val="EQUIPMENT_PACKS"/>
      <sheetName val="DMG"/>
      <sheetName val="MARKET_CLASS"/>
      <sheetName val="ADVENTURER'S GEAR_REF"/>
      <sheetName val="1"/>
      <sheetName val="Sheet1 (2)"/>
      <sheetName val="Sheet1"/>
      <sheetName val="ACKS_REF"/>
      <sheetName val="SPELLS"/>
      <sheetName val="MAGIC ITEM PRICES AND RARITY"/>
      <sheetName val="MAdventuring Gear"/>
      <sheetName val="Alchemical Goods_modnar"/>
      <sheetName val="Armor_modnar"/>
      <sheetName val="AURORA'S CATALOG"/>
      <sheetName val="SUBSYSTEM"/>
      <sheetName val="Аркуш3"/>
      <sheetName val="Sheet1 (3)"/>
      <sheetName val="MAGIC_ITEM_TABLE"/>
      <sheetName val="Books"/>
      <sheetName val="ALCHEMY_ITEMS"/>
      <sheetName val="Аркуш5"/>
      <sheetName val="Materials"/>
      <sheetName val="ANIMALS_MOUNTS"/>
      <sheetName val="STORES"/>
      <sheetName val="TAVERNS"/>
      <sheetName val="MOUNTS"/>
      <sheetName val="ENCOUNTERS"/>
      <sheetName val="MSIC"/>
      <sheetName val="NPC"/>
      <sheetName val="COINAGE"/>
      <sheetName val="Colors"/>
      <sheetName val="CONTAINERS"/>
      <sheetName val="MINING"/>
      <sheetName val="CORE_MAGIC_ITEMS_COST"/>
      <sheetName val="DRUGS"/>
      <sheetName val="ENHANCEMENTS"/>
      <sheetName val="FoodDrinks_modnar"/>
      <sheetName val="GEMS_REF"/>
      <sheetName val="GOODS SERVICES"/>
      <sheetName val="equipment 35ed"/>
      <sheetName val="HIRELINGS"/>
      <sheetName val="0 STAFF"/>
      <sheetName val="SPECIAL NPCS"/>
      <sheetName val="Herbs Plants Fungis of Realms"/>
      <sheetName val="Herbs_concotion"/>
      <sheetName val="RUNESTONES_FR"/>
      <sheetName val="RUNETECH_MARWANG"/>
      <sheetName val="Herbs_3"/>
      <sheetName val="Material Components"/>
      <sheetName val="Monster Parts Harvesting"/>
      <sheetName val="poisons"/>
      <sheetName val="ORIGINAL_5E"/>
      <sheetName val="Poisons_1"/>
      <sheetName val="posions_2"/>
      <sheetName val="MEquipment Packs"/>
      <sheetName val="MPoisons_drugs"/>
      <sheetName val="MService"/>
      <sheetName val="Gemss"/>
      <sheetName val="SPELLCASTING_FOCUSES"/>
      <sheetName val="TOBACCO_REF"/>
      <sheetName val="TOOLS"/>
      <sheetName val="Trade Goods_modnar"/>
      <sheetName val="VEHICLES"/>
      <sheetName val="0ARMOR"/>
      <sheetName val="0WEAPONS"/>
      <sheetName val="Аркуш1"/>
      <sheetName val="0 SIEGE WEAPONS"/>
      <sheetName val="Crafting"/>
      <sheetName val="Clockworks"/>
      <sheetName val="Weapons_modnar"/>
      <sheetName val="Аркуш1 (2)"/>
      <sheetName val="Ингридиенты"/>
      <sheetName val="Материалы"/>
      <sheetName val="DOWNTIME ACTIVITIES"/>
      <sheetName val="рецепты"/>
      <sheetName val="Снаряжение"/>
      <sheetName val="VALIDATION"/>
      <sheetName val="SOUR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G2" t="str">
            <v>Flame Tongue</v>
          </cell>
        </row>
        <row r="3">
          <cell r="G3" t="str">
            <v/>
          </cell>
        </row>
        <row r="4">
          <cell r="G4" t="str">
            <v/>
          </cell>
        </row>
        <row r="5">
          <cell r="G5" t="str">
            <v/>
          </cell>
        </row>
        <row r="6">
          <cell r="G6" t="str">
            <v/>
          </cell>
        </row>
        <row r="7">
          <cell r="G7" t="str">
            <v/>
          </cell>
        </row>
        <row r="8">
          <cell r="G8" t="str">
            <v/>
          </cell>
        </row>
        <row r="9">
          <cell r="G9" t="str">
            <v/>
          </cell>
        </row>
        <row r="10">
          <cell r="G10" t="str">
            <v/>
          </cell>
        </row>
        <row r="11">
          <cell r="G11" t="str">
            <v/>
          </cell>
        </row>
        <row r="12">
          <cell r="G12" t="str">
            <v/>
          </cell>
        </row>
        <row r="13">
          <cell r="G13" t="str">
            <v/>
          </cell>
        </row>
        <row r="14">
          <cell r="G14" t="str">
            <v/>
          </cell>
        </row>
        <row r="15">
          <cell r="G15" t="str">
            <v/>
          </cell>
        </row>
        <row r="16">
          <cell r="G16" t="str">
            <v/>
          </cell>
        </row>
        <row r="17">
          <cell r="G17" t="str">
            <v/>
          </cell>
        </row>
        <row r="18">
          <cell r="G18" t="str">
            <v/>
          </cell>
        </row>
        <row r="19">
          <cell r="G19" t="str">
            <v/>
          </cell>
        </row>
        <row r="20">
          <cell r="G20" t="str">
            <v/>
          </cell>
        </row>
        <row r="21">
          <cell r="G21" t="str">
            <v/>
          </cell>
        </row>
        <row r="22">
          <cell r="G22" t="str">
            <v/>
          </cell>
        </row>
        <row r="23">
          <cell r="G23" t="str">
            <v/>
          </cell>
        </row>
        <row r="24">
          <cell r="G24" t="str">
            <v/>
          </cell>
        </row>
        <row r="25">
          <cell r="G25" t="str">
            <v/>
          </cell>
        </row>
        <row r="26">
          <cell r="G26" t="str">
            <v/>
          </cell>
        </row>
        <row r="27">
          <cell r="G27" t="str">
            <v/>
          </cell>
        </row>
        <row r="28">
          <cell r="G28" t="str">
            <v/>
          </cell>
        </row>
        <row r="29">
          <cell r="G29" t="str">
            <v/>
          </cell>
        </row>
        <row r="30">
          <cell r="G30" t="str">
            <v/>
          </cell>
        </row>
        <row r="31">
          <cell r="G31" t="str">
            <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row r="105">
          <cell r="G105" t="str">
            <v/>
          </cell>
        </row>
        <row r="106">
          <cell r="G106" t="str">
            <v/>
          </cell>
        </row>
        <row r="107">
          <cell r="G107" t="str">
            <v/>
          </cell>
        </row>
        <row r="108">
          <cell r="G108" t="str">
            <v/>
          </cell>
        </row>
        <row r="109">
          <cell r="G109" t="str">
            <v/>
          </cell>
        </row>
        <row r="110">
          <cell r="G110" t="str">
            <v/>
          </cell>
        </row>
        <row r="111">
          <cell r="G111" t="str">
            <v/>
          </cell>
        </row>
        <row r="112">
          <cell r="G112" t="str">
            <v/>
          </cell>
        </row>
        <row r="113">
          <cell r="G113" t="str">
            <v/>
          </cell>
        </row>
        <row r="114">
          <cell r="G114" t="str">
            <v/>
          </cell>
        </row>
        <row r="115">
          <cell r="G115" t="str">
            <v/>
          </cell>
        </row>
        <row r="116">
          <cell r="G116" t="str">
            <v/>
          </cell>
        </row>
        <row r="117">
          <cell r="G117" t="str">
            <v/>
          </cell>
        </row>
        <row r="118">
          <cell r="G118" t="str">
            <v/>
          </cell>
        </row>
        <row r="119">
          <cell r="G119" t="str">
            <v/>
          </cell>
        </row>
        <row r="120">
          <cell r="G120" t="str">
            <v/>
          </cell>
        </row>
        <row r="121">
          <cell r="G121" t="str">
            <v/>
          </cell>
        </row>
        <row r="122">
          <cell r="G122" t="str">
            <v/>
          </cell>
        </row>
        <row r="123">
          <cell r="G123" t="str">
            <v/>
          </cell>
        </row>
        <row r="124">
          <cell r="G124" t="str">
            <v/>
          </cell>
        </row>
        <row r="125">
          <cell r="G125" t="str">
            <v/>
          </cell>
        </row>
        <row r="126">
          <cell r="G126" t="str">
            <v/>
          </cell>
        </row>
        <row r="127">
          <cell r="G127" t="str">
            <v/>
          </cell>
        </row>
        <row r="128">
          <cell r="G128" t="str">
            <v/>
          </cell>
        </row>
        <row r="129">
          <cell r="G129" t="str">
            <v/>
          </cell>
        </row>
        <row r="130">
          <cell r="G130" t="str">
            <v/>
          </cell>
        </row>
        <row r="131">
          <cell r="G131" t="str">
            <v/>
          </cell>
        </row>
        <row r="132">
          <cell r="G132" t="str">
            <v/>
          </cell>
        </row>
        <row r="133">
          <cell r="G133" t="str">
            <v/>
          </cell>
        </row>
        <row r="134">
          <cell r="G134" t="str">
            <v/>
          </cell>
        </row>
        <row r="135">
          <cell r="G135" t="str">
            <v/>
          </cell>
        </row>
        <row r="136">
          <cell r="G136" t="str">
            <v/>
          </cell>
        </row>
        <row r="137">
          <cell r="G137" t="str">
            <v/>
          </cell>
        </row>
        <row r="138">
          <cell r="G138" t="str">
            <v/>
          </cell>
        </row>
        <row r="139">
          <cell r="G139" t="str">
            <v/>
          </cell>
        </row>
        <row r="140">
          <cell r="G140" t="str">
            <v/>
          </cell>
        </row>
        <row r="141">
          <cell r="G141" t="str">
            <v/>
          </cell>
        </row>
        <row r="142">
          <cell r="G142" t="str">
            <v/>
          </cell>
        </row>
        <row r="143">
          <cell r="G143" t="str">
            <v/>
          </cell>
        </row>
        <row r="144">
          <cell r="G144" t="str">
            <v/>
          </cell>
        </row>
        <row r="145">
          <cell r="G145" t="str">
            <v/>
          </cell>
        </row>
        <row r="146">
          <cell r="G146" t="str">
            <v/>
          </cell>
        </row>
        <row r="147">
          <cell r="G147" t="str">
            <v/>
          </cell>
        </row>
        <row r="148">
          <cell r="G148" t="str">
            <v/>
          </cell>
        </row>
        <row r="149">
          <cell r="G149" t="str">
            <v/>
          </cell>
        </row>
        <row r="150">
          <cell r="G150" t="str">
            <v/>
          </cell>
        </row>
        <row r="151">
          <cell r="G151" t="str">
            <v/>
          </cell>
        </row>
        <row r="152">
          <cell r="G152" t="str">
            <v/>
          </cell>
        </row>
        <row r="153">
          <cell r="G153" t="str">
            <v/>
          </cell>
        </row>
        <row r="154">
          <cell r="G154" t="str">
            <v/>
          </cell>
        </row>
        <row r="155">
          <cell r="G155" t="str">
            <v/>
          </cell>
        </row>
        <row r="156">
          <cell r="G156" t="str">
            <v/>
          </cell>
        </row>
        <row r="157">
          <cell r="G157" t="str">
            <v/>
          </cell>
        </row>
        <row r="158">
          <cell r="G158" t="str">
            <v/>
          </cell>
        </row>
        <row r="159">
          <cell r="G159" t="str">
            <v/>
          </cell>
        </row>
        <row r="160">
          <cell r="G160" t="str">
            <v/>
          </cell>
        </row>
        <row r="161">
          <cell r="G161" t="str">
            <v/>
          </cell>
        </row>
        <row r="162">
          <cell r="G162" t="str">
            <v/>
          </cell>
        </row>
        <row r="163">
          <cell r="G163" t="str">
            <v/>
          </cell>
        </row>
        <row r="164">
          <cell r="G164" t="str">
            <v/>
          </cell>
        </row>
        <row r="165">
          <cell r="G165" t="str">
            <v/>
          </cell>
        </row>
        <row r="166">
          <cell r="G166" t="str">
            <v/>
          </cell>
        </row>
        <row r="167">
          <cell r="G167" t="str">
            <v/>
          </cell>
        </row>
        <row r="168">
          <cell r="G168" t="str">
            <v/>
          </cell>
        </row>
        <row r="169">
          <cell r="G169" t="str">
            <v/>
          </cell>
        </row>
        <row r="170">
          <cell r="G170" t="str">
            <v/>
          </cell>
        </row>
        <row r="171">
          <cell r="G171" t="str">
            <v/>
          </cell>
        </row>
        <row r="172">
          <cell r="G172" t="str">
            <v/>
          </cell>
        </row>
        <row r="173">
          <cell r="G173" t="str">
            <v/>
          </cell>
        </row>
        <row r="174">
          <cell r="G174" t="str">
            <v/>
          </cell>
        </row>
        <row r="175">
          <cell r="G175" t="str">
            <v/>
          </cell>
        </row>
        <row r="176">
          <cell r="G176" t="str">
            <v/>
          </cell>
        </row>
        <row r="177">
          <cell r="G177" t="str">
            <v/>
          </cell>
        </row>
        <row r="178">
          <cell r="G178" t="str">
            <v/>
          </cell>
        </row>
        <row r="179">
          <cell r="G179" t="str">
            <v/>
          </cell>
        </row>
        <row r="180">
          <cell r="G180" t="str">
            <v/>
          </cell>
        </row>
        <row r="181">
          <cell r="G181" t="str">
            <v/>
          </cell>
        </row>
        <row r="182">
          <cell r="G182" t="str">
            <v/>
          </cell>
        </row>
        <row r="183">
          <cell r="G183" t="str">
            <v/>
          </cell>
        </row>
        <row r="184">
          <cell r="G184" t="str">
            <v/>
          </cell>
        </row>
        <row r="185">
          <cell r="G185" t="str">
            <v/>
          </cell>
        </row>
        <row r="186">
          <cell r="G186" t="str">
            <v/>
          </cell>
        </row>
        <row r="187">
          <cell r="G187" t="str">
            <v/>
          </cell>
        </row>
        <row r="188">
          <cell r="G188" t="str">
            <v/>
          </cell>
        </row>
        <row r="189">
          <cell r="G189" t="str">
            <v/>
          </cell>
        </row>
        <row r="190">
          <cell r="G190" t="str">
            <v/>
          </cell>
        </row>
        <row r="191">
          <cell r="G191" t="str">
            <v/>
          </cell>
        </row>
        <row r="192">
          <cell r="G192" t="str">
            <v/>
          </cell>
        </row>
        <row r="193">
          <cell r="G193" t="str">
            <v/>
          </cell>
        </row>
        <row r="194">
          <cell r="G194" t="str">
            <v/>
          </cell>
        </row>
        <row r="195">
          <cell r="G195" t="str">
            <v/>
          </cell>
        </row>
        <row r="196">
          <cell r="G196" t="str">
            <v/>
          </cell>
        </row>
        <row r="197">
          <cell r="G197" t="str">
            <v/>
          </cell>
        </row>
        <row r="198">
          <cell r="G198" t="str">
            <v/>
          </cell>
        </row>
        <row r="199">
          <cell r="G199" t="str">
            <v/>
          </cell>
        </row>
        <row r="200">
          <cell r="G200" t="str">
            <v/>
          </cell>
        </row>
        <row r="201">
          <cell r="G201" t="str">
            <v/>
          </cell>
        </row>
        <row r="202">
          <cell r="G202" t="str">
            <v/>
          </cell>
        </row>
        <row r="203">
          <cell r="G203" t="str">
            <v/>
          </cell>
        </row>
        <row r="204">
          <cell r="G204" t="str">
            <v/>
          </cell>
        </row>
        <row r="205">
          <cell r="G205" t="str">
            <v/>
          </cell>
        </row>
        <row r="206">
          <cell r="G206" t="str">
            <v/>
          </cell>
        </row>
        <row r="207">
          <cell r="G207" t="str">
            <v/>
          </cell>
        </row>
        <row r="208">
          <cell r="G208" t="str">
            <v/>
          </cell>
        </row>
        <row r="209">
          <cell r="G209" t="str">
            <v/>
          </cell>
        </row>
        <row r="210">
          <cell r="G210" t="str">
            <v/>
          </cell>
        </row>
        <row r="211">
          <cell r="G211" t="str">
            <v/>
          </cell>
        </row>
        <row r="212">
          <cell r="G212" t="str">
            <v/>
          </cell>
        </row>
        <row r="213">
          <cell r="G213" t="str">
            <v/>
          </cell>
        </row>
        <row r="214">
          <cell r="G214" t="str">
            <v/>
          </cell>
        </row>
        <row r="215">
          <cell r="G215" t="str">
            <v/>
          </cell>
        </row>
        <row r="216">
          <cell r="G216" t="str">
            <v/>
          </cell>
        </row>
        <row r="217">
          <cell r="G217" t="str">
            <v/>
          </cell>
        </row>
        <row r="218">
          <cell r="G218" t="str">
            <v/>
          </cell>
        </row>
        <row r="219">
          <cell r="G219" t="str">
            <v/>
          </cell>
        </row>
        <row r="220">
          <cell r="G220" t="str">
            <v/>
          </cell>
        </row>
        <row r="221">
          <cell r="G221" t="str">
            <v/>
          </cell>
        </row>
        <row r="222">
          <cell r="G222" t="str">
            <v/>
          </cell>
        </row>
        <row r="223">
          <cell r="G223" t="str">
            <v/>
          </cell>
        </row>
        <row r="224">
          <cell r="G224" t="str">
            <v/>
          </cell>
        </row>
        <row r="225">
          <cell r="G225" t="str">
            <v/>
          </cell>
        </row>
        <row r="226">
          <cell r="G226" t="str">
            <v/>
          </cell>
        </row>
        <row r="227">
          <cell r="G227" t="str">
            <v/>
          </cell>
        </row>
        <row r="228">
          <cell r="G228" t="str">
            <v/>
          </cell>
        </row>
        <row r="229">
          <cell r="G229" t="str">
            <v/>
          </cell>
        </row>
        <row r="230">
          <cell r="G230" t="str">
            <v/>
          </cell>
        </row>
        <row r="231">
          <cell r="G231" t="str">
            <v/>
          </cell>
        </row>
        <row r="232">
          <cell r="G232" t="str">
            <v/>
          </cell>
        </row>
        <row r="233">
          <cell r="G233" t="str">
            <v/>
          </cell>
        </row>
        <row r="234">
          <cell r="G234" t="str">
            <v/>
          </cell>
        </row>
        <row r="235">
          <cell r="G235" t="str">
            <v/>
          </cell>
        </row>
        <row r="236">
          <cell r="G236" t="str">
            <v/>
          </cell>
        </row>
        <row r="237">
          <cell r="G237" t="str">
            <v/>
          </cell>
        </row>
        <row r="238">
          <cell r="G238" t="str">
            <v/>
          </cell>
        </row>
        <row r="239">
          <cell r="G239" t="str">
            <v/>
          </cell>
        </row>
        <row r="240">
          <cell r="G240" t="str">
            <v/>
          </cell>
        </row>
        <row r="241">
          <cell r="G241" t="str">
            <v/>
          </cell>
        </row>
        <row r="242">
          <cell r="G242" t="str">
            <v/>
          </cell>
        </row>
        <row r="243">
          <cell r="G243" t="str">
            <v/>
          </cell>
        </row>
        <row r="244">
          <cell r="G244" t="str">
            <v/>
          </cell>
        </row>
        <row r="245">
          <cell r="G245" t="str">
            <v/>
          </cell>
        </row>
        <row r="246">
          <cell r="G246" t="str">
            <v/>
          </cell>
        </row>
        <row r="247">
          <cell r="G247" t="str">
            <v/>
          </cell>
        </row>
        <row r="248">
          <cell r="G248" t="str">
            <v/>
          </cell>
        </row>
        <row r="249">
          <cell r="G249" t="str">
            <v/>
          </cell>
        </row>
        <row r="250">
          <cell r="G250" t="str">
            <v/>
          </cell>
        </row>
        <row r="251">
          <cell r="G251" t="str">
            <v/>
          </cell>
        </row>
        <row r="252">
          <cell r="G252" t="str">
            <v/>
          </cell>
        </row>
        <row r="253">
          <cell r="G253" t="str">
            <v/>
          </cell>
        </row>
        <row r="254">
          <cell r="G254" t="str">
            <v/>
          </cell>
        </row>
        <row r="255">
          <cell r="G255" t="str">
            <v/>
          </cell>
        </row>
        <row r="256">
          <cell r="G256" t="str">
            <v/>
          </cell>
        </row>
        <row r="257">
          <cell r="G257" t="str">
            <v/>
          </cell>
        </row>
        <row r="258">
          <cell r="G258" t="str">
            <v/>
          </cell>
        </row>
        <row r="259">
          <cell r="G259" t="str">
            <v/>
          </cell>
        </row>
        <row r="260">
          <cell r="G260" t="str">
            <v/>
          </cell>
        </row>
        <row r="261">
          <cell r="G261" t="str">
            <v/>
          </cell>
        </row>
        <row r="262">
          <cell r="G262" t="str">
            <v/>
          </cell>
        </row>
        <row r="263">
          <cell r="G263" t="str">
            <v/>
          </cell>
        </row>
        <row r="264">
          <cell r="G264" t="str">
            <v/>
          </cell>
        </row>
        <row r="265">
          <cell r="G265" t="str">
            <v/>
          </cell>
        </row>
        <row r="266">
          <cell r="G266" t="str">
            <v/>
          </cell>
        </row>
        <row r="267">
          <cell r="G267" t="str">
            <v/>
          </cell>
        </row>
        <row r="268">
          <cell r="G268" t="str">
            <v/>
          </cell>
        </row>
        <row r="269">
          <cell r="G269" t="str">
            <v/>
          </cell>
        </row>
        <row r="270">
          <cell r="G270" t="str">
            <v/>
          </cell>
        </row>
        <row r="271">
          <cell r="G271" t="str">
            <v/>
          </cell>
        </row>
        <row r="272">
          <cell r="G272" t="str">
            <v/>
          </cell>
        </row>
        <row r="273">
          <cell r="G273" t="str">
            <v/>
          </cell>
        </row>
        <row r="274">
          <cell r="G274" t="str">
            <v/>
          </cell>
        </row>
        <row r="275">
          <cell r="G275" t="str">
            <v/>
          </cell>
        </row>
        <row r="276">
          <cell r="G276" t="str">
            <v/>
          </cell>
        </row>
        <row r="277">
          <cell r="G277" t="str">
            <v/>
          </cell>
        </row>
        <row r="278">
          <cell r="G278" t="str">
            <v/>
          </cell>
        </row>
        <row r="279">
          <cell r="G279" t="str">
            <v/>
          </cell>
        </row>
        <row r="280">
          <cell r="G280" t="str">
            <v/>
          </cell>
        </row>
        <row r="281">
          <cell r="G281" t="str">
            <v/>
          </cell>
        </row>
        <row r="282">
          <cell r="G282" t="str">
            <v/>
          </cell>
        </row>
        <row r="283">
          <cell r="G283" t="str">
            <v/>
          </cell>
        </row>
        <row r="284">
          <cell r="G284" t="str">
            <v/>
          </cell>
        </row>
        <row r="285">
          <cell r="G285" t="str">
            <v/>
          </cell>
        </row>
        <row r="286">
          <cell r="G286" t="str">
            <v/>
          </cell>
        </row>
        <row r="287">
          <cell r="G287" t="str">
            <v/>
          </cell>
        </row>
        <row r="288">
          <cell r="G288" t="str">
            <v/>
          </cell>
        </row>
        <row r="289">
          <cell r="G289" t="str">
            <v/>
          </cell>
        </row>
        <row r="290">
          <cell r="G290" t="str">
            <v/>
          </cell>
        </row>
        <row r="291">
          <cell r="G291" t="str">
            <v/>
          </cell>
        </row>
        <row r="292">
          <cell r="G292" t="str">
            <v/>
          </cell>
        </row>
        <row r="293">
          <cell r="G293" t="str">
            <v/>
          </cell>
        </row>
        <row r="294">
          <cell r="G294" t="str">
            <v/>
          </cell>
        </row>
        <row r="295">
          <cell r="G295" t="str">
            <v/>
          </cell>
        </row>
        <row r="296">
          <cell r="G296" t="str">
            <v/>
          </cell>
        </row>
        <row r="297">
          <cell r="G297" t="str">
            <v/>
          </cell>
        </row>
        <row r="298">
          <cell r="G298" t="str">
            <v/>
          </cell>
        </row>
        <row r="299">
          <cell r="G299" t="str">
            <v/>
          </cell>
        </row>
        <row r="300">
          <cell r="G300" t="str">
            <v/>
          </cell>
        </row>
        <row r="301">
          <cell r="G301" t="str">
            <v/>
          </cell>
        </row>
        <row r="302">
          <cell r="G302" t="str">
            <v/>
          </cell>
        </row>
        <row r="303">
          <cell r="G303" t="str">
            <v/>
          </cell>
        </row>
        <row r="304">
          <cell r="G304" t="str">
            <v/>
          </cell>
        </row>
        <row r="305">
          <cell r="G305" t="str">
            <v/>
          </cell>
        </row>
        <row r="306">
          <cell r="G306" t="str">
            <v/>
          </cell>
        </row>
        <row r="307">
          <cell r="G307" t="str">
            <v/>
          </cell>
        </row>
        <row r="308">
          <cell r="G308" t="str">
            <v/>
          </cell>
        </row>
        <row r="309">
          <cell r="G309" t="str">
            <v/>
          </cell>
        </row>
        <row r="310">
          <cell r="G310" t="str">
            <v/>
          </cell>
        </row>
        <row r="311">
          <cell r="G311" t="str">
            <v/>
          </cell>
        </row>
        <row r="312">
          <cell r="G312" t="str">
            <v/>
          </cell>
        </row>
        <row r="313">
          <cell r="G313" t="str">
            <v/>
          </cell>
        </row>
        <row r="314">
          <cell r="G314" t="str">
            <v/>
          </cell>
        </row>
        <row r="315">
          <cell r="G315" t="str">
            <v/>
          </cell>
        </row>
        <row r="316">
          <cell r="G316" t="str">
            <v/>
          </cell>
        </row>
        <row r="317">
          <cell r="G317" t="str">
            <v/>
          </cell>
        </row>
        <row r="318">
          <cell r="G318" t="str">
            <v/>
          </cell>
        </row>
        <row r="319">
          <cell r="G319" t="str">
            <v/>
          </cell>
        </row>
        <row r="320">
          <cell r="G320" t="str">
            <v/>
          </cell>
        </row>
        <row r="321">
          <cell r="G321" t="str">
            <v/>
          </cell>
        </row>
        <row r="322">
          <cell r="G322" t="str">
            <v/>
          </cell>
        </row>
        <row r="323">
          <cell r="G323" t="str">
            <v/>
          </cell>
        </row>
        <row r="324">
          <cell r="G324" t="str">
            <v/>
          </cell>
        </row>
        <row r="325">
          <cell r="G325" t="str">
            <v/>
          </cell>
        </row>
        <row r="326">
          <cell r="G326" t="str">
            <v/>
          </cell>
        </row>
        <row r="327">
          <cell r="G327" t="str">
            <v/>
          </cell>
        </row>
        <row r="328">
          <cell r="G328" t="str">
            <v/>
          </cell>
        </row>
        <row r="329">
          <cell r="G329" t="str">
            <v/>
          </cell>
        </row>
        <row r="330">
          <cell r="G330" t="str">
            <v/>
          </cell>
        </row>
        <row r="331">
          <cell r="G331" t="str">
            <v/>
          </cell>
        </row>
        <row r="332">
          <cell r="G332" t="str">
            <v/>
          </cell>
        </row>
        <row r="333">
          <cell r="G333" t="str">
            <v/>
          </cell>
        </row>
        <row r="334">
          <cell r="G334" t="str">
            <v/>
          </cell>
        </row>
        <row r="335">
          <cell r="G335" t="str">
            <v/>
          </cell>
        </row>
        <row r="336">
          <cell r="G336" t="str">
            <v/>
          </cell>
        </row>
        <row r="337">
          <cell r="G337" t="str">
            <v/>
          </cell>
        </row>
        <row r="338">
          <cell r="G338" t="str">
            <v/>
          </cell>
        </row>
        <row r="339">
          <cell r="G339" t="str">
            <v/>
          </cell>
        </row>
        <row r="340">
          <cell r="G340" t="str">
            <v/>
          </cell>
        </row>
        <row r="341">
          <cell r="G341" t="str">
            <v/>
          </cell>
        </row>
        <row r="342">
          <cell r="G342" t="str">
            <v/>
          </cell>
        </row>
        <row r="343">
          <cell r="G343" t="str">
            <v/>
          </cell>
        </row>
        <row r="344">
          <cell r="G344" t="str">
            <v/>
          </cell>
        </row>
        <row r="345">
          <cell r="G345" t="str">
            <v/>
          </cell>
        </row>
        <row r="346">
          <cell r="G346" t="str">
            <v/>
          </cell>
        </row>
        <row r="347">
          <cell r="G347" t="str">
            <v/>
          </cell>
        </row>
        <row r="348">
          <cell r="G348" t="str">
            <v/>
          </cell>
        </row>
        <row r="349">
          <cell r="G349" t="str">
            <v/>
          </cell>
        </row>
        <row r="350">
          <cell r="G350" t="str">
            <v/>
          </cell>
        </row>
        <row r="351">
          <cell r="G351" t="str">
            <v/>
          </cell>
        </row>
        <row r="352">
          <cell r="G352" t="str">
            <v/>
          </cell>
        </row>
        <row r="353">
          <cell r="G353" t="str">
            <v/>
          </cell>
        </row>
        <row r="354">
          <cell r="G354" t="str">
            <v/>
          </cell>
        </row>
        <row r="355">
          <cell r="G355" t="str">
            <v/>
          </cell>
        </row>
        <row r="356">
          <cell r="G356" t="str">
            <v/>
          </cell>
        </row>
        <row r="357">
          <cell r="G357" t="str">
            <v/>
          </cell>
        </row>
        <row r="358">
          <cell r="G358" t="str">
            <v/>
          </cell>
        </row>
        <row r="359">
          <cell r="G359" t="str">
            <v/>
          </cell>
        </row>
        <row r="360">
          <cell r="G360" t="str">
            <v/>
          </cell>
        </row>
        <row r="361">
          <cell r="G361" t="str">
            <v/>
          </cell>
        </row>
        <row r="362">
          <cell r="G362" t="str">
            <v/>
          </cell>
        </row>
        <row r="363">
          <cell r="G363" t="str">
            <v/>
          </cell>
        </row>
        <row r="364">
          <cell r="G364" t="str">
            <v/>
          </cell>
        </row>
        <row r="365">
          <cell r="G365" t="str">
            <v/>
          </cell>
        </row>
        <row r="366">
          <cell r="G366" t="str">
            <v/>
          </cell>
        </row>
        <row r="367">
          <cell r="G367" t="str">
            <v/>
          </cell>
        </row>
        <row r="368">
          <cell r="G368" t="str">
            <v/>
          </cell>
        </row>
        <row r="369">
          <cell r="G369" t="str">
            <v/>
          </cell>
        </row>
        <row r="370">
          <cell r="G370" t="str">
            <v/>
          </cell>
        </row>
        <row r="371">
          <cell r="G371" t="str">
            <v/>
          </cell>
        </row>
        <row r="372">
          <cell r="G372" t="str">
            <v/>
          </cell>
        </row>
        <row r="373">
          <cell r="G373" t="str">
            <v/>
          </cell>
        </row>
        <row r="374">
          <cell r="G374" t="str">
            <v/>
          </cell>
        </row>
        <row r="375">
          <cell r="G375" t="str">
            <v/>
          </cell>
        </row>
        <row r="376">
          <cell r="G376" t="str">
            <v/>
          </cell>
        </row>
        <row r="377">
          <cell r="G377" t="str">
            <v/>
          </cell>
        </row>
        <row r="378">
          <cell r="G378" t="str">
            <v/>
          </cell>
        </row>
        <row r="379">
          <cell r="G379" t="str">
            <v/>
          </cell>
        </row>
        <row r="380">
          <cell r="G380" t="str">
            <v/>
          </cell>
        </row>
        <row r="381">
          <cell r="G381" t="str">
            <v/>
          </cell>
        </row>
        <row r="382">
          <cell r="G382" t="str">
            <v/>
          </cell>
        </row>
        <row r="383">
          <cell r="G383" t="str">
            <v/>
          </cell>
        </row>
        <row r="384">
          <cell r="G384" t="str">
            <v/>
          </cell>
        </row>
        <row r="385">
          <cell r="G385" t="str">
            <v/>
          </cell>
        </row>
        <row r="386">
          <cell r="G386" t="str">
            <v/>
          </cell>
        </row>
        <row r="387">
          <cell r="G387" t="str">
            <v/>
          </cell>
        </row>
        <row r="388">
          <cell r="G388" t="str">
            <v/>
          </cell>
        </row>
        <row r="389">
          <cell r="G389" t="str">
            <v/>
          </cell>
        </row>
        <row r="390">
          <cell r="G390" t="str">
            <v/>
          </cell>
        </row>
        <row r="391">
          <cell r="G391" t="str">
            <v/>
          </cell>
        </row>
        <row r="392">
          <cell r="G392" t="str">
            <v/>
          </cell>
        </row>
        <row r="393">
          <cell r="G393" t="str">
            <v/>
          </cell>
        </row>
        <row r="394">
          <cell r="G394" t="str">
            <v/>
          </cell>
        </row>
        <row r="395">
          <cell r="G395" t="str">
            <v/>
          </cell>
        </row>
        <row r="396">
          <cell r="G396" t="str">
            <v/>
          </cell>
        </row>
        <row r="397">
          <cell r="G397" t="str">
            <v/>
          </cell>
        </row>
        <row r="398">
          <cell r="G398" t="str">
            <v/>
          </cell>
        </row>
        <row r="399">
          <cell r="G399" t="str">
            <v/>
          </cell>
        </row>
        <row r="400">
          <cell r="G400" t="str">
            <v/>
          </cell>
        </row>
        <row r="401">
          <cell r="G401" t="str">
            <v/>
          </cell>
        </row>
        <row r="402">
          <cell r="G402" t="str">
            <v/>
          </cell>
        </row>
        <row r="403">
          <cell r="G403" t="str">
            <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USER"/>
      <sheetName val="USER SPELLS"/>
      <sheetName val="STAT BLOCK"/>
      <sheetName val="MATH"/>
      <sheetName val="NAME"/>
      <sheetName val="ABILITIES"/>
      <sheetName val="RACE"/>
      <sheetName val="DESCRIPTION"/>
      <sheetName val="BACKGROUNDS"/>
      <sheetName val="CLASS"/>
      <sheetName val="SKILLS"/>
      <sheetName val="SPELLS"/>
      <sheetName val="SPELLBOOK"/>
      <sheetName val="FEATS-PETS"/>
      <sheetName val="GEAR"/>
      <sheetName val="EQUIPMENT"/>
      <sheetName val="PANTHEON"/>
      <sheetName val="WEAPONS ARMOR"/>
      <sheetName val="TREASURE"/>
      <sheetName val="MAGIC ITEMS"/>
      <sheetName val="BETA"/>
      <sheetName val="dnd-5e-random-character-generat"/>
    </sheetNames>
    <sheetDataSet>
      <sheetData sheetId="0">
        <row r="31">
          <cell r="C31">
            <v>3</v>
          </cell>
        </row>
        <row r="97">
          <cell r="Y97" t="str">
            <v xml:space="preserve">Dagger  | 1d4 | Finesse, light, thrown (range 20/60) </v>
          </cell>
        </row>
      </sheetData>
      <sheetData sheetId="1">
        <row r="6">
          <cell r="C6">
            <v>0</v>
          </cell>
          <cell r="AL6">
            <v>2</v>
          </cell>
        </row>
        <row r="9">
          <cell r="AK9">
            <v>0</v>
          </cell>
          <cell r="AL9" t="str">
            <v>Yes, level and magic items</v>
          </cell>
        </row>
        <row r="10">
          <cell r="AK10">
            <v>1</v>
          </cell>
          <cell r="AL10" t="str">
            <v>No-just random starting wealth</v>
          </cell>
        </row>
        <row r="11">
          <cell r="AK11">
            <v>2</v>
          </cell>
          <cell r="AL11" t="str">
            <v>No-just Max Starting Wealth</v>
          </cell>
        </row>
      </sheetData>
      <sheetData sheetId="2">
        <row r="7">
          <cell r="O7" t="str">
            <v>Cleric</v>
          </cell>
          <cell r="P7" t="str">
            <v>Cleric_Cantrip</v>
          </cell>
          <cell r="Q7" t="str">
            <v>Cleric_First</v>
          </cell>
        </row>
        <row r="8">
          <cell r="O8" t="str">
            <v>Bard</v>
          </cell>
          <cell r="P8" t="str">
            <v>Bard_Cantrip</v>
          </cell>
          <cell r="Q8" t="str">
            <v>Bard_First</v>
          </cell>
        </row>
        <row r="9">
          <cell r="O9" t="str">
            <v>Druid</v>
          </cell>
          <cell r="P9" t="str">
            <v>Druid_Cantrip</v>
          </cell>
          <cell r="Q9" t="str">
            <v>Druid_First</v>
          </cell>
        </row>
      </sheetData>
      <sheetData sheetId="3" refreshError="1"/>
      <sheetData sheetId="4">
        <row r="5">
          <cell r="C5">
            <v>7</v>
          </cell>
          <cell r="D5">
            <v>7</v>
          </cell>
        </row>
        <row r="8">
          <cell r="C8">
            <v>4</v>
          </cell>
          <cell r="D8" t="str">
            <v>Wizard</v>
          </cell>
        </row>
        <row r="46">
          <cell r="C46">
            <v>3</v>
          </cell>
        </row>
        <row r="55">
          <cell r="C55" t="str">
            <v>Quarterstaff</v>
          </cell>
        </row>
        <row r="61">
          <cell r="C61" t="str">
            <v>Lgt. X-bow</v>
          </cell>
        </row>
      </sheetData>
      <sheetData sheetId="5" refreshError="1"/>
      <sheetData sheetId="6">
        <row r="3">
          <cell r="Z3">
            <v>1</v>
          </cell>
          <cell r="AA3">
            <v>-5</v>
          </cell>
        </row>
        <row r="4">
          <cell r="Z4">
            <v>2</v>
          </cell>
          <cell r="AA4">
            <v>-4</v>
          </cell>
        </row>
        <row r="5">
          <cell r="Z5">
            <v>3</v>
          </cell>
          <cell r="AA5">
            <v>-4</v>
          </cell>
        </row>
        <row r="6">
          <cell r="Z6">
            <v>4</v>
          </cell>
          <cell r="AA6">
            <v>-3</v>
          </cell>
        </row>
        <row r="7">
          <cell r="Z7">
            <v>5</v>
          </cell>
          <cell r="AA7">
            <v>-3</v>
          </cell>
        </row>
        <row r="8">
          <cell r="Z8">
            <v>6</v>
          </cell>
          <cell r="AA8">
            <v>-2</v>
          </cell>
        </row>
        <row r="9">
          <cell r="Z9">
            <v>7</v>
          </cell>
          <cell r="AA9">
            <v>-2</v>
          </cell>
        </row>
        <row r="10">
          <cell r="Z10">
            <v>8</v>
          </cell>
          <cell r="AA10">
            <v>-1</v>
          </cell>
        </row>
        <row r="11">
          <cell r="Z11">
            <v>9</v>
          </cell>
          <cell r="AA11">
            <v>-1</v>
          </cell>
        </row>
        <row r="12">
          <cell r="Z12">
            <v>10</v>
          </cell>
          <cell r="AA12">
            <v>0</v>
          </cell>
        </row>
        <row r="13">
          <cell r="Z13">
            <v>11</v>
          </cell>
          <cell r="AA13">
            <v>0</v>
          </cell>
        </row>
        <row r="14">
          <cell r="Z14">
            <v>12</v>
          </cell>
          <cell r="AA14">
            <v>1</v>
          </cell>
        </row>
        <row r="15">
          <cell r="Z15">
            <v>13</v>
          </cell>
          <cell r="AA15">
            <v>1</v>
          </cell>
        </row>
        <row r="16">
          <cell r="Z16">
            <v>14</v>
          </cell>
          <cell r="AA16">
            <v>2</v>
          </cell>
        </row>
        <row r="17">
          <cell r="Z17">
            <v>15</v>
          </cell>
          <cell r="AA17">
            <v>2</v>
          </cell>
        </row>
        <row r="18">
          <cell r="Z18">
            <v>16</v>
          </cell>
          <cell r="AA18">
            <v>3</v>
          </cell>
        </row>
        <row r="19">
          <cell r="Z19">
            <v>17</v>
          </cell>
          <cell r="AA19">
            <v>3</v>
          </cell>
        </row>
        <row r="20">
          <cell r="Z20">
            <v>18</v>
          </cell>
          <cell r="AA20">
            <v>4</v>
          </cell>
        </row>
        <row r="21">
          <cell r="Z21">
            <v>19</v>
          </cell>
          <cell r="AA21">
            <v>4</v>
          </cell>
        </row>
        <row r="22">
          <cell r="Z22">
            <v>20</v>
          </cell>
          <cell r="AA22">
            <v>5</v>
          </cell>
        </row>
        <row r="23">
          <cell r="Z23">
            <v>21</v>
          </cell>
          <cell r="AA23">
            <v>5</v>
          </cell>
        </row>
        <row r="24">
          <cell r="Z24">
            <v>22</v>
          </cell>
          <cell r="AA24">
            <v>6</v>
          </cell>
        </row>
        <row r="27">
          <cell r="Q27">
            <v>19.019143666433976</v>
          </cell>
        </row>
        <row r="28">
          <cell r="Q28">
            <v>10.013455674536051</v>
          </cell>
        </row>
        <row r="29">
          <cell r="Q29">
            <v>14.022116237486282</v>
          </cell>
        </row>
      </sheetData>
      <sheetData sheetId="7">
        <row r="4">
          <cell r="B4">
            <v>32</v>
          </cell>
        </row>
      </sheetData>
      <sheetData sheetId="8">
        <row r="3">
          <cell r="C3" t="str">
            <v>Formal</v>
          </cell>
        </row>
      </sheetData>
      <sheetData sheetId="9">
        <row r="4">
          <cell r="B4">
            <v>6</v>
          </cell>
          <cell r="H4" t="str">
            <v>One type of gaming set, vehicles (land)</v>
          </cell>
        </row>
      </sheetData>
      <sheetData sheetId="10">
        <row r="5">
          <cell r="C5">
            <v>13</v>
          </cell>
        </row>
        <row r="6">
          <cell r="B6">
            <v>1</v>
          </cell>
          <cell r="C6" t="str">
            <v>Cleric</v>
          </cell>
          <cell r="E6">
            <v>8</v>
          </cell>
          <cell r="F6" t="str">
            <v>Wis</v>
          </cell>
          <cell r="G6" t="str">
            <v>Con</v>
          </cell>
          <cell r="H6" t="str">
            <v>Str</v>
          </cell>
          <cell r="I6">
            <v>15.009468397344969</v>
          </cell>
          <cell r="J6">
            <v>13.010917186970582</v>
          </cell>
          <cell r="K6">
            <v>16.014217381078286</v>
          </cell>
          <cell r="L6">
            <v>10.013455674536051</v>
          </cell>
          <cell r="M6">
            <v>16.019143666433976</v>
          </cell>
          <cell r="N6">
            <v>12.022116237486282</v>
          </cell>
          <cell r="O6" t="str">
            <v>Religion</v>
          </cell>
          <cell r="P6" t="str">
            <v>Insight</v>
          </cell>
          <cell r="Q6" t="str">
            <v xml:space="preserve"> </v>
          </cell>
          <cell r="R6" t="str">
            <v xml:space="preserve"> </v>
          </cell>
          <cell r="S6" t="str">
            <v/>
          </cell>
          <cell r="T6" t="str">
            <v/>
          </cell>
          <cell r="U6">
            <v>3</v>
          </cell>
          <cell r="V6" t="str">
            <v>Simple Weapons</v>
          </cell>
          <cell r="W6" t="str">
            <v>Light &amp; Medium armor, Shields</v>
          </cell>
          <cell r="X6" t="str">
            <v>None</v>
          </cell>
        </row>
        <row r="7">
          <cell r="B7">
            <v>2</v>
          </cell>
          <cell r="C7" t="str">
            <v>Fighter</v>
          </cell>
          <cell r="D7" t="str">
            <v/>
          </cell>
          <cell r="E7">
            <v>10</v>
          </cell>
          <cell r="F7" t="str">
            <v>Str</v>
          </cell>
          <cell r="G7" t="str">
            <v>Con</v>
          </cell>
          <cell r="H7" t="str">
            <v>Dex</v>
          </cell>
          <cell r="I7">
            <v>16.019143666433976</v>
          </cell>
          <cell r="J7">
            <v>15.009468397344969</v>
          </cell>
          <cell r="K7">
            <v>16.014217381078286</v>
          </cell>
          <cell r="L7">
            <v>10.013455674536051</v>
          </cell>
          <cell r="M7">
            <v>12.022116237486282</v>
          </cell>
          <cell r="N7">
            <v>13.010917186970582</v>
          </cell>
          <cell r="O7" t="str">
            <v>Perception</v>
          </cell>
          <cell r="P7" t="str">
            <v>Intimidation</v>
          </cell>
          <cell r="Q7" t="str">
            <v xml:space="preserve"> </v>
          </cell>
          <cell r="R7" t="str">
            <v xml:space="preserve"> </v>
          </cell>
          <cell r="S7" t="str">
            <v/>
          </cell>
          <cell r="T7" t="str">
            <v/>
          </cell>
          <cell r="U7">
            <v>3</v>
          </cell>
          <cell r="V7" t="str">
            <v>Simple and martial weapons</v>
          </cell>
          <cell r="W7" t="str">
            <v>All armor, Shields</v>
          </cell>
          <cell r="X7" t="str">
            <v>None</v>
          </cell>
        </row>
        <row r="8">
          <cell r="B8">
            <v>3</v>
          </cell>
          <cell r="C8" t="str">
            <v>Rogue</v>
          </cell>
          <cell r="D8" t="str">
            <v/>
          </cell>
          <cell r="E8">
            <v>8</v>
          </cell>
          <cell r="F8" t="str">
            <v>Dex</v>
          </cell>
          <cell r="G8" t="str">
            <v>Con</v>
          </cell>
          <cell r="H8" t="str">
            <v>Int</v>
          </cell>
          <cell r="I8">
            <v>12.022116237486282</v>
          </cell>
          <cell r="J8">
            <v>16.019143666433976</v>
          </cell>
          <cell r="K8">
            <v>16.014217381078286</v>
          </cell>
          <cell r="L8">
            <v>15.009468397344969</v>
          </cell>
          <cell r="M8">
            <v>10.013455674536051</v>
          </cell>
          <cell r="N8">
            <v>13.010917186970582</v>
          </cell>
          <cell r="O8" t="str">
            <v>Perception</v>
          </cell>
          <cell r="P8" t="str">
            <v>Investigation</v>
          </cell>
          <cell r="Q8" t="str">
            <v>Intimidation</v>
          </cell>
          <cell r="R8" t="str">
            <v>Persuasion</v>
          </cell>
          <cell r="S8" t="str">
            <v/>
          </cell>
          <cell r="T8" t="str">
            <v/>
          </cell>
          <cell r="U8">
            <v>3</v>
          </cell>
          <cell r="V8" t="str">
            <v>Simple weapons, hand crossbow, longsword, rapier, shorts word</v>
          </cell>
          <cell r="W8" t="str">
            <v>Light armor</v>
          </cell>
          <cell r="X8" t="str">
            <v>Thieves' tools</v>
          </cell>
        </row>
        <row r="9">
          <cell r="B9">
            <v>4</v>
          </cell>
          <cell r="C9" t="str">
            <v>Wizard</v>
          </cell>
          <cell r="D9" t="str">
            <v xml:space="preserve"> </v>
          </cell>
          <cell r="E9">
            <v>6</v>
          </cell>
          <cell r="F9" t="str">
            <v>Int</v>
          </cell>
          <cell r="G9" t="str">
            <v>Con</v>
          </cell>
          <cell r="H9" t="str">
            <v>Dex</v>
          </cell>
          <cell r="I9">
            <v>10.013455674536051</v>
          </cell>
          <cell r="J9">
            <v>15.009468397344969</v>
          </cell>
          <cell r="K9">
            <v>16.014217381078286</v>
          </cell>
          <cell r="L9">
            <v>16.019143666433976</v>
          </cell>
          <cell r="M9">
            <v>12.022116237486282</v>
          </cell>
          <cell r="N9">
            <v>13.010917186970582</v>
          </cell>
          <cell r="O9" t="str">
            <v>Religion</v>
          </cell>
          <cell r="P9" t="str">
            <v>Medicine</v>
          </cell>
          <cell r="Q9" t="str">
            <v xml:space="preserve"> </v>
          </cell>
          <cell r="R9" t="str">
            <v xml:space="preserve"> </v>
          </cell>
          <cell r="S9" t="str">
            <v/>
          </cell>
          <cell r="T9" t="str">
            <v/>
          </cell>
          <cell r="U9">
            <v>3</v>
          </cell>
          <cell r="V9" t="str">
            <v>Dagger, dart, sling, quarterstaff, light crossbow</v>
          </cell>
          <cell r="W9" t="str">
            <v>None</v>
          </cell>
          <cell r="X9" t="str">
            <v>None</v>
          </cell>
        </row>
        <row r="10">
          <cell r="B10">
            <v>5</v>
          </cell>
          <cell r="C10" t="str">
            <v>Barbarian</v>
          </cell>
          <cell r="D10" t="str">
            <v xml:space="preserve"> </v>
          </cell>
          <cell r="E10">
            <v>12</v>
          </cell>
          <cell r="F10" t="str">
            <v>Str</v>
          </cell>
          <cell r="G10" t="str">
            <v>Con</v>
          </cell>
          <cell r="H10" t="str">
            <v>Dex</v>
          </cell>
          <cell r="I10">
            <v>16.019143666433976</v>
          </cell>
          <cell r="J10">
            <v>15.009468397344969</v>
          </cell>
          <cell r="K10">
            <v>16.014217381078286</v>
          </cell>
          <cell r="L10">
            <v>10.013455674536051</v>
          </cell>
          <cell r="M10">
            <v>13.010917186970582</v>
          </cell>
          <cell r="N10">
            <v>12.022116237486282</v>
          </cell>
          <cell r="O10" t="str">
            <v>Survival</v>
          </cell>
          <cell r="P10" t="str">
            <v>Perception</v>
          </cell>
          <cell r="Q10" t="str">
            <v xml:space="preserve"> </v>
          </cell>
          <cell r="R10" t="str">
            <v xml:space="preserve"> </v>
          </cell>
          <cell r="S10" t="str">
            <v/>
          </cell>
          <cell r="T10" t="str">
            <v/>
          </cell>
          <cell r="U10">
            <v>3</v>
          </cell>
          <cell r="V10" t="str">
            <v>Simple &amp; martial weapons</v>
          </cell>
          <cell r="W10" t="str">
            <v>Light &amp; Medium armor, Shields</v>
          </cell>
          <cell r="X10" t="str">
            <v>None</v>
          </cell>
        </row>
        <row r="11">
          <cell r="B11">
            <v>6</v>
          </cell>
          <cell r="C11" t="str">
            <v>Bard</v>
          </cell>
          <cell r="D11" t="str">
            <v xml:space="preserve"> </v>
          </cell>
          <cell r="E11">
            <v>8</v>
          </cell>
          <cell r="F11" t="str">
            <v>Cha</v>
          </cell>
          <cell r="G11" t="str">
            <v>Dex</v>
          </cell>
          <cell r="H11" t="str">
            <v>Con</v>
          </cell>
          <cell r="I11">
            <v>13.010917186970582</v>
          </cell>
          <cell r="J11">
            <v>16.014217381078286</v>
          </cell>
          <cell r="K11">
            <v>15.009468397344969</v>
          </cell>
          <cell r="L11">
            <v>10.013455674536051</v>
          </cell>
          <cell r="M11">
            <v>12.022116237486282</v>
          </cell>
          <cell r="N11">
            <v>16.019143666433976</v>
          </cell>
          <cell r="O11" t="str">
            <v>Intimidation</v>
          </cell>
          <cell r="P11" t="str">
            <v>Persuasion</v>
          </cell>
          <cell r="Q11" t="str">
            <v>Perception</v>
          </cell>
          <cell r="R11" t="str">
            <v xml:space="preserve"> </v>
          </cell>
          <cell r="S11" t="str">
            <v/>
          </cell>
          <cell r="T11" t="str">
            <v/>
          </cell>
          <cell r="U11">
            <v>3</v>
          </cell>
          <cell r="V11" t="str">
            <v>Simple weapons, hand crossbow, longsword, rapier, shorts word</v>
          </cell>
          <cell r="W11" t="str">
            <v>Light armor</v>
          </cell>
          <cell r="X11" t="str">
            <v>3 Musical Instruments</v>
          </cell>
        </row>
        <row r="12">
          <cell r="B12">
            <v>7</v>
          </cell>
          <cell r="C12" t="str">
            <v>Druid</v>
          </cell>
          <cell r="D12" t="str">
            <v xml:space="preserve"> </v>
          </cell>
          <cell r="E12">
            <v>8</v>
          </cell>
          <cell r="F12" t="str">
            <v>Wis</v>
          </cell>
          <cell r="G12" t="str">
            <v>Con</v>
          </cell>
          <cell r="H12" t="str">
            <v>Dex</v>
          </cell>
          <cell r="I12">
            <v>13.010917186970582</v>
          </cell>
          <cell r="J12">
            <v>15.009468397344969</v>
          </cell>
          <cell r="K12">
            <v>16.014217381078286</v>
          </cell>
          <cell r="L12">
            <v>10.013455674536051</v>
          </cell>
          <cell r="M12">
            <v>16.019143666433976</v>
          </cell>
          <cell r="N12">
            <v>12.022116237486282</v>
          </cell>
          <cell r="O12" t="str">
            <v>Religion</v>
          </cell>
          <cell r="P12" t="str">
            <v>Perception</v>
          </cell>
          <cell r="Q12" t="str">
            <v xml:space="preserve"> </v>
          </cell>
          <cell r="R12" t="str">
            <v xml:space="preserve"> </v>
          </cell>
          <cell r="S12" t="str">
            <v/>
          </cell>
          <cell r="T12" t="str">
            <v/>
          </cell>
          <cell r="U12">
            <v>3</v>
          </cell>
          <cell r="V12" t="str">
            <v>Club, dagger, dart, javelin, mace, quarterstaff, scimitar, sickle, sling, spear</v>
          </cell>
          <cell r="W12" t="str">
            <v>Nonmetal light &amp; medium armor &amp; shields</v>
          </cell>
          <cell r="X12" t="str">
            <v>Herbalism Kit</v>
          </cell>
        </row>
        <row r="13">
          <cell r="B13">
            <v>8</v>
          </cell>
          <cell r="C13" t="str">
            <v>Monk</v>
          </cell>
          <cell r="D13" t="str">
            <v xml:space="preserve"> </v>
          </cell>
          <cell r="E13">
            <v>8</v>
          </cell>
          <cell r="F13" t="str">
            <v>Dex</v>
          </cell>
          <cell r="G13" t="str">
            <v>Wis</v>
          </cell>
          <cell r="H13" t="str">
            <v>Con</v>
          </cell>
          <cell r="I13">
            <v>13.010917186970582</v>
          </cell>
          <cell r="J13">
            <v>16.019143666433976</v>
          </cell>
          <cell r="K13">
            <v>15.009468397344969</v>
          </cell>
          <cell r="L13">
            <v>10.013455674536051</v>
          </cell>
          <cell r="M13">
            <v>16.014217381078286</v>
          </cell>
          <cell r="N13">
            <v>12.022116237486282</v>
          </cell>
          <cell r="O13" t="str">
            <v>Stealth</v>
          </cell>
          <cell r="P13" t="str">
            <v>Religion</v>
          </cell>
          <cell r="Q13" t="str">
            <v xml:space="preserve"> </v>
          </cell>
          <cell r="R13" t="str">
            <v xml:space="preserve"> </v>
          </cell>
          <cell r="S13" t="str">
            <v/>
          </cell>
          <cell r="T13" t="str">
            <v/>
          </cell>
          <cell r="U13">
            <v>3</v>
          </cell>
          <cell r="V13" t="str">
            <v>Simple weapons, Shortsword</v>
          </cell>
          <cell r="W13" t="str">
            <v>None</v>
          </cell>
          <cell r="X13" t="str">
            <v>Artisan's tools or Musical instrument</v>
          </cell>
        </row>
        <row r="14">
          <cell r="B14">
            <v>9</v>
          </cell>
          <cell r="C14" t="str">
            <v>Paladin</v>
          </cell>
          <cell r="E14">
            <v>10</v>
          </cell>
          <cell r="F14" t="str">
            <v>Str</v>
          </cell>
          <cell r="G14" t="str">
            <v>Cha</v>
          </cell>
          <cell r="H14" t="str">
            <v>Con</v>
          </cell>
          <cell r="I14">
            <v>16.019143666433976</v>
          </cell>
          <cell r="J14">
            <v>13.010917186970582</v>
          </cell>
          <cell r="K14">
            <v>15.009468397344969</v>
          </cell>
          <cell r="L14">
            <v>10.013455674536051</v>
          </cell>
          <cell r="M14">
            <v>12.022116237486282</v>
          </cell>
          <cell r="N14">
            <v>16.014217381078286</v>
          </cell>
          <cell r="O14" t="str">
            <v>Religion</v>
          </cell>
          <cell r="P14" t="str">
            <v>Persuasion</v>
          </cell>
          <cell r="Q14" t="str">
            <v xml:space="preserve"> </v>
          </cell>
          <cell r="R14" t="str">
            <v xml:space="preserve"> </v>
          </cell>
          <cell r="S14" t="str">
            <v/>
          </cell>
          <cell r="T14" t="str">
            <v/>
          </cell>
          <cell r="U14">
            <v>3</v>
          </cell>
          <cell r="V14" t="str">
            <v>All simple &amp; martial weapons</v>
          </cell>
          <cell r="W14" t="str">
            <v>All armor and shields</v>
          </cell>
          <cell r="X14" t="str">
            <v>None</v>
          </cell>
        </row>
        <row r="15">
          <cell r="B15">
            <v>10</v>
          </cell>
          <cell r="C15" t="str">
            <v>Ranger</v>
          </cell>
          <cell r="D15" t="str">
            <v/>
          </cell>
          <cell r="E15">
            <v>10</v>
          </cell>
          <cell r="F15" t="str">
            <v>Dex</v>
          </cell>
          <cell r="G15" t="str">
            <v>Wis</v>
          </cell>
          <cell r="H15" t="str">
            <v>Con</v>
          </cell>
          <cell r="I15">
            <v>13.010917186970582</v>
          </cell>
          <cell r="J15">
            <v>16.019143666433976</v>
          </cell>
          <cell r="K15">
            <v>15.009468397344969</v>
          </cell>
          <cell r="L15">
            <v>10.013455674536051</v>
          </cell>
          <cell r="M15">
            <v>16.014217381078286</v>
          </cell>
          <cell r="N15">
            <v>12.022116237486282</v>
          </cell>
          <cell r="O15" t="str">
            <v>Stealth</v>
          </cell>
          <cell r="P15" t="str">
            <v>Perception</v>
          </cell>
          <cell r="Q15" t="str">
            <v>Nature</v>
          </cell>
          <cell r="R15" t="str">
            <v xml:space="preserve"> </v>
          </cell>
          <cell r="S15" t="str">
            <v/>
          </cell>
          <cell r="T15" t="str">
            <v/>
          </cell>
          <cell r="U15">
            <v>3</v>
          </cell>
          <cell r="V15" t="str">
            <v>Simple and martial weapons</v>
          </cell>
          <cell r="W15" t="str">
            <v>Light &amp; Medium armor, shields</v>
          </cell>
          <cell r="X15" t="str">
            <v>None</v>
          </cell>
        </row>
        <row r="16">
          <cell r="B16">
            <v>11</v>
          </cell>
          <cell r="C16" t="str">
            <v>Sorcerer</v>
          </cell>
          <cell r="D16" t="str">
            <v>Draconic (Red)</v>
          </cell>
          <cell r="E16">
            <v>6</v>
          </cell>
          <cell r="F16" t="str">
            <v>Cha</v>
          </cell>
          <cell r="G16" t="str">
            <v>Con</v>
          </cell>
          <cell r="H16" t="str">
            <v>Dex</v>
          </cell>
          <cell r="I16">
            <v>10.013455674536051</v>
          </cell>
          <cell r="J16">
            <v>15.009468397344969</v>
          </cell>
          <cell r="K16">
            <v>16.014217381078286</v>
          </cell>
          <cell r="L16">
            <v>13.010917186970582</v>
          </cell>
          <cell r="M16">
            <v>12.022116237486282</v>
          </cell>
          <cell r="N16">
            <v>16.019143666433976</v>
          </cell>
          <cell r="O16" t="str">
            <v>Religion</v>
          </cell>
          <cell r="P16" t="str">
            <v>Persuasion</v>
          </cell>
          <cell r="Q16" t="str">
            <v xml:space="preserve"> </v>
          </cell>
          <cell r="R16" t="str">
            <v xml:space="preserve"> </v>
          </cell>
          <cell r="S16" t="str">
            <v/>
          </cell>
          <cell r="T16" t="str">
            <v/>
          </cell>
          <cell r="U16">
            <v>3</v>
          </cell>
          <cell r="V16" t="str">
            <v>Dagger, dart, sling, quarterstaff, light crossbow</v>
          </cell>
          <cell r="W16" t="str">
            <v>None</v>
          </cell>
          <cell r="X16" t="str">
            <v>None</v>
          </cell>
        </row>
        <row r="17">
          <cell r="B17">
            <v>12</v>
          </cell>
          <cell r="C17" t="str">
            <v>Warlock</v>
          </cell>
          <cell r="D17" t="str">
            <v>Archfey Pact</v>
          </cell>
          <cell r="E17">
            <v>6</v>
          </cell>
          <cell r="F17" t="str">
            <v>Cha</v>
          </cell>
          <cell r="G17" t="str">
            <v>Con</v>
          </cell>
          <cell r="H17" t="str">
            <v>Dex</v>
          </cell>
          <cell r="I17">
            <v>10.013455674536051</v>
          </cell>
          <cell r="J17">
            <v>15.009468397344969</v>
          </cell>
          <cell r="K17">
            <v>16.014217381078286</v>
          </cell>
          <cell r="L17">
            <v>13.010917186970582</v>
          </cell>
          <cell r="M17">
            <v>12.022116237486282</v>
          </cell>
          <cell r="N17">
            <v>16.019143666433976</v>
          </cell>
          <cell r="O17" t="str">
            <v>Religion</v>
          </cell>
          <cell r="P17" t="str">
            <v>Nature</v>
          </cell>
          <cell r="Q17" t="str">
            <v xml:space="preserve"> </v>
          </cell>
          <cell r="R17" t="str">
            <v xml:space="preserve"> </v>
          </cell>
          <cell r="S17" t="str">
            <v/>
          </cell>
          <cell r="T17" t="str">
            <v/>
          </cell>
          <cell r="U17">
            <v>3</v>
          </cell>
          <cell r="V17" t="str">
            <v>Dagger, dart, sling, quarterstaff, light crossbow</v>
          </cell>
          <cell r="W17" t="str">
            <v>None</v>
          </cell>
          <cell r="X17" t="str">
            <v>None</v>
          </cell>
        </row>
      </sheetData>
      <sheetData sheetId="11">
        <row r="3">
          <cell r="B3">
            <v>1</v>
          </cell>
        </row>
      </sheetData>
      <sheetData sheetId="12">
        <row r="3">
          <cell r="AE3">
            <v>11</v>
          </cell>
        </row>
        <row r="10">
          <cell r="AA10">
            <v>0</v>
          </cell>
        </row>
        <row r="11">
          <cell r="AA11">
            <v>0</v>
          </cell>
        </row>
        <row r="12">
          <cell r="AA12">
            <v>0</v>
          </cell>
        </row>
        <row r="13">
          <cell r="AA13">
            <v>0</v>
          </cell>
        </row>
        <row r="14">
          <cell r="AA14">
            <v>0</v>
          </cell>
        </row>
      </sheetData>
      <sheetData sheetId="13">
        <row r="19">
          <cell r="F19" t="str">
            <v>Blade Ward</v>
          </cell>
          <cell r="G19" t="str">
            <v>Mage hand</v>
          </cell>
          <cell r="H19">
            <v>1</v>
          </cell>
          <cell r="I19">
            <v>0.38569099634214932</v>
          </cell>
          <cell r="K19" t="str">
            <v>Animal Friendship</v>
          </cell>
          <cell r="L19" t="str">
            <v>Earth Tremors</v>
          </cell>
          <cell r="M19">
            <v>1</v>
          </cell>
          <cell r="N19">
            <v>0.82701046815018719</v>
          </cell>
          <cell r="P19" t="str">
            <v>Animal Messenger</v>
          </cell>
          <cell r="Q19" t="str">
            <v>Heat Metal</v>
          </cell>
          <cell r="R19">
            <v>1</v>
          </cell>
          <cell r="S19">
            <v>9.5466118745982986E-2</v>
          </cell>
          <cell r="X19">
            <v>0.59264651426549386</v>
          </cell>
          <cell r="Y19">
            <v>6</v>
          </cell>
          <cell r="Z19" t="str">
            <v>Compulsion</v>
          </cell>
          <cell r="AA19" t="str">
            <v>Hallucinatory Terrain</v>
          </cell>
          <cell r="AF19" t="str">
            <v>Animate Object</v>
          </cell>
          <cell r="AG19">
            <v>1</v>
          </cell>
          <cell r="AH19">
            <v>0.41369654536356337</v>
          </cell>
          <cell r="AI19">
            <v>3</v>
          </cell>
          <cell r="AN19">
            <v>7</v>
          </cell>
          <cell r="AO19" t="str">
            <v>Etherealness</v>
          </cell>
          <cell r="AP19" t="str">
            <v>Mordekainen's Magnificent Mansion</v>
          </cell>
          <cell r="AQ19">
            <v>1</v>
          </cell>
        </row>
        <row r="20">
          <cell r="F20" t="str">
            <v>Dancing Lights</v>
          </cell>
          <cell r="G20" t="str">
            <v>Thunder Clap</v>
          </cell>
          <cell r="H20">
            <v>2</v>
          </cell>
          <cell r="I20">
            <v>0.88553676246198254</v>
          </cell>
          <cell r="K20" t="str">
            <v>Bane</v>
          </cell>
          <cell r="L20" t="str">
            <v>Detect Magic</v>
          </cell>
          <cell r="M20">
            <v>2</v>
          </cell>
          <cell r="N20">
            <v>0.43378999379419725</v>
          </cell>
          <cell r="P20" t="str">
            <v>Blindness/Deafness</v>
          </cell>
          <cell r="Q20" t="str">
            <v>Lesser Restoration</v>
          </cell>
          <cell r="R20">
            <v>2</v>
          </cell>
          <cell r="S20">
            <v>0.66166238821702728</v>
          </cell>
          <cell r="X20">
            <v>0.46431633395184935</v>
          </cell>
          <cell r="Y20">
            <v>7</v>
          </cell>
          <cell r="Z20" t="str">
            <v>Confusion</v>
          </cell>
          <cell r="AA20" t="str">
            <v>Polymorph</v>
          </cell>
          <cell r="AF20" t="str">
            <v>Dominate Person</v>
          </cell>
          <cell r="AG20">
            <v>2</v>
          </cell>
          <cell r="AH20">
            <v>2.556003587124267E-3</v>
          </cell>
          <cell r="AI20">
            <v>7</v>
          </cell>
          <cell r="AN20">
            <v>2</v>
          </cell>
          <cell r="AO20" t="str">
            <v>Forcecage</v>
          </cell>
          <cell r="AP20" t="str">
            <v>Forcecage</v>
          </cell>
          <cell r="AQ20">
            <v>2</v>
          </cell>
        </row>
        <row r="21">
          <cell r="F21" t="str">
            <v>Friends</v>
          </cell>
          <cell r="G21" t="str">
            <v>Dancing Lights</v>
          </cell>
          <cell r="H21">
            <v>3</v>
          </cell>
          <cell r="I21">
            <v>0.91464999396610347</v>
          </cell>
          <cell r="K21" t="str">
            <v>Charm Person</v>
          </cell>
          <cell r="L21" t="str">
            <v>Charm Person</v>
          </cell>
          <cell r="M21">
            <v>3</v>
          </cell>
          <cell r="N21">
            <v>0.66292274760746472</v>
          </cell>
          <cell r="P21" t="str">
            <v>Calm Emotions</v>
          </cell>
          <cell r="Q21" t="str">
            <v>Cloud of Daggers</v>
          </cell>
          <cell r="R21">
            <v>3</v>
          </cell>
          <cell r="S21">
            <v>0.67835013404277689</v>
          </cell>
          <cell r="X21">
            <v>0.6832933548365111</v>
          </cell>
          <cell r="Y21">
            <v>4</v>
          </cell>
          <cell r="Z21" t="str">
            <v>Dimension Door</v>
          </cell>
          <cell r="AA21" t="str">
            <v>Locate Creature</v>
          </cell>
          <cell r="AF21" t="str">
            <v>Seeming</v>
          </cell>
          <cell r="AG21">
            <v>3</v>
          </cell>
          <cell r="AH21">
            <v>0.79353580596813633</v>
          </cell>
          <cell r="AI21">
            <v>1</v>
          </cell>
          <cell r="AN21">
            <v>4</v>
          </cell>
          <cell r="AO21" t="str">
            <v>Mirage Arcane</v>
          </cell>
          <cell r="AP21" t="str">
            <v>Resurrection</v>
          </cell>
          <cell r="AQ21">
            <v>3</v>
          </cell>
        </row>
        <row r="22">
          <cell r="F22" t="str">
            <v>Light</v>
          </cell>
          <cell r="G22" t="str">
            <v>True Strike</v>
          </cell>
          <cell r="H22">
            <v>4</v>
          </cell>
          <cell r="I22">
            <v>0.3386243521711586</v>
          </cell>
          <cell r="K22" t="str">
            <v>Comprehend Languages</v>
          </cell>
          <cell r="L22" t="str">
            <v>Identify</v>
          </cell>
          <cell r="M22">
            <v>4</v>
          </cell>
          <cell r="N22">
            <v>0.8837415983341036</v>
          </cell>
          <cell r="P22" t="str">
            <v>Cloud of Daggers</v>
          </cell>
          <cell r="Q22" t="str">
            <v>Detect Thoughts</v>
          </cell>
          <cell r="R22">
            <v>4</v>
          </cell>
          <cell r="S22">
            <v>0.81499418405439894</v>
          </cell>
          <cell r="X22">
            <v>0.24835321852317194</v>
          </cell>
          <cell r="Y22">
            <v>8</v>
          </cell>
          <cell r="Z22" t="str">
            <v>Freedom of Movement</v>
          </cell>
          <cell r="AA22" t="str">
            <v>Dimension Door</v>
          </cell>
          <cell r="AF22" t="str">
            <v>Dream</v>
          </cell>
          <cell r="AG22">
            <v>4</v>
          </cell>
          <cell r="AH22">
            <v>0.18951449747473048</v>
          </cell>
          <cell r="AI22">
            <v>5</v>
          </cell>
          <cell r="AN22">
            <v>1</v>
          </cell>
          <cell r="AO22" t="str">
            <v>Mordekainen's Magnificent Mansion</v>
          </cell>
          <cell r="AP22" t="str">
            <v>Mirage Arcane</v>
          </cell>
          <cell r="AQ22">
            <v>4</v>
          </cell>
        </row>
        <row r="23">
          <cell r="F23" t="str">
            <v>Mage hand</v>
          </cell>
          <cell r="G23" t="str">
            <v>Vicious Mockery</v>
          </cell>
          <cell r="H23">
            <v>5</v>
          </cell>
          <cell r="I23">
            <v>0.61131692828367024</v>
          </cell>
          <cell r="K23" t="str">
            <v>Cure Wounds</v>
          </cell>
          <cell r="L23" t="str">
            <v>Bane</v>
          </cell>
          <cell r="M23">
            <v>5</v>
          </cell>
          <cell r="N23">
            <v>0.1074763058480056</v>
          </cell>
          <cell r="P23" t="str">
            <v>Crown of Madness</v>
          </cell>
          <cell r="Q23" t="str">
            <v>Animal Messenger</v>
          </cell>
          <cell r="R23">
            <v>5</v>
          </cell>
          <cell r="S23">
            <v>0.18824440937619014</v>
          </cell>
          <cell r="X23">
            <v>0.64980084424677897</v>
          </cell>
          <cell r="Y23">
            <v>5</v>
          </cell>
          <cell r="Z23" t="str">
            <v>Greater Invisibility</v>
          </cell>
          <cell r="AA23" t="str">
            <v>Greater Invisibility</v>
          </cell>
          <cell r="AF23" t="str">
            <v>Mass Cure Wounds</v>
          </cell>
          <cell r="AG23">
            <v>5</v>
          </cell>
          <cell r="AH23">
            <v>0.26037570519175501</v>
          </cell>
          <cell r="AI23">
            <v>4</v>
          </cell>
          <cell r="AN23">
            <v>9</v>
          </cell>
          <cell r="AO23" t="str">
            <v>Mordekainen's Sword</v>
          </cell>
          <cell r="AP23" t="str">
            <v>Regenerate</v>
          </cell>
          <cell r="AQ23">
            <v>5</v>
          </cell>
        </row>
        <row r="24">
          <cell r="F24" t="str">
            <v>Mending</v>
          </cell>
          <cell r="G24" t="str">
            <v>Light</v>
          </cell>
          <cell r="H24">
            <v>6</v>
          </cell>
          <cell r="I24">
            <v>0.98105856546849513</v>
          </cell>
          <cell r="K24" t="str">
            <v>Detect Magic</v>
          </cell>
          <cell r="L24" t="str">
            <v>Silent Image</v>
          </cell>
          <cell r="M24">
            <v>6</v>
          </cell>
          <cell r="N24">
            <v>0.83542389139140694</v>
          </cell>
          <cell r="P24" t="str">
            <v>Detect Thoughts</v>
          </cell>
          <cell r="Q24" t="str">
            <v>Pyrotechnics</v>
          </cell>
          <cell r="R24">
            <v>6</v>
          </cell>
          <cell r="S24">
            <v>0.57696921635515752</v>
          </cell>
          <cell r="X24">
            <v>0.9773237717294585</v>
          </cell>
          <cell r="Y24">
            <v>1</v>
          </cell>
          <cell r="Z24" t="str">
            <v>Hallucinatory Terrain</v>
          </cell>
          <cell r="AA24" t="str">
            <v>Compulsion</v>
          </cell>
          <cell r="AF24" t="str">
            <v>Modify Memory</v>
          </cell>
          <cell r="AG24">
            <v>6</v>
          </cell>
          <cell r="AH24">
            <v>9.8100481245619875E-3</v>
          </cell>
          <cell r="AI24">
            <v>6</v>
          </cell>
          <cell r="AN24">
            <v>10</v>
          </cell>
          <cell r="AO24" t="str">
            <v>Project Image</v>
          </cell>
          <cell r="AP24" t="str">
            <v>Teleport</v>
          </cell>
        </row>
        <row r="25">
          <cell r="F25" t="str">
            <v>Message</v>
          </cell>
          <cell r="G25" t="str">
            <v>Friends</v>
          </cell>
          <cell r="H25">
            <v>7</v>
          </cell>
          <cell r="I25">
            <v>0.30197703140319987</v>
          </cell>
          <cell r="K25" t="str">
            <v>Disguise Self</v>
          </cell>
          <cell r="L25" t="str">
            <v>Unseen Servant</v>
          </cell>
          <cell r="M25">
            <v>7</v>
          </cell>
          <cell r="N25">
            <v>4.7776059070982035E-2</v>
          </cell>
          <cell r="P25" t="str">
            <v>Enhance Ability</v>
          </cell>
          <cell r="Q25" t="str">
            <v>Calm Emotions</v>
          </cell>
          <cell r="R25">
            <v>7</v>
          </cell>
          <cell r="S25">
            <v>0.27448543550733084</v>
          </cell>
          <cell r="X25">
            <v>0.91266122078170353</v>
          </cell>
          <cell r="Y25">
            <v>3</v>
          </cell>
          <cell r="Z25" t="str">
            <v>Locate Creature</v>
          </cell>
          <cell r="AA25" t="str">
            <v>Confusion</v>
          </cell>
          <cell r="AF25" t="str">
            <v>Geas</v>
          </cell>
          <cell r="AG25">
            <v>7</v>
          </cell>
          <cell r="AH25">
            <v>0.50315691361599069</v>
          </cell>
          <cell r="AI25">
            <v>2</v>
          </cell>
          <cell r="AN25">
            <v>5</v>
          </cell>
          <cell r="AO25" t="str">
            <v>Regenerate</v>
          </cell>
          <cell r="AP25" t="str">
            <v>Etherealness</v>
          </cell>
        </row>
        <row r="26">
          <cell r="F26" t="str">
            <v>Minor Illusion</v>
          </cell>
          <cell r="G26" t="str">
            <v>Message</v>
          </cell>
          <cell r="H26">
            <v>8</v>
          </cell>
          <cell r="I26">
            <v>0.72672384340477081</v>
          </cell>
          <cell r="K26" t="str">
            <v>Dissonant Whispers</v>
          </cell>
          <cell r="L26" t="str">
            <v>Dissonant Whispers</v>
          </cell>
          <cell r="M26">
            <v>8</v>
          </cell>
          <cell r="N26">
            <v>6.1953755799167287E-2</v>
          </cell>
          <cell r="P26" t="str">
            <v>Enthrall</v>
          </cell>
          <cell r="Q26" t="str">
            <v>Invisibility</v>
          </cell>
          <cell r="R26">
            <v>8</v>
          </cell>
          <cell r="S26">
            <v>0.23310163934405925</v>
          </cell>
          <cell r="X26">
            <v>0.91980922968010392</v>
          </cell>
          <cell r="Y26">
            <v>2</v>
          </cell>
          <cell r="Z26" t="str">
            <v>Polymorph</v>
          </cell>
          <cell r="AA26" t="str">
            <v>Freedom of Movement</v>
          </cell>
          <cell r="AF26" t="str">
            <v>Awaken</v>
          </cell>
          <cell r="AN26">
            <v>3</v>
          </cell>
          <cell r="AO26" t="str">
            <v>Resurrection</v>
          </cell>
          <cell r="AP26" t="str">
            <v>Symbol</v>
          </cell>
        </row>
        <row r="27">
          <cell r="F27" t="str">
            <v>Prestidgitation</v>
          </cell>
          <cell r="G27" t="str">
            <v>Blade Ward</v>
          </cell>
          <cell r="H27">
            <v>9</v>
          </cell>
          <cell r="I27">
            <v>0.9871583217334492</v>
          </cell>
          <cell r="K27" t="str">
            <v>Earth Tremors</v>
          </cell>
          <cell r="L27" t="str">
            <v>Speak with Animals</v>
          </cell>
          <cell r="M27">
            <v>9</v>
          </cell>
          <cell r="N27">
            <v>0.99043024903642274</v>
          </cell>
          <cell r="P27" t="str">
            <v>Heat Metal</v>
          </cell>
          <cell r="Q27" t="str">
            <v>Shatter</v>
          </cell>
          <cell r="R27">
            <v>9</v>
          </cell>
          <cell r="S27">
            <v>0.25959789675134304</v>
          </cell>
          <cell r="AN27">
            <v>8</v>
          </cell>
          <cell r="AO27" t="str">
            <v>Symbol</v>
          </cell>
          <cell r="AP27" t="str">
            <v>Mordekainen's Sword</v>
          </cell>
        </row>
        <row r="28">
          <cell r="F28" t="str">
            <v>Thunder Clap</v>
          </cell>
          <cell r="G28" t="str">
            <v>Minor Illusion</v>
          </cell>
          <cell r="H28">
            <v>10</v>
          </cell>
          <cell r="I28">
            <v>0.6502782398293161</v>
          </cell>
          <cell r="K28" t="str">
            <v>Faerie Fire</v>
          </cell>
          <cell r="L28" t="str">
            <v>Heroism</v>
          </cell>
          <cell r="M28">
            <v>10</v>
          </cell>
          <cell r="N28">
            <v>0.28583673981074509</v>
          </cell>
          <cell r="P28" t="str">
            <v>Hold Person</v>
          </cell>
          <cell r="Q28" t="str">
            <v>Suggestion</v>
          </cell>
          <cell r="R28">
            <v>10</v>
          </cell>
          <cell r="S28">
            <v>0.47888563841788789</v>
          </cell>
          <cell r="AN28">
            <v>6</v>
          </cell>
          <cell r="AO28" t="str">
            <v>Teleport</v>
          </cell>
          <cell r="AP28" t="str">
            <v>Project Image</v>
          </cell>
        </row>
        <row r="29">
          <cell r="F29" t="str">
            <v>True Strike</v>
          </cell>
          <cell r="G29" t="str">
            <v>Prestidgitation</v>
          </cell>
          <cell r="H29">
            <v>11</v>
          </cell>
          <cell r="I29">
            <v>0.15963852671662238</v>
          </cell>
          <cell r="K29" t="str">
            <v>Feather Fall</v>
          </cell>
          <cell r="L29" t="str">
            <v>Faerie Fire</v>
          </cell>
          <cell r="M29">
            <v>11</v>
          </cell>
          <cell r="N29">
            <v>0.63685471247920455</v>
          </cell>
          <cell r="P29" t="str">
            <v>Invisibility</v>
          </cell>
          <cell r="Q29" t="str">
            <v>Blindness/Deafness</v>
          </cell>
          <cell r="R29">
            <v>11</v>
          </cell>
          <cell r="S29">
            <v>8.5188813006343622E-2</v>
          </cell>
        </row>
        <row r="30">
          <cell r="K30" t="str">
            <v>Healing Word</v>
          </cell>
          <cell r="L30" t="str">
            <v>Cure Wounds</v>
          </cell>
          <cell r="M30">
            <v>12</v>
          </cell>
          <cell r="N30">
            <v>0.20368292241764352</v>
          </cell>
          <cell r="P30" t="str">
            <v>Knock</v>
          </cell>
          <cell r="Q30" t="str">
            <v>Silence</v>
          </cell>
          <cell r="R30">
            <v>12</v>
          </cell>
          <cell r="S30">
            <v>7.288256064267451E-2</v>
          </cell>
        </row>
        <row r="31">
          <cell r="K31" t="str">
            <v>Heroism</v>
          </cell>
          <cell r="L31" t="str">
            <v>Sleep</v>
          </cell>
          <cell r="M31">
            <v>13</v>
          </cell>
          <cell r="N31">
            <v>0.9551494616874826</v>
          </cell>
          <cell r="P31" t="str">
            <v>Lesser Restoration</v>
          </cell>
          <cell r="Q31" t="str">
            <v>Warding Wind</v>
          </cell>
          <cell r="R31">
            <v>13</v>
          </cell>
          <cell r="S31">
            <v>0.21512183808637009</v>
          </cell>
        </row>
        <row r="32">
          <cell r="K32" t="str">
            <v>Identify</v>
          </cell>
          <cell r="L32" t="str">
            <v>Thunderwave</v>
          </cell>
          <cell r="M32">
            <v>14</v>
          </cell>
          <cell r="N32">
            <v>4.0818462309488934E-2</v>
          </cell>
          <cell r="P32" t="str">
            <v>Locate Animals or Plants</v>
          </cell>
          <cell r="Q32" t="str">
            <v>Locate Object</v>
          </cell>
          <cell r="R32">
            <v>14</v>
          </cell>
          <cell r="S32">
            <v>0.1111877071896229</v>
          </cell>
        </row>
        <row r="33">
          <cell r="K33" t="str">
            <v>Illusory Script</v>
          </cell>
          <cell r="L33" t="str">
            <v>Illusory Script</v>
          </cell>
          <cell r="M33">
            <v>15</v>
          </cell>
          <cell r="N33">
            <v>0.32562178140247855</v>
          </cell>
          <cell r="P33" t="str">
            <v>Locate Object</v>
          </cell>
          <cell r="Q33" t="str">
            <v>Hold Person</v>
          </cell>
          <cell r="R33">
            <v>15</v>
          </cell>
          <cell r="S33">
            <v>3.6024008870180979E-2</v>
          </cell>
        </row>
        <row r="34">
          <cell r="K34" t="str">
            <v>Longstrider</v>
          </cell>
          <cell r="L34" t="str">
            <v>Tasha's Hideous Laughter</v>
          </cell>
          <cell r="M34">
            <v>16</v>
          </cell>
          <cell r="N34">
            <v>0.18669792131414231</v>
          </cell>
          <cell r="P34" t="str">
            <v>Magic Mouth</v>
          </cell>
          <cell r="Q34" t="str">
            <v>Skywrite</v>
          </cell>
          <cell r="R34">
            <v>16</v>
          </cell>
          <cell r="S34">
            <v>0.28273801649204922</v>
          </cell>
        </row>
        <row r="35">
          <cell r="K35" t="str">
            <v>Silent Image</v>
          </cell>
          <cell r="L35" t="str">
            <v>Animal Friendship</v>
          </cell>
          <cell r="M35">
            <v>17</v>
          </cell>
          <cell r="N35">
            <v>1.5857110965949106E-2</v>
          </cell>
          <cell r="P35" t="str">
            <v>Phantasmal Force</v>
          </cell>
          <cell r="Q35" t="str">
            <v>Knock</v>
          </cell>
        </row>
        <row r="36">
          <cell r="K36" t="str">
            <v>Sleep</v>
          </cell>
          <cell r="L36" t="str">
            <v>Comprehend Languages</v>
          </cell>
          <cell r="M36">
            <v>18</v>
          </cell>
          <cell r="N36">
            <v>0.76881776754748965</v>
          </cell>
          <cell r="P36" t="str">
            <v>Pyrotechnics</v>
          </cell>
          <cell r="Q36" t="str">
            <v>Magic Mouth</v>
          </cell>
        </row>
        <row r="37">
          <cell r="K37" t="str">
            <v>Speak with Animals</v>
          </cell>
          <cell r="L37" t="str">
            <v>Longstrider</v>
          </cell>
          <cell r="M37">
            <v>19</v>
          </cell>
          <cell r="N37">
            <v>0.1515566465475362</v>
          </cell>
          <cell r="P37" t="str">
            <v>See Invisibility</v>
          </cell>
          <cell r="Q37" t="str">
            <v>See Invisibility</v>
          </cell>
        </row>
        <row r="38">
          <cell r="K38" t="str">
            <v>Tasha's Hideous Laughter</v>
          </cell>
          <cell r="L38" t="str">
            <v>Disguise Self</v>
          </cell>
          <cell r="M38">
            <v>20</v>
          </cell>
          <cell r="N38">
            <v>0.58073698448006428</v>
          </cell>
          <cell r="P38" t="str">
            <v>Shatter</v>
          </cell>
          <cell r="Q38" t="str">
            <v>Crown of Madness</v>
          </cell>
        </row>
        <row r="39">
          <cell r="K39" t="str">
            <v>Thunderwave</v>
          </cell>
          <cell r="L39" t="str">
            <v>Feather Fall</v>
          </cell>
          <cell r="M39">
            <v>21</v>
          </cell>
          <cell r="N39">
            <v>0.39057957176351932</v>
          </cell>
          <cell r="P39" t="str">
            <v>Silence</v>
          </cell>
          <cell r="Q39" t="str">
            <v>Enthrall</v>
          </cell>
        </row>
        <row r="40">
          <cell r="P40" t="str">
            <v>Skywrite</v>
          </cell>
          <cell r="Q40" t="str">
            <v>Enhance Ability</v>
          </cell>
        </row>
        <row r="50">
          <cell r="F50">
            <v>1</v>
          </cell>
          <cell r="G50">
            <v>0.40102151641621608</v>
          </cell>
          <cell r="H50">
            <v>4</v>
          </cell>
          <cell r="I50" t="str">
            <v>Guidance</v>
          </cell>
          <cell r="K50" t="str">
            <v>Divine Favor</v>
          </cell>
          <cell r="L50" t="str">
            <v>Bane</v>
          </cell>
        </row>
        <row r="51">
          <cell r="F51">
            <v>2</v>
          </cell>
          <cell r="G51">
            <v>0.89713042436337431</v>
          </cell>
          <cell r="H51">
            <v>1</v>
          </cell>
          <cell r="I51" t="str">
            <v>Light</v>
          </cell>
          <cell r="K51" t="str">
            <v>Shield of Faith</v>
          </cell>
          <cell r="L51" t="str">
            <v>Bless</v>
          </cell>
        </row>
        <row r="52">
          <cell r="F52">
            <v>3</v>
          </cell>
          <cell r="G52">
            <v>0.39083358047053285</v>
          </cell>
          <cell r="H52">
            <v>5</v>
          </cell>
          <cell r="I52" t="str">
            <v>Mending</v>
          </cell>
          <cell r="L52" t="str">
            <v>Command</v>
          </cell>
          <cell r="V52">
            <v>1</v>
          </cell>
          <cell r="W52">
            <v>0.41512847897202532</v>
          </cell>
          <cell r="X52">
            <v>9</v>
          </cell>
          <cell r="Y52" t="str">
            <v>Aid</v>
          </cell>
          <cell r="AD52">
            <v>1</v>
          </cell>
          <cell r="AE52">
            <v>0.92937201677526549</v>
          </cell>
          <cell r="AF52">
            <v>2</v>
          </cell>
          <cell r="AG52" t="str">
            <v>Animate Dead</v>
          </cell>
          <cell r="AL52">
            <v>1</v>
          </cell>
          <cell r="AM52">
            <v>0.30711955751961628</v>
          </cell>
          <cell r="AN52">
            <v>6</v>
          </cell>
          <cell r="AO52" t="str">
            <v>Banishment</v>
          </cell>
          <cell r="AT52">
            <v>1</v>
          </cell>
          <cell r="AU52">
            <v>0.6131922230878657</v>
          </cell>
          <cell r="AV52">
            <v>5</v>
          </cell>
          <cell r="AW52" t="str">
            <v>Commune</v>
          </cell>
        </row>
        <row r="53">
          <cell r="F53">
            <v>4</v>
          </cell>
          <cell r="G53">
            <v>0.44194114504623128</v>
          </cell>
          <cell r="H53">
            <v>3</v>
          </cell>
          <cell r="I53" t="str">
            <v>Resistance</v>
          </cell>
          <cell r="L53" t="str">
            <v>Create or Destroy Water</v>
          </cell>
          <cell r="V53">
            <v>2</v>
          </cell>
          <cell r="W53">
            <v>0.9606693919723811</v>
          </cell>
          <cell r="X53">
            <v>1</v>
          </cell>
          <cell r="Y53" t="str">
            <v>Augury</v>
          </cell>
          <cell r="AD53">
            <v>2</v>
          </cell>
          <cell r="AE53">
            <v>0.25895247603901161</v>
          </cell>
          <cell r="AF53">
            <v>9</v>
          </cell>
          <cell r="AG53" t="str">
            <v>Beacon of Hope</v>
          </cell>
          <cell r="AL53">
            <v>2</v>
          </cell>
          <cell r="AM53">
            <v>0.98868112118201212</v>
          </cell>
          <cell r="AN53">
            <v>1</v>
          </cell>
          <cell r="AO53" t="str">
            <v>Control Water</v>
          </cell>
          <cell r="AT53">
            <v>2</v>
          </cell>
          <cell r="AU53">
            <v>0.64910552717108649</v>
          </cell>
          <cell r="AV53">
            <v>4</v>
          </cell>
          <cell r="AW53" t="str">
            <v>Contagion</v>
          </cell>
        </row>
        <row r="54">
          <cell r="F54">
            <v>5</v>
          </cell>
          <cell r="G54">
            <v>0.89205577030197769</v>
          </cell>
          <cell r="H54">
            <v>2</v>
          </cell>
          <cell r="I54" t="str">
            <v>Sacred Flame</v>
          </cell>
          <cell r="L54" t="str">
            <v>Cure Wounds</v>
          </cell>
          <cell r="V54">
            <v>3</v>
          </cell>
          <cell r="W54">
            <v>0.86334156684350327</v>
          </cell>
          <cell r="X54">
            <v>3</v>
          </cell>
          <cell r="Y54" t="str">
            <v>Blindness/Deafness</v>
          </cell>
          <cell r="AD54">
            <v>3</v>
          </cell>
          <cell r="AE54">
            <v>0.16148567026426797</v>
          </cell>
          <cell r="AF54">
            <v>11</v>
          </cell>
          <cell r="AG54" t="str">
            <v>Bestow Curse</v>
          </cell>
          <cell r="AL54">
            <v>3</v>
          </cell>
          <cell r="AM54">
            <v>0.75365048305978211</v>
          </cell>
          <cell r="AN54">
            <v>4</v>
          </cell>
          <cell r="AO54" t="str">
            <v>Death Ward</v>
          </cell>
          <cell r="AT54">
            <v>3</v>
          </cell>
          <cell r="AU54">
            <v>0.95530282029190061</v>
          </cell>
          <cell r="AV54">
            <v>1</v>
          </cell>
          <cell r="AW54" t="str">
            <v>Dispel Evil and Good</v>
          </cell>
        </row>
        <row r="55">
          <cell r="F55">
            <v>6</v>
          </cell>
          <cell r="G55">
            <v>0.25317093332782747</v>
          </cell>
          <cell r="H55">
            <v>7</v>
          </cell>
          <cell r="I55" t="str">
            <v>Spare the Dying</v>
          </cell>
          <cell r="L55" t="str">
            <v>Detect Evil and Good</v>
          </cell>
          <cell r="V55">
            <v>4</v>
          </cell>
          <cell r="W55">
            <v>0.14314523027988246</v>
          </cell>
          <cell r="X55">
            <v>13</v>
          </cell>
          <cell r="Y55" t="str">
            <v>Calm Emotions</v>
          </cell>
          <cell r="AD55">
            <v>4</v>
          </cell>
          <cell r="AE55">
            <v>9.9119461498175188E-2</v>
          </cell>
          <cell r="AF55">
            <v>13</v>
          </cell>
          <cell r="AG55" t="str">
            <v>Clairvoyance</v>
          </cell>
          <cell r="AL55">
            <v>4</v>
          </cell>
          <cell r="AM55">
            <v>0.96434352749715435</v>
          </cell>
          <cell r="AN55">
            <v>2</v>
          </cell>
          <cell r="AO55" t="str">
            <v>Divination</v>
          </cell>
          <cell r="AT55">
            <v>4</v>
          </cell>
          <cell r="AU55">
            <v>0.24338709283173565</v>
          </cell>
          <cell r="AV55">
            <v>9</v>
          </cell>
          <cell r="AW55" t="str">
            <v>Geas</v>
          </cell>
        </row>
        <row r="56">
          <cell r="F56">
            <v>7</v>
          </cell>
          <cell r="G56">
            <v>0.32937413536598026</v>
          </cell>
          <cell r="H56">
            <v>6</v>
          </cell>
          <cell r="I56" t="str">
            <v>Thaumaturgy</v>
          </cell>
          <cell r="L56" t="str">
            <v>Detect Magic</v>
          </cell>
          <cell r="V56">
            <v>5</v>
          </cell>
          <cell r="W56">
            <v>7.3314864473649322E-2</v>
          </cell>
          <cell r="X56">
            <v>16</v>
          </cell>
          <cell r="Y56" t="str">
            <v>Continual Flame</v>
          </cell>
          <cell r="AD56">
            <v>5</v>
          </cell>
          <cell r="AE56">
            <v>5.7356547370415734E-2</v>
          </cell>
          <cell r="AF56">
            <v>16</v>
          </cell>
          <cell r="AG56" t="str">
            <v>Create Food and Water</v>
          </cell>
          <cell r="AL56">
            <v>5</v>
          </cell>
          <cell r="AM56">
            <v>0.16185075081402656</v>
          </cell>
          <cell r="AN56">
            <v>7</v>
          </cell>
          <cell r="AO56" t="str">
            <v>Guardian of Faith</v>
          </cell>
          <cell r="AT56">
            <v>5</v>
          </cell>
          <cell r="AU56">
            <v>0.89224885121575781</v>
          </cell>
          <cell r="AV56">
            <v>2</v>
          </cell>
          <cell r="AW56" t="str">
            <v>Greater Restoration</v>
          </cell>
        </row>
        <row r="57">
          <cell r="L57" t="str">
            <v>Detect Poison and Disease</v>
          </cell>
          <cell r="V57">
            <v>6</v>
          </cell>
          <cell r="W57">
            <v>0.91556213193861813</v>
          </cell>
          <cell r="X57">
            <v>2</v>
          </cell>
          <cell r="Y57" t="str">
            <v>Enhance Ability</v>
          </cell>
          <cell r="AD57">
            <v>6</v>
          </cell>
          <cell r="AE57">
            <v>9.7239128628969662E-2</v>
          </cell>
          <cell r="AF57">
            <v>14</v>
          </cell>
          <cell r="AG57" t="str">
            <v>Daylight</v>
          </cell>
          <cell r="AL57">
            <v>6</v>
          </cell>
          <cell r="AM57">
            <v>0.76591567330287946</v>
          </cell>
          <cell r="AN57">
            <v>3</v>
          </cell>
          <cell r="AO57" t="str">
            <v>Locate Creature</v>
          </cell>
          <cell r="AT57">
            <v>6</v>
          </cell>
          <cell r="AU57">
            <v>0.37176415819755726</v>
          </cell>
          <cell r="AV57">
            <v>7</v>
          </cell>
          <cell r="AW57" t="str">
            <v>Hallow</v>
          </cell>
        </row>
        <row r="58">
          <cell r="L58" t="str">
            <v>Guiding Bolt</v>
          </cell>
          <cell r="V58">
            <v>7</v>
          </cell>
          <cell r="W58">
            <v>0.70955041912397732</v>
          </cell>
          <cell r="X58">
            <v>6</v>
          </cell>
          <cell r="Y58" t="str">
            <v>Find Traps</v>
          </cell>
          <cell r="AD58">
            <v>7</v>
          </cell>
          <cell r="AE58">
            <v>0.87444211672476513</v>
          </cell>
          <cell r="AF58">
            <v>4</v>
          </cell>
          <cell r="AG58" t="str">
            <v>Dispel Magic</v>
          </cell>
          <cell r="AL58">
            <v>7</v>
          </cell>
          <cell r="AM58">
            <v>0.38872014485193906</v>
          </cell>
          <cell r="AN58">
            <v>5</v>
          </cell>
          <cell r="AO58" t="str">
            <v>Stone Shape</v>
          </cell>
          <cell r="AT58">
            <v>7</v>
          </cell>
          <cell r="AU58">
            <v>0.33469139450836538</v>
          </cell>
          <cell r="AV58">
            <v>8</v>
          </cell>
          <cell r="AW58" t="str">
            <v>Insect Plague</v>
          </cell>
        </row>
        <row r="59">
          <cell r="L59" t="str">
            <v>Healing Word</v>
          </cell>
          <cell r="V59">
            <v>8</v>
          </cell>
          <cell r="W59">
            <v>0.56355042410368672</v>
          </cell>
          <cell r="X59">
            <v>8</v>
          </cell>
          <cell r="Y59" t="str">
            <v>Gentle Repose</v>
          </cell>
          <cell r="AD59">
            <v>8</v>
          </cell>
          <cell r="AE59">
            <v>2.8543101869427656E-2</v>
          </cell>
          <cell r="AF59">
            <v>19</v>
          </cell>
          <cell r="AG59" t="str">
            <v>Feign Death</v>
          </cell>
          <cell r="AL59" t="str">
            <v/>
          </cell>
          <cell r="AM59" t="str">
            <v/>
          </cell>
          <cell r="AN59" t="str">
            <v/>
          </cell>
          <cell r="AO59" t="str">
            <v/>
          </cell>
          <cell r="AT59">
            <v>8</v>
          </cell>
          <cell r="AU59">
            <v>6.2438111924380424E-2</v>
          </cell>
          <cell r="AV59">
            <v>11</v>
          </cell>
          <cell r="AW59" t="str">
            <v>Legend Lore</v>
          </cell>
        </row>
        <row r="60">
          <cell r="L60" t="str">
            <v>Inflict Wounds</v>
          </cell>
          <cell r="V60">
            <v>9</v>
          </cell>
          <cell r="W60">
            <v>0.22019634486877337</v>
          </cell>
          <cell r="X60">
            <v>11</v>
          </cell>
          <cell r="Y60" t="str">
            <v>Hold Person</v>
          </cell>
          <cell r="AD60">
            <v>9</v>
          </cell>
          <cell r="AE60">
            <v>4.1521433008603781E-2</v>
          </cell>
          <cell r="AF60">
            <v>17</v>
          </cell>
          <cell r="AG60" t="str">
            <v>Glyph of Warding</v>
          </cell>
          <cell r="AT60">
            <v>9</v>
          </cell>
          <cell r="AU60">
            <v>2.7127598870781533E-2</v>
          </cell>
          <cell r="AV60">
            <v>12</v>
          </cell>
          <cell r="AW60" t="str">
            <v>Mass Cure Wounds</v>
          </cell>
        </row>
        <row r="61">
          <cell r="L61" t="str">
            <v>Protection From Evil and Good</v>
          </cell>
          <cell r="V61">
            <v>10</v>
          </cell>
          <cell r="W61">
            <v>8.3035443189437563E-2</v>
          </cell>
          <cell r="X61">
            <v>14</v>
          </cell>
          <cell r="Y61" t="str">
            <v>Lesser Restoration</v>
          </cell>
          <cell r="AD61">
            <v>10</v>
          </cell>
          <cell r="AE61">
            <v>0.18354567805210054</v>
          </cell>
          <cell r="AF61">
            <v>10</v>
          </cell>
          <cell r="AG61" t="str">
            <v>Magic Circle</v>
          </cell>
          <cell r="AT61">
            <v>10</v>
          </cell>
          <cell r="AU61">
            <v>0.48008653648698518</v>
          </cell>
          <cell r="AV61">
            <v>6</v>
          </cell>
          <cell r="AW61" t="str">
            <v>Planar Binding</v>
          </cell>
        </row>
        <row r="62">
          <cell r="L62" t="str">
            <v>Purify Food and Drink</v>
          </cell>
          <cell r="V62">
            <v>11</v>
          </cell>
          <cell r="W62">
            <v>0.76321089395880493</v>
          </cell>
          <cell r="X62">
            <v>5</v>
          </cell>
          <cell r="Y62" t="str">
            <v>Locate Object</v>
          </cell>
          <cell r="AD62">
            <v>11</v>
          </cell>
          <cell r="AE62">
            <v>6.8808792635893234E-2</v>
          </cell>
          <cell r="AF62">
            <v>15</v>
          </cell>
          <cell r="AG62" t="str">
            <v>Mass Healing Word</v>
          </cell>
          <cell r="AT62">
            <v>11</v>
          </cell>
          <cell r="AU62">
            <v>0.15243571005569845</v>
          </cell>
          <cell r="AV62">
            <v>10</v>
          </cell>
          <cell r="AW62" t="str">
            <v>Raise Dead</v>
          </cell>
        </row>
        <row r="63">
          <cell r="L63" t="str">
            <v>Sanctuary</v>
          </cell>
          <cell r="V63">
            <v>12</v>
          </cell>
          <cell r="W63">
            <v>0.22438984247012761</v>
          </cell>
          <cell r="X63">
            <v>10</v>
          </cell>
          <cell r="Y63" t="str">
            <v>Prayer of Healing</v>
          </cell>
          <cell r="AD63">
            <v>12</v>
          </cell>
          <cell r="AE63">
            <v>0.90183658809792644</v>
          </cell>
          <cell r="AF63">
            <v>3</v>
          </cell>
          <cell r="AG63" t="str">
            <v>Meld Into Stone</v>
          </cell>
          <cell r="AT63">
            <v>12</v>
          </cell>
          <cell r="AU63">
            <v>0.71025787206610469</v>
          </cell>
          <cell r="AV63">
            <v>3</v>
          </cell>
          <cell r="AW63" t="str">
            <v>Scrying</v>
          </cell>
        </row>
        <row r="64">
          <cell r="L64" t="str">
            <v>Shield of Faith</v>
          </cell>
          <cell r="V64">
            <v>13</v>
          </cell>
          <cell r="W64">
            <v>0.17505078496102755</v>
          </cell>
          <cell r="X64">
            <v>12</v>
          </cell>
          <cell r="Y64" t="str">
            <v>Protection From Poison</v>
          </cell>
          <cell r="AD64">
            <v>13</v>
          </cell>
          <cell r="AE64">
            <v>0.27167702944270444</v>
          </cell>
          <cell r="AF64">
            <v>8</v>
          </cell>
          <cell r="AG64" t="str">
            <v>Protection From Energy</v>
          </cell>
        </row>
        <row r="65">
          <cell r="V65">
            <v>14</v>
          </cell>
          <cell r="W65">
            <v>0.62240024153722495</v>
          </cell>
          <cell r="X65">
            <v>7</v>
          </cell>
          <cell r="Y65" t="str">
            <v>Silence</v>
          </cell>
          <cell r="AD65">
            <v>14</v>
          </cell>
          <cell r="AE65">
            <v>0.6133839153944306</v>
          </cell>
          <cell r="AF65">
            <v>6</v>
          </cell>
          <cell r="AG65" t="str">
            <v>Remove Curse</v>
          </cell>
        </row>
        <row r="66">
          <cell r="V66">
            <v>15</v>
          </cell>
          <cell r="W66">
            <v>0.78299873120581787</v>
          </cell>
          <cell r="X66">
            <v>4</v>
          </cell>
          <cell r="Y66" t="str">
            <v>Warding Bond</v>
          </cell>
          <cell r="AD66">
            <v>15</v>
          </cell>
          <cell r="AE66">
            <v>0.15198488610765248</v>
          </cell>
          <cell r="AF66">
            <v>12</v>
          </cell>
          <cell r="AG66" t="str">
            <v>Revivify</v>
          </cell>
        </row>
        <row r="67">
          <cell r="V67">
            <v>16</v>
          </cell>
          <cell r="W67">
            <v>8.1501663499942811E-2</v>
          </cell>
          <cell r="X67">
            <v>15</v>
          </cell>
          <cell r="Y67" t="str">
            <v>Zone of Truth</v>
          </cell>
          <cell r="AD67">
            <v>16</v>
          </cell>
          <cell r="AE67">
            <v>3.6462225185390107E-2</v>
          </cell>
          <cell r="AF67">
            <v>18</v>
          </cell>
          <cell r="AG67" t="str">
            <v>Sending</v>
          </cell>
        </row>
        <row r="68">
          <cell r="V68" t="str">
            <v/>
          </cell>
          <cell r="W68" t="str">
            <v/>
          </cell>
          <cell r="X68" t="str">
            <v/>
          </cell>
          <cell r="Y68" t="str">
            <v/>
          </cell>
          <cell r="AD68">
            <v>17</v>
          </cell>
          <cell r="AE68">
            <v>0.38583062417301361</v>
          </cell>
          <cell r="AF68">
            <v>7</v>
          </cell>
          <cell r="AG68" t="str">
            <v>Speak with Dead</v>
          </cell>
        </row>
        <row r="69">
          <cell r="AD69">
            <v>18</v>
          </cell>
          <cell r="AE69">
            <v>0.79873729731482979</v>
          </cell>
          <cell r="AF69">
            <v>5</v>
          </cell>
          <cell r="AG69" t="str">
            <v>Tongues</v>
          </cell>
        </row>
        <row r="106">
          <cell r="F106">
            <v>1</v>
          </cell>
          <cell r="G106">
            <v>0.96390365005314682</v>
          </cell>
          <cell r="H106">
            <v>1</v>
          </cell>
          <cell r="I106" t="str">
            <v>Blade Ward</v>
          </cell>
          <cell r="K106">
            <v>1</v>
          </cell>
          <cell r="L106" t="str">
            <v>Absorb Elements</v>
          </cell>
          <cell r="M106">
            <v>11</v>
          </cell>
          <cell r="N106">
            <v>1</v>
          </cell>
          <cell r="V106">
            <v>1</v>
          </cell>
          <cell r="W106">
            <v>0.39817673970059075</v>
          </cell>
          <cell r="X106">
            <v>4</v>
          </cell>
          <cell r="Y106" t="str">
            <v>Aganazzar's Scorcher</v>
          </cell>
          <cell r="AD106">
            <v>1</v>
          </cell>
          <cell r="AE106">
            <v>0.48573259683618886</v>
          </cell>
          <cell r="AF106">
            <v>8</v>
          </cell>
          <cell r="AG106" t="str">
            <v>Counterspell</v>
          </cell>
          <cell r="AL106">
            <v>1</v>
          </cell>
          <cell r="AM106">
            <v>0.79181014664001736</v>
          </cell>
          <cell r="AN106">
            <v>3</v>
          </cell>
          <cell r="AO106" t="str">
            <v>Banishment</v>
          </cell>
        </row>
        <row r="107">
          <cell r="F107">
            <v>2</v>
          </cell>
          <cell r="G107">
            <v>0.52746303819064155</v>
          </cell>
          <cell r="H107">
            <v>6</v>
          </cell>
          <cell r="I107" t="str">
            <v>Dancing Lights</v>
          </cell>
          <cell r="K107">
            <v>2</v>
          </cell>
          <cell r="L107" t="str">
            <v>Alarm</v>
          </cell>
          <cell r="N107">
            <v>2</v>
          </cell>
          <cell r="V107">
            <v>2</v>
          </cell>
          <cell r="W107">
            <v>0.15522070843676339</v>
          </cell>
          <cell r="X107">
            <v>8</v>
          </cell>
          <cell r="Y107" t="str">
            <v>Arcane Lock</v>
          </cell>
          <cell r="AD107">
            <v>2</v>
          </cell>
          <cell r="AE107">
            <v>6.5341015504573829E-2</v>
          </cell>
          <cell r="AF107">
            <v>13</v>
          </cell>
          <cell r="AG107" t="str">
            <v>Dispel Magic</v>
          </cell>
          <cell r="AL107">
            <v>2</v>
          </cell>
          <cell r="AM107">
            <v>0.63737302325226219</v>
          </cell>
          <cell r="AN107">
            <v>4</v>
          </cell>
          <cell r="AO107" t="str">
            <v>Fire Shield</v>
          </cell>
        </row>
        <row r="108">
          <cell r="F108">
            <v>3</v>
          </cell>
          <cell r="G108">
            <v>3.9455035614092138E-2</v>
          </cell>
          <cell r="H108">
            <v>8</v>
          </cell>
          <cell r="I108" t="str">
            <v>Fire Bolt</v>
          </cell>
          <cell r="K108">
            <v>3</v>
          </cell>
          <cell r="L108" t="str">
            <v>Burning Hands</v>
          </cell>
          <cell r="N108">
            <v>3</v>
          </cell>
          <cell r="V108">
            <v>3</v>
          </cell>
          <cell r="W108">
            <v>0.24581541176183141</v>
          </cell>
          <cell r="X108">
            <v>6</v>
          </cell>
          <cell r="Y108" t="str">
            <v>Continual Flame</v>
          </cell>
          <cell r="AD108">
            <v>3</v>
          </cell>
          <cell r="AE108">
            <v>0.74087219692770867</v>
          </cell>
          <cell r="AF108">
            <v>4</v>
          </cell>
          <cell r="AG108" t="str">
            <v>Fireball</v>
          </cell>
          <cell r="AL108">
            <v>3</v>
          </cell>
          <cell r="AM108">
            <v>0.58750943393369592</v>
          </cell>
          <cell r="AN108">
            <v>5</v>
          </cell>
          <cell r="AO108" t="str">
            <v>Ice Storm</v>
          </cell>
        </row>
        <row r="109">
          <cell r="F109">
            <v>4</v>
          </cell>
          <cell r="G109">
            <v>0.80744282901387976</v>
          </cell>
          <cell r="H109">
            <v>3</v>
          </cell>
          <cell r="I109" t="str">
            <v>Frostbite</v>
          </cell>
          <cell r="K109">
            <v>4</v>
          </cell>
          <cell r="L109" t="str">
            <v>Chromatic Orb</v>
          </cell>
          <cell r="N109">
            <v>4</v>
          </cell>
          <cell r="V109">
            <v>4</v>
          </cell>
          <cell r="W109">
            <v>0.17034043155971224</v>
          </cell>
          <cell r="X109">
            <v>7</v>
          </cell>
          <cell r="Y109" t="str">
            <v>Darkness</v>
          </cell>
          <cell r="AD109">
            <v>4</v>
          </cell>
          <cell r="AE109">
            <v>0.74702363261673033</v>
          </cell>
          <cell r="AF109">
            <v>3</v>
          </cell>
          <cell r="AG109" t="str">
            <v>Glyph of Warding</v>
          </cell>
          <cell r="AL109">
            <v>4</v>
          </cell>
          <cell r="AM109">
            <v>0.43107277513091369</v>
          </cell>
          <cell r="AN109">
            <v>7</v>
          </cell>
          <cell r="AO109" t="str">
            <v>Mordenkainen's Private Sanctum</v>
          </cell>
        </row>
        <row r="110">
          <cell r="F110">
            <v>5</v>
          </cell>
          <cell r="G110">
            <v>0.60904613146042863</v>
          </cell>
          <cell r="H110">
            <v>4</v>
          </cell>
          <cell r="I110" t="str">
            <v>Light</v>
          </cell>
          <cell r="K110">
            <v>5</v>
          </cell>
          <cell r="L110" t="str">
            <v>Earth Tremor</v>
          </cell>
          <cell r="N110">
            <v>5</v>
          </cell>
          <cell r="V110">
            <v>5</v>
          </cell>
          <cell r="W110">
            <v>0.38569379422502048</v>
          </cell>
          <cell r="X110">
            <v>5</v>
          </cell>
          <cell r="Y110" t="str">
            <v>Gust of Wind</v>
          </cell>
          <cell r="AD110">
            <v>5</v>
          </cell>
          <cell r="AE110">
            <v>0.37848472725267124</v>
          </cell>
          <cell r="AF110">
            <v>9</v>
          </cell>
          <cell r="AG110" t="str">
            <v>Leomund's Tiny Hut</v>
          </cell>
          <cell r="AL110">
            <v>5</v>
          </cell>
          <cell r="AM110">
            <v>0.92377427247382204</v>
          </cell>
          <cell r="AN110">
            <v>2</v>
          </cell>
          <cell r="AO110" t="str">
            <v>Otiluke's Resilient Sphere</v>
          </cell>
        </row>
        <row r="111">
          <cell r="F111">
            <v>6</v>
          </cell>
          <cell r="G111">
            <v>0.60590669816897302</v>
          </cell>
          <cell r="H111">
            <v>5</v>
          </cell>
          <cell r="I111" t="str">
            <v>Ray of Frost</v>
          </cell>
          <cell r="K111">
            <v>6</v>
          </cell>
          <cell r="L111" t="str">
            <v>Mage Armor</v>
          </cell>
          <cell r="N111">
            <v>6</v>
          </cell>
          <cell r="V111">
            <v>6</v>
          </cell>
          <cell r="W111">
            <v>8.5006585344833852E-2</v>
          </cell>
          <cell r="X111">
            <v>9</v>
          </cell>
          <cell r="Y111" t="str">
            <v>Melf's Acid Arrow</v>
          </cell>
          <cell r="AD111">
            <v>6</v>
          </cell>
          <cell r="AE111">
            <v>0.6284743305129058</v>
          </cell>
          <cell r="AF111">
            <v>5</v>
          </cell>
          <cell r="AG111" t="str">
            <v>Lightning Bolt</v>
          </cell>
          <cell r="AL111">
            <v>6</v>
          </cell>
          <cell r="AM111">
            <v>0.92391347659229972</v>
          </cell>
          <cell r="AN111">
            <v>1</v>
          </cell>
          <cell r="AO111" t="str">
            <v>Stoneskin</v>
          </cell>
        </row>
        <row r="112">
          <cell r="F112">
            <v>7</v>
          </cell>
          <cell r="G112">
            <v>0.9128616588272922</v>
          </cell>
          <cell r="H112">
            <v>2</v>
          </cell>
          <cell r="I112" t="str">
            <v>Shocking Grasp</v>
          </cell>
          <cell r="K112">
            <v>7</v>
          </cell>
          <cell r="L112" t="str">
            <v>Magic Missile</v>
          </cell>
          <cell r="N112">
            <v>7</v>
          </cell>
          <cell r="V112">
            <v>7</v>
          </cell>
          <cell r="W112">
            <v>0.55843607692885688</v>
          </cell>
          <cell r="X112">
            <v>3</v>
          </cell>
          <cell r="Y112" t="str">
            <v>Scorching Ray</v>
          </cell>
          <cell r="AD112">
            <v>7</v>
          </cell>
          <cell r="AE112">
            <v>0.51978811286483451</v>
          </cell>
          <cell r="AF112">
            <v>7</v>
          </cell>
          <cell r="AG112" t="str">
            <v>Magic Circle</v>
          </cell>
          <cell r="AL112">
            <v>7</v>
          </cell>
          <cell r="AM112">
            <v>0.3545094253583343</v>
          </cell>
          <cell r="AN112">
            <v>8</v>
          </cell>
          <cell r="AO112" t="str">
            <v>Storm Sphere</v>
          </cell>
        </row>
        <row r="113">
          <cell r="F113">
            <v>8</v>
          </cell>
          <cell r="G113">
            <v>0.18659040638129076</v>
          </cell>
          <cell r="H113">
            <v>7</v>
          </cell>
          <cell r="I113" t="str">
            <v>Thunderclap</v>
          </cell>
          <cell r="K113">
            <v>8</v>
          </cell>
          <cell r="L113" t="str">
            <v>Protection from Evil and Good</v>
          </cell>
          <cell r="N113">
            <v>8</v>
          </cell>
          <cell r="V113">
            <v>8</v>
          </cell>
          <cell r="W113">
            <v>0.85423163990740958</v>
          </cell>
          <cell r="X113">
            <v>1</v>
          </cell>
          <cell r="Y113" t="str">
            <v>Shatter</v>
          </cell>
          <cell r="AD113">
            <v>8</v>
          </cell>
          <cell r="AE113">
            <v>0.20670944337565544</v>
          </cell>
          <cell r="AF113">
            <v>12</v>
          </cell>
          <cell r="AG113" t="str">
            <v>Melf's Minute Meteors</v>
          </cell>
          <cell r="AL113">
            <v>8</v>
          </cell>
          <cell r="AM113">
            <v>0.48910675986047358</v>
          </cell>
          <cell r="AN113">
            <v>6</v>
          </cell>
          <cell r="AO113" t="str">
            <v>Vitriolic Sphere</v>
          </cell>
        </row>
        <row r="114">
          <cell r="K114">
            <v>9</v>
          </cell>
          <cell r="L114" t="str">
            <v>Shield</v>
          </cell>
          <cell r="N114">
            <v>9</v>
          </cell>
          <cell r="V114">
            <v>9</v>
          </cell>
          <cell r="W114">
            <v>0.76162890639816649</v>
          </cell>
          <cell r="X114">
            <v>2</v>
          </cell>
          <cell r="Y114" t="str">
            <v>Snilloc's Snowball Swarm</v>
          </cell>
          <cell r="AD114">
            <v>9</v>
          </cell>
          <cell r="AE114">
            <v>0.27511519196372602</v>
          </cell>
          <cell r="AF114">
            <v>10</v>
          </cell>
          <cell r="AG114" t="str">
            <v>Nondetection</v>
          </cell>
          <cell r="AL114">
            <v>9</v>
          </cell>
          <cell r="AM114">
            <v>0.10781733737206456</v>
          </cell>
          <cell r="AN114">
            <v>9</v>
          </cell>
          <cell r="AO114" t="str">
            <v>Wall of Fire</v>
          </cell>
        </row>
        <row r="115">
          <cell r="K115">
            <v>10</v>
          </cell>
          <cell r="L115" t="str">
            <v>Thunderwave</v>
          </cell>
          <cell r="N115">
            <v>10</v>
          </cell>
          <cell r="V115" t="str">
            <v/>
          </cell>
          <cell r="W115" t="str">
            <v/>
          </cell>
          <cell r="X115" t="str">
            <v/>
          </cell>
          <cell r="AD115">
            <v>10</v>
          </cell>
          <cell r="AE115">
            <v>0.61470044898337228</v>
          </cell>
          <cell r="AF115">
            <v>6</v>
          </cell>
          <cell r="AG115" t="str">
            <v>Protection from Energy</v>
          </cell>
          <cell r="AL115" t="str">
            <v/>
          </cell>
          <cell r="AM115" t="str">
            <v/>
          </cell>
          <cell r="AN115" t="str">
            <v/>
          </cell>
        </row>
        <row r="116">
          <cell r="K116">
            <v>11</v>
          </cell>
          <cell r="L116" t="str">
            <v>Witch Bolt</v>
          </cell>
          <cell r="N116">
            <v>11</v>
          </cell>
          <cell r="V116" t="str">
            <v/>
          </cell>
          <cell r="W116" t="str">
            <v/>
          </cell>
          <cell r="X116" t="str">
            <v/>
          </cell>
          <cell r="AD116">
            <v>11</v>
          </cell>
          <cell r="AE116">
            <v>2.7854936675124842E-2</v>
          </cell>
          <cell r="AF116">
            <v>14</v>
          </cell>
          <cell r="AG116" t="str">
            <v>Remove Curse</v>
          </cell>
          <cell r="AL116" t="str">
            <v/>
          </cell>
          <cell r="AM116" t="str">
            <v/>
          </cell>
          <cell r="AN116" t="str">
            <v/>
          </cell>
        </row>
        <row r="117">
          <cell r="N117" t="str">
            <v/>
          </cell>
          <cell r="V117" t="str">
            <v/>
          </cell>
          <cell r="W117" t="str">
            <v/>
          </cell>
          <cell r="X117" t="str">
            <v/>
          </cell>
          <cell r="AD117">
            <v>12</v>
          </cell>
          <cell r="AE117">
            <v>0.80349512034078452</v>
          </cell>
          <cell r="AF117">
            <v>1</v>
          </cell>
          <cell r="AG117" t="str">
            <v>Sending</v>
          </cell>
          <cell r="AL117" t="str">
            <v/>
          </cell>
          <cell r="AM117" t="str">
            <v/>
          </cell>
          <cell r="AN117" t="str">
            <v/>
          </cell>
        </row>
        <row r="118">
          <cell r="N118" t="str">
            <v/>
          </cell>
          <cell r="V118" t="str">
            <v/>
          </cell>
          <cell r="W118" t="str">
            <v/>
          </cell>
          <cell r="X118" t="str">
            <v/>
          </cell>
          <cell r="AD118">
            <v>13</v>
          </cell>
          <cell r="AE118">
            <v>0.76205336028305404</v>
          </cell>
          <cell r="AF118">
            <v>2</v>
          </cell>
          <cell r="AG118" t="str">
            <v>Wall of Sand</v>
          </cell>
          <cell r="AL118" t="str">
            <v/>
          </cell>
          <cell r="AM118" t="str">
            <v/>
          </cell>
          <cell r="AN118" t="str">
            <v/>
          </cell>
        </row>
        <row r="119">
          <cell r="N119" t="str">
            <v/>
          </cell>
          <cell r="V119" t="str">
            <v/>
          </cell>
          <cell r="W119" t="str">
            <v/>
          </cell>
          <cell r="X119" t="str">
            <v/>
          </cell>
          <cell r="AL119" t="str">
            <v/>
          </cell>
          <cell r="AM119" t="str">
            <v/>
          </cell>
          <cell r="AN119" t="str">
            <v/>
          </cell>
        </row>
        <row r="120">
          <cell r="N120" t="str">
            <v/>
          </cell>
          <cell r="V120" t="str">
            <v/>
          </cell>
          <cell r="W120" t="str">
            <v/>
          </cell>
          <cell r="X120" t="str">
            <v/>
          </cell>
          <cell r="AL120" t="str">
            <v/>
          </cell>
          <cell r="AM120" t="str">
            <v/>
          </cell>
          <cell r="AN120" t="str">
            <v/>
          </cell>
        </row>
        <row r="121">
          <cell r="N121" t="str">
            <v/>
          </cell>
          <cell r="V121" t="str">
            <v/>
          </cell>
          <cell r="W121" t="str">
            <v/>
          </cell>
          <cell r="X121" t="str">
            <v/>
          </cell>
          <cell r="AL121" t="str">
            <v/>
          </cell>
          <cell r="AM121" t="str">
            <v/>
          </cell>
          <cell r="AN121" t="str">
            <v/>
          </cell>
        </row>
        <row r="122">
          <cell r="V122" t="str">
            <v/>
          </cell>
          <cell r="W122" t="str">
            <v/>
          </cell>
          <cell r="X122" t="str">
            <v/>
          </cell>
        </row>
        <row r="123">
          <cell r="V123" t="str">
            <v/>
          </cell>
          <cell r="W123" t="str">
            <v/>
          </cell>
          <cell r="X123" t="str">
            <v/>
          </cell>
        </row>
        <row r="130">
          <cell r="C130" t="str">
            <v/>
          </cell>
          <cell r="D130" t="str">
            <v>Bless</v>
          </cell>
          <cell r="E130">
            <v>15</v>
          </cell>
          <cell r="F130">
            <v>1</v>
          </cell>
          <cell r="N130">
            <v>1</v>
          </cell>
          <cell r="O130">
            <v>0.27561093060568431</v>
          </cell>
          <cell r="P130">
            <v>5</v>
          </cell>
          <cell r="Q130" t="str">
            <v>Aid</v>
          </cell>
          <cell r="V130">
            <v>1</v>
          </cell>
          <cell r="W130">
            <v>0.41270695372260702</v>
          </cell>
          <cell r="X130">
            <v>9</v>
          </cell>
          <cell r="Y130" t="str">
            <v>Aura of Vitality</v>
          </cell>
          <cell r="AD130">
            <v>1</v>
          </cell>
          <cell r="AE130">
            <v>0.10095064890047389</v>
          </cell>
          <cell r="AF130">
            <v>6</v>
          </cell>
          <cell r="AG130" t="str">
            <v>Aura of Life</v>
          </cell>
          <cell r="AL130">
            <v>1</v>
          </cell>
          <cell r="AM130">
            <v>0.61733144379071558</v>
          </cell>
          <cell r="AN130">
            <v>4</v>
          </cell>
          <cell r="AO130" t="str">
            <v>Banishing Smite</v>
          </cell>
        </row>
        <row r="131">
          <cell r="C131" t="str">
            <v/>
          </cell>
          <cell r="D131" t="str">
            <v>Command</v>
          </cell>
          <cell r="F131">
            <v>2</v>
          </cell>
          <cell r="N131">
            <v>2</v>
          </cell>
          <cell r="O131">
            <v>0.4428855253323174</v>
          </cell>
          <cell r="P131">
            <v>3</v>
          </cell>
          <cell r="Q131" t="str">
            <v>Branding Smite</v>
          </cell>
          <cell r="V131">
            <v>2</v>
          </cell>
          <cell r="W131">
            <v>0.929596787040747</v>
          </cell>
          <cell r="X131">
            <v>1</v>
          </cell>
          <cell r="Y131" t="str">
            <v>Blinding Smite</v>
          </cell>
          <cell r="AD131">
            <v>2</v>
          </cell>
          <cell r="AE131">
            <v>0.47896679260960107</v>
          </cell>
          <cell r="AF131">
            <v>3</v>
          </cell>
          <cell r="AG131" t="str">
            <v>Aura of Purity</v>
          </cell>
          <cell r="AL131">
            <v>2</v>
          </cell>
          <cell r="AM131">
            <v>0.95469583124599933</v>
          </cell>
          <cell r="AN131">
            <v>2</v>
          </cell>
          <cell r="AO131" t="str">
            <v>Circle of Power</v>
          </cell>
        </row>
        <row r="132">
          <cell r="D132" t="str">
            <v>Compelled Duel</v>
          </cell>
          <cell r="F132">
            <v>3</v>
          </cell>
          <cell r="N132">
            <v>3</v>
          </cell>
          <cell r="O132">
            <v>0.58581864751044477</v>
          </cell>
          <cell r="P132">
            <v>2</v>
          </cell>
          <cell r="Q132" t="str">
            <v>Find Steed</v>
          </cell>
          <cell r="V132">
            <v>3</v>
          </cell>
          <cell r="W132">
            <v>0.79911590357796558</v>
          </cell>
          <cell r="X132">
            <v>2</v>
          </cell>
          <cell r="Y132" t="str">
            <v>Create Food and Water</v>
          </cell>
          <cell r="AD132">
            <v>3</v>
          </cell>
          <cell r="AE132">
            <v>0.28124512863501838</v>
          </cell>
          <cell r="AF132">
            <v>5</v>
          </cell>
          <cell r="AG132" t="str">
            <v>Banishment</v>
          </cell>
          <cell r="AL132">
            <v>3</v>
          </cell>
          <cell r="AM132">
            <v>0.95975215257009017</v>
          </cell>
          <cell r="AN132">
            <v>1</v>
          </cell>
          <cell r="AO132" t="str">
            <v>Destructive Wave (Smite?)</v>
          </cell>
        </row>
        <row r="133">
          <cell r="D133" t="str">
            <v>Cure Wounds</v>
          </cell>
          <cell r="F133">
            <v>4</v>
          </cell>
          <cell r="N133">
            <v>4</v>
          </cell>
          <cell r="O133">
            <v>0.94073441134632341</v>
          </cell>
          <cell r="P133">
            <v>1</v>
          </cell>
          <cell r="Q133" t="str">
            <v>Lesser Restoration</v>
          </cell>
          <cell r="V133">
            <v>4</v>
          </cell>
          <cell r="W133">
            <v>0.22916795143977886</v>
          </cell>
          <cell r="X133">
            <v>10</v>
          </cell>
          <cell r="Y133" t="str">
            <v>Crusader's Mantle</v>
          </cell>
          <cell r="AD133">
            <v>4</v>
          </cell>
          <cell r="AE133">
            <v>0.82499253485165169</v>
          </cell>
          <cell r="AF133">
            <v>1</v>
          </cell>
          <cell r="AG133" t="str">
            <v>Death Ward</v>
          </cell>
          <cell r="AL133">
            <v>4</v>
          </cell>
          <cell r="AM133">
            <v>8.1535329940948031E-2</v>
          </cell>
          <cell r="AN133">
            <v>6</v>
          </cell>
          <cell r="AO133" t="str">
            <v>Dispel Evil and Good</v>
          </cell>
        </row>
        <row r="134">
          <cell r="D134" t="str">
            <v>Detect Evil and Good</v>
          </cell>
          <cell r="F134">
            <v>5</v>
          </cell>
          <cell r="N134">
            <v>5</v>
          </cell>
          <cell r="O134">
            <v>4.4215378166838404E-2</v>
          </cell>
          <cell r="P134">
            <v>8</v>
          </cell>
          <cell r="Q134" t="str">
            <v>Locate Object</v>
          </cell>
          <cell r="V134">
            <v>5</v>
          </cell>
          <cell r="W134">
            <v>0.581636035530954</v>
          </cell>
          <cell r="X134">
            <v>7</v>
          </cell>
          <cell r="Y134" t="str">
            <v>Daylight</v>
          </cell>
          <cell r="AD134">
            <v>5</v>
          </cell>
          <cell r="AE134">
            <v>0.46324824968319367</v>
          </cell>
          <cell r="AF134">
            <v>4</v>
          </cell>
          <cell r="AG134" t="str">
            <v>Locate Creature</v>
          </cell>
          <cell r="AL134">
            <v>5</v>
          </cell>
          <cell r="AM134">
            <v>0.25374391750348557</v>
          </cell>
          <cell r="AN134">
            <v>5</v>
          </cell>
          <cell r="AO134" t="str">
            <v>Geas</v>
          </cell>
        </row>
        <row r="135">
          <cell r="D135" t="str">
            <v>Detect Magic</v>
          </cell>
          <cell r="F135">
            <v>6</v>
          </cell>
          <cell r="N135">
            <v>6</v>
          </cell>
          <cell r="O135">
            <v>0.15252180153652817</v>
          </cell>
          <cell r="P135">
            <v>6</v>
          </cell>
          <cell r="Q135" t="str">
            <v>Magic Weapon</v>
          </cell>
          <cell r="V135">
            <v>6</v>
          </cell>
          <cell r="W135">
            <v>0.78591195261446956</v>
          </cell>
          <cell r="X135">
            <v>3</v>
          </cell>
          <cell r="Y135" t="str">
            <v>Dispel Magic</v>
          </cell>
          <cell r="AD135">
            <v>6</v>
          </cell>
          <cell r="AE135">
            <v>0.80561135512083204</v>
          </cell>
          <cell r="AF135">
            <v>2</v>
          </cell>
          <cell r="AG135" t="str">
            <v>Staggering Smite</v>
          </cell>
        </row>
        <row r="136">
          <cell r="D136" t="str">
            <v>Detect Poison and Disease</v>
          </cell>
          <cell r="F136">
            <v>7</v>
          </cell>
          <cell r="N136">
            <v>7</v>
          </cell>
          <cell r="O136">
            <v>0.30790429840082867</v>
          </cell>
          <cell r="P136">
            <v>4</v>
          </cell>
          <cell r="Q136" t="str">
            <v>Protection from Poison</v>
          </cell>
          <cell r="V136">
            <v>7</v>
          </cell>
          <cell r="W136">
            <v>0.6791897072040658</v>
          </cell>
          <cell r="X136">
            <v>4</v>
          </cell>
          <cell r="Y136" t="str">
            <v>Elemental Weapon</v>
          </cell>
        </row>
        <row r="137">
          <cell r="D137" t="str">
            <v>Divine Favor</v>
          </cell>
          <cell r="F137">
            <v>8</v>
          </cell>
          <cell r="N137">
            <v>8</v>
          </cell>
          <cell r="O137">
            <v>5.3838625448625943E-2</v>
          </cell>
          <cell r="P137">
            <v>7</v>
          </cell>
          <cell r="Q137" t="str">
            <v>Zone of Truth</v>
          </cell>
          <cell r="V137">
            <v>8</v>
          </cell>
          <cell r="W137">
            <v>0.46582425523670712</v>
          </cell>
          <cell r="X137">
            <v>8</v>
          </cell>
          <cell r="Y137" t="str">
            <v>Magic Circle</v>
          </cell>
        </row>
        <row r="138">
          <cell r="D138" t="str">
            <v>Heroism</v>
          </cell>
          <cell r="F138">
            <v>9</v>
          </cell>
          <cell r="V138">
            <v>9</v>
          </cell>
          <cell r="W138">
            <v>0.60071891734425409</v>
          </cell>
          <cell r="X138">
            <v>6</v>
          </cell>
          <cell r="Y138" t="str">
            <v>Remove Curse</v>
          </cell>
        </row>
        <row r="139">
          <cell r="D139" t="str">
            <v>Protection from Evil and Good</v>
          </cell>
          <cell r="F139">
            <v>10</v>
          </cell>
          <cell r="V139">
            <v>10</v>
          </cell>
          <cell r="W139">
            <v>0.65781225828088929</v>
          </cell>
          <cell r="X139">
            <v>5</v>
          </cell>
          <cell r="Y139" t="str">
            <v>Revivify</v>
          </cell>
        </row>
        <row r="140">
          <cell r="D140" t="str">
            <v>Purify Food and Drink</v>
          </cell>
          <cell r="F140">
            <v>11</v>
          </cell>
        </row>
        <row r="141">
          <cell r="D141" t="str">
            <v>Searing Smite</v>
          </cell>
          <cell r="F141">
            <v>12</v>
          </cell>
        </row>
        <row r="142">
          <cell r="D142" t="str">
            <v>Shield of Faith</v>
          </cell>
          <cell r="F142">
            <v>13</v>
          </cell>
        </row>
        <row r="143">
          <cell r="D143" t="str">
            <v>Thunderous Smite</v>
          </cell>
          <cell r="F143">
            <v>14</v>
          </cell>
        </row>
        <row r="144">
          <cell r="D144" t="str">
            <v>Wrathful Smite</v>
          </cell>
          <cell r="F144">
            <v>15</v>
          </cell>
        </row>
        <row r="146">
          <cell r="F146" t="str">
            <v/>
          </cell>
          <cell r="G146" t="str">
            <v/>
          </cell>
          <cell r="H146" t="str">
            <v/>
          </cell>
          <cell r="I146" t="str">
            <v/>
          </cell>
          <cell r="N146" t="str">
            <v/>
          </cell>
          <cell r="V146" t="str">
            <v/>
          </cell>
          <cell r="W146" t="str">
            <v/>
          </cell>
          <cell r="X146" t="str">
            <v/>
          </cell>
          <cell r="Y146" t="str">
            <v/>
          </cell>
          <cell r="AD146" t="str">
            <v/>
          </cell>
          <cell r="AE146" t="str">
            <v/>
          </cell>
          <cell r="AF146" t="str">
            <v/>
          </cell>
          <cell r="AG146" t="str">
            <v/>
          </cell>
          <cell r="AL146" t="str">
            <v/>
          </cell>
          <cell r="AM146" t="str">
            <v/>
          </cell>
          <cell r="AN146" t="str">
            <v/>
          </cell>
          <cell r="AO146" t="str">
            <v/>
          </cell>
        </row>
        <row r="151">
          <cell r="V151" t="str">
            <v>Spell Count</v>
          </cell>
          <cell r="W151" t="str">
            <v>Random</v>
          </cell>
          <cell r="X151" t="str">
            <v>Rank</v>
          </cell>
          <cell r="Y151" t="str">
            <v>ALL THIRD</v>
          </cell>
          <cell r="AD151" t="str">
            <v>Spell Count</v>
          </cell>
          <cell r="AE151" t="str">
            <v>Random</v>
          </cell>
          <cell r="AF151" t="str">
            <v>Rank</v>
          </cell>
          <cell r="AG151" t="str">
            <v>ALL FOURTH</v>
          </cell>
          <cell r="AL151" t="str">
            <v>Spell Count</v>
          </cell>
          <cell r="AM151" t="str">
            <v>Random</v>
          </cell>
          <cell r="AN151" t="str">
            <v>Rank</v>
          </cell>
          <cell r="AO151" t="str">
            <v>ALL FIFTH</v>
          </cell>
        </row>
        <row r="153">
          <cell r="K153">
            <v>1</v>
          </cell>
          <cell r="L153" t="str">
            <v>Animal Messenger</v>
          </cell>
          <cell r="M153">
            <v>13</v>
          </cell>
          <cell r="N153">
            <v>1</v>
          </cell>
          <cell r="V153">
            <v>1</v>
          </cell>
          <cell r="W153">
            <v>0.13134007426796601</v>
          </cell>
          <cell r="X153">
            <v>10</v>
          </cell>
          <cell r="Y153" t="str">
            <v>Conjure Animals</v>
          </cell>
          <cell r="AD153">
            <v>1</v>
          </cell>
          <cell r="AE153">
            <v>0.60506011796570291</v>
          </cell>
          <cell r="AF153">
            <v>3</v>
          </cell>
          <cell r="AG153" t="str">
            <v>Conjure Woodland Beings</v>
          </cell>
          <cell r="AL153">
            <v>1</v>
          </cell>
          <cell r="AM153">
            <v>0.16261840224048929</v>
          </cell>
          <cell r="AN153">
            <v>4</v>
          </cell>
          <cell r="AO153" t="str">
            <v>Commune with Nature</v>
          </cell>
        </row>
        <row r="154">
          <cell r="K154">
            <v>2</v>
          </cell>
          <cell r="L154" t="str">
            <v>Barkskin</v>
          </cell>
          <cell r="N154">
            <v>2</v>
          </cell>
          <cell r="V154">
            <v>2</v>
          </cell>
          <cell r="W154">
            <v>0.76891290659859179</v>
          </cell>
          <cell r="X154">
            <v>4</v>
          </cell>
          <cell r="Y154" t="str">
            <v>Conjure Barrage</v>
          </cell>
          <cell r="AD154">
            <v>2</v>
          </cell>
          <cell r="AE154">
            <v>0.78309727435172582</v>
          </cell>
          <cell r="AF154">
            <v>2</v>
          </cell>
          <cell r="AG154" t="str">
            <v>Freedom of Movement</v>
          </cell>
          <cell r="AL154">
            <v>2</v>
          </cell>
          <cell r="AM154">
            <v>0.79637113047725716</v>
          </cell>
          <cell r="AN154">
            <v>1</v>
          </cell>
          <cell r="AO154" t="str">
            <v>Conjure Volley</v>
          </cell>
        </row>
        <row r="155">
          <cell r="K155">
            <v>3</v>
          </cell>
          <cell r="L155" t="str">
            <v>Beast Sense</v>
          </cell>
          <cell r="N155">
            <v>3</v>
          </cell>
          <cell r="V155">
            <v>3</v>
          </cell>
          <cell r="W155">
            <v>0.38020089325232942</v>
          </cell>
          <cell r="X155">
            <v>7</v>
          </cell>
          <cell r="Y155" t="str">
            <v>Daylight</v>
          </cell>
          <cell r="AD155">
            <v>3</v>
          </cell>
          <cell r="AE155">
            <v>0.1412093111714029</v>
          </cell>
          <cell r="AF155">
            <v>5</v>
          </cell>
          <cell r="AG155" t="str">
            <v>Grasping Wine</v>
          </cell>
          <cell r="AL155">
            <v>3</v>
          </cell>
          <cell r="AM155">
            <v>0.56758792954322013</v>
          </cell>
          <cell r="AN155">
            <v>2</v>
          </cell>
          <cell r="AO155" t="str">
            <v>Swift Quiver</v>
          </cell>
        </row>
        <row r="156">
          <cell r="K156">
            <v>4</v>
          </cell>
          <cell r="L156" t="str">
            <v>Cordon of Arrows</v>
          </cell>
          <cell r="N156">
            <v>4</v>
          </cell>
          <cell r="V156">
            <v>4</v>
          </cell>
          <cell r="W156">
            <v>0.92045386909302751</v>
          </cell>
          <cell r="X156">
            <v>2</v>
          </cell>
          <cell r="Y156" t="str">
            <v>Flame Arrows</v>
          </cell>
          <cell r="AD156">
            <v>4</v>
          </cell>
          <cell r="AE156">
            <v>0.96145404105918786</v>
          </cell>
          <cell r="AF156">
            <v>1</v>
          </cell>
          <cell r="AG156" t="str">
            <v>Locate Creature</v>
          </cell>
          <cell r="AL156">
            <v>4</v>
          </cell>
          <cell r="AM156">
            <v>0.28299711438241693</v>
          </cell>
          <cell r="AN156">
            <v>3</v>
          </cell>
          <cell r="AO156" t="str">
            <v>Tree Stride</v>
          </cell>
        </row>
        <row r="157">
          <cell r="K157">
            <v>5</v>
          </cell>
          <cell r="L157" t="str">
            <v>Darkvision</v>
          </cell>
          <cell r="N157">
            <v>5</v>
          </cell>
          <cell r="V157">
            <v>5</v>
          </cell>
          <cell r="W157">
            <v>0.3380070576629679</v>
          </cell>
          <cell r="X157">
            <v>8</v>
          </cell>
          <cell r="Y157" t="str">
            <v>Lightning Arrow</v>
          </cell>
          <cell r="AD157">
            <v>5</v>
          </cell>
          <cell r="AE157">
            <v>0.32206517960190872</v>
          </cell>
          <cell r="AF157">
            <v>4</v>
          </cell>
          <cell r="AG157" t="str">
            <v>Stoneskin</v>
          </cell>
          <cell r="AL157" t="str">
            <v/>
          </cell>
          <cell r="AM157" t="str">
            <v/>
          </cell>
          <cell r="AN157" t="str">
            <v/>
          </cell>
        </row>
        <row r="158">
          <cell r="K158">
            <v>6</v>
          </cell>
          <cell r="L158" t="str">
            <v>Find Traps</v>
          </cell>
          <cell r="N158">
            <v>6</v>
          </cell>
          <cell r="V158">
            <v>6</v>
          </cell>
          <cell r="W158">
            <v>0.90180907322644499</v>
          </cell>
          <cell r="X158">
            <v>3</v>
          </cell>
          <cell r="Y158" t="str">
            <v>Nondetection</v>
          </cell>
          <cell r="AD158" t="str">
            <v/>
          </cell>
          <cell r="AE158" t="str">
            <v/>
          </cell>
          <cell r="AF158" t="str">
            <v/>
          </cell>
          <cell r="AL158" t="str">
            <v/>
          </cell>
          <cell r="AM158" t="str">
            <v/>
          </cell>
          <cell r="AN158" t="str">
            <v/>
          </cell>
        </row>
        <row r="159">
          <cell r="K159">
            <v>7</v>
          </cell>
          <cell r="L159" t="str">
            <v>Lesser Restoration</v>
          </cell>
          <cell r="N159">
            <v>7</v>
          </cell>
          <cell r="V159">
            <v>7</v>
          </cell>
          <cell r="W159">
            <v>9.8146727287051205E-2</v>
          </cell>
          <cell r="X159">
            <v>11</v>
          </cell>
          <cell r="Y159" t="str">
            <v>Plant Growth</v>
          </cell>
          <cell r="AD159" t="str">
            <v/>
          </cell>
          <cell r="AE159" t="str">
            <v/>
          </cell>
          <cell r="AF159" t="str">
            <v/>
          </cell>
          <cell r="AL159" t="str">
            <v/>
          </cell>
          <cell r="AM159" t="str">
            <v/>
          </cell>
          <cell r="AN159" t="str">
            <v/>
          </cell>
        </row>
        <row r="160">
          <cell r="K160">
            <v>8</v>
          </cell>
          <cell r="L160" t="str">
            <v>Locate Animals or Plants</v>
          </cell>
          <cell r="N160">
            <v>8</v>
          </cell>
          <cell r="V160">
            <v>8</v>
          </cell>
          <cell r="W160">
            <v>0.43631812420082272</v>
          </cell>
          <cell r="X160">
            <v>5</v>
          </cell>
          <cell r="Y160" t="str">
            <v>Protection From Energy</v>
          </cell>
          <cell r="AD160" t="str">
            <v/>
          </cell>
          <cell r="AE160" t="str">
            <v/>
          </cell>
          <cell r="AF160" t="str">
            <v/>
          </cell>
          <cell r="AL160" t="str">
            <v/>
          </cell>
          <cell r="AM160" t="str">
            <v/>
          </cell>
          <cell r="AN160" t="str">
            <v/>
          </cell>
        </row>
        <row r="161">
          <cell r="K161">
            <v>9</v>
          </cell>
          <cell r="L161" t="str">
            <v>Locate Object</v>
          </cell>
          <cell r="N161">
            <v>9</v>
          </cell>
          <cell r="V161">
            <v>9</v>
          </cell>
          <cell r="W161">
            <v>0.41977688755984843</v>
          </cell>
          <cell r="X161">
            <v>6</v>
          </cell>
          <cell r="Y161" t="str">
            <v>Speak with Plants</v>
          </cell>
          <cell r="AD161" t="str">
            <v/>
          </cell>
          <cell r="AE161" t="str">
            <v/>
          </cell>
          <cell r="AF161" t="str">
            <v/>
          </cell>
          <cell r="AL161" t="str">
            <v/>
          </cell>
          <cell r="AM161" t="str">
            <v/>
          </cell>
          <cell r="AN161" t="str">
            <v/>
          </cell>
        </row>
        <row r="162">
          <cell r="K162">
            <v>10</v>
          </cell>
          <cell r="L162" t="str">
            <v>Pass Without Trace</v>
          </cell>
          <cell r="N162">
            <v>10</v>
          </cell>
          <cell r="V162">
            <v>10</v>
          </cell>
          <cell r="W162">
            <v>0.92089701112991518</v>
          </cell>
          <cell r="X162">
            <v>1</v>
          </cell>
          <cell r="Y162" t="str">
            <v>Water Breathing</v>
          </cell>
          <cell r="AD162" t="str">
            <v/>
          </cell>
          <cell r="AE162" t="str">
            <v/>
          </cell>
          <cell r="AF162" t="str">
            <v/>
          </cell>
          <cell r="AL162" t="str">
            <v/>
          </cell>
          <cell r="AM162" t="str">
            <v/>
          </cell>
          <cell r="AN162" t="str">
            <v/>
          </cell>
        </row>
        <row r="163">
          <cell r="K163">
            <v>11</v>
          </cell>
          <cell r="L163" t="str">
            <v>Protection From Poison</v>
          </cell>
          <cell r="N163">
            <v>11</v>
          </cell>
          <cell r="V163">
            <v>11</v>
          </cell>
          <cell r="W163">
            <v>0.20411980433221277</v>
          </cell>
          <cell r="X163">
            <v>9</v>
          </cell>
          <cell r="Y163" t="str">
            <v>Water Walk</v>
          </cell>
          <cell r="AD163" t="str">
            <v/>
          </cell>
          <cell r="AE163" t="str">
            <v/>
          </cell>
          <cell r="AF163" t="str">
            <v/>
          </cell>
          <cell r="AL163" t="str">
            <v/>
          </cell>
          <cell r="AM163" t="str">
            <v/>
          </cell>
          <cell r="AN163" t="str">
            <v/>
          </cell>
        </row>
        <row r="164">
          <cell r="K164">
            <v>12</v>
          </cell>
          <cell r="L164" t="str">
            <v>Silence</v>
          </cell>
          <cell r="N164">
            <v>12</v>
          </cell>
          <cell r="V164">
            <v>12</v>
          </cell>
          <cell r="W164">
            <v>6.9746363380314147E-3</v>
          </cell>
          <cell r="X164">
            <v>12</v>
          </cell>
          <cell r="Y164" t="str">
            <v>Wind Wall</v>
          </cell>
          <cell r="AD164" t="str">
            <v/>
          </cell>
          <cell r="AE164" t="str">
            <v/>
          </cell>
          <cell r="AF164" t="str">
            <v/>
          </cell>
          <cell r="AL164" t="str">
            <v/>
          </cell>
          <cell r="AM164" t="str">
            <v/>
          </cell>
          <cell r="AN164" t="str">
            <v/>
          </cell>
        </row>
        <row r="165">
          <cell r="K165">
            <v>13</v>
          </cell>
          <cell r="L165" t="str">
            <v>Spike Growth</v>
          </cell>
          <cell r="N165">
            <v>13</v>
          </cell>
          <cell r="V165" t="str">
            <v/>
          </cell>
          <cell r="W165" t="str">
            <v/>
          </cell>
          <cell r="X165" t="str">
            <v/>
          </cell>
          <cell r="AD165" t="str">
            <v/>
          </cell>
          <cell r="AE165" t="str">
            <v/>
          </cell>
          <cell r="AF165" t="str">
            <v/>
          </cell>
        </row>
        <row r="166">
          <cell r="V166" t="str">
            <v/>
          </cell>
        </row>
        <row r="167">
          <cell r="V167" t="str">
            <v/>
          </cell>
          <cell r="W167" t="str">
            <v/>
          </cell>
          <cell r="X167" t="str">
            <v/>
          </cell>
        </row>
        <row r="172">
          <cell r="V172" t="str">
            <v>Spell Count</v>
          </cell>
          <cell r="W172" t="str">
            <v>Random</v>
          </cell>
          <cell r="X172" t="str">
            <v>Rank</v>
          </cell>
          <cell r="Y172" t="str">
            <v>SECOND</v>
          </cell>
        </row>
        <row r="174">
          <cell r="V174">
            <v>1</v>
          </cell>
          <cell r="W174">
            <v>0.43885306507271216</v>
          </cell>
          <cell r="X174">
            <v>17</v>
          </cell>
          <cell r="Y174" t="str">
            <v>Alter Self</v>
          </cell>
        </row>
        <row r="175">
          <cell r="V175">
            <v>2</v>
          </cell>
          <cell r="W175">
            <v>0.18554407679690332</v>
          </cell>
          <cell r="X175">
            <v>29</v>
          </cell>
          <cell r="Y175" t="str">
            <v>Arcane Lock</v>
          </cell>
        </row>
        <row r="176">
          <cell r="V176">
            <v>3</v>
          </cell>
          <cell r="W176">
            <v>0.2134357987609431</v>
          </cell>
          <cell r="X176">
            <v>27</v>
          </cell>
          <cell r="Y176" t="str">
            <v>Blindness/Deafness</v>
          </cell>
        </row>
        <row r="223">
          <cell r="F223" t="str">
            <v>Mendin</v>
          </cell>
          <cell r="G223" t="str">
            <v>Poison Spray</v>
          </cell>
          <cell r="H223">
            <v>9</v>
          </cell>
          <cell r="I223">
            <v>0.51831590018263007</v>
          </cell>
          <cell r="K223" t="str">
            <v>False Life</v>
          </cell>
          <cell r="L223" t="str">
            <v>Expeditious Retreat</v>
          </cell>
          <cell r="M223">
            <v>9</v>
          </cell>
          <cell r="N223">
            <v>0.73387056058639333</v>
          </cell>
          <cell r="P223" t="str">
            <v>Enhance Ability</v>
          </cell>
          <cell r="Q223" t="str">
            <v>Enhance Ability</v>
          </cell>
          <cell r="R223">
            <v>9</v>
          </cell>
          <cell r="S223">
            <v>0.87552097567148268</v>
          </cell>
          <cell r="X223">
            <v>0.83788657009443457</v>
          </cell>
          <cell r="Y223">
            <v>2</v>
          </cell>
          <cell r="Z223" t="str">
            <v>Stoneskin</v>
          </cell>
          <cell r="AA223" t="str">
            <v>Blight</v>
          </cell>
          <cell r="AF223" t="str">
            <v>Dominate Person</v>
          </cell>
          <cell r="AG223">
            <v>9</v>
          </cell>
          <cell r="AH223">
            <v>0.94848346637215919</v>
          </cell>
          <cell r="AI223">
            <v>2</v>
          </cell>
          <cell r="AN223" t="str">
            <v/>
          </cell>
        </row>
        <row r="224">
          <cell r="F224" t="str">
            <v>Message</v>
          </cell>
          <cell r="G224" t="str">
            <v>Ray of Frost</v>
          </cell>
          <cell r="H224">
            <v>10</v>
          </cell>
          <cell r="I224">
            <v>0.24679361107694708</v>
          </cell>
          <cell r="K224" t="str">
            <v>Feather Fall</v>
          </cell>
          <cell r="L224" t="str">
            <v>False Life</v>
          </cell>
          <cell r="M224">
            <v>10</v>
          </cell>
          <cell r="N224">
            <v>0.5154211483579515</v>
          </cell>
          <cell r="P224" t="str">
            <v>Enlarge/Reduce</v>
          </cell>
          <cell r="Q224" t="str">
            <v>Alter Self</v>
          </cell>
          <cell r="R224">
            <v>10</v>
          </cell>
          <cell r="S224">
            <v>0.1152000170496037</v>
          </cell>
          <cell r="X224">
            <v>0.64758854920128284</v>
          </cell>
          <cell r="Y224">
            <v>4</v>
          </cell>
          <cell r="Z224" t="str">
            <v>Wall of Fire</v>
          </cell>
          <cell r="AA224" t="str">
            <v>Polymorph</v>
          </cell>
          <cell r="AF224" t="str">
            <v>Seeming</v>
          </cell>
          <cell r="AG224">
            <v>10</v>
          </cell>
          <cell r="AH224">
            <v>0.10936937029490312</v>
          </cell>
          <cell r="AI224">
            <v>8</v>
          </cell>
          <cell r="AN224" t="str">
            <v/>
          </cell>
        </row>
        <row r="225">
          <cell r="F225" t="str">
            <v>Minor Illusion</v>
          </cell>
          <cell r="G225" t="str">
            <v>Fire Bolt</v>
          </cell>
          <cell r="H225">
            <v>11</v>
          </cell>
          <cell r="I225">
            <v>0.27739298816915747</v>
          </cell>
          <cell r="K225" t="str">
            <v>Fog Cloud</v>
          </cell>
          <cell r="L225" t="str">
            <v>Mage Armor</v>
          </cell>
          <cell r="M225">
            <v>11</v>
          </cell>
          <cell r="N225">
            <v>0.16365983785612481</v>
          </cell>
          <cell r="P225" t="str">
            <v>Gust of Wind</v>
          </cell>
          <cell r="Q225" t="str">
            <v>Suggestion</v>
          </cell>
          <cell r="R225">
            <v>11</v>
          </cell>
          <cell r="S225">
            <v>0.88244070501301675</v>
          </cell>
          <cell r="X225" t="str">
            <v/>
          </cell>
          <cell r="Y225" t="str">
            <v/>
          </cell>
          <cell r="AF225" t="str">
            <v>Creation</v>
          </cell>
          <cell r="AH225" t="str">
            <v/>
          </cell>
          <cell r="AI225" t="str">
            <v/>
          </cell>
          <cell r="AN225" t="str">
            <v/>
          </cell>
        </row>
        <row r="226">
          <cell r="F226" t="str">
            <v>Poison Spray</v>
          </cell>
          <cell r="G226" t="str">
            <v>Minor Illusion</v>
          </cell>
          <cell r="H226">
            <v>12</v>
          </cell>
          <cell r="I226">
            <v>0.32074869136292972</v>
          </cell>
          <cell r="K226" t="str">
            <v>Jump</v>
          </cell>
          <cell r="L226" t="str">
            <v>Jump</v>
          </cell>
          <cell r="M226">
            <v>12</v>
          </cell>
          <cell r="N226">
            <v>0.12535485046347172</v>
          </cell>
          <cell r="P226" t="str">
            <v>Hold Person</v>
          </cell>
          <cell r="Q226" t="str">
            <v>Enlarge/Reduce</v>
          </cell>
          <cell r="R226">
            <v>12</v>
          </cell>
          <cell r="S226">
            <v>0.85153334552578552</v>
          </cell>
          <cell r="X226" t="str">
            <v/>
          </cell>
          <cell r="Y226" t="str">
            <v/>
          </cell>
          <cell r="AH226" t="str">
            <v/>
          </cell>
          <cell r="AI226" t="str">
            <v/>
          </cell>
          <cell r="AN226" t="str">
            <v/>
          </cell>
        </row>
        <row r="227">
          <cell r="F227" t="str">
            <v>Prestidigitation</v>
          </cell>
          <cell r="G227" t="str">
            <v>Dancing Lights</v>
          </cell>
          <cell r="H227">
            <v>13</v>
          </cell>
          <cell r="I227">
            <v>0.44134560768511266</v>
          </cell>
          <cell r="K227" t="str">
            <v>Mage Armor</v>
          </cell>
          <cell r="L227" t="str">
            <v>Comprehend Languages</v>
          </cell>
          <cell r="M227">
            <v>13</v>
          </cell>
          <cell r="N227">
            <v>0.75860111960688081</v>
          </cell>
          <cell r="P227" t="str">
            <v>Invisibility</v>
          </cell>
          <cell r="Q227" t="str">
            <v>Scorching Ray</v>
          </cell>
          <cell r="R227">
            <v>13</v>
          </cell>
          <cell r="S227">
            <v>0.26312175828681528</v>
          </cell>
          <cell r="X227" t="str">
            <v/>
          </cell>
          <cell r="Y227" t="str">
            <v/>
          </cell>
          <cell r="AH227" t="str">
            <v/>
          </cell>
          <cell r="AI227" t="str">
            <v/>
          </cell>
          <cell r="AN227" t="str">
            <v/>
          </cell>
        </row>
        <row r="228">
          <cell r="F228" t="str">
            <v>Ray of Frost</v>
          </cell>
          <cell r="G228" t="str">
            <v>Acid Splash</v>
          </cell>
          <cell r="H228">
            <v>14</v>
          </cell>
          <cell r="I228">
            <v>0.63045195647487273</v>
          </cell>
          <cell r="K228" t="str">
            <v>Magic Missile</v>
          </cell>
          <cell r="L228" t="str">
            <v>Disguise Self</v>
          </cell>
          <cell r="M228">
            <v>14</v>
          </cell>
          <cell r="N228">
            <v>0.20016266298902419</v>
          </cell>
          <cell r="P228" t="str">
            <v>Knock</v>
          </cell>
          <cell r="Q228" t="str">
            <v>Darkvision</v>
          </cell>
          <cell r="R228">
            <v>14</v>
          </cell>
          <cell r="S228">
            <v>1.1938412140055643E-4</v>
          </cell>
          <cell r="X228" t="str">
            <v/>
          </cell>
          <cell r="Y228" t="str">
            <v/>
          </cell>
          <cell r="AH228" t="str">
            <v/>
          </cell>
          <cell r="AI228" t="str">
            <v/>
          </cell>
          <cell r="AN228" t="str">
            <v/>
          </cell>
        </row>
        <row r="229">
          <cell r="F229" t="str">
            <v>Shocking Grasp</v>
          </cell>
          <cell r="G229" t="str">
            <v>Chill Touch</v>
          </cell>
          <cell r="H229">
            <v>15</v>
          </cell>
          <cell r="I229">
            <v>0.241275219344387</v>
          </cell>
          <cell r="K229" t="str">
            <v>Ray of Sickness</v>
          </cell>
          <cell r="L229" t="str">
            <v>Fog Cloud</v>
          </cell>
          <cell r="M229">
            <v>15</v>
          </cell>
          <cell r="N229">
            <v>0.94072831149094616</v>
          </cell>
          <cell r="P229" t="str">
            <v>Levitate</v>
          </cell>
          <cell r="Q229" t="str">
            <v>Spider Climb</v>
          </cell>
          <cell r="R229">
            <v>15</v>
          </cell>
          <cell r="S229">
            <v>0.653600756032515</v>
          </cell>
          <cell r="X229" t="str">
            <v/>
          </cell>
          <cell r="Y229" t="str">
            <v/>
          </cell>
          <cell r="AH229" t="str">
            <v/>
          </cell>
          <cell r="AI229" t="str">
            <v/>
          </cell>
          <cell r="AN229" t="str">
            <v/>
          </cell>
        </row>
        <row r="230">
          <cell r="F230" t="str">
            <v>True Strike</v>
          </cell>
          <cell r="G230" t="str">
            <v>Prestidigitation</v>
          </cell>
          <cell r="H230">
            <v>16</v>
          </cell>
          <cell r="I230">
            <v>0.20495295390280732</v>
          </cell>
          <cell r="K230" t="str">
            <v>Shield</v>
          </cell>
          <cell r="L230" t="str">
            <v>Feather Fall</v>
          </cell>
          <cell r="M230">
            <v>16</v>
          </cell>
          <cell r="N230">
            <v>0.77900793105947741</v>
          </cell>
          <cell r="P230" t="str">
            <v>Mirror Image</v>
          </cell>
          <cell r="Q230" t="str">
            <v>Cloud of Daggers</v>
          </cell>
          <cell r="R230">
            <v>16</v>
          </cell>
          <cell r="S230">
            <v>0.25792439220144892</v>
          </cell>
          <cell r="X230" t="str">
            <v/>
          </cell>
          <cell r="Y230" t="str">
            <v/>
          </cell>
          <cell r="AH230" t="str">
            <v/>
          </cell>
          <cell r="AI230" t="str">
            <v/>
          </cell>
          <cell r="AN230" t="str">
            <v/>
          </cell>
        </row>
        <row r="231">
          <cell r="H231">
            <v>17</v>
          </cell>
          <cell r="I231">
            <v>0.84005506566255206</v>
          </cell>
          <cell r="K231" t="str">
            <v>Silent Image</v>
          </cell>
          <cell r="L231" t="str">
            <v>Ray of Sickness</v>
          </cell>
          <cell r="M231">
            <v>17</v>
          </cell>
          <cell r="N231">
            <v>0.77562909893921606</v>
          </cell>
          <cell r="P231" t="str">
            <v>Misty Step</v>
          </cell>
          <cell r="Q231" t="str">
            <v>Shatter</v>
          </cell>
          <cell r="R231">
            <v>17</v>
          </cell>
          <cell r="S231">
            <v>0.90210431078494646</v>
          </cell>
          <cell r="X231" t="str">
            <v/>
          </cell>
          <cell r="Y231" t="str">
            <v/>
          </cell>
          <cell r="AH231" t="str">
            <v/>
          </cell>
          <cell r="AI231" t="str">
            <v/>
          </cell>
          <cell r="AN231" t="str">
            <v/>
          </cell>
        </row>
        <row r="232">
          <cell r="H232">
            <v>18</v>
          </cell>
          <cell r="I232">
            <v>0.86941492751728522</v>
          </cell>
          <cell r="K232" t="str">
            <v>Sleep</v>
          </cell>
          <cell r="L232" t="str">
            <v>Shield</v>
          </cell>
          <cell r="M232">
            <v>18</v>
          </cell>
          <cell r="N232">
            <v>8.2310321727787961E-2</v>
          </cell>
          <cell r="P232" t="str">
            <v>Phantasmal Force</v>
          </cell>
          <cell r="Q232" t="str">
            <v>Crown of Madness</v>
          </cell>
          <cell r="R232">
            <v>18</v>
          </cell>
          <cell r="S232">
            <v>0.93689229193779588</v>
          </cell>
          <cell r="X232" t="str">
            <v/>
          </cell>
          <cell r="Y232" t="str">
            <v/>
          </cell>
          <cell r="AH232" t="str">
            <v/>
          </cell>
          <cell r="AI232" t="str">
            <v/>
          </cell>
          <cell r="AN232" t="str">
            <v/>
          </cell>
        </row>
        <row r="233">
          <cell r="H233">
            <v>19</v>
          </cell>
          <cell r="I233">
            <v>0.16163487627166884</v>
          </cell>
          <cell r="K233" t="str">
            <v>Thunderwave</v>
          </cell>
          <cell r="L233" t="str">
            <v>Thunderwave</v>
          </cell>
          <cell r="M233">
            <v>19</v>
          </cell>
          <cell r="N233">
            <v>0.47142789473871949</v>
          </cell>
          <cell r="P233" t="str">
            <v>Scorching Ray</v>
          </cell>
          <cell r="Q233" t="str">
            <v>Knock</v>
          </cell>
          <cell r="R233">
            <v>19</v>
          </cell>
          <cell r="S233">
            <v>0.2900314509577111</v>
          </cell>
          <cell r="X233" t="str">
            <v/>
          </cell>
          <cell r="Y233" t="str">
            <v/>
          </cell>
          <cell r="AN233" t="str">
            <v/>
          </cell>
        </row>
        <row r="234">
          <cell r="H234">
            <v>20</v>
          </cell>
          <cell r="I234">
            <v>0.94374365868242005</v>
          </cell>
          <cell r="K234" t="str">
            <v>Witch Bolt</v>
          </cell>
          <cell r="L234" t="str">
            <v>Charm Person</v>
          </cell>
          <cell r="M234">
            <v>20</v>
          </cell>
          <cell r="N234">
            <v>1.4328215777960063E-3</v>
          </cell>
          <cell r="P234" t="str">
            <v>See Invisibility</v>
          </cell>
          <cell r="Q234" t="str">
            <v>Gust of Wind</v>
          </cell>
          <cell r="R234">
            <v>20</v>
          </cell>
          <cell r="S234">
            <v>0.12660420292267693</v>
          </cell>
          <cell r="X234" t="str">
            <v/>
          </cell>
          <cell r="Y234" t="str">
            <v/>
          </cell>
        </row>
        <row r="235">
          <cell r="H235" t="str">
            <v/>
          </cell>
          <cell r="I235" t="str">
            <v/>
          </cell>
          <cell r="M235">
            <v>21</v>
          </cell>
          <cell r="N235">
            <v>0.31514046893572056</v>
          </cell>
          <cell r="P235" t="str">
            <v>Shatter</v>
          </cell>
          <cell r="Q235" t="str">
            <v>Hold Person</v>
          </cell>
          <cell r="S235" t="str">
            <v/>
          </cell>
          <cell r="X235" t="str">
            <v/>
          </cell>
          <cell r="Y235" t="str">
            <v/>
          </cell>
        </row>
        <row r="236">
          <cell r="H236" t="str">
            <v/>
          </cell>
          <cell r="I236" t="str">
            <v/>
          </cell>
          <cell r="M236">
            <v>22</v>
          </cell>
          <cell r="N236">
            <v>0.41101089931527468</v>
          </cell>
          <cell r="P236" t="str">
            <v>Spider Climb</v>
          </cell>
          <cell r="Q236" t="str">
            <v>Phantasmal Force</v>
          </cell>
          <cell r="S236" t="str">
            <v/>
          </cell>
          <cell r="X236" t="str">
            <v/>
          </cell>
          <cell r="Y236" t="str">
            <v/>
          </cell>
        </row>
        <row r="237">
          <cell r="H237" t="str">
            <v/>
          </cell>
          <cell r="I237" t="str">
            <v/>
          </cell>
          <cell r="M237">
            <v>23</v>
          </cell>
          <cell r="N237">
            <v>0.69873077055562538</v>
          </cell>
          <cell r="P237" t="str">
            <v>Suggestion</v>
          </cell>
          <cell r="Q237" t="str">
            <v>Darkness</v>
          </cell>
          <cell r="S237" t="str">
            <v/>
          </cell>
          <cell r="X237" t="str">
            <v/>
          </cell>
          <cell r="Y237" t="str">
            <v/>
          </cell>
        </row>
        <row r="238">
          <cell r="H238" t="str">
            <v/>
          </cell>
          <cell r="I238" t="str">
            <v/>
          </cell>
          <cell r="M238">
            <v>24</v>
          </cell>
          <cell r="N238">
            <v>0.95943294006285196</v>
          </cell>
          <cell r="P238" t="str">
            <v>Web</v>
          </cell>
          <cell r="Q238" t="str">
            <v>See Invisibility</v>
          </cell>
          <cell r="S238" t="str">
            <v/>
          </cell>
          <cell r="X238" t="str">
            <v/>
          </cell>
          <cell r="Y238" t="str">
            <v/>
          </cell>
        </row>
        <row r="239">
          <cell r="M239" t="str">
            <v/>
          </cell>
          <cell r="N239" t="str">
            <v/>
          </cell>
          <cell r="R239" t="str">
            <v/>
          </cell>
          <cell r="S239" t="str">
            <v/>
          </cell>
          <cell r="X239" t="str">
            <v/>
          </cell>
          <cell r="Y239" t="str">
            <v/>
          </cell>
        </row>
        <row r="246">
          <cell r="H246">
            <v>1</v>
          </cell>
          <cell r="I246">
            <v>0.59252295915124942</v>
          </cell>
          <cell r="J246">
            <v>5</v>
          </cell>
          <cell r="K246" t="str">
            <v>Armor of Agathys</v>
          </cell>
          <cell r="L246" t="str">
            <v>Comprehend Languages</v>
          </cell>
          <cell r="O246">
            <v>7</v>
          </cell>
          <cell r="P246" t="str">
            <v>Cloud of Daggers</v>
          </cell>
          <cell r="Q246" t="str">
            <v>Darkness</v>
          </cell>
          <cell r="T246">
            <v>1</v>
          </cell>
          <cell r="U246" t="str">
            <v>Counterspell</v>
          </cell>
          <cell r="V246" t="str">
            <v>Dispel Magic</v>
          </cell>
          <cell r="Y246">
            <v>1</v>
          </cell>
          <cell r="Z246" t="str">
            <v>Banishment</v>
          </cell>
          <cell r="AA246" t="str">
            <v/>
          </cell>
        </row>
        <row r="247">
          <cell r="H247">
            <v>2</v>
          </cell>
          <cell r="I247">
            <v>0.41645034240175738</v>
          </cell>
          <cell r="J247">
            <v>8</v>
          </cell>
          <cell r="K247" t="str">
            <v>Arms of Hadar</v>
          </cell>
          <cell r="L247" t="str">
            <v>Hex</v>
          </cell>
          <cell r="O247">
            <v>5</v>
          </cell>
          <cell r="P247" t="str">
            <v>Crown of Madness</v>
          </cell>
          <cell r="Q247" t="str">
            <v>Ray of Enfeeblement</v>
          </cell>
          <cell r="T247">
            <v>14</v>
          </cell>
          <cell r="U247" t="str">
            <v>Dispel Magic</v>
          </cell>
          <cell r="V247" t="str">
            <v>Tongues</v>
          </cell>
          <cell r="Y247">
            <v>4</v>
          </cell>
          <cell r="Z247" t="str">
            <v>Blight</v>
          </cell>
          <cell r="AA247" t="str">
            <v>Dimension Door</v>
          </cell>
        </row>
        <row r="248">
          <cell r="H248">
            <v>3</v>
          </cell>
          <cell r="I248">
            <v>4.7273640855315824E-2</v>
          </cell>
          <cell r="J248">
            <v>13</v>
          </cell>
          <cell r="K248" t="str">
            <v>Charm Person</v>
          </cell>
          <cell r="L248" t="str">
            <v>Protection from Evil &amp; Good</v>
          </cell>
          <cell r="O248">
            <v>9</v>
          </cell>
          <cell r="P248" t="str">
            <v>Darkness</v>
          </cell>
          <cell r="T248">
            <v>2</v>
          </cell>
          <cell r="U248" t="str">
            <v>Fear</v>
          </cell>
          <cell r="Y248">
            <v>6</v>
          </cell>
          <cell r="Z248" t="str">
            <v>Dimension Door</v>
          </cell>
        </row>
        <row r="249">
          <cell r="H249">
            <v>4</v>
          </cell>
          <cell r="I249">
            <v>0.50355746644768562</v>
          </cell>
          <cell r="J249">
            <v>7</v>
          </cell>
          <cell r="K249" t="str">
            <v>Comprehend Languages</v>
          </cell>
          <cell r="O249">
            <v>1</v>
          </cell>
          <cell r="P249" t="str">
            <v>Enthrall</v>
          </cell>
          <cell r="T249">
            <v>9</v>
          </cell>
          <cell r="U249" t="str">
            <v>Fly</v>
          </cell>
          <cell r="Y249">
            <v>2</v>
          </cell>
          <cell r="Z249" t="str">
            <v>Hallucinatory Terrain</v>
          </cell>
        </row>
        <row r="250">
          <cell r="H250">
            <v>5</v>
          </cell>
          <cell r="I250">
            <v>6.8967629923204488E-2</v>
          </cell>
          <cell r="J250">
            <v>12</v>
          </cell>
          <cell r="K250" t="str">
            <v>Expeditious Retreat</v>
          </cell>
          <cell r="O250">
            <v>12</v>
          </cell>
          <cell r="P250" t="str">
            <v>Hold Person</v>
          </cell>
        </row>
        <row r="251">
          <cell r="H251">
            <v>6</v>
          </cell>
          <cell r="I251">
            <v>0.76358867365384531</v>
          </cell>
          <cell r="J251">
            <v>2</v>
          </cell>
          <cell r="K251" t="str">
            <v>Hellish Rebuke</v>
          </cell>
          <cell r="O251">
            <v>4</v>
          </cell>
          <cell r="P251" t="str">
            <v>Invisibility</v>
          </cell>
        </row>
        <row r="252">
          <cell r="H252">
            <v>7</v>
          </cell>
          <cell r="I252">
            <v>0.24336307784436562</v>
          </cell>
          <cell r="J252">
            <v>11</v>
          </cell>
          <cell r="K252" t="str">
            <v>Hex</v>
          </cell>
          <cell r="O252">
            <v>6</v>
          </cell>
          <cell r="P252" t="str">
            <v>Mirror Image</v>
          </cell>
        </row>
        <row r="253">
          <cell r="H253">
            <v>8</v>
          </cell>
          <cell r="I253">
            <v>0.54235593355058231</v>
          </cell>
          <cell r="J253">
            <v>6</v>
          </cell>
          <cell r="K253" t="str">
            <v>Illusory Script</v>
          </cell>
          <cell r="O253">
            <v>10</v>
          </cell>
          <cell r="P253" t="str">
            <v>Misty Step</v>
          </cell>
        </row>
        <row r="254">
          <cell r="H254">
            <v>9</v>
          </cell>
          <cell r="I254">
            <v>0.71960192720651195</v>
          </cell>
          <cell r="J254">
            <v>3</v>
          </cell>
          <cell r="K254" t="str">
            <v>Protection from Evil &amp; Good</v>
          </cell>
          <cell r="O254">
            <v>2</v>
          </cell>
          <cell r="P254" t="str">
            <v>Ray of Enfeeblement</v>
          </cell>
        </row>
        <row r="255">
          <cell r="H255">
            <v>10</v>
          </cell>
          <cell r="I255">
            <v>0.31934688035082559</v>
          </cell>
          <cell r="J255">
            <v>10</v>
          </cell>
          <cell r="K255" t="str">
            <v>Unseen Servant</v>
          </cell>
          <cell r="O255">
            <v>8</v>
          </cell>
          <cell r="P255" t="str">
            <v>Shatter</v>
          </cell>
        </row>
        <row r="256">
          <cell r="H256">
            <v>11</v>
          </cell>
          <cell r="I256">
            <v>0.36010703700067703</v>
          </cell>
          <cell r="J256">
            <v>9</v>
          </cell>
          <cell r="K256" t="str">
            <v>Witch Bolt</v>
          </cell>
          <cell r="O256">
            <v>3</v>
          </cell>
          <cell r="P256" t="str">
            <v>Spider Climb</v>
          </cell>
        </row>
        <row r="257">
          <cell r="J257">
            <v>4</v>
          </cell>
          <cell r="K257" t="str">
            <v/>
          </cell>
          <cell r="O257">
            <v>14</v>
          </cell>
          <cell r="P257" t="str">
            <v>Suggestion</v>
          </cell>
        </row>
        <row r="267">
          <cell r="F267" t="str">
            <v>Blade Ward</v>
          </cell>
          <cell r="G267" t="str">
            <v>Shocking Grasp</v>
          </cell>
          <cell r="H267">
            <v>2</v>
          </cell>
          <cell r="I267">
            <v>0.99229485404057516</v>
          </cell>
          <cell r="K267" t="str">
            <v>Burning Hands</v>
          </cell>
          <cell r="L267" t="str">
            <v>Protection from Evil &amp; Good</v>
          </cell>
          <cell r="M267">
            <v>2</v>
          </cell>
          <cell r="N267">
            <v>0.58577291195617065</v>
          </cell>
          <cell r="P267" t="str">
            <v>Arcane Lock</v>
          </cell>
          <cell r="Q267" t="str">
            <v>Mirror Image</v>
          </cell>
          <cell r="R267">
            <v>2</v>
          </cell>
          <cell r="S267">
            <v>0.6824067049207948</v>
          </cell>
          <cell r="X267">
            <v>0.17934355123411372</v>
          </cell>
          <cell r="Y267">
            <v>19</v>
          </cell>
          <cell r="Z267" t="str">
            <v>Banishment</v>
          </cell>
          <cell r="AA267" t="str">
            <v>Fabricate</v>
          </cell>
          <cell r="AF267" t="str">
            <v>Planar Binding</v>
          </cell>
          <cell r="AG267">
            <v>2</v>
          </cell>
          <cell r="AH267">
            <v>1.6324846853398078E-2</v>
          </cell>
          <cell r="AI267">
            <v>20</v>
          </cell>
          <cell r="AN267">
            <v>3</v>
          </cell>
          <cell r="AO267" t="str">
            <v>Etherealness</v>
          </cell>
          <cell r="AP267" t="str">
            <v>Sequester</v>
          </cell>
          <cell r="AQ267">
            <v>2</v>
          </cell>
        </row>
        <row r="268">
          <cell r="F268" t="str">
            <v>Chill Touch</v>
          </cell>
          <cell r="G268" t="str">
            <v>Poison Spray</v>
          </cell>
          <cell r="H268">
            <v>3</v>
          </cell>
          <cell r="I268">
            <v>0.63135328724996342</v>
          </cell>
          <cell r="K268" t="str">
            <v>Charm Person</v>
          </cell>
          <cell r="L268" t="str">
            <v>Identify</v>
          </cell>
          <cell r="M268">
            <v>3</v>
          </cell>
          <cell r="N268">
            <v>0.83117918932953327</v>
          </cell>
          <cell r="P268" t="str">
            <v>Blindness/Deafness</v>
          </cell>
          <cell r="Q268" t="str">
            <v>Blindness/Deafness</v>
          </cell>
          <cell r="R268">
            <v>3</v>
          </cell>
          <cell r="S268">
            <v>0.92766056320509582</v>
          </cell>
          <cell r="X268">
            <v>0.5995832024084482</v>
          </cell>
          <cell r="Y268">
            <v>8</v>
          </cell>
          <cell r="Z268" t="str">
            <v>Blight</v>
          </cell>
          <cell r="AA268" t="str">
            <v>Confusion</v>
          </cell>
          <cell r="AF268" t="str">
            <v>Passwall</v>
          </cell>
          <cell r="AG268">
            <v>3</v>
          </cell>
          <cell r="AH268">
            <v>0.39696691316102317</v>
          </cell>
          <cell r="AI268">
            <v>10</v>
          </cell>
          <cell r="AN268">
            <v>7</v>
          </cell>
          <cell r="AO268" t="str">
            <v>Finger of Death</v>
          </cell>
          <cell r="AP268" t="str">
            <v>Etherealness</v>
          </cell>
          <cell r="AQ268">
            <v>3</v>
          </cell>
        </row>
        <row r="269">
          <cell r="F269" t="str">
            <v>Dancing Lights</v>
          </cell>
          <cell r="G269" t="str">
            <v>Blade Ward</v>
          </cell>
          <cell r="H269">
            <v>4</v>
          </cell>
          <cell r="I269">
            <v>0.78465783018665824</v>
          </cell>
          <cell r="K269" t="str">
            <v>Chromatic Orb</v>
          </cell>
          <cell r="L269" t="str">
            <v>Jump</v>
          </cell>
          <cell r="M269">
            <v>4</v>
          </cell>
          <cell r="N269">
            <v>2.950532214509527E-2</v>
          </cell>
          <cell r="P269" t="str">
            <v>Blur</v>
          </cell>
          <cell r="Q269" t="str">
            <v>Phantasmal Force</v>
          </cell>
          <cell r="R269">
            <v>4</v>
          </cell>
          <cell r="S269">
            <v>0.74559942267414148</v>
          </cell>
          <cell r="X269">
            <v>0.82560093354485653</v>
          </cell>
          <cell r="Y269">
            <v>3</v>
          </cell>
          <cell r="Z269" t="str">
            <v>Confusion</v>
          </cell>
          <cell r="AA269" t="str">
            <v>Control Water</v>
          </cell>
          <cell r="AF269" t="str">
            <v>Dream</v>
          </cell>
          <cell r="AG269">
            <v>4</v>
          </cell>
          <cell r="AH269">
            <v>9.7460347836005323E-2</v>
          </cell>
          <cell r="AI269">
            <v>17</v>
          </cell>
          <cell r="AN269">
            <v>13</v>
          </cell>
          <cell r="AO269" t="str">
            <v>Forcecage</v>
          </cell>
          <cell r="AP269" t="str">
            <v>Teleport</v>
          </cell>
          <cell r="AQ269">
            <v>4</v>
          </cell>
        </row>
        <row r="270">
          <cell r="F270" t="str">
            <v>Fire Bolt</v>
          </cell>
          <cell r="G270" t="str">
            <v>Dancing Lights</v>
          </cell>
          <cell r="H270">
            <v>5</v>
          </cell>
          <cell r="I270">
            <v>0.11512114940088924</v>
          </cell>
          <cell r="K270" t="str">
            <v>Color Spray</v>
          </cell>
          <cell r="L270" t="str">
            <v>Chromatic Orb</v>
          </cell>
          <cell r="M270">
            <v>5</v>
          </cell>
          <cell r="N270">
            <v>4.9396119293876106E-2</v>
          </cell>
          <cell r="P270" t="str">
            <v>Cloud of Daggers</v>
          </cell>
          <cell r="Q270" t="str">
            <v>Shatter</v>
          </cell>
          <cell r="R270">
            <v>5</v>
          </cell>
          <cell r="S270">
            <v>0.16524302479596653</v>
          </cell>
          <cell r="X270">
            <v>0.69886848394118761</v>
          </cell>
          <cell r="Y270">
            <v>6</v>
          </cell>
          <cell r="Z270" t="str">
            <v>Conjure Minor Elementals</v>
          </cell>
          <cell r="AA270" t="str">
            <v>Mordekainen's Faithful Hound</v>
          </cell>
          <cell r="AF270" t="str">
            <v>Contact Other Plane</v>
          </cell>
          <cell r="AG270">
            <v>5</v>
          </cell>
          <cell r="AH270">
            <v>0.47154249062857534</v>
          </cell>
          <cell r="AI270">
            <v>9</v>
          </cell>
          <cell r="AN270">
            <v>6</v>
          </cell>
          <cell r="AO270" t="str">
            <v>Mirage Arcane</v>
          </cell>
          <cell r="AP270" t="str">
            <v>Mordekainen's Sword</v>
          </cell>
          <cell r="AQ270">
            <v>5</v>
          </cell>
        </row>
        <row r="271">
          <cell r="F271" t="str">
            <v>Friends</v>
          </cell>
          <cell r="G271" t="str">
            <v>Acid Splash</v>
          </cell>
          <cell r="H271">
            <v>6</v>
          </cell>
          <cell r="I271">
            <v>0.75750740631601221</v>
          </cell>
          <cell r="K271" t="str">
            <v>Comprehend Languages</v>
          </cell>
          <cell r="L271" t="str">
            <v>Comprehend Languages</v>
          </cell>
          <cell r="M271">
            <v>6</v>
          </cell>
          <cell r="N271">
            <v>0.24087489219360125</v>
          </cell>
          <cell r="P271" t="str">
            <v>Continual Flame</v>
          </cell>
          <cell r="Q271" t="str">
            <v>Enlarge/Reduce</v>
          </cell>
          <cell r="R271">
            <v>6</v>
          </cell>
          <cell r="S271">
            <v>0.90403811308244653</v>
          </cell>
          <cell r="X271">
            <v>0.787400854892786</v>
          </cell>
          <cell r="Y271">
            <v>4</v>
          </cell>
          <cell r="Z271" t="str">
            <v>Control Water</v>
          </cell>
          <cell r="AA271" t="str">
            <v>Conjure Minor Elementals</v>
          </cell>
          <cell r="AF271" t="str">
            <v>Cone of Cold</v>
          </cell>
          <cell r="AG271">
            <v>6</v>
          </cell>
          <cell r="AH271">
            <v>9.1573174192100093E-2</v>
          </cell>
          <cell r="AI271">
            <v>18</v>
          </cell>
          <cell r="AN271">
            <v>1</v>
          </cell>
          <cell r="AO271" t="str">
            <v>Mordekainen's Magnificent Mansion</v>
          </cell>
          <cell r="AP271" t="str">
            <v>Mirage Arcane</v>
          </cell>
          <cell r="AQ271">
            <v>6</v>
          </cell>
        </row>
        <row r="272">
          <cell r="F272" t="str">
            <v>Light</v>
          </cell>
          <cell r="G272" t="str">
            <v>True Strike</v>
          </cell>
          <cell r="H272">
            <v>7</v>
          </cell>
          <cell r="I272">
            <v>0.1851479073364658</v>
          </cell>
          <cell r="K272" t="str">
            <v>Detect Magic</v>
          </cell>
          <cell r="L272" t="str">
            <v>Find Familiar</v>
          </cell>
          <cell r="M272">
            <v>7</v>
          </cell>
          <cell r="N272">
            <v>0.30812293900437182</v>
          </cell>
          <cell r="P272" t="str">
            <v>Crown of Madness</v>
          </cell>
          <cell r="Q272" t="str">
            <v>Gentle Repose</v>
          </cell>
          <cell r="R272">
            <v>7</v>
          </cell>
          <cell r="S272">
            <v>0.34702682958614062</v>
          </cell>
          <cell r="X272">
            <v>0.50533427365878258</v>
          </cell>
          <cell r="Y272">
            <v>11</v>
          </cell>
          <cell r="Z272" t="str">
            <v>Dimension Door</v>
          </cell>
          <cell r="AA272" t="str">
            <v>Polymorph</v>
          </cell>
          <cell r="AF272" t="str">
            <v>Rary's Telepathic Bond</v>
          </cell>
          <cell r="AG272">
            <v>7</v>
          </cell>
          <cell r="AH272">
            <v>0.88840764777515635</v>
          </cell>
          <cell r="AI272">
            <v>2</v>
          </cell>
          <cell r="AN272">
            <v>5</v>
          </cell>
          <cell r="AO272" t="str">
            <v>Mordekainen's Sword</v>
          </cell>
          <cell r="AP272" t="str">
            <v>Finger of Death</v>
          </cell>
          <cell r="AQ272">
            <v>7</v>
          </cell>
        </row>
        <row r="273">
          <cell r="F273" t="str">
            <v>Mage Hand</v>
          </cell>
          <cell r="G273" t="str">
            <v>Prestidigitation</v>
          </cell>
          <cell r="H273">
            <v>8</v>
          </cell>
          <cell r="I273">
            <v>0.2959039101280081</v>
          </cell>
          <cell r="K273" t="str">
            <v>Disguise Self</v>
          </cell>
          <cell r="L273" t="str">
            <v>Mage Armor</v>
          </cell>
          <cell r="M273">
            <v>8</v>
          </cell>
          <cell r="N273">
            <v>0.65204221625535508</v>
          </cell>
          <cell r="P273" t="str">
            <v>Darkness</v>
          </cell>
          <cell r="Q273" t="str">
            <v>Magic Mouth</v>
          </cell>
          <cell r="R273">
            <v>8</v>
          </cell>
          <cell r="S273">
            <v>0.12344549275849137</v>
          </cell>
          <cell r="X273">
            <v>0.89467651409258964</v>
          </cell>
          <cell r="Y273">
            <v>1</v>
          </cell>
          <cell r="Z273" t="str">
            <v>Evard's Black Tentacles</v>
          </cell>
          <cell r="AA273" t="str">
            <v>Blight</v>
          </cell>
          <cell r="AF273" t="str">
            <v>Conjure Elemental</v>
          </cell>
          <cell r="AG273">
            <v>8</v>
          </cell>
          <cell r="AH273">
            <v>0.95922809046542734</v>
          </cell>
          <cell r="AI273">
            <v>1</v>
          </cell>
          <cell r="AN273">
            <v>9</v>
          </cell>
          <cell r="AO273" t="str">
            <v>Plane Shift</v>
          </cell>
          <cell r="AP273" t="str">
            <v>Project Image</v>
          </cell>
          <cell r="AQ273">
            <v>8</v>
          </cell>
        </row>
        <row r="274">
          <cell r="F274" t="str">
            <v>Mending</v>
          </cell>
          <cell r="G274" t="str">
            <v>Friends</v>
          </cell>
          <cell r="H274">
            <v>9</v>
          </cell>
          <cell r="I274">
            <v>0.12750285062690259</v>
          </cell>
          <cell r="K274" t="str">
            <v>Expeditious Retreat</v>
          </cell>
          <cell r="L274" t="str">
            <v>Ray of Sickness</v>
          </cell>
          <cell r="M274">
            <v>9</v>
          </cell>
          <cell r="N274">
            <v>0.10998327194186885</v>
          </cell>
          <cell r="P274" t="str">
            <v>Darkvision</v>
          </cell>
          <cell r="Q274" t="str">
            <v>Nystul's Magic Aura</v>
          </cell>
          <cell r="R274">
            <v>9</v>
          </cell>
          <cell r="S274">
            <v>0.24699180933952369</v>
          </cell>
          <cell r="X274">
            <v>0.88254557875131712</v>
          </cell>
          <cell r="Y274">
            <v>2</v>
          </cell>
          <cell r="Z274" t="str">
            <v>Fabricate</v>
          </cell>
          <cell r="AA274" t="str">
            <v>Mordekainen's Private Sanctum</v>
          </cell>
          <cell r="AF274" t="str">
            <v>Scrying</v>
          </cell>
          <cell r="AG274">
            <v>9</v>
          </cell>
          <cell r="AH274">
            <v>0.71789334306214037</v>
          </cell>
          <cell r="AI274">
            <v>4</v>
          </cell>
          <cell r="AN274">
            <v>10</v>
          </cell>
          <cell r="AO274" t="str">
            <v>Prismatic Spray</v>
          </cell>
          <cell r="AP274" t="str">
            <v>Plane Shift</v>
          </cell>
          <cell r="AQ274">
            <v>9</v>
          </cell>
        </row>
        <row r="275">
          <cell r="F275" t="str">
            <v>Message</v>
          </cell>
          <cell r="G275" t="str">
            <v>Fire Bolt</v>
          </cell>
          <cell r="H275">
            <v>10</v>
          </cell>
          <cell r="I275">
            <v>0.20435439467464611</v>
          </cell>
          <cell r="K275" t="str">
            <v>False Life</v>
          </cell>
          <cell r="L275" t="str">
            <v>Tasha's Hideous Laughter</v>
          </cell>
          <cell r="M275">
            <v>10</v>
          </cell>
          <cell r="N275">
            <v>0.23841638354034489</v>
          </cell>
          <cell r="P275" t="str">
            <v>Detect Thoughts</v>
          </cell>
          <cell r="Q275" t="str">
            <v>Darkness</v>
          </cell>
          <cell r="R275">
            <v>10</v>
          </cell>
          <cell r="S275">
            <v>0.29421997147184231</v>
          </cell>
          <cell r="X275">
            <v>0.14411755494051459</v>
          </cell>
          <cell r="Y275">
            <v>20</v>
          </cell>
          <cell r="Z275" t="str">
            <v>Fire Shield</v>
          </cell>
          <cell r="AA275" t="str">
            <v>Leomund's Secret Chest</v>
          </cell>
          <cell r="AF275" t="str">
            <v>Teleportation Circle</v>
          </cell>
          <cell r="AG275">
            <v>10</v>
          </cell>
          <cell r="AH275">
            <v>0.71275360198189908</v>
          </cell>
          <cell r="AI275">
            <v>5</v>
          </cell>
          <cell r="AN275">
            <v>8</v>
          </cell>
          <cell r="AO275" t="str">
            <v>Project Image</v>
          </cell>
          <cell r="AP275" t="str">
            <v>Prismatic Spray</v>
          </cell>
          <cell r="AQ275">
            <v>10</v>
          </cell>
        </row>
        <row r="276">
          <cell r="F276" t="str">
            <v>Minor Illusion</v>
          </cell>
          <cell r="G276" t="str">
            <v>Message</v>
          </cell>
          <cell r="H276">
            <v>11</v>
          </cell>
          <cell r="I276">
            <v>0.6482380975599793</v>
          </cell>
          <cell r="K276" t="str">
            <v>Feather Fall</v>
          </cell>
          <cell r="L276" t="str">
            <v>Feather Fall</v>
          </cell>
          <cell r="M276">
            <v>11</v>
          </cell>
          <cell r="N276">
            <v>0.7700438610637429</v>
          </cell>
          <cell r="P276" t="str">
            <v>Enlarge/Reduce</v>
          </cell>
          <cell r="Q276" t="str">
            <v>Invisibility</v>
          </cell>
          <cell r="R276">
            <v>11</v>
          </cell>
          <cell r="S276">
            <v>0.88231057397551138</v>
          </cell>
          <cell r="X276">
            <v>8.2271956575513561E-2</v>
          </cell>
          <cell r="Y276">
            <v>21</v>
          </cell>
          <cell r="Z276" t="str">
            <v>Greater Invisibility</v>
          </cell>
          <cell r="AA276" t="str">
            <v>Dimension Door</v>
          </cell>
          <cell r="AF276" t="str">
            <v>Mislead</v>
          </cell>
          <cell r="AG276">
            <v>11</v>
          </cell>
          <cell r="AH276">
            <v>0.61732621825972012</v>
          </cell>
          <cell r="AI276">
            <v>7</v>
          </cell>
          <cell r="AN276">
            <v>12</v>
          </cell>
          <cell r="AO276" t="str">
            <v>Reverse Gravity</v>
          </cell>
          <cell r="AP276" t="str">
            <v>Symbol</v>
          </cell>
          <cell r="AQ276">
            <v>11</v>
          </cell>
        </row>
        <row r="277">
          <cell r="F277" t="str">
            <v>Poison Spray</v>
          </cell>
          <cell r="G277" t="str">
            <v>Chill Touch</v>
          </cell>
          <cell r="H277">
            <v>12</v>
          </cell>
          <cell r="I277">
            <v>0.74098465327350171</v>
          </cell>
          <cell r="K277" t="str">
            <v>Find Familiar</v>
          </cell>
          <cell r="L277" t="str">
            <v>Charm Person</v>
          </cell>
          <cell r="M277">
            <v>12</v>
          </cell>
          <cell r="N277">
            <v>0.58063023564487215</v>
          </cell>
          <cell r="P277" t="str">
            <v>Flaming Sphere</v>
          </cell>
          <cell r="Q277" t="str">
            <v>Arcane Lock</v>
          </cell>
          <cell r="R277">
            <v>12</v>
          </cell>
          <cell r="S277">
            <v>0.43480459952627415</v>
          </cell>
          <cell r="X277">
            <v>0.45898621418049668</v>
          </cell>
          <cell r="Y277">
            <v>12</v>
          </cell>
          <cell r="Z277" t="str">
            <v>Hallucinatory Terrain</v>
          </cell>
          <cell r="AA277" t="str">
            <v>Hallucinatory Terrain</v>
          </cell>
          <cell r="AF277" t="str">
            <v>Animate Object</v>
          </cell>
          <cell r="AG277">
            <v>12</v>
          </cell>
          <cell r="AH277">
            <v>0.24984656713974984</v>
          </cell>
          <cell r="AI277">
            <v>14</v>
          </cell>
          <cell r="AN277">
            <v>2</v>
          </cell>
          <cell r="AO277" t="str">
            <v>Sequester</v>
          </cell>
          <cell r="AP277" t="str">
            <v>Reverse Gravity</v>
          </cell>
          <cell r="AQ277">
            <v>12</v>
          </cell>
        </row>
        <row r="278">
          <cell r="F278" t="str">
            <v>Prestidigitation</v>
          </cell>
          <cell r="G278" t="str">
            <v>Mending</v>
          </cell>
          <cell r="H278">
            <v>13</v>
          </cell>
          <cell r="I278">
            <v>0.5682107358967281</v>
          </cell>
          <cell r="K278" t="str">
            <v>Fog Cloud</v>
          </cell>
          <cell r="L278" t="str">
            <v>Tenser's Floating Disk</v>
          </cell>
          <cell r="M278">
            <v>13</v>
          </cell>
          <cell r="N278">
            <v>0.70541351265602248</v>
          </cell>
          <cell r="P278" t="str">
            <v>Gentle Repose</v>
          </cell>
          <cell r="Q278" t="str">
            <v>Flaming Sphere</v>
          </cell>
          <cell r="R278">
            <v>13</v>
          </cell>
          <cell r="S278">
            <v>0.66829603108149638</v>
          </cell>
          <cell r="X278">
            <v>0.34438844274844449</v>
          </cell>
          <cell r="Y278">
            <v>14</v>
          </cell>
          <cell r="Z278" t="str">
            <v>Ice Storm</v>
          </cell>
          <cell r="AA278" t="str">
            <v>Wall of Fire</v>
          </cell>
          <cell r="AF278" t="str">
            <v>Hold Monster</v>
          </cell>
          <cell r="AG278">
            <v>13</v>
          </cell>
          <cell r="AH278">
            <v>0.82142171521815222</v>
          </cell>
          <cell r="AI278">
            <v>3</v>
          </cell>
          <cell r="AN278">
            <v>15</v>
          </cell>
          <cell r="AO278" t="str">
            <v>Simulacrum</v>
          </cell>
          <cell r="AP278" t="str">
            <v>Forcecage</v>
          </cell>
          <cell r="AQ278">
            <v>13</v>
          </cell>
        </row>
        <row r="279">
          <cell r="F279" t="str">
            <v>Ray of Frost</v>
          </cell>
          <cell r="G279" t="str">
            <v>Ray of Frost</v>
          </cell>
          <cell r="H279">
            <v>14</v>
          </cell>
          <cell r="I279">
            <v>0.51309592705057583</v>
          </cell>
          <cell r="K279" t="str">
            <v>Grease</v>
          </cell>
          <cell r="L279" t="str">
            <v>Fog Cloud</v>
          </cell>
          <cell r="M279">
            <v>14</v>
          </cell>
          <cell r="N279">
            <v>0.87927237622341015</v>
          </cell>
          <cell r="P279" t="str">
            <v>Gust of Wind</v>
          </cell>
          <cell r="Q279" t="str">
            <v>Web</v>
          </cell>
          <cell r="R279">
            <v>14</v>
          </cell>
          <cell r="S279">
            <v>0.33838612950971581</v>
          </cell>
          <cell r="X279">
            <v>0.55496426934727117</v>
          </cell>
          <cell r="Y279">
            <v>10</v>
          </cell>
          <cell r="Z279" t="str">
            <v>Leomund's Secret Chest</v>
          </cell>
          <cell r="AA279" t="str">
            <v>Ice Storm</v>
          </cell>
          <cell r="AF279" t="str">
            <v>Bigby's Hand</v>
          </cell>
          <cell r="AG279">
            <v>14</v>
          </cell>
          <cell r="AH279">
            <v>0.28683151900320791</v>
          </cell>
          <cell r="AI279">
            <v>12</v>
          </cell>
          <cell r="AN279">
            <v>11</v>
          </cell>
          <cell r="AO279" t="str">
            <v>Symbol</v>
          </cell>
          <cell r="AP279" t="str">
            <v>Delayed Blast Fireball</v>
          </cell>
          <cell r="AQ279">
            <v>14</v>
          </cell>
        </row>
        <row r="280">
          <cell r="F280" t="str">
            <v>Shocking Grasp</v>
          </cell>
          <cell r="G280" t="str">
            <v>Mage Hand</v>
          </cell>
          <cell r="H280">
            <v>15</v>
          </cell>
          <cell r="I280">
            <v>0.9145765064613437</v>
          </cell>
          <cell r="K280" t="str">
            <v>Identify</v>
          </cell>
          <cell r="L280" t="str">
            <v>Thunderwave</v>
          </cell>
          <cell r="M280">
            <v>15</v>
          </cell>
          <cell r="N280">
            <v>0.25305006677609487</v>
          </cell>
          <cell r="P280" t="str">
            <v>Hold Person</v>
          </cell>
          <cell r="Q280" t="str">
            <v>Knock</v>
          </cell>
          <cell r="R280">
            <v>15</v>
          </cell>
          <cell r="S280">
            <v>0.65736875871077882</v>
          </cell>
          <cell r="X280">
            <v>0.29615024511756627</v>
          </cell>
          <cell r="Y280">
            <v>15</v>
          </cell>
          <cell r="Z280" t="str">
            <v>Locate Creature</v>
          </cell>
          <cell r="AA280" t="str">
            <v>Locate Creature</v>
          </cell>
          <cell r="AF280" t="str">
            <v>Dominate Person</v>
          </cell>
          <cell r="AG280">
            <v>15</v>
          </cell>
          <cell r="AH280">
            <v>0.21380456906063483</v>
          </cell>
          <cell r="AI280">
            <v>15</v>
          </cell>
          <cell r="AN280">
            <v>4</v>
          </cell>
          <cell r="AO280" t="str">
            <v>Teleport</v>
          </cell>
          <cell r="AP280" t="str">
            <v>Simulacrum</v>
          </cell>
        </row>
        <row r="281">
          <cell r="F281" t="str">
            <v>True Strike</v>
          </cell>
          <cell r="G281" t="str">
            <v>Minor Illusion</v>
          </cell>
          <cell r="H281">
            <v>16</v>
          </cell>
          <cell r="I281">
            <v>3.1087959798438147E-3</v>
          </cell>
          <cell r="K281" t="str">
            <v>Illusory Script</v>
          </cell>
          <cell r="L281" t="str">
            <v>Grease</v>
          </cell>
          <cell r="M281">
            <v>16</v>
          </cell>
          <cell r="N281">
            <v>0.60686533316815494</v>
          </cell>
          <cell r="P281" t="str">
            <v>Invisibility</v>
          </cell>
          <cell r="Q281" t="str">
            <v>Alter Self</v>
          </cell>
          <cell r="R281">
            <v>16</v>
          </cell>
          <cell r="S281">
            <v>0.2268796396666749</v>
          </cell>
          <cell r="X281">
            <v>0.7424923401514073</v>
          </cell>
          <cell r="Y281">
            <v>5</v>
          </cell>
          <cell r="Z281" t="str">
            <v>Mordekainen's Faithful Hound</v>
          </cell>
          <cell r="AA281" t="str">
            <v>Stone Shape</v>
          </cell>
          <cell r="AF281" t="str">
            <v>Wall of Force</v>
          </cell>
          <cell r="AG281">
            <v>16</v>
          </cell>
          <cell r="AH281">
            <v>0.25955119050122144</v>
          </cell>
          <cell r="AI281">
            <v>13</v>
          </cell>
          <cell r="AN281" t="str">
            <v/>
          </cell>
        </row>
        <row r="282">
          <cell r="G282" t="str">
            <v/>
          </cell>
          <cell r="H282">
            <v>17</v>
          </cell>
          <cell r="I282">
            <v>0.81950290760244637</v>
          </cell>
          <cell r="K282" t="str">
            <v>Jump</v>
          </cell>
          <cell r="L282" t="str">
            <v>Longstrider</v>
          </cell>
          <cell r="M282">
            <v>17</v>
          </cell>
          <cell r="N282">
            <v>0.42859793756174613</v>
          </cell>
          <cell r="P282" t="str">
            <v>Knock</v>
          </cell>
          <cell r="Q282" t="str">
            <v>Ray of Enfeeblement</v>
          </cell>
          <cell r="R282">
            <v>17</v>
          </cell>
          <cell r="S282">
            <v>0.9644867576705094</v>
          </cell>
          <cell r="X282">
            <v>0.58275422346211181</v>
          </cell>
          <cell r="Y282">
            <v>9</v>
          </cell>
          <cell r="Z282" t="str">
            <v>Mordekainen's Private Sanctum</v>
          </cell>
          <cell r="AA282" t="str">
            <v>Phantasmal Killer</v>
          </cell>
          <cell r="AF282" t="str">
            <v>Legend Lore</v>
          </cell>
          <cell r="AG282">
            <v>17</v>
          </cell>
          <cell r="AH282">
            <v>0.37374339547871482</v>
          </cell>
          <cell r="AI282">
            <v>11</v>
          </cell>
          <cell r="AN282" t="str">
            <v/>
          </cell>
        </row>
        <row r="283">
          <cell r="K283" t="str">
            <v>Longstrider</v>
          </cell>
          <cell r="L283" t="str">
            <v>Sleep</v>
          </cell>
          <cell r="M283">
            <v>18</v>
          </cell>
          <cell r="N283">
            <v>0.25361682206445646</v>
          </cell>
          <cell r="P283" t="str">
            <v>Levitate</v>
          </cell>
          <cell r="Q283" t="str">
            <v>Magic Weapon</v>
          </cell>
          <cell r="R283">
            <v>18</v>
          </cell>
          <cell r="S283">
            <v>0.22204330034611808</v>
          </cell>
          <cell r="X283">
            <v>0.2133185041909339</v>
          </cell>
          <cell r="Y283">
            <v>18</v>
          </cell>
          <cell r="Z283" t="str">
            <v>Otiluke resilient Sphere</v>
          </cell>
          <cell r="AA283" t="str">
            <v>Otiluke resilient Sphere</v>
          </cell>
          <cell r="AF283" t="str">
            <v>Geas</v>
          </cell>
          <cell r="AG283">
            <v>18</v>
          </cell>
          <cell r="AH283">
            <v>7.5172874134938783E-2</v>
          </cell>
          <cell r="AI283">
            <v>19</v>
          </cell>
          <cell r="AN283" t="str">
            <v/>
          </cell>
        </row>
        <row r="284">
          <cell r="K284" t="str">
            <v>Mage Armor</v>
          </cell>
          <cell r="L284" t="str">
            <v>Shield</v>
          </cell>
          <cell r="M284">
            <v>19</v>
          </cell>
          <cell r="N284">
            <v>0.17393048306378966</v>
          </cell>
          <cell r="P284" t="str">
            <v>Locate Object</v>
          </cell>
          <cell r="Q284" t="str">
            <v>Spider Climb</v>
          </cell>
          <cell r="R284">
            <v>19</v>
          </cell>
          <cell r="S284">
            <v>0.38367927373253885</v>
          </cell>
          <cell r="X284">
            <v>0.23728780407902639</v>
          </cell>
          <cell r="Y284">
            <v>17</v>
          </cell>
          <cell r="Z284" t="str">
            <v>Phantasmal Killer</v>
          </cell>
          <cell r="AA284" t="str">
            <v>Banishment</v>
          </cell>
          <cell r="AF284" t="str">
            <v>Telekinesis</v>
          </cell>
          <cell r="AG284">
            <v>19</v>
          </cell>
          <cell r="AH284">
            <v>0.61461209042568565</v>
          </cell>
          <cell r="AI284">
            <v>8</v>
          </cell>
          <cell r="AN284" t="str">
            <v/>
          </cell>
        </row>
        <row r="285">
          <cell r="K285" t="str">
            <v>Magic Missile</v>
          </cell>
          <cell r="L285" t="str">
            <v>Unseen Servant</v>
          </cell>
          <cell r="M285">
            <v>20</v>
          </cell>
          <cell r="N285">
            <v>0.68392721742934015</v>
          </cell>
          <cell r="P285" t="str">
            <v>Magic Mouth</v>
          </cell>
          <cell r="Q285" t="str">
            <v>Crown of Madness</v>
          </cell>
          <cell r="R285">
            <v>20</v>
          </cell>
          <cell r="S285">
            <v>0.92936358928684482</v>
          </cell>
          <cell r="X285">
            <v>0.6941348128801903</v>
          </cell>
          <cell r="Y285">
            <v>7</v>
          </cell>
          <cell r="Z285" t="str">
            <v>Polymorph</v>
          </cell>
          <cell r="AA285" t="str">
            <v>Fire Shield</v>
          </cell>
          <cell r="AF285" t="str">
            <v>Modify Memory</v>
          </cell>
          <cell r="AG285">
            <v>20</v>
          </cell>
          <cell r="AH285">
            <v>0.13113188516169783</v>
          </cell>
          <cell r="AI285">
            <v>16</v>
          </cell>
          <cell r="AN285" t="str">
            <v/>
          </cell>
        </row>
        <row r="286">
          <cell r="K286" t="str">
            <v>Protection from Evil &amp; Good</v>
          </cell>
          <cell r="L286" t="str">
            <v>Disguise Self</v>
          </cell>
          <cell r="M286">
            <v>21</v>
          </cell>
          <cell r="N286">
            <v>0.39150664412959502</v>
          </cell>
          <cell r="P286" t="str">
            <v>Magic Weapon</v>
          </cell>
          <cell r="Q286" t="str">
            <v>Scorching Ray</v>
          </cell>
          <cell r="R286">
            <v>21</v>
          </cell>
          <cell r="S286">
            <v>0.42354325974268114</v>
          </cell>
          <cell r="X286">
            <v>0.25173886658711175</v>
          </cell>
          <cell r="Y286">
            <v>16</v>
          </cell>
          <cell r="Z286" t="str">
            <v>Stone Shape</v>
          </cell>
          <cell r="AA286" t="str">
            <v>Greater Invisibility</v>
          </cell>
          <cell r="AF286" t="str">
            <v>Seeming</v>
          </cell>
          <cell r="AH286" t="str">
            <v/>
          </cell>
          <cell r="AI286" t="str">
            <v/>
          </cell>
          <cell r="AN286" t="str">
            <v/>
          </cell>
        </row>
        <row r="287">
          <cell r="K287" t="str">
            <v>Ray of Sickness</v>
          </cell>
          <cell r="L287" t="str">
            <v>Silent Image</v>
          </cell>
          <cell r="M287">
            <v>22</v>
          </cell>
          <cell r="N287">
            <v>0.14997494603006478</v>
          </cell>
          <cell r="P287" t="str">
            <v>Melf's Acid Arrow</v>
          </cell>
          <cell r="Q287" t="str">
            <v>Levitate</v>
          </cell>
          <cell r="R287">
            <v>22</v>
          </cell>
          <cell r="S287">
            <v>0.87757819235311574</v>
          </cell>
          <cell r="X287">
            <v>7.2986877253326199E-2</v>
          </cell>
          <cell r="Y287">
            <v>23</v>
          </cell>
          <cell r="Z287" t="str">
            <v>Stoneskin</v>
          </cell>
          <cell r="AA287" t="str">
            <v>Arcane Eye</v>
          </cell>
          <cell r="AF287" t="str">
            <v>Wall of Stone</v>
          </cell>
          <cell r="AH287" t="str">
            <v/>
          </cell>
          <cell r="AI287" t="str">
            <v/>
          </cell>
          <cell r="AN287" t="str">
            <v/>
          </cell>
        </row>
        <row r="288">
          <cell r="K288" t="str">
            <v>Shield</v>
          </cell>
          <cell r="L288" t="str">
            <v>False Life</v>
          </cell>
          <cell r="M288">
            <v>23</v>
          </cell>
          <cell r="N288">
            <v>0.85377030839505763</v>
          </cell>
          <cell r="P288" t="str">
            <v>Mirror Image</v>
          </cell>
          <cell r="Q288" t="str">
            <v>Hold Person</v>
          </cell>
          <cell r="R288">
            <v>23</v>
          </cell>
          <cell r="S288">
            <v>0.51041674893689659</v>
          </cell>
          <cell r="X288">
            <v>0.42122057521042244</v>
          </cell>
          <cell r="Y288">
            <v>13</v>
          </cell>
          <cell r="Z288" t="str">
            <v>Wall of Fire</v>
          </cell>
          <cell r="AA288" t="str">
            <v>Stoneskin</v>
          </cell>
          <cell r="AF288" t="str">
            <v>Cloudkill</v>
          </cell>
          <cell r="AH288" t="str">
            <v/>
          </cell>
          <cell r="AI288" t="str">
            <v/>
          </cell>
          <cell r="AN288" t="str">
            <v/>
          </cell>
        </row>
        <row r="289">
          <cell r="K289" t="str">
            <v>Silent Image</v>
          </cell>
          <cell r="L289" t="str">
            <v>Detect Magic</v>
          </cell>
          <cell r="M289">
            <v>24</v>
          </cell>
          <cell r="N289">
            <v>0.20324376286979151</v>
          </cell>
          <cell r="P289" t="str">
            <v>Misty Step</v>
          </cell>
          <cell r="Q289" t="str">
            <v>Continual Flame</v>
          </cell>
          <cell r="R289">
            <v>24</v>
          </cell>
          <cell r="S289">
            <v>0.25487426005706704</v>
          </cell>
          <cell r="X289" t="str">
            <v/>
          </cell>
          <cell r="Y289" t="str">
            <v/>
          </cell>
          <cell r="AH289" t="str">
            <v/>
          </cell>
          <cell r="AI289" t="str">
            <v/>
          </cell>
          <cell r="AN289" t="str">
            <v/>
          </cell>
        </row>
        <row r="290">
          <cell r="K290" t="str">
            <v>Sleep</v>
          </cell>
          <cell r="L290" t="str">
            <v>Witch Bolt</v>
          </cell>
          <cell r="M290">
            <v>25</v>
          </cell>
          <cell r="N290">
            <v>0.67119200261764833</v>
          </cell>
          <cell r="P290" t="str">
            <v>Nystul's Magic Aura</v>
          </cell>
          <cell r="Q290" t="str">
            <v>Detect Thoughts</v>
          </cell>
          <cell r="R290">
            <v>25</v>
          </cell>
          <cell r="S290">
            <v>0.77493032425506103</v>
          </cell>
          <cell r="X290" t="str">
            <v/>
          </cell>
          <cell r="Y290" t="str">
            <v/>
          </cell>
        </row>
        <row r="291">
          <cell r="K291" t="str">
            <v>Tasha's Hideous Laughter</v>
          </cell>
          <cell r="L291" t="str">
            <v>Expeditious Retreat</v>
          </cell>
          <cell r="M291">
            <v>26</v>
          </cell>
          <cell r="N291">
            <v>0.82868083587929808</v>
          </cell>
          <cell r="P291" t="str">
            <v>Phantasmal Force</v>
          </cell>
          <cell r="Q291" t="str">
            <v>Suggestion</v>
          </cell>
          <cell r="R291">
            <v>26</v>
          </cell>
          <cell r="S291">
            <v>7.7855611583835693E-2</v>
          </cell>
          <cell r="X291" t="str">
            <v/>
          </cell>
          <cell r="Y291" t="str">
            <v/>
          </cell>
        </row>
        <row r="292">
          <cell r="K292" t="str">
            <v>Tenser's Floating Disk</v>
          </cell>
          <cell r="L292" t="str">
            <v>Color Spray</v>
          </cell>
          <cell r="M292">
            <v>27</v>
          </cell>
          <cell r="N292">
            <v>0.39759087706721663</v>
          </cell>
          <cell r="P292" t="str">
            <v>Ray of Enfeeblement</v>
          </cell>
          <cell r="Q292" t="str">
            <v>Misty Step</v>
          </cell>
          <cell r="R292">
            <v>27</v>
          </cell>
          <cell r="S292">
            <v>0.93301321972931661</v>
          </cell>
          <cell r="X292" t="str">
            <v/>
          </cell>
          <cell r="Y292" t="str">
            <v/>
          </cell>
        </row>
        <row r="293">
          <cell r="K293" t="str">
            <v>Thunderwave</v>
          </cell>
          <cell r="L293" t="str">
            <v>Alarm</v>
          </cell>
          <cell r="M293">
            <v>28</v>
          </cell>
          <cell r="N293">
            <v>0.12612878948113593</v>
          </cell>
          <cell r="P293" t="str">
            <v>Rope Trick</v>
          </cell>
          <cell r="Q293" t="str">
            <v>Locate Object</v>
          </cell>
          <cell r="R293">
            <v>28</v>
          </cell>
          <cell r="S293">
            <v>4.7128861791284615E-3</v>
          </cell>
          <cell r="X293" t="str">
            <v/>
          </cell>
          <cell r="Y293" t="str">
            <v/>
          </cell>
        </row>
        <row r="294">
          <cell r="K294" t="str">
            <v>Unseen Servant</v>
          </cell>
          <cell r="L294" t="str">
            <v>Magic Missile</v>
          </cell>
          <cell r="M294">
            <v>29</v>
          </cell>
          <cell r="N294">
            <v>0.26263587714369552</v>
          </cell>
          <cell r="P294" t="str">
            <v>Scorching Ray</v>
          </cell>
          <cell r="Q294" t="str">
            <v>Melf's Acid Arrow</v>
          </cell>
          <cell r="R294">
            <v>29</v>
          </cell>
          <cell r="S294">
            <v>0.55307743331708625</v>
          </cell>
          <cell r="X294" t="str">
            <v/>
          </cell>
          <cell r="Y294" t="str">
            <v/>
          </cell>
        </row>
        <row r="295">
          <cell r="K295" t="str">
            <v>Witch Bolt</v>
          </cell>
          <cell r="L295" t="str">
            <v>Illusory Script</v>
          </cell>
          <cell r="M295">
            <v>30</v>
          </cell>
          <cell r="N295">
            <v>8.0054419073038563E-2</v>
          </cell>
          <cell r="P295" t="str">
            <v>See Invisibility</v>
          </cell>
          <cell r="Q295" t="str">
            <v>Rope Trick</v>
          </cell>
          <cell r="S295" t="str">
            <v/>
          </cell>
          <cell r="X295" t="str">
            <v/>
          </cell>
          <cell r="Y295" t="str">
            <v/>
          </cell>
        </row>
        <row r="296">
          <cell r="L296" t="str">
            <v/>
          </cell>
          <cell r="M296">
            <v>31</v>
          </cell>
          <cell r="N296">
            <v>0.82030068125010358</v>
          </cell>
          <cell r="P296" t="str">
            <v>Shatter</v>
          </cell>
          <cell r="Q296" t="str">
            <v>Darkvision</v>
          </cell>
          <cell r="S296" t="str">
            <v/>
          </cell>
        </row>
        <row r="297">
          <cell r="P297" t="str">
            <v>Spider Climb</v>
          </cell>
          <cell r="Q297" t="str">
            <v>See Invisibility</v>
          </cell>
          <cell r="S297" t="str">
            <v/>
          </cell>
        </row>
        <row r="298">
          <cell r="P298" t="str">
            <v>Suggestion</v>
          </cell>
          <cell r="Q298" t="str">
            <v>Cloud of Daggers</v>
          </cell>
          <cell r="S298" t="str">
            <v/>
          </cell>
        </row>
        <row r="299">
          <cell r="P299" t="str">
            <v>Web</v>
          </cell>
          <cell r="Q299" t="str">
            <v>Blur</v>
          </cell>
          <cell r="S299" t="str">
            <v/>
          </cell>
        </row>
        <row r="300">
          <cell r="Q300" t="str">
            <v/>
          </cell>
          <cell r="S300" t="str">
            <v/>
          </cell>
        </row>
      </sheetData>
      <sheetData sheetId="14">
        <row r="4">
          <cell r="F4" t="str">
            <v/>
          </cell>
          <cell r="G4" t="str">
            <v/>
          </cell>
          <cell r="H4" t="str">
            <v/>
          </cell>
          <cell r="P4" t="str">
            <v/>
          </cell>
          <cell r="Q4" t="str">
            <v/>
          </cell>
          <cell r="R4" t="str">
            <v/>
          </cell>
          <cell r="S4" t="str">
            <v/>
          </cell>
        </row>
      </sheetData>
      <sheetData sheetId="15">
        <row r="6">
          <cell r="C6" t="str">
            <v xml:space="preserve">Quarterstaff  | 1d6 | Versatile (1d8) </v>
          </cell>
        </row>
      </sheetData>
      <sheetData sheetId="16">
        <row r="4">
          <cell r="M4" t="str">
            <v>Lawful Good</v>
          </cell>
        </row>
      </sheetData>
      <sheetData sheetId="17" refreshError="1"/>
      <sheetData sheetId="18">
        <row r="4">
          <cell r="B4">
            <v>1</v>
          </cell>
        </row>
        <row r="26">
          <cell r="P26" t="str">
            <v>Calligrapher's supplies</v>
          </cell>
        </row>
      </sheetData>
      <sheetData sheetId="19">
        <row r="3">
          <cell r="J3" t="str">
            <v xml:space="preserve">A glass orb filled with moving smoke </v>
          </cell>
        </row>
      </sheetData>
      <sheetData sheetId="20">
        <row r="6">
          <cell r="M6" t="str">
            <v/>
          </cell>
        </row>
      </sheetData>
      <sheetData sheetId="21" refreshError="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lcome"/>
      <sheetName val="Players"/>
      <sheetName val="Players - GSheet Import"/>
      <sheetName val="Players Graphs"/>
      <sheetName val="Initiative"/>
      <sheetName val="Encounter Builder"/>
      <sheetName val="Bestiary"/>
      <sheetName val="Spells"/>
      <sheetName val="Weather"/>
      <sheetName val="Prices"/>
      <sheetName val="NPCs"/>
      <sheetName val="Level Tables"/>
      <sheetName val="Journal"/>
      <sheetName val="Weather Tables"/>
      <sheetName val="Travel Tables"/>
    </sheetNames>
    <sheetDataSet>
      <sheetData sheetId="0"/>
      <sheetData sheetId="1"/>
      <sheetData sheetId="2"/>
      <sheetData sheetId="3"/>
      <sheetData sheetId="4"/>
      <sheetData sheetId="5"/>
      <sheetData sheetId="6"/>
      <sheetData sheetId="7"/>
      <sheetData sheetId="8">
        <row r="4">
          <cell r="B4" t="str">
            <v>Early Summer</v>
          </cell>
          <cell r="E4" t="str">
            <v>Desert</v>
          </cell>
        </row>
        <row r="12">
          <cell r="S12" t="str">
            <v>Light Horse</v>
          </cell>
        </row>
        <row r="13">
          <cell r="S13" t="str">
            <v>Hustle</v>
          </cell>
        </row>
        <row r="14">
          <cell r="S14" t="str">
            <v>No</v>
          </cell>
        </row>
        <row r="15">
          <cell r="S15" t="str">
            <v>Forest (dense)</v>
          </cell>
        </row>
        <row r="16">
          <cell r="S16" t="str">
            <v>ROAD</v>
          </cell>
        </row>
        <row r="17">
          <cell r="S17" t="str">
            <v>Temperate</v>
          </cell>
        </row>
      </sheetData>
      <sheetData sheetId="9"/>
      <sheetData sheetId="10"/>
      <sheetData sheetId="11"/>
      <sheetData sheetId="12"/>
      <sheetData sheetId="13">
        <row r="2">
          <cell r="A2" t="str">
            <v>Dawn</v>
          </cell>
          <cell r="B2">
            <v>3</v>
          </cell>
          <cell r="D2">
            <v>4.8499999999999996</v>
          </cell>
          <cell r="I2" t="str">
            <v>Heavy Rain</v>
          </cell>
          <cell r="M2" t="str">
            <v>Clear Skies</v>
          </cell>
          <cell r="N2" t="str">
            <v>Light Rain</v>
          </cell>
          <cell r="O2" t="str">
            <v>Heavy Rain</v>
          </cell>
        </row>
        <row r="3">
          <cell r="A3" t="str">
            <v>Midday</v>
          </cell>
          <cell r="B3">
            <v>11</v>
          </cell>
          <cell r="L3" t="str">
            <v>Clear Skies</v>
          </cell>
          <cell r="M3">
            <v>0</v>
          </cell>
          <cell r="N3">
            <v>0.99445670584612222</v>
          </cell>
          <cell r="O3">
            <v>0.99876815685469378</v>
          </cell>
        </row>
        <row r="4">
          <cell r="A4" t="str">
            <v>Afternoon</v>
          </cell>
          <cell r="B4">
            <v>4</v>
          </cell>
          <cell r="L4" t="str">
            <v>Light Rain</v>
          </cell>
          <cell r="M4">
            <v>0</v>
          </cell>
          <cell r="N4">
            <v>0.88365986669359731</v>
          </cell>
          <cell r="O4">
            <v>0.97818622500504948</v>
          </cell>
        </row>
        <row r="5">
          <cell r="A5" t="str">
            <v>Evening</v>
          </cell>
          <cell r="B5">
            <v>-2</v>
          </cell>
          <cell r="L5" t="str">
            <v>Heavy Rain</v>
          </cell>
          <cell r="M5">
            <v>0</v>
          </cell>
          <cell r="N5">
            <v>0.93380071256177455</v>
          </cell>
          <cell r="O5">
            <v>0.97103781174577641</v>
          </cell>
        </row>
        <row r="6">
          <cell r="A6" t="str">
            <v>Midnight</v>
          </cell>
          <cell r="B6">
            <v>-10</v>
          </cell>
        </row>
        <row r="7">
          <cell r="A7" t="str">
            <v>Night</v>
          </cell>
          <cell r="B7">
            <v>-6</v>
          </cell>
        </row>
        <row r="8">
          <cell r="I8" t="str">
            <v>High Winds</v>
          </cell>
          <cell r="M8" t="str">
            <v>No Wind</v>
          </cell>
          <cell r="N8" t="str">
            <v>Low Winds</v>
          </cell>
          <cell r="O8" t="str">
            <v>High Winds</v>
          </cell>
        </row>
        <row r="9">
          <cell r="L9" t="str">
            <v>No Wind</v>
          </cell>
          <cell r="M9">
            <v>0</v>
          </cell>
          <cell r="N9">
            <v>0.4768392370572207</v>
          </cell>
          <cell r="O9">
            <v>0.91280653950953683</v>
          </cell>
        </row>
        <row r="10">
          <cell r="A10" t="str">
            <v>Early Spring</v>
          </cell>
          <cell r="B10">
            <v>-20</v>
          </cell>
          <cell r="L10" t="str">
            <v>Low Winds</v>
          </cell>
          <cell r="M10">
            <v>0</v>
          </cell>
          <cell r="N10">
            <v>0.2808988764044944</v>
          </cell>
          <cell r="O10">
            <v>0.78426966292134837</v>
          </cell>
        </row>
        <row r="11">
          <cell r="A11" t="str">
            <v>Mid Spring</v>
          </cell>
          <cell r="B11">
            <v>-10</v>
          </cell>
          <cell r="L11" t="str">
            <v>High Winds</v>
          </cell>
          <cell r="M11">
            <v>0</v>
          </cell>
          <cell r="N11">
            <v>0.20661157024793389</v>
          </cell>
          <cell r="O11">
            <v>0.60330578512396693</v>
          </cell>
        </row>
        <row r="12">
          <cell r="A12" t="str">
            <v>Late Spring</v>
          </cell>
          <cell r="B12">
            <v>5</v>
          </cell>
        </row>
        <row r="13">
          <cell r="A13" t="str">
            <v>Early Summer</v>
          </cell>
          <cell r="B13">
            <v>15</v>
          </cell>
        </row>
        <row r="14">
          <cell r="A14" t="str">
            <v>Mid Summer</v>
          </cell>
          <cell r="B14">
            <v>20</v>
          </cell>
        </row>
        <row r="15">
          <cell r="A15" t="str">
            <v>Late Summer</v>
          </cell>
          <cell r="B15">
            <v>15</v>
          </cell>
        </row>
        <row r="16">
          <cell r="A16" t="str">
            <v>Early Autumn</v>
          </cell>
          <cell r="B16">
            <v>15</v>
          </cell>
        </row>
        <row r="17">
          <cell r="A17" t="str">
            <v>Mid Autumn</v>
          </cell>
          <cell r="B17">
            <v>5</v>
          </cell>
        </row>
        <row r="18">
          <cell r="A18" t="str">
            <v>Late Autumn</v>
          </cell>
          <cell r="B18">
            <v>-5</v>
          </cell>
        </row>
        <row r="19">
          <cell r="A19" t="str">
            <v>Early Winter</v>
          </cell>
          <cell r="B19">
            <v>-15</v>
          </cell>
        </row>
        <row r="20">
          <cell r="A20" t="str">
            <v>Mid Winter</v>
          </cell>
          <cell r="B20">
            <v>-15</v>
          </cell>
        </row>
        <row r="21">
          <cell r="A21" t="str">
            <v>Late Winter</v>
          </cell>
          <cell r="B21">
            <v>-10</v>
          </cell>
        </row>
        <row r="24">
          <cell r="A24" t="str">
            <v>Arctic</v>
          </cell>
          <cell r="B24">
            <v>10</v>
          </cell>
        </row>
        <row r="25">
          <cell r="A25" t="str">
            <v>Coast</v>
          </cell>
          <cell r="B25">
            <v>55</v>
          </cell>
        </row>
        <row r="26">
          <cell r="A26" t="str">
            <v>Desert</v>
          </cell>
          <cell r="B26">
            <v>80</v>
          </cell>
        </row>
        <row r="27">
          <cell r="A27" t="str">
            <v>Forest</v>
          </cell>
          <cell r="B27">
            <v>55</v>
          </cell>
        </row>
        <row r="28">
          <cell r="A28" t="str">
            <v>Grassland</v>
          </cell>
          <cell r="B28">
            <v>70</v>
          </cell>
        </row>
        <row r="29">
          <cell r="A29" t="str">
            <v>Hill</v>
          </cell>
          <cell r="B29">
            <v>65</v>
          </cell>
        </row>
        <row r="30">
          <cell r="A30" t="str">
            <v>Mountain</v>
          </cell>
          <cell r="B30">
            <v>55</v>
          </cell>
        </row>
        <row r="31">
          <cell r="A31" t="str">
            <v>Open Water</v>
          </cell>
          <cell r="B31">
            <v>50</v>
          </cell>
        </row>
        <row r="32">
          <cell r="A32" t="str">
            <v>Underdark</v>
          </cell>
          <cell r="B32">
            <v>40</v>
          </cell>
        </row>
        <row r="33">
          <cell r="A33" t="str">
            <v>Urban</v>
          </cell>
          <cell r="B33">
            <v>65</v>
          </cell>
        </row>
        <row r="36">
          <cell r="A36" t="str">
            <v>Extreme Cold</v>
          </cell>
          <cell r="B36">
            <v>-100</v>
          </cell>
        </row>
        <row r="37">
          <cell r="A37" t="str">
            <v>Freezing</v>
          </cell>
          <cell r="B37">
            <v>0</v>
          </cell>
        </row>
        <row r="38">
          <cell r="A38" t="str">
            <v>Cold</v>
          </cell>
          <cell r="B38">
            <v>32</v>
          </cell>
        </row>
        <row r="39">
          <cell r="A39" t="str">
            <v>Cool</v>
          </cell>
          <cell r="B39">
            <v>48</v>
          </cell>
        </row>
        <row r="40">
          <cell r="A40" t="str">
            <v>Temperate</v>
          </cell>
          <cell r="B40">
            <v>64</v>
          </cell>
        </row>
        <row r="41">
          <cell r="A41" t="str">
            <v>Warm</v>
          </cell>
          <cell r="B41">
            <v>73</v>
          </cell>
        </row>
        <row r="42">
          <cell r="A42" t="str">
            <v>Hot</v>
          </cell>
          <cell r="B42">
            <v>85</v>
          </cell>
        </row>
        <row r="43">
          <cell r="A43" t="str">
            <v>Extreme heat</v>
          </cell>
          <cell r="B43">
            <v>100</v>
          </cell>
        </row>
      </sheetData>
      <sheetData sheetId="14">
        <row r="1">
          <cell r="A1" t="str">
            <v>TERRAIN</v>
          </cell>
          <cell r="B1" t="str">
            <v>HIGHWAY</v>
          </cell>
          <cell r="C1" t="str">
            <v>ROAD</v>
          </cell>
          <cell r="D1" t="str">
            <v>WILD</v>
          </cell>
          <cell r="E1" t="str">
            <v>NavDC</v>
          </cell>
          <cell r="F1" t="str">
            <v>ForageHuntDC</v>
          </cell>
        </row>
        <row r="2">
          <cell r="A2" t="str">
            <v>Grasslands</v>
          </cell>
          <cell r="B2">
            <v>1</v>
          </cell>
          <cell r="C2">
            <v>1</v>
          </cell>
          <cell r="D2">
            <v>0.75</v>
          </cell>
          <cell r="E2">
            <v>14</v>
          </cell>
          <cell r="F2">
            <v>16</v>
          </cell>
          <cell r="H2">
            <v>6</v>
          </cell>
          <cell r="I2">
            <v>0</v>
          </cell>
          <cell r="J2">
            <v>0</v>
          </cell>
        </row>
        <row r="3">
          <cell r="A3" t="str">
            <v>Desert</v>
          </cell>
          <cell r="B3">
            <v>1</v>
          </cell>
          <cell r="C3">
            <v>0.5</v>
          </cell>
          <cell r="D3">
            <v>0.5</v>
          </cell>
          <cell r="E3">
            <v>12</v>
          </cell>
          <cell r="F3">
            <v>20</v>
          </cell>
          <cell r="H3">
            <v>2</v>
          </cell>
          <cell r="I3">
            <v>5</v>
          </cell>
          <cell r="J3">
            <v>0</v>
          </cell>
        </row>
        <row r="4">
          <cell r="A4" t="str">
            <v>Forest (sparse)</v>
          </cell>
          <cell r="B4">
            <v>1</v>
          </cell>
          <cell r="C4">
            <v>1</v>
          </cell>
          <cell r="D4">
            <v>0.5</v>
          </cell>
          <cell r="E4">
            <v>14</v>
          </cell>
          <cell r="F4">
            <v>14</v>
          </cell>
          <cell r="H4">
            <v>1</v>
          </cell>
          <cell r="I4">
            <v>0</v>
          </cell>
          <cell r="J4">
            <v>0</v>
          </cell>
        </row>
        <row r="5">
          <cell r="A5" t="str">
            <v>Forest (medium)</v>
          </cell>
          <cell r="B5">
            <v>1</v>
          </cell>
          <cell r="C5">
            <v>1</v>
          </cell>
          <cell r="D5">
            <v>0.5</v>
          </cell>
          <cell r="E5">
            <v>16</v>
          </cell>
          <cell r="F5">
            <v>14</v>
          </cell>
        </row>
        <row r="6">
          <cell r="A6" t="str">
            <v>Forest (dense)</v>
          </cell>
          <cell r="B6">
            <v>1</v>
          </cell>
          <cell r="C6">
            <v>1</v>
          </cell>
          <cell r="D6">
            <v>0.5</v>
          </cell>
          <cell r="E6">
            <v>18</v>
          </cell>
          <cell r="F6">
            <v>14</v>
          </cell>
          <cell r="H6">
            <v>1</v>
          </cell>
          <cell r="I6">
            <v>0</v>
          </cell>
          <cell r="J6">
            <v>0</v>
          </cell>
        </row>
        <row r="7">
          <cell r="A7" t="str">
            <v>Hills</v>
          </cell>
          <cell r="B7">
            <v>1</v>
          </cell>
          <cell r="C7">
            <v>0.75</v>
          </cell>
          <cell r="D7">
            <v>0.5</v>
          </cell>
          <cell r="E7">
            <v>14</v>
          </cell>
          <cell r="F7">
            <v>12</v>
          </cell>
        </row>
        <row r="8">
          <cell r="A8" t="str">
            <v>Jungle</v>
          </cell>
          <cell r="B8">
            <v>1</v>
          </cell>
          <cell r="C8">
            <v>0.75</v>
          </cell>
          <cell r="D8">
            <v>0.25</v>
          </cell>
          <cell r="E8">
            <v>16</v>
          </cell>
          <cell r="F8">
            <v>14</v>
          </cell>
        </row>
        <row r="9">
          <cell r="A9" t="str">
            <v>Moor</v>
          </cell>
          <cell r="B9">
            <v>1</v>
          </cell>
          <cell r="C9">
            <v>1</v>
          </cell>
          <cell r="D9">
            <v>0.75</v>
          </cell>
          <cell r="E9">
            <v>14</v>
          </cell>
          <cell r="F9">
            <v>16</v>
          </cell>
        </row>
        <row r="10">
          <cell r="A10" t="str">
            <v>Mountains</v>
          </cell>
          <cell r="B10">
            <v>0.75</v>
          </cell>
          <cell r="C10">
            <v>0.75</v>
          </cell>
          <cell r="D10">
            <v>0.5</v>
          </cell>
          <cell r="E10">
            <v>16</v>
          </cell>
          <cell r="F10">
            <v>18</v>
          </cell>
        </row>
        <row r="11">
          <cell r="A11" t="str">
            <v>Plains</v>
          </cell>
          <cell r="B11">
            <v>1</v>
          </cell>
          <cell r="C11">
            <v>1</v>
          </cell>
          <cell r="D11">
            <v>0.75</v>
          </cell>
          <cell r="E11">
            <v>12</v>
          </cell>
          <cell r="F11">
            <v>12</v>
          </cell>
        </row>
        <row r="12">
          <cell r="A12" t="str">
            <v>Swamp</v>
          </cell>
          <cell r="B12">
            <v>1</v>
          </cell>
          <cell r="C12">
            <v>0.75</v>
          </cell>
          <cell r="D12">
            <v>0.5</v>
          </cell>
          <cell r="E12">
            <v>15</v>
          </cell>
          <cell r="F12">
            <v>16</v>
          </cell>
        </row>
        <row r="13">
          <cell r="A13" t="str">
            <v>Frozen Tundra</v>
          </cell>
          <cell r="B13">
            <v>1</v>
          </cell>
          <cell r="C13">
            <v>0.75</v>
          </cell>
          <cell r="D13">
            <v>0.75</v>
          </cell>
          <cell r="E13">
            <v>12</v>
          </cell>
          <cell r="F13">
            <v>18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ркуш1"/>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Палихов Антон" id="{6CC34293-2379-4BE3-9EF0-59F4E44BC42F}" userId="Палихов Антон"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A598C797-89D6-4D70-A79F-01BFFC4D11ED}" name="Таблиця292" displayName="Таблиця292" ref="L27:V33" totalsRowShown="0" headerRowDxfId="1358" headerRowCellStyle="Звичайний 3" dataCellStyle="Звичайний 3">
  <autoFilter ref="L27:V33" xr:uid="{032DB9E8-07C1-4348-9AD4-F5A81B413ED1}"/>
  <tableColumns count="11">
    <tableColumn id="1" xr3:uid="{FB58779C-BB4A-415B-873F-892954DA0C52}" name="Richness" dataDxfId="1357" dataCellStyle="Звичайний 3"/>
    <tableColumn id="2" xr3:uid="{2AB8236C-F0E5-4922-96A3-9A81E270697D}" name="1" dataDxfId="1356" dataCellStyle="Звичайний 3"/>
    <tableColumn id="3" xr3:uid="{2E57D75A-A336-420C-B954-A558B0DA450A}" name="2" dataDxfId="1355" dataCellStyle="Звичайний 3"/>
    <tableColumn id="4" xr3:uid="{252D09E1-01D3-4687-ADCE-3318B163ECA8}" name="3" dataDxfId="1354" dataCellStyle="Звичайний 3"/>
    <tableColumn id="5" xr3:uid="{858E49F9-4B04-4D23-9072-AD622C609A05}" name="4" dataDxfId="1353" dataCellStyle="Звичайний 3"/>
    <tableColumn id="6" xr3:uid="{1AA39BB5-9EE3-44F5-86CA-59EF136A7715}" name="5" dataDxfId="1352" dataCellStyle="Звичайний 3"/>
    <tableColumn id="7" xr3:uid="{EDE67381-6650-4E77-AB81-FA700EB56A04}" name="6" dataDxfId="1351" dataCellStyle="Звичайний 3"/>
    <tableColumn id="8" xr3:uid="{0DDA5573-11DD-4F22-9663-49F49E843556}" name="7" dataDxfId="1350" dataCellStyle="Звичайний 3"/>
    <tableColumn id="9" xr3:uid="{F6CBECBE-3AB6-4F48-82A2-C0CF6AF51831}" name="8" dataDxfId="1349" dataCellStyle="Звичайний 3"/>
    <tableColumn id="10" xr3:uid="{6663C129-C3B5-465A-8478-1027D95BF5C1}" name="9" dataDxfId="1348" dataCellStyle="Звичайний 3"/>
    <tableColumn id="11" xr3:uid="{E71406A5-129A-4855-A6A8-22F46A6A8908}" name="10" dataDxfId="1347" dataCellStyle="Звичайний 3"/>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F8DF78A5-42A7-4B9C-A2C9-3E0FF78AC3D5}" name="Таблиця293" displayName="Таблиця293" ref="I27:J36" totalsRowShown="0" headerRowDxfId="1346" headerRowCellStyle="Звичайний 3" dataCellStyle="Звичайний 3">
  <autoFilter ref="I27:J36" xr:uid="{2C5CBE2B-E480-4544-AEB0-5CFF41B2DEE3}"/>
  <tableColumns count="2">
    <tableColumn id="1" xr3:uid="{BC2065EA-3AA4-436D-A544-5B86F0DD0476}" name="Roll" dataDxfId="1345" dataCellStyle="Звичайний 3"/>
    <tableColumn id="2" xr3:uid="{88232913-401E-4A97-BBBB-24ADB205D1A7}" name="Material" dataDxfId="1344" dataCellStyle="Звичайний 3"/>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A72B533A-94F5-4210-B61F-E5B89710DD08}" name="Таблиця294" displayName="Таблиця294" ref="CK1:CS33" totalsRowShown="0" headerRowDxfId="1343" headerRowCellStyle="Звичайний 3" dataCellStyle="Звичайний 3">
  <autoFilter ref="CK1:CS33" xr:uid="{A3BDD612-7487-4790-92E6-0C702669B501}"/>
  <tableColumns count="9">
    <tableColumn id="1" xr3:uid="{021FC9B2-0C5A-4BCC-9374-186C915884EB}" name="Items" dataDxfId="1342" dataCellStyle="Звичайний 3"/>
    <tableColumn id="2" xr3:uid="{077EFD47-4477-4F1F-82BD-64DBA464548D}" name="Items-Common" dataDxfId="1341" dataCellStyle="Звичайний 3"/>
    <tableColumn id="3" xr3:uid="{FD3D6875-46A7-4726-82CF-D78FF784C0B6}" name="Items-Weapon" dataDxfId="1340" dataCellStyle="Звичайний 3"/>
    <tableColumn id="4" xr3:uid="{84E50C03-CB61-49AD-9851-AE215088B83B}" name="Items-Armor" dataDxfId="1339" dataCellStyle="Звичайний 3"/>
    <tableColumn id="5" xr3:uid="{F22C378D-3753-4698-BEC7-D5CA260267E6}" name="Items-Magic" dataDxfId="1338" dataCellStyle="Звичайний 3"/>
    <tableColumn id="6" xr3:uid="{059EEADA-5E53-44AC-8417-5589FBE2BF00}" name="Items-Potion" dataDxfId="1337" dataCellStyle="Звичайний 3"/>
    <tableColumn id="7" xr3:uid="{CF5E8BB6-7B7A-4118-885D-CD2EAED8C3D3}" name="Items-Scroll" dataDxfId="1336" dataCellStyle="Звичайний 3"/>
    <tableColumn id="8" xr3:uid="{5067EDEF-BCB1-457F-83DC-0ED3F2E50A2E}" name="Items-Books" dataDxfId="1335" dataCellStyle="Звичайний 3"/>
    <tableColumn id="9" xr3:uid="{159EB4DC-5EBD-4830-BFBF-C9EB93214048}" name="Items-Equipment" dataDxfId="1334" dataCellStyle="Звичайний 3"/>
  </tableColumns>
  <tableStyleInfo name="TableStyleDark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98F2946A-1FE9-4357-8B03-09D28F6E63C0}" name="Таблиця295" displayName="Таблиця295" ref="CU1:CZ53" totalsRowShown="0" headerRowDxfId="1333" headerRowCellStyle="Звичайний 3" dataCellStyle="Звичайний 3">
  <autoFilter ref="CU1:CZ53" xr:uid="{F2ACF783-CA32-421A-850B-91956734DC1D}"/>
  <tableColumns count="6">
    <tableColumn id="1" xr3:uid="{D9A3954C-C8A8-46BB-B7D8-FACCF9D478F4}" name="Weapon-Prefix" dataDxfId="1332" dataCellStyle="Звичайний 3"/>
    <tableColumn id="2" xr3:uid="{F9E4F8C9-E80E-41B1-87B7-7AAF94CE7B11}" name="Weapon-Suffix" dataDxfId="1331" dataCellStyle="Звичайний 3"/>
    <tableColumn id="3" xr3:uid="{E8F54BE7-7E52-4363-A1CE-E812DA541DC6}" name="Armor-Prefix" dataDxfId="1330" dataCellStyle="Звичайний 3"/>
    <tableColumn id="4" xr3:uid="{E86E93BC-414C-477B-910A-2CF3363C6CF8}" name="Armor-Suffix" dataDxfId="1329" dataCellStyle="Звичайний 3"/>
    <tableColumn id="5" xr3:uid="{667CA9F1-25C6-4385-8DD3-2A243BE79BC5}" name="Universal-Prefix" dataDxfId="1328" dataCellStyle="Звичайний 3"/>
    <tableColumn id="6" xr3:uid="{B64F838F-8765-44AD-9140-4239FD38121E}" name="Universal-Suffix" dataDxfId="1327" dataCellStyle="Звичайний 3"/>
  </tableColumns>
  <tableStyleInfo name="TableStyleDark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73356C02-A859-454B-95CC-12A72DD53C86}" name="Таблиця296" displayName="Таблиця296" ref="BB1:BE7" totalsRowShown="0" headerRowBorderDxfId="1326" tableBorderDxfId="1325">
  <autoFilter ref="BB1:BE7" xr:uid="{71ED8F24-FF4B-49B4-90ED-A3EA8489CDE4}"/>
  <tableColumns count="4">
    <tableColumn id="1" xr3:uid="{1D35D8F2-3114-47D1-96AF-13AB37DE75BE}" name="Hazard" dataDxfId="1324" dataCellStyle="Звичайний 3"/>
    <tableColumn id="2" xr3:uid="{F1B3B60A-BAFC-4082-81B5-C7BC51E37B33}" name="Hazard-Weather" dataDxfId="1323" dataCellStyle="Звичайний 3"/>
    <tableColumn id="3" xr3:uid="{362AA1ED-DF5D-448E-B6F4-9EFE18F032AC}" name="Hazard-Terrain" dataDxfId="1322" dataCellStyle="Звичайний 3"/>
    <tableColumn id="4" xr3:uid="{7707108F-3D1E-4A75-AF85-80CCF909BDD8}" name="Hazard-Trap" dataDxfId="1321" dataCellStyle="Звичайний 3"/>
  </tableColumns>
  <tableStyleInfo name="TableStyleDark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F9727F82-729D-4624-8925-B3451A218106}" name="Таблиця297" displayName="Таблиця297" ref="AF1:AJ11" totalsRowShown="0" headerRowDxfId="1320" headerRowBorderDxfId="1319" tableBorderDxfId="1318" headerRowCellStyle="Звичайний 3" dataCellStyle="Звичайний 3">
  <autoFilter ref="AF1:AJ11" xr:uid="{2139B70B-3B2C-4D66-8DC1-90304BEF414A}"/>
  <tableColumns count="5">
    <tableColumn id="1" xr3:uid="{3B27FF83-2008-45A4-9086-6C1EA27CCE93}" name="Dungeon" dataDxfId="1317" dataCellStyle="Звичайний 3"/>
    <tableColumn id="2" xr3:uid="{11DE879C-0746-4919-B1EB-C3B0A3008544}" name="Dungeon-Base" dataDxfId="1316" dataCellStyle="Звичайний 3"/>
    <tableColumn id="3" xr3:uid="{CE4F9CB1-4AFD-485F-91D6-98BC6840C6C7}" name="Dungeon-Category" dataDxfId="1315" dataCellStyle="Звичайний 3"/>
    <tableColumn id="4" xr3:uid="{2F0042F2-9ABD-4FED-8652-7BA9155ADA67}" name="Dungeon-Master" dataDxfId="1314" dataCellStyle="Звичайний 3"/>
    <tableColumn id="5" xr3:uid="{262A8867-44F4-4555-8961-3A291541F2A0}" name="Dungeon-Rooms" dataDxfId="1313" dataCellStyle="Звичайний 3"/>
  </tableColumns>
  <tableStyleInfo name="TableStyleDark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B0F9EF3E-A48F-428A-99C0-53DB50199788}" name="Таблиця298" displayName="Таблиця298" ref="A1:H13" totalsRowShown="0" headerRowDxfId="1312" headerRowBorderDxfId="1311" tableBorderDxfId="1310" totalsRowBorderDxfId="1309" headerRowCellStyle="Звичайний 3" dataCellStyle="Звичайний 3">
  <autoFilter ref="A1:H13" xr:uid="{CA59AB77-C263-48C4-86A9-9328DB1390BC}"/>
  <tableColumns count="8">
    <tableColumn id="1" xr3:uid="{C4DEFC77-0C0B-47BE-8FAF-E3C920357A64}" name="Wilderness" dataDxfId="1308" dataCellStyle="Звичайний 3"/>
    <tableColumn id="2" xr3:uid="{7E4577D1-12B8-406F-BBB9-4565B014F5D5}" name="Wilderness-Base" dataDxfId="1307" dataCellStyle="Звичайний 3"/>
    <tableColumn id="3" xr3:uid="{E6891D06-969C-40DC-AF0A-1DC8D8C76B2F}" name="Wilderness-Category" dataDxfId="1306" dataCellStyle="Звичайний 3"/>
    <tableColumn id="4" xr3:uid="{01A7030C-447B-4729-A8E7-45432EA7D793}" name="Wilderness-Subcat" dataDxfId="1305" dataCellStyle="Звичайний 3"/>
    <tableColumn id="5" xr3:uid="{3D54475F-4F0B-4C39-BD68-477C192B2AAA}" name="Wilderness-Subtype" dataDxfId="1304" dataCellStyle="Звичайний 3"/>
    <tableColumn id="6" xr3:uid="{42D974DA-9946-4451-A203-CD4F93E99B1B}" name="Wilderness-Population" dataDxfId="1303" dataCellStyle="Звичайний 3"/>
    <tableColumn id="7" xr3:uid="{70A13B1C-FDCA-407C-93FC-B8A330E86EC5}" name="Wilderness-Race" dataDxfId="1302" dataCellStyle="Звичайний 3"/>
    <tableColumn id="8" xr3:uid="{8AF049C3-F4E3-45D7-9B82-4A9D40799D0B}" name="Wilderness-Features" dataDxfId="1301" dataCellStyle="Звичайний 3"/>
  </tableColumns>
  <tableStyleInfo name="TableStyleDark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22D1BF6E-C660-4666-8F8B-8A6426BE5EB7}" name="Таблиця299" displayName="Таблиця299" ref="F27:G126" totalsRowShown="0" headerRowDxfId="1300" headerRowCellStyle="Звичайний 3" dataCellStyle="Звичайний 3">
  <autoFilter ref="F27:G126" xr:uid="{99FF265F-6372-40DC-AC42-19BF76430ABC}"/>
  <tableColumns count="2">
    <tableColumn id="1" xr3:uid="{5FA8E9FE-0F1D-43C3-B079-8248F3B8CDCC}" name="D50" dataDxfId="1299" dataCellStyle="Звичайний 3"/>
    <tableColumn id="2" xr3:uid="{DF08A9C3-4884-4AB8-ACC1-85336DD94FC7}" name="Sandbox Ideas" dataDxfId="1298" dataCellStyle="Звичайний 3"/>
  </tableColumns>
  <tableStyleInfo name="TableStyleDark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97E2B05B-B81E-41C7-A3F8-1B7CBD0424B5}" name="Таблиця304" displayName="Таблиця304" ref="F155:K161" totalsRowShown="0" headerRowDxfId="1297" headerRowCellStyle="Звичайний 3" dataCellStyle="Звичайний 3">
  <autoFilter ref="F155:K161" xr:uid="{25E93E5B-BF9D-4D40-8E92-FC92A88B6439}"/>
  <tableColumns count="6">
    <tableColumn id="1" xr3:uid="{E84BDCE2-96B2-4D97-9495-DB02E5C85522}" name="Owner" dataDxfId="1296" dataCellStyle="Звичайний 3"/>
    <tableColumn id="2" xr3:uid="{ECF3A7C4-02B2-4059-9096-B81D31DDEA58}" name="Level" dataDxfId="1295" dataCellStyle="Звичайний 3"/>
    <tableColumn id="3" xr3:uid="{F6F4939E-17BB-4B52-9D9B-62A526844CA2}" name="Patrol" dataDxfId="1294" dataCellStyle="Звичайний 3"/>
    <tableColumn id="4" xr3:uid="{24BBA832-FB7A-46BF-9221-F366DE71174F}" name="Pursue" dataDxfId="1293" dataCellStyle="Звичайний 3"/>
    <tableColumn id="5" xr3:uid="{C9F9BC33-3D27-4C47-AAE0-4DF534E45398}" name="IgnoreFriendly" dataDxfId="1292" dataCellStyle="Звичайний 3"/>
    <tableColumn id="6" xr3:uid="{310ADEF8-2963-4018-9B1F-7E42560AC67D}" name="Стовпець1" dataDxfId="1291" dataCellStyle="Звичайний 3"/>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6E6B9870-F125-4CD9-9250-9E7AF36165CE}" name="Таблиця305" displayName="Таблиця305" ref="F166:K183" totalsRowShown="0" headerRowDxfId="1290" headerRowCellStyle="Звичайний 3" dataCellStyle="Звичайний 3">
  <autoFilter ref="F166:K183" xr:uid="{5B56C477-900D-4305-88D4-A94B2232DA98}"/>
  <tableColumns count="6">
    <tableColumn id="1" xr3:uid="{843FE69F-8CF3-42A0-B516-164D1AF7A95B}" name="Owner " dataDxfId="1289" dataCellStyle="Звичайний 3"/>
    <tableColumn id="2" xr3:uid="{CDED1B6A-D295-4490-952C-753A190E6E4D}" name="Level" dataDxfId="1288" dataCellStyle="Звичайний 3"/>
    <tableColumn id="3" xr3:uid="{7AEBCCE1-D745-4C32-9BE0-D75C13108DAB}" name=" Patrol " dataDxfId="1287" dataCellStyle="Звичайний 3"/>
    <tableColumn id="4" xr3:uid="{4433AD6D-B64C-4E5D-9A15-8C323172EC78}" name="Pursue " dataDxfId="1286" dataCellStyle="Звичайний 3"/>
    <tableColumn id="5" xr3:uid="{F4401561-C540-44DE-893C-E2A158B861A4}" name="Ignore" dataDxfId="1285" dataCellStyle="Звичайний 3"/>
    <tableColumn id="6" xr3:uid="{9518C26F-B395-4BA6-AF36-92D52B824DEE}" name="Friendly" dataDxfId="1284" dataCellStyle="Звичайний 3"/>
  </tableColumns>
  <tableStyleInfo name="TableStyleDark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D242CFBC-9B92-423B-A628-E2F79342F5A2}" name="Таблиця306" displayName="Таблиця306" ref="F145:G152" totalsRowShown="0" headerRowDxfId="1283" headerRowCellStyle="Звичайний 3" dataCellStyle="Звичайний 3">
  <autoFilter ref="F145:G152" xr:uid="{A1F5A6F3-B027-48D2-8C3A-DB6CDF2D4092}"/>
  <tableColumns count="2">
    <tableColumn id="1" xr3:uid="{A580956C-96E9-4A2F-8AEA-0494366AFCFB}" name="Castle Size" dataDxfId="1282" dataCellStyle="Звичайний 3"/>
    <tableColumn id="2" xr3:uid="{3AB65047-E23C-4129-B150-B61CCAC4EAD3}" name="Стовпець1" dataDxfId="1281" dataCellStyle="Звичайний 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D094A6A1-41BC-4FEB-BD9F-2C33C16BAE6B}" name="Таблиця307" displayName="Таблиця307" ref="V16:W21" totalsRowShown="0" headerRowDxfId="1280" headerRowCellStyle="Звичайний 3" dataCellStyle="Звичайний 3">
  <autoFilter ref="V16:W21" xr:uid="{2FDAA9EC-1E1F-41F6-B942-DB26443BF47A}"/>
  <tableColumns count="2">
    <tableColumn id="1" xr3:uid="{1BC08A5C-FF48-4431-A67C-C51F3D8E5F58}" name="Стовпець1" dataDxfId="1279" dataCellStyle="Звичайний 3"/>
    <tableColumn id="2" xr3:uid="{88378215-DC64-4A9C-B670-CCDF4141963B}" name="Стовпець2" dataDxfId="1278" dataCellStyle="Звичайний 3"/>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C34794D3-5FEE-480E-97D1-CA1C2443171F}" name="Таблиця308" displayName="Таблиця308" ref="V1:AD13" totalsRowShown="0" headerRowDxfId="1277" headerRowBorderDxfId="1276" tableBorderDxfId="1275" headerRowCellStyle="Звичайний 3">
  <autoFilter ref="V1:AD13" xr:uid="{5F44505B-0AC0-4393-9F7C-FCA28CC4CD14}"/>
  <tableColumns count="9">
    <tableColumn id="1" xr3:uid="{7985C11F-3C6A-4A16-80BE-E5DE3072E72C}" name="Settlement" dataDxfId="1274" dataCellStyle="Звичайний 3"/>
    <tableColumn id="2" xr3:uid="{016560FB-086F-471A-B606-27CB9879A860}" name="Settlement-Base" dataDxfId="1273" dataCellStyle="Звичайний 3"/>
    <tableColumn id="3" xr3:uid="{E9D7D10E-4B17-4470-9D5A-6B58616DCCAE}" name="Settlement-Category" dataDxfId="1272" dataCellStyle="Звичайний 3"/>
    <tableColumn id="4" xr3:uid="{4DF8D2CF-496D-44F2-98F3-3632B0F82B8B}" name="Settlement-Population" dataDxfId="1271" dataCellStyle="Звичайний 3"/>
    <tableColumn id="5" xr3:uid="{3559BF64-214E-45C5-A31E-5014DB85A609}" name="Settlement-Buildings" dataDxfId="1270" dataCellStyle="Звичайний 3"/>
    <tableColumn id="6" xr3:uid="{4973B102-D8C1-448A-80A5-871899DBD6EB}" name="Settlement-Taverns" dataDxfId="1269" dataCellStyle="Звичайний 3"/>
    <tableColumn id="7" xr3:uid="{282AA511-8410-4697-9359-343939AE0F51}" name="Settlement-Shops" dataDxfId="1268" dataCellStyle="Звичайний 3"/>
    <tableColumn id="8" xr3:uid="{23C3A1DF-A6AA-404D-BBD4-7F17C64DF965}" name="Settlement-Leader" dataCellStyle="Звичайний 3"/>
    <tableColumn id="9" xr3:uid="{9A4146E6-F886-477A-9907-626567FA51CB}" name="Settlement-Feature" dataCellStyle="Звичайний 3"/>
  </tableColumns>
  <tableStyleInfo name="TableStyleMedium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D60EBB8B-4952-440F-9611-701161B450D7}" name="Таблиця55" displayName="Таблиця55" ref="DE3:DF10" totalsRowShown="0">
  <autoFilter ref="DE3:DF10" xr:uid="{885ED8A1-C8B5-4669-B8F1-E36D5175C81A}"/>
  <tableColumns count="2">
    <tableColumn id="1" xr3:uid="{D955F50D-9A34-46A9-BC21-EC0C9E50B5AE}" name="Attributes"/>
    <tableColumn id="2" xr3:uid="{E3CBFBAC-7779-40B9-B6D9-D2B295F45849}" name="Variables (using &quot;;&quot; as delimiter)"/>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1CE22782-3D29-4CB3-A163-28B6AE955830}" name="Таблиця284" displayName="Таблиця284" ref="DE12:DF38" totalsRowShown="0">
  <autoFilter ref="DE12:DF38" xr:uid="{8305A95C-48EB-4340-90A1-DB287C34B2F4}"/>
  <tableColumns count="2">
    <tableColumn id="1" xr3:uid="{3E447DFD-F761-43C6-9385-4EEEA96D96B2}" name="Names"/>
    <tableColumn id="2" xr3:uid="{13593B6D-2D59-430C-A936-A67CAD792A1A}" name="Variables (using &quot;;&quot; as delimiter)"/>
  </tableColumns>
  <tableStyleInfo name="TableStyleDark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D825AA25-D108-4DA7-B06C-FE587E76FB03}" name="Таблиця55244" displayName="Таблиця55244" ref="DH3:DI10" totalsRowShown="0">
  <autoFilter ref="DH3:DI10" xr:uid="{4F068A7E-7F3F-4EC7-8759-73F59F89C142}"/>
  <tableColumns count="2">
    <tableColumn id="1" xr3:uid="{EBCE4741-09D2-454C-A471-9B182EBAD81D}" name="Attributes"/>
    <tableColumn id="2" xr3:uid="{53D3C61D-4C3A-4BE0-91F4-E4C9B1D47E7A}" name="Variables (using &quot;;&quot; as delimiter)"/>
  </tableColumns>
  <tableStyleInfo name="TableStyleMedium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31E861B2-A363-4E6D-BB79-033548B5AAFB}" name="Таблиця55244245" displayName="Таблиця55244245" ref="DK3:DL10" totalsRowShown="0">
  <autoFilter ref="DK3:DL10" xr:uid="{4348B444-C676-4644-9768-56EFEC5CDEB1}"/>
  <tableColumns count="2">
    <tableColumn id="1" xr3:uid="{345E6779-B1CD-4664-816A-849E92AACD33}" name="Attributes"/>
    <tableColumn id="2" xr3:uid="{26DBC9E7-E85D-4294-939A-9FC52E3EA78D}" name="Variables (using &quot;;&quot; as delimiter)"/>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10337140-A814-493A-A976-02176BF5654F}" name="Таблиця55244245246" displayName="Таблиця55244245246" ref="DN3:DO10" totalsRowShown="0">
  <autoFilter ref="DN3:DO10" xr:uid="{E31A9044-F882-4F65-9FBD-968193737B7C}"/>
  <tableColumns count="2">
    <tableColumn id="1" xr3:uid="{E2B06D89-7ED7-4043-98B5-469568B7F63F}" name="Attributes"/>
    <tableColumn id="2" xr3:uid="{12ADCF5B-97E3-4E7E-A876-A85CE3436E15}" name="Variables (using &quot;;&quot; as delimiter)"/>
  </tableColumns>
  <tableStyleInfo name="TableStyleMedium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D49601F3-A22A-4F40-8239-D729656F553F}" name="Таблиця55244245246247" displayName="Таблиця55244245246247" ref="DQ3:DR10" totalsRowShown="0">
  <autoFilter ref="DQ3:DR10" xr:uid="{D15AC9C9-4ACA-49D2-8301-016A2F2EFF21}"/>
  <tableColumns count="2">
    <tableColumn id="1" xr3:uid="{5F3F8B08-BC74-4345-9E40-D6B71BD63AF6}" name="Attributes"/>
    <tableColumn id="2" xr3:uid="{4D1C8D53-6D85-471C-A2D8-F9B8A4C947ED}" name="Variables (using &quot;;&quot; as delimiter)"/>
  </tableColumns>
  <tableStyleInfo name="TableStyleMedium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65221FE0-3998-410D-8B24-42BCA140DBA6}" name="Таблиця285" displayName="Таблиця285" ref="DT3:DU10" totalsRowShown="0" headerRowDxfId="1267" headerRowBorderDxfId="1266" tableBorderDxfId="1265">
  <autoFilter ref="DT3:DU10" xr:uid="{E3F9DF57-1419-47EF-AF9F-DF005CC7155F}"/>
  <tableColumns count="2">
    <tableColumn id="1" xr3:uid="{D28DB41B-5B1F-44D0-B330-39B5FF84F571}" name="Attributes"/>
    <tableColumn id="2" xr3:uid="{2B5AE3C1-0A68-4E10-90FC-6402B67B6492}" name="Variables (using &quot;;&quot; as delimiter)"/>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1DBB8E1B-33BD-4E1A-BF12-187B260E4542}" name="Таблиця285249" displayName="Таблиця285249" ref="DW3:DX10" totalsRowShown="0" headerRowDxfId="1264" headerRowBorderDxfId="1263" tableBorderDxfId="1262">
  <autoFilter ref="DW3:DX10" xr:uid="{69742614-F607-4AA1-9B12-CD35D1EC9201}"/>
  <tableColumns count="2">
    <tableColumn id="1" xr3:uid="{D4D062D9-75D0-4977-AFDE-3347A000675E}" name="Attributes"/>
    <tableColumn id="2" xr3:uid="{81BAFDC4-A7EE-44DA-900F-50AB00A56BBD}" name="Variables (using &quot;;&quot; as delimiter)"/>
  </tableColumns>
  <tableStyleInfo name="TableStyleMedium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1FB6E8C2-AA61-411F-90E2-D11978620B51}" name="Таблиця285250" displayName="Таблиця285250" ref="DZ3:EA10" totalsRowShown="0" headerRowDxfId="1261" headerRowBorderDxfId="1260" tableBorderDxfId="1259">
  <autoFilter ref="DZ3:EA10" xr:uid="{0D7F1436-6FF9-4C60-926B-D75040E3BB10}"/>
  <tableColumns count="2">
    <tableColumn id="1" xr3:uid="{8FAC8FBC-FBAF-4EDE-A262-C6DDDAAD5FA0}" name="Attributes"/>
    <tableColumn id="2" xr3:uid="{8B72A5BD-3EEB-46FD-BE46-24C55C18B975}" name="Variables (using &quot;;&quot; as delimiter)"/>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1DA622BD-06F3-43B9-A447-571D944BD26A}" name="Таблиця285251" displayName="Таблиця285251" ref="EC3:ED10" totalsRowShown="0" headerRowDxfId="1258" headerRowBorderDxfId="1257" tableBorderDxfId="1256">
  <autoFilter ref="EC3:ED10" xr:uid="{C893A0A3-2F60-4B25-8FE2-BB0CD1F79AF5}"/>
  <tableColumns count="2">
    <tableColumn id="1" xr3:uid="{5AEA60BE-F471-4544-BEB8-486201924FDF}" name="Attributes"/>
    <tableColumn id="2" xr3:uid="{2A2224CA-E2D5-41CA-98BC-E2AB1A11B7C2}" name="Variables (using &quot;;&quot; as delimiter)"/>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1797819B-2569-4B65-B014-63A80717C99A}" name="Таблиця198" displayName="Таблиця198" ref="A3:F8" totalsRowShown="0">
  <autoFilter ref="A3:F8" xr:uid="{BF32155E-CFEF-42F2-8FE1-E2A60163469D}"/>
  <tableColumns count="6">
    <tableColumn id="1" xr3:uid="{A1FF8207-584A-4FFE-841F-466C60857021}" name="Предложение"/>
    <tableColumn id="2" xr3:uid="{276CEBAD-5D08-4736-AD84-39E215416C4D}" name="Спрос отсутствует" dataDxfId="1255"/>
    <tableColumn id="3" xr3:uid="{CB97C44D-0661-4E73-BB68-3C29D04AFECD}" name="Спрос низкий" dataDxfId="1254"/>
    <tableColumn id="4" xr3:uid="{9FCDE4E5-9E8F-4C90-A76F-41D6BB3D08D2}" name="Спрос базовый" dataDxfId="1253"/>
    <tableColumn id="5" xr3:uid="{9EB0FC08-C7E4-4D2F-9423-AA391CF51352}" name="Спрос Высокий" dataDxfId="1252"/>
    <tableColumn id="6" xr3:uid="{D1E71659-C202-49BC-85A0-85DBCD1738F3}" name="Спрос крайне высокий" dataDxfId="1251"/>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83B95EA2-E106-4523-8838-BD3780F65618}" name="Таблиця199" displayName="Таблиця199" ref="A10:F16" totalsRowShown="0">
  <autoFilter ref="A10:F16" xr:uid="{FE87F62A-ECFA-47F4-9E7C-0797047303A9}"/>
  <tableColumns count="6">
    <tableColumn id="1" xr3:uid="{00FFCEDB-548D-4FF8-BDA8-46590667AC4B}" name="Спрос"/>
    <tableColumn id="2" xr3:uid="{FAE666F7-F44C-49B7-B41B-40C85AED78E2}" name="Поселок"/>
    <tableColumn id="3" xr3:uid="{7742AF61-5952-43C0-8667-B14009EAB59B}" name="Деревня"/>
    <tableColumn id="4" xr3:uid="{0567FD0C-3EF7-470D-8DC4-7594E9EA90E4}" name="Небольшой город"/>
    <tableColumn id="5" xr3:uid="{43232D05-E052-4BBF-BF2F-27F1C86DB9D0}" name="Город"/>
    <tableColumn id="6" xr3:uid="{1FAF3AD6-5850-4200-B724-989F0D82D487}" name="Мегаполис"/>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7241E284-2695-4AA3-83CB-F2A3F76C729F}" name="Таблиця200" displayName="Таблиця200" ref="A29:B44" totalsRowShown="0">
  <autoFilter ref="A29:B44" xr:uid="{C2C87D0E-BDCE-4A11-8AC0-29EDC25C1756}"/>
  <tableColumns count="2">
    <tableColumn id="1" xr3:uid="{1C96EC39-FE6A-4C48-A90A-7F887317D1E1}" name="D100"/>
    <tableColumn id="2" xr3:uid="{00FD3598-C344-49F7-82A8-CCE87D5BFB3A}" name="GOODS"/>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CCD85F9-015C-4332-A333-136A0AE6A383}" name="Таблиця201" displayName="Таблиця201" ref="D29:E44" totalsRowShown="0">
  <autoFilter ref="D29:E44" xr:uid="{209EFD34-F24A-4C3A-8F5E-FE979281B6AE}"/>
  <tableColumns count="2">
    <tableColumn id="1" xr3:uid="{40FC3B91-4557-495E-BE3C-E427843E3325}" name="D100"/>
    <tableColumn id="2" xr3:uid="{A9C1A458-F585-465F-865C-3DA3F20C09EF}" name="GOODS"/>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4D136F03-9DB6-444A-86C7-F8E20B60B231}" name="Таблиця202" displayName="Таблиця202" ref="A19:B25" totalsRowShown="0">
  <autoFilter ref="A19:B25" xr:uid="{AC29686B-FA39-407A-BCB1-2B766A9A3608}"/>
  <tableColumns count="2">
    <tableColumn id="1" xr3:uid="{A8E386AE-2633-42C0-B14B-BC9D9180FB47}" name="к6"/>
    <tableColumn id="2" xr3:uid="{D56C482B-FF84-441F-BB38-D1C010CA5293}" name="Осложнение"/>
  </tableColumns>
  <tableStyleInfo name="TableStyleMedium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1B811E58-AF7B-4D4B-A279-86EFED8ECC1B}" name="Таблиця108" displayName="Таблиця108" ref="A49:D57" totalsRowShown="0" headerRowDxfId="1250" dataDxfId="1248" headerRowBorderDxfId="1249" tableBorderDxfId="1247" totalsRowBorderDxfId="1246">
  <autoFilter ref="A49:D57" xr:uid="{AD966446-2847-47A6-A6CF-5E7677BD9843}"/>
  <tableColumns count="4">
    <tableColumn id="1" xr3:uid="{4EA5D88D-8DCE-4F2B-AC0D-E732AA4FAB55}" name="TRADING STATUS" dataDxfId="1245"/>
    <tableColumn id="2" xr3:uid="{0967F7D2-F41E-475E-9501-79371F76987E}" name="AVAILABILITY" dataDxfId="1244"/>
    <tableColumn id="3" xr3:uid="{055FD99F-B82D-46CD-839F-54B4DE7E8537}" name="COST REGULATION" dataDxfId="1243"/>
    <tableColumn id="4" xr3:uid="{82C47362-3891-450B-9819-2F66D9B34457}" name="DESCRIPTION" dataDxfId="1242"/>
  </tableColumns>
  <tableStyleInfo name="TableStyleMedium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382B6D5A-BC6E-4A8D-9C5B-94208952206D}" name="Таблиця109" displayName="Таблиця109" ref="A61:M69" totalsRowShown="0">
  <autoFilter ref="A61:M69" xr:uid="{DA715EC6-37C5-4983-8339-FB3FE9E15DC8}"/>
  <tableColumns count="13">
    <tableColumn id="1" xr3:uid="{E1F27FE8-84C5-463B-9022-E95B95E9313E}" name="SETTLEMENT SIZE"/>
    <tableColumn id="8" xr3:uid="{33785C57-1BAC-4186-8837-4EBE47EB0692}" name="POPULATION LOW"/>
    <tableColumn id="2" xr3:uid="{4BB0EFD3-1A99-4368-82AC-DCB0C46293D8}" name="POPULATION HIGH"/>
    <tableColumn id="3" xr3:uid="{205AD277-6953-423C-B5F0-C173D4BAE93F}" name="Population0" dataDxfId="1241">
      <calculatedColumnFormula>C63</calculatedColumnFormula>
    </tableColumn>
    <tableColumn id="4" xr3:uid="{5DE4AFF3-9F87-414C-9C97-361BB0FC3361}" name="GP LIMIT"/>
    <tableColumn id="5" xr3:uid="{A37A8749-BE50-40F3-8B05-4F453988B67B}" name="MERCHANT WEALTH"/>
    <tableColumn id="6" xr3:uid="{7CA5B917-EB78-45BE-BD85-E920EEF1243C}" name="CARAVAN WEALTH"/>
    <tableColumn id="7" xr3:uid="{1424AF0F-2A4C-4BB3-84A9-EDF5C83835AC}" name="DC"/>
    <tableColumn id="9" xr3:uid="{BB9F84B1-562A-47A9-8036-CD07338538DB}" name="CARAVANGUARDS"/>
    <tableColumn id="10" xr3:uid="{1ADA533C-90CD-4DA3-9640-6A5EC6BCD3D1}" name="ASSETS"/>
    <tableColumn id="11" xr3:uid="{A3D6BE64-F375-4802-959A-C8B33BA96C8B}" name="Market Class"/>
    <tableColumn id="12" xr3:uid="{C3495FFA-5524-4585-B3BB-B3DBA6F0C770}" name="Population" dataDxfId="1240"/>
    <tableColumn id="13" xr3:uid="{3C47C3BE-4BDA-4E17-A194-B321B90B8231}" name="Average Population" dataDxfId="1239">
      <calculatedColumnFormula>(Таблиця109[[#This Row],[POPULATION LOW]]+Таблиця109[[#This Row],[POPULATION HIGH]])/2</calculatedColumnFormula>
    </tableColumn>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E7DE97F6-1872-4BEC-938E-E2D5C4F5FE11}" name="Таблиця203" displayName="Таблиця203" ref="A75:G81" totalsRowShown="0">
  <autoFilter ref="A75:G81" xr:uid="{BCB1955F-2EA7-4260-A458-8E6A2A30C2EE}"/>
  <tableColumns count="7">
    <tableColumn id="1" xr3:uid="{D4449F24-7F8D-423B-BD0A-A7249E59ABDA}" name="Market Class"/>
    <tableColumn id="2" xr3:uid="{2E6EB048-1FD5-45C8-B38A-F30CEB63A227}" name="Toll"/>
    <tableColumn id="3" xr3:uid="{EC21475E-4801-4481-A5B6-44E7C959E085}" name="Merchants"/>
    <tableColumn id="4" xr3:uid="{C1037E42-F723-4184-9934-7318C9F9D741}" name="Loads of Merchandise"/>
    <tableColumn id="5" xr3:uid="{5B875773-2CA7-4FDD-A4DB-1F88E423AF68}" name="Passengers"/>
    <tableColumn id="6" xr3:uid="{F7E590BB-E151-4B38-8D1E-64063FA61752}" name="Shipping Contracts"/>
    <tableColumn id="7" xr3:uid="{9F4BC0DE-D09A-4CA8-A1A8-D51A15F5E00A}" name="Cargo to be Shipped"/>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1994360C-5C97-4E84-A2DB-9F5C843A3035}" name="Таблиця204" displayName="Таблиця204" ref="A84:G90" totalsRowShown="0">
  <autoFilter ref="A84:G90" xr:uid="{0ECFE53D-1609-4E6C-A2C3-2DE80B02E4DC}"/>
  <tableColumns count="7">
    <tableColumn id="1" xr3:uid="{18529744-3E6A-4743-AE78-5F6397513FA8}" name="Ship/Caravan"/>
    <tableColumn id="2" xr3:uid="{35CC3BCC-A9D1-489F-A960-6AAE1E3588C5}" name="Upfront Cost"/>
    <tableColumn id="3" xr3:uid="{D2640BCD-F0C5-429F-A60C-766B021131FB}" name="Ship Crew / Caravaneers"/>
    <tableColumn id="4" xr3:uid="{362D2D81-E175-43ED-A2EF-C1746380A788}" name="Average Cargo Weight Carried"/>
    <tableColumn id="5" xr3:uid="{E6AEA21D-EF9C-4DCB-A3E5-EA04FA01CCA6}" name="Average Cargo Value Carried (Treasure Type)"/>
    <tableColumn id="6" xr3:uid="{73A1DE53-CAC3-4A4C-954B-452D0A8B689C}" name="Average Monthly Costs"/>
    <tableColumn id="7" xr3:uid="{7EB9EBA3-2F4D-4CB7-871E-08A9E3684410}" name="Average Monthly Profits"/>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D2B05C6D-B959-4306-8F1D-97665E89EF92}" name="Таблиця205" displayName="Таблиця205" ref="A93:E114" totalsRowShown="0" headerRowDxfId="1238">
  <autoFilter ref="A93:E114" xr:uid="{C3A9C03C-2C01-4712-B6A5-56185E3B5ECF}"/>
  <tableColumns count="5">
    <tableColumn id="1" xr3:uid="{5F36BB2B-9FF7-4F15-ABED-760EC3E1778A}" name="Roll" dataDxfId="1237"/>
    <tableColumn id="2" xr3:uid="{EA185AD3-B0AD-44A9-A1BC-1B42673A58F7}" name="Merchandise" dataDxfId="1236"/>
    <tableColumn id="3" xr3:uid="{9446AF90-CFC0-402F-B8B9-62E26C2E185D}" name="1 Load" dataDxfId="1235"/>
    <tableColumn id="4" xr3:uid="{CBC94D40-38A6-47C9-B61D-8C0BE9CB2C78}" name="Enc. per Load (stone)" dataDxfId="1234"/>
    <tableColumn id="5" xr3:uid="{66F0AFBC-0892-4541-829A-A877ACE19A1A}" name="Base Price" dataDxfId="1233"/>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A9CB7BB-41EF-4DF7-BB3E-5BC5E9EAB471}" name="Таблиця206" displayName="Таблиця206" ref="A119:E130" totalsRowShown="0" headerRowDxfId="1232">
  <autoFilter ref="A119:E130" xr:uid="{87F8140F-9C2B-4EC7-B9D8-22E3F56C31AA}"/>
  <tableColumns count="5">
    <tableColumn id="1" xr3:uid="{1B6BA89E-23F5-4E44-972A-E62C10744F52}" name="Roll" dataDxfId="1231"/>
    <tableColumn id="2" xr3:uid="{590AB288-00FF-40D3-BF77-1873A400FDE4}" name="Merchandise" dataDxfId="1230"/>
    <tableColumn id="3" xr3:uid="{5233B9F7-EF38-4E7D-BFE2-E168FB4DA5DB}" name="1 Load" dataDxfId="1229"/>
    <tableColumn id="4" xr3:uid="{5C66FFDC-8CFF-4B27-BC06-D3320DB88913}" name="Enc. per Load (stone)" dataDxfId="1228"/>
    <tableColumn id="5" xr3:uid="{C1468F73-B4E3-4CE4-9C0D-1D3C5AC1AD1B}" name="Base Price" dataDxfId="1227"/>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81C22D9E-75F4-406C-B230-95F175BFF891}" name="Таблиця207" displayName="Таблиця207" ref="A134:F141" totalsRowShown="0" headerRowDxfId="1226">
  <autoFilter ref="A134:F141" xr:uid="{0DAC1663-BA86-40C5-99C3-33A9727C3716}"/>
  <tableColumns count="6">
    <tableColumn id="1" xr3:uid="{5E7ADB2F-B8AF-445F-9EE8-9537CB86FEF0}" name="Roll" dataDxfId="1225"/>
    <tableColumn id="2" xr3:uid="{4404AE64-1EDE-40C2-B683-516FE9E50252}" name="Animal" dataDxfId="1224"/>
    <tableColumn id="3" xr3:uid="{9AC8C727-2E84-430D-A5B4-04568A859BB6}" name="Encumbrance per Animal, stone" dataDxfId="1223"/>
    <tableColumn id="4" xr3:uid="{D26D178D-741E-459E-B643-2FB9EDF8319E}" name="Animals per Load" dataDxfId="1222"/>
    <tableColumn id="5" xr3:uid="{F803BF00-18AB-4AC1-B5CA-9673522EA326}" name="Fodder Cost per Load (10 stone)" dataDxfId="1221"/>
    <tableColumn id="6" xr3:uid="{C50AB526-374C-4C02-8503-0FECE089468B}" name="Price per Load" dataDxfId="1220"/>
  </tableColumns>
  <tableStyleInfo name="TableStyleMedium15"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4BDF7F3A-A248-4B23-8FC4-50A8792B2540}" name="Таблиця208" displayName="Таблиця208" ref="A171:D181" totalsRowShown="0">
  <autoFilter ref="A171:D181" xr:uid="{B6FC60DA-FD71-4EB9-B57C-63522CBB8BF6}"/>
  <tableColumns count="4">
    <tableColumn id="1" xr3:uid="{5E23E7B2-5BBD-4985-9915-0BC7030A85B8}" name="Spell Level"/>
    <tableColumn id="2" xr3:uid="{2807A265-87B0-4D11-A66F-12AC07B1A519}" name="Time" dataCellStyle="Ввід"/>
    <tableColumn id="3" xr3:uid="{93D13539-E5A4-4078-990B-4EA8E330BC8C}" name="Cost" dataCellStyle="Ввід"/>
    <tableColumn id="4" xr3:uid="{15C83842-447B-46A0-8550-D9F5C9067713}" name="SPECIAL COMPONENTS" dataCellStyle="Ввід"/>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136E73DE-B0A5-49C1-9E7C-B5D6D3BED29E}" name="Таблиця209" displayName="Таблиця209" ref="A215:C230" totalsRowShown="0">
  <autoFilter ref="A215:C230" xr:uid="{00D4DE49-738F-4E05-BFB4-D8B9214F7AC8}"/>
  <tableColumns count="3">
    <tableColumn id="1" xr3:uid="{28420E00-3450-42F9-8A0B-164DF605B187}" name="Item Type"/>
    <tableColumn id="2" xr3:uid="{E3ECDA04-4719-4D26-8729-2D189185EDD6}" name="Base Cost" dataCellStyle="Ввід"/>
    <tableColumn id="3" xr3:uid="{D51AB98B-2603-4ECD-B7E2-F2ACF078FD5E}" name="Time" dataCellStyle="Ввід"/>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5B07FE2F-B62E-48A6-8C1E-E5D7F244C94C}" name="Таблиця210" displayName="Таблиця210" ref="A232:D240" totalsRowShown="0">
  <autoFilter ref="A232:D240" xr:uid="{4E984DF5-E46E-4A80-89C0-B64AA9486D28}"/>
  <tableColumns count="4">
    <tableColumn id="1" xr3:uid="{3135D42D-4C88-4149-95AE-A53AD264CB15}" name="Item Type"/>
    <tableColumn id="2" xr3:uid="{00B01436-7858-4709-B374-EC73FF14D661}" name="Base Cost"/>
    <tableColumn id="3" xr3:uid="{2162382C-B4F9-49D7-AC6E-C6D4ED282931}" name="Time"/>
    <tableColumn id="4" xr3:uid="{8E0EF9E6-3714-4AE5-BA19-BC0F1A5C1B14}" name="Possible Special Components"/>
  </tableColumns>
  <tableStyleInfo name="TableStyleMedium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C6D1AB33-4677-4FA6-9EE2-C694CAFECEDC}" name="Таблиця211" displayName="Таблиця211" ref="A268:B274" totalsRowShown="0">
  <autoFilter ref="A268:B274" xr:uid="{8830A82A-A631-4302-8329-8B9F5F01F11C}"/>
  <tableColumns count="2">
    <tableColumn id="1" xr3:uid="{DD109584-017F-4DA2-98B9-6E01F88837AE}" name="d6"/>
    <tableColumn id="2" xr3:uid="{103CFE20-E732-41BE-99F2-B932F224C4AC}" name="Complication"/>
  </tableColumns>
  <tableStyleInfo name="TableStyleMedium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E8628D8C-3288-44AF-BE39-0AC031E06CC3}" name="Таблиця212" displayName="Таблиця212" ref="A260:D266" totalsRowShown="0">
  <autoFilter ref="A260:D266" xr:uid="{485B8D2A-1DA4-4927-AA01-8164722A043C}"/>
  <tableColumns count="4">
    <tableColumn id="1" xr3:uid="{364F366F-90F5-4DAA-B634-6024840FA982}" name="Item Rarity"/>
    <tableColumn id="2" xr3:uid="{5E6AABE3-204C-438F-A382-32725DE0D41F}" name="Days"/>
    <tableColumn id="3" xr3:uid="{BC31A660-6F02-4BCE-873C-4D5D63185554}" name="Cost*"/>
    <tableColumn id="4" xr3:uid="{7C6502DF-BAD4-40D9-9382-1A048D29D6CB}" name="Стовпець1"/>
  </tableColumns>
  <tableStyleInfo name="TableStyleMedium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DE3CFB3B-4869-4A42-888D-07A043356DDE}" name="Таблиця213" displayName="Таблиця213" ref="A252:C257" totalsRowShown="0">
  <autoFilter ref="A252:C257" xr:uid="{BC394FE2-68A9-4098-BE10-EBD9EA597DA2}"/>
  <tableColumns count="3">
    <tableColumn id="1" xr3:uid="{CBB09A52-34FE-4AEB-A52E-CEEB1E5938AF}" name="Item Rarity"/>
    <tableColumn id="2" xr3:uid="{BA2C28B6-5A69-4F81-8A08-18BD17C44720}" name="Days" dataCellStyle="Ввід"/>
    <tableColumn id="3" xr3:uid="{D84A83C0-F382-40BA-8A26-A471B8673450}" name="Minimum Skill bonus" dataCellStyle="Ввід"/>
  </tableColumns>
  <tableStyleInfo name="TableStyleMedium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78B46DA4-BC63-46EC-B318-A27DFDF9E0FD}" name="Таблиця214" displayName="Таблиця214" ref="A245:C250" totalsRowShown="0">
  <autoFilter ref="A245:C250" xr:uid="{4DA42CFE-8790-40CB-957D-78F581E0F38C}"/>
  <tableColumns count="3">
    <tableColumn id="1" xr3:uid="{F3A822C2-7386-474A-A9C3-0446BEF44803}" name="Item Rarity"/>
    <tableColumn id="2" xr3:uid="{E2EA54B7-FC18-4345-877E-C4D35306D480}" name="challenge, min" dataCellStyle="Ввід"/>
    <tableColumn id="3" xr3:uid="{48DE9185-22D5-42A3-9211-DC449164B927}" name="challenge, max" dataCellStyle="Ввід"/>
  </tableColumns>
  <tableStyleInfo name="TableStyleMedium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274DE29F-D990-41E3-B292-689E8A358099}" name="Таблиця215" displayName="Таблиця215" ref="A283:C289" totalsRowShown="0">
  <autoFilter ref="A283:C289" xr:uid="{A0DC6E2D-437A-4329-9212-E1DF9C72777D}"/>
  <tableColumns count="3">
    <tableColumn id="1" xr3:uid="{618BA547-C1DF-4BBE-8A8E-281EA31D8B11}" name="Type"/>
    <tableColumn id="2" xr3:uid="{FD9FB5BE-1CEE-47CE-BCA4-6E22301C2C31}" name="Time"/>
    <tableColumn id="3" xr3:uid="{01925F49-7CFB-475E-89B8-34FBE9E13630}" name="Cost"/>
  </tableColumns>
  <tableStyleInfo name="TableStyleMedium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5607EFA-6892-499E-AD88-E72D957A2C6D}" name="Таблиця216" displayName="Таблиця216" ref="A316:B322" totalsRowShown="0">
  <autoFilter ref="A316:B322" xr:uid="{25DE6FEE-1F79-44AC-A00A-51F6E7F2BB41}"/>
  <tableColumns count="2">
    <tableColumn id="1" xr3:uid="{54C97488-F30F-430A-846A-4D5A5327A365}" name="d6"/>
    <tableColumn id="2" xr3:uid="{7C77F0FB-C24D-4A84-8384-A61B84062C96}" name="Complication"/>
  </tableColumns>
  <tableStyleInfo name="TableStyleMedium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DCCAEFFD-804E-4F14-9AE8-5A0A801D7E1E}" name="Таблиця217" displayName="Таблиця217" ref="A303:E313" totalsRowShown="0">
  <autoFilter ref="A303:E313" xr:uid="{9051C7ED-53A9-4D7F-B0BA-C6DF47BE6DE1}"/>
  <tableColumns count="5">
    <tableColumn id="1" xr3:uid="{B7D46272-ABCF-40A1-9CBA-CE424DC8AC2C}" name="Spell Level"/>
    <tableColumn id="2" xr3:uid="{BCF3B89F-FE0F-421B-92CF-806ADA8F645C}" name="Time" dataCellStyle="Ввід"/>
    <tableColumn id="3" xr3:uid="{313BC4D6-71AF-4638-8F3B-5DF33B8EF4B5}" name="Cost" dataCellStyle="Ввід"/>
    <tableColumn id="4" xr3:uid="{055CCBEB-06B9-466E-9E60-58872621EC5A}" name="RARITY"/>
    <tableColumn id="5" xr3:uid="{0C3A0210-FA4A-423C-A994-7B6D61CD3BD1}" name="Стовпець1"/>
  </tableColumns>
  <tableStyleInfo name="TableStyleMedium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31C7A34C-6FD1-4A0A-B5B5-D2C1697EC289}" name="Таблиця218" displayName="Таблиця218" ref="A277:B281" totalsRowShown="0">
  <autoFilter ref="A277:B281" xr:uid="{1AD992BF-7C9A-4167-AC02-AEC3DE211593}"/>
  <tableColumns count="2">
    <tableColumn id="1" xr3:uid="{FC73AAB5-750F-4982-A6A2-81A3EF1ACC83}" name="Proficiency"/>
    <tableColumn id="2" xr3:uid="{31292F2F-3C3A-48CE-94DE-0EEB9093BC43}" name="Items"/>
  </tableColumns>
  <tableStyleInfo name="TableStyleMedium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C6C309E-1463-495C-8901-EAD1EF177A04}" name="Таблиця219" displayName="Таблиця219" ref="D268:E274" totalsRowShown="0">
  <autoFilter ref="D268:E274" xr:uid="{F723454D-34CD-4ED5-A730-E20A3914F9C2}"/>
  <tableColumns count="2">
    <tableColumn id="1" xr3:uid="{21BC47F1-B4DD-4068-97C5-F44BAEAB889D}" name="d6"/>
    <tableColumn id="2" xr3:uid="{5671F6B4-E11F-4EB1-BA2B-85EA7EFC6E35}" name="Complication"/>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CE2809F0-2AFF-4EAA-81ED-2CF54021E42D}" name="Таблиця220" displayName="Таблиця220" ref="A291:B297" totalsRowShown="0">
  <autoFilter ref="A291:B297" xr:uid="{C65C664D-63CC-4278-A056-A330404AA341}"/>
  <tableColumns count="2">
    <tableColumn id="1" xr3:uid="{39088A4C-DCDC-49AF-B722-C8CCDB1B060F}" name="d6"/>
    <tableColumn id="2" xr3:uid="{77BC7CF9-908D-495F-A6E2-EAABA66EAD8B}" name="Complication"/>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1CBD14EB-0D1A-4D65-9282-04686FA9F479}" name="Таблиця221" displayName="Таблиця221" ref="A193:B197" totalsRowShown="0">
  <autoFilter ref="A193:B197" xr:uid="{6C11738E-1CC8-462C-8659-F69342931520}"/>
  <tableColumns count="2">
    <tableColumn id="1" xr3:uid="{E9A5C370-B913-433C-8B55-E85A461E0DE6}" name="Library"/>
    <tableColumn id="2" xr3:uid="{046770E9-B01D-4C03-AB1A-E14719F89692}" name="VALUE" dataCellStyle="Ввід"/>
  </tableColumns>
  <tableStyleInfo name="TableStyleLight8"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47BE22E0-AF9A-42AB-9731-C15883AB6AC0}" name="Таблиця222" displayName="Таблиця222" ref="A200:B204" totalsRowShown="0">
  <autoFilter ref="A200:B204" xr:uid="{3AC5E57E-59D1-46DA-90AD-FE1DCA8B88B6}"/>
  <tableColumns count="2">
    <tableColumn id="1" xr3:uid="{0222CA11-684A-41EB-A891-F865B98D0F7C}" name="WORKSHOP"/>
    <tableColumn id="2" xr3:uid="{357F9AA0-20D0-41E7-BA2E-E6148D8529AE}" name="VALUE" dataCellStyle="Ввід"/>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E236BAD3-CAB3-4DCD-AA73-9E92CA937A86}" name="Таблиця223" displayName="Таблиця223" ref="A186:D189" totalsRowShown="0">
  <autoFilter ref="A186:D189" xr:uid="{2F048B33-A025-4FE3-9677-D2F6E957472F}"/>
  <tableColumns count="4">
    <tableColumn id="1" xr3:uid="{96789788-1A94-4BEB-B716-45642C595E74}" name="TASK"/>
    <tableColumn id="2" xr3:uid="{DB4D991A-0BDE-46D4-A548-6005F3939B32}" name="Cost" dataCellStyle="Ввід"/>
    <tableColumn id="3" xr3:uid="{CACC901E-675F-4EF2-B488-0D0D523470AF}" name="TIME, PER SL" dataCellStyle="Ввід"/>
    <tableColumn id="4" xr3:uid="{B79126EA-A0D7-4AC7-90C7-01AA60F3700C}" name="DC" dataCellStyle="Ввід"/>
  </tableColumns>
  <tableStyleInfo name="TableStyleLight8"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D30F94B9-40BD-45BB-9ABA-E03E7B6F3D4E}" name="Таблиця224" displayName="Таблиця224" ref="E196:H205" totalsRowShown="0">
  <autoFilter ref="E196:H205" xr:uid="{A6F80A0E-D5CE-4911-9DD7-4084F749238E}"/>
  <tableColumns count="4">
    <tableColumn id="1" xr3:uid="{FC627531-29AE-4BA6-A964-89822CFA3EBB}" name="SPELL LEVEL"/>
    <tableColumn id="2" xr3:uid="{E67CA0F1-E31E-40D5-92A2-A26FA4A32723}" name="MINIMAL LIBRARY COST">
      <calculatedColumnFormula>+$B$196*(E197-$E$197)+$F$197</calculatedColumnFormula>
    </tableColumn>
    <tableColumn id="3" xr3:uid="{48DAD5F1-7474-42AE-8D8B-409C790DBE31}" name="RESEARCH COST">
      <calculatedColumnFormula>1000*E197</calculatedColumnFormula>
    </tableColumn>
    <tableColumn id="4" xr3:uid="{0CC24545-5D60-415C-A61A-CBD2146E53E0}" name="TIME">
      <calculatedColumnFormula>$C$187*E197</calculatedColumnFormula>
    </tableColumn>
  </tableColumns>
  <tableStyleInfo name="TableStyleMedium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B6415879-5962-478B-A37B-C969A617185C}" name="Таблиця226" displayName="Таблиця226" ref="A339:G344" totalsRowShown="0" tableBorderDxfId="1219">
  <autoFilter ref="A339:G344" xr:uid="{EFFBF106-06D9-4B02-85A4-BCB5CAB2AE35}"/>
  <tableColumns count="7">
    <tableColumn id="1" xr3:uid="{6C9F6615-B849-4D0F-BB94-7405B09CF1AE}" name="RARITY" dataDxfId="1218"/>
    <tableColumn id="2" xr3:uid="{3D5E2FE2-F72A-4481-8E55-478E55C8E6C3}" name="MATERIAL COST, GP" dataCellStyle="Ввід"/>
    <tableColumn id="3" xr3:uid="{AA69CF4F-CEA2-4108-9500-802094D88B2D}" name="LABOR COST, GP" dataCellStyle="Ввід"/>
    <tableColumn id="4" xr3:uid="{8149A8FE-6AB9-4441-BA48-BCBAFCDEBFCD}" name="MIN" dataCellStyle="Ввід"/>
    <tableColumn id="5" xr3:uid="{E7CACF04-BB45-4802-B664-708E81971A63}" name="MAX" dataCellStyle="Ввід"/>
    <tableColumn id="6" xr3:uid="{DC7875EB-ABE2-4F77-B475-AAE5AF48F189}" name="BASE PRICE" dataCellStyle="Ввід"/>
    <tableColumn id="7" xr3:uid="{0DAA6B4C-871A-4A35-BFF7-B90025CBC0B5}" name="BASE COMISSION PRICE" dataCellStyle="Ввід"/>
  </tableColumns>
  <tableStyleInfo name="TableStyleLight8"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77DE8044-4F7E-47A4-B437-52E3513CDCA6}" name="Таблиця227" displayName="Таблиця227" ref="A347:C351" totalsRowShown="0">
  <autoFilter ref="A347:C351" xr:uid="{672D6CB2-EE56-4DA2-83C9-2A91C3C9A678}"/>
  <tableColumns count="3">
    <tableColumn id="1" xr3:uid="{8171D5BA-7C37-47A6-880F-7AD515175E7E}" name="ABILITY"/>
    <tableColumn id="2" xr3:uid="{76D0785B-597A-4092-8465-30A27A79F157}" name="MINOR" dataCellStyle="Ввід"/>
    <tableColumn id="3" xr3:uid="{596387D9-7BB5-410B-A533-930293E3327C}" name="MAJOR" dataCellStyle="Ввід"/>
  </tableColumns>
  <tableStyleInfo name="TableStyleMedium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FE1F3DC7-139D-44A2-A1BD-1F28BBB9317A}" name="Таблиця228" displayName="Таблиця228" ref="A358:B383" totalsRowShown="0">
  <autoFilter ref="A358:B383" xr:uid="{399CE3FE-0B15-4829-9775-4BD38D19B0C3}"/>
  <sortState xmlns:xlrd2="http://schemas.microsoft.com/office/spreadsheetml/2017/richdata2" ref="A359:B383">
    <sortCondition ref="A358:A383"/>
  </sortState>
  <tableColumns count="2">
    <tableColumn id="1" xr3:uid="{014BE4AC-9EDA-4980-8A99-A22D92BCBAF9}" name="ITEM QUALITY"/>
    <tableColumn id="2" xr3:uid="{AB23D837-6C3D-4355-9BBD-8196B02FC2E3}" name="Стовпець1"/>
  </tableColumns>
  <tableStyleInfo name="TableStyleMedium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72CCE21B-5F6F-417D-924B-98D38BAA41E2}" name="Таблиця229" displayName="Таблиця229" ref="F347:G358" totalsRowShown="0">
  <autoFilter ref="F347:G358" xr:uid="{477AF082-F537-4C68-8208-9EC2B48A4240}"/>
  <tableColumns count="2">
    <tableColumn id="1" xr3:uid="{C91450F3-6405-4758-962C-19E9508ACCB8}" name="Стовпець1"/>
    <tableColumn id="2" xr3:uid="{0034B3E5-CCA9-4E52-B32B-8033A457C627}" name="Стовпець2" dataDxfId="1217"/>
  </tableColumns>
  <tableStyleInfo name="TableStyleMedium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4052F2E9-11F7-44F1-8883-09419ADED4EC}" name="Таблиця230" displayName="Таблиця230" ref="A387:B694" totalsRowShown="0">
  <autoFilter ref="A387:B694" xr:uid="{03862BFA-7EC8-4855-933A-6130548EED26}"/>
  <tableColumns count="2">
    <tableColumn id="1" xr3:uid="{D79BFC08-B1B1-41E5-B99B-5237D0601E27}" name="Item"/>
    <tableColumn id="2" xr3:uid="{EE725675-4548-4855-A192-CC84A70951BE}" name="Price (gp)"/>
  </tableColumns>
  <tableStyleInfo name="TableStyleMedium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7D2B8995-F6A2-4191-8076-91C7BFFBE0F4}" name="Таблиця88180" displayName="Таблиця88180" ref="A715:E722" totalsRowShown="0">
  <autoFilter ref="A715:E722" xr:uid="{52727C75-4805-43AD-9387-5643850867D4}"/>
  <tableColumns count="5">
    <tableColumn id="1" xr3:uid="{E5D1656F-B707-4B10-BF66-02EB960675E2}" name="Tier"/>
    <tableColumn id="2" xr3:uid="{F7442245-7E7E-4FDE-857C-9033FA3FCC88}" name="LEVELS" dataCellStyle="Ввід"/>
    <tableColumn id="3" xr3:uid="{8C564F94-E04C-49BC-9621-BD91A5964422}" name="Proficiency bonus"/>
    <tableColumn id="4" xr3:uid="{797954E1-EAE6-4EB8-B81B-46A2E38261BF}" name="Стовпець1"/>
    <tableColumn id="5" xr3:uid="{43E5C533-0C66-4152-9836-1B9B3B775457}" name="Стовпець2"/>
  </tableColumns>
  <tableStyleInfo name="TableStyleMedium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42C25DEC-F388-4086-9305-69C90550B09B}" name="Таблиця129" displayName="Таблиця129" ref="A724:D729" totalsRowShown="0" headerRowDxfId="1216" headerRowBorderDxfId="1215" tableBorderDxfId="1214">
  <autoFilter ref="A724:D729" xr:uid="{5AD3E31F-1318-4838-BB2A-BFBCCDA96CC6}"/>
  <tableColumns count="4">
    <tableColumn id="1" xr3:uid="{A7CDBD4A-B173-40E1-A3E9-8C2D05374726}" name="Tier"/>
    <tableColumn id="2" xr3:uid="{8DD6008A-436B-4882-A00B-9C3DAC1495EE}" name="LEVELS" dataCellStyle="Ввід"/>
    <tableColumn id="3" xr3:uid="{EA5A82A2-1278-4998-8014-270B0139DF9A}" name="Proficiency bonus"/>
    <tableColumn id="4" xr3:uid="{3CCA5A2F-A393-4236-8D8A-0A2069AF5572}" name="Стовпець1"/>
  </tableColumns>
  <tableStyleInfo name="TableStyleMedium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C8E7FD83-4620-4363-A0D9-438B177D0A3A}" name="Таблиця153" displayName="Таблиця153" ref="A770:B776" totalsRowShown="0">
  <autoFilter ref="A770:B776" xr:uid="{654C31C3-1643-4EC6-8784-136FD588BB8A}"/>
  <tableColumns count="2">
    <tableColumn id="1" xr3:uid="{B5BC01A2-06F4-492A-AF0A-F5166C6AC5DB}" name="Обычные"/>
    <tableColumn id="2" xr3:uid="{8D8A19DA-20B3-43FB-ABF3-0C2B83C9FC5D}" name="Ремесленник знает все распространенные рецепты или схемы изготовления предметов"/>
  </tableColumns>
  <tableStyleInfo name="TableStyleLight8"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FF65D2D3-0CDF-492D-B2E6-B5FA97C29492}" name="Таблиця186" displayName="Таблиця186" ref="A960:C979" totalsRowShown="0">
  <autoFilter ref="A960:C979" xr:uid="{1A58D764-0A6D-479D-B82E-00FCF7640014}"/>
  <tableColumns count="3">
    <tableColumn id="1" xr3:uid="{05F59409-A947-48F7-B4A8-F8A73CC2DC76}" name="MASTERCRAFT ARMOR, WEAPONS"/>
    <tableColumn id="2" xr3:uid="{223F77D8-7AB5-4A07-9789-BF49D4EB29AD}" name="GROUP"/>
    <tableColumn id="3" xr3:uid="{0EAB795A-B8BA-4660-AD1C-678AB7401F59}" name="DESCRIPTION"/>
  </tableColumns>
  <tableStyleInfo name="TableStyleMedium1"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6353DEA7-1F67-40B9-B3BE-4826E8956A7F}" name="Таблиця187" displayName="Таблиця187" ref="A1001:G1075" totalsRowShown="0">
  <autoFilter ref="A1001:G1075" xr:uid="{F8E28240-EBFD-4A49-976C-3C346BD5722C}"/>
  <tableColumns count="7">
    <tableColumn id="1" xr3:uid="{6AED8FAB-18D9-4ABD-A176-F33E97854399}" name="Item"/>
    <tableColumn id="2" xr3:uid="{FB2BE17D-ECF9-4B4D-8ED2-CA029D926297}" name="Source"/>
    <tableColumn id="3" xr3:uid="{A236F817-CA3C-4EFE-B8EA-6D3313E7FC3F}" name="Monster"/>
    <tableColumn id="4" xr3:uid="{3679D913-AD65-46C4-9F77-5DE71AA1D055}" name="CR"/>
    <tableColumn id="5" xr3:uid="{234587CE-A18D-4291-B557-A40F0AF4DA75}" name="Rarity"/>
    <tableColumn id="6" xr3:uid="{3F010A2E-3617-4CB7-862C-58A498DEE6AE}" name="Cost"/>
    <tableColumn id="7" xr3:uid="{B9702987-3D23-4081-9502-1760469598C7}" name="DC/Dice"/>
  </tableColumns>
  <tableStyleInfo name="TableStyleLight8"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6CF05B09-7012-4928-9E39-CB09C290E72E}" name="Таблиця188" displayName="Таблиця188" ref="A1078:D1108" totalsRowShown="0">
  <autoFilter ref="A1078:D1108" xr:uid="{BFB55907-F063-4F76-A611-2987A77A571C}"/>
  <tableColumns count="4">
    <tableColumn id="1" xr3:uid="{A176D217-F482-4C88-B496-F7CC6F341586}" name="Item"/>
    <tableColumn id="2" xr3:uid="{B4085352-213B-4EFE-A44B-4A4181D74133}" name="Rarity"/>
    <tableColumn id="3" xr3:uid="{F7FD74FA-FFC3-4025-A903-C756485F9632}" name="Cost, gp per lb"/>
    <tableColumn id="4" xr3:uid="{CE324FE8-DB98-4050-99DA-31AB0E9FA8B7}" name="Cost"/>
  </tableColumns>
  <tableStyleInfo name="TableStyleLight8"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25EA5545-1B47-431C-A1C1-2501F492214E}" name="Таблиця231" displayName="Таблиця231" ref="A1112:D1122" totalsRowShown="0">
  <autoFilter ref="A1112:D1122" xr:uid="{5640BABD-FE23-42BB-B7F5-E0E44523E161}"/>
  <tableColumns count="4">
    <tableColumn id="1" xr3:uid="{52D5C76F-BD8F-4B37-A676-E44F5AF9A56C}" name="Item"/>
    <tableColumn id="2" xr3:uid="{96654DEC-C40E-40B0-96C3-4329FE9C7A89}" name="Rarity"/>
    <tableColumn id="3" xr3:uid="{677F7BF0-5DC0-41E7-8A2C-12D684E985A5}" name="Cost"/>
    <tableColumn id="4" xr3:uid="{670B1758-0A2E-4D81-9A82-2E3368FD69B9}" name="Стовпець1"/>
  </tableColumns>
  <tableStyleInfo name="TableStyleLight8"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C60F52AB-AEB4-40FB-AF60-78C875FC8454}" name="Таблиця232" displayName="Таблиця232" ref="A1125:C1171" totalsRowShown="0">
  <autoFilter ref="A1125:C1171" xr:uid="{9A3C535A-1DD3-450B-9321-0F1BC605D158}"/>
  <tableColumns count="3">
    <tableColumn id="1" xr3:uid="{D180DF59-FFCD-41DD-8F26-BF16BA85B953}" name="Item"/>
    <tableColumn id="2" xr3:uid="{29A9B68A-3D4D-4FFB-A5D0-D7178FB09467}" name="Cost"/>
    <tableColumn id="3" xr3:uid="{1BA3D11B-58D7-4180-B1F3-F37EA4D64038}" name="Weight"/>
  </tableColumns>
  <tableStyleInfo name="TableStyleLight8"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E0E4EB74-82DB-469A-9AA1-32D84B018911}" name="Таблиця233" displayName="Таблиця233" ref="A1173:D1183" totalsRowShown="0">
  <autoFilter ref="A1173:D1183" xr:uid="{481A0DC5-EAFA-4761-8838-9CD7D8A19903}"/>
  <tableColumns count="4">
    <tableColumn id="1" xr3:uid="{FFF6E519-9FB4-4DBA-B27A-A27213FF3D5A}" name="Item"/>
    <tableColumn id="2" xr3:uid="{13B5DF5C-DFAB-4E72-98DC-B8E2667C51B0}" name="Rarity"/>
    <tableColumn id="3" xr3:uid="{CDCD3DA5-8047-4876-AE69-A5EE693E07D5}" name="Cost"/>
    <tableColumn id="4" xr3:uid="{B7DD4557-0388-45DB-9C76-D65A92936F5E}" name="Стовпець1"/>
  </tableColumns>
  <tableStyleInfo name="TableStyleMedium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2E578E5C-AF92-46DB-B4D1-A8E79697820B}" name="Таблиця65241" displayName="Таблиця65241" ref="A1194:C1200" totalsRowShown="0" headerRowDxfId="1213" dataDxfId="1212">
  <autoFilter ref="A1194:C1200" xr:uid="{B55A213F-D1DB-4BA5-8D7C-79F95F6A0F8A}"/>
  <tableColumns count="3">
    <tableColumn id="1" xr3:uid="{E06AA620-5CF9-461D-8D2A-D5E6EE974CCD}" name="Вид" dataDxfId="1211"/>
    <tableColumn id="2" xr3:uid="{0CC3063F-F38C-40D8-A83D-DEB69CC65E11}" name="Описание" dataDxfId="1210"/>
    <tableColumn id="3" xr3:uid="{B4AA6D0D-CB0A-4DE9-9A71-66A0F051987A}" name="Способ применения" dataDxfId="1209"/>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5CD99BE9-E952-4009-A487-F7A87DAB322A}" name="Таблиця244" displayName="Таблиця244" ref="A206:C211" totalsRowShown="0">
  <autoFilter ref="A206:C211" xr:uid="{B2196B09-F74A-431A-92EB-D0B4B8D6AE62}"/>
  <tableColumns count="3">
    <tableColumn id="1" xr3:uid="{45B01891-F018-4E54-8F01-17F9D80AE563}" name="Item Rarity"/>
    <tableColumn id="2" xr3:uid="{CEF98C14-4BC5-495F-9B6D-CBE8E83380D0}" name="Creation Cost" dataCellStyle="Ввід"/>
    <tableColumn id="3" xr3:uid="{114FED03-A896-4EF1-99F6-0F40BC120305}" name="Minimum Level" dataCellStyle="Ввід"/>
  </tableColumns>
  <tableStyleInfo name="TableStyleMedium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7428B178-A73C-4D8C-AF68-C12F0E089EB8}" name="Таблиця245" displayName="Таблиця245" ref="A846:B853" totalsRowShown="0">
  <autoFilter ref="A846:B853" xr:uid="{C8AEA055-1BBB-4113-A4AE-982EE7B79D27}"/>
  <tableColumns count="2">
    <tableColumn id="1" xr3:uid="{F217F7A6-E6C6-4FA0-A3BA-8A105DF07A0A}" name="Предмет"/>
    <tableColumn id="2" xr3:uid="{2B94A58B-2A6E-48EA-963B-7B700D681ADD}" name="Время создания"/>
  </tableColumns>
  <tableStyleInfo name="TableStyleMedium1"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05B77868-ED83-4B64-A177-D7E0FFD67EF1}" name="Таблиця246" displayName="Таблиця246" ref="A837:B842" totalsRowShown="0">
  <autoFilter ref="A837:B842" xr:uid="{D28074BC-30C1-431F-9223-6C3B5849E067}"/>
  <tableColumns count="2">
    <tableColumn id="1" xr3:uid="{F9686CFD-5F76-49EF-90C6-E19C42B64DD2}" name="Качество"/>
    <tableColumn id="2" xr3:uid="{B0FB145F-65BF-4734-B2EB-F3D3330B21DB}" name="УС изготовления*"/>
  </tableColumns>
  <tableStyleInfo name="TableStyleMedium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48CC048B-6988-4181-BEF2-6E8A2BB44EFE}" name="Таблиця247" displayName="Таблиця247" ref="A825:D830" totalsRowShown="0">
  <autoFilter ref="A825:D830" xr:uid="{5C720AF1-9879-4197-93E0-30A71DC52CA7}"/>
  <tableColumns count="4">
    <tableColumn id="1" xr3:uid="{94DD7818-8841-4055-9540-92E73AC11049}" name="Предмет"/>
    <tableColumn id="2" xr3:uid="{BA3098DA-B2C6-415D-9868-6CC01805E4F2}" name="Старая цена"/>
    <tableColumn id="3" xr3:uid="{B45428E8-CAF7-469A-8686-BE79D08D882D}" name="Вес"/>
    <tableColumn id="4" xr3:uid="{A0F5406A-0E6D-463C-BA2E-B045BD298404}" name="Новая цена"/>
  </tableColumns>
  <tableStyleInfo name="TableStyleMedium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8DF7ED6C-E194-497E-B910-EFC66841680A}" name="Таблиця248" displayName="Таблиця248" ref="A807:B812" totalsRowShown="0">
  <autoFilter ref="A807:B812" xr:uid="{C19BFAC7-326F-409C-BE4C-4A044DAD426D}"/>
  <tableColumns count="2">
    <tableColumn id="1" xr3:uid="{EDC9426D-190C-45D7-AD89-F694061F4CEB}" name="Редкость"/>
    <tableColumn id="2" xr3:uid="{22C43BB7-89BC-4D96-B2DA-FDD1CAEB463F}" name="УС нахождения"/>
  </tableColumns>
  <tableStyleInfo name="TableStyleMedium1"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8CE4632F-D11C-43C4-BA28-B4D0E278FE58}" name="Таблиця249" displayName="Таблиця249" ref="A796:B804" totalsRowShown="0">
  <autoFilter ref="A796:B804" xr:uid="{79315A21-066D-4CC1-9A0B-37F8B3E0F4E5}"/>
  <tableColumns count="2">
    <tableColumn id="1" xr3:uid="{87C22E09-D4E9-4792-8713-D5771C7C763F}" name="Редкость"/>
    <tableColumn id="2" xr3:uid="{D8D64684-E9AA-4349-B96E-AEBA76EB7031}" name="УС нахождения"/>
  </tableColumns>
  <tableStyleInfo name="TableStyleMedium1"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34FAD6BA-3470-420D-AFE4-FBA9F8FBDCBA}" name="Таблиця250" displayName="Таблиця250" ref="A786:B794" totalsRowShown="0">
  <autoFilter ref="A786:B794" xr:uid="{6CF43B1B-95A7-4990-A9BE-5D3F022146AA}"/>
  <tableColumns count="2">
    <tableColumn id="1" xr3:uid="{294BC9BA-7872-4EDC-BF45-2F48CF0AC43F}" name="Уровень опасности"/>
    <tableColumn id="2" xr3:uid="{6067553E-0CB7-4EF2-8AC8-4A7FC15A724E}" name="Редкость"/>
  </tableColumns>
  <tableStyleInfo name="TableStyleMedium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DDF96B6F-704E-4187-95CA-436614ADE91D}" name="Таблиця251" displayName="Таблиця251" ref="A815:B822" totalsRowShown="0">
  <autoFilter ref="A815:B822" xr:uid="{69BE5B3C-302D-4FA3-A643-5A551D7379C4}"/>
  <tableColumns count="2">
    <tableColumn id="1" xr3:uid="{1C3A9A9C-AA0B-4207-B7C3-F68243531B9D}" name="Lifestyle"/>
    <tableColumn id="2" xr3:uid="{379EDF16-EDC0-4160-A054-82EDBFE46F07}" name="Price/Day"/>
  </tableColumns>
  <tableStyleInfo name="TableStyleMedium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AEB01E2F-C116-427F-8133-3FA9049923AD}" name="Таблиця252" displayName="Таблиця252" ref="A856:B860" totalsRowShown="0">
  <autoFilter ref="A856:B860" xr:uid="{620C1557-4C9A-4C84-85C3-A5B1630EC1D2}"/>
  <tableColumns count="2">
    <tableColumn id="1" xr3:uid="{F1A34526-C165-4E66-94E8-14EFC958AA39}" name="Размер"/>
    <tableColumn id="2" xr3:uid="{C4AE79F4-90B0-4635-9F4C-63F23EAC04FC}" name="Вес"/>
  </tableColumns>
  <tableStyleInfo name="TableStyleMedium1"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F4A4A333-662C-4BC1-9BB6-004C1FDF95E6}" name="Таблиця253" displayName="Таблиця253" ref="A864:C867" totalsRowShown="0">
  <autoFilter ref="A864:C867" xr:uid="{98F6212B-07A7-4896-BC64-5032EF22D820}"/>
  <tableColumns count="3">
    <tableColumn id="1" xr3:uid="{3DE6669A-CCA5-4FE5-8A84-CF3270E7829B}" name="Размер"/>
    <tableColumn id="2" xr3:uid="{A76C4469-3DC7-44AD-8B1C-9855CD428BF2}" name="Стоимость"/>
    <tableColumn id="3" xr3:uid="{3BCF5F8C-541E-4D9D-BE45-1F1A95E0E486}" name="Вес"/>
  </tableColumns>
  <tableStyleInfo name="TableStyleMedium1"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445C9147-341F-4A7B-8D03-D0F6FC0B768D}" name="Таблиця254" displayName="Таблиця254" ref="A869:E874" totalsRowShown="0">
  <autoFilter ref="A869:E874" xr:uid="{51E72DD6-0A66-4617-8652-80E5F274ED7E}"/>
  <tableColumns count="5">
    <tableColumn id="1" xr3:uid="{7610B76C-1FC1-49FA-9C47-9AAF5D2E5C57}" name="Средний размер"/>
    <tableColumn id="2" xr3:uid="{EA92183F-1B24-4F0A-867E-FC575894FAF5}" name="Большой"/>
    <tableColumn id="3" xr3:uid="{91239779-9862-4B34-B2F5-204E5D1F332A}" name="Огромный"/>
    <tableColumn id="4" xr3:uid="{952FE81F-27D4-44DE-8834-38EB5689E10C}" name="Гигантский"/>
    <tableColumn id="5" xr3:uid="{5BDFEF05-7343-4418-A44A-499D0715B791}" name="Колоссальный"/>
  </tableColumns>
  <tableStyleInfo name="TableStyleMedium1"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9D36585E-A799-445B-B0AB-14EEA5B0407E}" name="Таблиця255" displayName="Таблиця255" ref="A877:B881" totalsRowShown="0">
  <autoFilter ref="A877:B881" xr:uid="{1787CF7F-1495-48BE-B3CD-15C9BBA65E62}"/>
  <tableColumns count="2">
    <tableColumn id="1" xr3:uid="{4E210FAA-46C1-4A50-8365-32DD4DD963BE}" name="к6"/>
    <tableColumn id="2" xr3:uid="{FBAF35D0-20E5-401C-8BB0-50AE522FB20A}" name="влияние на оружие"/>
  </tableColumns>
  <tableStyleInfo name="TableStyleMedium1"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817BF04D-AE09-476B-9101-A1A81A7663E6}" name="Таблиця256" displayName="Таблиця256" ref="A984:C998" totalsRowShown="0">
  <autoFilter ref="A984:C998" xr:uid="{2EE40322-85BA-4A96-AEEE-F8564EE80C2B}"/>
  <tableColumns count="3">
    <tableColumn id="1" xr3:uid="{94B2B3FE-B33D-4BCE-A17F-BEF22B77E26F}" name="Вид яда"/>
    <tableColumn id="2" xr3:uid="{5053F2CC-9C25-4690-A0E6-D1B1B41DCFEA}" name="Тип"/>
    <tableColumn id="3" xr3:uid="{15DB0C36-4AB6-46C1-9300-E982F3ED4622}" name="Цена 1 порции, зм"/>
  </tableColumns>
  <tableStyleInfo name="TableStyleMedium1"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84A18A6A-88B4-4EB4-80CF-47341256E626}" name="Таблиця120" displayName="Таблиця120" ref="O2:AB52" totalsRowShown="0" headerRowDxfId="1208" headerRowBorderDxfId="1207" tableBorderDxfId="1206" totalsRowBorderDxfId="1205">
  <autoFilter ref="O2:AB52" xr:uid="{43B4FCD0-2DF3-4F6A-9D3C-7B159DD17233}"/>
  <sortState xmlns:xlrd2="http://schemas.microsoft.com/office/spreadsheetml/2017/richdata2" ref="O3:AB52">
    <sortCondition ref="O2:O52"/>
  </sortState>
  <tableColumns count="14">
    <tableColumn id="1" xr3:uid="{F1E72221-6623-46DC-9166-57FD5D75F3F4}" name="CHARACTER" dataDxfId="1204"/>
    <tableColumn id="2" xr3:uid="{D4187AB9-ED4D-41A0-A301-983DD12252E7}" name="Challenge" dataDxfId="1203"/>
    <tableColumn id="8" xr3:uid="{8890955A-7838-48FE-A572-8273F8C85126}" name="ECL" dataDxfId="1202"/>
    <tableColumn id="9" xr3:uid="{A9047064-2308-45E6-A8BA-A59E7A475304}" name="EQUIPMENT" dataDxfId="1201"/>
    <tableColumn id="10" xr3:uid="{F1EBBABC-B9EC-477B-BC96-5F708CCB25F6}" name="EQUIPMENT COST (5E)" dataDxfId="1200"/>
    <tableColumn id="3" xr3:uid="{5F714662-91A5-48D2-9A52-EA94B35B1D86}" name="DESCRIPTION" dataDxfId="1199"/>
    <tableColumn id="4" xr3:uid="{B92EC1F0-B4A9-416F-863D-626546C80409}" name="LINK TO STATBLOCK" dataDxfId="1198"/>
    <tableColumn id="14" xr3:uid="{0082267F-C1B5-48CD-A778-CFEFD1C6A5CC}" name="SOURCE" dataDxfId="1197"/>
    <tableColumn id="5" xr3:uid="{E29EF381-44AD-4293-A230-86635BDDE680}" name="PAY PER DAY, GP" dataDxfId="1196"/>
    <tableColumn id="13" xr3:uid="{C1A5164D-688B-4114-A589-5D28D0D232C0}" name="WAGES, GP"/>
    <tableColumn id="12" xr3:uid="{0C6E8185-4E17-49C0-8527-9F4A07AE3383}" name="UPKEEP, GP"/>
    <tableColumn id="11" xr3:uid="{3CF319A5-B1A3-4277-A2E6-F70167D4BB6F}" name="ONE JOB, GP"/>
    <tableColumn id="6" xr3:uid="{C2F8AE43-4A95-4319-B6FF-5979DF5FD6F4}" name="PAY PER MONTH, GP" dataDxfId="1195">
      <calculatedColumnFormula>Таблиця120[[#This Row],[PAY PER DAY, GP]]*30</calculatedColumnFormula>
    </tableColumn>
    <tableColumn id="7" xr3:uid="{16B051C9-91C6-466D-8188-D860EA013F08}" name="PAY PER MONTH (IN GARRISON), GP" dataDxfId="1194">
      <calculatedColumnFormula>Таблиця120[[#This Row],[PAY PER MONTH, GP]]/2</calculatedColumnFormula>
    </tableColumn>
  </tableColumns>
  <tableStyleInfo name="TableStyleMedium15"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A8F82AAA-8C0B-4187-ACA4-C7D807B89B61}" name="Таблиця121" displayName="Таблиця121" ref="AD2:AL28" totalsRowShown="0" headerRowBorderDxfId="1193" tableBorderDxfId="1192" totalsRowBorderDxfId="1191">
  <autoFilter ref="AD2:AL28" xr:uid="{8707D99D-D176-4EF9-B46C-BA70574D13CC}"/>
  <sortState xmlns:xlrd2="http://schemas.microsoft.com/office/spreadsheetml/2017/richdata2" ref="AD3:AL28">
    <sortCondition ref="AD2:AD28"/>
  </sortState>
  <tableColumns count="9">
    <tableColumn id="1" xr3:uid="{EB76FA9E-4A7F-431B-A632-001789064A77}" name="NPC stat block" dataDxfId="1190"/>
    <tableColumn id="2" xr3:uid="{BD62C419-3BF7-4B76-953C-BC812C0606DC}" name="CR" dataDxfId="1189"/>
    <tableColumn id="8" xr3:uid="{DFF0F799-55C9-4A63-9F0B-F144CCDA5B49}" name="SPELLCASTING LEVEL" dataDxfId="1188"/>
    <tableColumn id="3" xr3:uid="{FDD81265-B36F-44D1-9930-CE5886613FDC}" name="Описание" dataDxfId="1187"/>
    <tableColumn id="4" xr3:uid="{B91158F9-F656-43D9-A85F-F355308408C3}" name="LINK TO STATBLOCK" dataDxfId="1186"/>
    <tableColumn id="9" xr3:uid="{44C3B878-D43C-4D3A-98BF-5CD765E1B68F}" name="SOURCE" dataDxfId="1185"/>
    <tableColumn id="5" xr3:uid="{A33BD5AF-4042-4858-979C-B1A760B5BEEA}" name="Pay per day, gp" dataDxfId="1184"/>
    <tableColumn id="6" xr3:uid="{7DCFB4F2-D9B6-4FC0-8D98-76F047147D0A}" name="PAY PER MONTH, GP" dataDxfId="1183">
      <calculatedColumnFormula>Таблиця121[[#This Row],[Pay per day, gp]]*30</calculatedColumnFormula>
    </tableColumn>
    <tableColumn id="7" xr3:uid="{AF0A1CDC-C159-4542-ABB7-659A82E77955}" name="PAY PER MONTH (IN GARRISON), GP"/>
  </tableColumns>
  <tableStyleInfo name="TableStyleMedium15"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7176204A-FD9A-4C9F-87E0-FB60779A26EA}" name="Таблиця161" displayName="Таблиця161" ref="BB10:BG14" totalsRowShown="0">
  <autoFilter ref="BB10:BG14" xr:uid="{89BBBE9A-F2B7-4962-BCDF-3D4BAEB73217}"/>
  <tableColumns count="6">
    <tableColumn id="1" xr3:uid="{154A5C6C-28DE-41BC-AF9C-188B6FAD6BC1}" name="Initial Attitude"/>
    <tableColumn id="2" xr3:uid="{55E0B4D8-1DB6-4D73-87B7-559FF6DC2A5F}" name="Hostile"/>
    <tableColumn id="3" xr3:uid="{1E161B2B-F95A-46BA-9C71-44942ED33003}" name="Unfriendly "/>
    <tableColumn id="4" xr3:uid="{7519D20D-9B46-4A60-9DFC-BF5B75AA19E2}" name="Indifferent"/>
    <tableColumn id="5" xr3:uid="{335DA769-ACA8-4908-BA5C-E73C64968E6C}" name="Friendly"/>
    <tableColumn id="6" xr3:uid="{F6ABD35F-EA45-4CBF-B785-33178BB4687B}" name="Helpful"/>
  </tableColumns>
  <tableStyleInfo name="TableStyleLight1"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DAD3239C-4EAD-4438-AFD5-B993142401E6}" name="Таблиця162" displayName="Таблиця162" ref="BB3:BD8" totalsRowShown="0">
  <autoFilter ref="BB3:BD8" xr:uid="{602EEA1F-3236-4DFD-A109-3B461EFE55FB}"/>
  <tableColumns count="3">
    <tableColumn id="1" xr3:uid="{75C9A507-EFAF-4010-823D-79F70FD45154}" name="Attitude"/>
    <tableColumn id="2" xr3:uid="{FA1233EA-B002-400B-9478-8B0BD99F1FC3}" name="Means"/>
    <tableColumn id="3" xr3:uid="{F7A1AD8B-E3AE-45A9-9C0B-C77E2524F27C}" name="Possible Actions"/>
  </tableColumns>
  <tableStyleInfo name="TableStyleLight1"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130CFE81-1E20-419E-BEB9-BBAFFE0CF92B}" name="Таблиця110" displayName="Таблиця110" ref="BO3:BP13" totalsRowShown="0" headerRowDxfId="1182" dataDxfId="1181">
  <autoFilter ref="BO3:BP13" xr:uid="{8F8781FF-8140-4BB2-9FD6-3643E1C8FF4F}"/>
  <tableColumns count="2">
    <tableColumn id="1" xr3:uid="{73FF4EE8-5C45-4D14-BDD6-3A877A35C1AE}" name="Enlistment Or Association" dataDxfId="1180"/>
    <tableColumn id="2" xr3:uid="{FAD90649-7880-4113-B63E-1696088F98EA}" name="Modifier" dataDxfId="1179"/>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9A8CF27B-130F-4CD3-A939-1FF9789A095D}" name="Таблиця111" displayName="Таблиця111" ref="BR3:BS9" totalsRowShown="0" headerRowDxfId="1178" dataDxfId="1176" headerRowBorderDxfId="1177" tableBorderDxfId="1175">
  <autoFilter ref="BR3:BS9" xr:uid="{BCBFF114-A71A-43A9-8CB0-313D990126EB}"/>
  <tableColumns count="2">
    <tableColumn id="1" xr3:uid="{7E4CFCAE-5E0B-4EAE-819C-B17DB271F75F}" name="Training Or Status Level" dataDxfId="1174"/>
    <tableColumn id="2" xr3:uid="{F8BFEDFE-2FAD-431E-8A81-61E64DB02E62}" name="Modifier" dataDxfId="1173"/>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1DE572E3-82DF-4693-BC76-BD87D35E8996}" name="Таблиця113" displayName="Таблиця113" ref="BU3:BV8" totalsRowShown="0" headerRowDxfId="1172" dataDxfId="1170" headerRowBorderDxfId="1171" tableBorderDxfId="1169">
  <autoFilter ref="BU3:BV8" xr:uid="{8D0DA7DC-B3FA-4CFE-8D90-AC7E00CBB068}"/>
  <tableColumns count="2">
    <tableColumn id="1" xr3:uid="{480BC8C2-EBFC-41B7-AC76-44945A27B11B}" name="Pay Or Treasure Shared" dataDxfId="1168"/>
    <tableColumn id="2" xr3:uid="{1CD25F13-0027-4F6A-BC88-84EA4F054836}" name="Modifier" dataDxfId="1167"/>
  </tableColumns>
  <tableStyleInfo name="TableStyleMedium15"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CA5DE22A-0F2F-4F9E-9342-1235244D3678}" name="Таблиця114" displayName="Таблиця114" ref="BX3:BY7" totalsRowShown="0" headerRowDxfId="1166" dataDxfId="1164" headerRowBorderDxfId="1165" tableBorderDxfId="1163">
  <autoFilter ref="BX3:BY7" xr:uid="{249BAC04-EB38-484E-A9C0-2D31FA74E562}"/>
  <tableColumns count="2">
    <tableColumn id="1" xr3:uid="{B7D944EB-CD45-4273-BFDC-ACAD1AA2E868}" name="Discipline/Activity" dataDxfId="1162"/>
    <tableColumn id="2" xr3:uid="{7457D73C-758C-4671-8BA4-F638FFAD4613}" name="Modifier" dataDxfId="1161"/>
  </tableColumns>
  <tableStyleInfo name="TableStyleMedium15"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90D61CBD-EBC0-4939-89A7-76E4A7AF5025}" name="Таблиця116" displayName="Таблиця116" ref="CA3:CB8" totalsRowShown="0" headerRowDxfId="1160" dataDxfId="1158" headerRowBorderDxfId="1159" tableBorderDxfId="1157">
  <autoFilter ref="CA3:CB8" xr:uid="{8977005B-BFAA-4AE7-928A-DC34F830B92F}"/>
  <tableColumns count="2">
    <tableColumn id="1" xr3:uid="{C8D19169-8A49-474B-A535-AD8FD865A1A2}" name="General Treatment By Liege" dataDxfId="1156"/>
    <tableColumn id="2" xr3:uid="{DF675F17-D85B-4016-AD34-C8EA489532E1}" name="Modifier" dataDxfId="1155"/>
  </tableColumns>
  <tableStyleInfo name="TableStyleMedium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E872A9E9-5270-4F9D-8B33-93D504C090AA}" name="Таблиця117" displayName="Таблиця117" ref="CD3:CE12" totalsRowShown="0" headerRowDxfId="1154" dataDxfId="1152" headerRowBorderDxfId="1153" tableBorderDxfId="1151">
  <autoFilter ref="CD3:CE12" xr:uid="{D4D66E4E-53AF-4DD8-BDB1-A94437E2CB8C}"/>
  <tableColumns count="2">
    <tableColumn id="1" xr3:uid="{418A3718-BC7C-4087-B019-CD3C131E9EE0}" name="Alignment of Liege" dataDxfId="1150"/>
    <tableColumn id="2" xr3:uid="{7267D364-AD7C-4341-AE81-7F4830AD111A}" name="Modifier" dataDxfId="1149"/>
  </tableColumns>
  <tableStyleInfo name="TableStyleMedium15"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D3C89B74-CC03-425D-958A-701E77674EDE}" name="Таблиця118" displayName="Таблиця118" ref="CG3:CH24" totalsRowShown="0" headerRowDxfId="1148" dataDxfId="1146" headerRowBorderDxfId="1147" tableBorderDxfId="1145">
  <autoFilter ref="CG3:CH24" xr:uid="{C7E5A59D-5F82-4E50-A40D-FC231B282B3B}"/>
  <tableColumns count="2">
    <tableColumn id="1" xr3:uid="{3F8617CF-4B00-4465-A73E-32AD0DA9A7D4}" name="Special Considerations" dataDxfId="1144"/>
    <tableColumn id="2" xr3:uid="{B73C7D02-1022-4064-9B5D-A73324C2DED8}" name="Modifier" dataDxfId="1143"/>
  </tableColumns>
  <tableStyleInfo name="TableStyleMedium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C4764AC4-33FE-401B-AD7A-3A6254FF7982}" name="Таблиця119" displayName="Таблиця119" ref="CJ3:CK12" totalsRowShown="0" headerRowDxfId="1142" dataDxfId="1140" headerRowBorderDxfId="1141" tableBorderDxfId="1139">
  <autoFilter ref="CJ3:CK12" xr:uid="{D6A9B863-BFE7-4D9C-8D02-EDB39DC3FC60}"/>
  <tableColumns count="2">
    <tableColumn id="1" xr3:uid="{3A11E5A6-9BF3-44D6-9A9E-B9337C0DC80C}" name="Situation Modifiers" dataDxfId="1138"/>
    <tableColumn id="2" xr3:uid="{8D53DF86-11FC-4102-BDB0-D05B2E83D27E}" name="Modifier" dataDxfId="1137"/>
  </tableColumns>
  <tableStyleInfo name="TableStyleMedium15"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2031EA02-EBCB-4508-BAFE-768B05BF74D1}" name="Таблиця15144" displayName="Таблиця15144" ref="BB16:BD22" totalsRowShown="0">
  <autoFilter ref="BB16:BD22" xr:uid="{F84F9693-DC54-4BFD-8B99-DCD780FFF748}"/>
  <tableColumns count="3">
    <tableColumn id="1" xr3:uid="{1ABA85A3-BAA0-4253-B412-50E8D8FC0F6C}" name="Adjusted Loyalty Score"/>
    <tableColumn id="2" xr3:uid="{F3ACBC52-C8A3-4576-B28F-DA2B1679506F}" name="Loyalty"/>
    <tableColumn id="3" xr3:uid="{50A7C582-6862-477A-967F-724E47E60F3E}" name="Behavior of henchmen or hireling"/>
  </tableColumns>
  <tableStyleInfo name="TableStyleLight1"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3C08B0BD-CA73-45F1-A1B1-CCCB84A35027}" name="Таблиця60" displayName="Таблиця60" ref="P5:R11" totalsRowShown="0">
  <autoFilter ref="P5:R11" xr:uid="{482CA0FE-CF44-4418-95D9-C8221444EC6D}"/>
  <tableColumns count="3">
    <tableColumn id="1" xr3:uid="{F903A41D-1CE8-458A-8DC6-3428B8C06B09}" name="Dice Score" dataDxfId="1136"/>
    <tableColumn id="2" xr3:uid="{ED70BF4F-9BCC-4300-8F0F-9E1B3CE44981}" name="Minor Fields"/>
    <tableColumn id="3" xr3:uid="{582D39AA-0594-440F-BD74-A27973D0A395}" name="Special Categories In Major Field"/>
  </tableColumns>
  <tableStyleInfo name="TableStyleMedium15"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A3C800C9-5E90-418E-B2F8-FD6C7081DC39}" name="Таблиця62" displayName="Таблиця62" ref="S13:T19" totalsRowShown="0">
  <autoFilter ref="S13:T19" xr:uid="{9362326E-0D75-426D-B31A-6A27F4601293}"/>
  <tableColumns count="2">
    <tableColumn id="1" xr3:uid="{80A7BF5D-44AB-434F-88A6-09FC7EEC7605}" name="Field of Knowledge of Sage"/>
    <tableColumn id="2" xr3:uid="{78FA0963-6B07-4AF2-88A2-658836288955}" name="Probabilty"/>
  </tableColumns>
  <tableStyleInfo name="TableStyleMedium15"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B0282351-354C-44F5-80D6-F3B37FB7B9F9}" name="Таблиця63115" displayName="Таблиця63115" ref="P13:Q43" totalsRowShown="0" headerRowDxfId="1135" dataDxfId="1134">
  <autoFilter ref="P13:Q43" xr:uid="{7EC3186F-615C-4062-910A-4FB3AAFE2FA5}"/>
  <tableColumns count="2">
    <tableColumn id="1" xr3:uid="{AFD1CA52-8431-41ED-9344-C907CB96E1D9}" name="Field of Knowledge" dataDxfId="1133"/>
    <tableColumn id="2" xr3:uid="{5E0A96A0-19C3-403D-BC98-A630029CDE71}" name="Category" dataDxfId="1132"/>
  </tableColumns>
  <tableStyleInfo name="TableStyleMedium15"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D7E81B42-1DC0-4DE9-BDFD-6FD6E54AC554}" name="Таблиця140" displayName="Таблиця140" ref="A3:D8" totalsRowShown="0">
  <autoFilter ref="A3:D8" xr:uid="{8AC8A43A-273B-4678-AC6E-5B1D16E4EDBF}"/>
  <tableColumns count="4">
    <tableColumn id="1" xr3:uid="{4E374598-1444-43D1-B6EA-198DB39847E5}" name="Check"/>
    <tableColumn id="2" xr3:uid="{B65EEC16-87EE-40B4-BA71-8E01E2AE4A9D}" name="Min"/>
    <tableColumn id="3" xr3:uid="{21E980A1-BE2F-49A3-A82A-442F507D08A2}" name="Reaction2"/>
    <tableColumn id="4" xr3:uid="{3F12A5CE-10B1-4B6A-AE07-BB86CB47F0CA}" name="Price Modifier"/>
  </tableColumns>
  <tableStyleInfo name="TableStyleMedium1"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26EF034E-DEA5-4EAE-BE25-F9C3DEFE6445}" name="Таблиця142" displayName="Таблиця142" ref="A11:D15" totalsRowShown="0" headerRowDxfId="1131" dataDxfId="1130" tableBorderDxfId="1129">
  <autoFilter ref="A11:D15" xr:uid="{A5F17817-2E7E-4E9E-B35D-7D84CEC4AF46}"/>
  <tableColumns count="4">
    <tableColumn id="1" xr3:uid="{6DABDAE7-7434-4B72-8500-F676313595BA}" name="Out of fields of expertise" dataDxfId="1128"/>
    <tableColumn id="2" xr3:uid="{6B4C5142-B5F9-49F8-926E-05960C6D31A6}" name="General" dataDxfId="1127"/>
    <tableColumn id="3" xr3:uid="{030AA238-2A4B-422D-B825-390AB918FADF}" name="Specific" dataDxfId="1126"/>
    <tableColumn id="4" xr3:uid="{B8DD3504-6BBE-4D40-A3F0-5EB332D8E7FC}" name="Exacting" dataDxfId="1125"/>
  </tableColumns>
  <tableStyleInfo name="TableStyleMedium1"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7AA46CF8-99A7-4826-9666-9EBD0C674CED}" name="Таблиця141" displayName="Таблиця141" ref="A18:C29" totalsRowShown="0">
  <autoFilter ref="A18:C29" xr:uid="{6A83454F-3612-4A7C-A113-5AA751955EBD}"/>
  <tableColumns count="3">
    <tableColumn id="1" xr3:uid="{60D58684-A66C-4D18-BC07-41403538CEC5}" name="2d6 roll"/>
    <tableColumn id="2" xr3:uid="{B4757F51-1917-489A-A18A-C01B9A0319D4}" name="Minor Expertise"/>
    <tableColumn id="3" xr3:uid="{36C69869-EFE4-4810-8663-B74BB21090DC}" name="Major Specialization"/>
  </tableColumns>
  <tableStyleInfo name="TableStyleMedium1"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6A3D0C26-E664-413C-931E-CEBCB1C9BA31}" name="Таблиця143" displayName="Таблиця143" ref="E22:F32" totalsRowShown="0" headerRowDxfId="1124" dataDxfId="1123">
  <autoFilter ref="E22:F32" xr:uid="{009C5577-2EF4-4540-AEA7-707743161B64}"/>
  <tableColumns count="2">
    <tableColumn id="1" xr3:uid="{498A77E8-87A7-4562-B934-A58FCF59C65C}" name="D10" dataDxfId="1122"/>
    <tableColumn id="2" xr3:uid="{52A74473-3F63-4077-B36E-B2DB88952A1E}" name="FIELD" dataDxfId="1121"/>
  </tableColumns>
  <tableStyleInfo name="TableStyleMedium1"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CA4D79C8-B0E0-4ED9-B11F-495D3D23CBDB}" name="Таблиця144" displayName="Таблиця144" ref="A71:B79" totalsRowShown="0" headerRowDxfId="1120" dataDxfId="1119">
  <autoFilter ref="A71:B79" xr:uid="{55013A9F-776D-43DC-8D5D-B68629079201}"/>
  <tableColumns count="2">
    <tableColumn id="1" xr3:uid="{36A49FC1-C6EF-42A2-BA7E-35AEC8AA8EB5}" name="D8" dataDxfId="1118"/>
    <tableColumn id="2" xr3:uid="{F86A51EA-6727-4565-B069-2A491A9FDEB6}" name="FIELD" dataDxfId="1117"/>
  </tableColumns>
  <tableStyleInfo name="TableStyleMedium1"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8292E928-B76B-456D-9CE1-7F38861DC23A}" name="Таблиця145" displayName="Таблиця145" ref="A82:B92" totalsRowShown="0" headerRowDxfId="1116" dataDxfId="1115">
  <autoFilter ref="A82:B92" xr:uid="{B2F5DF6B-CEBC-4ACD-A54C-B67ECFAE7675}"/>
  <tableColumns count="2">
    <tableColumn id="1" xr3:uid="{8B93CADC-4D2E-4DEA-A17D-303A373FC3AE}" name="D10" dataDxfId="1114"/>
    <tableColumn id="2" xr3:uid="{80A5BB15-6B39-430B-BEAF-FA4AE2F42456}" name="FIELD" dataDxfId="1113"/>
  </tableColumns>
  <tableStyleInfo name="TableStyleMedium1"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74486786-763B-4623-90BD-31F635180942}" name="Таблиця146" displayName="Таблиця146" ref="A95:B103" totalsRowShown="0" headerRowDxfId="1112" dataDxfId="1111">
  <autoFilter ref="A95:B103" xr:uid="{AB30BF9C-B270-44A5-ABDD-22B27A90CEDB}"/>
  <tableColumns count="2">
    <tableColumn id="1" xr3:uid="{BFE5771E-34AC-44FC-8782-903C598E18EE}" name="D8" dataDxfId="1110"/>
    <tableColumn id="2" xr3:uid="{AB897B25-0DD8-40D5-A5A8-F694E1BE9600}" name="FIELD" dataDxfId="1109"/>
  </tableColumns>
  <tableStyleInfo name="TableStyleMedium1"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725609EC-B25F-4FE7-B1EF-3D6425B445DA}" name="Таблиця147" displayName="Таблиця147" ref="A33:B53" totalsRowShown="0" headerRowDxfId="1108" dataDxfId="1107">
  <autoFilter ref="A33:B53" xr:uid="{310B170B-3A15-47DF-9B9A-D44EC8711CDE}"/>
  <tableColumns count="2">
    <tableColumn id="1" xr3:uid="{7A6DDCD0-729F-45F4-9FE9-535148381DCC}" name="D20" dataDxfId="1106"/>
    <tableColumn id="2" xr3:uid="{0644C52B-4029-4DA3-AD48-7698816515AD}" name="FIELD" dataDxfId="1105"/>
  </tableColumns>
  <tableStyleInfo name="TableStyleMedium1"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C07BCF01-33A8-4CF6-8FEB-CC5D8FAB1DEB}" name="Таблиця148" displayName="Таблиця148" ref="H19:J22" totalsRowShown="0">
  <autoFilter ref="H19:J22" xr:uid="{283F2A7C-EEB8-4904-98DF-9D12E733AA0D}"/>
  <tableColumns count="3">
    <tableColumn id="1" xr3:uid="{00CBD8EA-A1F0-4138-A39E-7626C81B0B0C}" name="#"/>
    <tableColumn id="2" xr3:uid="{E40379C0-95EC-4D22-9B8F-77DBBF37D4D2}" name="FIELD" dataDxfId="1104">
      <calculatedColumnFormula array="1">INDEX(Таблиця143[FIELD],RANDBETWEEN(1,10))</calculatedColumnFormula>
    </tableColumn>
    <tableColumn id="3" xr3:uid="{4B3607D7-8B58-4E17-B67B-318186839736}" name="Стовпець1" dataDxfId="1103">
      <calculatedColumnFormula>INDEX(I27:I44,MATCH(Таблиця148[[#This Row],[FIELD]],H27:H44,0),1)</calculatedColumnFormula>
    </tableColumn>
  </tableColumns>
  <tableStyleInfo name="TableStyleMedium1"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43CAD416-5BFB-4413-AD23-A6F4BC9BBBEE}" name="Таблиця149" displayName="Таблиця149" ref="L19:N24" totalsRowShown="0">
  <autoFilter ref="L19:N24" xr:uid="{0A35D1FC-35F9-4412-BDDC-9AE1EEECAA7A}"/>
  <tableColumns count="3">
    <tableColumn id="1" xr3:uid="{1E8883DB-18BC-4F8B-A192-80C124BA5BB6}" name="#"/>
    <tableColumn id="2" xr3:uid="{B963E66D-E36B-4A32-ABAF-421C84BBB87A}" name="FIELD" dataDxfId="1102">
      <calculatedColumnFormula array="1">INDEX(Таблиця143[FIELD],RANDBETWEEN(1,10),1)</calculatedColumnFormula>
    </tableColumn>
    <tableColumn id="3" xr3:uid="{AA3207DF-C98D-4C0E-A555-49D04B82B894}" name="Стовпець1" dataDxfId="1101">
      <calculatedColumnFormula>INDEX(E40:E69,MATCH(Таблиця149[[#This Row],[FIELD]],D40:D69,0),1)</calculatedColumnFormula>
    </tableColumn>
  </tableColumns>
  <tableStyleInfo name="TableStyleMedium1"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DB83846F-E701-484C-8F51-03D713456073}" name="Таблиця150" displayName="Таблиця150" ref="A56:B68" totalsRowShown="0" headerRowDxfId="1100" dataDxfId="1099">
  <autoFilter ref="A56:B68" xr:uid="{97414CE0-74B8-4B6F-B18F-53E0E2578FB9}"/>
  <tableColumns count="2">
    <tableColumn id="1" xr3:uid="{AF386F5A-3F62-4823-9327-A28EA7FE0A34}" name="d12" dataDxfId="1098"/>
    <tableColumn id="2" xr3:uid="{9F406FBC-C6D5-4B00-B3D8-9D03CF7E45CC}" name="FIELD" dataDxfId="1097"/>
  </tableColumns>
  <tableStyleInfo name="TableStyleMedium1"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61A99AD1-526B-47BD-BCB2-C6B735881525}" name="Таблиця58" displayName="Таблиця58" ref="Y2:Z32" totalsRowShown="0">
  <autoFilter ref="Y2:Z32" xr:uid="{33D79D99-1D54-4BE7-A639-CEFB9E5C09BA}"/>
  <tableColumns count="2">
    <tableColumn id="1" xr3:uid="{5AE95755-E31B-4E61-9E2A-5D1199FDE1FA}" name="fencer specialization" dataDxfId="1096"/>
    <tableColumn id="2" xr3:uid="{508C06B0-843F-464E-91B1-E432FD05C4E8}" name="group"/>
  </tableColumns>
  <tableStyleInfo name="TableStyleMedium1"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3C3240A2-156E-4873-913A-8D93733E9056}" name="Таблиця90128" displayName="Таблиця90128" ref="AB3:AC15" totalsRowShown="0">
  <autoFilter ref="AB3:AC15" xr:uid="{7A8BCD71-80A7-4917-A3DF-A9239F2E5B34}"/>
  <tableColumns count="2">
    <tableColumn id="1" xr3:uid="{CEBA19A7-6CB8-48EA-855D-CE67060DCFEF}" name="d12"/>
    <tableColumn id="2" xr3:uid="{30662097-DF57-42BB-BD34-8DB4DD6BC0DF}" name="group"/>
  </tableColumns>
  <tableStyleInfo name="TableStyleMedium1"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86EB17EC-3264-4335-8895-3BAC2AE4855D}" name="Таблиця91129" displayName="Таблиця91129" ref="AE3:AF14" totalsRowShown="0">
  <autoFilter ref="AE3:AF14" xr:uid="{1A38E124-F41E-493E-A8E1-84E02A6E9F4A}"/>
  <tableColumns count="2">
    <tableColumn id="1" xr3:uid="{99D423B2-8C23-476A-AA58-DAF0C09B7646}" name="2d6"/>
    <tableColumn id="2" xr3:uid="{0BF37FB3-2F11-4E05-B0F8-260035470A88}" name="Cost" dataDxfId="1095"/>
  </tableColumns>
  <tableStyleInfo name="TableStyleMedium1"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5832BE04-56A8-41EE-9658-4B364C6C4F42}" name="Таблиця151" displayName="Таблиця151" ref="AJ3:AL6" totalsRowShown="0">
  <autoFilter ref="AJ3:AL6" xr:uid="{E613784E-CA92-4F2A-B436-6FFCE8E6EDD0}"/>
  <tableColumns count="3">
    <tableColumn id="1" xr3:uid="{98B8150A-40CA-405B-B749-233AADEA6E3E}" name="#"/>
    <tableColumn id="2" xr3:uid="{90E444A8-F45D-465F-A009-CA1DE0DF784D}" name="FIELD" dataDxfId="1094">
      <calculatedColumnFormula>IF($AL$2&gt;ROW()-4,'SPECIAL NPCS'!I20,"")</calculatedColumnFormula>
    </tableColumn>
    <tableColumn id="3" xr3:uid="{ECA1F80F-F4C8-4954-AA76-C043EEFBA91F}" name="SPECIALIZATION" dataDxfId="1093">
      <calculatedColumnFormula>IF($AL$2&gt;ROW()-4,'SPECIAL NPCS'!J20,"")</calculatedColumnFormula>
    </tableColumn>
  </tableColumns>
  <tableStyleInfo name="TableStyleMedium1"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2BA74C80-7D32-4513-9B54-300B016ED848}" name="Таблиця152" displayName="Таблиця152" ref="AN3:AP8" totalsRowShown="0">
  <autoFilter ref="AN3:AP8" xr:uid="{44BF4DED-2DC7-4B2D-885C-4F8DA25AAF07}"/>
  <tableColumns count="3">
    <tableColumn id="1" xr3:uid="{1AD3EFF9-96D7-48D9-B52D-C4EDBDA1F4A8}" name="#"/>
    <tableColumn id="2" xr3:uid="{811A2820-5364-48F0-96C8-8FB105A670E8}" name="FIELD" dataDxfId="1092">
      <calculatedColumnFormula>IF($AP$2&gt;ROW()-4,'SPECIAL NPCS'!M20,"")</calculatedColumnFormula>
    </tableColumn>
    <tableColumn id="3" xr3:uid="{47AC5372-8253-4A5F-8593-37A82C1C600A}" name="SPECIALIZATION" dataDxfId="1091">
      <calculatedColumnFormula>IF($AP$2&gt;ROW()-4,'SPECIAL NPCS'!N20,"")</calculatedColumnFormula>
    </tableColumn>
  </tableColumns>
  <tableStyleInfo name="TableStyleMedium1"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64279DE9-8399-4126-B0FD-DFA4FB536876}" name="Таблиця63" displayName="Таблиця63" ref="A1:H8" totalsRowShown="0">
  <autoFilter ref="A1:H8" xr:uid="{5F7FC5B7-6E01-42AB-88D1-CA1EFAAECBCC}"/>
  <tableColumns count="8">
    <tableColumn id="1" xr3:uid="{1186374D-C37E-4099-8F2E-A80E3F770DD9}" name="Survival (d20)"/>
    <tableColumn id="2" xr3:uid="{86E16AF9-F44D-48FE-AE16-F604890CA79F}" name="Safety"/>
    <tableColumn id="3" xr3:uid="{4F027279-F0E3-4021-877F-CCA655F2D6ED}" name="d6"/>
    <tableColumn id="4" xr3:uid="{ABB3642D-7C5A-4A24-8D35-00A4C51012B7}" name="Feature"/>
    <tableColumn id="5" xr3:uid="{C78BAAA2-CF8D-4516-AD70-ED3DE4E70CCA}" name="d6 + Safety (once for each)"/>
    <tableColumn id="6" xr3:uid="{E5DFB43F-FF0A-4E7B-87DE-417056971CBD}" name="Water"/>
    <tableColumn id="7" xr3:uid="{5B987F3E-42B4-4FCA-A1AD-F45C03EC0993}" name="Food"/>
    <tableColumn id="8" xr3:uid="{CDBFAFD7-C4C5-4726-872D-2E7D30E8FD56}" name="Shelter"/>
  </tableColumns>
  <tableStyleInfo name="TableStyleMedium1"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36BD6EED-9893-4A21-954E-93D01D7526BF}" name="Таблиця70" displayName="Таблиця70" ref="J1:U9" totalsRowShown="0">
  <autoFilter ref="J1:U9" xr:uid="{1AFFC3FA-0EE0-414A-B3DF-49ED7B08FA4C}"/>
  <tableColumns count="12">
    <tableColumn id="1" xr3:uid="{4B7E3CA6-9A59-4BF6-AF20-8C7A4B86D9BB}" name="Encounter"/>
    <tableColumn id="2" xr3:uid="{214BC4DD-7E6D-490D-89ED-AD5191E3A18F}" name="Size"/>
    <tableColumn id="3" xr3:uid="{85057C52-C420-4626-827A-58C1D5F9F1EA}" name="Detail"/>
    <tableColumn id="4" xr3:uid="{A0029A99-0A4C-4256-BB52-BC5F440F156F}" name="Number"/>
    <tableColumn id="5" xr3:uid="{9AE42391-705A-4140-8321-C8AC1C9C4B45}" name="AC"/>
    <tableColumn id="6" xr3:uid="{049676C8-8C70-4C26-9DF8-32156B7814B7}" name="HP"/>
    <tableColumn id="7" xr3:uid="{0C2E7886-B6A9-42CE-A870-3558A6E8CD6D}" name="Speed"/>
    <tableColumn id="8" xr3:uid="{8093AC55-7F1C-4CF3-8554-01AA857B06FE}" name="Actions"/>
    <tableColumn id="9" xr3:uid="{C26CAB43-E67C-46EC-A43D-8019A6F2525A}" name="Traits"/>
    <tableColumn id="10" xr3:uid="{4604B4D2-BF3B-46ED-90A0-A2B3BAE16F42}" name="Skills"/>
    <tableColumn id="11" xr3:uid="{90BFD75B-0C32-4C7F-8E96-2A53EA5A387A}" name="XP"/>
    <tableColumn id="12" xr3:uid="{17A2754A-BB57-4366-841D-F9F14E5AA902}" name="Treasure"/>
  </tableColumns>
  <tableStyleInfo name="TableStyleMedium1"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E7B0F4DF-8102-4441-BDA3-6DD97F02F08D}" name="Таблиця44" displayName="Таблиця44" ref="B5:F25" totalsRowShown="0" headerRowDxfId="1090" dataDxfId="1088" headerRowBorderDxfId="1089" tableBorderDxfId="1087" totalsRowBorderDxfId="1086" headerRowCellStyle="Звичайний 2" dataCellStyle="Звичайний 2">
  <autoFilter ref="B5:F25" xr:uid="{B72426D2-A8A3-483D-98FD-2B6158CA5B1A}"/>
  <tableColumns count="5">
    <tableColumn id="1" xr3:uid="{B585B4C1-5118-4C4A-998B-96B756553D91}" name="d20" dataDxfId="1085" dataCellStyle="Звичайний 2"/>
    <tableColumn id="2" xr3:uid="{C6280809-A28F-4283-81C8-71C93A5AF046}" name="Name Element 1" dataDxfId="1084" dataCellStyle="Звичайний 2"/>
    <tableColumn id="3" xr3:uid="{DAA17593-7B25-4410-9405-3DE111F7BF1F}" name="Name Element 2" dataDxfId="1083" dataCellStyle="Звичайний 2"/>
    <tableColumn id="4" xr3:uid="{9AA344F4-993E-433A-A753-1126F39BEA0D}" name="Name Element 3" dataDxfId="1082" dataCellStyle="Звичайний 2"/>
    <tableColumn id="5" xr3:uid="{4403A2C1-712B-4B03-9EA5-777B77A7051C}" name="Name Element 4" dataDxfId="1081" dataCellStyle="Звичайний 2"/>
  </tableColumns>
  <tableStyleInfo name="TableStyleMedium8"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A3BA5DD2-6FDB-4611-AC55-727FF705C256}" name="Таблиця45" displayName="Таблиця45" ref="H5:K25" totalsRowShown="0" headerRowDxfId="1080" headerRowBorderDxfId="1079" tableBorderDxfId="1078" totalsRowBorderDxfId="1077" headerRowCellStyle="Звичайний 2">
  <autoFilter ref="H5:K25" xr:uid="{3750B43F-A389-4F74-94C9-8BDAA41534D1}"/>
  <tableColumns count="4">
    <tableColumn id="1" xr3:uid="{C492BF74-69F6-427C-8F72-4E45F8137115}" name="d20" dataDxfId="1076" dataCellStyle="Звичайний 2"/>
    <tableColumn id="2" xr3:uid="{6F268531-C211-4CC3-BE59-C4A84771123A}" name="Adjective" dataDxfId="1075" dataCellStyle="Звичайний 2"/>
    <tableColumn id="3" xr3:uid="{E6F6A751-1CCE-4E68-87BD-9392E6F01B3A}" name="Footwork" dataDxfId="1074" dataCellStyle="Звичайний 2"/>
    <tableColumn id="4" xr3:uid="{95485BB9-7590-46A2-AA40-CED2E504F81E}" name="Favored Combat Action" dataDxfId="1073" dataCellStyle="Звичайний 2"/>
  </tableColumns>
  <tableStyleInfo name="TableStyleMedium8"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8DBB2599-B992-4CD3-B27D-9E324EE0497A}" name="Таблиця2352" displayName="Таблиця2352" ref="N7:O14" totalsRowShown="0" headerRowCellStyle="Звичайний 2" dataCellStyle="Звичайний 2">
  <autoFilter ref="N7:O14" xr:uid="{B5A70126-79EC-42E5-8633-F63E714CF5ED}"/>
  <tableColumns count="2">
    <tableColumn id="1" xr3:uid="{5B78D6B0-CF52-4313-A393-DBAA254B42F7}" name="Survival (d20)" dataCellStyle="Звичайний 2"/>
    <tableColumn id="2" xr3:uid="{949C0D60-FD02-404A-9840-7E490FA884EE}" name="Safety" dataCellStyle="Звичайний 2"/>
  </tableColumns>
  <tableStyleInfo name="TableStyleMedium8"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7471D79-9825-46D3-8A65-35B14F4595A7}" name="Таблиця2453" displayName="Таблиця2453" ref="P7:Q13" totalsRowShown="0" headerRowCellStyle="Звичайний 2" dataCellStyle="Звичайний 2">
  <autoFilter ref="P7:Q13" xr:uid="{469426AB-C42B-4663-9C2D-A87B5F40B5D7}"/>
  <tableColumns count="2">
    <tableColumn id="1" xr3:uid="{E53F2A73-0478-4980-967B-E8513311378B}" name="d6" dataCellStyle="Звичайний 2"/>
    <tableColumn id="2" xr3:uid="{13FF218A-F440-437B-8AD5-7C16DC292A8C}" name="Feature" dataCellStyle="Звичайний 2"/>
  </tableColumns>
  <tableStyleInfo name="TableStyleMedium15"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2A11421A-804A-4562-85B1-9945A2748793}" name="Таблиця2554" displayName="Таблиця2554" ref="R7:U13" totalsRowShown="0" headerRowCellStyle="Звичайний 2" dataCellStyle="Звичайний 2">
  <autoFilter ref="R7:U13" xr:uid="{0A75F938-D629-48B7-9EFA-3ED2A1151CD9}"/>
  <tableColumns count="4">
    <tableColumn id="1" xr3:uid="{2B67AEE6-909E-473B-8538-8E376E95E175}" name="d6 + Safety (once for each)" dataCellStyle="Звичайний 2"/>
    <tableColumn id="2" xr3:uid="{395CBEA2-2B03-4DDA-A780-C1952DD29972}" name="Water" dataCellStyle="Звичайний 2"/>
    <tableColumn id="3" xr3:uid="{49881988-3B64-418B-AD36-CBB7903069FE}" name="Food" dataCellStyle="Звичайний 2"/>
    <tableColumn id="4" xr3:uid="{9DC29EE6-4CBA-4512-B561-EEF6C1B5DDE7}" name="Shelter" dataCellStyle="Звичайний 2"/>
  </tableColumns>
  <tableStyleInfo name="TableStyleMedium16"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3C23D930-5275-4E9A-B7B2-960E370E1949}" name="Таблиця2655" displayName="Таблиця2655" ref="W7:AH15" totalsRowShown="0" headerRowCellStyle="Звичайний 2" dataCellStyle="Звичайний 2">
  <autoFilter ref="W7:AH15" xr:uid="{13E4A87A-76E4-42BE-94A2-EBF00C27F496}"/>
  <tableColumns count="12">
    <tableColumn id="1" xr3:uid="{140D82D8-94A7-49AB-99FC-FA28AB306B11}" name="Encounter" dataCellStyle="Звичайний 2"/>
    <tableColumn id="2" xr3:uid="{9287F05E-97DE-44A0-9281-60B54B05C074}" name="Size" dataCellStyle="Звичайний 2"/>
    <tableColumn id="3" xr3:uid="{B10C38A9-BD70-4555-AE2E-85FBCE601813}" name="Detail" dataCellStyle="Звичайний 2"/>
    <tableColumn id="4" xr3:uid="{5A4A697B-35E8-427C-A7A3-6F9511A0D317}" name="Number" dataCellStyle="Звичайний 2"/>
    <tableColumn id="5" xr3:uid="{34792C4A-8848-42B9-9350-A9DEA81CC554}" name="AC" dataCellStyle="Звичайний 2"/>
    <tableColumn id="6" xr3:uid="{D8B5E66B-247E-4894-81FD-F6B1B5C29BD1}" name="HP" dataCellStyle="Звичайний 2"/>
    <tableColumn id="7" xr3:uid="{6F0F2F8D-F133-4B72-8597-6EF5A4D55E89}" name="Speed" dataCellStyle="Звичайний 2"/>
    <tableColumn id="8" xr3:uid="{61DC5322-0B93-42B3-822F-DC7D43679FCE}" name="Actions" dataCellStyle="Звичайний 2"/>
    <tableColumn id="9" xr3:uid="{702BCB84-F1CC-4996-9788-98F74B0AE9DE}" name="Traits" dataCellStyle="Звичайний 2"/>
    <tableColumn id="10" xr3:uid="{6D76C201-CBC3-4F19-92BD-27F9579EDFC3}" name="Skills" dataCellStyle="Звичайний 2"/>
    <tableColumn id="11" xr3:uid="{27CB460E-2EC3-4552-85E5-1AFE74ED1691}" name="XP" dataCellStyle="Звичайний 2"/>
    <tableColumn id="12" xr3:uid="{F915B275-6EE8-4422-999C-A44477C2C633}" name="Treasure" dataCellStyle="Звичайний 2"/>
  </tableColumns>
  <tableStyleInfo name="TableStyleMedium8"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9B6EF76-F2C1-4186-8914-0D7864C78998}" name="Таблиця156" displayName="Таблиця156" ref="P54:Q64" totalsRowShown="0">
  <autoFilter ref="P54:Q64" xr:uid="{4CAE3569-8437-458C-9493-DFA9855F0C47}"/>
  <tableColumns count="2">
    <tableColumn id="1" xr3:uid="{57BA90F8-F50F-4D00-A9D7-9E8049A9287E}" name="d10"/>
    <tableColumn id="2" xr3:uid="{44BD854B-11E4-40BF-8A8A-F198B4C609B0}" name="Field of Lore"/>
  </tableColumns>
  <tableStyleInfo name="TableStyleMedium16"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859540A-E430-4327-BFAC-8D8036F21301}" name="Таблиця257" displayName="Таблиця257" ref="S54:T62" totalsRowShown="0">
  <autoFilter ref="S54:T62" xr:uid="{CCAF603B-E25D-4E3A-835B-29FA827ADEA6}"/>
  <tableColumns count="2">
    <tableColumn id="1" xr3:uid="{CB2C5DA9-4EA3-45A7-A507-690795C90AB5}" name="d8"/>
    <tableColumn id="2" xr3:uid="{5AF7C408-B4DC-4FD5-A10C-B34FB5104F15}" name="Flora"/>
  </tableColumns>
  <tableStyleInfo name="TableStyleMedium16"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A767E59-8591-4C3F-8E17-D50C17B683C2}" name="Таблиця358" displayName="Таблиця358" ref="V54:W64" totalsRowShown="0">
  <autoFilter ref="V54:W64" xr:uid="{4325B872-7B7A-4679-8694-EDC08C7E3704}"/>
  <tableColumns count="2">
    <tableColumn id="1" xr3:uid="{12671483-DE63-4ADE-9E7A-FB3E6BC175D8}" name="d10"/>
    <tableColumn id="2" xr3:uid="{A3023F04-3126-4B87-9308-38D95D64207F}" name="Fauna"/>
  </tableColumns>
  <tableStyleInfo name="TableStyleMedium16"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9C79A3E-6279-40E2-B507-EC21D11FC9F7}" name="Таблиця459" displayName="Таблиця459" ref="Y54:Z62" totalsRowShown="0">
  <autoFilter ref="Y54:Z62" xr:uid="{FECF407D-E866-4B16-9FB5-105ECEBC3242}"/>
  <tableColumns count="2">
    <tableColumn id="1" xr3:uid="{DC5F5F2B-F2BB-492E-A5B8-337E9F33EF8E}" name="d8"/>
    <tableColumn id="2" xr3:uid="{EAAB907B-DB9A-41F9-A115-018745D12690}" name="Supernatural"/>
  </tableColumns>
  <tableStyleInfo name="TableStyleMedium16"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167851DE-941C-4C9F-8143-31ED8831A352}" name="Таблиця560" displayName="Таблиця560" ref="AB54:AC66" totalsRowShown="0">
  <autoFilter ref="AB54:AC66" xr:uid="{419D0D3F-641B-462A-942F-435706F67A54}"/>
  <tableColumns count="2">
    <tableColumn id="1" xr3:uid="{10F8E016-754D-4A5F-AB42-571726DE77B5}" name="d12"/>
    <tableColumn id="2" xr3:uid="{B48AFC64-D4AC-47FA-92DA-DD28ABAD493F}" name="Secular World"/>
  </tableColumns>
  <tableStyleInfo name="TableStyleMedium16"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B3243C9-7E28-4A07-9FF4-8251844ADCAA}" name="Таблиця47" displayName="Таблиця47" ref="P40:R51" totalsRowShown="0">
  <autoFilter ref="P40:R51" xr:uid="{1C19CCE1-4B70-4192-A09A-F9CA4903E9B0}"/>
  <tableColumns count="3">
    <tableColumn id="1" xr3:uid="{7A3006A2-29DC-47CC-8BAF-E53D86FEEB7F}" name="2d6 roll"/>
    <tableColumn id="2" xr3:uid="{FE6AC589-F32B-43C5-8757-3D7E50542F98}" name="Minor Expertise"/>
    <tableColumn id="3" xr3:uid="{39F5D5C4-0AE4-4348-8F38-BB3298B2D0A2}" name="Major Specialization"/>
  </tableColumns>
  <tableStyleInfo name="TableStyleMedium16"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9C4A0284-9010-44BA-89D9-0E2717E16D76}" name="Таблиця4862" displayName="Таблиця4862" ref="P34:S38" totalsRowShown="0">
  <autoFilter ref="P34:S38" xr:uid="{873591F4-27B4-4036-AF04-18D788FFE2A8}"/>
  <tableColumns count="4">
    <tableColumn id="1" xr3:uid="{51765A9D-3E94-4898-80DC-3ED3EC6D4DDA}" name="Стовпець1"/>
    <tableColumn id="2" xr3:uid="{AAA74F2F-7E47-425C-A61D-3357928AAF0F}" name="General"/>
    <tableColumn id="3" xr3:uid="{EE2E9538-78BF-4C00-9DF7-905EE891933C}" name="Specific"/>
    <tableColumn id="4" xr3:uid="{F2270A29-53B7-4AC4-A5BF-ADCBFC7ECA05}" name="Exacting"/>
  </tableColumns>
  <tableStyleInfo name="TableStyleMedium16"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AA3CD1D-8811-4FF6-A676-06D97FA31A72}" name="Таблиця49" displayName="Таблиця49" ref="L34:N39" totalsRowShown="0">
  <autoFilter ref="L34:N39" xr:uid="{9F95FBBD-E7F1-4092-92F5-3F7612F54B15}"/>
  <tableColumns count="3">
    <tableColumn id="1" xr3:uid="{802373CF-B739-4611-A453-6198004132C6}" name="Check"/>
    <tableColumn id="2" xr3:uid="{4BC37464-5882-4BFE-8939-ED28F30E6B90}" name="Reaction"/>
    <tableColumn id="3" xr3:uid="{1E2729FF-48C4-4E2F-A217-AD4EC2199FE8}" name="Price Modifier"/>
  </tableColumns>
  <tableStyleInfo name="TableStyleMedium16"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BD589675-4284-466C-BD51-1AE74DFB505F}" name="Таблиця50" displayName="Таблиця50" ref="H34:J50" totalsRowShown="0">
  <autoFilter ref="H34:J50" xr:uid="{A64F9E9A-46F5-4B60-830C-341F6FAAA90D}"/>
  <tableColumns count="3">
    <tableColumn id="1" xr3:uid="{0C3765A1-1997-4927-9A3F-D53E3C2AF7E7}" name="Стовпець1"/>
    <tableColumn id="2" xr3:uid="{30BB4FE6-4B90-4926-9733-BEA55D846F96}" name="Стовпець2"/>
    <tableColumn id="3" xr3:uid="{788CB644-B402-422E-BC13-84DBCE5960DD}" name="Стовпець3"/>
  </tableColumns>
  <tableStyleInfo name="TableStyleMedium16"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4917120-0B41-46A6-B2C1-9052A07957B5}" name="Таблиця51" displayName="Таблиця51" ref="D34:E69" totalsRowShown="0">
  <autoFilter ref="D34:E69" xr:uid="{D90ABF18-5397-4A1A-B017-766E1722D513}"/>
  <tableColumns count="2">
    <tableColumn id="1" xr3:uid="{675776AE-559F-4030-9251-4A5F1B42913D}" name="HIRELING"/>
    <tableColumn id="2" xr3:uid="{FBDA4846-ECCD-4ED8-A7AE-23AEF1B0C309}" name="GP / MONTH"/>
  </tableColumns>
  <tableStyleInfo name="TableStyleMedium16"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5ADA9B4-4BA7-4EB5-9DE3-60E02C66BC76}" name="Таблиця53" displayName="Таблиця53" ref="D71:E84" totalsRowShown="0">
  <autoFilter ref="D71:E84" xr:uid="{B63F8343-B9E4-48B7-ADC6-18038399EFD8}"/>
  <tableColumns count="2">
    <tableColumn id="1" xr3:uid="{8C552133-7A31-47F8-BBED-B305333D8CA0}" name="HIRELING"/>
    <tableColumn id="2" xr3:uid="{714AC3B0-8CEB-482E-8A7E-6B4BC7FE27FB}" name="GP / MONTH"/>
  </tableColumns>
  <tableStyleInfo name="TableStyleMedium16"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23E0ADC-055B-47F8-A32E-595C0B673C0D}" name="Таблиця2167" displayName="Таблиця2167" ref="H54:K76" totalsRowShown="0">
  <autoFilter ref="H54:K76" xr:uid="{17197B6E-6556-4C0D-AF2D-F8F1747F746B}"/>
  <tableColumns count="4">
    <tableColumn id="1" xr3:uid="{6E3C118E-8635-432D-AF21-DFECEF8C6B74}" name="Challenge        "/>
    <tableColumn id="2" xr3:uid="{5FC786C3-A424-452D-A27F-27155E9DABC1}" name="GP / DAY"/>
    <tableColumn id="3" xr3:uid="{70631FD1-CEC3-4B9B-973B-9A509D2415AF}" name="GP / MONTH" dataDxfId="1072">
      <calculatedColumnFormula>Таблиця2167[[#This Row],[GP / DAY]]*30</calculatedColumnFormula>
    </tableColumn>
    <tableColumn id="4" xr3:uid="{0D4AEE91-D882-4461-9A7A-DBB9C3A9999B}" name="Стовпець1"/>
  </tableColumns>
  <tableStyleInfo name="TableStyleMedium15"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29030EED-ECA5-405C-B309-CAE41D721C4B}" name="Таблиця54" displayName="Таблиця54" ref="E100:G111" totalsRowShown="0">
  <autoFilter ref="E100:G111" xr:uid="{112EABC2-68BA-4E09-A1F5-443584C59B22}"/>
  <tableColumns count="3">
    <tableColumn id="1" xr3:uid="{8B859B17-737B-4488-889C-65F229B7668F}" name="Improvements    "/>
    <tableColumn id="2" xr3:uid="{C0CEC1D8-77CE-4A66-AB40-06724EEECC6B}" name="Cost"/>
    <tableColumn id="3" xr3:uid="{D888A7B2-DC0A-498E-AEEA-F0E802CCAAAE}" name="Стовпець1"/>
  </tableColumns>
  <tableStyleInfo name="TableStyleMedium15"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49FB526E-79CD-44A3-83D8-982D5262DF4A}" name="Таблиця1668" displayName="Таблиця1668" ref="E138:G146" totalsRowShown="0">
  <autoFilter ref="E138:G146" xr:uid="{A841C83D-97D5-4266-A9E5-0345450E7824}"/>
  <tableColumns count="3">
    <tableColumn id="1" xr3:uid="{1AC8A768-1186-4156-87FF-03F308F11599}" name="Walls"/>
    <tableColumn id="2" xr3:uid="{127C80DE-7CD1-4ED5-A495-DDCBF9F0D112}" name="Cost"/>
    <tableColumn id="3" xr3:uid="{99F635E0-4E49-45A8-8CC7-1D94E674F1AF}" name="Dimensions LxHxW 10'X10'X1'"/>
  </tableColumns>
  <tableStyleInfo name="TableStyleMedium8"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1431B33-3A6B-49C9-A5C8-02E739B8FE7E}" name="Таблиця1769" displayName="Таблиця1769" ref="I140:K145" totalsRowShown="0">
  <autoFilter ref="I140:K145" xr:uid="{BE21909A-EDE0-48D5-9C7B-BA079A2A39F9}"/>
  <tableColumns count="3">
    <tableColumn id="1" xr3:uid="{B15AA39C-59F3-401D-BFA4-6428EA367C42}" name="Earthen Works"/>
    <tableColumn id="2" xr3:uid="{370E2FFC-6A15-43D9-B152-9D911B9A7AB6}" name="Cost"/>
    <tableColumn id="3" xr3:uid="{C032A22B-490F-4507-B347-CAA67ABBED7F}" name="Dimensions LxH/DxW"/>
  </tableColumns>
  <tableStyleInfo name="TableStyleMedium8"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5DE6CD5D-607C-422B-850C-FA485450EF1B}" name="Таблиця18" displayName="Таблиця18" ref="E148:G159" totalsRowShown="0">
  <autoFilter ref="E148:G159" xr:uid="{609E7D85-AD6B-43F5-8FE1-C8490E3EA41B}"/>
  <tableColumns count="3">
    <tableColumn id="1" xr3:uid="{85B1A2E8-B3DC-43BC-972F-E618FEE2ADA8}" name="Buildings"/>
    <tableColumn id="2" xr3:uid="{5C2301BE-E4CF-4DC8-87F8-45EE4D488996}" name="Cost"/>
    <tableColumn id="3" xr3:uid="{152B8548-96D1-4D1D-9B68-EF374A9E5959}" name="Dimensions LxWxH "/>
  </tableColumns>
  <tableStyleInfo name="TableStyleMedium8"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F45515F6-A54A-4FDF-B71A-AFB9B6E5B768}" name="Таблиця1971" displayName="Таблиця1971" ref="I148:K164" totalsRowShown="0">
  <autoFilter ref="I148:K164" xr:uid="{7A7FA7B4-8B09-4B49-BD53-E22AAF313283}"/>
  <tableColumns count="3">
    <tableColumn id="1" xr3:uid="{0A12B3DB-A71C-465B-9130-66BFFF9AEB8F}" name="Underground/interior"/>
    <tableColumn id="2" xr3:uid="{24E3F238-DED5-4E66-9DC9-7E84452B7F0C}" name="Cost"/>
    <tableColumn id="3" xr3:uid="{6D2345B8-305C-4097-9EBD-0CF1236D14D2}" name="Dimension"/>
  </tableColumns>
  <tableStyleInfo name="TableStyleMedium8"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219F19A1-F2F1-4789-8A08-FB4877530F8C}" name="Таблиця3073" displayName="Таблиця3073" ref="P141:R162" totalsRowShown="0" headerRowCellStyle="Звичайний 2" dataCellStyle="Звичайний 2">
  <autoFilter ref="P141:R162" xr:uid="{C44FB05A-74A9-41D3-B215-AA8942C130B6}"/>
  <tableColumns count="3">
    <tableColumn id="1" xr3:uid="{7CFE3D4E-4C3D-4BE2-A17C-272E8E1903DE}" name="Стовпець1" dataCellStyle="Звичайний 2"/>
    <tableColumn id="2" xr3:uid="{B084DFC2-4026-4BDB-9A1A-828188D89F62}" name="Стовпець2" dataCellStyle="Звичайний 2"/>
    <tableColumn id="3" xr3:uid="{9F383F60-EE39-4050-850F-34BD602F3BE9}" name="Стовпець3" dataCellStyle="Звичайний 2"/>
  </tableColumns>
  <tableStyleInfo name="TableStyleMedium8"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680B176-243E-4253-AEAC-79DAD0E9B2E9}" name="Таблиця3174" displayName="Таблиця3174" ref="T141:U151" totalsRowShown="0" headerRowCellStyle="Звичайний 2" dataCellStyle="Звичайний 2">
  <autoFilter ref="T141:U151" xr:uid="{A1E10D04-8B2E-40FF-904E-2299719E3C3B}"/>
  <tableColumns count="2">
    <tableColumn id="1" xr3:uid="{BF35BAE1-A049-4A4F-A495-0D168F9575DF}" name="1d10" dataCellStyle="Звичайний 2"/>
    <tableColumn id="2" xr3:uid="{A6440AAB-221A-4159-96A6-13C825617E26}" name="| Day Description" dataCellStyle="Звичайний 2"/>
  </tableColumns>
  <tableStyleInfo name="TableStyleMedium8"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E7306B9-A7D9-4E1A-B5CC-44A9CD0B8466}" name="Таблиця3275" displayName="Таблиця3275" ref="V141:W151" totalsRowShown="0" headerRowCellStyle="Звичайний 2" dataCellStyle="Звичайний 2">
  <autoFilter ref="V141:W151" xr:uid="{042B4C32-0F81-4D73-91F3-45C4D4411274}"/>
  <tableColumns count="2">
    <tableColumn id="1" xr3:uid="{C166604A-147B-45C3-A149-D8B72885C2B1}" name="1d10" dataCellStyle="Звичайний 2"/>
    <tableColumn id="2" xr3:uid="{69CC3F46-99FC-4274-A3A3-654D65D029FD}" name="Night Description" dataCellStyle="Звичайний 2"/>
  </tableColumns>
  <tableStyleInfo name="TableStyleMedium8"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3C2D1E89-8188-47E9-83B9-9CAAF823BD3B}" name="Таблиця3376" displayName="Таблиця3376" ref="T154:W164" totalsRowShown="0" headerRowCellStyle="Звичайний 2" dataCellStyle="Звичайний 2">
  <autoFilter ref="T154:W164" xr:uid="{062EE337-2291-451B-9BB5-ACDF2A87C095}"/>
  <tableColumns count="4">
    <tableColumn id="1" xr3:uid="{4C986D15-C775-42BD-8631-C301E37A1272}" name="1d10" dataCellStyle="Звичайний 2"/>
    <tableColumn id="2" xr3:uid="{A55107B2-66CB-4AD4-9DAB-989AEB84B401}" name="Day Description" dataCellStyle="Звичайний 2"/>
    <tableColumn id="3" xr3:uid="{3CF892B4-46BF-4102-B858-24057ECAC708}" name="1d102" dataCellStyle="Звичайний 2"/>
    <tableColumn id="4" xr3:uid="{82C6717A-1165-41D7-8CE9-A0222A0F0CD7}" name="Night Description" dataCellStyle="Звичайний 2"/>
  </tableColumns>
  <tableStyleInfo name="TableStyleMedium15"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D4CE74B-EC09-403B-A144-E1B1C4E30B7D}" name="Таблиця3477" displayName="Таблиця3477" ref="T192:U202" totalsRowShown="0" headerRowCellStyle="Звичайний 2" dataCellStyle="Звичайний 2">
  <autoFilter ref="T192:U202" xr:uid="{2FD2941E-BD21-428F-9250-CBF064CCF574}"/>
  <tableColumns count="2">
    <tableColumn id="1" xr3:uid="{E3856CB5-96CB-4320-9CFD-C6B682A751D2}" name="1d10" dataCellStyle="Звичайний 2"/>
    <tableColumn id="2" xr3:uid="{3688513E-288A-44F9-B9CB-EA8E21304082}" name="| Day Description" dataCellStyle="Звичайний 2"/>
  </tableColumns>
  <tableStyleInfo name="TableStyleMedium8"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B77DC4F3-F1A1-44CB-A207-634084EF748C}" name="Таблиця3578" displayName="Таблиця3578" ref="V192:W202" totalsRowShown="0" headerRowCellStyle="Звичайний 2" dataCellStyle="Звичайний 2">
  <autoFilter ref="V192:W202" xr:uid="{3E60EC68-D5D6-4E50-85F1-27DFE2158C9F}"/>
  <tableColumns count="2">
    <tableColumn id="1" xr3:uid="{D6F944BA-218D-4A85-9135-B14A4F37BF59}" name="1d10" dataCellStyle="Звичайний 2"/>
    <tableColumn id="2" xr3:uid="{D4A42CB1-E9A0-408C-993C-300792D09C0D}" name="Night Description" dataCellStyle="Звичайний 2"/>
  </tableColumns>
  <tableStyleInfo name="TableStyleMedium8"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361D5A24-8A38-43BF-B9D3-B41665279A0C}" name="Таблиця3679" displayName="Таблиця3679" ref="V179:W189" totalsRowShown="0" headerRowCellStyle="Звичайний 2" dataCellStyle="Звичайний 2">
  <autoFilter ref="V179:W189" xr:uid="{94C3F88A-729E-4CF5-9CFD-0EA8E71BFE8E}"/>
  <tableColumns count="2">
    <tableColumn id="1" xr3:uid="{2B721F08-83E3-4DB6-91F5-7A881E9DD76C}" name="1d10" dataCellStyle="Звичайний 2"/>
    <tableColumn id="2" xr3:uid="{B43749AF-C10A-434F-B94C-C9FB48F884D8}" name="Night Description" dataCellStyle="Звичайний 2"/>
  </tableColumns>
  <tableStyleInfo name="TableStyleMedium8"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66A4930E-E7DF-4625-8E73-EBDD5324F13C}" name="Таблиця37" displayName="Таблиця37" ref="T179:U189" totalsRowShown="0" headerRowCellStyle="Звичайний 2" dataCellStyle="Звичайний 2">
  <autoFilter ref="T179:U189" xr:uid="{CC3A3768-CD7A-4B21-B1CD-7DDDDA660069}"/>
  <tableColumns count="2">
    <tableColumn id="1" xr3:uid="{4F2A40F3-BDED-4B70-A9C1-2F932768D28C}" name="1d10" dataCellStyle="Звичайний 2"/>
    <tableColumn id="2" xr3:uid="{045DA1A5-6A31-44BF-98A2-0977D4387642}" name="| Day Description" dataCellStyle="Звичайний 2"/>
  </tableColumns>
  <tableStyleInfo name="TableStyleMedium8"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22432C4D-4E43-440A-81B2-ECDEB77F1C82}" name="Таблиця38" displayName="Таблиця38" ref="T167:U177" totalsRowShown="0" headerRowCellStyle="Звичайний 2" dataCellStyle="Звичайний 2">
  <autoFilter ref="T167:U177" xr:uid="{4C9C561B-6BB2-494D-AA59-A8864D240E32}"/>
  <tableColumns count="2">
    <tableColumn id="1" xr3:uid="{86EBCDA1-B448-4397-9EA3-498975E860FB}" name="1d10" dataCellStyle="Звичайний 2"/>
    <tableColumn id="2" xr3:uid="{618CF509-DE90-435D-B505-B7B121D50C53}" name="| Day Description" dataCellStyle="Звичайний 2"/>
  </tableColumns>
  <tableStyleInfo name="TableStyleMedium8"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201620DB-9E97-46E0-9F47-82E57C252A3C}" name="Таблиця3982" displayName="Таблиця3982" ref="V167:W177" totalsRowShown="0" headerRowCellStyle="Звичайний 2" dataCellStyle="Звичайний 2">
  <autoFilter ref="V167:W177" xr:uid="{36DD7FEB-EC9B-4DB8-9B02-DFBAB3337D1B}"/>
  <tableColumns count="2">
    <tableColumn id="1" xr3:uid="{E9810217-B8C8-4DF7-8649-7EB9537807E5}" name="1d10" dataCellStyle="Звичайний 2"/>
    <tableColumn id="2" xr3:uid="{013C5554-5035-4FFF-9050-F6FF9BEFCF38}" name="Night Description" dataCellStyle="Звичайний 2"/>
  </tableColumns>
  <tableStyleInfo name="TableStyleMedium8"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1D428AB2-7DF3-49F9-9FBF-30F48272D286}" name="Таблиця4083" displayName="Таблиця4083" ref="T206:U216" totalsRowShown="0" headerRowCellStyle="Звичайний 2" dataCellStyle="Звичайний 2">
  <autoFilter ref="T206:U216" xr:uid="{4F348FC8-26B4-4F68-8EA5-9DAF85C9B47A}"/>
  <tableColumns count="2">
    <tableColumn id="1" xr3:uid="{EEDFFB5D-706C-4978-8DB7-2622C2E987CF}" name="1d10" dataCellStyle="Звичайний 2"/>
    <tableColumn id="2" xr3:uid="{B5BAD771-917A-4F4D-B1C3-EDCA6083567E}" name="| Day Description" dataCellStyle="Звичайний 2"/>
  </tableColumns>
  <tableStyleInfo name="TableStyleMedium8"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D0A322D1-D385-414D-967C-093107D113A2}" name="Таблиця41" displayName="Таблиця41" ref="V206:W216" totalsRowShown="0" headerRowCellStyle="Звичайний 2" dataCellStyle="Звичайний 2">
  <autoFilter ref="V206:W216" xr:uid="{3113067D-4257-49C4-B319-3F8F7A1CB707}"/>
  <tableColumns count="2">
    <tableColumn id="1" xr3:uid="{D8C059A0-275A-4825-BEC7-B5CB7756B238}" name="1d10" dataCellStyle="Звичайний 2"/>
    <tableColumn id="2" xr3:uid="{72FAA123-D1D5-47E4-AA58-D9660CA1F828}" name="Night Description" dataCellStyle="Звичайний 2"/>
  </tableColumns>
  <tableStyleInfo name="TableStyleMedium8"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E31DEF3A-F683-4063-9840-418EA2B09507}" name="Таблиця42" displayName="Таблиця42" ref="T219:U229" totalsRowShown="0" headerRowCellStyle="Звичайний 2" dataCellStyle="Звичайний 2">
  <autoFilter ref="T219:U229" xr:uid="{2805465B-ACD7-45A1-97ED-56DCC7D219BB}"/>
  <tableColumns count="2">
    <tableColumn id="1" xr3:uid="{137EB37C-2691-4DF2-9227-59B069111BD8}" name="1d10" dataCellStyle="Звичайний 2"/>
    <tableColumn id="2" xr3:uid="{7532B288-C071-4E84-9C2A-4424C399AE2B}" name="| Day Description" dataCellStyle="Звичайний 2"/>
  </tableColumns>
  <tableStyleInfo name="TableStyleMedium8"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EB64BEA-2B91-4723-A27B-1134D8B054C0}" name="Таблиця43" displayName="Таблиця43" ref="V219:W229" totalsRowShown="0" headerRowCellStyle="Звичайний 2" dataCellStyle="Звичайний 2">
  <autoFilter ref="V219:W229" xr:uid="{D0D590DB-3768-49B2-86C9-9F689E7BE566}"/>
  <tableColumns count="2">
    <tableColumn id="1" xr3:uid="{8821FD0F-37B1-4C5D-AC74-CE19E53D2117}" name="1d10" dataCellStyle="Звичайний 2"/>
    <tableColumn id="2" xr3:uid="{6DFB2916-BC33-4F1F-88E8-66E56AED8C3D}" name="Night Description" dataCellStyle="Звичайний 2"/>
  </tableColumns>
  <tableStyleInfo name="TableStyleMedium8"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028AE45-8735-4EE3-96F1-8B8E867116A5}" name="Таблиця101" displayName="Таблиця101" ref="T41:U43" totalsRowShown="0" headerRowCellStyle="Звичайний 7" dataCellStyle="Звичайний 7">
  <autoFilter ref="T41:U43" xr:uid="{F451CD5E-CC58-4E4F-9C22-A51280EC7A4C}"/>
  <tableColumns count="2">
    <tableColumn id="1" xr3:uid="{7379A53C-86FE-4160-A9E8-F80BF97DCB16}" name="2d6 roll" dataCellStyle="Звичайний 7"/>
    <tableColumn id="2" xr3:uid="{FCF2C26B-F42B-4999-AB9B-1D2BDBE0A331}" name="10" dataCellStyle="Звичайний 7">
      <calculatedColumnFormula>INDEX(R40:R50,MATCH(U40,P40:P50,0),1)</calculatedColumnFormula>
    </tableColumn>
  </tableColumns>
  <tableStyleInfo name="TableStyleMedium1"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B8EA0F02-8E68-4B83-9246-411A7C4DD459}" name="Таблиця97" displayName="Таблиця97" ref="B3:I334" totalsRowShown="0">
  <autoFilter ref="B3:I334" xr:uid="{F843E010-E10E-4000-959C-56BA58E26DAE}"/>
  <tableColumns count="8">
    <tableColumn id="1" xr3:uid="{EE9EE556-3AB0-4D53-BB32-5F00F5BFD0D5}" name="Стовпець1"/>
    <tableColumn id="2" xr3:uid="{EA5D750B-912C-493D-9B5F-FA7CB15DF0FE}" name="Name"/>
    <tableColumn id="3" xr3:uid="{C4B11705-5B01-4EE5-835C-BEA1A4D5B4B0}" name="Type"/>
    <tableColumn id="4" xr3:uid="{C055A45E-9A42-412A-95BD-F00E688B587B}" name="Rarity"/>
    <tableColumn id="5" xr3:uid="{DBA6CB50-0100-4895-A621-21CEF0DEBBA3}" name="Attune"/>
    <tableColumn id="6" xr3:uid="{F1CC4ECF-5BCA-4337-8E08-783A6DCDA8C1}" name="Notes"/>
    <tableColumn id="7" xr3:uid="{B2239F25-A25A-4DF3-96EB-EB6F2605985D}" name="AC Bonus"/>
    <tableColumn id="8" xr3:uid="{C5283433-EB85-4692-B3EE-D3CA3FE5CC61}" name="Source"/>
  </tableColumns>
  <tableStyleInfo name="TableStyleMedium2"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474DF932-A61C-4FBE-B8E2-78D103DF5B2B}" name="Таблиця98" displayName="Таблиця98" ref="K35:L45" totalsRowShown="0">
  <autoFilter ref="K35:L45" xr:uid="{D79C5DE5-0F69-4D09-BEF0-749D30799013}"/>
  <tableColumns count="2">
    <tableColumn id="1" xr3:uid="{7AED24C8-EB27-41CE-97F7-560E57695E63}" name="#"/>
    <tableColumn id="2" xr3:uid="{97489DEA-FD84-4E23-998C-DB780DD192EE}" name="Reistance Potion"/>
  </tableColumns>
  <tableStyleInfo name="TableStyleMedium3"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1C9F3986-226C-477A-95FD-5146110BAA7A}" name="Таблиця87" displayName="Таблиця87" ref="A1:CZ334" totalsRowShown="0">
  <autoFilter ref="A1:CZ334" xr:uid="{1A8C3CAE-F7FA-4BDF-A624-27EC5E94FEFC}"/>
  <tableColumns count="104">
    <tableColumn id="1" xr3:uid="{2052432D-5DF9-40EC-968A-38D05BCB244E}" name="1"/>
    <tableColumn id="2" xr3:uid="{CDC19597-BCEF-45E3-A184-A3807DE73ED9}" name="2"/>
    <tableColumn id="3" xr3:uid="{CE0BBDE0-81DA-4EB8-9001-6B9B7D9A967D}" name="3"/>
    <tableColumn id="4" xr3:uid="{D447E5A6-33AD-472A-AC4F-E810CCAE0AE3}" name="4"/>
    <tableColumn id="5" xr3:uid="{22F93B16-3ADA-483A-8708-FBF76F47C24E}" name="5"/>
    <tableColumn id="6" xr3:uid="{306B076C-B3E3-4D0A-819C-C0378294319F}" name="6"/>
    <tableColumn id="7" xr3:uid="{0273C278-0F8D-4ED8-8F85-C68FC8E6811D}" name="7"/>
    <tableColumn id="8" xr3:uid="{6D077ACC-7DF0-480F-9026-59423D14B08B}" name="8"/>
    <tableColumn id="9" xr3:uid="{583A2CCE-D669-48AF-B902-EFD3F402E4FB}" name="9"/>
    <tableColumn id="10" xr3:uid="{80D7D705-2003-4487-9A03-25D1038EC415}" name="10"/>
    <tableColumn id="11" xr3:uid="{9CB63647-C5EB-4D7E-AA13-609B4670CF1F}" name="11"/>
    <tableColumn id="12" xr3:uid="{4BBD09F8-D751-433B-BDF8-0C883705B351}" name="12"/>
    <tableColumn id="13" xr3:uid="{F2B9B6E0-9D8E-41D6-A913-16A561EB8D0E}" name="13"/>
    <tableColumn id="14" xr3:uid="{83F7093D-0586-4D75-BFE3-2515B5452137}" name="14"/>
    <tableColumn id="15" xr3:uid="{3C9EFB37-1080-40B6-9842-0D04936953DC}" name="15"/>
    <tableColumn id="16" xr3:uid="{593979D5-0027-4D95-B39B-52460756526D}" name="16"/>
    <tableColumn id="17" xr3:uid="{D1B697C4-16F2-4113-8AC4-6A9CC9B1E92A}" name="17"/>
    <tableColumn id="18" xr3:uid="{B16E92C8-9DDD-4E12-ADC7-C0F8933288A9}" name="18"/>
    <tableColumn id="19" xr3:uid="{E31DE52E-A904-4786-97A9-5FC74CD8E2A4}" name="19"/>
    <tableColumn id="20" xr3:uid="{AEAB49FC-CF6F-4DCE-8A03-A514DE369353}" name="20"/>
    <tableColumn id="21" xr3:uid="{B958C85F-87E2-4674-A200-09CC32592305}" name="21"/>
    <tableColumn id="22" xr3:uid="{FB87FB43-1A3F-42B2-8451-71357DC1957E}" name="22"/>
    <tableColumn id="23" xr3:uid="{90C2270A-34F4-4F18-AAAA-2BB09A8005F1}" name="23"/>
    <tableColumn id="24" xr3:uid="{B4696D4B-BD06-49CB-8E72-0D3C770B0AB9}" name="24"/>
    <tableColumn id="25" xr3:uid="{26931E1C-D0D9-45FE-A249-45AEE8673A68}" name="25"/>
    <tableColumn id="26" xr3:uid="{34DC7772-AD19-41C2-86B1-16492BAD37E1}" name="26"/>
    <tableColumn id="27" xr3:uid="{640684AE-E48E-4E84-AF54-E706155AAD49}" name="27"/>
    <tableColumn id="28" xr3:uid="{E81198BB-FF88-4957-8394-CD7E4AFA7126}" name="28"/>
    <tableColumn id="29" xr3:uid="{3A0B43A3-CD45-44F8-8A0F-A07732F134B3}" name="29"/>
    <tableColumn id="30" xr3:uid="{187A914C-0AE4-48AE-A4F6-68A871BE7C71}" name="30"/>
    <tableColumn id="31" xr3:uid="{4FFCAB80-EAD3-459F-BED7-CCE490AFFD59}" name="31"/>
    <tableColumn id="32" xr3:uid="{9AF9E659-AD36-425D-9800-57C94166947B}" name="32"/>
    <tableColumn id="33" xr3:uid="{CD79EFC6-4A50-4851-957A-4275AA3BA4B8}" name="33"/>
    <tableColumn id="34" xr3:uid="{57FDC579-969F-45C1-BB81-16C1A83B8ADD}" name="34"/>
    <tableColumn id="35" xr3:uid="{2C9154D8-B84B-446C-96DF-FE5F6EA19176}" name="35"/>
    <tableColumn id="36" xr3:uid="{C01B8452-642C-494B-9E15-DC491458CC74}" name="36"/>
    <tableColumn id="37" xr3:uid="{6D740211-4F89-445D-9C3F-E7AEB7173298}" name="37"/>
    <tableColumn id="38" xr3:uid="{831A3936-8952-4475-BC7E-0DA3BFD1A5A8}" name="38"/>
    <tableColumn id="39" xr3:uid="{D748E289-6B46-46EF-BFE5-E8DC8877E682}" name="39"/>
    <tableColumn id="40" xr3:uid="{72F860BD-EFD4-4BA5-B9F4-3BEB2DDDB88E}" name="40"/>
    <tableColumn id="41" xr3:uid="{882B1D83-5F3C-420C-8052-031A98A11F97}" name="41"/>
    <tableColumn id="42" xr3:uid="{149A283C-8AF2-4F1E-9477-E7B1FA8275A0}" name="42"/>
    <tableColumn id="43" xr3:uid="{B7294B26-C881-4845-82B9-EC55E0E31948}" name="43"/>
    <tableColumn id="44" xr3:uid="{B429F66B-0505-4D8D-B268-0316051BE26C}" name="44"/>
    <tableColumn id="45" xr3:uid="{D991A188-6CCA-4AD2-BF5D-3A41D655DF77}" name="45"/>
    <tableColumn id="46" xr3:uid="{2C4520B7-6498-4DE7-812C-3EC017F5B6B1}" name="46"/>
    <tableColumn id="47" xr3:uid="{5938B08D-8282-45D7-A38F-59C27511A118}" name="47"/>
    <tableColumn id="48" xr3:uid="{5BD0DEF5-0769-4473-9AC0-BA6FBAC9D000}" name="48"/>
    <tableColumn id="49" xr3:uid="{6DE8BDFD-EA95-4148-9EA9-253E5F222F39}" name="49"/>
    <tableColumn id="50" xr3:uid="{6BC5827D-7C90-4D58-BA51-77DCEFA5F876}" name="50"/>
    <tableColumn id="51" xr3:uid="{B65F8012-18EF-4D26-90A6-22BC297FD303}" name="51"/>
    <tableColumn id="52" xr3:uid="{259B1BC7-D9E8-41AF-B3BF-AC11817C056B}" name="52"/>
    <tableColumn id="53" xr3:uid="{120A05B8-335A-49D1-9225-B6DE5D4EB1EE}" name="53"/>
    <tableColumn id="54" xr3:uid="{6460FA4D-9FA4-4138-97F4-EFFF2DF038FA}" name="54"/>
    <tableColumn id="55" xr3:uid="{DA2E28C3-D79C-45FE-A231-DB793357221F}" name="55"/>
    <tableColumn id="56" xr3:uid="{96C7C4B4-04AB-42D7-B202-ABBBF7CEF3DF}" name="56"/>
    <tableColumn id="57" xr3:uid="{1B369C52-341D-4244-9868-CEE776164C21}" name="57"/>
    <tableColumn id="58" xr3:uid="{20E83D65-A64D-41FF-B659-15DF6B0F9EB1}" name="58"/>
    <tableColumn id="59" xr3:uid="{046C3722-8C84-47E9-9FA1-38E8411CE04C}" name="59"/>
    <tableColumn id="60" xr3:uid="{C1057F01-2538-4813-B5EA-25FDB41DACDD}" name="60"/>
    <tableColumn id="61" xr3:uid="{D31B336D-61E8-45C5-B462-11FE0DA0C233}" name="61"/>
    <tableColumn id="62" xr3:uid="{0B3E9A26-C4F9-4CE6-A1A4-E733AD5289D8}" name="62"/>
    <tableColumn id="63" xr3:uid="{0EDEC69A-49E7-4AA2-8E03-B30FA723920F}" name="63"/>
    <tableColumn id="64" xr3:uid="{E5138463-0EAD-48E5-8D77-20EC9181798A}" name="64"/>
    <tableColumn id="65" xr3:uid="{BE735930-87CD-475E-9E2F-265786DF9AAD}" name="65"/>
    <tableColumn id="66" xr3:uid="{1EB3CB46-56FA-4FB1-9730-2952EA62C8B8}" name="66"/>
    <tableColumn id="67" xr3:uid="{E27F0125-5EF7-4A9B-A9B7-8FD714733BD4}" name="67"/>
    <tableColumn id="68" xr3:uid="{41324E55-B949-4F1B-AEC0-055DEFD70E66}" name="68"/>
    <tableColumn id="69" xr3:uid="{6AFAF9AC-CBC4-4E0C-B832-FABCF7EC5F1D}" name="69"/>
    <tableColumn id="70" xr3:uid="{CFC5FCCD-F32F-49C1-9058-A878AFAD58A8}" name="70"/>
    <tableColumn id="71" xr3:uid="{DF005541-4BF7-4262-8413-03B14A048B1B}" name="71"/>
    <tableColumn id="72" xr3:uid="{AC6CDE44-21E6-4AC5-81D4-4F646CE11570}" name="72"/>
    <tableColumn id="73" xr3:uid="{F960B4DF-4627-4737-9A4A-50F72E9F2C8B}" name="73"/>
    <tableColumn id="74" xr3:uid="{5D15A0D6-B726-43C0-BC74-7A0AF29DAE3F}" name="74"/>
    <tableColumn id="75" xr3:uid="{D6673B80-051E-430A-AFCB-A454648E8B83}" name="75"/>
    <tableColumn id="76" xr3:uid="{358676AB-4EB1-4276-8E91-0A3FD8C7801B}" name="76"/>
    <tableColumn id="77" xr3:uid="{B5D93E49-8B13-4B85-ABA8-7521C6A452C6}" name="77"/>
    <tableColumn id="78" xr3:uid="{DA11F577-90DD-46B6-88FA-C20D34C02E34}" name="78"/>
    <tableColumn id="79" xr3:uid="{330C899B-57C5-4D97-A0CC-F8094F74395C}" name="79"/>
    <tableColumn id="80" xr3:uid="{9FA3E70A-9020-4BFF-8AB2-09445FC38714}" name="80"/>
    <tableColumn id="81" xr3:uid="{6679DC0D-0FB4-4351-AC07-9ACB8843125D}" name="81"/>
    <tableColumn id="82" xr3:uid="{004BD979-22CA-4CC2-890E-2E8F7E09D495}" name="82"/>
    <tableColumn id="83" xr3:uid="{0963E225-5CE4-4AAD-A31D-DB49CEA9C0A9}" name="83"/>
    <tableColumn id="84" xr3:uid="{FD07F8F6-47D6-4EEA-93FC-8A143BF54AA4}" name="84"/>
    <tableColumn id="85" xr3:uid="{D0F81891-DDDD-4587-834C-6D40EBBFC792}" name="85"/>
    <tableColumn id="86" xr3:uid="{AC275336-A10D-4864-9215-FF94DADC3136}" name="86"/>
    <tableColumn id="87" xr3:uid="{5E21CD22-215E-4A16-BAF8-2E822BFF7576}" name="87"/>
    <tableColumn id="88" xr3:uid="{5723A34E-6BAF-40EE-99FE-FF48D66B5695}" name="88"/>
    <tableColumn id="89" xr3:uid="{0206BDB9-E747-434C-AAE9-19E07B020049}" name="89"/>
    <tableColumn id="90" xr3:uid="{BC1884F4-CAE1-4989-8722-3D26DF08778F}" name="90"/>
    <tableColumn id="91" xr3:uid="{92E941C2-A76D-4E67-8073-74DEAB7F0AA5}" name="91"/>
    <tableColumn id="92" xr3:uid="{0A149C12-C942-4D9F-AB9C-33EB4DC35D78}" name="92"/>
    <tableColumn id="93" xr3:uid="{FA0DE485-7506-490D-9CA2-837463018B0B}" name="93"/>
    <tableColumn id="94" xr3:uid="{3FA11CCA-FE87-434F-B884-6017A05D7884}" name="94"/>
    <tableColumn id="95" xr3:uid="{9726627C-6B64-44E5-88AE-DF80C6719E22}" name="95"/>
    <tableColumn id="96" xr3:uid="{EB759AF4-F739-4596-AD31-B6D51B2B1E69}" name="96"/>
    <tableColumn id="97" xr3:uid="{A2238F88-EA94-4D2A-8BF1-6C66A929E714}" name="97"/>
    <tableColumn id="98" xr3:uid="{5B24F82B-256C-453A-BF92-4898B3E6520D}" name="98"/>
    <tableColumn id="99" xr3:uid="{72DCA41C-B3B4-4B00-94C1-5DC6471E70F4}" name="99"/>
    <tableColumn id="100" xr3:uid="{BECD2A6B-F093-4F08-9AF3-973358EA642C}" name="100"/>
    <tableColumn id="101" xr3:uid="{47DF46A8-7BFF-4169-92BB-E733D6386767}" name="101"/>
    <tableColumn id="102" xr3:uid="{82125524-7F48-40CD-9A3E-3669CE040752}" name="102"/>
    <tableColumn id="103" xr3:uid="{65402460-AC29-4E5A-81DC-44F0DD053DC8}" name="103"/>
    <tableColumn id="104" xr3:uid="{BA1C952D-E14C-423E-8BE4-C5BBC5BF1EDB}" name="104"/>
  </tableColumns>
  <tableStyleInfo name="TableStyleDark9"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3867DE4B-AF7B-4340-8C60-1781E49AFD7B}" name="Table2" displayName="Table2" ref="A2:L191" totalsRowShown="0" headerRowDxfId="1071" dataDxfId="1070">
  <sortState xmlns:xlrd2="http://schemas.microsoft.com/office/spreadsheetml/2017/richdata2" ref="A3:L189">
    <sortCondition descending="1" ref="B2:B189"/>
  </sortState>
  <tableColumns count="12">
    <tableColumn id="1" xr3:uid="{895FEA60-B2F7-46E3-9810-AD35FA43C3E2}" name="Name" dataDxfId="1069"/>
    <tableColumn id="2" xr3:uid="{7CEAC785-5E08-4D41-886F-6550E3CDC522}" name=" Base Cost" dataDxfId="1068"/>
    <tableColumn id="3" xr3:uid="{059EBEDF-4580-42F6-BED8-6F6C8709D38B}" name="Lbs" dataDxfId="1067"/>
    <tableColumn id="4" xr3:uid="{581EBE05-061D-4631-B38E-F338D5E8FE53}" name="Your Price (gp)" dataDxfId="1066">
      <calculatedColumnFormula>B3*$O$6</calculatedColumnFormula>
    </tableColumn>
    <tableColumn id="5" xr3:uid="{5793E655-5897-421E-9A89-9025F6D8B535}" name="=" dataDxfId="1065"/>
    <tableColumn id="6" xr3:uid="{0CCAB7E7-1AD6-4608-91F0-3395F80EC9A1}" name="GP" dataDxfId="1064">
      <calculatedColumnFormula>_xlfn.FLOOR.MATH(D3,1)</calculatedColumnFormula>
    </tableColumn>
    <tableColumn id="7" xr3:uid="{B4C5F17E-9BBF-4775-8FA9-87888EE42F40}" name="G" dataDxfId="1063"/>
    <tableColumn id="8" xr3:uid="{E3269524-7B03-40F2-8ACD-A8948A3FC809}" name="SP" dataDxfId="1062">
      <calculatedColumnFormula>_xlfn.FLOOR.MATH(((D3-F3)*10), 1)</calculatedColumnFormula>
    </tableColumn>
    <tableColumn id="9" xr3:uid="{6B3A16DC-09C4-4D65-91E3-FEA8F7837A1A}" name="S" dataDxfId="1061"/>
    <tableColumn id="10" xr3:uid="{C41AB83F-735F-4FBB-BCF2-F5251D54F123}" name="CP" dataDxfId="1060">
      <calculatedColumnFormula>((D3-F3)*10-H3)*10</calculatedColumnFormula>
    </tableColumn>
    <tableColumn id="11" xr3:uid="{C62384A3-2D42-4986-8B94-BBD42F0E0F22}" name="C" dataDxfId="1059"/>
    <tableColumn id="12" xr3:uid="{7F480FCF-D276-466C-9ACE-392058A9FE0E}" name="Marks" dataDxfId="1058"/>
  </tableColumns>
  <tableStyleInfo name="TableStyleLight7"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6FE8FAD-C6DA-43D2-9973-110AB5310422}" name="Table5" displayName="Table5" ref="X2:AH783" totalsRowShown="0" headerRowDxfId="1057" dataDxfId="1056">
  <sortState xmlns:xlrd2="http://schemas.microsoft.com/office/spreadsheetml/2017/richdata2" ref="X3:AH783">
    <sortCondition ref="X2:X783"/>
  </sortState>
  <tableColumns count="11">
    <tableColumn id="1" xr3:uid="{00000000-0010-0000-0300-000001000000}" name="Name" dataDxfId="1055"/>
    <tableColumn id="2" xr3:uid="{00000000-0010-0000-0300-000002000000}" name=" Base Cost" dataDxfId="1054"/>
    <tableColumn id="3" xr3:uid="{00000000-0010-0000-0300-000003000000}" name="Your Price (gp)" dataDxfId="1053">
      <calculatedColumnFormula>Y3*$AK$6*$AK$11</calculatedColumnFormula>
    </tableColumn>
    <tableColumn id="4" xr3:uid="{00000000-0010-0000-0300-000004000000}" name="=" dataDxfId="1052"/>
    <tableColumn id="5" xr3:uid="{00000000-0010-0000-0300-000005000000}" name="GP" dataDxfId="1051">
      <calculatedColumnFormula>_xlfn.FLOOR.MATH(Z3,1)</calculatedColumnFormula>
    </tableColumn>
    <tableColumn id="6" xr3:uid="{00000000-0010-0000-0300-000006000000}" name="G" dataDxfId="1050"/>
    <tableColumn id="7" xr3:uid="{00000000-0010-0000-0300-000007000000}" name="SP" dataDxfId="1049">
      <calculatedColumnFormula>_xlfn.FLOOR.MATH(((Z3-AB3)*10), 1)</calculatedColumnFormula>
    </tableColumn>
    <tableColumn id="8" xr3:uid="{00000000-0010-0000-0300-000008000000}" name="S" dataDxfId="1048"/>
    <tableColumn id="9" xr3:uid="{00000000-0010-0000-0300-000009000000}" name="CP" dataDxfId="1047">
      <calculatedColumnFormula>((Z3-AB3)*10-AD3)*10</calculatedColumnFormula>
    </tableColumn>
    <tableColumn id="10" xr3:uid="{00000000-0010-0000-0300-00000A000000}" name="C" dataDxfId="1046"/>
    <tableColumn id="11" xr3:uid="{00000000-0010-0000-0300-00000B000000}" name="Marks" dataDxfId="1045"/>
  </tableColumns>
  <tableStyleInfo name="TableStyleLight7"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02B106-0A47-45D6-AD2B-114CE9304010}" name="Таблиця13" displayName="Таблиця13" ref="M1:AE59" totalsRowShown="0" headerRowDxfId="1044">
  <autoFilter ref="M1:AE59" xr:uid="{B47334C6-7B03-42D3-9CE8-99FA8FD8F4A0}"/>
  <tableColumns count="19">
    <tableColumn id="1" xr3:uid="{07998D14-4D70-49D2-AF3B-998BB7A5B06E}" name="usless items"/>
    <tableColumn id="2" xr3:uid="{58910206-0A9C-471E-9C41-699A8FB79846}" name="full range"/>
    <tableColumn id="3" xr3:uid="{6D9C8406-725D-4889-A333-7D27904EFC96}" name="weapon exclusive"/>
    <tableColumn id="4" xr3:uid="{5557C5BF-3F23-4D25-A0C8-DDAFFFF2E066}" name="armour exclusive"/>
    <tableColumn id="5" xr3:uid="{5034DCAE-AAD0-470A-9F83-27961CC26348}" name="mundane"/>
    <tableColumn id="6" xr3:uid="{C5A0A97A-B684-4D9A-BE0C-19716DCD81D3}" name="full"/>
    <tableColumn id="7" xr3:uid="{B5F1D017-7D34-4140-869B-1B61E88F50B1}" name="amour"/>
    <tableColumn id="8" xr3:uid="{269B555F-7641-411E-B9A2-66356D75B3F0}" name="weapons"/>
    <tableColumn id="9" xr3:uid="{07F932DC-07BD-47F9-A8FD-96E6D3A063C5}" name="usless spells"/>
    <tableColumn id="10" xr3:uid="{D438776B-D4C7-4F13-A1DC-9E20D71D2AC0}" name="all spells"/>
    <tableColumn id="11" xr3:uid="{935ABB53-DAED-407B-9B2B-E6DF90D1F8AC}" name="comabt spells"/>
    <tableColumn id="12" xr3:uid="{E94CEBC3-1750-42A3-823F-147063231F75}" name="sentience"/>
    <tableColumn id="13" xr3:uid="{1E338130-4EA5-4659-8734-862985E2B432}" name="elements"/>
    <tableColumn id="14" xr3:uid="{8622EF3A-A687-4424-93E5-15460F737FBD}" name="`resistance"/>
    <tableColumn id="15" xr3:uid="{906C5C9B-AB82-456E-8F78-3DE924FFF76D}" name="gtrove"/>
    <tableColumn id="16" xr3:uid="{A07A953E-5067-44DD-84F0-6FD15CEEC52C}" name="t    Gear"/>
    <tableColumn id="17" xr3:uid="{22CEE9C2-3B20-4998-AFC4-EC7D15F8E941}" name="shops"/>
    <tableColumn id="18" xr3:uid="{D6FF21B0-B322-475C-8C8A-97AEC1ABD699}" name="race"/>
    <tableColumn id="19" xr3:uid="{0E87BFAF-37E6-4441-A003-B14A9C7F5B6C}" name="class"/>
  </tableColumns>
  <tableStyleInfo name="TableStyleMedium28"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F39788-6E52-4EA4-A2F9-5BA530545FD5}" name="Таблиця14" displayName="Таблиця14" ref="F48:I52" totalsRowShown="0">
  <autoFilter ref="F48:I52" xr:uid="{F2670FBD-9F91-4A84-9E73-CAEACA91DA6F}"/>
  <tableColumns count="4">
    <tableColumn id="1" xr3:uid="{44264C31-3CA4-40E6-B989-00BFC7F16FAE}" name="d100"/>
    <tableColumn id="2" xr3:uid="{36DE954E-1979-4F2E-93A7-D6FC631DE915}" name="low range"/>
    <tableColumn id="3" xr3:uid="{B35564D5-C96C-4629-9A6A-81CFDEAD2408}" name="quality"/>
    <tableColumn id="4" xr3:uid="{06E47E47-4A6C-4A1F-9CA2-44FA5B1DD941}" name="Стовпець1" dataCellStyle="Звичайний 3"/>
  </tableColumns>
  <tableStyleInfo name="TableStyleDark1"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9DAB5B6B-4535-4818-9722-D388C6274657}" name="Таблиця86" displayName="Таблиця86" ref="AS1:AT21" totalsRowShown="0">
  <autoFilter ref="AS1:AT21" xr:uid="{15B3126A-9B97-47F3-B80B-C8541437D5FB}"/>
  <tableColumns count="2">
    <tableColumn id="1" xr3:uid="{4FE7373A-94B8-4087-A74B-1BC00C545D1E}" name="#"/>
    <tableColumn id="2" xr3:uid="{C1D8CBEF-EAAE-420A-B52E-0457CB4AD055}" name="ТРАВМА"/>
  </tableColumns>
  <tableStyleInfo name="TableStyleDark2"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635DACF-9C40-4CDA-B606-D90AAC3F761A}" name="Таблиця17" displayName="Таблиця17" ref="A5:D16" totalsRowShown="0" headerRowDxfId="1043" dataDxfId="1042">
  <autoFilter ref="A5:D16" xr:uid="{AEBFD7EE-38DE-4951-94ED-63F0B2188725}"/>
  <tableColumns count="4">
    <tableColumn id="1" xr3:uid="{0C72D742-9BDE-490C-ADC4-DD9F91E58DAE}" name="#" dataDxfId="1041"/>
    <tableColumn id="2" xr3:uid="{7A624998-823A-415A-8DD1-39861EC3BD2F}" name="Female 53" dataDxfId="1040">
      <calculatedColumnFormula array="1">INDEX(CONFIG000!$B$3:$B$55,RANDBETWEEN(1,53),1)</calculatedColumnFormula>
    </tableColumn>
    <tableColumn id="3" xr3:uid="{AB31DCF0-C47E-4D66-B4D7-FEC4D29C7E1E}" name="Male 54" dataDxfId="1039">
      <calculatedColumnFormula array="1">INDEX(CONFIG000!$D$3:$D$56,RANDBETWEEN(1,54),1)</calculatedColumnFormula>
    </tableColumn>
    <tableColumn id="4" xr3:uid="{6572275D-7C4D-4309-845A-66CE0269E7B2}" name="Surname 180">
      <calculatedColumnFormula array="1">INDEX(Таблиця283[Cormyrean Surnames],RANDBETWEEN(1,180),1)</calculatedColumnFormula>
    </tableColumn>
  </tableColumns>
  <tableStyleInfo name="TableStyleDark3"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1DF3181-4031-44FE-B34C-C219D0675D69}" name="Таблиця1719" displayName="Таблиця1719" ref="A19:D30" totalsRowShown="0" headerRowDxfId="1038" dataDxfId="1037">
  <autoFilter ref="A19:D30" xr:uid="{8D94251A-2EB5-46E3-91C0-4CAE0C6D521E}"/>
  <tableColumns count="4">
    <tableColumn id="1" xr3:uid="{FCF51B3D-8F54-4CDA-A3BB-D02CAF4F655D}" name="#" dataDxfId="1036"/>
    <tableColumn id="2" xr3:uid="{B5D8EC24-E3CB-46BA-B243-CE0149A5B68A}" name="Female 51" dataDxfId="1035">
      <calculatedColumnFormula array="1">INDEX(Таблиця15[Female],RANDBETWEEN(1,51),1)</calculatedColumnFormula>
    </tableColumn>
    <tableColumn id="3" xr3:uid="{1B01783A-C77B-4DA1-985D-A823FDB3AC8C}" name="Male 51" dataDxfId="1034">
      <calculatedColumnFormula array="1">INDEX(Таблиця15[Male],RANDBETWEEN(1,51),1)</calculatedColumnFormula>
    </tableColumn>
    <tableColumn id="4" xr3:uid="{84C605A9-13E6-4D54-B1EF-2BAF64AD031A}" name="Surname 60">
      <calculatedColumnFormula array="1">INDEX(Таблиця16[Noble Family],RANDBETWEEN(1,60),1)</calculatedColumnFormula>
    </tableColumn>
  </tableColumns>
  <tableStyleInfo name="TableStyleDark2"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14F1D6CE-4D83-4BDE-9BBE-E1768B0DEDB5}" name="Таблиця96" displayName="Таблиця96" ref="A49:B53" totalsRowShown="0" headerRowDxfId="1033" dataDxfId="1031" headerRowBorderDxfId="1032" tableBorderDxfId="1030" totalsRowBorderDxfId="1029">
  <autoFilter ref="A49:B53" xr:uid="{E8E32A0A-3858-4172-9662-C263CF561319}"/>
  <tableColumns count="2">
    <tableColumn id="1" xr3:uid="{62C50B44-5BC7-4058-A47F-E173CA86BCC2}" name="PARAMETR" dataDxfId="1028" dataCellStyle="Звичайний 6"/>
    <tableColumn id="2" xr3:uid="{E33642F6-5214-40E6-9BBD-40CE658F4312}" name="VALUE" dataDxfId="1027"/>
  </tableColumns>
  <tableStyleInfo name="TableStyleDark2"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F2EC04F8-2B19-439B-90E1-C710D1D57B1F}" name="Таблиця95" displayName="Таблиця95" ref="A55:E61" totalsRowShown="0" headerRowDxfId="1026" dataDxfId="1025" tableBorderDxfId="1024" headerRowCellStyle="Звичайний 6">
  <autoFilter ref="A55:E61" xr:uid="{EBF31E94-B6C6-4A57-A933-F8D4738B22E3}"/>
  <tableColumns count="5">
    <tableColumn id="1" xr3:uid="{5743E8B4-E1F4-4D4F-9A2D-55AF65B7E52E}" name="PARAMETR" dataDxfId="1023" dataCellStyle="Звичайний 6"/>
    <tableColumn id="2" xr3:uid="{CB7D49E6-D075-4AAC-AA70-352D94E80B0C}" name="VALUE" dataDxfId="1022" dataCellStyle="Звичайний 6"/>
    <tableColumn id="3" xr3:uid="{A9DC5C6D-F3FD-4987-BC6F-D4AEEDC9852E}" name="Speed Modifier" dataDxfId="1021"/>
    <tableColumn id="4" xr3:uid="{5F60C886-675D-4D2F-8BEF-1AA21C93C62B}" name="Navigation DC Modifier" dataDxfId="1020"/>
    <tableColumn id="5" xr3:uid="{88CE7456-0910-498B-99F3-237E4D5B612E}" name="Forage/Hunt DC Modifier" dataDxfId="1019"/>
  </tableColumns>
  <tableStyleInfo name="TableStyleMedium16" showFirstColumn="1"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7" xr:uid="{910E7FBC-05B3-476F-804D-8DD91F48AE90}" name="Таблиця281" displayName="Таблиця281" ref="A33:C38" totalsRowShown="0" headerRowDxfId="1018" headerRowBorderDxfId="1017" tableBorderDxfId="1016">
  <autoFilter ref="A33:C38" xr:uid="{DBE6E2E3-DDB2-46D4-AC77-B47683C6D2D1}"/>
  <tableColumns count="3">
    <tableColumn id="1" xr3:uid="{7A940DA7-1F93-4688-B7ED-CEAED9E352F6}" name="#" dataDxfId="1015"/>
    <tableColumn id="2" xr3:uid="{0AE84591-8E95-4178-9362-57AE809D093F}" name="Female" dataDxfId="1014"/>
    <tableColumn id="3" xr3:uid="{ADFF8898-B711-4FB8-B121-C5BF9FE88555}" name="Male" dataDxfId="1013"/>
  </tableColumns>
  <tableStyleInfo name="TableStyleDark2"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8" xr:uid="{0A2313C5-DDA2-4930-B6EC-C095A811909C}" name="Таблиця282" displayName="Таблиця282" ref="A41:D46" totalsRowShown="0" headerRowDxfId="1012" dataDxfId="1010" headerRowBorderDxfId="1011">
  <autoFilter ref="A41:D46" xr:uid="{88666DA9-26B4-443F-B067-B70F113E4652}"/>
  <tableColumns count="4">
    <tableColumn id="1" xr3:uid="{A5D3DF7D-27EC-44DC-ADEC-8E52C8C92887}" name="#" dataDxfId="1009"/>
    <tableColumn id="2" xr3:uid="{8CED8CCE-A015-4F74-B887-535F79D8265D}" name="Female" dataDxfId="1008"/>
    <tableColumn id="3" xr3:uid="{CBD678A3-C84E-4D22-A7F5-047C858A1B12}" name="Male" dataDxfId="1007"/>
    <tableColumn id="4" xr3:uid="{03589ECE-9D34-4980-B187-2B0EB7E0B478}" name="Surname" dataDxfId="1006"/>
  </tableColumns>
  <tableStyleInfo name="TableStyleDark3"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5" xr:uid="{F2809D7E-9996-4947-8C49-1F625B2CF0FD}" name="Таблиця345" displayName="Таблиця345" ref="U2:W11" totalsRowShown="0" headerRowDxfId="1005" dataDxfId="1004" headerRowCellStyle="Звичайний 6" dataCellStyle="Звичайний 6">
  <autoFilter ref="U2:W11" xr:uid="{E29FEFDC-5B63-4626-A062-52F7019D9F00}"/>
  <tableColumns count="3">
    <tableColumn id="1" xr3:uid="{87987627-8B91-49E6-92C7-3E0261171340}" name="Climatic Averages for The Stonetands and Goblin" dataDxfId="1003" dataCellStyle="Звичайний 6"/>
    <tableColumn id="2" xr3:uid="{9F08BB51-387F-4B4C-89CF-74521E137610}" name="AVERAGE" dataDxfId="1002" dataCellStyle="Примітка"/>
    <tableColumn id="3" xr3:uid="{D69470A4-86DF-4C17-B727-2ADC06BABE9E}" name="METRIC SYSTEM" dataDxfId="1001" dataCellStyle="Примітка">
      <calculatedColumnFormula>Таблиця345[[#This Row],[AVERAGE]]*2.54/100</calculatedColumnFormula>
    </tableColumn>
  </tableColumns>
  <tableStyleInfo name="TableStyleLight9"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1" xr:uid="{0BF0DC91-2FD3-497E-9E99-27A449A432A3}" name="Таблиця341" displayName="Таблиця341" ref="Y3:AB8" totalsRowShown="0">
  <autoFilter ref="Y3:AB8" xr:uid="{50FEF197-189C-4DE0-9BF1-49C235DF8960}"/>
  <tableColumns count="4">
    <tableColumn id="1" xr3:uid="{F5852699-6B68-4C53-84F2-1D075295DB15}" name="Difficulty"/>
    <tableColumn id="2" xr3:uid="{78A291E5-6E93-4059-A562-5CF0D3FF160E}" name="Check DC"/>
    <tableColumn id="3" xr3:uid="{3C764CF8-52B1-4CD9-A37B-ED730C990C3F}" name="Encounter Modifier"/>
    <tableColumn id="4" xr3:uid="{41869415-BAAD-44E1-96A5-A051BAA8E6F5}" name="Description"/>
  </tableColumns>
  <tableStyleInfo name="TableStyleDark2"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2" xr:uid="{991C828D-BBDB-41DE-83FF-4319EF954374}" name="Таблиця342" displayName="Таблиця342" ref="Y11:AB15" totalsRowShown="0" tableBorderDxfId="1000">
  <autoFilter ref="Y11:AB15" xr:uid="{84635343-779B-4126-9B1A-173753B390D6}"/>
  <tableColumns count="4">
    <tableColumn id="1" xr3:uid="{D5C0E457-4B3F-4FFA-978E-5CD6607CF355}" name="Distance"/>
    <tableColumn id="2" xr3:uid="{8A234F70-FFB0-4758-8AC8-11E04C4565EB}" name="Miles Travelled"/>
    <tableColumn id="3" xr3:uid="{820D8760-923E-40F5-AF12-5E5399E289DF}" name="Encounters"/>
    <tableColumn id="4" xr3:uid="{2324D080-AAC7-49C6-BBFC-26A3A587EB55}" name="Стовпець1" dataDxfId="999">
      <calculatedColumnFormula>RANDBETWEEN(1,2)-1</calculatedColumnFormula>
    </tableColumn>
  </tableColumns>
  <tableStyleInfo name="TableStyleDark2"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6" xr:uid="{5128870F-BC76-48D0-AF05-36F03A1A8D1F}" name="Таблиця321" displayName="Таблиця321" ref="J94:Q100" totalsRowShown="0" headerRowDxfId="998">
  <autoFilter ref="J94:Q100" xr:uid="{805BA3A4-4A0A-45F6-A04C-A33D272FA93E}"/>
  <tableColumns count="8">
    <tableColumn id="1" xr3:uid="{5D37FF3A-5905-47B1-9FA1-638413C05192}" name="Price" dataDxfId="997"/>
    <tableColumn id="2" xr3:uid="{D21E5F8D-A3F0-4B60-926E-EBD1EDD7E2DE}" name="I " dataDxfId="996"/>
    <tableColumn id="3" xr3:uid="{47D73EA4-94A1-4D26-BD4C-271206959E9D}" name="II" dataDxfId="995"/>
    <tableColumn id="4" xr3:uid="{56EE5EEB-0CBB-46FB-9E28-59FAB751B37C}" name="III" dataDxfId="994"/>
    <tableColumn id="5" xr3:uid="{C57F4AD9-F2E9-430F-BE38-ADC65D867109}" name="IV" dataDxfId="993"/>
    <tableColumn id="6" xr3:uid="{B01C9F04-915D-4101-ADEC-BCE429AEBB55}" name="V" dataDxfId="992"/>
    <tableColumn id="7" xr3:uid="{1CDAB134-48F2-4FE7-8947-FD804FB4A342}" name="VI" dataDxfId="991"/>
    <tableColumn id="8" xr3:uid="{A2A25813-70DE-47CF-AF1D-8843578077F3}" name="Стовпець1" dataDxfId="990"/>
  </tableColumns>
  <tableStyleInfo name="TableStyleDark2"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7" xr:uid="{94D97076-9961-4E6D-8426-DBC0B5ABAE46}" name="Таблиця346" displayName="Таблиця346" ref="AA5:AG11" totalsRowShown="0" headerRowDxfId="989">
  <autoFilter ref="AA5:AG11" xr:uid="{D9B64204-0862-4452-9B04-25EC4983B577}"/>
  <tableColumns count="7">
    <tableColumn id="1" xr3:uid="{06D739E4-9E4F-4C44-BEFA-C848A3EF51DE}" name="MAX PRICE, GP"/>
    <tableColumn id="2" xr3:uid="{DE6D16BB-AD8D-4C6F-A167-BA821EB13589}" name="Class I"/>
    <tableColumn id="3" xr3:uid="{821003BA-BD86-43EC-BB4E-C6F2963324ED}" name="Class II"/>
    <tableColumn id="4" xr3:uid="{44CEB99D-B666-4F06-B048-BCAC88B641BC}" name="Class III"/>
    <tableColumn id="5" xr3:uid="{1101E241-ADAA-4DEA-8D54-359B7BCAFE6E}" name="Class IV"/>
    <tableColumn id="6" xr3:uid="{40B35551-7F8D-4A96-B436-2B09796B6938}" name="Class V" dataDxfId="988"/>
    <tableColumn id="7" xr3:uid="{913E79B6-B9ED-49A5-9B9E-327660B772DE}" name="Class VI" dataDxfId="987"/>
  </tableColumns>
  <tableStyleInfo name="TableStyleDark2"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8" xr:uid="{A4C10626-6214-4682-8C28-16448AE00427}" name="Таблиця347" displayName="Таблиця347" ref="Q34:V48" totalsRowShown="0">
  <autoFilter ref="Q34:V48" xr:uid="{B00AB5D2-742C-47AB-9327-278117054078}"/>
  <tableColumns count="6">
    <tableColumn id="1" xr3:uid="{D174E09C-FAEC-468B-845C-6CC347493CDE}" name="Mercenary Troop Type"/>
    <tableColumn id="2" xr3:uid="{1539FFDC-1A86-4063-B362-B20A54CCC2FE}" name="Man"/>
    <tableColumn id="3" xr3:uid="{BEC57163-1C7B-42B1-9230-412A1C34EBEE}" name="Dwarf"/>
    <tableColumn id="4" xr3:uid="{41305EB8-D6F4-45F6-927C-511AD9EDBA30}" name="Elf"/>
    <tableColumn id="5" xr3:uid="{DEBC5B75-CA37-4F64-B32E-989153FC0F78}" name="Goblin"/>
    <tableColumn id="6" xr3:uid="{6605A33C-CDAC-4088-A71C-273A7249C61C}" name="Orc"/>
  </tableColumns>
  <tableStyleInfo name="TableStyleDark2"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1" xr:uid="{3E3F30BE-C0F8-4FB7-AA35-EE282D87B5DA}" name="Таблиця350" displayName="Таблиця350" ref="Q3:T16" totalsRowShown="0">
  <autoFilter ref="Q3:T16" xr:uid="{4B1A57E3-AE43-4770-A608-643CFD8AAC9C}"/>
  <tableColumns count="4">
    <tableColumn id="1" xr3:uid="{7056300C-CF85-49D9-B3EE-8BAF99C5302C}" name="Item"/>
    <tableColumn id="2" xr3:uid="{1ADAB29A-9E7B-4742-96B0-0F8722DA3CFC}" name="Armor"/>
    <tableColumn id="3" xr3:uid="{7A91C849-0048-40FF-9A1D-8D47F06F7172}" name="Cost"/>
    <tableColumn id="4" xr3:uid="{B9881339-9401-4C4A-84EC-A2E86F8D67E7}" name="AC"/>
  </tableColumns>
  <tableStyleInfo name="TableStyleDark2"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2" xr:uid="{4E6BCE55-4584-4BC2-BC0A-572060E9A8B0}" name="Таблиця351" displayName="Таблиця351" ref="E49:G71" totalsRowShown="0">
  <autoFilter ref="E49:G71" xr:uid="{0C2660EC-DB7B-4EE2-9EF7-6B7F91BC40F1}"/>
  <tableColumns count="3">
    <tableColumn id="1" xr3:uid="{498BDA0D-3035-4D08-B2DF-32B65CEBF4A7}" name="Item"/>
    <tableColumn id="2" xr3:uid="{3E86CFE6-E583-4E86-BD67-7CAD8B3DF627}" name="Cost"/>
    <tableColumn id="3" xr3:uid="{84D6C3CC-E2D3-494B-8937-CC7715847FF1}" name="Стовпець1"/>
  </tableColumns>
  <tableStyleInfo name="TableStyleDark2"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A035AFF8-E030-4F19-9E81-4BADD5A29156}" name="Таблиця352" displayName="Таблиця352" ref="I5:J44" totalsRowShown="0">
  <autoFilter ref="I5:J44" xr:uid="{1BC6B941-7C8A-4C94-AE60-0E3055187C23}"/>
  <tableColumns count="2">
    <tableColumn id="1" xr3:uid="{2867CB54-2464-4E08-9E13-5F83F2CCE0E5}" name="Backpack (holds 4 stone)"/>
    <tableColumn id="2" xr3:uid="{4F86002B-7440-4022-8B92-C73B9DBBFAEE}" name="2"/>
  </tableColumns>
  <tableStyleInfo name="TableStyleDark2"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6E938F5D-9440-42EE-89EE-8D6EC4FA82A2}" name="Таблиця353" displayName="Таблиця353" ref="E3:G41" totalsRowShown="0">
  <autoFilter ref="E3:G41" xr:uid="{04C59BB2-48D8-406B-B084-A06731408FE2}"/>
  <tableColumns count="3">
    <tableColumn id="1" xr3:uid="{C4C86E12-BC23-4C61-9094-4D7D85D176CA}" name="Group"/>
    <tableColumn id="2" xr3:uid="{A79FAC2E-88EF-4C17-8899-A17F5EA790A7}" name="Item"/>
    <tableColumn id="3" xr3:uid="{9EBAA286-A37C-458C-8272-4184C81DDF66}" name="Cost"/>
  </tableColumns>
  <tableStyleInfo name="TableStyleDark9"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D9D7BC4C-6952-43B3-98DB-6C3F3940056B}" name="Таблиця354" displayName="Таблиця354" ref="I47:J55" totalsRowShown="0" headerRowBorderDxfId="986" tableBorderDxfId="985" totalsRowBorderDxfId="984">
  <autoFilter ref="I47:J55" xr:uid="{2C274B98-559B-4471-AE93-4C6DA42847A7}"/>
  <tableColumns count="2">
    <tableColumn id="1" xr3:uid="{9C0690C7-CFC6-4CEC-82E0-F0495DA7714E}" name="Item" dataDxfId="983"/>
    <tableColumn id="2" xr3:uid="{607CA8CC-DD4C-4FAA-A284-3F10B064DB73}" name="Cost" dataDxfId="982"/>
  </tableColumns>
  <tableStyleInfo name="TableStyleDark2"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FD69AABE-2FF6-4296-A2E4-95F6FD76CC03}" name="Таблиця355" displayName="Таблиця355" ref="J81:W87" totalsRowShown="0">
  <autoFilter ref="J81:W87" xr:uid="{599DC8AC-8B69-4DC3-AB4A-6CE647D4A523}"/>
  <tableColumns count="14">
    <tableColumn id="1" xr3:uid="{CCC83097-931A-49B2-989A-2174B4639F6B}" name="Market Class"/>
    <tableColumn id="2" xr3:uid="{D0F4CF97-36CD-4A06-9A81-5E13BC44BCA5}" name="Toll"/>
    <tableColumn id="3" xr3:uid="{EAF69868-5A82-481D-91BD-89DBEF17FE91}" name="Merchants"/>
    <tableColumn id="4" xr3:uid="{07964357-36A4-4C2A-A782-B24477D96C34}" name="Loads of Merchandise"/>
    <tableColumn id="5" xr3:uid="{47FA08D8-BC89-43C9-B61C-3D3A5073B474}" name="Passengers"/>
    <tableColumn id="6" xr3:uid="{EC299244-69F5-4276-B255-34347C6170BE}" name="Shipping Contracts"/>
    <tableColumn id="7" xr3:uid="{B76F29FE-B50C-48B3-AB77-2F2411AD04A0}" name="Cargo to be Shipped"/>
    <tableColumn id="8" xr3:uid="{37C3A3E8-ACE9-4809-AB05-A391CFA93014}" name="Range of Trade (Road)" dataDxfId="981"/>
    <tableColumn id="9" xr3:uid="{8116BC69-43CD-48CF-AAA9-62EE55E283AC}" name="Range of Trade (Water)" dataDxfId="980"/>
    <tableColumn id="10" xr3:uid="{00714E94-B167-4470-AD61-7CEC8F3419F6}" name="Стовпець1"/>
    <tableColumn id="11" xr3:uid="{89A7ECEA-A450-416C-8267-339AC120A5AD}" name="Стовпець2" dataDxfId="979">
      <calculatedColumnFormula>Таблиця355[[#This Row],[Стовпець1]]/6</calculatedColumnFormula>
    </tableColumn>
    <tableColumn id="12" xr3:uid="{2F7BCCEE-A75F-4EC3-9B00-DFE8EE788CFC}" name="Стовпець3"/>
    <tableColumn id="13" xr3:uid="{FC1076D4-F959-4EAF-8EDF-66C5FD0174A9}" name="Стовпець4" dataDxfId="978">
      <calculatedColumnFormula>Таблиця355[[#This Row],[Стовпець3]]/6</calculatedColumnFormula>
    </tableColumn>
    <tableColumn id="14" xr3:uid="{F1E4004A-87EB-4D09-BCDE-546865F2CE57}" name="Стовпець5" dataDxfId="977">
      <calculatedColumnFormula>RANDBETWEEN(1,6)+15</calculatedColumnFormula>
    </tableColumn>
  </tableColumns>
  <tableStyleInfo name="TableStyleDark2"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C0C132AA-B93D-4836-94FF-25F4B0961760}" name="Таблиця356" displayName="Таблиця356" ref="Q20:S28" totalsRowShown="0">
  <autoFilter ref="Q20:S28" xr:uid="{3E5E14D5-43A4-47CC-8F5E-82E1FD4D3E84}"/>
  <tableColumns count="3">
    <tableColumn id="1" xr3:uid="{0DB46680-F785-49AD-80A1-08F831CECA45}" name="Item"/>
    <tableColumn id="2" xr3:uid="{3962591B-399E-4BE8-A3EA-A7B2287A92E3}" name="Cost"/>
    <tableColumn id="3" xr3:uid="{09EEF6E6-2B59-4A83-B5DD-68A46EB17E82}" name="Стовпець1"/>
  </tableColumns>
  <tableStyleInfo name="TableStyleDark2"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D053471F-9628-4190-B0BA-798213919AD7}" name="Таблиця357" displayName="Таблиця357" ref="V3:X25" totalsRowShown="0">
  <autoFilter ref="V3:X25" xr:uid="{BFE617BB-9C85-43F8-9F31-EA6F3D56C7D7}"/>
  <tableColumns count="3">
    <tableColumn id="1" xr3:uid="{5E0829BF-DCB9-4ABF-BFDF-7EFC9DE0AB44}" name="Item"/>
    <tableColumn id="2" xr3:uid="{9C82309B-C1AC-42F8-B68F-19909DF5E832}" name="Cost"/>
    <tableColumn id="3" xr3:uid="{F7770A0C-129E-4E2C-B16D-5D1DA5587C68}" name="Стовпець1"/>
  </tableColumns>
  <tableStyleInfo name="TableStyleDark2"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EDD0AECE-9C0D-4D5D-8364-426E20898CBE}" name="Таблиця359" displayName="Таблиця359" ref="A3:C26" totalsRowShown="0">
  <autoFilter ref="A3:C26" xr:uid="{83137B9E-36AA-477B-B954-AF0405A89C17}"/>
  <tableColumns count="3">
    <tableColumn id="1" xr3:uid="{662A438F-3F9B-467D-A8F4-D03902BFB51A}" name="Item"/>
    <tableColumn id="2" xr3:uid="{A4C556AA-CFAB-4582-858E-304AFD404D52}" name="Cost"/>
    <tableColumn id="3" xr3:uid="{53FFDEB0-564B-4638-99CA-0E4E2F76AF53}" name="Стовпець1"/>
  </tableColumns>
  <tableStyleInfo name="TableStyleDark2"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08BE43A9-3BC1-4610-83E3-FC9EB2046C65}" name="Таблиця360" displayName="Таблиця360" ref="A61:C73" totalsRowShown="0">
  <autoFilter ref="A61:C73" xr:uid="{9A5ACBE4-689E-45C0-96A8-F7EBCA03E380}"/>
  <tableColumns count="3">
    <tableColumn id="1" xr3:uid="{A030E4EE-3F1B-40A8-ADC8-AA73CD1FA860}" name="Item"/>
    <tableColumn id="2" xr3:uid="{530472FF-4197-4EDF-AD80-C2A70282582E}" name="Cost"/>
    <tableColumn id="3" xr3:uid="{E148E74B-3ED8-43C6-847F-035AE0741038}" name="Стовпець1"/>
  </tableColumns>
  <tableStyleInfo name="TableStyleDark2"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BA0831E7-E708-4A48-9D73-7824DC90F71F}" name="Таблиця361" displayName="Таблиця361" ref="A30:C45" totalsRowShown="0">
  <autoFilter ref="A30:C45" xr:uid="{85D40A8A-D302-4734-BE2A-565E512EBDC2}"/>
  <tableColumns count="3">
    <tableColumn id="1" xr3:uid="{75D87D91-049B-45F9-B325-B40E32A9026A}" name="Item"/>
    <tableColumn id="2" xr3:uid="{D0B88F5A-FE1A-4387-B205-D36CC90ECD21}" name="Cost"/>
    <tableColumn id="3" xr3:uid="{9930F996-9B4E-49D6-B77B-37AFDCAB4A26}" name="Стовпець1"/>
  </tableColumns>
  <tableStyleInfo name="TableStyleDark2"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67EE8B0F-14D0-4006-B2E0-8193CCB40EB4}" name="Таблиця362" displayName="Таблиця362" ref="A49:C57" totalsRowShown="0">
  <autoFilter ref="A49:C57" xr:uid="{C1D7609C-AD0B-4C3C-BF34-4129431E5F9F}"/>
  <tableColumns count="3">
    <tableColumn id="1" xr3:uid="{C65EC56C-0515-48A6-B402-BCF98D1625CE}" name="Item"/>
    <tableColumn id="2" xr3:uid="{AE248804-6D01-4447-A882-11835ADE702D}" name="Cost"/>
    <tableColumn id="3" xr3:uid="{F092F34A-E57E-4EDD-AA3D-2BF049745922}" name="Стовпець1"/>
  </tableColumns>
  <tableStyleInfo name="TableStyleDark2"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0" xr:uid="{6D069938-6AEE-447E-A90A-76469133D080}" name="Таблиця315" displayName="Таблиця315" ref="A1:X9" totalsRowShown="0">
  <autoFilter ref="A1:X9" xr:uid="{F46E9298-DCB5-4FD9-91F1-1516EDC12BE5}"/>
  <tableColumns count="24">
    <tableColumn id="1" xr3:uid="{16BA3CBB-2568-48AE-82FF-F53583DD65B7}" name="D100"/>
    <tableColumn id="2" xr3:uid="{C51BBE98-B9CE-466B-A778-A3F50C8A83E4}" name="Type"/>
    <tableColumn id="3" xr3:uid="{D0DC05AF-68A4-4D1E-B253-2FB2A2A8012E}" name="Population"/>
    <tableColumn id="4" xr3:uid="{496B97E5-380F-4D32-9941-B053292E55B0}" name="Min Population"/>
    <tableColumn id="5" xr3:uid="{E74FDA47-B1EE-4972-9910-E6B1D8C5CBA0}" name="Max Population"/>
    <tableColumn id="6" xr3:uid="{8AA75552-4D85-4473-85A7-33869DDC56CF}" name="MARKET CLASS"/>
    <tableColumn id="7" xr3:uid="{78BEE676-6813-464A-9E99-7536ABD13BCA}" name="Market Class ACKS"/>
    <tableColumn id="8" xr3:uid="{38EC92CD-4379-41C3-9B7A-75E93AB7692E}" name="Modifiers" dataDxfId="976"/>
    <tableColumn id="9" xr3:uid="{22D31107-E61E-43D2-BD4C-C26008018A04}" name="Qualities" dataDxfId="975"/>
    <tableColumn id="10" xr3:uid="{45BE4C14-24F5-4EC3-A9F6-46C28994FB29}" name="Danger" dataDxfId="974"/>
    <tableColumn id="11" xr3:uid="{FEA92A81-8E6E-451B-AE59-3E0C1400D6DC}" name="Base Limit" dataDxfId="973"/>
    <tableColumn id="12" xr3:uid="{C53AAC86-7615-4000-B1D7-CA415CFE2B1A}" name="Purchase Limit" dataDxfId="972"/>
    <tableColumn id="13" xr3:uid="{BCA17763-69D5-48DA-AF55-BE60ABCBF151}" name="Spellcasting" dataDxfId="971"/>
    <tableColumn id="14" xr3:uid="{B0E90720-D6BC-48E9-B5EB-37198F917FB8}" name="Minor"/>
    <tableColumn id="15" xr3:uid="{8F26C6D3-BF6B-4CAC-8900-24BE8DC7959D}" name="Medium"/>
    <tableColumn id="16" xr3:uid="{0A3EE2A3-8C42-47F0-804E-9884ADA30128}" name="Major"/>
    <tableColumn id="17" xr3:uid="{58E1463D-52D5-4E10-8DB3-ED227EF59D5E}" name="Community Modifier" dataDxfId="970"/>
    <tableColumn id="18" xr3:uid="{ACEF77B6-6A2A-4A9E-B0BD-8A4A8D1387EF}" name="Стовпець1" dataDxfId="969"/>
    <tableColumn id="19" xr3:uid="{200D4C16-9F71-4166-A3CD-4247C61777C1}" name="GP Limit"/>
    <tableColumn id="20" xr3:uid="{10D22155-6B49-4A87-82D7-608FBE737C0F}" name="Modifier to 1d20 roll"/>
    <tableColumn id="21" xr3:uid="{2DDCF48F-6BE6-4FBB-97B6-832667B945E9}" name="MERCHANT WEALTH"/>
    <tableColumn id="22" xr3:uid="{79987FF2-BC6C-4A06-B7EF-1CB9A7ABD860}" name="CARAVAN WEALTH"/>
    <tableColumn id="23" xr3:uid="{5AD52FDE-8396-4964-99C1-B2FCB760AC59}" name="DC"/>
    <tableColumn id="24" xr3:uid="{445C5959-98C8-4EE4-8BE9-22542E689C06}" name="CARAVANGUARDS"/>
  </tableColumns>
  <tableStyleInfo name="TableStyleDark2"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2" xr:uid="{6498AB25-EEBC-44C2-A008-499CF38A48E5}" name="Таблиця317" displayName="Таблиця317" ref="F13:L19" totalsRowShown="0" headerRowDxfId="968">
  <autoFilter ref="F13:L19" xr:uid="{BEC6F955-D719-4FF0-9A5F-FA6FC11C9230}"/>
  <tableColumns count="7">
    <tableColumn id="1" xr3:uid="{213214BA-832B-43D9-96C2-40E1DD12C38A}" name="MAX PRICE, GP"/>
    <tableColumn id="2" xr3:uid="{96C4AE42-C0A9-4523-8006-8A4B6AE95982}" name="Class I"/>
    <tableColumn id="3" xr3:uid="{31BC503B-B639-4D78-8097-6A38235D5457}" name="Class II"/>
    <tableColumn id="4" xr3:uid="{3C41817D-74C3-41A1-A90F-6444E9C8A774}" name="Class III"/>
    <tableColumn id="5" xr3:uid="{F67CB9AC-399E-49D5-A3CC-82E146A5523B}" name="Class IV"/>
    <tableColumn id="6" xr3:uid="{BAD3BC10-DA34-463B-BFA3-A92E9BC26E5C}" name="Class V" dataDxfId="967"/>
    <tableColumn id="7" xr3:uid="{1AFCCFA0-CF87-4A33-B285-3CF834B1D37A}" name="Class VI" dataDxfId="966"/>
  </tableColumns>
  <tableStyleInfo name="TableStyleDark2"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3" xr:uid="{735FCC70-F321-439E-9D44-3002C73B3AD8}" name="Таблиця318" displayName="Таблиця318" ref="F25:S32" totalsRowShown="0" headerRowDxfId="965">
  <autoFilter ref="F25:S32" xr:uid="{0807A6BC-EF41-433B-B4BC-1F6912F1AB22}"/>
  <tableColumns count="14">
    <tableColumn id="1" xr3:uid="{5B5B83DB-A353-42CF-B030-0E26D3E6C138}" name="Lifestyle" dataDxfId="964"/>
    <tableColumn id="2" xr3:uid="{FAEF0BE3-2425-4511-9BC1-C14A88B44D92}" name="Meals Cost" dataDxfId="963"/>
    <tableColumn id="3" xr3:uid="{5935789F-3A09-425C-9557-7526B9595268}" name="Lodging Cost"/>
    <tableColumn id="4" xr3:uid="{95F1A3BB-F00D-4FDD-9E91-1A8EB3C9F41D}" name="Price/Day"/>
    <tableColumn id="5" xr3:uid="{F805E60A-799D-4792-A320-69229420B459}" name="Price / month"/>
    <tableColumn id="6" xr3:uid="{9F37CD48-6457-4CD0-B435-FD6B0A17A782}" name="Desc"/>
    <tableColumn id="7" xr3:uid="{771A5C5F-92E1-4128-AA7B-DED10F8F4544}" name="Typical"/>
    <tableColumn id="8" xr3:uid="{C521561E-4ADE-4AC4-9DF8-04DE1DBC5AD1}" name="ACKS ANALOG"/>
    <tableColumn id="9" xr3:uid="{01AF5DAA-FECD-4E7E-9C18-BF004244D4A0}" name="ACKS COST"/>
    <tableColumn id="10" xr3:uid="{87285537-A2A2-4DE2-899A-329321172941}" name="ACKS MODIFIER"/>
    <tableColumn id="11" xr3:uid="{45E11830-560C-490B-B586-A6CF95293C51}" name="Price / month, GP*"/>
    <tableColumn id="12" xr3:uid="{D2C4287F-F9AE-4C53-8876-64992E2E367A}" name="Price / day, GP*"/>
    <tableColumn id="13" xr3:uid="{9AE0B1EF-8A87-4897-94DF-F1346288ADAB}" name="Meals Cost, GP*" dataDxfId="962"/>
    <tableColumn id="14" xr3:uid="{648B48DD-359E-4306-8F83-B9D180357706}" name="Lodging Cost, GP*"/>
  </tableColumns>
  <tableStyleInfo name="TableStyleDark2"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4" xr:uid="{99F1FE0D-8CE0-49DC-A353-6CFD3DC9BF2B}" name="Таблиця319" displayName="Таблиця319" ref="F35:I44" totalsRowShown="0" headerRowDxfId="961" dataDxfId="960">
  <autoFilter ref="F35:I44" xr:uid="{2DDA28C8-8E98-4266-9B84-9ED650B99F11}"/>
  <tableColumns count="4">
    <tableColumn id="1" xr3:uid="{65CA10CA-8AA7-4ABC-826A-B7E0E5E58B22}" name="Standard of Living" dataDxfId="959"/>
    <tableColumn id="2" xr3:uid="{6445C07F-5DFD-4D85-9A51-29D82C86EB11}" name="Monthly Cost MIN" dataDxfId="958"/>
    <tableColumn id="3" xr3:uid="{77EC01BB-65B8-4F64-B0F3-4567036AE43D}" name="Monthly Cost MAX" dataDxfId="957"/>
    <tableColumn id="4" xr3:uid="{DED5AD13-AB15-4BD8-9F64-A1AE08BD5291}" name="Common Professions" dataDxfId="956"/>
  </tableColumns>
  <tableStyleInfo name="TableStyleDark2"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5" xr:uid="{D9B7BABF-5CDD-46C2-91CC-38F428A51E42}" name="Таблиця320" displayName="Таблиця320" ref="F63:N83" totalsRowShown="0" headerRowDxfId="955">
  <autoFilter ref="F63:N83" xr:uid="{9454A26C-C6DC-4C66-90EE-284219C9FB2C}"/>
  <tableColumns count="9">
    <tableColumn id="1" xr3:uid="{8DDEC4FB-9AC8-4A83-AEAA-4CD38D4D6B50}" name="Level"/>
    <tableColumn id="2" xr3:uid="{1E45249F-E747-410E-AF59-F383711CF45B}" name="TIER WOTC"/>
    <tableColumn id="3" xr3:uid="{E54C647A-9E73-41BB-9083-7EE52F2E24EA}" name="TIER E5E"/>
    <tableColumn id="4" xr3:uid="{050832A6-9FAE-4A3C-92A0-ABB528153410}" name="FREQUENCY2"/>
    <tableColumn id="5" xr3:uid="{A9505EDA-165F-4C0A-8E16-D9238E6B950B}" name="GOLD, GP"/>
    <tableColumn id="6" xr3:uid="{9BDCE03A-DE97-45ED-B2FD-1996825A6C5E}" name="MAGIC ITEMS, Q-TY"/>
    <tableColumn id="7" xr3:uid="{B95C2B54-8ACB-4576-BC36-697B2A284876}" name="XP NORMAL"/>
    <tableColumn id="8" xr3:uid="{C0FA73BC-03DE-40DB-84BD-8155258782EC}" name="XP SLOW"/>
    <tableColumn id="9" xr3:uid="{225B8DA7-40A6-4833-AFA9-B9F396B1866E}" name="PROFICIENCY BONUS"/>
  </tableColumns>
  <tableStyleInfo name="TableStyleDark2"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0" xr:uid="{CDDB5349-92E6-44A8-90BC-5A0A293A9FC2}" name="Таблиця349" displayName="Таблиця349" ref="A15:B24" totalsRowShown="0" headerRowDxfId="954">
  <autoFilter ref="A15:B24" xr:uid="{BBC1A209-047B-4B23-B744-24713E69E578}"/>
  <tableColumns count="2">
    <tableColumn id="1" xr3:uid="{8EA371F8-4C78-4CC8-BD70-6E1D8CBC89A7}" name="d%"/>
    <tableColumn id="2" xr3:uid="{D63E753B-53AD-4066-966D-1B2B64429E9A}" name="Alignment" dataDxfId="953"/>
  </tableColumns>
  <tableStyleInfo name="TableStyleDark4"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F572DE45-8329-432C-93A7-085F1D342002}" name="Таблиця324" displayName="Таблиця324" ref="A21:D26" totalsRowShown="0" headerRowDxfId="952" dataDxfId="951">
  <autoFilter ref="A21:D26" xr:uid="{FC6889AE-3D79-4654-803A-B1E3A89F3AB8}"/>
  <tableColumns count="4">
    <tableColumn id="1" xr3:uid="{ABAABD36-E989-4DD3-A961-256C601EA993}" name="🍺 - TAVERN" dataDxfId="950"/>
    <tableColumn id="2" xr3:uid="{A57EAA30-40AF-4362-ADD6-02504DBB26CE}" name="Name" dataDxfId="949"/>
    <tableColumn id="3" xr3:uid="{9896AB2D-A102-48BE-8EA0-513CA17A9ACF}" name="Drinks" dataDxfId="948"/>
    <tableColumn id="4" xr3:uid="{1E1E5FD8-66C3-4C9D-B562-EEC0543FD006}" name="Food" dataDxfId="947"/>
  </tableColumns>
  <tableStyleInfo name="TableStyleDark2"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F94B8382-FDE0-4248-9DA9-371A647824CC}" name="Таблиця325" displayName="Таблиця325" ref="A28:G33" totalsRowShown="0" headerRowDxfId="946" dataDxfId="945">
  <autoFilter ref="A28:G33" xr:uid="{B6687E29-5525-4C7A-809F-F8960AEE6BE5}"/>
  <tableColumns count="7">
    <tableColumn id="1" xr3:uid="{6A8E2D42-B8BC-4F7C-AAE4-DE81FEA75F9A}" name="💰 - COST" dataDxfId="944"/>
    <tableColumn id="2" xr3:uid="{1F381746-E4EF-492F-8837-702E89A48D34}" name="Name" dataDxfId="943"/>
    <tableColumn id="3" xr3:uid="{DD7F9B5E-8B4C-4D39-8636-1382F38E7ADF}" name="Desc" dataDxfId="942"/>
    <tableColumn id="4" xr3:uid="{C985E196-7627-4BFF-9320-904A89FA3BC7}" name="Lifestyle " dataDxfId="941"/>
    <tableColumn id="5" xr3:uid="{74312FCE-43B7-4BD7-86D1-81EFEB6AEF08}" name="Drinks" dataDxfId="940"/>
    <tableColumn id="6" xr3:uid="{72EBD86F-1253-481F-939A-4311ABDB229D}" name="Food" dataDxfId="939"/>
    <tableColumn id="7" xr3:uid="{029AD0A5-EA59-4283-AD52-8C0DF397ABD7}" name="Accomodations" dataDxfId="938"/>
  </tableColumns>
  <tableStyleInfo name="TableStyleDark3"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EE80A9FA-6F71-457D-B928-EAA424D76855}" name="Таблиця326" displayName="Таблиця326" ref="A35:C40" totalsRowShown="0">
  <autoFilter ref="A35:C40" xr:uid="{22B0F1A0-A5B9-43AC-A888-52638987BC60}"/>
  <tableColumns count="3">
    <tableColumn id="1" xr3:uid="{3B4919A2-03B2-47F7-9677-CD82F5E8A3FB}" name="🛏️ - LODGING"/>
    <tableColumn id="2" xr3:uid="{359B794D-0030-486F-B250-9D118403182C}" name="Name (Lifestyle)"/>
    <tableColumn id="3" xr3:uid="{3B634CC3-82F8-48E3-9F4E-1364FB43CD48}" name="Description"/>
  </tableColumns>
  <tableStyleInfo name="TableStyleDark7"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0074842F-8F52-4BD5-8D40-C7D751A69EE0}" name="Таблиця329" displayName="Таблиця329" ref="A68:B73" totalsRowShown="0" tableBorderDxfId="937">
  <autoFilter ref="A68:B73" xr:uid="{EB6B3380-1D62-40A4-833C-6038C642E0AA}"/>
  <tableColumns count="2">
    <tableColumn id="1" xr3:uid="{70A9185B-0552-4BE5-BA56-0D9628C7D401}" name="🏹 RANGED ATTACK RATING" dataDxfId="936"/>
    <tableColumn id="2" xr3:uid="{F18C3933-8637-43D4-9E5D-917818B6D378}" name="DESCRIPTION" dataDxfId="935"/>
  </tableColumns>
  <tableStyleInfo name="TableStyleMedium17"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0" xr:uid="{4247E210-D652-4D04-B88B-BA3EEFC88119}" name="Таблиця330" displayName="Таблиця330" ref="A74:B79" totalsRowShown="0" tableBorderDxfId="934">
  <autoFilter ref="A74:B79" xr:uid="{191E93B3-20C9-476A-A469-F41200D2D7AF}"/>
  <tableColumns count="2">
    <tableColumn id="1" xr3:uid="{0F089E6E-0226-42B7-9607-976212E0380B}" name="🛡️ DEFENSE RATING" dataDxfId="933"/>
    <tableColumn id="2" xr3:uid="{3F2EBCEE-5E9A-459D-A4A9-7DF26DA294E9}" name="DESCRIPTION" dataDxfId="932"/>
  </tableColumns>
  <tableStyleInfo name="TableStyleMedium18"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1" xr:uid="{3C190977-5B78-4080-BC29-D696D5D34FCD}" name="Таблиця331" displayName="Таблиця331" ref="A62:B67" totalsRowShown="0" tableBorderDxfId="931">
  <autoFilter ref="A62:B67" xr:uid="{0223B8E1-7EBA-44B9-9588-2B2189685952}"/>
  <tableColumns count="2">
    <tableColumn id="1" xr3:uid="{5D0A5B75-761D-4588-AB88-CBFAFE053883}" name="⚔️ MELEE ATTACK RATING" dataDxfId="930"/>
    <tableColumn id="2" xr3:uid="{B5288690-B734-4BA7-B306-476878CDBE8B}" name="DESCRIPTION" dataDxfId="929"/>
  </tableColumns>
  <tableStyleInfo name="TableStyleDark9"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2" xr:uid="{D7203552-9DF2-4C24-B119-FB12039C3512}" name="Таблиця332" displayName="Таблиця332" ref="A89:C94" totalsRowShown="0">
  <autoFilter ref="A89:C94" xr:uid="{166041B6-C91C-45BD-9E42-84B0B210EDD4}"/>
  <tableColumns count="3">
    <tableColumn id="1" xr3:uid="{56AE26C7-41B6-4D6E-855A-E62ACDE4A5D1}" name="⚖️ TRADER"/>
    <tableColumn id="2" xr3:uid="{E25FEC02-FA7C-46F3-BFCC-65F2545CF6C0}" name="Assortiment of goods"/>
    <tableColumn id="3" xr3:uid="{C0CF8F7F-41E5-440B-9A99-F73B64B41033}" name="DESCRIPTION"/>
  </tableColumns>
  <tableStyleInfo name="TableStyleMedium2"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3" xr:uid="{2714D9AE-9712-424B-A78E-9B72A8E952F2}" name="Таблиця333" displayName="Таблиця333" ref="A53:C58" totalsRowShown="0">
  <autoFilter ref="A53:C58" xr:uid="{1A8FBA5E-2A9F-4CA4-BD15-6DC0E9067E51}"/>
  <tableColumns count="3">
    <tableColumn id="1" xr3:uid="{05C7C4D7-FBCF-4566-A6E0-5A4612904F09}" name="★ QUALITY" dataDxfId="928"/>
    <tableColumn id="2" xr3:uid="{000B1E72-62FE-4EE5-90E9-1A67397A3ED3}" name="Name" dataDxfId="927"/>
    <tableColumn id="3" xr3:uid="{600341AB-9094-4D1C-9221-BAFC5D3FFE1D}" name="Description" dataDxfId="926"/>
  </tableColumns>
  <tableStyleInfo name="TableStyleMedium1"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4" xr:uid="{BA03DB49-1444-4CB5-A915-37DCC18EAEED}" name="Таблиця334" displayName="Таблиця334" ref="A44:C49" totalsRowShown="0">
  <autoFilter ref="A44:C49" xr:uid="{330FEA7C-7AE0-462F-979C-25A515B6A2A0}"/>
  <tableColumns count="3">
    <tableColumn id="1" xr3:uid="{5FD07879-D541-4571-AE68-00FADC721651}" name="🔓 SECURITY" dataDxfId="925"/>
    <tableColumn id="2" xr3:uid="{439970F9-0CF1-4496-97BE-2588D2A736D9}" name="Name" dataDxfId="924"/>
    <tableColumn id="3" xr3:uid="{3F3AD08C-56C5-48C1-A8DE-3225532E4711}" name="Description" dataDxfId="923"/>
  </tableColumns>
  <tableStyleInfo name="TableStyleLight8"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6" xr:uid="{41B8448E-0680-4A9B-A473-9A391FE3F1D0}" name="Таблиця336" displayName="Таблиця336" ref="A113:C118" totalsRowShown="0" headerRowDxfId="922">
  <autoFilter ref="A113:C118" xr:uid="{09335106-8840-4946-A609-CE8F93B13F8F}"/>
  <tableColumns count="3">
    <tableColumn id="1" xr3:uid="{56010C98-2303-4775-BD92-9E39E3DA1961}" name="⛏️ MINING"/>
    <tableColumn id="2" xr3:uid="{17CCCE0A-4604-4FEE-8016-4CA79DE8888D}" name="NAME"/>
    <tableColumn id="3" xr3:uid="{DBF744F7-A73C-441F-9155-4086B54F5071}" name="DESCRIPTION"/>
  </tableColumns>
  <tableStyleInfo name="Weather Tables-style"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7" xr:uid="{1A0066F8-E968-48DA-B2F5-2BB887B506C2}" name="Таблиця337" displayName="Таблиця337" ref="A160:C165" totalsRowShown="0" headerRowDxfId="921">
  <autoFilter ref="A160:C165" xr:uid="{ACC4A204-7B0A-4C61-ABF1-8F5989A3287E}"/>
  <tableColumns count="3">
    <tableColumn id="1" xr3:uid="{EA915F4B-6066-4310-B686-8EF6C1DB7BD1}" name="⚙️ MECHANICS"/>
    <tableColumn id="2" xr3:uid="{76A8F67A-D147-421F-88C9-7ADDEE1E698A}" name="NAME"/>
    <tableColumn id="3" xr3:uid="{69DACDB7-4E39-403D-A1D8-1418F6AD1273}" name="DESCRIPTION"/>
  </tableColumns>
  <tableStyleInfo name="Travel Tables-style 2 2"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8" xr:uid="{7275B338-EBE3-4AA9-8452-E03D0346B165}" name="Таблиця338" displayName="Таблиця338" ref="A97:C102" totalsRowShown="0" headerRowDxfId="920">
  <autoFilter ref="A97:C102" xr:uid="{37CA459C-9EC0-4B70-89FC-70C83CA161AB}"/>
  <tableColumns count="3">
    <tableColumn id="1" xr3:uid="{C81F575B-FF26-4139-91E6-5C97C09C9374}" name="⚗️ ALCHEMY"/>
    <tableColumn id="2" xr3:uid="{28554FED-44F2-4119-9E5E-919D43B0EB7A}" name="NAME"/>
    <tableColumn id="3" xr3:uid="{27696E19-13B5-49BE-B3E4-60DE838D6605}" name="DESCRIPTION"/>
  </tableColumns>
  <tableStyleInfo name="Travel Tables-style"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9" xr:uid="{B372642C-16FD-4FF7-9E2B-307C209EDAD3}" name="Таблиця339" displayName="Таблиця339" ref="A105:C110" totalsRowShown="0">
  <autoFilter ref="A105:C110" xr:uid="{3D9CF64E-679C-46CD-9821-4BF2224861B9}"/>
  <tableColumns count="3">
    <tableColumn id="1" xr3:uid="{001FCE54-DF16-4D06-94DC-E72EC6C61EB2}" name="📜SCROLSS - SPELLCASTING SERVICES"/>
    <tableColumn id="2" xr3:uid="{38FD9046-6B1D-410E-8514-59A1097C4A1A}" name="NAME"/>
    <tableColumn id="3" xr3:uid="{24798918-0C7C-4B97-9FDB-8FE947A67E70}" name="DESCRIPTION"/>
  </tableColumns>
  <tableStyleInfo name="Travel Tables-style 3"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5" xr:uid="{4F7AAEC8-7324-4666-946B-DA49ED9D478C}" name="Таблиця335" displayName="Таблиця335" ref="A80:B86" totalsRowShown="0" headerRowDxfId="919" dataDxfId="918">
  <autoFilter ref="A80:B86" xr:uid="{1D29BF3F-8A9B-4F7E-83FB-B4F56F2529A6}"/>
  <tableColumns count="2">
    <tableColumn id="1" xr3:uid="{E8BC2E02-F921-4297-817D-52720A3DB9E6}" name="SPELLCASTING RATING" dataDxfId="917"/>
    <tableColumn id="2" xr3:uid="{4230D5D9-4224-4631-A649-A4022D5E35A3}" name="DESCRIPTION" dataDxfId="916"/>
  </tableColumns>
  <tableStyleInfo name="TableStyleMedium21"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0" xr:uid="{ED48FD8D-5B73-47EA-ABAF-1298228C4676}" name="Таблиця340" displayName="Таблиця340" ref="A121:C126" totalsRowShown="0" headerRowDxfId="915">
  <autoFilter ref="A121:C126" xr:uid="{79E031D8-F84F-4CCD-8445-F0202FDA02CE}"/>
  <tableColumns count="3">
    <tableColumn id="1" xr3:uid="{0C7C6AA4-D607-4A6F-9112-2E6A53D69E2F}" name="🚬"/>
    <tableColumn id="2" xr3:uid="{124563E5-25FE-4CBA-A09F-704EB66EFE50}" name="Стовпець1"/>
    <tableColumn id="3" xr3:uid="{C72054A9-3FB5-4F3D-8C83-3E100BC25DAF}" name="Стовпець2"/>
  </tableColumns>
  <tableStyleInfo name="Weather Generator-style 2"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9" xr:uid="{E916533D-34AA-4D8D-BD5E-A6AC52ED9E80}" name="Таблиця348" displayName="Таблиця348" ref="A129:C136" totalsRowShown="0" headerRowDxfId="914" dataDxfId="913">
  <autoFilter ref="A129:C136" xr:uid="{715497F7-CCC2-413B-BAFC-E8DCFE667841}"/>
  <tableColumns count="3">
    <tableColumn id="1" xr3:uid="{F1536F46-4134-4FAC-9863-7BA8EE1B213E}" name="Magic item rating" dataDxfId="912"/>
    <tableColumn id="2" xr3:uid="{CDBC06E0-5FE0-404C-922B-A2FB4E378474}" name="Example" dataDxfId="911"/>
    <tableColumn id="3" xr3:uid="{FCE34BDD-A140-4C7D-B8BD-BABA867AA69B}" name="Weapon example" dataDxfId="910"/>
  </tableColumns>
  <tableStyleInfo name="TableStyleDark2"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CCA894FC-630B-44D0-B703-BD538B04EE58}" name="Таблиця327" displayName="Таблиця327" ref="A4:E16" totalsRowShown="0" headerRowDxfId="909" dataDxfId="908">
  <autoFilter ref="A4:E16" xr:uid="{59EFA2DE-F0B2-45BE-B3D1-E27185F3E1C8}"/>
  <tableColumns count="5">
    <tableColumn id="1" xr3:uid="{FBFEF73E-FA7A-409A-87F6-03D1BFCB513A}" name="Argument" dataDxfId="907"/>
    <tableColumn id="2" xr3:uid="{2B07E420-010C-4D9E-8155-718749965FAD}" name="Description" dataDxfId="906"/>
    <tableColumn id="3" xr3:uid="{EBC3D52C-37FC-4DBD-A08D-D6F5F19FDD98}" name="Associated Skills" dataDxfId="905"/>
    <tableColumn id="4" xr3:uid="{94BECDE8-8B4A-4120-9A50-D9AF7F00B9FC}" name="Interactions" dataDxfId="904"/>
    <tableColumn id="5" xr3:uid="{3B134E7A-3AA3-4864-9C36-ADA673B5A449}" name="Attitude" dataDxfId="903"/>
  </tableColumns>
  <tableStyleInfo name="TableStyleDark2"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C71BEFAD-CB71-4DEA-9342-22872BD9563C}" name="Таблиця328" displayName="Таблиця328" ref="G4:M8" totalsRowShown="0" headerRowDxfId="902" dataDxfId="901">
  <autoFilter ref="G4:M8" xr:uid="{49A01CEF-1231-4FB0-94CD-74A5564FAD0C}"/>
  <tableColumns count="7">
    <tableColumn id="1" xr3:uid="{203E4518-7587-448A-83BA-E4F129C7A7EB}" name="Action" dataDxfId="900"/>
    <tableColumn id="2" xr3:uid="{6A0F7FA4-E754-4381-A537-AB2468163356}" name="Helpful" dataDxfId="899"/>
    <tableColumn id="3" xr3:uid="{41C8B6E7-1FAA-4A9A-B814-3DB749B0586C}" name="Friendly" dataDxfId="898"/>
    <tableColumn id="4" xr3:uid="{B84C5D9C-3C9E-462A-86E7-66842D83C03E}" name="Indifferent" dataDxfId="897"/>
    <tableColumn id="5" xr3:uid="{2D27E595-41B1-4D3A-9A02-36503F31BDC7}" name="Distrustful" dataDxfId="896"/>
    <tableColumn id="6" xr3:uid="{24BBFA19-E6B0-4009-A558-665CC47BF36E}" name="Unfriendly" dataDxfId="895"/>
    <tableColumn id="7" xr3:uid="{36B012B7-8CEC-42DF-9999-6959FE519DA0}" name="Hostile" dataDxfId="894"/>
  </tableColumns>
  <tableStyleInfo name="TableStyleDark2"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D9558393-4116-4080-ACD5-86C4C7E86C99}" name="Таблиця235" displayName="Таблиця235" ref="A1:G60" totalsRowShown="0">
  <autoFilter ref="A1:G60" xr:uid="{AB99E6A1-7A31-42FC-A7F6-440ED65CCEDB}"/>
  <tableColumns count="7">
    <tableColumn id="1" xr3:uid="{7D0BF4F2-D4AA-4ABB-99E9-A46FCAD48100}" name="Organization name" dataDxfId="893"/>
    <tableColumn id="2" xr3:uid="{59D5F824-8C40-46F3-BB86-29B5CE002A2A}" name="Type" dataDxfId="892"/>
    <tableColumn id="3" xr3:uid="{50A1D31B-EE3B-447D-B02F-7167121B8514}" name="Description" dataDxfId="891"/>
    <tableColumn id="4" xr3:uid="{6882EDB0-77D2-448B-9C6C-9F42A82611DF}" name="Leader"/>
    <tableColumn id="5" xr3:uid="{52C51B5A-E3CE-49F8-858D-7370F04C21F9}" name="Headquarter"/>
    <tableColumn id="6" xr3:uid="{723A25BB-5A50-4BFB-82E4-4DB4DD26BA81}" name="Activity"/>
    <tableColumn id="7" xr3:uid="{F4EDED1D-4448-48FA-B118-A16255F367F2}" name="Source"/>
  </tableColumns>
  <tableStyleInfo name="TableStyleMedium1"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6" xr:uid="{C05CEEC8-5692-4D6C-B99C-330CFB632465}" name="Таблиця280" displayName="Таблиця280" ref="I1:I16" totalsRowShown="0">
  <autoFilter ref="I1:I16" xr:uid="{F6D75B05-4099-44E4-A43D-A5B1D000C523}"/>
  <tableColumns count="1">
    <tableColumn id="1" xr3:uid="{009B2CC8-B269-414C-B091-4A9092D1A2C0}" name="Type of Organisation"/>
  </tableColumns>
  <tableStyleInfo name="TableStyleDark2"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7E41E-4FD9-4699-944F-DF16576C5357}" name="Таблиця1" displayName="Таблиця1" ref="A1:J62" totalsRowShown="0" headerRowDxfId="890" dataDxfId="889">
  <autoFilter ref="A1:J62" xr:uid="{6C9945FC-91CC-4BB1-88C0-0C3D012CAAFC}"/>
  <tableColumns count="10">
    <tableColumn id="1" xr3:uid="{E134F5EF-F349-43F4-85D6-460E1A49D8CA}" name="Category" dataDxfId="888"/>
    <tableColumn id="2" xr3:uid="{BB7F054A-7624-4A37-A181-7BA6A3DDBEE4}" name="House" dataDxfId="887"/>
    <tableColumn id="3" xr3:uid="{1418118B-118F-4D5A-8E65-6ABEC8F223C0}" name="House Lord 3e" dataDxfId="886"/>
    <tableColumn id="10" xr3:uid="{C175B640-9F98-4B45-9A95-91A723AD36AC}" name="Lord 5e" dataDxfId="885"/>
    <tableColumn id="4" xr3:uid="{014D6DB3-DF1B-495B-99C0-C733937362C6}" name="Strongholds" dataDxfId="884"/>
    <tableColumn id="5" xr3:uid="{A8ACDB32-96C2-44E5-B924-1DFB04FC59C0}" name="Remarks" dataDxfId="883"/>
    <tableColumn id="6" xr3:uid="{B50FC5E7-0BC1-4AE4-AA80-20F5075FDF22}" name="Стовпець1" dataDxfId="882">
      <calculatedColumnFormula>MATCH(Таблиця1[[#This Row],[House]],Таблиця4[name],0)</calculatedColumnFormula>
    </tableColumn>
    <tableColumn id="7" xr3:uid="{43CCEC76-EAC8-478D-8356-9AF0AFFAA782}" name="Obarskyr" dataDxfId="881"/>
    <tableColumn id="8" xr3:uid="{EAE9D2DB-7C18-42E5-86B5-871A81E708B6}" name="Cormyr" dataDxfId="880"/>
    <tableColumn id="9" xr3:uid="{11E6431E-216F-4048-842A-B2E7E3AAB4D0}" name="Vangy" dataDxfId="879"/>
  </tableColumns>
  <tableStyleInfo name="TableStyleMedium21"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6599D1F-0963-499F-8387-0EE1C35A35A8}" name="Таблиця4" displayName="Таблиця4" ref="L1:AA214" totalsRowShown="0" headerRowDxfId="878">
  <autoFilter ref="L1:AA214" xr:uid="{CC2F4B24-8717-41CF-9F3F-BC75948FA5DF}"/>
  <sortState xmlns:xlrd2="http://schemas.microsoft.com/office/spreadsheetml/2017/richdata2" ref="L153:Z153">
    <sortCondition ref="Q1:Q211"/>
  </sortState>
  <tableColumns count="16">
    <tableColumn id="1" xr3:uid="{F702E1C9-35EB-4DCF-ADC2-E97156234468}" name="category"/>
    <tableColumn id="2" xr3:uid="{AAA74563-C080-4528-A5CE-6661E634EC49}" name="name"/>
    <tableColumn id="5" xr3:uid="{D36F6A16-5AD1-4C0F-8C2D-4B78F812B6E4}" name="Leader"/>
    <tableColumn id="6" xr3:uid="{8EA4CB01-EBB4-4804-9B65-19404C419DCB}" name="Stronghold"/>
    <tableColumn id="9" xr3:uid="{36E74C37-E5A3-4490-AD76-8DAA0D2BF6F9}" name="Coat of Arms" dataDxfId="877"/>
    <tableColumn id="7" xr3:uid="{C1C2AB17-CD3C-4EF1-A359-FFE66D5A05EC}" name="Description" dataDxfId="876"/>
    <tableColumn id="10" xr3:uid="{C221C7D2-260F-43F8-B3E7-920849396861}" name="Allies" dataDxfId="875"/>
    <tableColumn id="11" xr3:uid="{3B13C963-00BE-4297-9FFB-253465B3EB04}" name="Enemies" dataDxfId="874"/>
    <tableColumn id="3" xr3:uid="{ABB72550-76B5-4734-B5AB-D9D50A8CD31B}" name="For sorting"/>
    <tableColumn id="16" xr3:uid="{4D8BC81A-CD57-4643-942C-3D42A407768F}" name="Family Members Currently Alive"/>
    <tableColumn id="15" xr3:uid="{0453B410-35F4-4D40-BD16-8D4E0A55DE7F}" name="Family Members Recently Alive"/>
    <tableColumn id="14" xr3:uid="{92599F2D-6CE7-4B27-8CC0-D94494DD128C}" name="Historical Family Members"/>
    <tableColumn id="13" xr3:uid="{4B908653-DA52-494F-953B-AB4FD620E562}" name="Стовпець1"/>
    <tableColumn id="4" xr3:uid="{AF166AFB-2BE0-44AC-9CD7-A62DBA7523D5}" name="Notes"/>
    <tableColumn id="8" xr3:uid="{26431175-E19F-49AA-A00C-CC92CFE0DE8A}" name="Source"/>
    <tableColumn id="12" xr3:uid="{72FFA1F1-1973-49C3-A58F-668D4614BF47}" name="#"/>
  </tableColumns>
  <tableStyleInfo name="TableStyleMedium1"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3B9A3C1-DCA7-48AA-812A-1A952916CD9A}" name="Таблиця46" displayName="Таблиця46" ref="A1:G84" totalsRowShown="0" headerRowDxfId="873" dataDxfId="872">
  <autoFilter ref="A1:G84" xr:uid="{88B5AFFE-25EE-4C7A-9830-717FDFFD1D5C}"/>
  <tableColumns count="7">
    <tableColumn id="1" xr3:uid="{4234CEAD-4F92-4B48-8F35-14ADE2CCDBA2}" name="YEAR" dataDxfId="871"/>
    <tableColumn id="6" xr3:uid="{90681BA5-39F6-4D00-8A5E-F2B1FBE2F00D}" name="NAME" dataDxfId="870"/>
    <tableColumn id="3" xr3:uid="{A004071B-B1C2-4EDF-A3BC-8FC19DB54A3E}" name="MONTH" dataDxfId="869"/>
    <tableColumn id="7" xr3:uid="{0E34AB73-DB68-4B1E-955C-58D79D35AC1A}" name="DAY" dataDxfId="868"/>
    <tableColumn id="4" xr3:uid="{688AF7A3-8941-4A48-BE25-695AB558009E}" name="REGION" dataDxfId="867"/>
    <tableColumn id="2" xr3:uid="{74CFDA93-0D10-4D3B-A756-469BDB9AE493}" name="СОБЫТИЕ/" dataDxfId="866"/>
    <tableColumn id="5" xr3:uid="{3A03FBFC-7E46-4DE4-9DC4-1142E8A229B8}" name="Source" dataDxfId="865"/>
  </tableColumns>
  <tableStyleInfo name="TableStyleDark8"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D448AE58-6340-4EDA-ACD9-848340BD37B2}" name="Таблиця237" displayName="Таблиця237" ref="A89:C269" totalsRowShown="0" headerRowDxfId="864" dataDxfId="863">
  <autoFilter ref="A89:C269" xr:uid="{3F4141F6-A0E1-436C-8C49-F25FA1CDB464}"/>
  <tableColumns count="3">
    <tableColumn id="1" xr3:uid="{0CA86E29-C95C-4F0A-B746-DD54B057199E}" name="YEAR" dataDxfId="862"/>
    <tableColumn id="2" xr3:uid="{8132BA0D-3800-4632-87F6-BE6330C68B40}" name="MONTH" dataDxfId="861"/>
    <tableColumn id="3" xr3:uid="{BA5A7AA3-EFA2-4158-A8FE-7CB1424BEC2F}" name="CLACK" dataDxfId="860"/>
  </tableColumns>
  <tableStyleInfo name="TableStyleMedium1"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BA33E477-715E-45D4-B74C-78C3EF51D452}" name="Таблиця323" displayName="Таблиця323" ref="J11:K25" totalsRowShown="0" headerRowDxfId="859" dataDxfId="858">
  <autoFilter ref="J11:K25" xr:uid="{61379627-D0F2-4049-90AE-5A80A4F11C0A}"/>
  <tableColumns count="2">
    <tableColumn id="1" xr3:uid="{46153DC2-E6DD-4DB5-9257-44C293E58B30}" name="Стовпець1" dataDxfId="857"/>
    <tableColumn id="2" xr3:uid="{15E3C592-4270-41C9-ADEC-AB43E3400FF7}" name="Стовпець2" dataDxfId="856"/>
  </tableColumns>
  <tableStyleInfo name="TableStyleMedium1"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8E4F03-1C4C-4E49-A1CE-ACD88B40362C}" name="Таблиця2" displayName="Таблиця2" ref="P5:S15" totalsRowShown="0">
  <autoFilter ref="P5:S15" xr:uid="{E436EAD6-E144-49CB-A62A-E28C25B1523C}"/>
  <tableColumns count="4">
    <tableColumn id="1" xr3:uid="{900B9EB9-0544-494B-B4FC-6EFB52412ECE}" name="d20+"/>
    <tableColumn id="2" xr3:uid="{9FC62D84-3E3E-47DB-959A-35763485ADF0}" name="Encounter"/>
    <tableColumn id="3" xr3:uid="{542F2146-20B2-456F-A81E-83657706687E}" name="D20 high"/>
    <tableColumn id="4" xr3:uid="{0DB23CF9-120F-4BF8-8C85-271AD2F7DE67}" name="d20 low">
      <calculatedColumnFormula>R5</calculatedColumnFormula>
    </tableColumn>
  </tableColumns>
  <tableStyleInfo name="TableStyleMedium16"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8A699341-D56A-4B00-B54C-656C7CBEEA9E}" name="Таблиця52" displayName="Таблиця52" ref="B2:M28" totalsRowShown="0">
  <autoFilter ref="B2:M28" xr:uid="{6EC71AF2-F5A6-4949-84ED-F42BDC380417}"/>
  <tableColumns count="12">
    <tableColumn id="1" xr3:uid="{BDB84793-0FAF-480B-B474-F6085530A466}" name="Result"/>
    <tableColumn id="2" xr3:uid="{ADF583CE-E634-455A-8B2D-82ECC61221AC}" name="Towns and Cities"/>
    <tableColumn id="3" xr3:uid="{B10AAB77-F054-4F39-8A93-893F7E52D8B4}" name="Dragonmere Coast"/>
    <tableColumn id="4" xr3:uid="{BDF098EE-A024-4C08-AE6C-A3A470E4A8B1}" name="Vast Swamp"/>
    <tableColumn id="5" xr3:uid="{774C7670-3954-4D53-B782-D6B5C13EC5C1}" name="Wyvernwater Coast"/>
    <tableColumn id="6" xr3:uid="{D74178B5-E894-47C8-9584-FA32F327DF53}" name="Hullack Forest"/>
    <tableColumn id="7" xr3:uid="{72D2753F-6AB7-495D-B4D7-D48C1EE8D065}" name="Thunder Peaks"/>
    <tableColumn id="8" xr3:uid="{092125A9-B728-4A78-9F30-5B41B51172C2}" name="Stonelands"/>
    <tableColumn id="9" xr3:uid="{8C9117D8-5DDC-434B-84F1-5887B99BE8C3}" name="Stormhorns"/>
    <tableColumn id="10" xr3:uid="{BAF437BC-C2AC-4B1D-8948-7B78214AA75F}" name="King’s Forest"/>
    <tableColumn id="11" xr3:uid="{F3FCC0CB-D9B5-44D6-919F-EC3732035E51}" name="Farsea Swamp"/>
    <tableColumn id="12" xr3:uid="{37693CE6-3291-45D6-A30F-5259819BA9A1}" name="Tunlands"/>
  </tableColumns>
  <tableStyleInfo name="TableStyleDark2"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28AD2747-67EA-4CF8-8E24-695F2B766D2F}" name="Таблиця104" displayName="Таблиця104" ref="F34:F45" totalsRowShown="0">
  <autoFilter ref="F34:F45" xr:uid="{7CB67843-FC58-4421-9159-406EDE22434E}"/>
  <tableColumns count="1">
    <tableColumn id="1" xr3:uid="{98BC56D9-1770-47E4-BB16-4D8D151D63D2}" name="Land"/>
  </tableColumns>
  <tableStyleInfo name="TableStyleDark2"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DA27E121-39A3-494F-A631-4C4CC9D85936}" name="Таблиця225" displayName="Таблиця225" ref="P17:Q21" totalsRowShown="0">
  <autoFilter ref="P17:Q21" xr:uid="{1FF9C852-BDC9-40FB-A3E1-720AA5F1BC48}"/>
  <tableColumns count="2">
    <tableColumn id="1" xr3:uid="{9F7C8BEB-3523-4DE4-81E1-642D57765831}" name="Стовпець1"/>
    <tableColumn id="2" xr3:uid="{B8DD84BC-3B9B-48B6-89B2-8C0D86CF8FBC}" name="Стовпець2"/>
  </tableColumns>
  <tableStyleInfo name="TableStyleDark2"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26EC2FE7-6E54-49E9-8F9D-1CB07D334697}" name="Таблиця234" displayName="Таблиця234" ref="P27:R32" totalsRowShown="0">
  <autoFilter ref="P27:R32" xr:uid="{1E6478DB-C279-46E8-BDCD-DF5E77DABD89}"/>
  <tableColumns count="3">
    <tableColumn id="1" xr3:uid="{BD563212-9207-4816-B595-9C027E44AB0C}" name="Difficulty"/>
    <tableColumn id="2" xr3:uid="{DD182F69-8770-4893-B3B6-20AABDC1F930}" name="DC"/>
    <tableColumn id="3" xr3:uid="{3F01D9FD-C6A1-43A6-B6AB-B032F4F18243}" name="Encounter modifier"/>
  </tableColumns>
  <tableStyleInfo name="TableStyleDark2"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6337C3F5-BA42-4C89-BCB6-8BD38602373C}" name="Таблиця364" displayName="Таблиця364" ref="B34:D38" totalsRowShown="0">
  <autoFilter ref="B34:D38" xr:uid="{C1DE9C8A-6F7D-4BA7-B524-735363391F00}"/>
  <tableColumns count="3">
    <tableColumn id="1" xr3:uid="{1C4D0091-A315-483A-9B2F-9E78824C03D6}" name="d10" dataDxfId="855"/>
    <tableColumn id="2" xr3:uid="{E0EC1E17-D1E9-491A-B027-19C1E1B27E03}" name="Encounter Modifier"/>
    <tableColumn id="3" xr3:uid="{573A991D-935F-43A6-80D4-3716B78AB9F0}" name="Example"/>
  </tableColumns>
  <tableStyleInfo name="TableStyleDark2"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B1011B-1DC3-40BA-BB7B-385B054CCA3C}" name="Таблиця3" displayName="Таблиця3" ref="A3:AA121" totalsRowShown="0" headerRowDxfId="854" dataDxfId="853">
  <autoFilter ref="A3:AA121" xr:uid="{5AC08987-746A-490B-8BE8-291C94AC92CF}"/>
  <sortState xmlns:xlrd2="http://schemas.microsoft.com/office/spreadsheetml/2017/richdata2" ref="A4:AA121">
    <sortCondition ref="A3:A121"/>
  </sortState>
  <tableColumns count="27">
    <tableColumn id="1" xr3:uid="{A4ACC790-18D1-4671-8FCF-BA645622B3A5}" name="Settlement or Landmark" dataDxfId="852"/>
    <tableColumn id="18" xr3:uid="{E914DEA0-86A8-41CB-9A62-CB1C975DEA51}" name="Region" dataDxfId="851"/>
    <tableColumn id="25" xr3:uid="{B21CCDB5-83B6-4E79-8863-FD1A049A64FA}" name="Noble land" dataDxfId="850"/>
    <tableColumn id="12" xr3:uid="{F9B5C917-16C9-4AD7-9AE8-F10004FCA13E}" name="TYPE" dataDxfId="849"/>
    <tableColumn id="20" xr3:uid="{B1008D6C-E4F2-4F5D-8FAD-F9E039D450CD}" name="Type of settlement" dataDxfId="848">
      <calculatedColumnFormula>INDEX(Таблиця109[SETTLEMENT SIZE],MATCH(Таблиця3[[#This Row],[POPULATION]],Таблиця109[Population0],1),1)</calculatedColumnFormula>
    </tableColumn>
    <tableColumn id="19" xr3:uid="{E25E1C36-5A02-4E9C-AA14-B91F3E9624F4}" name="CALCULATED GP LIMIT" dataDxfId="847">
      <calculatedColumnFormula>IFERROR(INDEX(Таблиця109[GP LIMIT],MATCH(Таблиця3[[#This Row],[POPULATION]],Таблиця109[Population0],1),1)/INDEX(Таблиця109[Average Population],MATCH(Таблиця3[[#This Row],[POPULATION]],Таблиця109[Population0],1),1),0)*Таблиця3[[#This Row],[POPULATION]]</calculatedColumnFormula>
    </tableColumn>
    <tableColumn id="21" xr3:uid="{5D42699C-748B-4FEC-8CA2-7988D67A92E9}" name="Assets" dataDxfId="846"/>
    <tableColumn id="13" xr3:uid="{001A40F8-DC13-4960-A560-22686479900D}" name="MARKET CLASS" dataDxfId="845"/>
    <tableColumn id="2" xr3:uid="{F32B8687-8A65-46D0-9DC9-7C78D71EBEBA}" name="POPULATION" dataDxfId="844"/>
    <tableColumn id="15" xr3:uid="{2D76790C-F5EF-4A27-83F2-1CFF59E30A07}" name="GARRISON" dataDxfId="843"/>
    <tableColumn id="16" xr3:uid="{561C03DC-D45F-47B4-B694-82145037B6F3}" name="GARRISON size" dataDxfId="842"/>
    <tableColumn id="22" xr3:uid="{CDBA818C-2F58-4DB5-87D2-0CA79D27B996}" name="Armed Force " dataDxfId="841"/>
    <tableColumn id="14" xr3:uid="{D43CA152-F5EC-4668-9F36-959D5EE40C47}" name="DEMOGRAPHICS" dataDxfId="840"/>
    <tableColumn id="17" xr3:uid="{376878CA-D018-4C81-BD7F-51AB407F8480}" name="Notes" dataDxfId="839"/>
    <tableColumn id="24" xr3:uid="{978117B2-9DC2-40B1-9D51-EC281E70B2D3}" name="Temples" dataDxfId="838"/>
    <tableColumn id="3" xr3:uid="{3C53F961-3EB0-475C-8984-21461BD00A77}" name="LORD" dataDxfId="837"/>
    <tableColumn id="23" xr3:uid="{CF839240-0B4E-4D78-82DE-E74AC82AF459}" name="Herald: " dataDxfId="836"/>
    <tableColumn id="4" xr3:uid="{9602E9D3-95A1-492B-A01D-5D9F6060A7A1}" name="Crown Tax" dataDxfId="835"/>
    <tableColumn id="5" xr3:uid="{1CB9073A-D7ED-4306-B363-B2CD685BECA0}" name="Sales Tax" dataDxfId="834">
      <calculatedColumnFormula>0.25</calculatedColumnFormula>
    </tableColumn>
    <tableColumn id="6" xr3:uid="{2247A877-D94A-4E6F-AE94-81A857BD26A1}" name="Adventure" dataDxfId="833"/>
    <tableColumn id="7" xr3:uid="{71440DBD-2B82-44E5-90A7-23335749B038}" name="Normal" dataDxfId="832"/>
    <tableColumn id="8" xr3:uid="{2713FD7E-404B-49D8-AFD3-EA87363BC297}" name="Luxury" dataDxfId="831"/>
    <tableColumn id="9" xr3:uid="{63F5DCB3-6998-4D0B-821C-E5CB17C52509}" name="Merchant Houses/Industry" dataDxfId="830"/>
    <tableColumn id="10" xr3:uid="{1752D0FB-93B0-495E-8A05-0BFD35A5B705}" name="Merchantile Goods" dataDxfId="829"/>
    <tableColumn id="11" xr3:uid="{30B07FD2-C922-48D1-9950-698D2FB66E97}" name="Nobles and lords" dataDxfId="828"/>
    <tableColumn id="26" xr3:uid="{BD64BF9E-EF25-4544-A18E-09A1B042B24A}" name="DESCRIPTION SHORT" dataDxfId="827"/>
    <tableColumn id="27" xr3:uid="{449F5E84-219E-4B20-8F73-63552E3BF8F8}" name="Source" dataDxfId="826"/>
  </tableColumns>
  <tableStyleInfo name="TableStyleMedium8"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26E913DB-3314-4A70-AEAB-AD4B9CC1E4C6}" name="Таблиця272" displayName="Таблиця272" ref="AB3:AB16" totalsRowShown="0" headerRowDxfId="825" dataDxfId="824">
  <autoFilter ref="AB3:AB16" xr:uid="{18BA8360-4150-4D80-9498-E275050E63D3}"/>
  <tableColumns count="1">
    <tableColumn id="1" xr3:uid="{930FA6AA-BB1D-4FE8-81DC-C8863C5F5873}" name="Region" dataDxfId="823"/>
  </tableColumns>
  <tableStyleInfo name="TableStyleMedium1"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1E1CF077-C401-4165-AE86-359030DF6040}" name="Таблиця105" displayName="Таблиця105" ref="K3:O19" totalsRowShown="0" headerRowDxfId="822" dataDxfId="821">
  <autoFilter ref="K3:O19" xr:uid="{117986A9-6E18-437A-B660-99F20CBCFCF4}"/>
  <tableColumns count="5">
    <tableColumn id="1" xr3:uid="{D47FDBA4-D06B-4FFA-9AF7-A057498774F4}" name="GROUP" dataDxfId="820"/>
    <tableColumn id="2" xr3:uid="{47325D81-449F-4262-BAC1-D51E54D34245}" name="Unit Type " dataDxfId="819"/>
    <tableColumn id="3" xr3:uid="{30A5C51D-BA54-4FD6-A556-5F627915F224}" name="# Units" dataDxfId="818"/>
    <tableColumn id="4" xr3:uid="{542F384E-C468-4248-9802-4F8245D343A3}" name="Average # of soldiers" dataDxfId="817"/>
    <tableColumn id="5" xr3:uid="{619C9338-88AA-47D2-9A0A-BA76E44261E6}" name="Total in Unit Type" dataDxfId="816"/>
  </tableColumns>
  <tableStyleInfo name="TableStyleMedium2"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EFBDA81A-9015-4CDC-8987-AC5DBF09ACE3}" name="Таблиця239" displayName="Таблиця239" ref="W3:X8" totalsRowShown="0" headerRowDxfId="815" dataDxfId="814">
  <autoFilter ref="W3:X8" xr:uid="{CAB9F01D-73FE-4AA5-885B-6DD4EA8788AB}"/>
  <tableColumns count="2">
    <tableColumn id="1" xr3:uid="{B3DDA614-35D8-456B-A4AA-719FB45090A6}" name="Officer" dataDxfId="813"/>
    <tableColumn id="2" xr3:uid="{3CC3DADD-9CEB-4E61-A829-18D86CC2D297}" name="Number" dataDxfId="812"/>
  </tableColumns>
  <tableStyleInfo name="TableStyleMedium2"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FB25FA2D-F2AB-4EDA-A275-265C17BC7BB7}" name="Таблиця241218" displayName="Таблиця241218" ref="A80:I101" totalsRowShown="0" headerRowDxfId="811" dataDxfId="810">
  <autoFilter ref="A80:I101" xr:uid="{3C96FDE7-2043-428B-B8F0-C1B38AD093EC}"/>
  <tableColumns count="9">
    <tableColumn id="1" xr3:uid="{D2A30F22-4363-4689-9A9A-B1C0E3FADB24}" name="Type" dataDxfId="809"/>
    <tableColumn id="2" xr3:uid="{A3950FB5-0A17-49C7-9F86-2FA82D18C072}" name="Rank" dataDxfId="808"/>
    <tableColumn id="3" xr3:uid="{6149969B-FF5C-443F-A308-F14DE1CD922F}" name="Equipment" dataDxfId="807"/>
    <tableColumn id="4" xr3:uid="{E487E4FF-7311-4BBB-9160-C7C84D5F8951}" name="Armor" dataDxfId="806"/>
    <tableColumn id="5" xr3:uid="{342EAFD8-EF3C-47D8-AE78-A2BB701D5B11}" name="Weapons" dataDxfId="805"/>
    <tableColumn id="6" xr3:uid="{08CE4776-E565-4444-9760-0ABFF8278413}" name="Special" dataDxfId="804"/>
    <tableColumn id="7" xr3:uid="{8BF6BD35-8F8F-4452-A5EE-E0926B731E11}" name="Mount" dataDxfId="803"/>
    <tableColumn id="8" xr3:uid="{C723827C-9381-4256-AC99-EAA90FB9EFAA}" name="Barding" dataDxfId="802"/>
    <tableColumn id="9" xr3:uid="{8C95D187-F330-46BA-8873-4E2094AE5AE3}" name="Total Cost" dataDxfId="801"/>
  </tableColumns>
  <tableStyleInfo name="TableStyleMedium1"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E252EDB9-E7E1-4AE0-9AEC-20847C830A52}" name="Таблиця241" displayName="Таблиця241" ref="W10:X15" totalsRowShown="0" headerRowDxfId="800" dataDxfId="798" headerRowBorderDxfId="799" tableBorderDxfId="797">
  <autoFilter ref="W10:X15" xr:uid="{579FB1B0-FBC1-4ACD-81C5-F1241063ABB4}"/>
  <tableColumns count="2">
    <tableColumn id="1" xr3:uid="{529C6B04-49F7-4C15-86AD-0D3D206DD6E8}" name="Officer" dataDxfId="796"/>
    <tableColumn id="2" xr3:uid="{163A07E8-8FD2-4563-93B2-229B2BBE168F}" name="Number" dataDxfId="795"/>
  </tableColumns>
  <tableStyleInfo name="TableStyleLight9"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68475C49-2E09-464B-B906-3D08DF34FC26}" name="Таблиця242" displayName="Таблиця242" ref="W17:X22" totalsRowShown="0" headerRowDxfId="794" dataDxfId="792" headerRowBorderDxfId="793" tableBorderDxfId="791">
  <autoFilter ref="W17:X22" xr:uid="{153F595A-EC3F-457C-9398-D2CE7CD47744}"/>
  <tableColumns count="2">
    <tableColumn id="1" xr3:uid="{8B58D5AB-2CC2-49F2-9BE0-3158833EB98A}" name="Officer" dataDxfId="790"/>
    <tableColumn id="2" xr3:uid="{42D06EA4-E98F-42BF-90D4-082C57AE33D2}" name="Number" dataDxfId="789"/>
  </tableColumns>
  <tableStyleInfo name="TableStyleLight9"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38B1774A-0089-421C-83D5-2E2E6E8B814D}" name="Таблиця262" displayName="Таблиця262" ref="AC2:AF11" totalsRowShown="0" headerRowDxfId="788" dataDxfId="787">
  <autoFilter ref="AC2:AF11" xr:uid="{8A320D5E-D143-4723-B362-E68A159C6EAF}"/>
  <tableColumns count="4">
    <tableColumn id="1" xr3:uid="{AD965B7B-AA02-48C0-A4BD-36DB63153938}" name="Name" dataDxfId="786"/>
    <tableColumn id="2" xr3:uid="{3F9B234C-9CE5-459F-8280-4DC980691519}" name="Type" dataDxfId="785"/>
    <tableColumn id="3" xr3:uid="{84D994E3-630F-4D8E-B9FC-BCF7C3CD7D36}" name="Points" dataDxfId="784"/>
    <tableColumn id="4" xr3:uid="{146DBF47-4B74-4725-AE51-63F643323930}" name="Group" dataDxfId="783"/>
  </tableColumns>
  <tableStyleInfo name="TableStyleDark3"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85ABD87A-B3A8-4463-B041-F9556D64B20C}" name="Таблиця236" displayName="Таблиця236" ref="Q27:U30" totalsRowShown="0" headerRowDxfId="782" dataDxfId="780" headerRowBorderDxfId="781" tableBorderDxfId="779">
  <autoFilter ref="Q27:U30" xr:uid="{80E749A8-8062-4C0F-A682-56F68080928D}"/>
  <tableColumns count="5">
    <tableColumn id="1" xr3:uid="{F147A6D6-53AF-4DA9-8FAF-8B90964493DC}" name="Unit Type" dataDxfId="778"/>
    <tableColumn id="2" xr3:uid="{E2602153-C629-4AEB-914F-2CD7B34A9E30}" name=" Abbr." dataDxfId="777"/>
    <tableColumn id="3" xr3:uid="{FE486935-46A9-4699-97A1-C13B6C0E2F91}" name=" # Men" dataDxfId="776"/>
    <tableColumn id="5" xr3:uid="{5ED5C26D-19C2-4ED6-8782-4859A44069CC}" name="Multiplier" dataDxfId="775"/>
    <tableColumn id="4" xr3:uid="{F13A360B-945C-48D5-B065-1EDA13AE2131}" name=" Composition" dataDxfId="774"/>
  </tableColumns>
  <tableStyleInfo name="TableStyleMedium2"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3FA2BE47-A61F-40F2-B132-51C5D68E08D1}" name="Таблиця266" displayName="Таблиця266" ref="E104:G111" totalsRowShown="0" headerRowDxfId="773" dataDxfId="772">
  <autoFilter ref="E104:G111" xr:uid="{F92D1328-2947-462A-A898-040251530B08}"/>
  <tableColumns count="3">
    <tableColumn id="1" xr3:uid="{52F99A0B-8B5F-401A-9412-A27F3702FF34}" name="Army" dataDxfId="771"/>
    <tableColumn id="2" xr3:uid="{1FB5916F-24FD-43AF-854F-C187E93D6788}" name="Commander" dataDxfId="770"/>
    <tableColumn id="3" xr3:uid="{7655F1B8-0C30-40F9-A96A-9638282A56CE}" name="HQ" dataDxfId="769"/>
  </tableColumns>
  <tableStyleInfo name="TableStyleMedium1"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54669071-A21B-4BEC-BBD4-73992E4A0110}" name="Таблиця267" displayName="Таблиця267" ref="L35:N47" totalsRowShown="0" headerRowDxfId="768" dataDxfId="767">
  <autoFilter ref="L35:N47" xr:uid="{EF8EB883-DD0A-4641-81A2-56545B161605}"/>
  <tableColumns count="3">
    <tableColumn id="1" xr3:uid="{81CC5349-3B52-4809-A5E1-AA2F4D91FD97}" name="Base" dataDxfId="766"/>
    <tableColumn id="2" xr3:uid="{633F601E-E47C-4204-B172-54143C809D7C}" name="#" dataDxfId="765"/>
    <tableColumn id="3" xr3:uid="{10C27184-AD87-4FC2-A2BE-780E0061A419}" name="Army" dataDxfId="764"/>
  </tableColumns>
  <tableStyleInfo name="TableStyleMedium1"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69845AF2-9DA3-4421-96DA-3F047C512483}" name="Таблиця268" displayName="Таблиця268" ref="I34:J37" totalsRowShown="0" headerRowDxfId="763" dataDxfId="762">
  <autoFilter ref="I34:J37" xr:uid="{D6F43CB0-AF57-4F80-8CFE-E0AF73064FAD}"/>
  <tableColumns count="2">
    <tableColumn id="1" xr3:uid="{274CD6A6-04B6-46D7-86AB-7F6E82CC3D5A}" name="Military Specialty" dataDxfId="761"/>
    <tableColumn id="2" xr3:uid="{A859DDAC-D790-444F-A9E2-01AF9C524D8A}" name="Description" dataDxfId="760"/>
  </tableColumns>
  <tableStyleInfo name="TableStyleMedium2"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1" xr:uid="{0396147F-B4E9-48F2-A837-87AAE23DD483}" name="Таблиця276" displayName="Таблиця276" ref="A3:I19" totalsRowShown="0" headerRowDxfId="759" dataDxfId="758" tableBorderDxfId="757">
  <autoFilter ref="A3:I19" xr:uid="{586EE8AD-EAF3-4AC7-93BF-E66ED2E30F8C}"/>
  <tableColumns count="9">
    <tableColumn id="1" xr3:uid="{68D492A3-E799-41E9-9533-0B4CB6506B56}" name="Purple Dragon Rank" dataDxfId="756"/>
    <tableColumn id="2" xr3:uid="{678FC8A1-C707-4381-A3A5-05E5297ABDB0}" name="Earth Equivalent" dataDxfId="755"/>
    <tableColumn id="3" xr3:uid="{54F0545D-5859-4EFB-B90B-E6D85D457C64}" name="Стовпець1" dataDxfId="754"/>
    <tableColumn id="4" xr3:uid="{DF350B9F-C470-44C7-A447-FCAE7A8B7F33}" name="Tassle Color" dataDxfId="753"/>
    <tableColumn id="5" xr3:uid="{BDBB0ECE-8999-40B9-BE69-E6E63C13F739}" name="Suggested Pay (gp/month) ||| 1372 " dataDxfId="752"/>
    <tableColumn id="6" xr3:uid="{E93C04CA-8367-43A5-9CF3-2D34628631E2}" name="Description" dataDxfId="751"/>
    <tableColumn id="7" xr3:uid="{49ABDD81-86F7-4503-8DDB-8F7A1B9010E6}" name="LEVEL" dataDxfId="750"/>
    <tableColumn id="8" xr3:uid="{00984550-8E80-46AE-B22E-D9645569F50C}" name="Name" dataDxfId="749"/>
    <tableColumn id="9" xr3:uid="{C47216EE-D689-47C9-B7B0-4953F7158252}" name="PAYMENT" dataDxfId="748">
      <calculatedColumnFormula>2.5*Таблиця276[[#This Row],[Suggested Pay (gp/month) ||| 1372 ]]</calculatedColumnFormula>
    </tableColumn>
  </tableColumns>
  <tableStyleInfo name="TableStyleDark2"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 xr:uid="{E032E489-4F3E-4576-84F4-DAC29EC68A29}" name="Таблиця258" displayName="Таблиця258" ref="Z3:AA13" totalsRowShown="0" headerRowDxfId="747" dataDxfId="746">
  <autoFilter ref="Z3:AA13" xr:uid="{135AAA3D-0232-4CD1-A2F8-888FD356DADB}"/>
  <tableColumns count="2">
    <tableColumn id="1" xr3:uid="{1373CEC5-64CF-4EE3-9D32-7EAECF3D3834}" name="Unit" dataDxfId="745"/>
    <tableColumn id="2" xr3:uid="{08FABC0B-11D2-411D-B317-4023ECE63E91}" name="Number" dataDxfId="744"/>
  </tableColumns>
  <tableStyleInfo name="TableStyleDark11"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CF15256E-889F-421E-87CC-9B1C0675CFEC}" name="Таблиця240" displayName="Таблиця240" ref="I42:J46" totalsRowShown="0" dataDxfId="743">
  <autoFilter ref="I42:J46" xr:uid="{375542A8-42A1-4885-AF5D-63FB7E35DE96}"/>
  <tableColumns count="2">
    <tableColumn id="1" xr3:uid="{DDF62891-CAE1-4E04-8071-5ACA0BC65325}" name="Magic Item" dataDxfId="742"/>
    <tableColumn id="2" xr3:uid="{B24484AA-CA68-4C7C-94F6-C026717E0A34}" name="To whom" dataDxfId="741"/>
  </tableColumns>
  <tableStyleInfo name="TableStyleMedium2"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010F58C1-33DB-4998-9616-8FA3D634CC68}" name="Таблиця243" displayName="Таблиця243" ref="R40:W53" totalsRowCount="1" headerRowDxfId="740">
  <autoFilter ref="R40:W52" xr:uid="{EACB5391-0A02-4BCA-B3B9-2F388B1FE71C}"/>
  <tableColumns count="6">
    <tableColumn id="1" xr3:uid="{DCE524AD-3FE0-4BF6-AB8C-A62D64F2C2C5}" name="Type" totalsRowFunction="custom">
      <totalsRowFormula>SUM(R41:R52)</totalsRowFormula>
    </tableColumn>
    <tableColumn id="2" xr3:uid="{5EA058CA-51CE-488D-B15F-586D00780970}" name="Quantity" totalsRowFunction="custom">
      <calculatedColumnFormula>COUNTIFS($J$41:$J$77,R41)</calculatedColumnFormula>
      <totalsRowFormula>SUM(S41:S52)</totalsRowFormula>
    </tableColumn>
    <tableColumn id="3" xr3:uid="{C1123508-2F40-4916-BEE3-742ADD18D8C8}" name="Men in Unit" totalsRowFunction="custom">
      <totalsRowFormula>SUM(T41:T52)</totalsRowFormula>
    </tableColumn>
    <tableColumn id="4" xr3:uid="{4B8A1F4B-D004-42B3-B679-B08183F67389}" name="Total, men-at-arms" totalsRowFunction="custom">
      <calculatedColumnFormula>S41*T41</calculatedColumnFormula>
      <totalsRowFormula>SUM(U41:U52)</totalsRowFormula>
    </tableColumn>
    <tableColumn id="5" xr3:uid="{71D89ED4-2BA1-4BCC-B941-882016E24B03}" name="Deployed" totalsRowFunction="custom" dataDxfId="739">
      <calculatedColumnFormula>X38</calculatedColumnFormula>
      <totalsRowFormula>SUM(V41:V52)</totalsRowFormula>
    </tableColumn>
    <tableColumn id="6" xr3:uid="{4A5F31C4-5BDA-47F6-AF29-256DCB312A1C}" name="Not Deployed" totalsRowFunction="custom" dataDxfId="738" totalsRowDxfId="737">
      <calculatedColumnFormula>SUM(Таблиця243[[#This Row],[Total, men-at-arms]]-Таблиця243[[#This Row],[Deployed]])</calculatedColumnFormula>
      <totalsRowFormula>SUM(W41:W52)</totalsRowFormula>
    </tableColumn>
  </tableColumns>
  <tableStyleInfo name="TableStyleMedium16"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735CC8-4718-4CA0-9EBB-E3324F5B3453}" name="Таблиця6" displayName="Таблиця6" ref="A10:I328" totalsRowShown="0">
  <autoFilter ref="A10:I328" xr:uid="{B70C0211-FE31-41EF-96ED-698132D6C8D5}"/>
  <sortState xmlns:xlrd2="http://schemas.microsoft.com/office/spreadsheetml/2017/richdata2" ref="A11:I328">
    <sortCondition ref="H10:H328"/>
  </sortState>
  <tableColumns count="9">
    <tableColumn id="1" xr3:uid="{D42377EF-7A44-4213-B484-A8D32CD102C1}" name="Circle"/>
    <tableColumn id="2" xr3:uid="{C7B1B14E-7708-422C-8A0A-3FF1F1CC5AF1}" name="Name"/>
    <tableColumn id="3" xr3:uid="{B8E7D439-EB1E-44CE-8157-BEDF2EDA23FD}" name="Стовпець1"/>
    <tableColumn id="4" xr3:uid="{DDBCEFFE-B9E8-4E41-A796-743E3CBA1AD6}" name="Level"/>
    <tableColumn id="5" xr3:uid="{82D77846-1B6F-4BB5-B285-412A731E1FC9}" name="Title"/>
    <tableColumn id="6" xr3:uid="{86E1590B-DDC4-4EBD-9DB8-5F68BBFC020A}" name="Diety"/>
    <tableColumn id="7" xr3:uid="{251F7B91-6BB3-4BBF-A890-55075399FAD9}" name="Algn"/>
    <tableColumn id="8" xr3:uid="{9D673331-08BC-4829-8DA0-6599D625E7FB}" name="City"/>
    <tableColumn id="9" xr3:uid="{77C83972-67F1-4687-9C1D-4CE0416BF091}" name="Rmks"/>
  </tableColumns>
  <tableStyleInfo name="TableStyleMedium6"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C63429E7-6C54-458D-942A-F06251A4D082}" name="Таблиця238" displayName="Таблиця238" ref="B58:G119" totalsRowShown="0">
  <autoFilter ref="B58:G119" xr:uid="{4575E9F6-29E5-445B-A051-F3C14A52944C}"/>
  <tableColumns count="6">
    <tableColumn id="1" xr3:uid="{4CF6AEBA-C04D-41EB-B36B-D215BAEEA113}" name="Name"/>
    <tableColumn id="2" xr3:uid="{1585FE20-2C87-4BDB-8BB0-B4775A6E91D6}" name="Ship Class"/>
    <tableColumn id="6" xr3:uid="{07B8FEA2-08BF-4B08-8AEA-9EBE7DECAD3A}" name="Ship Type"/>
    <tableColumn id="3" xr3:uid="{5D59E42F-3C3B-4EB2-B449-DA4CB0748C06}" name="Source"/>
    <tableColumn id="4" xr3:uid="{C196A334-D4F9-40AC-9F14-01F8EA4061EB}" name="Squadron"/>
    <tableColumn id="5" xr3:uid="{3933C4C4-F19D-4E00-B4C7-71941ED64403}" name="Base"/>
  </tableColumns>
  <tableStyleInfo name="TableStyleLight9"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C9345FCB-E403-472B-AE67-C1FF81CEA407}" name="Таблиця261" displayName="Таблиця261" ref="A29:K40" totalsRowShown="0">
  <autoFilter ref="A29:K40" xr:uid="{F495B6E0-8B49-4ED0-A409-EB66721DD661}"/>
  <tableColumns count="11">
    <tableColumn id="1" xr3:uid="{73EF2063-059F-4889-AED7-B40F0077A3B3}" name="Ship Class"/>
    <tableColumn id="2" xr3:uid="{E7D07270-5ED6-41E0-819E-238FFCDEB3E8}" name="Ship Group"/>
    <tableColumn id="3" xr3:uid="{746A1892-B1DA-4AED-83ED-4556450C9806}" name="Total Crew"/>
    <tableColumn id="4" xr3:uid="{FE73FCAE-8DD8-4B15-B1C9-FE8776D14101}" name="Total Marines"/>
    <tableColumn id="5" xr3:uid="{391995F2-86E4-437C-A21F-1E5050341DCE}" name="Total">
      <calculatedColumnFormula>C30+D30</calculatedColumnFormula>
    </tableColumn>
    <tableColumn id="6" xr3:uid="{BD721AE5-789A-49CE-A73E-A332928FDDC3}" name="Notes"/>
    <tableColumn id="7" xr3:uid="{C7F0D492-6461-4FD5-9061-B997BD4CE023}" name="Length"/>
    <tableColumn id="8" xr3:uid="{E50DBA5E-9C7A-4DC1-A3F4-8CA2712FCEFA}" name="Beam"/>
    <tableColumn id="9" xr3:uid="{20B871F0-0C61-4A6E-91C6-8B1D5CFAF0DF}" name="Draft"/>
    <tableColumn id="10" xr3:uid="{AA24B819-72A1-499E-9966-144B7AD0A1EB}" name="Description"/>
    <tableColumn id="11" xr3:uid="{359DABDD-BA68-44F4-AD0D-BD0F8AA5323C}" name="Armaments"/>
  </tableColumns>
  <tableStyleInfo name="TableStyleLight9"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35922F3C-E02D-407C-BACA-A1F6122974BF}" name="Таблиця264" displayName="Таблиця264" ref="I58:M62" totalsRowShown="0">
  <autoFilter ref="I58:M62" xr:uid="{2915A9C2-BC09-4802-859E-1531AF8E5A4B}"/>
  <tableColumns count="5">
    <tableColumn id="1" xr3:uid="{CE46DD11-D98F-44FA-9EC0-B36E71D0B2A8}" name="Base of Navy"/>
    <tableColumn id="2" xr3:uid="{CA19F36A-AF7D-4288-8EEE-84E114A7AB49}" name="Commander"/>
    <tableColumn id="3" xr3:uid="{579D5080-3164-4600-9405-A98575D9B92C}" name="Notes"/>
    <tableColumn id="4" xr3:uid="{DDB2563E-7743-49C1-B83C-18DA0A3B29F2}" name="Blue Dragons Garrison"/>
    <tableColumn id="5" xr3:uid="{2A1DD2E1-A6B0-4144-81D7-096E1AA67A41}" name="Fleet"/>
  </tableColumns>
  <tableStyleInfo name="TableStyleMedium2"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0A38EDE0-4063-45D2-91C4-B131214B5113}" name="Таблиця265" displayName="Таблиця265" ref="I7:L20" totalsRowShown="0">
  <autoFilter ref="I7:L20" xr:uid="{09C6D909-DB33-49FD-B3CF-820CBCBC27B4}"/>
  <tableColumns count="4">
    <tableColumn id="1" xr3:uid="{9CA834F8-425A-48C2-813D-C7DBD2D02B2F}" name="Ship Rank "/>
    <tableColumn id="2" xr3:uid="{6222B69D-0EBD-4D6D-9643-A45A8F2A49F2}" name="Cost, gp / month"/>
    <tableColumn id="3" xr3:uid="{1C6B717F-3F92-454D-9F2C-649FBAE28BA9}" name="Description"/>
    <tableColumn id="4" xr3:uid="{1377723C-CF7F-4C3C-B980-77D741C92E75}" name="CR"/>
  </tableColumns>
  <tableStyleInfo name="TableStyleMedium16"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A77AD8-C1FE-46DE-8F15-AB9B96F9A2C3}" name="Таблиця5" displayName="Таблиця5" ref="A3:C51" totalsRowShown="0">
  <autoFilter ref="A3:C51" xr:uid="{99C57B16-41C5-497B-8B10-CAD7FDFBABB7}"/>
  <sortState xmlns:xlrd2="http://schemas.microsoft.com/office/spreadsheetml/2017/richdata2" ref="A4:C45">
    <sortCondition ref="A3:A45"/>
  </sortState>
  <tableColumns count="3">
    <tableColumn id="1" xr3:uid="{9CBFB24D-CB0C-47A2-9A84-100E365F03C2}" name="Title"/>
    <tableColumn id="2" xr3:uid="{64E38492-9966-4DC3-948C-E902A34F48F0}" name="Duties"/>
    <tableColumn id="3" xr3:uid="{B9D716DC-FEC9-4B28-8633-879364A1CEC8}" name="Name"/>
  </tableColumns>
  <tableStyleInfo name="TableStyleMedium15"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 xr:uid="{B92B0D7B-7C73-4C74-9FF2-A73380127E47}" name="Таблиця274" displayName="Таблиця274" ref="E3:M28" totalsRowShown="0">
  <autoFilter ref="E3:M28" xr:uid="{389B6EF9-6D3A-40C7-8D00-2F80D6509955}"/>
  <tableColumns count="9">
    <tableColumn id="1" xr3:uid="{1D4ACCBE-3FBA-4911-A870-4FB5892F97AE}" name="European Title"/>
    <tableColumn id="2" xr3:uid="{BE83FA12-75C8-465D-A602-03EAD5288ABA}" name="Cormyrean Title"/>
    <tableColumn id="3" xr3:uid="{63FA7238-E8A1-4EC8-90F4-B48D1859C033}" name="Pron."/>
    <tableColumn id="4" xr3:uid="{7969A212-6420-4C2D-A627-EAC019250903}" name="Европейский титул"/>
    <tableColumn id="5" xr3:uid="{5AD6FB39-BFAA-497C-AFAA-D0E7270FDA6E}" name="Кормирский аналог"/>
    <tableColumn id="6" xr3:uid="{030744BF-4978-45EB-8B75-B9FB69DE2F36}" name="Land"/>
    <tableColumn id="7" xr3:uid="{96F60FCF-BB52-4F5B-B778-A339DC9D1251}" name="Name"/>
    <tableColumn id="8" xr3:uid="{FD0983A9-1F92-48AA-B0D4-C8E7E24B6CF2}" name="Desc"/>
    <tableColumn id="9" xr3:uid="{D95B6A1F-E73A-48E3-9345-FA705EA67BD9}" name="Military analog"/>
  </tableColumns>
  <tableStyleInfo name="TableStyleDark6"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0" xr:uid="{F711E14F-E40E-4D1C-9CD3-C8E2C6C5D9BA}" name="Таблиця275" displayName="Таблиця275" ref="E50:F60" totalsRowShown="0">
  <autoFilter ref="E50:F60" xr:uid="{C8304DC7-9CD3-4153-BDAE-8F1372E034D0}"/>
  <tableColumns count="2">
    <tableColumn id="1" xr3:uid="{E74D0EFE-DA43-4B6A-898A-7621E2BF6469}" name="Nobles do and don't"/>
    <tableColumn id="2" xr3:uid="{064FEEC2-A73D-4918-BDD0-31EB2FE4A04C}" name="Стовпець2"/>
  </tableColumns>
  <tableStyleInfo name="TableStyleDark3"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23910E-177A-49AF-8C08-2754A5D96B5A}" name="Таблиця7" displayName="Таблиця7" ref="V3:W103" totalsRowShown="0" headerRowDxfId="736" dataDxfId="735">
  <autoFilter ref="V3:W103" xr:uid="{C2AF2C65-3F26-408D-98E8-AA2D3BD57728}"/>
  <tableColumns count="2">
    <tableColumn id="1" xr3:uid="{434BF839-29D7-4FEC-8D43-CC2DBA381C6B}" name="Roll 1d100" dataDxfId="734"/>
    <tableColumn id="2" xr3:uid="{774CF98E-DE7F-4400-B259-299B73F456CB}" name="What we learn about you" dataDxfId="733"/>
  </tableColumns>
  <tableStyleInfo name="TableStyleDark7"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FD616EC-0F86-487C-8EEF-C6F541753E09}" name="Таблиця8" displayName="Таблиця8" ref="S3:T23" totalsRowShown="0" headerRowDxfId="732" dataDxfId="731">
  <autoFilter ref="S3:T23" xr:uid="{D5021BFA-8A3D-408B-8E91-3B84B1F30864}"/>
  <tableColumns count="2">
    <tableColumn id="1" xr3:uid="{E0C72E26-728F-40F5-8DE1-BCCF6429F026}" name="Roll 1d20" dataDxfId="730"/>
    <tableColumn id="2" xr3:uid="{E1FEB1BE-CC84-46C1-BF33-5EE84DCDDA24}" name="Interaction" dataDxfId="729"/>
  </tableColumns>
  <tableStyleInfo name="TableStyleDark7"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3E42A-8609-4B35-8FF8-7157F9CA32A2}" name="Таблиця9" displayName="Таблиця9" ref="A2:E56" totalsRowShown="0" headerRowDxfId="728" dataDxfId="727">
  <autoFilter ref="A2:E56" xr:uid="{394A7DDC-F24B-40A4-BA39-E4EA031B549C}"/>
  <tableColumns count="5">
    <tableColumn id="1" xr3:uid="{AB23B8E1-D7BB-4F0A-AC18-B271AE663E7B}" name="d" dataDxfId="726"/>
    <tableColumn id="2" xr3:uid="{9DC29808-C4A7-4B27-B768-BBB92D4E473B}" name="Female" dataDxfId="725"/>
    <tableColumn id="3" xr3:uid="{4A66A618-AC2C-4E68-9618-1BCA05833C9D}" name="Female Noble" dataDxfId="724"/>
    <tableColumn id="4" xr3:uid="{D7361891-B9A2-4214-8C62-F0287178E6C6}" name="Male" dataDxfId="723"/>
    <tableColumn id="5" xr3:uid="{449A2064-4892-4A3F-BF92-96C7F8BCB6B5}" name="Male Noble" dataDxfId="722"/>
  </tableColumns>
  <tableStyleInfo name="TableStyleMedium1"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282E748-A1C9-40B1-8C9F-EEAE5640F17B}" name="Таблиця10" displayName="Таблиця10" ref="P3:P186" totalsRowShown="0" headerRowDxfId="721" dataDxfId="720">
  <autoFilter ref="P3:P186" xr:uid="{94754976-F22D-4EB3-8550-89A2B6F540D3}"/>
  <tableColumns count="1">
    <tableColumn id="1" xr3:uid="{F0CE72B7-CF13-4D05-B834-F943BDAF2500}" name="#" dataDxfId="719"/>
  </tableColumns>
  <tableStyleInfo name="TableStyleMedium1"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5ECB8B-135B-49EA-BB97-8391A7390180}" name="Таблиця1012" displayName="Таблиця1012" ref="Q3:Q186" totalsRowShown="0" headerRowDxfId="718" dataDxfId="717">
  <autoFilter ref="Q3:Q186" xr:uid="{56AED0C6-A3BA-41C5-AAD7-8AD29EC85F45}"/>
  <tableColumns count="1">
    <tableColumn id="1" xr3:uid="{34E7B62C-4F63-4B1A-AEE0-358BD035E796}" name="Noble Family" dataDxfId="716"/>
  </tableColumns>
  <tableStyleInfo name="TableStyleMedium1"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BB7B579-432C-4BFA-BE99-E26C1B7B9892}" name="Таблиця15" displayName="Таблиця15" ref="G2:I53" totalsRowShown="0" headerRowDxfId="715" dataDxfId="714">
  <autoFilter ref="G2:I53" xr:uid="{E4120878-4B05-4AC6-AF8A-4C345871C803}"/>
  <tableColumns count="3">
    <tableColumn id="1" xr3:uid="{59D49FB3-6375-4966-A3A9-806956FFD270}" name="#" dataDxfId="713"/>
    <tableColumn id="2" xr3:uid="{E5CCFD7D-E231-40D7-865D-A3E7B55A890F}" name="Female" dataDxfId="712"/>
    <tableColumn id="3" xr3:uid="{35CF40B0-1C5D-42D2-8DC4-92DC029EFD19}" name="Male" dataDxfId="711"/>
  </tableColumns>
  <tableStyleInfo name="TableStyleDark7"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143E9DD-FCE5-4263-B607-1346050CD285}" name="Таблиця16" displayName="Таблиця16" ref="K2:L62" totalsRowShown="0" headerRowDxfId="710" dataDxfId="709">
  <autoFilter ref="K2:L62" xr:uid="{CF720A57-6F68-4D47-A256-9CACDD5AC6CA}"/>
  <tableColumns count="2">
    <tableColumn id="1" xr3:uid="{2A0F9FD4-2222-493F-864E-98244341712A}" name="#" dataDxfId="708"/>
    <tableColumn id="2" xr3:uid="{B8E7771B-E96A-40B7-9C18-42602BE2EA0F}" name="Noble Family" dataDxfId="707"/>
  </tableColumns>
  <tableStyleInfo name="TableStyleDark7"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82D34DEE-F9CD-431F-86DD-33D7027946B0}" name="Таблиця88" displayName="Таблиця88" ref="AC110:AD128" totalsRowShown="0" headerRowDxfId="706" dataDxfId="705">
  <autoFilter ref="AC110:AD128" xr:uid="{59FD619E-D4D5-4FC9-8F70-B1540CD7A37F}"/>
  <tableColumns count="2">
    <tableColumn id="1" xr3:uid="{325AA025-C065-4D24-93A4-FC73253050DF}" name="ABBR" dataDxfId="704"/>
    <tableColumn id="2" xr3:uid="{8AE3294C-2EF8-4545-ACEB-5A8F7F17996F}" name="Source Long" dataDxfId="703"/>
  </tableColumns>
  <tableStyleInfo name="TableStyleDark5"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2DCD2B15-A4A5-47FB-B533-B6B7D237B004}" name="Таблиця90" displayName="Таблиця90" ref="AA41:AB46" totalsRowShown="0" headerRowDxfId="702" dataDxfId="701" tableBorderDxfId="700" dataCellStyle="Звичайний 5">
  <autoFilter ref="AA41:AB46" xr:uid="{BA49DC2D-303B-41DA-B954-30C6C83568DF}"/>
  <tableColumns count="2">
    <tableColumn id="1" xr3:uid="{5BC42364-EBD3-4BE4-8F8D-78DF5BE5A98A}" name="Size" dataDxfId="699" dataCellStyle="Звичайний 5"/>
    <tableColumn id="2" xr3:uid="{27661321-8659-45FA-AF42-75A4C8C60B3C}" name="Carry Mod" dataDxfId="698" dataCellStyle="Звичайний 5"/>
  </tableColumns>
  <tableStyleInfo name="TableStyleMedium3"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1DDE4B0-EF8A-49D8-ACC6-27F9E87E47F5}" name="Таблиця91" displayName="Таблиця91" ref="AA8:AF39" totalsRowShown="0" headerRowDxfId="697" dataDxfId="696" tableBorderDxfId="695" headerRowCellStyle="Звичайний 5" dataCellStyle="Звичайний 5">
  <autoFilter ref="AA8:AF39" xr:uid="{56192AE0-E6E5-48B3-8BE7-C71D9D4078A8}"/>
  <tableColumns count="6">
    <tableColumn id="1" xr3:uid="{241D510E-C387-4DAC-9DAD-4CF71EAE4864}" name="Containers" dataDxfId="694" dataCellStyle="Звичайний 5"/>
    <tableColumn id="2" xr3:uid="{E13BADA5-58F7-413C-B4E1-A36FDEDF9FDF}" name="Link" dataDxfId="693" dataCellStyle="Звичайний 5"/>
    <tableColumn id="3" xr3:uid="{774FA73A-6E79-42C6-8DE9-5F0879F066CE}" name="Weight" dataDxfId="692" dataCellStyle="Звичайний 5"/>
    <tableColumn id="4" xr3:uid="{E205CC49-CD0F-43C9-962C-0C56EDD067A2}" name="Capacity" dataDxfId="691" dataCellStyle="Звичайний 5"/>
    <tableColumn id="5" xr3:uid="{530B9189-A33A-40DB-8772-A448481529B5}" name="Slots?" dataDxfId="690" dataCellStyle="Звичайний 5"/>
    <tableColumn id="6" xr3:uid="{8ED97E47-E56D-4775-887B-E7406D314119}" name="Extradim?" dataDxfId="689" dataCellStyle="Звичайний 5"/>
  </tableColumns>
  <tableStyleInfo name="TableStyleLight10"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C905E53-C839-468D-8FED-455E7C8B8CF0}" name="Таблиця19" displayName="Таблиця19" ref="BN15:BO20" totalsRowShown="0" headerRowDxfId="688" dataDxfId="687">
  <autoFilter ref="BN15:BO20" xr:uid="{19C53C85-048F-41F1-BCF3-1821F31686B9}"/>
  <tableColumns count="2">
    <tableColumn id="1" xr3:uid="{33CBCC55-8DFA-4275-B1EE-CFE41B259C6B}" name="#" dataDxfId="686"/>
    <tableColumn id="2" xr3:uid="{BB46CF56-49BC-4854-AE6B-7B9D85CE8A80}" name="1. Assault/Raid" dataDxfId="685"/>
  </tableColumns>
  <tableStyleInfo name="TableStyleLight7"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3CF8D29-970D-46E8-9BC4-2F7312B7613D}" name="Таблиця20" displayName="Таблиця20" ref="BN24:BO32" totalsRowShown="0" headerRowDxfId="684" dataDxfId="683">
  <autoFilter ref="BN24:BO32" xr:uid="{54585CBD-F99C-465E-AA7A-4D80349F7B5F}"/>
  <tableColumns count="2">
    <tableColumn id="1" xr3:uid="{F34325E7-129D-4C0E-9AEA-6C7FB8A1DA83}" name="#" dataDxfId="682"/>
    <tableColumn id="2" xr3:uid="{07150DE2-83B0-4F3D-B5B4-6D838ACAAEDA}" name="1. Extraction (Voluntary/Involuntary)" dataDxfId="681"/>
  </tableColumns>
  <tableStyleInfo name="TableStyleLight7" showFirstColumn="0"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F0A07F5-27BE-4629-8476-C0595E6755D7}" name="Таблиця21" displayName="Таблиця21" ref="BN38:BO43" totalsRowShown="0" headerRowDxfId="680" dataDxfId="679">
  <autoFilter ref="BN38:BO43" xr:uid="{E27AE931-1BC3-4811-A8A0-920B06FE4E95}"/>
  <tableColumns count="2">
    <tableColumn id="1" xr3:uid="{698EAE7F-6C9F-485B-BCF8-FA3D1074E7A0}" name="#" dataDxfId="678"/>
    <tableColumn id="2" xr3:uid="{74449FB3-5837-472D-A902-7E7633034EB7}" name="From" dataDxfId="677"/>
  </tableColumns>
  <tableStyleInfo name="TableStyleLight7" showFirstColumn="0"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1F961CF-0261-4A23-9957-4A625932FE19}" name="Таблиця22" displayName="Таблиця22" ref="BU47:BV53" totalsRowShown="0" headerRowDxfId="676" dataDxfId="675">
  <autoFilter ref="BU47:BV53" xr:uid="{725AB38B-46C4-4E10-946E-3FF7F9109D4D}"/>
  <tableColumns count="2">
    <tableColumn id="1" xr3:uid="{AD08A473-4697-4150-B653-8AD05ECC18D6}" name="#" dataDxfId="674"/>
    <tableColumn id="2" xr3:uid="{C484B834-7A8E-4BD1-B015-6AFD0EE9FFA3}" name="1. Bounty" dataDxfId="673"/>
  </tableColumns>
  <tableStyleInfo name="TableStyleLight21" showFirstColumn="0"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C6C7A5B-CA11-4399-9A0F-F74189AAFB4C}" name="Таблиця23" displayName="Таблиця23" ref="BN47:BO54" totalsRowShown="0" headerRowDxfId="672" dataDxfId="671">
  <autoFilter ref="BN47:BO54" xr:uid="{A29D2522-DC32-4CE4-8E3E-C25A267AA375}"/>
  <tableColumns count="2">
    <tableColumn id="1" xr3:uid="{6F44E8F0-7845-417F-B6A4-F5B11875C35B}" name="#" dataDxfId="670"/>
    <tableColumn id="2" xr3:uid="{CDA78C10-1E7D-4782-9DCC-952E1B5F17A7}" name="1. Theft" dataDxfId="669"/>
  </tableColumns>
  <tableStyleInfo name="TableStyleLight7" showFirstColumn="0"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A0638A-EA95-45DB-B366-19116C05B77F}" name="Таблиця24" displayName="Таблиця24" ref="BY23:BZ25" totalsRowShown="0" headerRowDxfId="668" dataDxfId="667">
  <autoFilter ref="BY23:BZ25" xr:uid="{222EA157-D6E5-439C-8C24-80C0EA92E3B7}"/>
  <tableColumns count="2">
    <tableColumn id="1" xr3:uid="{C11CC079-29F7-4773-9AA5-9BF88463E038}" name="#" dataDxfId="666"/>
    <tableColumn id="2" xr3:uid="{07DB8B32-A499-42E6-A4A8-4B2B64677CAB}" name="2. Caravan" dataDxfId="665"/>
  </tableColumns>
  <tableStyleInfo name="TableStyleLight7" showFirstColumn="0"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A88FA6A-BD87-4DD5-9DF4-9D836FB107DE}" name="Таблиця25" displayName="Таблиця25" ref="BQ15:BR20" totalsRowShown="0" headerRowDxfId="664" dataDxfId="663">
  <autoFilter ref="BQ15:BR20" xr:uid="{4C873728-C2F6-4365-B3B2-442AAD32F9F7}"/>
  <tableColumns count="2">
    <tableColumn id="1" xr3:uid="{B1336AB1-3524-4028-B2C3-CCCFC263FEB3}" name="#" dataDxfId="662"/>
    <tableColumn id="2" xr3:uid="{6DF849CA-2410-4C3B-A4B1-2F9584100706}" name="Assault/Raid: " dataDxfId="661"/>
  </tableColumns>
  <tableStyleInfo name="TableStyleLight13" showFirstColumn="0"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7732384-4A26-4095-B071-2921C36A19EB}" name="Таблиця26" displayName="Таблиця26" ref="BQ24:BR32" totalsRowShown="0" headerRowDxfId="660" dataDxfId="659">
  <autoFilter ref="BQ24:BR32" xr:uid="{95A97311-B441-4C8D-8C96-645B19749DC5}"/>
  <tableColumns count="2">
    <tableColumn id="1" xr3:uid="{04636525-376D-4A84-8281-C0D562DDEF61}" name="#" dataDxfId="658"/>
    <tableColumn id="2" xr3:uid="{ABED0167-A749-48D8-A693-967C79A0E7D1}" name="Extraction:" dataDxfId="657"/>
  </tableColumns>
  <tableStyleInfo name="TableStyleLight13" showFirstColumn="0"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FF23FCE-A29E-4D53-83F4-3BD7B26AEE64}" name="Таблиця27" displayName="Таблиця27" ref="CA47:CB53" totalsRowShown="0" headerRowDxfId="656" dataDxfId="655">
  <autoFilter ref="CA47:CB53" xr:uid="{44921E29-8AFF-4581-8563-6673E39C6248}"/>
  <tableColumns count="2">
    <tableColumn id="1" xr3:uid="{2EAC36C2-2808-4DF2-93E2-C54D10C52E38}" name="#" dataDxfId="654"/>
    <tableColumn id="2" xr3:uid="{16010F01-9A2B-4322-ACF9-8C66E59C4251}" name="Theft:" dataDxfId="653"/>
  </tableColumns>
  <tableStyleInfo name="TableStyleLight13" showFirstColumn="0"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F5C338-2E52-4DE8-AB35-BC23E86AE4D5}" name="Таблиця28" displayName="Таблиця28" ref="BX47:BY53" totalsRowShown="0" headerRowDxfId="652" dataDxfId="651">
  <autoFilter ref="BX47:BY53" xr:uid="{291EBE95-4233-4A9B-B014-33770E4CD855}"/>
  <tableColumns count="2">
    <tableColumn id="1" xr3:uid="{2D9AC811-9B51-4F3E-86DA-5D473FEC10A1}" name="#" dataDxfId="650"/>
    <tableColumn id="2" xr3:uid="{0D99EDC2-8798-4165-BDE9-48C934745354}" name="Bounty:" dataDxfId="649"/>
  </tableColumns>
  <tableStyleInfo name="TableStyleLight13" showFirstColumn="0"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C0CDB69-678D-481D-B8CC-F8F7B24BFA39}" name="Таблиця29" displayName="Таблиця29" ref="CA62:CB67" totalsRowCount="1" headerRowDxfId="648" dataDxfId="647" totalsRowDxfId="646">
  <autoFilter ref="CA62:CB66" xr:uid="{9ACCB86F-9C21-4A66-B315-59A662B0DE0B}"/>
  <tableColumns count="2">
    <tableColumn id="1" xr3:uid="{FDD9D4B9-AB6B-446A-9B58-83D4C9FAF350}" name="#" dataDxfId="645" totalsRowDxfId="644"/>
    <tableColumn id="2" xr3:uid="{828CE9CA-9675-4A86-A4D4-99312872379E}" name="Escort:" totalsRowFunction="custom" dataDxfId="643" totalsRowDxfId="642" totalsRowCellStyle="Результат">
      <totalsRowFormula array="1">INDEX(CB69:CB74,RANDBETWEEN(1,6),1)</totalsRowFormula>
    </tableColumn>
  </tableColumns>
  <tableStyleInfo name="TableStyleLight13" showFirstColumn="0"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E92D3C3-9599-4997-B603-4C0852ADB15F}" name="Таблиця30" displayName="Таблиця30" ref="CA68:CB74" totalsRowShown="0" headerRowDxfId="641" dataDxfId="640">
  <autoFilter ref="CA68:CB74" xr:uid="{1DDF93E8-2D69-4537-806A-0FEBB1397C3F}"/>
  <tableColumns count="2">
    <tableColumn id="1" xr3:uid="{1EF7DACC-2065-4705-BD48-54AD69C0A39C}" name="#" dataDxfId="639"/>
    <tableColumn id="2" xr3:uid="{87101F54-E206-4255-99FE-3B9D54801FB4}" name="Coup d'eat:" dataDxfId="638"/>
  </tableColumns>
  <tableStyleInfo name="TableStyleLight13" showFirstColumn="0"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66FF2C8-D129-4281-9E69-5515A420ABA7}" name="Таблиця31" displayName="Таблиця31" ref="BU79:BV85" totalsRowShown="0" headerRowDxfId="637" dataDxfId="636">
  <autoFilter ref="BU79:BV85" xr:uid="{ED4B0E86-C071-404D-A142-E42429E5D6E2}"/>
  <tableColumns count="2">
    <tableColumn id="1" xr3:uid="{EE3746EB-9BCE-4A78-B5E0-A92F9D701F95}" name="#" dataDxfId="635"/>
    <tableColumn id="2" xr3:uid="{9527533B-33CF-45E1-A894-BC3CE9FB5AC1}" name="Duel/Contest:" dataDxfId="634"/>
  </tableColumns>
  <tableStyleInfo name="TableStyleLight13" showFirstColumn="0"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59EE919-C847-4670-AFB9-0CC93D508491}" name="Таблиця32" displayName="Таблиця32" ref="BX78:BY84" totalsRowShown="0" headerRowDxfId="633" dataDxfId="632">
  <autoFilter ref="BX78:BY84" xr:uid="{B828C655-E8E9-491B-87F0-EAFC4095FD81}"/>
  <tableColumns count="2">
    <tableColumn id="1" xr3:uid="{B5F86593-F48C-49F7-A6B2-8F431FBBD577}" name="#" dataDxfId="631"/>
    <tableColumn id="2" xr3:uid="{EDBDA908-2B08-4421-94BE-6DBB164C3B50}" name="Assassination:" dataDxfId="630"/>
  </tableColumns>
  <tableStyleInfo name="TableStyleLight13" showFirstColumn="0"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29B3605-3DD8-4F80-B6EA-E83A69AB18AB}" name="Таблиця33" displayName="Таблиця33" ref="CA78:CB86" totalsRowCount="1" headerRowDxfId="629" dataDxfId="628" totalsRowDxfId="627">
  <autoFilter ref="CA78:CB85" xr:uid="{69F11976-FEDA-4263-ADFF-62C7597F93E8}"/>
  <tableColumns count="2">
    <tableColumn id="1" xr3:uid="{6053775A-D555-4950-AD9F-F5BEFBA4DA84}" name="#" dataDxfId="626" totalsRowDxfId="625"/>
    <tableColumn id="2" xr3:uid="{FB41BB55-D6FF-44EA-8D2B-B1136568D642}" name="Sabotage:" totalsRowFunction="custom" dataDxfId="624" totalsRowDxfId="623" totalsRowCellStyle="Результат">
      <totalsRowFormula array="1">INDEX(CB88:CB92,RANDBETWEEN(1,5),1)</totalsRowFormula>
    </tableColumn>
  </tableColumns>
  <tableStyleInfo name="TableStyleLight13" showFirstColumn="0"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E7EC445-549C-4E7B-8A30-B523F58886D9}" name="Таблиця34" displayName="Таблиця34" ref="BU89:BV93" totalsRowShown="0" headerRowDxfId="622" dataDxfId="621">
  <autoFilter ref="BU89:BV93" xr:uid="{66ECD308-3D8B-4E2F-BA63-C0A66A061ACB}"/>
  <tableColumns count="2">
    <tableColumn id="1" xr3:uid="{500E0138-3199-43E0-A267-B3CADDCDC07C}" name="#" dataDxfId="620"/>
    <tableColumn id="2" xr3:uid="{D19120BA-04CD-4B85-8A1B-479EB25FC2A2}" name="Exploration:" dataDxfId="619"/>
  </tableColumns>
  <tableStyleInfo name="TableStyleLight13" showFirstColumn="0"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C3BF2D2-9928-4BE1-817D-1E7DB0713744}" name="Таблиця35" displayName="Таблиця35" ref="BX97:BY102" totalsRowShown="0" headerRowDxfId="618" dataDxfId="617">
  <autoFilter ref="BX97:BY102" xr:uid="{362790E0-04FA-4552-9F5E-D6EDEEDC7FE3}"/>
  <tableColumns count="2">
    <tableColumn id="1" xr3:uid="{5B7F8ED2-46A4-4462-B312-DD6D6220A341}" name="#" dataDxfId="616"/>
    <tableColumn id="2" xr3:uid="{380C2782-D247-4240-B07D-83A5032A5559}" name="Skill:" dataDxfId="615"/>
  </tableColumns>
  <tableStyleInfo name="TableStyleLight13" showFirstColumn="0"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C7ED029-726F-4C8D-8039-783C0C6E020B}" name="Таблиця36" displayName="Таблиця36" ref="CA87:CB92" totalsRowShown="0" headerRowDxfId="614" dataDxfId="613">
  <autoFilter ref="CA87:CB92" xr:uid="{032ED50E-E02B-4DA8-8875-7EAD6FD9B9AC}"/>
  <tableColumns count="2">
    <tableColumn id="1" xr3:uid="{4970E11E-B16B-4333-B987-6117702DA3E7}" name="#" dataDxfId="612"/>
    <tableColumn id="2" xr3:uid="{24DB3330-6D14-45A1-8156-37E388C24277}" name="Mysteries:" dataDxfId="611"/>
  </tableColumns>
  <tableStyleInfo name="TableStyleLight13" showFirstColumn="0"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C06119D-5110-4975-91F4-B73A47F54FF7}" name="Таблиця39" displayName="Таблиця39" ref="BQ38:BR42" totalsRowShown="0" headerRowDxfId="610" dataDxfId="609">
  <autoFilter ref="BQ38:BR42" xr:uid="{B09D1572-063F-4D4D-A9F8-8BE23C652E6A}"/>
  <tableColumns count="2">
    <tableColumn id="1" xr3:uid="{9F0F4E54-E9A2-470C-BFF8-5C7E693C43F7}" name="#" dataDxfId="608"/>
    <tableColumn id="2" xr3:uid="{870CCD19-C23B-469F-9D34-1006B6FF6379}" name="1. Skill (Cooking/Leatherworking, etc.)" dataDxfId="607"/>
  </tableColumns>
  <tableStyleInfo name="TableStyleLight13" showFirstColumn="0"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D6F85215-9458-47F3-A76A-2363938125C5}" name="Таблиця40" displayName="Таблиця40" ref="BV22:BW29" totalsRowShown="0" headerRowDxfId="606" dataDxfId="605">
  <autoFilter ref="BV22:BW29" xr:uid="{E714886F-347B-46D8-8DA3-48D209CB070C}"/>
  <tableColumns count="2">
    <tableColumn id="1" xr3:uid="{6EA9EF55-D059-4A9D-A813-AA64FCE13723}" name="#" dataDxfId="604"/>
    <tableColumn id="2" xr3:uid="{DD3EE090-29E3-4AD1-BF7F-99BF28E8D701}" name="Стовпець1" dataDxfId="603"/>
  </tableColumns>
  <tableStyleInfo name="TableStyleLight14" showFirstColumn="0"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6EB21D6-C8C8-4605-A5D2-26439485E8BB}" name="Table_1" displayName="Table_1" ref="BN140:BQ150" headerRowDxfId="602" dataDxfId="601" totalsRowDxfId="600">
  <tableColumns count="4">
    <tableColumn id="1" xr3:uid="{00000000-0010-0000-0000-000001000000}" name="Weather" dataDxfId="599"/>
    <tableColumn id="2" xr3:uid="{00000000-0010-0000-0000-000002000000}" name="SpeedMod" dataDxfId="598"/>
    <tableColumn id="3" xr3:uid="{00000000-0010-0000-0000-000003000000}" name="NavMod" dataDxfId="597"/>
    <tableColumn id="4" xr3:uid="{00000000-0010-0000-0000-000004000000}" name="ForageHuntMod" dataDxfId="596"/>
  </tableColumns>
  <tableStyleInfo name="TableStyleMedium16" showFirstColumn="1"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627E7CB-1F24-4EC4-9FED-F9AA8B5E7382}" name="Table_2" displayName="Table_2" ref="BN170:BQ175" headerRowDxfId="595" dataDxfId="594" totalsRowDxfId="593">
  <tableColumns count="4">
    <tableColumn id="1" xr3:uid="{00000000-0010-0000-0100-000001000000}" name="TravelEffort" dataDxfId="592"/>
    <tableColumn id="2" xr3:uid="{00000000-0010-0000-0100-000002000000}" name="SpeedMod" dataDxfId="591"/>
    <tableColumn id="3" xr3:uid="{00000000-0010-0000-0100-000003000000}" name="NavMod" dataDxfId="590"/>
    <tableColumn id="4" xr3:uid="{00000000-0010-0000-0100-000004000000}" name="ForageHuntMod" dataDxfId="589"/>
  </tableColumns>
  <tableStyleInfo name="TableStyleMedium16" showFirstColumn="1"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3556E345-3BAC-4822-B7A0-FE271E74E538}" name="Table_3" displayName="Table_3" ref="BN152:BQ168" headerRowDxfId="588" dataDxfId="587" totalsRowDxfId="586">
  <tableColumns count="4">
    <tableColumn id="1" xr3:uid="{00000000-0010-0000-0200-000001000000}" name="ModeOfTravel" dataDxfId="585"/>
    <tableColumn id="2" xr3:uid="{00000000-0010-0000-0200-000002000000}" name="SpeedMod" dataDxfId="584"/>
    <tableColumn id="3" xr3:uid="{00000000-0010-0000-0200-000003000000}" name="NavMod" dataDxfId="583"/>
    <tableColumn id="4" xr3:uid="{00000000-0010-0000-0200-000004000000}" name="ForageHuntMod" dataDxfId="582"/>
  </tableColumns>
  <tableStyleInfo name="TableStyleMedium16" showFirstColumn="1"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5CA4C3B9-546F-4C5B-BB11-83C1D0407B3C}" name="Table_4" displayName="Table_4" ref="BN126:BS138" headerRowDxfId="581" dataDxfId="580" totalsRowDxfId="579">
  <tableColumns count="6">
    <tableColumn id="1" xr3:uid="{00000000-0010-0000-0300-000001000000}" name="TERRAIN" dataDxfId="578"/>
    <tableColumn id="2" xr3:uid="{00000000-0010-0000-0300-000002000000}" name="HIGHWAY" dataDxfId="577"/>
    <tableColumn id="3" xr3:uid="{00000000-0010-0000-0300-000003000000}" name="ROAD" dataDxfId="576"/>
    <tableColumn id="4" xr3:uid="{00000000-0010-0000-0300-000004000000}" name="WILD" dataDxfId="575"/>
    <tableColumn id="5" xr3:uid="{00000000-0010-0000-0300-000005000000}" name="NavDC" dataDxfId="574"/>
    <tableColumn id="6" xr3:uid="{00000000-0010-0000-0300-000006000000}" name="ForageHuntDC" dataDxfId="573"/>
  </tableColumns>
  <tableStyleInfo name="TableStyleMedium16" showFirstColumn="1"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E5D2D54E-F285-409E-A1C0-AB6844442FFC}" name="Таблиця93" displayName="Таблиця93" ref="BU126:BU142" totalsRowShown="0" headerRowDxfId="572" dataDxfId="571" headerRowCellStyle="Звичайний 6" dataCellStyle="Звичайний 6">
  <autoFilter ref="BU126:BU142" xr:uid="{936028BF-933B-4016-9449-D7C3B6DBC917}"/>
  <tableColumns count="1">
    <tableColumn id="1" xr3:uid="{6D11AFC6-8A22-4D59-B97A-836CAB5594DA}" name="ModeofTravel" dataDxfId="570" dataCellStyle="Звичайний 6"/>
  </tableColumns>
  <tableStyleInfo name="TableStyleMedium6" showFirstColumn="0"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D1E049A-6A5D-4802-BF7E-A70C5A51BC6C}" name="Таблиця94" displayName="Таблиця94" ref="BV126:BV131" totalsRowShown="0" headerRowDxfId="569" dataDxfId="568" headerRowCellStyle="Звичайний 6" dataCellStyle="Звичайний 6">
  <autoFilter ref="BV126:BV131" xr:uid="{A2684C9C-E7F0-48D5-9FC7-8CB4F480B3B7}"/>
  <tableColumns count="1">
    <tableColumn id="1" xr3:uid="{152B6B4A-9F91-4858-B5F4-82F351A2327E}" name="TravelEffort" dataDxfId="567" dataCellStyle="Звичайний 6"/>
  </tableColumns>
  <tableStyleInfo name="TableStyleMedium7" showFirstColumn="0"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AA5F1E01-B3C1-41F8-A8AC-F047F54EFE98}" name="Таблиця92" displayName="Таблиця92" ref="BX126:CB132" totalsRowShown="0" headerRowDxfId="566" dataDxfId="565">
  <autoFilter ref="BX126:CB132" xr:uid="{851BCBE1-62B0-411C-B38C-524A74835D41}"/>
  <tableColumns count="5">
    <tableColumn id="1" xr3:uid="{218A9231-9874-48E3-B8A0-8483F686DCE9}" name="Weather d100" dataDxfId="564"/>
    <tableColumn id="2" xr3:uid="{944F8FA3-221F-4EFE-9DAE-A916FC978262}" name="Weather" dataDxfId="563"/>
    <tableColumn id="3" xr3:uid="{A91352CD-3265-461E-A8C9-E909554068D8}" name="Cold Climate" dataDxfId="562"/>
    <tableColumn id="4" xr3:uid="{0495BE2A-8678-4E7B-BBD5-850BEE20698A}" name="Temperate Climate" dataDxfId="561"/>
    <tableColumn id="5" xr3:uid="{9BB7D965-65D1-4750-B99C-CE6EE81C98EA}" name="Desert" dataDxfId="560"/>
  </tableColumns>
  <tableStyleInfo name="TableStyleMedium16" showFirstColumn="1"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D9DCAEA-8816-494C-9B4E-5A5BAA3EE897}" name="Таблиця270" displayName="Таблиця270" ref="AA48:AI54" totalsRowShown="0" headerRowDxfId="559" dataDxfId="558">
  <autoFilter ref="AA48:AI54" xr:uid="{679794C0-ADE4-459E-864A-3EF993FFF7D7}"/>
  <tableColumns count="9">
    <tableColumn id="1" xr3:uid="{BDCA09DA-6884-4DC6-8BD2-2F4D9C2FEBE4}" name="Market Class" dataDxfId="557"/>
    <tableColumn id="2" xr3:uid="{6ACE0515-8EFA-49C1-AD2C-FF6ECD25CB96}" name="Toll" dataDxfId="556"/>
    <tableColumn id="3" xr3:uid="{E0C68B88-1D34-41D5-B86A-4F986FF83674}" name="Merchants" dataDxfId="555"/>
    <tableColumn id="4" xr3:uid="{F069F79E-AB1B-4B9A-84C0-7F9650E341F6}" name="Loads of Merchandise" dataDxfId="554"/>
    <tableColumn id="5" xr3:uid="{8AC1E435-B022-4CBD-9E17-3C65DDAE2782}" name="Passengers" dataDxfId="553"/>
    <tableColumn id="6" xr3:uid="{4799FB8D-AD59-4B81-AD19-A070E8022495}" name="Shipping Contracts" dataDxfId="552"/>
    <tableColumn id="7" xr3:uid="{6D065100-4DDE-4E58-B900-38A722E2017C}" name="Cargo to be Shipped" dataDxfId="551"/>
    <tableColumn id="8" xr3:uid="{883E7282-2820-45C0-BAD1-8890D3009CF8}" name="Range of Trade (Road)" dataDxfId="550"/>
    <tableColumn id="9" xr3:uid="{B4553CA6-6715-428F-B335-4F7A109DE34E}" name="Range of Trade (Water)" dataDxfId="549"/>
  </tableColumns>
  <tableStyleInfo name="TableStyleMedium2" showFirstColumn="0"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DB5F4C7D-391C-4A55-9BEE-ED39A18E5C50}" name="Таблиця269" displayName="Таблиця269" ref="AM110:AO113" totalsRowShown="0" headerRowDxfId="548" dataDxfId="547">
  <autoFilter ref="AM110:AO113" xr:uid="{2B5B8BC2-F156-4737-B70E-BB7BD4D1FFF3}"/>
  <tableColumns count="3">
    <tableColumn id="1" xr3:uid="{9AB852F7-AE44-45E9-A4AB-EBF34ECC9C93}" name="#" dataDxfId="546"/>
    <tableColumn id="2" xr3:uid="{27120B25-8D25-4EA0-8B7A-C97FFA8F4274}" name="NAME" dataDxfId="545"/>
    <tableColumn id="3" xr3:uid="{E4BE3786-8132-4B66-82E4-1AEA65C3123D}" name="LINK" dataDxfId="544" dataCellStyle="Звичайний 5"/>
  </tableColumns>
  <tableStyleInfo name="TableStyleDark2" showFirstColumn="0"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903DD36C-509C-4E41-879F-F5506CF77773}" name="Таблиця271" displayName="Таблиця271" ref="AG110:AJ149" totalsRowShown="0" headerRowDxfId="543" dataDxfId="542">
  <autoFilter ref="AG110:AJ149" xr:uid="{95E5E4B0-B653-4F4E-9C08-5DFD41B5FA4E}"/>
  <tableColumns count="4">
    <tableColumn id="1" xr3:uid="{0DEB8B99-A615-47DE-A6FA-A74F35C19CFE}" name="#" dataDxfId="541"/>
    <tableColumn id="2" xr3:uid="{38A290DC-C9FD-4BBB-B63E-FA6A3F83309F}" name="ABBR" dataDxfId="540"/>
    <tableColumn id="3" xr3:uid="{7440CA0B-63FB-4D18-B3B8-F9BDD6CBE335}" name="NAME" dataDxfId="539"/>
    <tableColumn id="4" xr3:uid="{1D2E5081-9627-4490-AEFE-3320E9FC01DD}" name="LINK" dataDxfId="538"/>
  </tableColumns>
  <tableStyleInfo name="TableStyleDark2" showFirstColumn="0"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EC2ADFBE-BBDB-44BB-BAE6-210A22867D50}" name="Таблиця273" displayName="Таблиця273" ref="AR110:AS122" totalsRowShown="0" headerRowDxfId="537" dataDxfId="536">
  <autoFilter ref="AR110:AS122" xr:uid="{7CD68F4D-9B38-4C54-9415-F855BF5DF6A9}"/>
  <tableColumns count="2">
    <tableColumn id="1" xr3:uid="{C2554144-8CCA-40D3-8A45-C2FCE1F6F676}" name="TIME" dataDxfId="535"/>
    <tableColumn id="2" xr3:uid="{32F49E18-0559-4A72-9E4D-7F18F1212912}" name="SYMBOL" dataDxfId="534"/>
  </tableColumns>
  <tableStyleInfo name="TableStyleDark2" showFirstColumn="0"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CE6D5CBC-A982-4BFD-9676-22400BAE9E60}" name="Таблиця259" displayName="Таблиця259" ref="E59:G82" totalsRowShown="0" headerRowDxfId="533" dataDxfId="532">
  <autoFilter ref="E59:G82" xr:uid="{360F93E8-C579-4D20-8F07-F314F99BC270}"/>
  <tableColumns count="3">
    <tableColumn id="1" xr3:uid="{E373205C-7858-4DBF-B0A5-67C9EE47353B}" name="Sembian male names" dataDxfId="531"/>
    <tableColumn id="2" xr3:uid="{6D176942-E374-458D-8957-A0B715FF1412}" name="Sembian female names" dataDxfId="530"/>
    <tableColumn id="3" xr3:uid="{EBF68235-86B0-4249-B6FE-2D60F9BFA2EE}" name="Sembian surnames" dataDxfId="529"/>
  </tableColumns>
  <tableStyleInfo name="TableStyleDark11" showFirstColumn="0"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92BC9D60-8ED8-4FF8-838F-01D6BB7C19D3}" name="Таблиця277" displayName="Таблиця277" ref="B59:C114" totalsRowShown="0" headerRowDxfId="528" dataDxfId="527">
  <autoFilter ref="B59:C114" xr:uid="{D1D5B039-98E0-4C3C-9AD1-F417EAC91DA3}"/>
  <sortState xmlns:xlrd2="http://schemas.microsoft.com/office/spreadsheetml/2017/richdata2" ref="B60:C114">
    <sortCondition ref="C59:C114"/>
  </sortState>
  <tableColumns count="2">
    <tableColumn id="1" xr3:uid="{5676AADB-F0DA-4538-BF72-363E78FA3D7E}" name="Cormyrean Male" dataDxfId="526"/>
    <tableColumn id="2" xr3:uid="{CE66C50B-363E-4B16-8BFD-7E89D8075DDD}" name="Cormyrean  Female" dataDxfId="525"/>
  </tableColumns>
  <tableStyleInfo name="TableStyleDark11" showFirstColumn="0"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649B4368-C46D-4CB8-9047-93554B3E53C9}" name="Таблиця278" displayName="Таблиця278" ref="E90:F112" totalsRowShown="0" headerRowDxfId="524" dataDxfId="523">
  <autoFilter ref="E90:F112" xr:uid="{74DD3DCE-BC1F-4041-BABF-567CDB7B4056}"/>
  <tableColumns count="2">
    <tableColumn id="1" xr3:uid="{0B91E1E5-B5D8-406E-BC48-748F989B17B4}" name="Netherese male" dataDxfId="522"/>
    <tableColumn id="2" xr3:uid="{826A0DA3-ADD4-4066-884E-3A6715D64F53}" name="Netherese female" dataDxfId="521"/>
  </tableColumns>
  <tableStyleInfo name="TableStyleDark11" showFirstColumn="0"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3" xr:uid="{25893BF8-0CE0-4401-AEEA-F3433C1A6098}" name="Таблиця279" displayName="Таблиця279" ref="AA56:AC68" totalsRowShown="0" headerRowDxfId="520" dataDxfId="518" headerRowBorderDxfId="519" tableBorderDxfId="517" totalsRowBorderDxfId="516">
  <autoFilter ref="AA56:AC68" xr:uid="{1A6D9C91-714F-4A6E-8CFB-0EA9DE8629EB}"/>
  <tableColumns count="3">
    <tableColumn id="1" xr3:uid="{336D1F0E-146C-4172-8B1B-D221B26B34EF}" name="Month #" dataDxfId="515" dataCellStyle="Звичайний 3"/>
    <tableColumn id="2" xr3:uid="{EF601371-853F-48AB-B375-E26F657A0F39}" name="Name" dataDxfId="514" dataCellStyle="Звичайний 3"/>
    <tableColumn id="3" xr3:uid="{598718F4-68C0-4CE1-9DAD-9B82A31BE320}" name="Common Name" dataDxfId="513" dataCellStyle="Звичайний 3"/>
  </tableColumns>
  <tableStyleInfo name="TableStyleDark2" showFirstColumn="0"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90BA5F24-2A91-45A7-9E9E-FA2A7EBAF817}" name="Таблиця260" displayName="Таблиця260" ref="V209:Y218" totalsRowShown="0" headerRowDxfId="512" dataDxfId="511" dataCellStyle="Звичайний 6">
  <autoFilter ref="V209:Y218" xr:uid="{11053D2A-277F-40C1-9E26-C8664EE6500C}"/>
  <tableColumns count="4">
    <tableColumn id="1" xr3:uid="{8590F9E7-077B-4136-B8CB-A4E219FBF1A7}" name="Регион" dataDxfId="510" dataCellStyle="Звичайний 6"/>
    <tableColumn id="2" xr3:uid="{7D3076DC-0B91-4413-96CE-F5726A9319E8}" name="Раса" dataDxfId="509" dataCellStyle="Звичайний 6"/>
    <tableColumn id="3" xr3:uid="{F18C0910-3AC2-4D78-A7F9-0EB2826227D4}" name="Eng" dataDxfId="508" dataCellStyle="Звичайний 6"/>
    <tableColumn id="4" xr3:uid="{28AD55E1-F060-4C70-A39C-27A72C048061}" name="Описание вненшности" dataDxfId="507" dataCellStyle="Звичайний 6"/>
  </tableColumns>
  <tableStyleInfo name="TableStyleMedium1" showFirstColumn="0"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FF2AB81B-FF25-4F3A-AD9A-39099D73CDC4}" name="Таблиця263" displayName="Таблиця263" ref="V221:AA277" totalsRowShown="0" headerRowDxfId="506" dataDxfId="505">
  <autoFilter ref="V221:AA277" xr:uid="{F5C617E6-BDA5-4DF7-BC2C-AC84B6B98BED}"/>
  <tableColumns count="6">
    <tableColumn id="1" xr3:uid="{5FB6A2AC-B760-496C-88CF-8D561EA9725B}" name="Регион" dataDxfId="504"/>
    <tableColumn id="2" xr3:uid="{69867024-F537-473B-81B9-7CA70C4AFB6E}" name="Первичный (50% +)" dataDxfId="503"/>
    <tableColumn id="3" xr3:uid="{96BBAC26-6612-4942-A1F7-C1E21F104FFB}" name="Вторичный (от 5% до 49%)" dataDxfId="502"/>
    <tableColumn id="4" xr3:uid="{1C14627E-A5CC-4779-898F-F143955C9692}" name="Третичный (от 0% до 4%)" dataDxfId="501"/>
    <tableColumn id="5" xr3:uid="{241CAD84-2C7C-4621-BEFF-F18416306AA1}" name="Первичный Язык" dataDxfId="500"/>
    <tableColumn id="6" xr3:uid="{0755265E-F299-4B1C-9235-AF8D443B252F}" name="Алфавит(ы)" dataDxfId="499"/>
  </tableColumns>
  <tableStyleInfo name="TableStyleMedium15" showFirstColumn="0"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4" xr:uid="{6A7C8113-8480-4D0E-B931-B82253F3F612}" name="Таблиця283" displayName="Таблиця283" ref="N2:N181" totalsRowShown="0" headerRowDxfId="498" dataDxfId="497">
  <autoFilter ref="N2:N181" xr:uid="{6C9A048F-A048-4425-91DB-8430FB0DC5EF}"/>
  <sortState xmlns:xlrd2="http://schemas.microsoft.com/office/spreadsheetml/2017/richdata2" ref="N3:N181">
    <sortCondition ref="N2:N181"/>
  </sortState>
  <tableColumns count="1">
    <tableColumn id="1" xr3:uid="{904F0390-D9CE-4928-BDF9-C8CF23ABF904}" name="Cormyrean Surnames" dataDxfId="496"/>
  </tableColumns>
  <tableStyleInfo name="TableStyleDark2" showFirstColumn="0"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9EFA8C7B-D47E-41F2-9139-AB45E6AE18BA}" name="Таблиця10241" displayName="Таблиця10241" ref="K64:K247" totalsRowShown="0" headerRowDxfId="495" dataDxfId="494">
  <autoFilter ref="K64:K247" xr:uid="{94754976-F22D-4EB3-8550-89A2B6F540D3}"/>
  <tableColumns count="1">
    <tableColumn id="1" xr3:uid="{F0CE72B7-CF13-4D05-B834-F943BDAF2500}" name="#" dataDxfId="493"/>
  </tableColumns>
  <tableStyleInfo name="TableStyleMedium1" showFirstColumn="0"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CFBBDBD6-11FD-4922-9530-3CD0BE7E94F9}" name="Таблиця1012242" displayName="Таблиця1012242" ref="L64:L247" totalsRowShown="0" headerRowDxfId="492" dataDxfId="491">
  <autoFilter ref="L64:L247" xr:uid="{56AED0C6-A3BA-41C5-AAD7-8AD29EC85F45}"/>
  <tableColumns count="1">
    <tableColumn id="1" xr3:uid="{34E7B62C-4F63-4B1A-AEE0-358BD035E796}" name="Noble Family" dataDxfId="490"/>
  </tableColumns>
  <tableStyleInfo name="TableStyleMedium1" showFirstColumn="0"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1ECE1620-CE8E-4267-A940-648AFBFD8318}" name="Таблиця92243" displayName="Таблиця92243" ref="AC170:AG176" totalsRowShown="0" headerRowDxfId="489" dataDxfId="488">
  <autoFilter ref="AC170:AG176" xr:uid="{851BCBE1-62B0-411C-B38C-524A74835D41}"/>
  <tableColumns count="5">
    <tableColumn id="1" xr3:uid="{218A9231-9874-48E3-B8A0-8483F686DCE9}" name="Weather d100" dataDxfId="487"/>
    <tableColumn id="2" xr3:uid="{944F8FA3-221F-4EFE-9DAE-A916FC978262}" name="Weather" dataDxfId="486"/>
    <tableColumn id="3" xr3:uid="{A91352CD-3265-461E-A8C9-E909554068D8}" name="Cold Climate" dataDxfId="485"/>
    <tableColumn id="4" xr3:uid="{0495BE2A-8678-4E7B-BBD5-850BEE20698A}" name="Temperate Climate" dataDxfId="484"/>
    <tableColumn id="5" xr3:uid="{9BB7D965-65D1-4750-B99C-CE6EE81C98EA}" name="Desert" dataDxfId="483"/>
  </tableColumns>
  <tableStyleInfo name="TableStyleMedium16" showFirstColumn="1"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C44282B1-8C7F-4B00-A9BF-9A13815737FE}" name="Таблиця286" displayName="Таблиця286" ref="CQ4:CT14" totalsRowShown="0" headerRowDxfId="482" dataDxfId="481">
  <autoFilter ref="CQ4:CT14" xr:uid="{E2986A86-0022-41DE-819E-72AF0C687BB2}"/>
  <tableColumns count="4">
    <tableColumn id="1" xr3:uid="{FB3D6A0F-68F9-40C3-86CA-BD2EF38E0877}" name="d10 " dataDxfId="480"/>
    <tableColumn id="2" xr3:uid="{45C5758C-D6C8-4FF7-95A4-8C47B947614B}" name="Spring/Fall" dataDxfId="479"/>
    <tableColumn id="3" xr3:uid="{4BD9D41A-B734-4DB8-8F9A-E9D1E849D5FA}" name="Summer" dataDxfId="478"/>
    <tableColumn id="4" xr3:uid="{9EB6B092-7E08-402C-A3D6-3945FD456F42}" name="Winter" dataDxfId="477"/>
  </tableColumns>
  <tableStyleInfo name="TableStyleMedium15" showFirstColumn="0"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07DDB056-EDBE-4C9C-A15F-1E8653356B16}" name="Таблиця287" displayName="Таблиця287" ref="CI4:CJ23" totalsRowShown="0" headerRowDxfId="476" dataDxfId="475">
  <autoFilter ref="CI4:CJ23" xr:uid="{516038FB-933B-48B7-A8A7-7555AA927D9D}"/>
  <tableColumns count="2">
    <tableColumn id="1" xr3:uid="{3BF5B5B8-CB42-43AF-9EC8-81AAE29DCCC6}" name="d8+d12 Roll Encounter" dataDxfId="474"/>
    <tableColumn id="2" xr3:uid="{CCC43E97-A15C-4E7F-B5FA-0F1BB4DBFBDA}" name="Стовпець1" dataDxfId="473"/>
  </tableColumns>
  <tableStyleInfo name="TableStyleDark2" showFirstColumn="0"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3" xr:uid="{F02C27F2-7774-4562-B1FF-90F055D1950C}" name="Таблиця288" displayName="Таблиця288" ref="CL4:CM23" totalsRowShown="0" headerRowDxfId="472" dataDxfId="471">
  <autoFilter ref="CL4:CM23" xr:uid="{94912D67-549B-4196-B9D0-05DDD2377580}"/>
  <tableColumns count="2">
    <tableColumn id="1" xr3:uid="{2D463730-1D52-4CB1-9029-7ECB3F966D2F}" name="d8+d12 Roll Encounter" dataDxfId="470"/>
    <tableColumn id="2" xr3:uid="{5D903EF9-A6B7-483E-BED1-607EAC62BA84}" name="Стовпець1" dataDxfId="469"/>
  </tableColumns>
  <tableStyleInfo name="TableStyleDark3" showFirstColumn="0"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4" xr:uid="{2DC84455-A96A-46FA-8088-B05E847861F5}" name="Таблиця287255" displayName="Таблиця287255" ref="CI27:CJ46" totalsRowShown="0" headerRowDxfId="468" dataDxfId="467">
  <autoFilter ref="CI27:CJ46" xr:uid="{7C08B379-DEAF-4D56-9AE8-C0AA18FCF158}"/>
  <tableColumns count="2">
    <tableColumn id="1" xr3:uid="{0945477D-D4B6-483F-8090-DA8215B1F88A}" name="d8+d12 Roll Encounter" dataDxfId="466"/>
    <tableColumn id="2" xr3:uid="{281C4E59-C436-4F1A-8329-534CE1B59E25}" name="Стовпець1" dataDxfId="465"/>
  </tableColumns>
  <tableStyleInfo name="TableStyleDark2" showFirstColumn="0"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5" xr:uid="{A09E2410-7307-416D-9706-AFA396FD8785}" name="Таблиця287255256" displayName="Таблиця287255256" ref="CL27:CM46" totalsRowShown="0" headerRowDxfId="464" dataDxfId="463">
  <autoFilter ref="CL27:CM46" xr:uid="{5FA10CF8-51AA-4051-846C-EBEDA05E80A3}"/>
  <tableColumns count="2">
    <tableColumn id="1" xr3:uid="{855A125D-7DA1-474A-94C3-A463C17290DD}" name="d8+d12 Roll Encounter" dataDxfId="462"/>
    <tableColumn id="2" xr3:uid="{C6BFE18F-EBDB-4B3C-A43C-2EB90BE5D2E5}" name="Стовпець1" dataDxfId="461"/>
  </tableColumns>
  <tableStyleInfo name="TableStyleDark2" showFirstColumn="0"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6" xr:uid="{FFC79C21-07DA-4B1E-85D8-3E13A06E9AF8}" name="Таблиця287255256257" displayName="Таблиця287255256257" ref="CO27:CP46" totalsRowShown="0" headerRowDxfId="460" dataDxfId="459">
  <autoFilter ref="CO27:CP46" xr:uid="{5504DFC7-C401-4BB5-83A8-1BB55D23E441}"/>
  <tableColumns count="2">
    <tableColumn id="1" xr3:uid="{FFD42A23-EC57-4005-987F-6A73CB906A84}" name="d8+d12 Roll Encounter" dataDxfId="458"/>
    <tableColumn id="2" xr3:uid="{412F6122-43E0-4A0C-A756-6C1A7104CD11}" name="Стовпець1" dataDxfId="457"/>
  </tableColumns>
  <tableStyleInfo name="TableStyleDark2" showFirstColumn="0"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7" xr:uid="{2303C4E3-D8A5-4F07-A927-329122B3B8B5}" name="Таблиця289" displayName="Таблиця289" ref="CI50:CJ69" totalsRowShown="0" headerRowDxfId="456" dataDxfId="455">
  <autoFilter ref="CI50:CJ69" xr:uid="{06127CB5-3C29-45C2-9DF5-61AFD5B13AF9}"/>
  <tableColumns count="2">
    <tableColumn id="1" xr3:uid="{A6B0676C-D822-4687-BF03-A716DA6706D6}" name="d8+d12 Roll" dataDxfId="454"/>
    <tableColumn id="2" xr3:uid="{1D2C4E45-01E3-4737-A70A-F6CC490732B9}" name="Encounter" dataDxfId="453"/>
  </tableColumns>
  <tableStyleInfo name="TableStyleDark4" showFirstColumn="0"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8" xr:uid="{CAFEEC41-0DF7-429C-AD66-785CEB274CFD}" name="Таблиця290" displayName="Таблиця290" ref="CL50:CM69" totalsRowShown="0" headerRowDxfId="452" dataDxfId="451">
  <autoFilter ref="CL50:CM69" xr:uid="{241245A2-375C-4955-A7EF-0D01CE52C146}"/>
  <tableColumns count="2">
    <tableColumn id="1" xr3:uid="{7B0A3C73-BFD7-451A-B28A-0E952FE8C617}" name="d8+d12 Roll" dataDxfId="450"/>
    <tableColumn id="2" xr3:uid="{6FE3F9A9-0189-4DCD-8DE6-05972DF8F8F0}" name="Encounter" dataDxfId="449"/>
  </tableColumns>
  <tableStyleInfo name="TableStyleMedium16" showFirstColumn="0"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9" xr:uid="{1BE7A470-4010-4D46-BADC-6CADF9C02007}" name="Таблиця291" displayName="Таблиця291" ref="CR27:CS46" totalsRowShown="0" headerRowDxfId="448" dataDxfId="447">
  <autoFilter ref="CR27:CS46" xr:uid="{0808F6A0-6421-44FA-BEC5-07D9654FC997}"/>
  <tableColumns count="2">
    <tableColumn id="1" xr3:uid="{50009530-2E25-4E39-9077-4E933B7D3625}" name="d8+d12 Roll Encounter" dataDxfId="446"/>
    <tableColumn id="2" xr3:uid="{6E46D21E-FC72-49F3-B1BE-333F05E6D7A9}" name="Стовпець1" dataDxfId="445"/>
  </tableColumns>
  <tableStyleInfo name="TableStyleDark3" showFirstColumn="0"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9A1C5ABA-DBF7-4DB1-87C6-0FFFFB10E6C0}" name="Таблиця300" displayName="Таблиця300" ref="A122:B146" totalsRowShown="0" headerRowDxfId="444" dataDxfId="443">
  <autoFilter ref="A122:B146" xr:uid="{90E74B2A-7C39-4CFA-A46D-6D09DDFF570D}"/>
  <tableColumns count="2">
    <tableColumn id="1" xr3:uid="{5ECC08FA-E301-4518-AD41-1804F67F1BDC}" name="Стовпець1" dataDxfId="442"/>
    <tableColumn id="2" xr3:uid="{B33B4634-AF00-47C0-AD0B-1663A514C6E0}" name="Стовпець2" dataDxfId="441"/>
  </tableColumns>
  <tableStyleInfo name="TableStyleDark2" showFirstColumn="0"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5E728487-404E-409F-8C7A-5BC4C8362043}" name="Таблиця301" displayName="Таблиця301" ref="D123:E145" totalsRowShown="0" headerRowDxfId="440" dataDxfId="439">
  <autoFilter ref="D123:E145" xr:uid="{98B90AF3-95F1-4703-AB36-B9B01AFD7200}"/>
  <tableColumns count="2">
    <tableColumn id="1" xr3:uid="{11D9D007-94A7-43F3-BE8B-EFDC194C34D5}" name="Стовпець1" dataDxfId="438"/>
    <tableColumn id="2" xr3:uid="{D64B47FA-8663-4D78-A51C-099D9CF37527}" name="Стовпець2" dataDxfId="437"/>
  </tableColumns>
  <tableStyleInfo name="TableStyleDark3" showFirstColumn="0"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6909BBD4-CE8C-48A3-A7B9-B9D7360B2E0C}" name="Таблиця302" displayName="Таблиця302" ref="G154:H169" totalsRowShown="0" headerRowDxfId="436" dataDxfId="435">
  <autoFilter ref="G154:H169" xr:uid="{630F6710-6CCE-48AD-B7E6-C2E0598661B4}"/>
  <tableColumns count="2">
    <tableColumn id="1" xr3:uid="{9175D239-B25C-42D8-A329-F66C239443A8}" name="d100" dataDxfId="434"/>
    <tableColumn id="2" xr3:uid="{FD209B7E-ABE8-4FE3-9BBC-C2F9819B3326}" name="High cost goods" dataDxfId="433"/>
  </tableColumns>
  <tableStyleInfo name="TableStyleDark3" showFirstColumn="0"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C78C83DB-F2F5-4DCC-9730-80DC02B08AB4}" name="Таблиця303" displayName="Таблиця303" ref="G122:H136" totalsRowShown="0" headerRowDxfId="432" dataDxfId="431">
  <autoFilter ref="G122:H136" xr:uid="{4EDD5059-7F93-4869-8948-C0FA6332052F}"/>
  <tableColumns count="2">
    <tableColumn id="1" xr3:uid="{2C56EA6A-04BA-4ED1-957A-527FBA294D05}" name="d100" dataDxfId="430"/>
    <tableColumn id="2" xr3:uid="{A822A0E1-A2F9-4AC6-A1FB-7C0541FD6F92}" name="Low cost Goods" dataDxfId="429"/>
  </tableColumns>
  <tableStyleInfo name="TableStyleDark2" showFirstColumn="0"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3" xr:uid="{483D932B-59DC-42AD-A318-81DB854F6BC0}" name="Table_10" displayName="Table_10" ref="DM46:DP51" headerRowDxfId="428" dataDxfId="427" totalsRowDxfId="426">
  <tableColumns count="4">
    <tableColumn id="1" xr3:uid="{0F984BEA-B936-4D8B-9276-13545BDF9A83}" name="TravelEffort" dataDxfId="425"/>
    <tableColumn id="2" xr3:uid="{425DBF94-57D5-4DAB-B4B7-F82C3D761311}" name="SpeedMod" dataDxfId="424"/>
    <tableColumn id="3" xr3:uid="{26983F12-4E55-4099-9703-93EC32E0DAD7}" name="NavMod" dataDxfId="423"/>
    <tableColumn id="4" xr3:uid="{282BB06A-B302-4F77-A388-24597BEB7F3E}" name="ForageHuntMod" dataDxfId="422"/>
  </tableColumns>
  <tableStyleInfo name="Travel Tables-style" showFirstColumn="1" showLastColumn="1"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4" xr:uid="{5C804FBB-3CEE-4C10-8097-AFA188A8FA93}" name="Table_11" displayName="Table_11" ref="DM2:DR14" headerRowDxfId="421" dataDxfId="420" totalsRowDxfId="419">
  <tableColumns count="6">
    <tableColumn id="1" xr3:uid="{BB13DCDC-1BE4-40C5-BC5E-04E3CA3D413C}" name="TERRAIN" dataDxfId="418"/>
    <tableColumn id="2" xr3:uid="{AD4242EA-E25D-462D-BFFC-B2FDE45905EB}" name="HIGHWAY" dataDxfId="417"/>
    <tableColumn id="3" xr3:uid="{C89BD685-978A-4ABB-BA72-751A0689A07D}" name="ROAD" dataDxfId="416"/>
    <tableColumn id="4" xr3:uid="{C1741963-8ABD-44FB-A428-9170D2FC283F}" name="WILD" dataDxfId="415"/>
    <tableColumn id="5" xr3:uid="{735D7880-0849-433F-AC85-0AD8D6B4334E}" name="NavDC" dataDxfId="414"/>
    <tableColumn id="6" xr3:uid="{E9571333-C152-447B-BD4D-0378ABEE82F6}" name="ForageHuntDC" dataDxfId="413"/>
  </tableColumns>
  <tableStyleInfo name="Travel Tables-style 2" showFirstColumn="1" showLastColumn="1"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5" xr:uid="{05E50AAD-C1A0-4A23-8A44-7A44607DF542}" name="Table_12" displayName="Table_12" ref="DM16:DP26" headerRowDxfId="412" dataDxfId="411" totalsRowDxfId="410">
  <tableColumns count="4">
    <tableColumn id="1" xr3:uid="{522039E4-4F7B-4740-9BD7-461BF83CB4BD}" name="Weather" dataDxfId="409"/>
    <tableColumn id="2" xr3:uid="{D669EE5B-0C1B-40F3-BFBD-70A2DDD5EF1E}" name="SpeedMod" dataDxfId="408"/>
    <tableColumn id="3" xr3:uid="{AFA39219-722D-44D4-87AA-1A428AA09CA8}" name="NavMod" dataDxfId="407"/>
    <tableColumn id="4" xr3:uid="{815B5F74-1CE3-4BA5-93F3-A6310E89B44E}" name="ForageHuntMod" dataDxfId="406"/>
  </tableColumns>
  <tableStyleInfo name="Travel Tables-style 3" showFirstColumn="1" showLastColumn="1"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 xr:uid="{5D38F761-2EBE-4BB5-A847-829FDAF4DE8A}" name="Table_13" displayName="Table_13" ref="DM28:DP44" headerRowDxfId="405" dataDxfId="404" totalsRowDxfId="403">
  <tableColumns count="4">
    <tableColumn id="1" xr3:uid="{6292DE46-F8C8-4299-A1FA-1A5958AA12E5}" name="ModeOfTravel" dataDxfId="402"/>
    <tableColumn id="2" xr3:uid="{0F213E08-AB6D-4EBC-9381-9B359F67A90C}" name="SpeedMod" dataDxfId="401"/>
    <tableColumn id="3" xr3:uid="{706DB610-846B-4860-99D7-8C7109B21D06}" name="NavMod" dataDxfId="400"/>
    <tableColumn id="4" xr3:uid="{D6083AEF-9180-4579-8757-B63A79805DDD}" name="ForageHuntMod" dataDxfId="399"/>
  </tableColumns>
  <tableStyleInfo name="Travel Tables-style 4" showFirstColumn="1" showLastColumn="1"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7A7CCB3-CD81-47C0-8E35-29596125546D}" name="Table_113" displayName="Table_113" ref="EL9:EN12" headerRowDxfId="398" dataDxfId="397" totalsRowDxfId="396">
  <tableColumns count="3">
    <tableColumn id="1" xr3:uid="{7F456C24-E214-4104-9417-4F134CC77BC0}" name="No Wind" dataDxfId="395">
      <calculatedColumnFormula>SUM($EE10:EE10)/SUM($EF10:$EH10)</calculatedColumnFormula>
    </tableColumn>
    <tableColumn id="2" xr3:uid="{1017AD7A-4EA1-43A6-BF57-7F22A47385E2}" name="Low Winds" dataDxfId="394">
      <calculatedColumnFormula>SUM($EE10:EF10)/SUM($EF10:$EH10)</calculatedColumnFormula>
    </tableColumn>
    <tableColumn id="3" xr3:uid="{7370E950-12B4-4BE3-B3DF-8B610AE1675B}" name="High Winds" dataDxfId="393">
      <calculatedColumnFormula>SUM($EE10:EG10)/SUM($EF10:$EH10)</calculatedColumnFormula>
    </tableColumn>
  </tableColumns>
  <tableStyleInfo name="Weather Tables-style" showFirstColumn="1" showLastColumn="1"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18529BC3-C304-4909-BC0C-04DA3015ED58}" name="Table_290" displayName="Table_290" ref="EL3:EN6" headerRowDxfId="392" dataDxfId="391" totalsRowDxfId="390">
  <tableColumns count="3">
    <tableColumn id="1" xr3:uid="{DD22C681-947B-4D32-9B6A-2D2BFB4716BD}" name="Clear Skies" dataDxfId="389">
      <calculatedColumnFormula>SUM($EE4:EE4)/SUM($EF4:$EH4)</calculatedColumnFormula>
    </tableColumn>
    <tableColumn id="2" xr3:uid="{6E0E6BA7-B1DD-43AA-AF79-61C49C9E0D00}" name="Light Rain" dataDxfId="388">
      <calculatedColumnFormula>SUM($EE4:EF4)/SUM($EF4:$EH4)</calculatedColumnFormula>
    </tableColumn>
    <tableColumn id="3" xr3:uid="{E62D2BC6-B8A2-4604-B954-FBC1FFEB4FA6}" name="Heavy Rain" dataDxfId="387">
      <calculatedColumnFormula>SUM($EE4:EG4)/SUM($EF4:$EH4)</calculatedColumnFormula>
    </tableColumn>
  </tableColumns>
  <tableStyleInfo name="Weather Tables-style 2" showFirstColumn="1" showLastColumn="1"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CC16CCD1-A711-496B-9E87-C93169AE3AA2}" name="Table_3100" displayName="Table_3100" ref="EQ3:ES6" headerRowDxfId="386" dataDxfId="385" totalsRowDxfId="384">
  <tableColumns count="3">
    <tableColumn id="1" xr3:uid="{2A2AA23D-3DD3-443E-AE83-40D0CD8787C5}" name="Clear Skies" dataDxfId="383">
      <calculatedColumnFormula>EF4/SUM($EF4:$EH4)</calculatedColumnFormula>
    </tableColumn>
    <tableColumn id="2" xr3:uid="{DEA25DF1-B44F-40F0-9C3A-A9F2D073B826}" name="Light Rain" dataDxfId="382">
      <calculatedColumnFormula>EG4/SUM($EF4:$EH4)</calculatedColumnFormula>
    </tableColumn>
    <tableColumn id="3" xr3:uid="{67E1BF13-18CD-4621-AC1A-8C98F312A82D}" name="Heavy Rain" dataDxfId="381">
      <calculatedColumnFormula>EH4/SUM($EF4:$EH4)</calculatedColumnFormula>
    </tableColumn>
  </tableColumns>
  <tableStyleInfo name="Weather Tables-style 3" showFirstColumn="1" showLastColumn="1"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73EDBB42-9311-44DE-A1AC-20BE9647BCE7}" name="Table_4101" displayName="Table_4101" ref="EQ9:ES12" headerRowDxfId="380" dataDxfId="379" totalsRowDxfId="378">
  <tableColumns count="3">
    <tableColumn id="1" xr3:uid="{B6F57D40-3972-4B13-BDD9-3D48F857F1F9}" name="No Wind" dataDxfId="377">
      <calculatedColumnFormula>EF10/SUM($EF10:$EH10)</calculatedColumnFormula>
    </tableColumn>
    <tableColumn id="2" xr3:uid="{686237CB-5C4E-45D6-8B73-AADE91437207}" name="Low Winds" dataDxfId="376">
      <calculatedColumnFormula>EG10/SUM($EF10:$EH10)</calculatedColumnFormula>
    </tableColumn>
    <tableColumn id="3" xr3:uid="{4D739CBC-0954-4FAD-945A-65219F7E5538}" name="High Winds" dataDxfId="375">
      <calculatedColumnFormula>EH10/SUM($EF10:$EH10)</calculatedColumnFormula>
    </tableColumn>
  </tableColumns>
  <tableStyleInfo name="Weather Tables-style 4" showFirstColumn="1" showLastColumn="1"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B12E541C-1A9B-4254-B3EF-7A6080AD5715}" name="Table_5" displayName="Table_5" ref="EQ22:ES25" headerRowDxfId="374" dataDxfId="373" totalsRowDxfId="372">
  <tableColumns count="3">
    <tableColumn id="1" xr3:uid="{88F89A1B-0067-41C0-A048-B651ECE359FC}" name="No Wind" dataDxfId="371">
      <calculatedColumnFormula>EF23/SUM($EF23:$EH23)</calculatedColumnFormula>
    </tableColumn>
    <tableColumn id="2" xr3:uid="{21DAFB67-5F80-4A68-A318-6F3B118A793D}" name="Low Winds" dataDxfId="370">
      <calculatedColumnFormula>EG23/SUM($EF23:$EH23)</calculatedColumnFormula>
    </tableColumn>
    <tableColumn id="3" xr3:uid="{E5839F50-30E1-4E94-874D-C4212C9EB87D}" name="High Winds" dataDxfId="369">
      <calculatedColumnFormula>EH23/SUM($EF23:$EH23)</calculatedColumnFormula>
    </tableColumn>
  </tableColumns>
  <tableStyleInfo name="Weather Tables-style 5" showFirstColumn="1" showLastColumn="1"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E28AA61B-7467-4FC3-8FA1-B7A865CF06F5}" name="Table_6" displayName="Table_6" ref="EL22:EN25" headerRowDxfId="368" dataDxfId="367" totalsRowDxfId="366">
  <tableColumns count="3">
    <tableColumn id="1" xr3:uid="{1B8004DB-DD41-45F7-8974-D305ED95FEDF}" name="No Wind" dataDxfId="365">
      <calculatedColumnFormula>SUM($EE23:EE23)/SUM($EF23:$EH23)</calculatedColumnFormula>
    </tableColumn>
    <tableColumn id="2" xr3:uid="{131E49C6-DCE1-4BA9-90F4-31009A3CF6B3}" name="Low Winds" dataDxfId="364">
      <calculatedColumnFormula>SUM($EE23:EF23)/SUM($EF23:$EH23)</calculatedColumnFormula>
    </tableColumn>
    <tableColumn id="3" xr3:uid="{D88805B5-0FAB-40B7-A423-AA961D30863D}" name="High Winds" dataDxfId="363">
      <calculatedColumnFormula>SUM($EE23:EG23)/SUM($EF23:$EH23)</calculatedColumnFormula>
    </tableColumn>
  </tableColumns>
  <tableStyleInfo name="Weather Tables-style 6" showFirstColumn="1" showLastColumn="1"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0" xr:uid="{3B803B55-6B03-4C1D-9F77-FA938ED29438}" name="Table_7" displayName="Table_7" ref="DZ2:EC9" headerRowCount="0" headerRowDxfId="362" dataDxfId="361" totalsRowDxfId="360">
  <tableColumns count="4">
    <tableColumn id="1" xr3:uid="{42C48E0D-1B30-4DEA-A202-03170D84F8E9}" name="Column1" dataDxfId="359"/>
    <tableColumn id="2" xr3:uid="{6216DBF6-2BD0-4736-AEE3-FB6F164DDC3A}" name="Column2" dataDxfId="358"/>
    <tableColumn id="3" xr3:uid="{7652513B-AEB8-49FE-B1AE-A9CBD5ADC904}" name="Column3" dataDxfId="357"/>
    <tableColumn id="4" xr3:uid="{0CC41523-60F1-40A0-866D-7F3F04E87E8F}" name="Column4" dataDxfId="356"/>
  </tableColumns>
  <tableStyleInfo name="Weather Tables-style 7" showFirstColumn="1" showLastColumn="1"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1" xr:uid="{7BD1DD0C-5C72-46DF-9C23-9704E6ED7C75}" name="Table_8" displayName="Table_8" ref="EQ16:ES19" headerRowDxfId="355" dataDxfId="354" totalsRowDxfId="353">
  <tableColumns count="3">
    <tableColumn id="1" xr3:uid="{F707D484-42B4-4A7B-90A8-039CE2DB54D7}" name="Clear Skies" dataDxfId="352">
      <calculatedColumnFormula>EF17/SUM($EF17:$EH17)</calculatedColumnFormula>
    </tableColumn>
    <tableColumn id="2" xr3:uid="{13D28A67-597D-4D94-91DF-DD70878DA00F}" name="Light Rain" dataDxfId="351">
      <calculatedColumnFormula>EG17/SUM($EF17:$EH17)</calculatedColumnFormula>
    </tableColumn>
    <tableColumn id="3" xr3:uid="{FCDFD6F2-53DA-4DD5-AF26-59B06F97E5B9}" name="Heavy Rain" dataDxfId="350">
      <calculatedColumnFormula>EH17/SUM($EF17:$EH17)</calculatedColumnFormula>
    </tableColumn>
  </tableColumns>
  <tableStyleInfo name="Weather Tables-style 8" showFirstColumn="1" showLastColumn="1"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2" xr:uid="{DB9492D0-C6D9-4ED1-B034-F56F4A4CE205}" name="Table_9" displayName="Table_9" ref="EL16:EN19" headerRowDxfId="349" dataDxfId="348" totalsRowDxfId="347">
  <tableColumns count="3">
    <tableColumn id="1" xr3:uid="{E5A22057-F263-4C8C-96F7-349335967139}" name="Clear Skies" dataDxfId="346">
      <calculatedColumnFormula>SUM($EE17:EE17)/SUM($EF17:$EH17)</calculatedColumnFormula>
    </tableColumn>
    <tableColumn id="2" xr3:uid="{DCFEFDC5-1707-4E99-8B8C-C1EEB0DCB748}" name="Light Rain" dataDxfId="345">
      <calculatedColumnFormula>SUM($EE17:EF17)/SUM($EF17:$EH17)</calculatedColumnFormula>
    </tableColumn>
    <tableColumn id="3" xr3:uid="{A68ECDB8-E71B-45C7-BEB9-CBF7CA2BDC4D}" name="Heavy Rain" dataDxfId="344">
      <calculatedColumnFormula>SUM($EE17:EG17)/SUM($EF17:$EH17)</calculatedColumnFormula>
    </tableColumn>
  </tableColumns>
  <tableStyleInfo name="Weather Tables-style 9" showFirstColumn="1" showLastColumn="1"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150FDD6F-8A3C-4EDE-B23C-35D60C5462B9}" name="Таблиця309" displayName="Таблиця309" ref="EY5:EY11" totalsRowShown="0" headerRowDxfId="343" dataDxfId="342">
  <autoFilter ref="EY5:EY11" xr:uid="{68B01932-DA19-48F5-AE7B-9374ED449759}"/>
  <tableColumns count="1">
    <tableColumn id="1" xr3:uid="{EDF5DE5E-E524-4BA1-A55A-2D20F66D91B6}" name="Rumor Ladder" dataDxfId="341"/>
  </tableColumns>
  <tableStyleInfo name="TableStyleMedium1" showFirstColumn="0"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5" xr:uid="{0552CC32-488C-44AD-8031-AA28DEE3E392}" name="Таблиця310" displayName="Таблиця310" ref="EU2:EW43" totalsRowShown="0" headerRowDxfId="340" dataDxfId="339" headerRowCellStyle="Звичайний 5" dataCellStyle="Звичайний 5">
  <autoFilter ref="EU2:EW43" xr:uid="{39B273FB-5002-4950-A4B2-63BE13C1DB83}"/>
  <tableColumns count="3">
    <tableColumn id="1" xr3:uid="{95984A92-8978-4F6E-810D-40CF4DCC42F6}" name="Rand Skies" dataDxfId="338" dataCellStyle="Звичайний 5">
      <calculatedColumnFormula>RAND()</calculatedColumnFormula>
    </tableColumn>
    <tableColumn id="2" xr3:uid="{9BFB7647-5FC7-41A5-AE03-09DB8F2655C0}" name="Rand Wind" dataDxfId="337" dataCellStyle="Звичайний 5">
      <calculatedColumnFormula>RAND()</calculatedColumnFormula>
    </tableColumn>
    <tableColumn id="3" xr3:uid="{B5DC9EAC-5791-412F-8C33-9C844E79E9C0}" name="Rand Temp" dataDxfId="336" dataCellStyle="Звичайний 5">
      <calculatedColumnFormula>RAND()</calculatedColumnFormula>
    </tableColumn>
  </tableColumns>
  <tableStyleInfo name="TableStyleMedium1" showFirstColumn="0"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6" xr:uid="{73FB336E-C3C6-4243-B57D-1FD4ACC3892F}" name="Таблиця311" displayName="Таблиця311" ref="DQ75:DT89" totalsRowShown="0" headerRowDxfId="335" dataDxfId="334">
  <autoFilter ref="DQ75:DT89" xr:uid="{7C8182EF-F232-46FD-802B-4EA633F95C52}"/>
  <tableColumns count="4">
    <tableColumn id="1" xr3:uid="{7C2F8E04-0224-46CC-8290-9D80DAF7A419}" name="Terrain" dataDxfId="333"/>
    <tableColumn id="2" xr3:uid="{48BA9F27-DFA3-4F57-AFA3-724B79B1ADC7}" name="Road" dataDxfId="332"/>
    <tableColumn id="3" xr3:uid="{012D694A-DFE1-4D21-8810-9A1DDD449CF8}" name="Trail" dataDxfId="331"/>
    <tableColumn id="4" xr3:uid="{E45D6040-2520-4090-81DF-7EFF8B323A67}" name="Trackless" dataDxfId="330"/>
  </tableColumns>
  <tableStyleInfo name="TableStyleMedium1" showFirstColumn="0"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7" xr:uid="{9E8FD67E-58D3-45B9-BDF2-0C9273B62155}" name="Таблиця312" displayName="Таблиця312" ref="DL60:DY71" totalsRowShown="0" headerRowDxfId="329" dataDxfId="328">
  <autoFilter ref="DL60:DY71" xr:uid="{E45827AD-A54E-4DCF-8CDD-0FDDA3CBFC9A}"/>
  <tableColumns count="14">
    <tableColumn id="1" xr3:uid="{945724DB-0665-4FA9-B522-4CB109F72212}" name="COMMON LOCAL AND OVERLAND SPEEDS ARE:" dataDxfId="327"/>
    <tableColumn id="2" xr3:uid="{988B2F9B-95F5-4102-93A2-9BDF1F0A3C26}" name="Speed" dataDxfId="326"/>
    <tableColumn id="3" xr3:uid="{52417F4B-22FA-4ADA-82E9-9891D4B5A24F}" name="100" dataDxfId="325"/>
    <tableColumn id="4" xr3:uid="{D491B711-F1AE-487B-99C2-464D95E0B4C9}" name="90" dataDxfId="324"/>
    <tableColumn id="5" xr3:uid="{32AB9CA5-AF92-4E6B-BA23-3035518AEB36}" name="80" dataDxfId="323"/>
    <tableColumn id="6" xr3:uid="{1C3C1DE7-34E0-4215-A85D-333888B161AE}" name="70" dataDxfId="322"/>
    <tableColumn id="7" xr3:uid="{FF31F345-B55C-48CD-9656-1653193E20B5}" name="60" dataDxfId="321"/>
    <tableColumn id="8" xr3:uid="{CF342221-2B41-464D-829B-A643A7E8D6D9}" name="50" dataDxfId="320"/>
    <tableColumn id="9" xr3:uid="{9E45ED6C-49DF-461B-8473-03D7D6C45E8C}" name="40" dataDxfId="319"/>
    <tableColumn id="10" xr3:uid="{B75F7F5E-2C9C-4072-8B29-901A2ABC2159}" name="30" dataDxfId="318"/>
    <tableColumn id="11" xr3:uid="{D39A6D82-B869-40A3-B768-8627E6B54639}" name="20" dataDxfId="317"/>
    <tableColumn id="12" xr3:uid="{F4588518-8E30-480D-99C1-EB115D4DD73F}" name="15" dataDxfId="316"/>
    <tableColumn id="13" xr3:uid="{C33B7D71-C5C1-40B0-8344-2E35AE131824}" name="10" dataDxfId="315"/>
    <tableColumn id="14" xr3:uid="{416680D2-16E5-4F4B-BB43-41338B97CEE8}" name="5" dataDxfId="314"/>
  </tableColumns>
  <tableStyleInfo name="TableStyleMedium1" showFirstColumn="0"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8" xr:uid="{B2CCF3EC-D244-460F-8002-215ABC21349C}" name="Таблиця313" displayName="Таблиця313" ref="DL82:DM94" totalsRowShown="0" headerRowDxfId="313" dataDxfId="312">
  <autoFilter ref="DL82:DM94" xr:uid="{9AE84EB3-FCA0-409B-8A95-9E078C73C632}"/>
  <tableColumns count="2">
    <tableColumn id="1" xr3:uid="{09EA2E16-AC17-45D6-B9CB-76E04396FF7E}" name="Mount/Vehicle" dataDxfId="311"/>
    <tableColumn id="2" xr3:uid="{696F24EC-4CC1-46D5-A8C2-02120DB87884}" name="Speed" dataDxfId="310"/>
  </tableColumns>
  <tableStyleInfo name="TableStyleMedium1" showFirstColumn="0"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9" xr:uid="{5C11BD45-E60A-425D-A8B5-51849501CCE1}" name="Таблиця314" displayName="Таблиця314" ref="DL74:DO79" totalsRowShown="0" headerRowDxfId="309" dataDxfId="308">
  <autoFilter ref="DL74:DO79" xr:uid="{24B27B49-3E24-485C-AEB5-E1A40E3840E5}"/>
  <tableColumns count="4">
    <tableColumn id="1" xr3:uid="{65B414EF-D2BC-454B-B8C1-F4B5038F486C}" name="Hampered Movement" dataDxfId="307"/>
    <tableColumn id="2" xr3:uid="{FC88267E-908F-42B2-8604-984A23E35392}" name="Condition" dataDxfId="306"/>
    <tableColumn id="3" xr3:uid="{E49436B9-992C-426A-8B82-1CC1A206FB4D}" name="Example" dataDxfId="305"/>
    <tableColumn id="4" xr3:uid="{A5652854-C087-49DB-946D-8B5334C64BDF}" name="Penalty" dataDxfId="304"/>
  </tableColumns>
  <tableStyleInfo name="TableStyleMedium1" showFirstColumn="0"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1" xr:uid="{7D268DE1-2D48-401F-8F20-135589E5F599}" name="Таблиця316" displayName="Таблиця316" ref="DV74:DW92" totalsRowShown="0" headerRowDxfId="303" dataDxfId="302">
  <autoFilter ref="DV74:DW92" xr:uid="{DF34B0A3-5DC4-4A13-BB68-94195EDF48DA}"/>
  <tableColumns count="2">
    <tableColumn id="1" xr3:uid="{1BA0E41B-3EEB-4102-8B1E-9D1B5175C620}" name="Terrain Types:" dataDxfId="301"/>
    <tableColumn id="2" xr3:uid="{9308669E-93C9-401E-A0B3-1E93AB832577}" name="Desc" dataDxfId="300"/>
  </tableColumns>
  <tableStyleInfo name="TableStyleMedium1" showFirstColumn="0"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961BFEDF-97F7-4E26-9DFA-ADED7CA6ACDE}" name="Таблиця23109" displayName="Таблиця23109" ref="A254:B261" totalsRowShown="0" headerRowDxfId="299" dataDxfId="298">
  <autoFilter ref="A254:B261" xr:uid="{B5A70126-79EC-42E5-8633-F63E714CF5ED}"/>
  <tableColumns count="2">
    <tableColumn id="1" xr3:uid="{40D4B986-1C9F-4800-A437-D55EF05760AD}" name="Survival (d20)" dataDxfId="297"/>
    <tableColumn id="2" xr3:uid="{41F9FD8B-A9FA-4F9F-8BDF-525022AEBDDA}" name="Safety" dataDxfId="296"/>
  </tableColumns>
  <tableStyleInfo name="TableStyleMedium1" showFirstColumn="0"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F60A1360-7052-454D-B68F-89BB4E0BD7F9}" name="Таблиця24110" displayName="Таблиця24110" ref="A266:B272" totalsRowShown="0" headerRowDxfId="295" dataDxfId="294">
  <autoFilter ref="A266:B272" xr:uid="{469426AB-C42B-4663-9C2D-A87B5F40B5D7}"/>
  <tableColumns count="2">
    <tableColumn id="1" xr3:uid="{349A4B82-2C9C-4480-900B-F765B89BA794}" name="d6" dataDxfId="293"/>
    <tableColumn id="2" xr3:uid="{7CCB2447-D3D9-4023-BF31-F3DB9430CD97}" name="Feature" dataDxfId="292"/>
  </tableColumns>
  <tableStyleInfo name="TableStyleMedium10" showFirstColumn="0"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EC1A6E2F-A2DE-4645-92C4-81C60EAC025F}" name="Таблиця25111" displayName="Таблиця25111" ref="D266:G272" totalsRowShown="0" headerRowDxfId="291" dataDxfId="290">
  <autoFilter ref="D266:G272" xr:uid="{0A75F938-D629-48B7-9EFA-3ED2A1151CD9}"/>
  <tableColumns count="4">
    <tableColumn id="1" xr3:uid="{750E8EE3-3598-4282-823F-46D98394E024}" name="d6 + Safety (once for each)" dataDxfId="289"/>
    <tableColumn id="2" xr3:uid="{4E12DC51-3C3E-4933-8E1E-6FB95A18FF55}" name="Water" dataDxfId="288"/>
    <tableColumn id="3" xr3:uid="{9047EE00-ACE6-488D-A736-27F6CCD52A86}" name="Food" dataDxfId="287"/>
    <tableColumn id="4" xr3:uid="{3D0BF7BA-AA70-45EA-83AE-7945CB37FE26}" name="Shelter" dataDxfId="286"/>
  </tableColumns>
  <tableStyleInfo name="TableStyleLight1" showFirstColumn="0"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AB6BBAD3-9D8F-4F7D-9483-08021C544265}" name="Таблиця26112" displayName="Таблиця26112" ref="A276:L284" totalsRowShown="0" headerRowDxfId="285" dataDxfId="284">
  <autoFilter ref="A276:L284" xr:uid="{13E4A87A-76E4-42BE-94A2-EBF00C27F496}"/>
  <tableColumns count="12">
    <tableColumn id="1" xr3:uid="{1765613C-2564-45F0-9C21-99EA3CFE789C}" name="Encounter" dataDxfId="283"/>
    <tableColumn id="2" xr3:uid="{07039F36-C885-4288-8004-741D0C3E5BAB}" name="Size" dataDxfId="282"/>
    <tableColumn id="3" xr3:uid="{756F11CD-DEFD-47CC-9D0D-1F11C90CAEB6}" name="Detail" dataDxfId="281"/>
    <tableColumn id="4" xr3:uid="{B2DE769C-BCE6-4A83-9690-EAA5F7E7FC47}" name="Number" dataDxfId="280"/>
    <tableColumn id="5" xr3:uid="{AF10987B-C7E6-4DC4-B66A-789DBCD34BCE}" name="AC" dataDxfId="279"/>
    <tableColumn id="6" xr3:uid="{85D99C6A-E039-4FAA-94D0-B7204B1A13C8}" name="HP" dataDxfId="278"/>
    <tableColumn id="7" xr3:uid="{3418E959-1A29-4011-9CE0-F9F0261BB37A}" name="Speed" dataDxfId="277"/>
    <tableColumn id="8" xr3:uid="{8B2842DF-14AC-4BD3-A999-5FE00CAF62E6}" name="Actions" dataDxfId="276"/>
    <tableColumn id="9" xr3:uid="{69F6AC93-3396-4FB0-A14F-140AD14ED970}" name="Traits" dataDxfId="275"/>
    <tableColumn id="10" xr3:uid="{C6BDB15F-3B46-4E13-9F9D-3E0777E5B520}" name="Skills" dataDxfId="274"/>
    <tableColumn id="11" xr3:uid="{9B8C822E-44F1-4B91-ABA6-62EA1B0C221C}" name="XP" dataDxfId="273"/>
    <tableColumn id="12" xr3:uid="{686D123A-A3F2-431F-8EB6-1087813B9306}" name="Treasure" dataDxfId="272"/>
  </tableColumns>
  <tableStyleInfo name="TableStyleMedium2" showFirstColumn="0"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8773E6D6-978E-4690-9392-393892333063}" name="Таблиця322" displayName="Таблиця322" ref="A155:C162" totalsRowShown="0" headerRowDxfId="271" dataDxfId="270">
  <autoFilter ref="A155:C162" xr:uid="{5F021501-5062-4167-A057-A790E2A1B400}"/>
  <tableColumns count="3">
    <tableColumn id="1" xr3:uid="{44EDB447-4C95-4A76-B549-B7063C06E775}" name="Lifestyle Upkeep" dataDxfId="269"/>
    <tableColumn id="2" xr3:uid="{62E893F4-E6CA-4C0F-850F-3F58A16A0939}" name="Cost per Day" dataDxfId="268"/>
    <tableColumn id="3" xr3:uid="{C4A70505-9202-4043-BA5C-9AB0EA6A570F}" name="Desc" dataDxfId="267"/>
  </tableColumns>
  <tableStyleInfo name="TableStyleLight9" showFirstColumn="0"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90189F1-CEEC-4A20-A2D3-EEB783093D40}" name="Таблиця48" displayName="Таблиця48" ref="A167:D176" totalsRowShown="0" headerRowDxfId="266" dataDxfId="265">
  <autoFilter ref="A167:D176" xr:uid="{A2997491-C2CC-4A3D-A2FE-0B08F3D04A3B}"/>
  <tableColumns count="4">
    <tableColumn id="1" xr3:uid="{BD411350-35D9-49C1-9C1D-1E10E46627CB}" name="Symbol" dataDxfId="264"/>
    <tableColumn id="2" xr3:uid="{9F7FAEE7-835E-4364-BCD0-528335410DD5}" name="period" dataDxfId="263"/>
    <tableColumn id="3" xr3:uid="{2CCF07BD-EC4D-47C1-9A61-29BA981FAF05}" name="%" dataDxfId="262"/>
    <tableColumn id="4" xr3:uid="{83EC8B6D-0D0D-45CA-A2F1-1E533FF2B992}" name="Roll" dataDxfId="261"/>
  </tableColumns>
  <tableStyleInfo name="TableStyleDark2" showFirstColumn="0"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3" xr:uid="{1F44B9CE-1006-4C43-9564-6AC8BEA1D6F8}" name="Таблиця343" displayName="Таблиця343" ref="CU27:CV67" totalsRowShown="0" headerRowDxfId="260" dataDxfId="259">
  <autoFilter ref="CU27:CV67" xr:uid="{0C772BED-C66D-4AF2-B325-BEC1C38EF11C}"/>
  <tableColumns count="2">
    <tableColumn id="1" xr3:uid="{101C8C3A-01F9-4FAF-A3A8-C93A431F08B6}" name="d100 Roll" dataDxfId="258"/>
    <tableColumn id="2" xr3:uid="{E242D3F6-5FF9-4210-95B2-5ECA0ABD7E2F}" name="Encounter" dataDxfId="257"/>
  </tableColumns>
  <tableStyleInfo name="TableStyleMedium2" showFirstColumn="0"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4" xr:uid="{56497304-D4FB-417C-BB89-9AAA4CC65E0A}" name="Таблиця344" displayName="Таблиця344" ref="CX27:CZ82" totalsRowShown="0" headerRowDxfId="256" dataDxfId="255">
  <autoFilter ref="CX27:CZ82" xr:uid="{7501638D-7C1F-45ED-8C06-0A9047594C2B}"/>
  <tableColumns count="3">
    <tableColumn id="1" xr3:uid="{05EFF9E9-D61B-4533-A076-854A9CDF4E9F}" name="Encounter" dataDxfId="254"/>
    <tableColumn id="2" xr3:uid="{04DD345A-F00D-41AD-9530-3355E2D4145B}" name="Day" dataDxfId="253"/>
    <tableColumn id="3" xr3:uid="{624BB0AA-7BA5-4049-9E3D-78CC37376B95}" name="Night" dataDxfId="252"/>
  </tableColumns>
  <tableStyleInfo name="TableStyleDark2" showFirstColumn="0"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6" xr:uid="{C61172A6-25C4-40DA-B296-CD158F77DD9E}" name="Таблиця154" displayName="Таблиця154" ref="JK13:JM63" totalsRowShown="0" headerRowDxfId="251" dataDxfId="250" tableBorderDxfId="249">
  <autoFilter ref="JK13:JM63" xr:uid="{FA1B471C-D6BE-42E2-965E-6DC49A36764F}"/>
  <tableColumns count="3">
    <tableColumn id="1" xr3:uid="{FBA1CE9E-AB6A-4035-9662-6D308EBF0A96}" name="d100" dataDxfId="248"/>
    <tableColumn id="3" xr3:uid="{9437A412-77FB-4104-8CCD-08146AA2390D}" name="100" dataDxfId="247"/>
    <tableColumn id="2" xr3:uid="{9F9E410D-6196-472D-832C-045D14A2CE7D}" name="EMC" dataDxfId="246"/>
  </tableColumns>
  <tableStyleInfo name="TableStyleLight8" showFirstColumn="0"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7" xr:uid="{89FCFAE6-474B-4A03-9625-3E1A36A6F3A3}" name="Таблиця132" displayName="Таблиця132" ref="JT12:JT33" totalsRowShown="0" headerRowDxfId="245" dataDxfId="243" headerRowBorderDxfId="244" tableBorderDxfId="242">
  <autoFilter ref="JT12:JT33" xr:uid="{42A25515-A2C4-4841-9783-6FFC3FB981F6}"/>
  <tableColumns count="1">
    <tableColumn id="1" xr3:uid="{5C2DEDC7-0B3D-4D89-8460-DCA9FED9AA9F}" name="Tavern/Inn Names" dataDxfId="241"/>
  </tableColumns>
  <tableStyleInfo name="TableStyleMedium1" showFirstColumn="0"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8" xr:uid="{2A6FFB1C-DAFC-4D20-A74D-AF5501915B84}" name="Таблиця131" displayName="Таблиця131" ref="KU12:KW23" totalsRowShown="0" headerRowDxfId="240" dataDxfId="239">
  <autoFilter ref="KU12:KW23" xr:uid="{9A671F18-765A-4D18-9253-D929D4973D45}"/>
  <tableColumns count="3">
    <tableColumn id="1" xr3:uid="{DA38536F-DF6E-4296-85C9-142DE514AAEE}" name="Type" dataDxfId="238"/>
    <tableColumn id="2" xr3:uid="{E8C9466D-C7B7-44E8-83AF-5422F91677FB}" name="Circumstance" dataDxfId="237"/>
    <tableColumn id="3" xr3:uid="{C98E412E-51DE-43CD-9C37-FEFC6128E112}" name="Modifier" dataDxfId="236"/>
  </tableColumns>
  <tableStyleInfo name="TableStyleMedium15" showFirstColumn="0"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FBFD806D-C581-47AC-B427-F637B58CE5CF}" name="Таблиця129303" displayName="Таблиця129303" ref="JH13:JI33" totalsRowShown="0" headerRowDxfId="235" dataDxfId="234">
  <autoFilter ref="JH13:JI33" xr:uid="{11B77B51-4CC3-43EC-8E70-20084AF1D9E0}"/>
  <tableColumns count="2">
    <tableColumn id="1" xr3:uid="{252167D5-B2D1-4B7B-9D16-2463CEE55F46}" name="d20" dataDxfId="233"/>
    <tableColumn id="2" xr3:uid="{85FC1258-C7E8-4458-BE5D-7F99F6B91BD8}" name="End" dataDxfId="232"/>
  </tableColumns>
  <tableStyleInfo name="TableStyleMedium15" showFirstColumn="0"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E850E3A0-8C68-453F-8002-8F5171522DA4}" name="Таблиця128" displayName="Таблиця128" ref="JF13:JG33" totalsRowShown="0" headerRowDxfId="231" dataDxfId="230">
  <autoFilter ref="JF13:JG33" xr:uid="{3696BE46-25D6-4867-9334-DD3B998DA6E6}"/>
  <tableColumns count="2">
    <tableColumn id="1" xr3:uid="{8A26930F-1C61-42A4-A09B-42D7F7E8000A}" name="d20" dataDxfId="229"/>
    <tableColumn id="2" xr3:uid="{0EB110C7-A444-4695-83BF-295D8197DF03}" name="Middle" dataDxfId="228"/>
  </tableColumns>
  <tableStyleInfo name="TableStyleMedium15" showFirstColumn="0"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12C08028-CCFB-4ED8-B4F8-06C8213D258F}" name="Таблиця127" displayName="Таблиця127" ref="JD13:JE33" totalsRowShown="0" headerRowDxfId="227" dataDxfId="226">
  <autoFilter ref="JD13:JE33" xr:uid="{BF6068AB-BBC4-4CBD-B452-7CFA39D7F875}"/>
  <tableColumns count="2">
    <tableColumn id="1" xr3:uid="{786482F3-2801-450A-9998-800D4228FB8F}" name="d20" dataDxfId="225"/>
    <tableColumn id="2" xr3:uid="{B9300C9A-DF96-4021-8E8D-529644AC5CC8}" name="Beginning" dataDxfId="224"/>
  </tableColumns>
  <tableStyleInfo name="TableStyleMedium15" showFirstColumn="0"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26C2AD88-EB8B-42C5-BF2B-180380319549}" name="Таблиця126" displayName="Таблиця126" ref="JB14:JC26" totalsRowShown="0" headerRowDxfId="223" dataDxfId="222">
  <autoFilter ref="JB14:JC26" xr:uid="{199E3830-7434-4E7B-97A5-F5187CB7355A}"/>
  <tableColumns count="2">
    <tableColumn id="1" xr3:uid="{7E8946A3-18B2-4FBF-AB6D-873730EE7952}" name="d12" dataDxfId="221"/>
    <tableColumn id="2" xr3:uid="{32D09A28-C2F1-4BEA-9797-741523BC7A80}" name="Flaw" dataDxfId="220"/>
  </tableColumns>
  <tableStyleInfo name="TableStyleMedium15" showFirstColumn="0"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3" xr:uid="{8E521A20-D7D9-4301-B0EB-421D70ECE2AC}" name="Таблиця125" displayName="Таблиця125" ref="IZ14:JA24" totalsRowShown="0" headerRowDxfId="219" dataDxfId="218">
  <autoFilter ref="IZ14:JA24" xr:uid="{FC506F50-D6A1-437A-935D-784BFBBCA0C2}"/>
  <tableColumns count="2">
    <tableColumn id="1" xr3:uid="{58749B84-9F6B-4162-BC22-3409CEEADDE2}" name="d10" dataDxfId="217"/>
    <tableColumn id="2" xr3:uid="{9014C99B-6A7A-4F95-B44D-11D0DFEF52A1}" name="Bonds" dataDxfId="216"/>
  </tableColumns>
  <tableStyleInfo name="TableStyleMedium15" showFirstColumn="0"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4" xr:uid="{F03ABE45-C144-4889-9C83-C22DD1C8CE17}" name="Таблиця124" displayName="Таблиця124" ref="IX14:IY34" totalsRowShown="0" headerRowDxfId="215" dataDxfId="214">
  <autoFilter ref="IX14:IY34" xr:uid="{F7208A96-9573-45EC-B5D7-81E57B6C8568}"/>
  <tableColumns count="2">
    <tableColumn id="1" xr3:uid="{731BB905-DA15-4F9D-8328-3F896A89522D}" name="d20" dataDxfId="213"/>
    <tableColumn id="2" xr3:uid="{C6F1C1D0-D00A-42E5-8340-BDDCD75AACA9}" name="Ideal (Alignment)" dataDxfId="212"/>
  </tableColumns>
  <tableStyleInfo name="TableStyleMedium15" showFirstColumn="0"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5" xr:uid="{D5F6C641-8971-4F46-A827-FB895D389E9A}" name="Таблиця123" displayName="Таблиця123" ref="IV14:IW34" totalsRowShown="0" headerRowDxfId="211" dataDxfId="210">
  <autoFilter ref="IV14:IW34" xr:uid="{EBE5C20A-1B90-4E5A-98C3-CA78E5657F9C}"/>
  <tableColumns count="2">
    <tableColumn id="1" xr3:uid="{4BFC8912-07C7-40D6-9FB7-CCC57A73DEFA}" name="d20" dataDxfId="209"/>
    <tableColumn id="2" xr3:uid="{41718294-5434-4B87-8659-A9C2B7B9DCBF}" name="Characteristic" dataDxfId="208"/>
  </tableColumns>
  <tableStyleInfo name="TableStyleMedium15" showFirstColumn="0"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1A6815E8-675E-46FB-BA8E-3B092F479748}" name="Таблиця122" displayName="Таблиця122" ref="IT14:IU24" totalsRowShown="0" headerRowDxfId="207" dataDxfId="206">
  <autoFilter ref="IT14:IU24" xr:uid="{E46B0813-8BC3-4787-81E7-3B447C49483E}"/>
  <tableColumns count="2">
    <tableColumn id="1" xr3:uid="{2A505CEC-DC41-4D57-814C-F79E01291A2D}" name="d10" dataDxfId="205"/>
    <tableColumn id="2" xr3:uid="{F8910BE6-BFCC-473A-87FC-29DC890BD948}" name="Bonds" dataDxfId="204"/>
  </tableColumns>
  <tableStyleInfo name="TableStyleMedium15" showFirstColumn="0"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1A2AE15C-3247-420B-B763-0429409108FA}" name="Таблиця120295" displayName="Таблиця120295" ref="JP14:JQ34" totalsRowShown="0" headerRowDxfId="203" dataDxfId="202">
  <autoFilter ref="JP14:JQ34" xr:uid="{E6AE0342-61B4-450B-9AA2-9F98D978A7F4}"/>
  <tableColumns count="2">
    <tableColumn id="1" xr3:uid="{650F024E-0DA0-4DD7-97A1-27DD3D76D232}" name="d20" dataDxfId="201"/>
    <tableColumn id="2" xr3:uid="{D4C2B4A0-7CD9-4263-B64F-7744FEB0882D}" name="Event" dataDxfId="200"/>
  </tableColumns>
  <tableStyleInfo name="TableStyleMedium15" showFirstColumn="0"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36CD916C-CA65-4456-809E-09FDA4C14227}" name="Таблиця119294" displayName="Таблиця119294" ref="JX13:KB33" totalsRowShown="0" headerRowDxfId="199" dataDxfId="197" headerRowBorderDxfId="198" tableBorderDxfId="196" totalsRowBorderDxfId="195">
  <autoFilter ref="JX13:KB33" xr:uid="{9F3DABA8-7A79-4EE4-A244-5EDAB6E6D835}"/>
  <tableColumns count="5">
    <tableColumn id="1" xr3:uid="{0A23A087-84A1-49E7-ABA1-B2CDAEEC7364}" name="Стовпець1" dataDxfId="194"/>
    <tableColumn id="2" xr3:uid="{B20C0D77-C757-49A1-ABAB-381D5F9B311E}" name="Adjl" dataDxfId="193"/>
    <tableColumn id="3" xr3:uid="{B7EEE4FE-B408-44FD-9C81-93F4FC2CE358}" name="Adj 2" dataDxfId="192"/>
    <tableColumn id="4" xr3:uid="{EE76B055-5CB2-459F-8875-22D9110F9293}" name="Creature" dataDxfId="191"/>
    <tableColumn id="5" xr3:uid="{11D6FF64-A9BB-438F-9C05-270A0ABBD53F}" name="Item" dataDxfId="190"/>
  </tableColumns>
  <tableStyleInfo name="TableStyleMedium15" showFirstColumn="0"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F7E969B2-9A1D-4961-AAEB-79586012AC79}" name="Таблиця118293" displayName="Таблиця118293" ref="KD13:KG23" totalsRowShown="0" headerRowDxfId="189" dataDxfId="187" headerRowBorderDxfId="188" tableBorderDxfId="186" totalsRowBorderDxfId="185">
  <autoFilter ref="KD13:KG23" xr:uid="{7FB5DD80-0482-481C-AFCE-9BB44CC05148}"/>
  <tableColumns count="4">
    <tableColumn id="1" xr3:uid="{B0CDAFD8-DE54-4BE2-BF0F-07C307A99057}" name="Male" dataDxfId="184"/>
    <tableColumn id="2" xr3:uid="{D8DA9F58-980B-4DED-979D-C66A233ECE94}" name="Female" dataDxfId="183"/>
    <tableColumn id="3" xr3:uid="{3F07FBD1-A130-4CA6-A60A-83F050FD39F5}" name="Surname A" dataDxfId="182"/>
    <tableColumn id="4" xr3:uid="{8A81CE42-CFE5-46C4-96F5-6F72A5902438}" name="Surname B" dataDxfId="181"/>
  </tableColumns>
  <tableStyleInfo name="TableStyleMedium15" showFirstColumn="0"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0" xr:uid="{6DE5E125-325E-40E3-B22C-228A40DFD3BE}" name="Таблиця117291" displayName="Таблиця117291" ref="KR14:KS33" totalsRowShown="0" headerRowDxfId="180" dataDxfId="178" headerRowBorderDxfId="179" tableBorderDxfId="177" totalsRowBorderDxfId="176">
  <autoFilter ref="KR14:KS33" xr:uid="{A7904759-394B-4282-AF81-A617B94FF4E1}"/>
  <tableColumns count="2">
    <tableColumn id="1" xr3:uid="{8EA868AB-4A85-4724-BAF8-2F2F1CFCA1E2}" name="d12 + d8" dataDxfId="175"/>
    <tableColumn id="2" xr3:uid="{832EDAE9-061E-44F0-8BB0-B4F1A1FA6865}" name="Encounter" dataDxfId="174"/>
  </tableColumns>
  <tableStyleInfo name="TableStyleMedium15" showFirstColumn="0"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1" xr:uid="{6ADCA8A9-208E-408C-8392-F241E2525EA0}" name="Таблиця185" displayName="Таблиця185" ref="MG62:MI68" totalsRowShown="0">
  <autoFilter ref="MG62:MI68" xr:uid="{55F581CA-113D-4850-B669-2E4F23409F1B}"/>
  <tableColumns count="3">
    <tableColumn id="1" xr3:uid="{238577EE-96AF-4D9A-A7FB-9A8ECBBEA206}" name="d6"/>
    <tableColumn id="2" xr3:uid="{B5D58192-F2C4-4DFD-9AEA-552F80F3F8F4}" name="Goals"/>
    <tableColumn id="3" xr3:uid="{014AE4D3-5190-4B41-A713-28FC27B4D478}" name="Side-Quests"/>
  </tableColumns>
  <tableStyleInfo name="TableStyleLight15" showFirstColumn="0"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2" xr:uid="{D40549F5-5AAE-4FB2-8691-6B2DABEEC60C}" name="Таблиця186312" displayName="Таблиця186312" ref="MK62:ML68" totalsRowShown="0">
  <autoFilter ref="MK62:ML68" xr:uid="{3373D528-F1DE-4D02-9849-01B31BA6A8AA}"/>
  <tableColumns count="2">
    <tableColumn id="1" xr3:uid="{2092FCEA-D8C8-4B25-BE1F-3DE490818BA9}" name="d6" dataDxfId="173"/>
    <tableColumn id="2" xr3:uid="{0BF8160F-6B3C-4D35-AD11-D52A96412A6C}" name="Lords or Ladies"/>
  </tableColumns>
  <tableStyleInfo name="TableStyleLight15" showFirstColumn="0"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3" xr:uid="{720C14A9-C1F3-4A8A-BF20-B628BF330ECF}" name="Таблиця187313" displayName="Таблиця187313" ref="MN62:MO74" totalsRowShown="0">
  <autoFilter ref="MN62:MO74" xr:uid="{462D9695-61A2-4B69-90BB-5C6023ED87C1}"/>
  <tableColumns count="2">
    <tableColumn id="1" xr3:uid="{63732AFC-15CA-477F-8302-753355DFF45D}" name="d12"/>
    <tableColumn id="2" xr3:uid="{5FC1EF77-0721-4185-A368-7CA613BD6152}" name="Creatures"/>
  </tableColumns>
  <tableStyleInfo name="TableStyleLight8" showFirstColumn="0"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4" xr:uid="{B5F43A41-C44D-4253-864E-7108B3565413}" name="Таблиця188314" displayName="Таблиця188314" ref="MQ62:MR68" totalsRowShown="0" tableBorderDxfId="172">
  <autoFilter ref="MQ62:MR68" xr:uid="{E88D2AFB-FCEC-4386-AD47-9DC888AA8785}"/>
  <tableColumns count="2">
    <tableColumn id="1" xr3:uid="{978B7F36-4660-41A7-A8F2-E558CD80289E}" name="d6" dataDxfId="171"/>
    <tableColumn id="2" xr3:uid="{A50EB1E4-0E29-433C-A246-8F1E8BDA9D31}" name="d6 Reasons"/>
  </tableColumns>
  <tableStyleInfo name="TableStyleLight15" showFirstColumn="0"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CF76921C-42CF-40C2-8FEA-89BF8D96DBC6}" name="Таблиця189" displayName="Таблиця189" ref="MT62:MU68" totalsRowShown="0" tableBorderDxfId="170">
  <autoFilter ref="MT62:MU68" xr:uid="{EB2D80E3-D167-401D-8E7A-E25803187339}"/>
  <tableColumns count="2">
    <tableColumn id="1" xr3:uid="{44C01DE1-461A-4223-81FB-32D10F6AFA75}" name="d6" dataDxfId="169"/>
    <tableColumn id="2" xr3:uid="{CF342F2F-C8E6-4C45-B13A-B38BA1DC3FD9}" name="d6 Side-Quests"/>
  </tableColumns>
  <tableStyleInfo name="TableStyleLight15" showFirstColumn="0"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81B4CD89-A71E-427F-9E1D-0BB0AC1627E2}" name="Таблиця190" displayName="Таблиця190" ref="MW62:MX68" totalsRowShown="0">
  <autoFilter ref="MW62:MX68" xr:uid="{E5069BC5-220C-45F2-9C06-52EAE1830866}"/>
  <tableColumns count="2">
    <tableColumn id="1" xr3:uid="{BE73E943-279A-49B5-9655-D76BEDC6A624}" name="d6" dataDxfId="168"/>
    <tableColumn id="2" xr3:uid="{2892CC10-C951-49DA-85D7-B0F1A3E3578A}" name="Groups"/>
  </tableColumns>
  <tableStyleInfo name="TableStyleLight15" showFirstColumn="0"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993F2F09-A873-4BD1-95B9-1883947F7DB5}" name="Таблиця191" displayName="Таблиця191" ref="MZ62:NA68" totalsRowShown="0" tableBorderDxfId="167">
  <autoFilter ref="MZ62:NA68" xr:uid="{D642F560-06D7-4E4C-A9A4-931F62875B99}"/>
  <tableColumns count="2">
    <tableColumn id="1" xr3:uid="{D0960AF3-84A6-4AA4-BFA1-646ABAF216AE}" name="d6" dataDxfId="166"/>
    <tableColumn id="2" xr3:uid="{D0634A0D-602A-4B92-AFCE-D20955B56CF9}" name="d6 Reasons"/>
  </tableColumns>
  <tableStyleInfo name="TableStyleLight15" showFirstColumn="0"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639A5467-53A9-4BA0-8774-0E95B02837B9}" name="Таблиця192" displayName="Таблиця192" ref="NC62:ND68" totalsRowShown="0" tableBorderDxfId="165">
  <autoFilter ref="NC62:ND68" xr:uid="{81947A68-CDEB-486D-83D6-6F41E8C26B81}"/>
  <tableColumns count="2">
    <tableColumn id="1" xr3:uid="{6D32F6B9-D51F-403A-A766-FD52284F691C}" name="d6" dataDxfId="164"/>
    <tableColumn id="2" xr3:uid="{8085C4E2-23FB-4A2F-BBD1-4BBAD7993C22}" name="d6 Matters"/>
  </tableColumns>
  <tableStyleInfo name="TableStyleLight15" showFirstColumn="0"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33A7D106-5EC6-4595-9837-2FD4BC52BC5B}" name="Таблиця193" displayName="Таблиця193" ref="NF62:NG68" totalsRowShown="0" tableBorderDxfId="163">
  <autoFilter ref="NF62:NG68" xr:uid="{8EB56EF9-DE2C-4BD1-B762-C1F2E9F35A50}"/>
  <tableColumns count="2">
    <tableColumn id="1" xr3:uid="{98B1C6B9-0696-402D-A13E-FDD66D68EBD1}" name="d6" dataDxfId="162"/>
    <tableColumn id="2" xr3:uid="{7FF77461-4424-47B5-8EAC-52789A5D4050}" name="Creature" dataDxfId="161"/>
  </tableColumns>
  <tableStyleInfo name="TableStyleLight15" showFirstColumn="0"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70E4608F-94DB-4BCD-9CD4-4BD8D7AEE40A}" name="Таблиця194" displayName="Таблиця194" ref="NI62:NJ68" totalsRowShown="0" tableBorderDxfId="160">
  <autoFilter ref="NI62:NJ68" xr:uid="{D0A21C42-40F3-409A-B473-F60C793EDBD4}"/>
  <tableColumns count="2">
    <tableColumn id="1" xr3:uid="{440B07AA-FA06-4281-BFA2-5C979DD3EC52}" name="d6" dataDxfId="159"/>
    <tableColumn id="2" xr3:uid="{F2B909EF-3581-4A37-BD54-77D7FD745776}" name="d6 Reasons"/>
  </tableColumns>
  <tableStyleInfo name="TableStyleLight15" showFirstColumn="0"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B0F410C3-6A58-4A43-BA68-65D8F1C5E316}" name="Таблиця195" displayName="Таблиця195" ref="NL62:NM68" totalsRowShown="0" tableBorderDxfId="158">
  <autoFilter ref="NL62:NM68" xr:uid="{C9A553A2-0A4D-478B-99DF-655F3648807C}"/>
  <tableColumns count="2">
    <tableColumn id="1" xr3:uid="{AA68E22A-9C60-4B79-A35E-7B362C56D607}" name="d6" dataDxfId="157"/>
    <tableColumn id="2" xr3:uid="{CE1993D7-47E3-40F6-840C-D55A050DC75D}" name="d6 Side-Quests"/>
  </tableColumns>
  <tableStyleInfo name="TableStyleLight15" showFirstColumn="0"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ADB54414-E9EE-471D-9DEC-AB29FCD8CC0B}" name="Таблиця205322" displayName="Таблиця205322" ref="LY62:ME80" totalsRowShown="0">
  <autoFilter ref="LY62:ME80" xr:uid="{E254F6FC-37DA-4A8E-B858-A04239EA1FA9}"/>
  <tableColumns count="7">
    <tableColumn id="1" xr3:uid="{9699FE76-AA40-4E28-A8B9-8A28658E4AB4}" name="Min">
      <calculatedColumnFormula>F57+1</calculatedColumnFormula>
    </tableColumn>
    <tableColumn id="2" xr3:uid="{E2DAA96D-3EB5-4FD8-87AB-71A8F1533B46}" name="Max"/>
    <tableColumn id="3" xr3:uid="{321F97DF-A207-4D3B-9C93-3B63509B2EE7}" name="Low">
      <calculatedColumnFormula>F57</calculatedColumnFormula>
    </tableColumn>
    <tableColumn id="4" xr3:uid="{0896CD26-EE56-45DF-89B0-2AF8800F3EEC}" name="Event"/>
    <tableColumn id="6" xr3:uid="{D6E8731A-A27B-48E9-BD41-9DC0F786ACC7}" name="Event Description"/>
    <tableColumn id="7" xr3:uid="{E766F074-67F5-4951-89E3-D21631C84BCB}" name="What the characters can do"/>
    <tableColumn id="5" xr3:uid="{89EA00C5-C043-4ECA-B9B0-CA239C08F7E2}" name="Subtable results"/>
  </tableColumns>
  <tableStyleInfo name="TableStyleLight1" showFirstColumn="0"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C35BAB75-7B5A-4E11-A757-5A02D098388B}" name="Таблиця201307" displayName="Таблиця201307" ref="ME8:MF14" totalsRowShown="0">
  <autoFilter ref="ME8:MF14" xr:uid="{7D84559C-6CA3-4DFA-B64B-FD519976E2C5}"/>
  <tableColumns count="2">
    <tableColumn id="1" xr3:uid="{2093D950-6EBD-4B90-AF5B-723FCC83777C}" name="d6"/>
    <tableColumn id="2" xr3:uid="{35F2D954-F3B8-426E-B4A3-3C777F4081FB}" name=" Side-Quests"/>
  </tableColumns>
  <tableStyleInfo name="TableStyleLight8" showFirstColumn="0"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66674F32-0FA5-4659-A0DB-92E1356A8034}" name="Таблиця363" displayName="Таблиця363" ref="DE191:DN202" totalsRowShown="0">
  <autoFilter ref="DE191:DN202" xr:uid="{B90A0664-0804-4DB2-8055-A763FB495E6E}"/>
  <tableColumns count="10">
    <tableColumn id="1" xr3:uid="{87103EA8-E3A1-413B-8014-F30E3B75BEFA}" name="1d10"/>
    <tableColumn id="2" xr3:uid="{1CB6A6F8-5DFB-4B03-AC7D-9491EDFAB236}" name="My cousin told me about... "/>
    <tableColumn id="3" xr3:uid="{744E15EC-B70F-4E49-AF5B-65AD1A5B5230}" name="Стовпець1"/>
    <tableColumn id="4" xr3:uid="{C126CBC4-7BE7-4E52-A1D3-AB0884BD7B11}" name="And they... "/>
    <tableColumn id="5" xr3:uid="{E7EDA4A9-12A4-495B-944C-8E6D8C8D4977}" name="Стовпець2"/>
    <tableColumn id="6" xr3:uid="{1E94A163-D58A-4B80-9BB4-63BA9562A6A7}" name="And discovered... "/>
    <tableColumn id="7" xr3:uid="{CE7684D5-0F9B-426A-B07F-4B07C84D2E16}" name="Стовпець3"/>
    <tableColumn id="8" xr3:uid="{B44D9DDE-6CE9-404E-9449-18199CB1CE27}" name="And now.. "/>
    <tableColumn id="9" xr3:uid="{CA0D43CA-443C-42B3-B2BB-8FECEC76ED2E}" name="Стовпець4"/>
    <tableColumn id="10" xr3:uid="{EE8A7B2C-CC86-47D9-802C-9F4AA43AB73C}" name="Стовпець5"/>
  </tableColumns>
  <tableStyleInfo name="TableStyleDark2" showFirstColumn="0"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C373F6DD-81F1-4166-A534-3C86A2E9B44C}" name="Таблиця365" displayName="Таблиця365" ref="PY8:PZ18" totalsRowShown="0" headerRowDxfId="153" dataDxfId="154">
  <autoFilter ref="PY8:PZ18" xr:uid="{080E7663-B110-4F02-B5FD-2D98484281E7}"/>
  <tableColumns count="2">
    <tableColumn id="1" xr3:uid="{3D32F10A-F1E3-468D-A231-D7C97113EC23}" name="1d10" dataDxfId="156"/>
    <tableColumn id="2" xr3:uid="{9834F43B-7724-45B1-A561-C2ECC47AB8F6}" name="Objective" dataDxfId="155"/>
  </tableColumns>
  <tableStyleInfo name="TableStyleMedium1" showFirstColumn="0"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F0206EDD-51C1-41B2-B17D-48E26A3E6DFE}" name="Таблиця366" displayName="Таблиця366" ref="PY24:QA44" totalsRowShown="0" headerRowDxfId="148" dataDxfId="149">
  <autoFilter ref="PY24:QA44" xr:uid="{B93EE039-B291-4C4C-8FBB-AF31F6651ADF}"/>
  <tableColumns count="3">
    <tableColumn id="1" xr3:uid="{74920066-20ED-416D-B1B1-F0F7FD717DE6}" name="1d20" dataDxfId="152"/>
    <tableColumn id="2" xr3:uid="{3B416699-B4E0-400F-8D70-E9D33ACEA8A4}" name="Non-City Location" dataDxfId="151"/>
    <tableColumn id="3" xr3:uid="{FBCC92D2-E14F-4E01-892C-5C670CF083D7}" name="City Locations" dataDxfId="150"/>
  </tableColumns>
  <tableStyleInfo name="TableStyleLight1" showFirstColumn="0"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325FCD85-46CF-4456-BC4F-BD4D817C24D4}" name="Таблиця367" displayName="Таблиця367" ref="PY48:PZ58" totalsRowShown="0" headerRowDxfId="144" dataDxfId="145">
  <autoFilter ref="PY48:PZ58" xr:uid="{CBD8C7A4-6434-4243-8C64-3AD2E2B66DB4}"/>
  <tableColumns count="2">
    <tableColumn id="1" xr3:uid="{0B0F70D7-7597-42E7-BAAF-5D0212C16035}" name="1d10" dataDxfId="147"/>
    <tableColumn id="2" xr3:uid="{08A835C2-2E75-494A-A956-0BEC6C92481C}" name="Group" dataDxfId="146"/>
  </tableColumns>
  <tableStyleInfo name="TableStyleLight1" showFirstColumn="0"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D17A504B-0CF0-415A-911C-8235523D4A9A}" name="Таблиця368" displayName="Таблиця368" ref="PY65:PZ73" totalsRowShown="0" headerRowDxfId="142">
  <autoFilter ref="PY65:PZ73" xr:uid="{0802C85C-DA4D-4A55-BCDF-D2246DE5896C}"/>
  <tableColumns count="2">
    <tableColumn id="1" xr3:uid="{07D68624-C522-4C23-999A-724910137F92}" name="1d20"/>
    <tableColumn id="2" xr3:uid="{5E47392C-C419-4871-9E81-7618FAEA11E4}" name="Threat" dataDxfId="143"/>
  </tableColumns>
  <tableStyleInfo name="TableStyleMedium1" showFirstColumn="0"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977C0194-8A7E-4942-8447-4143C29BFCF7}" name="Таблиця369" displayName="Таблиця369" ref="PY77:QA91" totalsRowShown="0" headerRowDxfId="138" dataDxfId="139">
  <autoFilter ref="PY77:QA91" xr:uid="{E6056201-98D7-4559-A4F1-57247FCBC869}"/>
  <tableColumns count="3">
    <tableColumn id="1" xr3:uid="{99787757-3E43-4D8F-B3D0-EB01B3573C3B}" name="1d100 General Monster Type" dataDxfId="141"/>
    <tableColumn id="2" xr3:uid="{DB441BD7-06CD-4BEF-8C72-49A0CCE4539F}" name="Стовпець1" dataDxfId="140"/>
    <tableColumn id="3" xr3:uid="{E522C2E1-EBF4-4BA0-BE01-B04D0E60C520}" name="Стовпець2" dataDxfId="137"/>
  </tableColumns>
  <tableStyleInfo name="TableStyleMedium1" showFirstColumn="0"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CF565E15-7D57-4DC9-816F-793397B36FDE}" name="Таблиця370" displayName="Таблиця370" ref="PY108:PZ128" totalsRowShown="0" headerRowDxfId="7" dataDxfId="8">
  <autoFilter ref="PY108:PZ128" xr:uid="{6C623B26-37BF-42FD-BB2B-EC506813398B}"/>
  <tableColumns count="2">
    <tableColumn id="1" xr3:uid="{0C110E96-411E-444E-9956-E25BDD68931F}" name="1d20 Object" dataDxfId="10"/>
    <tableColumn id="2" xr3:uid="{B0909B68-7DEB-4B63-B4F1-3D8CD368B5EC}" name="Стовпець1" dataDxfId="9"/>
  </tableColumns>
  <tableStyleInfo name="TableStyleMedium1" showFirstColumn="0"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79B7A058-826A-478C-87D2-9B614AB56D92}" name="Таблиця371" displayName="Таблиця371" ref="PY135:PZ140" totalsRowShown="0" headerRowDxfId="3" dataDxfId="4">
  <autoFilter ref="PY135:PZ140" xr:uid="{78C279CE-4ABD-4A65-A6C7-5D2312C8ECA9}"/>
  <tableColumns count="2">
    <tableColumn id="1" xr3:uid="{BB1E11FE-BA1F-42B5-AA44-1D91C7CBB4E9}" name="1d100 Complication" dataDxfId="6"/>
    <tableColumn id="2" xr3:uid="{BBCC3C87-DB1E-414D-9E69-091BB068F24E}" name="Стовпець1" dataDxfId="5"/>
  </tableColumns>
  <tableStyleInfo name="TableStyleMedium1" showFirstColumn="0"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4" xr:uid="{A5F7136B-4B20-4B38-9714-EAB0CA1F4125}" name="Таблиця374" displayName="Таблиця374" ref="PY144:PZ149" totalsRowShown="0" headerRowDxfId="0">
  <autoFilter ref="PY144:PZ149" xr:uid="{D28FC395-5725-4D2A-9AEA-236D534D234E}"/>
  <tableColumns count="2">
    <tableColumn id="1" xr3:uid="{5BABD63F-6B5B-49C0-8B6C-0BFCAF433108}" name="1d20" dataDxfId="2"/>
    <tableColumn id="2" xr3:uid="{F5C61F87-81C0-4FD5-8852-48F886EB8F8D}" name="Result" dataDxfId="1"/>
  </tableColumns>
  <tableStyleInfo name="TableStyleMedium1" showFirstColumn="0" showLastColumn="0" showRowStripes="1" showColumnStripes="0"/>
</table>
</file>

<file path=xl/theme/theme1.xml><?xml version="1.0" encoding="utf-8"?>
<a:theme xmlns:a="http://schemas.openxmlformats.org/drawingml/2006/main" name="Туман">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Настроювані 1">
      <a:majorFont>
        <a:latin typeface="Philosopher"/>
        <a:ea typeface=""/>
        <a:cs typeface=""/>
      </a:majorFont>
      <a:minorFont>
        <a:latin typeface="Lato"/>
        <a:ea typeface=""/>
        <a:cs typeface=""/>
      </a:minorFont>
    </a:fontScheme>
    <a:fmtScheme name="Туман">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threadedComments/threadedComment1.xml><?xml version="1.0" encoding="utf-8"?>
<ThreadedComments xmlns="http://schemas.microsoft.com/office/spreadsheetml/2018/threadedcomments" xmlns:x="http://schemas.openxmlformats.org/spreadsheetml/2006/main">
  <threadedComment ref="P3" dT="2020-12-08T16:57:40.12" personId="{6CC34293-2379-4BE3-9EF0-59F4E44BC42F}" id="{6F73002E-60F0-4858-BF9F-EE5358D41A71}">
    <text>All of the three families' arms have changed over time. Huntsilver used to have varying arrays of brown thorns and silver hoofprints in its field; Crownsilver has had a single large crown surrounded by a dozen tiny ones, later replaced by a regular pattern of twoscore tiny edge-on crowns, and still later superceded by the current arms; and Truesilver was formerly a shield of royal blue (without a border) displaying two diagonal lines, upper left to lower right, of three plain silver shields each. I can't recall the times of the changes right now, but they're all in the 1200s or earlier, not in the 1300-1350s range.
The simple badges of the three families are as follows: Huntsilver: silver rack of antlers on a forest green oval field. Crownsilver: a single silver edge-on crown on a royal blue oval field. Truesilver: a plain silver diagonal band, lower left to upper right, across a crimson oval field.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dndbeyond.com/sources/basic-rules/adventuring"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docs.google.com/spreadsheets/d/1JscU_4NDsT9lqIhA6aXZaOkFQp7HB5sgMLgne2PmDrQ/edit?usp=sharing"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songoftheblade.wordpress.com/2015/09/09/improved-monster-stats-table-for-dd-5th-edition/"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dndbeyond.com/sources/basic-rules/equipment" TargetMode="External"/><Relationship Id="rId13" Type="http://schemas.openxmlformats.org/officeDocument/2006/relationships/hyperlink" Target="https://www.dndbeyond.com/sources/basic-rules/equipment" TargetMode="External"/><Relationship Id="rId3" Type="http://schemas.openxmlformats.org/officeDocument/2006/relationships/hyperlink" Target="https://drive.google.com/file/d/1DDjY3e2Fkd0igoldp-iKyVZLO53SPDXC/view?usp=sharing" TargetMode="External"/><Relationship Id="rId7" Type="http://schemas.openxmlformats.org/officeDocument/2006/relationships/hyperlink" Target="https://www.dndbeyond.com/sources/basic-rules/equipment" TargetMode="External"/><Relationship Id="rId12" Type="http://schemas.openxmlformats.org/officeDocument/2006/relationships/hyperlink" Target="https://www.dndbeyond.com/sources/basic-rules/equipment" TargetMode="External"/><Relationship Id="rId2" Type="http://schemas.openxmlformats.org/officeDocument/2006/relationships/hyperlink" Target="https://drive.google.com/file/d/1QEN7OXlSPWeDoW2TUuG1LZ0a-sqyn0eT/view?usp=sharing" TargetMode="External"/><Relationship Id="rId1" Type="http://schemas.openxmlformats.org/officeDocument/2006/relationships/hyperlink" Target="https://www.dndbeyond.com/magic-items" TargetMode="External"/><Relationship Id="rId6" Type="http://schemas.openxmlformats.org/officeDocument/2006/relationships/hyperlink" Target="https://www.dndbeyond.com/equipment" TargetMode="External"/><Relationship Id="rId11" Type="http://schemas.openxmlformats.org/officeDocument/2006/relationships/hyperlink" Target="https://www.dndbeyond.com/sources/basic-rules/equipment" TargetMode="External"/><Relationship Id="rId5" Type="http://schemas.openxmlformats.org/officeDocument/2006/relationships/hyperlink" Target="https://www.fantasynamegenerators.com/" TargetMode="External"/><Relationship Id="rId15" Type="http://schemas.openxmlformats.org/officeDocument/2006/relationships/hyperlink" Target="https://www.dndbeyond.com/sources/basic-rules/equipment" TargetMode="External"/><Relationship Id="rId10" Type="http://schemas.openxmlformats.org/officeDocument/2006/relationships/hyperlink" Target="https://www.dndbeyond.com/sources/basic-rules/equipment" TargetMode="External"/><Relationship Id="rId4" Type="http://schemas.openxmlformats.org/officeDocument/2006/relationships/hyperlink" Target="https://docs.google.com/document/d/1cwLa3sKHT41cIoxXnx5IvWD75KYCH_cJK4MvGv3HhHM/edit?usp=sharing" TargetMode="External"/><Relationship Id="rId9" Type="http://schemas.openxmlformats.org/officeDocument/2006/relationships/hyperlink" Target="https://www.dndbeyond.com/sources/basic-rules/equipment" TargetMode="External"/><Relationship Id="rId14" Type="http://schemas.openxmlformats.org/officeDocument/2006/relationships/hyperlink" Target="https://www.dndbeyond.com/sources/basic-rules/equipment" TargetMode="External"/></Relationships>
</file>

<file path=xl/worksheets/_rels/sheet9.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24" Type="http://schemas.openxmlformats.org/officeDocument/2006/relationships/table" Target="../tables/table23.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11.xml.rels><?xml version="1.0" encoding="UTF-8" standalone="yes"?>
<Relationships xmlns="http://schemas.openxmlformats.org/package/2006/relationships"><Relationship Id="rId13" Type="http://schemas.openxmlformats.org/officeDocument/2006/relationships/table" Target="../tables/table26.xml"/><Relationship Id="rId18" Type="http://schemas.openxmlformats.org/officeDocument/2006/relationships/table" Target="../tables/table31.xml"/><Relationship Id="rId26" Type="http://schemas.openxmlformats.org/officeDocument/2006/relationships/table" Target="../tables/table39.xml"/><Relationship Id="rId39" Type="http://schemas.openxmlformats.org/officeDocument/2006/relationships/table" Target="../tables/table52.xml"/><Relationship Id="rId21" Type="http://schemas.openxmlformats.org/officeDocument/2006/relationships/table" Target="../tables/table34.xml"/><Relationship Id="rId34" Type="http://schemas.openxmlformats.org/officeDocument/2006/relationships/table" Target="../tables/table47.xml"/><Relationship Id="rId42" Type="http://schemas.openxmlformats.org/officeDocument/2006/relationships/table" Target="../tables/table55.xml"/><Relationship Id="rId47" Type="http://schemas.openxmlformats.org/officeDocument/2006/relationships/table" Target="../tables/table60.xml"/><Relationship Id="rId50" Type="http://schemas.openxmlformats.org/officeDocument/2006/relationships/table" Target="../tables/table63.xml"/><Relationship Id="rId55" Type="http://schemas.openxmlformats.org/officeDocument/2006/relationships/table" Target="../tables/table68.xml"/><Relationship Id="rId63" Type="http://schemas.openxmlformats.org/officeDocument/2006/relationships/table" Target="../tables/table76.xml"/><Relationship Id="rId7" Type="http://schemas.openxmlformats.org/officeDocument/2006/relationships/hyperlink" Target="https://1drv.ms/w/s!Atcrhwwo1lBAyt9NoKs6gricDBbi-g?e=efViAd" TargetMode="External"/><Relationship Id="rId2" Type="http://schemas.openxmlformats.org/officeDocument/2006/relationships/hyperlink" Target="https://1drv.ms/w/s!Atcrhwwo1lBAyt9NoKs6gricDBbi-g?e=efViAd" TargetMode="External"/><Relationship Id="rId16" Type="http://schemas.openxmlformats.org/officeDocument/2006/relationships/table" Target="../tables/table29.xml"/><Relationship Id="rId29" Type="http://schemas.openxmlformats.org/officeDocument/2006/relationships/table" Target="../tables/table42.xml"/><Relationship Id="rId1" Type="http://schemas.openxmlformats.org/officeDocument/2006/relationships/hyperlink" Target="https://1drv.ms/w/s!Atcrhwwo1lBAyt9NoKs6gricDBbi-g?e=efViAd" TargetMode="External"/><Relationship Id="rId6" Type="http://schemas.openxmlformats.org/officeDocument/2006/relationships/hyperlink" Target="https://1drv.ms/w/s!Atcrhwwo1lBAyt9NoKs6gricDBbi-g?e=efViAd" TargetMode="External"/><Relationship Id="rId11" Type="http://schemas.openxmlformats.org/officeDocument/2006/relationships/table" Target="../tables/table24.xml"/><Relationship Id="rId24" Type="http://schemas.openxmlformats.org/officeDocument/2006/relationships/table" Target="../tables/table37.xml"/><Relationship Id="rId32" Type="http://schemas.openxmlformats.org/officeDocument/2006/relationships/table" Target="../tables/table45.xml"/><Relationship Id="rId37" Type="http://schemas.openxmlformats.org/officeDocument/2006/relationships/table" Target="../tables/table50.xml"/><Relationship Id="rId40" Type="http://schemas.openxmlformats.org/officeDocument/2006/relationships/table" Target="../tables/table53.xml"/><Relationship Id="rId45" Type="http://schemas.openxmlformats.org/officeDocument/2006/relationships/table" Target="../tables/table58.xml"/><Relationship Id="rId53" Type="http://schemas.openxmlformats.org/officeDocument/2006/relationships/table" Target="../tables/table66.xml"/><Relationship Id="rId58" Type="http://schemas.openxmlformats.org/officeDocument/2006/relationships/table" Target="../tables/table71.xml"/><Relationship Id="rId66" Type="http://schemas.openxmlformats.org/officeDocument/2006/relationships/table" Target="../tables/table79.xml"/><Relationship Id="rId5" Type="http://schemas.openxmlformats.org/officeDocument/2006/relationships/hyperlink" Target="https://1drv.ms/w/s!Atcrhwwo1lBAyt9NoKs6gricDBbi-g?e=efViAd" TargetMode="External"/><Relationship Id="rId15" Type="http://schemas.openxmlformats.org/officeDocument/2006/relationships/table" Target="../tables/table28.xml"/><Relationship Id="rId23" Type="http://schemas.openxmlformats.org/officeDocument/2006/relationships/table" Target="../tables/table36.xml"/><Relationship Id="rId28" Type="http://schemas.openxmlformats.org/officeDocument/2006/relationships/table" Target="../tables/table41.xml"/><Relationship Id="rId36" Type="http://schemas.openxmlformats.org/officeDocument/2006/relationships/table" Target="../tables/table49.xml"/><Relationship Id="rId49" Type="http://schemas.openxmlformats.org/officeDocument/2006/relationships/table" Target="../tables/table62.xml"/><Relationship Id="rId57" Type="http://schemas.openxmlformats.org/officeDocument/2006/relationships/table" Target="../tables/table70.xml"/><Relationship Id="rId61" Type="http://schemas.openxmlformats.org/officeDocument/2006/relationships/table" Target="../tables/table74.xml"/><Relationship Id="rId10" Type="http://schemas.openxmlformats.org/officeDocument/2006/relationships/drawing" Target="../drawings/drawing3.xml"/><Relationship Id="rId19" Type="http://schemas.openxmlformats.org/officeDocument/2006/relationships/table" Target="../tables/table32.xml"/><Relationship Id="rId31" Type="http://schemas.openxmlformats.org/officeDocument/2006/relationships/table" Target="../tables/table44.xml"/><Relationship Id="rId44" Type="http://schemas.openxmlformats.org/officeDocument/2006/relationships/table" Target="../tables/table57.xml"/><Relationship Id="rId52" Type="http://schemas.openxmlformats.org/officeDocument/2006/relationships/table" Target="../tables/table65.xml"/><Relationship Id="rId60" Type="http://schemas.openxmlformats.org/officeDocument/2006/relationships/table" Target="../tables/table73.xml"/><Relationship Id="rId65" Type="http://schemas.openxmlformats.org/officeDocument/2006/relationships/table" Target="../tables/table78.xml"/><Relationship Id="rId4" Type="http://schemas.openxmlformats.org/officeDocument/2006/relationships/hyperlink" Target="https://1drv.ms/w/s!Atcrhwwo1lBAyt9NoKs6gricDBbi-g?e=efViAd" TargetMode="External"/><Relationship Id="rId9" Type="http://schemas.openxmlformats.org/officeDocument/2006/relationships/printerSettings" Target="../printerSettings/printerSettings2.bin"/><Relationship Id="rId14" Type="http://schemas.openxmlformats.org/officeDocument/2006/relationships/table" Target="../tables/table27.xml"/><Relationship Id="rId22" Type="http://schemas.openxmlformats.org/officeDocument/2006/relationships/table" Target="../tables/table35.xml"/><Relationship Id="rId27" Type="http://schemas.openxmlformats.org/officeDocument/2006/relationships/table" Target="../tables/table40.xml"/><Relationship Id="rId30" Type="http://schemas.openxmlformats.org/officeDocument/2006/relationships/table" Target="../tables/table43.xml"/><Relationship Id="rId35" Type="http://schemas.openxmlformats.org/officeDocument/2006/relationships/table" Target="../tables/table48.xml"/><Relationship Id="rId43" Type="http://schemas.openxmlformats.org/officeDocument/2006/relationships/table" Target="../tables/table56.xml"/><Relationship Id="rId48" Type="http://schemas.openxmlformats.org/officeDocument/2006/relationships/table" Target="../tables/table61.xml"/><Relationship Id="rId56" Type="http://schemas.openxmlformats.org/officeDocument/2006/relationships/table" Target="../tables/table69.xml"/><Relationship Id="rId64" Type="http://schemas.openxmlformats.org/officeDocument/2006/relationships/table" Target="../tables/table77.xml"/><Relationship Id="rId8" Type="http://schemas.openxmlformats.org/officeDocument/2006/relationships/hyperlink" Target="https://drive.google.com/file/d/0B8XAiXpOfz9cMWt1RTBicmpmUDg/view" TargetMode="External"/><Relationship Id="rId51" Type="http://schemas.openxmlformats.org/officeDocument/2006/relationships/table" Target="../tables/table64.xml"/><Relationship Id="rId3" Type="http://schemas.openxmlformats.org/officeDocument/2006/relationships/hyperlink" Target="https://1drv.ms/w/s!Atcrhwwo1lBAyt9NoKs6gricDBbi-g?e=efViAd" TargetMode="External"/><Relationship Id="rId12" Type="http://schemas.openxmlformats.org/officeDocument/2006/relationships/table" Target="../tables/table25.xml"/><Relationship Id="rId17" Type="http://schemas.openxmlformats.org/officeDocument/2006/relationships/table" Target="../tables/table30.xml"/><Relationship Id="rId25" Type="http://schemas.openxmlformats.org/officeDocument/2006/relationships/table" Target="../tables/table38.xml"/><Relationship Id="rId33" Type="http://schemas.openxmlformats.org/officeDocument/2006/relationships/table" Target="../tables/table46.xml"/><Relationship Id="rId38" Type="http://schemas.openxmlformats.org/officeDocument/2006/relationships/table" Target="../tables/table51.xml"/><Relationship Id="rId46" Type="http://schemas.openxmlformats.org/officeDocument/2006/relationships/table" Target="../tables/table59.xml"/><Relationship Id="rId59" Type="http://schemas.openxmlformats.org/officeDocument/2006/relationships/table" Target="../tables/table72.xml"/><Relationship Id="rId67" Type="http://schemas.openxmlformats.org/officeDocument/2006/relationships/table" Target="../tables/table80.xml"/><Relationship Id="rId20" Type="http://schemas.openxmlformats.org/officeDocument/2006/relationships/table" Target="../tables/table33.xml"/><Relationship Id="rId41" Type="http://schemas.openxmlformats.org/officeDocument/2006/relationships/table" Target="../tables/table54.xml"/><Relationship Id="rId54" Type="http://schemas.openxmlformats.org/officeDocument/2006/relationships/table" Target="../tables/table67.xml"/><Relationship Id="rId62" Type="http://schemas.openxmlformats.org/officeDocument/2006/relationships/table" Target="../tables/table75.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dndbeyond.com/monsters/bard" TargetMode="External"/><Relationship Id="rId13" Type="http://schemas.openxmlformats.org/officeDocument/2006/relationships/hyperlink" Target="https://www.dndbeyond.com/monsters/spy" TargetMode="External"/><Relationship Id="rId18" Type="http://schemas.openxmlformats.org/officeDocument/2006/relationships/hyperlink" Target="https://www.dndbeyond.com/monsters/knight" TargetMode="External"/><Relationship Id="rId26" Type="http://schemas.openxmlformats.org/officeDocument/2006/relationships/table" Target="../tables/table83.xml"/><Relationship Id="rId3" Type="http://schemas.openxmlformats.org/officeDocument/2006/relationships/hyperlink" Target="https://www.dndbeyond.com/monsters/priest" TargetMode="External"/><Relationship Id="rId21" Type="http://schemas.openxmlformats.org/officeDocument/2006/relationships/hyperlink" Target="https://www.dndbeyond.com/monsters/archer" TargetMode="External"/><Relationship Id="rId34" Type="http://schemas.openxmlformats.org/officeDocument/2006/relationships/table" Target="../tables/table91.xml"/><Relationship Id="rId7" Type="http://schemas.openxmlformats.org/officeDocument/2006/relationships/hyperlink" Target="https://www.dndbeyond.com/monsters/uthgardt-shaman" TargetMode="External"/><Relationship Id="rId12" Type="http://schemas.openxmlformats.org/officeDocument/2006/relationships/hyperlink" Target="https://www.dndbeyond.com/monsters/scout" TargetMode="External"/><Relationship Id="rId17" Type="http://schemas.openxmlformats.org/officeDocument/2006/relationships/hyperlink" Target="https://www.dndbeyond.com/monsters/swashbuckler" TargetMode="External"/><Relationship Id="rId25" Type="http://schemas.openxmlformats.org/officeDocument/2006/relationships/table" Target="../tables/table82.xml"/><Relationship Id="rId33" Type="http://schemas.openxmlformats.org/officeDocument/2006/relationships/table" Target="../tables/table90.xml"/><Relationship Id="rId2" Type="http://schemas.openxmlformats.org/officeDocument/2006/relationships/hyperlink" Target="https://www.dndbeyond.com/monsters/acolyte" TargetMode="External"/><Relationship Id="rId16" Type="http://schemas.openxmlformats.org/officeDocument/2006/relationships/hyperlink" Target="https://www.dndbeyond.com/monsters/veteran" TargetMode="External"/><Relationship Id="rId20" Type="http://schemas.openxmlformats.org/officeDocument/2006/relationships/hyperlink" Target="https://www.dndbeyond.com/monsters/master-thief" TargetMode="External"/><Relationship Id="rId29" Type="http://schemas.openxmlformats.org/officeDocument/2006/relationships/table" Target="../tables/table86.xml"/><Relationship Id="rId1" Type="http://schemas.openxmlformats.org/officeDocument/2006/relationships/hyperlink" Target="https://critterdb.com/" TargetMode="External"/><Relationship Id="rId6" Type="http://schemas.openxmlformats.org/officeDocument/2006/relationships/hyperlink" Target="https://www.dndbeyond.com/monsters/druid" TargetMode="External"/><Relationship Id="rId11" Type="http://schemas.openxmlformats.org/officeDocument/2006/relationships/hyperlink" Target="https://www.dndbeyond.com/monsters/thug" TargetMode="External"/><Relationship Id="rId24" Type="http://schemas.openxmlformats.org/officeDocument/2006/relationships/table" Target="../tables/table81.xml"/><Relationship Id="rId32" Type="http://schemas.openxmlformats.org/officeDocument/2006/relationships/table" Target="../tables/table89.xml"/><Relationship Id="rId5" Type="http://schemas.openxmlformats.org/officeDocument/2006/relationships/hyperlink" Target="https://www.dndbeyond.com/monsters/cult-fanatic" TargetMode="External"/><Relationship Id="rId15" Type="http://schemas.openxmlformats.org/officeDocument/2006/relationships/hyperlink" Target="https://www.dndbeyond.com/monsters/bandit-captain" TargetMode="External"/><Relationship Id="rId23" Type="http://schemas.openxmlformats.org/officeDocument/2006/relationships/hyperlink" Target="https://critterdb.com/" TargetMode="External"/><Relationship Id="rId28" Type="http://schemas.openxmlformats.org/officeDocument/2006/relationships/table" Target="../tables/table85.xml"/><Relationship Id="rId36" Type="http://schemas.openxmlformats.org/officeDocument/2006/relationships/table" Target="../tables/table93.xml"/><Relationship Id="rId10" Type="http://schemas.openxmlformats.org/officeDocument/2006/relationships/hyperlink" Target="https://www.dndbeyond.com/monsters/bandit" TargetMode="External"/><Relationship Id="rId19" Type="http://schemas.openxmlformats.org/officeDocument/2006/relationships/hyperlink" Target="https://www.dndbeyond.com/monsters/pirate-captain" TargetMode="External"/><Relationship Id="rId31" Type="http://schemas.openxmlformats.org/officeDocument/2006/relationships/table" Target="../tables/table88.xml"/><Relationship Id="rId4" Type="http://schemas.openxmlformats.org/officeDocument/2006/relationships/hyperlink" Target="https://www.dndbeyond.com/monsters/apprentice-wizard" TargetMode="External"/><Relationship Id="rId9" Type="http://schemas.openxmlformats.org/officeDocument/2006/relationships/hyperlink" Target="https://www.dndbeyond.com/monsters/guard" TargetMode="External"/><Relationship Id="rId14" Type="http://schemas.openxmlformats.org/officeDocument/2006/relationships/hyperlink" Target="https://www.dndbeyond.com/monsters/berserker" TargetMode="External"/><Relationship Id="rId22" Type="http://schemas.openxmlformats.org/officeDocument/2006/relationships/hyperlink" Target="https://critterdb.com/" TargetMode="External"/><Relationship Id="rId27" Type="http://schemas.openxmlformats.org/officeDocument/2006/relationships/table" Target="../tables/table84.xml"/><Relationship Id="rId30" Type="http://schemas.openxmlformats.org/officeDocument/2006/relationships/table" Target="../tables/table87.xml"/><Relationship Id="rId35" Type="http://schemas.openxmlformats.org/officeDocument/2006/relationships/table" Target="../tables/table92.xml"/></Relationships>
</file>

<file path=xl/worksheets/_rels/sheet13.xml.rels><?xml version="1.0" encoding="UTF-8" standalone="yes"?>
<Relationships xmlns="http://schemas.openxmlformats.org/package/2006/relationships"><Relationship Id="rId8" Type="http://schemas.openxmlformats.org/officeDocument/2006/relationships/table" Target="../tables/table101.xml"/><Relationship Id="rId13" Type="http://schemas.openxmlformats.org/officeDocument/2006/relationships/table" Target="../tables/table106.xml"/><Relationship Id="rId18" Type="http://schemas.openxmlformats.org/officeDocument/2006/relationships/table" Target="../tables/table111.xml"/><Relationship Id="rId3" Type="http://schemas.openxmlformats.org/officeDocument/2006/relationships/table" Target="../tables/table96.xml"/><Relationship Id="rId7" Type="http://schemas.openxmlformats.org/officeDocument/2006/relationships/table" Target="../tables/table100.xml"/><Relationship Id="rId12" Type="http://schemas.openxmlformats.org/officeDocument/2006/relationships/table" Target="../tables/table105.xml"/><Relationship Id="rId17" Type="http://schemas.openxmlformats.org/officeDocument/2006/relationships/table" Target="../tables/table110.xml"/><Relationship Id="rId2" Type="http://schemas.openxmlformats.org/officeDocument/2006/relationships/table" Target="../tables/table95.xml"/><Relationship Id="rId16" Type="http://schemas.openxmlformats.org/officeDocument/2006/relationships/table" Target="../tables/table109.xml"/><Relationship Id="rId1" Type="http://schemas.openxmlformats.org/officeDocument/2006/relationships/table" Target="../tables/table94.xml"/><Relationship Id="rId6" Type="http://schemas.openxmlformats.org/officeDocument/2006/relationships/table" Target="../tables/table99.xml"/><Relationship Id="rId11" Type="http://schemas.openxmlformats.org/officeDocument/2006/relationships/table" Target="../tables/table104.xml"/><Relationship Id="rId5" Type="http://schemas.openxmlformats.org/officeDocument/2006/relationships/table" Target="../tables/table98.xml"/><Relationship Id="rId15" Type="http://schemas.openxmlformats.org/officeDocument/2006/relationships/table" Target="../tables/table108.xml"/><Relationship Id="rId10" Type="http://schemas.openxmlformats.org/officeDocument/2006/relationships/table" Target="../tables/table103.xml"/><Relationship Id="rId19" Type="http://schemas.openxmlformats.org/officeDocument/2006/relationships/table" Target="../tables/table112.xml"/><Relationship Id="rId4" Type="http://schemas.openxmlformats.org/officeDocument/2006/relationships/table" Target="../tables/table97.xml"/><Relationship Id="rId9" Type="http://schemas.openxmlformats.org/officeDocument/2006/relationships/table" Target="../tables/table102.xml"/><Relationship Id="rId14" Type="http://schemas.openxmlformats.org/officeDocument/2006/relationships/table" Target="../tables/table10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4.xml"/><Relationship Id="rId1" Type="http://schemas.openxmlformats.org/officeDocument/2006/relationships/table" Target="../tables/table1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image" Target="../media/image6.png"/></Relationships>
</file>

<file path=xl/worksheets/_rels/sheet16.xml.rels><?xml version="1.0" encoding="UTF-8" standalone="yes"?>
<Relationships xmlns="http://schemas.openxmlformats.org/package/2006/relationships"><Relationship Id="rId8" Type="http://schemas.openxmlformats.org/officeDocument/2006/relationships/table" Target="../tables/table119.xml"/><Relationship Id="rId13" Type="http://schemas.openxmlformats.org/officeDocument/2006/relationships/table" Target="../tables/table124.xml"/><Relationship Id="rId18" Type="http://schemas.openxmlformats.org/officeDocument/2006/relationships/table" Target="../tables/table129.xml"/><Relationship Id="rId26" Type="http://schemas.openxmlformats.org/officeDocument/2006/relationships/table" Target="../tables/table137.xml"/><Relationship Id="rId39" Type="http://schemas.openxmlformats.org/officeDocument/2006/relationships/table" Target="../tables/table150.xml"/><Relationship Id="rId3" Type="http://schemas.openxmlformats.org/officeDocument/2006/relationships/hyperlink" Target="file:///C:\Users\avpal\AppData\Roaming\Microsoft\Excel\EBERR\on-downtime-and-demesnes-5th-edition-2019.docx" TargetMode="External"/><Relationship Id="rId21" Type="http://schemas.openxmlformats.org/officeDocument/2006/relationships/table" Target="../tables/table132.xml"/><Relationship Id="rId34" Type="http://schemas.openxmlformats.org/officeDocument/2006/relationships/table" Target="../tables/table145.xml"/><Relationship Id="rId7" Type="http://schemas.openxmlformats.org/officeDocument/2006/relationships/table" Target="../tables/table118.xml"/><Relationship Id="rId12" Type="http://schemas.openxmlformats.org/officeDocument/2006/relationships/table" Target="../tables/table123.xml"/><Relationship Id="rId17" Type="http://schemas.openxmlformats.org/officeDocument/2006/relationships/table" Target="../tables/table128.xml"/><Relationship Id="rId25" Type="http://schemas.openxmlformats.org/officeDocument/2006/relationships/table" Target="../tables/table136.xml"/><Relationship Id="rId33" Type="http://schemas.openxmlformats.org/officeDocument/2006/relationships/table" Target="../tables/table144.xml"/><Relationship Id="rId38" Type="http://schemas.openxmlformats.org/officeDocument/2006/relationships/table" Target="../tables/table149.xml"/><Relationship Id="rId2" Type="http://schemas.openxmlformats.org/officeDocument/2006/relationships/hyperlink" Target="file:///C:\Users\avpal\AppData\Roaming\Microsoft\Excel\EBERR\on-downtime-and-demesnes-5th-edition-2019.docx" TargetMode="External"/><Relationship Id="rId16" Type="http://schemas.openxmlformats.org/officeDocument/2006/relationships/table" Target="../tables/table127.xml"/><Relationship Id="rId20" Type="http://schemas.openxmlformats.org/officeDocument/2006/relationships/table" Target="../tables/table131.xml"/><Relationship Id="rId29" Type="http://schemas.openxmlformats.org/officeDocument/2006/relationships/table" Target="../tables/table140.xml"/><Relationship Id="rId41" Type="http://schemas.openxmlformats.org/officeDocument/2006/relationships/table" Target="../tables/table152.xml"/><Relationship Id="rId1" Type="http://schemas.openxmlformats.org/officeDocument/2006/relationships/hyperlink" Target="http://cauldronsandclerics.blogspot.com/search/label/D%26D5E" TargetMode="External"/><Relationship Id="rId6" Type="http://schemas.openxmlformats.org/officeDocument/2006/relationships/table" Target="../tables/table117.xml"/><Relationship Id="rId11" Type="http://schemas.openxmlformats.org/officeDocument/2006/relationships/table" Target="../tables/table122.xml"/><Relationship Id="rId24" Type="http://schemas.openxmlformats.org/officeDocument/2006/relationships/table" Target="../tables/table135.xml"/><Relationship Id="rId32" Type="http://schemas.openxmlformats.org/officeDocument/2006/relationships/table" Target="../tables/table143.xml"/><Relationship Id="rId37" Type="http://schemas.openxmlformats.org/officeDocument/2006/relationships/table" Target="../tables/table148.xml"/><Relationship Id="rId40" Type="http://schemas.openxmlformats.org/officeDocument/2006/relationships/table" Target="../tables/table151.xml"/><Relationship Id="rId5" Type="http://schemas.openxmlformats.org/officeDocument/2006/relationships/table" Target="../tables/table116.xml"/><Relationship Id="rId15" Type="http://schemas.openxmlformats.org/officeDocument/2006/relationships/table" Target="../tables/table126.xml"/><Relationship Id="rId23" Type="http://schemas.openxmlformats.org/officeDocument/2006/relationships/table" Target="../tables/table134.xml"/><Relationship Id="rId28" Type="http://schemas.openxmlformats.org/officeDocument/2006/relationships/table" Target="../tables/table139.xml"/><Relationship Id="rId36" Type="http://schemas.openxmlformats.org/officeDocument/2006/relationships/table" Target="../tables/table147.xml"/><Relationship Id="rId10" Type="http://schemas.openxmlformats.org/officeDocument/2006/relationships/table" Target="../tables/table121.xml"/><Relationship Id="rId19" Type="http://schemas.openxmlformats.org/officeDocument/2006/relationships/table" Target="../tables/table130.xml"/><Relationship Id="rId31" Type="http://schemas.openxmlformats.org/officeDocument/2006/relationships/table" Target="../tables/table142.xml"/><Relationship Id="rId4" Type="http://schemas.openxmlformats.org/officeDocument/2006/relationships/table" Target="../tables/table115.xml"/><Relationship Id="rId9" Type="http://schemas.openxmlformats.org/officeDocument/2006/relationships/table" Target="../tables/table120.xml"/><Relationship Id="rId14" Type="http://schemas.openxmlformats.org/officeDocument/2006/relationships/table" Target="../tables/table125.xml"/><Relationship Id="rId22" Type="http://schemas.openxmlformats.org/officeDocument/2006/relationships/table" Target="../tables/table133.xml"/><Relationship Id="rId27" Type="http://schemas.openxmlformats.org/officeDocument/2006/relationships/table" Target="../tables/table138.xml"/><Relationship Id="rId30" Type="http://schemas.openxmlformats.org/officeDocument/2006/relationships/table" Target="../tables/table141.xml"/><Relationship Id="rId35" Type="http://schemas.openxmlformats.org/officeDocument/2006/relationships/table" Target="../tables/table14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3.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15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17" Type="http://schemas.openxmlformats.org/officeDocument/2006/relationships/hyperlink" Target="https://www.aidedd.org/dnd/monstres.php?vo=Ghoul" TargetMode="External"/><Relationship Id="rId299" Type="http://schemas.openxmlformats.org/officeDocument/2006/relationships/hyperlink" Target="https://www.aidedd.org/dnd/monstres.php?vo=Weasel" TargetMode="External"/><Relationship Id="rId303" Type="http://schemas.openxmlformats.org/officeDocument/2006/relationships/hyperlink" Target="https://www.aidedd.org/dnd/monstres.php?vo=Weretiger" TargetMode="External"/><Relationship Id="rId21" Type="http://schemas.openxmlformats.org/officeDocument/2006/relationships/hyperlink" Target="https://www.aidedd.org/dnd/monstres.php?vo=Ancient-Green-Dragon" TargetMode="External"/><Relationship Id="rId42" Type="http://schemas.openxmlformats.org/officeDocument/2006/relationships/hyperlink" Target="https://www.aidedd.org/dnd/monstres.php?vo=Barbed-Devil" TargetMode="External"/><Relationship Id="rId63" Type="http://schemas.openxmlformats.org/officeDocument/2006/relationships/hyperlink" Target="https://www.aidedd.org/dnd/monstres.php?vo=Centaur" TargetMode="External"/><Relationship Id="rId84" Type="http://schemas.openxmlformats.org/officeDocument/2006/relationships/hyperlink" Target="https://www.aidedd.org/dnd/monstres.php?vo=Deva" TargetMode="External"/><Relationship Id="rId138" Type="http://schemas.openxmlformats.org/officeDocument/2006/relationships/hyperlink" Target="https://www.aidedd.org/dnd/monstres.php?vo=Giant-Sea-Horse" TargetMode="External"/><Relationship Id="rId159" Type="http://schemas.openxmlformats.org/officeDocument/2006/relationships/hyperlink" Target="https://www.aidedd.org/dnd/monstres.php?vo=Grimlock" TargetMode="External"/><Relationship Id="rId324" Type="http://schemas.openxmlformats.org/officeDocument/2006/relationships/hyperlink" Target="https://www.aidedd.org/dnd/monstres.php?vo=Young-Red-Dragon" TargetMode="External"/><Relationship Id="rId170" Type="http://schemas.openxmlformats.org/officeDocument/2006/relationships/hyperlink" Target="https://www.aidedd.org/dnd/monstres.php?vo=Homunculus" TargetMode="External"/><Relationship Id="rId191" Type="http://schemas.openxmlformats.org/officeDocument/2006/relationships/hyperlink" Target="https://www.aidedd.org/dnd/monstres.php?vo=Mage" TargetMode="External"/><Relationship Id="rId205" Type="http://schemas.openxmlformats.org/officeDocument/2006/relationships/hyperlink" Target="https://www.aidedd.org/dnd/monstres.php?vo=Mule" TargetMode="External"/><Relationship Id="rId226" Type="http://schemas.openxmlformats.org/officeDocument/2006/relationships/hyperlink" Target="https://www.aidedd.org/dnd/monstres.php?vo=Plesiosaurus" TargetMode="External"/><Relationship Id="rId247" Type="http://schemas.openxmlformats.org/officeDocument/2006/relationships/hyperlink" Target="https://www.aidedd.org/dnd/monstres.php?vo=Rust-Monster" TargetMode="External"/><Relationship Id="rId107" Type="http://schemas.openxmlformats.org/officeDocument/2006/relationships/hyperlink" Target="https://www.aidedd.org/dnd/monstres.php?vo=Flameskull" TargetMode="External"/><Relationship Id="rId268" Type="http://schemas.openxmlformats.org/officeDocument/2006/relationships/hyperlink" Target="https://www.aidedd.org/dnd/monstres.php?vo=Spy" TargetMode="External"/><Relationship Id="rId289" Type="http://schemas.openxmlformats.org/officeDocument/2006/relationships/hyperlink" Target="https://www.aidedd.org/dnd/monstres.php?vo=Unicorn" TargetMode="External"/><Relationship Id="rId11" Type="http://schemas.openxmlformats.org/officeDocument/2006/relationships/hyperlink" Target="https://www.aidedd.org/dnd/monstres.php?vo=Adult-Silver-Dragon" TargetMode="External"/><Relationship Id="rId32" Type="http://schemas.openxmlformats.org/officeDocument/2006/relationships/hyperlink" Target="https://www.aidedd.org/dnd/monstres.php?vo=Awakened-Shrub" TargetMode="External"/><Relationship Id="rId53" Type="http://schemas.openxmlformats.org/officeDocument/2006/relationships/hyperlink" Target="https://www.aidedd.org/dnd/monstres.php?vo=Blue-Dragon-Wyrmling" TargetMode="External"/><Relationship Id="rId74" Type="http://schemas.openxmlformats.org/officeDocument/2006/relationships/hyperlink" Target="https://www.aidedd.org/dnd/monstres.php?vo=Couatl" TargetMode="External"/><Relationship Id="rId128" Type="http://schemas.openxmlformats.org/officeDocument/2006/relationships/hyperlink" Target="https://www.aidedd.org/dnd/monstres.php?vo=Giant-Fire-Beetle" TargetMode="External"/><Relationship Id="rId149" Type="http://schemas.openxmlformats.org/officeDocument/2006/relationships/hyperlink" Target="https://www.aidedd.org/dnd/monstres.php?vo=Gnoll" TargetMode="External"/><Relationship Id="rId314" Type="http://schemas.openxmlformats.org/officeDocument/2006/relationships/hyperlink" Target="https://www.aidedd.org/dnd/monstres.php?vo=Xorn" TargetMode="External"/><Relationship Id="rId5" Type="http://schemas.openxmlformats.org/officeDocument/2006/relationships/hyperlink" Target="https://www.aidedd.org/dnd/monstres.php?vo=Adult-Brass-Dragon" TargetMode="External"/><Relationship Id="rId95" Type="http://schemas.openxmlformats.org/officeDocument/2006/relationships/hyperlink" Target="https://www.aidedd.org/dnd/monstres.php?vo=Duergar" TargetMode="External"/><Relationship Id="rId160" Type="http://schemas.openxmlformats.org/officeDocument/2006/relationships/hyperlink" Target="https://www.aidedd.org/dnd/monstres.php?vo=Guard" TargetMode="External"/><Relationship Id="rId181" Type="http://schemas.openxmlformats.org/officeDocument/2006/relationships/hyperlink" Target="https://www.aidedd.org/dnd/monstres.php?vo=Killer-Whale" TargetMode="External"/><Relationship Id="rId216" Type="http://schemas.openxmlformats.org/officeDocument/2006/relationships/hyperlink" Target="https://www.aidedd.org/dnd/monstres.php?vo=Oni" TargetMode="External"/><Relationship Id="rId237" Type="http://schemas.openxmlformats.org/officeDocument/2006/relationships/hyperlink" Target="https://www.aidedd.org/dnd/monstres.php?vo=Rat" TargetMode="External"/><Relationship Id="rId258" Type="http://schemas.openxmlformats.org/officeDocument/2006/relationships/hyperlink" Target="https://www.aidedd.org/dnd/monstres.php?vo=Shield-Guardian" TargetMode="External"/><Relationship Id="rId279" Type="http://schemas.openxmlformats.org/officeDocument/2006/relationships/hyperlink" Target="https://www.aidedd.org/dnd/monstres.php?vo=Swarm-of-Ravens" TargetMode="External"/><Relationship Id="rId22" Type="http://schemas.openxmlformats.org/officeDocument/2006/relationships/hyperlink" Target="https://www.aidedd.org/dnd/monstres.php?vo=Ancient-Red-Dragon" TargetMode="External"/><Relationship Id="rId43" Type="http://schemas.openxmlformats.org/officeDocument/2006/relationships/hyperlink" Target="https://www.aidedd.org/dnd/monstres.php?vo=Basilisk" TargetMode="External"/><Relationship Id="rId64" Type="http://schemas.openxmlformats.org/officeDocument/2006/relationships/hyperlink" Target="https://www.aidedd.org/dnd/monstres.php?vo=Chain-Devil" TargetMode="External"/><Relationship Id="rId118" Type="http://schemas.openxmlformats.org/officeDocument/2006/relationships/hyperlink" Target="https://www.aidedd.org/dnd/monstres.php?vo=Giant-Ape" TargetMode="External"/><Relationship Id="rId139" Type="http://schemas.openxmlformats.org/officeDocument/2006/relationships/hyperlink" Target="https://www.aidedd.org/dnd/monstres.php?vo=Giant-Shark" TargetMode="External"/><Relationship Id="rId290" Type="http://schemas.openxmlformats.org/officeDocument/2006/relationships/hyperlink" Target="https://www.aidedd.org/dnd/monstres.php?vo=Vampire" TargetMode="External"/><Relationship Id="rId304" Type="http://schemas.openxmlformats.org/officeDocument/2006/relationships/hyperlink" Target="https://www.aidedd.org/dnd/monstres.php?vo=Werewolf" TargetMode="External"/><Relationship Id="rId325" Type="http://schemas.openxmlformats.org/officeDocument/2006/relationships/hyperlink" Target="https://www.aidedd.org/dnd/monstres.php?vo=Young-Silver-Dragon" TargetMode="External"/><Relationship Id="rId85" Type="http://schemas.openxmlformats.org/officeDocument/2006/relationships/hyperlink" Target="https://www.aidedd.org/dnd/monstres.php?vo=Dire-Wolf" TargetMode="External"/><Relationship Id="rId150" Type="http://schemas.openxmlformats.org/officeDocument/2006/relationships/hyperlink" Target="https://www.aidedd.org/dnd/monstres.php?vo=Goat" TargetMode="External"/><Relationship Id="rId171" Type="http://schemas.openxmlformats.org/officeDocument/2006/relationships/hyperlink" Target="https://www.aidedd.org/dnd/monstres.php?vo=Horned-Devil" TargetMode="External"/><Relationship Id="rId192" Type="http://schemas.openxmlformats.org/officeDocument/2006/relationships/hyperlink" Target="https://www.aidedd.org/dnd/monstres.php?vo=Magma-Mephit" TargetMode="External"/><Relationship Id="rId206" Type="http://schemas.openxmlformats.org/officeDocument/2006/relationships/hyperlink" Target="https://www.aidedd.org/dnd/monstres.php?vo=Mummy" TargetMode="External"/><Relationship Id="rId227" Type="http://schemas.openxmlformats.org/officeDocument/2006/relationships/hyperlink" Target="https://www.aidedd.org/dnd/monstres.php?vo=Poisonous-Snake" TargetMode="External"/><Relationship Id="rId248" Type="http://schemas.openxmlformats.org/officeDocument/2006/relationships/hyperlink" Target="https://www.aidedd.org/dnd/monstres.php?vo=Saber-Toothed-Tiger" TargetMode="External"/><Relationship Id="rId269" Type="http://schemas.openxmlformats.org/officeDocument/2006/relationships/hyperlink" Target="https://www.aidedd.org/dnd/monstres.php?vo=Steam-Mephit" TargetMode="External"/><Relationship Id="rId12" Type="http://schemas.openxmlformats.org/officeDocument/2006/relationships/hyperlink" Target="https://www.aidedd.org/dnd/monstres.php?vo=Adult-White-Dragon" TargetMode="External"/><Relationship Id="rId33" Type="http://schemas.openxmlformats.org/officeDocument/2006/relationships/hyperlink" Target="https://www.aidedd.org/dnd/monstres.php?vo=Awakened-Tree" TargetMode="External"/><Relationship Id="rId108" Type="http://schemas.openxmlformats.org/officeDocument/2006/relationships/hyperlink" Target="https://www.aidedd.org/dnd/monstres.php?vo=Flesh-Golem" TargetMode="External"/><Relationship Id="rId129" Type="http://schemas.openxmlformats.org/officeDocument/2006/relationships/hyperlink" Target="https://www.aidedd.org/dnd/monstres.php?vo=Giant-Frog" TargetMode="External"/><Relationship Id="rId280" Type="http://schemas.openxmlformats.org/officeDocument/2006/relationships/hyperlink" Target="https://www.aidedd.org/dnd/monstres.php?vo=Tarrasque" TargetMode="External"/><Relationship Id="rId315" Type="http://schemas.openxmlformats.org/officeDocument/2006/relationships/hyperlink" Target="https://www.aidedd.org/dnd/monstres.php?vo=Thug" TargetMode="External"/><Relationship Id="rId54" Type="http://schemas.openxmlformats.org/officeDocument/2006/relationships/hyperlink" Target="https://www.aidedd.org/dnd/monstres.php?vo=Boar" TargetMode="External"/><Relationship Id="rId75" Type="http://schemas.openxmlformats.org/officeDocument/2006/relationships/hyperlink" Target="https://www.aidedd.org/dnd/monstres.php?vo=Crab" TargetMode="External"/><Relationship Id="rId96" Type="http://schemas.openxmlformats.org/officeDocument/2006/relationships/hyperlink" Target="https://www.aidedd.org/dnd/monstres.php?vo=Dust-Mephit" TargetMode="External"/><Relationship Id="rId140" Type="http://schemas.openxmlformats.org/officeDocument/2006/relationships/hyperlink" Target="https://www.aidedd.org/dnd/monstres.php?vo=Giant-Spider" TargetMode="External"/><Relationship Id="rId161" Type="http://schemas.openxmlformats.org/officeDocument/2006/relationships/hyperlink" Target="https://www.aidedd.org/dnd/monstres.php?vo=Guardian-Naga" TargetMode="External"/><Relationship Id="rId182" Type="http://schemas.openxmlformats.org/officeDocument/2006/relationships/hyperlink" Target="https://www.aidedd.org/dnd/monstres.php?vo=Knight" TargetMode="External"/><Relationship Id="rId217" Type="http://schemas.openxmlformats.org/officeDocument/2006/relationships/hyperlink" Target="https://www.aidedd.org/dnd/monstres.php?vo=Orc" TargetMode="External"/><Relationship Id="rId6" Type="http://schemas.openxmlformats.org/officeDocument/2006/relationships/hyperlink" Target="https://www.aidedd.org/dnd/monstres.php?vo=Adult-Bronze-Dragon" TargetMode="External"/><Relationship Id="rId238" Type="http://schemas.openxmlformats.org/officeDocument/2006/relationships/hyperlink" Target="https://www.aidedd.org/dnd/monstres.php?vo=Raven" TargetMode="External"/><Relationship Id="rId259" Type="http://schemas.openxmlformats.org/officeDocument/2006/relationships/hyperlink" Target="https://www.aidedd.org/dnd/monstres.php?vo=Shrieker" TargetMode="External"/><Relationship Id="rId23" Type="http://schemas.openxmlformats.org/officeDocument/2006/relationships/hyperlink" Target="https://www.aidedd.org/dnd/monstres.php?vo=Ancient-Silver-Dragon" TargetMode="External"/><Relationship Id="rId119" Type="http://schemas.openxmlformats.org/officeDocument/2006/relationships/hyperlink" Target="https://www.aidedd.org/dnd/monstres.php?vo=Giant-Badger" TargetMode="External"/><Relationship Id="rId270" Type="http://schemas.openxmlformats.org/officeDocument/2006/relationships/hyperlink" Target="https://www.aidedd.org/dnd/monstres.php?vo=Stirge" TargetMode="External"/><Relationship Id="rId291" Type="http://schemas.openxmlformats.org/officeDocument/2006/relationships/hyperlink" Target="https://www.aidedd.org/dnd/monstres.php?vo=Vampire-Spawn" TargetMode="External"/><Relationship Id="rId305" Type="http://schemas.openxmlformats.org/officeDocument/2006/relationships/hyperlink" Target="https://www.aidedd.org/dnd/monstres.php?vo=White-Dragon-Wyrmling" TargetMode="External"/><Relationship Id="rId326" Type="http://schemas.openxmlformats.org/officeDocument/2006/relationships/hyperlink" Target="https://www.aidedd.org/dnd/monstres.php?vo=Young-White-Dragon" TargetMode="External"/><Relationship Id="rId44" Type="http://schemas.openxmlformats.org/officeDocument/2006/relationships/hyperlink" Target="https://www.aidedd.org/dnd/monstres.php?vo=Bat" TargetMode="External"/><Relationship Id="rId65" Type="http://schemas.openxmlformats.org/officeDocument/2006/relationships/hyperlink" Target="https://www.aidedd.org/dnd/monstres.php?vo=Chimera" TargetMode="External"/><Relationship Id="rId86" Type="http://schemas.openxmlformats.org/officeDocument/2006/relationships/hyperlink" Target="https://www.aidedd.org/dnd/monstres.php?vo=Djinni" TargetMode="External"/><Relationship Id="rId130" Type="http://schemas.openxmlformats.org/officeDocument/2006/relationships/hyperlink" Target="https://www.aidedd.org/dnd/monstres.php?vo=Giant-Goat" TargetMode="External"/><Relationship Id="rId151" Type="http://schemas.openxmlformats.org/officeDocument/2006/relationships/hyperlink" Target="https://www.aidedd.org/dnd/monstres.php?vo=Goblin" TargetMode="External"/><Relationship Id="rId172" Type="http://schemas.openxmlformats.org/officeDocument/2006/relationships/hyperlink" Target="https://www.aidedd.org/dnd/monstres.php?vo=Hunter-Shark" TargetMode="External"/><Relationship Id="rId193" Type="http://schemas.openxmlformats.org/officeDocument/2006/relationships/hyperlink" Target="https://www.aidedd.org/dnd/monstres.php?vo=Magmin" TargetMode="External"/><Relationship Id="rId207" Type="http://schemas.openxmlformats.org/officeDocument/2006/relationships/hyperlink" Target="https://www.aidedd.org/dnd/monstres.php?vo=Mummy-Lord" TargetMode="External"/><Relationship Id="rId228" Type="http://schemas.openxmlformats.org/officeDocument/2006/relationships/hyperlink" Target="https://www.aidedd.org/dnd/monstres.php?vo=Polar-Bear" TargetMode="External"/><Relationship Id="rId249" Type="http://schemas.openxmlformats.org/officeDocument/2006/relationships/hyperlink" Target="https://www.aidedd.org/dnd/monstres.php?vo=Sahuagin" TargetMode="External"/><Relationship Id="rId13" Type="http://schemas.openxmlformats.org/officeDocument/2006/relationships/hyperlink" Target="https://www.aidedd.org/dnd/monstres.php?vo=Air-Elemental" TargetMode="External"/><Relationship Id="rId109" Type="http://schemas.openxmlformats.org/officeDocument/2006/relationships/hyperlink" Target="https://www.aidedd.org/dnd/monstres.php?vo=Flying-Snake" TargetMode="External"/><Relationship Id="rId260" Type="http://schemas.openxmlformats.org/officeDocument/2006/relationships/hyperlink" Target="https://www.aidedd.org/dnd/monstres.php?vo=Silver-Dragon-Wyrmling" TargetMode="External"/><Relationship Id="rId281" Type="http://schemas.openxmlformats.org/officeDocument/2006/relationships/hyperlink" Target="https://www.aidedd.org/dnd/monstres.php?vo=Thug" TargetMode="External"/><Relationship Id="rId316" Type="http://schemas.openxmlformats.org/officeDocument/2006/relationships/hyperlink" Target="https://www.aidedd.org/dnd/monstres.php?vo=Yeti" TargetMode="External"/><Relationship Id="rId34" Type="http://schemas.openxmlformats.org/officeDocument/2006/relationships/hyperlink" Target="https://www.aidedd.org/dnd/monstres.php?vo=Axe-Beak" TargetMode="External"/><Relationship Id="rId55" Type="http://schemas.openxmlformats.org/officeDocument/2006/relationships/hyperlink" Target="https://www.aidedd.org/dnd/monstres.php?vo=Bone-Devil" TargetMode="External"/><Relationship Id="rId76" Type="http://schemas.openxmlformats.org/officeDocument/2006/relationships/hyperlink" Target="https://www.aidedd.org/dnd/monstres.php?vo=Crocodile" TargetMode="External"/><Relationship Id="rId97" Type="http://schemas.openxmlformats.org/officeDocument/2006/relationships/hyperlink" Target="https://www.aidedd.org/dnd/monstres.php?vo=Eagle" TargetMode="External"/><Relationship Id="rId120" Type="http://schemas.openxmlformats.org/officeDocument/2006/relationships/hyperlink" Target="https://www.aidedd.org/dnd/monstres.php?vo=Giant-Bat" TargetMode="External"/><Relationship Id="rId141" Type="http://schemas.openxmlformats.org/officeDocument/2006/relationships/hyperlink" Target="https://www.aidedd.org/dnd/monstres.php?vo=Giant-Toad" TargetMode="External"/><Relationship Id="rId7" Type="http://schemas.openxmlformats.org/officeDocument/2006/relationships/hyperlink" Target="https://www.aidedd.org/dnd/monstres.php?vo=Adult-Copper-Dragon" TargetMode="External"/><Relationship Id="rId162" Type="http://schemas.openxmlformats.org/officeDocument/2006/relationships/hyperlink" Target="https://www.aidedd.org/dnd/monstres.php?vo=Gynosphinx" TargetMode="External"/><Relationship Id="rId183" Type="http://schemas.openxmlformats.org/officeDocument/2006/relationships/hyperlink" Target="https://www.aidedd.org/dnd/monstres.php?vo=Kobold" TargetMode="External"/><Relationship Id="rId218" Type="http://schemas.openxmlformats.org/officeDocument/2006/relationships/hyperlink" Target="https://www.aidedd.org/dnd/monstres.php?vo=Otyugh" TargetMode="External"/><Relationship Id="rId239" Type="http://schemas.openxmlformats.org/officeDocument/2006/relationships/hyperlink" Target="https://www.aidedd.org/dnd/monstres.php?vo=Red-Dragon-Wyrmling" TargetMode="External"/><Relationship Id="rId250" Type="http://schemas.openxmlformats.org/officeDocument/2006/relationships/hyperlink" Target="https://www.aidedd.org/dnd/monstres.php?vo=Salamander" TargetMode="External"/><Relationship Id="rId271" Type="http://schemas.openxmlformats.org/officeDocument/2006/relationships/hyperlink" Target="https://www.aidedd.org/dnd/monstres.php?vo=Stone-Giant" TargetMode="External"/><Relationship Id="rId292" Type="http://schemas.openxmlformats.org/officeDocument/2006/relationships/hyperlink" Target="https://www.aidedd.org/dnd/monstres.php?vo=Veteran" TargetMode="External"/><Relationship Id="rId306" Type="http://schemas.openxmlformats.org/officeDocument/2006/relationships/hyperlink" Target="https://www.aidedd.org/dnd/monstres.php?vo=Wight" TargetMode="External"/><Relationship Id="rId24" Type="http://schemas.openxmlformats.org/officeDocument/2006/relationships/hyperlink" Target="https://www.aidedd.org/dnd/monstres.php?vo=Ancient-White-Dragon" TargetMode="External"/><Relationship Id="rId45" Type="http://schemas.openxmlformats.org/officeDocument/2006/relationships/hyperlink" Target="https://www.aidedd.org/dnd/monstres.php?vo=Bearded-Devil" TargetMode="External"/><Relationship Id="rId66" Type="http://schemas.openxmlformats.org/officeDocument/2006/relationships/hyperlink" Target="https://www.aidedd.org/dnd/monstres.php?vo=Chuul" TargetMode="External"/><Relationship Id="rId87" Type="http://schemas.openxmlformats.org/officeDocument/2006/relationships/hyperlink" Target="https://www.aidedd.org/dnd/monstres.php?vo=Doppelganger" TargetMode="External"/><Relationship Id="rId110" Type="http://schemas.openxmlformats.org/officeDocument/2006/relationships/hyperlink" Target="https://www.aidedd.org/dnd/monstres.php?vo=Flying-Sword" TargetMode="External"/><Relationship Id="rId131" Type="http://schemas.openxmlformats.org/officeDocument/2006/relationships/hyperlink" Target="https://www.aidedd.org/dnd/monstres.php?vo=Giant-Hyena" TargetMode="External"/><Relationship Id="rId327" Type="http://schemas.openxmlformats.org/officeDocument/2006/relationships/hyperlink" Target="https://www.aidedd.org/dnd/monstres.php?vo=Zombie" TargetMode="External"/><Relationship Id="rId152" Type="http://schemas.openxmlformats.org/officeDocument/2006/relationships/hyperlink" Target="https://www.aidedd.org/dnd/monstres.php?vo=Gold-Dragon-Wyrmling" TargetMode="External"/><Relationship Id="rId173" Type="http://schemas.openxmlformats.org/officeDocument/2006/relationships/hyperlink" Target="https://www.aidedd.org/dnd/monstres.php?vo=Hydra" TargetMode="External"/><Relationship Id="rId194" Type="http://schemas.openxmlformats.org/officeDocument/2006/relationships/hyperlink" Target="https://www.aidedd.org/dnd/monstres.php?vo=Mammoth" TargetMode="External"/><Relationship Id="rId208" Type="http://schemas.openxmlformats.org/officeDocument/2006/relationships/hyperlink" Target="https://www.aidedd.org/dnd/monstres.php?vo=Nalfeshnee" TargetMode="External"/><Relationship Id="rId229" Type="http://schemas.openxmlformats.org/officeDocument/2006/relationships/hyperlink" Target="https://www.aidedd.org/dnd/monstres.php?vo=Pony" TargetMode="External"/><Relationship Id="rId240" Type="http://schemas.openxmlformats.org/officeDocument/2006/relationships/hyperlink" Target="https://www.aidedd.org/dnd/monstres.php?vo=Reef-Shark" TargetMode="External"/><Relationship Id="rId261" Type="http://schemas.openxmlformats.org/officeDocument/2006/relationships/hyperlink" Target="https://www.aidedd.org/dnd/monstres.php?vo=Skeleton" TargetMode="External"/><Relationship Id="rId14" Type="http://schemas.openxmlformats.org/officeDocument/2006/relationships/hyperlink" Target="https://www.aidedd.org/dnd/monstres.php?vo=Allosaurus" TargetMode="External"/><Relationship Id="rId30" Type="http://schemas.openxmlformats.org/officeDocument/2006/relationships/hyperlink" Target="https://www.aidedd.org/dnd/monstres.php?vo=Archmage" TargetMode="External"/><Relationship Id="rId35" Type="http://schemas.openxmlformats.org/officeDocument/2006/relationships/hyperlink" Target="https://www.aidedd.org/dnd/monstres.php?vo=Azer" TargetMode="External"/><Relationship Id="rId56" Type="http://schemas.openxmlformats.org/officeDocument/2006/relationships/hyperlink" Target="https://www.aidedd.org/dnd/monstres.php?vo=Brass-Dragon-Wyrmling" TargetMode="External"/><Relationship Id="rId77" Type="http://schemas.openxmlformats.org/officeDocument/2006/relationships/hyperlink" Target="https://www.aidedd.org/dnd/monstres.php?vo=Cult-Fanatic" TargetMode="External"/><Relationship Id="rId100" Type="http://schemas.openxmlformats.org/officeDocument/2006/relationships/hyperlink" Target="https://www.aidedd.org/dnd/monstres.php?vo=Elephant" TargetMode="External"/><Relationship Id="rId105" Type="http://schemas.openxmlformats.org/officeDocument/2006/relationships/hyperlink" Target="https://www.aidedd.org/dnd/monstres.php?vo=Fire-Elemental" TargetMode="External"/><Relationship Id="rId126" Type="http://schemas.openxmlformats.org/officeDocument/2006/relationships/hyperlink" Target="https://www.aidedd.org/dnd/monstres.php?vo=Giant-Eagle" TargetMode="External"/><Relationship Id="rId147" Type="http://schemas.openxmlformats.org/officeDocument/2006/relationships/hyperlink" Target="https://www.aidedd.org/dnd/monstres.php?vo=Glabrezu" TargetMode="External"/><Relationship Id="rId168" Type="http://schemas.openxmlformats.org/officeDocument/2006/relationships/hyperlink" Target="https://www.aidedd.org/dnd/monstres.php?vo=Hippogriff" TargetMode="External"/><Relationship Id="rId282" Type="http://schemas.openxmlformats.org/officeDocument/2006/relationships/hyperlink" Target="https://www.aidedd.org/dnd/monstres.php?vo=Tiger" TargetMode="External"/><Relationship Id="rId312" Type="http://schemas.openxmlformats.org/officeDocument/2006/relationships/hyperlink" Target="https://www.aidedd.org/dnd/monstres.php?vo=Wyvern" TargetMode="External"/><Relationship Id="rId317" Type="http://schemas.openxmlformats.org/officeDocument/2006/relationships/hyperlink" Target="https://www.aidedd.org/dnd/monstres.php?vo=Young-Black-Dragon" TargetMode="External"/><Relationship Id="rId8" Type="http://schemas.openxmlformats.org/officeDocument/2006/relationships/hyperlink" Target="https://www.aidedd.org/dnd/monstres.php?vo=Adult-Gold-Dragon" TargetMode="External"/><Relationship Id="rId51" Type="http://schemas.openxmlformats.org/officeDocument/2006/relationships/hyperlink" Target="https://www.aidedd.org/dnd/monstres.php?vo=Blink-Dog" TargetMode="External"/><Relationship Id="rId72" Type="http://schemas.openxmlformats.org/officeDocument/2006/relationships/hyperlink" Target="https://www.aidedd.org/dnd/monstres.php?vo=Constrictor-Snake" TargetMode="External"/><Relationship Id="rId93" Type="http://schemas.openxmlformats.org/officeDocument/2006/relationships/hyperlink" Target="https://www.aidedd.org/dnd/monstres.php?vo=Druid" TargetMode="External"/><Relationship Id="rId98" Type="http://schemas.openxmlformats.org/officeDocument/2006/relationships/hyperlink" Target="https://www.aidedd.org/dnd/monstres.php?vo=Earth-Elemental" TargetMode="External"/><Relationship Id="rId121" Type="http://schemas.openxmlformats.org/officeDocument/2006/relationships/hyperlink" Target="https://www.aidedd.org/dnd/monstres.php?vo=Giant-Boar" TargetMode="External"/><Relationship Id="rId142" Type="http://schemas.openxmlformats.org/officeDocument/2006/relationships/hyperlink" Target="https://www.aidedd.org/dnd/monstres.php?vo=Giant-Vulture" TargetMode="External"/><Relationship Id="rId163" Type="http://schemas.openxmlformats.org/officeDocument/2006/relationships/hyperlink" Target="https://www.aidedd.org/dnd/monstres.php?vo=Harpy" TargetMode="External"/><Relationship Id="rId184" Type="http://schemas.openxmlformats.org/officeDocument/2006/relationships/hyperlink" Target="https://www.aidedd.org/dnd/monstres.php?vo=Kraken" TargetMode="External"/><Relationship Id="rId189" Type="http://schemas.openxmlformats.org/officeDocument/2006/relationships/hyperlink" Target="https://www.aidedd.org/dnd/monstres.php?vo=Lizard" TargetMode="External"/><Relationship Id="rId219" Type="http://schemas.openxmlformats.org/officeDocument/2006/relationships/hyperlink" Target="https://www.aidedd.org/dnd/monstres.php?vo=Owl" TargetMode="External"/><Relationship Id="rId3" Type="http://schemas.openxmlformats.org/officeDocument/2006/relationships/hyperlink" Target="https://www.aidedd.org/dnd/monstres.php?vo=Adult-Black-Dragon" TargetMode="External"/><Relationship Id="rId214" Type="http://schemas.openxmlformats.org/officeDocument/2006/relationships/hyperlink" Target="https://www.aidedd.org/dnd/monstres.php?vo=Ogre" TargetMode="External"/><Relationship Id="rId230" Type="http://schemas.openxmlformats.org/officeDocument/2006/relationships/hyperlink" Target="https://www.aidedd.org/dnd/monstres.php?vo=Priest" TargetMode="External"/><Relationship Id="rId235" Type="http://schemas.openxmlformats.org/officeDocument/2006/relationships/hyperlink" Target="https://www.aidedd.org/dnd/monstres.php?vo=Quipper" TargetMode="External"/><Relationship Id="rId251" Type="http://schemas.openxmlformats.org/officeDocument/2006/relationships/hyperlink" Target="https://www.aidedd.org/dnd/monstres.php?vo=Satyr" TargetMode="External"/><Relationship Id="rId256" Type="http://schemas.openxmlformats.org/officeDocument/2006/relationships/hyperlink" Target="https://www.aidedd.org/dnd/monstres.php?vo=Shadow" TargetMode="External"/><Relationship Id="rId277" Type="http://schemas.openxmlformats.org/officeDocument/2006/relationships/hyperlink" Target="https://www.aidedd.org/dnd/monstres.php?vo=Swarm-of-Quippers" TargetMode="External"/><Relationship Id="rId298" Type="http://schemas.openxmlformats.org/officeDocument/2006/relationships/hyperlink" Target="https://www.aidedd.org/dnd/monstres.php?vo=Water-Elemental" TargetMode="External"/><Relationship Id="rId25" Type="http://schemas.openxmlformats.org/officeDocument/2006/relationships/hyperlink" Target="https://www.aidedd.org/dnd/monstres.php?vo=Androsphinx" TargetMode="External"/><Relationship Id="rId46" Type="http://schemas.openxmlformats.org/officeDocument/2006/relationships/hyperlink" Target="https://www.aidedd.org/dnd/monstres.php?vo=Behir" TargetMode="External"/><Relationship Id="rId67" Type="http://schemas.openxmlformats.org/officeDocument/2006/relationships/hyperlink" Target="https://www.aidedd.org/dnd/monstres.php?vo=Clay-Golem" TargetMode="External"/><Relationship Id="rId116" Type="http://schemas.openxmlformats.org/officeDocument/2006/relationships/hyperlink" Target="https://www.aidedd.org/dnd/monstres.php?vo=Ghost" TargetMode="External"/><Relationship Id="rId137" Type="http://schemas.openxmlformats.org/officeDocument/2006/relationships/hyperlink" Target="https://www.aidedd.org/dnd/monstres.php?vo=Giant-Scorpion" TargetMode="External"/><Relationship Id="rId158" Type="http://schemas.openxmlformats.org/officeDocument/2006/relationships/hyperlink" Target="https://www.aidedd.org/dnd/monstres.php?vo=Griffon" TargetMode="External"/><Relationship Id="rId272" Type="http://schemas.openxmlformats.org/officeDocument/2006/relationships/hyperlink" Target="https://www.aidedd.org/dnd/monstres.php?vo=Stone-Golem" TargetMode="External"/><Relationship Id="rId293" Type="http://schemas.openxmlformats.org/officeDocument/2006/relationships/hyperlink" Target="https://www.aidedd.org/dnd/monstres.php?vo=Violet-Fungus" TargetMode="External"/><Relationship Id="rId302" Type="http://schemas.openxmlformats.org/officeDocument/2006/relationships/hyperlink" Target="https://www.aidedd.org/dnd/monstres.php?vo=Wererat" TargetMode="External"/><Relationship Id="rId307" Type="http://schemas.openxmlformats.org/officeDocument/2006/relationships/hyperlink" Target="https://www.aidedd.org/dnd/monstres.php?vo=Will-o'-Wisp" TargetMode="External"/><Relationship Id="rId323" Type="http://schemas.openxmlformats.org/officeDocument/2006/relationships/hyperlink" Target="https://www.aidedd.org/dnd/monstres.php?vo=Young-Green-Dragon" TargetMode="External"/><Relationship Id="rId328" Type="http://schemas.openxmlformats.org/officeDocument/2006/relationships/vmlDrawing" Target="../drawings/vmlDrawing7.vml"/><Relationship Id="rId20" Type="http://schemas.openxmlformats.org/officeDocument/2006/relationships/hyperlink" Target="https://www.aidedd.org/dnd/monstres.php?vo=Ancient-Gold-Dragon" TargetMode="External"/><Relationship Id="rId41" Type="http://schemas.openxmlformats.org/officeDocument/2006/relationships/hyperlink" Target="https://www.aidedd.org/dnd/monstres.php?vo=Banshee" TargetMode="External"/><Relationship Id="rId62" Type="http://schemas.openxmlformats.org/officeDocument/2006/relationships/hyperlink" Target="https://www.aidedd.org/dnd/monstres.php?vo=Cat" TargetMode="External"/><Relationship Id="rId83" Type="http://schemas.openxmlformats.org/officeDocument/2006/relationships/hyperlink" Target="https://www.aidedd.org/dnd/monstres.php?vo=Deer" TargetMode="External"/><Relationship Id="rId88" Type="http://schemas.openxmlformats.org/officeDocument/2006/relationships/hyperlink" Target="https://www.aidedd.org/dnd/monstres.php?vo=Draft-Horse" TargetMode="External"/><Relationship Id="rId111" Type="http://schemas.openxmlformats.org/officeDocument/2006/relationships/hyperlink" Target="https://www.aidedd.org/dnd/monstres.php?vo=Frog" TargetMode="External"/><Relationship Id="rId132" Type="http://schemas.openxmlformats.org/officeDocument/2006/relationships/hyperlink" Target="https://www.aidedd.org/dnd/monstres.php?vo=Giant-Lizard" TargetMode="External"/><Relationship Id="rId153" Type="http://schemas.openxmlformats.org/officeDocument/2006/relationships/hyperlink" Target="https://www.aidedd.org/dnd/monstres.php?vo=Gorgon" TargetMode="External"/><Relationship Id="rId174" Type="http://schemas.openxmlformats.org/officeDocument/2006/relationships/hyperlink" Target="https://www.aidedd.org/dnd/monstres.php?vo=Hyena" TargetMode="External"/><Relationship Id="rId179" Type="http://schemas.openxmlformats.org/officeDocument/2006/relationships/hyperlink" Target="https://www.aidedd.org/dnd/monstres.php?vo=Iron-Golem" TargetMode="External"/><Relationship Id="rId195" Type="http://schemas.openxmlformats.org/officeDocument/2006/relationships/hyperlink" Target="https://www.aidedd.org/dnd/monstres.php?vo=Manticore" TargetMode="External"/><Relationship Id="rId209" Type="http://schemas.openxmlformats.org/officeDocument/2006/relationships/hyperlink" Target="https://www.aidedd.org/dnd/monstres.php?vo=Night-Hag" TargetMode="External"/><Relationship Id="rId190" Type="http://schemas.openxmlformats.org/officeDocument/2006/relationships/hyperlink" Target="https://www.aidedd.org/dnd/monstres.php?vo=Lizardfolk" TargetMode="External"/><Relationship Id="rId204" Type="http://schemas.openxmlformats.org/officeDocument/2006/relationships/hyperlink" Target="https://www.aidedd.org/dnd/monstres.php?vo=Mud-Mephit" TargetMode="External"/><Relationship Id="rId220" Type="http://schemas.openxmlformats.org/officeDocument/2006/relationships/hyperlink" Target="https://www.aidedd.org/dnd/monstres.php?vo=Owlbear" TargetMode="External"/><Relationship Id="rId225" Type="http://schemas.openxmlformats.org/officeDocument/2006/relationships/hyperlink" Target="https://www.aidedd.org/dnd/monstres.php?vo=Planetar" TargetMode="External"/><Relationship Id="rId241" Type="http://schemas.openxmlformats.org/officeDocument/2006/relationships/hyperlink" Target="https://www.aidedd.org/dnd/monstres.php?vo=Remorhaz" TargetMode="External"/><Relationship Id="rId246" Type="http://schemas.openxmlformats.org/officeDocument/2006/relationships/hyperlink" Target="https://www.aidedd.org/dnd/monstres.php?vo=Rug-of-Smothering" TargetMode="External"/><Relationship Id="rId267" Type="http://schemas.openxmlformats.org/officeDocument/2006/relationships/hyperlink" Target="https://www.aidedd.org/dnd/monstres.php?vo=Sprite" TargetMode="External"/><Relationship Id="rId288" Type="http://schemas.openxmlformats.org/officeDocument/2006/relationships/hyperlink" Target="https://www.aidedd.org/dnd/monstres.php?vo=Tyrannosaurus-Rex" TargetMode="External"/><Relationship Id="rId15" Type="http://schemas.openxmlformats.org/officeDocument/2006/relationships/hyperlink" Target="https://www.aidedd.org/dnd/monstres.php?vo=Ancient-Black-Dragon" TargetMode="External"/><Relationship Id="rId36" Type="http://schemas.openxmlformats.org/officeDocument/2006/relationships/hyperlink" Target="https://www.aidedd.org/dnd/monstres.php?vo=Baboon" TargetMode="External"/><Relationship Id="rId57" Type="http://schemas.openxmlformats.org/officeDocument/2006/relationships/hyperlink" Target="https://www.aidedd.org/dnd/monstres.php?vo=Bronze-Dragon-Wyrmling" TargetMode="External"/><Relationship Id="rId106" Type="http://schemas.openxmlformats.org/officeDocument/2006/relationships/hyperlink" Target="https://www.aidedd.org/dnd/monstres.php?vo=Fire-Giant" TargetMode="External"/><Relationship Id="rId127" Type="http://schemas.openxmlformats.org/officeDocument/2006/relationships/hyperlink" Target="https://www.aidedd.org/dnd/monstres.php?vo=Giant-Elk" TargetMode="External"/><Relationship Id="rId262" Type="http://schemas.openxmlformats.org/officeDocument/2006/relationships/hyperlink" Target="https://www.aidedd.org/dnd/monstres.php?vo=Smoke-Mephit" TargetMode="External"/><Relationship Id="rId283" Type="http://schemas.openxmlformats.org/officeDocument/2006/relationships/hyperlink" Target="https://www.aidedd.org/dnd/monstres.php?vo=Treant" TargetMode="External"/><Relationship Id="rId313" Type="http://schemas.openxmlformats.org/officeDocument/2006/relationships/hyperlink" Target="https://www.aidedd.org/dnd/monstres.php?vo=Deep-Gnome-(Svirfneblin)" TargetMode="External"/><Relationship Id="rId318" Type="http://schemas.openxmlformats.org/officeDocument/2006/relationships/hyperlink" Target="https://www.aidedd.org/dnd/monstres.php?vo=Young-Blue-Dragon" TargetMode="External"/><Relationship Id="rId10" Type="http://schemas.openxmlformats.org/officeDocument/2006/relationships/hyperlink" Target="https://www.aidedd.org/dnd/monstres.php?vo=Adult-Red-Dragon" TargetMode="External"/><Relationship Id="rId31" Type="http://schemas.openxmlformats.org/officeDocument/2006/relationships/hyperlink" Target="https://www.aidedd.org/dnd/monstres.php?vo=Assassin" TargetMode="External"/><Relationship Id="rId52" Type="http://schemas.openxmlformats.org/officeDocument/2006/relationships/hyperlink" Target="https://www.aidedd.org/dnd/monstres.php?vo=Blood-Hawk" TargetMode="External"/><Relationship Id="rId73" Type="http://schemas.openxmlformats.org/officeDocument/2006/relationships/hyperlink" Target="https://www.aidedd.org/dnd/monstres.php?vo=Copper-Dragon-Wyrmling" TargetMode="External"/><Relationship Id="rId78" Type="http://schemas.openxmlformats.org/officeDocument/2006/relationships/hyperlink" Target="https://www.aidedd.org/dnd/monstres.php?vo=Cultist" TargetMode="External"/><Relationship Id="rId94" Type="http://schemas.openxmlformats.org/officeDocument/2006/relationships/hyperlink" Target="https://www.aidedd.org/dnd/monstres.php?vo=Dryad" TargetMode="External"/><Relationship Id="rId99" Type="http://schemas.openxmlformats.org/officeDocument/2006/relationships/hyperlink" Target="https://www.aidedd.org/dnd/monstres.php?vo=Efreeti" TargetMode="External"/><Relationship Id="rId101" Type="http://schemas.openxmlformats.org/officeDocument/2006/relationships/hyperlink" Target="https://www.aidedd.org/dnd/monstres.php?vo=Elk" TargetMode="External"/><Relationship Id="rId122" Type="http://schemas.openxmlformats.org/officeDocument/2006/relationships/hyperlink" Target="https://www.aidedd.org/dnd/monstres.php?vo=Giant-Centipede" TargetMode="External"/><Relationship Id="rId143" Type="http://schemas.openxmlformats.org/officeDocument/2006/relationships/hyperlink" Target="https://www.aidedd.org/dnd/monstres.php?vo=Giant-Wasp" TargetMode="External"/><Relationship Id="rId148" Type="http://schemas.openxmlformats.org/officeDocument/2006/relationships/hyperlink" Target="https://www.aidedd.org/dnd/monstres.php?vo=Gladiator" TargetMode="External"/><Relationship Id="rId164" Type="http://schemas.openxmlformats.org/officeDocument/2006/relationships/hyperlink" Target="https://www.aidedd.org/dnd/monstres.php?vo=Hawk" TargetMode="External"/><Relationship Id="rId169" Type="http://schemas.openxmlformats.org/officeDocument/2006/relationships/hyperlink" Target="https://www.aidedd.org/dnd/monstres.php?vo=Hobgoblin" TargetMode="External"/><Relationship Id="rId185" Type="http://schemas.openxmlformats.org/officeDocument/2006/relationships/hyperlink" Target="https://www.aidedd.org/dnd/monstres.php?vo=Lamia" TargetMode="External"/><Relationship Id="rId4" Type="http://schemas.openxmlformats.org/officeDocument/2006/relationships/hyperlink" Target="https://www.aidedd.org/dnd/monstres.php?vo=Adult-Blue-Dragon" TargetMode="External"/><Relationship Id="rId9" Type="http://schemas.openxmlformats.org/officeDocument/2006/relationships/hyperlink" Target="https://www.aidedd.org/dnd/monstres.php?vo=Adult-Green-Dragon" TargetMode="External"/><Relationship Id="rId180" Type="http://schemas.openxmlformats.org/officeDocument/2006/relationships/hyperlink" Target="https://www.aidedd.org/dnd/monstres.php?vo=Jackal" TargetMode="External"/><Relationship Id="rId210" Type="http://schemas.openxmlformats.org/officeDocument/2006/relationships/hyperlink" Target="https://www.aidedd.org/dnd/monstres.php?vo=Nightmare" TargetMode="External"/><Relationship Id="rId215" Type="http://schemas.openxmlformats.org/officeDocument/2006/relationships/hyperlink" Target="https://www.aidedd.org/dnd/monstres.php?vo=Ogre-Zombie" TargetMode="External"/><Relationship Id="rId236" Type="http://schemas.openxmlformats.org/officeDocument/2006/relationships/hyperlink" Target="https://www.aidedd.org/dnd/monstres.php?vo=Rakshasa" TargetMode="External"/><Relationship Id="rId257" Type="http://schemas.openxmlformats.org/officeDocument/2006/relationships/hyperlink" Target="https://www.aidedd.org/dnd/monstres.php?vo=Shambling-Mound" TargetMode="External"/><Relationship Id="rId278" Type="http://schemas.openxmlformats.org/officeDocument/2006/relationships/hyperlink" Target="https://www.aidedd.org/dnd/monstres.php?vo=Swarm-of-Rats" TargetMode="External"/><Relationship Id="rId26" Type="http://schemas.openxmlformats.org/officeDocument/2006/relationships/hyperlink" Target="https://www.aidedd.org/dnd/monstres.php?vo=Animated-Armor" TargetMode="External"/><Relationship Id="rId231" Type="http://schemas.openxmlformats.org/officeDocument/2006/relationships/hyperlink" Target="https://www.aidedd.org/dnd/monstres.php?vo=Pseudodragon" TargetMode="External"/><Relationship Id="rId252" Type="http://schemas.openxmlformats.org/officeDocument/2006/relationships/hyperlink" Target="https://www.aidedd.org/dnd/monstres.php?vo=Scorpion" TargetMode="External"/><Relationship Id="rId273" Type="http://schemas.openxmlformats.org/officeDocument/2006/relationships/hyperlink" Target="https://www.aidedd.org/dnd/monstres.php?vo=Storm-Giant" TargetMode="External"/><Relationship Id="rId294" Type="http://schemas.openxmlformats.org/officeDocument/2006/relationships/hyperlink" Target="https://www.aidedd.org/dnd/monstres.php?vo=Vrock" TargetMode="External"/><Relationship Id="rId308" Type="http://schemas.openxmlformats.org/officeDocument/2006/relationships/hyperlink" Target="https://www.aidedd.org/dnd/monstres.php?vo=Winter-Wolf" TargetMode="External"/><Relationship Id="rId329" Type="http://schemas.openxmlformats.org/officeDocument/2006/relationships/table" Target="../tables/table155.xml"/><Relationship Id="rId47" Type="http://schemas.openxmlformats.org/officeDocument/2006/relationships/hyperlink" Target="https://www.aidedd.org/dnd/monstres.php?vo=Berserker" TargetMode="External"/><Relationship Id="rId68" Type="http://schemas.openxmlformats.org/officeDocument/2006/relationships/hyperlink" Target="https://www.aidedd.org/dnd/monstres.php?vo=Cloaker" TargetMode="External"/><Relationship Id="rId89" Type="http://schemas.openxmlformats.org/officeDocument/2006/relationships/hyperlink" Target="https://www.aidedd.org/dnd/monstres.php?vo=Dragon-Turtle" TargetMode="External"/><Relationship Id="rId112" Type="http://schemas.openxmlformats.org/officeDocument/2006/relationships/hyperlink" Target="https://www.aidedd.org/dnd/monstres.php?vo=Frost-Giant" TargetMode="External"/><Relationship Id="rId133" Type="http://schemas.openxmlformats.org/officeDocument/2006/relationships/hyperlink" Target="https://www.aidedd.org/dnd/monstres.php?vo=Giant-Octopus" TargetMode="External"/><Relationship Id="rId154" Type="http://schemas.openxmlformats.org/officeDocument/2006/relationships/hyperlink" Target="https://www.aidedd.org/dnd/monstres.php?vo=Gray-Ooze" TargetMode="External"/><Relationship Id="rId175" Type="http://schemas.openxmlformats.org/officeDocument/2006/relationships/hyperlink" Target="https://www.aidedd.org/dnd/monstres.php?vo=Ice-Devil" TargetMode="External"/><Relationship Id="rId196" Type="http://schemas.openxmlformats.org/officeDocument/2006/relationships/hyperlink" Target="https://www.aidedd.org/dnd/monstres.php?vo=Marilith" TargetMode="External"/><Relationship Id="rId200" Type="http://schemas.openxmlformats.org/officeDocument/2006/relationships/hyperlink" Target="https://www.aidedd.org/dnd/monstres.php?vo=Merrow" TargetMode="External"/><Relationship Id="rId16" Type="http://schemas.openxmlformats.org/officeDocument/2006/relationships/hyperlink" Target="https://www.aidedd.org/dnd/monstres.php?vo=Ancient-Blue-Dragon" TargetMode="External"/><Relationship Id="rId221" Type="http://schemas.openxmlformats.org/officeDocument/2006/relationships/hyperlink" Target="https://www.aidedd.org/dnd/monstres.php?vo=Panther" TargetMode="External"/><Relationship Id="rId242" Type="http://schemas.openxmlformats.org/officeDocument/2006/relationships/hyperlink" Target="https://www.aidedd.org/dnd/monstres.php?vo=Rhinoceros" TargetMode="External"/><Relationship Id="rId263" Type="http://schemas.openxmlformats.org/officeDocument/2006/relationships/hyperlink" Target="https://www.aidedd.org/dnd/monstres.php?vo=Solar" TargetMode="External"/><Relationship Id="rId284" Type="http://schemas.openxmlformats.org/officeDocument/2006/relationships/hyperlink" Target="https://www.aidedd.org/dnd/monstres.php?vo=Tribal-Warrior" TargetMode="External"/><Relationship Id="rId319" Type="http://schemas.openxmlformats.org/officeDocument/2006/relationships/hyperlink" Target="https://www.aidedd.org/dnd/monstres.php?vo=Young-Brass-Dragon" TargetMode="External"/><Relationship Id="rId37" Type="http://schemas.openxmlformats.org/officeDocument/2006/relationships/hyperlink" Target="https://www.aidedd.org/dnd/monstres.php?vo=Badger" TargetMode="External"/><Relationship Id="rId58" Type="http://schemas.openxmlformats.org/officeDocument/2006/relationships/hyperlink" Target="https://www.aidedd.org/dnd/monstres.php?vo=Brown-Bear" TargetMode="External"/><Relationship Id="rId79" Type="http://schemas.openxmlformats.org/officeDocument/2006/relationships/hyperlink" Target="https://www.aidedd.org/dnd/monstres.php?vo=Cyclops" TargetMode="External"/><Relationship Id="rId102" Type="http://schemas.openxmlformats.org/officeDocument/2006/relationships/hyperlink" Target="https://www.aidedd.org/dnd/monstres.php?vo=Erinyes" TargetMode="External"/><Relationship Id="rId123" Type="http://schemas.openxmlformats.org/officeDocument/2006/relationships/hyperlink" Target="https://www.aidedd.org/dnd/monstres.php?vo=Giant-Constrictor-Snake" TargetMode="External"/><Relationship Id="rId144" Type="http://schemas.openxmlformats.org/officeDocument/2006/relationships/hyperlink" Target="https://www.aidedd.org/dnd/monstres.php?vo=Giant-Weasel" TargetMode="External"/><Relationship Id="rId330" Type="http://schemas.openxmlformats.org/officeDocument/2006/relationships/comments" Target="../comments7.xml"/><Relationship Id="rId90" Type="http://schemas.openxmlformats.org/officeDocument/2006/relationships/hyperlink" Target="https://www.aidedd.org/dnd/monstres.php?vo=Dretch" TargetMode="External"/><Relationship Id="rId165" Type="http://schemas.openxmlformats.org/officeDocument/2006/relationships/hyperlink" Target="https://www.aidedd.org/dnd/monstres.php?vo=Hell-Hound" TargetMode="External"/><Relationship Id="rId186" Type="http://schemas.openxmlformats.org/officeDocument/2006/relationships/hyperlink" Target="https://www.aidedd.org/dnd/monstres.php?vo=Lemure" TargetMode="External"/><Relationship Id="rId211" Type="http://schemas.openxmlformats.org/officeDocument/2006/relationships/hyperlink" Target="https://www.aidedd.org/dnd/monstres.php?vo=Noble" TargetMode="External"/><Relationship Id="rId232" Type="http://schemas.openxmlformats.org/officeDocument/2006/relationships/hyperlink" Target="https://www.aidedd.org/dnd/monstres.php?vo=Pteranodon" TargetMode="External"/><Relationship Id="rId253" Type="http://schemas.openxmlformats.org/officeDocument/2006/relationships/hyperlink" Target="https://www.aidedd.org/dnd/monstres.php?vo=Scout" TargetMode="External"/><Relationship Id="rId274" Type="http://schemas.openxmlformats.org/officeDocument/2006/relationships/hyperlink" Target="https://www.aidedd.org/dnd/monstres.php?vo=Swarm-of-Bats" TargetMode="External"/><Relationship Id="rId295" Type="http://schemas.openxmlformats.org/officeDocument/2006/relationships/hyperlink" Target="https://www.aidedd.org/dnd/monstres.php?vo=Vulture" TargetMode="External"/><Relationship Id="rId309" Type="http://schemas.openxmlformats.org/officeDocument/2006/relationships/hyperlink" Target="https://www.aidedd.org/dnd/monstres.php?vo=Wolf" TargetMode="External"/><Relationship Id="rId27" Type="http://schemas.openxmlformats.org/officeDocument/2006/relationships/hyperlink" Target="https://www.aidedd.org/dnd/monstres.php?vo=Ankheg" TargetMode="External"/><Relationship Id="rId48" Type="http://schemas.openxmlformats.org/officeDocument/2006/relationships/hyperlink" Target="https://www.aidedd.org/dnd/monstres.php?vo=Black-Bear" TargetMode="External"/><Relationship Id="rId69" Type="http://schemas.openxmlformats.org/officeDocument/2006/relationships/hyperlink" Target="https://www.aidedd.org/dnd/monstres.php?vo=Cloud-Giant" TargetMode="External"/><Relationship Id="rId113" Type="http://schemas.openxmlformats.org/officeDocument/2006/relationships/hyperlink" Target="https://www.aidedd.org/dnd/monstres.php?vo=Gargoyle" TargetMode="External"/><Relationship Id="rId134" Type="http://schemas.openxmlformats.org/officeDocument/2006/relationships/hyperlink" Target="https://www.aidedd.org/dnd/monstres.php?vo=Giant-Owl" TargetMode="External"/><Relationship Id="rId320" Type="http://schemas.openxmlformats.org/officeDocument/2006/relationships/hyperlink" Target="https://www.aidedd.org/dnd/monstres.php?vo=Young-Bronze-Dragon" TargetMode="External"/><Relationship Id="rId80" Type="http://schemas.openxmlformats.org/officeDocument/2006/relationships/hyperlink" Target="https://www.aidedd.org/dnd/monstres.php?vo=Darkmantle" TargetMode="External"/><Relationship Id="rId155" Type="http://schemas.openxmlformats.org/officeDocument/2006/relationships/hyperlink" Target="https://www.aidedd.org/dnd/monstres.php?vo=Green-Dragon-Wyrmling" TargetMode="External"/><Relationship Id="rId176" Type="http://schemas.openxmlformats.org/officeDocument/2006/relationships/hyperlink" Target="https://www.aidedd.org/dnd/monstres.php?vo=Ice-Mephit" TargetMode="External"/><Relationship Id="rId197" Type="http://schemas.openxmlformats.org/officeDocument/2006/relationships/hyperlink" Target="https://www.aidedd.org/dnd/monstres.php?vo=Mastiff" TargetMode="External"/><Relationship Id="rId201" Type="http://schemas.openxmlformats.org/officeDocument/2006/relationships/hyperlink" Target="https://www.aidedd.org/dnd/monstres.php?vo=Mimic" TargetMode="External"/><Relationship Id="rId222" Type="http://schemas.openxmlformats.org/officeDocument/2006/relationships/hyperlink" Target="https://www.aidedd.org/dnd/monstres.php?vo=Pegasus" TargetMode="External"/><Relationship Id="rId243" Type="http://schemas.openxmlformats.org/officeDocument/2006/relationships/hyperlink" Target="https://www.aidedd.org/dnd/monstres.php?vo=Riding-Horse" TargetMode="External"/><Relationship Id="rId264" Type="http://schemas.openxmlformats.org/officeDocument/2006/relationships/hyperlink" Target="https://www.aidedd.org/dnd/monstres.php?vo=Specter" TargetMode="External"/><Relationship Id="rId285" Type="http://schemas.openxmlformats.org/officeDocument/2006/relationships/hyperlink" Target="https://www.aidedd.org/dnd/monstres.php?vo=Triceratops" TargetMode="External"/><Relationship Id="rId17" Type="http://schemas.openxmlformats.org/officeDocument/2006/relationships/hyperlink" Target="https://www.aidedd.org/dnd/monstres.php?vo=Ancient-Brass-Dragon" TargetMode="External"/><Relationship Id="rId38" Type="http://schemas.openxmlformats.org/officeDocument/2006/relationships/hyperlink" Target="https://www.aidedd.org/dnd/monstres.php?vo=Balor" TargetMode="External"/><Relationship Id="rId59" Type="http://schemas.openxmlformats.org/officeDocument/2006/relationships/hyperlink" Target="https://www.aidedd.org/dnd/monstres.php?vo=Bugbear" TargetMode="External"/><Relationship Id="rId103" Type="http://schemas.openxmlformats.org/officeDocument/2006/relationships/hyperlink" Target="https://www.aidedd.org/dnd/monstres.php?vo=Ettercap" TargetMode="External"/><Relationship Id="rId124" Type="http://schemas.openxmlformats.org/officeDocument/2006/relationships/hyperlink" Target="https://www.aidedd.org/dnd/monstres.php?vo=Giant-Crab" TargetMode="External"/><Relationship Id="rId310" Type="http://schemas.openxmlformats.org/officeDocument/2006/relationships/hyperlink" Target="https://www.aidedd.org/dnd/monstres.php?vo=Worg" TargetMode="External"/><Relationship Id="rId70" Type="http://schemas.openxmlformats.org/officeDocument/2006/relationships/hyperlink" Target="https://www.aidedd.org/dnd/monstres.php?vo=Cockatrice" TargetMode="External"/><Relationship Id="rId91" Type="http://schemas.openxmlformats.org/officeDocument/2006/relationships/hyperlink" Target="https://www.aidedd.org/dnd/monstres.php?vo=Drider" TargetMode="External"/><Relationship Id="rId145" Type="http://schemas.openxmlformats.org/officeDocument/2006/relationships/hyperlink" Target="https://www.aidedd.org/dnd/monstres.php?vo=Giant-Wolf-Spider" TargetMode="External"/><Relationship Id="rId166" Type="http://schemas.openxmlformats.org/officeDocument/2006/relationships/hyperlink" Target="https://www.aidedd.org/dnd/monstres.php?vo=Hezrou" TargetMode="External"/><Relationship Id="rId187" Type="http://schemas.openxmlformats.org/officeDocument/2006/relationships/hyperlink" Target="https://www.aidedd.org/dnd/monstres.php?vo=Lich" TargetMode="External"/><Relationship Id="rId1" Type="http://schemas.openxmlformats.org/officeDocument/2006/relationships/hyperlink" Target="https://www.aidedd.org/dnd/monstres.php?vo=Aboleth" TargetMode="External"/><Relationship Id="rId212" Type="http://schemas.openxmlformats.org/officeDocument/2006/relationships/hyperlink" Target="https://www.aidedd.org/dnd/monstres.php?vo=Ochre-Jelly" TargetMode="External"/><Relationship Id="rId233" Type="http://schemas.openxmlformats.org/officeDocument/2006/relationships/hyperlink" Target="https://www.aidedd.org/dnd/monstres.php?vo=Purple-Worm" TargetMode="External"/><Relationship Id="rId254" Type="http://schemas.openxmlformats.org/officeDocument/2006/relationships/hyperlink" Target="https://www.aidedd.org/dnd/monstres.php?vo=Sea-Hag" TargetMode="External"/><Relationship Id="rId28" Type="http://schemas.openxmlformats.org/officeDocument/2006/relationships/hyperlink" Target="https://www.aidedd.org/dnd/monstres.php?vo=Ankylosaurus" TargetMode="External"/><Relationship Id="rId49" Type="http://schemas.openxmlformats.org/officeDocument/2006/relationships/hyperlink" Target="https://www.aidedd.org/dnd/monstres.php?vo=Black-Dragon-Wyrmling" TargetMode="External"/><Relationship Id="rId114" Type="http://schemas.openxmlformats.org/officeDocument/2006/relationships/hyperlink" Target="https://www.aidedd.org/dnd/monstres.php?vo=Gelatinous-Cube" TargetMode="External"/><Relationship Id="rId275" Type="http://schemas.openxmlformats.org/officeDocument/2006/relationships/hyperlink" Target="https://www.aidedd.org/dnd/monstres.php?vo=Swarm-of-Insects" TargetMode="External"/><Relationship Id="rId296" Type="http://schemas.openxmlformats.org/officeDocument/2006/relationships/hyperlink" Target="https://www.aidedd.org/dnd/monstres.php?vo=Warhorse" TargetMode="External"/><Relationship Id="rId300" Type="http://schemas.openxmlformats.org/officeDocument/2006/relationships/hyperlink" Target="https://www.aidedd.org/dnd/monstres.php?vo=Werebear" TargetMode="External"/><Relationship Id="rId60" Type="http://schemas.openxmlformats.org/officeDocument/2006/relationships/hyperlink" Target="https://www.aidedd.org/dnd/monstres.php?vo=Bulette" TargetMode="External"/><Relationship Id="rId81" Type="http://schemas.openxmlformats.org/officeDocument/2006/relationships/hyperlink" Target="https://www.aidedd.org/dnd/monstres.php?vo=Death-Dog" TargetMode="External"/><Relationship Id="rId135" Type="http://schemas.openxmlformats.org/officeDocument/2006/relationships/hyperlink" Target="https://www.aidedd.org/dnd/monstres.php?vo=Giant-Poisonous-Snake" TargetMode="External"/><Relationship Id="rId156" Type="http://schemas.openxmlformats.org/officeDocument/2006/relationships/hyperlink" Target="https://www.aidedd.org/dnd/monstres.php?vo=Green-Hag" TargetMode="External"/><Relationship Id="rId177" Type="http://schemas.openxmlformats.org/officeDocument/2006/relationships/hyperlink" Target="https://www.aidedd.org/dnd/monstres.php?vo=Imp" TargetMode="External"/><Relationship Id="rId198" Type="http://schemas.openxmlformats.org/officeDocument/2006/relationships/hyperlink" Target="https://www.aidedd.org/dnd/monstres.php?vo=Medusa" TargetMode="External"/><Relationship Id="rId321" Type="http://schemas.openxmlformats.org/officeDocument/2006/relationships/hyperlink" Target="https://www.aidedd.org/dnd/monstres.php?vo=Young-Copper-Dragon" TargetMode="External"/><Relationship Id="rId202" Type="http://schemas.openxmlformats.org/officeDocument/2006/relationships/hyperlink" Target="https://www.aidedd.org/dnd/monstres.php?vo=Minotaur" TargetMode="External"/><Relationship Id="rId223" Type="http://schemas.openxmlformats.org/officeDocument/2006/relationships/hyperlink" Target="https://www.aidedd.org/dnd/monstres.php?vo=Phase-Spider" TargetMode="External"/><Relationship Id="rId244" Type="http://schemas.openxmlformats.org/officeDocument/2006/relationships/hyperlink" Target="https://www.aidedd.org/dnd/monstres.php?vo=Roc" TargetMode="External"/><Relationship Id="rId18" Type="http://schemas.openxmlformats.org/officeDocument/2006/relationships/hyperlink" Target="https://www.aidedd.org/dnd/monstres.php?vo=Ancient-Bronze-Dragon" TargetMode="External"/><Relationship Id="rId39" Type="http://schemas.openxmlformats.org/officeDocument/2006/relationships/hyperlink" Target="https://www.aidedd.org/dnd/monstres.php?vo=Bandit" TargetMode="External"/><Relationship Id="rId265" Type="http://schemas.openxmlformats.org/officeDocument/2006/relationships/hyperlink" Target="https://www.aidedd.org/dnd/monstres.php?vo=Spider" TargetMode="External"/><Relationship Id="rId286" Type="http://schemas.openxmlformats.org/officeDocument/2006/relationships/hyperlink" Target="https://www.aidedd.org/dnd/monstres.php?vo=Troll" TargetMode="External"/><Relationship Id="rId50" Type="http://schemas.openxmlformats.org/officeDocument/2006/relationships/hyperlink" Target="https://www.aidedd.org/dnd/monstres.php?vo=Black-Pudding" TargetMode="External"/><Relationship Id="rId104" Type="http://schemas.openxmlformats.org/officeDocument/2006/relationships/hyperlink" Target="https://www.aidedd.org/dnd/monstres.php?vo=Ettin" TargetMode="External"/><Relationship Id="rId125" Type="http://schemas.openxmlformats.org/officeDocument/2006/relationships/hyperlink" Target="https://www.aidedd.org/dnd/monstres.php?vo=Giant-Crocodile" TargetMode="External"/><Relationship Id="rId146" Type="http://schemas.openxmlformats.org/officeDocument/2006/relationships/hyperlink" Target="https://www.aidedd.org/dnd/monstres.php?vo=Gibbering-Mouther" TargetMode="External"/><Relationship Id="rId167" Type="http://schemas.openxmlformats.org/officeDocument/2006/relationships/hyperlink" Target="https://www.aidedd.org/dnd/monstres.php?vo=Hill-Giant" TargetMode="External"/><Relationship Id="rId188" Type="http://schemas.openxmlformats.org/officeDocument/2006/relationships/hyperlink" Target="https://www.aidedd.org/dnd/monstres.php?vo=Lion" TargetMode="External"/><Relationship Id="rId311" Type="http://schemas.openxmlformats.org/officeDocument/2006/relationships/hyperlink" Target="https://www.aidedd.org/dnd/monstres.php?vo=Wraith" TargetMode="External"/><Relationship Id="rId71" Type="http://schemas.openxmlformats.org/officeDocument/2006/relationships/hyperlink" Target="https://www.aidedd.org/dnd/monstres.php?vo=Commoner" TargetMode="External"/><Relationship Id="rId92" Type="http://schemas.openxmlformats.org/officeDocument/2006/relationships/hyperlink" Target="https://www.aidedd.org/dnd/monstres.php?vo=Drow" TargetMode="External"/><Relationship Id="rId213" Type="http://schemas.openxmlformats.org/officeDocument/2006/relationships/hyperlink" Target="https://www.aidedd.org/dnd/monstres.php?vo=Octopus" TargetMode="External"/><Relationship Id="rId234" Type="http://schemas.openxmlformats.org/officeDocument/2006/relationships/hyperlink" Target="https://www.aidedd.org/dnd/monstres.php?vo=Quasit" TargetMode="External"/><Relationship Id="rId2" Type="http://schemas.openxmlformats.org/officeDocument/2006/relationships/hyperlink" Target="https://www.aidedd.org/dnd/monstres.php?vo=Acolyte" TargetMode="External"/><Relationship Id="rId29" Type="http://schemas.openxmlformats.org/officeDocument/2006/relationships/hyperlink" Target="https://www.aidedd.org/dnd/monstres.php?vo=Ape" TargetMode="External"/><Relationship Id="rId255" Type="http://schemas.openxmlformats.org/officeDocument/2006/relationships/hyperlink" Target="https://www.aidedd.org/dnd/monstres.php?vo=Sea-Horse" TargetMode="External"/><Relationship Id="rId276" Type="http://schemas.openxmlformats.org/officeDocument/2006/relationships/hyperlink" Target="https://www.aidedd.org/dnd/monstres.php?vo=Swarm-of-Poisonous-Snakes" TargetMode="External"/><Relationship Id="rId297" Type="http://schemas.openxmlformats.org/officeDocument/2006/relationships/hyperlink" Target="https://www.aidedd.org/dnd/monstres.php?vo=Warhorse-Skeleton" TargetMode="External"/><Relationship Id="rId40" Type="http://schemas.openxmlformats.org/officeDocument/2006/relationships/hyperlink" Target="https://www.aidedd.org/dnd/monstres.php?vo=Bandit-Captain" TargetMode="External"/><Relationship Id="rId115" Type="http://schemas.openxmlformats.org/officeDocument/2006/relationships/hyperlink" Target="https://www.aidedd.org/dnd/monstres.php?vo=Ghast" TargetMode="External"/><Relationship Id="rId136" Type="http://schemas.openxmlformats.org/officeDocument/2006/relationships/hyperlink" Target="https://www.aidedd.org/dnd/monstres.php?vo=Giant-Rat" TargetMode="External"/><Relationship Id="rId157" Type="http://schemas.openxmlformats.org/officeDocument/2006/relationships/hyperlink" Target="https://www.aidedd.org/dnd/monstres.php?vo=Grick" TargetMode="External"/><Relationship Id="rId178" Type="http://schemas.openxmlformats.org/officeDocument/2006/relationships/hyperlink" Target="https://www.aidedd.org/dnd/monstres.php?vo=Invisible-Stalker" TargetMode="External"/><Relationship Id="rId301" Type="http://schemas.openxmlformats.org/officeDocument/2006/relationships/hyperlink" Target="https://www.aidedd.org/dnd/monstres.php?vo=Wereboar" TargetMode="External"/><Relationship Id="rId322" Type="http://schemas.openxmlformats.org/officeDocument/2006/relationships/hyperlink" Target="https://www.aidedd.org/dnd/monstres.php?vo=Young-Gold-Dragon" TargetMode="External"/><Relationship Id="rId61" Type="http://schemas.openxmlformats.org/officeDocument/2006/relationships/hyperlink" Target="https://www.aidedd.org/dnd/monstres.php?vo=Camel" TargetMode="External"/><Relationship Id="rId82" Type="http://schemas.openxmlformats.org/officeDocument/2006/relationships/hyperlink" Target="https://www.aidedd.org/dnd/monstres.php?vo=Deep-Gnome-(Svirfneblin)" TargetMode="External"/><Relationship Id="rId199" Type="http://schemas.openxmlformats.org/officeDocument/2006/relationships/hyperlink" Target="https://www.aidedd.org/dnd/monstres.php?vo=Merfolk" TargetMode="External"/><Relationship Id="rId203" Type="http://schemas.openxmlformats.org/officeDocument/2006/relationships/hyperlink" Target="https://www.aidedd.org/dnd/monstres.php?vo=Minotaur-Skeleton" TargetMode="External"/><Relationship Id="rId19" Type="http://schemas.openxmlformats.org/officeDocument/2006/relationships/hyperlink" Target="https://www.aidedd.org/dnd/monstres.php?vo=Ancient-Copper-Dragon" TargetMode="External"/><Relationship Id="rId224" Type="http://schemas.openxmlformats.org/officeDocument/2006/relationships/hyperlink" Target="https://www.aidedd.org/dnd/monstres.php?vo=Pit-Fiend" TargetMode="External"/><Relationship Id="rId245" Type="http://schemas.openxmlformats.org/officeDocument/2006/relationships/hyperlink" Target="https://www.aidedd.org/dnd/monstres.php?vo=Roper" TargetMode="External"/><Relationship Id="rId266" Type="http://schemas.openxmlformats.org/officeDocument/2006/relationships/hyperlink" Target="https://www.aidedd.org/dnd/monstres.php?vo=Spirit-Naga" TargetMode="External"/><Relationship Id="rId287" Type="http://schemas.openxmlformats.org/officeDocument/2006/relationships/hyperlink" Target="https://www.aidedd.org/dnd/monstres.php?vo=Twig-Blight"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vmlDrawing" Target="../drawings/vmlDrawing8.vml"/><Relationship Id="rId1" Type="http://schemas.openxmlformats.org/officeDocument/2006/relationships/printerSettings" Target="../printerSettings/printerSettings7.bin"/><Relationship Id="rId5" Type="http://schemas.openxmlformats.org/officeDocument/2006/relationships/comments" Target="../comments8.xml"/><Relationship Id="rId4" Type="http://schemas.openxmlformats.org/officeDocument/2006/relationships/table" Target="../tables/table157.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game-icons.net/" TargetMode="External"/></Relationships>
</file>

<file path=xl/worksheets/_rels/sheet24.xml.rels><?xml version="1.0" encoding="UTF-8" standalone="yes"?>
<Relationships xmlns="http://schemas.openxmlformats.org/package/2006/relationships"><Relationship Id="rId3" Type="http://schemas.openxmlformats.org/officeDocument/2006/relationships/table" Target="../tables/table158.x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openxmlformats.org/officeDocument/2006/relationships/table" Target="../tables/table160.xml"/><Relationship Id="rId4" Type="http://schemas.openxmlformats.org/officeDocument/2006/relationships/table" Target="../tables/table15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8" Type="http://schemas.openxmlformats.org/officeDocument/2006/relationships/table" Target="../tables/table168.xml"/><Relationship Id="rId3" Type="http://schemas.openxmlformats.org/officeDocument/2006/relationships/table" Target="../tables/table163.xml"/><Relationship Id="rId7" Type="http://schemas.openxmlformats.org/officeDocument/2006/relationships/table" Target="../tables/table167.xml"/><Relationship Id="rId2" Type="http://schemas.openxmlformats.org/officeDocument/2006/relationships/table" Target="../tables/table162.xml"/><Relationship Id="rId1" Type="http://schemas.openxmlformats.org/officeDocument/2006/relationships/table" Target="../tables/table161.xml"/><Relationship Id="rId6" Type="http://schemas.openxmlformats.org/officeDocument/2006/relationships/table" Target="../tables/table166.xml"/><Relationship Id="rId5" Type="http://schemas.openxmlformats.org/officeDocument/2006/relationships/table" Target="../tables/table165.xml"/><Relationship Id="rId4" Type="http://schemas.openxmlformats.org/officeDocument/2006/relationships/table" Target="../tables/table164.xml"/><Relationship Id="rId9" Type="http://schemas.openxmlformats.org/officeDocument/2006/relationships/table" Target="../tables/table16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8" Type="http://schemas.openxmlformats.org/officeDocument/2006/relationships/hyperlink" Target="https://www.kassoon.com/dnd/npc-generator/" TargetMode="External"/><Relationship Id="rId13" Type="http://schemas.openxmlformats.org/officeDocument/2006/relationships/hyperlink" Target="https://www.kassoon.com/dnd/town-generator/" TargetMode="External"/><Relationship Id="rId18" Type="http://schemas.openxmlformats.org/officeDocument/2006/relationships/hyperlink" Target="https://www.kassoon.com/dnd/town-generator/" TargetMode="External"/><Relationship Id="rId26" Type="http://schemas.openxmlformats.org/officeDocument/2006/relationships/hyperlink" Target="http://donjon.bin.sh/5e/random/" TargetMode="External"/><Relationship Id="rId3" Type="http://schemas.openxmlformats.org/officeDocument/2006/relationships/hyperlink" Target="https://drive.google.com/file/d/1fDUtCd2uRCaylbYavRFoL2u4glcQ1Iwz/view?usp=sharing" TargetMode="External"/><Relationship Id="rId21" Type="http://schemas.openxmlformats.org/officeDocument/2006/relationships/hyperlink" Target="http://tools.goblinist.com/5enc" TargetMode="External"/><Relationship Id="rId34" Type="http://schemas.openxmlformats.org/officeDocument/2006/relationships/hyperlink" Target="http://www.namenerds.com/uucn/listofweek/1914name.html" TargetMode="External"/><Relationship Id="rId7" Type="http://schemas.openxmlformats.org/officeDocument/2006/relationships/hyperlink" Target="https://rpgtinker.com/" TargetMode="External"/><Relationship Id="rId12" Type="http://schemas.openxmlformats.org/officeDocument/2006/relationships/hyperlink" Target="https://eigengrausgenerator.com/" TargetMode="External"/><Relationship Id="rId17" Type="http://schemas.openxmlformats.org/officeDocument/2006/relationships/hyperlink" Target="https://eigengrausgenerator.com/" TargetMode="External"/><Relationship Id="rId25" Type="http://schemas.openxmlformats.org/officeDocument/2006/relationships/hyperlink" Target="http://donjon.bin.sh/pathfinder/random/" TargetMode="External"/><Relationship Id="rId33" Type="http://schemas.openxmlformats.org/officeDocument/2006/relationships/hyperlink" Target="http://fantasynamegenerators.com/" TargetMode="External"/><Relationship Id="rId2" Type="http://schemas.openxmlformats.org/officeDocument/2006/relationships/hyperlink" Target="https://donjon.bin.sh/fantasy/name/" TargetMode="External"/><Relationship Id="rId16" Type="http://schemas.openxmlformats.org/officeDocument/2006/relationships/hyperlink" Target="https://donjon.bin.sh/fantasy/town/" TargetMode="External"/><Relationship Id="rId20" Type="http://schemas.openxmlformats.org/officeDocument/2006/relationships/hyperlink" Target="https://donjon.bin.sh/5e/random/" TargetMode="External"/><Relationship Id="rId29" Type="http://schemas.openxmlformats.org/officeDocument/2006/relationships/hyperlink" Target="http://donjon.bin.sh/d20/weather/" TargetMode="External"/><Relationship Id="rId1" Type="http://schemas.openxmlformats.org/officeDocument/2006/relationships/hyperlink" Target="https://www.fantasynamegenerators.com/" TargetMode="External"/><Relationship Id="rId6" Type="http://schemas.openxmlformats.org/officeDocument/2006/relationships/hyperlink" Target="https://everweird.app/build-an-npc/" TargetMode="External"/><Relationship Id="rId11" Type="http://schemas.openxmlformats.org/officeDocument/2006/relationships/hyperlink" Target="https://donjon.bin.sh/fantasy/town/" TargetMode="External"/><Relationship Id="rId24" Type="http://schemas.openxmlformats.org/officeDocument/2006/relationships/hyperlink" Target="http://donjon.bin.sh/5e/encounter/" TargetMode="External"/><Relationship Id="rId32" Type="http://schemas.openxmlformats.org/officeDocument/2006/relationships/hyperlink" Target="http://donjon.bin.sh/5e/magic/shop.html" TargetMode="External"/><Relationship Id="rId5" Type="http://schemas.openxmlformats.org/officeDocument/2006/relationships/hyperlink" Target="https://drive.google.com/file/d/1XLwGF9Mmpo_l4WR_38iGXrFBgzy3ZkoK/view?usp=sharing" TargetMode="External"/><Relationship Id="rId15" Type="http://schemas.openxmlformats.org/officeDocument/2006/relationships/hyperlink" Target="https://thecoppersanctum.github.io/thecoppersanctum/taverns.html" TargetMode="External"/><Relationship Id="rId23" Type="http://schemas.openxmlformats.org/officeDocument/2006/relationships/hyperlink" Target="http://kobold.club/fight/" TargetMode="External"/><Relationship Id="rId28" Type="http://schemas.openxmlformats.org/officeDocument/2006/relationships/hyperlink" Target="http://homebrewery.naturalcrit.com/" TargetMode="External"/><Relationship Id="rId10" Type="http://schemas.openxmlformats.org/officeDocument/2006/relationships/hyperlink" Target="https://everweird.app/build-a-town/" TargetMode="External"/><Relationship Id="rId19" Type="http://schemas.openxmlformats.org/officeDocument/2006/relationships/hyperlink" Target="https://watabou.itch.io/medieval-fantasy-city-generator" TargetMode="External"/><Relationship Id="rId31" Type="http://schemas.openxmlformats.org/officeDocument/2006/relationships/hyperlink" Target="http://badrapstudios.com/taverns/index.php" TargetMode="External"/><Relationship Id="rId4" Type="http://schemas.openxmlformats.org/officeDocument/2006/relationships/hyperlink" Target="https://drive.google.com/file/d/1XoZDrsAcQLB9__uIKzy6GfeIHhD_WYBM/view?usp=sharing" TargetMode="External"/><Relationship Id="rId9" Type="http://schemas.openxmlformats.org/officeDocument/2006/relationships/hyperlink" Target="https://drive.google.com/file/d/0B_vatXlRE-gvREt3VmJjMExDWjQ/view?usp=sharing" TargetMode="External"/><Relationship Id="rId14" Type="http://schemas.openxmlformats.org/officeDocument/2006/relationships/hyperlink" Target="http://tools.goblinist.com/5enc" TargetMode="External"/><Relationship Id="rId22" Type="http://schemas.openxmlformats.org/officeDocument/2006/relationships/hyperlink" Target="https://thecoppersanctum.github.io/thecoppersanctum/taverns.html" TargetMode="External"/><Relationship Id="rId27" Type="http://schemas.openxmlformats.org/officeDocument/2006/relationships/hyperlink" Target="http://rpgtinker.com/" TargetMode="External"/><Relationship Id="rId30" Type="http://schemas.openxmlformats.org/officeDocument/2006/relationships/hyperlink" Target="http://donjon.bin.sh/fantasy/inn/" TargetMode="External"/><Relationship Id="rId35" Type="http://schemas.openxmlformats.org/officeDocument/2006/relationships/hyperlink" Target="http://www.behindthename.com/random/?number=2&amp;gender=m&amp;surname=&amp;all=yes" TargetMode="External"/></Relationships>
</file>

<file path=xl/worksheets/_rels/sheet31.xml.rels><?xml version="1.0" encoding="UTF-8" standalone="yes"?>
<Relationships xmlns="http://schemas.openxmlformats.org/package/2006/relationships"><Relationship Id="rId8" Type="http://schemas.openxmlformats.org/officeDocument/2006/relationships/table" Target="../tables/table177.xml"/><Relationship Id="rId13" Type="http://schemas.openxmlformats.org/officeDocument/2006/relationships/table" Target="../tables/table182.xml"/><Relationship Id="rId3" Type="http://schemas.openxmlformats.org/officeDocument/2006/relationships/table" Target="../tables/table172.xml"/><Relationship Id="rId7" Type="http://schemas.openxmlformats.org/officeDocument/2006/relationships/table" Target="../tables/table176.xml"/><Relationship Id="rId12" Type="http://schemas.openxmlformats.org/officeDocument/2006/relationships/table" Target="../tables/table181.xml"/><Relationship Id="rId2" Type="http://schemas.openxmlformats.org/officeDocument/2006/relationships/table" Target="../tables/table171.xml"/><Relationship Id="rId1" Type="http://schemas.openxmlformats.org/officeDocument/2006/relationships/table" Target="../tables/table170.xml"/><Relationship Id="rId6" Type="http://schemas.openxmlformats.org/officeDocument/2006/relationships/table" Target="../tables/table175.xml"/><Relationship Id="rId11" Type="http://schemas.openxmlformats.org/officeDocument/2006/relationships/table" Target="../tables/table180.xml"/><Relationship Id="rId5" Type="http://schemas.openxmlformats.org/officeDocument/2006/relationships/table" Target="../tables/table174.xml"/><Relationship Id="rId15" Type="http://schemas.openxmlformats.org/officeDocument/2006/relationships/table" Target="../tables/table184.xml"/><Relationship Id="rId10" Type="http://schemas.openxmlformats.org/officeDocument/2006/relationships/table" Target="../tables/table179.xml"/><Relationship Id="rId4" Type="http://schemas.openxmlformats.org/officeDocument/2006/relationships/table" Target="../tables/table173.xml"/><Relationship Id="rId9" Type="http://schemas.openxmlformats.org/officeDocument/2006/relationships/table" Target="../tables/table178.xml"/><Relationship Id="rId14" Type="http://schemas.openxmlformats.org/officeDocument/2006/relationships/table" Target="../tables/table183.xml"/></Relationships>
</file>

<file path=xl/worksheets/_rels/sheet32.xml.rels><?xml version="1.0" encoding="UTF-8" standalone="yes"?>
<Relationships xmlns="http://schemas.openxmlformats.org/package/2006/relationships"><Relationship Id="rId8" Type="http://schemas.openxmlformats.org/officeDocument/2006/relationships/table" Target="../tables/table190.xml"/><Relationship Id="rId3" Type="http://schemas.openxmlformats.org/officeDocument/2006/relationships/table" Target="../tables/table185.xml"/><Relationship Id="rId7" Type="http://schemas.openxmlformats.org/officeDocument/2006/relationships/table" Target="../tables/table189.xml"/><Relationship Id="rId2" Type="http://schemas.openxmlformats.org/officeDocument/2006/relationships/hyperlink" Target="https://1drv.ms/w/s!Atcrhwwo1lBAx8UwDDro_p7x-WJc7w?e=d60vOn" TargetMode="External"/><Relationship Id="rId1" Type="http://schemas.openxmlformats.org/officeDocument/2006/relationships/hyperlink" Target="https://1drv.ms/w/s!Atcrhwwo1lBAx8UvUBYmUIEl-1LCzQ?e=cFOdLS" TargetMode="External"/><Relationship Id="rId6" Type="http://schemas.openxmlformats.org/officeDocument/2006/relationships/table" Target="../tables/table188.xml"/><Relationship Id="rId5" Type="http://schemas.openxmlformats.org/officeDocument/2006/relationships/table" Target="../tables/table187.xml"/><Relationship Id="rId4" Type="http://schemas.openxmlformats.org/officeDocument/2006/relationships/table" Target="../tables/table186.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196.xml"/><Relationship Id="rId13" Type="http://schemas.openxmlformats.org/officeDocument/2006/relationships/table" Target="../tables/table201.xml"/><Relationship Id="rId18" Type="http://schemas.openxmlformats.org/officeDocument/2006/relationships/table" Target="../tables/table206.xml"/><Relationship Id="rId3" Type="http://schemas.openxmlformats.org/officeDocument/2006/relationships/table" Target="../tables/table191.xml"/><Relationship Id="rId7" Type="http://schemas.openxmlformats.org/officeDocument/2006/relationships/table" Target="../tables/table195.xml"/><Relationship Id="rId12" Type="http://schemas.openxmlformats.org/officeDocument/2006/relationships/table" Target="../tables/table200.xml"/><Relationship Id="rId17" Type="http://schemas.openxmlformats.org/officeDocument/2006/relationships/table" Target="../tables/table205.xml"/><Relationship Id="rId2" Type="http://schemas.openxmlformats.org/officeDocument/2006/relationships/drawing" Target="../drawings/drawing12.xml"/><Relationship Id="rId16" Type="http://schemas.openxmlformats.org/officeDocument/2006/relationships/table" Target="../tables/table204.xml"/><Relationship Id="rId1" Type="http://schemas.openxmlformats.org/officeDocument/2006/relationships/printerSettings" Target="../printerSettings/printerSettings11.bin"/><Relationship Id="rId6" Type="http://schemas.openxmlformats.org/officeDocument/2006/relationships/table" Target="../tables/table194.xml"/><Relationship Id="rId11" Type="http://schemas.openxmlformats.org/officeDocument/2006/relationships/table" Target="../tables/table199.xml"/><Relationship Id="rId5" Type="http://schemas.openxmlformats.org/officeDocument/2006/relationships/table" Target="../tables/table193.xml"/><Relationship Id="rId15" Type="http://schemas.openxmlformats.org/officeDocument/2006/relationships/table" Target="../tables/table203.xml"/><Relationship Id="rId10" Type="http://schemas.openxmlformats.org/officeDocument/2006/relationships/table" Target="../tables/table198.xml"/><Relationship Id="rId4" Type="http://schemas.openxmlformats.org/officeDocument/2006/relationships/table" Target="../tables/table192.xml"/><Relationship Id="rId9" Type="http://schemas.openxmlformats.org/officeDocument/2006/relationships/table" Target="../tables/table197.xml"/><Relationship Id="rId14" Type="http://schemas.openxmlformats.org/officeDocument/2006/relationships/table" Target="../tables/table202.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208.xml"/><Relationship Id="rId2" Type="http://schemas.openxmlformats.org/officeDocument/2006/relationships/table" Target="../tables/table207.x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210.xml"/><Relationship Id="rId2" Type="http://schemas.openxmlformats.org/officeDocument/2006/relationships/table" Target="../tables/table209.xml"/><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8" Type="http://schemas.openxmlformats.org/officeDocument/2006/relationships/hyperlink" Target="https://www.enworld.org/wiki/bleyshar/" TargetMode="External"/><Relationship Id="rId13" Type="http://schemas.openxmlformats.org/officeDocument/2006/relationships/table" Target="../tables/table212.xml"/><Relationship Id="rId3" Type="http://schemas.openxmlformats.org/officeDocument/2006/relationships/hyperlink" Target="http://forum.candlekeep.com/topic.asp?TOPIC_ID=9685&amp;whichpage=9&amp;SearchTerms=HIGHKNIGHTS" TargetMode="External"/><Relationship Id="rId7" Type="http://schemas.openxmlformats.org/officeDocument/2006/relationships/hyperlink" Target="http://web.archive.org/web/20140822081805/http:/home.swipnet.se/~w-21845/ROYAL.htm" TargetMode="External"/><Relationship Id="rId12" Type="http://schemas.openxmlformats.org/officeDocument/2006/relationships/table" Target="../tables/table211.xml"/><Relationship Id="rId2" Type="http://schemas.openxmlformats.org/officeDocument/2006/relationships/hyperlink" Target="http://forum.candlekeep.com/topic.asp?TOPIC_ID=9685&amp;whichpage=9&amp;SearchTerms=HIGHKNIGHTS" TargetMode="External"/><Relationship Id="rId1" Type="http://schemas.openxmlformats.org/officeDocument/2006/relationships/hyperlink" Target="http://forum.candlekeep.com/topic.asp?TOPIC_ID=22659&amp;whichpage=22&amp;SearchTerms=HIGHKNIGHTS%3e" TargetMode="External"/><Relationship Id="rId6" Type="http://schemas.openxmlformats.org/officeDocument/2006/relationships/hyperlink" Target="https://static.wikia.nocookie.net/forgottenrealms/images/e/ed/CoatOfCormaeril.jpg" TargetMode="External"/><Relationship Id="rId11" Type="http://schemas.openxmlformats.org/officeDocument/2006/relationships/vmlDrawing" Target="../drawings/vmlDrawing9.vml"/><Relationship Id="rId5" Type="http://schemas.openxmlformats.org/officeDocument/2006/relationships/hyperlink" Target="http://forum.candlekeep.com/topic.asp?TOPIC_ID=9685&amp;whichpage=17&amp;SearchTerms=HIGHKNIGHTS%3e" TargetMode="External"/><Relationship Id="rId15" Type="http://schemas.microsoft.com/office/2017/10/relationships/threadedComment" Target="../threadedComments/threadedComment1.xml"/><Relationship Id="rId10" Type="http://schemas.openxmlformats.org/officeDocument/2006/relationships/drawing" Target="../drawings/drawing13.xml"/><Relationship Id="rId4" Type="http://schemas.openxmlformats.org/officeDocument/2006/relationships/hyperlink" Target="http://forum.candlekeep.com/topic.asp?TOPIC_ID=9685&amp;whichpage=9&amp;SearchTerms=HIGHKNIGHTS" TargetMode="External"/><Relationship Id="rId9" Type="http://schemas.openxmlformats.org/officeDocument/2006/relationships/printerSettings" Target="../printerSettings/printerSettings14.bin"/><Relationship Id="rId14" Type="http://schemas.openxmlformats.org/officeDocument/2006/relationships/comments" Target="../comments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215.xml"/><Relationship Id="rId2" Type="http://schemas.openxmlformats.org/officeDocument/2006/relationships/table" Target="../tables/table214.xml"/><Relationship Id="rId1" Type="http://schemas.openxmlformats.org/officeDocument/2006/relationships/table" Target="../tables/table213.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218.xml"/><Relationship Id="rId2" Type="http://schemas.openxmlformats.org/officeDocument/2006/relationships/table" Target="../tables/table217.xml"/><Relationship Id="rId1" Type="http://schemas.openxmlformats.org/officeDocument/2006/relationships/table" Target="../tables/table216.xml"/><Relationship Id="rId6" Type="http://schemas.openxmlformats.org/officeDocument/2006/relationships/table" Target="../tables/table221.xml"/><Relationship Id="rId5" Type="http://schemas.openxmlformats.org/officeDocument/2006/relationships/table" Target="../tables/table220.xml"/><Relationship Id="rId4" Type="http://schemas.openxmlformats.org/officeDocument/2006/relationships/table" Target="../tables/table219.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222.xml"/><Relationship Id="rId2" Type="http://schemas.openxmlformats.org/officeDocument/2006/relationships/vmlDrawing" Target="../drawings/vmlDrawing10.vml"/><Relationship Id="rId1" Type="http://schemas.openxmlformats.org/officeDocument/2006/relationships/printerSettings" Target="../printerSettings/printerSettings15.bin"/><Relationship Id="rId5" Type="http://schemas.openxmlformats.org/officeDocument/2006/relationships/comments" Target="../comments10.xml"/><Relationship Id="rId4" Type="http://schemas.openxmlformats.org/officeDocument/2006/relationships/table" Target="../tables/table223.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228.xml"/><Relationship Id="rId13" Type="http://schemas.openxmlformats.org/officeDocument/2006/relationships/table" Target="../tables/table233.xml"/><Relationship Id="rId3" Type="http://schemas.openxmlformats.org/officeDocument/2006/relationships/vmlDrawing" Target="../drawings/vmlDrawing11.vml"/><Relationship Id="rId7" Type="http://schemas.openxmlformats.org/officeDocument/2006/relationships/table" Target="../tables/table227.xml"/><Relationship Id="rId12" Type="http://schemas.openxmlformats.org/officeDocument/2006/relationships/table" Target="../tables/table232.xml"/><Relationship Id="rId17" Type="http://schemas.openxmlformats.org/officeDocument/2006/relationships/comments" Target="../comments11.xml"/><Relationship Id="rId2" Type="http://schemas.openxmlformats.org/officeDocument/2006/relationships/drawing" Target="../drawings/drawing14.xml"/><Relationship Id="rId16" Type="http://schemas.openxmlformats.org/officeDocument/2006/relationships/table" Target="../tables/table236.xml"/><Relationship Id="rId1" Type="http://schemas.openxmlformats.org/officeDocument/2006/relationships/printerSettings" Target="../printerSettings/printerSettings16.bin"/><Relationship Id="rId6" Type="http://schemas.openxmlformats.org/officeDocument/2006/relationships/table" Target="../tables/table226.xml"/><Relationship Id="rId11" Type="http://schemas.openxmlformats.org/officeDocument/2006/relationships/table" Target="../tables/table231.xml"/><Relationship Id="rId5" Type="http://schemas.openxmlformats.org/officeDocument/2006/relationships/table" Target="../tables/table225.xml"/><Relationship Id="rId15" Type="http://schemas.openxmlformats.org/officeDocument/2006/relationships/table" Target="../tables/table235.xml"/><Relationship Id="rId10" Type="http://schemas.openxmlformats.org/officeDocument/2006/relationships/table" Target="../tables/table230.xml"/><Relationship Id="rId4" Type="http://schemas.openxmlformats.org/officeDocument/2006/relationships/table" Target="../tables/table224.xml"/><Relationship Id="rId9" Type="http://schemas.openxmlformats.org/officeDocument/2006/relationships/table" Target="../tables/table229.xml"/><Relationship Id="rId14" Type="http://schemas.openxmlformats.org/officeDocument/2006/relationships/table" Target="../tables/table234.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237.xml"/><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3" Type="http://schemas.openxmlformats.org/officeDocument/2006/relationships/hyperlink" Target="http://www.candlekeep.com/library/articles/warwiz2.htm" TargetMode="External"/><Relationship Id="rId2" Type="http://schemas.openxmlformats.org/officeDocument/2006/relationships/hyperlink" Target="http://www.candlekeep.com/library/articles/warwiz2.htm" TargetMode="External"/><Relationship Id="rId1" Type="http://schemas.openxmlformats.org/officeDocument/2006/relationships/hyperlink" Target="http://www.candlekeep.com/library/articles/warwiztab3ed.htm" TargetMode="External"/><Relationship Id="rId4" Type="http://schemas.openxmlformats.org/officeDocument/2006/relationships/table" Target="../tables/table238.xml"/></Relationships>
</file>

<file path=xl/worksheets/_rels/sheet45.xml.rels><?xml version="1.0" encoding="UTF-8" standalone="yes"?>
<Relationships xmlns="http://schemas.openxmlformats.org/package/2006/relationships"><Relationship Id="rId8" Type="http://schemas.openxmlformats.org/officeDocument/2006/relationships/table" Target="../tables/table242.xml"/><Relationship Id="rId3" Type="http://schemas.openxmlformats.org/officeDocument/2006/relationships/printerSettings" Target="../printerSettings/printerSettings17.bin"/><Relationship Id="rId7" Type="http://schemas.openxmlformats.org/officeDocument/2006/relationships/table" Target="../tables/table241.xml"/><Relationship Id="rId2" Type="http://schemas.openxmlformats.org/officeDocument/2006/relationships/hyperlink" Target="https://1drv.ms/x/s!Atcrhwwo1lBAzed9DW_gipFxUgDxOA?e=QZniXL" TargetMode="External"/><Relationship Id="rId1" Type="http://schemas.openxmlformats.org/officeDocument/2006/relationships/hyperlink" Target="https://1drv.ms/w/s!Atcrhwwo1lBA0OsIDERnaLD2Husl-A?e=hDkfAM" TargetMode="External"/><Relationship Id="rId6" Type="http://schemas.openxmlformats.org/officeDocument/2006/relationships/table" Target="../tables/table240.xml"/><Relationship Id="rId5" Type="http://schemas.openxmlformats.org/officeDocument/2006/relationships/table" Target="../tables/table239.xml"/><Relationship Id="rId4" Type="http://schemas.openxmlformats.org/officeDocument/2006/relationships/drawing" Target="../drawings/drawing17.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244.xml"/><Relationship Id="rId2" Type="http://schemas.openxmlformats.org/officeDocument/2006/relationships/table" Target="../tables/table243.xml"/><Relationship Id="rId1" Type="http://schemas.openxmlformats.org/officeDocument/2006/relationships/printerSettings" Target="../printerSettings/printerSettings18.bin"/><Relationship Id="rId4" Type="http://schemas.openxmlformats.org/officeDocument/2006/relationships/table" Target="../tables/table245.xml"/></Relationships>
</file>

<file path=xl/worksheets/_rels/sheet48.xml.rels><?xml version="1.0" encoding="UTF-8" standalone="yes"?>
<Relationships xmlns="http://schemas.openxmlformats.org/package/2006/relationships"><Relationship Id="rId26" Type="http://schemas.openxmlformats.org/officeDocument/2006/relationships/hyperlink" Target="https://www.dndbeyond.com/magic-items/efficient-quiver" TargetMode="External"/><Relationship Id="rId117" Type="http://schemas.openxmlformats.org/officeDocument/2006/relationships/table" Target="../tables/table327.xml"/><Relationship Id="rId21" Type="http://schemas.openxmlformats.org/officeDocument/2006/relationships/hyperlink" Target="https://www.dndbeyond.com/equipment/vial" TargetMode="External"/><Relationship Id="rId42" Type="http://schemas.openxmlformats.org/officeDocument/2006/relationships/table" Target="../tables/table252.xml"/><Relationship Id="rId47" Type="http://schemas.openxmlformats.org/officeDocument/2006/relationships/table" Target="../tables/table257.xml"/><Relationship Id="rId63" Type="http://schemas.openxmlformats.org/officeDocument/2006/relationships/table" Target="../tables/table273.xml"/><Relationship Id="rId68" Type="http://schemas.openxmlformats.org/officeDocument/2006/relationships/table" Target="../tables/table278.xml"/><Relationship Id="rId84" Type="http://schemas.openxmlformats.org/officeDocument/2006/relationships/table" Target="../tables/table294.xml"/><Relationship Id="rId89" Type="http://schemas.openxmlformats.org/officeDocument/2006/relationships/table" Target="../tables/table299.xml"/><Relationship Id="rId112" Type="http://schemas.openxmlformats.org/officeDocument/2006/relationships/table" Target="../tables/table322.xml"/><Relationship Id="rId133" Type="http://schemas.openxmlformats.org/officeDocument/2006/relationships/table" Target="../tables/table343.xml"/><Relationship Id="rId138" Type="http://schemas.openxmlformats.org/officeDocument/2006/relationships/table" Target="../tables/table348.xml"/><Relationship Id="rId154" Type="http://schemas.openxmlformats.org/officeDocument/2006/relationships/table" Target="../tables/table364.xml"/><Relationship Id="rId159" Type="http://schemas.openxmlformats.org/officeDocument/2006/relationships/table" Target="../tables/table369.xml"/><Relationship Id="rId16" Type="http://schemas.openxmlformats.org/officeDocument/2006/relationships/hyperlink" Target="https://www.dndbeyond.com/equipment/pouch" TargetMode="External"/><Relationship Id="rId107" Type="http://schemas.openxmlformats.org/officeDocument/2006/relationships/table" Target="../tables/table317.xml"/><Relationship Id="rId11" Type="http://schemas.openxmlformats.org/officeDocument/2006/relationships/hyperlink" Target="https://www.dndbeyond.com/equipment/chest" TargetMode="External"/><Relationship Id="rId32" Type="http://schemas.openxmlformats.org/officeDocument/2006/relationships/hyperlink" Target="http://cauldronsandclerics.blogspot.com/search/label/D%26D5E" TargetMode="External"/><Relationship Id="rId37" Type="http://schemas.openxmlformats.org/officeDocument/2006/relationships/table" Target="../tables/table247.xml"/><Relationship Id="rId53" Type="http://schemas.openxmlformats.org/officeDocument/2006/relationships/table" Target="../tables/table263.xml"/><Relationship Id="rId58" Type="http://schemas.openxmlformats.org/officeDocument/2006/relationships/table" Target="../tables/table268.xml"/><Relationship Id="rId74" Type="http://schemas.openxmlformats.org/officeDocument/2006/relationships/table" Target="../tables/table284.xml"/><Relationship Id="rId79" Type="http://schemas.openxmlformats.org/officeDocument/2006/relationships/table" Target="../tables/table289.xml"/><Relationship Id="rId102" Type="http://schemas.openxmlformats.org/officeDocument/2006/relationships/table" Target="../tables/table312.xml"/><Relationship Id="rId123" Type="http://schemas.openxmlformats.org/officeDocument/2006/relationships/table" Target="../tables/table333.xml"/><Relationship Id="rId128" Type="http://schemas.openxmlformats.org/officeDocument/2006/relationships/table" Target="../tables/table338.xml"/><Relationship Id="rId144" Type="http://schemas.openxmlformats.org/officeDocument/2006/relationships/table" Target="../tables/table354.xml"/><Relationship Id="rId149" Type="http://schemas.openxmlformats.org/officeDocument/2006/relationships/table" Target="../tables/table359.xml"/><Relationship Id="rId5" Type="http://schemas.openxmlformats.org/officeDocument/2006/relationships/hyperlink" Target="https://www.dndbeyond.com/equipment/basket" TargetMode="External"/><Relationship Id="rId90" Type="http://schemas.openxmlformats.org/officeDocument/2006/relationships/table" Target="../tables/table300.xml"/><Relationship Id="rId95" Type="http://schemas.openxmlformats.org/officeDocument/2006/relationships/table" Target="../tables/table305.xml"/><Relationship Id="rId160" Type="http://schemas.openxmlformats.org/officeDocument/2006/relationships/table" Target="../tables/table370.xml"/><Relationship Id="rId165" Type="http://schemas.openxmlformats.org/officeDocument/2006/relationships/comments" Target="../comments13.xml"/><Relationship Id="rId22" Type="http://schemas.openxmlformats.org/officeDocument/2006/relationships/hyperlink" Target="https://www.dndbeyond.com/equipment/waterskin" TargetMode="External"/><Relationship Id="rId27" Type="http://schemas.openxmlformats.org/officeDocument/2006/relationships/hyperlink" Target="https://www.dndbeyond.com/magic-items/handy-haversack" TargetMode="External"/><Relationship Id="rId43" Type="http://schemas.openxmlformats.org/officeDocument/2006/relationships/table" Target="../tables/table253.xml"/><Relationship Id="rId48" Type="http://schemas.openxmlformats.org/officeDocument/2006/relationships/table" Target="../tables/table258.xml"/><Relationship Id="rId64" Type="http://schemas.openxmlformats.org/officeDocument/2006/relationships/table" Target="../tables/table274.xml"/><Relationship Id="rId69" Type="http://schemas.openxmlformats.org/officeDocument/2006/relationships/table" Target="../tables/table279.xml"/><Relationship Id="rId113" Type="http://schemas.openxmlformats.org/officeDocument/2006/relationships/table" Target="../tables/table323.xml"/><Relationship Id="rId118" Type="http://schemas.openxmlformats.org/officeDocument/2006/relationships/table" Target="../tables/table328.xml"/><Relationship Id="rId134" Type="http://schemas.openxmlformats.org/officeDocument/2006/relationships/table" Target="../tables/table344.xml"/><Relationship Id="rId139" Type="http://schemas.openxmlformats.org/officeDocument/2006/relationships/table" Target="../tables/table349.xml"/><Relationship Id="rId80" Type="http://schemas.openxmlformats.org/officeDocument/2006/relationships/table" Target="../tables/table290.xml"/><Relationship Id="rId85" Type="http://schemas.openxmlformats.org/officeDocument/2006/relationships/table" Target="../tables/table295.xml"/><Relationship Id="rId150" Type="http://schemas.openxmlformats.org/officeDocument/2006/relationships/table" Target="../tables/table360.xml"/><Relationship Id="rId155" Type="http://schemas.openxmlformats.org/officeDocument/2006/relationships/table" Target="../tables/table365.xml"/><Relationship Id="rId12" Type="http://schemas.openxmlformats.org/officeDocument/2006/relationships/hyperlink" Target="https://www.dndbeyond.com/equipment/flask-or-tankard" TargetMode="External"/><Relationship Id="rId17" Type="http://schemas.openxmlformats.org/officeDocument/2006/relationships/hyperlink" Target="https://www.dndbeyond.com/equipment/pouch" TargetMode="External"/><Relationship Id="rId33" Type="http://schemas.openxmlformats.org/officeDocument/2006/relationships/printerSettings" Target="../printerSettings/printerSettings19.bin"/><Relationship Id="rId38" Type="http://schemas.openxmlformats.org/officeDocument/2006/relationships/table" Target="../tables/table248.xml"/><Relationship Id="rId59" Type="http://schemas.openxmlformats.org/officeDocument/2006/relationships/table" Target="../tables/table269.xml"/><Relationship Id="rId103" Type="http://schemas.openxmlformats.org/officeDocument/2006/relationships/table" Target="../tables/table313.xml"/><Relationship Id="rId108" Type="http://schemas.openxmlformats.org/officeDocument/2006/relationships/table" Target="../tables/table318.xml"/><Relationship Id="rId124" Type="http://schemas.openxmlformats.org/officeDocument/2006/relationships/table" Target="../tables/table334.xml"/><Relationship Id="rId129" Type="http://schemas.openxmlformats.org/officeDocument/2006/relationships/table" Target="../tables/table339.xml"/><Relationship Id="rId54" Type="http://schemas.openxmlformats.org/officeDocument/2006/relationships/table" Target="../tables/table264.xml"/><Relationship Id="rId70" Type="http://schemas.openxmlformats.org/officeDocument/2006/relationships/table" Target="../tables/table280.xml"/><Relationship Id="rId75" Type="http://schemas.openxmlformats.org/officeDocument/2006/relationships/table" Target="../tables/table285.xml"/><Relationship Id="rId91" Type="http://schemas.openxmlformats.org/officeDocument/2006/relationships/table" Target="../tables/table301.xml"/><Relationship Id="rId96" Type="http://schemas.openxmlformats.org/officeDocument/2006/relationships/table" Target="../tables/table306.xml"/><Relationship Id="rId140" Type="http://schemas.openxmlformats.org/officeDocument/2006/relationships/table" Target="../tables/table350.xml"/><Relationship Id="rId145" Type="http://schemas.openxmlformats.org/officeDocument/2006/relationships/table" Target="../tables/table355.xml"/><Relationship Id="rId161" Type="http://schemas.openxmlformats.org/officeDocument/2006/relationships/table" Target="../tables/table371.xml"/><Relationship Id="rId1" Type="http://schemas.openxmlformats.org/officeDocument/2006/relationships/hyperlink" Target="https://www.dndbeyond.com/equipment/backpack" TargetMode="External"/><Relationship Id="rId6" Type="http://schemas.openxmlformats.org/officeDocument/2006/relationships/hyperlink" Target="https://www.dndbeyond.com/equipment/bottle-glass" TargetMode="External"/><Relationship Id="rId15" Type="http://schemas.openxmlformats.org/officeDocument/2006/relationships/hyperlink" Target="https://www.dndbeyond.com/equipment/pouch" TargetMode="External"/><Relationship Id="rId23" Type="http://schemas.openxmlformats.org/officeDocument/2006/relationships/hyperlink" Target="https://www.dndbeyond.com/magic-items/bag-of-holding" TargetMode="External"/><Relationship Id="rId28" Type="http://schemas.openxmlformats.org/officeDocument/2006/relationships/hyperlink" Target="https://www.dndbeyond.com/magic-items/handy-haversack" TargetMode="External"/><Relationship Id="rId36" Type="http://schemas.openxmlformats.org/officeDocument/2006/relationships/table" Target="../tables/table246.xml"/><Relationship Id="rId49" Type="http://schemas.openxmlformats.org/officeDocument/2006/relationships/table" Target="../tables/table259.xml"/><Relationship Id="rId57" Type="http://schemas.openxmlformats.org/officeDocument/2006/relationships/table" Target="../tables/table267.xml"/><Relationship Id="rId106" Type="http://schemas.openxmlformats.org/officeDocument/2006/relationships/table" Target="../tables/table316.xml"/><Relationship Id="rId114" Type="http://schemas.openxmlformats.org/officeDocument/2006/relationships/table" Target="../tables/table324.xml"/><Relationship Id="rId119" Type="http://schemas.openxmlformats.org/officeDocument/2006/relationships/table" Target="../tables/table329.xml"/><Relationship Id="rId127" Type="http://schemas.openxmlformats.org/officeDocument/2006/relationships/table" Target="../tables/table337.xml"/><Relationship Id="rId10" Type="http://schemas.openxmlformats.org/officeDocument/2006/relationships/hyperlink" Target="https://www.dndbeyond.com/equipment/case-map-or-scroll" TargetMode="External"/><Relationship Id="rId31" Type="http://schemas.openxmlformats.org/officeDocument/2006/relationships/hyperlink" Target="https://hackslashmaster.blogspot.com/2013/09/on-generator-of-missions.html" TargetMode="External"/><Relationship Id="rId44" Type="http://schemas.openxmlformats.org/officeDocument/2006/relationships/table" Target="../tables/table254.xml"/><Relationship Id="rId52" Type="http://schemas.openxmlformats.org/officeDocument/2006/relationships/table" Target="../tables/table262.xml"/><Relationship Id="rId60" Type="http://schemas.openxmlformats.org/officeDocument/2006/relationships/table" Target="../tables/table270.xml"/><Relationship Id="rId65" Type="http://schemas.openxmlformats.org/officeDocument/2006/relationships/table" Target="../tables/table275.xml"/><Relationship Id="rId73" Type="http://schemas.openxmlformats.org/officeDocument/2006/relationships/table" Target="../tables/table283.xml"/><Relationship Id="rId78" Type="http://schemas.openxmlformats.org/officeDocument/2006/relationships/table" Target="../tables/table288.xml"/><Relationship Id="rId81" Type="http://schemas.openxmlformats.org/officeDocument/2006/relationships/table" Target="../tables/table291.xml"/><Relationship Id="rId86" Type="http://schemas.openxmlformats.org/officeDocument/2006/relationships/table" Target="../tables/table296.xml"/><Relationship Id="rId94" Type="http://schemas.openxmlformats.org/officeDocument/2006/relationships/table" Target="../tables/table304.xml"/><Relationship Id="rId99" Type="http://schemas.openxmlformats.org/officeDocument/2006/relationships/table" Target="../tables/table309.xml"/><Relationship Id="rId101" Type="http://schemas.openxmlformats.org/officeDocument/2006/relationships/table" Target="../tables/table311.xml"/><Relationship Id="rId122" Type="http://schemas.openxmlformats.org/officeDocument/2006/relationships/table" Target="../tables/table332.xml"/><Relationship Id="rId130" Type="http://schemas.openxmlformats.org/officeDocument/2006/relationships/table" Target="../tables/table340.xml"/><Relationship Id="rId135" Type="http://schemas.openxmlformats.org/officeDocument/2006/relationships/table" Target="../tables/table345.xml"/><Relationship Id="rId143" Type="http://schemas.openxmlformats.org/officeDocument/2006/relationships/table" Target="../tables/table353.xml"/><Relationship Id="rId148" Type="http://schemas.openxmlformats.org/officeDocument/2006/relationships/table" Target="../tables/table358.xml"/><Relationship Id="rId151" Type="http://schemas.openxmlformats.org/officeDocument/2006/relationships/table" Target="../tables/table361.xml"/><Relationship Id="rId156" Type="http://schemas.openxmlformats.org/officeDocument/2006/relationships/table" Target="../tables/table366.xml"/><Relationship Id="rId164" Type="http://schemas.openxmlformats.org/officeDocument/2006/relationships/table" Target="../tables/table374.xml"/><Relationship Id="rId4" Type="http://schemas.openxmlformats.org/officeDocument/2006/relationships/hyperlink" Target="https://www.dndbeyond.com/equipment/barrel" TargetMode="External"/><Relationship Id="rId9" Type="http://schemas.openxmlformats.org/officeDocument/2006/relationships/hyperlink" Target="https://www.dndbeyond.com/equipment/case-map-or-scroll" TargetMode="External"/><Relationship Id="rId13" Type="http://schemas.openxmlformats.org/officeDocument/2006/relationships/hyperlink" Target="https://www.dndbeyond.com/equipment/jug-or-pitcher" TargetMode="External"/><Relationship Id="rId18" Type="http://schemas.openxmlformats.org/officeDocument/2006/relationships/hyperlink" Target="https://www.dndbeyond.com/equipment/quiver" TargetMode="External"/><Relationship Id="rId39" Type="http://schemas.openxmlformats.org/officeDocument/2006/relationships/table" Target="../tables/table249.xml"/><Relationship Id="rId109" Type="http://schemas.openxmlformats.org/officeDocument/2006/relationships/table" Target="../tables/table319.xml"/><Relationship Id="rId34" Type="http://schemas.openxmlformats.org/officeDocument/2006/relationships/drawing" Target="../drawings/drawing19.xml"/><Relationship Id="rId50" Type="http://schemas.openxmlformats.org/officeDocument/2006/relationships/table" Target="../tables/table260.xml"/><Relationship Id="rId55" Type="http://schemas.openxmlformats.org/officeDocument/2006/relationships/table" Target="../tables/table265.xml"/><Relationship Id="rId76" Type="http://schemas.openxmlformats.org/officeDocument/2006/relationships/table" Target="../tables/table286.xml"/><Relationship Id="rId97" Type="http://schemas.openxmlformats.org/officeDocument/2006/relationships/table" Target="../tables/table307.xml"/><Relationship Id="rId104" Type="http://schemas.openxmlformats.org/officeDocument/2006/relationships/table" Target="../tables/table314.xml"/><Relationship Id="rId120" Type="http://schemas.openxmlformats.org/officeDocument/2006/relationships/table" Target="../tables/table330.xml"/><Relationship Id="rId125" Type="http://schemas.openxmlformats.org/officeDocument/2006/relationships/table" Target="../tables/table335.xml"/><Relationship Id="rId141" Type="http://schemas.openxmlformats.org/officeDocument/2006/relationships/table" Target="../tables/table351.xml"/><Relationship Id="rId146" Type="http://schemas.openxmlformats.org/officeDocument/2006/relationships/table" Target="../tables/table356.xml"/><Relationship Id="rId7" Type="http://schemas.openxmlformats.org/officeDocument/2006/relationships/hyperlink" Target="https://www.dndbeyond.com/equipment/bucket" TargetMode="External"/><Relationship Id="rId71" Type="http://schemas.openxmlformats.org/officeDocument/2006/relationships/table" Target="../tables/table281.xml"/><Relationship Id="rId92" Type="http://schemas.openxmlformats.org/officeDocument/2006/relationships/table" Target="../tables/table302.xml"/><Relationship Id="rId162" Type="http://schemas.openxmlformats.org/officeDocument/2006/relationships/table" Target="../tables/table372.xml"/><Relationship Id="rId2" Type="http://schemas.openxmlformats.org/officeDocument/2006/relationships/hyperlink" Target="https://www.dndbeyond.com/equipment/backpack" TargetMode="External"/><Relationship Id="rId29" Type="http://schemas.openxmlformats.org/officeDocument/2006/relationships/hyperlink" Target="https://www.dndbeyond.com/magic-items/handy-haversack" TargetMode="External"/><Relationship Id="rId24" Type="http://schemas.openxmlformats.org/officeDocument/2006/relationships/hyperlink" Target="https://www.dndbeyond.com/magic-items/efficient-quiver" TargetMode="External"/><Relationship Id="rId40" Type="http://schemas.openxmlformats.org/officeDocument/2006/relationships/table" Target="../tables/table250.xml"/><Relationship Id="rId45" Type="http://schemas.openxmlformats.org/officeDocument/2006/relationships/table" Target="../tables/table255.xml"/><Relationship Id="rId66" Type="http://schemas.openxmlformats.org/officeDocument/2006/relationships/table" Target="../tables/table276.xml"/><Relationship Id="rId87" Type="http://schemas.openxmlformats.org/officeDocument/2006/relationships/table" Target="../tables/table297.xml"/><Relationship Id="rId110" Type="http://schemas.openxmlformats.org/officeDocument/2006/relationships/table" Target="../tables/table320.xml"/><Relationship Id="rId115" Type="http://schemas.openxmlformats.org/officeDocument/2006/relationships/table" Target="../tables/table325.xml"/><Relationship Id="rId131" Type="http://schemas.openxmlformats.org/officeDocument/2006/relationships/table" Target="../tables/table341.xml"/><Relationship Id="rId136" Type="http://schemas.openxmlformats.org/officeDocument/2006/relationships/table" Target="../tables/table346.xml"/><Relationship Id="rId157" Type="http://schemas.openxmlformats.org/officeDocument/2006/relationships/table" Target="../tables/table367.xml"/><Relationship Id="rId61" Type="http://schemas.openxmlformats.org/officeDocument/2006/relationships/table" Target="../tables/table271.xml"/><Relationship Id="rId82" Type="http://schemas.openxmlformats.org/officeDocument/2006/relationships/table" Target="../tables/table292.xml"/><Relationship Id="rId152" Type="http://schemas.openxmlformats.org/officeDocument/2006/relationships/table" Target="../tables/table362.xml"/><Relationship Id="rId19" Type="http://schemas.openxmlformats.org/officeDocument/2006/relationships/hyperlink" Target="https://www.dndbeyond.com/equipment/sack" TargetMode="External"/><Relationship Id="rId14" Type="http://schemas.openxmlformats.org/officeDocument/2006/relationships/hyperlink" Target="https://www.dndbeyond.com/equipment/pot-iron" TargetMode="External"/><Relationship Id="rId30" Type="http://schemas.openxmlformats.org/officeDocument/2006/relationships/hyperlink" Target="https://www.dndbeyond.com/magic-items/portable-hole" TargetMode="External"/><Relationship Id="rId35" Type="http://schemas.openxmlformats.org/officeDocument/2006/relationships/vmlDrawing" Target="../drawings/vmlDrawing13.vml"/><Relationship Id="rId56" Type="http://schemas.openxmlformats.org/officeDocument/2006/relationships/table" Target="../tables/table266.xml"/><Relationship Id="rId77" Type="http://schemas.openxmlformats.org/officeDocument/2006/relationships/table" Target="../tables/table287.xml"/><Relationship Id="rId100" Type="http://schemas.openxmlformats.org/officeDocument/2006/relationships/table" Target="../tables/table310.xml"/><Relationship Id="rId105" Type="http://schemas.openxmlformats.org/officeDocument/2006/relationships/table" Target="../tables/table315.xml"/><Relationship Id="rId126" Type="http://schemas.openxmlformats.org/officeDocument/2006/relationships/table" Target="../tables/table336.xml"/><Relationship Id="rId147" Type="http://schemas.openxmlformats.org/officeDocument/2006/relationships/table" Target="../tables/table357.xml"/><Relationship Id="rId8" Type="http://schemas.openxmlformats.org/officeDocument/2006/relationships/hyperlink" Target="https://www.dndbeyond.com/equipment/case-crossbow-bolt" TargetMode="External"/><Relationship Id="rId51" Type="http://schemas.openxmlformats.org/officeDocument/2006/relationships/table" Target="../tables/table261.xml"/><Relationship Id="rId72" Type="http://schemas.openxmlformats.org/officeDocument/2006/relationships/table" Target="../tables/table282.xml"/><Relationship Id="rId93" Type="http://schemas.openxmlformats.org/officeDocument/2006/relationships/table" Target="../tables/table303.xml"/><Relationship Id="rId98" Type="http://schemas.openxmlformats.org/officeDocument/2006/relationships/table" Target="../tables/table308.xml"/><Relationship Id="rId121" Type="http://schemas.openxmlformats.org/officeDocument/2006/relationships/table" Target="../tables/table331.xml"/><Relationship Id="rId142" Type="http://schemas.openxmlformats.org/officeDocument/2006/relationships/table" Target="../tables/table352.xml"/><Relationship Id="rId163" Type="http://schemas.openxmlformats.org/officeDocument/2006/relationships/table" Target="../tables/table373.xml"/><Relationship Id="rId3" Type="http://schemas.openxmlformats.org/officeDocument/2006/relationships/hyperlink" Target="https://www.dndbeyond.com/equipment/backpack" TargetMode="External"/><Relationship Id="rId25" Type="http://schemas.openxmlformats.org/officeDocument/2006/relationships/hyperlink" Target="https://www.dndbeyond.com/magic-items/efficient-quiver" TargetMode="External"/><Relationship Id="rId46" Type="http://schemas.openxmlformats.org/officeDocument/2006/relationships/table" Target="../tables/table256.xml"/><Relationship Id="rId67" Type="http://schemas.openxmlformats.org/officeDocument/2006/relationships/table" Target="../tables/table277.xml"/><Relationship Id="rId116" Type="http://schemas.openxmlformats.org/officeDocument/2006/relationships/table" Target="../tables/table326.xml"/><Relationship Id="rId137" Type="http://schemas.openxmlformats.org/officeDocument/2006/relationships/table" Target="../tables/table347.xml"/><Relationship Id="rId158" Type="http://schemas.openxmlformats.org/officeDocument/2006/relationships/table" Target="../tables/table368.xml"/><Relationship Id="rId20" Type="http://schemas.openxmlformats.org/officeDocument/2006/relationships/hyperlink" Target="https://www.dndbeyond.com/equipment/saddlebags" TargetMode="External"/><Relationship Id="rId41" Type="http://schemas.openxmlformats.org/officeDocument/2006/relationships/table" Target="../tables/table251.xml"/><Relationship Id="rId62" Type="http://schemas.openxmlformats.org/officeDocument/2006/relationships/table" Target="../tables/table272.xml"/><Relationship Id="rId83" Type="http://schemas.openxmlformats.org/officeDocument/2006/relationships/table" Target="../tables/table293.xml"/><Relationship Id="rId88" Type="http://schemas.openxmlformats.org/officeDocument/2006/relationships/table" Target="../tables/table298.xml"/><Relationship Id="rId111" Type="http://schemas.openxmlformats.org/officeDocument/2006/relationships/table" Target="../tables/table321.xml"/><Relationship Id="rId132" Type="http://schemas.openxmlformats.org/officeDocument/2006/relationships/table" Target="../tables/table342.xml"/><Relationship Id="rId153" Type="http://schemas.openxmlformats.org/officeDocument/2006/relationships/table" Target="../tables/table363.xml"/></Relationships>
</file>

<file path=xl/worksheets/_rels/sheet49.xml.rels><?xml version="1.0" encoding="UTF-8" standalone="yes"?>
<Relationships xmlns="http://schemas.openxmlformats.org/package/2006/relationships"><Relationship Id="rId8" Type="http://schemas.openxmlformats.org/officeDocument/2006/relationships/hyperlink" Target="mailto:a.v.palikhov@hotmail.com" TargetMode="External"/><Relationship Id="rId3" Type="http://schemas.openxmlformats.org/officeDocument/2006/relationships/hyperlink" Target="https://www.youtube.com/c/%D0%90%D0%BD%D1%82%D0%BE%D0%BD%D0%9F%D0%B0%D0%BB%D0%B8%D1%85%D0%BE%D0%B2" TargetMode="External"/><Relationship Id="rId7" Type="http://schemas.openxmlformats.org/officeDocument/2006/relationships/hyperlink" Target="mailto:a.v.palikhov@hotmail.com" TargetMode="External"/><Relationship Id="rId2" Type="http://schemas.openxmlformats.org/officeDocument/2006/relationships/hyperlink" Target="https://www.twitch.tv/palikhov" TargetMode="External"/><Relationship Id="rId1" Type="http://schemas.openxmlformats.org/officeDocument/2006/relationships/hyperlink" Target="https://cyborgsandmages.wordpress.com/" TargetMode="External"/><Relationship Id="rId6" Type="http://schemas.openxmlformats.org/officeDocument/2006/relationships/hyperlink" Target="https://cyborgsandmages.wordpress.com/" TargetMode="External"/><Relationship Id="rId11" Type="http://schemas.openxmlformats.org/officeDocument/2006/relationships/comments" Target="../comments14.xml"/><Relationship Id="rId5" Type="http://schemas.openxmlformats.org/officeDocument/2006/relationships/hyperlink" Target="http://mageofthestripedtower.blogspot.com/2016/07/b2-caves-of-chaos-my-spin.html" TargetMode="External"/><Relationship Id="rId10" Type="http://schemas.openxmlformats.org/officeDocument/2006/relationships/vmlDrawing" Target="../drawings/vmlDrawing14.vml"/><Relationship Id="rId4" Type="http://schemas.openxmlformats.org/officeDocument/2006/relationships/hyperlink" Target="https://www.facebook.com/groups/cyborgsandmages/" TargetMode="External"/><Relationship Id="rId9" Type="http://schemas.openxmlformats.org/officeDocument/2006/relationships/drawing" Target="../drawings/drawing20.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eb.archive.org/web/20150131011912/http:/oracle.wizards.com/scripts/wa.exe?A2=ind0603c&amp;L=realms-l&amp;D=1&amp;F=&amp;S=&amp;P=737" TargetMode="External"/><Relationship Id="rId1" Type="http://schemas.openxmlformats.org/officeDocument/2006/relationships/hyperlink" Target="http://web.archive.org/web/20150131011913/http:/oracle.wizards.com/scripts/wa.exe?A2=ind0603c&amp;L=realms-l&amp;D=1&amp;F=&amp;S=&amp;P=12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13FD9-D3CD-45D7-AD0C-A06F72145948}">
  <sheetPr>
    <tabColor rgb="FFFFC000"/>
  </sheetPr>
  <dimension ref="A1:L249"/>
  <sheetViews>
    <sheetView topLeftCell="A26" zoomScale="55" zoomScaleNormal="55" workbookViewId="0"/>
  </sheetViews>
  <sheetFormatPr defaultRowHeight="14.25"/>
  <cols>
    <col min="1" max="1" width="15.77734375" style="1" customWidth="1"/>
    <col min="2" max="11" width="22.6640625" style="1" customWidth="1"/>
    <col min="12" max="12" width="8.5546875" style="1" customWidth="1"/>
    <col min="13" max="16384" width="8.88671875" style="1"/>
  </cols>
  <sheetData>
    <row r="1" spans="1:12" ht="42">
      <c r="A1" s="1087" t="s">
        <v>11468</v>
      </c>
      <c r="B1" s="1286" t="s">
        <v>16512</v>
      </c>
      <c r="C1" s="1287"/>
      <c r="D1" s="1287"/>
      <c r="E1" s="1287"/>
      <c r="F1" s="1287"/>
      <c r="G1" s="1287"/>
      <c r="H1" s="1287"/>
      <c r="I1" s="1287"/>
      <c r="J1" s="1287"/>
      <c r="K1" s="1287"/>
      <c r="L1" s="1088"/>
    </row>
    <row r="2" spans="1:12" ht="18">
      <c r="A2" s="1087"/>
      <c r="B2" s="1089"/>
      <c r="C2" s="1089"/>
      <c r="D2" s="1089"/>
      <c r="E2" s="1089"/>
      <c r="F2" s="1089"/>
      <c r="G2" s="1089"/>
      <c r="H2" s="1089"/>
      <c r="I2" s="1089"/>
      <c r="J2" s="1089"/>
      <c r="K2" s="1089"/>
      <c r="L2" s="1088"/>
    </row>
    <row r="3" spans="1:12" ht="21">
      <c r="A3" s="1087" t="s">
        <v>16487</v>
      </c>
      <c r="B3" s="1090" t="s">
        <v>16488</v>
      </c>
      <c r="C3" s="1090" t="s">
        <v>16488</v>
      </c>
      <c r="D3" s="1090" t="s">
        <v>16488</v>
      </c>
      <c r="E3" s="1090" t="s">
        <v>16488</v>
      </c>
      <c r="F3" s="1090" t="s">
        <v>16488</v>
      </c>
      <c r="G3" s="1090" t="s">
        <v>16488</v>
      </c>
      <c r="H3" s="1090" t="s">
        <v>16488</v>
      </c>
      <c r="I3" s="1090" t="s">
        <v>16488</v>
      </c>
      <c r="J3" s="1090" t="s">
        <v>16488</v>
      </c>
      <c r="K3" s="1090" t="s">
        <v>16488</v>
      </c>
      <c r="L3" s="1088"/>
    </row>
    <row r="4" spans="1:12" ht="21">
      <c r="A4" s="1087" t="s">
        <v>16489</v>
      </c>
      <c r="B4" s="1091">
        <v>1</v>
      </c>
      <c r="C4" s="1091">
        <v>2</v>
      </c>
      <c r="D4" s="1091">
        <v>3</v>
      </c>
      <c r="E4" s="1091">
        <v>4</v>
      </c>
      <c r="F4" s="1091">
        <v>5</v>
      </c>
      <c r="G4" s="1091">
        <v>6</v>
      </c>
      <c r="H4" s="1091">
        <v>7</v>
      </c>
      <c r="I4" s="1091">
        <v>8</v>
      </c>
      <c r="J4" s="1091">
        <v>9</v>
      </c>
      <c r="K4" s="1091">
        <v>10</v>
      </c>
      <c r="L4" s="1088"/>
    </row>
    <row r="5" spans="1:12" ht="18">
      <c r="A5" s="1092" t="s">
        <v>16490</v>
      </c>
      <c r="B5" s="1093"/>
      <c r="C5" s="1093"/>
      <c r="D5" s="1093"/>
      <c r="E5" s="1093"/>
      <c r="F5" s="1093"/>
      <c r="G5" s="1093"/>
      <c r="H5" s="1093"/>
      <c r="I5" s="1093"/>
      <c r="J5" s="1093"/>
      <c r="K5" s="1093"/>
      <c r="L5" s="1088"/>
    </row>
    <row r="6" spans="1:12" ht="18">
      <c r="A6" s="1087" t="s">
        <v>5725</v>
      </c>
      <c r="B6" s="1094"/>
      <c r="C6" s="1094"/>
      <c r="D6" s="1094"/>
      <c r="E6" s="1094"/>
      <c r="F6" s="1094"/>
      <c r="G6" s="1094"/>
      <c r="H6" s="1094"/>
      <c r="I6" s="1094"/>
      <c r="J6" s="1094"/>
      <c r="K6" s="1094"/>
      <c r="L6" s="1088"/>
    </row>
    <row r="7" spans="1:12" ht="18">
      <c r="A7" s="1087" t="s">
        <v>16491</v>
      </c>
      <c r="B7" s="1095"/>
      <c r="C7" s="1095"/>
      <c r="D7" s="1095"/>
      <c r="E7" s="1095"/>
      <c r="F7" s="1095"/>
      <c r="G7" s="1095"/>
      <c r="H7" s="1095"/>
      <c r="I7" s="1095"/>
      <c r="J7" s="1095"/>
      <c r="K7" s="1095"/>
      <c r="L7" s="1088"/>
    </row>
    <row r="8" spans="1:12" ht="18">
      <c r="A8" s="1087"/>
      <c r="B8" s="1089"/>
      <c r="C8" s="1089"/>
      <c r="D8" s="1089"/>
      <c r="E8" s="1089"/>
      <c r="F8" s="1089"/>
      <c r="G8" s="1089"/>
      <c r="H8" s="1089"/>
      <c r="I8" s="1089"/>
      <c r="J8" s="1089"/>
      <c r="K8" s="1089"/>
      <c r="L8" s="1088"/>
    </row>
    <row r="9" spans="1:12" ht="21">
      <c r="A9" s="1087" t="s">
        <v>16487</v>
      </c>
      <c r="B9" s="1090" t="s">
        <v>16488</v>
      </c>
      <c r="C9" s="1090" t="s">
        <v>16488</v>
      </c>
      <c r="D9" s="1090" t="s">
        <v>16488</v>
      </c>
      <c r="E9" s="1090" t="s">
        <v>16488</v>
      </c>
      <c r="F9" s="1090" t="s">
        <v>16488</v>
      </c>
      <c r="G9" s="1090" t="s">
        <v>16488</v>
      </c>
      <c r="H9" s="1090" t="s">
        <v>16488</v>
      </c>
      <c r="I9" s="1090" t="s">
        <v>16488</v>
      </c>
      <c r="J9" s="1090" t="s">
        <v>16488</v>
      </c>
      <c r="K9" s="1090" t="s">
        <v>16488</v>
      </c>
      <c r="L9" s="1088"/>
    </row>
    <row r="10" spans="1:12" ht="21">
      <c r="A10" s="1087" t="s">
        <v>16489</v>
      </c>
      <c r="B10" s="1091">
        <v>11</v>
      </c>
      <c r="C10" s="1091">
        <v>12</v>
      </c>
      <c r="D10" s="1091">
        <v>13</v>
      </c>
      <c r="E10" s="1091">
        <v>14</v>
      </c>
      <c r="F10" s="1091">
        <v>15</v>
      </c>
      <c r="G10" s="1091">
        <v>16</v>
      </c>
      <c r="H10" s="1091">
        <v>17</v>
      </c>
      <c r="I10" s="1091">
        <v>18</v>
      </c>
      <c r="J10" s="1091">
        <v>19</v>
      </c>
      <c r="K10" s="1091">
        <v>20</v>
      </c>
      <c r="L10" s="1088"/>
    </row>
    <row r="11" spans="1:12" ht="18">
      <c r="A11" s="1092" t="s">
        <v>16490</v>
      </c>
      <c r="B11" s="1093"/>
      <c r="C11" s="1093"/>
      <c r="D11" s="1093"/>
      <c r="E11" s="1093"/>
      <c r="F11" s="1093"/>
      <c r="G11" s="1093"/>
      <c r="H11" s="1093"/>
      <c r="I11" s="1093"/>
      <c r="J11" s="1093"/>
      <c r="K11" s="1093"/>
      <c r="L11" s="1088"/>
    </row>
    <row r="12" spans="1:12" ht="18">
      <c r="A12" s="1087" t="s">
        <v>5725</v>
      </c>
      <c r="B12" s="1094"/>
      <c r="C12" s="1094"/>
      <c r="D12" s="1094"/>
      <c r="E12" s="1094"/>
      <c r="F12" s="1094"/>
      <c r="G12" s="1094"/>
      <c r="H12" s="1094"/>
      <c r="I12" s="1094"/>
      <c r="J12" s="1094"/>
      <c r="K12" s="1094"/>
      <c r="L12" s="1088"/>
    </row>
    <row r="13" spans="1:12" ht="18">
      <c r="A13" s="1087" t="s">
        <v>16491</v>
      </c>
      <c r="B13" s="1095"/>
      <c r="C13" s="1095"/>
      <c r="D13" s="1095"/>
      <c r="E13" s="1095"/>
      <c r="F13" s="1095"/>
      <c r="G13" s="1095"/>
      <c r="H13" s="1095"/>
      <c r="I13" s="1095"/>
      <c r="J13" s="1095"/>
      <c r="K13" s="1095"/>
      <c r="L13" s="1088"/>
    </row>
    <row r="14" spans="1:12" ht="18">
      <c r="A14" s="1087"/>
      <c r="B14" s="1089"/>
      <c r="C14" s="1089"/>
      <c r="D14" s="1089"/>
      <c r="E14" s="1089"/>
      <c r="F14" s="1089"/>
      <c r="G14" s="1089"/>
      <c r="H14" s="1089"/>
      <c r="I14" s="1089"/>
      <c r="J14" s="1089"/>
      <c r="K14" s="1089"/>
      <c r="L14" s="1088"/>
    </row>
    <row r="15" spans="1:12" ht="21">
      <c r="A15" s="1087" t="s">
        <v>16487</v>
      </c>
      <c r="B15" s="1090" t="s">
        <v>16488</v>
      </c>
      <c r="C15" s="1090" t="s">
        <v>16488</v>
      </c>
      <c r="D15" s="1090" t="s">
        <v>16488</v>
      </c>
      <c r="E15" s="1090" t="s">
        <v>16488</v>
      </c>
      <c r="F15" s="1090" t="s">
        <v>16488</v>
      </c>
      <c r="G15" s="1090" t="s">
        <v>16488</v>
      </c>
      <c r="H15" s="1090" t="s">
        <v>16488</v>
      </c>
      <c r="I15" s="1090" t="s">
        <v>16488</v>
      </c>
      <c r="J15" s="1090" t="s">
        <v>16488</v>
      </c>
      <c r="K15" s="1090" t="s">
        <v>16488</v>
      </c>
      <c r="L15" s="1088"/>
    </row>
    <row r="16" spans="1:12" ht="21">
      <c r="A16" s="1087" t="s">
        <v>16489</v>
      </c>
      <c r="B16" s="1091">
        <v>21</v>
      </c>
      <c r="C16" s="1091">
        <v>22</v>
      </c>
      <c r="D16" s="1091">
        <v>23</v>
      </c>
      <c r="E16" s="1091">
        <v>24</v>
      </c>
      <c r="F16" s="1091">
        <v>25</v>
      </c>
      <c r="G16" s="1091">
        <v>26</v>
      </c>
      <c r="H16" s="1091">
        <v>27</v>
      </c>
      <c r="I16" s="1091">
        <v>28</v>
      </c>
      <c r="J16" s="1091">
        <v>29</v>
      </c>
      <c r="K16" s="1091">
        <v>30</v>
      </c>
      <c r="L16" s="1088"/>
    </row>
    <row r="17" spans="1:12" ht="18">
      <c r="A17" s="1092" t="s">
        <v>16490</v>
      </c>
      <c r="B17" s="1093"/>
      <c r="C17" s="1093"/>
      <c r="D17" s="1093"/>
      <c r="E17" s="1093"/>
      <c r="F17" s="1093"/>
      <c r="G17" s="1093"/>
      <c r="H17" s="1093"/>
      <c r="I17" s="1093"/>
      <c r="J17" s="1093"/>
      <c r="K17" s="1093"/>
      <c r="L17" s="1088"/>
    </row>
    <row r="18" spans="1:12" ht="18">
      <c r="A18" s="1087" t="s">
        <v>5725</v>
      </c>
      <c r="B18" s="1094"/>
      <c r="C18" s="1094"/>
      <c r="D18" s="1094"/>
      <c r="E18" s="1094"/>
      <c r="F18" s="1094"/>
      <c r="G18" s="1094"/>
      <c r="H18" s="1094"/>
      <c r="I18" s="1094"/>
      <c r="J18" s="1094"/>
      <c r="K18" s="1094"/>
      <c r="L18" s="1088"/>
    </row>
    <row r="19" spans="1:12" ht="18">
      <c r="A19" s="1087" t="s">
        <v>16491</v>
      </c>
      <c r="B19" s="1095"/>
      <c r="C19" s="1095"/>
      <c r="D19" s="1095"/>
      <c r="E19" s="1095"/>
      <c r="F19" s="1095"/>
      <c r="G19" s="1095"/>
      <c r="H19" s="1095"/>
      <c r="I19" s="1095"/>
      <c r="J19" s="1095"/>
      <c r="K19" s="1095"/>
      <c r="L19" s="1088"/>
    </row>
    <row r="20" spans="1:12" ht="18">
      <c r="A20" s="1087"/>
      <c r="B20" s="1089"/>
      <c r="C20" s="1089"/>
      <c r="D20" s="1089"/>
      <c r="E20" s="1089"/>
      <c r="F20" s="1089"/>
      <c r="G20" s="1089"/>
      <c r="H20" s="1089"/>
      <c r="I20" s="1089"/>
      <c r="J20" s="1089"/>
      <c r="K20" s="1089"/>
      <c r="L20" s="1088"/>
    </row>
    <row r="21" spans="1:12" ht="21">
      <c r="A21" s="1087" t="s">
        <v>16487</v>
      </c>
      <c r="B21" s="1096" t="s">
        <v>16492</v>
      </c>
      <c r="C21" s="1097"/>
      <c r="D21" s="1097"/>
      <c r="E21" s="1097"/>
      <c r="F21" s="1097"/>
      <c r="G21" s="1097"/>
      <c r="H21" s="1097"/>
      <c r="I21" s="1097"/>
      <c r="J21" s="1097"/>
      <c r="K21" s="1097"/>
      <c r="L21" s="1088"/>
    </row>
    <row r="22" spans="1:12" ht="21">
      <c r="A22" s="1087" t="s">
        <v>16489</v>
      </c>
      <c r="B22" s="1098" t="s">
        <v>16493</v>
      </c>
      <c r="C22" s="1097"/>
      <c r="D22" s="1097"/>
      <c r="E22" s="1097"/>
      <c r="F22" s="1097"/>
      <c r="G22" s="1097"/>
      <c r="H22" s="1097"/>
      <c r="I22" s="1097"/>
      <c r="J22" s="1097"/>
      <c r="K22" s="1097"/>
      <c r="L22" s="1088"/>
    </row>
    <row r="23" spans="1:12" ht="18">
      <c r="A23" s="1092" t="s">
        <v>16490</v>
      </c>
      <c r="B23" s="1093"/>
      <c r="C23" s="1099"/>
      <c r="D23" s="1099"/>
      <c r="E23" s="1099"/>
      <c r="F23" s="1099"/>
      <c r="G23" s="1099"/>
      <c r="H23" s="1099"/>
      <c r="I23" s="1099"/>
      <c r="J23" s="1099"/>
      <c r="K23" s="1099"/>
      <c r="L23" s="1088"/>
    </row>
    <row r="24" spans="1:12" ht="18">
      <c r="A24" s="1087" t="s">
        <v>5725</v>
      </c>
      <c r="B24" s="1094"/>
      <c r="C24" s="1087"/>
      <c r="D24" s="1087"/>
      <c r="E24" s="1087"/>
      <c r="F24" s="1087"/>
      <c r="G24" s="1087"/>
      <c r="H24" s="1087"/>
      <c r="I24" s="1087"/>
      <c r="J24" s="1087"/>
      <c r="K24" s="1087"/>
      <c r="L24" s="1088"/>
    </row>
    <row r="25" spans="1:12" ht="18">
      <c r="A25" s="1087" t="s">
        <v>16491</v>
      </c>
      <c r="B25" s="1095"/>
      <c r="C25" s="1087"/>
      <c r="D25" s="1087"/>
      <c r="E25" s="1087"/>
      <c r="F25" s="1087"/>
      <c r="G25" s="1087"/>
      <c r="H25" s="1087"/>
      <c r="I25" s="1087"/>
      <c r="J25" s="1087"/>
      <c r="K25" s="1087"/>
      <c r="L25" s="1088"/>
    </row>
    <row r="26" spans="1:12" ht="18">
      <c r="A26" s="1087"/>
      <c r="B26" s="1089"/>
      <c r="C26" s="1089"/>
      <c r="D26" s="1089"/>
      <c r="E26" s="1089"/>
      <c r="F26" s="1089"/>
      <c r="G26" s="1089"/>
      <c r="H26" s="1089"/>
      <c r="I26" s="1089"/>
      <c r="J26" s="1089"/>
      <c r="K26" s="1089"/>
      <c r="L26" s="1088"/>
    </row>
    <row r="27" spans="1:12" ht="21">
      <c r="A27" s="1087" t="s">
        <v>16487</v>
      </c>
      <c r="B27" s="1090" t="s">
        <v>16494</v>
      </c>
      <c r="C27" s="1090" t="s">
        <v>16494</v>
      </c>
      <c r="D27" s="1090" t="s">
        <v>16494</v>
      </c>
      <c r="E27" s="1090" t="s">
        <v>16494</v>
      </c>
      <c r="F27" s="1090" t="s">
        <v>16494</v>
      </c>
      <c r="G27" s="1090" t="s">
        <v>16494</v>
      </c>
      <c r="H27" s="1090" t="s">
        <v>16494</v>
      </c>
      <c r="I27" s="1090" t="s">
        <v>16494</v>
      </c>
      <c r="J27" s="1090" t="s">
        <v>16494</v>
      </c>
      <c r="K27" s="1090" t="s">
        <v>16494</v>
      </c>
      <c r="L27" s="1088"/>
    </row>
    <row r="28" spans="1:12" ht="21">
      <c r="A28" s="1087" t="s">
        <v>16489</v>
      </c>
      <c r="B28" s="1091">
        <v>1</v>
      </c>
      <c r="C28" s="1091">
        <v>2</v>
      </c>
      <c r="D28" s="1091">
        <v>3</v>
      </c>
      <c r="E28" s="1091">
        <v>4</v>
      </c>
      <c r="F28" s="1091">
        <v>5</v>
      </c>
      <c r="G28" s="1091">
        <v>6</v>
      </c>
      <c r="H28" s="1091">
        <v>7</v>
      </c>
      <c r="I28" s="1091">
        <v>8</v>
      </c>
      <c r="J28" s="1091">
        <v>9</v>
      </c>
      <c r="K28" s="1091">
        <v>10</v>
      </c>
      <c r="L28" s="1088"/>
    </row>
    <row r="29" spans="1:12" ht="18">
      <c r="A29" s="1092" t="s">
        <v>16490</v>
      </c>
      <c r="B29" s="1093"/>
      <c r="C29" s="1093"/>
      <c r="D29" s="1093"/>
      <c r="E29" s="1093"/>
      <c r="F29" s="1093"/>
      <c r="G29" s="1093"/>
      <c r="H29" s="1093"/>
      <c r="I29" s="1093"/>
      <c r="J29" s="1093"/>
      <c r="K29" s="1093"/>
      <c r="L29" s="1088"/>
    </row>
    <row r="30" spans="1:12" ht="18">
      <c r="A30" s="1087" t="s">
        <v>5725</v>
      </c>
      <c r="B30" s="1094"/>
      <c r="C30" s="1094"/>
      <c r="D30" s="1094"/>
      <c r="E30" s="1094"/>
      <c r="F30" s="1094"/>
      <c r="G30" s="1094"/>
      <c r="H30" s="1094"/>
      <c r="I30" s="1094"/>
      <c r="J30" s="1094"/>
      <c r="K30" s="1094"/>
      <c r="L30" s="1088"/>
    </row>
    <row r="31" spans="1:12" ht="18">
      <c r="A31" s="1087" t="s">
        <v>16491</v>
      </c>
      <c r="B31" s="1095"/>
      <c r="C31" s="1095"/>
      <c r="D31" s="1095"/>
      <c r="E31" s="1095"/>
      <c r="F31" s="1095"/>
      <c r="G31" s="1095"/>
      <c r="H31" s="1095"/>
      <c r="I31" s="1095"/>
      <c r="J31" s="1095"/>
      <c r="K31" s="1095"/>
      <c r="L31" s="1088"/>
    </row>
    <row r="32" spans="1:12" ht="18">
      <c r="A32" s="1087"/>
      <c r="B32" s="1089"/>
      <c r="C32" s="1089"/>
      <c r="D32" s="1089"/>
      <c r="E32" s="1089"/>
      <c r="F32" s="1089"/>
      <c r="G32" s="1089"/>
      <c r="H32" s="1089"/>
      <c r="I32" s="1089"/>
      <c r="J32" s="1089"/>
      <c r="K32" s="1089"/>
      <c r="L32" s="1088"/>
    </row>
    <row r="33" spans="1:12" ht="21">
      <c r="A33" s="1087" t="s">
        <v>16487</v>
      </c>
      <c r="B33" s="1090" t="s">
        <v>16494</v>
      </c>
      <c r="C33" s="1090" t="s">
        <v>16494</v>
      </c>
      <c r="D33" s="1090" t="s">
        <v>16494</v>
      </c>
      <c r="E33" s="1090" t="s">
        <v>16494</v>
      </c>
      <c r="F33" s="1090" t="s">
        <v>16494</v>
      </c>
      <c r="G33" s="1090" t="s">
        <v>16494</v>
      </c>
      <c r="H33" s="1090" t="s">
        <v>16494</v>
      </c>
      <c r="I33" s="1090" t="s">
        <v>16494</v>
      </c>
      <c r="J33" s="1090" t="s">
        <v>16494</v>
      </c>
      <c r="K33" s="1090" t="s">
        <v>16494</v>
      </c>
      <c r="L33" s="1088"/>
    </row>
    <row r="34" spans="1:12" ht="21">
      <c r="A34" s="1087" t="s">
        <v>16489</v>
      </c>
      <c r="B34" s="1091">
        <v>11</v>
      </c>
      <c r="C34" s="1091">
        <v>12</v>
      </c>
      <c r="D34" s="1091">
        <v>13</v>
      </c>
      <c r="E34" s="1091">
        <v>14</v>
      </c>
      <c r="F34" s="1091">
        <v>15</v>
      </c>
      <c r="G34" s="1091">
        <v>16</v>
      </c>
      <c r="H34" s="1091">
        <v>17</v>
      </c>
      <c r="I34" s="1091">
        <v>18</v>
      </c>
      <c r="J34" s="1091">
        <v>19</v>
      </c>
      <c r="K34" s="1091">
        <v>20</v>
      </c>
      <c r="L34" s="1088"/>
    </row>
    <row r="35" spans="1:12" ht="18">
      <c r="A35" s="1092" t="s">
        <v>16490</v>
      </c>
      <c r="B35" s="1093"/>
      <c r="C35" s="1093"/>
      <c r="D35" s="1093"/>
      <c r="E35" s="1093"/>
      <c r="F35" s="1093"/>
      <c r="G35" s="1093"/>
      <c r="H35" s="1093"/>
      <c r="I35" s="1093"/>
      <c r="J35" s="1093"/>
      <c r="K35" s="1093"/>
      <c r="L35" s="1088"/>
    </row>
    <row r="36" spans="1:12" ht="18">
      <c r="A36" s="1087" t="s">
        <v>5725</v>
      </c>
      <c r="B36" s="1094"/>
      <c r="C36" s="1094"/>
      <c r="D36" s="1094"/>
      <c r="E36" s="1094"/>
      <c r="F36" s="1094"/>
      <c r="G36" s="1094"/>
      <c r="H36" s="1094"/>
      <c r="I36" s="1094"/>
      <c r="J36" s="1094"/>
      <c r="K36" s="1094"/>
      <c r="L36" s="1088"/>
    </row>
    <row r="37" spans="1:12" ht="18">
      <c r="A37" s="1087" t="s">
        <v>16491</v>
      </c>
      <c r="B37" s="1095"/>
      <c r="C37" s="1095"/>
      <c r="D37" s="1095"/>
      <c r="E37" s="1095"/>
      <c r="F37" s="1095"/>
      <c r="G37" s="1095"/>
      <c r="H37" s="1095"/>
      <c r="I37" s="1095"/>
      <c r="J37" s="1095"/>
      <c r="K37" s="1095"/>
      <c r="L37" s="1088"/>
    </row>
    <row r="38" spans="1:12" ht="18">
      <c r="A38" s="1087"/>
      <c r="B38" s="1089"/>
      <c r="C38" s="1089"/>
      <c r="D38" s="1089"/>
      <c r="E38" s="1089"/>
      <c r="F38" s="1089"/>
      <c r="G38" s="1089"/>
      <c r="H38" s="1089"/>
      <c r="I38" s="1089"/>
      <c r="J38" s="1089"/>
      <c r="K38" s="1089"/>
      <c r="L38" s="1088"/>
    </row>
    <row r="39" spans="1:12" ht="21">
      <c r="A39" s="1087" t="s">
        <v>16487</v>
      </c>
      <c r="B39" s="1090" t="s">
        <v>16494</v>
      </c>
      <c r="C39" s="1090" t="s">
        <v>16494</v>
      </c>
      <c r="D39" s="1090" t="s">
        <v>16494</v>
      </c>
      <c r="E39" s="1090" t="s">
        <v>16494</v>
      </c>
      <c r="F39" s="1090" t="s">
        <v>16494</v>
      </c>
      <c r="G39" s="1090" t="s">
        <v>16494</v>
      </c>
      <c r="H39" s="1090" t="s">
        <v>16494</v>
      </c>
      <c r="I39" s="1090" t="s">
        <v>16494</v>
      </c>
      <c r="J39" s="1090" t="s">
        <v>16494</v>
      </c>
      <c r="K39" s="1090" t="s">
        <v>16494</v>
      </c>
      <c r="L39" s="1088"/>
    </row>
    <row r="40" spans="1:12" ht="21">
      <c r="A40" s="1087" t="s">
        <v>16489</v>
      </c>
      <c r="B40" s="1091">
        <v>21</v>
      </c>
      <c r="C40" s="1091">
        <v>22</v>
      </c>
      <c r="D40" s="1091">
        <v>23</v>
      </c>
      <c r="E40" s="1091">
        <v>24</v>
      </c>
      <c r="F40" s="1091">
        <v>25</v>
      </c>
      <c r="G40" s="1091">
        <v>26</v>
      </c>
      <c r="H40" s="1091">
        <v>27</v>
      </c>
      <c r="I40" s="1091">
        <v>28</v>
      </c>
      <c r="J40" s="1091">
        <v>29</v>
      </c>
      <c r="K40" s="1091">
        <v>30</v>
      </c>
      <c r="L40" s="1088"/>
    </row>
    <row r="41" spans="1:12" ht="18">
      <c r="A41" s="1092" t="s">
        <v>16490</v>
      </c>
      <c r="B41" s="1093"/>
      <c r="C41" s="1093"/>
      <c r="D41" s="1093"/>
      <c r="E41" s="1093"/>
      <c r="F41" s="1093"/>
      <c r="G41" s="1093"/>
      <c r="H41" s="1093"/>
      <c r="I41" s="1093"/>
      <c r="J41" s="1093"/>
      <c r="K41" s="1093"/>
      <c r="L41" s="1088"/>
    </row>
    <row r="42" spans="1:12" ht="18">
      <c r="A42" s="1087" t="s">
        <v>5725</v>
      </c>
      <c r="B42" s="1094"/>
      <c r="C42" s="1094"/>
      <c r="D42" s="1094"/>
      <c r="E42" s="1094"/>
      <c r="F42" s="1094"/>
      <c r="G42" s="1094"/>
      <c r="H42" s="1094"/>
      <c r="I42" s="1094"/>
      <c r="J42" s="1094"/>
      <c r="K42" s="1094"/>
      <c r="L42" s="1088"/>
    </row>
    <row r="43" spans="1:12" ht="18">
      <c r="A43" s="1087" t="s">
        <v>16491</v>
      </c>
      <c r="B43" s="1095"/>
      <c r="C43" s="1095"/>
      <c r="D43" s="1095"/>
      <c r="E43" s="1095"/>
      <c r="F43" s="1095"/>
      <c r="G43" s="1095"/>
      <c r="H43" s="1095"/>
      <c r="I43" s="1095"/>
      <c r="J43" s="1095"/>
      <c r="K43" s="1095"/>
      <c r="L43" s="1088"/>
    </row>
    <row r="44" spans="1:12" ht="18">
      <c r="A44" s="1087"/>
      <c r="B44" s="1089"/>
      <c r="C44" s="1089"/>
      <c r="D44" s="1089"/>
      <c r="E44" s="1089"/>
      <c r="F44" s="1089"/>
      <c r="G44" s="1089"/>
      <c r="H44" s="1089"/>
      <c r="I44" s="1089"/>
      <c r="J44" s="1089"/>
      <c r="K44" s="1089"/>
      <c r="L44" s="1088"/>
    </row>
    <row r="45" spans="1:12" ht="21">
      <c r="A45" s="1087" t="s">
        <v>16487</v>
      </c>
      <c r="B45" s="1090" t="s">
        <v>16495</v>
      </c>
      <c r="C45" s="1090" t="s">
        <v>16495</v>
      </c>
      <c r="D45" s="1090" t="s">
        <v>16495</v>
      </c>
      <c r="E45" s="1090" t="s">
        <v>16495</v>
      </c>
      <c r="F45" s="1090" t="s">
        <v>16495</v>
      </c>
      <c r="G45" s="1090" t="s">
        <v>16495</v>
      </c>
      <c r="H45" s="1090" t="s">
        <v>16495</v>
      </c>
      <c r="I45" s="1090" t="s">
        <v>16495</v>
      </c>
      <c r="J45" s="1090" t="s">
        <v>16495</v>
      </c>
      <c r="K45" s="1090" t="s">
        <v>16495</v>
      </c>
      <c r="L45" s="1088"/>
    </row>
    <row r="46" spans="1:12" ht="21">
      <c r="A46" s="1087" t="s">
        <v>16489</v>
      </c>
      <c r="B46" s="1091">
        <v>1</v>
      </c>
      <c r="C46" s="1091">
        <v>2</v>
      </c>
      <c r="D46" s="1091">
        <v>3</v>
      </c>
      <c r="E46" s="1091">
        <v>4</v>
      </c>
      <c r="F46" s="1091">
        <v>5</v>
      </c>
      <c r="G46" s="1091">
        <v>6</v>
      </c>
      <c r="H46" s="1091">
        <v>7</v>
      </c>
      <c r="I46" s="1091">
        <v>8</v>
      </c>
      <c r="J46" s="1091">
        <v>9</v>
      </c>
      <c r="K46" s="1091">
        <v>10</v>
      </c>
      <c r="L46" s="1088"/>
    </row>
    <row r="47" spans="1:12" ht="18">
      <c r="A47" s="1092" t="s">
        <v>16490</v>
      </c>
      <c r="B47" s="1093"/>
      <c r="C47" s="1093"/>
      <c r="D47" s="1093"/>
      <c r="E47" s="1093"/>
      <c r="F47" s="1093"/>
      <c r="G47" s="1093"/>
      <c r="H47" s="1093"/>
      <c r="I47" s="1093"/>
      <c r="J47" s="1093"/>
      <c r="K47" s="1093"/>
      <c r="L47" s="1088"/>
    </row>
    <row r="48" spans="1:12" ht="18">
      <c r="A48" s="1087" t="s">
        <v>5725</v>
      </c>
      <c r="B48" s="1094"/>
      <c r="C48" s="1094"/>
      <c r="D48" s="1094"/>
      <c r="E48" s="1094"/>
      <c r="F48" s="1094"/>
      <c r="G48" s="1094"/>
      <c r="H48" s="1094"/>
      <c r="I48" s="1094"/>
      <c r="J48" s="1094"/>
      <c r="K48" s="1094"/>
      <c r="L48" s="1088"/>
    </row>
    <row r="49" spans="1:12" ht="18">
      <c r="A49" s="1087" t="s">
        <v>16491</v>
      </c>
      <c r="B49" s="1095"/>
      <c r="C49" s="1095"/>
      <c r="D49" s="1095"/>
      <c r="E49" s="1095"/>
      <c r="F49" s="1095"/>
      <c r="G49" s="1095"/>
      <c r="H49" s="1095"/>
      <c r="I49" s="1095"/>
      <c r="J49" s="1095"/>
      <c r="K49" s="1095"/>
      <c r="L49" s="1088"/>
    </row>
    <row r="50" spans="1:12" ht="18">
      <c r="A50" s="1087"/>
      <c r="B50" s="1089"/>
      <c r="C50" s="1089"/>
      <c r="D50" s="1089"/>
      <c r="E50" s="1089"/>
      <c r="F50" s="1089"/>
      <c r="G50" s="1089"/>
      <c r="H50" s="1089"/>
      <c r="I50" s="1089"/>
      <c r="J50" s="1089"/>
      <c r="K50" s="1089"/>
      <c r="L50" s="1088"/>
    </row>
    <row r="51" spans="1:12" ht="21">
      <c r="A51" s="1087" t="s">
        <v>16487</v>
      </c>
      <c r="B51" s="1090" t="s">
        <v>16495</v>
      </c>
      <c r="C51" s="1090" t="s">
        <v>16495</v>
      </c>
      <c r="D51" s="1090" t="s">
        <v>16495</v>
      </c>
      <c r="E51" s="1090" t="s">
        <v>16495</v>
      </c>
      <c r="F51" s="1090" t="s">
        <v>16495</v>
      </c>
      <c r="G51" s="1090" t="s">
        <v>16495</v>
      </c>
      <c r="H51" s="1090" t="s">
        <v>16495</v>
      </c>
      <c r="I51" s="1090" t="s">
        <v>16495</v>
      </c>
      <c r="J51" s="1090" t="s">
        <v>16495</v>
      </c>
      <c r="K51" s="1090" t="s">
        <v>16495</v>
      </c>
      <c r="L51" s="1088"/>
    </row>
    <row r="52" spans="1:12" ht="21">
      <c r="A52" s="1087" t="s">
        <v>16489</v>
      </c>
      <c r="B52" s="1091">
        <v>11</v>
      </c>
      <c r="C52" s="1091">
        <v>12</v>
      </c>
      <c r="D52" s="1091">
        <v>13</v>
      </c>
      <c r="E52" s="1091">
        <v>14</v>
      </c>
      <c r="F52" s="1091">
        <v>15</v>
      </c>
      <c r="G52" s="1091">
        <v>16</v>
      </c>
      <c r="H52" s="1091">
        <v>17</v>
      </c>
      <c r="I52" s="1091">
        <v>18</v>
      </c>
      <c r="J52" s="1091">
        <v>19</v>
      </c>
      <c r="K52" s="1091">
        <v>20</v>
      </c>
      <c r="L52" s="1088"/>
    </row>
    <row r="53" spans="1:12" ht="18">
      <c r="A53" s="1092" t="s">
        <v>16490</v>
      </c>
      <c r="B53" s="1093"/>
      <c r="C53" s="1093"/>
      <c r="D53" s="1093"/>
      <c r="E53" s="1093"/>
      <c r="F53" s="1093"/>
      <c r="G53" s="1093"/>
      <c r="H53" s="1093"/>
      <c r="I53" s="1093"/>
      <c r="J53" s="1093"/>
      <c r="K53" s="1093"/>
      <c r="L53" s="1088"/>
    </row>
    <row r="54" spans="1:12" ht="18">
      <c r="A54" s="1087" t="s">
        <v>5725</v>
      </c>
      <c r="B54" s="1094"/>
      <c r="C54" s="1094"/>
      <c r="D54" s="1094"/>
      <c r="E54" s="1094"/>
      <c r="F54" s="1094"/>
      <c r="G54" s="1094"/>
      <c r="H54" s="1094"/>
      <c r="I54" s="1094"/>
      <c r="J54" s="1094"/>
      <c r="K54" s="1094"/>
      <c r="L54" s="1088"/>
    </row>
    <row r="55" spans="1:12" ht="18">
      <c r="A55" s="1087" t="s">
        <v>16491</v>
      </c>
      <c r="B55" s="1095"/>
      <c r="C55" s="1095"/>
      <c r="D55" s="1095"/>
      <c r="E55" s="1095"/>
      <c r="F55" s="1095"/>
      <c r="G55" s="1095"/>
      <c r="H55" s="1095"/>
      <c r="I55" s="1095"/>
      <c r="J55" s="1095"/>
      <c r="K55" s="1095"/>
      <c r="L55" s="1088"/>
    </row>
    <row r="56" spans="1:12" ht="18">
      <c r="A56" s="1087"/>
      <c r="B56" s="1089"/>
      <c r="C56" s="1089"/>
      <c r="D56" s="1089"/>
      <c r="E56" s="1089"/>
      <c r="F56" s="1089"/>
      <c r="G56" s="1089"/>
      <c r="H56" s="1089"/>
      <c r="I56" s="1089"/>
      <c r="J56" s="1089"/>
      <c r="K56" s="1089"/>
      <c r="L56" s="1088"/>
    </row>
    <row r="57" spans="1:12" ht="21">
      <c r="A57" s="1087" t="s">
        <v>16487</v>
      </c>
      <c r="B57" s="1090" t="s">
        <v>16495</v>
      </c>
      <c r="C57" s="1090" t="s">
        <v>16495</v>
      </c>
      <c r="D57" s="1090" t="s">
        <v>16495</v>
      </c>
      <c r="E57" s="1090" t="s">
        <v>16495</v>
      </c>
      <c r="F57" s="1090" t="s">
        <v>16495</v>
      </c>
      <c r="G57" s="1090" t="s">
        <v>16495</v>
      </c>
      <c r="H57" s="1090" t="s">
        <v>16495</v>
      </c>
      <c r="I57" s="1090" t="s">
        <v>16495</v>
      </c>
      <c r="J57" s="1090" t="s">
        <v>16495</v>
      </c>
      <c r="K57" s="1090" t="s">
        <v>16495</v>
      </c>
      <c r="L57" s="1088"/>
    </row>
    <row r="58" spans="1:12" ht="21">
      <c r="A58" s="1087" t="s">
        <v>16489</v>
      </c>
      <c r="B58" s="1091">
        <v>21</v>
      </c>
      <c r="C58" s="1091">
        <v>22</v>
      </c>
      <c r="D58" s="1091">
        <v>23</v>
      </c>
      <c r="E58" s="1091">
        <v>24</v>
      </c>
      <c r="F58" s="1091">
        <v>25</v>
      </c>
      <c r="G58" s="1091">
        <v>26</v>
      </c>
      <c r="H58" s="1091">
        <v>27</v>
      </c>
      <c r="I58" s="1091">
        <v>28</v>
      </c>
      <c r="J58" s="1091">
        <v>29</v>
      </c>
      <c r="K58" s="1091">
        <v>30</v>
      </c>
      <c r="L58" s="1088"/>
    </row>
    <row r="59" spans="1:12" ht="18">
      <c r="A59" s="1092" t="s">
        <v>16490</v>
      </c>
      <c r="B59" s="1093"/>
      <c r="C59" s="1093"/>
      <c r="D59" s="1093"/>
      <c r="E59" s="1093"/>
      <c r="F59" s="1093"/>
      <c r="G59" s="1093"/>
      <c r="H59" s="1093"/>
      <c r="I59" s="1093"/>
      <c r="J59" s="1093"/>
      <c r="K59" s="1093"/>
      <c r="L59" s="1088"/>
    </row>
    <row r="60" spans="1:12" ht="18">
      <c r="A60" s="1087" t="s">
        <v>5725</v>
      </c>
      <c r="B60" s="1094"/>
      <c r="C60" s="1094"/>
      <c r="D60" s="1094"/>
      <c r="E60" s="1094"/>
      <c r="F60" s="1094"/>
      <c r="G60" s="1094"/>
      <c r="H60" s="1094"/>
      <c r="I60" s="1094"/>
      <c r="J60" s="1094"/>
      <c r="K60" s="1094"/>
      <c r="L60" s="1088"/>
    </row>
    <row r="61" spans="1:12" ht="18">
      <c r="A61" s="1087" t="s">
        <v>16491</v>
      </c>
      <c r="B61" s="1095"/>
      <c r="C61" s="1095"/>
      <c r="D61" s="1095"/>
      <c r="E61" s="1095"/>
      <c r="F61" s="1095"/>
      <c r="G61" s="1095"/>
      <c r="H61" s="1095"/>
      <c r="I61" s="1095"/>
      <c r="J61" s="1095"/>
      <c r="K61" s="1095"/>
      <c r="L61" s="1088"/>
    </row>
    <row r="62" spans="1:12" ht="18">
      <c r="A62" s="1087"/>
      <c r="B62" s="1089"/>
      <c r="C62" s="1089"/>
      <c r="D62" s="1089"/>
      <c r="E62" s="1089"/>
      <c r="F62" s="1089"/>
      <c r="G62" s="1089"/>
      <c r="H62" s="1089"/>
      <c r="I62" s="1089"/>
      <c r="J62" s="1089"/>
      <c r="K62" s="1089"/>
      <c r="L62" s="1088"/>
    </row>
    <row r="63" spans="1:12" ht="21">
      <c r="A63" s="1087" t="s">
        <v>16487</v>
      </c>
      <c r="B63" s="1090" t="s">
        <v>16496</v>
      </c>
      <c r="C63" s="1090" t="s">
        <v>16496</v>
      </c>
      <c r="D63" s="1090" t="s">
        <v>16496</v>
      </c>
      <c r="E63" s="1090" t="s">
        <v>16496</v>
      </c>
      <c r="F63" s="1090" t="s">
        <v>16496</v>
      </c>
      <c r="G63" s="1090" t="s">
        <v>16496</v>
      </c>
      <c r="H63" s="1090" t="s">
        <v>16496</v>
      </c>
      <c r="I63" s="1090" t="s">
        <v>16496</v>
      </c>
      <c r="J63" s="1090" t="s">
        <v>16496</v>
      </c>
      <c r="K63" s="1090" t="s">
        <v>16496</v>
      </c>
      <c r="L63" s="1088"/>
    </row>
    <row r="64" spans="1:12" ht="21">
      <c r="A64" s="1087" t="s">
        <v>16489</v>
      </c>
      <c r="B64" s="1091">
        <v>1</v>
      </c>
      <c r="C64" s="1091">
        <v>2</v>
      </c>
      <c r="D64" s="1091">
        <v>3</v>
      </c>
      <c r="E64" s="1091">
        <v>4</v>
      </c>
      <c r="F64" s="1091">
        <v>5</v>
      </c>
      <c r="G64" s="1091">
        <v>6</v>
      </c>
      <c r="H64" s="1091">
        <v>7</v>
      </c>
      <c r="I64" s="1091">
        <v>8</v>
      </c>
      <c r="J64" s="1091">
        <v>9</v>
      </c>
      <c r="K64" s="1091">
        <v>10</v>
      </c>
      <c r="L64" s="1088"/>
    </row>
    <row r="65" spans="1:12" ht="18">
      <c r="A65" s="1092" t="s">
        <v>16490</v>
      </c>
      <c r="B65" s="1093"/>
      <c r="C65" s="1093"/>
      <c r="D65" s="1093"/>
      <c r="E65" s="1093"/>
      <c r="F65" s="1093"/>
      <c r="G65" s="1093"/>
      <c r="H65" s="1093"/>
      <c r="I65" s="1093"/>
      <c r="J65" s="1093"/>
      <c r="K65" s="1093"/>
      <c r="L65" s="1088"/>
    </row>
    <row r="66" spans="1:12" ht="18">
      <c r="A66" s="1087" t="s">
        <v>5725</v>
      </c>
      <c r="B66" s="1094"/>
      <c r="C66" s="1094"/>
      <c r="D66" s="1094"/>
      <c r="E66" s="1094"/>
      <c r="F66" s="1094"/>
      <c r="G66" s="1094"/>
      <c r="H66" s="1094"/>
      <c r="I66" s="1094"/>
      <c r="J66" s="1094"/>
      <c r="K66" s="1094"/>
      <c r="L66" s="1088"/>
    </row>
    <row r="67" spans="1:12" ht="18">
      <c r="A67" s="1087" t="s">
        <v>16491</v>
      </c>
      <c r="B67" s="1095"/>
      <c r="C67" s="1095"/>
      <c r="D67" s="1095"/>
      <c r="E67" s="1095"/>
      <c r="F67" s="1095"/>
      <c r="G67" s="1095"/>
      <c r="H67" s="1095"/>
      <c r="I67" s="1095"/>
      <c r="J67" s="1095"/>
      <c r="K67" s="1095"/>
      <c r="L67" s="1088"/>
    </row>
    <row r="68" spans="1:12" ht="18">
      <c r="A68" s="1087"/>
      <c r="B68" s="1089"/>
      <c r="C68" s="1089"/>
      <c r="D68" s="1089"/>
      <c r="E68" s="1089"/>
      <c r="F68" s="1089"/>
      <c r="G68" s="1089"/>
      <c r="H68" s="1089"/>
      <c r="I68" s="1089"/>
      <c r="J68" s="1089"/>
      <c r="K68" s="1089"/>
      <c r="L68" s="1088"/>
    </row>
    <row r="69" spans="1:12" ht="21">
      <c r="A69" s="1087" t="s">
        <v>16487</v>
      </c>
      <c r="B69" s="1090" t="s">
        <v>16496</v>
      </c>
      <c r="C69" s="1090" t="s">
        <v>16496</v>
      </c>
      <c r="D69" s="1090" t="s">
        <v>16496</v>
      </c>
      <c r="E69" s="1090" t="s">
        <v>16496</v>
      </c>
      <c r="F69" s="1090" t="s">
        <v>16496</v>
      </c>
      <c r="G69" s="1090" t="s">
        <v>16496</v>
      </c>
      <c r="H69" s="1090" t="s">
        <v>16496</v>
      </c>
      <c r="I69" s="1090" t="s">
        <v>16496</v>
      </c>
      <c r="J69" s="1090" t="s">
        <v>16496</v>
      </c>
      <c r="K69" s="1090" t="s">
        <v>16496</v>
      </c>
      <c r="L69" s="1088"/>
    </row>
    <row r="70" spans="1:12" ht="21">
      <c r="A70" s="1087" t="s">
        <v>16489</v>
      </c>
      <c r="B70" s="1091">
        <v>11</v>
      </c>
      <c r="C70" s="1091">
        <v>12</v>
      </c>
      <c r="D70" s="1091">
        <v>13</v>
      </c>
      <c r="E70" s="1091">
        <v>14</v>
      </c>
      <c r="F70" s="1091">
        <v>15</v>
      </c>
      <c r="G70" s="1091">
        <v>16</v>
      </c>
      <c r="H70" s="1091">
        <v>17</v>
      </c>
      <c r="I70" s="1091">
        <v>18</v>
      </c>
      <c r="J70" s="1091">
        <v>19</v>
      </c>
      <c r="K70" s="1091">
        <v>20</v>
      </c>
      <c r="L70" s="1088"/>
    </row>
    <row r="71" spans="1:12" ht="18">
      <c r="A71" s="1092" t="s">
        <v>16490</v>
      </c>
      <c r="B71" s="1093"/>
      <c r="C71" s="1093"/>
      <c r="D71" s="1093"/>
      <c r="E71" s="1093"/>
      <c r="F71" s="1093"/>
      <c r="G71" s="1093"/>
      <c r="H71" s="1093"/>
      <c r="I71" s="1093"/>
      <c r="J71" s="1093"/>
      <c r="K71" s="1093"/>
      <c r="L71" s="1088"/>
    </row>
    <row r="72" spans="1:12" ht="18">
      <c r="A72" s="1087" t="s">
        <v>5725</v>
      </c>
      <c r="B72" s="1094"/>
      <c r="C72" s="1094"/>
      <c r="D72" s="1094"/>
      <c r="E72" s="1094"/>
      <c r="F72" s="1094"/>
      <c r="G72" s="1094"/>
      <c r="H72" s="1094"/>
      <c r="I72" s="1094"/>
      <c r="J72" s="1094"/>
      <c r="K72" s="1094"/>
      <c r="L72" s="1088"/>
    </row>
    <row r="73" spans="1:12" ht="18">
      <c r="A73" s="1087" t="s">
        <v>16491</v>
      </c>
      <c r="B73" s="1095"/>
      <c r="C73" s="1095"/>
      <c r="D73" s="1095"/>
      <c r="E73" s="1095"/>
      <c r="F73" s="1095"/>
      <c r="G73" s="1095" t="s">
        <v>16497</v>
      </c>
      <c r="H73" s="1095"/>
      <c r="I73" s="1095"/>
      <c r="J73" s="1095"/>
      <c r="K73" s="1095"/>
      <c r="L73" s="1088"/>
    </row>
    <row r="74" spans="1:12" ht="18">
      <c r="A74" s="1087"/>
      <c r="B74" s="1089"/>
      <c r="C74" s="1089"/>
      <c r="D74" s="1089"/>
      <c r="E74" s="1089"/>
      <c r="F74" s="1089"/>
      <c r="G74" s="1089"/>
      <c r="H74" s="1089"/>
      <c r="I74" s="1089"/>
      <c r="J74" s="1089"/>
      <c r="K74" s="1089"/>
      <c r="L74" s="1088"/>
    </row>
    <row r="75" spans="1:12" ht="21">
      <c r="A75" s="1087" t="s">
        <v>16487</v>
      </c>
      <c r="B75" s="1090" t="s">
        <v>16496</v>
      </c>
      <c r="C75" s="1090" t="s">
        <v>16496</v>
      </c>
      <c r="D75" s="1090" t="s">
        <v>16496</v>
      </c>
      <c r="E75" s="1090" t="s">
        <v>16496</v>
      </c>
      <c r="F75" s="1090" t="s">
        <v>16496</v>
      </c>
      <c r="G75" s="1090" t="s">
        <v>16496</v>
      </c>
      <c r="H75" s="1090" t="s">
        <v>16496</v>
      </c>
      <c r="I75" s="1090" t="s">
        <v>16496</v>
      </c>
      <c r="J75" s="1090" t="s">
        <v>16496</v>
      </c>
      <c r="K75" s="1090" t="s">
        <v>16496</v>
      </c>
      <c r="L75" s="1088"/>
    </row>
    <row r="76" spans="1:12" ht="21">
      <c r="A76" s="1087" t="s">
        <v>16489</v>
      </c>
      <c r="B76" s="1091">
        <v>21</v>
      </c>
      <c r="C76" s="1091">
        <v>22</v>
      </c>
      <c r="D76" s="1091">
        <v>23</v>
      </c>
      <c r="E76" s="1091">
        <v>24</v>
      </c>
      <c r="F76" s="1091">
        <v>25</v>
      </c>
      <c r="G76" s="1091">
        <v>26</v>
      </c>
      <c r="H76" s="1091">
        <v>27</v>
      </c>
      <c r="I76" s="1091">
        <v>28</v>
      </c>
      <c r="J76" s="1091">
        <v>29</v>
      </c>
      <c r="K76" s="1091">
        <v>30</v>
      </c>
      <c r="L76" s="1088"/>
    </row>
    <row r="77" spans="1:12" ht="18">
      <c r="A77" s="1092" t="s">
        <v>16490</v>
      </c>
      <c r="B77" s="1093"/>
      <c r="C77" s="1093"/>
      <c r="D77" s="1093"/>
      <c r="E77" s="1093"/>
      <c r="F77" s="1093"/>
      <c r="G77" s="1093"/>
      <c r="H77" s="1093"/>
      <c r="I77" s="1093"/>
      <c r="J77" s="1093"/>
      <c r="K77" s="1093"/>
      <c r="L77" s="1088"/>
    </row>
    <row r="78" spans="1:12" ht="18">
      <c r="A78" s="1087" t="s">
        <v>5725</v>
      </c>
      <c r="B78" s="1094"/>
      <c r="C78" s="1094"/>
      <c r="D78" s="1094"/>
      <c r="E78" s="1094"/>
      <c r="F78" s="1094"/>
      <c r="G78" s="1094"/>
      <c r="H78" s="1094"/>
      <c r="I78" s="1094"/>
      <c r="J78" s="1094"/>
      <c r="K78" s="1094"/>
      <c r="L78" s="1088"/>
    </row>
    <row r="79" spans="1:12" ht="18">
      <c r="A79" s="1087" t="s">
        <v>16491</v>
      </c>
      <c r="B79" s="1095"/>
      <c r="C79" s="1095"/>
      <c r="D79" s="1095"/>
      <c r="E79" s="1095"/>
      <c r="F79" s="1095"/>
      <c r="G79" s="1095"/>
      <c r="H79" s="1095"/>
      <c r="I79" s="1095"/>
      <c r="J79" s="1095"/>
      <c r="K79" s="1095"/>
      <c r="L79" s="1088"/>
    </row>
    <row r="80" spans="1:12" ht="18">
      <c r="A80" s="1087"/>
      <c r="B80" s="1089"/>
      <c r="C80" s="1089"/>
      <c r="D80" s="1089"/>
      <c r="E80" s="1089"/>
      <c r="F80" s="1089"/>
      <c r="G80" s="1089"/>
      <c r="H80" s="1089"/>
      <c r="I80" s="1089"/>
      <c r="J80" s="1089"/>
      <c r="K80" s="1089"/>
      <c r="L80" s="1088"/>
    </row>
    <row r="81" spans="1:12" ht="21">
      <c r="A81" s="1087" t="s">
        <v>16487</v>
      </c>
      <c r="B81" s="1096" t="s">
        <v>16498</v>
      </c>
      <c r="C81" s="1097"/>
      <c r="D81" s="1097"/>
      <c r="E81" s="1097"/>
      <c r="F81" s="1097"/>
      <c r="G81" s="1097"/>
      <c r="H81" s="1097"/>
      <c r="I81" s="1097"/>
      <c r="J81" s="1097"/>
      <c r="K81" s="1097"/>
      <c r="L81" s="1088"/>
    </row>
    <row r="82" spans="1:12" ht="21">
      <c r="A82" s="1087" t="s">
        <v>16489</v>
      </c>
      <c r="B82" s="1098" t="s">
        <v>16493</v>
      </c>
      <c r="C82" s="1097"/>
      <c r="D82" s="1097"/>
      <c r="E82" s="1097"/>
      <c r="F82" s="1097"/>
      <c r="G82" s="1097"/>
      <c r="H82" s="1097"/>
      <c r="I82" s="1097"/>
      <c r="J82" s="1097"/>
      <c r="K82" s="1097"/>
      <c r="L82" s="1088"/>
    </row>
    <row r="83" spans="1:12" ht="18">
      <c r="A83" s="1092" t="s">
        <v>16490</v>
      </c>
      <c r="B83" s="1093"/>
      <c r="C83" s="1099"/>
      <c r="D83" s="1099"/>
      <c r="E83" s="1099"/>
      <c r="F83" s="1099"/>
      <c r="G83" s="1099"/>
      <c r="H83" s="1099"/>
      <c r="I83" s="1099"/>
      <c r="J83" s="1099"/>
      <c r="K83" s="1099"/>
      <c r="L83" s="1088"/>
    </row>
    <row r="84" spans="1:12" ht="18">
      <c r="A84" s="1087" t="s">
        <v>5725</v>
      </c>
      <c r="B84" s="1094"/>
      <c r="C84" s="1087"/>
      <c r="D84" s="1087"/>
      <c r="E84" s="1087"/>
      <c r="F84" s="1087"/>
      <c r="G84" s="1087"/>
      <c r="H84" s="1087"/>
      <c r="I84" s="1087"/>
      <c r="J84" s="1087"/>
      <c r="K84" s="1087"/>
      <c r="L84" s="1088"/>
    </row>
    <row r="85" spans="1:12" ht="18">
      <c r="A85" s="1087" t="s">
        <v>16491</v>
      </c>
      <c r="B85" s="1095"/>
      <c r="C85" s="1087"/>
      <c r="D85" s="1087"/>
      <c r="E85" s="1087"/>
      <c r="F85" s="1087"/>
      <c r="G85" s="1087"/>
      <c r="H85" s="1087"/>
      <c r="I85" s="1087"/>
      <c r="J85" s="1087"/>
      <c r="K85" s="1087"/>
      <c r="L85" s="1088"/>
    </row>
    <row r="86" spans="1:12" ht="18">
      <c r="A86" s="1087"/>
      <c r="B86" s="1089"/>
      <c r="C86" s="1089"/>
      <c r="D86" s="1089"/>
      <c r="E86" s="1089"/>
      <c r="F86" s="1089"/>
      <c r="G86" s="1089"/>
      <c r="H86" s="1089"/>
      <c r="I86" s="1089"/>
      <c r="J86" s="1089"/>
      <c r="K86" s="1089"/>
      <c r="L86" s="1088"/>
    </row>
    <row r="87" spans="1:12" ht="21">
      <c r="A87" s="1087" t="s">
        <v>16487</v>
      </c>
      <c r="B87" s="1090" t="s">
        <v>16499</v>
      </c>
      <c r="C87" s="1090" t="s">
        <v>16499</v>
      </c>
      <c r="D87" s="1090" t="s">
        <v>16499</v>
      </c>
      <c r="E87" s="1090" t="s">
        <v>16499</v>
      </c>
      <c r="F87" s="1090" t="s">
        <v>16499</v>
      </c>
      <c r="G87" s="1090" t="s">
        <v>16499</v>
      </c>
      <c r="H87" s="1090" t="s">
        <v>16499</v>
      </c>
      <c r="I87" s="1090" t="s">
        <v>16499</v>
      </c>
      <c r="J87" s="1090" t="s">
        <v>16499</v>
      </c>
      <c r="K87" s="1090" t="s">
        <v>16499</v>
      </c>
      <c r="L87" s="1088"/>
    </row>
    <row r="88" spans="1:12" ht="21">
      <c r="A88" s="1087" t="s">
        <v>16489</v>
      </c>
      <c r="B88" s="1091">
        <v>1</v>
      </c>
      <c r="C88" s="1091">
        <v>2</v>
      </c>
      <c r="D88" s="1091">
        <v>3</v>
      </c>
      <c r="E88" s="1091">
        <v>4</v>
      </c>
      <c r="F88" s="1091">
        <v>5</v>
      </c>
      <c r="G88" s="1091">
        <v>6</v>
      </c>
      <c r="H88" s="1091">
        <v>7</v>
      </c>
      <c r="I88" s="1091">
        <v>8</v>
      </c>
      <c r="J88" s="1091">
        <v>9</v>
      </c>
      <c r="K88" s="1091">
        <v>10</v>
      </c>
      <c r="L88" s="1088"/>
    </row>
    <row r="89" spans="1:12" ht="18">
      <c r="A89" s="1092" t="s">
        <v>16490</v>
      </c>
      <c r="B89" s="1093"/>
      <c r="C89" s="1093"/>
      <c r="D89" s="1093"/>
      <c r="E89" s="1093"/>
      <c r="F89" s="1093"/>
      <c r="G89" s="1093"/>
      <c r="H89" s="1093"/>
      <c r="I89" s="1093"/>
      <c r="J89" s="1093"/>
      <c r="K89" s="1093"/>
      <c r="L89" s="1088"/>
    </row>
    <row r="90" spans="1:12" ht="18">
      <c r="A90" s="1087" t="s">
        <v>5725</v>
      </c>
      <c r="B90" s="1094"/>
      <c r="C90" s="1094"/>
      <c r="D90" s="1094"/>
      <c r="E90" s="1094"/>
      <c r="F90" s="1094"/>
      <c r="G90" s="1094"/>
      <c r="H90" s="1094"/>
      <c r="I90" s="1094"/>
      <c r="J90" s="1094"/>
      <c r="K90" s="1094"/>
      <c r="L90" s="1088"/>
    </row>
    <row r="91" spans="1:12" ht="18">
      <c r="A91" s="1087" t="s">
        <v>16491</v>
      </c>
      <c r="B91" s="1095"/>
      <c r="C91" s="1095"/>
      <c r="D91" s="1095"/>
      <c r="E91" s="1095"/>
      <c r="F91" s="1095"/>
      <c r="G91" s="1095"/>
      <c r="H91" s="1095"/>
      <c r="I91" s="1095"/>
      <c r="J91" s="1095"/>
      <c r="K91" s="1095"/>
      <c r="L91" s="1088"/>
    </row>
    <row r="92" spans="1:12" ht="18">
      <c r="A92" s="1087"/>
      <c r="B92" s="1089"/>
      <c r="C92" s="1089"/>
      <c r="D92" s="1089"/>
      <c r="E92" s="1089"/>
      <c r="F92" s="1089"/>
      <c r="G92" s="1089"/>
      <c r="H92" s="1089"/>
      <c r="I92" s="1089"/>
      <c r="J92" s="1089"/>
      <c r="K92" s="1089"/>
      <c r="L92" s="1088"/>
    </row>
    <row r="93" spans="1:12" ht="21">
      <c r="A93" s="1087" t="s">
        <v>16487</v>
      </c>
      <c r="B93" s="1090" t="s">
        <v>16499</v>
      </c>
      <c r="C93" s="1090" t="s">
        <v>16499</v>
      </c>
      <c r="D93" s="1090" t="s">
        <v>16499</v>
      </c>
      <c r="E93" s="1090" t="s">
        <v>16499</v>
      </c>
      <c r="F93" s="1090" t="s">
        <v>16499</v>
      </c>
      <c r="G93" s="1090" t="s">
        <v>16499</v>
      </c>
      <c r="H93" s="1090" t="s">
        <v>16499</v>
      </c>
      <c r="I93" s="1090" t="s">
        <v>16499</v>
      </c>
      <c r="J93" s="1090" t="s">
        <v>16499</v>
      </c>
      <c r="K93" s="1090" t="s">
        <v>16499</v>
      </c>
      <c r="L93" s="1088"/>
    </row>
    <row r="94" spans="1:12" ht="21">
      <c r="A94" s="1087" t="s">
        <v>16489</v>
      </c>
      <c r="B94" s="1091">
        <v>11</v>
      </c>
      <c r="C94" s="1091">
        <v>12</v>
      </c>
      <c r="D94" s="1091">
        <v>13</v>
      </c>
      <c r="E94" s="1091">
        <v>14</v>
      </c>
      <c r="F94" s="1091">
        <v>15</v>
      </c>
      <c r="G94" s="1091">
        <v>16</v>
      </c>
      <c r="H94" s="1091">
        <v>17</v>
      </c>
      <c r="I94" s="1091">
        <v>18</v>
      </c>
      <c r="J94" s="1091">
        <v>19</v>
      </c>
      <c r="K94" s="1091">
        <v>20</v>
      </c>
      <c r="L94" s="1088"/>
    </row>
    <row r="95" spans="1:12" ht="18">
      <c r="A95" s="1092" t="s">
        <v>16490</v>
      </c>
      <c r="B95" s="1093"/>
      <c r="C95" s="1093"/>
      <c r="D95" s="1093"/>
      <c r="E95" s="1093"/>
      <c r="F95" s="1093"/>
      <c r="G95" s="1093"/>
      <c r="H95" s="1093"/>
      <c r="I95" s="1093"/>
      <c r="J95" s="1093"/>
      <c r="K95" s="1093"/>
      <c r="L95" s="1088"/>
    </row>
    <row r="96" spans="1:12" ht="18">
      <c r="A96" s="1087" t="s">
        <v>5725</v>
      </c>
      <c r="B96" s="1094"/>
      <c r="C96" s="1094"/>
      <c r="D96" s="1094"/>
      <c r="E96" s="1094"/>
      <c r="F96" s="1094"/>
      <c r="G96" s="1094"/>
      <c r="H96" s="1094"/>
      <c r="I96" s="1094"/>
      <c r="J96" s="1094"/>
      <c r="K96" s="1094"/>
      <c r="L96" s="1088"/>
    </row>
    <row r="97" spans="1:12" ht="18">
      <c r="A97" s="1087" t="s">
        <v>16491</v>
      </c>
      <c r="B97" s="1095"/>
      <c r="C97" s="1095"/>
      <c r="D97" s="1095"/>
      <c r="E97" s="1095"/>
      <c r="F97" s="1095"/>
      <c r="G97" s="1095"/>
      <c r="H97" s="1095"/>
      <c r="I97" s="1095"/>
      <c r="J97" s="1095"/>
      <c r="K97" s="1095"/>
      <c r="L97" s="1088"/>
    </row>
    <row r="98" spans="1:12" ht="18">
      <c r="A98" s="1087"/>
      <c r="B98" s="1089"/>
      <c r="C98" s="1089"/>
      <c r="D98" s="1089"/>
      <c r="E98" s="1089"/>
      <c r="F98" s="1089"/>
      <c r="G98" s="1089"/>
      <c r="H98" s="1089"/>
      <c r="I98" s="1089"/>
      <c r="J98" s="1089"/>
      <c r="K98" s="1089"/>
      <c r="L98" s="1088"/>
    </row>
    <row r="99" spans="1:12" ht="21">
      <c r="A99" s="1087" t="s">
        <v>16487</v>
      </c>
      <c r="B99" s="1090" t="s">
        <v>16499</v>
      </c>
      <c r="C99" s="1090" t="s">
        <v>16499</v>
      </c>
      <c r="D99" s="1090" t="s">
        <v>16499</v>
      </c>
      <c r="E99" s="1090" t="s">
        <v>16499</v>
      </c>
      <c r="F99" s="1090" t="s">
        <v>16499</v>
      </c>
      <c r="G99" s="1090" t="s">
        <v>16499</v>
      </c>
      <c r="H99" s="1090" t="s">
        <v>16499</v>
      </c>
      <c r="I99" s="1090" t="s">
        <v>16499</v>
      </c>
      <c r="J99" s="1090" t="s">
        <v>16499</v>
      </c>
      <c r="K99" s="1090" t="s">
        <v>16499</v>
      </c>
      <c r="L99" s="1088"/>
    </row>
    <row r="100" spans="1:12" ht="21">
      <c r="A100" s="1087" t="s">
        <v>16489</v>
      </c>
      <c r="B100" s="1091">
        <v>21</v>
      </c>
      <c r="C100" s="1091">
        <v>22</v>
      </c>
      <c r="D100" s="1091">
        <v>23</v>
      </c>
      <c r="E100" s="1091">
        <v>24</v>
      </c>
      <c r="F100" s="1091">
        <v>25</v>
      </c>
      <c r="G100" s="1091">
        <v>26</v>
      </c>
      <c r="H100" s="1091">
        <v>27</v>
      </c>
      <c r="I100" s="1091">
        <v>28</v>
      </c>
      <c r="J100" s="1091">
        <v>29</v>
      </c>
      <c r="K100" s="1091">
        <v>30</v>
      </c>
      <c r="L100" s="1088"/>
    </row>
    <row r="101" spans="1:12" ht="18">
      <c r="A101" s="1092" t="s">
        <v>16490</v>
      </c>
      <c r="B101" s="1093"/>
      <c r="C101" s="1093"/>
      <c r="D101" s="1093"/>
      <c r="E101" s="1093"/>
      <c r="F101" s="1093"/>
      <c r="G101" s="1093"/>
      <c r="H101" s="1093"/>
      <c r="I101" s="1093"/>
      <c r="J101" s="1093"/>
      <c r="K101" s="1093"/>
      <c r="L101" s="1088"/>
    </row>
    <row r="102" spans="1:12" ht="18">
      <c r="A102" s="1087" t="s">
        <v>5725</v>
      </c>
      <c r="B102" s="1094"/>
      <c r="C102" s="1094"/>
      <c r="D102" s="1094"/>
      <c r="E102" s="1094"/>
      <c r="F102" s="1094"/>
      <c r="G102" s="1094"/>
      <c r="H102" s="1094"/>
      <c r="I102" s="1094"/>
      <c r="J102" s="1094"/>
      <c r="K102" s="1094"/>
      <c r="L102" s="1088"/>
    </row>
    <row r="103" spans="1:12" ht="18">
      <c r="A103" s="1087" t="s">
        <v>16491</v>
      </c>
      <c r="B103" s="1095"/>
      <c r="C103" s="1095"/>
      <c r="D103" s="1095"/>
      <c r="E103" s="1095"/>
      <c r="F103" s="1095"/>
      <c r="G103" s="1095"/>
      <c r="H103" s="1095"/>
      <c r="I103" s="1095"/>
      <c r="J103" s="1095"/>
      <c r="K103" s="1095"/>
      <c r="L103" s="1088"/>
    </row>
    <row r="104" spans="1:12" ht="18">
      <c r="A104" s="1087"/>
      <c r="B104" s="1089"/>
      <c r="C104" s="1089"/>
      <c r="D104" s="1089"/>
      <c r="E104" s="1089"/>
      <c r="F104" s="1089"/>
      <c r="G104" s="1089"/>
      <c r="H104" s="1089"/>
      <c r="I104" s="1089"/>
      <c r="J104" s="1089"/>
      <c r="K104" s="1089"/>
      <c r="L104" s="1088"/>
    </row>
    <row r="105" spans="1:12" ht="21">
      <c r="A105" s="1087" t="s">
        <v>16487</v>
      </c>
      <c r="B105" s="1090" t="s">
        <v>16500</v>
      </c>
      <c r="C105" s="1090" t="s">
        <v>16500</v>
      </c>
      <c r="D105" s="1090" t="s">
        <v>16500</v>
      </c>
      <c r="E105" s="1090" t="s">
        <v>16500</v>
      </c>
      <c r="F105" s="1090" t="s">
        <v>16500</v>
      </c>
      <c r="G105" s="1090" t="s">
        <v>16500</v>
      </c>
      <c r="H105" s="1090" t="s">
        <v>16500</v>
      </c>
      <c r="I105" s="1090" t="s">
        <v>16500</v>
      </c>
      <c r="J105" s="1090" t="s">
        <v>16500</v>
      </c>
      <c r="K105" s="1090" t="s">
        <v>16500</v>
      </c>
      <c r="L105" s="1088"/>
    </row>
    <row r="106" spans="1:12" ht="21">
      <c r="A106" s="1087" t="s">
        <v>16489</v>
      </c>
      <c r="B106" s="1091">
        <v>1</v>
      </c>
      <c r="C106" s="1091">
        <v>2</v>
      </c>
      <c r="D106" s="1091">
        <v>3</v>
      </c>
      <c r="E106" s="1091">
        <v>4</v>
      </c>
      <c r="F106" s="1091">
        <v>5</v>
      </c>
      <c r="G106" s="1091">
        <v>6</v>
      </c>
      <c r="H106" s="1091">
        <v>7</v>
      </c>
      <c r="I106" s="1091">
        <v>8</v>
      </c>
      <c r="J106" s="1091">
        <v>9</v>
      </c>
      <c r="K106" s="1091">
        <v>10</v>
      </c>
      <c r="L106" s="1088"/>
    </row>
    <row r="107" spans="1:12" ht="18">
      <c r="A107" s="1092" t="s">
        <v>16490</v>
      </c>
      <c r="B107" s="1093"/>
      <c r="C107" s="1093"/>
      <c r="D107" s="1093"/>
      <c r="E107" s="1093"/>
      <c r="F107" s="1093"/>
      <c r="G107" s="1093"/>
      <c r="H107" s="1093"/>
      <c r="I107" s="1093"/>
      <c r="J107" s="1093"/>
      <c r="K107" s="1093"/>
      <c r="L107" s="1088"/>
    </row>
    <row r="108" spans="1:12" ht="18">
      <c r="A108" s="1087" t="s">
        <v>5725</v>
      </c>
      <c r="B108" s="1094"/>
      <c r="C108" s="1094"/>
      <c r="D108" s="1094"/>
      <c r="E108" s="1094"/>
      <c r="F108" s="1094"/>
      <c r="G108" s="1094"/>
      <c r="H108" s="1094"/>
      <c r="I108" s="1094"/>
      <c r="J108" s="1094"/>
      <c r="K108" s="1094"/>
      <c r="L108" s="1088"/>
    </row>
    <row r="109" spans="1:12" ht="18">
      <c r="A109" s="1087" t="s">
        <v>16491</v>
      </c>
      <c r="B109" s="1095"/>
      <c r="C109" s="1095"/>
      <c r="D109" s="1095"/>
      <c r="E109" s="1095"/>
      <c r="F109" s="1095"/>
      <c r="G109" s="1095"/>
      <c r="H109" s="1095"/>
      <c r="I109" s="1095"/>
      <c r="J109" s="1095"/>
      <c r="K109" s="1095"/>
      <c r="L109" s="1088"/>
    </row>
    <row r="110" spans="1:12" ht="18">
      <c r="A110" s="1087"/>
      <c r="B110" s="1089"/>
      <c r="C110" s="1089"/>
      <c r="D110" s="1089"/>
      <c r="E110" s="1089"/>
      <c r="F110" s="1089"/>
      <c r="G110" s="1089"/>
      <c r="H110" s="1089"/>
      <c r="I110" s="1089"/>
      <c r="J110" s="1089"/>
      <c r="K110" s="1089"/>
      <c r="L110" s="1088"/>
    </row>
    <row r="111" spans="1:12" ht="21">
      <c r="A111" s="1087" t="s">
        <v>16487</v>
      </c>
      <c r="B111" s="1090" t="s">
        <v>16500</v>
      </c>
      <c r="C111" s="1090" t="s">
        <v>16500</v>
      </c>
      <c r="D111" s="1090" t="s">
        <v>16500</v>
      </c>
      <c r="E111" s="1090" t="s">
        <v>16500</v>
      </c>
      <c r="F111" s="1090" t="s">
        <v>16500</v>
      </c>
      <c r="G111" s="1090" t="s">
        <v>16500</v>
      </c>
      <c r="H111" s="1090" t="s">
        <v>16500</v>
      </c>
      <c r="I111" s="1090" t="s">
        <v>16500</v>
      </c>
      <c r="J111" s="1090" t="s">
        <v>16500</v>
      </c>
      <c r="K111" s="1090" t="s">
        <v>16500</v>
      </c>
      <c r="L111" s="1088"/>
    </row>
    <row r="112" spans="1:12" ht="21">
      <c r="A112" s="1087" t="s">
        <v>16489</v>
      </c>
      <c r="B112" s="1091">
        <v>11</v>
      </c>
      <c r="C112" s="1091">
        <v>12</v>
      </c>
      <c r="D112" s="1091">
        <v>13</v>
      </c>
      <c r="E112" s="1091">
        <v>14</v>
      </c>
      <c r="F112" s="1091">
        <v>15</v>
      </c>
      <c r="G112" s="1091">
        <v>16</v>
      </c>
      <c r="H112" s="1091">
        <v>17</v>
      </c>
      <c r="I112" s="1091">
        <v>18</v>
      </c>
      <c r="J112" s="1091">
        <v>19</v>
      </c>
      <c r="K112" s="1091">
        <v>20</v>
      </c>
      <c r="L112" s="1088"/>
    </row>
    <row r="113" spans="1:12" ht="18">
      <c r="A113" s="1092" t="s">
        <v>16490</v>
      </c>
      <c r="B113" s="1093"/>
      <c r="C113" s="1093"/>
      <c r="D113" s="1093"/>
      <c r="E113" s="1093"/>
      <c r="F113" s="1093"/>
      <c r="G113" s="1093"/>
      <c r="H113" s="1093"/>
      <c r="I113" s="1093"/>
      <c r="J113" s="1093"/>
      <c r="K113" s="1093"/>
      <c r="L113" s="1088"/>
    </row>
    <row r="114" spans="1:12" ht="18">
      <c r="A114" s="1087" t="s">
        <v>5725</v>
      </c>
      <c r="B114" s="1094"/>
      <c r="C114" s="1094"/>
      <c r="D114" s="1094"/>
      <c r="E114" s="1094"/>
      <c r="F114" s="1094"/>
      <c r="G114" s="1094"/>
      <c r="H114" s="1094"/>
      <c r="I114" s="1094"/>
      <c r="J114" s="1094"/>
      <c r="K114" s="1094"/>
      <c r="L114" s="1088"/>
    </row>
    <row r="115" spans="1:12" ht="18">
      <c r="A115" s="1087" t="s">
        <v>16491</v>
      </c>
      <c r="B115" s="1095"/>
      <c r="C115" s="1095"/>
      <c r="D115" s="1095"/>
      <c r="E115" s="1095"/>
      <c r="F115" s="1095"/>
      <c r="G115" s="1095"/>
      <c r="H115" s="1095"/>
      <c r="I115" s="1095"/>
      <c r="J115" s="1095"/>
      <c r="K115" s="1095"/>
      <c r="L115" s="1088"/>
    </row>
    <row r="116" spans="1:12" ht="18">
      <c r="A116" s="1087"/>
      <c r="B116" s="1089"/>
      <c r="C116" s="1089"/>
      <c r="D116" s="1089"/>
      <c r="E116" s="1089"/>
      <c r="F116" s="1089"/>
      <c r="G116" s="1089"/>
      <c r="H116" s="1089"/>
      <c r="I116" s="1089"/>
      <c r="J116" s="1089"/>
      <c r="K116" s="1089"/>
      <c r="L116" s="1088"/>
    </row>
    <row r="117" spans="1:12" ht="21">
      <c r="A117" s="1087" t="s">
        <v>16487</v>
      </c>
      <c r="B117" s="1090" t="s">
        <v>16500</v>
      </c>
      <c r="C117" s="1090" t="s">
        <v>16500</v>
      </c>
      <c r="D117" s="1090" t="s">
        <v>16500</v>
      </c>
      <c r="E117" s="1090" t="s">
        <v>16500</v>
      </c>
      <c r="F117" s="1090" t="s">
        <v>16500</v>
      </c>
      <c r="G117" s="1090" t="s">
        <v>16500</v>
      </c>
      <c r="H117" s="1090" t="s">
        <v>16500</v>
      </c>
      <c r="I117" s="1090" t="s">
        <v>16500</v>
      </c>
      <c r="J117" s="1090" t="s">
        <v>16500</v>
      </c>
      <c r="K117" s="1090" t="s">
        <v>16500</v>
      </c>
      <c r="L117" s="1088"/>
    </row>
    <row r="118" spans="1:12" ht="21">
      <c r="A118" s="1087" t="s">
        <v>16489</v>
      </c>
      <c r="B118" s="1091">
        <v>21</v>
      </c>
      <c r="C118" s="1091">
        <v>22</v>
      </c>
      <c r="D118" s="1091">
        <v>23</v>
      </c>
      <c r="E118" s="1091">
        <v>24</v>
      </c>
      <c r="F118" s="1091">
        <v>25</v>
      </c>
      <c r="G118" s="1091">
        <v>26</v>
      </c>
      <c r="H118" s="1091">
        <v>27</v>
      </c>
      <c r="I118" s="1091">
        <v>28</v>
      </c>
      <c r="J118" s="1091">
        <v>29</v>
      </c>
      <c r="K118" s="1091">
        <v>30</v>
      </c>
      <c r="L118" s="1088"/>
    </row>
    <row r="119" spans="1:12" ht="18">
      <c r="A119" s="1092" t="s">
        <v>16490</v>
      </c>
      <c r="B119" s="1093"/>
      <c r="C119" s="1093"/>
      <c r="D119" s="1093"/>
      <c r="E119" s="1093"/>
      <c r="F119" s="1093"/>
      <c r="G119" s="1093"/>
      <c r="H119" s="1093"/>
      <c r="I119" s="1093"/>
      <c r="J119" s="1093"/>
      <c r="K119" s="1093"/>
      <c r="L119" s="1088"/>
    </row>
    <row r="120" spans="1:12" ht="18">
      <c r="A120" s="1087" t="s">
        <v>5725</v>
      </c>
      <c r="B120" s="1094"/>
      <c r="C120" s="1094"/>
      <c r="D120" s="1094"/>
      <c r="E120" s="1094"/>
      <c r="F120" s="1094"/>
      <c r="G120" s="1094"/>
      <c r="H120" s="1094"/>
      <c r="I120" s="1094"/>
      <c r="J120" s="1094"/>
      <c r="K120" s="1094"/>
      <c r="L120" s="1088"/>
    </row>
    <row r="121" spans="1:12" ht="18">
      <c r="A121" s="1087" t="s">
        <v>16491</v>
      </c>
      <c r="B121" s="1095"/>
      <c r="C121" s="1095"/>
      <c r="D121" s="1095"/>
      <c r="E121" s="1095"/>
      <c r="F121" s="1095"/>
      <c r="G121" s="1095"/>
      <c r="H121" s="1095"/>
      <c r="I121" s="1095"/>
      <c r="J121" s="1095"/>
      <c r="K121" s="1095"/>
      <c r="L121" s="1088"/>
    </row>
    <row r="122" spans="1:12" ht="18">
      <c r="A122" s="1087"/>
      <c r="B122" s="1089"/>
      <c r="C122" s="1089"/>
      <c r="D122" s="1089"/>
      <c r="E122" s="1089"/>
      <c r="F122" s="1089"/>
      <c r="G122" s="1089"/>
      <c r="H122" s="1089"/>
      <c r="I122" s="1089"/>
      <c r="J122" s="1089"/>
      <c r="K122" s="1089"/>
      <c r="L122" s="1088"/>
    </row>
    <row r="123" spans="1:12" ht="21">
      <c r="A123" s="1087" t="s">
        <v>16487</v>
      </c>
      <c r="B123" s="1090" t="s">
        <v>16501</v>
      </c>
      <c r="C123" s="1090" t="s">
        <v>16501</v>
      </c>
      <c r="D123" s="1090" t="s">
        <v>16501</v>
      </c>
      <c r="E123" s="1090" t="s">
        <v>16501</v>
      </c>
      <c r="F123" s="1090" t="s">
        <v>16501</v>
      </c>
      <c r="G123" s="1090" t="s">
        <v>16501</v>
      </c>
      <c r="H123" s="1090" t="s">
        <v>16501</v>
      </c>
      <c r="I123" s="1090" t="s">
        <v>16501</v>
      </c>
      <c r="J123" s="1090" t="s">
        <v>16501</v>
      </c>
      <c r="K123" s="1090" t="s">
        <v>16501</v>
      </c>
      <c r="L123" s="1088"/>
    </row>
    <row r="124" spans="1:12" ht="21">
      <c r="A124" s="1087" t="s">
        <v>16489</v>
      </c>
      <c r="B124" s="1091">
        <v>1</v>
      </c>
      <c r="C124" s="1091">
        <v>2</v>
      </c>
      <c r="D124" s="1091">
        <v>3</v>
      </c>
      <c r="E124" s="1091">
        <v>4</v>
      </c>
      <c r="F124" s="1091">
        <v>5</v>
      </c>
      <c r="G124" s="1091">
        <v>6</v>
      </c>
      <c r="H124" s="1091">
        <v>7</v>
      </c>
      <c r="I124" s="1091">
        <v>8</v>
      </c>
      <c r="J124" s="1091">
        <v>9</v>
      </c>
      <c r="K124" s="1091">
        <v>10</v>
      </c>
      <c r="L124" s="1088"/>
    </row>
    <row r="125" spans="1:12" ht="18">
      <c r="A125" s="1092" t="s">
        <v>16490</v>
      </c>
      <c r="B125" s="1093"/>
      <c r="C125" s="1093"/>
      <c r="D125" s="1093"/>
      <c r="E125" s="1093"/>
      <c r="F125" s="1093"/>
      <c r="G125" s="1093"/>
      <c r="H125" s="1093"/>
      <c r="I125" s="1093"/>
      <c r="J125" s="1093"/>
      <c r="K125" s="1093"/>
      <c r="L125" s="1088"/>
    </row>
    <row r="126" spans="1:12" ht="18">
      <c r="A126" s="1087" t="s">
        <v>5725</v>
      </c>
      <c r="B126" s="1094"/>
      <c r="C126" s="1094"/>
      <c r="D126" s="1094"/>
      <c r="E126" s="1094"/>
      <c r="F126" s="1094"/>
      <c r="G126" s="1094"/>
      <c r="H126" s="1094"/>
      <c r="I126" s="1094"/>
      <c r="J126" s="1094"/>
      <c r="K126" s="1094"/>
      <c r="L126" s="1088"/>
    </row>
    <row r="127" spans="1:12" ht="18">
      <c r="A127" s="1087" t="s">
        <v>16491</v>
      </c>
      <c r="B127" s="1095" t="s">
        <v>16502</v>
      </c>
      <c r="C127" s="1095"/>
      <c r="D127" s="1095"/>
      <c r="E127" s="1095"/>
      <c r="F127" s="1095"/>
      <c r="G127" s="1095"/>
      <c r="H127" s="1095"/>
      <c r="I127" s="1095" t="s">
        <v>16503</v>
      </c>
      <c r="J127" s="1095"/>
      <c r="K127" s="1095"/>
      <c r="L127" s="1088"/>
    </row>
    <row r="128" spans="1:12" ht="18">
      <c r="A128" s="1087"/>
      <c r="B128" s="1089"/>
      <c r="C128" s="1089"/>
      <c r="D128" s="1089"/>
      <c r="E128" s="1089"/>
      <c r="F128" s="1089"/>
      <c r="G128" s="1089"/>
      <c r="H128" s="1089"/>
      <c r="I128" s="1089"/>
      <c r="J128" s="1089"/>
      <c r="K128" s="1089"/>
      <c r="L128" s="1088"/>
    </row>
    <row r="129" spans="1:12" ht="21">
      <c r="A129" s="1087" t="s">
        <v>16487</v>
      </c>
      <c r="B129" s="1090" t="s">
        <v>16501</v>
      </c>
      <c r="C129" s="1090" t="s">
        <v>16501</v>
      </c>
      <c r="D129" s="1090" t="s">
        <v>16501</v>
      </c>
      <c r="E129" s="1090" t="s">
        <v>16501</v>
      </c>
      <c r="F129" s="1090" t="s">
        <v>16501</v>
      </c>
      <c r="G129" s="1090" t="s">
        <v>16501</v>
      </c>
      <c r="H129" s="1090" t="s">
        <v>16501</v>
      </c>
      <c r="I129" s="1090" t="s">
        <v>16501</v>
      </c>
      <c r="J129" s="1090" t="s">
        <v>16501</v>
      </c>
      <c r="K129" s="1090" t="s">
        <v>16501</v>
      </c>
      <c r="L129" s="1088"/>
    </row>
    <row r="130" spans="1:12" ht="21">
      <c r="A130" s="1087" t="s">
        <v>16489</v>
      </c>
      <c r="B130" s="1091">
        <v>11</v>
      </c>
      <c r="C130" s="1091">
        <v>12</v>
      </c>
      <c r="D130" s="1091">
        <v>13</v>
      </c>
      <c r="E130" s="1091">
        <v>14</v>
      </c>
      <c r="F130" s="1091">
        <v>15</v>
      </c>
      <c r="G130" s="1091">
        <v>16</v>
      </c>
      <c r="H130" s="1091">
        <v>17</v>
      </c>
      <c r="I130" s="1091">
        <v>18</v>
      </c>
      <c r="J130" s="1091">
        <v>19</v>
      </c>
      <c r="K130" s="1091">
        <v>20</v>
      </c>
      <c r="L130" s="1088"/>
    </row>
    <row r="131" spans="1:12" ht="18">
      <c r="A131" s="1092" t="s">
        <v>16490</v>
      </c>
      <c r="B131" s="1093"/>
      <c r="C131" s="1093"/>
      <c r="D131" s="1093"/>
      <c r="E131" s="1093"/>
      <c r="F131" s="1093"/>
      <c r="G131" s="1093"/>
      <c r="H131" s="1093"/>
      <c r="I131" s="1093"/>
      <c r="J131" s="1093"/>
      <c r="K131" s="1093"/>
      <c r="L131" s="1088"/>
    </row>
    <row r="132" spans="1:12" ht="18">
      <c r="A132" s="1087" t="s">
        <v>5725</v>
      </c>
      <c r="B132" s="1094"/>
      <c r="C132" s="1094"/>
      <c r="D132" s="1094"/>
      <c r="E132" s="1094"/>
      <c r="F132" s="1094"/>
      <c r="G132" s="1094"/>
      <c r="H132" s="1094"/>
      <c r="I132" s="1094"/>
      <c r="J132" s="1094"/>
      <c r="K132" s="1094"/>
      <c r="L132" s="1088"/>
    </row>
    <row r="133" spans="1:12" ht="18">
      <c r="A133" s="1087" t="s">
        <v>16491</v>
      </c>
      <c r="B133" s="1095"/>
      <c r="C133" s="1095"/>
      <c r="D133" s="1095"/>
      <c r="E133" s="1095"/>
      <c r="F133" s="1095"/>
      <c r="G133" s="1095" t="s">
        <v>16497</v>
      </c>
      <c r="H133" s="1095"/>
      <c r="I133" s="1095"/>
      <c r="J133" s="1095"/>
      <c r="K133" s="1095"/>
      <c r="L133" s="1088"/>
    </row>
    <row r="134" spans="1:12" ht="18">
      <c r="A134" s="1087"/>
      <c r="B134" s="1089"/>
      <c r="C134" s="1089"/>
      <c r="D134" s="1089"/>
      <c r="E134" s="1089"/>
      <c r="F134" s="1089"/>
      <c r="G134" s="1089"/>
      <c r="H134" s="1089"/>
      <c r="I134" s="1089"/>
      <c r="J134" s="1089"/>
      <c r="K134" s="1089"/>
      <c r="L134" s="1088"/>
    </row>
    <row r="135" spans="1:12" ht="21">
      <c r="A135" s="1087" t="s">
        <v>16487</v>
      </c>
      <c r="B135" s="1090" t="s">
        <v>16501</v>
      </c>
      <c r="C135" s="1090" t="s">
        <v>16501</v>
      </c>
      <c r="D135" s="1090" t="s">
        <v>16501</v>
      </c>
      <c r="E135" s="1090" t="s">
        <v>16501</v>
      </c>
      <c r="F135" s="1090" t="s">
        <v>16501</v>
      </c>
      <c r="G135" s="1090" t="s">
        <v>16501</v>
      </c>
      <c r="H135" s="1090" t="s">
        <v>16501</v>
      </c>
      <c r="I135" s="1090" t="s">
        <v>16501</v>
      </c>
      <c r="J135" s="1090" t="s">
        <v>16501</v>
      </c>
      <c r="K135" s="1090" t="s">
        <v>16501</v>
      </c>
      <c r="L135" s="1088"/>
    </row>
    <row r="136" spans="1:12" ht="21">
      <c r="A136" s="1087" t="s">
        <v>16489</v>
      </c>
      <c r="B136" s="1091">
        <v>21</v>
      </c>
      <c r="C136" s="1091">
        <v>22</v>
      </c>
      <c r="D136" s="1091">
        <v>23</v>
      </c>
      <c r="E136" s="1091">
        <v>24</v>
      </c>
      <c r="F136" s="1091">
        <v>25</v>
      </c>
      <c r="G136" s="1091">
        <v>26</v>
      </c>
      <c r="H136" s="1091">
        <v>27</v>
      </c>
      <c r="I136" s="1091">
        <v>28</v>
      </c>
      <c r="J136" s="1091">
        <v>29</v>
      </c>
      <c r="K136" s="1091">
        <v>30</v>
      </c>
      <c r="L136" s="1088"/>
    </row>
    <row r="137" spans="1:12" ht="18">
      <c r="A137" s="1092" t="s">
        <v>16490</v>
      </c>
      <c r="B137" s="1093"/>
      <c r="C137" s="1093"/>
      <c r="D137" s="1093"/>
      <c r="E137" s="1093"/>
      <c r="F137" s="1093"/>
      <c r="G137" s="1093"/>
      <c r="H137" s="1093"/>
      <c r="I137" s="1093"/>
      <c r="J137" s="1093"/>
      <c r="K137" s="1093"/>
      <c r="L137" s="1088"/>
    </row>
    <row r="138" spans="1:12" ht="18">
      <c r="A138" s="1087" t="s">
        <v>5725</v>
      </c>
      <c r="B138" s="1094"/>
      <c r="C138" s="1094"/>
      <c r="D138" s="1094"/>
      <c r="E138" s="1094"/>
      <c r="F138" s="1094"/>
      <c r="G138" s="1094"/>
      <c r="H138" s="1094"/>
      <c r="I138" s="1094"/>
      <c r="J138" s="1094"/>
      <c r="K138" s="1094"/>
      <c r="L138" s="1088"/>
    </row>
    <row r="139" spans="1:12" ht="18">
      <c r="A139" s="1087" t="s">
        <v>16491</v>
      </c>
      <c r="B139" s="1095"/>
      <c r="C139" s="1095"/>
      <c r="D139" s="1095"/>
      <c r="E139" s="1095"/>
      <c r="F139" s="1095"/>
      <c r="G139" s="1095"/>
      <c r="H139" s="1095"/>
      <c r="I139" s="1095"/>
      <c r="J139" s="1095"/>
      <c r="K139" s="1095"/>
      <c r="L139" s="1088"/>
    </row>
    <row r="140" spans="1:12" ht="18">
      <c r="A140" s="1087"/>
      <c r="B140" s="1089"/>
      <c r="C140" s="1089"/>
      <c r="D140" s="1089"/>
      <c r="E140" s="1089"/>
      <c r="F140" s="1089"/>
      <c r="G140" s="1089"/>
      <c r="H140" s="1089"/>
      <c r="I140" s="1089"/>
      <c r="J140" s="1089"/>
      <c r="K140" s="1089"/>
      <c r="L140" s="1088"/>
    </row>
    <row r="141" spans="1:12" ht="21">
      <c r="A141" s="1087" t="s">
        <v>16487</v>
      </c>
      <c r="B141" s="1096" t="s">
        <v>16504</v>
      </c>
      <c r="C141" s="1097"/>
      <c r="D141" s="1097"/>
      <c r="E141" s="1097"/>
      <c r="F141" s="1097"/>
      <c r="G141" s="1097"/>
      <c r="H141" s="1097"/>
      <c r="I141" s="1097"/>
      <c r="J141" s="1097"/>
      <c r="K141" s="1097"/>
      <c r="L141" s="1088"/>
    </row>
    <row r="142" spans="1:12" ht="21">
      <c r="A142" s="1087" t="s">
        <v>16489</v>
      </c>
      <c r="B142" s="1098" t="s">
        <v>16493</v>
      </c>
      <c r="C142" s="1097"/>
      <c r="D142" s="1097"/>
      <c r="E142" s="1097"/>
      <c r="F142" s="1097"/>
      <c r="G142" s="1097"/>
      <c r="H142" s="1097"/>
      <c r="I142" s="1097"/>
      <c r="J142" s="1097"/>
      <c r="K142" s="1097"/>
      <c r="L142" s="1088"/>
    </row>
    <row r="143" spans="1:12" ht="18">
      <c r="A143" s="1092" t="s">
        <v>16490</v>
      </c>
      <c r="B143" s="1093"/>
      <c r="C143" s="1099"/>
      <c r="D143" s="1099"/>
      <c r="E143" s="1099"/>
      <c r="F143" s="1099"/>
      <c r="G143" s="1099"/>
      <c r="H143" s="1099"/>
      <c r="I143" s="1099"/>
      <c r="J143" s="1099"/>
      <c r="K143" s="1099"/>
      <c r="L143" s="1088"/>
    </row>
    <row r="144" spans="1:12" ht="18">
      <c r="A144" s="1087" t="s">
        <v>5725</v>
      </c>
      <c r="B144" s="1094"/>
      <c r="C144" s="1087"/>
      <c r="D144" s="1087"/>
      <c r="E144" s="1087"/>
      <c r="F144" s="1087"/>
      <c r="G144" s="1087"/>
      <c r="H144" s="1087"/>
      <c r="I144" s="1087"/>
      <c r="J144" s="1087"/>
      <c r="K144" s="1087"/>
      <c r="L144" s="1088"/>
    </row>
    <row r="145" spans="1:12" ht="18">
      <c r="A145" s="1087" t="s">
        <v>16491</v>
      </c>
      <c r="B145" s="1095"/>
      <c r="C145" s="1087"/>
      <c r="D145" s="1087"/>
      <c r="E145" s="1087"/>
      <c r="F145" s="1087"/>
      <c r="G145" s="1087"/>
      <c r="H145" s="1087"/>
      <c r="I145" s="1087"/>
      <c r="J145" s="1087"/>
      <c r="K145" s="1087"/>
      <c r="L145" s="1088"/>
    </row>
    <row r="146" spans="1:12" ht="18">
      <c r="A146" s="1087"/>
      <c r="B146" s="1089"/>
      <c r="C146" s="1089"/>
      <c r="D146" s="1089"/>
      <c r="E146" s="1089"/>
      <c r="F146" s="1089"/>
      <c r="G146" s="1089"/>
      <c r="H146" s="1089"/>
      <c r="I146" s="1089"/>
      <c r="J146" s="1089"/>
      <c r="K146" s="1089"/>
      <c r="L146" s="1088"/>
    </row>
    <row r="147" spans="1:12" ht="21">
      <c r="A147" s="1087" t="s">
        <v>16487</v>
      </c>
      <c r="B147" s="1090" t="s">
        <v>16505</v>
      </c>
      <c r="C147" s="1090" t="s">
        <v>16505</v>
      </c>
      <c r="D147" s="1090" t="s">
        <v>16505</v>
      </c>
      <c r="E147" s="1090" t="s">
        <v>16505</v>
      </c>
      <c r="F147" s="1090" t="s">
        <v>16505</v>
      </c>
      <c r="G147" s="1090" t="s">
        <v>16505</v>
      </c>
      <c r="H147" s="1090" t="s">
        <v>16505</v>
      </c>
      <c r="I147" s="1090" t="s">
        <v>16505</v>
      </c>
      <c r="J147" s="1090" t="s">
        <v>16505</v>
      </c>
      <c r="K147" s="1090" t="s">
        <v>16505</v>
      </c>
      <c r="L147" s="1088"/>
    </row>
    <row r="148" spans="1:12" ht="21">
      <c r="A148" s="1087" t="s">
        <v>16489</v>
      </c>
      <c r="B148" s="1091">
        <v>1</v>
      </c>
      <c r="C148" s="1091">
        <v>2</v>
      </c>
      <c r="D148" s="1091">
        <v>3</v>
      </c>
      <c r="E148" s="1091">
        <v>4</v>
      </c>
      <c r="F148" s="1091">
        <v>5</v>
      </c>
      <c r="G148" s="1091">
        <v>6</v>
      </c>
      <c r="H148" s="1091">
        <v>7</v>
      </c>
      <c r="I148" s="1091">
        <v>8</v>
      </c>
      <c r="J148" s="1091">
        <v>9</v>
      </c>
      <c r="K148" s="1091">
        <v>10</v>
      </c>
      <c r="L148" s="1088"/>
    </row>
    <row r="149" spans="1:12" ht="18">
      <c r="A149" s="1092" t="s">
        <v>16490</v>
      </c>
      <c r="B149" s="1093"/>
      <c r="C149" s="1093"/>
      <c r="D149" s="1093"/>
      <c r="E149" s="1093"/>
      <c r="F149" s="1093"/>
      <c r="G149" s="1093"/>
      <c r="H149" s="1093"/>
      <c r="I149" s="1093"/>
      <c r="J149" s="1093"/>
      <c r="K149" s="1093"/>
      <c r="L149" s="1088"/>
    </row>
    <row r="150" spans="1:12" ht="18">
      <c r="A150" s="1087" t="s">
        <v>5725</v>
      </c>
      <c r="B150" s="1094"/>
      <c r="C150" s="1094"/>
      <c r="D150" s="1094"/>
      <c r="E150" s="1094"/>
      <c r="F150" s="1094"/>
      <c r="G150" s="1094"/>
      <c r="H150" s="1094"/>
      <c r="I150" s="1094"/>
      <c r="J150" s="1094"/>
      <c r="K150" s="1094"/>
      <c r="L150" s="1088"/>
    </row>
    <row r="151" spans="1:12" ht="18">
      <c r="A151" s="1087" t="s">
        <v>16491</v>
      </c>
      <c r="B151" s="1095"/>
      <c r="C151" s="1095"/>
      <c r="D151" s="1095"/>
      <c r="E151" s="1095"/>
      <c r="F151" s="1095"/>
      <c r="G151" s="1095"/>
      <c r="H151" s="1095"/>
      <c r="I151" s="1095"/>
      <c r="J151" s="1095"/>
      <c r="K151" s="1095"/>
      <c r="L151" s="1088"/>
    </row>
    <row r="152" spans="1:12" ht="18">
      <c r="A152" s="1087"/>
      <c r="B152" s="1089"/>
      <c r="C152" s="1089"/>
      <c r="D152" s="1089"/>
      <c r="E152" s="1089"/>
      <c r="F152" s="1089"/>
      <c r="G152" s="1089"/>
      <c r="H152" s="1089"/>
      <c r="I152" s="1089"/>
      <c r="J152" s="1089"/>
      <c r="K152" s="1089"/>
      <c r="L152" s="1088"/>
    </row>
    <row r="153" spans="1:12" ht="21">
      <c r="A153" s="1087" t="s">
        <v>16487</v>
      </c>
      <c r="B153" s="1090" t="s">
        <v>16505</v>
      </c>
      <c r="C153" s="1090" t="s">
        <v>16505</v>
      </c>
      <c r="D153" s="1090" t="s">
        <v>16505</v>
      </c>
      <c r="E153" s="1090" t="s">
        <v>16505</v>
      </c>
      <c r="F153" s="1090" t="s">
        <v>16505</v>
      </c>
      <c r="G153" s="1090" t="s">
        <v>16505</v>
      </c>
      <c r="H153" s="1090" t="s">
        <v>16505</v>
      </c>
      <c r="I153" s="1090" t="s">
        <v>16505</v>
      </c>
      <c r="J153" s="1090" t="s">
        <v>16505</v>
      </c>
      <c r="K153" s="1090" t="s">
        <v>16505</v>
      </c>
      <c r="L153" s="1088"/>
    </row>
    <row r="154" spans="1:12" ht="21">
      <c r="A154" s="1087" t="s">
        <v>16489</v>
      </c>
      <c r="B154" s="1091">
        <v>11</v>
      </c>
      <c r="C154" s="1091">
        <v>12</v>
      </c>
      <c r="D154" s="1091">
        <v>13</v>
      </c>
      <c r="E154" s="1091">
        <v>14</v>
      </c>
      <c r="F154" s="1091">
        <v>15</v>
      </c>
      <c r="G154" s="1091">
        <v>16</v>
      </c>
      <c r="H154" s="1091">
        <v>17</v>
      </c>
      <c r="I154" s="1091">
        <v>18</v>
      </c>
      <c r="J154" s="1091">
        <v>19</v>
      </c>
      <c r="K154" s="1091">
        <v>20</v>
      </c>
      <c r="L154" s="1088"/>
    </row>
    <row r="155" spans="1:12" ht="18">
      <c r="A155" s="1092" t="s">
        <v>16490</v>
      </c>
      <c r="B155" s="1093"/>
      <c r="C155" s="1093"/>
      <c r="D155" s="1093"/>
      <c r="E155" s="1093"/>
      <c r="F155" s="1093"/>
      <c r="G155" s="1093"/>
      <c r="H155" s="1093"/>
      <c r="I155" s="1093"/>
      <c r="J155" s="1093"/>
      <c r="K155" s="1093"/>
      <c r="L155" s="1088"/>
    </row>
    <row r="156" spans="1:12" ht="18">
      <c r="A156" s="1087" t="s">
        <v>5725</v>
      </c>
      <c r="B156" s="1094"/>
      <c r="C156" s="1094"/>
      <c r="D156" s="1094"/>
      <c r="E156" s="1094"/>
      <c r="F156" s="1094"/>
      <c r="G156" s="1094"/>
      <c r="H156" s="1094"/>
      <c r="I156" s="1094"/>
      <c r="J156" s="1094"/>
      <c r="K156" s="1094"/>
      <c r="L156" s="1088"/>
    </row>
    <row r="157" spans="1:12" ht="18">
      <c r="A157" s="1087" t="s">
        <v>16491</v>
      </c>
      <c r="B157" s="1095"/>
      <c r="C157" s="1095"/>
      <c r="D157" s="1095"/>
      <c r="E157" s="1095"/>
      <c r="F157" s="1095"/>
      <c r="G157" s="1095"/>
      <c r="H157" s="1095"/>
      <c r="I157" s="1095"/>
      <c r="J157" s="1095"/>
      <c r="K157" s="1095"/>
      <c r="L157" s="1088"/>
    </row>
    <row r="158" spans="1:12" ht="18">
      <c r="A158" s="1087"/>
      <c r="B158" s="1089"/>
      <c r="C158" s="1089"/>
      <c r="D158" s="1089"/>
      <c r="E158" s="1089"/>
      <c r="F158" s="1089"/>
      <c r="G158" s="1089"/>
      <c r="H158" s="1089"/>
      <c r="I158" s="1089"/>
      <c r="J158" s="1089"/>
      <c r="K158" s="1089"/>
      <c r="L158" s="1088"/>
    </row>
    <row r="159" spans="1:12" ht="21">
      <c r="A159" s="1087" t="s">
        <v>16487</v>
      </c>
      <c r="B159" s="1090" t="s">
        <v>16505</v>
      </c>
      <c r="C159" s="1090" t="s">
        <v>16505</v>
      </c>
      <c r="D159" s="1090" t="s">
        <v>16505</v>
      </c>
      <c r="E159" s="1090" t="s">
        <v>16505</v>
      </c>
      <c r="F159" s="1090" t="s">
        <v>16505</v>
      </c>
      <c r="G159" s="1090" t="s">
        <v>16505</v>
      </c>
      <c r="H159" s="1090" t="s">
        <v>16505</v>
      </c>
      <c r="I159" s="1090" t="s">
        <v>16505</v>
      </c>
      <c r="J159" s="1090" t="s">
        <v>16505</v>
      </c>
      <c r="K159" s="1090" t="s">
        <v>16505</v>
      </c>
      <c r="L159" s="1088"/>
    </row>
    <row r="160" spans="1:12" ht="21">
      <c r="A160" s="1087" t="s">
        <v>16489</v>
      </c>
      <c r="B160" s="1091">
        <v>21</v>
      </c>
      <c r="C160" s="1091">
        <v>22</v>
      </c>
      <c r="D160" s="1091">
        <v>23</v>
      </c>
      <c r="E160" s="1091">
        <v>24</v>
      </c>
      <c r="F160" s="1091">
        <v>25</v>
      </c>
      <c r="G160" s="1091">
        <v>26</v>
      </c>
      <c r="H160" s="1091">
        <v>27</v>
      </c>
      <c r="I160" s="1091">
        <v>28</v>
      </c>
      <c r="J160" s="1091">
        <v>29</v>
      </c>
      <c r="K160" s="1091">
        <v>30</v>
      </c>
      <c r="L160" s="1088"/>
    </row>
    <row r="161" spans="1:12" ht="18">
      <c r="A161" s="1092" t="s">
        <v>16490</v>
      </c>
      <c r="B161" s="1093"/>
      <c r="C161" s="1093"/>
      <c r="D161" s="1093"/>
      <c r="E161" s="1093"/>
      <c r="F161" s="1093"/>
      <c r="G161" s="1093"/>
      <c r="H161" s="1093"/>
      <c r="I161" s="1093"/>
      <c r="J161" s="1093"/>
      <c r="K161" s="1093"/>
      <c r="L161" s="1088"/>
    </row>
    <row r="162" spans="1:12" ht="18">
      <c r="A162" s="1087" t="s">
        <v>5725</v>
      </c>
      <c r="B162" s="1094"/>
      <c r="C162" s="1094"/>
      <c r="D162" s="1094"/>
      <c r="E162" s="1094"/>
      <c r="F162" s="1094"/>
      <c r="G162" s="1094"/>
      <c r="H162" s="1094"/>
      <c r="I162" s="1094"/>
      <c r="J162" s="1094"/>
      <c r="K162" s="1094"/>
      <c r="L162" s="1088"/>
    </row>
    <row r="163" spans="1:12" ht="18">
      <c r="A163" s="1087" t="s">
        <v>16491</v>
      </c>
      <c r="B163" s="1095"/>
      <c r="C163" s="1095"/>
      <c r="D163" s="1095"/>
      <c r="E163" s="1095"/>
      <c r="F163" s="1095"/>
      <c r="G163" s="1095"/>
      <c r="H163" s="1095"/>
      <c r="I163" s="1095"/>
      <c r="J163" s="1095"/>
      <c r="K163" s="1095"/>
      <c r="L163" s="1088"/>
    </row>
    <row r="164" spans="1:12" ht="18">
      <c r="A164" s="1087"/>
      <c r="B164" s="1089"/>
      <c r="C164" s="1089"/>
      <c r="D164" s="1089"/>
      <c r="E164" s="1089"/>
      <c r="F164" s="1089"/>
      <c r="G164" s="1089"/>
      <c r="H164" s="1089"/>
      <c r="I164" s="1089"/>
      <c r="J164" s="1089"/>
      <c r="K164" s="1089"/>
      <c r="L164" s="1088"/>
    </row>
    <row r="165" spans="1:12" ht="21">
      <c r="A165" s="1087" t="s">
        <v>16487</v>
      </c>
      <c r="B165" s="1090" t="s">
        <v>16506</v>
      </c>
      <c r="C165" s="1090" t="s">
        <v>16506</v>
      </c>
      <c r="D165" s="1090" t="s">
        <v>16506</v>
      </c>
      <c r="E165" s="1090" t="s">
        <v>16506</v>
      </c>
      <c r="F165" s="1090" t="s">
        <v>16506</v>
      </c>
      <c r="G165" s="1090" t="s">
        <v>16506</v>
      </c>
      <c r="H165" s="1090" t="s">
        <v>16506</v>
      </c>
      <c r="I165" s="1090" t="s">
        <v>16506</v>
      </c>
      <c r="J165" s="1090" t="s">
        <v>16506</v>
      </c>
      <c r="K165" s="1090" t="s">
        <v>16506</v>
      </c>
      <c r="L165" s="1088"/>
    </row>
    <row r="166" spans="1:12" ht="21">
      <c r="A166" s="1087" t="s">
        <v>16489</v>
      </c>
      <c r="B166" s="1091">
        <v>1</v>
      </c>
      <c r="C166" s="1091">
        <v>2</v>
      </c>
      <c r="D166" s="1091">
        <v>3</v>
      </c>
      <c r="E166" s="1091">
        <v>4</v>
      </c>
      <c r="F166" s="1091">
        <v>5</v>
      </c>
      <c r="G166" s="1091">
        <v>6</v>
      </c>
      <c r="H166" s="1091">
        <v>7</v>
      </c>
      <c r="I166" s="1091">
        <v>8</v>
      </c>
      <c r="J166" s="1091">
        <v>9</v>
      </c>
      <c r="K166" s="1091">
        <v>10</v>
      </c>
      <c r="L166" s="1088"/>
    </row>
    <row r="167" spans="1:12" ht="18">
      <c r="A167" s="1092" t="s">
        <v>16490</v>
      </c>
      <c r="B167" s="1093"/>
      <c r="C167" s="1093"/>
      <c r="D167" s="1093"/>
      <c r="E167" s="1093"/>
      <c r="F167" s="1093"/>
      <c r="G167" s="1093"/>
      <c r="H167" s="1093"/>
      <c r="I167" s="1093"/>
      <c r="J167" s="1093"/>
      <c r="K167" s="1093"/>
      <c r="L167" s="1088"/>
    </row>
    <row r="168" spans="1:12" ht="18">
      <c r="A168" s="1087" t="s">
        <v>5725</v>
      </c>
      <c r="B168" s="1094"/>
      <c r="C168" s="1094"/>
      <c r="D168" s="1094"/>
      <c r="E168" s="1094"/>
      <c r="F168" s="1094"/>
      <c r="G168" s="1094"/>
      <c r="H168" s="1094"/>
      <c r="I168" s="1094"/>
      <c r="J168" s="1094"/>
      <c r="K168" s="1094"/>
      <c r="L168" s="1088"/>
    </row>
    <row r="169" spans="1:12" ht="18">
      <c r="A169" s="1087" t="s">
        <v>16491</v>
      </c>
      <c r="B169" s="1095"/>
      <c r="C169" s="1095"/>
      <c r="D169" s="1095"/>
      <c r="E169" s="1095"/>
      <c r="F169" s="1095"/>
      <c r="G169" s="1095"/>
      <c r="H169" s="1095"/>
      <c r="I169" s="1095"/>
      <c r="J169" s="1095"/>
      <c r="K169" s="1095"/>
      <c r="L169" s="1088"/>
    </row>
    <row r="170" spans="1:12" ht="18">
      <c r="A170" s="1087"/>
      <c r="B170" s="1089"/>
      <c r="C170" s="1089"/>
      <c r="D170" s="1089"/>
      <c r="E170" s="1089"/>
      <c r="F170" s="1089"/>
      <c r="G170" s="1089"/>
      <c r="H170" s="1089"/>
      <c r="I170" s="1089"/>
      <c r="J170" s="1089"/>
      <c r="K170" s="1089"/>
      <c r="L170" s="1088"/>
    </row>
    <row r="171" spans="1:12" ht="21">
      <c r="A171" s="1087" t="s">
        <v>16487</v>
      </c>
      <c r="B171" s="1090" t="s">
        <v>16506</v>
      </c>
      <c r="C171" s="1090" t="s">
        <v>16506</v>
      </c>
      <c r="D171" s="1090" t="s">
        <v>16506</v>
      </c>
      <c r="E171" s="1090" t="s">
        <v>16506</v>
      </c>
      <c r="F171" s="1090" t="s">
        <v>16506</v>
      </c>
      <c r="G171" s="1090" t="s">
        <v>16506</v>
      </c>
      <c r="H171" s="1090" t="s">
        <v>16506</v>
      </c>
      <c r="I171" s="1090" t="s">
        <v>16506</v>
      </c>
      <c r="J171" s="1090" t="s">
        <v>16506</v>
      </c>
      <c r="K171" s="1090" t="s">
        <v>16506</v>
      </c>
      <c r="L171" s="1088"/>
    </row>
    <row r="172" spans="1:12" ht="21">
      <c r="A172" s="1087" t="s">
        <v>16489</v>
      </c>
      <c r="B172" s="1091">
        <v>11</v>
      </c>
      <c r="C172" s="1091">
        <v>12</v>
      </c>
      <c r="D172" s="1091">
        <v>13</v>
      </c>
      <c r="E172" s="1091">
        <v>14</v>
      </c>
      <c r="F172" s="1091">
        <v>15</v>
      </c>
      <c r="G172" s="1091">
        <v>16</v>
      </c>
      <c r="H172" s="1091">
        <v>17</v>
      </c>
      <c r="I172" s="1091">
        <v>18</v>
      </c>
      <c r="J172" s="1091">
        <v>19</v>
      </c>
      <c r="K172" s="1091">
        <v>20</v>
      </c>
      <c r="L172" s="1088"/>
    </row>
    <row r="173" spans="1:12" ht="18">
      <c r="A173" s="1092" t="s">
        <v>16490</v>
      </c>
      <c r="B173" s="1093"/>
      <c r="C173" s="1093"/>
      <c r="D173" s="1093"/>
      <c r="E173" s="1093"/>
      <c r="F173" s="1093"/>
      <c r="G173" s="1093"/>
      <c r="H173" s="1093"/>
      <c r="I173" s="1093"/>
      <c r="J173" s="1093"/>
      <c r="K173" s="1093"/>
      <c r="L173" s="1088"/>
    </row>
    <row r="174" spans="1:12" ht="18">
      <c r="A174" s="1087" t="s">
        <v>5725</v>
      </c>
      <c r="B174" s="1094"/>
      <c r="C174" s="1094"/>
      <c r="D174" s="1094"/>
      <c r="E174" s="1094"/>
      <c r="F174" s="1094"/>
      <c r="G174" s="1094"/>
      <c r="H174" s="1094"/>
      <c r="I174" s="1094"/>
      <c r="J174" s="1094"/>
      <c r="K174" s="1094"/>
      <c r="L174" s="1088"/>
    </row>
    <row r="175" spans="1:12" ht="18">
      <c r="A175" s="1087" t="s">
        <v>16491</v>
      </c>
      <c r="B175" s="1095"/>
      <c r="C175" s="1095"/>
      <c r="D175" s="1095"/>
      <c r="E175" s="1095"/>
      <c r="F175" s="1095"/>
      <c r="G175" s="1095" t="s">
        <v>16497</v>
      </c>
      <c r="H175" s="1095"/>
      <c r="I175" s="1095"/>
      <c r="J175" s="1095"/>
      <c r="K175" s="1095"/>
      <c r="L175" s="1088"/>
    </row>
    <row r="176" spans="1:12" ht="18">
      <c r="A176" s="1087"/>
      <c r="B176" s="1089"/>
      <c r="C176" s="1089"/>
      <c r="D176" s="1089"/>
      <c r="E176" s="1089"/>
      <c r="F176" s="1089"/>
      <c r="G176" s="1089"/>
      <c r="H176" s="1089"/>
      <c r="I176" s="1089"/>
      <c r="J176" s="1089"/>
      <c r="K176" s="1089"/>
      <c r="L176" s="1088"/>
    </row>
    <row r="177" spans="1:12" ht="21">
      <c r="A177" s="1087" t="s">
        <v>16487</v>
      </c>
      <c r="B177" s="1090" t="s">
        <v>16506</v>
      </c>
      <c r="C177" s="1090" t="s">
        <v>16506</v>
      </c>
      <c r="D177" s="1090" t="s">
        <v>16506</v>
      </c>
      <c r="E177" s="1090" t="s">
        <v>16506</v>
      </c>
      <c r="F177" s="1090" t="s">
        <v>16506</v>
      </c>
      <c r="G177" s="1090" t="s">
        <v>16506</v>
      </c>
      <c r="H177" s="1090" t="s">
        <v>16506</v>
      </c>
      <c r="I177" s="1090" t="s">
        <v>16506</v>
      </c>
      <c r="J177" s="1090" t="s">
        <v>16506</v>
      </c>
      <c r="K177" s="1090" t="s">
        <v>16506</v>
      </c>
      <c r="L177" s="1088"/>
    </row>
    <row r="178" spans="1:12" ht="21">
      <c r="A178" s="1087" t="s">
        <v>16489</v>
      </c>
      <c r="B178" s="1091">
        <v>21</v>
      </c>
      <c r="C178" s="1091">
        <v>22</v>
      </c>
      <c r="D178" s="1091">
        <v>23</v>
      </c>
      <c r="E178" s="1091">
        <v>24</v>
      </c>
      <c r="F178" s="1091">
        <v>25</v>
      </c>
      <c r="G178" s="1091">
        <v>26</v>
      </c>
      <c r="H178" s="1091">
        <v>27</v>
      </c>
      <c r="I178" s="1091">
        <v>28</v>
      </c>
      <c r="J178" s="1091">
        <v>29</v>
      </c>
      <c r="K178" s="1091">
        <v>30</v>
      </c>
      <c r="L178" s="1088"/>
    </row>
    <row r="179" spans="1:12" ht="18">
      <c r="A179" s="1092" t="s">
        <v>16490</v>
      </c>
      <c r="B179" s="1093"/>
      <c r="C179" s="1093"/>
      <c r="D179" s="1093"/>
      <c r="E179" s="1093"/>
      <c r="F179" s="1093"/>
      <c r="G179" s="1093"/>
      <c r="H179" s="1093"/>
      <c r="I179" s="1093"/>
      <c r="J179" s="1093"/>
      <c r="K179" s="1093"/>
      <c r="L179" s="1088"/>
    </row>
    <row r="180" spans="1:12" ht="18">
      <c r="A180" s="1087" t="s">
        <v>5725</v>
      </c>
      <c r="B180" s="1094"/>
      <c r="C180" s="1094"/>
      <c r="D180" s="1094"/>
      <c r="E180" s="1094"/>
      <c r="F180" s="1094"/>
      <c r="G180" s="1094"/>
      <c r="H180" s="1094"/>
      <c r="I180" s="1094"/>
      <c r="J180" s="1094"/>
      <c r="K180" s="1094"/>
      <c r="L180" s="1088"/>
    </row>
    <row r="181" spans="1:12" ht="18">
      <c r="A181" s="1087" t="s">
        <v>16491</v>
      </c>
      <c r="B181" s="1095"/>
      <c r="C181" s="1095"/>
      <c r="D181" s="1095"/>
      <c r="E181" s="1095"/>
      <c r="F181" s="1095"/>
      <c r="G181" s="1095"/>
      <c r="H181" s="1095"/>
      <c r="I181" s="1095"/>
      <c r="J181" s="1095"/>
      <c r="K181" s="1095"/>
      <c r="L181" s="1088"/>
    </row>
    <row r="182" spans="1:12" ht="18">
      <c r="A182" s="1087"/>
      <c r="B182" s="1089"/>
      <c r="C182" s="1089"/>
      <c r="D182" s="1089"/>
      <c r="E182" s="1089"/>
      <c r="F182" s="1089"/>
      <c r="G182" s="1089"/>
      <c r="H182" s="1089"/>
      <c r="I182" s="1089"/>
      <c r="J182" s="1089"/>
      <c r="K182" s="1089"/>
      <c r="L182" s="1088"/>
    </row>
    <row r="183" spans="1:12" ht="21">
      <c r="A183" s="1087" t="s">
        <v>16487</v>
      </c>
      <c r="B183" s="1096" t="s">
        <v>16507</v>
      </c>
      <c r="C183" s="1097"/>
      <c r="D183" s="1097"/>
      <c r="E183" s="1097"/>
      <c r="F183" s="1097"/>
      <c r="G183" s="1097"/>
      <c r="H183" s="1097"/>
      <c r="I183" s="1097"/>
      <c r="J183" s="1097"/>
      <c r="K183" s="1097"/>
      <c r="L183" s="1088"/>
    </row>
    <row r="184" spans="1:12" ht="21">
      <c r="A184" s="1087" t="s">
        <v>16489</v>
      </c>
      <c r="B184" s="1098" t="s">
        <v>16493</v>
      </c>
      <c r="C184" s="1097"/>
      <c r="D184" s="1097"/>
      <c r="E184" s="1097"/>
      <c r="F184" s="1097"/>
      <c r="G184" s="1097"/>
      <c r="H184" s="1097"/>
      <c r="I184" s="1097"/>
      <c r="J184" s="1097"/>
      <c r="K184" s="1097"/>
      <c r="L184" s="1088"/>
    </row>
    <row r="185" spans="1:12" ht="18">
      <c r="A185" s="1092" t="s">
        <v>16490</v>
      </c>
      <c r="B185" s="1093"/>
      <c r="C185" s="1099"/>
      <c r="D185" s="1099"/>
      <c r="E185" s="1099"/>
      <c r="F185" s="1099"/>
      <c r="G185" s="1099"/>
      <c r="H185" s="1099"/>
      <c r="I185" s="1099"/>
      <c r="J185" s="1099"/>
      <c r="K185" s="1099"/>
      <c r="L185" s="1088"/>
    </row>
    <row r="186" spans="1:12" ht="18">
      <c r="A186" s="1087" t="s">
        <v>5725</v>
      </c>
      <c r="B186" s="1094"/>
      <c r="C186" s="1087"/>
      <c r="D186" s="1087"/>
      <c r="E186" s="1087"/>
      <c r="F186" s="1087"/>
      <c r="G186" s="1087"/>
      <c r="H186" s="1087"/>
      <c r="I186" s="1087"/>
      <c r="J186" s="1087"/>
      <c r="K186" s="1087"/>
      <c r="L186" s="1088"/>
    </row>
    <row r="187" spans="1:12" ht="18">
      <c r="A187" s="1087" t="s">
        <v>16491</v>
      </c>
      <c r="B187" s="1095"/>
      <c r="C187" s="1087"/>
      <c r="D187" s="1087"/>
      <c r="E187" s="1087"/>
      <c r="F187" s="1087"/>
      <c r="G187" s="1087"/>
      <c r="H187" s="1087"/>
      <c r="I187" s="1087"/>
      <c r="J187" s="1087"/>
      <c r="K187" s="1087"/>
      <c r="L187" s="1088"/>
    </row>
    <row r="188" spans="1:12" ht="18">
      <c r="A188" s="1087"/>
      <c r="B188" s="1089"/>
      <c r="C188" s="1089"/>
      <c r="D188" s="1089"/>
      <c r="E188" s="1089"/>
      <c r="F188" s="1089"/>
      <c r="G188" s="1089"/>
      <c r="H188" s="1089"/>
      <c r="I188" s="1089"/>
      <c r="J188" s="1089"/>
      <c r="K188" s="1089"/>
      <c r="L188" s="1088"/>
    </row>
    <row r="189" spans="1:12" ht="21">
      <c r="A189" s="1087" t="s">
        <v>16487</v>
      </c>
      <c r="B189" s="1090" t="s">
        <v>16508</v>
      </c>
      <c r="C189" s="1090" t="s">
        <v>16508</v>
      </c>
      <c r="D189" s="1090" t="s">
        <v>16508</v>
      </c>
      <c r="E189" s="1090" t="s">
        <v>16508</v>
      </c>
      <c r="F189" s="1090" t="s">
        <v>16508</v>
      </c>
      <c r="G189" s="1090" t="s">
        <v>16508</v>
      </c>
      <c r="H189" s="1090" t="s">
        <v>16508</v>
      </c>
      <c r="I189" s="1090" t="s">
        <v>16508</v>
      </c>
      <c r="J189" s="1090" t="s">
        <v>16508</v>
      </c>
      <c r="K189" s="1090" t="s">
        <v>16508</v>
      </c>
      <c r="L189" s="1088"/>
    </row>
    <row r="190" spans="1:12" ht="21">
      <c r="A190" s="1087" t="s">
        <v>16489</v>
      </c>
      <c r="B190" s="1091">
        <v>1</v>
      </c>
      <c r="C190" s="1091">
        <v>2</v>
      </c>
      <c r="D190" s="1091">
        <v>3</v>
      </c>
      <c r="E190" s="1091">
        <v>4</v>
      </c>
      <c r="F190" s="1091">
        <v>5</v>
      </c>
      <c r="G190" s="1091">
        <v>6</v>
      </c>
      <c r="H190" s="1091">
        <v>7</v>
      </c>
      <c r="I190" s="1091">
        <v>8</v>
      </c>
      <c r="J190" s="1091">
        <v>9</v>
      </c>
      <c r="K190" s="1091">
        <v>10</v>
      </c>
      <c r="L190" s="1088"/>
    </row>
    <row r="191" spans="1:12" ht="18">
      <c r="A191" s="1092" t="s">
        <v>16490</v>
      </c>
      <c r="B191" s="1093"/>
      <c r="C191" s="1093"/>
      <c r="D191" s="1093"/>
      <c r="E191" s="1093"/>
      <c r="F191" s="1093"/>
      <c r="G191" s="1093"/>
      <c r="H191" s="1093"/>
      <c r="I191" s="1093"/>
      <c r="J191" s="1093"/>
      <c r="K191" s="1093"/>
      <c r="L191" s="1088"/>
    </row>
    <row r="192" spans="1:12" ht="18">
      <c r="A192" s="1087" t="s">
        <v>5725</v>
      </c>
      <c r="B192" s="1094"/>
      <c r="C192" s="1094"/>
      <c r="D192" s="1094"/>
      <c r="E192" s="1094"/>
      <c r="F192" s="1094"/>
      <c r="G192" s="1094"/>
      <c r="H192" s="1094"/>
      <c r="I192" s="1094"/>
      <c r="J192" s="1094"/>
      <c r="K192" s="1094"/>
      <c r="L192" s="1088"/>
    </row>
    <row r="193" spans="1:12" ht="18">
      <c r="A193" s="1087" t="s">
        <v>16491</v>
      </c>
      <c r="B193" s="1095"/>
      <c r="C193" s="1095"/>
      <c r="D193" s="1095"/>
      <c r="E193" s="1095"/>
      <c r="F193" s="1095"/>
      <c r="G193" s="1095"/>
      <c r="H193" s="1095"/>
      <c r="I193" s="1095"/>
      <c r="J193" s="1095"/>
      <c r="K193" s="1095"/>
      <c r="L193" s="1088"/>
    </row>
    <row r="194" spans="1:12" ht="18">
      <c r="A194" s="1087"/>
      <c r="B194" s="1089"/>
      <c r="C194" s="1089"/>
      <c r="D194" s="1089"/>
      <c r="E194" s="1089"/>
      <c r="F194" s="1089"/>
      <c r="G194" s="1089"/>
      <c r="H194" s="1089"/>
      <c r="I194" s="1089"/>
      <c r="J194" s="1089"/>
      <c r="K194" s="1089"/>
      <c r="L194" s="1088"/>
    </row>
    <row r="195" spans="1:12" ht="21">
      <c r="A195" s="1087" t="s">
        <v>16487</v>
      </c>
      <c r="B195" s="1090" t="s">
        <v>16508</v>
      </c>
      <c r="C195" s="1090" t="s">
        <v>16508</v>
      </c>
      <c r="D195" s="1090" t="s">
        <v>16508</v>
      </c>
      <c r="E195" s="1090" t="s">
        <v>16508</v>
      </c>
      <c r="F195" s="1090" t="s">
        <v>16508</v>
      </c>
      <c r="G195" s="1090" t="s">
        <v>16508</v>
      </c>
      <c r="H195" s="1090" t="s">
        <v>16508</v>
      </c>
      <c r="I195" s="1090" t="s">
        <v>16508</v>
      </c>
      <c r="J195" s="1090" t="s">
        <v>16508</v>
      </c>
      <c r="K195" s="1090" t="s">
        <v>16508</v>
      </c>
      <c r="L195" s="1088"/>
    </row>
    <row r="196" spans="1:12" ht="21">
      <c r="A196" s="1087" t="s">
        <v>16489</v>
      </c>
      <c r="B196" s="1091">
        <v>11</v>
      </c>
      <c r="C196" s="1091">
        <v>12</v>
      </c>
      <c r="D196" s="1091">
        <v>13</v>
      </c>
      <c r="E196" s="1091">
        <v>14</v>
      </c>
      <c r="F196" s="1091">
        <v>15</v>
      </c>
      <c r="G196" s="1091">
        <v>16</v>
      </c>
      <c r="H196" s="1091">
        <v>17</v>
      </c>
      <c r="I196" s="1091">
        <v>18</v>
      </c>
      <c r="J196" s="1091">
        <v>19</v>
      </c>
      <c r="K196" s="1091">
        <v>20</v>
      </c>
      <c r="L196" s="1088"/>
    </row>
    <row r="197" spans="1:12" ht="18">
      <c r="A197" s="1092" t="s">
        <v>16490</v>
      </c>
      <c r="B197" s="1093"/>
      <c r="C197" s="1093"/>
      <c r="D197" s="1093"/>
      <c r="E197" s="1093"/>
      <c r="F197" s="1093"/>
      <c r="G197" s="1093"/>
      <c r="H197" s="1093"/>
      <c r="I197" s="1093"/>
      <c r="J197" s="1093"/>
      <c r="K197" s="1093"/>
      <c r="L197" s="1088"/>
    </row>
    <row r="198" spans="1:12" ht="18">
      <c r="A198" s="1087" t="s">
        <v>5725</v>
      </c>
      <c r="B198" s="1094"/>
      <c r="C198" s="1094"/>
      <c r="D198" s="1094"/>
      <c r="E198" s="1094"/>
      <c r="F198" s="1094"/>
      <c r="G198" s="1094"/>
      <c r="H198" s="1094"/>
      <c r="I198" s="1094"/>
      <c r="J198" s="1094"/>
      <c r="K198" s="1094"/>
      <c r="L198" s="1088"/>
    </row>
    <row r="199" spans="1:12" ht="18">
      <c r="A199" s="1087" t="s">
        <v>16491</v>
      </c>
      <c r="B199" s="1095"/>
      <c r="C199" s="1095"/>
      <c r="D199" s="1095"/>
      <c r="E199" s="1095"/>
      <c r="F199" s="1095"/>
      <c r="G199" s="1095"/>
      <c r="H199" s="1095"/>
      <c r="I199" s="1095"/>
      <c r="J199" s="1095"/>
      <c r="K199" s="1095"/>
      <c r="L199" s="1088"/>
    </row>
    <row r="200" spans="1:12" ht="18">
      <c r="A200" s="1087"/>
      <c r="B200" s="1089"/>
      <c r="C200" s="1089"/>
      <c r="D200" s="1089"/>
      <c r="E200" s="1089"/>
      <c r="F200" s="1089"/>
      <c r="G200" s="1089"/>
      <c r="H200" s="1089"/>
      <c r="I200" s="1089"/>
      <c r="J200" s="1089"/>
      <c r="K200" s="1089"/>
      <c r="L200" s="1088"/>
    </row>
    <row r="201" spans="1:12" ht="21">
      <c r="A201" s="1087">
        <v>1496</v>
      </c>
      <c r="B201" s="1090" t="s">
        <v>16508</v>
      </c>
      <c r="C201" s="1090" t="s">
        <v>16508</v>
      </c>
      <c r="D201" s="1090" t="s">
        <v>16508</v>
      </c>
      <c r="E201" s="1090" t="s">
        <v>16508</v>
      </c>
      <c r="F201" s="1090" t="s">
        <v>16508</v>
      </c>
      <c r="G201" s="1090" t="s">
        <v>16508</v>
      </c>
      <c r="H201" s="1090" t="s">
        <v>16508</v>
      </c>
      <c r="I201" s="1090" t="s">
        <v>16508</v>
      </c>
      <c r="J201" s="1090" t="s">
        <v>16508</v>
      </c>
      <c r="K201" s="1090" t="s">
        <v>16508</v>
      </c>
      <c r="L201" s="1088"/>
    </row>
    <row r="202" spans="1:12" ht="21">
      <c r="A202" s="1087" t="s">
        <v>16489</v>
      </c>
      <c r="B202" s="1091">
        <v>21</v>
      </c>
      <c r="C202" s="1091">
        <v>22</v>
      </c>
      <c r="D202" s="1091">
        <v>23</v>
      </c>
      <c r="E202" s="1091">
        <v>24</v>
      </c>
      <c r="F202" s="1091">
        <v>25</v>
      </c>
      <c r="G202" s="1091">
        <v>26</v>
      </c>
      <c r="H202" s="1091">
        <v>27</v>
      </c>
      <c r="I202" s="1091">
        <v>28</v>
      </c>
      <c r="J202" s="1091">
        <v>29</v>
      </c>
      <c r="K202" s="1091">
        <v>30</v>
      </c>
      <c r="L202" s="1088"/>
    </row>
    <row r="203" spans="1:12" ht="18">
      <c r="A203" s="1092" t="s">
        <v>16490</v>
      </c>
      <c r="B203" s="1093"/>
      <c r="C203" s="1093"/>
      <c r="D203" s="1093"/>
      <c r="E203" s="1093"/>
      <c r="F203" s="1093"/>
      <c r="G203" s="1093"/>
      <c r="H203" s="1093"/>
      <c r="I203" s="1093"/>
      <c r="J203" s="1093"/>
      <c r="K203" s="1093"/>
      <c r="L203" s="1088"/>
    </row>
    <row r="204" spans="1:12" ht="18">
      <c r="A204" s="1087" t="s">
        <v>5725</v>
      </c>
      <c r="B204" s="1094"/>
      <c r="C204" s="1094"/>
      <c r="D204" s="1094"/>
      <c r="E204" s="1094"/>
      <c r="F204" s="1094"/>
      <c r="G204" s="1094"/>
      <c r="H204" s="1094"/>
      <c r="I204" s="1094"/>
      <c r="J204" s="1094"/>
      <c r="K204" s="1094"/>
      <c r="L204" s="1088"/>
    </row>
    <row r="205" spans="1:12" ht="18">
      <c r="A205" s="1087" t="s">
        <v>16491</v>
      </c>
      <c r="B205" s="1095"/>
      <c r="C205" s="1095"/>
      <c r="D205" s="1095"/>
      <c r="E205" s="1095"/>
      <c r="F205" s="1095"/>
      <c r="G205" s="1095"/>
      <c r="H205" s="1095"/>
      <c r="I205" s="1095"/>
      <c r="J205" s="1095"/>
      <c r="K205" s="1095"/>
      <c r="L205" s="1088"/>
    </row>
    <row r="206" spans="1:12" ht="18">
      <c r="A206" s="1087"/>
      <c r="B206" s="1089"/>
      <c r="C206" s="1089"/>
      <c r="D206" s="1089"/>
      <c r="E206" s="1089"/>
      <c r="F206" s="1089"/>
      <c r="G206" s="1089"/>
      <c r="H206" s="1089"/>
      <c r="I206" s="1089"/>
      <c r="J206" s="1089"/>
      <c r="K206" s="1089"/>
      <c r="L206" s="1088"/>
    </row>
    <row r="207" spans="1:12" ht="21">
      <c r="A207" s="1087" t="s">
        <v>16487</v>
      </c>
      <c r="B207" s="1090" t="s">
        <v>16509</v>
      </c>
      <c r="C207" s="1090" t="s">
        <v>16509</v>
      </c>
      <c r="D207" s="1090" t="s">
        <v>16509</v>
      </c>
      <c r="E207" s="1090" t="s">
        <v>16509</v>
      </c>
      <c r="F207" s="1090" t="s">
        <v>16509</v>
      </c>
      <c r="G207" s="1090" t="s">
        <v>16509</v>
      </c>
      <c r="H207" s="1090" t="s">
        <v>16509</v>
      </c>
      <c r="I207" s="1090" t="s">
        <v>16509</v>
      </c>
      <c r="J207" s="1090" t="s">
        <v>16509</v>
      </c>
      <c r="K207" s="1090" t="s">
        <v>16509</v>
      </c>
      <c r="L207" s="1088"/>
    </row>
    <row r="208" spans="1:12" ht="21">
      <c r="A208" s="1087" t="s">
        <v>16489</v>
      </c>
      <c r="B208" s="1091">
        <v>1</v>
      </c>
      <c r="C208" s="1091">
        <v>2</v>
      </c>
      <c r="D208" s="1091">
        <v>3</v>
      </c>
      <c r="E208" s="1091">
        <v>4</v>
      </c>
      <c r="F208" s="1091">
        <v>5</v>
      </c>
      <c r="G208" s="1091">
        <v>6</v>
      </c>
      <c r="H208" s="1091">
        <v>7</v>
      </c>
      <c r="I208" s="1091">
        <v>8</v>
      </c>
      <c r="J208" s="1091">
        <v>9</v>
      </c>
      <c r="K208" s="1091">
        <v>10</v>
      </c>
      <c r="L208" s="1088"/>
    </row>
    <row r="209" spans="1:12" ht="18">
      <c r="A209" s="1092" t="s">
        <v>16490</v>
      </c>
      <c r="B209" s="1093"/>
      <c r="C209" s="1093"/>
      <c r="D209" s="1093"/>
      <c r="E209" s="1093"/>
      <c r="F209" s="1093"/>
      <c r="G209" s="1093"/>
      <c r="H209" s="1093"/>
      <c r="I209" s="1093"/>
      <c r="J209" s="1093"/>
      <c r="K209" s="1093"/>
      <c r="L209" s="1088"/>
    </row>
    <row r="210" spans="1:12" ht="18">
      <c r="A210" s="1087" t="s">
        <v>5725</v>
      </c>
      <c r="B210" s="1094"/>
      <c r="C210" s="1094"/>
      <c r="D210" s="1094"/>
      <c r="E210" s="1094"/>
      <c r="F210" s="1094"/>
      <c r="G210" s="1094"/>
      <c r="H210" s="1094"/>
      <c r="I210" s="1094"/>
      <c r="J210" s="1094"/>
      <c r="K210" s="1094"/>
      <c r="L210" s="1088"/>
    </row>
    <row r="211" spans="1:12" ht="18">
      <c r="A211" s="1087" t="s">
        <v>16491</v>
      </c>
      <c r="B211" s="1095"/>
      <c r="C211" s="1095"/>
      <c r="D211" s="1095"/>
      <c r="E211" s="1095"/>
      <c r="F211" s="1095"/>
      <c r="G211" s="1095"/>
      <c r="H211" s="1095"/>
      <c r="I211" s="1095"/>
      <c r="J211" s="1095"/>
      <c r="K211" s="1095"/>
      <c r="L211" s="1088"/>
    </row>
    <row r="212" spans="1:12" ht="18">
      <c r="A212" s="1087"/>
      <c r="B212" s="1089"/>
      <c r="C212" s="1089"/>
      <c r="D212" s="1089"/>
      <c r="E212" s="1089"/>
      <c r="F212" s="1089"/>
      <c r="G212" s="1089"/>
      <c r="H212" s="1089"/>
      <c r="I212" s="1089"/>
      <c r="J212" s="1089"/>
      <c r="K212" s="1089"/>
      <c r="L212" s="1088"/>
    </row>
    <row r="213" spans="1:12" ht="21">
      <c r="A213" s="1087" t="s">
        <v>16487</v>
      </c>
      <c r="B213" s="1090" t="s">
        <v>16509</v>
      </c>
      <c r="C213" s="1090" t="s">
        <v>16509</v>
      </c>
      <c r="D213" s="1090" t="s">
        <v>16509</v>
      </c>
      <c r="E213" s="1090" t="s">
        <v>16509</v>
      </c>
      <c r="F213" s="1090" t="s">
        <v>16509</v>
      </c>
      <c r="G213" s="1090" t="s">
        <v>16509</v>
      </c>
      <c r="H213" s="1090" t="s">
        <v>16509</v>
      </c>
      <c r="I213" s="1090" t="s">
        <v>16509</v>
      </c>
      <c r="J213" s="1090" t="s">
        <v>16509</v>
      </c>
      <c r="K213" s="1090" t="s">
        <v>16509</v>
      </c>
      <c r="L213" s="1088"/>
    </row>
    <row r="214" spans="1:12" ht="21">
      <c r="A214" s="1087" t="s">
        <v>16489</v>
      </c>
      <c r="B214" s="1091">
        <v>11</v>
      </c>
      <c r="C214" s="1091">
        <v>12</v>
      </c>
      <c r="D214" s="1091">
        <v>13</v>
      </c>
      <c r="E214" s="1091">
        <v>14</v>
      </c>
      <c r="F214" s="1091">
        <v>15</v>
      </c>
      <c r="G214" s="1091">
        <v>16</v>
      </c>
      <c r="H214" s="1091">
        <v>17</v>
      </c>
      <c r="I214" s="1091">
        <v>18</v>
      </c>
      <c r="J214" s="1091">
        <v>19</v>
      </c>
      <c r="K214" s="1091">
        <v>20</v>
      </c>
      <c r="L214" s="1088"/>
    </row>
    <row r="215" spans="1:12" ht="18">
      <c r="A215" s="1092" t="s">
        <v>16490</v>
      </c>
      <c r="B215" s="1093"/>
      <c r="C215" s="1093"/>
      <c r="D215" s="1093"/>
      <c r="E215" s="1093"/>
      <c r="F215" s="1093"/>
      <c r="G215" s="1093"/>
      <c r="H215" s="1093"/>
      <c r="I215" s="1093"/>
      <c r="J215" s="1093"/>
      <c r="K215" s="1093"/>
      <c r="L215" s="1088"/>
    </row>
    <row r="216" spans="1:12" ht="18">
      <c r="A216" s="1087" t="s">
        <v>5725</v>
      </c>
      <c r="B216" s="1094"/>
      <c r="C216" s="1094"/>
      <c r="D216" s="1094"/>
      <c r="E216" s="1094"/>
      <c r="F216" s="1094"/>
      <c r="G216" s="1094"/>
      <c r="H216" s="1094"/>
      <c r="I216" s="1094"/>
      <c r="J216" s="1094"/>
      <c r="K216" s="1094"/>
      <c r="L216" s="1088"/>
    </row>
    <row r="217" spans="1:12" ht="18">
      <c r="A217" s="1087" t="s">
        <v>16491</v>
      </c>
      <c r="B217" s="1095"/>
      <c r="C217" s="1095"/>
      <c r="D217" s="1095"/>
      <c r="E217" s="1095"/>
      <c r="F217" s="1095"/>
      <c r="G217" s="1095"/>
      <c r="H217" s="1095"/>
      <c r="I217" s="1095"/>
      <c r="J217" s="1095"/>
      <c r="K217" s="1095"/>
      <c r="L217" s="1088"/>
    </row>
    <row r="218" spans="1:12" ht="18">
      <c r="A218" s="1087"/>
      <c r="B218" s="1089"/>
      <c r="C218" s="1089"/>
      <c r="D218" s="1089"/>
      <c r="E218" s="1089"/>
      <c r="F218" s="1089"/>
      <c r="G218" s="1089"/>
      <c r="H218" s="1089"/>
      <c r="I218" s="1089"/>
      <c r="J218" s="1089"/>
      <c r="K218" s="1089"/>
      <c r="L218" s="1088"/>
    </row>
    <row r="219" spans="1:12" ht="21">
      <c r="A219" s="1087" t="s">
        <v>16487</v>
      </c>
      <c r="B219" s="1090" t="s">
        <v>16509</v>
      </c>
      <c r="C219" s="1090" t="s">
        <v>16509</v>
      </c>
      <c r="D219" s="1090" t="s">
        <v>16509</v>
      </c>
      <c r="E219" s="1090" t="s">
        <v>16509</v>
      </c>
      <c r="F219" s="1090" t="s">
        <v>16509</v>
      </c>
      <c r="G219" s="1090" t="s">
        <v>16509</v>
      </c>
      <c r="H219" s="1090" t="s">
        <v>16509</v>
      </c>
      <c r="I219" s="1090" t="s">
        <v>16509</v>
      </c>
      <c r="J219" s="1090" t="s">
        <v>16509</v>
      </c>
      <c r="K219" s="1090" t="s">
        <v>16509</v>
      </c>
      <c r="L219" s="1088"/>
    </row>
    <row r="220" spans="1:12" ht="21">
      <c r="A220" s="1087" t="s">
        <v>16489</v>
      </c>
      <c r="B220" s="1091">
        <v>21</v>
      </c>
      <c r="C220" s="1091">
        <v>22</v>
      </c>
      <c r="D220" s="1091">
        <v>23</v>
      </c>
      <c r="E220" s="1091">
        <v>24</v>
      </c>
      <c r="F220" s="1091">
        <v>25</v>
      </c>
      <c r="G220" s="1091">
        <v>26</v>
      </c>
      <c r="H220" s="1091">
        <v>27</v>
      </c>
      <c r="I220" s="1091">
        <v>28</v>
      </c>
      <c r="J220" s="1091">
        <v>29</v>
      </c>
      <c r="K220" s="1091">
        <v>30</v>
      </c>
      <c r="L220" s="1088"/>
    </row>
    <row r="221" spans="1:12" ht="18">
      <c r="A221" s="1092" t="s">
        <v>16490</v>
      </c>
      <c r="B221" s="1093"/>
      <c r="C221" s="1093"/>
      <c r="D221" s="1093"/>
      <c r="E221" s="1093"/>
      <c r="F221" s="1093"/>
      <c r="G221" s="1093"/>
      <c r="H221" s="1093"/>
      <c r="I221" s="1093"/>
      <c r="J221" s="1093"/>
      <c r="K221" s="1093"/>
      <c r="L221" s="1088"/>
    </row>
    <row r="222" spans="1:12" ht="18">
      <c r="A222" s="1087" t="s">
        <v>5725</v>
      </c>
      <c r="B222" s="1094"/>
      <c r="C222" s="1094"/>
      <c r="D222" s="1094"/>
      <c r="E222" s="1094"/>
      <c r="F222" s="1094"/>
      <c r="G222" s="1094"/>
      <c r="H222" s="1094"/>
      <c r="I222" s="1094"/>
      <c r="J222" s="1094"/>
      <c r="K222" s="1094"/>
      <c r="L222" s="1088"/>
    </row>
    <row r="223" spans="1:12" ht="18">
      <c r="A223" s="1087" t="s">
        <v>16491</v>
      </c>
      <c r="B223" s="1095"/>
      <c r="C223" s="1095"/>
      <c r="D223" s="1095"/>
      <c r="E223" s="1095"/>
      <c r="F223" s="1095"/>
      <c r="G223" s="1095"/>
      <c r="H223" s="1095"/>
      <c r="I223" s="1095"/>
      <c r="J223" s="1095"/>
      <c r="K223" s="1095"/>
      <c r="L223" s="1088"/>
    </row>
    <row r="224" spans="1:12" ht="18">
      <c r="A224" s="1087"/>
      <c r="B224" s="1089"/>
      <c r="C224" s="1089"/>
      <c r="D224" s="1089"/>
      <c r="E224" s="1089"/>
      <c r="F224" s="1089"/>
      <c r="G224" s="1089"/>
      <c r="H224" s="1089"/>
      <c r="I224" s="1089"/>
      <c r="J224" s="1089"/>
      <c r="K224" s="1089"/>
      <c r="L224" s="1088"/>
    </row>
    <row r="225" spans="1:12" ht="21">
      <c r="A225" s="1087" t="s">
        <v>16487</v>
      </c>
      <c r="B225" s="1096" t="s">
        <v>16510</v>
      </c>
      <c r="C225" s="1097"/>
      <c r="D225" s="1097"/>
      <c r="E225" s="1097"/>
      <c r="F225" s="1097"/>
      <c r="G225" s="1097"/>
      <c r="H225" s="1097"/>
      <c r="I225" s="1097"/>
      <c r="J225" s="1097"/>
      <c r="K225" s="1097"/>
      <c r="L225" s="1088"/>
    </row>
    <row r="226" spans="1:12" ht="21">
      <c r="A226" s="1087" t="s">
        <v>16489</v>
      </c>
      <c r="B226" s="1098" t="s">
        <v>16493</v>
      </c>
      <c r="C226" s="1097"/>
      <c r="D226" s="1097"/>
      <c r="E226" s="1097"/>
      <c r="F226" s="1097"/>
      <c r="G226" s="1097"/>
      <c r="H226" s="1097"/>
      <c r="I226" s="1097"/>
      <c r="J226" s="1097"/>
      <c r="K226" s="1097"/>
      <c r="L226" s="1088"/>
    </row>
    <row r="227" spans="1:12" ht="18">
      <c r="A227" s="1092" t="s">
        <v>16490</v>
      </c>
      <c r="B227" s="1093"/>
      <c r="C227" s="1099"/>
      <c r="D227" s="1099"/>
      <c r="E227" s="1099"/>
      <c r="F227" s="1099"/>
      <c r="G227" s="1099"/>
      <c r="H227" s="1099"/>
      <c r="I227" s="1099"/>
      <c r="J227" s="1099"/>
      <c r="K227" s="1099"/>
      <c r="L227" s="1088"/>
    </row>
    <row r="228" spans="1:12" ht="18">
      <c r="A228" s="1087" t="s">
        <v>5725</v>
      </c>
      <c r="B228" s="1094"/>
      <c r="C228" s="1087"/>
      <c r="D228" s="1087"/>
      <c r="E228" s="1087"/>
      <c r="F228" s="1087"/>
      <c r="G228" s="1087"/>
      <c r="H228" s="1087"/>
      <c r="I228" s="1087"/>
      <c r="J228" s="1087"/>
      <c r="K228" s="1087"/>
      <c r="L228" s="1088"/>
    </row>
    <row r="229" spans="1:12" ht="18">
      <c r="A229" s="1087" t="s">
        <v>16491</v>
      </c>
      <c r="B229" s="1095"/>
      <c r="C229" s="1087"/>
      <c r="D229" s="1087"/>
      <c r="E229" s="1087"/>
      <c r="F229" s="1087"/>
      <c r="G229" s="1087"/>
      <c r="H229" s="1087"/>
      <c r="I229" s="1087"/>
      <c r="J229" s="1087"/>
      <c r="K229" s="1087"/>
      <c r="L229" s="1088"/>
    </row>
    <row r="230" spans="1:12" ht="18">
      <c r="A230" s="1087"/>
      <c r="B230" s="1089"/>
      <c r="C230" s="1089"/>
      <c r="D230" s="1089"/>
      <c r="E230" s="1089"/>
      <c r="F230" s="1089"/>
      <c r="G230" s="1089"/>
      <c r="H230" s="1089"/>
      <c r="I230" s="1089"/>
      <c r="J230" s="1089"/>
      <c r="K230" s="1089"/>
      <c r="L230" s="1088"/>
    </row>
    <row r="231" spans="1:12" ht="21">
      <c r="A231" s="1087" t="s">
        <v>16487</v>
      </c>
      <c r="B231" s="1090" t="s">
        <v>16511</v>
      </c>
      <c r="C231" s="1090" t="s">
        <v>16511</v>
      </c>
      <c r="D231" s="1090" t="s">
        <v>16511</v>
      </c>
      <c r="E231" s="1090" t="s">
        <v>16511</v>
      </c>
      <c r="F231" s="1090" t="s">
        <v>16511</v>
      </c>
      <c r="G231" s="1090" t="s">
        <v>16511</v>
      </c>
      <c r="H231" s="1090" t="s">
        <v>16511</v>
      </c>
      <c r="I231" s="1090" t="s">
        <v>16511</v>
      </c>
      <c r="J231" s="1090" t="s">
        <v>16511</v>
      </c>
      <c r="K231" s="1090" t="s">
        <v>16511</v>
      </c>
      <c r="L231" s="1088"/>
    </row>
    <row r="232" spans="1:12" ht="21">
      <c r="A232" s="1087" t="s">
        <v>16489</v>
      </c>
      <c r="B232" s="1091">
        <v>1</v>
      </c>
      <c r="C232" s="1091">
        <v>2</v>
      </c>
      <c r="D232" s="1091">
        <v>3</v>
      </c>
      <c r="E232" s="1091">
        <v>4</v>
      </c>
      <c r="F232" s="1091">
        <v>5</v>
      </c>
      <c r="G232" s="1091">
        <v>6</v>
      </c>
      <c r="H232" s="1091">
        <v>7</v>
      </c>
      <c r="I232" s="1091">
        <v>8</v>
      </c>
      <c r="J232" s="1091">
        <v>9</v>
      </c>
      <c r="K232" s="1091">
        <v>10</v>
      </c>
      <c r="L232" s="1088"/>
    </row>
    <row r="233" spans="1:12" ht="18">
      <c r="A233" s="1092" t="s">
        <v>16490</v>
      </c>
      <c r="B233" s="1093"/>
      <c r="C233" s="1093"/>
      <c r="D233" s="1093"/>
      <c r="E233" s="1093"/>
      <c r="F233" s="1093"/>
      <c r="G233" s="1093"/>
      <c r="H233" s="1093"/>
      <c r="I233" s="1093"/>
      <c r="J233" s="1093"/>
      <c r="K233" s="1093"/>
      <c r="L233" s="1088"/>
    </row>
    <row r="234" spans="1:12" ht="18">
      <c r="A234" s="1087" t="s">
        <v>5725</v>
      </c>
      <c r="B234" s="1094"/>
      <c r="C234" s="1094"/>
      <c r="D234" s="1094"/>
      <c r="E234" s="1094"/>
      <c r="F234" s="1094"/>
      <c r="G234" s="1094"/>
      <c r="H234" s="1094"/>
      <c r="I234" s="1094"/>
      <c r="J234" s="1094"/>
      <c r="K234" s="1094"/>
      <c r="L234" s="1088"/>
    </row>
    <row r="235" spans="1:12" ht="18">
      <c r="A235" s="1087" t="s">
        <v>16491</v>
      </c>
      <c r="B235" s="1095"/>
      <c r="C235" s="1095"/>
      <c r="D235" s="1095"/>
      <c r="E235" s="1095"/>
      <c r="F235" s="1095"/>
      <c r="G235" s="1095"/>
      <c r="H235" s="1095"/>
      <c r="I235" s="1095"/>
      <c r="J235" s="1095"/>
      <c r="K235" s="1095"/>
      <c r="L235" s="1088"/>
    </row>
    <row r="236" spans="1:12" ht="18">
      <c r="A236" s="1087"/>
      <c r="B236" s="1089"/>
      <c r="C236" s="1089"/>
      <c r="D236" s="1089"/>
      <c r="E236" s="1089"/>
      <c r="F236" s="1089"/>
      <c r="G236" s="1089"/>
      <c r="H236" s="1089"/>
      <c r="I236" s="1089"/>
      <c r="J236" s="1089"/>
      <c r="K236" s="1089"/>
      <c r="L236" s="1088"/>
    </row>
    <row r="237" spans="1:12" ht="21">
      <c r="A237" s="1087" t="s">
        <v>16487</v>
      </c>
      <c r="B237" s="1090" t="s">
        <v>16511</v>
      </c>
      <c r="C237" s="1090" t="s">
        <v>16511</v>
      </c>
      <c r="D237" s="1090" t="s">
        <v>16511</v>
      </c>
      <c r="E237" s="1090" t="s">
        <v>16511</v>
      </c>
      <c r="F237" s="1090" t="s">
        <v>16511</v>
      </c>
      <c r="G237" s="1090" t="s">
        <v>16511</v>
      </c>
      <c r="H237" s="1090" t="s">
        <v>16511</v>
      </c>
      <c r="I237" s="1090" t="s">
        <v>16511</v>
      </c>
      <c r="J237" s="1090" t="s">
        <v>16511</v>
      </c>
      <c r="K237" s="1090" t="s">
        <v>16511</v>
      </c>
      <c r="L237" s="1088"/>
    </row>
    <row r="238" spans="1:12" ht="21">
      <c r="A238" s="1087" t="s">
        <v>16489</v>
      </c>
      <c r="B238" s="1091">
        <v>11</v>
      </c>
      <c r="C238" s="1091">
        <v>12</v>
      </c>
      <c r="D238" s="1091">
        <v>13</v>
      </c>
      <c r="E238" s="1091">
        <v>14</v>
      </c>
      <c r="F238" s="1091">
        <v>15</v>
      </c>
      <c r="G238" s="1091">
        <v>16</v>
      </c>
      <c r="H238" s="1091">
        <v>17</v>
      </c>
      <c r="I238" s="1091">
        <v>18</v>
      </c>
      <c r="J238" s="1091">
        <v>19</v>
      </c>
      <c r="K238" s="1091">
        <v>20</v>
      </c>
      <c r="L238" s="1088"/>
    </row>
    <row r="239" spans="1:12" ht="18">
      <c r="A239" s="1092" t="s">
        <v>16490</v>
      </c>
      <c r="B239" s="1093"/>
      <c r="C239" s="1093"/>
      <c r="D239" s="1093"/>
      <c r="E239" s="1093"/>
      <c r="F239" s="1093"/>
      <c r="G239" s="1093"/>
      <c r="H239" s="1093"/>
      <c r="I239" s="1093"/>
      <c r="J239" s="1093"/>
      <c r="K239" s="1093"/>
      <c r="L239" s="1088"/>
    </row>
    <row r="240" spans="1:12" ht="18">
      <c r="A240" s="1087" t="s">
        <v>5725</v>
      </c>
      <c r="B240" s="1094"/>
      <c r="C240" s="1094"/>
      <c r="D240" s="1094"/>
      <c r="E240" s="1094"/>
      <c r="F240" s="1094"/>
      <c r="G240" s="1094"/>
      <c r="H240" s="1094"/>
      <c r="I240" s="1094"/>
      <c r="J240" s="1094"/>
      <c r="K240" s="1094"/>
      <c r="L240" s="1088"/>
    </row>
    <row r="241" spans="1:12" ht="18">
      <c r="A241" s="1087" t="s">
        <v>16491</v>
      </c>
      <c r="B241" s="1095"/>
      <c r="C241" s="1095"/>
      <c r="D241" s="1095"/>
      <c r="E241" s="1095"/>
      <c r="F241" s="1095"/>
      <c r="G241" s="1095"/>
      <c r="H241" s="1095"/>
      <c r="I241" s="1095"/>
      <c r="J241" s="1095"/>
      <c r="K241" s="1095"/>
      <c r="L241" s="1088"/>
    </row>
    <row r="242" spans="1:12" ht="18">
      <c r="A242" s="1087"/>
      <c r="B242" s="1089"/>
      <c r="C242" s="1089"/>
      <c r="D242" s="1089"/>
      <c r="E242" s="1089"/>
      <c r="F242" s="1089"/>
      <c r="G242" s="1089"/>
      <c r="H242" s="1089"/>
      <c r="I242" s="1089"/>
      <c r="J242" s="1089"/>
      <c r="K242" s="1089"/>
      <c r="L242" s="1088"/>
    </row>
    <row r="243" spans="1:12" ht="21">
      <c r="A243" s="1087" t="s">
        <v>16487</v>
      </c>
      <c r="B243" s="1090" t="s">
        <v>16511</v>
      </c>
      <c r="C243" s="1090" t="s">
        <v>16511</v>
      </c>
      <c r="D243" s="1090" t="s">
        <v>16511</v>
      </c>
      <c r="E243" s="1090" t="s">
        <v>16511</v>
      </c>
      <c r="F243" s="1090" t="s">
        <v>16511</v>
      </c>
      <c r="G243" s="1090" t="s">
        <v>16511</v>
      </c>
      <c r="H243" s="1090" t="s">
        <v>16511</v>
      </c>
      <c r="I243" s="1090" t="s">
        <v>16511</v>
      </c>
      <c r="J243" s="1090" t="s">
        <v>16511</v>
      </c>
      <c r="K243" s="1090" t="s">
        <v>16511</v>
      </c>
      <c r="L243" s="1088"/>
    </row>
    <row r="244" spans="1:12" ht="21">
      <c r="A244" s="1087" t="s">
        <v>16489</v>
      </c>
      <c r="B244" s="1091">
        <v>21</v>
      </c>
      <c r="C244" s="1091">
        <v>22</v>
      </c>
      <c r="D244" s="1091">
        <v>23</v>
      </c>
      <c r="E244" s="1091">
        <v>24</v>
      </c>
      <c r="F244" s="1091">
        <v>25</v>
      </c>
      <c r="G244" s="1091">
        <v>26</v>
      </c>
      <c r="H244" s="1091">
        <v>27</v>
      </c>
      <c r="I244" s="1091">
        <v>28</v>
      </c>
      <c r="J244" s="1091">
        <v>29</v>
      </c>
      <c r="K244" s="1091">
        <v>30</v>
      </c>
      <c r="L244" s="1088"/>
    </row>
    <row r="245" spans="1:12" ht="18">
      <c r="A245" s="1092" t="s">
        <v>16490</v>
      </c>
      <c r="B245" s="1093"/>
      <c r="C245" s="1093"/>
      <c r="D245" s="1093"/>
      <c r="E245" s="1093"/>
      <c r="F245" s="1093"/>
      <c r="G245" s="1093"/>
      <c r="H245" s="1093"/>
      <c r="I245" s="1093"/>
      <c r="J245" s="1093"/>
      <c r="K245" s="1093"/>
      <c r="L245" s="1088"/>
    </row>
    <row r="246" spans="1:12" ht="18">
      <c r="A246" s="1087" t="s">
        <v>5725</v>
      </c>
      <c r="B246" s="1094"/>
      <c r="C246" s="1094"/>
      <c r="D246" s="1094"/>
      <c r="E246" s="1094"/>
      <c r="F246" s="1094"/>
      <c r="G246" s="1094"/>
      <c r="H246" s="1094"/>
      <c r="I246" s="1094"/>
      <c r="J246" s="1094"/>
      <c r="K246" s="1094"/>
      <c r="L246" s="1088"/>
    </row>
    <row r="247" spans="1:12" ht="18">
      <c r="A247" s="1087" t="s">
        <v>16491</v>
      </c>
      <c r="B247" s="1095"/>
      <c r="C247" s="1095"/>
      <c r="D247" s="1095"/>
      <c r="E247" s="1095"/>
      <c r="F247" s="1095"/>
      <c r="G247" s="1095"/>
      <c r="H247" s="1095"/>
      <c r="I247" s="1095"/>
      <c r="J247" s="1095"/>
      <c r="K247" s="1095"/>
      <c r="L247" s="1088"/>
    </row>
    <row r="248" spans="1:12" ht="18">
      <c r="A248" s="1087"/>
      <c r="B248" s="1089"/>
      <c r="C248" s="1089"/>
      <c r="D248" s="1089"/>
      <c r="E248" s="1089"/>
      <c r="F248" s="1089"/>
      <c r="G248" s="1089"/>
      <c r="H248" s="1089"/>
      <c r="I248" s="1089"/>
      <c r="J248" s="1089"/>
      <c r="K248" s="1089"/>
      <c r="L248" s="1088"/>
    </row>
    <row r="249" spans="1:12">
      <c r="L249" s="1088"/>
    </row>
  </sheetData>
  <mergeCells count="1">
    <mergeCell ref="B1:K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D336-56E3-4531-8D19-C37BB8BE31AF}">
  <dimension ref="A1:A42"/>
  <sheetViews>
    <sheetView workbookViewId="0">
      <selection activeCell="A5" sqref="A5"/>
    </sheetView>
  </sheetViews>
  <sheetFormatPr defaultRowHeight="14.25"/>
  <cols>
    <col min="1" max="1" width="17.5546875" style="1074" bestFit="1" customWidth="1"/>
    <col min="2" max="16384" width="8.88671875" style="1074"/>
  </cols>
  <sheetData>
    <row r="1" spans="1:1" ht="16.5">
      <c r="A1" s="1073" t="s">
        <v>16071</v>
      </c>
    </row>
    <row r="2" spans="1:1">
      <c r="A2" s="1075" t="s">
        <v>16053</v>
      </c>
    </row>
    <row r="3" spans="1:1">
      <c r="A3" s="1075" t="s">
        <v>11292</v>
      </c>
    </row>
    <row r="4" spans="1:1">
      <c r="A4" s="1075" t="s">
        <v>16049</v>
      </c>
    </row>
    <row r="5" spans="1:1">
      <c r="A5" s="1075" t="s">
        <v>16067</v>
      </c>
    </row>
    <row r="6" spans="1:1">
      <c r="A6" s="1075" t="s">
        <v>16061</v>
      </c>
    </row>
    <row r="7" spans="1:1">
      <c r="A7" s="1075" t="s">
        <v>16068</v>
      </c>
    </row>
    <row r="8" spans="1:1">
      <c r="A8" s="1075" t="s">
        <v>16066</v>
      </c>
    </row>
    <row r="9" spans="1:1">
      <c r="A9" s="1075" t="s">
        <v>16064</v>
      </c>
    </row>
    <row r="10" spans="1:1">
      <c r="A10" s="1075" t="s">
        <v>16063</v>
      </c>
    </row>
    <row r="11" spans="1:1">
      <c r="A11" s="1075" t="s">
        <v>16057</v>
      </c>
    </row>
    <row r="12" spans="1:1">
      <c r="A12" s="1075" t="s">
        <v>16044</v>
      </c>
    </row>
    <row r="13" spans="1:1">
      <c r="A13" s="1075" t="s">
        <v>16047</v>
      </c>
    </row>
    <row r="14" spans="1:1">
      <c r="A14" s="1075" t="s">
        <v>16040</v>
      </c>
    </row>
    <row r="15" spans="1:1">
      <c r="A15" s="1075" t="s">
        <v>16041</v>
      </c>
    </row>
    <row r="16" spans="1:1">
      <c r="A16" s="1075" t="s">
        <v>16054</v>
      </c>
    </row>
    <row r="17" spans="1:1">
      <c r="A17" s="1075" t="s">
        <v>6709</v>
      </c>
    </row>
    <row r="18" spans="1:1">
      <c r="A18" s="1075" t="s">
        <v>16059</v>
      </c>
    </row>
    <row r="19" spans="1:1">
      <c r="A19" s="1075" t="s">
        <v>16055</v>
      </c>
    </row>
    <row r="20" spans="1:1">
      <c r="A20" s="1075" t="s">
        <v>16042</v>
      </c>
    </row>
    <row r="21" spans="1:1">
      <c r="A21" s="1075" t="s">
        <v>2443</v>
      </c>
    </row>
    <row r="22" spans="1:1">
      <c r="A22" s="1075" t="s">
        <v>16058</v>
      </c>
    </row>
    <row r="23" spans="1:1">
      <c r="A23" s="1075" t="s">
        <v>16043</v>
      </c>
    </row>
    <row r="24" spans="1:1">
      <c r="A24" s="1075" t="s">
        <v>12184</v>
      </c>
    </row>
    <row r="25" spans="1:1">
      <c r="A25" s="1075" t="s">
        <v>11779</v>
      </c>
    </row>
    <row r="26" spans="1:1">
      <c r="A26" s="1075" t="s">
        <v>16062</v>
      </c>
    </row>
    <row r="27" spans="1:1">
      <c r="A27" s="1075" t="s">
        <v>16056</v>
      </c>
    </row>
    <row r="28" spans="1:1">
      <c r="A28" s="1075" t="s">
        <v>16070</v>
      </c>
    </row>
    <row r="29" spans="1:1">
      <c r="A29" s="1075" t="s">
        <v>16048</v>
      </c>
    </row>
    <row r="30" spans="1:1">
      <c r="A30" s="1075" t="s">
        <v>16046</v>
      </c>
    </row>
    <row r="31" spans="1:1">
      <c r="A31" s="1075" t="s">
        <v>16060</v>
      </c>
    </row>
    <row r="32" spans="1:1">
      <c r="A32" s="1075" t="s">
        <v>16038</v>
      </c>
    </row>
    <row r="33" spans="1:1">
      <c r="A33" s="1075" t="s">
        <v>16052</v>
      </c>
    </row>
    <row r="34" spans="1:1">
      <c r="A34" s="1075" t="s">
        <v>10246</v>
      </c>
    </row>
    <row r="35" spans="1:1">
      <c r="A35" s="1075" t="s">
        <v>5725</v>
      </c>
    </row>
    <row r="36" spans="1:1">
      <c r="A36" s="1075" t="s">
        <v>16039</v>
      </c>
    </row>
    <row r="37" spans="1:1">
      <c r="A37" s="1075" t="s">
        <v>16045</v>
      </c>
    </row>
    <row r="38" spans="1:1">
      <c r="A38" s="1075" t="s">
        <v>16037</v>
      </c>
    </row>
    <row r="39" spans="1:1">
      <c r="A39" s="1075" t="s">
        <v>16050</v>
      </c>
    </row>
    <row r="40" spans="1:1">
      <c r="A40" s="1075" t="s">
        <v>16051</v>
      </c>
    </row>
    <row r="41" spans="1:1">
      <c r="A41" s="1075" t="s">
        <v>16065</v>
      </c>
    </row>
    <row r="42" spans="1:1">
      <c r="A42" s="1075" t="s">
        <v>16069</v>
      </c>
    </row>
  </sheetData>
  <sortState xmlns:xlrd2="http://schemas.microsoft.com/office/spreadsheetml/2017/richdata2" ref="A2:A42">
    <sortCondition ref="A2"/>
  </sortState>
  <hyperlinks>
    <hyperlink ref="A35" location="'Weather'!A1" display="'Weather'!A1" xr:uid="{AFDE7772-015E-48A2-A820-626F7DE98FB1}"/>
    <hyperlink ref="A38" location="'Аркуш11'!A1" display="'Аркуш11'!A1" xr:uid="{84EB43CF-CD6A-47F8-A1BB-2A67C78ED9B8}"/>
    <hyperlink ref="A32" location="'Travel Tables'!A1" display="'Travel Tables'!A1" xr:uid="{B9B6902D-291B-4D02-92C4-F7FABBCA9EE6}"/>
    <hyperlink ref="A36" location="'Weather Tables'!A1" display="'Weather Tables'!A1" xr:uid="{7F2A55E9-E60E-4581-BD29-BF7F4263312C}"/>
    <hyperlink ref="A14" location="'Journal'!A1" display="'Journal'!A1" xr:uid="{2B5288CE-008A-4A04-BF27-6A6B713F24B0}"/>
    <hyperlink ref="A15" location="'Level Tables'!A1" display="'Level Tables'!A1" xr:uid="{B4B1ED98-514D-407A-BACB-A8349C7D9817}"/>
    <hyperlink ref="A20" location="'NPCs (2)'!A1" display="'NPCs (2)'!A1" xr:uid="{53B87290-9D51-4EC3-9C30-A05C8B5D7B12}"/>
    <hyperlink ref="A23" location="'Prices'!A1" display="'Prices'!A1" xr:uid="{C1488060-3644-4319-AF65-ED59EBD7C8A8}"/>
    <hyperlink ref="A12" location="'Hexgen data'!A1" display="'Hexgen data'!A1" xr:uid="{8E30304A-C87A-4B08-8791-A0D1920387A7}"/>
    <hyperlink ref="A37" location="'WORLDGRAPHER'!A1" display="'WORLDGRAPHER'!A1" xr:uid="{0D638F61-A120-4E28-9595-47F7A3A6DFDC}"/>
    <hyperlink ref="A21" location="'OGL'!A1" display="'OGL'!A1" xr:uid="{C95DBC90-4E43-4902-BB00-70495F334275}"/>
    <hyperlink ref="A30" location="'SUBSYSTEM'!A1" display="'SUBSYSTEM'!A1" xr:uid="{FAD6A004-7212-4A90-82ED-600E5C356E97}"/>
    <hyperlink ref="A13" location="'HIRELINGS'!A1" display="'HIRELINGS'!A1" xr:uid="{C873916B-4AC9-4507-878F-BAFE6F45D4B9}"/>
    <hyperlink ref="A29" location="'SPECIAL NPCS'!A1" display="'SPECIAL NPCS'!A1" xr:uid="{2F7B9784-8683-46EA-A773-888A0E214205}"/>
    <hyperlink ref="A4" location="'CAMP'!A1" display="'CAMP'!A1" xr:uid="{CEA8DCFA-F344-4BDF-9804-9684B00BACA1}"/>
    <hyperlink ref="A39" location="'Аркуш2'!A1" display="'Аркуш2'!A1" xr:uid="{46A358E9-3F7E-4EC7-8BA2-ABDF086FD2BA}"/>
    <hyperlink ref="A40" location="'Аркуш2 (2)'!A1" display="'Аркуш2 (2)'!A1" xr:uid="{F848F939-D93D-43A0-A211-1BAB4D14A1AD}"/>
    <hyperlink ref="A17" location="'MAGIC ITEMS'!A1" display="'MAGIC ITEMS'!A1" xr:uid="{8376BF70-41F9-44FC-904B-4C6ACE77C2FC}"/>
    <hyperlink ref="A33" location="'TREASURE'!A1" display="'TREASURE'!A1" xr:uid="{9C2C632F-57E2-4503-9AEE-7A0D1E3C4EA3}"/>
    <hyperlink ref="A2" location="'Basic Price Sheet'!A1" display="'Basic Price Sheet'!A1" xr:uid="{B9F622AE-7905-4905-B6A2-526330BCB4A3}"/>
    <hyperlink ref="A16" location="'LootGen'!A1" display="'LootGen'!A1" xr:uid="{AE0BF854-1B18-4E7A-8F70-AE63FC6E50A5}"/>
    <hyperlink ref="A19" location="'NPCs'!A1" display="'NPCs'!A1" xr:uid="{F9B9CE92-8FA2-4375-9DE6-A94405FD9C58}"/>
    <hyperlink ref="A27" location="'Sheet1'!A1" display="'Sheet1'!A1" xr:uid="{15A5338F-8A7C-443A-BD1A-D4F016CE4324}"/>
    <hyperlink ref="A11" location="'GM SCREEN'!A1" display="'GM SCREEN'!A1" xr:uid="{63C3BC45-95A3-44C8-891A-BB33E86DE136}"/>
    <hyperlink ref="A22" location="'ORGANIZATIONS'!A1" display="'ORGANIZATIONS'!A1" xr:uid="{943775DB-9F3C-4046-8BF2-97E5978924F7}"/>
    <hyperlink ref="A18" location="'Noble Houses'!A1" display="'Noble Houses'!A1" xr:uid="{0F92E046-FA78-4BF2-A332-6EBE4C417C80}"/>
    <hyperlink ref="A31" location="'TIMELINE'!A1" display="'TIMELINE'!A1" xr:uid="{86D29385-4BB2-4F9D-BC4E-6F04CF4458A1}"/>
    <hyperlink ref="A6" location="'Cormyr Encounters'!A1" display="'Cormyr Encounters'!A1" xr:uid="{31D3EC2C-99C7-49DC-9218-A3F4B386C16C}"/>
    <hyperlink ref="A26" location="'SETTLEMENTS'!A1" display="'SETTLEMENTS'!A1" xr:uid="{DA4ECA8B-3EED-4464-8BEB-1F82559CC174}"/>
    <hyperlink ref="A10" location="'DISTANCES CORMYR'!A1" display="'DISTANCES CORMYR'!A1" xr:uid="{74E6746B-3CA0-4883-8A0A-7BE0228C7572}"/>
    <hyperlink ref="A24" location="'Purple Dragons'!A1" display="'Purple Dragons'!A1" xr:uid="{BFFC0257-5B73-440E-A0E3-BCE99B8C1BD4}"/>
    <hyperlink ref="A9" location="'DIAGRAMS'!A1" display="'DIAGRAMS'!A1" xr:uid="{0F366164-646F-4F2B-A1A0-89043598B074}"/>
    <hyperlink ref="A41" location="'Аркуш4'!A1" display="'Аркуш4'!A1" xr:uid="{CE1BA340-2C21-4D70-991E-6B5507C91944}"/>
    <hyperlink ref="A34" location="'War Wizards'!A1" display="'War Wizards'!A1" xr:uid="{F6434B75-B219-4909-AC89-7958FEB75724}"/>
    <hyperlink ref="A3" location="'Blue Dragons'!A1" display="'Blue Dragons'!A1" xr:uid="{F55A18AD-7DAD-4436-9128-F984CA3BD271}"/>
    <hyperlink ref="A8" location="'Diagram Navy'!A1" display="'Diagram Navy'!A1" xr:uid="{BAB1CBEB-CC30-4052-B301-7C9A49CA3143}"/>
    <hyperlink ref="A25" location="'Royal Court'!A1" display="'Royal Court'!A1" xr:uid="{79C86539-F8BC-411F-9F68-DAC245330090}"/>
    <hyperlink ref="A5" location="'CONFIG000'!A1" display="'CONFIG000'!A1" xr:uid="{6726E163-582E-46C6-99F4-0039F027F50E}"/>
    <hyperlink ref="A7" location="'CREDIT000'!A1" display="'CREDIT000'!A1" xr:uid="{D337DFA0-3B31-48CD-B779-1D905822CF13}"/>
    <hyperlink ref="A42" location="'Аркуш5'!A1" display="'Аркуш5'!A1" xr:uid="{FDD538BC-E4A6-4E12-B403-327D89D461D9}"/>
    <hyperlink ref="A28" location="'Sources'!A1" display="'Sources'!A1" xr:uid="{ACF04FA7-887B-4BD4-B91D-CEA764D4145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FF97-5FD7-49F7-917A-9F0D289DC4F5}">
  <sheetPr>
    <tabColor rgb="FF00B050"/>
  </sheetPr>
  <dimension ref="A1:W50"/>
  <sheetViews>
    <sheetView topLeftCell="B1" workbookViewId="0">
      <selection activeCell="B1" sqref="B1:L2"/>
    </sheetView>
  </sheetViews>
  <sheetFormatPr defaultColWidth="11.21875" defaultRowHeight="15.75" customHeight="1"/>
  <cols>
    <col min="1" max="1" width="3.33203125" style="823" hidden="1" customWidth="1"/>
    <col min="2" max="2" width="11.21875" style="823" customWidth="1"/>
    <col min="3" max="3" width="12.33203125" style="823" hidden="1" customWidth="1"/>
    <col min="4" max="6" width="11.21875" style="823" customWidth="1"/>
    <col min="7" max="7" width="1.21875" style="823" customWidth="1"/>
    <col min="8" max="9" width="11.21875" style="823" customWidth="1"/>
    <col min="10" max="10" width="1.21875" style="823" customWidth="1"/>
    <col min="11" max="13" width="11.21875" style="823" hidden="1" customWidth="1"/>
    <col min="14" max="15" width="11.21875" style="823" customWidth="1"/>
    <col min="16" max="16" width="1.21875" style="823" customWidth="1"/>
    <col min="17" max="18" width="11.21875" style="823" customWidth="1"/>
    <col min="19" max="23" width="13.44140625" style="823" customWidth="1"/>
    <col min="24" max="16384" width="11.21875" style="823"/>
  </cols>
  <sheetData>
    <row r="1" spans="1:23" ht="18.75" customHeight="1">
      <c r="A1" s="1023" t="s">
        <v>15599</v>
      </c>
      <c r="B1" s="1293" t="s">
        <v>15600</v>
      </c>
      <c r="C1" s="1289"/>
      <c r="D1" s="1289"/>
      <c r="E1" s="1289"/>
      <c r="F1" s="1289"/>
      <c r="G1" s="1289"/>
      <c r="H1" s="1289"/>
      <c r="I1" s="1289"/>
      <c r="J1" s="1289"/>
      <c r="K1" s="1289"/>
      <c r="L1" s="1289"/>
      <c r="N1" s="1289"/>
      <c r="O1" s="1289"/>
      <c r="P1" s="1024"/>
      <c r="Q1" s="962" t="s">
        <v>12725</v>
      </c>
      <c r="R1" s="962" t="s">
        <v>15601</v>
      </c>
      <c r="S1" s="962" t="s">
        <v>15602</v>
      </c>
      <c r="T1" s="970" t="s">
        <v>15603</v>
      </c>
      <c r="U1" s="1025" t="s">
        <v>12638</v>
      </c>
      <c r="V1" s="1026" t="s">
        <v>15604</v>
      </c>
      <c r="W1" s="1027" t="s">
        <v>131</v>
      </c>
    </row>
    <row r="2" spans="1:23" ht="18.75" customHeight="1">
      <c r="A2" s="1023"/>
      <c r="B2" s="1289"/>
      <c r="C2" s="1289"/>
      <c r="D2" s="1289"/>
      <c r="E2" s="1289"/>
      <c r="F2" s="1289"/>
      <c r="G2" s="1289"/>
      <c r="H2" s="1289"/>
      <c r="I2" s="1289"/>
      <c r="J2" s="1289"/>
      <c r="K2" s="1289"/>
      <c r="L2" s="1289"/>
      <c r="N2" s="1289"/>
      <c r="O2" s="1289"/>
      <c r="P2" s="1024"/>
      <c r="Q2" s="1028" t="s">
        <v>15605</v>
      </c>
      <c r="R2" s="1028">
        <v>6</v>
      </c>
      <c r="S2" s="1028" t="s">
        <v>15549</v>
      </c>
      <c r="T2" s="1029" t="b">
        <v>0</v>
      </c>
      <c r="U2" s="1030" t="b">
        <v>1</v>
      </c>
      <c r="V2" s="1031" t="b">
        <v>0</v>
      </c>
      <c r="W2" s="1032" t="b">
        <v>0</v>
      </c>
    </row>
    <row r="3" spans="1:23" ht="18.75" customHeight="1">
      <c r="A3" s="963"/>
      <c r="B3" s="1294" t="s">
        <v>15606</v>
      </c>
      <c r="C3" s="1289"/>
      <c r="D3" s="1289"/>
      <c r="E3" s="1294" t="s">
        <v>15607</v>
      </c>
      <c r="F3" s="1289"/>
      <c r="G3" s="1000"/>
      <c r="H3" s="1295" t="str">
        <f>"At these settings, there will be clear skies "&amp;TEXT(CONFIG000!$EF$7,"0%")&amp;" of the time, light precipitation "&amp;TEXT(CONFIG000!$EG$7,"0%")&amp;" of the time, and heavy precipitation "&amp;TEXT(CONFIG000!EH7,"0%")&amp;" of the time."</f>
        <v>At these settings, there will be clear skies 99% of the time, light precipitation 0% of the time, and heavy precipitation 0% of the time.</v>
      </c>
      <c r="I3" s="1289"/>
      <c r="J3" s="1289"/>
      <c r="K3" s="1289"/>
      <c r="L3" s="1289"/>
      <c r="M3" s="1289"/>
      <c r="N3" s="1289"/>
      <c r="O3" s="1289"/>
      <c r="P3" s="1024"/>
      <c r="Q3" s="1288"/>
      <c r="R3" s="1289"/>
      <c r="S3" s="1289"/>
      <c r="T3" s="1289"/>
      <c r="U3" s="1289"/>
      <c r="V3" s="1289"/>
      <c r="W3" s="1289"/>
    </row>
    <row r="4" spans="1:23" ht="18.75" customHeight="1">
      <c r="A4" s="963"/>
      <c r="B4" s="1290" t="s">
        <v>15560</v>
      </c>
      <c r="C4" s="1289"/>
      <c r="D4" s="1289"/>
      <c r="E4" s="1290" t="s">
        <v>5736</v>
      </c>
      <c r="F4" s="1289"/>
      <c r="G4" s="1000"/>
      <c r="H4" s="1289"/>
      <c r="I4" s="1289"/>
      <c r="J4" s="1289"/>
      <c r="K4" s="1289"/>
      <c r="L4" s="1289"/>
      <c r="M4" s="1289"/>
      <c r="N4" s="1289"/>
      <c r="O4" s="1289"/>
      <c r="P4" s="1024"/>
      <c r="Q4" s="1291" t="s">
        <v>15608</v>
      </c>
      <c r="R4" s="1289"/>
      <c r="S4" s="1289"/>
      <c r="T4" s="1289"/>
      <c r="U4" s="1289"/>
      <c r="V4" s="1289"/>
      <c r="W4" s="1289"/>
    </row>
    <row r="5" spans="1:23" ht="18.75" customHeight="1">
      <c r="A5" s="963"/>
      <c r="B5" s="1033"/>
      <c r="C5" s="963"/>
      <c r="D5" s="1033"/>
      <c r="E5" s="1033"/>
      <c r="F5" s="1034" t="s">
        <v>1235</v>
      </c>
      <c r="G5" s="1000"/>
      <c r="H5" s="1289"/>
      <c r="I5" s="1289"/>
      <c r="J5" s="1289"/>
      <c r="K5" s="1289"/>
      <c r="L5" s="1289"/>
      <c r="M5" s="1289"/>
      <c r="N5" s="1289"/>
      <c r="O5" s="1289"/>
      <c r="P5" s="1024"/>
      <c r="Q5" s="1035" t="s">
        <v>15609</v>
      </c>
      <c r="R5" s="1035" t="s">
        <v>15610</v>
      </c>
      <c r="S5" s="1035" t="s">
        <v>15611</v>
      </c>
      <c r="T5" s="1035" t="s">
        <v>15612</v>
      </c>
      <c r="U5" s="1292" t="s">
        <v>15613</v>
      </c>
      <c r="V5" s="1289"/>
      <c r="W5" s="1289"/>
    </row>
    <row r="6" spans="1:23" ht="18.75" customHeight="1">
      <c r="A6" s="963"/>
      <c r="B6" s="962" t="s">
        <v>9405</v>
      </c>
      <c r="C6" s="963"/>
      <c r="D6" s="962" t="s">
        <v>15614</v>
      </c>
      <c r="E6" s="962" t="s">
        <v>14325</v>
      </c>
      <c r="F6" s="962" t="s">
        <v>15615</v>
      </c>
      <c r="G6" s="1000"/>
      <c r="H6" s="1295" t="str">
        <f>"Also at these settings, there will be "&amp;CONFIG000!$EF$9&amp;" "&amp;TEXT(CONFIG000!$EF$13,"0%")&amp;" of the time, "&amp;CONFIG000!$EG$9&amp;" "&amp;TEXT(CONFIG000!$EG$13,"0%")&amp;" of the time, and "&amp;CONFIG000!$EH$9&amp;" "&amp;TEXT(CONFIG000!EH13,"0%")&amp;" of the time."</f>
        <v>Also at these settings, there will be No Wind 33% of the time, Low Winds 46% of the time, and High Winds 21% of the time.</v>
      </c>
      <c r="I6" s="1289"/>
      <c r="J6" s="1289"/>
      <c r="K6" s="1289"/>
      <c r="L6" s="1289"/>
      <c r="M6" s="1289"/>
      <c r="N6" s="1289"/>
      <c r="O6" s="1289"/>
      <c r="P6" s="1024"/>
      <c r="Q6" s="1036" t="s">
        <v>15616</v>
      </c>
      <c r="R6" s="1036" t="s">
        <v>15617</v>
      </c>
      <c r="S6" s="1036" t="s">
        <v>15618</v>
      </c>
      <c r="T6" s="1036" t="s">
        <v>15619</v>
      </c>
      <c r="U6" s="1296" t="s">
        <v>15620</v>
      </c>
      <c r="V6" s="1289"/>
      <c r="W6" s="1289"/>
    </row>
    <row r="7" spans="1:23" ht="18.75" customHeight="1">
      <c r="A7" s="963"/>
      <c r="B7" s="1037" t="s">
        <v>15545</v>
      </c>
      <c r="C7" s="963"/>
      <c r="D7" s="1037" t="s">
        <v>7514</v>
      </c>
      <c r="E7" s="1037" t="s">
        <v>7524</v>
      </c>
      <c r="F7" s="1037">
        <v>100</v>
      </c>
      <c r="G7" s="1000"/>
      <c r="H7" s="1289"/>
      <c r="I7" s="1289"/>
      <c r="J7" s="1289"/>
      <c r="K7" s="1289"/>
      <c r="L7" s="1289"/>
      <c r="M7" s="1289"/>
      <c r="N7" s="1289"/>
      <c r="O7" s="1289"/>
      <c r="P7" s="1024"/>
      <c r="Q7" s="1036" t="s">
        <v>9</v>
      </c>
      <c r="R7" s="1036" t="s">
        <v>15621</v>
      </c>
      <c r="S7" s="1036" t="s">
        <v>15622</v>
      </c>
      <c r="T7" s="1036" t="s">
        <v>15623</v>
      </c>
      <c r="U7" s="1296" t="s">
        <v>2315</v>
      </c>
      <c r="V7" s="1289"/>
      <c r="W7" s="1289"/>
    </row>
    <row r="8" spans="1:23" ht="18.75" customHeight="1">
      <c r="A8" s="963"/>
      <c r="B8" s="1033"/>
      <c r="C8" s="963"/>
      <c r="D8" s="1033"/>
      <c r="E8" s="1033"/>
      <c r="F8" s="1033"/>
      <c r="G8" s="1000"/>
      <c r="H8" s="1289"/>
      <c r="I8" s="1289"/>
      <c r="J8" s="1289"/>
      <c r="K8" s="1289"/>
      <c r="L8" s="1289"/>
      <c r="M8" s="1289"/>
      <c r="N8" s="1289"/>
      <c r="O8" s="1289"/>
      <c r="P8" s="1024"/>
      <c r="Q8" s="1036" t="s">
        <v>6082</v>
      </c>
      <c r="R8" s="1036" t="s">
        <v>15624</v>
      </c>
      <c r="S8" s="1036" t="s">
        <v>15625</v>
      </c>
      <c r="T8" s="1036" t="s">
        <v>15626</v>
      </c>
      <c r="U8" s="1296" t="s">
        <v>15627</v>
      </c>
      <c r="V8" s="1289"/>
      <c r="W8" s="1289"/>
    </row>
    <row r="9" spans="1:23" ht="18.75" customHeight="1">
      <c r="A9" s="1038" t="s">
        <v>1643</v>
      </c>
      <c r="B9" s="962" t="s">
        <v>12725</v>
      </c>
      <c r="C9" s="962" t="s">
        <v>9405</v>
      </c>
      <c r="D9" s="962" t="s">
        <v>15628</v>
      </c>
      <c r="E9" s="962" t="s">
        <v>15614</v>
      </c>
      <c r="F9" s="1294" t="s">
        <v>14325</v>
      </c>
      <c r="G9" s="1289"/>
      <c r="H9" s="962" t="s">
        <v>15570</v>
      </c>
      <c r="I9" s="962" t="s">
        <v>15629</v>
      </c>
      <c r="J9" s="1039"/>
      <c r="K9" s="955" t="s">
        <v>15542</v>
      </c>
      <c r="L9" s="955" t="s">
        <v>15543</v>
      </c>
      <c r="M9" s="955" t="s">
        <v>15544</v>
      </c>
      <c r="N9" s="962" t="s">
        <v>15630</v>
      </c>
      <c r="O9" s="962" t="s">
        <v>15631</v>
      </c>
      <c r="P9" s="1024"/>
      <c r="Q9" s="1288" t="s">
        <v>15632</v>
      </c>
      <c r="R9" s="1289"/>
      <c r="S9" s="1289"/>
      <c r="T9" s="1289"/>
      <c r="U9" s="1289"/>
      <c r="V9" s="1289"/>
      <c r="W9" s="1289"/>
    </row>
    <row r="10" spans="1:23" ht="18.75" customHeight="1">
      <c r="A10" s="1040">
        <f t="shared" ref="A10:A50" si="0">IFERROR(1+A9,1)</f>
        <v>1</v>
      </c>
      <c r="B10" s="1030">
        <f>IF($A10=1,IF($B$7=CONFIG000!$DZ$8, 2, 1),IF($C10=1,#REF!+1,#REF!))</f>
        <v>1</v>
      </c>
      <c r="C10" s="973">
        <f>IF($A10=1,MOD(MATCH($B$7,CONFIG000!$DZ$3:$DZ$8,0),6)+1,IF($C9=COUNTA(CONFIG000!$DZ$3:$DZ$8),1,C9+1))</f>
        <v>2</v>
      </c>
      <c r="D10" s="1041" t="str">
        <f t="array" ref="D10">INDEX(CONFIG000!$DZ$3:$DZ$8,$C10)</f>
        <v>Midday</v>
      </c>
      <c r="E10" s="973" t="str">
        <f t="array" ref="E10">SUBSTITUTE(INDEX(CONFIG000!$EL$3:$EN$3,,MATCH(K10,INDEX(CONFIG000!$EL$4:$EN$6,MATCH(IF($A10=1,D$7,SUBSTITUTE($E9,"Snow","Rain")),CONFIG000!$EK$4:$EK$6,0),),1)),IF($N10&lt;CONFIG000!$EA$39,"Rain","N/A"),"Snow")</f>
        <v>Light Rain</v>
      </c>
      <c r="F10" s="1297" t="str">
        <f t="array" ref="F10">INDEX('[5]Weather Tables'!$M$8:$O$8,,MATCH(L10,INDEX('[5]Weather Tables'!$M$9:$O$11,MATCH(IF($A10=1,E$7,F9),'[5]Weather Tables'!$L$9:$L$11,0),),1))</f>
        <v>Low Winds</v>
      </c>
      <c r="G10" s="1289"/>
      <c r="H10" s="1041" t="str">
        <f t="array" ref="H10">INDEX('[5]Weather Tables'!$A$36:A$43,MATCH(N10,'[5]Weather Tables'!$B$36:B$43,1),)</f>
        <v>Extreme heat</v>
      </c>
      <c r="I10" s="973" t="str">
        <f>IF(AND(SUBSTITUTE($E10,"Snow","Rain")='[5]Weather Tables'!$I$2,$F10='[5]Weather Tables'!$I$8), IF($E10='[5]Weather Tables'!$I$2, "STORM!", "BLIZZARD!"), "")</f>
        <v/>
      </c>
      <c r="J10" s="1039"/>
      <c r="K10" s="1042">
        <v>0.90229754896005598</v>
      </c>
      <c r="L10" s="1042">
        <v>0.24791940550808333</v>
      </c>
      <c r="M10" s="1042">
        <v>0.36907569041240296</v>
      </c>
      <c r="N10" s="1043">
        <f t="array" ref="N10">NORMINV(M10,AVERAGE(IF(N9=$N$9,F7,N9),INDEX('[5]Weather Tables'!$B$24:$B$33,MATCH($E$4,'[5]Weather Tables'!$A$24:$A$33,0))+INDEX('[5]Weather Tables'!$B$10:$B$21, MATCH($B$4,'[5]Weather Tables'!$A$10:$A$21,0))+INDEX('[5]Weather Tables'!$B$2:$B$7,$C10)),'[5]Weather Tables'!$D$2)</f>
        <v>101.37863336797243</v>
      </c>
      <c r="O10" s="1043">
        <f t="shared" ref="O10:O50" si="1">ROUND((N10-32)*5/9,0)</f>
        <v>39</v>
      </c>
      <c r="P10" s="1024"/>
      <c r="Q10" s="1288"/>
      <c r="R10" s="1289"/>
      <c r="S10" s="1289"/>
      <c r="T10" s="1289"/>
      <c r="U10" s="1289"/>
      <c r="V10" s="1289"/>
      <c r="W10" s="1289"/>
    </row>
    <row r="11" spans="1:23" ht="18.75" customHeight="1">
      <c r="A11" s="1040">
        <f t="shared" si="0"/>
        <v>2</v>
      </c>
      <c r="B11" s="1031">
        <f>IF($A11=1,IF($B$7='[5]Weather Tables'!$A$2, 2, 1),IF($C11=1,B10+1,B10))</f>
        <v>1</v>
      </c>
      <c r="C11" s="974">
        <f>IF($A11=1,MOD(MATCH($B$7,'[5]Weather Tables'!$A$2:$A$7,0),6)+1,IF($C10=COUNTA('[5]Weather Tables'!$A$2:$A$7),1,C10+1))</f>
        <v>3</v>
      </c>
      <c r="D11" s="1044" t="str">
        <f t="array" ref="D11">INDEX('[5]Weather Tables'!$A$2:$A$7,$C11)</f>
        <v>Afternoon</v>
      </c>
      <c r="E11" s="974" t="str">
        <f t="array" ref="E11">SUBSTITUTE(INDEX('[5]Weather Tables'!$M$2:$O$2,,MATCH(K11,INDEX('[5]Weather Tables'!$M$3:$O$5,MATCH(IF($A11=1,D$7,SUBSTITUTE($E10,"Snow","Rain")),'[5]Weather Tables'!$L$3:$L$5,0),),1)),IF($N11&lt;'[5]Weather Tables'!$B$38,"Rain","N/A"),"Snow")</f>
        <v>Clear Skies</v>
      </c>
      <c r="F11" s="1298" t="str">
        <f t="array" ref="F11">INDEX('[5]Weather Tables'!$M$8:$O$8,,MATCH(L11,INDEX('[5]Weather Tables'!$M$9:$O$11,MATCH(IF($A11=1,E$7,F10),'[5]Weather Tables'!$L$9:$L$11,0),),1))</f>
        <v>Low Winds</v>
      </c>
      <c r="G11" s="1289"/>
      <c r="H11" s="974" t="str">
        <f t="array" ref="H11">INDEX('[5]Weather Tables'!$A$36:A$43,MATCH(N11,'[5]Weather Tables'!$B$36:B$43,1),)</f>
        <v>Hot</v>
      </c>
      <c r="I11" s="974" t="str">
        <f>IF(AND(SUBSTITUTE($E11,"Snow","Rain")='[5]Weather Tables'!$I$2,$F11='[5]Weather Tables'!$I$8), IF($E11='[5]Weather Tables'!$I$2, "STORM!", "BLIZZARD!"), "")</f>
        <v/>
      </c>
      <c r="J11" s="1039"/>
      <c r="K11" s="1042">
        <v>0.1115716796340972</v>
      </c>
      <c r="L11" s="1042">
        <v>0.76675573666863395</v>
      </c>
      <c r="M11" s="1042">
        <v>1.4078144026545281E-2</v>
      </c>
      <c r="N11" s="1043">
        <f t="array" ref="N11">NORMINV(M11,AVERAGE(IF(N10=$N$9,H8,N10),INDEX('[5]Weather Tables'!$B$24:$B$33,MATCH($E$4,'[5]Weather Tables'!$A$24:$A$33,0))+INDEX('[5]Weather Tables'!$B$10:$B$21, MATCH($B$4,'[5]Weather Tables'!$A$10:$A$21,0))+INDEX('[5]Weather Tables'!$B$2:$B$7,$C11)),'[5]Weather Tables'!$D$2)</f>
        <v>89.543072407499352</v>
      </c>
      <c r="O11" s="1043">
        <f t="shared" si="1"/>
        <v>32</v>
      </c>
      <c r="P11" s="1024"/>
      <c r="Q11" s="1299" t="s">
        <v>15633</v>
      </c>
      <c r="R11" s="1289"/>
      <c r="S11" s="1045"/>
      <c r="T11" s="1299"/>
      <c r="U11" s="1289"/>
      <c r="V11" s="1299"/>
      <c r="W11" s="1289"/>
    </row>
    <row r="12" spans="1:23" ht="18.75" customHeight="1">
      <c r="A12" s="1040">
        <f t="shared" si="0"/>
        <v>3</v>
      </c>
      <c r="B12" s="1030">
        <f>IF($A12=1,IF($B$7='[5]Weather Tables'!$A$7, 2, 1),IF($C12=1,B11+1,B11))</f>
        <v>1</v>
      </c>
      <c r="C12" s="973">
        <f>IF($A12=1,MOD(MATCH($B$7,'[5]Weather Tables'!$A$2:$A$7,0),6)+1,IF($C11=COUNTA('[5]Weather Tables'!$A$2:$A$7),1,C11+1))</f>
        <v>4</v>
      </c>
      <c r="D12" s="1041" t="str">
        <f t="array" ref="D12">INDEX('[5]Weather Tables'!$A$2:$A$7,$C12)</f>
        <v>Evening</v>
      </c>
      <c r="E12" s="973" t="str">
        <f t="array" ref="E12">SUBSTITUTE(INDEX('[5]Weather Tables'!$M$2:$O$2,,MATCH(K12,INDEX('[5]Weather Tables'!$M$3:$O$5,MATCH(IF($A12=1,D$7,SUBSTITUTE($E11,"Snow","Rain")),'[5]Weather Tables'!$L$3:$L$5,0),),1)),IF($N12&lt;'[5]Weather Tables'!$B$38,"Rain","N/A"),"Snow")</f>
        <v>Clear Skies</v>
      </c>
      <c r="F12" s="1297" t="str">
        <f t="array" ref="F12">INDEX('[5]Weather Tables'!$M$8:$O$8,,MATCH(L12,INDEX('[5]Weather Tables'!$M$9:$O$11,MATCH(IF($A12=1,E$7,F11),'[5]Weather Tables'!$L$9:$L$11,0),),1))</f>
        <v>Low Winds</v>
      </c>
      <c r="G12" s="1289"/>
      <c r="H12" s="973" t="str">
        <f t="array" ref="H12">INDEX('[5]Weather Tables'!$A$36:A$43,MATCH(N12,'[5]Weather Tables'!$B$36:B$43,1),)</f>
        <v>Hot</v>
      </c>
      <c r="I12" s="973" t="str">
        <f>IF(AND(SUBSTITUTE($E12,"Snow","Rain")='[5]Weather Tables'!$I$2,$F12='[5]Weather Tables'!$I$8), IF($E12='[5]Weather Tables'!$I$2, "STORM!", "BLIZZARD!"), "")</f>
        <v/>
      </c>
      <c r="J12" s="1039"/>
      <c r="K12" s="1042">
        <v>0.5261139374698639</v>
      </c>
      <c r="L12" s="1042">
        <v>0.47562774342294034</v>
      </c>
      <c r="M12" s="1042">
        <v>0.41547731076770122</v>
      </c>
      <c r="N12" s="1043">
        <f t="array" ref="N12">NORMINV(M12,AVERAGE(IF(N11=$N$9,H9,N11),INDEX('[5]Weather Tables'!$B$24:$B$33,MATCH($E$4,'[5]Weather Tables'!$A$24:$A$33,0))+INDEX('[5]Weather Tables'!$B$10:$B$21, MATCH($B$4,'[5]Weather Tables'!$A$10:$A$21,0))+INDEX('[5]Weather Tables'!$B$2:$B$7,$C12)),'[5]Weather Tables'!$D$2)</f>
        <v>90.236170854234828</v>
      </c>
      <c r="O12" s="1043">
        <f t="shared" si="1"/>
        <v>32</v>
      </c>
      <c r="P12" s="1024"/>
      <c r="Q12" s="1300" t="s">
        <v>15634</v>
      </c>
      <c r="R12" s="1289"/>
      <c r="S12" s="1046" t="s">
        <v>15590</v>
      </c>
      <c r="T12" s="1301" t="s">
        <v>5774</v>
      </c>
      <c r="U12" s="1289"/>
      <c r="V12" s="1302">
        <f t="array" ref="V12">'[5]Travel Tables'!H2*'[5]Travel Tables'!H3*'[5]Travel Tables'!H4*INDEX('[5]Travel Tables'!$B$2:$D$13,MATCH(S15,'[5]Travel Tables'!$A$2:$A$13,0),MATCH(S16,'[5]Travel Tables'!$A$1:$F$1,0)-1)*'[5]Travel Tables'!H6</f>
        <v>12</v>
      </c>
      <c r="W12" s="1289"/>
    </row>
    <row r="13" spans="1:23" ht="18.75" customHeight="1">
      <c r="A13" s="1040">
        <f t="shared" si="0"/>
        <v>4</v>
      </c>
      <c r="B13" s="1031">
        <f>IF($A13=1,IF($B$7='[5]Weather Tables'!$A$2, 2, 1),IF($C13=1,B12+1,B12))</f>
        <v>1</v>
      </c>
      <c r="C13" s="974">
        <f>IF($A13=1,MOD(MATCH($B$7,'[5]Weather Tables'!$A$2:$A$7,0),6)+1,IF($C12=COUNTA('[5]Weather Tables'!$A$2:$A$7),1,C12+1))</f>
        <v>5</v>
      </c>
      <c r="D13" s="1044" t="str">
        <f t="array" ref="D13">INDEX('[5]Weather Tables'!$A$2:$A$7,$C13)</f>
        <v>Midnight</v>
      </c>
      <c r="E13" s="974" t="str">
        <f t="array" ref="E13">SUBSTITUTE(INDEX('[5]Weather Tables'!$M$2:$O$2,,MATCH(K13,INDEX('[5]Weather Tables'!$M$3:$O$5,MATCH(IF($A13=1,D$7,SUBSTITUTE($E12,"Snow","Rain")),'[5]Weather Tables'!$L$3:$L$5,0),),1)),IF($N13&lt;'[5]Weather Tables'!$B$38,"Rain","N/A"),"Snow")</f>
        <v>Clear Skies</v>
      </c>
      <c r="F13" s="1298" t="str">
        <f t="array" ref="F13">INDEX('[5]Weather Tables'!$M$8:$O$8,,MATCH(L13,INDEX('[5]Weather Tables'!$M$9:$O$11,MATCH(IF($A13=1,E$7,F12),'[5]Weather Tables'!$L$9:$L$11,0),),1))</f>
        <v>High Winds</v>
      </c>
      <c r="G13" s="1289"/>
      <c r="H13" s="974" t="str">
        <f t="array" ref="H13">INDEX('[5]Weather Tables'!$A$36:A$43,MATCH(N13,'[5]Weather Tables'!$B$36:B$43,1),)</f>
        <v>Warm</v>
      </c>
      <c r="I13" s="974" t="str">
        <f>IF(AND(SUBSTITUTE($E13,"Snow","Rain")='[5]Weather Tables'!$I$2,$F13='[5]Weather Tables'!$I$8), IF($E13='[5]Weather Tables'!$I$2, "STORM!", "BLIZZARD!"), "")</f>
        <v/>
      </c>
      <c r="J13" s="1039"/>
      <c r="K13" s="1042">
        <v>0.79471930102582899</v>
      </c>
      <c r="L13" s="1042">
        <v>0.90821144137341492</v>
      </c>
      <c r="M13" s="1042">
        <v>9.6320108866408516E-2</v>
      </c>
      <c r="N13" s="1043">
        <f t="array" ref="N13">NORMINV(M13,AVERAGE(IF(N12=$N$9,H10,N12),INDEX('[5]Weather Tables'!$B$24:$B$33,MATCH($E$4,'[5]Weather Tables'!$A$24:$A$33,0))+INDEX('[5]Weather Tables'!$B$10:$B$21, MATCH($B$4,'[5]Weather Tables'!$A$10:$A$21,0))+INDEX('[5]Weather Tables'!$B$2:$B$7,$C13)),'[5]Weather Tables'!$D$2)</f>
        <v>81.299465190741856</v>
      </c>
      <c r="O13" s="1043">
        <f t="shared" si="1"/>
        <v>27</v>
      </c>
      <c r="P13" s="1024"/>
      <c r="Q13" s="1300" t="s">
        <v>15635</v>
      </c>
      <c r="R13" s="1289"/>
      <c r="S13" s="1046" t="s">
        <v>5694</v>
      </c>
      <c r="T13" s="1300" t="s">
        <v>15636</v>
      </c>
      <c r="U13" s="1289"/>
      <c r="V13" s="1302">
        <f>V12*4</f>
        <v>48</v>
      </c>
      <c r="W13" s="1289"/>
    </row>
    <row r="14" spans="1:23" ht="18.75" customHeight="1">
      <c r="A14" s="1040">
        <f t="shared" si="0"/>
        <v>5</v>
      </c>
      <c r="B14" s="1030">
        <f>IF($A14=1,IF($B$7='[5]Weather Tables'!$A$7, 2, 1),IF($C14=1,B13+1,B13))</f>
        <v>1</v>
      </c>
      <c r="C14" s="973">
        <f>IF($A14=1,MOD(MATCH($B$7,'[5]Weather Tables'!$A$2:$A$7,0),6)+1,IF($C13=COUNTA('[5]Weather Tables'!$A$2:$A$7),1,C13+1))</f>
        <v>6</v>
      </c>
      <c r="D14" s="1041" t="str">
        <f t="array" ref="D14">INDEX('[5]Weather Tables'!$A$2:$A$7,$C14)</f>
        <v>Night</v>
      </c>
      <c r="E14" s="973" t="str">
        <f t="array" ref="E14">SUBSTITUTE(INDEX('[5]Weather Tables'!$M$2:$O$2,,MATCH(K14,INDEX('[5]Weather Tables'!$M$3:$O$5,MATCH(IF($A14=1,D$7,SUBSTITUTE($E13,"Snow","Rain")),'[5]Weather Tables'!$L$3:$L$5,0),),1)),IF($N14&lt;'[5]Weather Tables'!$B$38,"Rain","N/A"),"Snow")</f>
        <v>Clear Skies</v>
      </c>
      <c r="F14" s="1297" t="str">
        <f t="array" ref="F14">INDEX('[5]Weather Tables'!$M$8:$O$8,,MATCH(L14,INDEX('[5]Weather Tables'!$M$9:$O$11,MATCH(IF($A14=1,E$7,F13),'[5]Weather Tables'!$L$9:$L$11,0),),1))</f>
        <v>High Winds</v>
      </c>
      <c r="G14" s="1289"/>
      <c r="H14" s="973" t="str">
        <f t="array" ref="H14">INDEX('[5]Weather Tables'!$A$36:A$43,MATCH(N14,'[5]Weather Tables'!$B$36:B$43,1),)</f>
        <v>Hot</v>
      </c>
      <c r="I14" s="973" t="str">
        <f>IF(AND(SUBSTITUTE($E14,"Snow","Rain")='[5]Weather Tables'!$I$2,$F14='[5]Weather Tables'!$I$8), IF($E14='[5]Weather Tables'!$I$2, "STORM!", "BLIZZARD!"), "")</f>
        <v/>
      </c>
      <c r="J14" s="1039"/>
      <c r="K14" s="1042">
        <v>0.32802945826177132</v>
      </c>
      <c r="L14" s="1042">
        <v>0.86758519236748066</v>
      </c>
      <c r="M14" s="1042">
        <v>0.68716937998683869</v>
      </c>
      <c r="N14" s="1043">
        <f t="array" ref="N14">NORMINV(M14,AVERAGE(IF(N13=$N$9,H11,N13),INDEX('[5]Weather Tables'!$B$24:$B$33,MATCH($E$4,'[5]Weather Tables'!$A$24:$A$33,0))+INDEX('[5]Weather Tables'!$B$10:$B$21, MATCH($B$4,'[5]Weather Tables'!$A$10:$A$21,0))+INDEX('[5]Weather Tables'!$B$2:$B$7,$C14)),'[5]Weather Tables'!$D$2)</f>
        <v>87.51576985199857</v>
      </c>
      <c r="O14" s="1043">
        <f t="shared" si="1"/>
        <v>31</v>
      </c>
      <c r="P14" s="1024"/>
      <c r="Q14" s="1301" t="s">
        <v>5777</v>
      </c>
      <c r="R14" s="1289"/>
      <c r="S14" s="1046" t="s">
        <v>15637</v>
      </c>
      <c r="T14" s="1301" t="s">
        <v>5772</v>
      </c>
      <c r="U14" s="1289"/>
      <c r="V14" s="1303">
        <f>VLOOKUP(S15,'[5]Travel Tables'!$A$2:$F$13,5,FALSE)+SUM('[5]Travel Tables'!I2:I6)</f>
        <v>23</v>
      </c>
      <c r="W14" s="1289"/>
    </row>
    <row r="15" spans="1:23" ht="18.75" customHeight="1">
      <c r="A15" s="1040">
        <f t="shared" si="0"/>
        <v>6</v>
      </c>
      <c r="B15" s="1031">
        <f>IF($A15=1,IF($B$7='[5]Weather Tables'!$A$2, 2, 1),IF($C15=1,B14+1,B14))</f>
        <v>2</v>
      </c>
      <c r="C15" s="974">
        <f>IF($A15=1,MOD(MATCH($B$7,'[5]Weather Tables'!$A$2:$A$7,0),6)+1,IF($C14=COUNTA('[5]Weather Tables'!$A$2:$A$7),1,C14+1))</f>
        <v>1</v>
      </c>
      <c r="D15" s="1044" t="str">
        <f t="array" ref="D15">INDEX('[5]Weather Tables'!$A$2:$A$7,$C15)</f>
        <v>Dawn</v>
      </c>
      <c r="E15" s="974" t="str">
        <f t="array" ref="E15">SUBSTITUTE(INDEX('[5]Weather Tables'!$M$2:$O$2,,MATCH(K15,INDEX('[5]Weather Tables'!$M$3:$O$5,MATCH(IF($A15=1,D$7,SUBSTITUTE($E14,"Snow","Rain")),'[5]Weather Tables'!$L$3:$L$5,0),),1)),IF($N15&lt;'[5]Weather Tables'!$B$38,"Rain","N/A"),"Snow")</f>
        <v>Clear Skies</v>
      </c>
      <c r="F15" s="1298" t="str">
        <f t="array" ref="F15">INDEX('[5]Weather Tables'!$M$8:$O$8,,MATCH(L15,INDEX('[5]Weather Tables'!$M$9:$O$11,MATCH(IF($A15=1,E$7,F14),'[5]Weather Tables'!$L$9:$L$11,0),),1))</f>
        <v>Low Winds</v>
      </c>
      <c r="G15" s="1289"/>
      <c r="H15" s="974" t="str">
        <f t="array" ref="H15">INDEX('[5]Weather Tables'!$A$36:A$43,MATCH(N15,'[5]Weather Tables'!$B$36:B$43,1),)</f>
        <v>Hot</v>
      </c>
      <c r="I15" s="974" t="str">
        <f>IF(AND(SUBSTITUTE($E15,"Snow","Rain")='[5]Weather Tables'!$I$2,$F15='[5]Weather Tables'!$I$8), IF($E15='[5]Weather Tables'!$I$2, "STORM!", "BLIZZARD!"), "")</f>
        <v/>
      </c>
      <c r="J15" s="1039"/>
      <c r="K15" s="1047">
        <v>8.1206297726798549E-2</v>
      </c>
      <c r="L15" s="1047">
        <v>0.40208261392591638</v>
      </c>
      <c r="M15" s="1047">
        <v>0.48006649872546547</v>
      </c>
      <c r="N15" s="1043">
        <f t="array" ref="N15">NORMINV(M15,AVERAGE(IF(N14=$N$9,H12,N14),INDEX('[5]Weather Tables'!$B$24:$B$33,MATCH($E$4,'[5]Weather Tables'!$A$24:$A$33,0))+INDEX('[5]Weather Tables'!$B$10:$B$21, MATCH($B$4,'[5]Weather Tables'!$A$10:$A$21,0))+INDEX('[5]Weather Tables'!$B$2:$B$7,$C15)),'[5]Weather Tables'!$D$2)</f>
        <v>92.515449495001704</v>
      </c>
      <c r="O15" s="1043">
        <f t="shared" si="1"/>
        <v>34</v>
      </c>
      <c r="P15" s="1024"/>
      <c r="Q15" s="1301" t="s">
        <v>5776</v>
      </c>
      <c r="R15" s="1289"/>
      <c r="S15" s="1046" t="s">
        <v>5733</v>
      </c>
      <c r="T15" s="1301" t="s">
        <v>5771</v>
      </c>
      <c r="U15" s="1289"/>
      <c r="V15" s="1303">
        <f>VLOOKUP(S15,'[5]Travel Tables'!$A$2:$F$13,6,FALSE)+SUM('[5]Travel Tables'!J2:J6)</f>
        <v>14</v>
      </c>
      <c r="W15" s="1289"/>
    </row>
    <row r="16" spans="1:23" ht="18.75" customHeight="1">
      <c r="A16" s="1040">
        <f t="shared" si="0"/>
        <v>7</v>
      </c>
      <c r="B16" s="1030">
        <f>IF($A16=1,IF($B$7='[5]Weather Tables'!$A$7, 2, 1),IF($C16=1,B15+1,B15))</f>
        <v>2</v>
      </c>
      <c r="C16" s="973">
        <f>IF($A16=1,MOD(MATCH($B$7,'[5]Weather Tables'!$A$2:$A$7,0),6)+1,IF($C15=COUNTA('[5]Weather Tables'!$A$2:$A$7),1,C15+1))</f>
        <v>2</v>
      </c>
      <c r="D16" s="1041" t="str">
        <f t="array" ref="D16">INDEX('[5]Weather Tables'!$A$2:$A$7,$C16)</f>
        <v>Midday</v>
      </c>
      <c r="E16" s="973" t="str">
        <f t="array" ref="E16">SUBSTITUTE(INDEX('[5]Weather Tables'!$M$2:$O$2,,MATCH(K16,INDEX('[5]Weather Tables'!$M$3:$O$5,MATCH(IF($A16=1,D$7,SUBSTITUTE($E15,"Snow","Rain")),'[5]Weather Tables'!$L$3:$L$5,0),),1)),IF($N16&lt;'[5]Weather Tables'!$B$38,"Rain","N/A"),"Snow")</f>
        <v>Clear Skies</v>
      </c>
      <c r="F16" s="1297" t="str">
        <f t="array" ref="F16">INDEX('[5]Weather Tables'!$M$8:$O$8,,MATCH(L16,INDEX('[5]Weather Tables'!$M$9:$O$11,MATCH(IF($A16=1,E$7,F15),'[5]Weather Tables'!$L$9:$L$11,0),),1))</f>
        <v>Low Winds</v>
      </c>
      <c r="G16" s="1289"/>
      <c r="H16" s="1041" t="str">
        <f t="array" ref="H16">INDEX('[5]Weather Tables'!$A$36:A$43,MATCH(N16,'[5]Weather Tables'!$B$36:B$43,1),)</f>
        <v>Extreme heat</v>
      </c>
      <c r="I16" s="973" t="str">
        <f>IF(AND(SUBSTITUTE($E16,"Snow","Rain")='[5]Weather Tables'!$I$2,$F16='[5]Weather Tables'!$I$8), IF($E16='[5]Weather Tables'!$I$2, "STORM!", "BLIZZARD!"), "")</f>
        <v/>
      </c>
      <c r="J16" s="1039"/>
      <c r="K16" s="1047">
        <v>0.23155906477381738</v>
      </c>
      <c r="L16" s="1047">
        <v>0.74876511964277648</v>
      </c>
      <c r="M16" s="1047">
        <v>0.56853343262757605</v>
      </c>
      <c r="N16" s="1043">
        <f t="array" ref="N16">NORMINV(M16,AVERAGE(IF(N15=$N$9,H13,N15),INDEX('[5]Weather Tables'!$B$24:$B$33,MATCH($E$4,'[5]Weather Tables'!$A$24:$A$33,0))+INDEX('[5]Weather Tables'!$B$10:$B$21, MATCH($B$4,'[5]Weather Tables'!$A$10:$A$21,0))+INDEX('[5]Weather Tables'!$B$2:$B$7,$C16)),'[5]Weather Tables'!$D$2)</f>
        <v>100.09503660631582</v>
      </c>
      <c r="O16" s="1043">
        <f t="shared" si="1"/>
        <v>38</v>
      </c>
      <c r="P16" s="1024"/>
      <c r="Q16" s="1301" t="s">
        <v>5775</v>
      </c>
      <c r="R16" s="1289"/>
      <c r="S16" s="1046" t="s">
        <v>5741</v>
      </c>
      <c r="T16" s="1304"/>
      <c r="U16" s="1289"/>
      <c r="V16" s="1305"/>
      <c r="W16" s="1289"/>
    </row>
    <row r="17" spans="1:23" ht="18.75" customHeight="1">
      <c r="A17" s="1040">
        <f t="shared" si="0"/>
        <v>8</v>
      </c>
      <c r="B17" s="1031">
        <f>IF($A17=1,IF($B$7='[5]Weather Tables'!$A$2, 2, 1),IF($C17=1,B16+1,B16))</f>
        <v>2</v>
      </c>
      <c r="C17" s="974">
        <f>IF($A17=1,MOD(MATCH($B$7,'[5]Weather Tables'!$A$2:$A$7,0),6)+1,IF($C16=COUNTA('[5]Weather Tables'!$A$2:$A$7),1,C16+1))</f>
        <v>3</v>
      </c>
      <c r="D17" s="1044" t="str">
        <f t="array" ref="D17">INDEX('[5]Weather Tables'!$A$2:$A$7,$C17)</f>
        <v>Afternoon</v>
      </c>
      <c r="E17" s="974" t="str">
        <f t="array" ref="E17">SUBSTITUTE(INDEX('[5]Weather Tables'!$M$2:$O$2,,MATCH(K17,INDEX('[5]Weather Tables'!$M$3:$O$5,MATCH(IF($A17=1,D$7,SUBSTITUTE($E16,"Snow","Rain")),'[5]Weather Tables'!$L$3:$L$5,0),),1)),IF($N17&lt;'[5]Weather Tables'!$B$38,"Rain","N/A"),"Snow")</f>
        <v>Clear Skies</v>
      </c>
      <c r="F17" s="1298" t="str">
        <f t="array" ref="F17">INDEX('[5]Weather Tables'!$M$8:$O$8,,MATCH(L17,INDEX('[5]Weather Tables'!$M$9:$O$11,MATCH(IF($A17=1,E$7,F16),'[5]Weather Tables'!$L$9:$L$11,0),),1))</f>
        <v>High Winds</v>
      </c>
      <c r="G17" s="1289"/>
      <c r="H17" s="974" t="str">
        <f t="array" ref="H17">INDEX('[5]Weather Tables'!$A$36:A$43,MATCH(N17,'[5]Weather Tables'!$B$36:B$43,1),)</f>
        <v>Hot</v>
      </c>
      <c r="I17" s="974" t="str">
        <f>IF(AND(SUBSTITUTE($E17,"Snow","Rain")='[5]Weather Tables'!$I$2,$F17='[5]Weather Tables'!$I$8), IF($E17='[5]Weather Tables'!$I$2, "STORM!", "BLIZZARD!"), "")</f>
        <v/>
      </c>
      <c r="J17" s="1039"/>
      <c r="K17" s="1047">
        <v>0.83966597397022225</v>
      </c>
      <c r="L17" s="1047">
        <v>0.88015170136977938</v>
      </c>
      <c r="M17" s="1047">
        <v>0.50594602180649473</v>
      </c>
      <c r="N17" s="1043">
        <f t="array" ref="N17">NORMINV(M17,AVERAGE(IF(N16=$N$9,H14,N16),INDEX('[5]Weather Tables'!$B$24:$B$33,MATCH($E$4,'[5]Weather Tables'!$A$24:$A$33,0))+INDEX('[5]Weather Tables'!$B$10:$B$21, MATCH($B$4,'[5]Weather Tables'!$A$10:$A$21,0))+INDEX('[5]Weather Tables'!$B$2:$B$7,$C17)),'[5]Weather Tables'!$D$2)</f>
        <v>99.619807641648165</v>
      </c>
      <c r="O17" s="1043">
        <f t="shared" si="1"/>
        <v>38</v>
      </c>
      <c r="P17" s="1024"/>
      <c r="Q17" s="1301" t="s">
        <v>5725</v>
      </c>
      <c r="R17" s="1289"/>
      <c r="S17" s="1046" t="s">
        <v>5723</v>
      </c>
      <c r="T17" s="1304"/>
      <c r="U17" s="1289"/>
      <c r="V17" s="1305"/>
      <c r="W17" s="1289"/>
    </row>
    <row r="18" spans="1:23" ht="18.75" customHeight="1">
      <c r="A18" s="1040">
        <f t="shared" si="0"/>
        <v>9</v>
      </c>
      <c r="B18" s="1030">
        <f>IF($A18=1,IF($B$7='[5]Weather Tables'!$A$7, 2, 1),IF($C18=1,B17+1,B17))</f>
        <v>2</v>
      </c>
      <c r="C18" s="973">
        <f>IF($A18=1,MOD(MATCH($B$7,'[5]Weather Tables'!$A$2:$A$7,0),6)+1,IF($C17=COUNTA('[5]Weather Tables'!$A$2:$A$7),1,C17+1))</f>
        <v>4</v>
      </c>
      <c r="D18" s="1041" t="str">
        <f t="array" ref="D18">INDEX('[5]Weather Tables'!$A$2:$A$7,$C18)</f>
        <v>Evening</v>
      </c>
      <c r="E18" s="973" t="str">
        <f t="array" ref="E18">SUBSTITUTE(INDEX('[5]Weather Tables'!$M$2:$O$2,,MATCH(K18,INDEX('[5]Weather Tables'!$M$3:$O$5,MATCH(IF($A18=1,D$7,SUBSTITUTE($E17,"Snow","Rain")),'[5]Weather Tables'!$L$3:$L$5,0),),1)),IF($N18&lt;'[5]Weather Tables'!$B$38,"Rain","N/A"),"Snow")</f>
        <v>Clear Skies</v>
      </c>
      <c r="F18" s="1297" t="str">
        <f t="array" ref="F18">INDEX('[5]Weather Tables'!$M$8:$O$8,,MATCH(L18,INDEX('[5]Weather Tables'!$M$9:$O$11,MATCH(IF($A18=1,E$7,F17),'[5]Weather Tables'!$L$9:$L$11,0),),1))</f>
        <v>Low Winds</v>
      </c>
      <c r="G18" s="1289"/>
      <c r="H18" s="973" t="str">
        <f t="array" ref="H18">INDEX('[5]Weather Tables'!$A$36:A$43,MATCH(N18,'[5]Weather Tables'!$B$36:B$43,1),)</f>
        <v>Hot</v>
      </c>
      <c r="I18" s="973" t="str">
        <f>IF(AND(SUBSTITUTE($E18,"Snow","Rain")='[5]Weather Tables'!$I$2,$F18='[5]Weather Tables'!$I$8), IF($E18='[5]Weather Tables'!$I$2, "STORM!", "BLIZZARD!"), "")</f>
        <v/>
      </c>
      <c r="J18" s="1039"/>
      <c r="K18" s="1047">
        <v>0.64762617874031025</v>
      </c>
      <c r="L18" s="1047">
        <v>0.36484676645255876</v>
      </c>
      <c r="M18" s="1047">
        <v>0.64019940095526828</v>
      </c>
      <c r="N18" s="1043">
        <f t="array" ref="N18">NORMINV(M18,AVERAGE(IF(N17=$N$9,H15,N17),INDEX('[5]Weather Tables'!$B$24:$B$33,MATCH($E$4,'[5]Weather Tables'!$A$24:$A$33,0))+INDEX('[5]Weather Tables'!$B$10:$B$21, MATCH($B$4,'[5]Weather Tables'!$A$10:$A$21,0))+INDEX('[5]Weather Tables'!$B$2:$B$7,$C18)),'[5]Weather Tables'!$D$2)</f>
        <v>98.051014216355014</v>
      </c>
      <c r="O18" s="1043">
        <f t="shared" si="1"/>
        <v>37</v>
      </c>
      <c r="P18" s="1024"/>
      <c r="Q18" s="1288"/>
      <c r="R18" s="1289"/>
      <c r="S18" s="1289"/>
      <c r="T18" s="1289"/>
      <c r="U18" s="1289"/>
      <c r="V18" s="1289"/>
      <c r="W18" s="1289"/>
    </row>
    <row r="19" spans="1:23" ht="18.75" customHeight="1">
      <c r="A19" s="1040">
        <f t="shared" si="0"/>
        <v>10</v>
      </c>
      <c r="B19" s="1031">
        <f>IF($A19=1,IF($B$7='[5]Weather Tables'!$A$2, 2, 1),IF($C19=1,B18+1,B18))</f>
        <v>2</v>
      </c>
      <c r="C19" s="974">
        <f>IF($A19=1,MOD(MATCH($B$7,'[5]Weather Tables'!$A$2:$A$7,0),6)+1,IF($C18=COUNTA('[5]Weather Tables'!$A$2:$A$7),1,C18+1))</f>
        <v>5</v>
      </c>
      <c r="D19" s="1044" t="str">
        <f t="array" ref="D19">INDEX('[5]Weather Tables'!$A$2:$A$7,$C19)</f>
        <v>Midnight</v>
      </c>
      <c r="E19" s="974" t="str">
        <f t="array" ref="E19">SUBSTITUTE(INDEX('[5]Weather Tables'!$M$2:$O$2,,MATCH(K19,INDEX('[5]Weather Tables'!$M$3:$O$5,MATCH(IF($A19=1,D$7,SUBSTITUTE($E18,"Snow","Rain")),'[5]Weather Tables'!$L$3:$L$5,0),),1)),IF($N19&lt;'[5]Weather Tables'!$B$38,"Rain","N/A"),"Snow")</f>
        <v>Clear Skies</v>
      </c>
      <c r="F19" s="1298" t="str">
        <f t="array" ref="F19">INDEX('[5]Weather Tables'!$M$8:$O$8,,MATCH(L19,INDEX('[5]Weather Tables'!$M$9:$O$11,MATCH(IF($A19=1,E$7,F18),'[5]Weather Tables'!$L$9:$L$11,0),),1))</f>
        <v>No Wind</v>
      </c>
      <c r="G19" s="1289"/>
      <c r="H19" s="974" t="str">
        <f t="array" ref="H19">INDEX('[5]Weather Tables'!$A$36:A$43,MATCH(N19,'[5]Weather Tables'!$B$36:B$43,1),)</f>
        <v>Warm</v>
      </c>
      <c r="I19" s="974" t="str">
        <f>IF(AND(SUBSTITUTE($E19,"Snow","Rain")='[5]Weather Tables'!$I$2,$F19='[5]Weather Tables'!$I$8), IF($E19='[5]Weather Tables'!$I$2, "STORM!", "BLIZZARD!"), "")</f>
        <v/>
      </c>
      <c r="J19" s="1039"/>
      <c r="K19" s="1047">
        <v>0.45474598361350171</v>
      </c>
      <c r="L19" s="1047">
        <v>6.4022797438257673E-2</v>
      </c>
      <c r="M19" s="1047">
        <v>3.418649770682991E-2</v>
      </c>
      <c r="N19" s="1043">
        <f t="array" ref="N19">NORMINV(M19,AVERAGE(IF(N18=$N$9,H16,N18),INDEX('[5]Weather Tables'!$B$24:$B$33,MATCH($E$4,'[5]Weather Tables'!$A$24:$A$33,0))+INDEX('[5]Weather Tables'!$B$10:$B$21, MATCH($B$4,'[5]Weather Tables'!$A$10:$A$21,0))+INDEX('[5]Weather Tables'!$B$2:$B$7,$C19)),'[5]Weather Tables'!$D$2)</f>
        <v>82.686185076480129</v>
      </c>
      <c r="O19" s="1043">
        <f t="shared" si="1"/>
        <v>28</v>
      </c>
      <c r="P19" s="1024"/>
      <c r="Q19" s="1294" t="s">
        <v>7512</v>
      </c>
      <c r="R19" s="1289"/>
      <c r="S19" s="1289"/>
      <c r="T19" s="1289"/>
      <c r="U19" s="1289"/>
      <c r="V19" s="1289"/>
      <c r="W19" s="1289"/>
    </row>
    <row r="20" spans="1:23" ht="18.75" customHeight="1">
      <c r="A20" s="1040">
        <f t="shared" si="0"/>
        <v>11</v>
      </c>
      <c r="B20" s="1030">
        <f>IF($A20=1,IF($B$7='[5]Weather Tables'!$A$7, 2, 1),IF($C20=1,B19+1,B19))</f>
        <v>2</v>
      </c>
      <c r="C20" s="973">
        <f>IF($A20=1,MOD(MATCH($B$7,'[5]Weather Tables'!$A$2:$A$7,0),6)+1,IF($C19=COUNTA('[5]Weather Tables'!$A$2:$A$7),1,C19+1))</f>
        <v>6</v>
      </c>
      <c r="D20" s="1041" t="str">
        <f t="array" ref="D20">INDEX('[5]Weather Tables'!$A$2:$A$7,$C20)</f>
        <v>Night</v>
      </c>
      <c r="E20" s="973" t="str">
        <f t="array" ref="E20">SUBSTITUTE(INDEX('[5]Weather Tables'!$M$2:$O$2,,MATCH(K20,INDEX('[5]Weather Tables'!$M$3:$O$5,MATCH(IF($A20=1,D$7,SUBSTITUTE($E19,"Snow","Rain")),'[5]Weather Tables'!$L$3:$L$5,0),),1)),IF($N20&lt;'[5]Weather Tables'!$B$38,"Rain","N/A"),"Snow")</f>
        <v>Clear Skies</v>
      </c>
      <c r="F20" s="1297" t="str">
        <f t="array" ref="F20">INDEX('[5]Weather Tables'!$M$8:$O$8,,MATCH(L20,INDEX('[5]Weather Tables'!$M$9:$O$11,MATCH(IF($A20=1,E$7,F19),'[5]Weather Tables'!$L$9:$L$11,0),),1))</f>
        <v>No Wind</v>
      </c>
      <c r="G20" s="1289"/>
      <c r="H20" s="973" t="str">
        <f t="array" ref="H20">INDEX('[5]Weather Tables'!$A$36:A$43,MATCH(N20,'[5]Weather Tables'!$B$36:B$43,1),)</f>
        <v>Hot</v>
      </c>
      <c r="I20" s="973" t="str">
        <f>IF(AND(SUBSTITUTE($E20,"Snow","Rain")='[5]Weather Tables'!$I$2,$F20='[5]Weather Tables'!$I$8), IF($E20='[5]Weather Tables'!$I$2, "STORM!", "BLIZZARD!"), "")</f>
        <v/>
      </c>
      <c r="J20" s="1039"/>
      <c r="K20" s="1047">
        <v>0.87041269916140585</v>
      </c>
      <c r="L20" s="1047">
        <v>0.21466115747171288</v>
      </c>
      <c r="M20" s="1047">
        <v>0.86787358266072356</v>
      </c>
      <c r="N20" s="1043">
        <f t="array" ref="N20">NORMINV(M20,AVERAGE(IF(N19=$N$9,H17,N19),INDEX('[5]Weather Tables'!$B$24:$B$33,MATCH($E$4,'[5]Weather Tables'!$A$24:$A$33,0))+INDEX('[5]Weather Tables'!$B$10:$B$21, MATCH($B$4,'[5]Weather Tables'!$A$10:$A$21,0))+INDEX('[5]Weather Tables'!$B$2:$B$7,$C20)),'[5]Weather Tables'!$D$2)</f>
        <v>91.257611214317663</v>
      </c>
      <c r="O20" s="1043">
        <f t="shared" si="1"/>
        <v>33</v>
      </c>
      <c r="P20" s="1024"/>
      <c r="Q20" s="1048" t="s">
        <v>7510</v>
      </c>
      <c r="R20" s="1306" t="s">
        <v>7513</v>
      </c>
      <c r="S20" s="1289"/>
      <c r="T20" s="1289"/>
      <c r="U20" s="1289"/>
      <c r="V20" s="1289"/>
      <c r="W20" s="1289"/>
    </row>
    <row r="21" spans="1:23" ht="18.75" customHeight="1">
      <c r="A21" s="1040">
        <f t="shared" si="0"/>
        <v>12</v>
      </c>
      <c r="B21" s="1031">
        <f>IF($A21=1,IF($B$7='[5]Weather Tables'!$A$2, 2, 1),IF($C21=1,B20+1,B20))</f>
        <v>3</v>
      </c>
      <c r="C21" s="974">
        <f>IF($A21=1,MOD(MATCH($B$7,'[5]Weather Tables'!$A$2:$A$7,0),6)+1,IF($C20=COUNTA('[5]Weather Tables'!$A$2:$A$7),1,C20+1))</f>
        <v>1</v>
      </c>
      <c r="D21" s="1044" t="str">
        <f t="array" ref="D21">INDEX('[5]Weather Tables'!$A$2:$A$7,$C21)</f>
        <v>Dawn</v>
      </c>
      <c r="E21" s="974" t="str">
        <f t="array" ref="E21">SUBSTITUTE(INDEX('[5]Weather Tables'!$M$2:$O$2,,MATCH(K21,INDEX('[5]Weather Tables'!$M$3:$O$5,MATCH(IF($A21=1,D$7,SUBSTITUTE($E20,"Snow","Rain")),'[5]Weather Tables'!$L$3:$L$5,0),),1)),IF($N21&lt;'[5]Weather Tables'!$B$38,"Rain","N/A"),"Snow")</f>
        <v>Clear Skies</v>
      </c>
      <c r="F21" s="1298" t="str">
        <f t="array" ref="F21">INDEX('[5]Weather Tables'!$M$8:$O$8,,MATCH(L21,INDEX('[5]Weather Tables'!$M$9:$O$11,MATCH(IF($A21=1,E$7,F20),'[5]Weather Tables'!$L$9:$L$11,0),),1))</f>
        <v>Low Winds</v>
      </c>
      <c r="G21" s="1289"/>
      <c r="H21" s="974" t="str">
        <f t="array" ref="H21">INDEX('[5]Weather Tables'!$A$36:A$43,MATCH(N21,'[5]Weather Tables'!$B$36:B$43,1),)</f>
        <v>Hot</v>
      </c>
      <c r="I21" s="974" t="str">
        <f>IF(AND(SUBSTITUTE($E21,"Snow","Rain")='[5]Weather Tables'!$I$2,$F21='[5]Weather Tables'!$I$8), IF($E21='[5]Weather Tables'!$I$2, "STORM!", "BLIZZARD!"), "")</f>
        <v/>
      </c>
      <c r="J21" s="1039"/>
      <c r="K21" s="1042">
        <v>0.22742215758531004</v>
      </c>
      <c r="L21" s="1042">
        <v>0.8532059334719353</v>
      </c>
      <c r="M21" s="1042">
        <v>0.64414907086381312</v>
      </c>
      <c r="N21" s="1043">
        <f t="array" ref="N21">NORMINV(M21,AVERAGE(IF(N20=$N$9,H18,N20),INDEX('[5]Weather Tables'!$B$24:$B$33,MATCH($E$4,'[5]Weather Tables'!$A$24:$A$33,0))+INDEX('[5]Weather Tables'!$B$10:$B$21, MATCH($B$4,'[5]Weather Tables'!$A$10:$A$21,0))+INDEX('[5]Weather Tables'!$B$2:$B$7,$C21)),'[5]Weather Tables'!$D$2)</f>
        <v>96.421226935289624</v>
      </c>
      <c r="O21" s="1043">
        <f t="shared" si="1"/>
        <v>36</v>
      </c>
      <c r="P21" s="1024"/>
      <c r="Q21" s="1307" t="s">
        <v>7514</v>
      </c>
      <c r="R21" s="1306" t="s">
        <v>15638</v>
      </c>
      <c r="S21" s="1289"/>
      <c r="T21" s="1289"/>
      <c r="U21" s="1289"/>
      <c r="V21" s="1289"/>
      <c r="W21" s="1289"/>
    </row>
    <row r="22" spans="1:23" ht="18.75" customHeight="1">
      <c r="A22" s="1040">
        <f t="shared" si="0"/>
        <v>13</v>
      </c>
      <c r="B22" s="1030">
        <f>IF($A22=1,IF($B$7='[5]Weather Tables'!$A$7, 2, 1),IF($C22=1,B21+1,B21))</f>
        <v>3</v>
      </c>
      <c r="C22" s="973">
        <f>IF($A22=1,MOD(MATCH($B$7,'[5]Weather Tables'!$A$2:$A$7,0),6)+1,IF($C21=COUNTA('[5]Weather Tables'!$A$2:$A$7),1,C21+1))</f>
        <v>2</v>
      </c>
      <c r="D22" s="1041" t="str">
        <f t="array" ref="D22">INDEX('[5]Weather Tables'!$A$2:$A$7,$C22)</f>
        <v>Midday</v>
      </c>
      <c r="E22" s="973" t="str">
        <f t="array" ref="E22">SUBSTITUTE(INDEX('[5]Weather Tables'!$M$2:$O$2,,MATCH(K22,INDEX('[5]Weather Tables'!$M$3:$O$5,MATCH(IF($A22=1,D$7,SUBSTITUTE($E21,"Snow","Rain")),'[5]Weather Tables'!$L$3:$L$5,0),),1)),IF($N22&lt;'[5]Weather Tables'!$B$38,"Rain","N/A"),"Snow")</f>
        <v>Clear Skies</v>
      </c>
      <c r="F22" s="1297" t="str">
        <f t="array" ref="F22">INDEX('[5]Weather Tables'!$M$8:$O$8,,MATCH(L22,INDEX('[5]Weather Tables'!$M$9:$O$11,MATCH(IF($A22=1,E$7,F21),'[5]Weather Tables'!$L$9:$L$11,0),),1))</f>
        <v>Low Winds</v>
      </c>
      <c r="G22" s="1289"/>
      <c r="H22" s="1041" t="str">
        <f t="array" ref="H22">INDEX('[5]Weather Tables'!$A$36:A$43,MATCH(N22,'[5]Weather Tables'!$B$36:B$43,1),)</f>
        <v>Extreme heat</v>
      </c>
      <c r="I22" s="973" t="str">
        <f>IF(AND(SUBSTITUTE($E22,"Snow","Rain")='[5]Weather Tables'!$I$2,$F22='[5]Weather Tables'!$I$8), IF($E22='[5]Weather Tables'!$I$2, "STORM!", "BLIZZARD!"), "")</f>
        <v/>
      </c>
      <c r="J22" s="1039"/>
      <c r="K22" s="1042">
        <v>0.61929223983329862</v>
      </c>
      <c r="L22" s="1042">
        <v>0.53888514555902678</v>
      </c>
      <c r="M22" s="1042">
        <v>0.78675856739849015</v>
      </c>
      <c r="N22" s="1043">
        <f t="array" ref="N22">NORMINV(M22,AVERAGE(IF(N21=$N$9,H19,N21),INDEX('[5]Weather Tables'!$B$24:$B$33,MATCH($E$4,'[5]Weather Tables'!$A$24:$A$33,0))+INDEX('[5]Weather Tables'!$B$10:$B$21, MATCH($B$4,'[5]Weather Tables'!$A$10:$A$21,0))+INDEX('[5]Weather Tables'!$B$2:$B$7,$C22)),'[5]Weather Tables'!$D$2)</f>
        <v>105.06745277131191</v>
      </c>
      <c r="O22" s="1043">
        <f t="shared" si="1"/>
        <v>41</v>
      </c>
      <c r="P22" s="1024"/>
      <c r="Q22" s="1289"/>
      <c r="R22" s="1289"/>
      <c r="S22" s="1289"/>
      <c r="T22" s="1289"/>
      <c r="U22" s="1289"/>
      <c r="V22" s="1289"/>
      <c r="W22" s="1289"/>
    </row>
    <row r="23" spans="1:23" ht="18.75" customHeight="1">
      <c r="A23" s="1040">
        <f t="shared" si="0"/>
        <v>14</v>
      </c>
      <c r="B23" s="1031">
        <f>IF($A23=1,IF($B$7='[5]Weather Tables'!$A$2, 2, 1),IF($C23=1,B22+1,B22))</f>
        <v>3</v>
      </c>
      <c r="C23" s="974">
        <f>IF($A23=1,MOD(MATCH($B$7,'[5]Weather Tables'!$A$2:$A$7,0),6)+1,IF($C22=COUNTA('[5]Weather Tables'!$A$2:$A$7),1,C22+1))</f>
        <v>3</v>
      </c>
      <c r="D23" s="1044" t="str">
        <f t="array" ref="D23">INDEX('[5]Weather Tables'!$A$2:$A$7,$C23)</f>
        <v>Afternoon</v>
      </c>
      <c r="E23" s="974" t="str">
        <f t="array" ref="E23">SUBSTITUTE(INDEX('[5]Weather Tables'!$M$2:$O$2,,MATCH(K23,INDEX('[5]Weather Tables'!$M$3:$O$5,MATCH(IF($A23=1,D$7,SUBSTITUTE($E22,"Snow","Rain")),'[5]Weather Tables'!$L$3:$L$5,0),),1)),IF($N23&lt;'[5]Weather Tables'!$B$38,"Rain","N/A"),"Snow")</f>
        <v>Clear Skies</v>
      </c>
      <c r="F23" s="1298" t="str">
        <f t="array" ref="F23">INDEX('[5]Weather Tables'!$M$8:$O$8,,MATCH(L23,INDEX('[5]Weather Tables'!$M$9:$O$11,MATCH(IF($A23=1,E$7,F22),'[5]Weather Tables'!$L$9:$L$11,0),),1))</f>
        <v>No Wind</v>
      </c>
      <c r="G23" s="1289"/>
      <c r="H23" s="1044" t="str">
        <f t="array" ref="H23">INDEX('[5]Weather Tables'!$A$36:A$43,MATCH(N23,'[5]Weather Tables'!$B$36:B$43,1),)</f>
        <v>Extreme heat</v>
      </c>
      <c r="I23" s="974" t="str">
        <f>IF(AND(SUBSTITUTE($E23,"Snow","Rain")='[5]Weather Tables'!$I$2,$F23='[5]Weather Tables'!$I$8), IF($E23='[5]Weather Tables'!$I$2, "STORM!", "BLIZZARD!"), "")</f>
        <v/>
      </c>
      <c r="J23" s="1039"/>
      <c r="K23" s="1042">
        <v>0.37177674859116883</v>
      </c>
      <c r="L23" s="1042">
        <v>8.524028944970119E-2</v>
      </c>
      <c r="M23" s="1042">
        <v>0.66199002744437085</v>
      </c>
      <c r="N23" s="1043">
        <f t="array" ref="N23">NORMINV(M23,AVERAGE(IF(N22=$N$9,H20,N22),INDEX('[5]Weather Tables'!$B$24:$B$33,MATCH($E$4,'[5]Weather Tables'!$A$24:$A$33,0))+INDEX('[5]Weather Tables'!$B$10:$B$21, MATCH($B$4,'[5]Weather Tables'!$A$10:$A$21,0))+INDEX('[5]Weather Tables'!$B$2:$B$7,$C23)),'[5]Weather Tables'!$D$2)</f>
        <v>104.06054329217875</v>
      </c>
      <c r="O23" s="1043">
        <f t="shared" si="1"/>
        <v>40</v>
      </c>
      <c r="P23" s="1024"/>
      <c r="Q23" s="1307" t="s">
        <v>7516</v>
      </c>
      <c r="R23" s="1306" t="s">
        <v>7517</v>
      </c>
      <c r="S23" s="1289"/>
      <c r="T23" s="1289"/>
      <c r="U23" s="1289"/>
      <c r="V23" s="1289"/>
      <c r="W23" s="1289"/>
    </row>
    <row r="24" spans="1:23" ht="18.75" customHeight="1">
      <c r="A24" s="1040">
        <f t="shared" si="0"/>
        <v>15</v>
      </c>
      <c r="B24" s="1030">
        <f>IF($A24=1,IF($B$7='[5]Weather Tables'!$A$7, 2, 1),IF($C24=1,B23+1,B23))</f>
        <v>3</v>
      </c>
      <c r="C24" s="973">
        <f>IF($A24=1,MOD(MATCH($B$7,'[5]Weather Tables'!$A$2:$A$7,0),6)+1,IF($C23=COUNTA('[5]Weather Tables'!$A$2:$A$7),1,C23+1))</f>
        <v>4</v>
      </c>
      <c r="D24" s="1041" t="str">
        <f t="array" ref="D24">INDEX('[5]Weather Tables'!$A$2:$A$7,$C24)</f>
        <v>Evening</v>
      </c>
      <c r="E24" s="973" t="str">
        <f t="array" ref="E24">SUBSTITUTE(INDEX('[5]Weather Tables'!$M$2:$O$2,,MATCH(K24,INDEX('[5]Weather Tables'!$M$3:$O$5,MATCH(IF($A24=1,D$7,SUBSTITUTE($E23,"Snow","Rain")),'[5]Weather Tables'!$L$3:$L$5,0),),1)),IF($N24&lt;'[5]Weather Tables'!$B$38,"Rain","N/A"),"Snow")</f>
        <v>Clear Skies</v>
      </c>
      <c r="F24" s="1297" t="str">
        <f t="array" ref="F24">INDEX('[5]Weather Tables'!$M$8:$O$8,,MATCH(L24,INDEX('[5]Weather Tables'!$M$9:$O$11,MATCH(IF($A24=1,E$7,F23),'[5]Weather Tables'!$L$9:$L$11,0),),1))</f>
        <v>No Wind</v>
      </c>
      <c r="G24" s="1289"/>
      <c r="H24" s="973" t="str">
        <f t="array" ref="H24">INDEX('[5]Weather Tables'!$A$36:A$43,MATCH(N24,'[5]Weather Tables'!$B$36:B$43,1),)</f>
        <v>Hot</v>
      </c>
      <c r="I24" s="973" t="str">
        <f>IF(AND(SUBSTITUTE($E24,"Snow","Rain")='[5]Weather Tables'!$I$2,$F24='[5]Weather Tables'!$I$8), IF($E24='[5]Weather Tables'!$I$2, "STORM!", "BLIZZARD!"), "")</f>
        <v/>
      </c>
      <c r="J24" s="1039"/>
      <c r="K24" s="1042">
        <v>0.13466742345665272</v>
      </c>
      <c r="L24" s="1042">
        <v>0.30651841231707788</v>
      </c>
      <c r="M24" s="1042">
        <v>0.3706776455721259</v>
      </c>
      <c r="N24" s="1043">
        <f t="array" ref="N24">NORMINV(M24,AVERAGE(IF(N23=$N$9,H21,N23),INDEX('[5]Weather Tables'!$B$24:$B$33,MATCH($E$4,'[5]Weather Tables'!$A$24:$A$33,0))+INDEX('[5]Weather Tables'!$B$10:$B$21, MATCH($B$4,'[5]Weather Tables'!$A$10:$A$21,0))+INDEX('[5]Weather Tables'!$B$2:$B$7,$C24)),'[5]Weather Tables'!$D$2)</f>
        <v>96.929484912431832</v>
      </c>
      <c r="O24" s="1043">
        <f t="shared" si="1"/>
        <v>36</v>
      </c>
      <c r="P24" s="1024"/>
      <c r="Q24" s="1289"/>
      <c r="R24" s="1289"/>
      <c r="S24" s="1289"/>
      <c r="T24" s="1289"/>
      <c r="U24" s="1289"/>
      <c r="V24" s="1289"/>
      <c r="W24" s="1289"/>
    </row>
    <row r="25" spans="1:23" ht="18.75" customHeight="1">
      <c r="A25" s="1040">
        <f t="shared" si="0"/>
        <v>16</v>
      </c>
      <c r="B25" s="1031">
        <f>IF($A25=1,IF($B$7='[5]Weather Tables'!$A$2, 2, 1),IF($C25=1,B24+1,B24))</f>
        <v>3</v>
      </c>
      <c r="C25" s="974">
        <f>IF($A25=1,MOD(MATCH($B$7,'[5]Weather Tables'!$A$2:$A$7,0),6)+1,IF($C24=COUNTA('[5]Weather Tables'!$A$2:$A$7),1,C24+1))</f>
        <v>5</v>
      </c>
      <c r="D25" s="1044" t="str">
        <f t="array" ref="D25">INDEX('[5]Weather Tables'!$A$2:$A$7,$C25)</f>
        <v>Midnight</v>
      </c>
      <c r="E25" s="974" t="str">
        <f t="array" ref="E25">SUBSTITUTE(INDEX('[5]Weather Tables'!$M$2:$O$2,,MATCH(K25,INDEX('[5]Weather Tables'!$M$3:$O$5,MATCH(IF($A25=1,D$7,SUBSTITUTE($E24,"Snow","Rain")),'[5]Weather Tables'!$L$3:$L$5,0),),1)),IF($N25&lt;'[5]Weather Tables'!$B$38,"Rain","N/A"),"Snow")</f>
        <v>Clear Skies</v>
      </c>
      <c r="F25" s="1298" t="str">
        <f t="array" ref="F25">INDEX('[5]Weather Tables'!$M$8:$O$8,,MATCH(L25,INDEX('[5]Weather Tables'!$M$9:$O$11,MATCH(IF($A25=1,E$7,F24),'[5]Weather Tables'!$L$9:$L$11,0),),1))</f>
        <v>No Wind</v>
      </c>
      <c r="G25" s="1289"/>
      <c r="H25" s="974" t="str">
        <f t="array" ref="H25">INDEX('[5]Weather Tables'!$A$36:A$43,MATCH(N25,'[5]Weather Tables'!$B$36:B$43,1),)</f>
        <v>Hot</v>
      </c>
      <c r="I25" s="974" t="str">
        <f>IF(AND(SUBSTITUTE($E25,"Snow","Rain")='[5]Weather Tables'!$I$2,$F25='[5]Weather Tables'!$I$8), IF($E25='[5]Weather Tables'!$I$2, "STORM!", "BLIZZARD!"), "")</f>
        <v/>
      </c>
      <c r="J25" s="1039"/>
      <c r="K25" s="1042">
        <v>0.59285392087219124</v>
      </c>
      <c r="L25" s="1042">
        <v>0.45944054546249102</v>
      </c>
      <c r="M25" s="1042">
        <v>0.58670629829362841</v>
      </c>
      <c r="N25" s="1043">
        <f t="array" ref="N25">NORMINV(M25,AVERAGE(IF(N24=$N$9,H22,N24),INDEX('[5]Weather Tables'!$B$24:$B$33,MATCH($E$4,'[5]Weather Tables'!$A$24:$A$33,0))+INDEX('[5]Weather Tables'!$B$10:$B$21, MATCH($B$4,'[5]Weather Tables'!$A$10:$A$21,0))+INDEX('[5]Weather Tables'!$B$2:$B$7,$C25)),'[5]Weather Tables'!$D$2)</f>
        <v>92.027282489827385</v>
      </c>
      <c r="O25" s="1043">
        <f t="shared" si="1"/>
        <v>33</v>
      </c>
      <c r="P25" s="1024"/>
      <c r="Q25" s="1307" t="s">
        <v>7518</v>
      </c>
      <c r="R25" s="1306" t="s">
        <v>7519</v>
      </c>
      <c r="S25" s="1289"/>
      <c r="T25" s="1289"/>
      <c r="U25" s="1289"/>
      <c r="V25" s="1289"/>
      <c r="W25" s="1289"/>
    </row>
    <row r="26" spans="1:23" ht="18.75" customHeight="1">
      <c r="A26" s="1040">
        <f t="shared" si="0"/>
        <v>17</v>
      </c>
      <c r="B26" s="1030">
        <f>IF($A26=1,IF($B$7='[5]Weather Tables'!$A$7, 2, 1),IF($C26=1,B25+1,B25))</f>
        <v>3</v>
      </c>
      <c r="C26" s="973">
        <f>IF($A26=1,MOD(MATCH($B$7,'[5]Weather Tables'!$A$2:$A$7,0),6)+1,IF($C25=COUNTA('[5]Weather Tables'!$A$2:$A$7),1,C25+1))</f>
        <v>6</v>
      </c>
      <c r="D26" s="1041" t="str">
        <f t="array" ref="D26">INDEX('[5]Weather Tables'!$A$2:$A$7,$C26)</f>
        <v>Night</v>
      </c>
      <c r="E26" s="973" t="str">
        <f t="array" ref="E26">SUBSTITUTE(INDEX('[5]Weather Tables'!$M$2:$O$2,,MATCH(K26,INDEX('[5]Weather Tables'!$M$3:$O$5,MATCH(IF($A26=1,D$7,SUBSTITUTE($E25,"Snow","Rain")),'[5]Weather Tables'!$L$3:$L$5,0),),1)),IF($N26&lt;'[5]Weather Tables'!$B$38,"Rain","N/A"),"Snow")</f>
        <v>Clear Skies</v>
      </c>
      <c r="F26" s="1297" t="str">
        <f t="array" ref="F26">INDEX('[5]Weather Tables'!$M$8:$O$8,,MATCH(L26,INDEX('[5]Weather Tables'!$M$9:$O$11,MATCH(IF($A26=1,E$7,F25),'[5]Weather Tables'!$L$9:$L$11,0),),1))</f>
        <v>No Wind</v>
      </c>
      <c r="G26" s="1289"/>
      <c r="H26" s="973" t="str">
        <f t="array" ref="H26">INDEX('[5]Weather Tables'!$A$36:A$43,MATCH(N26,'[5]Weather Tables'!$B$36:B$43,1),)</f>
        <v>Hot</v>
      </c>
      <c r="I26" s="973" t="str">
        <f>IF(AND(SUBSTITUTE($E26,"Snow","Rain")='[5]Weather Tables'!$I$2,$F26='[5]Weather Tables'!$I$8), IF($E26='[5]Weather Tables'!$I$2, "STORM!", "BLIZZARD!"), "")</f>
        <v/>
      </c>
      <c r="J26" s="1039"/>
      <c r="K26" s="1042">
        <v>5.9937385784611608E-2</v>
      </c>
      <c r="L26" s="1042">
        <v>8.1788449307708344E-2</v>
      </c>
      <c r="M26" s="1042">
        <v>0.83581090002440572</v>
      </c>
      <c r="N26" s="1043">
        <f t="array" ref="N26">NORMINV(M26,AVERAGE(IF(N25=$N$9,H23,N25),INDEX('[5]Weather Tables'!$B$24:$B$33,MATCH($E$4,'[5]Weather Tables'!$A$24:$A$33,0))+INDEX('[5]Weather Tables'!$B$10:$B$21, MATCH($B$4,'[5]Weather Tables'!$A$10:$A$21,0))+INDEX('[5]Weather Tables'!$B$2:$B$7,$C26)),'[5]Weather Tables'!$D$2)</f>
        <v>95.253962280407194</v>
      </c>
      <c r="O26" s="1043">
        <f t="shared" si="1"/>
        <v>35</v>
      </c>
      <c r="P26" s="1024"/>
      <c r="Q26" s="1289"/>
      <c r="R26" s="1289"/>
      <c r="S26" s="1289"/>
      <c r="T26" s="1289"/>
      <c r="U26" s="1289"/>
      <c r="V26" s="1289"/>
      <c r="W26" s="1289"/>
    </row>
    <row r="27" spans="1:23" ht="18.75" customHeight="1">
      <c r="A27" s="1040">
        <f t="shared" si="0"/>
        <v>18</v>
      </c>
      <c r="B27" s="1031">
        <f>IF($A27=1,IF($B$7='[5]Weather Tables'!$A$2, 2, 1),IF($C27=1,B26+1,B26))</f>
        <v>4</v>
      </c>
      <c r="C27" s="974">
        <f>IF($A27=1,MOD(MATCH($B$7,'[5]Weather Tables'!$A$2:$A$7,0),6)+1,IF($C26=COUNTA('[5]Weather Tables'!$A$2:$A$7),1,C26+1))</f>
        <v>1</v>
      </c>
      <c r="D27" s="1044" t="str">
        <f t="array" ref="D27">INDEX('[5]Weather Tables'!$A$2:$A$7,$C27)</f>
        <v>Dawn</v>
      </c>
      <c r="E27" s="974" t="str">
        <f t="array" ref="E27">SUBSTITUTE(INDEX('[5]Weather Tables'!$M$2:$O$2,,MATCH(K27,INDEX('[5]Weather Tables'!$M$3:$O$5,MATCH(IF($A27=1,D$7,SUBSTITUTE($E26,"Snow","Rain")),'[5]Weather Tables'!$L$3:$L$5,0),),1)),IF($N27&lt;'[5]Weather Tables'!$B$38,"Rain","N/A"),"Snow")</f>
        <v>Clear Skies</v>
      </c>
      <c r="F27" s="1298" t="str">
        <f t="array" ref="F27">INDEX('[5]Weather Tables'!$M$8:$O$8,,MATCH(L27,INDEX('[5]Weather Tables'!$M$9:$O$11,MATCH(IF($A27=1,E$7,F26),'[5]Weather Tables'!$L$9:$L$11,0),),1))</f>
        <v>No Wind</v>
      </c>
      <c r="G27" s="1289"/>
      <c r="H27" s="974" t="str">
        <f t="array" ref="H27">INDEX('[5]Weather Tables'!$A$36:A$43,MATCH(N27,'[5]Weather Tables'!$B$36:B$43,1),)</f>
        <v>Hot</v>
      </c>
      <c r="I27" s="974" t="str">
        <f>IF(AND(SUBSTITUTE($E27,"Snow","Rain")='[5]Weather Tables'!$I$2,$F27='[5]Weather Tables'!$I$8), IF($E27='[5]Weather Tables'!$I$2, "STORM!", "BLIZZARD!"), "")</f>
        <v/>
      </c>
      <c r="J27" s="1039"/>
      <c r="K27" s="1047">
        <v>0.74842671267428917</v>
      </c>
      <c r="L27" s="1047">
        <v>0.17963481545923599</v>
      </c>
      <c r="M27" s="1047">
        <v>0.47331938178023025</v>
      </c>
      <c r="N27" s="1043">
        <f t="array" ref="N27">NORMINV(M27,AVERAGE(IF(N26=$N$9,H24,N26),INDEX('[5]Weather Tables'!$B$24:$B$33,MATCH($E$4,'[5]Weather Tables'!$A$24:$A$33,0))+INDEX('[5]Weather Tables'!$B$10:$B$21, MATCH($B$4,'[5]Weather Tables'!$A$10:$A$21,0))+INDEX('[5]Weather Tables'!$B$2:$B$7,$C27)),'[5]Weather Tables'!$D$2)</f>
        <v>96.302378764325937</v>
      </c>
      <c r="O27" s="1043">
        <f t="shared" si="1"/>
        <v>36</v>
      </c>
      <c r="P27" s="1024"/>
      <c r="Q27" s="1289"/>
      <c r="R27" s="1289"/>
      <c r="S27" s="1289"/>
      <c r="T27" s="1289"/>
      <c r="U27" s="1289"/>
      <c r="V27" s="1289"/>
      <c r="W27" s="1289"/>
    </row>
    <row r="28" spans="1:23" ht="18.75" customHeight="1">
      <c r="A28" s="1040">
        <f t="shared" si="0"/>
        <v>19</v>
      </c>
      <c r="B28" s="1030">
        <f>IF($A28=1,IF($B$7='[5]Weather Tables'!$A$7, 2, 1),IF($C28=1,B27+1,B27))</f>
        <v>4</v>
      </c>
      <c r="C28" s="973">
        <f>IF($A28=1,MOD(MATCH($B$7,'[5]Weather Tables'!$A$2:$A$7,0),6)+1,IF($C27=COUNTA('[5]Weather Tables'!$A$2:$A$7),1,C27+1))</f>
        <v>2</v>
      </c>
      <c r="D28" s="1041" t="str">
        <f t="array" ref="D28">INDEX('[5]Weather Tables'!$A$2:$A$7,$C28)</f>
        <v>Midday</v>
      </c>
      <c r="E28" s="973" t="str">
        <f t="array" ref="E28">SUBSTITUTE(INDEX('[5]Weather Tables'!$M$2:$O$2,,MATCH(K28,INDEX('[5]Weather Tables'!$M$3:$O$5,MATCH(IF($A28=1,D$7,SUBSTITUTE($E27,"Snow","Rain")),'[5]Weather Tables'!$L$3:$L$5,0),),1)),IF($N28&lt;'[5]Weather Tables'!$B$38,"Rain","N/A"),"Snow")</f>
        <v>Clear Skies</v>
      </c>
      <c r="F28" s="1297" t="str">
        <f t="array" ref="F28">INDEX('[5]Weather Tables'!$M$8:$O$8,,MATCH(L28,INDEX('[5]Weather Tables'!$M$9:$O$11,MATCH(IF($A28=1,E$7,F27),'[5]Weather Tables'!$L$9:$L$11,0),),1))</f>
        <v>No Wind</v>
      </c>
      <c r="G28" s="1289"/>
      <c r="H28" s="973" t="str">
        <f t="array" ref="H28">INDEX('[5]Weather Tables'!$A$36:A$43,MATCH(N28,'[5]Weather Tables'!$B$36:B$43,1),)</f>
        <v>Hot</v>
      </c>
      <c r="I28" s="973" t="str">
        <f>IF(AND(SUBSTITUTE($E28,"Snow","Rain")='[5]Weather Tables'!$I$2,$F28='[5]Weather Tables'!$I$8), IF($E28='[5]Weather Tables'!$I$2, "STORM!", "BLIZZARD!"), "")</f>
        <v/>
      </c>
      <c r="J28" s="1039"/>
      <c r="K28" s="1047">
        <v>0.6908240690677947</v>
      </c>
      <c r="L28" s="1047">
        <v>0.24669254992644207</v>
      </c>
      <c r="M28" s="1047">
        <v>0.31102202692132186</v>
      </c>
      <c r="N28" s="1043">
        <f t="array" ref="N28">NORMINV(M28,AVERAGE(IF(N27=$N$9,H25,N27),INDEX('[5]Weather Tables'!$B$24:$B$33,MATCH($E$4,'[5]Weather Tables'!$A$24:$A$33,0))+INDEX('[5]Weather Tables'!$B$10:$B$21, MATCH($B$4,'[5]Weather Tables'!$A$10:$A$21,0))+INDEX('[5]Weather Tables'!$B$2:$B$7,$C28)),'[5]Weather Tables'!$D$2)</f>
        <v>98.760355366766376</v>
      </c>
      <c r="O28" s="1043">
        <f t="shared" si="1"/>
        <v>37</v>
      </c>
      <c r="P28" s="1024"/>
      <c r="Q28" s="1289"/>
      <c r="R28" s="1289"/>
      <c r="S28" s="1289"/>
      <c r="T28" s="1289"/>
      <c r="U28" s="1289"/>
      <c r="V28" s="1289"/>
      <c r="W28" s="1289"/>
    </row>
    <row r="29" spans="1:23" ht="18.75" customHeight="1">
      <c r="A29" s="1040">
        <f t="shared" si="0"/>
        <v>20</v>
      </c>
      <c r="B29" s="1031">
        <f>IF($A29=1,IF($B$7='[5]Weather Tables'!$A$2, 2, 1),IF($C29=1,B28+1,B28))</f>
        <v>4</v>
      </c>
      <c r="C29" s="974">
        <f>IF($A29=1,MOD(MATCH($B$7,'[5]Weather Tables'!$A$2:$A$7,0),6)+1,IF($C28=COUNTA('[5]Weather Tables'!$A$2:$A$7),1,C28+1))</f>
        <v>3</v>
      </c>
      <c r="D29" s="1044" t="str">
        <f t="array" ref="D29">INDEX('[5]Weather Tables'!$A$2:$A$7,$C29)</f>
        <v>Afternoon</v>
      </c>
      <c r="E29" s="974" t="str">
        <f t="array" ref="E29">SUBSTITUTE(INDEX('[5]Weather Tables'!$M$2:$O$2,,MATCH(K29,INDEX('[5]Weather Tables'!$M$3:$O$5,MATCH(IF($A29=1,D$7,SUBSTITUTE($E28,"Snow","Rain")),'[5]Weather Tables'!$L$3:$L$5,0),),1)),IF($N29&lt;'[5]Weather Tables'!$B$38,"Rain","N/A"),"Snow")</f>
        <v>Clear Skies</v>
      </c>
      <c r="F29" s="1298" t="str">
        <f t="array" ref="F29">INDEX('[5]Weather Tables'!$M$8:$O$8,,MATCH(L29,INDEX('[5]Weather Tables'!$M$9:$O$11,MATCH(IF($A29=1,E$7,F28),'[5]Weather Tables'!$L$9:$L$11,0),),1))</f>
        <v>No Wind</v>
      </c>
      <c r="G29" s="1289"/>
      <c r="H29" s="1044" t="str">
        <f t="array" ref="H29">INDEX('[5]Weather Tables'!$A$36:A$43,MATCH(N29,'[5]Weather Tables'!$B$36:B$43,1),)</f>
        <v>Extreme heat</v>
      </c>
      <c r="I29" s="974" t="str">
        <f>IF(AND(SUBSTITUTE($E29,"Snow","Rain")='[5]Weather Tables'!$I$2,$F29='[5]Weather Tables'!$I$8), IF($E29='[5]Weather Tables'!$I$2, "STORM!", "BLIZZARD!"), "")</f>
        <v/>
      </c>
      <c r="J29" s="1039"/>
      <c r="K29" s="1047">
        <v>0.81855392036538122</v>
      </c>
      <c r="L29" s="1047">
        <v>0.44988077457908771</v>
      </c>
      <c r="M29" s="1047">
        <v>0.84651276103536865</v>
      </c>
      <c r="N29" s="1043">
        <f t="array" ref="N29">NORMINV(M29,AVERAGE(IF(N28=$N$9,H26,N28),INDEX('[5]Weather Tables'!$B$24:$B$33,MATCH($E$4,'[5]Weather Tables'!$A$24:$A$33,0))+INDEX('[5]Weather Tables'!$B$10:$B$21, MATCH($B$4,'[5]Weather Tables'!$A$10:$A$21,0))+INDEX('[5]Weather Tables'!$B$2:$B$7,$C29)),'[5]Weather Tables'!$D$2)</f>
        <v>103.83489445523405</v>
      </c>
      <c r="O29" s="1043">
        <f t="shared" si="1"/>
        <v>40</v>
      </c>
      <c r="P29" s="1024"/>
      <c r="Q29" s="1289"/>
      <c r="R29" s="1289"/>
      <c r="S29" s="1289"/>
      <c r="T29" s="1289"/>
      <c r="U29" s="1289"/>
      <c r="V29" s="1289"/>
      <c r="W29" s="1289"/>
    </row>
    <row r="30" spans="1:23" ht="18.75" customHeight="1">
      <c r="A30" s="1040">
        <f t="shared" si="0"/>
        <v>21</v>
      </c>
      <c r="B30" s="1030">
        <f>IF($A30=1,IF($B$7='[5]Weather Tables'!$A$7, 2, 1),IF($C30=1,B29+1,B29))</f>
        <v>4</v>
      </c>
      <c r="C30" s="973">
        <f>IF($A30=1,MOD(MATCH($B$7,'[5]Weather Tables'!$A$2:$A$7,0),6)+1,IF($C29=COUNTA('[5]Weather Tables'!$A$2:$A$7),1,C29+1))</f>
        <v>4</v>
      </c>
      <c r="D30" s="1041" t="str">
        <f t="array" ref="D30">INDEX('[5]Weather Tables'!$A$2:$A$7,$C30)</f>
        <v>Evening</v>
      </c>
      <c r="E30" s="973" t="str">
        <f t="array" ref="E30">SUBSTITUTE(INDEX('[5]Weather Tables'!$M$2:$O$2,,MATCH(K30,INDEX('[5]Weather Tables'!$M$3:$O$5,MATCH(IF($A30=1,D$7,SUBSTITUTE($E29,"Snow","Rain")),'[5]Weather Tables'!$L$3:$L$5,0),),1)),IF($N30&lt;'[5]Weather Tables'!$B$38,"Rain","N/A"),"Snow")</f>
        <v>Clear Skies</v>
      </c>
      <c r="F30" s="1297" t="str">
        <f t="array" ref="F30">INDEX('[5]Weather Tables'!$M$8:$O$8,,MATCH(L30,INDEX('[5]Weather Tables'!$M$9:$O$11,MATCH(IF($A30=1,E$7,F29),'[5]Weather Tables'!$L$9:$L$11,0),),1))</f>
        <v>No Wind</v>
      </c>
      <c r="G30" s="1289"/>
      <c r="H30" s="1041" t="str">
        <f t="array" ref="H30">INDEX('[5]Weather Tables'!$A$36:A$43,MATCH(N30,'[5]Weather Tables'!$B$36:B$43,1),)</f>
        <v>Extreme heat</v>
      </c>
      <c r="I30" s="973" t="str">
        <f>IF(AND(SUBSTITUTE($E30,"Snow","Rain")='[5]Weather Tables'!$I$2,$F30='[5]Weather Tables'!$I$8), IF($E30='[5]Weather Tables'!$I$2, "STORM!", "BLIZZARD!"), "")</f>
        <v/>
      </c>
      <c r="J30" s="1039"/>
      <c r="K30" s="1047">
        <v>0.97755084275039683</v>
      </c>
      <c r="L30" s="1047">
        <v>0.41812886142619898</v>
      </c>
      <c r="M30" s="1047">
        <v>0.68139202175279678</v>
      </c>
      <c r="N30" s="1043">
        <f t="array" ref="N30">NORMINV(M30,AVERAGE(IF(N29=$N$9,H27,N29),INDEX('[5]Weather Tables'!$B$24:$B$33,MATCH($E$4,'[5]Weather Tables'!$A$24:$A$33,0))+INDEX('[5]Weather Tables'!$B$10:$B$21, MATCH($B$4,'[5]Weather Tables'!$A$10:$A$21,0))+INDEX('[5]Weather Tables'!$B$2:$B$7,$C30)),'[5]Weather Tables'!$D$2)</f>
        <v>100.70468256858391</v>
      </c>
      <c r="O30" s="1043">
        <f t="shared" si="1"/>
        <v>38</v>
      </c>
      <c r="P30" s="1024"/>
      <c r="Q30" s="1289"/>
      <c r="R30" s="1289"/>
      <c r="S30" s="1289"/>
      <c r="T30" s="1289"/>
      <c r="U30" s="1289"/>
      <c r="V30" s="1289"/>
      <c r="W30" s="1289"/>
    </row>
    <row r="31" spans="1:23" ht="18.75" customHeight="1">
      <c r="A31" s="1040">
        <f t="shared" si="0"/>
        <v>22</v>
      </c>
      <c r="B31" s="1031">
        <f>IF($A31=1,IF($B$7='[5]Weather Tables'!$A$2, 2, 1),IF($C31=1,B30+1,B30))</f>
        <v>4</v>
      </c>
      <c r="C31" s="974">
        <f>IF($A31=1,MOD(MATCH($B$7,'[5]Weather Tables'!$A$2:$A$7,0),6)+1,IF($C30=COUNTA('[5]Weather Tables'!$A$2:$A$7),1,C30+1))</f>
        <v>5</v>
      </c>
      <c r="D31" s="1044" t="str">
        <f t="array" ref="D31">INDEX('[5]Weather Tables'!$A$2:$A$7,$C31)</f>
        <v>Midnight</v>
      </c>
      <c r="E31" s="974" t="str">
        <f t="array" ref="E31">SUBSTITUTE(INDEX('[5]Weather Tables'!$M$2:$O$2,,MATCH(K31,INDEX('[5]Weather Tables'!$M$3:$O$5,MATCH(IF($A31=1,D$7,SUBSTITUTE($E30,"Snow","Rain")),'[5]Weather Tables'!$L$3:$L$5,0),),1)),IF($N31&lt;'[5]Weather Tables'!$B$38,"Rain","N/A"),"Snow")</f>
        <v>Clear Skies</v>
      </c>
      <c r="F31" s="1298" t="str">
        <f t="array" ref="F31">INDEX('[5]Weather Tables'!$M$8:$O$8,,MATCH(L31,INDEX('[5]Weather Tables'!$M$9:$O$11,MATCH(IF($A31=1,E$7,F30),'[5]Weather Tables'!$L$9:$L$11,0),),1))</f>
        <v>Low Winds</v>
      </c>
      <c r="G31" s="1289"/>
      <c r="H31" s="974" t="str">
        <f t="array" ref="H31">INDEX('[5]Weather Tables'!$A$36:A$43,MATCH(N31,'[5]Weather Tables'!$B$36:B$43,1),)</f>
        <v>Hot</v>
      </c>
      <c r="I31" s="974" t="str">
        <f>IF(AND(SUBSTITUTE($E31,"Snow","Rain")='[5]Weather Tables'!$I$2,$F31='[5]Weather Tables'!$I$8), IF($E31='[5]Weather Tables'!$I$2, "STORM!", "BLIZZARD!"), "")</f>
        <v/>
      </c>
      <c r="J31" s="1039"/>
      <c r="K31" s="1047">
        <v>0.81601809328842045</v>
      </c>
      <c r="L31" s="1047">
        <v>0.51250890969701646</v>
      </c>
      <c r="M31" s="1047">
        <v>0.75963774341270174</v>
      </c>
      <c r="N31" s="1043">
        <f t="array" ref="N31">NORMINV(M31,AVERAGE(IF(N30=$N$9,H28,N30),INDEX('[5]Weather Tables'!$B$24:$B$33,MATCH($E$4,'[5]Weather Tables'!$A$24:$A$33,0))+INDEX('[5]Weather Tables'!$B$10:$B$21, MATCH($B$4,'[5]Weather Tables'!$A$10:$A$21,0))+INDEX('[5]Weather Tables'!$B$2:$B$7,$C31)),'[5]Weather Tables'!$D$2)</f>
        <v>96.272259393839036</v>
      </c>
      <c r="O31" s="1043">
        <f t="shared" si="1"/>
        <v>36</v>
      </c>
      <c r="P31" s="1024"/>
      <c r="Q31" s="1307" t="s">
        <v>7520</v>
      </c>
      <c r="R31" s="1306" t="s">
        <v>7521</v>
      </c>
      <c r="S31" s="1289"/>
      <c r="T31" s="1289"/>
      <c r="U31" s="1289"/>
      <c r="V31" s="1289"/>
      <c r="W31" s="1289"/>
    </row>
    <row r="32" spans="1:23" ht="18.75" customHeight="1">
      <c r="A32" s="1040">
        <f t="shared" si="0"/>
        <v>23</v>
      </c>
      <c r="B32" s="1030">
        <f>IF($A32=1,IF($B$7='[5]Weather Tables'!$A$7, 2, 1),IF($C32=1,B31+1,B31))</f>
        <v>4</v>
      </c>
      <c r="C32" s="973">
        <f>IF($A32=1,MOD(MATCH($B$7,'[5]Weather Tables'!$A$2:$A$7,0),6)+1,IF($C31=COUNTA('[5]Weather Tables'!$A$2:$A$7),1,C31+1))</f>
        <v>6</v>
      </c>
      <c r="D32" s="1041" t="str">
        <f t="array" ref="D32">INDEX('[5]Weather Tables'!$A$2:$A$7,$C32)</f>
        <v>Night</v>
      </c>
      <c r="E32" s="973" t="str">
        <f t="array" ref="E32">SUBSTITUTE(INDEX('[5]Weather Tables'!$M$2:$O$2,,MATCH(K32,INDEX('[5]Weather Tables'!$M$3:$O$5,MATCH(IF($A32=1,D$7,SUBSTITUTE($E31,"Snow","Rain")),'[5]Weather Tables'!$L$3:$L$5,0),),1)),IF($N32&lt;'[5]Weather Tables'!$B$38,"Rain","N/A"),"Snow")</f>
        <v>Clear Skies</v>
      </c>
      <c r="F32" s="1297" t="str">
        <f t="array" ref="F32">INDEX('[5]Weather Tables'!$M$8:$O$8,,MATCH(L32,INDEX('[5]Weather Tables'!$M$9:$O$11,MATCH(IF($A32=1,E$7,F31),'[5]Weather Tables'!$L$9:$L$11,0),),1))</f>
        <v>Low Winds</v>
      </c>
      <c r="G32" s="1289"/>
      <c r="H32" s="1041" t="str">
        <f t="array" ref="H32">INDEX('[5]Weather Tables'!$A$36:A$43,MATCH(N32,'[5]Weather Tables'!$B$36:B$43,1),)</f>
        <v>Extreme heat</v>
      </c>
      <c r="I32" s="973" t="str">
        <f>IF(AND(SUBSTITUTE($E32,"Snow","Rain")='[5]Weather Tables'!$I$2,$F32='[5]Weather Tables'!$I$8), IF($E32='[5]Weather Tables'!$I$2, "STORM!", "BLIZZARD!"), "")</f>
        <v/>
      </c>
      <c r="J32" s="1039"/>
      <c r="K32" s="1047">
        <v>0.52743052116701949</v>
      </c>
      <c r="L32" s="1047">
        <v>0.30009169671259739</v>
      </c>
      <c r="M32" s="1047">
        <v>0.97194465794467455</v>
      </c>
      <c r="N32" s="1043">
        <f t="array" ref="N32">NORMINV(M32,AVERAGE(IF(N31=$N$9,H29,N31),INDEX('[5]Weather Tables'!$B$24:$B$33,MATCH($E$4,'[5]Weather Tables'!$A$24:$A$33,0))+INDEX('[5]Weather Tables'!$B$10:$B$21, MATCH($B$4,'[5]Weather Tables'!$A$10:$A$21,0))+INDEX('[5]Weather Tables'!$B$2:$B$7,$C32)),'[5]Weather Tables'!$D$2)</f>
        <v>101.90047847675396</v>
      </c>
      <c r="O32" s="1043">
        <f t="shared" si="1"/>
        <v>39</v>
      </c>
      <c r="P32" s="1024"/>
      <c r="Q32" s="1289"/>
      <c r="R32" s="1289"/>
      <c r="S32" s="1289"/>
      <c r="T32" s="1289"/>
      <c r="U32" s="1289"/>
      <c r="V32" s="1289"/>
      <c r="W32" s="1289"/>
    </row>
    <row r="33" spans="1:23" ht="18.75" customHeight="1">
      <c r="A33" s="1040">
        <f t="shared" si="0"/>
        <v>24</v>
      </c>
      <c r="B33" s="1031">
        <f>IF($A33=1,IF($B$7='[5]Weather Tables'!$A$2, 2, 1),IF($C33=1,B32+1,B32))</f>
        <v>5</v>
      </c>
      <c r="C33" s="974">
        <f>IF($A33=1,MOD(MATCH($B$7,'[5]Weather Tables'!$A$2:$A$7,0),6)+1,IF($C32=COUNTA('[5]Weather Tables'!$A$2:$A$7),1,C32+1))</f>
        <v>1</v>
      </c>
      <c r="D33" s="1044" t="str">
        <f t="array" ref="D33">INDEX('[5]Weather Tables'!$A$2:$A$7,$C33)</f>
        <v>Dawn</v>
      </c>
      <c r="E33" s="974" t="str">
        <f t="array" ref="E33">SUBSTITUTE(INDEX('[5]Weather Tables'!$M$2:$O$2,,MATCH(K33,INDEX('[5]Weather Tables'!$M$3:$O$5,MATCH(IF($A33=1,D$7,SUBSTITUTE($E32,"Snow","Rain")),'[5]Weather Tables'!$L$3:$L$5,0),),1)),IF($N33&lt;'[5]Weather Tables'!$B$38,"Rain","N/A"),"Snow")</f>
        <v>Clear Skies</v>
      </c>
      <c r="F33" s="1298" t="str">
        <f t="array" ref="F33">INDEX('[5]Weather Tables'!$M$8:$O$8,,MATCH(L33,INDEX('[5]Weather Tables'!$M$9:$O$11,MATCH(IF($A33=1,E$7,F32),'[5]Weather Tables'!$L$9:$L$11,0),),1))</f>
        <v>No Wind</v>
      </c>
      <c r="G33" s="1289"/>
      <c r="H33" s="1044" t="str">
        <f t="array" ref="H33">INDEX('[5]Weather Tables'!$A$36:A$43,MATCH(N33,'[5]Weather Tables'!$B$36:B$43,1),)</f>
        <v>Extreme heat</v>
      </c>
      <c r="I33" s="974" t="str">
        <f>IF(AND(SUBSTITUTE($E33,"Snow","Rain")='[5]Weather Tables'!$I$2,$F33='[5]Weather Tables'!$I$8), IF($E33='[5]Weather Tables'!$I$2, "STORM!", "BLIZZARD!"), "")</f>
        <v/>
      </c>
      <c r="J33" s="1039"/>
      <c r="K33" s="1042">
        <v>0.15034851910197733</v>
      </c>
      <c r="L33" s="1042">
        <v>8.373911947582624E-2</v>
      </c>
      <c r="M33" s="1042">
        <v>0.73049189043155904</v>
      </c>
      <c r="N33" s="1043">
        <f t="array" ref="N33">NORMINV(M33,AVERAGE(IF(N32=$N$9,H30,N32),INDEX('[5]Weather Tables'!$B$24:$B$33,MATCH($E$4,'[5]Weather Tables'!$A$24:$A$33,0))+INDEX('[5]Weather Tables'!$B$10:$B$21, MATCH($B$4,'[5]Weather Tables'!$A$10:$A$21,0))+INDEX('[5]Weather Tables'!$B$2:$B$7,$C33)),'[5]Weather Tables'!$D$2)</f>
        <v>102.92960072336894</v>
      </c>
      <c r="O33" s="1043">
        <f t="shared" si="1"/>
        <v>39</v>
      </c>
      <c r="P33" s="1024"/>
      <c r="Q33" s="1289"/>
      <c r="R33" s="1289"/>
      <c r="S33" s="1289"/>
      <c r="T33" s="1289"/>
      <c r="U33" s="1289"/>
      <c r="V33" s="1289"/>
      <c r="W33" s="1289"/>
    </row>
    <row r="34" spans="1:23" ht="18.75" customHeight="1">
      <c r="A34" s="1040">
        <f t="shared" si="0"/>
        <v>25</v>
      </c>
      <c r="B34" s="1030">
        <f>IF($A34=1,IF($B$7='[5]Weather Tables'!$A$7, 2, 1),IF($C34=1,B33+1,B33))</f>
        <v>5</v>
      </c>
      <c r="C34" s="973">
        <f>IF($A34=1,MOD(MATCH($B$7,'[5]Weather Tables'!$A$2:$A$7,0),6)+1,IF($C33=COUNTA('[5]Weather Tables'!$A$2:$A$7),1,C33+1))</f>
        <v>2</v>
      </c>
      <c r="D34" s="1041" t="str">
        <f t="array" ref="D34">INDEX('[5]Weather Tables'!$A$2:$A$7,$C34)</f>
        <v>Midday</v>
      </c>
      <c r="E34" s="973" t="str">
        <f t="array" ref="E34">SUBSTITUTE(INDEX('[5]Weather Tables'!$M$2:$O$2,,MATCH(K34,INDEX('[5]Weather Tables'!$M$3:$O$5,MATCH(IF($A34=1,D$7,SUBSTITUTE($E33,"Snow","Rain")),'[5]Weather Tables'!$L$3:$L$5,0),),1)),IF($N34&lt;'[5]Weather Tables'!$B$38,"Rain","N/A"),"Snow")</f>
        <v>Clear Skies</v>
      </c>
      <c r="F34" s="1297" t="str">
        <f t="array" ref="F34">INDEX('[5]Weather Tables'!$M$8:$O$8,,MATCH(L34,INDEX('[5]Weather Tables'!$M$9:$O$11,MATCH(IF($A34=1,E$7,F33),'[5]Weather Tables'!$L$9:$L$11,0),),1))</f>
        <v>No Wind</v>
      </c>
      <c r="G34" s="1289"/>
      <c r="H34" s="973" t="str">
        <f t="array" ref="H34">INDEX('[5]Weather Tables'!$A$36:A$43,MATCH(N34,'[5]Weather Tables'!$B$36:B$43,1),)</f>
        <v>Hot</v>
      </c>
      <c r="I34" s="973" t="str">
        <f>IF(AND(SUBSTITUTE($E34,"Snow","Rain")='[5]Weather Tables'!$I$2,$F34='[5]Weather Tables'!$I$8), IF($E34='[5]Weather Tables'!$I$2, "STORM!", "BLIZZARD!"), "")</f>
        <v/>
      </c>
      <c r="J34" s="1039"/>
      <c r="K34" s="1042">
        <v>0.29969903527039066</v>
      </c>
      <c r="L34" s="1042">
        <v>0.21418748870670579</v>
      </c>
      <c r="M34" s="1042">
        <v>4.968353265878267E-2</v>
      </c>
      <c r="N34" s="1043">
        <f t="array" ref="N34">NORMINV(M34,AVERAGE(IF(N33=$N$9,H31,N33),INDEX('[5]Weather Tables'!$B$24:$B$33,MATCH($E$4,'[5]Weather Tables'!$A$24:$A$33,0))+INDEX('[5]Weather Tables'!$B$10:$B$21, MATCH($B$4,'[5]Weather Tables'!$A$10:$A$21,0))+INDEX('[5]Weather Tables'!$B$2:$B$7,$C34)),'[5]Weather Tables'!$D$2)</f>
        <v>96.472340545128333</v>
      </c>
      <c r="O34" s="1043">
        <f t="shared" si="1"/>
        <v>36</v>
      </c>
      <c r="P34" s="1024"/>
      <c r="Q34" s="1289"/>
      <c r="R34" s="1289"/>
      <c r="S34" s="1289"/>
      <c r="T34" s="1289"/>
      <c r="U34" s="1289"/>
      <c r="V34" s="1289"/>
      <c r="W34" s="1289"/>
    </row>
    <row r="35" spans="1:23" ht="18.75" customHeight="1">
      <c r="A35" s="1040">
        <f t="shared" si="0"/>
        <v>26</v>
      </c>
      <c r="B35" s="1031">
        <f>IF($A35=1,IF($B$7='[5]Weather Tables'!$A$2, 2, 1),IF($C35=1,B34+1,B34))</f>
        <v>5</v>
      </c>
      <c r="C35" s="974">
        <f>IF($A35=1,MOD(MATCH($B$7,'[5]Weather Tables'!$A$2:$A$7,0),6)+1,IF($C34=COUNTA('[5]Weather Tables'!$A$2:$A$7),1,C34+1))</f>
        <v>3</v>
      </c>
      <c r="D35" s="1044" t="str">
        <f t="array" ref="D35">INDEX('[5]Weather Tables'!$A$2:$A$7,$C35)</f>
        <v>Afternoon</v>
      </c>
      <c r="E35" s="974" t="str">
        <f t="array" ref="E35">SUBSTITUTE(INDEX('[5]Weather Tables'!$M$2:$O$2,,MATCH(K35,INDEX('[5]Weather Tables'!$M$3:$O$5,MATCH(IF($A35=1,D$7,SUBSTITUTE($E34,"Snow","Rain")),'[5]Weather Tables'!$L$3:$L$5,0),),1)),IF($N35&lt;'[5]Weather Tables'!$B$38,"Rain","N/A"),"Snow")</f>
        <v>Clear Skies</v>
      </c>
      <c r="F35" s="1298" t="str">
        <f t="array" ref="F35">INDEX('[5]Weather Tables'!$M$8:$O$8,,MATCH(L35,INDEX('[5]Weather Tables'!$M$9:$O$11,MATCH(IF($A35=1,E$7,F34),'[5]Weather Tables'!$L$9:$L$11,0),),1))</f>
        <v>Low Winds</v>
      </c>
      <c r="G35" s="1289"/>
      <c r="H35" s="1044" t="str">
        <f t="array" ref="H35">INDEX('[5]Weather Tables'!$A$36:A$43,MATCH(N35,'[5]Weather Tables'!$B$36:B$43,1),)</f>
        <v>Extreme heat</v>
      </c>
      <c r="I35" s="974" t="str">
        <f>IF(AND(SUBSTITUTE($E35,"Snow","Rain")='[5]Weather Tables'!$I$2,$F35='[5]Weather Tables'!$I$8), IF($E35='[5]Weather Tables'!$I$2, "STORM!", "BLIZZARD!"), "")</f>
        <v/>
      </c>
      <c r="J35" s="1039"/>
      <c r="K35" s="1042">
        <v>0.63724415933810041</v>
      </c>
      <c r="L35" s="1042">
        <v>0.8742130871795446</v>
      </c>
      <c r="M35" s="1042">
        <v>0.82137969564979874</v>
      </c>
      <c r="N35" s="1043">
        <f t="array" ref="N35">NORMINV(M35,AVERAGE(IF(N34=$N$9,H32,N34),INDEX('[5]Weather Tables'!$B$24:$B$33,MATCH($E$4,'[5]Weather Tables'!$A$24:$A$33,0))+INDEX('[5]Weather Tables'!$B$10:$B$21, MATCH($B$4,'[5]Weather Tables'!$A$10:$A$21,0))+INDEX('[5]Weather Tables'!$B$2:$B$7,$C35)),'[5]Weather Tables'!$D$2)</f>
        <v>102.20125386582777</v>
      </c>
      <c r="O35" s="1043">
        <f t="shared" si="1"/>
        <v>39</v>
      </c>
      <c r="P35" s="1024"/>
      <c r="Q35" s="1048" t="s">
        <v>7511</v>
      </c>
      <c r="R35" s="1306" t="s">
        <v>7513</v>
      </c>
      <c r="S35" s="1289"/>
      <c r="T35" s="1289"/>
      <c r="U35" s="1289"/>
      <c r="V35" s="1289"/>
      <c r="W35" s="1289"/>
    </row>
    <row r="36" spans="1:23" ht="18.75" customHeight="1">
      <c r="A36" s="1040">
        <f t="shared" si="0"/>
        <v>27</v>
      </c>
      <c r="B36" s="1030">
        <f>IF($A36=1,IF($B$7='[5]Weather Tables'!$A$7, 2, 1),IF($C36=1,B35+1,B35))</f>
        <v>5</v>
      </c>
      <c r="C36" s="973">
        <f>IF($A36=1,MOD(MATCH($B$7,'[5]Weather Tables'!$A$2:$A$7,0),6)+1,IF($C35=COUNTA('[5]Weather Tables'!$A$2:$A$7),1,C35+1))</f>
        <v>4</v>
      </c>
      <c r="D36" s="1041" t="str">
        <f t="array" ref="D36">INDEX('[5]Weather Tables'!$A$2:$A$7,$C36)</f>
        <v>Evening</v>
      </c>
      <c r="E36" s="973" t="str">
        <f t="array" ref="E36">SUBSTITUTE(INDEX('[5]Weather Tables'!$M$2:$O$2,,MATCH(K36,INDEX('[5]Weather Tables'!$M$3:$O$5,MATCH(IF($A36=1,D$7,SUBSTITUTE($E35,"Snow","Rain")),'[5]Weather Tables'!$L$3:$L$5,0),),1)),IF($N36&lt;'[5]Weather Tables'!$B$38,"Rain","N/A"),"Snow")</f>
        <v>Clear Skies</v>
      </c>
      <c r="F36" s="1297" t="str">
        <f t="array" ref="F36">INDEX('[5]Weather Tables'!$M$8:$O$8,,MATCH(L36,INDEX('[5]Weather Tables'!$M$9:$O$11,MATCH(IF($A36=1,E$7,F35),'[5]Weather Tables'!$L$9:$L$11,0),),1))</f>
        <v>Low Winds</v>
      </c>
      <c r="G36" s="1289"/>
      <c r="H36" s="1041" t="str">
        <f t="array" ref="H36">INDEX('[5]Weather Tables'!$A$36:A$43,MATCH(N36,'[5]Weather Tables'!$B$36:B$43,1),)</f>
        <v>Extreme heat</v>
      </c>
      <c r="I36" s="973" t="str">
        <f>IF(AND(SUBSTITUTE($E36,"Snow","Rain")='[5]Weather Tables'!$I$2,$F36='[5]Weather Tables'!$I$8), IF($E36='[5]Weather Tables'!$I$2, "STORM!", "BLIZZARD!"), "")</f>
        <v/>
      </c>
      <c r="J36" s="1039"/>
      <c r="K36" s="1042">
        <v>0.40721291492243972</v>
      </c>
      <c r="L36" s="1042">
        <v>0.76611761043515214</v>
      </c>
      <c r="M36" s="1042">
        <v>0.77088207242622409</v>
      </c>
      <c r="N36" s="1043">
        <f t="array" ref="N36">NORMINV(M36,AVERAGE(IF(N35=$N$9,H33,N35),INDEX('[5]Weather Tables'!$B$24:$B$33,MATCH($E$4,'[5]Weather Tables'!$A$24:$A$33,0))+INDEX('[5]Weather Tables'!$B$10:$B$21, MATCH($B$4,'[5]Weather Tables'!$A$10:$A$21,0))+INDEX('[5]Weather Tables'!$B$2:$B$7,$C36)),'[5]Weather Tables'!$D$2)</f>
        <v>101.19813815895637</v>
      </c>
      <c r="O36" s="1043">
        <f t="shared" si="1"/>
        <v>38</v>
      </c>
      <c r="P36" s="1024"/>
      <c r="Q36" s="1048" t="s">
        <v>7522</v>
      </c>
      <c r="R36" s="1306" t="s">
        <v>7523</v>
      </c>
      <c r="S36" s="1289"/>
      <c r="T36" s="1289"/>
      <c r="U36" s="1289"/>
      <c r="V36" s="1289"/>
      <c r="W36" s="1289"/>
    </row>
    <row r="37" spans="1:23" ht="18.75" customHeight="1">
      <c r="A37" s="1040">
        <f t="shared" si="0"/>
        <v>28</v>
      </c>
      <c r="B37" s="1031">
        <f>IF($A37=1,IF($B$7='[5]Weather Tables'!$A$2, 2, 1),IF($C37=1,B36+1,B36))</f>
        <v>5</v>
      </c>
      <c r="C37" s="974">
        <f>IF($A37=1,MOD(MATCH($B$7,'[5]Weather Tables'!$A$2:$A$7,0),6)+1,IF($C36=COUNTA('[5]Weather Tables'!$A$2:$A$7),1,C36+1))</f>
        <v>5</v>
      </c>
      <c r="D37" s="1044" t="str">
        <f t="array" ref="D37">INDEX('[5]Weather Tables'!$A$2:$A$7,$C37)</f>
        <v>Midnight</v>
      </c>
      <c r="E37" s="974" t="str">
        <f t="array" ref="E37">SUBSTITUTE(INDEX('[5]Weather Tables'!$M$2:$O$2,,MATCH(K37,INDEX('[5]Weather Tables'!$M$3:$O$5,MATCH(IF($A37=1,D$7,SUBSTITUTE($E36,"Snow","Rain")),'[5]Weather Tables'!$L$3:$L$5,0),),1)),IF($N37&lt;'[5]Weather Tables'!$B$38,"Rain","N/A"),"Snow")</f>
        <v>Clear Skies</v>
      </c>
      <c r="F37" s="1298" t="str">
        <f t="array" ref="F37">INDEX('[5]Weather Tables'!$M$8:$O$8,,MATCH(L37,INDEX('[5]Weather Tables'!$M$9:$O$11,MATCH(IF($A37=1,E$7,F36),'[5]Weather Tables'!$L$9:$L$11,0),),1))</f>
        <v>No Wind</v>
      </c>
      <c r="G37" s="1289"/>
      <c r="H37" s="1044" t="str">
        <f t="array" ref="H37">INDEX('[5]Weather Tables'!$A$36:A$43,MATCH(N37,'[5]Weather Tables'!$B$36:B$43,1),)</f>
        <v>Extreme heat</v>
      </c>
      <c r="I37" s="974" t="str">
        <f>IF(AND(SUBSTITUTE($E37,"Snow","Rain")='[5]Weather Tables'!$I$2,$F37='[5]Weather Tables'!$I$8), IF($E37='[5]Weather Tables'!$I$2, "STORM!", "BLIZZARD!"), "")</f>
        <v/>
      </c>
      <c r="J37" s="1039"/>
      <c r="K37" s="1042">
        <v>0.94979945239782793</v>
      </c>
      <c r="L37" s="1042">
        <v>0.10761866358027949</v>
      </c>
      <c r="M37" s="1042">
        <v>0.97829078822627824</v>
      </c>
      <c r="N37" s="1043">
        <f t="array" ref="N37">NORMINV(M37,AVERAGE(IF(N36=$N$9,H34,N36),INDEX('[5]Weather Tables'!$B$24:$B$33,MATCH($E$4,'[5]Weather Tables'!$A$24:$A$33,0))+INDEX('[5]Weather Tables'!$B$10:$B$21, MATCH($B$4,'[5]Weather Tables'!$A$10:$A$21,0))+INDEX('[5]Weather Tables'!$B$2:$B$7,$C37)),'[5]Weather Tables'!$D$2)</f>
        <v>102.8944314492778</v>
      </c>
      <c r="O37" s="1043">
        <f t="shared" si="1"/>
        <v>39</v>
      </c>
      <c r="P37" s="1024"/>
      <c r="Q37" s="1307" t="s">
        <v>7524</v>
      </c>
      <c r="R37" s="1306" t="s">
        <v>7525</v>
      </c>
      <c r="S37" s="1289"/>
      <c r="T37" s="1289"/>
      <c r="U37" s="1289"/>
      <c r="V37" s="1289"/>
      <c r="W37" s="1289"/>
    </row>
    <row r="38" spans="1:23" ht="18.75" customHeight="1">
      <c r="A38" s="1040">
        <f t="shared" si="0"/>
        <v>29</v>
      </c>
      <c r="B38" s="1030">
        <f>IF($A38=1,IF($B$7='[5]Weather Tables'!$A$7, 2, 1),IF($C38=1,B37+1,B37))</f>
        <v>5</v>
      </c>
      <c r="C38" s="973">
        <f>IF($A38=1,MOD(MATCH($B$7,'[5]Weather Tables'!$A$2:$A$7,0),6)+1,IF($C37=COUNTA('[5]Weather Tables'!$A$2:$A$7),1,C37+1))</f>
        <v>6</v>
      </c>
      <c r="D38" s="1041" t="str">
        <f t="array" ref="D38">INDEX('[5]Weather Tables'!$A$2:$A$7,$C38)</f>
        <v>Night</v>
      </c>
      <c r="E38" s="973" t="str">
        <f t="array" ref="E38">SUBSTITUTE(INDEX('[5]Weather Tables'!$M$2:$O$2,,MATCH(K38,INDEX('[5]Weather Tables'!$M$3:$O$5,MATCH(IF($A38=1,D$7,SUBSTITUTE($E37,"Snow","Rain")),'[5]Weather Tables'!$L$3:$L$5,0),),1)),IF($N38&lt;'[5]Weather Tables'!$B$38,"Rain","N/A"),"Snow")</f>
        <v>Clear Skies</v>
      </c>
      <c r="F38" s="1297" t="str">
        <f t="array" ref="F38">INDEX('[5]Weather Tables'!$M$8:$O$8,,MATCH(L38,INDEX('[5]Weather Tables'!$M$9:$O$11,MATCH(IF($A38=1,E$7,F37),'[5]Weather Tables'!$L$9:$L$11,0),),1))</f>
        <v>No Wind</v>
      </c>
      <c r="G38" s="1289"/>
      <c r="H38" s="973" t="str">
        <f t="array" ref="H38">INDEX('[5]Weather Tables'!$A$36:A$43,MATCH(N38,'[5]Weather Tables'!$B$36:B$43,1),)</f>
        <v>Hot</v>
      </c>
      <c r="I38" s="973" t="str">
        <f>IF(AND(SUBSTITUTE($E38,"Snow","Rain")='[5]Weather Tables'!$I$2,$F38='[5]Weather Tables'!$I$8), IF($E38='[5]Weather Tables'!$I$2, "STORM!", "BLIZZARD!"), "")</f>
        <v/>
      </c>
      <c r="J38" s="1039"/>
      <c r="K38" s="1042">
        <v>0.55907858045655057</v>
      </c>
      <c r="L38" s="1042">
        <v>0.438999245531011</v>
      </c>
      <c r="M38" s="1042">
        <v>0.74585822315808714</v>
      </c>
      <c r="N38" s="1043">
        <f t="array" ref="N38">NORMINV(M38,AVERAGE(IF(N37=$N$9,H35,N37),INDEX('[5]Weather Tables'!$B$24:$B$33,MATCH($E$4,'[5]Weather Tables'!$A$24:$A$33,0))+INDEX('[5]Weather Tables'!$B$10:$B$21, MATCH($B$4,'[5]Weather Tables'!$A$10:$A$21,0))+INDEX('[5]Weather Tables'!$B$2:$B$7,$C38)),'[5]Weather Tables'!$D$2)</f>
        <v>99.155552464143184</v>
      </c>
      <c r="O38" s="1043">
        <f t="shared" si="1"/>
        <v>37</v>
      </c>
      <c r="P38" s="1024"/>
      <c r="Q38" s="1289"/>
      <c r="R38" s="1289"/>
      <c r="S38" s="1289"/>
      <c r="T38" s="1289"/>
      <c r="U38" s="1289"/>
      <c r="V38" s="1289"/>
      <c r="W38" s="1289"/>
    </row>
    <row r="39" spans="1:23" ht="18.75" customHeight="1">
      <c r="A39" s="1040">
        <f t="shared" si="0"/>
        <v>30</v>
      </c>
      <c r="B39" s="1031">
        <f>IF($A39=1,IF($B$7='[5]Weather Tables'!$A$2, 2, 1),IF($C39=1,B38+1,B38))</f>
        <v>6</v>
      </c>
      <c r="C39" s="974">
        <f>IF($A39=1,MOD(MATCH($B$7,'[5]Weather Tables'!$A$2:$A$7,0),6)+1,IF($C38=COUNTA('[5]Weather Tables'!$A$2:$A$7),1,C38+1))</f>
        <v>1</v>
      </c>
      <c r="D39" s="1044" t="str">
        <f t="array" ref="D39">INDEX('[5]Weather Tables'!$A$2:$A$7,$C39)</f>
        <v>Dawn</v>
      </c>
      <c r="E39" s="974" t="str">
        <f t="array" ref="E39">SUBSTITUTE(INDEX('[5]Weather Tables'!$M$2:$O$2,,MATCH(K39,INDEX('[5]Weather Tables'!$M$3:$O$5,MATCH(IF($A39=1,D$7,SUBSTITUTE($E38,"Snow","Rain")),'[5]Weather Tables'!$L$3:$L$5,0),),1)),IF($N39&lt;'[5]Weather Tables'!$B$38,"Rain","N/A"),"Snow")</f>
        <v>Clear Skies</v>
      </c>
      <c r="F39" s="1298" t="str">
        <f t="array" ref="F39">INDEX('[5]Weather Tables'!$M$8:$O$8,,MATCH(L39,INDEX('[5]Weather Tables'!$M$9:$O$11,MATCH(IF($A39=1,E$7,F38),'[5]Weather Tables'!$L$9:$L$11,0),),1))</f>
        <v>No Wind</v>
      </c>
      <c r="G39" s="1289"/>
      <c r="H39" s="974" t="str">
        <f t="array" ref="H39">INDEX('[5]Weather Tables'!$A$36:A$43,MATCH(N39,'[5]Weather Tables'!$B$36:B$43,1),)</f>
        <v>Hot</v>
      </c>
      <c r="I39" s="974" t="str">
        <f>IF(AND(SUBSTITUTE($E39,"Snow","Rain")='[5]Weather Tables'!$I$2,$F39='[5]Weather Tables'!$I$8), IF($E39='[5]Weather Tables'!$I$2, "STORM!", "BLIZZARD!"), "")</f>
        <v/>
      </c>
      <c r="J39" s="1039"/>
      <c r="K39" s="1047">
        <v>1.0850783868215697E-2</v>
      </c>
      <c r="L39" s="1047">
        <v>0.21956841247921366</v>
      </c>
      <c r="M39" s="1047">
        <v>0.59104877673202616</v>
      </c>
      <c r="N39" s="1043">
        <f t="array" ref="N39">NORMINV(M39,AVERAGE(IF(N38=$N$9,H36,N38),INDEX('[5]Weather Tables'!$B$24:$B$33,MATCH($E$4,'[5]Weather Tables'!$A$24:$A$33,0))+INDEX('[5]Weather Tables'!$B$10:$B$21, MATCH($B$4,'[5]Weather Tables'!$A$10:$A$21,0))+INDEX('[5]Weather Tables'!$B$2:$B$7,$C39)),'[5]Weather Tables'!$D$2)</f>
        <v>99.694457925253559</v>
      </c>
      <c r="O39" s="1043">
        <f t="shared" si="1"/>
        <v>38</v>
      </c>
      <c r="P39" s="1024"/>
      <c r="Q39" s="1289"/>
      <c r="R39" s="1289"/>
      <c r="S39" s="1289"/>
      <c r="T39" s="1289"/>
      <c r="U39" s="1289"/>
      <c r="V39" s="1289"/>
      <c r="W39" s="1289"/>
    </row>
    <row r="40" spans="1:23" ht="18.75" customHeight="1">
      <c r="A40" s="1040">
        <f t="shared" si="0"/>
        <v>31</v>
      </c>
      <c r="B40" s="1030">
        <f>IF($A40=1,IF($B$7='[5]Weather Tables'!$A$7, 2, 1),IF($C40=1,B39+1,B39))</f>
        <v>6</v>
      </c>
      <c r="C40" s="973">
        <f>IF($A40=1,MOD(MATCH($B$7,'[5]Weather Tables'!$A$2:$A$7,0),6)+1,IF($C39=COUNTA('[5]Weather Tables'!$A$2:$A$7),1,C39+1))</f>
        <v>2</v>
      </c>
      <c r="D40" s="1041" t="str">
        <f t="array" ref="D40">INDEX('[5]Weather Tables'!$A$2:$A$7,$C40)</f>
        <v>Midday</v>
      </c>
      <c r="E40" s="973" t="str">
        <f t="array" ref="E40">SUBSTITUTE(INDEX('[5]Weather Tables'!$M$2:$O$2,,MATCH(K40,INDEX('[5]Weather Tables'!$M$3:$O$5,MATCH(IF($A40=1,D$7,SUBSTITUTE($E39,"Snow","Rain")),'[5]Weather Tables'!$L$3:$L$5,0),),1)),IF($N40&lt;'[5]Weather Tables'!$B$38,"Rain","N/A"),"Snow")</f>
        <v>Clear Skies</v>
      </c>
      <c r="F40" s="1297" t="str">
        <f t="array" ref="F40">INDEX('[5]Weather Tables'!$M$8:$O$8,,MATCH(L40,INDEX('[5]Weather Tables'!$M$9:$O$11,MATCH(IF($A40=1,E$7,F39),'[5]Weather Tables'!$L$9:$L$11,0),),1))</f>
        <v>Low Winds</v>
      </c>
      <c r="G40" s="1289"/>
      <c r="H40" s="1041" t="str">
        <f t="array" ref="H40">INDEX('[5]Weather Tables'!$A$36:A$43,MATCH(N40,'[5]Weather Tables'!$B$36:B$43,1),)</f>
        <v>Extreme heat</v>
      </c>
      <c r="I40" s="973" t="str">
        <f>IF(AND(SUBSTITUTE($E40,"Snow","Rain")='[5]Weather Tables'!$I$2,$F40='[5]Weather Tables'!$I$8), IF($E40='[5]Weather Tables'!$I$2, "STORM!", "BLIZZARD!"), "")</f>
        <v/>
      </c>
      <c r="J40" s="1039"/>
      <c r="K40" s="1047">
        <v>0.98443740465070118</v>
      </c>
      <c r="L40" s="1047">
        <v>0.81055821185181909</v>
      </c>
      <c r="M40" s="1047">
        <v>0.81589466534212651</v>
      </c>
      <c r="N40" s="1043">
        <f t="array" ref="N40">NORMINV(M40,AVERAGE(IF(N39=$N$9,H37,N39),INDEX('[5]Weather Tables'!$B$24:$B$33,MATCH($E$4,'[5]Weather Tables'!$A$24:$A$33,0))+INDEX('[5]Weather Tables'!$B$10:$B$21, MATCH($B$4,'[5]Weather Tables'!$A$10:$A$21,0))+INDEX('[5]Weather Tables'!$B$2:$B$7,$C40)),'[5]Weather Tables'!$D$2)</f>
        <v>107.21140498460733</v>
      </c>
      <c r="O40" s="1043">
        <f t="shared" si="1"/>
        <v>42</v>
      </c>
      <c r="P40" s="1024"/>
      <c r="Q40" s="1289"/>
      <c r="R40" s="1289"/>
      <c r="S40" s="1289"/>
      <c r="T40" s="1289"/>
      <c r="U40" s="1289"/>
      <c r="V40" s="1289"/>
      <c r="W40" s="1289"/>
    </row>
    <row r="41" spans="1:23" ht="18.75" customHeight="1">
      <c r="A41" s="1040">
        <f t="shared" si="0"/>
        <v>32</v>
      </c>
      <c r="B41" s="1031">
        <f>IF($A41=1,IF($B$7='[5]Weather Tables'!$A$2, 2, 1),IF($C41=1,B40+1,B40))</f>
        <v>6</v>
      </c>
      <c r="C41" s="974">
        <f>IF($A41=1,MOD(MATCH($B$7,'[5]Weather Tables'!$A$2:$A$7,0),6)+1,IF($C40=COUNTA('[5]Weather Tables'!$A$2:$A$7),1,C40+1))</f>
        <v>3</v>
      </c>
      <c r="D41" s="1044" t="str">
        <f t="array" ref="D41">INDEX('[5]Weather Tables'!$A$2:$A$7,$C41)</f>
        <v>Afternoon</v>
      </c>
      <c r="E41" s="974" t="str">
        <f t="array" ref="E41">SUBSTITUTE(INDEX('[5]Weather Tables'!$M$2:$O$2,,MATCH(K41,INDEX('[5]Weather Tables'!$M$3:$O$5,MATCH(IF($A41=1,D$7,SUBSTITUTE($E40,"Snow","Rain")),'[5]Weather Tables'!$L$3:$L$5,0),),1)),IF($N41&lt;'[5]Weather Tables'!$B$38,"Rain","N/A"),"Snow")</f>
        <v>Clear Skies</v>
      </c>
      <c r="F41" s="1298" t="str">
        <f t="array" ref="F41">INDEX('[5]Weather Tables'!$M$8:$O$8,,MATCH(L41,INDEX('[5]Weather Tables'!$M$9:$O$11,MATCH(IF($A41=1,E$7,F40),'[5]Weather Tables'!$L$9:$L$11,0),),1))</f>
        <v>No Wind</v>
      </c>
      <c r="G41" s="1289"/>
      <c r="H41" s="1044" t="str">
        <f t="array" ref="H41">INDEX('[5]Weather Tables'!$A$36:A$43,MATCH(N41,'[5]Weather Tables'!$B$36:B$43,1),)</f>
        <v>Extreme heat</v>
      </c>
      <c r="I41" s="974" t="str">
        <f>IF(AND(SUBSTITUTE($E41,"Snow","Rain")='[5]Weather Tables'!$I$2,$F41='[5]Weather Tables'!$I$8), IF($E41='[5]Weather Tables'!$I$2, "STORM!", "BLIZZARD!"), "")</f>
        <v/>
      </c>
      <c r="J41" s="1039"/>
      <c r="K41" s="1047">
        <v>9.6730698884475275E-2</v>
      </c>
      <c r="L41" s="1047">
        <v>5.2321014026221691E-2</v>
      </c>
      <c r="M41" s="1047">
        <v>0.81835025656182925</v>
      </c>
      <c r="N41" s="1043">
        <f t="array" ref="N41">NORMINV(M41,AVERAGE(IF(N40=$N$9,H38,N40),INDEX('[5]Weather Tables'!$B$24:$B$33,MATCH($E$4,'[5]Weather Tables'!$A$24:$A$33,0))+INDEX('[5]Weather Tables'!$B$10:$B$21, MATCH($B$4,'[5]Weather Tables'!$A$10:$A$21,0))+INDEX('[5]Weather Tables'!$B$2:$B$7,$C41)),'[5]Weather Tables'!$D$2)</f>
        <v>107.51481778881389</v>
      </c>
      <c r="O41" s="1043">
        <f t="shared" si="1"/>
        <v>42</v>
      </c>
      <c r="P41" s="1024"/>
      <c r="Q41" s="1289"/>
      <c r="R41" s="1289"/>
      <c r="S41" s="1289"/>
      <c r="T41" s="1289"/>
      <c r="U41" s="1289"/>
      <c r="V41" s="1289"/>
      <c r="W41" s="1289"/>
    </row>
    <row r="42" spans="1:23" ht="18.75" customHeight="1">
      <c r="A42" s="1040">
        <f t="shared" si="0"/>
        <v>33</v>
      </c>
      <c r="B42" s="1030">
        <f>IF($A42=1,IF($B$7='[5]Weather Tables'!$A$7, 2, 1),IF($C42=1,B41+1,B41))</f>
        <v>6</v>
      </c>
      <c r="C42" s="973">
        <f>IF($A42=1,MOD(MATCH($B$7,'[5]Weather Tables'!$A$2:$A$7,0),6)+1,IF($C41=COUNTA('[5]Weather Tables'!$A$2:$A$7),1,C41+1))</f>
        <v>4</v>
      </c>
      <c r="D42" s="1041" t="str">
        <f t="array" ref="D42">INDEX('[5]Weather Tables'!$A$2:$A$7,$C42)</f>
        <v>Evening</v>
      </c>
      <c r="E42" s="973" t="str">
        <f t="array" ref="E42">SUBSTITUTE(INDEX('[5]Weather Tables'!$M$2:$O$2,,MATCH(K42,INDEX('[5]Weather Tables'!$M$3:$O$5,MATCH(IF($A42=1,D$7,SUBSTITUTE($E41,"Snow","Rain")),'[5]Weather Tables'!$L$3:$L$5,0),),1)),IF($N42&lt;'[5]Weather Tables'!$B$38,"Rain","N/A"),"Snow")</f>
        <v>Clear Skies</v>
      </c>
      <c r="F42" s="1297" t="str">
        <f t="array" ref="F42">INDEX('[5]Weather Tables'!$M$8:$O$8,,MATCH(L42,INDEX('[5]Weather Tables'!$M$9:$O$11,MATCH(IF($A42=1,E$7,F41),'[5]Weather Tables'!$L$9:$L$11,0),),1))</f>
        <v>Low Winds</v>
      </c>
      <c r="G42" s="1289"/>
      <c r="H42" s="1041" t="str">
        <f t="array" ref="H42">INDEX('[5]Weather Tables'!$A$36:A$43,MATCH(N42,'[5]Weather Tables'!$B$36:B$43,1),)</f>
        <v>Extreme heat</v>
      </c>
      <c r="I42" s="973" t="str">
        <f>IF(AND(SUBSTITUTE($E42,"Snow","Rain")='[5]Weather Tables'!$I$2,$F42='[5]Weather Tables'!$I$8), IF($E42='[5]Weather Tables'!$I$2, "STORM!", "BLIZZARD!"), "")</f>
        <v/>
      </c>
      <c r="J42" s="1039"/>
      <c r="K42" s="1047">
        <v>0.88240723405465027</v>
      </c>
      <c r="L42" s="1047">
        <v>0.8213030217753815</v>
      </c>
      <c r="M42" s="1047">
        <v>0.9890685351244427</v>
      </c>
      <c r="N42" s="1043">
        <f t="array" ref="N42">NORMINV(M42,AVERAGE(IF(N41=$N$9,H39,N41),INDEX('[5]Weather Tables'!$B$24:$B$33,MATCH($E$4,'[5]Weather Tables'!$A$24:$A$33,0))+INDEX('[5]Weather Tables'!$B$10:$B$21, MATCH($B$4,'[5]Weather Tables'!$A$10:$A$21,0))+INDEX('[5]Weather Tables'!$B$2:$B$7,$C42)),'[5]Weather Tables'!$D$2)</f>
        <v>111.37720197188463</v>
      </c>
      <c r="O42" s="1043">
        <f t="shared" si="1"/>
        <v>44</v>
      </c>
      <c r="P42" s="1024"/>
      <c r="Q42" s="1307" t="s">
        <v>15639</v>
      </c>
      <c r="R42" s="1306" t="s">
        <v>7526</v>
      </c>
      <c r="S42" s="1289"/>
      <c r="T42" s="1289"/>
      <c r="U42" s="1289"/>
      <c r="V42" s="1289"/>
      <c r="W42" s="1289"/>
    </row>
    <row r="43" spans="1:23" ht="18.75" customHeight="1">
      <c r="A43" s="1040">
        <f t="shared" si="0"/>
        <v>34</v>
      </c>
      <c r="B43" s="1031">
        <f>IF($A43=1,IF($B$7='[5]Weather Tables'!$A$2, 2, 1),IF($C43=1,B42+1,B42))</f>
        <v>6</v>
      </c>
      <c r="C43" s="974">
        <f>IF($A43=1,MOD(MATCH($B$7,'[5]Weather Tables'!$A$2:$A$7,0),6)+1,IF($C42=COUNTA('[5]Weather Tables'!$A$2:$A$7),1,C42+1))</f>
        <v>5</v>
      </c>
      <c r="D43" s="1044" t="str">
        <f t="array" ref="D43">INDEX('[5]Weather Tables'!$A$2:$A$7,$C43)</f>
        <v>Midnight</v>
      </c>
      <c r="E43" s="974" t="str">
        <f t="array" ref="E43">SUBSTITUTE(INDEX('[5]Weather Tables'!$M$2:$O$2,,MATCH(K43,INDEX('[5]Weather Tables'!$M$3:$O$5,MATCH(IF($A43=1,D$7,SUBSTITUTE($E42,"Snow","Rain")),'[5]Weather Tables'!$L$3:$L$5,0),),1)),IF($N43&lt;'[5]Weather Tables'!$B$38,"Rain","N/A"),"Snow")</f>
        <v>Clear Skies</v>
      </c>
      <c r="F43" s="1298" t="str">
        <f t="array" ref="F43">INDEX('[5]Weather Tables'!$M$8:$O$8,,MATCH(L43,INDEX('[5]Weather Tables'!$M$9:$O$11,MATCH(IF($A43=1,E$7,F42),'[5]Weather Tables'!$L$9:$L$11,0),),1))</f>
        <v>No Wind</v>
      </c>
      <c r="G43" s="1289"/>
      <c r="H43" s="974" t="str">
        <f t="array" ref="H43">INDEX('[5]Weather Tables'!$A$36:A$43,MATCH(N43,'[5]Weather Tables'!$B$36:B$43,1),)</f>
        <v>Hot</v>
      </c>
      <c r="I43" s="974" t="str">
        <f>IF(AND(SUBSTITUTE($E43,"Snow","Rain")='[5]Weather Tables'!$I$2,$F43='[5]Weather Tables'!$I$8), IF($E43='[5]Weather Tables'!$I$2, "STORM!", "BLIZZARD!"), "")</f>
        <v/>
      </c>
      <c r="J43" s="1039"/>
      <c r="K43" s="1047">
        <v>0.2783426720292197</v>
      </c>
      <c r="L43" s="1047">
        <v>0.10196579646110515</v>
      </c>
      <c r="M43" s="1047">
        <v>0.57095220165146676</v>
      </c>
      <c r="N43" s="1043">
        <f t="array" ref="N43">NORMINV(M43,AVERAGE(IF(N42=$N$9,H40,N42),INDEX('[5]Weather Tables'!$B$24:$B$33,MATCH($E$4,'[5]Weather Tables'!$A$24:$A$33,0))+INDEX('[5]Weather Tables'!$B$10:$B$21, MATCH($B$4,'[5]Weather Tables'!$A$10:$A$21,0))+INDEX('[5]Weather Tables'!$B$2:$B$7,$C43)),'[5]Weather Tables'!$D$2)</f>
        <v>99.055775727168253</v>
      </c>
      <c r="O43" s="1043">
        <f t="shared" si="1"/>
        <v>37</v>
      </c>
      <c r="P43" s="1024"/>
      <c r="Q43" s="1289"/>
      <c r="R43" s="1289"/>
      <c r="S43" s="1289"/>
      <c r="T43" s="1289"/>
      <c r="U43" s="1289"/>
      <c r="V43" s="1289"/>
      <c r="W43" s="1289"/>
    </row>
    <row r="44" spans="1:23" ht="18.75" customHeight="1">
      <c r="A44" s="1040">
        <f t="shared" si="0"/>
        <v>35</v>
      </c>
      <c r="B44" s="1030">
        <f>IF($A44=1,IF($B$7='[5]Weather Tables'!$A$7, 2, 1),IF($C44=1,B43+1,B43))</f>
        <v>6</v>
      </c>
      <c r="C44" s="973">
        <f>IF($A44=1,MOD(MATCH($B$7,'[5]Weather Tables'!$A$2:$A$7,0),6)+1,IF($C43=COUNTA('[5]Weather Tables'!$A$2:$A$7),1,C43+1))</f>
        <v>6</v>
      </c>
      <c r="D44" s="1041" t="str">
        <f t="array" ref="D44">INDEX('[5]Weather Tables'!$A$2:$A$7,$C44)</f>
        <v>Night</v>
      </c>
      <c r="E44" s="973" t="str">
        <f t="array" ref="E44">SUBSTITUTE(INDEX('[5]Weather Tables'!$M$2:$O$2,,MATCH(K44,INDEX('[5]Weather Tables'!$M$3:$O$5,MATCH(IF($A44=1,D$7,SUBSTITUTE($E43,"Snow","Rain")),'[5]Weather Tables'!$L$3:$L$5,0),),1)),IF($N44&lt;'[5]Weather Tables'!$B$38,"Rain","N/A"),"Snow")</f>
        <v>Clear Skies</v>
      </c>
      <c r="F44" s="1297" t="str">
        <f t="array" ref="F44">INDEX('[5]Weather Tables'!$M$8:$O$8,,MATCH(L44,INDEX('[5]Weather Tables'!$M$9:$O$11,MATCH(IF($A44=1,E$7,F43),'[5]Weather Tables'!$L$9:$L$11,0),),1))</f>
        <v>No Wind</v>
      </c>
      <c r="G44" s="1289"/>
      <c r="H44" s="973" t="str">
        <f t="array" ref="H44">INDEX('[5]Weather Tables'!$A$36:A$43,MATCH(N44,'[5]Weather Tables'!$B$36:B$43,1),)</f>
        <v>Hot</v>
      </c>
      <c r="I44" s="973" t="str">
        <f>IF(AND(SUBSTITUTE($E44,"Snow","Rain")='[5]Weather Tables'!$I$2,$F44='[5]Weather Tables'!$I$8), IF($E44='[5]Weather Tables'!$I$2, "STORM!", "BLIZZARD!"), "")</f>
        <v/>
      </c>
      <c r="J44" s="1039"/>
      <c r="K44" s="1047">
        <v>0.43036783531837697</v>
      </c>
      <c r="L44" s="1047">
        <v>0.37263064793350986</v>
      </c>
      <c r="M44" s="1047">
        <v>0.73794704876042905</v>
      </c>
      <c r="N44" s="1043">
        <f t="array" ref="N44">NORMINV(M44,AVERAGE(IF(N43=$N$9,H41,N43),INDEX('[5]Weather Tables'!$B$24:$B$33,MATCH($E$4,'[5]Weather Tables'!$A$24:$A$33,0))+INDEX('[5]Weather Tables'!$B$10:$B$21, MATCH($B$4,'[5]Weather Tables'!$A$10:$A$21,0))+INDEX('[5]Weather Tables'!$B$2:$B$7,$C44)),'[5]Weather Tables'!$D$2)</f>
        <v>97.117478897299549</v>
      </c>
      <c r="O44" s="1043">
        <f t="shared" si="1"/>
        <v>36</v>
      </c>
      <c r="P44" s="1024"/>
      <c r="Q44" s="1307" t="s">
        <v>7527</v>
      </c>
      <c r="R44" s="1306" t="s">
        <v>15640</v>
      </c>
      <c r="S44" s="1289"/>
      <c r="T44" s="1289"/>
      <c r="U44" s="1289"/>
      <c r="V44" s="1289"/>
      <c r="W44" s="1289"/>
    </row>
    <row r="45" spans="1:23" ht="18.75" customHeight="1">
      <c r="A45" s="1040">
        <f t="shared" si="0"/>
        <v>36</v>
      </c>
      <c r="B45" s="1031">
        <f>IF($A45=1,IF($B$7='[5]Weather Tables'!$A$2, 2, 1),IF($C45=1,B44+1,B44))</f>
        <v>7</v>
      </c>
      <c r="C45" s="974">
        <f>IF($A45=1,MOD(MATCH($B$7,'[5]Weather Tables'!$A$2:$A$7,0),6)+1,IF($C44=COUNTA('[5]Weather Tables'!$A$2:$A$7),1,C44+1))</f>
        <v>1</v>
      </c>
      <c r="D45" s="1044" t="str">
        <f t="array" ref="D45">INDEX('[5]Weather Tables'!$A$2:$A$7,$C45)</f>
        <v>Dawn</v>
      </c>
      <c r="E45" s="974" t="str">
        <f t="array" ref="E45">SUBSTITUTE(INDEX('[5]Weather Tables'!$M$2:$O$2,,MATCH(K45,INDEX('[5]Weather Tables'!$M$3:$O$5,MATCH(IF($A45=1,D$7,SUBSTITUTE($E44,"Snow","Rain")),'[5]Weather Tables'!$L$3:$L$5,0),),1)),IF($N45&lt;'[5]Weather Tables'!$B$38,"Rain","N/A"),"Snow")</f>
        <v>Clear Skies</v>
      </c>
      <c r="F45" s="1298" t="str">
        <f t="array" ref="F45">INDEX('[5]Weather Tables'!$M$8:$O$8,,MATCH(L45,INDEX('[5]Weather Tables'!$M$9:$O$11,MATCH(IF($A45=1,E$7,F44),'[5]Weather Tables'!$L$9:$L$11,0),),1))</f>
        <v>Low Winds</v>
      </c>
      <c r="G45" s="1289"/>
      <c r="H45" s="1044" t="str">
        <f t="array" ref="H45">INDEX('[5]Weather Tables'!$A$36:A$43,MATCH(N45,'[5]Weather Tables'!$B$36:B$43,1),)</f>
        <v>Extreme heat</v>
      </c>
      <c r="I45" s="974" t="str">
        <f>IF(AND(SUBSTITUTE($E45,"Snow","Rain")='[5]Weather Tables'!$I$2,$F45='[5]Weather Tables'!$I$8), IF($E45='[5]Weather Tables'!$I$2, "STORM!", "BLIZZARD!"), "")</f>
        <v/>
      </c>
      <c r="J45" s="1039"/>
      <c r="K45" s="1042">
        <v>7.9225920911643599E-2</v>
      </c>
      <c r="L45" s="1042">
        <v>0.63836660939877743</v>
      </c>
      <c r="M45" s="1042">
        <v>0.7419778781398666</v>
      </c>
      <c r="N45" s="1043">
        <f t="array" ref="N45">NORMINV(M45,AVERAGE(IF(N44=$N$9,H42,N44),INDEX('[5]Weather Tables'!$B$24:$B$33,MATCH($E$4,'[5]Weather Tables'!$A$24:$A$33,0))+INDEX('[5]Weather Tables'!$B$10:$B$21, MATCH($B$4,'[5]Weather Tables'!$A$10:$A$21,0))+INDEX('[5]Weather Tables'!$B$2:$B$7,$C45)),'[5]Weather Tables'!$D$2)</f>
        <v>100.70859679992206</v>
      </c>
      <c r="O45" s="1043">
        <f t="shared" si="1"/>
        <v>38</v>
      </c>
      <c r="P45" s="1024"/>
      <c r="Q45" s="1289"/>
      <c r="R45" s="1289"/>
      <c r="S45" s="1289"/>
      <c r="T45" s="1289"/>
      <c r="U45" s="1289"/>
      <c r="V45" s="1289"/>
      <c r="W45" s="1289"/>
    </row>
    <row r="46" spans="1:23" ht="18.75" customHeight="1">
      <c r="A46" s="1040">
        <f t="shared" si="0"/>
        <v>37</v>
      </c>
      <c r="B46" s="1030">
        <f>IF($A46=1,IF($B$7='[5]Weather Tables'!$A$7, 2, 1),IF($C46=1,B45+1,B45))</f>
        <v>7</v>
      </c>
      <c r="C46" s="973">
        <f>IF($A46=1,MOD(MATCH($B$7,'[5]Weather Tables'!$A$2:$A$7,0),6)+1,IF($C45=COUNTA('[5]Weather Tables'!$A$2:$A$7),1,C45+1))</f>
        <v>2</v>
      </c>
      <c r="D46" s="1041" t="str">
        <f t="array" ref="D46">INDEX('[5]Weather Tables'!$A$2:$A$7,$C46)</f>
        <v>Midday</v>
      </c>
      <c r="E46" s="973" t="str">
        <f t="array" ref="E46">SUBSTITUTE(INDEX('[5]Weather Tables'!$M$2:$O$2,,MATCH(K46,INDEX('[5]Weather Tables'!$M$3:$O$5,MATCH(IF($A46=1,D$7,SUBSTITUTE($E45,"Snow","Rain")),'[5]Weather Tables'!$L$3:$L$5,0),),1)),IF($N46&lt;'[5]Weather Tables'!$B$38,"Rain","N/A"),"Snow")</f>
        <v>Clear Skies</v>
      </c>
      <c r="F46" s="1297" t="str">
        <f t="array" ref="F46">INDEX('[5]Weather Tables'!$M$8:$O$8,,MATCH(L46,INDEX('[5]Weather Tables'!$M$9:$O$11,MATCH(IF($A46=1,E$7,F45),'[5]Weather Tables'!$L$9:$L$11,0),),1))</f>
        <v>No Wind</v>
      </c>
      <c r="G46" s="1289"/>
      <c r="H46" s="973" t="str">
        <f t="array" ref="H46">INDEX('[5]Weather Tables'!$A$36:A$43,MATCH(N46,'[5]Weather Tables'!$B$36:B$43,1),)</f>
        <v>Hot</v>
      </c>
      <c r="I46" s="973" t="str">
        <f>IF(AND(SUBSTITUTE($E46,"Snow","Rain")='[5]Weather Tables'!$I$2,$F46='[5]Weather Tables'!$I$8), IF($E46='[5]Weather Tables'!$I$2, "STORM!", "BLIZZARD!"), "")</f>
        <v/>
      </c>
      <c r="J46" s="1039"/>
      <c r="K46" s="1042">
        <v>0.45803742545953208</v>
      </c>
      <c r="L46" s="1042">
        <v>0.10214728987735622</v>
      </c>
      <c r="M46" s="1042">
        <v>0.16867757952608486</v>
      </c>
      <c r="N46" s="1043">
        <f t="array" ref="N46">NORMINV(M46,AVERAGE(IF(N45=$N$9,H43,N45),INDEX('[5]Weather Tables'!$B$24:$B$33,MATCH($E$4,'[5]Weather Tables'!$A$24:$A$33,0))+INDEX('[5]Weather Tables'!$B$10:$B$21, MATCH($B$4,'[5]Weather Tables'!$A$10:$A$21,0))+INDEX('[5]Weather Tables'!$B$2:$B$7,$C46)),'[5]Weather Tables'!$D$2)</f>
        <v>98.701188020022201</v>
      </c>
      <c r="O46" s="1043">
        <f t="shared" si="1"/>
        <v>37</v>
      </c>
      <c r="P46" s="1024"/>
      <c r="Q46" s="1289"/>
      <c r="R46" s="1289"/>
      <c r="S46" s="1289"/>
      <c r="T46" s="1289"/>
      <c r="U46" s="1289"/>
      <c r="V46" s="1289"/>
      <c r="W46" s="1289"/>
    </row>
    <row r="47" spans="1:23" ht="18.75" customHeight="1">
      <c r="A47" s="1040">
        <f t="shared" si="0"/>
        <v>38</v>
      </c>
      <c r="B47" s="1031">
        <f>IF($A47=1,IF($B$7='[5]Weather Tables'!$A$2, 2, 1),IF($C47=1,B46+1,B46))</f>
        <v>7</v>
      </c>
      <c r="C47" s="974">
        <f>IF($A47=1,MOD(MATCH($B$7,'[5]Weather Tables'!$A$2:$A$7,0),6)+1,IF($C46=COUNTA('[5]Weather Tables'!$A$2:$A$7),1,C46+1))</f>
        <v>3</v>
      </c>
      <c r="D47" s="1044" t="str">
        <f t="array" ref="D47">INDEX('[5]Weather Tables'!$A$2:$A$7,$C47)</f>
        <v>Afternoon</v>
      </c>
      <c r="E47" s="974" t="str">
        <f t="array" ref="E47">SUBSTITUTE(INDEX('[5]Weather Tables'!$M$2:$O$2,,MATCH(K47,INDEX('[5]Weather Tables'!$M$3:$O$5,MATCH(IF($A47=1,D$7,SUBSTITUTE($E46,"Snow","Rain")),'[5]Weather Tables'!$L$3:$L$5,0),),1)),IF($N47&lt;'[5]Weather Tables'!$B$38,"Rain","N/A"),"Snow")</f>
        <v>Clear Skies</v>
      </c>
      <c r="F47" s="1298" t="str">
        <f t="array" ref="F47">INDEX('[5]Weather Tables'!$M$8:$O$8,,MATCH(L47,INDEX('[5]Weather Tables'!$M$9:$O$11,MATCH(IF($A47=1,E$7,F46),'[5]Weather Tables'!$L$9:$L$11,0),),1))</f>
        <v>Low Winds</v>
      </c>
      <c r="G47" s="1289"/>
      <c r="H47" s="1044" t="str">
        <f t="array" ref="H47">INDEX('[5]Weather Tables'!$A$36:A$43,MATCH(N47,'[5]Weather Tables'!$B$36:B$43,1),)</f>
        <v>Extreme heat</v>
      </c>
      <c r="I47" s="974" t="str">
        <f>IF(AND(SUBSTITUTE($E47,"Snow","Rain")='[5]Weather Tables'!$I$2,$F47='[5]Weather Tables'!$I$8), IF($E47='[5]Weather Tables'!$I$2, "STORM!", "BLIZZARD!"), "")</f>
        <v/>
      </c>
      <c r="J47" s="1039"/>
      <c r="K47" s="1042">
        <v>0.74252191188341798</v>
      </c>
      <c r="L47" s="1042">
        <v>0.64139459154256351</v>
      </c>
      <c r="M47" s="1042">
        <v>0.69137719182113289</v>
      </c>
      <c r="N47" s="1043">
        <f t="array" ref="N47">NORMINV(M47,AVERAGE(IF(N46=$N$9,H44,N46),INDEX('[5]Weather Tables'!$B$24:$B$33,MATCH($E$4,'[5]Weather Tables'!$A$24:$A$33,0))+INDEX('[5]Weather Tables'!$B$10:$B$21, MATCH($B$4,'[5]Weather Tables'!$A$10:$A$21,0))+INDEX('[5]Weather Tables'!$B$2:$B$7,$C47)),'[5]Weather Tables'!$D$2)</f>
        <v>101.27441942171609</v>
      </c>
      <c r="O47" s="1043">
        <f t="shared" si="1"/>
        <v>38</v>
      </c>
      <c r="P47" s="1024"/>
      <c r="Q47" s="1289"/>
      <c r="R47" s="1289"/>
      <c r="S47" s="1289"/>
      <c r="T47" s="1289"/>
      <c r="U47" s="1289"/>
      <c r="V47" s="1289"/>
      <c r="W47" s="1289"/>
    </row>
    <row r="48" spans="1:23" ht="18.75" customHeight="1">
      <c r="A48" s="1040">
        <f t="shared" si="0"/>
        <v>39</v>
      </c>
      <c r="B48" s="1030">
        <f>IF($A48=1,IF($B$7='[5]Weather Tables'!$A$7, 2, 1),IF($C48=1,B47+1,B47))</f>
        <v>7</v>
      </c>
      <c r="C48" s="973">
        <f>IF($A48=1,MOD(MATCH($B$7,'[5]Weather Tables'!$A$2:$A$7,0),6)+1,IF($C47=COUNTA('[5]Weather Tables'!$A$2:$A$7),1,C47+1))</f>
        <v>4</v>
      </c>
      <c r="D48" s="1041" t="str">
        <f t="array" ref="D48">INDEX('[5]Weather Tables'!$A$2:$A$7,$C48)</f>
        <v>Evening</v>
      </c>
      <c r="E48" s="973" t="str">
        <f t="array" ref="E48">SUBSTITUTE(INDEX('[5]Weather Tables'!$M$2:$O$2,,MATCH(K48,INDEX('[5]Weather Tables'!$M$3:$O$5,MATCH(IF($A48=1,D$7,SUBSTITUTE($E47,"Snow","Rain")),'[5]Weather Tables'!$L$3:$L$5,0),),1)),IF($N48&lt;'[5]Weather Tables'!$B$38,"Rain","N/A"),"Snow")</f>
        <v>Clear Skies</v>
      </c>
      <c r="F48" s="1297" t="str">
        <f t="array" ref="F48">INDEX('[5]Weather Tables'!$M$8:$O$8,,MATCH(L48,INDEX('[5]Weather Tables'!$M$9:$O$11,MATCH(IF($A48=1,E$7,F47),'[5]Weather Tables'!$L$9:$L$11,0),),1))</f>
        <v>Low Winds</v>
      </c>
      <c r="G48" s="1289"/>
      <c r="H48" s="1041" t="str">
        <f t="array" ref="H48">INDEX('[5]Weather Tables'!$A$36:A$43,MATCH(N48,'[5]Weather Tables'!$B$36:B$43,1),)</f>
        <v>Extreme heat</v>
      </c>
      <c r="I48" s="973" t="str">
        <f>IF(AND(SUBSTITUTE($E48,"Snow","Rain")='[5]Weather Tables'!$I$2,$F48='[5]Weather Tables'!$I$8), IF($E48='[5]Weather Tables'!$I$2, "STORM!", "BLIZZARD!"), "")</f>
        <v/>
      </c>
      <c r="J48" s="1039"/>
      <c r="K48" s="1042">
        <v>3.5660667876715735E-2</v>
      </c>
      <c r="L48" s="1042">
        <v>0.60991291561763694</v>
      </c>
      <c r="M48" s="1042">
        <v>0.99611286489675832</v>
      </c>
      <c r="N48" s="1043">
        <f t="array" ref="N48">NORMINV(M48,AVERAGE(IF(N47=$N$9,H45,N47),INDEX('[5]Weather Tables'!$B$24:$B$33,MATCH($E$4,'[5]Weather Tables'!$A$24:$A$33,0))+INDEX('[5]Weather Tables'!$B$10:$B$21, MATCH($B$4,'[5]Weather Tables'!$A$10:$A$21,0))+INDEX('[5]Weather Tables'!$B$2:$B$7,$C48)),'[5]Weather Tables'!$D$2)</f>
        <v>110.04654785604247</v>
      </c>
      <c r="O48" s="1043">
        <f t="shared" si="1"/>
        <v>43</v>
      </c>
      <c r="P48" s="1024"/>
      <c r="Q48" s="1307" t="s">
        <v>7532</v>
      </c>
      <c r="R48" s="1308" t="s">
        <v>15641</v>
      </c>
      <c r="S48" s="1289"/>
      <c r="T48" s="1289"/>
      <c r="U48" s="1289"/>
      <c r="V48" s="1289"/>
      <c r="W48" s="1289"/>
    </row>
    <row r="49" spans="1:23" ht="18.75" customHeight="1">
      <c r="A49" s="1040">
        <f t="shared" si="0"/>
        <v>40</v>
      </c>
      <c r="B49" s="1031">
        <f>IF($A49=1,IF($B$7='[5]Weather Tables'!$A$2, 2, 1),IF($C49=1,B48+1,B48))</f>
        <v>7</v>
      </c>
      <c r="C49" s="974">
        <f>IF($A49=1,MOD(MATCH($B$7,'[5]Weather Tables'!$A$2:$A$7,0),6)+1,IF($C48=COUNTA('[5]Weather Tables'!$A$2:$A$7),1,C48+1))</f>
        <v>5</v>
      </c>
      <c r="D49" s="1044" t="str">
        <f t="array" ref="D49">INDEX('[5]Weather Tables'!$A$2:$A$7,$C49)</f>
        <v>Midnight</v>
      </c>
      <c r="E49" s="974" t="str">
        <f t="array" ref="E49">SUBSTITUTE(INDEX('[5]Weather Tables'!$M$2:$O$2,,MATCH(K49,INDEX('[5]Weather Tables'!$M$3:$O$5,MATCH(IF($A49=1,D$7,SUBSTITUTE($E48,"Snow","Rain")),'[5]Weather Tables'!$L$3:$L$5,0),),1)),IF($N49&lt;'[5]Weather Tables'!$B$38,"Rain","N/A"),"Snow")</f>
        <v>Clear Skies</v>
      </c>
      <c r="F49" s="1298" t="str">
        <f t="array" ref="F49">INDEX('[5]Weather Tables'!$M$8:$O$8,,MATCH(L49,INDEX('[5]Weather Tables'!$M$9:$O$11,MATCH(IF($A49=1,E$7,F48),'[5]Weather Tables'!$L$9:$L$11,0),),1))</f>
        <v>Low Winds</v>
      </c>
      <c r="G49" s="1289"/>
      <c r="H49" s="974" t="str">
        <f t="array" ref="H49">INDEX('[5]Weather Tables'!$A$36:A$43,MATCH(N49,'[5]Weather Tables'!$B$36:B$43,1),)</f>
        <v>Hot</v>
      </c>
      <c r="I49" s="974" t="str">
        <f>IF(AND(SUBSTITUTE($E49,"Snow","Rain")='[5]Weather Tables'!$I$2,$F49='[5]Weather Tables'!$I$8), IF($E49='[5]Weather Tables'!$I$2, "STORM!", "BLIZZARD!"), "")</f>
        <v/>
      </c>
      <c r="J49" s="1039"/>
      <c r="K49" s="1042">
        <v>0.42670534778719027</v>
      </c>
      <c r="L49" s="1042">
        <v>0.48856102490180686</v>
      </c>
      <c r="M49" s="1042">
        <v>0.5548423255248992</v>
      </c>
      <c r="N49" s="1043">
        <f t="array" ref="N49">NORMINV(M49,AVERAGE(IF(N48=$N$9,H46,N48),INDEX('[5]Weather Tables'!$B$24:$B$33,MATCH($E$4,'[5]Weather Tables'!$A$24:$A$33,0))+INDEX('[5]Weather Tables'!$B$10:$B$21, MATCH($B$4,'[5]Weather Tables'!$A$10:$A$21,0))+INDEX('[5]Weather Tables'!$B$2:$B$7,$C49)),'[5]Weather Tables'!$D$2)</f>
        <v>98.192114097227517</v>
      </c>
      <c r="O49" s="1043">
        <f t="shared" si="1"/>
        <v>37</v>
      </c>
      <c r="P49" s="1024"/>
      <c r="Q49" s="1289"/>
      <c r="R49" s="1289"/>
      <c r="S49" s="1289"/>
      <c r="T49" s="1289"/>
      <c r="U49" s="1289"/>
      <c r="V49" s="1289"/>
      <c r="W49" s="1289"/>
    </row>
    <row r="50" spans="1:23" ht="18.75" customHeight="1">
      <c r="A50" s="1040">
        <f t="shared" si="0"/>
        <v>41</v>
      </c>
      <c r="B50" s="1030">
        <f>IF($A50=1,IF($B$7='[5]Weather Tables'!$A$7, 2, 1),IF($C50=1,B49+1,B49))</f>
        <v>7</v>
      </c>
      <c r="C50" s="973">
        <f>IF($A50=1,MOD(MATCH($B$7,'[5]Weather Tables'!$A$2:$A$7,0),6)+1,IF($C49=COUNTA('[5]Weather Tables'!$A$2:$A$7),1,C49+1))</f>
        <v>6</v>
      </c>
      <c r="D50" s="1041" t="str">
        <f t="array" ref="D50">INDEX('[5]Weather Tables'!$A$2:$A$7,$C50)</f>
        <v>Night</v>
      </c>
      <c r="E50" s="973" t="str">
        <f t="array" ref="E50">SUBSTITUTE(INDEX('[5]Weather Tables'!$M$2:$O$2,,MATCH(K50,INDEX('[5]Weather Tables'!$M$3:$O$5,MATCH(IF($A50=1,D$7,SUBSTITUTE($E49,"Snow","Rain")),'[5]Weather Tables'!$L$3:$L$5,0),),1)),IF($N50&lt;'[5]Weather Tables'!$B$38,"Rain","N/A"),"Snow")</f>
        <v>Clear Skies</v>
      </c>
      <c r="F50" s="1297" t="str">
        <f t="array" ref="F50">INDEX('[5]Weather Tables'!$M$8:$O$8,,MATCH(L50,INDEX('[5]Weather Tables'!$M$9:$O$11,MATCH(IF($A50=1,E$7,F49),'[5]Weather Tables'!$L$9:$L$11,0),),1))</f>
        <v>Low Winds</v>
      </c>
      <c r="G50" s="1289"/>
      <c r="H50" s="973" t="str">
        <f t="array" ref="H50">INDEX('[5]Weather Tables'!$A$36:A$43,MATCH(N50,'[5]Weather Tables'!$B$36:B$43,1),)</f>
        <v>Hot</v>
      </c>
      <c r="I50" s="973" t="str">
        <f>IF(AND(SUBSTITUTE($E50,"Snow","Rain")='[5]Weather Tables'!$I$2,$F50='[5]Weather Tables'!$I$8), IF($E50='[5]Weather Tables'!$I$2, "STORM!", "BLIZZARD!"), "")</f>
        <v/>
      </c>
      <c r="J50" s="1039"/>
      <c r="K50" s="1042">
        <v>0.33052847458462553</v>
      </c>
      <c r="L50" s="1042">
        <v>0.63231469560721631</v>
      </c>
      <c r="M50" s="1042">
        <v>0.54330913366608824</v>
      </c>
      <c r="N50" s="1043">
        <f t="array" ref="N50">NORMINV(M50,AVERAGE(IF(N49=$N$9,H47,N49),INDEX('[5]Weather Tables'!$B$24:$B$33,MATCH($E$4,'[5]Weather Tables'!$A$24:$A$33,0))+INDEX('[5]Weather Tables'!$B$10:$B$21, MATCH($B$4,'[5]Weather Tables'!$A$10:$A$21,0))+INDEX('[5]Weather Tables'!$B$2:$B$7,$C50)),'[5]Weather Tables'!$D$2)</f>
        <v>94.123611032740456</v>
      </c>
      <c r="O50" s="1043">
        <f t="shared" si="1"/>
        <v>35</v>
      </c>
      <c r="P50" s="1024"/>
      <c r="Q50" s="1289"/>
      <c r="R50" s="1289"/>
      <c r="S50" s="1289"/>
      <c r="T50" s="1289"/>
      <c r="U50" s="1289"/>
      <c r="V50" s="1289"/>
      <c r="W50" s="1289"/>
    </row>
  </sheetData>
  <mergeCells count="100">
    <mergeCell ref="F48:G48"/>
    <mergeCell ref="Q48:Q50"/>
    <mergeCell ref="R48:W50"/>
    <mergeCell ref="F49:G49"/>
    <mergeCell ref="F50:G50"/>
    <mergeCell ref="F42:G42"/>
    <mergeCell ref="Q42:Q43"/>
    <mergeCell ref="R42:W43"/>
    <mergeCell ref="F43:G43"/>
    <mergeCell ref="F47:G47"/>
    <mergeCell ref="F44:G44"/>
    <mergeCell ref="Q44:Q47"/>
    <mergeCell ref="R44:W47"/>
    <mergeCell ref="F45:G45"/>
    <mergeCell ref="F46:G46"/>
    <mergeCell ref="F35:G35"/>
    <mergeCell ref="R35:W35"/>
    <mergeCell ref="F36:G36"/>
    <mergeCell ref="R36:W36"/>
    <mergeCell ref="F37:G37"/>
    <mergeCell ref="Q37:Q41"/>
    <mergeCell ref="R37:W41"/>
    <mergeCell ref="F38:G38"/>
    <mergeCell ref="F39:G39"/>
    <mergeCell ref="F40:G40"/>
    <mergeCell ref="F41:G41"/>
    <mergeCell ref="F31:G31"/>
    <mergeCell ref="Q31:Q34"/>
    <mergeCell ref="R31:W34"/>
    <mergeCell ref="F32:G32"/>
    <mergeCell ref="F33:G33"/>
    <mergeCell ref="F34:G34"/>
    <mergeCell ref="F25:G25"/>
    <mergeCell ref="Q25:Q30"/>
    <mergeCell ref="R25:W30"/>
    <mergeCell ref="F26:G26"/>
    <mergeCell ref="F27:G27"/>
    <mergeCell ref="F28:G28"/>
    <mergeCell ref="F29:G29"/>
    <mergeCell ref="F30:G30"/>
    <mergeCell ref="F21:G21"/>
    <mergeCell ref="Q21:Q22"/>
    <mergeCell ref="R21:W22"/>
    <mergeCell ref="F22:G22"/>
    <mergeCell ref="F23:G23"/>
    <mergeCell ref="Q23:Q24"/>
    <mergeCell ref="R23:W24"/>
    <mergeCell ref="F24:G24"/>
    <mergeCell ref="F18:G18"/>
    <mergeCell ref="Q18:W18"/>
    <mergeCell ref="F19:G19"/>
    <mergeCell ref="Q19:W19"/>
    <mergeCell ref="F20:G20"/>
    <mergeCell ref="R20:W20"/>
    <mergeCell ref="F16:G16"/>
    <mergeCell ref="Q16:R16"/>
    <mergeCell ref="T16:U16"/>
    <mergeCell ref="V16:W16"/>
    <mergeCell ref="F17:G17"/>
    <mergeCell ref="Q17:R17"/>
    <mergeCell ref="T17:U17"/>
    <mergeCell ref="V17:W17"/>
    <mergeCell ref="F14:G14"/>
    <mergeCell ref="Q14:R14"/>
    <mergeCell ref="T14:U14"/>
    <mergeCell ref="V14:W14"/>
    <mergeCell ref="F15:G15"/>
    <mergeCell ref="Q15:R15"/>
    <mergeCell ref="T15:U15"/>
    <mergeCell ref="V15:W15"/>
    <mergeCell ref="F12:G12"/>
    <mergeCell ref="Q12:R12"/>
    <mergeCell ref="T12:U12"/>
    <mergeCell ref="V12:W12"/>
    <mergeCell ref="F13:G13"/>
    <mergeCell ref="Q13:R13"/>
    <mergeCell ref="T13:U13"/>
    <mergeCell ref="V13:W13"/>
    <mergeCell ref="F10:G10"/>
    <mergeCell ref="Q10:W10"/>
    <mergeCell ref="F11:G11"/>
    <mergeCell ref="Q11:R11"/>
    <mergeCell ref="T11:U11"/>
    <mergeCell ref="V11:W11"/>
    <mergeCell ref="H6:O8"/>
    <mergeCell ref="U6:W6"/>
    <mergeCell ref="U7:W7"/>
    <mergeCell ref="U8:W8"/>
    <mergeCell ref="F9:G9"/>
    <mergeCell ref="Q9:W9"/>
    <mergeCell ref="B1:L2"/>
    <mergeCell ref="N1:O2"/>
    <mergeCell ref="B3:D3"/>
    <mergeCell ref="E3:F3"/>
    <mergeCell ref="H3:O5"/>
    <mergeCell ref="Q3:W3"/>
    <mergeCell ref="B4:D4"/>
    <mergeCell ref="E4:F4"/>
    <mergeCell ref="Q4:W4"/>
    <mergeCell ref="U5:W5"/>
  </mergeCells>
  <conditionalFormatting sqref="N10:N50">
    <cfRule type="colorScale" priority="1">
      <colorScale>
        <cfvo type="min"/>
        <cfvo type="max"/>
        <color rgb="FFFFFFFF"/>
        <color rgb="FFE67C73"/>
      </colorScale>
    </cfRule>
  </conditionalFormatting>
  <conditionalFormatting sqref="O10:O50">
    <cfRule type="colorScale" priority="2">
      <colorScale>
        <cfvo type="min"/>
        <cfvo type="percent" val="50"/>
        <cfvo type="max"/>
        <color rgb="FFFFFFFF"/>
        <color rgb="FFF3BEB9"/>
        <color rgb="FFE67C73"/>
      </colorScale>
    </cfRule>
  </conditionalFormatting>
  <dataValidations count="2">
    <dataValidation type="list" allowBlank="1" showErrorMessage="1" sqref="S14" xr:uid="{59DA0F41-0AB2-4037-B34C-5BD44E1F9299}">
      <formula1>"Yes,No"</formula1>
    </dataValidation>
    <dataValidation type="list" allowBlank="1" sqref="Q2" xr:uid="{001BC612-497C-4CDE-BF3C-706A84CAA84E}">
      <formula1>"Monday,Tuesday,Wednesday,Thursday,Friday,Saturday,Sunday"</formula1>
    </dataValidation>
  </dataValidations>
  <hyperlinks>
    <hyperlink ref="Q4" r:id="rId1" location="Speed" xr:uid="{79BF5E7D-1F11-4E1E-AE24-0F0B8F5A10C4}"/>
  </hyperlinks>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5072-A4CB-4F7E-B143-DA69D8D91D49}">
  <sheetPr>
    <tabColor rgb="FFFFC000"/>
    <outlinePr summaryBelow="0" summaryRight="0"/>
  </sheetPr>
  <dimension ref="A1:X47"/>
  <sheetViews>
    <sheetView workbookViewId="0">
      <pane ySplit="2" topLeftCell="A34" activePane="bottomLeft" state="frozen"/>
      <selection sqref="A1:B2"/>
      <selection pane="bottomLeft" sqref="A1:A2"/>
    </sheetView>
  </sheetViews>
  <sheetFormatPr defaultColWidth="11.21875" defaultRowHeight="15.75" customHeight="1"/>
  <cols>
    <col min="1" max="1" width="11.21875" style="823" customWidth="1"/>
    <col min="2" max="2" width="22.5546875" style="823" customWidth="1"/>
    <col min="3" max="3" width="38.33203125" style="823" customWidth="1"/>
    <col min="4" max="4" width="87.33203125" style="823" customWidth="1"/>
    <col min="5" max="5" width="11.21875" style="823" customWidth="1"/>
    <col min="6" max="16384" width="11.21875" style="823"/>
  </cols>
  <sheetData>
    <row r="1" spans="1:24" ht="18.75" customHeight="1">
      <c r="A1" s="1309" t="s">
        <v>15530</v>
      </c>
      <c r="B1" s="1310" t="s">
        <v>15531</v>
      </c>
      <c r="C1" s="1294" t="s">
        <v>15532</v>
      </c>
      <c r="D1" s="1289"/>
      <c r="E1" s="1294" t="s">
        <v>15533</v>
      </c>
      <c r="F1" s="987"/>
      <c r="G1" s="987"/>
      <c r="H1" s="987"/>
      <c r="I1" s="987"/>
      <c r="J1" s="987"/>
      <c r="K1" s="987"/>
      <c r="L1" s="987"/>
      <c r="M1" s="987"/>
      <c r="N1" s="987"/>
      <c r="O1" s="987"/>
      <c r="P1" s="987"/>
      <c r="Q1" s="987"/>
      <c r="R1" s="987"/>
      <c r="S1" s="987"/>
      <c r="T1" s="987"/>
      <c r="U1" s="987"/>
      <c r="V1" s="987"/>
      <c r="W1" s="987"/>
      <c r="X1" s="987"/>
    </row>
    <row r="2" spans="1:24" ht="18.75" customHeight="1">
      <c r="A2" s="1289"/>
      <c r="B2" s="1289"/>
      <c r="C2" s="988" t="s">
        <v>15534</v>
      </c>
      <c r="D2" s="988" t="s">
        <v>15535</v>
      </c>
      <c r="E2" s="1289"/>
      <c r="F2" s="989"/>
      <c r="G2" s="989"/>
      <c r="H2" s="989"/>
      <c r="I2" s="989"/>
      <c r="J2" s="989"/>
      <c r="K2" s="989"/>
      <c r="L2" s="989"/>
      <c r="M2" s="989"/>
      <c r="N2" s="989"/>
      <c r="O2" s="989"/>
      <c r="P2" s="989"/>
      <c r="Q2" s="989"/>
      <c r="R2" s="989"/>
      <c r="S2" s="989"/>
      <c r="T2" s="989"/>
      <c r="U2" s="989"/>
      <c r="V2" s="989"/>
      <c r="W2" s="989"/>
      <c r="X2" s="989"/>
    </row>
    <row r="3" spans="1:24" ht="18.75" customHeight="1">
      <c r="A3" s="990"/>
      <c r="B3" s="991"/>
      <c r="C3" s="992"/>
      <c r="D3" s="992"/>
      <c r="E3" s="993">
        <v>5</v>
      </c>
      <c r="F3" s="994"/>
      <c r="G3" s="994"/>
      <c r="H3" s="994"/>
      <c r="I3" s="994"/>
      <c r="J3" s="994"/>
      <c r="K3" s="994"/>
      <c r="L3" s="994"/>
      <c r="M3" s="994"/>
      <c r="N3" s="994"/>
      <c r="O3" s="994"/>
      <c r="P3" s="994"/>
      <c r="Q3" s="994"/>
      <c r="R3" s="994"/>
      <c r="S3" s="994"/>
      <c r="T3" s="994"/>
      <c r="U3" s="994"/>
      <c r="V3" s="994"/>
      <c r="W3" s="994"/>
      <c r="X3" s="994"/>
    </row>
    <row r="4" spans="1:24" ht="18.75" customHeight="1">
      <c r="A4" s="990"/>
      <c r="B4" s="991"/>
      <c r="C4" s="992"/>
      <c r="D4" s="992"/>
      <c r="E4" s="993">
        <v>6</v>
      </c>
      <c r="F4" s="992"/>
      <c r="G4" s="992"/>
      <c r="H4" s="992"/>
      <c r="I4" s="992"/>
      <c r="J4" s="992"/>
      <c r="K4" s="992"/>
      <c r="L4" s="992"/>
      <c r="M4" s="992"/>
      <c r="N4" s="992"/>
      <c r="O4" s="992"/>
      <c r="P4" s="992"/>
      <c r="Q4" s="992"/>
      <c r="R4" s="992"/>
      <c r="S4" s="992"/>
      <c r="T4" s="992"/>
      <c r="U4" s="992"/>
      <c r="V4" s="992"/>
      <c r="W4" s="992"/>
      <c r="X4" s="992"/>
    </row>
    <row r="5" spans="1:24" ht="18.75" customHeight="1">
      <c r="A5" s="990"/>
      <c r="B5" s="991"/>
      <c r="C5" s="992"/>
      <c r="D5" s="992"/>
      <c r="E5" s="993">
        <v>7</v>
      </c>
      <c r="F5" s="994"/>
      <c r="G5" s="994"/>
      <c r="H5" s="994"/>
      <c r="I5" s="994"/>
      <c r="J5" s="994"/>
      <c r="K5" s="994"/>
      <c r="L5" s="994"/>
      <c r="M5" s="994"/>
      <c r="N5" s="994"/>
      <c r="O5" s="994"/>
      <c r="P5" s="994"/>
      <c r="Q5" s="994"/>
      <c r="R5" s="994"/>
      <c r="S5" s="994"/>
      <c r="T5" s="994"/>
      <c r="U5" s="994"/>
      <c r="V5" s="994"/>
      <c r="W5" s="994"/>
      <c r="X5" s="994"/>
    </row>
    <row r="6" spans="1:24" ht="18.75" customHeight="1">
      <c r="A6" s="990"/>
      <c r="B6" s="991"/>
      <c r="C6" s="992"/>
      <c r="D6" s="992"/>
      <c r="E6" s="993">
        <v>8</v>
      </c>
      <c r="F6" s="992"/>
      <c r="G6" s="992"/>
      <c r="H6" s="992"/>
      <c r="I6" s="992"/>
      <c r="J6" s="992"/>
      <c r="K6" s="992"/>
      <c r="L6" s="992"/>
      <c r="M6" s="992"/>
      <c r="N6" s="992"/>
      <c r="O6" s="992"/>
      <c r="P6" s="992"/>
      <c r="Q6" s="992"/>
      <c r="R6" s="992"/>
      <c r="S6" s="992"/>
      <c r="T6" s="992"/>
      <c r="U6" s="992"/>
      <c r="V6" s="992"/>
      <c r="W6" s="992"/>
      <c r="X6" s="992"/>
    </row>
    <row r="7" spans="1:24" ht="18.75" customHeight="1">
      <c r="A7" s="990"/>
      <c r="B7" s="991"/>
      <c r="C7" s="992"/>
      <c r="D7" s="992"/>
      <c r="E7" s="993">
        <v>9</v>
      </c>
      <c r="F7" s="994"/>
      <c r="G7" s="994"/>
      <c r="H7" s="994"/>
      <c r="I7" s="994"/>
      <c r="J7" s="994"/>
      <c r="K7" s="994"/>
      <c r="L7" s="994"/>
      <c r="M7" s="994"/>
      <c r="N7" s="994"/>
      <c r="O7" s="994"/>
      <c r="P7" s="994"/>
      <c r="Q7" s="994"/>
      <c r="R7" s="994"/>
      <c r="S7" s="994"/>
      <c r="T7" s="994"/>
      <c r="U7" s="994"/>
      <c r="V7" s="994"/>
      <c r="W7" s="994"/>
      <c r="X7" s="994"/>
    </row>
    <row r="8" spans="1:24" ht="18.75" customHeight="1">
      <c r="A8" s="990"/>
      <c r="B8" s="991"/>
      <c r="C8" s="992"/>
      <c r="D8" s="992"/>
      <c r="E8" s="993">
        <v>10</v>
      </c>
      <c r="F8" s="992"/>
      <c r="G8" s="992"/>
      <c r="H8" s="992"/>
      <c r="I8" s="992"/>
      <c r="J8" s="992"/>
      <c r="K8" s="992"/>
      <c r="L8" s="992"/>
      <c r="M8" s="992"/>
      <c r="N8" s="992"/>
      <c r="O8" s="992"/>
      <c r="P8" s="992"/>
      <c r="Q8" s="992"/>
      <c r="R8" s="992"/>
      <c r="S8" s="992"/>
      <c r="T8" s="992"/>
      <c r="U8" s="992"/>
      <c r="V8" s="992"/>
      <c r="W8" s="992"/>
      <c r="X8" s="992"/>
    </row>
    <row r="9" spans="1:24" ht="18.75" customHeight="1">
      <c r="A9" s="990"/>
      <c r="B9" s="991"/>
      <c r="C9" s="992"/>
      <c r="D9" s="992"/>
      <c r="E9" s="993">
        <v>11</v>
      </c>
      <c r="F9" s="994"/>
      <c r="G9" s="994"/>
      <c r="H9" s="994"/>
      <c r="I9" s="994"/>
      <c r="J9" s="994"/>
      <c r="K9" s="994"/>
      <c r="L9" s="994"/>
      <c r="M9" s="994"/>
      <c r="N9" s="994"/>
      <c r="O9" s="994"/>
      <c r="P9" s="994"/>
      <c r="Q9" s="994"/>
      <c r="R9" s="994"/>
      <c r="S9" s="994"/>
      <c r="T9" s="994"/>
      <c r="U9" s="994"/>
      <c r="V9" s="994"/>
      <c r="W9" s="994"/>
      <c r="X9" s="994"/>
    </row>
    <row r="10" spans="1:24" ht="18.75" customHeight="1">
      <c r="A10" s="990"/>
      <c r="B10" s="991"/>
      <c r="C10" s="992"/>
      <c r="D10" s="992"/>
      <c r="E10" s="993">
        <v>12</v>
      </c>
      <c r="F10" s="992"/>
      <c r="G10" s="992"/>
      <c r="H10" s="992"/>
      <c r="I10" s="992"/>
      <c r="J10" s="992"/>
      <c r="K10" s="992"/>
      <c r="L10" s="992"/>
      <c r="M10" s="992"/>
      <c r="N10" s="992"/>
      <c r="O10" s="992"/>
      <c r="P10" s="992"/>
      <c r="Q10" s="992"/>
      <c r="R10" s="992"/>
      <c r="S10" s="992"/>
      <c r="T10" s="992"/>
      <c r="U10" s="992"/>
      <c r="V10" s="992"/>
      <c r="W10" s="992"/>
      <c r="X10" s="992"/>
    </row>
    <row r="11" spans="1:24" ht="18.75" customHeight="1">
      <c r="A11" s="990"/>
      <c r="B11" s="991"/>
      <c r="C11" s="992"/>
      <c r="D11" s="992"/>
      <c r="E11" s="993">
        <v>13</v>
      </c>
      <c r="F11" s="994"/>
      <c r="G11" s="994"/>
      <c r="H11" s="994"/>
      <c r="I11" s="994"/>
      <c r="J11" s="994"/>
      <c r="K11" s="994"/>
      <c r="L11" s="994"/>
      <c r="M11" s="994"/>
      <c r="N11" s="994"/>
      <c r="O11" s="994"/>
      <c r="P11" s="994"/>
      <c r="Q11" s="994"/>
      <c r="R11" s="994"/>
      <c r="S11" s="994"/>
      <c r="T11" s="994"/>
      <c r="U11" s="994"/>
      <c r="V11" s="994"/>
      <c r="W11" s="994"/>
      <c r="X11" s="994"/>
    </row>
    <row r="12" spans="1:24" ht="18.75" customHeight="1">
      <c r="A12" s="990"/>
      <c r="B12" s="991"/>
      <c r="C12" s="992"/>
      <c r="D12" s="992"/>
      <c r="E12" s="993">
        <v>14</v>
      </c>
      <c r="F12" s="992"/>
      <c r="G12" s="992"/>
      <c r="H12" s="992"/>
      <c r="I12" s="992"/>
      <c r="J12" s="992"/>
      <c r="K12" s="992"/>
      <c r="L12" s="992"/>
      <c r="M12" s="992"/>
      <c r="N12" s="992"/>
      <c r="O12" s="992"/>
      <c r="P12" s="992"/>
      <c r="Q12" s="992"/>
      <c r="R12" s="992"/>
      <c r="S12" s="992"/>
      <c r="T12" s="992"/>
      <c r="U12" s="992"/>
      <c r="V12" s="992"/>
      <c r="W12" s="992"/>
      <c r="X12" s="992"/>
    </row>
    <row r="13" spans="1:24" ht="18.75" customHeight="1">
      <c r="A13" s="990"/>
      <c r="B13" s="991"/>
      <c r="C13" s="992"/>
      <c r="D13" s="992"/>
      <c r="E13" s="993">
        <v>15</v>
      </c>
      <c r="F13" s="994"/>
      <c r="G13" s="994"/>
      <c r="H13" s="994"/>
      <c r="I13" s="994"/>
      <c r="J13" s="994"/>
      <c r="K13" s="994"/>
      <c r="L13" s="994"/>
      <c r="M13" s="994"/>
      <c r="N13" s="994"/>
      <c r="O13" s="994"/>
      <c r="P13" s="994"/>
      <c r="Q13" s="994"/>
      <c r="R13" s="994"/>
      <c r="S13" s="994"/>
      <c r="T13" s="994"/>
      <c r="U13" s="994"/>
      <c r="V13" s="994"/>
      <c r="W13" s="994"/>
      <c r="X13" s="994"/>
    </row>
    <row r="14" spans="1:24" ht="18.75" customHeight="1">
      <c r="A14" s="990"/>
      <c r="B14" s="991"/>
      <c r="C14" s="992"/>
      <c r="D14" s="992"/>
      <c r="E14" s="993">
        <v>16</v>
      </c>
      <c r="F14" s="992"/>
      <c r="G14" s="992"/>
      <c r="H14" s="992"/>
      <c r="I14" s="992"/>
      <c r="J14" s="992"/>
      <c r="K14" s="992"/>
      <c r="L14" s="992"/>
      <c r="M14" s="992"/>
      <c r="N14" s="992"/>
      <c r="O14" s="992"/>
      <c r="P14" s="992"/>
      <c r="Q14" s="992"/>
      <c r="R14" s="992"/>
      <c r="S14" s="992"/>
      <c r="T14" s="992"/>
      <c r="U14" s="992"/>
      <c r="V14" s="992"/>
      <c r="W14" s="992"/>
      <c r="X14" s="992"/>
    </row>
    <row r="15" spans="1:24" ht="18.75" customHeight="1">
      <c r="A15" s="990"/>
      <c r="B15" s="991"/>
      <c r="C15" s="992"/>
      <c r="D15" s="992"/>
      <c r="E15" s="993">
        <v>17</v>
      </c>
      <c r="F15" s="994"/>
      <c r="G15" s="994"/>
      <c r="H15" s="994"/>
      <c r="I15" s="994"/>
      <c r="J15" s="994"/>
      <c r="K15" s="994"/>
      <c r="L15" s="994"/>
      <c r="M15" s="994"/>
      <c r="N15" s="994"/>
      <c r="O15" s="994"/>
      <c r="P15" s="994"/>
      <c r="Q15" s="994"/>
      <c r="R15" s="994"/>
      <c r="S15" s="994"/>
      <c r="T15" s="994"/>
      <c r="U15" s="994"/>
      <c r="V15" s="994"/>
      <c r="W15" s="994"/>
      <c r="X15" s="994"/>
    </row>
    <row r="16" spans="1:24" ht="18.75" customHeight="1">
      <c r="A16" s="990"/>
      <c r="B16" s="991"/>
      <c r="C16" s="992"/>
      <c r="D16" s="992"/>
      <c r="E16" s="993">
        <v>18</v>
      </c>
      <c r="F16" s="992"/>
      <c r="G16" s="992"/>
      <c r="H16" s="992"/>
      <c r="I16" s="992"/>
      <c r="J16" s="992"/>
      <c r="K16" s="992"/>
      <c r="L16" s="992"/>
      <c r="M16" s="992"/>
      <c r="N16" s="992"/>
      <c r="O16" s="992"/>
      <c r="P16" s="992"/>
      <c r="Q16" s="992"/>
      <c r="R16" s="992"/>
      <c r="S16" s="992"/>
      <c r="T16" s="992"/>
      <c r="U16" s="992"/>
      <c r="V16" s="992"/>
      <c r="W16" s="992"/>
      <c r="X16" s="992"/>
    </row>
    <row r="17" spans="1:24" ht="18.75" customHeight="1">
      <c r="A17" s="990"/>
      <c r="B17" s="991"/>
      <c r="C17" s="992"/>
      <c r="D17" s="992"/>
      <c r="E17" s="993">
        <v>19</v>
      </c>
      <c r="F17" s="994"/>
      <c r="G17" s="994"/>
      <c r="H17" s="994"/>
      <c r="I17" s="994"/>
      <c r="J17" s="994"/>
      <c r="K17" s="994"/>
      <c r="L17" s="994"/>
      <c r="M17" s="994"/>
      <c r="N17" s="994"/>
      <c r="O17" s="994"/>
      <c r="P17" s="994"/>
      <c r="Q17" s="994"/>
      <c r="R17" s="994"/>
      <c r="S17" s="994"/>
      <c r="T17" s="994"/>
      <c r="U17" s="994"/>
      <c r="V17" s="994"/>
      <c r="W17" s="994"/>
      <c r="X17" s="994"/>
    </row>
    <row r="18" spans="1:24" ht="18.75" customHeight="1">
      <c r="A18" s="990"/>
      <c r="B18" s="991"/>
      <c r="C18" s="992"/>
      <c r="D18" s="992"/>
      <c r="E18" s="993">
        <v>20</v>
      </c>
      <c r="F18" s="992"/>
      <c r="G18" s="992"/>
      <c r="H18" s="992"/>
      <c r="I18" s="992"/>
      <c r="J18" s="992"/>
      <c r="K18" s="992"/>
      <c r="L18" s="992"/>
      <c r="M18" s="992"/>
      <c r="N18" s="992"/>
      <c r="O18" s="992"/>
      <c r="P18" s="992"/>
      <c r="Q18" s="992"/>
      <c r="R18" s="992"/>
      <c r="S18" s="992"/>
      <c r="T18" s="992"/>
      <c r="U18" s="992"/>
      <c r="V18" s="992"/>
      <c r="W18" s="992"/>
      <c r="X18" s="992"/>
    </row>
    <row r="19" spans="1:24" ht="18.75" customHeight="1">
      <c r="A19" s="990"/>
      <c r="B19" s="991"/>
      <c r="C19" s="992"/>
      <c r="D19" s="992"/>
      <c r="E19" s="993">
        <v>21</v>
      </c>
      <c r="F19" s="994"/>
      <c r="G19" s="994"/>
      <c r="H19" s="994"/>
      <c r="I19" s="994"/>
      <c r="J19" s="994"/>
      <c r="K19" s="994"/>
      <c r="L19" s="994"/>
      <c r="M19" s="994"/>
      <c r="N19" s="994"/>
      <c r="O19" s="994"/>
      <c r="P19" s="994"/>
      <c r="Q19" s="994"/>
      <c r="R19" s="994"/>
      <c r="S19" s="994"/>
      <c r="T19" s="994"/>
      <c r="U19" s="994"/>
      <c r="V19" s="994"/>
      <c r="W19" s="994"/>
      <c r="X19" s="994"/>
    </row>
    <row r="20" spans="1:24" ht="18.75" customHeight="1">
      <c r="A20" s="990"/>
      <c r="B20" s="991"/>
      <c r="C20" s="992"/>
      <c r="D20" s="992"/>
      <c r="E20" s="993">
        <v>22</v>
      </c>
      <c r="F20" s="992"/>
      <c r="G20" s="992"/>
      <c r="H20" s="992"/>
      <c r="I20" s="992"/>
      <c r="J20" s="992"/>
      <c r="K20" s="992"/>
      <c r="L20" s="992"/>
      <c r="M20" s="992"/>
      <c r="N20" s="992"/>
      <c r="O20" s="992"/>
      <c r="P20" s="992"/>
      <c r="Q20" s="992"/>
      <c r="R20" s="992"/>
      <c r="S20" s="992"/>
      <c r="T20" s="992"/>
      <c r="U20" s="992"/>
      <c r="V20" s="992"/>
      <c r="W20" s="992"/>
      <c r="X20" s="992"/>
    </row>
    <row r="21" spans="1:24" ht="18.75" customHeight="1">
      <c r="A21" s="990"/>
      <c r="B21" s="991"/>
      <c r="C21" s="992"/>
      <c r="D21" s="992"/>
      <c r="E21" s="993">
        <v>23</v>
      </c>
      <c r="F21" s="994"/>
      <c r="G21" s="994"/>
      <c r="H21" s="994"/>
      <c r="I21" s="994"/>
      <c r="J21" s="994"/>
      <c r="K21" s="994"/>
      <c r="L21" s="994"/>
      <c r="M21" s="994"/>
      <c r="N21" s="994"/>
      <c r="O21" s="994"/>
      <c r="P21" s="994"/>
      <c r="Q21" s="994"/>
      <c r="R21" s="994"/>
      <c r="S21" s="994"/>
      <c r="T21" s="994"/>
      <c r="U21" s="994"/>
      <c r="V21" s="994"/>
      <c r="W21" s="994"/>
      <c r="X21" s="994"/>
    </row>
    <row r="22" spans="1:24" ht="18.75" customHeight="1">
      <c r="A22" s="990"/>
      <c r="B22" s="991"/>
      <c r="C22" s="992"/>
      <c r="D22" s="992"/>
      <c r="E22" s="993">
        <v>24</v>
      </c>
      <c r="F22" s="992"/>
      <c r="G22" s="992"/>
      <c r="H22" s="992"/>
      <c r="I22" s="992"/>
      <c r="J22" s="992"/>
      <c r="K22" s="992"/>
      <c r="L22" s="992"/>
      <c r="M22" s="992"/>
      <c r="N22" s="992"/>
      <c r="O22" s="992"/>
      <c r="P22" s="992"/>
      <c r="Q22" s="992"/>
      <c r="R22" s="992"/>
      <c r="S22" s="992"/>
      <c r="T22" s="992"/>
      <c r="U22" s="992"/>
      <c r="V22" s="992"/>
      <c r="W22" s="992"/>
      <c r="X22" s="992"/>
    </row>
    <row r="23" spans="1:24" ht="18.75" customHeight="1">
      <c r="A23" s="990"/>
      <c r="B23" s="991"/>
      <c r="C23" s="992"/>
      <c r="D23" s="992"/>
      <c r="E23" s="993">
        <v>25</v>
      </c>
      <c r="F23" s="994"/>
      <c r="G23" s="994"/>
      <c r="H23" s="994"/>
      <c r="I23" s="994"/>
      <c r="J23" s="994"/>
      <c r="K23" s="994"/>
      <c r="L23" s="994"/>
      <c r="M23" s="994"/>
      <c r="N23" s="994"/>
      <c r="O23" s="994"/>
      <c r="P23" s="994"/>
      <c r="Q23" s="994"/>
      <c r="R23" s="994"/>
      <c r="S23" s="994"/>
      <c r="T23" s="994"/>
      <c r="U23" s="994"/>
      <c r="V23" s="994"/>
      <c r="W23" s="994"/>
      <c r="X23" s="994"/>
    </row>
    <row r="24" spans="1:24" ht="18.75" customHeight="1">
      <c r="A24" s="990"/>
      <c r="B24" s="991"/>
      <c r="C24" s="992"/>
      <c r="D24" s="992"/>
      <c r="E24" s="993">
        <v>26</v>
      </c>
      <c r="F24" s="992"/>
      <c r="G24" s="992"/>
      <c r="H24" s="992"/>
      <c r="I24" s="992"/>
      <c r="J24" s="992"/>
      <c r="K24" s="992"/>
      <c r="L24" s="992"/>
      <c r="M24" s="992"/>
      <c r="N24" s="992"/>
      <c r="O24" s="992"/>
      <c r="P24" s="992"/>
      <c r="Q24" s="992"/>
      <c r="R24" s="992"/>
      <c r="S24" s="992"/>
      <c r="T24" s="992"/>
      <c r="U24" s="992"/>
      <c r="V24" s="992"/>
      <c r="W24" s="992"/>
      <c r="X24" s="992"/>
    </row>
    <row r="25" spans="1:24" ht="18.75" customHeight="1">
      <c r="A25" s="990"/>
      <c r="B25" s="991"/>
      <c r="C25" s="992"/>
      <c r="D25" s="992"/>
      <c r="E25" s="993">
        <v>27</v>
      </c>
      <c r="F25" s="994"/>
      <c r="G25" s="994"/>
      <c r="H25" s="994"/>
      <c r="I25" s="994"/>
      <c r="J25" s="994"/>
      <c r="K25" s="994"/>
      <c r="L25" s="994"/>
      <c r="M25" s="994"/>
      <c r="N25" s="994"/>
      <c r="O25" s="994"/>
      <c r="P25" s="994"/>
      <c r="Q25" s="994"/>
      <c r="R25" s="994"/>
      <c r="S25" s="994"/>
      <c r="T25" s="994"/>
      <c r="U25" s="994"/>
      <c r="V25" s="994"/>
      <c r="W25" s="994"/>
      <c r="X25" s="994"/>
    </row>
    <row r="26" spans="1:24" ht="18.75" customHeight="1">
      <c r="A26" s="990"/>
      <c r="B26" s="991"/>
      <c r="C26" s="992"/>
      <c r="D26" s="992"/>
      <c r="E26" s="993">
        <v>28</v>
      </c>
      <c r="F26" s="992"/>
      <c r="G26" s="992"/>
      <c r="H26" s="992"/>
      <c r="I26" s="992"/>
      <c r="J26" s="992"/>
      <c r="K26" s="992"/>
      <c r="L26" s="992"/>
      <c r="M26" s="992"/>
      <c r="N26" s="992"/>
      <c r="O26" s="992"/>
      <c r="P26" s="992"/>
      <c r="Q26" s="992"/>
      <c r="R26" s="992"/>
      <c r="S26" s="992"/>
      <c r="T26" s="992"/>
      <c r="U26" s="992"/>
      <c r="V26" s="992"/>
      <c r="W26" s="992"/>
      <c r="X26" s="992"/>
    </row>
    <row r="27" spans="1:24" ht="18.75" customHeight="1">
      <c r="A27" s="990"/>
      <c r="B27" s="991"/>
      <c r="C27" s="992"/>
      <c r="D27" s="992"/>
      <c r="E27" s="993">
        <v>29</v>
      </c>
      <c r="F27" s="994"/>
      <c r="G27" s="994"/>
      <c r="H27" s="994"/>
      <c r="I27" s="994"/>
      <c r="J27" s="994"/>
      <c r="K27" s="994"/>
      <c r="L27" s="994"/>
      <c r="M27" s="994"/>
      <c r="N27" s="994"/>
      <c r="O27" s="994"/>
      <c r="P27" s="994"/>
      <c r="Q27" s="994"/>
      <c r="R27" s="994"/>
      <c r="S27" s="994"/>
      <c r="T27" s="994"/>
      <c r="U27" s="994"/>
      <c r="V27" s="994"/>
      <c r="W27" s="994"/>
      <c r="X27" s="994"/>
    </row>
    <row r="28" spans="1:24" ht="18.75" customHeight="1">
      <c r="A28" s="990"/>
      <c r="B28" s="991"/>
      <c r="C28" s="992"/>
      <c r="D28" s="992"/>
      <c r="E28" s="993">
        <v>30</v>
      </c>
      <c r="F28" s="992"/>
      <c r="G28" s="992"/>
      <c r="H28" s="992"/>
      <c r="I28" s="992"/>
      <c r="J28" s="992"/>
      <c r="K28" s="992"/>
      <c r="L28" s="992"/>
      <c r="M28" s="992"/>
      <c r="N28" s="992"/>
      <c r="O28" s="992"/>
      <c r="P28" s="992"/>
      <c r="Q28" s="992"/>
      <c r="R28" s="992"/>
      <c r="S28" s="992"/>
      <c r="T28" s="992"/>
      <c r="U28" s="992"/>
      <c r="V28" s="992"/>
      <c r="W28" s="992"/>
      <c r="X28" s="992"/>
    </row>
    <row r="29" spans="1:24" ht="18.75" customHeight="1">
      <c r="A29" s="990"/>
      <c r="B29" s="991"/>
      <c r="C29" s="992"/>
      <c r="D29" s="992"/>
      <c r="E29" s="993">
        <v>31</v>
      </c>
      <c r="F29" s="994"/>
      <c r="G29" s="994"/>
      <c r="H29" s="994"/>
      <c r="I29" s="994"/>
      <c r="J29" s="994"/>
      <c r="K29" s="994"/>
      <c r="L29" s="994"/>
      <c r="M29" s="994"/>
      <c r="N29" s="994"/>
      <c r="O29" s="994"/>
      <c r="P29" s="994"/>
      <c r="Q29" s="994"/>
      <c r="R29" s="994"/>
      <c r="S29" s="994"/>
      <c r="T29" s="994"/>
      <c r="U29" s="994"/>
      <c r="V29" s="994"/>
      <c r="W29" s="994"/>
      <c r="X29" s="994"/>
    </row>
    <row r="30" spans="1:24" ht="18.75" customHeight="1">
      <c r="A30" s="990"/>
      <c r="B30" s="991"/>
      <c r="C30" s="992"/>
      <c r="D30" s="992"/>
      <c r="E30" s="993">
        <v>32</v>
      </c>
      <c r="F30" s="992"/>
      <c r="G30" s="992"/>
      <c r="H30" s="992"/>
      <c r="I30" s="992"/>
      <c r="J30" s="992"/>
      <c r="K30" s="992"/>
      <c r="L30" s="992"/>
      <c r="M30" s="992"/>
      <c r="N30" s="992"/>
      <c r="O30" s="992"/>
      <c r="P30" s="992"/>
      <c r="Q30" s="992"/>
      <c r="R30" s="992"/>
      <c r="S30" s="992"/>
      <c r="T30" s="992"/>
      <c r="U30" s="992"/>
      <c r="V30" s="992"/>
      <c r="W30" s="992"/>
      <c r="X30" s="992"/>
    </row>
    <row r="31" spans="1:24" ht="18.75" customHeight="1">
      <c r="A31" s="990"/>
      <c r="B31" s="991"/>
      <c r="C31" s="992"/>
      <c r="D31" s="992"/>
      <c r="E31" s="993">
        <v>33</v>
      </c>
      <c r="F31" s="994"/>
      <c r="G31" s="994"/>
      <c r="H31" s="994"/>
      <c r="I31" s="994"/>
      <c r="J31" s="994"/>
      <c r="K31" s="994"/>
      <c r="L31" s="994"/>
      <c r="M31" s="994"/>
      <c r="N31" s="994"/>
      <c r="O31" s="994"/>
      <c r="P31" s="994"/>
      <c r="Q31" s="994"/>
      <c r="R31" s="994"/>
      <c r="S31" s="994"/>
      <c r="T31" s="994"/>
      <c r="U31" s="994"/>
      <c r="V31" s="994"/>
      <c r="W31" s="994"/>
      <c r="X31" s="994"/>
    </row>
    <row r="32" spans="1:24" ht="18.75" customHeight="1">
      <c r="A32" s="990"/>
      <c r="B32" s="991"/>
      <c r="C32" s="992"/>
      <c r="D32" s="992"/>
      <c r="E32" s="993">
        <v>34</v>
      </c>
      <c r="F32" s="992"/>
      <c r="G32" s="992"/>
      <c r="H32" s="992"/>
      <c r="I32" s="992"/>
      <c r="J32" s="992"/>
      <c r="K32" s="992"/>
      <c r="L32" s="992"/>
      <c r="M32" s="992"/>
      <c r="N32" s="992"/>
      <c r="O32" s="992"/>
      <c r="P32" s="992"/>
      <c r="Q32" s="992"/>
      <c r="R32" s="992"/>
      <c r="S32" s="992"/>
      <c r="T32" s="992"/>
      <c r="U32" s="992"/>
      <c r="V32" s="992"/>
      <c r="W32" s="992"/>
      <c r="X32" s="992"/>
    </row>
    <row r="33" spans="1:24" ht="18.75" customHeight="1">
      <c r="A33" s="990"/>
      <c r="B33" s="991"/>
      <c r="C33" s="992"/>
      <c r="D33" s="992"/>
      <c r="E33" s="993">
        <v>35</v>
      </c>
      <c r="F33" s="994"/>
      <c r="G33" s="994"/>
      <c r="H33" s="994"/>
      <c r="I33" s="994"/>
      <c r="J33" s="994"/>
      <c r="K33" s="994"/>
      <c r="L33" s="994"/>
      <c r="M33" s="994"/>
      <c r="N33" s="994"/>
      <c r="O33" s="994"/>
      <c r="P33" s="994"/>
      <c r="Q33" s="994"/>
      <c r="R33" s="994"/>
      <c r="S33" s="994"/>
      <c r="T33" s="994"/>
      <c r="U33" s="994"/>
      <c r="V33" s="994"/>
      <c r="W33" s="994"/>
      <c r="X33" s="994"/>
    </row>
    <row r="34" spans="1:24" ht="18.75" customHeight="1">
      <c r="A34" s="990"/>
      <c r="B34" s="991"/>
      <c r="C34" s="992"/>
      <c r="D34" s="995"/>
      <c r="E34" s="993">
        <v>36</v>
      </c>
      <c r="F34" s="992"/>
      <c r="G34" s="992"/>
      <c r="H34" s="992"/>
      <c r="I34" s="992"/>
      <c r="J34" s="992"/>
      <c r="K34" s="992"/>
      <c r="L34" s="992"/>
      <c r="M34" s="992"/>
      <c r="N34" s="992"/>
      <c r="O34" s="992"/>
      <c r="P34" s="992"/>
      <c r="Q34" s="992"/>
      <c r="R34" s="992"/>
      <c r="S34" s="992"/>
      <c r="T34" s="992"/>
      <c r="U34" s="992"/>
      <c r="V34" s="992"/>
      <c r="W34" s="992"/>
      <c r="X34" s="992"/>
    </row>
    <row r="35" spans="1:24" ht="18.75" customHeight="1">
      <c r="A35" s="990"/>
      <c r="B35" s="991"/>
      <c r="C35" s="992"/>
      <c r="D35" s="992"/>
      <c r="E35" s="993">
        <v>37</v>
      </c>
      <c r="F35" s="994"/>
      <c r="G35" s="994"/>
      <c r="H35" s="994"/>
      <c r="I35" s="994"/>
      <c r="J35" s="994"/>
      <c r="K35" s="994"/>
      <c r="L35" s="994"/>
      <c r="M35" s="994"/>
      <c r="N35" s="994"/>
      <c r="O35" s="994"/>
      <c r="P35" s="994"/>
      <c r="Q35" s="994"/>
      <c r="R35" s="994"/>
      <c r="S35" s="994"/>
      <c r="T35" s="994"/>
      <c r="U35" s="994"/>
      <c r="V35" s="994"/>
      <c r="W35" s="994"/>
      <c r="X35" s="994"/>
    </row>
    <row r="36" spans="1:24" ht="18.75" customHeight="1">
      <c r="A36" s="990"/>
      <c r="B36" s="991"/>
      <c r="C36" s="992"/>
      <c r="D36" s="992"/>
      <c r="E36" s="993">
        <v>38</v>
      </c>
      <c r="F36" s="992"/>
      <c r="G36" s="992"/>
      <c r="H36" s="992"/>
      <c r="I36" s="992"/>
      <c r="J36" s="992"/>
      <c r="K36" s="992"/>
      <c r="L36" s="992"/>
      <c r="M36" s="992"/>
      <c r="N36" s="992"/>
      <c r="O36" s="992"/>
      <c r="P36" s="992"/>
      <c r="Q36" s="992"/>
      <c r="R36" s="992"/>
      <c r="S36" s="992"/>
      <c r="T36" s="992"/>
      <c r="U36" s="992"/>
      <c r="V36" s="992"/>
      <c r="W36" s="992"/>
      <c r="X36" s="992"/>
    </row>
    <row r="37" spans="1:24" ht="18.75" customHeight="1">
      <c r="A37" s="990"/>
      <c r="B37" s="991"/>
      <c r="C37" s="992"/>
      <c r="D37" s="992"/>
      <c r="E37" s="993">
        <v>39</v>
      </c>
      <c r="F37" s="994"/>
      <c r="G37" s="994"/>
      <c r="H37" s="994"/>
      <c r="I37" s="994"/>
      <c r="J37" s="994"/>
      <c r="K37" s="994"/>
      <c r="L37" s="994"/>
      <c r="M37" s="994"/>
      <c r="N37" s="994"/>
      <c r="O37" s="994"/>
      <c r="P37" s="994"/>
      <c r="Q37" s="994"/>
      <c r="R37" s="994"/>
      <c r="S37" s="994"/>
      <c r="T37" s="994"/>
      <c r="U37" s="994"/>
      <c r="V37" s="994"/>
      <c r="W37" s="994"/>
      <c r="X37" s="994"/>
    </row>
    <row r="38" spans="1:24" ht="18.75" customHeight="1">
      <c r="A38" s="990"/>
      <c r="B38" s="991"/>
      <c r="C38" s="992"/>
      <c r="D38" s="992"/>
      <c r="E38" s="993">
        <v>40</v>
      </c>
      <c r="F38" s="992"/>
      <c r="G38" s="992"/>
      <c r="H38" s="992"/>
      <c r="I38" s="992"/>
      <c r="J38" s="992"/>
      <c r="K38" s="992"/>
      <c r="L38" s="992"/>
      <c r="M38" s="992"/>
      <c r="N38" s="992"/>
      <c r="O38" s="992"/>
      <c r="P38" s="992"/>
      <c r="Q38" s="992"/>
      <c r="R38" s="992"/>
      <c r="S38" s="992"/>
      <c r="T38" s="992"/>
      <c r="U38" s="992"/>
      <c r="V38" s="992"/>
      <c r="W38" s="992"/>
      <c r="X38" s="992"/>
    </row>
    <row r="39" spans="1:24" ht="18.75" customHeight="1">
      <c r="A39" s="990"/>
      <c r="B39" s="991"/>
      <c r="C39" s="992"/>
      <c r="D39" s="992"/>
      <c r="E39" s="993">
        <v>41</v>
      </c>
      <c r="F39" s="994"/>
      <c r="G39" s="994"/>
      <c r="H39" s="994"/>
      <c r="I39" s="994"/>
      <c r="J39" s="994"/>
      <c r="K39" s="994"/>
      <c r="L39" s="994"/>
      <c r="M39" s="994"/>
      <c r="N39" s="994"/>
      <c r="O39" s="994"/>
      <c r="P39" s="994"/>
      <c r="Q39" s="994"/>
      <c r="R39" s="994"/>
      <c r="S39" s="994"/>
      <c r="T39" s="994"/>
      <c r="U39" s="994"/>
      <c r="V39" s="994"/>
      <c r="W39" s="994"/>
      <c r="X39" s="994"/>
    </row>
    <row r="40" spans="1:24" ht="18.75" customHeight="1">
      <c r="A40" s="990"/>
      <c r="B40" s="991"/>
      <c r="C40" s="992"/>
      <c r="D40" s="992"/>
      <c r="E40" s="993">
        <v>42</v>
      </c>
      <c r="F40" s="992"/>
      <c r="G40" s="992"/>
      <c r="H40" s="992"/>
      <c r="I40" s="992"/>
      <c r="J40" s="992"/>
      <c r="K40" s="992"/>
      <c r="L40" s="992"/>
      <c r="M40" s="992"/>
      <c r="N40" s="992"/>
      <c r="O40" s="992"/>
      <c r="P40" s="992"/>
      <c r="Q40" s="992"/>
      <c r="R40" s="992"/>
      <c r="S40" s="992"/>
      <c r="T40" s="992"/>
      <c r="U40" s="992"/>
      <c r="V40" s="992"/>
      <c r="W40" s="992"/>
      <c r="X40" s="992"/>
    </row>
    <row r="41" spans="1:24" ht="18.75" customHeight="1">
      <c r="A41" s="990"/>
      <c r="B41" s="991"/>
      <c r="C41" s="992"/>
      <c r="D41" s="992"/>
      <c r="E41" s="993">
        <v>43</v>
      </c>
      <c r="F41" s="994"/>
      <c r="G41" s="994"/>
      <c r="H41" s="994"/>
      <c r="I41" s="994"/>
      <c r="J41" s="994"/>
      <c r="K41" s="994"/>
      <c r="L41" s="994"/>
      <c r="M41" s="994"/>
      <c r="N41" s="994"/>
      <c r="O41" s="994"/>
      <c r="P41" s="994"/>
      <c r="Q41" s="994"/>
      <c r="R41" s="994"/>
      <c r="S41" s="994"/>
      <c r="T41" s="994"/>
      <c r="U41" s="994"/>
      <c r="V41" s="994"/>
      <c r="W41" s="994"/>
      <c r="X41" s="994"/>
    </row>
    <row r="42" spans="1:24" ht="18.75" customHeight="1">
      <c r="A42" s="990"/>
      <c r="B42" s="996"/>
      <c r="C42" s="995"/>
      <c r="D42" s="992"/>
      <c r="E42" s="993">
        <v>44</v>
      </c>
      <c r="F42" s="992"/>
      <c r="G42" s="992"/>
      <c r="H42" s="992"/>
      <c r="I42" s="992"/>
      <c r="J42" s="992"/>
      <c r="K42" s="992"/>
      <c r="L42" s="992"/>
      <c r="M42" s="992"/>
      <c r="N42" s="992"/>
      <c r="O42" s="992"/>
      <c r="P42" s="992"/>
      <c r="Q42" s="992"/>
      <c r="R42" s="992"/>
      <c r="S42" s="992"/>
      <c r="T42" s="992"/>
      <c r="U42" s="992"/>
      <c r="V42" s="992"/>
      <c r="W42" s="992"/>
      <c r="X42" s="992"/>
    </row>
    <row r="43" spans="1:24" ht="18.75" customHeight="1">
      <c r="A43" s="990"/>
      <c r="B43" s="991"/>
      <c r="C43" s="992"/>
      <c r="D43" s="992"/>
      <c r="E43" s="993">
        <v>45</v>
      </c>
      <c r="F43" s="994"/>
      <c r="G43" s="994"/>
      <c r="H43" s="994"/>
      <c r="I43" s="994"/>
      <c r="J43" s="994"/>
      <c r="K43" s="994"/>
      <c r="L43" s="994"/>
      <c r="M43" s="994"/>
      <c r="N43" s="994"/>
      <c r="O43" s="994"/>
      <c r="P43" s="994"/>
      <c r="Q43" s="994"/>
      <c r="R43" s="994"/>
      <c r="S43" s="994"/>
      <c r="T43" s="994"/>
      <c r="U43" s="994"/>
      <c r="V43" s="994"/>
      <c r="W43" s="994"/>
      <c r="X43" s="994"/>
    </row>
    <row r="44" spans="1:24" ht="18.75" customHeight="1">
      <c r="A44" s="990"/>
      <c r="B44" s="991"/>
      <c r="C44" s="992"/>
      <c r="D44" s="992"/>
      <c r="E44" s="993">
        <v>46</v>
      </c>
      <c r="F44" s="992"/>
      <c r="G44" s="992"/>
      <c r="H44" s="992"/>
      <c r="I44" s="992"/>
      <c r="J44" s="992"/>
      <c r="K44" s="992"/>
      <c r="L44" s="992"/>
      <c r="M44" s="992"/>
      <c r="N44" s="992"/>
      <c r="O44" s="992"/>
      <c r="P44" s="992"/>
      <c r="Q44" s="992"/>
      <c r="R44" s="992"/>
      <c r="S44" s="992"/>
      <c r="T44" s="992"/>
      <c r="U44" s="992"/>
      <c r="V44" s="992"/>
      <c r="W44" s="992"/>
      <c r="X44" s="992"/>
    </row>
    <row r="45" spans="1:24" ht="18.75" customHeight="1">
      <c r="A45" s="990"/>
      <c r="B45" s="991"/>
      <c r="C45" s="992"/>
      <c r="D45" s="992"/>
      <c r="E45" s="993">
        <v>47</v>
      </c>
      <c r="F45" s="994"/>
      <c r="G45" s="994"/>
      <c r="H45" s="994"/>
      <c r="I45" s="994"/>
      <c r="J45" s="994"/>
      <c r="K45" s="994"/>
      <c r="L45" s="994"/>
      <c r="M45" s="994"/>
      <c r="N45" s="994"/>
      <c r="O45" s="994"/>
      <c r="P45" s="994"/>
      <c r="Q45" s="994"/>
      <c r="R45" s="994"/>
      <c r="S45" s="994"/>
      <c r="T45" s="994"/>
      <c r="U45" s="994"/>
      <c r="V45" s="994"/>
      <c r="W45" s="994"/>
      <c r="X45" s="994"/>
    </row>
    <row r="46" spans="1:24" ht="18.75" customHeight="1">
      <c r="A46" s="990"/>
      <c r="B46" s="991"/>
      <c r="C46" s="992"/>
      <c r="D46" s="992"/>
      <c r="E46" s="993">
        <v>48</v>
      </c>
      <c r="F46" s="992"/>
      <c r="G46" s="992"/>
      <c r="H46" s="992"/>
      <c r="I46" s="992"/>
      <c r="J46" s="992"/>
      <c r="K46" s="992"/>
      <c r="L46" s="992"/>
      <c r="M46" s="992"/>
      <c r="N46" s="992"/>
      <c r="O46" s="992"/>
      <c r="P46" s="992"/>
      <c r="Q46" s="992"/>
      <c r="R46" s="992"/>
      <c r="S46" s="992"/>
      <c r="T46" s="992"/>
      <c r="U46" s="992"/>
      <c r="V46" s="992"/>
      <c r="W46" s="992"/>
      <c r="X46" s="992"/>
    </row>
    <row r="47" spans="1:24" ht="18.75" customHeight="1">
      <c r="A47" s="990"/>
      <c r="B47" s="991"/>
      <c r="C47" s="992"/>
      <c r="D47" s="992"/>
      <c r="E47" s="993">
        <v>49</v>
      </c>
      <c r="F47" s="994"/>
      <c r="G47" s="994"/>
      <c r="H47" s="994"/>
      <c r="I47" s="994"/>
      <c r="J47" s="994"/>
      <c r="K47" s="994"/>
      <c r="L47" s="994"/>
      <c r="M47" s="994"/>
      <c r="N47" s="994"/>
      <c r="O47" s="994"/>
      <c r="P47" s="994"/>
      <c r="Q47" s="994"/>
      <c r="R47" s="994"/>
      <c r="S47" s="994"/>
      <c r="T47" s="994"/>
      <c r="U47" s="994"/>
      <c r="V47" s="994"/>
      <c r="W47" s="994"/>
      <c r="X47" s="994"/>
    </row>
  </sheetData>
  <mergeCells count="4">
    <mergeCell ref="A1:A2"/>
    <mergeCell ref="B1:B2"/>
    <mergeCell ref="C1:D1"/>
    <mergeCell ref="E1:E2"/>
  </mergeCells>
  <hyperlinks>
    <hyperlink ref="A1" r:id="rId1" xr:uid="{6A87AF85-9D36-48F0-BC66-F6A97B32F4E9}"/>
  </hyperlinks>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1AA7-E9A1-4DF6-AE54-32D51E9090C8}">
  <sheetPr>
    <tabColor rgb="FFFFC000"/>
  </sheetPr>
  <dimension ref="A2:D2"/>
  <sheetViews>
    <sheetView workbookViewId="0">
      <selection activeCell="D3" sqref="D3"/>
    </sheetView>
  </sheetViews>
  <sheetFormatPr defaultRowHeight="14.25"/>
  <sheetData>
    <row r="2" spans="1:4">
      <c r="A2" t="s">
        <v>8788</v>
      </c>
      <c r="B2" t="s">
        <v>5826</v>
      </c>
      <c r="C2" t="s">
        <v>5782</v>
      </c>
      <c r="D2" t="s">
        <v>5797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0DEA4-EA45-49B7-B96D-9237456AF255}">
  <sheetPr>
    <tabColor rgb="FFFFC000"/>
    <outlinePr summaryBelow="0" summaryRight="0"/>
  </sheetPr>
  <dimension ref="A1:Q44"/>
  <sheetViews>
    <sheetView workbookViewId="0">
      <pane ySplit="1" topLeftCell="A2" activePane="bottomLeft" state="frozen"/>
      <selection sqref="A1:B2"/>
      <selection pane="bottomLeft" sqref="A1:B2"/>
    </sheetView>
  </sheetViews>
  <sheetFormatPr defaultColWidth="11.21875" defaultRowHeight="15.75" customHeight="1"/>
  <cols>
    <col min="1" max="1" width="11.21875" style="823" customWidth="1"/>
    <col min="2" max="2" width="7.88671875" style="823" customWidth="1"/>
    <col min="3" max="3" width="13.5546875" style="823" customWidth="1"/>
    <col min="4" max="7" width="7.33203125" style="823" customWidth="1"/>
    <col min="8" max="8" width="1.21875" style="823" customWidth="1"/>
    <col min="9" max="10" width="7.88671875" style="823" customWidth="1"/>
    <col min="11" max="11" width="1.21875" style="823" customWidth="1"/>
    <col min="12" max="12" width="11.21875" style="823" customWidth="1"/>
    <col min="13" max="14" width="7.88671875" style="823" customWidth="1"/>
    <col min="15" max="15" width="11.21875" style="823" customWidth="1"/>
    <col min="16" max="17" width="7.88671875" style="823" customWidth="1"/>
    <col min="18" max="16384" width="11.21875" style="823"/>
  </cols>
  <sheetData>
    <row r="1" spans="1:17" ht="16.5" customHeight="1">
      <c r="A1" s="962" t="s">
        <v>15495</v>
      </c>
      <c r="B1" s="962" t="s">
        <v>5679</v>
      </c>
      <c r="C1" s="962" t="s">
        <v>15496</v>
      </c>
      <c r="D1" s="1294" t="s">
        <v>15497</v>
      </c>
      <c r="E1" s="1289"/>
      <c r="F1" s="1289"/>
      <c r="G1" s="1289"/>
      <c r="H1" s="963"/>
      <c r="I1" s="962" t="s">
        <v>5649</v>
      </c>
      <c r="J1" s="962" t="s">
        <v>5679</v>
      </c>
      <c r="K1" s="963"/>
      <c r="L1" s="962" t="s">
        <v>15498</v>
      </c>
      <c r="M1" s="962" t="s">
        <v>5642</v>
      </c>
      <c r="N1" s="962" t="s">
        <v>5641</v>
      </c>
      <c r="O1" s="962" t="s">
        <v>15499</v>
      </c>
      <c r="P1" s="962" t="s">
        <v>15500</v>
      </c>
      <c r="Q1" s="962" t="s">
        <v>15501</v>
      </c>
    </row>
    <row r="2" spans="1:17" ht="16.5" customHeight="1">
      <c r="A2" s="964">
        <v>0</v>
      </c>
      <c r="B2" s="965">
        <v>-100</v>
      </c>
      <c r="C2" s="966">
        <f>1</f>
        <v>1</v>
      </c>
      <c r="D2" s="967" t="s">
        <v>12237</v>
      </c>
      <c r="E2" s="967" t="s">
        <v>2320</v>
      </c>
      <c r="F2" s="967" t="s">
        <v>12239</v>
      </c>
      <c r="G2" s="967" t="s">
        <v>15502</v>
      </c>
      <c r="H2" s="1288"/>
      <c r="I2" s="968">
        <v>0</v>
      </c>
      <c r="J2" s="969">
        <v>10</v>
      </c>
      <c r="K2" s="1288"/>
      <c r="L2" s="970" t="s">
        <v>15503</v>
      </c>
      <c r="M2" s="971">
        <v>12</v>
      </c>
      <c r="N2" s="972">
        <v>1</v>
      </c>
      <c r="O2" s="973">
        <v>3</v>
      </c>
      <c r="P2" s="974">
        <v>2</v>
      </c>
      <c r="Q2" s="975" t="s">
        <v>15504</v>
      </c>
    </row>
    <row r="3" spans="1:17" ht="16.5" customHeight="1">
      <c r="A3" s="964">
        <v>1</v>
      </c>
      <c r="B3" s="965">
        <v>0</v>
      </c>
      <c r="C3" s="966">
        <f>2</f>
        <v>2</v>
      </c>
      <c r="D3" s="976">
        <v>25</v>
      </c>
      <c r="E3" s="977">
        <v>50</v>
      </c>
      <c r="F3" s="978">
        <v>75</v>
      </c>
      <c r="G3" s="979">
        <v>100</v>
      </c>
      <c r="H3" s="1289"/>
      <c r="I3" s="980" t="s">
        <v>15505</v>
      </c>
      <c r="J3" s="969">
        <v>25</v>
      </c>
      <c r="K3" s="1289"/>
      <c r="L3" s="970">
        <v>1</v>
      </c>
      <c r="M3" s="971">
        <v>14</v>
      </c>
      <c r="N3" s="972">
        <v>30</v>
      </c>
      <c r="O3" s="973">
        <v>3</v>
      </c>
      <c r="P3" s="974">
        <v>3</v>
      </c>
      <c r="Q3" s="975" t="s">
        <v>15504</v>
      </c>
    </row>
    <row r="4" spans="1:17" ht="16.5" customHeight="1">
      <c r="A4" s="964">
        <v>2</v>
      </c>
      <c r="B4" s="965">
        <v>300</v>
      </c>
      <c r="C4" s="966">
        <f>2</f>
        <v>2</v>
      </c>
      <c r="D4" s="976">
        <v>50</v>
      </c>
      <c r="E4" s="977">
        <v>100</v>
      </c>
      <c r="F4" s="978">
        <v>150</v>
      </c>
      <c r="G4" s="979">
        <v>200</v>
      </c>
      <c r="H4" s="1289"/>
      <c r="I4" s="980" t="s">
        <v>15506</v>
      </c>
      <c r="J4" s="969">
        <v>50</v>
      </c>
      <c r="K4" s="1289"/>
      <c r="L4" s="970">
        <v>2</v>
      </c>
      <c r="M4" s="971">
        <v>14</v>
      </c>
      <c r="N4" s="972">
        <v>31</v>
      </c>
      <c r="O4" s="973">
        <v>3</v>
      </c>
      <c r="P4" s="974">
        <v>5</v>
      </c>
      <c r="Q4" s="975" t="s">
        <v>15504</v>
      </c>
    </row>
    <row r="5" spans="1:17" ht="16.5" customHeight="1">
      <c r="A5" s="964">
        <v>3</v>
      </c>
      <c r="B5" s="965">
        <v>900</v>
      </c>
      <c r="C5" s="966">
        <f>2</f>
        <v>2</v>
      </c>
      <c r="D5" s="976">
        <v>75</v>
      </c>
      <c r="E5" s="977">
        <v>150</v>
      </c>
      <c r="F5" s="978">
        <v>225</v>
      </c>
      <c r="G5" s="979">
        <v>400</v>
      </c>
      <c r="H5" s="1289"/>
      <c r="I5" s="980" t="s">
        <v>9349</v>
      </c>
      <c r="J5" s="969">
        <v>100</v>
      </c>
      <c r="K5" s="1289"/>
      <c r="L5" s="970">
        <v>3</v>
      </c>
      <c r="M5" s="971">
        <v>14</v>
      </c>
      <c r="N5" s="972">
        <v>32</v>
      </c>
      <c r="O5" s="973">
        <v>3</v>
      </c>
      <c r="P5" s="974">
        <v>7</v>
      </c>
      <c r="Q5" s="975" t="s">
        <v>15504</v>
      </c>
    </row>
    <row r="6" spans="1:17" ht="16.5" customHeight="1">
      <c r="A6" s="964">
        <v>4</v>
      </c>
      <c r="B6" s="981">
        <v>2700</v>
      </c>
      <c r="C6" s="966">
        <f>2</f>
        <v>2</v>
      </c>
      <c r="D6" s="976">
        <v>125</v>
      </c>
      <c r="E6" s="977">
        <v>250</v>
      </c>
      <c r="F6" s="978">
        <v>375</v>
      </c>
      <c r="G6" s="979">
        <v>500</v>
      </c>
      <c r="H6" s="1289"/>
      <c r="I6" s="968">
        <v>1</v>
      </c>
      <c r="J6" s="969">
        <v>200</v>
      </c>
      <c r="K6" s="1289"/>
      <c r="L6" s="970">
        <v>4</v>
      </c>
      <c r="M6" s="971">
        <v>14</v>
      </c>
      <c r="N6" s="972">
        <v>34</v>
      </c>
      <c r="O6" s="973">
        <v>3</v>
      </c>
      <c r="P6" s="974">
        <v>9</v>
      </c>
      <c r="Q6" s="975" t="s">
        <v>15507</v>
      </c>
    </row>
    <row r="7" spans="1:17" ht="16.5" customHeight="1">
      <c r="A7" s="964">
        <v>5</v>
      </c>
      <c r="B7" s="981">
        <v>6500</v>
      </c>
      <c r="C7" s="966">
        <f>3</f>
        <v>3</v>
      </c>
      <c r="D7" s="976">
        <v>250</v>
      </c>
      <c r="E7" s="977">
        <v>500</v>
      </c>
      <c r="F7" s="978">
        <v>750</v>
      </c>
      <c r="G7" s="979">
        <v>1100</v>
      </c>
      <c r="H7" s="1289"/>
      <c r="I7" s="968">
        <v>2</v>
      </c>
      <c r="J7" s="969">
        <v>450</v>
      </c>
      <c r="K7" s="1289"/>
      <c r="L7" s="970">
        <v>5</v>
      </c>
      <c r="M7" s="971">
        <v>14</v>
      </c>
      <c r="N7" s="972">
        <v>45</v>
      </c>
      <c r="O7" s="973">
        <v>4</v>
      </c>
      <c r="P7" s="974">
        <v>11</v>
      </c>
      <c r="Q7" s="975" t="s">
        <v>15508</v>
      </c>
    </row>
    <row r="8" spans="1:17" ht="16.5" customHeight="1">
      <c r="A8" s="964">
        <v>6</v>
      </c>
      <c r="B8" s="981">
        <v>14000</v>
      </c>
      <c r="C8" s="966">
        <f>3</f>
        <v>3</v>
      </c>
      <c r="D8" s="976">
        <v>300</v>
      </c>
      <c r="E8" s="977">
        <v>600</v>
      </c>
      <c r="F8" s="978">
        <v>900</v>
      </c>
      <c r="G8" s="979">
        <v>1400</v>
      </c>
      <c r="H8" s="1289"/>
      <c r="I8" s="968">
        <v>3</v>
      </c>
      <c r="J8" s="969">
        <v>700</v>
      </c>
      <c r="K8" s="1289"/>
      <c r="L8" s="970">
        <v>6</v>
      </c>
      <c r="M8" s="971">
        <v>15</v>
      </c>
      <c r="N8" s="972">
        <v>56</v>
      </c>
      <c r="O8" s="973">
        <v>5</v>
      </c>
      <c r="P8" s="974">
        <v>13</v>
      </c>
      <c r="Q8" s="975" t="s">
        <v>15508</v>
      </c>
    </row>
    <row r="9" spans="1:17" ht="16.5" customHeight="1">
      <c r="A9" s="964">
        <v>7</v>
      </c>
      <c r="B9" s="981">
        <v>23000</v>
      </c>
      <c r="C9" s="966">
        <f>3</f>
        <v>3</v>
      </c>
      <c r="D9" s="976">
        <v>350</v>
      </c>
      <c r="E9" s="977">
        <v>750</v>
      </c>
      <c r="F9" s="978">
        <v>1100</v>
      </c>
      <c r="G9" s="979">
        <v>1700</v>
      </c>
      <c r="H9" s="1289"/>
      <c r="I9" s="968">
        <v>4</v>
      </c>
      <c r="J9" s="969">
        <v>1100</v>
      </c>
      <c r="K9" s="1289"/>
      <c r="L9" s="970">
        <v>7</v>
      </c>
      <c r="M9" s="971">
        <v>16</v>
      </c>
      <c r="N9" s="972">
        <v>68</v>
      </c>
      <c r="O9" s="973">
        <v>6</v>
      </c>
      <c r="P9" s="974">
        <v>15</v>
      </c>
      <c r="Q9" s="982" t="s">
        <v>15508</v>
      </c>
    </row>
    <row r="10" spans="1:17" ht="16.5" customHeight="1">
      <c r="A10" s="964">
        <v>8</v>
      </c>
      <c r="B10" s="981">
        <v>34000</v>
      </c>
      <c r="C10" s="966">
        <f>3</f>
        <v>3</v>
      </c>
      <c r="D10" s="976">
        <v>450</v>
      </c>
      <c r="E10" s="977">
        <v>900</v>
      </c>
      <c r="F10" s="978">
        <v>1400</v>
      </c>
      <c r="G10" s="979">
        <v>2100</v>
      </c>
      <c r="H10" s="1289"/>
      <c r="I10" s="968">
        <v>5</v>
      </c>
      <c r="J10" s="969">
        <v>1800</v>
      </c>
      <c r="K10" s="1289"/>
      <c r="L10" s="970">
        <v>8</v>
      </c>
      <c r="M10" s="971">
        <v>16</v>
      </c>
      <c r="N10" s="972">
        <v>70</v>
      </c>
      <c r="O10" s="973">
        <v>6</v>
      </c>
      <c r="P10" s="974">
        <v>17</v>
      </c>
      <c r="Q10" s="975" t="s">
        <v>15509</v>
      </c>
    </row>
    <row r="11" spans="1:17" ht="16.5" customHeight="1">
      <c r="A11" s="964">
        <v>9</v>
      </c>
      <c r="B11" s="981">
        <v>48000</v>
      </c>
      <c r="C11" s="966">
        <f>4</f>
        <v>4</v>
      </c>
      <c r="D11" s="976">
        <v>550</v>
      </c>
      <c r="E11" s="977">
        <v>1100</v>
      </c>
      <c r="F11" s="978">
        <v>1600</v>
      </c>
      <c r="G11" s="979">
        <v>2400</v>
      </c>
      <c r="H11" s="1289"/>
      <c r="I11" s="968">
        <v>6</v>
      </c>
      <c r="J11" s="969">
        <v>2300</v>
      </c>
      <c r="K11" s="1289"/>
      <c r="L11" s="970">
        <v>9</v>
      </c>
      <c r="M11" s="971">
        <v>16</v>
      </c>
      <c r="N11" s="972">
        <v>73</v>
      </c>
      <c r="O11" s="973">
        <v>6</v>
      </c>
      <c r="P11" s="974">
        <v>19</v>
      </c>
      <c r="Q11" s="975" t="s">
        <v>15510</v>
      </c>
    </row>
    <row r="12" spans="1:17" ht="16.5" customHeight="1">
      <c r="A12" s="964">
        <v>10</v>
      </c>
      <c r="B12" s="981">
        <v>64000</v>
      </c>
      <c r="C12" s="966">
        <f>4</f>
        <v>4</v>
      </c>
      <c r="D12" s="976">
        <v>600</v>
      </c>
      <c r="E12" s="977">
        <v>1200</v>
      </c>
      <c r="F12" s="978">
        <v>1900</v>
      </c>
      <c r="G12" s="979">
        <v>2800</v>
      </c>
      <c r="H12" s="1289"/>
      <c r="I12" s="968">
        <v>7</v>
      </c>
      <c r="J12" s="969">
        <v>2900</v>
      </c>
      <c r="K12" s="1289"/>
      <c r="L12" s="970">
        <v>10</v>
      </c>
      <c r="M12" s="971">
        <v>17</v>
      </c>
      <c r="N12" s="972">
        <v>76</v>
      </c>
      <c r="O12" s="973">
        <v>7</v>
      </c>
      <c r="P12" s="974">
        <v>21</v>
      </c>
      <c r="Q12" s="975" t="s">
        <v>15510</v>
      </c>
    </row>
    <row r="13" spans="1:17" ht="16.5" customHeight="1">
      <c r="A13" s="964">
        <v>11</v>
      </c>
      <c r="B13" s="981">
        <v>85000</v>
      </c>
      <c r="C13" s="966">
        <f>4</f>
        <v>4</v>
      </c>
      <c r="D13" s="976">
        <v>800</v>
      </c>
      <c r="E13" s="977">
        <v>1600</v>
      </c>
      <c r="F13" s="978">
        <v>2400</v>
      </c>
      <c r="G13" s="979">
        <v>3600</v>
      </c>
      <c r="H13" s="1289"/>
      <c r="I13" s="968">
        <v>8</v>
      </c>
      <c r="J13" s="969">
        <v>3900</v>
      </c>
      <c r="K13" s="1289"/>
      <c r="L13" s="970">
        <v>11</v>
      </c>
      <c r="M13" s="971">
        <v>17</v>
      </c>
      <c r="N13" s="972">
        <v>83</v>
      </c>
      <c r="O13" s="973">
        <v>7</v>
      </c>
      <c r="P13" s="974">
        <v>23</v>
      </c>
      <c r="Q13" s="975" t="s">
        <v>15510</v>
      </c>
    </row>
    <row r="14" spans="1:17" ht="16.5" customHeight="1">
      <c r="A14" s="964">
        <v>12</v>
      </c>
      <c r="B14" s="981">
        <v>100000</v>
      </c>
      <c r="C14" s="966">
        <f>4</f>
        <v>4</v>
      </c>
      <c r="D14" s="976">
        <v>1000</v>
      </c>
      <c r="E14" s="977">
        <v>2000</v>
      </c>
      <c r="F14" s="978">
        <v>3000</v>
      </c>
      <c r="G14" s="979">
        <v>4500</v>
      </c>
      <c r="H14" s="1289"/>
      <c r="I14" s="968">
        <v>9</v>
      </c>
      <c r="J14" s="969">
        <v>5000</v>
      </c>
      <c r="K14" s="1289"/>
      <c r="L14" s="970">
        <v>12</v>
      </c>
      <c r="M14" s="971">
        <v>18</v>
      </c>
      <c r="N14" s="972">
        <v>91</v>
      </c>
      <c r="O14" s="973">
        <v>7</v>
      </c>
      <c r="P14" s="974">
        <v>28</v>
      </c>
      <c r="Q14" s="975" t="s">
        <v>15510</v>
      </c>
    </row>
    <row r="15" spans="1:17" ht="16.5" customHeight="1">
      <c r="A15" s="964">
        <v>13</v>
      </c>
      <c r="B15" s="981">
        <v>120000</v>
      </c>
      <c r="C15" s="966">
        <f>5</f>
        <v>5</v>
      </c>
      <c r="D15" s="976">
        <v>1100</v>
      </c>
      <c r="E15" s="977">
        <v>2200</v>
      </c>
      <c r="F15" s="978">
        <v>3400</v>
      </c>
      <c r="G15" s="979">
        <v>5100</v>
      </c>
      <c r="H15" s="1289"/>
      <c r="I15" s="968">
        <v>10</v>
      </c>
      <c r="J15" s="969">
        <v>5900</v>
      </c>
      <c r="K15" s="1289"/>
      <c r="L15" s="970">
        <v>13</v>
      </c>
      <c r="M15" s="971">
        <v>18</v>
      </c>
      <c r="N15" s="972">
        <v>99</v>
      </c>
      <c r="O15" s="973">
        <v>8</v>
      </c>
      <c r="P15" s="974">
        <v>30</v>
      </c>
      <c r="Q15" s="975" t="s">
        <v>15511</v>
      </c>
    </row>
    <row r="16" spans="1:17" ht="16.5" customHeight="1">
      <c r="A16" s="964">
        <v>14</v>
      </c>
      <c r="B16" s="981">
        <v>140000</v>
      </c>
      <c r="C16" s="966">
        <f>5</f>
        <v>5</v>
      </c>
      <c r="D16" s="976">
        <v>1250</v>
      </c>
      <c r="E16" s="977">
        <v>2500</v>
      </c>
      <c r="F16" s="978">
        <v>3800</v>
      </c>
      <c r="G16" s="979">
        <v>5700</v>
      </c>
      <c r="H16" s="1289"/>
      <c r="I16" s="968">
        <v>11</v>
      </c>
      <c r="J16" s="969">
        <v>7200</v>
      </c>
      <c r="K16" s="1289"/>
      <c r="L16" s="970">
        <v>14</v>
      </c>
      <c r="M16" s="971">
        <v>18</v>
      </c>
      <c r="N16" s="972">
        <v>107</v>
      </c>
      <c r="O16" s="973">
        <v>8</v>
      </c>
      <c r="P16" s="974">
        <v>32</v>
      </c>
      <c r="Q16" s="975" t="s">
        <v>15511</v>
      </c>
    </row>
    <row r="17" spans="1:17" ht="16.5" customHeight="1">
      <c r="A17" s="964">
        <v>15</v>
      </c>
      <c r="B17" s="981">
        <v>165000</v>
      </c>
      <c r="C17" s="966">
        <f>5</f>
        <v>5</v>
      </c>
      <c r="D17" s="976">
        <v>1400</v>
      </c>
      <c r="E17" s="977">
        <v>2800</v>
      </c>
      <c r="F17" s="978">
        <v>4300</v>
      </c>
      <c r="G17" s="979">
        <v>6400</v>
      </c>
      <c r="H17" s="1289"/>
      <c r="I17" s="968">
        <v>12</v>
      </c>
      <c r="J17" s="969">
        <v>8400</v>
      </c>
      <c r="K17" s="1289"/>
      <c r="L17" s="970">
        <v>15</v>
      </c>
      <c r="M17" s="971" t="s">
        <v>1235</v>
      </c>
      <c r="N17" s="972">
        <v>114</v>
      </c>
      <c r="O17" s="973">
        <v>8</v>
      </c>
      <c r="P17" s="974">
        <v>34</v>
      </c>
      <c r="Q17" s="975" t="s">
        <v>15511</v>
      </c>
    </row>
    <row r="18" spans="1:17" ht="16.5" customHeight="1">
      <c r="A18" s="964">
        <v>16</v>
      </c>
      <c r="B18" s="981">
        <v>195000</v>
      </c>
      <c r="C18" s="966">
        <f>5</f>
        <v>5</v>
      </c>
      <c r="D18" s="976">
        <v>1600</v>
      </c>
      <c r="E18" s="977">
        <v>3200</v>
      </c>
      <c r="F18" s="978">
        <v>4800</v>
      </c>
      <c r="G18" s="979">
        <v>7200</v>
      </c>
      <c r="H18" s="1289"/>
      <c r="I18" s="968">
        <v>13</v>
      </c>
      <c r="J18" s="969">
        <v>10000</v>
      </c>
      <c r="K18" s="1289"/>
      <c r="L18" s="970">
        <v>16</v>
      </c>
      <c r="M18" s="971">
        <v>19</v>
      </c>
      <c r="N18" s="972">
        <v>123</v>
      </c>
      <c r="O18" s="973">
        <v>8</v>
      </c>
      <c r="P18" s="974">
        <v>41</v>
      </c>
      <c r="Q18" s="975" t="s">
        <v>15511</v>
      </c>
    </row>
    <row r="19" spans="1:17" ht="16.5" customHeight="1">
      <c r="A19" s="964">
        <v>17</v>
      </c>
      <c r="B19" s="981">
        <v>225000</v>
      </c>
      <c r="C19" s="966">
        <f>6</f>
        <v>6</v>
      </c>
      <c r="D19" s="976">
        <v>2000</v>
      </c>
      <c r="E19" s="977">
        <v>3900</v>
      </c>
      <c r="F19" s="978">
        <v>5900</v>
      </c>
      <c r="G19" s="979">
        <v>8800</v>
      </c>
      <c r="H19" s="1289"/>
      <c r="I19" s="968">
        <v>14</v>
      </c>
      <c r="J19" s="969">
        <v>11500</v>
      </c>
      <c r="K19" s="1289"/>
      <c r="L19" s="970">
        <v>17</v>
      </c>
      <c r="M19" s="971">
        <v>19</v>
      </c>
      <c r="N19" s="972">
        <v>133</v>
      </c>
      <c r="O19" s="973">
        <v>9</v>
      </c>
      <c r="P19" s="974">
        <v>43</v>
      </c>
      <c r="Q19" s="975" t="s">
        <v>15512</v>
      </c>
    </row>
    <row r="20" spans="1:17" ht="16.5" customHeight="1">
      <c r="A20" s="964">
        <v>18</v>
      </c>
      <c r="B20" s="981">
        <v>265000</v>
      </c>
      <c r="C20" s="966">
        <f>6</f>
        <v>6</v>
      </c>
      <c r="D20" s="976">
        <v>2100</v>
      </c>
      <c r="E20" s="977">
        <v>4200</v>
      </c>
      <c r="F20" s="978">
        <v>6300</v>
      </c>
      <c r="G20" s="979">
        <v>9500</v>
      </c>
      <c r="H20" s="1289"/>
      <c r="I20" s="968">
        <v>15</v>
      </c>
      <c r="J20" s="969">
        <v>13000</v>
      </c>
      <c r="K20" s="1289"/>
      <c r="L20" s="970">
        <v>18</v>
      </c>
      <c r="M20" s="971">
        <v>19</v>
      </c>
      <c r="N20" s="972">
        <v>142</v>
      </c>
      <c r="O20" s="973">
        <v>10</v>
      </c>
      <c r="P20" s="974">
        <v>46</v>
      </c>
      <c r="Q20" s="975" t="s">
        <v>15512</v>
      </c>
    </row>
    <row r="21" spans="1:17" ht="16.5" customHeight="1">
      <c r="A21" s="964">
        <v>19</v>
      </c>
      <c r="B21" s="981">
        <v>305000</v>
      </c>
      <c r="C21" s="966">
        <f>6</f>
        <v>6</v>
      </c>
      <c r="D21" s="976">
        <v>2400</v>
      </c>
      <c r="E21" s="977">
        <v>4900</v>
      </c>
      <c r="F21" s="978">
        <v>7300</v>
      </c>
      <c r="G21" s="979">
        <v>10900</v>
      </c>
      <c r="H21" s="1289"/>
      <c r="I21" s="968">
        <v>16</v>
      </c>
      <c r="J21" s="969">
        <v>15000</v>
      </c>
      <c r="K21" s="1289"/>
      <c r="L21" s="970">
        <v>19</v>
      </c>
      <c r="M21" s="971">
        <v>20</v>
      </c>
      <c r="N21" s="972">
        <v>152</v>
      </c>
      <c r="O21" s="973">
        <v>10</v>
      </c>
      <c r="P21" s="974">
        <v>48</v>
      </c>
      <c r="Q21" s="975" t="s">
        <v>15512</v>
      </c>
    </row>
    <row r="22" spans="1:17" ht="16.5" customHeight="1">
      <c r="A22" s="964">
        <v>20</v>
      </c>
      <c r="B22" s="981">
        <v>335000</v>
      </c>
      <c r="C22" s="966">
        <f>6</f>
        <v>6</v>
      </c>
      <c r="D22" s="976">
        <v>2800</v>
      </c>
      <c r="E22" s="977">
        <v>5700</v>
      </c>
      <c r="F22" s="978">
        <v>8500</v>
      </c>
      <c r="G22" s="979">
        <v>12700</v>
      </c>
      <c r="H22" s="1289"/>
      <c r="I22" s="968">
        <v>17</v>
      </c>
      <c r="J22" s="969">
        <v>18000</v>
      </c>
      <c r="K22" s="1289"/>
      <c r="L22" s="970">
        <v>20</v>
      </c>
      <c r="M22" s="971">
        <v>20</v>
      </c>
      <c r="N22" s="972">
        <v>190</v>
      </c>
      <c r="O22" s="973">
        <v>10</v>
      </c>
      <c r="P22" s="974">
        <v>56</v>
      </c>
      <c r="Q22" s="975" t="s">
        <v>15512</v>
      </c>
    </row>
    <row r="23" spans="1:17" ht="16.5" customHeight="1">
      <c r="A23" s="1294" t="s">
        <v>15513</v>
      </c>
      <c r="B23" s="1289"/>
      <c r="C23" s="1289"/>
      <c r="D23" s="1294" t="s">
        <v>15514</v>
      </c>
      <c r="E23" s="1289"/>
      <c r="F23" s="1289"/>
      <c r="G23" s="1289"/>
      <c r="H23" s="1289"/>
      <c r="I23" s="968">
        <v>18</v>
      </c>
      <c r="J23" s="969">
        <v>20000</v>
      </c>
      <c r="K23" s="1289"/>
      <c r="L23" s="1311" t="s">
        <v>15515</v>
      </c>
      <c r="M23" s="1289"/>
      <c r="N23" s="1289"/>
      <c r="O23" s="1289"/>
      <c r="P23" s="1289"/>
      <c r="Q23" s="1289"/>
    </row>
    <row r="24" spans="1:17" ht="16.5" customHeight="1">
      <c r="A24" s="983" t="s">
        <v>15516</v>
      </c>
      <c r="B24" s="1312" t="s">
        <v>15517</v>
      </c>
      <c r="C24" s="1289"/>
      <c r="D24" s="1313" t="s">
        <v>15518</v>
      </c>
      <c r="E24" s="1289"/>
      <c r="F24" s="1313" t="s">
        <v>15519</v>
      </c>
      <c r="G24" s="1289"/>
      <c r="H24" s="1289"/>
      <c r="I24" s="968">
        <v>19</v>
      </c>
      <c r="J24" s="969">
        <v>22000</v>
      </c>
      <c r="K24" s="1289"/>
      <c r="L24" s="1314" t="s">
        <v>15520</v>
      </c>
      <c r="M24" s="1289"/>
      <c r="N24" s="1289"/>
      <c r="O24" s="1289"/>
      <c r="P24" s="1289"/>
      <c r="Q24" s="1289"/>
    </row>
    <row r="25" spans="1:17" ht="16.5" customHeight="1">
      <c r="A25" s="964">
        <v>1</v>
      </c>
      <c r="B25" s="1315">
        <v>300</v>
      </c>
      <c r="C25" s="1289"/>
      <c r="D25" s="1316">
        <v>1</v>
      </c>
      <c r="E25" s="1289"/>
      <c r="F25" s="1317" t="s">
        <v>15521</v>
      </c>
      <c r="G25" s="1289"/>
      <c r="H25" s="1289"/>
      <c r="I25" s="968">
        <v>20</v>
      </c>
      <c r="J25" s="969">
        <v>25000</v>
      </c>
      <c r="K25" s="1289"/>
      <c r="L25" s="1289"/>
      <c r="M25" s="1289"/>
      <c r="N25" s="1289"/>
      <c r="O25" s="1289"/>
      <c r="P25" s="1289"/>
      <c r="Q25" s="1289"/>
    </row>
    <row r="26" spans="1:17" ht="16.5" customHeight="1">
      <c r="A26" s="964">
        <v>2</v>
      </c>
      <c r="B26" s="1315">
        <v>600</v>
      </c>
      <c r="C26" s="1289"/>
      <c r="D26" s="1316">
        <v>2</v>
      </c>
      <c r="E26" s="1289"/>
      <c r="F26" s="1317" t="s">
        <v>15522</v>
      </c>
      <c r="G26" s="1289"/>
      <c r="H26" s="1289"/>
      <c r="I26" s="968">
        <v>21</v>
      </c>
      <c r="J26" s="969">
        <v>33000</v>
      </c>
      <c r="K26" s="1289"/>
      <c r="L26" s="1289"/>
      <c r="M26" s="1289"/>
      <c r="N26" s="1289"/>
      <c r="O26" s="1289"/>
      <c r="P26" s="1289"/>
      <c r="Q26" s="1289"/>
    </row>
    <row r="27" spans="1:17" ht="16.5" customHeight="1">
      <c r="A27" s="964">
        <v>3</v>
      </c>
      <c r="B27" s="1318">
        <v>1200</v>
      </c>
      <c r="C27" s="1289"/>
      <c r="D27" s="1316">
        <v>3</v>
      </c>
      <c r="E27" s="1289"/>
      <c r="F27" s="1317" t="s">
        <v>15523</v>
      </c>
      <c r="G27" s="1289"/>
      <c r="H27" s="1289"/>
      <c r="I27" s="968">
        <v>22</v>
      </c>
      <c r="J27" s="969">
        <v>41000</v>
      </c>
      <c r="K27" s="1289"/>
      <c r="L27" s="1289"/>
      <c r="M27" s="1289"/>
      <c r="N27" s="1289"/>
      <c r="O27" s="1289"/>
      <c r="P27" s="1289"/>
      <c r="Q27" s="1289"/>
    </row>
    <row r="28" spans="1:17" ht="16.5" customHeight="1">
      <c r="A28" s="964">
        <v>4</v>
      </c>
      <c r="B28" s="1318">
        <v>1700</v>
      </c>
      <c r="C28" s="1289"/>
      <c r="D28" s="1316">
        <v>4</v>
      </c>
      <c r="E28" s="1289"/>
      <c r="F28" s="1317" t="s">
        <v>15523</v>
      </c>
      <c r="G28" s="1289"/>
      <c r="H28" s="1289"/>
      <c r="I28" s="968">
        <v>23</v>
      </c>
      <c r="J28" s="969">
        <v>50000</v>
      </c>
      <c r="K28" s="1289"/>
      <c r="L28" s="1314" t="s">
        <v>15524</v>
      </c>
      <c r="M28" s="1289"/>
      <c r="N28" s="1289"/>
      <c r="O28" s="1289"/>
      <c r="P28" s="1289"/>
      <c r="Q28" s="1289"/>
    </row>
    <row r="29" spans="1:17" ht="16.5" customHeight="1">
      <c r="A29" s="964">
        <v>5</v>
      </c>
      <c r="B29" s="1318">
        <v>3500</v>
      </c>
      <c r="C29" s="1289"/>
      <c r="D29" s="1316">
        <v>5</v>
      </c>
      <c r="E29" s="1289"/>
      <c r="F29" s="1317" t="s">
        <v>15523</v>
      </c>
      <c r="G29" s="1289"/>
      <c r="H29" s="1289"/>
      <c r="I29" s="968">
        <v>24</v>
      </c>
      <c r="J29" s="969">
        <v>62000</v>
      </c>
      <c r="K29" s="1289"/>
      <c r="L29" s="1289"/>
      <c r="M29" s="1289"/>
      <c r="N29" s="1289"/>
      <c r="O29" s="1289"/>
      <c r="P29" s="1289"/>
      <c r="Q29" s="1289"/>
    </row>
    <row r="30" spans="1:17" ht="16.5" customHeight="1">
      <c r="A30" s="964">
        <v>6</v>
      </c>
      <c r="B30" s="1318">
        <v>4000</v>
      </c>
      <c r="C30" s="1289"/>
      <c r="D30" s="1316">
        <v>6</v>
      </c>
      <c r="E30" s="1289"/>
      <c r="F30" s="1317" t="s">
        <v>15523</v>
      </c>
      <c r="G30" s="1289"/>
      <c r="H30" s="1289"/>
      <c r="I30" s="968">
        <v>25</v>
      </c>
      <c r="J30" s="969">
        <v>75000</v>
      </c>
      <c r="K30" s="1289"/>
      <c r="L30" s="1289"/>
      <c r="M30" s="1289"/>
      <c r="N30" s="1289"/>
      <c r="O30" s="1289"/>
      <c r="P30" s="1289"/>
      <c r="Q30" s="1289"/>
    </row>
    <row r="31" spans="1:17" ht="16.5" customHeight="1">
      <c r="A31" s="964">
        <v>7</v>
      </c>
      <c r="B31" s="1318">
        <v>5000</v>
      </c>
      <c r="C31" s="1289"/>
      <c r="D31" s="1316">
        <v>7</v>
      </c>
      <c r="E31" s="1289"/>
      <c r="F31" s="1317" t="s">
        <v>15525</v>
      </c>
      <c r="G31" s="1289"/>
      <c r="H31" s="1289"/>
      <c r="I31" s="968">
        <v>26</v>
      </c>
      <c r="J31" s="969">
        <v>90000</v>
      </c>
      <c r="K31" s="1289"/>
      <c r="L31" s="1289"/>
      <c r="M31" s="1289"/>
      <c r="N31" s="1289"/>
      <c r="O31" s="1289"/>
      <c r="P31" s="1289"/>
      <c r="Q31" s="1289"/>
    </row>
    <row r="32" spans="1:17" ht="16.5" customHeight="1">
      <c r="A32" s="964">
        <v>8</v>
      </c>
      <c r="B32" s="1318">
        <v>6000</v>
      </c>
      <c r="C32" s="1289"/>
      <c r="D32" s="1316">
        <v>8</v>
      </c>
      <c r="E32" s="1289"/>
      <c r="F32" s="1317" t="s">
        <v>15525</v>
      </c>
      <c r="G32" s="1289"/>
      <c r="H32" s="1289"/>
      <c r="I32" s="968">
        <v>27</v>
      </c>
      <c r="J32" s="969">
        <v>105000</v>
      </c>
      <c r="K32" s="1289"/>
      <c r="L32" s="1314" t="s">
        <v>15526</v>
      </c>
      <c r="M32" s="1289"/>
      <c r="N32" s="1289"/>
      <c r="O32" s="1289"/>
      <c r="P32" s="1289"/>
      <c r="Q32" s="1289"/>
    </row>
    <row r="33" spans="1:17" ht="16.5" customHeight="1">
      <c r="A33" s="964">
        <v>9</v>
      </c>
      <c r="B33" s="1318">
        <v>7500</v>
      </c>
      <c r="C33" s="1289"/>
      <c r="D33" s="1316">
        <v>9</v>
      </c>
      <c r="E33" s="1289"/>
      <c r="F33" s="1317" t="s">
        <v>15525</v>
      </c>
      <c r="G33" s="1289"/>
      <c r="H33" s="1289"/>
      <c r="I33" s="968">
        <v>28</v>
      </c>
      <c r="J33" s="969">
        <v>120000</v>
      </c>
      <c r="K33" s="1289"/>
      <c r="L33" s="1289"/>
      <c r="M33" s="1289"/>
      <c r="N33" s="1289"/>
      <c r="O33" s="1289"/>
      <c r="P33" s="1289"/>
      <c r="Q33" s="1289"/>
    </row>
    <row r="34" spans="1:17" ht="16.5" customHeight="1">
      <c r="A34" s="964">
        <v>10</v>
      </c>
      <c r="B34" s="1318">
        <v>9000</v>
      </c>
      <c r="C34" s="1289"/>
      <c r="D34" s="1316">
        <v>10</v>
      </c>
      <c r="E34" s="1289"/>
      <c r="F34" s="1317" t="s">
        <v>15525</v>
      </c>
      <c r="G34" s="1289"/>
      <c r="H34" s="1289"/>
      <c r="I34" s="968">
        <v>29</v>
      </c>
      <c r="J34" s="969">
        <v>135000</v>
      </c>
      <c r="K34" s="1289"/>
      <c r="L34" s="1289"/>
      <c r="M34" s="1289"/>
      <c r="N34" s="1289"/>
      <c r="O34" s="1289"/>
      <c r="P34" s="1289"/>
      <c r="Q34" s="1289"/>
    </row>
    <row r="35" spans="1:17" ht="16.5" customHeight="1">
      <c r="A35" s="964">
        <v>11</v>
      </c>
      <c r="B35" s="1318">
        <v>10500</v>
      </c>
      <c r="C35" s="1289"/>
      <c r="D35" s="1316">
        <v>11</v>
      </c>
      <c r="E35" s="1289"/>
      <c r="F35" s="1317" t="s">
        <v>15527</v>
      </c>
      <c r="G35" s="1289"/>
      <c r="H35" s="1289"/>
      <c r="I35" s="968">
        <v>30</v>
      </c>
      <c r="J35" s="969">
        <v>155000</v>
      </c>
      <c r="K35" s="1289"/>
      <c r="L35" s="1289"/>
      <c r="M35" s="1289"/>
      <c r="N35" s="1289"/>
      <c r="O35" s="1289"/>
      <c r="P35" s="1289"/>
      <c r="Q35" s="1289"/>
    </row>
    <row r="36" spans="1:17" ht="16.5" customHeight="1">
      <c r="A36" s="964">
        <v>12</v>
      </c>
      <c r="B36" s="1318">
        <v>11500</v>
      </c>
      <c r="C36" s="1289"/>
      <c r="D36" s="1316">
        <v>12</v>
      </c>
      <c r="E36" s="1289"/>
      <c r="F36" s="1317" t="s">
        <v>15527</v>
      </c>
      <c r="G36" s="1289"/>
      <c r="H36" s="1289"/>
      <c r="I36" s="968"/>
      <c r="J36" s="968"/>
      <c r="K36" s="1289"/>
      <c r="L36" s="1289"/>
      <c r="M36" s="1289"/>
      <c r="N36" s="1289"/>
      <c r="O36" s="1289"/>
      <c r="P36" s="1289"/>
      <c r="Q36" s="1289"/>
    </row>
    <row r="37" spans="1:17" ht="16.5" customHeight="1">
      <c r="A37" s="964">
        <v>13</v>
      </c>
      <c r="B37" s="1318">
        <v>13500</v>
      </c>
      <c r="C37" s="1289"/>
      <c r="D37" s="1316">
        <v>13</v>
      </c>
      <c r="E37" s="1289"/>
      <c r="F37" s="1317" t="s">
        <v>15527</v>
      </c>
      <c r="G37" s="1289"/>
      <c r="H37" s="1289"/>
      <c r="I37" s="968"/>
      <c r="J37" s="968"/>
      <c r="K37" s="1289"/>
      <c r="L37" s="1314" t="s">
        <v>15528</v>
      </c>
      <c r="M37" s="1289"/>
      <c r="N37" s="1289"/>
      <c r="O37" s="1289"/>
      <c r="P37" s="1289"/>
      <c r="Q37" s="1289"/>
    </row>
    <row r="38" spans="1:17" ht="16.5" customHeight="1">
      <c r="A38" s="964">
        <v>14</v>
      </c>
      <c r="B38" s="1318">
        <v>15000</v>
      </c>
      <c r="C38" s="1289"/>
      <c r="D38" s="1316">
        <v>14</v>
      </c>
      <c r="E38" s="1289"/>
      <c r="F38" s="1317" t="s">
        <v>15527</v>
      </c>
      <c r="G38" s="1289"/>
      <c r="H38" s="1289"/>
      <c r="I38" s="968"/>
      <c r="J38" s="968"/>
      <c r="K38" s="1289"/>
      <c r="L38" s="1289"/>
      <c r="M38" s="1289"/>
      <c r="N38" s="1289"/>
      <c r="O38" s="1289"/>
      <c r="P38" s="1289"/>
      <c r="Q38" s="1289"/>
    </row>
    <row r="39" spans="1:17" ht="16.5" customHeight="1">
      <c r="A39" s="964">
        <v>15</v>
      </c>
      <c r="B39" s="1318">
        <v>18000</v>
      </c>
      <c r="C39" s="1289"/>
      <c r="D39" s="1316">
        <v>15</v>
      </c>
      <c r="E39" s="1289"/>
      <c r="F39" s="1317" t="s">
        <v>15529</v>
      </c>
      <c r="G39" s="1289"/>
      <c r="H39" s="1289"/>
      <c r="I39" s="968"/>
      <c r="J39" s="968"/>
      <c r="K39" s="1289"/>
      <c r="L39" s="1289"/>
      <c r="M39" s="1289"/>
      <c r="N39" s="1289"/>
      <c r="O39" s="1289"/>
      <c r="P39" s="1289"/>
      <c r="Q39" s="1289"/>
    </row>
    <row r="40" spans="1:17" ht="16.5" customHeight="1">
      <c r="A40" s="964">
        <v>16</v>
      </c>
      <c r="B40" s="1318">
        <v>20000</v>
      </c>
      <c r="C40" s="1289"/>
      <c r="D40" s="984"/>
      <c r="E40" s="984"/>
      <c r="F40" s="985"/>
      <c r="G40" s="985"/>
      <c r="H40" s="1289"/>
      <c r="I40" s="968"/>
      <c r="J40" s="968"/>
      <c r="K40" s="1289"/>
      <c r="L40" s="1289"/>
      <c r="M40" s="1289"/>
      <c r="N40" s="1289"/>
      <c r="O40" s="1289"/>
      <c r="P40" s="1289"/>
      <c r="Q40" s="1289"/>
    </row>
    <row r="41" spans="1:17" ht="16.5" customHeight="1">
      <c r="A41" s="964">
        <v>17</v>
      </c>
      <c r="B41" s="1318">
        <v>25000</v>
      </c>
      <c r="C41" s="1289"/>
      <c r="D41" s="984"/>
      <c r="E41" s="984"/>
      <c r="F41" s="985"/>
      <c r="G41" s="985"/>
      <c r="H41" s="1289"/>
      <c r="I41" s="968"/>
      <c r="J41" s="968"/>
      <c r="K41" s="1289"/>
      <c r="L41" s="1289"/>
      <c r="M41" s="1289"/>
      <c r="N41" s="1289"/>
      <c r="O41" s="1289"/>
      <c r="P41" s="1289"/>
      <c r="Q41" s="1289"/>
    </row>
    <row r="42" spans="1:17" ht="16.5" customHeight="1">
      <c r="A42" s="964">
        <v>18</v>
      </c>
      <c r="B42" s="1318">
        <v>27000</v>
      </c>
      <c r="C42" s="1289"/>
      <c r="D42" s="984"/>
      <c r="E42" s="984"/>
      <c r="F42" s="985"/>
      <c r="G42" s="985"/>
      <c r="H42" s="1289"/>
      <c r="I42" s="968"/>
      <c r="J42" s="968"/>
      <c r="K42" s="1289"/>
      <c r="L42" s="1289"/>
      <c r="M42" s="1289"/>
      <c r="N42" s="1289"/>
      <c r="O42" s="1289"/>
      <c r="P42" s="1289"/>
      <c r="Q42" s="1289"/>
    </row>
    <row r="43" spans="1:17" ht="16.5" customHeight="1">
      <c r="A43" s="964">
        <v>19</v>
      </c>
      <c r="B43" s="1318">
        <v>30000</v>
      </c>
      <c r="C43" s="1289"/>
      <c r="D43" s="984"/>
      <c r="E43" s="984"/>
      <c r="F43" s="985"/>
      <c r="G43" s="985"/>
      <c r="H43" s="1289"/>
      <c r="I43" s="968"/>
      <c r="J43" s="968"/>
      <c r="K43" s="1289"/>
      <c r="L43" s="986"/>
      <c r="M43" s="986"/>
      <c r="N43" s="986"/>
      <c r="O43" s="986"/>
      <c r="P43" s="986"/>
      <c r="Q43" s="986"/>
    </row>
    <row r="44" spans="1:17" ht="16.5" customHeight="1">
      <c r="A44" s="964">
        <v>20</v>
      </c>
      <c r="B44" s="1318">
        <v>40000</v>
      </c>
      <c r="C44" s="1289"/>
      <c r="D44" s="984"/>
      <c r="E44" s="984"/>
      <c r="F44" s="985"/>
      <c r="G44" s="985"/>
      <c r="H44" s="1289"/>
      <c r="I44" s="968"/>
      <c r="J44" s="968"/>
      <c r="K44" s="1289"/>
      <c r="L44" s="986"/>
      <c r="M44" s="986"/>
      <c r="N44" s="986"/>
      <c r="O44" s="986"/>
      <c r="P44" s="986"/>
      <c r="Q44" s="986"/>
    </row>
  </sheetData>
  <mergeCells count="63">
    <mergeCell ref="B43:C43"/>
    <mergeCell ref="B44:C44"/>
    <mergeCell ref="B37:C37"/>
    <mergeCell ref="D37:E37"/>
    <mergeCell ref="F37:G37"/>
    <mergeCell ref="L37:Q42"/>
    <mergeCell ref="B38:C38"/>
    <mergeCell ref="D38:E38"/>
    <mergeCell ref="F38:G38"/>
    <mergeCell ref="B39:C39"/>
    <mergeCell ref="D39:E39"/>
    <mergeCell ref="F39:G39"/>
    <mergeCell ref="B40:C40"/>
    <mergeCell ref="B41:C41"/>
    <mergeCell ref="B42:C42"/>
    <mergeCell ref="B32:C32"/>
    <mergeCell ref="D32:E32"/>
    <mergeCell ref="F32:G32"/>
    <mergeCell ref="L32:Q36"/>
    <mergeCell ref="B33:C33"/>
    <mergeCell ref="D33:E33"/>
    <mergeCell ref="F33:G33"/>
    <mergeCell ref="B34:C34"/>
    <mergeCell ref="D34:E34"/>
    <mergeCell ref="F34:G34"/>
    <mergeCell ref="B35:C35"/>
    <mergeCell ref="D35:E35"/>
    <mergeCell ref="F35:G35"/>
    <mergeCell ref="B36:C36"/>
    <mergeCell ref="D36:E36"/>
    <mergeCell ref="F36:G36"/>
    <mergeCell ref="F28:G28"/>
    <mergeCell ref="L28:Q31"/>
    <mergeCell ref="B29:C29"/>
    <mergeCell ref="D29:E29"/>
    <mergeCell ref="F29:G29"/>
    <mergeCell ref="B30:C30"/>
    <mergeCell ref="D30:E30"/>
    <mergeCell ref="F30:G30"/>
    <mergeCell ref="B31:C31"/>
    <mergeCell ref="D31:E31"/>
    <mergeCell ref="F31:G31"/>
    <mergeCell ref="D1:G1"/>
    <mergeCell ref="H2:H44"/>
    <mergeCell ref="K2:K44"/>
    <mergeCell ref="A23:C23"/>
    <mergeCell ref="D23:G23"/>
    <mergeCell ref="B25:C25"/>
    <mergeCell ref="D25:E25"/>
    <mergeCell ref="F25:G25"/>
    <mergeCell ref="B26:C26"/>
    <mergeCell ref="D26:E26"/>
    <mergeCell ref="F26:G26"/>
    <mergeCell ref="B27:C27"/>
    <mergeCell ref="D27:E27"/>
    <mergeCell ref="F27:G27"/>
    <mergeCell ref="B28:C28"/>
    <mergeCell ref="D28:E28"/>
    <mergeCell ref="L23:Q23"/>
    <mergeCell ref="B24:C24"/>
    <mergeCell ref="D24:E24"/>
    <mergeCell ref="F24:G24"/>
    <mergeCell ref="L24:Q27"/>
  </mergeCells>
  <hyperlinks>
    <hyperlink ref="L23" r:id="rId1" xr:uid="{D4052159-28BC-46D4-B8CF-F70D3D11DC4C}"/>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1D4CC-474E-4933-8FFD-B73780DD932F}">
  <sheetPr>
    <tabColor rgb="FFFFC000"/>
    <outlinePr summaryBelow="0" summaryRight="0"/>
  </sheetPr>
  <dimension ref="A21:A23"/>
  <sheetViews>
    <sheetView workbookViewId="0">
      <selection activeCell="A11" sqref="A11:J26"/>
    </sheetView>
  </sheetViews>
  <sheetFormatPr defaultColWidth="11.21875" defaultRowHeight="15.75" customHeight="1"/>
  <cols>
    <col min="1" max="16384" width="11.21875" style="823"/>
  </cols>
  <sheetData>
    <row r="21" ht="12.75"/>
    <row r="22" ht="12.75"/>
    <row r="23" ht="12.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259AC-BAEB-4804-81A3-59B762EF002A}">
  <sheetPr>
    <tabColor rgb="FFFFC000"/>
    <outlinePr summaryBelow="0" summaryRight="0"/>
  </sheetPr>
  <dimension ref="A1:I26"/>
  <sheetViews>
    <sheetView topLeftCell="A6" workbookViewId="0">
      <selection sqref="A1:B2"/>
    </sheetView>
  </sheetViews>
  <sheetFormatPr defaultColWidth="11.21875" defaultRowHeight="15.75" customHeight="1"/>
  <cols>
    <col min="1" max="1" width="22.33203125" style="823" customWidth="1"/>
    <col min="2" max="4" width="13.44140625" style="823" customWidth="1"/>
    <col min="5" max="5" width="1.21875" style="823" customWidth="1"/>
    <col min="6" max="9" width="10.109375" style="823" customWidth="1"/>
    <col min="10" max="16384" width="11.21875" style="823"/>
  </cols>
  <sheetData>
    <row r="1" spans="1:9" ht="16.5" customHeight="1">
      <c r="A1" s="944" t="s">
        <v>15386</v>
      </c>
      <c r="B1" s="945" t="s">
        <v>15387</v>
      </c>
      <c r="C1" s="945" t="s">
        <v>15388</v>
      </c>
      <c r="D1" s="945" t="s">
        <v>15389</v>
      </c>
      <c r="E1" s="1319"/>
      <c r="F1" s="1320" t="s">
        <v>15390</v>
      </c>
      <c r="G1" s="1289"/>
      <c r="H1" s="1289"/>
      <c r="I1" s="1289"/>
    </row>
    <row r="2" spans="1:9" ht="16.5" customHeight="1">
      <c r="A2" s="946" t="s">
        <v>5851</v>
      </c>
      <c r="B2" s="947">
        <v>50</v>
      </c>
      <c r="C2" s="947">
        <v>75</v>
      </c>
      <c r="D2" s="947">
        <v>100</v>
      </c>
      <c r="E2" s="1289"/>
      <c r="F2" s="1321" t="s">
        <v>15391</v>
      </c>
      <c r="G2" s="1289"/>
      <c r="H2" s="948" t="s">
        <v>15392</v>
      </c>
      <c r="I2" s="948" t="s">
        <v>15393</v>
      </c>
    </row>
    <row r="3" spans="1:9" ht="16.5" customHeight="1">
      <c r="A3" s="946" t="s">
        <v>6733</v>
      </c>
      <c r="B3" s="947">
        <v>200</v>
      </c>
      <c r="C3" s="947">
        <v>350</v>
      </c>
      <c r="D3" s="947">
        <v>600</v>
      </c>
      <c r="E3" s="1289"/>
      <c r="F3" s="1321" t="s">
        <v>15394</v>
      </c>
      <c r="G3" s="1289"/>
      <c r="H3" s="1289"/>
      <c r="I3" s="1289"/>
    </row>
    <row r="4" spans="1:9" ht="16.5" customHeight="1">
      <c r="A4" s="946" t="s">
        <v>6979</v>
      </c>
      <c r="B4" s="949">
        <v>2000</v>
      </c>
      <c r="C4" s="949">
        <v>5000</v>
      </c>
      <c r="D4" s="949">
        <v>20000</v>
      </c>
      <c r="E4" s="1289"/>
      <c r="F4" s="1321" t="s">
        <v>15395</v>
      </c>
      <c r="G4" s="1289"/>
      <c r="H4" s="1289"/>
      <c r="I4" s="1289"/>
    </row>
    <row r="5" spans="1:9" ht="16.5" customHeight="1">
      <c r="A5" s="946" t="s">
        <v>7184</v>
      </c>
      <c r="B5" s="949">
        <v>20000</v>
      </c>
      <c r="C5" s="949">
        <v>35000</v>
      </c>
      <c r="D5" s="949">
        <v>50000</v>
      </c>
      <c r="E5" s="1289"/>
      <c r="F5" s="1321" t="s">
        <v>15396</v>
      </c>
      <c r="G5" s="1289"/>
      <c r="H5" s="1289"/>
      <c r="I5" s="1289"/>
    </row>
    <row r="6" spans="1:9" ht="16.5" customHeight="1">
      <c r="A6" s="946" t="s">
        <v>2070</v>
      </c>
      <c r="B6" s="949">
        <v>100000</v>
      </c>
      <c r="C6" s="949">
        <v>300000</v>
      </c>
      <c r="D6" s="947" t="s">
        <v>15397</v>
      </c>
      <c r="E6" s="1289"/>
      <c r="F6" s="1322" t="s">
        <v>15398</v>
      </c>
      <c r="G6" s="1289"/>
      <c r="H6" s="1289"/>
      <c r="I6" s="1289"/>
    </row>
    <row r="7" spans="1:9" ht="16.5" customHeight="1">
      <c r="A7" s="950" t="s">
        <v>15399</v>
      </c>
      <c r="B7" s="950"/>
      <c r="C7" s="950"/>
      <c r="D7" s="950"/>
      <c r="E7" s="1289"/>
      <c r="F7" s="1322" t="s">
        <v>5783</v>
      </c>
      <c r="G7" s="1289"/>
      <c r="H7" s="1289"/>
      <c r="I7" s="1289"/>
    </row>
    <row r="8" spans="1:9" ht="16.5" customHeight="1">
      <c r="A8" s="951"/>
      <c r="B8" s="951"/>
      <c r="C8" s="951"/>
      <c r="D8" s="951"/>
      <c r="E8" s="1289"/>
      <c r="F8" s="1322" t="s">
        <v>15400</v>
      </c>
      <c r="G8" s="1289"/>
      <c r="H8" s="1289"/>
      <c r="I8" s="1289"/>
    </row>
    <row r="9" spans="1:9" ht="16.5" customHeight="1">
      <c r="A9" s="945" t="s">
        <v>15401</v>
      </c>
      <c r="B9" s="945" t="s">
        <v>15387</v>
      </c>
      <c r="C9" s="945" t="s">
        <v>15388</v>
      </c>
      <c r="D9" s="945" t="s">
        <v>15389</v>
      </c>
      <c r="E9" s="1289"/>
      <c r="F9" s="1322" t="s">
        <v>5785</v>
      </c>
      <c r="G9" s="1289"/>
      <c r="H9" s="1289"/>
      <c r="I9" s="1289"/>
    </row>
    <row r="10" spans="1:9" ht="16.5" customHeight="1">
      <c r="A10" s="952" t="s">
        <v>9544</v>
      </c>
      <c r="B10" s="953">
        <v>25</v>
      </c>
      <c r="C10" s="953">
        <v>50</v>
      </c>
      <c r="D10" s="953">
        <v>100</v>
      </c>
      <c r="E10" s="1289"/>
      <c r="F10" s="1322" t="s">
        <v>15402</v>
      </c>
      <c r="G10" s="1289"/>
      <c r="H10" s="1289"/>
      <c r="I10" s="1289"/>
    </row>
    <row r="11" spans="1:9" ht="16.5" customHeight="1">
      <c r="A11" s="952" t="s">
        <v>15403</v>
      </c>
      <c r="B11" s="953">
        <v>100</v>
      </c>
      <c r="C11" s="953">
        <v>200</v>
      </c>
      <c r="D11" s="953">
        <v>500</v>
      </c>
      <c r="E11" s="1289"/>
      <c r="F11" s="1322" t="s">
        <v>15404</v>
      </c>
      <c r="G11" s="1289"/>
      <c r="H11" s="1289"/>
      <c r="I11" s="1289"/>
    </row>
    <row r="12" spans="1:9" ht="16.5" customHeight="1">
      <c r="A12" s="952" t="s">
        <v>15405</v>
      </c>
      <c r="B12" s="954">
        <v>1000</v>
      </c>
      <c r="C12" s="954">
        <v>2000</v>
      </c>
      <c r="D12" s="954">
        <v>5000</v>
      </c>
      <c r="E12" s="1289"/>
      <c r="F12" s="1322" t="s">
        <v>15406</v>
      </c>
      <c r="G12" s="1289"/>
      <c r="H12" s="1289"/>
      <c r="I12" s="1289"/>
    </row>
    <row r="13" spans="1:9" ht="16.5" customHeight="1">
      <c r="A13" s="952" t="s">
        <v>15407</v>
      </c>
      <c r="B13" s="954">
        <v>10000</v>
      </c>
      <c r="C13" s="954">
        <v>20000</v>
      </c>
      <c r="D13" s="954">
        <v>50000</v>
      </c>
      <c r="E13" s="1289"/>
      <c r="F13" s="1322" t="s">
        <v>15408</v>
      </c>
      <c r="G13" s="1289"/>
      <c r="H13" s="1289"/>
      <c r="I13" s="1289"/>
    </row>
    <row r="14" spans="1:9" ht="16.5" customHeight="1">
      <c r="A14" s="951"/>
      <c r="B14" s="951"/>
      <c r="C14" s="951"/>
      <c r="D14" s="951"/>
      <c r="E14" s="1289"/>
      <c r="F14" s="1320" t="s">
        <v>15409</v>
      </c>
      <c r="G14" s="1289"/>
      <c r="H14" s="1289"/>
      <c r="I14" s="1289"/>
    </row>
    <row r="15" spans="1:9" ht="16.5" customHeight="1">
      <c r="A15" s="945" t="s">
        <v>15410</v>
      </c>
      <c r="B15" s="945" t="s">
        <v>15387</v>
      </c>
      <c r="C15" s="945" t="s">
        <v>15388</v>
      </c>
      <c r="D15" s="945" t="s">
        <v>15389</v>
      </c>
      <c r="E15" s="1289"/>
      <c r="F15" s="955" t="s">
        <v>15411</v>
      </c>
      <c r="G15" s="955" t="s">
        <v>15412</v>
      </c>
      <c r="H15" s="955" t="s">
        <v>15413</v>
      </c>
      <c r="I15" s="955" t="s">
        <v>5649</v>
      </c>
    </row>
    <row r="16" spans="1:9" ht="16.5" customHeight="1">
      <c r="A16" s="956" t="s">
        <v>3894</v>
      </c>
      <c r="B16" s="957">
        <v>20</v>
      </c>
      <c r="C16" s="957">
        <v>30</v>
      </c>
      <c r="D16" s="957">
        <v>70</v>
      </c>
      <c r="E16" s="1289"/>
      <c r="F16" s="958" t="s">
        <v>7344</v>
      </c>
      <c r="G16" s="959">
        <v>2</v>
      </c>
      <c r="H16" s="959" t="s">
        <v>2315</v>
      </c>
      <c r="I16" s="959" t="s">
        <v>15414</v>
      </c>
    </row>
    <row r="17" spans="1:9" ht="16.5" customHeight="1">
      <c r="A17" s="956" t="s">
        <v>9409</v>
      </c>
      <c r="B17" s="957">
        <v>25</v>
      </c>
      <c r="C17" s="957">
        <v>50</v>
      </c>
      <c r="D17" s="957">
        <v>100</v>
      </c>
      <c r="E17" s="1289"/>
      <c r="F17" s="958" t="s">
        <v>7332</v>
      </c>
      <c r="G17" s="959">
        <v>20</v>
      </c>
      <c r="H17" s="959" t="s">
        <v>2315</v>
      </c>
      <c r="I17" s="959" t="s">
        <v>15415</v>
      </c>
    </row>
    <row r="18" spans="1:9" ht="16.5" customHeight="1">
      <c r="A18" s="956" t="s">
        <v>9410</v>
      </c>
      <c r="B18" s="957">
        <v>250</v>
      </c>
      <c r="C18" s="957">
        <v>300</v>
      </c>
      <c r="D18" s="957">
        <v>500</v>
      </c>
      <c r="E18" s="1289"/>
      <c r="F18" s="958" t="s">
        <v>7333</v>
      </c>
      <c r="G18" s="959">
        <v>100</v>
      </c>
      <c r="H18" s="959" t="s">
        <v>2315</v>
      </c>
      <c r="I18" s="959" t="s">
        <v>15416</v>
      </c>
    </row>
    <row r="19" spans="1:9" ht="16.5" customHeight="1">
      <c r="A19" s="956" t="s">
        <v>9411</v>
      </c>
      <c r="B19" s="957">
        <v>500</v>
      </c>
      <c r="C19" s="957">
        <v>550</v>
      </c>
      <c r="D19" s="957">
        <v>600</v>
      </c>
      <c r="E19" s="1289"/>
      <c r="F19" s="958" t="s">
        <v>7341</v>
      </c>
      <c r="G19" s="959">
        <v>450</v>
      </c>
      <c r="H19" s="959" t="s">
        <v>15417</v>
      </c>
      <c r="I19" s="959" t="s">
        <v>15418</v>
      </c>
    </row>
    <row r="20" spans="1:9" ht="16.5" customHeight="1">
      <c r="A20" s="956" t="s">
        <v>9412</v>
      </c>
      <c r="B20" s="960">
        <v>2500</v>
      </c>
      <c r="C20" s="960">
        <v>5000</v>
      </c>
      <c r="D20" s="960">
        <v>10000</v>
      </c>
      <c r="E20" s="1289"/>
      <c r="F20" s="958" t="s">
        <v>9812</v>
      </c>
      <c r="G20" s="959">
        <v>1500</v>
      </c>
      <c r="H20" s="959" t="s">
        <v>15419</v>
      </c>
      <c r="I20" s="959" t="s">
        <v>15420</v>
      </c>
    </row>
    <row r="21" spans="1:9" ht="16.5" customHeight="1">
      <c r="A21" s="956" t="s">
        <v>9413</v>
      </c>
      <c r="B21" s="960">
        <v>5000</v>
      </c>
      <c r="C21" s="960">
        <v>7500</v>
      </c>
      <c r="D21" s="960">
        <v>15000</v>
      </c>
      <c r="E21" s="1289"/>
      <c r="F21" s="958" t="s">
        <v>15421</v>
      </c>
      <c r="G21" s="961">
        <v>4000</v>
      </c>
      <c r="H21" s="959" t="s">
        <v>1357</v>
      </c>
      <c r="I21" s="959" t="s">
        <v>15422</v>
      </c>
    </row>
    <row r="22" spans="1:9" ht="16.5" customHeight="1">
      <c r="A22" s="956" t="s">
        <v>9414</v>
      </c>
      <c r="B22" s="960">
        <v>15000</v>
      </c>
      <c r="C22" s="960">
        <v>25000</v>
      </c>
      <c r="D22" s="960">
        <v>40000</v>
      </c>
      <c r="E22" s="1289"/>
      <c r="F22" s="958" t="s">
        <v>11705</v>
      </c>
      <c r="G22" s="961">
        <v>20000</v>
      </c>
      <c r="H22" s="959" t="s">
        <v>13626</v>
      </c>
      <c r="I22" s="959" t="s">
        <v>15423</v>
      </c>
    </row>
    <row r="23" spans="1:9" ht="16.5" customHeight="1">
      <c r="A23" s="956" t="s">
        <v>9415</v>
      </c>
      <c r="B23" s="960">
        <v>25000</v>
      </c>
      <c r="C23" s="960">
        <v>35000</v>
      </c>
      <c r="D23" s="960">
        <v>50000</v>
      </c>
      <c r="E23" s="1289"/>
      <c r="F23" s="958" t="s">
        <v>11697</v>
      </c>
      <c r="G23" s="961">
        <v>40000</v>
      </c>
      <c r="H23" s="959" t="s">
        <v>726</v>
      </c>
      <c r="I23" s="959" t="s">
        <v>15424</v>
      </c>
    </row>
    <row r="24" spans="1:9" ht="16.5" customHeight="1">
      <c r="A24" s="956" t="s">
        <v>9416</v>
      </c>
      <c r="B24" s="960">
        <v>50000</v>
      </c>
      <c r="C24" s="960">
        <v>75000</v>
      </c>
      <c r="D24" s="960">
        <v>100000</v>
      </c>
      <c r="E24" s="1289"/>
      <c r="F24" s="958" t="s">
        <v>11693</v>
      </c>
      <c r="G24" s="961">
        <v>200000</v>
      </c>
      <c r="H24" s="959" t="s">
        <v>15425</v>
      </c>
      <c r="I24" s="959" t="s">
        <v>15426</v>
      </c>
    </row>
    <row r="25" spans="1:9" ht="16.5" customHeight="1">
      <c r="A25" s="956" t="s">
        <v>9417</v>
      </c>
      <c r="B25" s="960">
        <v>250000</v>
      </c>
      <c r="C25" s="960">
        <v>300000</v>
      </c>
      <c r="D25" s="957" t="s">
        <v>15397</v>
      </c>
      <c r="E25" s="1289"/>
      <c r="F25" s="958" t="s">
        <v>15427</v>
      </c>
      <c r="G25" s="961">
        <v>1200000</v>
      </c>
      <c r="H25" s="959" t="s">
        <v>15428</v>
      </c>
      <c r="I25" s="959" t="s">
        <v>15429</v>
      </c>
    </row>
    <row r="26" spans="1:9" ht="16.5" customHeight="1">
      <c r="A26" s="956"/>
      <c r="B26" s="957"/>
      <c r="C26" s="957"/>
      <c r="D26" s="957"/>
      <c r="E26" s="1289"/>
      <c r="F26" s="958" t="s">
        <v>15430</v>
      </c>
      <c r="G26" s="961">
        <v>30000000</v>
      </c>
      <c r="H26" s="959" t="s">
        <v>15431</v>
      </c>
      <c r="I26" s="959" t="s">
        <v>15432</v>
      </c>
    </row>
  </sheetData>
  <mergeCells count="15">
    <mergeCell ref="E1:E26"/>
    <mergeCell ref="F1:I1"/>
    <mergeCell ref="F2:G2"/>
    <mergeCell ref="F3:I3"/>
    <mergeCell ref="F4:I4"/>
    <mergeCell ref="F5:I5"/>
    <mergeCell ref="F6:I6"/>
    <mergeCell ref="F7:I7"/>
    <mergeCell ref="F8:I8"/>
    <mergeCell ref="F9:I9"/>
    <mergeCell ref="F10:I10"/>
    <mergeCell ref="F11:I11"/>
    <mergeCell ref="F12:I12"/>
    <mergeCell ref="F13:I13"/>
    <mergeCell ref="F14:I14"/>
  </mergeCells>
  <hyperlinks>
    <hyperlink ref="A1" r:id="rId1" xr:uid="{1CF8098F-03EC-4B25-AC1F-2719EF4FF00B}"/>
    <hyperlink ref="F2" r:id="rId2" xr:uid="{121E0C6B-FB19-4B14-A3DE-037426758B09}"/>
    <hyperlink ref="H2" r:id="rId3" xr:uid="{2206C3E7-58D2-45F0-8CED-857E42255041}"/>
    <hyperlink ref="I2" r:id="rId4" xr:uid="{2CA3F6BC-8385-4C05-B7BF-2A23C660C454}"/>
    <hyperlink ref="F3" r:id="rId5" xr:uid="{0D87B04E-F5C0-428C-8099-50A57EC66AC5}"/>
    <hyperlink ref="F4" r:id="rId6" xr:uid="{005EC5EA-0EB6-4F51-93FE-01B26E3E0F55}"/>
    <hyperlink ref="F5" r:id="rId7" xr:uid="{61A961CD-3B54-49B4-9940-ED8CA0132398}"/>
    <hyperlink ref="F6" r:id="rId8" location="ArmorandShields" xr:uid="{11A6846B-04C0-4DDF-8C15-81F3B7F2BC55}"/>
    <hyperlink ref="F7" r:id="rId9" location="Weapons" xr:uid="{296B853A-9B50-451B-8CD5-FB4F96A08BD4}"/>
    <hyperlink ref="F8" r:id="rId10" location="AdventuringGear" xr:uid="{9F9F0284-56A3-4591-B859-9B9467BD174B}"/>
    <hyperlink ref="F9" r:id="rId11" location="Tools" xr:uid="{656666E1-083A-4513-98CD-9E6D42698918}"/>
    <hyperlink ref="F10" r:id="rId12" location="MountsandVehicles" xr:uid="{AF777049-7CCC-4C99-B743-DAA8FFC6EA4F}"/>
    <hyperlink ref="F11" r:id="rId13" location="TradeGoods" xr:uid="{4CFE31A8-6D77-401A-9C4B-AAD61013D724}"/>
    <hyperlink ref="F12" r:id="rId14" location="Expenses" xr:uid="{861A7DF8-EE4C-4D43-B555-C8550703072A}"/>
    <hyperlink ref="F13" r:id="rId15" location="Trinkets" xr:uid="{982CDB5A-BDFA-446F-8694-4E4E375BD98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2159D-980D-40BF-80CF-E4AA1EC3E8A1}">
  <sheetPr codeName="Feuil20">
    <tabColor rgb="FFFFC000"/>
  </sheetPr>
  <dimension ref="A1:GP10148"/>
  <sheetViews>
    <sheetView topLeftCell="CY1" zoomScaleNormal="100" workbookViewId="0">
      <selection activeCell="DD289" sqref="DD289:FG1048576"/>
    </sheetView>
  </sheetViews>
  <sheetFormatPr defaultColWidth="8.88671875" defaultRowHeight="14.25"/>
  <cols>
    <col min="1" max="1" width="11" style="801" customWidth="1"/>
    <col min="2" max="2" width="15.33203125" style="801" customWidth="1"/>
    <col min="3" max="3" width="18.6640625" style="801" customWidth="1"/>
    <col min="4" max="4" width="16.77734375" style="801" customWidth="1"/>
    <col min="5" max="5" width="17.88671875" style="801" customWidth="1"/>
    <col min="6" max="6" width="19.88671875" style="801" customWidth="1"/>
    <col min="7" max="7" width="15.33203125" style="801" customWidth="1"/>
    <col min="8" max="8" width="18.21875" style="801" customWidth="1"/>
    <col min="9" max="9" width="8.88671875" style="801"/>
    <col min="10" max="10" width="12.77734375" style="801" customWidth="1"/>
    <col min="11" max="11" width="10.88671875" style="801" customWidth="1"/>
    <col min="12" max="21" width="8.88671875" style="801"/>
    <col min="22" max="22" width="10" style="801" customWidth="1"/>
    <col min="23" max="23" width="13.88671875" style="801" customWidth="1"/>
    <col min="24" max="24" width="17.109375" style="801" customWidth="1"/>
    <col min="25" max="25" width="18.44140625" style="801" customWidth="1"/>
    <col min="26" max="26" width="17.21875" style="801" customWidth="1"/>
    <col min="27" max="27" width="16.109375" style="801" customWidth="1"/>
    <col min="28" max="28" width="14.77734375" style="801" customWidth="1"/>
    <col min="29" max="29" width="15.33203125" style="801" customWidth="1"/>
    <col min="30" max="30" width="16.109375" style="801" customWidth="1"/>
    <col min="31" max="31" width="8.88671875" style="801"/>
    <col min="32" max="32" width="9.109375" style="801" customWidth="1"/>
    <col min="33" max="33" width="13.44140625" style="801" customWidth="1"/>
    <col min="34" max="34" width="16.77734375" style="801" customWidth="1"/>
    <col min="35" max="35" width="15.21875" style="801" customWidth="1"/>
    <col min="36" max="36" width="15.109375" style="801" customWidth="1"/>
    <col min="37" max="54" width="8.88671875" style="801"/>
    <col min="55" max="55" width="15.33203125" style="801" customWidth="1"/>
    <col min="56" max="56" width="14.109375" style="801" customWidth="1"/>
    <col min="57" max="57" width="12.21875" style="801" customWidth="1"/>
    <col min="58" max="89" width="8.88671875" style="801"/>
    <col min="90" max="90" width="14.21875" style="801" customWidth="1"/>
    <col min="91" max="91" width="13.77734375" style="801" customWidth="1"/>
    <col min="92" max="92" width="12.21875" style="801" customWidth="1"/>
    <col min="93" max="93" width="11.88671875" style="801" customWidth="1"/>
    <col min="94" max="94" width="12.33203125" style="801" customWidth="1"/>
    <col min="95" max="95" width="11.5546875" style="801" customWidth="1"/>
    <col min="96" max="96" width="12.109375" style="801" customWidth="1"/>
    <col min="97" max="97" width="15.5546875" style="801" customWidth="1"/>
    <col min="98" max="98" width="8.88671875" style="801"/>
    <col min="99" max="99" width="14" style="801" customWidth="1"/>
    <col min="100" max="100" width="13.77734375" style="801" customWidth="1"/>
    <col min="101" max="101" width="12.44140625" style="801" customWidth="1"/>
    <col min="102" max="102" width="12.21875" style="801" customWidth="1"/>
    <col min="103" max="103" width="14.6640625" style="801" customWidth="1"/>
    <col min="104" max="104" width="14.44140625" style="801" customWidth="1"/>
    <col min="105" max="107" width="8.88671875" style="801"/>
    <col min="164" max="16384" width="8.88671875" style="801"/>
  </cols>
  <sheetData>
    <row r="1" spans="1:197" s="805" customFormat="1">
      <c r="A1" s="1056" t="s">
        <v>13884</v>
      </c>
      <c r="B1" s="1052" t="s">
        <v>13883</v>
      </c>
      <c r="C1" s="1052" t="s">
        <v>13882</v>
      </c>
      <c r="D1" s="1052" t="s">
        <v>13881</v>
      </c>
      <c r="E1" s="1052" t="s">
        <v>13880</v>
      </c>
      <c r="F1" s="1052" t="s">
        <v>13879</v>
      </c>
      <c r="G1" s="1052" t="s">
        <v>13878</v>
      </c>
      <c r="H1" s="1059" t="s">
        <v>13877</v>
      </c>
      <c r="I1" s="807" t="s">
        <v>13876</v>
      </c>
      <c r="J1" s="807" t="s">
        <v>13875</v>
      </c>
      <c r="K1" s="807" t="s">
        <v>13874</v>
      </c>
      <c r="L1" s="807" t="s">
        <v>13873</v>
      </c>
      <c r="M1" s="807" t="s">
        <v>13872</v>
      </c>
      <c r="N1" s="807" t="s">
        <v>13871</v>
      </c>
      <c r="O1" s="807" t="s">
        <v>13870</v>
      </c>
      <c r="P1" s="807" t="s">
        <v>13869</v>
      </c>
      <c r="Q1" s="807" t="s">
        <v>13868</v>
      </c>
      <c r="R1" s="807" t="s">
        <v>13867</v>
      </c>
      <c r="S1" s="807" t="s">
        <v>13866</v>
      </c>
      <c r="T1" s="807" t="s">
        <v>13865</v>
      </c>
      <c r="V1" s="1056" t="s">
        <v>13864</v>
      </c>
      <c r="W1" s="1052" t="s">
        <v>13863</v>
      </c>
      <c r="X1" s="1057" t="s">
        <v>13862</v>
      </c>
      <c r="Y1" s="1052" t="s">
        <v>13861</v>
      </c>
      <c r="Z1" s="1052" t="s">
        <v>13860</v>
      </c>
      <c r="AA1" s="1052" t="s">
        <v>13859</v>
      </c>
      <c r="AB1" s="1052" t="s">
        <v>13858</v>
      </c>
      <c r="AC1" s="1052" t="s">
        <v>13857</v>
      </c>
      <c r="AD1" s="1052" t="s">
        <v>13856</v>
      </c>
      <c r="AF1" s="1056" t="s">
        <v>13855</v>
      </c>
      <c r="AG1" s="1057" t="s">
        <v>13854</v>
      </c>
      <c r="AH1" s="1057" t="s">
        <v>13853</v>
      </c>
      <c r="AI1" s="1058" t="s">
        <v>13852</v>
      </c>
      <c r="AJ1" s="1058" t="s">
        <v>13851</v>
      </c>
      <c r="AL1" s="808" t="s">
        <v>13698</v>
      </c>
      <c r="AM1" s="809" t="s">
        <v>13850</v>
      </c>
      <c r="AN1" s="809" t="s">
        <v>13849</v>
      </c>
      <c r="AP1" s="808" t="s">
        <v>13848</v>
      </c>
      <c r="AQ1" s="809" t="s">
        <v>13847</v>
      </c>
      <c r="AR1" s="809" t="s">
        <v>13846</v>
      </c>
      <c r="AT1" s="808" t="s">
        <v>13845</v>
      </c>
      <c r="AU1" s="808" t="s">
        <v>13844</v>
      </c>
      <c r="AV1" s="808" t="s">
        <v>13843</v>
      </c>
      <c r="AW1" s="808" t="s">
        <v>5808</v>
      </c>
      <c r="AX1" s="808" t="s">
        <v>13842</v>
      </c>
      <c r="AY1" s="808" t="s">
        <v>13841</v>
      </c>
      <c r="AZ1" s="808" t="s">
        <v>5853</v>
      </c>
      <c r="BB1" s="1052" t="s">
        <v>13840</v>
      </c>
      <c r="BC1" s="1053" t="s">
        <v>13839</v>
      </c>
      <c r="BD1" s="1054" t="s">
        <v>13838</v>
      </c>
      <c r="BE1" s="1055" t="s">
        <v>13837</v>
      </c>
      <c r="BG1" s="806" t="s">
        <v>5725</v>
      </c>
      <c r="BH1" s="807" t="s">
        <v>13836</v>
      </c>
      <c r="BI1" s="807" t="s">
        <v>13835</v>
      </c>
      <c r="BJ1" s="807" t="s">
        <v>13834</v>
      </c>
      <c r="BK1" s="807" t="s">
        <v>13833</v>
      </c>
      <c r="BM1" s="806" t="s">
        <v>13832</v>
      </c>
      <c r="BN1" s="807" t="s">
        <v>13831</v>
      </c>
      <c r="BO1" s="807" t="s">
        <v>13830</v>
      </c>
      <c r="BP1" s="807" t="s">
        <v>13829</v>
      </c>
      <c r="BQ1" s="807" t="s">
        <v>13828</v>
      </c>
      <c r="BR1" s="807" t="s">
        <v>13827</v>
      </c>
      <c r="BS1" s="807" t="s">
        <v>13826</v>
      </c>
      <c r="BT1" s="807" t="s">
        <v>13825</v>
      </c>
      <c r="BU1" s="807" t="s">
        <v>13824</v>
      </c>
      <c r="BV1" s="807" t="s">
        <v>13823</v>
      </c>
      <c r="BW1" s="807" t="s">
        <v>13822</v>
      </c>
      <c r="BY1" s="806" t="s">
        <v>7930</v>
      </c>
      <c r="BZ1" s="807" t="s">
        <v>13821</v>
      </c>
      <c r="CA1" s="807" t="s">
        <v>13820</v>
      </c>
      <c r="CC1" s="806" t="s">
        <v>7925</v>
      </c>
      <c r="CD1" s="807" t="s">
        <v>13819</v>
      </c>
      <c r="CE1" s="807" t="s">
        <v>13818</v>
      </c>
      <c r="CF1" s="807" t="s">
        <v>13817</v>
      </c>
      <c r="CG1" s="807" t="s">
        <v>13816</v>
      </c>
      <c r="CH1" s="807" t="s">
        <v>13815</v>
      </c>
      <c r="CI1" s="807" t="s">
        <v>13814</v>
      </c>
      <c r="CK1" s="806" t="s">
        <v>9536</v>
      </c>
      <c r="CL1" s="805" t="s">
        <v>13813</v>
      </c>
      <c r="CM1" s="805" t="s">
        <v>13812</v>
      </c>
      <c r="CN1" s="805" t="s">
        <v>13811</v>
      </c>
      <c r="CO1" s="805" t="s">
        <v>13810</v>
      </c>
      <c r="CP1" s="805" t="s">
        <v>13809</v>
      </c>
      <c r="CQ1" s="805" t="s">
        <v>13808</v>
      </c>
      <c r="CR1" s="805" t="s">
        <v>13807</v>
      </c>
      <c r="CS1" s="805" t="s">
        <v>13806</v>
      </c>
      <c r="CU1" s="805" t="s">
        <v>13805</v>
      </c>
      <c r="CV1" s="805" t="s">
        <v>13804</v>
      </c>
      <c r="CW1" s="805" t="s">
        <v>13803</v>
      </c>
      <c r="CX1" s="805" t="s">
        <v>13802</v>
      </c>
      <c r="CY1" s="805" t="s">
        <v>13801</v>
      </c>
      <c r="CZ1" s="805" t="s">
        <v>13800</v>
      </c>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row>
    <row r="2" spans="1:197">
      <c r="A2" s="804" t="s">
        <v>13799</v>
      </c>
      <c r="B2" s="802" t="s">
        <v>13798</v>
      </c>
      <c r="C2" s="802" t="s">
        <v>1872</v>
      </c>
      <c r="D2" s="802" t="s">
        <v>13720</v>
      </c>
      <c r="E2" s="802" t="s">
        <v>13797</v>
      </c>
      <c r="F2" s="802" t="s">
        <v>13796</v>
      </c>
      <c r="G2" s="802" t="s">
        <v>13795</v>
      </c>
      <c r="H2" s="803" t="s">
        <v>13794</v>
      </c>
      <c r="I2" s="802" t="s">
        <v>13793</v>
      </c>
      <c r="J2" s="802" t="s">
        <v>13792</v>
      </c>
      <c r="K2" s="802" t="s">
        <v>13792</v>
      </c>
      <c r="L2" s="802" t="s">
        <v>13792</v>
      </c>
      <c r="M2" s="802" t="s">
        <v>13792</v>
      </c>
      <c r="N2" s="802" t="s">
        <v>13792</v>
      </c>
      <c r="O2" s="802" t="s">
        <v>13792</v>
      </c>
      <c r="P2" s="802" t="s">
        <v>13792</v>
      </c>
      <c r="Q2" s="802" t="s">
        <v>13792</v>
      </c>
      <c r="R2" s="802" t="s">
        <v>13792</v>
      </c>
      <c r="S2" s="802" t="s">
        <v>13792</v>
      </c>
      <c r="T2" s="802" t="s">
        <v>13792</v>
      </c>
      <c r="V2" s="804" t="s">
        <v>13791</v>
      </c>
      <c r="W2" s="802" t="s">
        <v>4</v>
      </c>
      <c r="X2" s="803" t="s">
        <v>11194</v>
      </c>
      <c r="Y2" s="802" t="s">
        <v>13790</v>
      </c>
      <c r="Z2" s="802" t="s">
        <v>5787</v>
      </c>
      <c r="AA2" s="802" t="s">
        <v>5787</v>
      </c>
      <c r="AB2" s="802" t="s">
        <v>5787</v>
      </c>
      <c r="AC2" s="802" t="s">
        <v>13789</v>
      </c>
      <c r="AD2" s="802" t="s">
        <v>13788</v>
      </c>
      <c r="AF2" s="804" t="s">
        <v>13787</v>
      </c>
      <c r="AG2" s="803"/>
      <c r="AH2" s="803" t="s">
        <v>10234</v>
      </c>
      <c r="AI2" s="784" t="s">
        <v>4916</v>
      </c>
      <c r="AJ2" s="784" t="s">
        <v>13786</v>
      </c>
      <c r="AL2" s="802" t="s">
        <v>13785</v>
      </c>
      <c r="AM2" s="803" t="s">
        <v>1895</v>
      </c>
      <c r="AN2" s="802" t="s">
        <v>7344</v>
      </c>
      <c r="AP2" s="802" t="s">
        <v>7702</v>
      </c>
      <c r="AQ2" s="802" t="s">
        <v>13784</v>
      </c>
      <c r="AR2" s="802" t="s">
        <v>13783</v>
      </c>
      <c r="AT2" s="802" t="s">
        <v>13782</v>
      </c>
      <c r="AU2" s="802" t="s">
        <v>13782</v>
      </c>
      <c r="AV2" s="802" t="s">
        <v>13781</v>
      </c>
      <c r="AW2" s="802" t="s">
        <v>5788</v>
      </c>
      <c r="AX2" s="802" t="s">
        <v>13780</v>
      </c>
      <c r="AY2" s="803" t="s">
        <v>6807</v>
      </c>
      <c r="AZ2" s="802" t="s">
        <v>13779</v>
      </c>
      <c r="BB2" s="802" t="s">
        <v>5725</v>
      </c>
      <c r="BC2" s="802" t="s">
        <v>12646</v>
      </c>
      <c r="BD2" s="802" t="s">
        <v>13778</v>
      </c>
      <c r="BE2" s="803" t="s">
        <v>13777</v>
      </c>
      <c r="BG2" s="802" t="s">
        <v>12638</v>
      </c>
      <c r="BH2" s="802" t="s">
        <v>13776</v>
      </c>
      <c r="BI2" s="802" t="s">
        <v>13775</v>
      </c>
      <c r="BJ2" s="802" t="s">
        <v>13774</v>
      </c>
      <c r="BK2" s="802" t="s">
        <v>13773</v>
      </c>
      <c r="BM2" s="802" t="s">
        <v>13772</v>
      </c>
      <c r="BN2" s="802" t="s">
        <v>13771</v>
      </c>
      <c r="BO2" s="802" t="s">
        <v>13770</v>
      </c>
      <c r="BP2" s="802" t="s">
        <v>13769</v>
      </c>
      <c r="BQ2" s="802" t="s">
        <v>13768</v>
      </c>
      <c r="BR2" s="802" t="s">
        <v>13767</v>
      </c>
      <c r="BS2" s="802" t="s">
        <v>13767</v>
      </c>
      <c r="BT2" s="802" t="s">
        <v>13767</v>
      </c>
      <c r="BU2" s="802" t="s">
        <v>13766</v>
      </c>
      <c r="BV2" s="802" t="s">
        <v>13766</v>
      </c>
      <c r="BW2" s="802" t="s">
        <v>13766</v>
      </c>
      <c r="BY2" s="802" t="s">
        <v>7619</v>
      </c>
      <c r="BZ2" s="802" t="s">
        <v>13765</v>
      </c>
      <c r="CA2" s="802" t="s">
        <v>13764</v>
      </c>
      <c r="CC2" s="803" t="s">
        <v>13763</v>
      </c>
      <c r="CD2" s="802" t="s">
        <v>13762</v>
      </c>
      <c r="CE2" s="804" t="s">
        <v>13761</v>
      </c>
      <c r="CF2" s="804" t="s">
        <v>13760</v>
      </c>
      <c r="CG2" s="802" t="s">
        <v>13759</v>
      </c>
      <c r="CH2" s="802" t="s">
        <v>13758</v>
      </c>
      <c r="CI2" s="804" t="s">
        <v>13757</v>
      </c>
      <c r="CK2" s="802" t="s">
        <v>5851</v>
      </c>
      <c r="CL2" s="801" t="s">
        <v>13756</v>
      </c>
      <c r="CM2" s="801" t="s">
        <v>4154</v>
      </c>
      <c r="CN2" s="801" t="s">
        <v>13755</v>
      </c>
      <c r="CO2" s="801" t="s">
        <v>13754</v>
      </c>
      <c r="CP2" s="801" t="s">
        <v>13753</v>
      </c>
      <c r="CQ2" s="801" t="s">
        <v>13752</v>
      </c>
      <c r="CR2" s="801" t="s">
        <v>13751</v>
      </c>
      <c r="CS2" s="801" t="s">
        <v>13750</v>
      </c>
      <c r="CU2" s="801" t="s">
        <v>13749</v>
      </c>
      <c r="CV2" s="801" t="s">
        <v>13748</v>
      </c>
      <c r="CW2" s="801" t="s">
        <v>7940</v>
      </c>
      <c r="CX2" s="801" t="s">
        <v>13747</v>
      </c>
      <c r="CY2" s="801" t="s">
        <v>13746</v>
      </c>
      <c r="CZ2" s="801" t="s">
        <v>13745</v>
      </c>
      <c r="DC2"/>
      <c r="DE2" s="780" t="s">
        <v>13899</v>
      </c>
      <c r="DF2" s="780" t="s">
        <v>13900</v>
      </c>
      <c r="DH2" s="780" t="s">
        <v>13899</v>
      </c>
      <c r="DI2" s="780" t="s">
        <v>9200</v>
      </c>
      <c r="DK2" s="780" t="s">
        <v>13899</v>
      </c>
      <c r="DL2" s="780" t="s">
        <v>1357</v>
      </c>
      <c r="DN2" s="780" t="s">
        <v>13864</v>
      </c>
      <c r="DO2" s="780" t="s">
        <v>13930</v>
      </c>
      <c r="DQ2" s="780" t="s">
        <v>13864</v>
      </c>
      <c r="DR2" s="780" t="s">
        <v>13931</v>
      </c>
      <c r="DT2" s="780" t="s">
        <v>13932</v>
      </c>
      <c r="DU2" s="780" t="s">
        <v>12292</v>
      </c>
      <c r="DW2" s="780" t="s">
        <v>13932</v>
      </c>
      <c r="DX2" s="780" t="s">
        <v>13933</v>
      </c>
      <c r="DZ2" s="780" t="s">
        <v>13932</v>
      </c>
      <c r="EA2" s="780" t="s">
        <v>13537</v>
      </c>
      <c r="EC2" s="780" t="s">
        <v>13932</v>
      </c>
      <c r="ED2" s="780" t="s">
        <v>13480</v>
      </c>
      <c r="FH2"/>
      <c r="FI2"/>
      <c r="FJ2"/>
      <c r="FK2"/>
      <c r="FL2"/>
      <c r="FM2"/>
      <c r="FN2"/>
      <c r="FO2"/>
      <c r="FP2"/>
      <c r="FQ2"/>
      <c r="FR2"/>
      <c r="FS2"/>
      <c r="FT2"/>
      <c r="FU2"/>
      <c r="FV2"/>
      <c r="FW2"/>
      <c r="FX2"/>
      <c r="FY2"/>
      <c r="FZ2"/>
      <c r="GA2"/>
      <c r="GB2"/>
      <c r="GC2"/>
      <c r="GD2"/>
      <c r="GE2"/>
      <c r="GF2"/>
      <c r="GG2"/>
      <c r="GH2"/>
      <c r="GI2"/>
      <c r="GJ2"/>
      <c r="GK2"/>
      <c r="GL2"/>
      <c r="GM2"/>
      <c r="GN2"/>
      <c r="GO2"/>
    </row>
    <row r="3" spans="1:197">
      <c r="A3" s="804" t="s">
        <v>13744</v>
      </c>
      <c r="B3" s="802" t="s">
        <v>4</v>
      </c>
      <c r="C3" s="802" t="s">
        <v>13743</v>
      </c>
      <c r="D3" s="802"/>
      <c r="E3" s="802" t="s">
        <v>13742</v>
      </c>
      <c r="F3" s="802" t="s">
        <v>13629</v>
      </c>
      <c r="G3" s="802" t="s">
        <v>13741</v>
      </c>
      <c r="H3" s="803"/>
      <c r="I3" s="802" t="s">
        <v>13740</v>
      </c>
      <c r="J3" s="802" t="s">
        <v>13740</v>
      </c>
      <c r="K3" s="802" t="s">
        <v>13740</v>
      </c>
      <c r="L3" s="802" t="s">
        <v>13740</v>
      </c>
      <c r="M3" s="802" t="s">
        <v>13740</v>
      </c>
      <c r="N3" s="802" t="s">
        <v>13740</v>
      </c>
      <c r="O3" s="802" t="s">
        <v>13740</v>
      </c>
      <c r="P3" s="802" t="s">
        <v>13740</v>
      </c>
      <c r="Q3" s="802" t="s">
        <v>13740</v>
      </c>
      <c r="R3" s="802" t="s">
        <v>13740</v>
      </c>
      <c r="S3" s="802" t="s">
        <v>13740</v>
      </c>
      <c r="T3" s="802" t="s">
        <v>13740</v>
      </c>
      <c r="V3" s="804" t="s">
        <v>9198</v>
      </c>
      <c r="W3" s="802" t="s">
        <v>8082</v>
      </c>
      <c r="X3" s="803" t="s">
        <v>1644</v>
      </c>
      <c r="Y3" s="802" t="s">
        <v>13739</v>
      </c>
      <c r="Z3" s="785" t="s">
        <v>13738</v>
      </c>
      <c r="AA3" s="802" t="s">
        <v>13478</v>
      </c>
      <c r="AB3" s="784" t="s">
        <v>13534</v>
      </c>
      <c r="AC3" s="804" t="s">
        <v>13737</v>
      </c>
      <c r="AD3" s="802" t="s">
        <v>13736</v>
      </c>
      <c r="AF3" s="804" t="s">
        <v>13735</v>
      </c>
      <c r="AH3" s="803" t="s">
        <v>13734</v>
      </c>
      <c r="AI3" s="784" t="s">
        <v>2341</v>
      </c>
      <c r="AJ3" s="784" t="s">
        <v>13733</v>
      </c>
      <c r="AL3" s="802" t="s">
        <v>13732</v>
      </c>
      <c r="AN3" s="802" t="s">
        <v>13731</v>
      </c>
      <c r="AP3" s="802" t="s">
        <v>9030</v>
      </c>
      <c r="AR3" s="802" t="s">
        <v>13730</v>
      </c>
      <c r="AT3" s="802" t="s">
        <v>13729</v>
      </c>
      <c r="AU3" s="802" t="s">
        <v>13729</v>
      </c>
      <c r="AV3" s="802" t="s">
        <v>13728</v>
      </c>
      <c r="AW3" s="802" t="s">
        <v>974</v>
      </c>
      <c r="AX3" s="802" t="s">
        <v>13727</v>
      </c>
      <c r="AY3" s="803" t="s">
        <v>6811</v>
      </c>
      <c r="AZ3" s="802" t="s">
        <v>6054</v>
      </c>
      <c r="BB3" s="802" t="s">
        <v>5776</v>
      </c>
      <c r="BC3" s="802" t="s">
        <v>13726</v>
      </c>
      <c r="BD3" s="802" t="s">
        <v>13725</v>
      </c>
      <c r="BE3" s="803" t="s">
        <v>13724</v>
      </c>
      <c r="BG3" s="802" t="s">
        <v>131</v>
      </c>
      <c r="BI3" s="802" t="s">
        <v>13723</v>
      </c>
      <c r="BJ3" s="802" t="s">
        <v>13723</v>
      </c>
      <c r="BK3" s="802" t="s">
        <v>13722</v>
      </c>
      <c r="BM3" s="802" t="s">
        <v>13721</v>
      </c>
      <c r="BN3" s="802" t="s">
        <v>13720</v>
      </c>
      <c r="BO3" s="802" t="s">
        <v>13719</v>
      </c>
      <c r="BP3" s="802" t="s">
        <v>13718</v>
      </c>
      <c r="BQ3" s="802" t="s">
        <v>13717</v>
      </c>
      <c r="BR3" s="802" t="s">
        <v>13716</v>
      </c>
      <c r="BS3" s="802" t="s">
        <v>13716</v>
      </c>
      <c r="BT3" s="802" t="s">
        <v>13716</v>
      </c>
      <c r="BU3" s="802" t="s">
        <v>13715</v>
      </c>
      <c r="BV3" s="802" t="s">
        <v>13715</v>
      </c>
      <c r="BW3" s="802" t="s">
        <v>13715</v>
      </c>
      <c r="BY3" s="802" t="s">
        <v>5822</v>
      </c>
      <c r="BZ3" s="802" t="s">
        <v>13714</v>
      </c>
      <c r="CA3" s="802" t="s">
        <v>13713</v>
      </c>
      <c r="CC3" s="803" t="s">
        <v>9341</v>
      </c>
      <c r="CD3" s="802" t="s">
        <v>13712</v>
      </c>
      <c r="CE3" s="804" t="s">
        <v>13711</v>
      </c>
      <c r="CF3" s="804" t="s">
        <v>13710</v>
      </c>
      <c r="CG3" s="802" t="s">
        <v>13709</v>
      </c>
      <c r="CH3" s="802"/>
      <c r="CK3" s="802" t="s">
        <v>1892</v>
      </c>
      <c r="CL3" s="801" t="s">
        <v>13708</v>
      </c>
      <c r="CM3" s="801" t="s">
        <v>3858</v>
      </c>
      <c r="CN3" s="801" t="s">
        <v>2206</v>
      </c>
      <c r="CO3" s="801" t="s">
        <v>13707</v>
      </c>
      <c r="CP3" s="801" t="s">
        <v>13706</v>
      </c>
      <c r="CS3" s="801" t="s">
        <v>13705</v>
      </c>
      <c r="CU3" s="801" t="s">
        <v>13704</v>
      </c>
      <c r="CV3" s="801" t="s">
        <v>13603</v>
      </c>
      <c r="CW3" s="801" t="s">
        <v>13664</v>
      </c>
      <c r="CX3" s="801" t="s">
        <v>13663</v>
      </c>
      <c r="CY3" s="801" t="s">
        <v>13703</v>
      </c>
      <c r="CZ3" s="801" t="s">
        <v>13702</v>
      </c>
      <c r="DC3"/>
      <c r="DE3" t="s">
        <v>13901</v>
      </c>
      <c r="DF3" s="1" t="s">
        <v>13927</v>
      </c>
      <c r="DH3" s="1" t="s">
        <v>13901</v>
      </c>
      <c r="DI3" s="1" t="s">
        <v>13927</v>
      </c>
      <c r="DK3" s="1" t="s">
        <v>13901</v>
      </c>
      <c r="DL3" s="1" t="s">
        <v>13927</v>
      </c>
      <c r="DN3" s="1" t="s">
        <v>13901</v>
      </c>
      <c r="DO3" s="1" t="s">
        <v>13927</v>
      </c>
      <c r="DQ3" s="1" t="s">
        <v>13901</v>
      </c>
      <c r="DR3" s="1" t="s">
        <v>13927</v>
      </c>
      <c r="DT3" s="585" t="s">
        <v>13901</v>
      </c>
      <c r="DU3" s="586" t="s">
        <v>13927</v>
      </c>
      <c r="DW3" s="585" t="s">
        <v>13901</v>
      </c>
      <c r="DX3" s="586" t="s">
        <v>13927</v>
      </c>
      <c r="DZ3" s="585" t="s">
        <v>13901</v>
      </c>
      <c r="EA3" s="586" t="s">
        <v>13927</v>
      </c>
      <c r="EC3" s="585" t="s">
        <v>13901</v>
      </c>
      <c r="ED3" s="586" t="s">
        <v>13927</v>
      </c>
      <c r="EF3" t="s">
        <v>13946</v>
      </c>
      <c r="FH3"/>
      <c r="FI3"/>
      <c r="FJ3"/>
      <c r="FK3"/>
      <c r="FL3"/>
      <c r="FM3"/>
      <c r="FN3"/>
      <c r="FO3"/>
      <c r="FP3"/>
      <c r="FQ3"/>
      <c r="FR3"/>
      <c r="FS3"/>
      <c r="FT3"/>
      <c r="FU3"/>
      <c r="FV3"/>
      <c r="FW3"/>
      <c r="FX3"/>
      <c r="FY3"/>
      <c r="FZ3"/>
      <c r="GA3"/>
      <c r="GB3"/>
      <c r="GC3"/>
      <c r="GD3"/>
      <c r="GE3"/>
      <c r="GF3"/>
      <c r="GG3"/>
      <c r="GH3"/>
      <c r="GI3"/>
      <c r="GJ3"/>
      <c r="GK3"/>
      <c r="GL3"/>
      <c r="GM3"/>
      <c r="GN3"/>
      <c r="GO3"/>
    </row>
    <row r="4" spans="1:197">
      <c r="A4" s="804" t="s">
        <v>5806</v>
      </c>
      <c r="B4" s="802"/>
      <c r="C4" s="802"/>
      <c r="D4" s="802"/>
      <c r="E4" s="802" t="s">
        <v>13701</v>
      </c>
      <c r="F4" s="802" t="s">
        <v>13601</v>
      </c>
      <c r="G4" s="802" t="s">
        <v>13700</v>
      </c>
      <c r="H4" s="803"/>
      <c r="I4" s="802" t="s">
        <v>13699</v>
      </c>
      <c r="J4" s="802" t="s">
        <v>13699</v>
      </c>
      <c r="K4" s="802" t="s">
        <v>13699</v>
      </c>
      <c r="L4" s="802" t="s">
        <v>13699</v>
      </c>
      <c r="M4" s="802" t="s">
        <v>13699</v>
      </c>
      <c r="N4" s="802" t="s">
        <v>13699</v>
      </c>
      <c r="O4" s="802" t="s">
        <v>13699</v>
      </c>
      <c r="P4" s="802" t="s">
        <v>13699</v>
      </c>
      <c r="Q4" s="802" t="s">
        <v>13699</v>
      </c>
      <c r="R4" s="802" t="s">
        <v>13699</v>
      </c>
      <c r="S4" s="802" t="s">
        <v>13699</v>
      </c>
      <c r="T4" s="802" t="s">
        <v>13699</v>
      </c>
      <c r="V4" s="804" t="s">
        <v>9200</v>
      </c>
      <c r="W4" s="802" t="s">
        <v>13698</v>
      </c>
      <c r="Y4" s="802" t="s">
        <v>13697</v>
      </c>
      <c r="Z4" s="802" t="s">
        <v>13516</v>
      </c>
      <c r="AA4" s="802" t="s">
        <v>13478</v>
      </c>
      <c r="AB4" s="784" t="s">
        <v>13515</v>
      </c>
      <c r="AC4" s="804" t="s">
        <v>13696</v>
      </c>
      <c r="AD4" s="802" t="s">
        <v>13695</v>
      </c>
      <c r="AF4" s="804" t="s">
        <v>13694</v>
      </c>
      <c r="AI4" s="784" t="s">
        <v>13693</v>
      </c>
      <c r="AL4" s="802" t="s">
        <v>13692</v>
      </c>
      <c r="AN4" s="802" t="s">
        <v>13691</v>
      </c>
      <c r="AP4" s="802" t="s">
        <v>13570</v>
      </c>
      <c r="AR4" s="802" t="s">
        <v>13690</v>
      </c>
      <c r="AT4" s="802" t="s">
        <v>13689</v>
      </c>
      <c r="AU4" s="802" t="s">
        <v>13689</v>
      </c>
      <c r="AV4" s="802" t="s">
        <v>13688</v>
      </c>
      <c r="AW4" s="802" t="s">
        <v>951</v>
      </c>
      <c r="AX4" s="802" t="s">
        <v>9030</v>
      </c>
      <c r="AY4" s="803" t="s">
        <v>6814</v>
      </c>
      <c r="AZ4" s="802" t="s">
        <v>6177</v>
      </c>
      <c r="BB4" s="802" t="s">
        <v>13687</v>
      </c>
      <c r="BC4" s="802" t="s">
        <v>13686</v>
      </c>
      <c r="BD4" s="802" t="s">
        <v>13685</v>
      </c>
      <c r="BE4" s="803" t="s">
        <v>13684</v>
      </c>
      <c r="BI4" s="802" t="s">
        <v>13683</v>
      </c>
      <c r="BJ4" s="802" t="s">
        <v>13683</v>
      </c>
      <c r="BK4" s="802" t="s">
        <v>13682</v>
      </c>
      <c r="BM4" s="802" t="s">
        <v>13681</v>
      </c>
      <c r="BO4" s="802" t="s">
        <v>13680</v>
      </c>
      <c r="BP4" s="802" t="s">
        <v>13679</v>
      </c>
      <c r="BQ4" s="802" t="s">
        <v>13678</v>
      </c>
      <c r="BR4" s="802" t="s">
        <v>13677</v>
      </c>
      <c r="BS4" s="802" t="s">
        <v>13677</v>
      </c>
      <c r="BT4" s="802" t="s">
        <v>13677</v>
      </c>
      <c r="BU4" s="802" t="s">
        <v>13676</v>
      </c>
      <c r="BV4" s="802" t="s">
        <v>13676</v>
      </c>
      <c r="BW4" s="802" t="s">
        <v>13676</v>
      </c>
      <c r="BZ4" s="802" t="s">
        <v>13675</v>
      </c>
      <c r="CA4" s="802" t="s">
        <v>13674</v>
      </c>
      <c r="CC4" s="803" t="s">
        <v>13673</v>
      </c>
      <c r="CD4" s="802" t="s">
        <v>13672</v>
      </c>
      <c r="CE4" s="804" t="s">
        <v>6389</v>
      </c>
      <c r="CG4" s="802" t="s">
        <v>13671</v>
      </c>
      <c r="CK4" s="802" t="s">
        <v>5784</v>
      </c>
      <c r="CL4" s="801" t="s">
        <v>13670</v>
      </c>
      <c r="CM4" s="801" t="s">
        <v>2273</v>
      </c>
      <c r="CN4" s="801" t="s">
        <v>2178</v>
      </c>
      <c r="CO4" s="801" t="s">
        <v>13669</v>
      </c>
      <c r="CP4" s="801" t="s">
        <v>13668</v>
      </c>
      <c r="CS4" s="801" t="s">
        <v>13667</v>
      </c>
      <c r="CU4" s="801" t="s">
        <v>13666</v>
      </c>
      <c r="CV4" s="801" t="s">
        <v>13665</v>
      </c>
      <c r="CW4" s="801" t="s">
        <v>13632</v>
      </c>
      <c r="CX4" s="801" t="s">
        <v>13631</v>
      </c>
      <c r="CY4" s="801" t="s">
        <v>13664</v>
      </c>
      <c r="CZ4" s="801" t="s">
        <v>13663</v>
      </c>
      <c r="DC4"/>
      <c r="DE4" t="s">
        <v>4</v>
      </c>
      <c r="DF4" t="s">
        <v>13943</v>
      </c>
      <c r="DH4" s="1" t="s">
        <v>4</v>
      </c>
      <c r="DI4" s="1" t="s">
        <v>13944</v>
      </c>
      <c r="DK4" s="1" t="s">
        <v>4</v>
      </c>
      <c r="DL4" s="1" t="s">
        <v>13945</v>
      </c>
      <c r="DN4" s="1" t="s">
        <v>4</v>
      </c>
      <c r="DO4" s="1"/>
      <c r="DQ4" s="1" t="s">
        <v>4</v>
      </c>
      <c r="DR4" s="1"/>
      <c r="DT4" t="s">
        <v>13934</v>
      </c>
      <c r="DW4" s="1" t="s">
        <v>13934</v>
      </c>
      <c r="DX4" s="1"/>
      <c r="DZ4" s="1" t="s">
        <v>13934</v>
      </c>
      <c r="EA4" s="1"/>
      <c r="EC4" s="1" t="s">
        <v>13934</v>
      </c>
      <c r="ED4" s="1"/>
      <c r="FH4"/>
      <c r="FI4"/>
      <c r="FJ4"/>
      <c r="FK4"/>
      <c r="FL4"/>
      <c r="FM4"/>
      <c r="FN4"/>
      <c r="FO4"/>
      <c r="FP4"/>
      <c r="FQ4"/>
      <c r="FR4"/>
      <c r="FS4"/>
      <c r="FT4"/>
      <c r="FU4"/>
      <c r="FV4"/>
      <c r="FW4"/>
      <c r="FX4"/>
      <c r="FY4"/>
      <c r="FZ4"/>
      <c r="GA4"/>
      <c r="GB4"/>
      <c r="GC4"/>
      <c r="GD4"/>
      <c r="GE4"/>
      <c r="GF4"/>
      <c r="GG4"/>
      <c r="GH4"/>
      <c r="GI4"/>
      <c r="GJ4"/>
      <c r="GK4"/>
      <c r="GL4"/>
      <c r="GM4"/>
      <c r="GN4"/>
      <c r="GO4"/>
    </row>
    <row r="5" spans="1:197">
      <c r="A5" s="804" t="s">
        <v>13662</v>
      </c>
      <c r="B5" s="802"/>
      <c r="C5" s="802"/>
      <c r="D5" s="802"/>
      <c r="E5" s="802" t="s">
        <v>13661</v>
      </c>
      <c r="F5" s="802" t="s">
        <v>13555</v>
      </c>
      <c r="G5" s="802" t="s">
        <v>13660</v>
      </c>
      <c r="H5" s="803"/>
      <c r="I5" s="802" t="s">
        <v>13659</v>
      </c>
      <c r="J5" s="802" t="s">
        <v>13659</v>
      </c>
      <c r="K5" s="802" t="s">
        <v>13659</v>
      </c>
      <c r="L5" s="802" t="s">
        <v>13659</v>
      </c>
      <c r="M5" s="802" t="s">
        <v>13659</v>
      </c>
      <c r="N5" s="802" t="s">
        <v>13659</v>
      </c>
      <c r="O5" s="802" t="s">
        <v>13659</v>
      </c>
      <c r="P5" s="802" t="s">
        <v>13659</v>
      </c>
      <c r="Q5" s="802" t="s">
        <v>13659</v>
      </c>
      <c r="R5" s="802" t="s">
        <v>13659</v>
      </c>
      <c r="S5" s="802" t="s">
        <v>13659</v>
      </c>
      <c r="T5" s="802" t="s">
        <v>13659</v>
      </c>
      <c r="V5" s="804" t="s">
        <v>1357</v>
      </c>
      <c r="W5" s="802" t="s">
        <v>13658</v>
      </c>
      <c r="Y5" s="802" t="s">
        <v>13657</v>
      </c>
      <c r="Z5" s="802" t="s">
        <v>13656</v>
      </c>
      <c r="AA5" s="802" t="s">
        <v>13655</v>
      </c>
      <c r="AB5" s="784" t="s">
        <v>13494</v>
      </c>
      <c r="AC5" s="785"/>
      <c r="AD5" s="785"/>
      <c r="AF5" s="804" t="s">
        <v>13654</v>
      </c>
      <c r="AI5" s="802" t="s">
        <v>911</v>
      </c>
      <c r="AN5" s="802" t="s">
        <v>13653</v>
      </c>
      <c r="AP5" s="802" t="s">
        <v>13611</v>
      </c>
      <c r="AR5" s="802" t="s">
        <v>13652</v>
      </c>
      <c r="AT5" s="802" t="s">
        <v>13651</v>
      </c>
      <c r="AU5" s="802" t="s">
        <v>13651</v>
      </c>
      <c r="AV5" s="802" t="s">
        <v>13650</v>
      </c>
      <c r="AW5" s="802" t="s">
        <v>5794</v>
      </c>
      <c r="AX5" s="802" t="s">
        <v>13649</v>
      </c>
      <c r="AY5" s="803" t="s">
        <v>6816</v>
      </c>
      <c r="AZ5" s="802" t="s">
        <v>6133</v>
      </c>
      <c r="BC5" s="802" t="s">
        <v>13648</v>
      </c>
      <c r="BD5" s="802" t="s">
        <v>5993</v>
      </c>
      <c r="BE5" s="803" t="s">
        <v>13647</v>
      </c>
      <c r="BI5" s="802" t="s">
        <v>13646</v>
      </c>
      <c r="BJ5" s="802" t="s">
        <v>13645</v>
      </c>
      <c r="BK5" s="802" t="s">
        <v>13644</v>
      </c>
      <c r="BQ5" s="802" t="s">
        <v>13643</v>
      </c>
      <c r="BR5" s="802" t="s">
        <v>13642</v>
      </c>
      <c r="BS5" s="802" t="s">
        <v>13642</v>
      </c>
      <c r="BT5" s="802" t="s">
        <v>13642</v>
      </c>
      <c r="BU5" s="802" t="s">
        <v>13641</v>
      </c>
      <c r="BV5" s="802" t="s">
        <v>13641</v>
      </c>
      <c r="BW5" s="802" t="s">
        <v>13641</v>
      </c>
      <c r="BZ5" s="802" t="s">
        <v>13640</v>
      </c>
      <c r="CC5" s="803" t="s">
        <v>9536</v>
      </c>
      <c r="CD5" s="802" t="s">
        <v>13639</v>
      </c>
      <c r="CE5" s="804" t="s">
        <v>13638</v>
      </c>
      <c r="CK5" s="802" t="s">
        <v>13611</v>
      </c>
      <c r="CL5" s="801" t="s">
        <v>6260</v>
      </c>
      <c r="CM5" s="801" t="s">
        <v>5846</v>
      </c>
      <c r="CN5" s="801" t="s">
        <v>2134</v>
      </c>
      <c r="CO5" s="801" t="s">
        <v>13637</v>
      </c>
      <c r="CP5" s="801" t="s">
        <v>13636</v>
      </c>
      <c r="CS5" s="801" t="s">
        <v>13635</v>
      </c>
      <c r="CU5" s="801" t="s">
        <v>13634</v>
      </c>
      <c r="CV5" s="801" t="s">
        <v>13558</v>
      </c>
      <c r="CW5" s="801" t="s">
        <v>5263</v>
      </c>
      <c r="CX5" s="801" t="s">
        <v>13633</v>
      </c>
      <c r="CY5" s="801" t="s">
        <v>13632</v>
      </c>
      <c r="CZ5" s="801" t="s">
        <v>13631</v>
      </c>
      <c r="DC5"/>
      <c r="DE5" t="s">
        <v>11194</v>
      </c>
      <c r="DH5" s="1" t="s">
        <v>11194</v>
      </c>
      <c r="DI5" s="1"/>
      <c r="DK5" s="1" t="s">
        <v>11194</v>
      </c>
      <c r="DL5" s="1"/>
      <c r="DN5" s="1" t="s">
        <v>11194</v>
      </c>
      <c r="DO5" s="1"/>
      <c r="DQ5" s="1" t="s">
        <v>11194</v>
      </c>
      <c r="DR5" s="1"/>
      <c r="DT5" t="s">
        <v>13935</v>
      </c>
      <c r="DW5" s="1" t="s">
        <v>13935</v>
      </c>
      <c r="DX5" s="1"/>
      <c r="DZ5" s="1" t="s">
        <v>13935</v>
      </c>
      <c r="EA5" s="1"/>
      <c r="EC5" s="1" t="s">
        <v>13935</v>
      </c>
      <c r="ED5" s="1"/>
      <c r="FH5"/>
      <c r="FI5"/>
      <c r="FJ5"/>
      <c r="FK5"/>
      <c r="FL5"/>
      <c r="FM5"/>
      <c r="FN5"/>
      <c r="FO5"/>
      <c r="FP5"/>
      <c r="FQ5"/>
      <c r="FR5"/>
      <c r="FS5"/>
      <c r="FT5"/>
      <c r="FU5"/>
      <c r="FV5"/>
      <c r="FW5"/>
      <c r="FX5"/>
      <c r="FY5"/>
      <c r="FZ5"/>
      <c r="GA5"/>
      <c r="GB5"/>
      <c r="GC5"/>
      <c r="GD5"/>
      <c r="GE5"/>
      <c r="GF5"/>
      <c r="GG5"/>
      <c r="GH5"/>
      <c r="GI5"/>
      <c r="GJ5"/>
      <c r="GK5"/>
      <c r="GL5"/>
      <c r="GM5"/>
      <c r="GN5"/>
      <c r="GO5"/>
    </row>
    <row r="6" spans="1:197">
      <c r="A6" s="804" t="s">
        <v>5736</v>
      </c>
      <c r="B6" s="802"/>
      <c r="C6" s="802"/>
      <c r="D6" s="802"/>
      <c r="E6" s="802" t="s">
        <v>13630</v>
      </c>
      <c r="F6" s="802" t="s">
        <v>13629</v>
      </c>
      <c r="G6" s="802" t="s">
        <v>13628</v>
      </c>
      <c r="H6" s="803"/>
      <c r="I6" s="802" t="s">
        <v>13627</v>
      </c>
      <c r="J6" s="802" t="s">
        <v>13627</v>
      </c>
      <c r="K6" s="802" t="s">
        <v>13627</v>
      </c>
      <c r="L6" s="802" t="s">
        <v>13627</v>
      </c>
      <c r="M6" s="802" t="s">
        <v>13627</v>
      </c>
      <c r="N6" s="802" t="s">
        <v>13627</v>
      </c>
      <c r="O6" s="802" t="s">
        <v>13627</v>
      </c>
      <c r="P6" s="802" t="s">
        <v>13627</v>
      </c>
      <c r="Q6" s="802" t="s">
        <v>13627</v>
      </c>
      <c r="R6" s="802" t="s">
        <v>13627</v>
      </c>
      <c r="S6" s="802" t="s">
        <v>13627</v>
      </c>
      <c r="T6" s="802" t="s">
        <v>13627</v>
      </c>
      <c r="V6" s="804" t="s">
        <v>13626</v>
      </c>
      <c r="W6" s="802"/>
      <c r="Y6" s="802" t="s">
        <v>13625</v>
      </c>
      <c r="Z6" s="802" t="s">
        <v>13624</v>
      </c>
      <c r="AA6" s="802" t="s">
        <v>13623</v>
      </c>
      <c r="AB6" s="784" t="s">
        <v>13622</v>
      </c>
      <c r="AC6" s="785"/>
      <c r="AD6" s="785"/>
      <c r="AF6" s="804" t="s">
        <v>13259</v>
      </c>
      <c r="AI6" s="802" t="s">
        <v>13621</v>
      </c>
      <c r="AP6" s="802" t="s">
        <v>951</v>
      </c>
      <c r="AR6" s="802" t="s">
        <v>13620</v>
      </c>
      <c r="AT6" s="802" t="s">
        <v>13619</v>
      </c>
      <c r="AU6" s="802" t="s">
        <v>13619</v>
      </c>
      <c r="AV6" s="802" t="s">
        <v>13618</v>
      </c>
      <c r="AW6" s="802" t="s">
        <v>5786</v>
      </c>
      <c r="AX6" s="802" t="s">
        <v>7667</v>
      </c>
      <c r="AY6" s="803" t="s">
        <v>6820</v>
      </c>
      <c r="AZ6" s="802" t="s">
        <v>5969</v>
      </c>
      <c r="BE6" s="803" t="s">
        <v>13617</v>
      </c>
      <c r="BI6" s="802" t="s">
        <v>13616</v>
      </c>
      <c r="BJ6" s="802" t="s">
        <v>13615</v>
      </c>
      <c r="BK6" s="802" t="s">
        <v>13614</v>
      </c>
      <c r="BR6" s="802" t="s">
        <v>13613</v>
      </c>
      <c r="BS6" s="802" t="s">
        <v>13613</v>
      </c>
      <c r="BT6" s="802" t="s">
        <v>13613</v>
      </c>
      <c r="BU6" s="802" t="s">
        <v>13612</v>
      </c>
      <c r="BV6" s="802" t="s">
        <v>13612</v>
      </c>
      <c r="BW6" s="802" t="s">
        <v>13612</v>
      </c>
      <c r="CC6" s="803" t="s">
        <v>13611</v>
      </c>
      <c r="CD6" s="802" t="s">
        <v>13610</v>
      </c>
      <c r="CE6" s="804" t="s">
        <v>6336</v>
      </c>
      <c r="CK6" s="802" t="s">
        <v>6719</v>
      </c>
      <c r="CL6" s="801" t="s">
        <v>6252</v>
      </c>
      <c r="CM6" s="801" t="s">
        <v>3572</v>
      </c>
      <c r="CN6" s="801" t="s">
        <v>2174</v>
      </c>
      <c r="CO6" s="801" t="s">
        <v>13609</v>
      </c>
      <c r="CP6" s="801" t="s">
        <v>13608</v>
      </c>
      <c r="CS6" s="801" t="s">
        <v>13607</v>
      </c>
      <c r="CU6" s="801" t="s">
        <v>13606</v>
      </c>
      <c r="CV6" s="801" t="s">
        <v>13559</v>
      </c>
      <c r="CW6" s="801" t="s">
        <v>13605</v>
      </c>
      <c r="CX6" s="801" t="s">
        <v>13603</v>
      </c>
      <c r="CY6" s="801" t="s">
        <v>13604</v>
      </c>
      <c r="CZ6" s="801" t="s">
        <v>13603</v>
      </c>
      <c r="DC6"/>
      <c r="DE6" t="s">
        <v>13902</v>
      </c>
      <c r="DH6" s="1" t="s">
        <v>13902</v>
      </c>
      <c r="DI6" s="1"/>
      <c r="DK6" s="1" t="s">
        <v>13902</v>
      </c>
      <c r="DL6" s="1"/>
      <c r="DN6" s="1" t="s">
        <v>13902</v>
      </c>
      <c r="DO6" s="1"/>
      <c r="DQ6" s="1" t="s">
        <v>13902</v>
      </c>
      <c r="DR6" s="1"/>
      <c r="DW6" s="1"/>
      <c r="DX6" s="1"/>
      <c r="DZ6" s="1"/>
      <c r="EA6" s="1"/>
      <c r="EC6" s="1"/>
      <c r="ED6" s="1"/>
      <c r="FH6"/>
      <c r="FI6"/>
      <c r="FJ6"/>
      <c r="FK6"/>
      <c r="FL6"/>
      <c r="FM6"/>
      <c r="FN6"/>
      <c r="FO6"/>
      <c r="FP6"/>
      <c r="FQ6"/>
      <c r="FR6"/>
      <c r="FS6"/>
      <c r="FT6"/>
      <c r="FU6"/>
      <c r="FV6"/>
      <c r="FW6"/>
      <c r="FX6"/>
      <c r="FY6"/>
      <c r="FZ6"/>
      <c r="GA6"/>
      <c r="GB6"/>
      <c r="GC6"/>
      <c r="GD6"/>
      <c r="GE6"/>
      <c r="GF6"/>
      <c r="GG6"/>
      <c r="GH6"/>
      <c r="GI6"/>
      <c r="GJ6"/>
      <c r="GK6"/>
      <c r="GL6"/>
      <c r="GM6"/>
      <c r="GN6"/>
      <c r="GO6"/>
    </row>
    <row r="7" spans="1:197">
      <c r="A7" s="804" t="s">
        <v>5732</v>
      </c>
      <c r="B7" s="802"/>
      <c r="C7" s="802"/>
      <c r="D7" s="802"/>
      <c r="E7" s="802" t="s">
        <v>13602</v>
      </c>
      <c r="F7" s="802" t="s">
        <v>13601</v>
      </c>
      <c r="G7" s="802" t="s">
        <v>13600</v>
      </c>
      <c r="H7" s="803"/>
      <c r="V7" s="804" t="s">
        <v>726</v>
      </c>
      <c r="W7" s="802"/>
      <c r="Y7" s="802" t="s">
        <v>13599</v>
      </c>
      <c r="Z7" s="802" t="s">
        <v>13598</v>
      </c>
      <c r="AA7" s="802" t="s">
        <v>13597</v>
      </c>
      <c r="AB7" s="784" t="s">
        <v>13596</v>
      </c>
      <c r="AC7" s="785"/>
      <c r="AD7" s="785"/>
      <c r="AF7" s="804" t="s">
        <v>13595</v>
      </c>
      <c r="AI7" s="802" t="s">
        <v>13594</v>
      </c>
      <c r="AP7" s="802" t="s">
        <v>13593</v>
      </c>
      <c r="AR7" s="802" t="s">
        <v>13533</v>
      </c>
      <c r="AT7" s="802" t="s">
        <v>13592</v>
      </c>
      <c r="AU7" s="802" t="s">
        <v>13592</v>
      </c>
      <c r="AV7" s="802" t="s">
        <v>13591</v>
      </c>
      <c r="AW7" s="802" t="s">
        <v>5793</v>
      </c>
      <c r="AX7" s="802" t="s">
        <v>13590</v>
      </c>
      <c r="AY7" s="803" t="s">
        <v>6823</v>
      </c>
      <c r="AZ7" s="802" t="s">
        <v>6135</v>
      </c>
      <c r="BE7" s="803" t="s">
        <v>13589</v>
      </c>
      <c r="BI7" s="802" t="s">
        <v>13588</v>
      </c>
      <c r="BJ7" s="802" t="s">
        <v>13588</v>
      </c>
      <c r="BK7" s="802" t="s">
        <v>13587</v>
      </c>
      <c r="BT7" s="802" t="s">
        <v>13586</v>
      </c>
      <c r="BU7" s="802" t="s">
        <v>13585</v>
      </c>
      <c r="BV7" s="802" t="s">
        <v>13585</v>
      </c>
      <c r="BW7" s="802" t="s">
        <v>13585</v>
      </c>
      <c r="CC7" s="803" t="s">
        <v>13584</v>
      </c>
      <c r="CD7" s="802" t="s">
        <v>13583</v>
      </c>
      <c r="CK7" s="802" t="s">
        <v>6727</v>
      </c>
      <c r="CL7" s="801" t="s">
        <v>6258</v>
      </c>
      <c r="CM7" s="801" t="s">
        <v>2228</v>
      </c>
      <c r="CN7" s="801" t="s">
        <v>6275</v>
      </c>
      <c r="CP7" s="801" t="s">
        <v>13582</v>
      </c>
      <c r="CS7" s="801" t="s">
        <v>13581</v>
      </c>
      <c r="CU7" s="801" t="s">
        <v>6239</v>
      </c>
      <c r="CV7" s="801" t="s">
        <v>13580</v>
      </c>
      <c r="CW7" s="801" t="s">
        <v>13541</v>
      </c>
      <c r="CX7" s="801" t="s">
        <v>13579</v>
      </c>
      <c r="CY7" s="801" t="s">
        <v>5263</v>
      </c>
      <c r="CZ7" s="801" t="s">
        <v>13579</v>
      </c>
      <c r="DC7"/>
      <c r="DH7" s="1"/>
      <c r="DI7" s="1"/>
      <c r="DK7" s="1"/>
      <c r="DL7" s="1"/>
      <c r="DN7" s="1"/>
      <c r="DO7" s="1"/>
      <c r="DQ7" s="1"/>
      <c r="DR7" s="1"/>
      <c r="DW7" s="1"/>
      <c r="DX7" s="1"/>
      <c r="DZ7" s="1"/>
      <c r="EA7" s="1"/>
      <c r="EC7" s="1"/>
      <c r="ED7" s="1"/>
      <c r="FH7"/>
      <c r="FI7"/>
      <c r="FJ7"/>
      <c r="FK7"/>
      <c r="FL7"/>
      <c r="FM7"/>
      <c r="FN7"/>
      <c r="FO7"/>
      <c r="FP7"/>
      <c r="FQ7"/>
      <c r="FR7"/>
      <c r="FS7"/>
      <c r="FT7"/>
      <c r="FU7"/>
      <c r="FV7"/>
      <c r="FW7"/>
      <c r="FX7"/>
      <c r="FY7"/>
      <c r="FZ7"/>
      <c r="GA7"/>
      <c r="GB7"/>
      <c r="GC7"/>
      <c r="GD7"/>
      <c r="GE7"/>
      <c r="GF7"/>
      <c r="GG7"/>
      <c r="GH7"/>
      <c r="GI7"/>
      <c r="GJ7"/>
      <c r="GK7"/>
      <c r="GL7"/>
      <c r="GM7"/>
      <c r="GN7"/>
      <c r="GO7"/>
    </row>
    <row r="8" spans="1:197">
      <c r="A8" s="804" t="s">
        <v>5729</v>
      </c>
      <c r="B8" s="802"/>
      <c r="C8" s="802"/>
      <c r="D8" s="802"/>
      <c r="E8" s="802" t="s">
        <v>13578</v>
      </c>
      <c r="F8" s="802" t="s">
        <v>13481</v>
      </c>
      <c r="G8" s="802" t="s">
        <v>13577</v>
      </c>
      <c r="H8" s="803"/>
      <c r="V8" s="804" t="s">
        <v>9209</v>
      </c>
      <c r="W8" s="802"/>
      <c r="Y8" s="802" t="s">
        <v>13576</v>
      </c>
      <c r="Z8" s="802" t="s">
        <v>13575</v>
      </c>
      <c r="AA8" s="802" t="s">
        <v>13574</v>
      </c>
      <c r="AB8" s="784" t="s">
        <v>13573</v>
      </c>
      <c r="AC8" s="785"/>
      <c r="AD8" s="785"/>
      <c r="AF8" s="804" t="s">
        <v>6227</v>
      </c>
      <c r="AI8" s="802" t="s">
        <v>12622</v>
      </c>
      <c r="AP8" s="802" t="s">
        <v>9429</v>
      </c>
      <c r="AR8" s="802" t="s">
        <v>13572</v>
      </c>
      <c r="AT8" s="802" t="s">
        <v>13571</v>
      </c>
      <c r="AU8" s="802" t="s">
        <v>13571</v>
      </c>
      <c r="AV8" s="802" t="s">
        <v>13570</v>
      </c>
      <c r="AW8" s="802" t="s">
        <v>5791</v>
      </c>
      <c r="AX8" s="802"/>
      <c r="AY8" s="803" t="s">
        <v>6827</v>
      </c>
      <c r="AZ8" s="802" t="s">
        <v>6178</v>
      </c>
      <c r="BI8" s="802" t="s">
        <v>13531</v>
      </c>
      <c r="BJ8" s="802" t="s">
        <v>13569</v>
      </c>
      <c r="BK8" s="802" t="s">
        <v>13568</v>
      </c>
      <c r="BT8" s="802" t="s">
        <v>13567</v>
      </c>
      <c r="BU8" s="802" t="s">
        <v>13566</v>
      </c>
      <c r="BV8" s="802" t="s">
        <v>13566</v>
      </c>
      <c r="BW8" s="802" t="s">
        <v>13566</v>
      </c>
      <c r="CD8" s="802" t="s">
        <v>13565</v>
      </c>
      <c r="CL8" s="801" t="s">
        <v>13564</v>
      </c>
      <c r="CM8" s="801" t="s">
        <v>2450</v>
      </c>
      <c r="CN8" s="801" t="s">
        <v>6276</v>
      </c>
      <c r="CP8" s="801" t="s">
        <v>13563</v>
      </c>
      <c r="CS8" s="801" t="s">
        <v>13562</v>
      </c>
      <c r="CU8" s="801" t="s">
        <v>13561</v>
      </c>
      <c r="CV8" s="801" t="s">
        <v>13560</v>
      </c>
      <c r="CW8" s="801" t="s">
        <v>13523</v>
      </c>
      <c r="CX8" s="801" t="s">
        <v>13559</v>
      </c>
      <c r="CY8" s="801" t="s">
        <v>5197</v>
      </c>
      <c r="CZ8" s="801" t="s">
        <v>13558</v>
      </c>
      <c r="DC8"/>
      <c r="DH8" s="1"/>
      <c r="DI8" s="1"/>
      <c r="DK8" s="1"/>
      <c r="DL8" s="1"/>
      <c r="DN8" s="1"/>
      <c r="DO8" s="1"/>
      <c r="DQ8" s="1"/>
      <c r="DR8" s="1"/>
      <c r="DW8" s="1"/>
      <c r="DX8" s="1"/>
      <c r="DZ8" s="1"/>
      <c r="EA8" s="1"/>
      <c r="EC8" s="1"/>
      <c r="ED8" s="1"/>
      <c r="FH8"/>
      <c r="FI8"/>
      <c r="FJ8"/>
      <c r="FK8"/>
      <c r="FL8"/>
      <c r="FM8"/>
      <c r="FN8"/>
      <c r="FO8"/>
      <c r="FP8"/>
      <c r="FQ8"/>
      <c r="FR8"/>
      <c r="FS8"/>
      <c r="FT8"/>
      <c r="FU8"/>
      <c r="FV8"/>
      <c r="FW8"/>
      <c r="FX8"/>
      <c r="FY8"/>
      <c r="FZ8"/>
      <c r="GA8"/>
      <c r="GB8"/>
      <c r="GC8"/>
      <c r="GD8"/>
      <c r="GE8"/>
      <c r="GF8"/>
      <c r="GG8"/>
      <c r="GH8"/>
      <c r="GI8"/>
      <c r="GJ8"/>
      <c r="GK8"/>
      <c r="GL8"/>
      <c r="GM8"/>
      <c r="GN8"/>
      <c r="GO8"/>
    </row>
    <row r="9" spans="1:197">
      <c r="A9" s="804" t="s">
        <v>13557</v>
      </c>
      <c r="B9" s="802"/>
      <c r="C9" s="802"/>
      <c r="D9" s="802"/>
      <c r="E9" s="802" t="s">
        <v>13556</v>
      </c>
      <c r="F9" s="802" t="s">
        <v>13555</v>
      </c>
      <c r="G9" s="802"/>
      <c r="H9" s="803"/>
      <c r="V9" s="804" t="s">
        <v>12292</v>
      </c>
      <c r="W9" s="802"/>
      <c r="Y9" s="802" t="s">
        <v>13554</v>
      </c>
      <c r="Z9" s="802" t="s">
        <v>13553</v>
      </c>
      <c r="AA9" s="802" t="s">
        <v>5787</v>
      </c>
      <c r="AB9" s="784" t="s">
        <v>13534</v>
      </c>
      <c r="AC9" s="785"/>
      <c r="AD9" s="785"/>
      <c r="AF9" s="804" t="s">
        <v>7370</v>
      </c>
      <c r="AI9" s="802" t="s">
        <v>13552</v>
      </c>
      <c r="AP9" s="802" t="s">
        <v>13551</v>
      </c>
      <c r="AR9" s="802" t="s">
        <v>13533</v>
      </c>
      <c r="AT9" s="802" t="s">
        <v>13550</v>
      </c>
      <c r="AU9" s="802" t="s">
        <v>13550</v>
      </c>
      <c r="AV9" s="802" t="s">
        <v>13549</v>
      </c>
      <c r="AW9" s="802" t="s">
        <v>5795</v>
      </c>
      <c r="AX9" s="802"/>
      <c r="AY9" s="803" t="s">
        <v>6831</v>
      </c>
      <c r="AZ9" s="802" t="s">
        <v>5856</v>
      </c>
      <c r="BI9" s="802" t="s">
        <v>13510</v>
      </c>
      <c r="BJ9" s="802" t="s">
        <v>13548</v>
      </c>
      <c r="BK9" s="802" t="s">
        <v>13547</v>
      </c>
      <c r="BT9" s="802" t="s">
        <v>13546</v>
      </c>
      <c r="BU9" s="802" t="s">
        <v>13545</v>
      </c>
      <c r="BV9" s="802" t="s">
        <v>13545</v>
      </c>
      <c r="BW9" s="802" t="s">
        <v>13545</v>
      </c>
      <c r="CD9" s="802" t="s">
        <v>13544</v>
      </c>
      <c r="CL9" s="801" t="s">
        <v>7459</v>
      </c>
      <c r="CM9" s="801" t="s">
        <v>4775</v>
      </c>
      <c r="CN9" s="801" t="s">
        <v>6277</v>
      </c>
      <c r="CP9" s="801" t="s">
        <v>13543</v>
      </c>
      <c r="CS9" s="801" t="s">
        <v>6771</v>
      </c>
      <c r="CU9" s="801" t="s">
        <v>5197</v>
      </c>
      <c r="CV9" s="801" t="s">
        <v>13542</v>
      </c>
      <c r="CW9" s="801" t="s">
        <v>2826</v>
      </c>
      <c r="CX9" s="801" t="s">
        <v>13522</v>
      </c>
      <c r="CY9" s="801" t="s">
        <v>13541</v>
      </c>
      <c r="CZ9" s="801" t="s">
        <v>13540</v>
      </c>
      <c r="DC9"/>
      <c r="DH9" s="1"/>
      <c r="DI9" s="1"/>
      <c r="DK9" s="1"/>
      <c r="DL9" s="1"/>
      <c r="DN9" s="1"/>
      <c r="DO9" s="1"/>
      <c r="DQ9" s="1"/>
      <c r="DR9" s="1"/>
      <c r="DW9" s="1"/>
      <c r="DX9" s="1"/>
      <c r="DZ9" s="1"/>
      <c r="EA9" s="1"/>
      <c r="EC9" s="1"/>
      <c r="ED9" s="1"/>
      <c r="FH9"/>
      <c r="FI9"/>
      <c r="FJ9"/>
      <c r="FK9"/>
      <c r="FL9"/>
      <c r="FM9"/>
      <c r="FN9"/>
      <c r="FO9"/>
      <c r="FP9"/>
      <c r="FQ9"/>
      <c r="FR9"/>
      <c r="FS9"/>
      <c r="FT9"/>
      <c r="FU9"/>
      <c r="FV9"/>
      <c r="FW9"/>
      <c r="FX9"/>
      <c r="FY9"/>
      <c r="FZ9"/>
      <c r="GA9"/>
      <c r="GB9"/>
      <c r="GC9"/>
      <c r="GD9"/>
      <c r="GE9"/>
      <c r="GF9"/>
      <c r="GG9"/>
      <c r="GH9"/>
      <c r="GI9"/>
      <c r="GJ9"/>
      <c r="GK9"/>
      <c r="GL9"/>
      <c r="GM9"/>
      <c r="GN9"/>
      <c r="GO9"/>
    </row>
    <row r="10" spans="1:197">
      <c r="A10" s="804" t="s">
        <v>13539</v>
      </c>
      <c r="B10" s="802"/>
      <c r="C10" s="802"/>
      <c r="D10" s="802"/>
      <c r="E10" s="802" t="s">
        <v>13538</v>
      </c>
      <c r="F10" s="802" t="s">
        <v>13481</v>
      </c>
      <c r="G10" s="802"/>
      <c r="H10" s="803"/>
      <c r="V10" s="804" t="s">
        <v>13537</v>
      </c>
      <c r="W10" s="802"/>
      <c r="Y10" s="802" t="s">
        <v>13536</v>
      </c>
      <c r="Z10" s="802" t="s">
        <v>13535</v>
      </c>
      <c r="AA10" s="802" t="s">
        <v>13478</v>
      </c>
      <c r="AB10" s="784" t="s">
        <v>13534</v>
      </c>
      <c r="AC10" s="785"/>
      <c r="AD10" s="785"/>
      <c r="AF10" s="804" t="s">
        <v>11198</v>
      </c>
      <c r="AI10" s="802" t="s">
        <v>3906</v>
      </c>
      <c r="AP10" s="802" t="s">
        <v>13493</v>
      </c>
      <c r="AR10" s="802" t="s">
        <v>13533</v>
      </c>
      <c r="AT10" s="802" t="s">
        <v>13532</v>
      </c>
      <c r="AU10" s="802" t="s">
        <v>13532</v>
      </c>
      <c r="AY10" s="803" t="s">
        <v>6832</v>
      </c>
      <c r="AZ10" s="802" t="s">
        <v>5857</v>
      </c>
      <c r="BJ10" s="802" t="s">
        <v>13531</v>
      </c>
      <c r="BT10" s="802" t="s">
        <v>13530</v>
      </c>
      <c r="BU10" s="802" t="s">
        <v>13529</v>
      </c>
      <c r="BV10" s="802" t="s">
        <v>13529</v>
      </c>
      <c r="BW10" s="802" t="s">
        <v>13529</v>
      </c>
      <c r="CD10" s="802" t="s">
        <v>13528</v>
      </c>
      <c r="CL10" s="801" t="s">
        <v>6257</v>
      </c>
      <c r="CM10" s="801" t="s">
        <v>13527</v>
      </c>
      <c r="CN10" s="801" t="s">
        <v>13526</v>
      </c>
      <c r="CP10" s="801" t="s">
        <v>13525</v>
      </c>
      <c r="CS10" s="801" t="s">
        <v>13524</v>
      </c>
      <c r="CU10" s="801" t="s">
        <v>5167</v>
      </c>
      <c r="CV10" s="801" t="s">
        <v>13457</v>
      </c>
      <c r="CW10" s="801" t="s">
        <v>10236</v>
      </c>
      <c r="CX10" s="801" t="s">
        <v>13484</v>
      </c>
      <c r="CY10" s="801" t="s">
        <v>13523</v>
      </c>
      <c r="CZ10" s="801" t="s">
        <v>13522</v>
      </c>
      <c r="DC10"/>
      <c r="DH10" s="1"/>
      <c r="DI10" s="1"/>
      <c r="DK10" s="1"/>
      <c r="DL10" s="1"/>
      <c r="DN10" s="1"/>
      <c r="DO10" s="1"/>
      <c r="DQ10" s="1"/>
      <c r="DR10" s="1"/>
      <c r="DW10" s="1"/>
      <c r="DX10" s="1"/>
      <c r="DZ10" s="1"/>
      <c r="EA10" s="1"/>
      <c r="EC10" s="1"/>
      <c r="ED10" s="1"/>
      <c r="FH10"/>
      <c r="FI10"/>
      <c r="FJ10"/>
      <c r="FK10"/>
      <c r="FL10"/>
      <c r="FM10"/>
      <c r="FN10"/>
      <c r="FO10"/>
      <c r="FP10"/>
      <c r="FQ10"/>
      <c r="FR10"/>
      <c r="FS10"/>
      <c r="FT10"/>
      <c r="FU10"/>
      <c r="FV10"/>
      <c r="FW10"/>
      <c r="FX10"/>
      <c r="FY10"/>
      <c r="FZ10"/>
      <c r="GA10"/>
      <c r="GB10"/>
      <c r="GC10"/>
      <c r="GD10"/>
      <c r="GE10"/>
      <c r="GF10"/>
      <c r="GG10"/>
      <c r="GH10"/>
      <c r="GI10"/>
      <c r="GJ10"/>
      <c r="GK10"/>
      <c r="GL10"/>
      <c r="GM10"/>
      <c r="GN10"/>
      <c r="GO10"/>
    </row>
    <row r="11" spans="1:197">
      <c r="A11" s="804" t="s">
        <v>13521</v>
      </c>
      <c r="B11" s="802"/>
      <c r="C11" s="802"/>
      <c r="D11" s="802"/>
      <c r="E11" s="802" t="s">
        <v>13520</v>
      </c>
      <c r="F11" s="802" t="s">
        <v>13519</v>
      </c>
      <c r="G11" s="802"/>
      <c r="H11" s="803"/>
      <c r="V11" s="804" t="s">
        <v>13518</v>
      </c>
      <c r="W11" s="802"/>
      <c r="Y11" s="802" t="s">
        <v>13517</v>
      </c>
      <c r="Z11" s="802" t="s">
        <v>13516</v>
      </c>
      <c r="AA11" s="802" t="s">
        <v>13478</v>
      </c>
      <c r="AB11" s="784" t="s">
        <v>13515</v>
      </c>
      <c r="AC11" s="785"/>
      <c r="AD11" s="785"/>
      <c r="AF11" s="804" t="s">
        <v>13514</v>
      </c>
      <c r="AP11" s="802" t="s">
        <v>13513</v>
      </c>
      <c r="AR11" s="802" t="s">
        <v>13512</v>
      </c>
      <c r="AT11" s="802" t="s">
        <v>13511</v>
      </c>
      <c r="AU11" s="802" t="s">
        <v>13511</v>
      </c>
      <c r="AY11" s="803" t="s">
        <v>6836</v>
      </c>
      <c r="AZ11" s="802" t="s">
        <v>6058</v>
      </c>
      <c r="BJ11" s="802" t="s">
        <v>13510</v>
      </c>
      <c r="BT11" s="802" t="s">
        <v>13509</v>
      </c>
      <c r="BU11" s="802" t="s">
        <v>13508</v>
      </c>
      <c r="BV11" s="802" t="s">
        <v>13508</v>
      </c>
      <c r="BW11" s="802" t="s">
        <v>13508</v>
      </c>
      <c r="CL11" s="801" t="s">
        <v>13507</v>
      </c>
      <c r="CM11" s="801" t="s">
        <v>13506</v>
      </c>
      <c r="CN11" s="801" t="s">
        <v>13505</v>
      </c>
      <c r="CP11" s="801" t="s">
        <v>13504</v>
      </c>
      <c r="CS11" s="801" t="s">
        <v>13503</v>
      </c>
      <c r="CU11" s="801" t="s">
        <v>13502</v>
      </c>
      <c r="CV11" s="801" t="s">
        <v>13501</v>
      </c>
      <c r="CW11" s="801" t="s">
        <v>3017</v>
      </c>
      <c r="CX11" s="801" t="s">
        <v>13466</v>
      </c>
      <c r="CY11" s="801" t="s">
        <v>2826</v>
      </c>
      <c r="CZ11" s="801" t="s">
        <v>13500</v>
      </c>
      <c r="DC11"/>
      <c r="DH11" s="1"/>
      <c r="DI11" s="1"/>
      <c r="FH11"/>
      <c r="FI11"/>
      <c r="FJ11"/>
      <c r="FK11"/>
      <c r="FL11"/>
      <c r="FM11"/>
      <c r="FN11"/>
      <c r="FO11"/>
      <c r="FP11"/>
      <c r="FQ11"/>
      <c r="FR11"/>
      <c r="FS11"/>
      <c r="FT11"/>
      <c r="FU11"/>
      <c r="FV11"/>
      <c r="FW11"/>
      <c r="FX11"/>
      <c r="FY11"/>
      <c r="FZ11"/>
      <c r="GA11"/>
      <c r="GB11"/>
      <c r="GC11"/>
      <c r="GD11"/>
      <c r="GE11"/>
      <c r="GF11"/>
      <c r="GG11"/>
      <c r="GH11"/>
      <c r="GI11"/>
      <c r="GJ11"/>
      <c r="GK11"/>
      <c r="GL11"/>
      <c r="GM11"/>
      <c r="GN11"/>
      <c r="GO11"/>
    </row>
    <row r="12" spans="1:197">
      <c r="A12" s="804" t="s">
        <v>13499</v>
      </c>
      <c r="B12" s="802"/>
      <c r="C12" s="802"/>
      <c r="D12" s="802"/>
      <c r="E12" s="802" t="s">
        <v>13498</v>
      </c>
      <c r="F12" s="802" t="s">
        <v>13497</v>
      </c>
      <c r="G12" s="802"/>
      <c r="H12" s="803"/>
      <c r="V12" s="804" t="s">
        <v>12111</v>
      </c>
      <c r="W12" s="802"/>
      <c r="Y12" s="802" t="s">
        <v>13496</v>
      </c>
      <c r="Z12" s="802" t="s">
        <v>13495</v>
      </c>
      <c r="AA12" s="802" t="s">
        <v>13478</v>
      </c>
      <c r="AB12" s="784" t="s">
        <v>13494</v>
      </c>
      <c r="AC12" s="785"/>
      <c r="AD12" s="785"/>
      <c r="AT12" s="802" t="s">
        <v>13493</v>
      </c>
      <c r="AU12" s="802" t="s">
        <v>13493</v>
      </c>
      <c r="AZ12" s="802" t="s">
        <v>5970</v>
      </c>
      <c r="BT12" s="802" t="s">
        <v>13492</v>
      </c>
      <c r="BU12" s="802" t="s">
        <v>13491</v>
      </c>
      <c r="BV12" s="802" t="s">
        <v>13491</v>
      </c>
      <c r="BW12" s="802" t="s">
        <v>13491</v>
      </c>
      <c r="CL12" s="801" t="s">
        <v>13490</v>
      </c>
      <c r="CM12" s="801" t="s">
        <v>3081</v>
      </c>
      <c r="CN12" s="801" t="s">
        <v>13489</v>
      </c>
      <c r="CP12" s="801" t="s">
        <v>13488</v>
      </c>
      <c r="CS12" s="801" t="s">
        <v>13487</v>
      </c>
      <c r="CU12" s="801" t="s">
        <v>13486</v>
      </c>
      <c r="CV12" s="801" t="s">
        <v>13442</v>
      </c>
      <c r="CW12" s="801" t="s">
        <v>13485</v>
      </c>
      <c r="CX12" s="801" t="s">
        <v>13457</v>
      </c>
      <c r="CY12" s="801" t="s">
        <v>10236</v>
      </c>
      <c r="CZ12" s="801" t="s">
        <v>13484</v>
      </c>
      <c r="DC12"/>
      <c r="DE12" t="s">
        <v>13903</v>
      </c>
      <c r="DF12" t="s">
        <v>13927</v>
      </c>
      <c r="FH12"/>
      <c r="FI12"/>
      <c r="FJ12"/>
      <c r="FK12"/>
      <c r="FL12"/>
      <c r="FM12"/>
      <c r="FN12"/>
      <c r="FO12"/>
      <c r="FP12"/>
      <c r="FQ12"/>
      <c r="FR12"/>
      <c r="FS12"/>
      <c r="FT12"/>
      <c r="FU12"/>
      <c r="FV12"/>
      <c r="FW12"/>
      <c r="FX12"/>
      <c r="FY12"/>
      <c r="FZ12"/>
      <c r="GA12"/>
      <c r="GB12"/>
      <c r="GC12"/>
      <c r="GD12"/>
      <c r="GE12"/>
      <c r="GF12"/>
      <c r="GG12"/>
      <c r="GH12"/>
      <c r="GI12"/>
      <c r="GJ12"/>
      <c r="GK12"/>
      <c r="GL12"/>
      <c r="GM12"/>
      <c r="GN12"/>
      <c r="GO12"/>
    </row>
    <row r="13" spans="1:197">
      <c r="A13" s="1060" t="s">
        <v>13483</v>
      </c>
      <c r="B13" s="1061"/>
      <c r="C13" s="1061"/>
      <c r="D13" s="1061"/>
      <c r="E13" s="1061" t="s">
        <v>13482</v>
      </c>
      <c r="F13" s="1061" t="s">
        <v>13481</v>
      </c>
      <c r="G13" s="1061"/>
      <c r="H13" s="1062"/>
      <c r="V13" s="804" t="s">
        <v>13480</v>
      </c>
      <c r="W13" s="802"/>
      <c r="Y13" s="802" t="s">
        <v>13479</v>
      </c>
      <c r="Z13" s="802" t="s">
        <v>13893</v>
      </c>
      <c r="AA13" s="802" t="s">
        <v>13478</v>
      </c>
      <c r="AB13" s="784" t="s">
        <v>13477</v>
      </c>
      <c r="AC13" s="785"/>
      <c r="AD13" s="785"/>
      <c r="AT13" s="802" t="s">
        <v>13476</v>
      </c>
      <c r="AU13" s="802" t="s">
        <v>13476</v>
      </c>
      <c r="AZ13" s="802" t="s">
        <v>13475</v>
      </c>
      <c r="BT13" s="802" t="s">
        <v>13474</v>
      </c>
      <c r="BU13" s="802" t="s">
        <v>13473</v>
      </c>
      <c r="BV13" s="802" t="s">
        <v>13473</v>
      </c>
      <c r="BW13" s="802" t="s">
        <v>13473</v>
      </c>
      <c r="CL13" s="801" t="s">
        <v>13472</v>
      </c>
      <c r="CM13" s="801" t="s">
        <v>3952</v>
      </c>
      <c r="CN13" s="801" t="s">
        <v>13471</v>
      </c>
      <c r="CP13" s="801" t="s">
        <v>13470</v>
      </c>
      <c r="CS13" s="801" t="s">
        <v>13469</v>
      </c>
      <c r="CU13" s="801" t="s">
        <v>10236</v>
      </c>
      <c r="CV13" s="801" t="s">
        <v>13468</v>
      </c>
      <c r="CW13" s="801" t="s">
        <v>13458</v>
      </c>
      <c r="CX13" s="801" t="s">
        <v>13467</v>
      </c>
      <c r="CY13" s="801" t="s">
        <v>3017</v>
      </c>
      <c r="CZ13" s="801" t="s">
        <v>13466</v>
      </c>
      <c r="DC13"/>
      <c r="DD13" t="s">
        <v>13904</v>
      </c>
      <c r="DE13" t="s">
        <v>13905</v>
      </c>
      <c r="FH13"/>
      <c r="FI13"/>
      <c r="FJ13"/>
      <c r="FK13"/>
      <c r="FL13"/>
      <c r="FM13"/>
      <c r="FN13"/>
      <c r="FO13"/>
      <c r="FP13"/>
      <c r="FQ13"/>
      <c r="FR13"/>
      <c r="FS13"/>
      <c r="FT13"/>
      <c r="FU13"/>
      <c r="FV13"/>
      <c r="FW13"/>
      <c r="FX13"/>
      <c r="FY13"/>
      <c r="FZ13"/>
      <c r="GA13"/>
      <c r="GB13"/>
      <c r="GC13"/>
      <c r="GD13"/>
      <c r="GE13"/>
      <c r="GF13"/>
      <c r="GG13"/>
      <c r="GH13"/>
      <c r="GI13"/>
      <c r="GJ13"/>
      <c r="GK13"/>
      <c r="GL13"/>
      <c r="GM13"/>
      <c r="GN13"/>
      <c r="GO13"/>
    </row>
    <row r="14" spans="1:197">
      <c r="AC14" s="785"/>
      <c r="AD14" s="785"/>
      <c r="AT14" s="802" t="s">
        <v>13465</v>
      </c>
      <c r="AU14" s="802" t="s">
        <v>13465</v>
      </c>
      <c r="AZ14" s="802" t="s">
        <v>6056</v>
      </c>
      <c r="BU14" s="802" t="s">
        <v>13464</v>
      </c>
      <c r="BV14" s="802" t="s">
        <v>13464</v>
      </c>
      <c r="BW14" s="802" t="s">
        <v>13464</v>
      </c>
      <c r="CL14" s="801" t="s">
        <v>6270</v>
      </c>
      <c r="CM14" s="801" t="s">
        <v>4646</v>
      </c>
      <c r="CN14" s="801" t="s">
        <v>13463</v>
      </c>
      <c r="CP14" s="801" t="s">
        <v>13462</v>
      </c>
      <c r="CS14" s="801" t="s">
        <v>13461</v>
      </c>
      <c r="CU14" s="801" t="s">
        <v>13460</v>
      </c>
      <c r="CV14" s="801" t="s">
        <v>13420</v>
      </c>
      <c r="CW14" s="801" t="s">
        <v>13447</v>
      </c>
      <c r="CX14" s="801" t="s">
        <v>13459</v>
      </c>
      <c r="CY14" s="801" t="s">
        <v>13458</v>
      </c>
      <c r="CZ14" s="801" t="s">
        <v>13457</v>
      </c>
      <c r="DC14"/>
      <c r="DE14" t="s">
        <v>13906</v>
      </c>
      <c r="FH14"/>
      <c r="FI14"/>
      <c r="FJ14"/>
      <c r="FK14"/>
      <c r="FL14"/>
      <c r="FM14"/>
      <c r="FN14"/>
      <c r="FO14"/>
      <c r="FP14"/>
      <c r="FQ14"/>
      <c r="FR14"/>
      <c r="FS14"/>
      <c r="FT14"/>
      <c r="FU14"/>
      <c r="FV14"/>
      <c r="FW14"/>
      <c r="FX14"/>
      <c r="FY14"/>
      <c r="FZ14"/>
      <c r="GA14"/>
      <c r="GB14"/>
      <c r="GC14"/>
      <c r="GD14"/>
      <c r="GE14"/>
      <c r="GF14"/>
      <c r="GG14"/>
      <c r="GH14"/>
      <c r="GI14"/>
      <c r="GJ14"/>
      <c r="GK14"/>
      <c r="GL14"/>
      <c r="GM14"/>
      <c r="GN14"/>
      <c r="GO14"/>
    </row>
    <row r="15" spans="1:197">
      <c r="AT15" s="802" t="s">
        <v>13456</v>
      </c>
      <c r="AU15" s="802" t="s">
        <v>13456</v>
      </c>
      <c r="AZ15" s="802" t="s">
        <v>5975</v>
      </c>
      <c r="BU15" s="802" t="s">
        <v>13455</v>
      </c>
      <c r="BV15" s="802" t="s">
        <v>13455</v>
      </c>
      <c r="BW15" s="802" t="s">
        <v>13455</v>
      </c>
      <c r="CL15" s="801" t="s">
        <v>13454</v>
      </c>
      <c r="CM15" s="801" t="s">
        <v>5847</v>
      </c>
      <c r="CS15" s="801" t="s">
        <v>13453</v>
      </c>
      <c r="CU15" s="801" t="s">
        <v>13452</v>
      </c>
      <c r="CV15" s="801" t="s">
        <v>13400</v>
      </c>
      <c r="CW15" s="801" t="s">
        <v>4861</v>
      </c>
      <c r="CX15" s="801" t="s">
        <v>13446</v>
      </c>
      <c r="CY15" s="801" t="s">
        <v>3520</v>
      </c>
      <c r="CZ15" s="801" t="s">
        <v>13451</v>
      </c>
      <c r="DC15"/>
      <c r="DE15" t="s">
        <v>13907</v>
      </c>
      <c r="FH15"/>
      <c r="FI15"/>
      <c r="FJ15"/>
      <c r="FK15"/>
      <c r="FL15"/>
      <c r="FM15"/>
      <c r="FN15"/>
      <c r="FO15"/>
      <c r="FP15"/>
      <c r="FQ15"/>
      <c r="FR15"/>
      <c r="FS15"/>
      <c r="FT15"/>
      <c r="FU15"/>
      <c r="FV15"/>
      <c r="FW15"/>
      <c r="FX15"/>
      <c r="FY15"/>
      <c r="FZ15"/>
      <c r="GA15"/>
      <c r="GB15"/>
      <c r="GC15"/>
      <c r="GD15"/>
      <c r="GE15"/>
      <c r="GF15"/>
      <c r="GG15"/>
      <c r="GH15"/>
      <c r="GI15"/>
      <c r="GJ15"/>
      <c r="GK15"/>
      <c r="GL15"/>
      <c r="GM15"/>
      <c r="GN15"/>
      <c r="GO15"/>
    </row>
    <row r="16" spans="1:197">
      <c r="V16" s="801" t="s">
        <v>551</v>
      </c>
      <c r="W16" s="822" t="s">
        <v>7706</v>
      </c>
      <c r="AT16" s="802" t="s">
        <v>13450</v>
      </c>
      <c r="AU16" s="802" t="s">
        <v>13450</v>
      </c>
      <c r="AZ16" s="802" t="s">
        <v>6064</v>
      </c>
      <c r="BU16" s="802" t="s">
        <v>13449</v>
      </c>
      <c r="BV16" s="802" t="s">
        <v>13449</v>
      </c>
      <c r="BW16" s="802" t="s">
        <v>13449</v>
      </c>
      <c r="CM16" s="801" t="s">
        <v>3586</v>
      </c>
      <c r="CS16" s="801" t="s">
        <v>13448</v>
      </c>
      <c r="CU16" s="801" t="s">
        <v>3520</v>
      </c>
      <c r="CV16" s="801" t="s">
        <v>13390</v>
      </c>
      <c r="CW16" s="801" t="s">
        <v>13437</v>
      </c>
      <c r="CX16" s="801" t="s">
        <v>13442</v>
      </c>
      <c r="CY16" s="801" t="s">
        <v>13447</v>
      </c>
      <c r="CZ16" s="801" t="s">
        <v>13446</v>
      </c>
      <c r="DC16"/>
      <c r="DD16" t="s">
        <v>13105</v>
      </c>
      <c r="DE16" t="s">
        <v>13908</v>
      </c>
      <c r="FH16"/>
      <c r="FI16"/>
      <c r="FJ16"/>
      <c r="FK16"/>
      <c r="FL16"/>
      <c r="FM16"/>
      <c r="FN16"/>
      <c r="FO16"/>
      <c r="FP16"/>
      <c r="FQ16"/>
      <c r="FR16"/>
      <c r="FS16"/>
      <c r="FT16"/>
      <c r="FU16"/>
      <c r="FV16"/>
      <c r="FW16"/>
      <c r="FX16"/>
      <c r="FY16"/>
      <c r="FZ16"/>
      <c r="GA16"/>
      <c r="GB16"/>
      <c r="GC16"/>
      <c r="GD16"/>
      <c r="GE16"/>
      <c r="GF16"/>
      <c r="GG16"/>
      <c r="GH16"/>
      <c r="GI16"/>
      <c r="GJ16"/>
      <c r="GK16"/>
      <c r="GL16"/>
      <c r="GM16"/>
      <c r="GN16"/>
      <c r="GO16"/>
    </row>
    <row r="17" spans="1:197">
      <c r="V17" s="801" t="s">
        <v>12292</v>
      </c>
      <c r="W17" s="822" t="s">
        <v>13894</v>
      </c>
      <c r="AT17" s="802" t="s">
        <v>13445</v>
      </c>
      <c r="AU17" s="802" t="s">
        <v>13445</v>
      </c>
      <c r="AZ17" s="802" t="s">
        <v>6030</v>
      </c>
      <c r="BU17" s="802" t="s">
        <v>13444</v>
      </c>
      <c r="BV17" s="802" t="s">
        <v>13444</v>
      </c>
      <c r="BW17" s="802" t="s">
        <v>13444</v>
      </c>
      <c r="CM17" s="801" t="s">
        <v>3575</v>
      </c>
      <c r="CS17" s="801" t="s">
        <v>6248</v>
      </c>
      <c r="CU17" s="801" t="s">
        <v>13443</v>
      </c>
      <c r="CV17" s="801" t="s">
        <v>13388</v>
      </c>
      <c r="CW17" s="801" t="s">
        <v>13433</v>
      </c>
      <c r="CX17" s="801" t="s">
        <v>13436</v>
      </c>
      <c r="CY17" s="801" t="s">
        <v>4861</v>
      </c>
      <c r="CZ17" s="801" t="s">
        <v>13442</v>
      </c>
      <c r="DC17"/>
      <c r="DE17" t="s">
        <v>13909</v>
      </c>
      <c r="FH17"/>
      <c r="FI17"/>
      <c r="FJ17"/>
      <c r="FK17"/>
      <c r="FL17"/>
      <c r="FM17"/>
      <c r="FN17"/>
      <c r="FO17"/>
      <c r="FP17"/>
      <c r="FQ17"/>
      <c r="FR17"/>
      <c r="FS17"/>
      <c r="FT17"/>
      <c r="FU17"/>
      <c r="FV17"/>
      <c r="FW17"/>
      <c r="FX17"/>
      <c r="FY17"/>
      <c r="FZ17"/>
      <c r="GA17"/>
      <c r="GB17"/>
      <c r="GC17"/>
      <c r="GD17"/>
      <c r="GE17"/>
      <c r="GF17"/>
      <c r="GG17"/>
      <c r="GH17"/>
      <c r="GI17"/>
      <c r="GJ17"/>
      <c r="GK17"/>
      <c r="GL17"/>
      <c r="GM17"/>
      <c r="GN17"/>
      <c r="GO17"/>
    </row>
    <row r="18" spans="1:197">
      <c r="V18" s="801" t="s">
        <v>13537</v>
      </c>
      <c r="W18" s="822" t="s">
        <v>13895</v>
      </c>
      <c r="AT18" s="802" t="s">
        <v>13441</v>
      </c>
      <c r="AU18" s="802" t="s">
        <v>13441</v>
      </c>
      <c r="AZ18" s="802" t="s">
        <v>6199</v>
      </c>
      <c r="BU18" s="802" t="s">
        <v>13440</v>
      </c>
      <c r="BV18" s="802" t="s">
        <v>13440</v>
      </c>
      <c r="BW18" s="802" t="s">
        <v>13440</v>
      </c>
      <c r="CM18" s="801" t="s">
        <v>2580</v>
      </c>
      <c r="CS18" s="801" t="s">
        <v>6251</v>
      </c>
      <c r="CU18" s="801" t="s">
        <v>13439</v>
      </c>
      <c r="CV18" s="801" t="s">
        <v>13379</v>
      </c>
      <c r="CW18" s="801" t="s">
        <v>4711</v>
      </c>
      <c r="CX18" s="801" t="s">
        <v>13438</v>
      </c>
      <c r="CY18" s="801" t="s">
        <v>13437</v>
      </c>
      <c r="CZ18" s="801" t="s">
        <v>13436</v>
      </c>
      <c r="DC18"/>
      <c r="DE18" t="s">
        <v>13910</v>
      </c>
      <c r="FH18"/>
      <c r="FI18"/>
      <c r="FJ18"/>
      <c r="FK18"/>
      <c r="FL18"/>
      <c r="FM18"/>
      <c r="FN18"/>
      <c r="FO18"/>
      <c r="FP18"/>
      <c r="FQ18"/>
      <c r="FR18"/>
      <c r="FS18"/>
      <c r="FT18"/>
      <c r="FU18"/>
      <c r="FV18"/>
      <c r="FW18"/>
      <c r="FX18"/>
      <c r="FY18"/>
      <c r="FZ18"/>
      <c r="GA18"/>
      <c r="GB18"/>
      <c r="GC18"/>
      <c r="GD18"/>
      <c r="GE18"/>
      <c r="GF18"/>
      <c r="GG18"/>
      <c r="GH18"/>
      <c r="GI18"/>
      <c r="GJ18"/>
      <c r="GK18"/>
      <c r="GL18"/>
      <c r="GM18"/>
      <c r="GN18"/>
      <c r="GO18"/>
    </row>
    <row r="19" spans="1:197">
      <c r="V19" s="801" t="s">
        <v>13518</v>
      </c>
      <c r="W19" s="822" t="s">
        <v>13896</v>
      </c>
      <c r="AT19" s="802" t="s">
        <v>13435</v>
      </c>
      <c r="AU19" s="802" t="s">
        <v>13435</v>
      </c>
      <c r="AZ19" s="802" t="s">
        <v>6136</v>
      </c>
      <c r="BU19" s="802" t="s">
        <v>13434</v>
      </c>
      <c r="BV19" s="802" t="s">
        <v>13434</v>
      </c>
      <c r="BW19" s="802" t="s">
        <v>13434</v>
      </c>
      <c r="CM19" s="801" t="s">
        <v>5848</v>
      </c>
      <c r="CS19" s="801" t="s">
        <v>6250</v>
      </c>
      <c r="CU19" s="801" t="s">
        <v>8907</v>
      </c>
      <c r="CV19" s="801" t="s">
        <v>13373</v>
      </c>
      <c r="CW19" s="801" t="s">
        <v>13410</v>
      </c>
      <c r="CX19" s="801" t="s">
        <v>13432</v>
      </c>
      <c r="CY19" s="801" t="s">
        <v>13433</v>
      </c>
      <c r="CZ19" s="801" t="s">
        <v>13432</v>
      </c>
      <c r="DC19"/>
      <c r="DD19" t="s">
        <v>13936</v>
      </c>
      <c r="DE19" t="s">
        <v>13911</v>
      </c>
      <c r="FH19"/>
      <c r="FI19"/>
      <c r="FJ19"/>
      <c r="FK19"/>
      <c r="FL19"/>
      <c r="FM19"/>
      <c r="FN19"/>
      <c r="FO19"/>
      <c r="FP19"/>
      <c r="FQ19"/>
      <c r="FR19"/>
      <c r="FS19"/>
      <c r="FT19"/>
      <c r="FU19"/>
      <c r="FV19"/>
      <c r="FW19"/>
      <c r="FX19"/>
      <c r="FY19"/>
      <c r="FZ19"/>
      <c r="GA19"/>
      <c r="GB19"/>
      <c r="GC19"/>
      <c r="GD19"/>
      <c r="GE19"/>
      <c r="GF19"/>
      <c r="GG19"/>
      <c r="GH19"/>
      <c r="GI19"/>
      <c r="GJ19"/>
      <c r="GK19"/>
      <c r="GL19"/>
      <c r="GM19"/>
      <c r="GN19"/>
      <c r="GO19"/>
    </row>
    <row r="20" spans="1:197">
      <c r="V20" s="801" t="s">
        <v>12111</v>
      </c>
      <c r="W20" s="822" t="s">
        <v>13897</v>
      </c>
      <c r="AT20" s="802" t="s">
        <v>13431</v>
      </c>
      <c r="AU20" s="802" t="s">
        <v>13431</v>
      </c>
      <c r="AZ20" s="802" t="s">
        <v>6213</v>
      </c>
      <c r="BU20" s="802" t="s">
        <v>13430</v>
      </c>
      <c r="BV20" s="802" t="s">
        <v>13430</v>
      </c>
      <c r="BW20" s="802" t="s">
        <v>13430</v>
      </c>
      <c r="CM20" s="801" t="s">
        <v>5849</v>
      </c>
      <c r="CS20" s="801" t="s">
        <v>13429</v>
      </c>
      <c r="CU20" s="801" t="s">
        <v>13428</v>
      </c>
      <c r="CV20" s="801" t="s">
        <v>13368</v>
      </c>
      <c r="CW20" s="801" t="s">
        <v>13405</v>
      </c>
      <c r="CX20" s="801" t="s">
        <v>13427</v>
      </c>
      <c r="CY20" s="801" t="s">
        <v>4711</v>
      </c>
      <c r="CZ20" s="801" t="s">
        <v>13427</v>
      </c>
      <c r="DC20"/>
      <c r="DE20" t="s">
        <v>13912</v>
      </c>
      <c r="FH20"/>
      <c r="FI20"/>
      <c r="FJ20"/>
      <c r="FK20"/>
      <c r="FL20"/>
      <c r="FM20"/>
      <c r="FN20"/>
      <c r="FO20"/>
      <c r="FP20"/>
      <c r="FQ20"/>
      <c r="FR20"/>
      <c r="FS20"/>
      <c r="FT20"/>
      <c r="FU20"/>
      <c r="FV20"/>
      <c r="FW20"/>
      <c r="FX20"/>
      <c r="FY20"/>
      <c r="FZ20"/>
      <c r="GA20"/>
      <c r="GB20"/>
      <c r="GC20"/>
      <c r="GD20"/>
      <c r="GE20"/>
      <c r="GF20"/>
      <c r="GG20"/>
      <c r="GH20"/>
      <c r="GI20"/>
      <c r="GJ20"/>
      <c r="GK20"/>
      <c r="GL20"/>
      <c r="GM20"/>
      <c r="GN20"/>
      <c r="GO20"/>
    </row>
    <row r="21" spans="1:197">
      <c r="V21" s="801" t="s">
        <v>13480</v>
      </c>
      <c r="W21" s="822" t="s">
        <v>13898</v>
      </c>
      <c r="AT21" s="802" t="s">
        <v>13426</v>
      </c>
      <c r="AU21" s="802" t="s">
        <v>13426</v>
      </c>
      <c r="AZ21" s="802" t="s">
        <v>6216</v>
      </c>
      <c r="BU21" s="802" t="s">
        <v>13425</v>
      </c>
      <c r="BV21" s="802" t="s">
        <v>13425</v>
      </c>
      <c r="BW21" s="802" t="s">
        <v>13425</v>
      </c>
      <c r="CM21" s="801" t="s">
        <v>3598</v>
      </c>
      <c r="CU21" s="801" t="s">
        <v>13424</v>
      </c>
      <c r="CV21" s="801" t="s">
        <v>13423</v>
      </c>
      <c r="CW21" s="801" t="s">
        <v>13422</v>
      </c>
      <c r="CX21" s="801" t="s">
        <v>13420</v>
      </c>
      <c r="CY21" s="801" t="s">
        <v>13421</v>
      </c>
      <c r="CZ21" s="801" t="s">
        <v>13420</v>
      </c>
      <c r="DC21"/>
      <c r="DE21" t="s">
        <v>13913</v>
      </c>
      <c r="FH21"/>
      <c r="FI21"/>
      <c r="FJ21"/>
      <c r="FK21"/>
      <c r="FL21"/>
      <c r="FM21"/>
      <c r="FN21"/>
      <c r="FO21"/>
      <c r="FP21"/>
      <c r="FQ21"/>
      <c r="FR21"/>
      <c r="FS21"/>
      <c r="FT21"/>
      <c r="FU21"/>
      <c r="FV21"/>
      <c r="FW21"/>
      <c r="FX21"/>
      <c r="FY21"/>
      <c r="FZ21"/>
      <c r="GA21"/>
      <c r="GB21"/>
      <c r="GC21"/>
      <c r="GD21"/>
      <c r="GE21"/>
      <c r="GF21"/>
      <c r="GG21"/>
      <c r="GH21"/>
      <c r="GI21"/>
      <c r="GJ21"/>
      <c r="GK21"/>
      <c r="GL21"/>
      <c r="GM21"/>
      <c r="GN21"/>
      <c r="GO21"/>
    </row>
    <row r="22" spans="1:197">
      <c r="AT22" s="802" t="s">
        <v>13419</v>
      </c>
      <c r="AU22" s="802" t="s">
        <v>13419</v>
      </c>
      <c r="AZ22" s="802" t="s">
        <v>5976</v>
      </c>
      <c r="BU22" s="802" t="s">
        <v>13418</v>
      </c>
      <c r="BV22" s="802" t="s">
        <v>13418</v>
      </c>
      <c r="BW22" s="802" t="s">
        <v>13418</v>
      </c>
      <c r="CM22" s="801" t="s">
        <v>2208</v>
      </c>
      <c r="CU22" s="801" t="s">
        <v>5800</v>
      </c>
      <c r="CV22" s="801" t="s">
        <v>13417</v>
      </c>
      <c r="CW22" s="801" t="s">
        <v>3016</v>
      </c>
      <c r="CX22" s="801" t="s">
        <v>13415</v>
      </c>
      <c r="CY22" s="801" t="s">
        <v>13416</v>
      </c>
      <c r="CZ22" s="801" t="s">
        <v>13415</v>
      </c>
      <c r="DC22"/>
      <c r="DD22" t="s">
        <v>13104</v>
      </c>
      <c r="DE22" t="s">
        <v>13914</v>
      </c>
      <c r="FH22"/>
      <c r="FI22"/>
      <c r="FJ22"/>
      <c r="FK22"/>
      <c r="FL22"/>
      <c r="FM22"/>
      <c r="FN22"/>
      <c r="FO22"/>
      <c r="FP22"/>
      <c r="FQ22"/>
      <c r="FR22"/>
      <c r="FS22"/>
      <c r="FT22"/>
      <c r="FU22"/>
      <c r="FV22"/>
      <c r="FW22"/>
      <c r="FX22"/>
      <c r="FY22"/>
      <c r="FZ22"/>
      <c r="GA22"/>
      <c r="GB22"/>
      <c r="GC22"/>
      <c r="GD22"/>
      <c r="GE22"/>
      <c r="GF22"/>
      <c r="GG22"/>
      <c r="GH22"/>
      <c r="GI22"/>
      <c r="GJ22"/>
      <c r="GK22"/>
      <c r="GL22"/>
      <c r="GM22"/>
      <c r="GN22"/>
      <c r="GO22"/>
    </row>
    <row r="23" spans="1:197">
      <c r="AT23" s="802" t="s">
        <v>13414</v>
      </c>
      <c r="AU23" s="802" t="s">
        <v>13414</v>
      </c>
      <c r="AZ23" s="802" t="s">
        <v>5982</v>
      </c>
      <c r="BU23" s="802" t="s">
        <v>7366</v>
      </c>
      <c r="BV23" s="802" t="s">
        <v>7366</v>
      </c>
      <c r="BW23" s="802" t="s">
        <v>7366</v>
      </c>
      <c r="CM23" s="801" t="s">
        <v>3637</v>
      </c>
      <c r="CU23" s="801" t="s">
        <v>13413</v>
      </c>
      <c r="CV23" s="801" t="s">
        <v>13412</v>
      </c>
      <c r="CW23" s="801" t="s">
        <v>13411</v>
      </c>
      <c r="CX23" s="801" t="s">
        <v>13409</v>
      </c>
      <c r="CY23" s="801" t="s">
        <v>13410</v>
      </c>
      <c r="CZ23" s="801" t="s">
        <v>13409</v>
      </c>
      <c r="DC23"/>
      <c r="DE23" t="s">
        <v>13915</v>
      </c>
      <c r="FH23"/>
      <c r="FI23"/>
      <c r="FJ23"/>
      <c r="FK23"/>
      <c r="FL23"/>
      <c r="FM23"/>
      <c r="FN23"/>
      <c r="FO23"/>
      <c r="FP23"/>
      <c r="FQ23"/>
      <c r="FR23"/>
      <c r="FS23"/>
      <c r="FT23"/>
      <c r="FU23"/>
      <c r="FV23"/>
      <c r="FW23"/>
      <c r="FX23"/>
      <c r="FY23"/>
      <c r="FZ23"/>
      <c r="GA23"/>
      <c r="GB23"/>
      <c r="GC23"/>
      <c r="GD23"/>
      <c r="GE23"/>
      <c r="GF23"/>
      <c r="GG23"/>
      <c r="GH23"/>
      <c r="GI23"/>
      <c r="GJ23"/>
      <c r="GK23"/>
      <c r="GL23"/>
      <c r="GM23"/>
      <c r="GN23"/>
      <c r="GO23"/>
    </row>
    <row r="24" spans="1:197">
      <c r="AT24" s="802" t="s">
        <v>13408</v>
      </c>
      <c r="AU24" s="802" t="s">
        <v>13408</v>
      </c>
      <c r="AZ24" s="802" t="s">
        <v>6154</v>
      </c>
      <c r="BU24" s="802" t="s">
        <v>13407</v>
      </c>
      <c r="BV24" s="802" t="s">
        <v>13407</v>
      </c>
      <c r="BW24" s="802" t="s">
        <v>13407</v>
      </c>
      <c r="CM24" s="801" t="s">
        <v>4264</v>
      </c>
      <c r="CU24" s="801" t="s">
        <v>4521</v>
      </c>
      <c r="CV24" s="801" t="s">
        <v>13406</v>
      </c>
      <c r="CW24" s="801" t="s">
        <v>13394</v>
      </c>
      <c r="CX24" s="801" t="s">
        <v>13404</v>
      </c>
      <c r="CY24" s="801" t="s">
        <v>13405</v>
      </c>
      <c r="CZ24" s="801" t="s">
        <v>13404</v>
      </c>
      <c r="DC24"/>
      <c r="DE24" t="s">
        <v>13916</v>
      </c>
      <c r="FH24"/>
      <c r="FI24"/>
      <c r="FJ24"/>
      <c r="FK24"/>
      <c r="FL24"/>
      <c r="FM24"/>
      <c r="FN24"/>
      <c r="FO24"/>
      <c r="FP24"/>
      <c r="FQ24"/>
      <c r="FR24"/>
      <c r="FS24"/>
      <c r="FT24"/>
      <c r="FU24"/>
      <c r="FV24"/>
      <c r="FW24"/>
      <c r="FX24"/>
      <c r="FY24"/>
      <c r="FZ24"/>
      <c r="GA24"/>
      <c r="GB24"/>
      <c r="GC24"/>
      <c r="GD24"/>
      <c r="GE24"/>
      <c r="GF24"/>
      <c r="GG24"/>
      <c r="GH24"/>
      <c r="GI24"/>
      <c r="GJ24"/>
      <c r="GK24"/>
      <c r="GL24"/>
      <c r="GM24"/>
      <c r="GN24"/>
      <c r="GO24"/>
    </row>
    <row r="25" spans="1:197">
      <c r="AT25" s="802" t="s">
        <v>13403</v>
      </c>
      <c r="AU25" s="802" t="s">
        <v>13403</v>
      </c>
      <c r="AZ25" s="802" t="s">
        <v>6158</v>
      </c>
      <c r="BU25" s="802" t="s">
        <v>13402</v>
      </c>
      <c r="BV25" s="802" t="s">
        <v>13402</v>
      </c>
      <c r="BW25" s="802" t="s">
        <v>13402</v>
      </c>
      <c r="CM25" s="801" t="s">
        <v>2751</v>
      </c>
      <c r="CU25" s="801" t="s">
        <v>13401</v>
      </c>
      <c r="CV25" s="801" t="s">
        <v>13356</v>
      </c>
      <c r="CW25" s="801" t="s">
        <v>13389</v>
      </c>
      <c r="CX25" s="801" t="s">
        <v>13400</v>
      </c>
      <c r="CY25" s="801" t="s">
        <v>3016</v>
      </c>
      <c r="CZ25" s="801" t="s">
        <v>13400</v>
      </c>
      <c r="DC25"/>
      <c r="DD25" t="s">
        <v>13937</v>
      </c>
      <c r="DE25" t="s">
        <v>13917</v>
      </c>
      <c r="FH25"/>
      <c r="FI25"/>
      <c r="FJ25"/>
      <c r="FK25"/>
      <c r="FL25"/>
      <c r="FM25"/>
      <c r="FN25"/>
      <c r="FO25"/>
      <c r="FP25"/>
      <c r="FQ25"/>
      <c r="FR25"/>
      <c r="FS25"/>
      <c r="FT25"/>
      <c r="FU25"/>
      <c r="FV25"/>
      <c r="FW25"/>
      <c r="FX25"/>
      <c r="FY25"/>
      <c r="FZ25"/>
      <c r="GA25"/>
      <c r="GB25"/>
      <c r="GC25"/>
      <c r="GD25"/>
      <c r="GE25"/>
      <c r="GF25"/>
      <c r="GG25"/>
      <c r="GH25"/>
      <c r="GI25"/>
      <c r="GJ25"/>
      <c r="GK25"/>
      <c r="GL25"/>
      <c r="GM25"/>
      <c r="GN25"/>
      <c r="GO25"/>
    </row>
    <row r="26" spans="1:197" ht="15.75">
      <c r="I26" s="1327" t="s">
        <v>13787</v>
      </c>
      <c r="J26" s="1327"/>
      <c r="L26" s="1327" t="s">
        <v>13787</v>
      </c>
      <c r="M26" s="1327"/>
      <c r="N26" s="1327"/>
      <c r="O26" s="1327"/>
      <c r="P26" s="1327"/>
      <c r="Q26" s="1327"/>
      <c r="R26" s="1327"/>
      <c r="S26" s="1327"/>
      <c r="T26" s="1327"/>
      <c r="U26" s="1327"/>
      <c r="V26" s="1327"/>
      <c r="AT26" s="802" t="s">
        <v>13399</v>
      </c>
      <c r="AU26" s="802" t="s">
        <v>13399</v>
      </c>
      <c r="AZ26" s="802" t="s">
        <v>6153</v>
      </c>
      <c r="CM26" s="801" t="s">
        <v>13398</v>
      </c>
      <c r="CU26" s="801" t="s">
        <v>13380</v>
      </c>
      <c r="CV26" s="801" t="s">
        <v>13397</v>
      </c>
      <c r="CW26" s="801" t="s">
        <v>13396</v>
      </c>
      <c r="CX26" s="801" t="s">
        <v>13395</v>
      </c>
      <c r="CY26" s="801" t="s">
        <v>13394</v>
      </c>
      <c r="CZ26" s="801" t="s">
        <v>13390</v>
      </c>
      <c r="DC26"/>
      <c r="DE26" t="s">
        <v>13919</v>
      </c>
      <c r="FH26"/>
      <c r="FI26"/>
      <c r="FJ26"/>
      <c r="FK26"/>
      <c r="FL26"/>
      <c r="FM26"/>
      <c r="FN26"/>
      <c r="FO26"/>
      <c r="FP26"/>
      <c r="FQ26"/>
      <c r="FR26"/>
      <c r="FS26"/>
      <c r="FT26"/>
      <c r="FU26"/>
      <c r="FV26"/>
      <c r="FW26"/>
      <c r="FX26"/>
      <c r="FY26"/>
      <c r="FZ26"/>
      <c r="GA26"/>
      <c r="GB26"/>
      <c r="GC26"/>
      <c r="GD26"/>
      <c r="GE26"/>
      <c r="GF26"/>
      <c r="GG26"/>
      <c r="GH26"/>
      <c r="GI26"/>
      <c r="GJ26"/>
      <c r="GK26"/>
      <c r="GL26"/>
      <c r="GM26"/>
      <c r="GN26"/>
      <c r="GO26"/>
    </row>
    <row r="27" spans="1:197">
      <c r="F27" s="801" t="s">
        <v>15739</v>
      </c>
      <c r="G27" s="801" t="s">
        <v>15688</v>
      </c>
      <c r="I27" s="801" t="s">
        <v>7557</v>
      </c>
      <c r="J27" s="801" t="s">
        <v>15659</v>
      </c>
      <c r="L27" s="801" t="s">
        <v>15671</v>
      </c>
      <c r="M27" s="801" t="s">
        <v>7698</v>
      </c>
      <c r="N27" s="801" t="s">
        <v>8366</v>
      </c>
      <c r="O27" s="801" t="s">
        <v>8367</v>
      </c>
      <c r="P27" s="801" t="s">
        <v>8368</v>
      </c>
      <c r="Q27" s="801" t="s">
        <v>8369</v>
      </c>
      <c r="R27" s="801" t="s">
        <v>8370</v>
      </c>
      <c r="S27" s="801" t="s">
        <v>8371</v>
      </c>
      <c r="T27" s="801" t="s">
        <v>8372</v>
      </c>
      <c r="U27" s="801" t="s">
        <v>8373</v>
      </c>
      <c r="V27" s="801" t="s">
        <v>8374</v>
      </c>
      <c r="AT27" s="802" t="s">
        <v>13393</v>
      </c>
      <c r="AU27" s="802" t="s">
        <v>13393</v>
      </c>
      <c r="AZ27" s="802" t="s">
        <v>5868</v>
      </c>
      <c r="CM27" s="801" t="s">
        <v>13392</v>
      </c>
      <c r="CU27" s="801" t="s">
        <v>13391</v>
      </c>
      <c r="CV27" s="801" t="s">
        <v>13347</v>
      </c>
      <c r="CW27" s="801" t="s">
        <v>13385</v>
      </c>
      <c r="CX27" s="801" t="s">
        <v>13390</v>
      </c>
      <c r="CY27" s="801" t="s">
        <v>13389</v>
      </c>
      <c r="CZ27" s="801" t="s">
        <v>13388</v>
      </c>
      <c r="DC27"/>
      <c r="DE27" t="s">
        <v>13918</v>
      </c>
      <c r="FH27"/>
      <c r="FI27"/>
      <c r="FJ27"/>
      <c r="FK27"/>
      <c r="FL27"/>
      <c r="FM27"/>
      <c r="FN27"/>
      <c r="FO27"/>
      <c r="FP27"/>
      <c r="FQ27"/>
      <c r="FR27"/>
      <c r="FS27"/>
      <c r="FT27"/>
      <c r="FU27"/>
      <c r="FV27"/>
      <c r="FW27"/>
      <c r="FX27"/>
      <c r="FY27"/>
      <c r="FZ27"/>
      <c r="GA27"/>
      <c r="GB27"/>
      <c r="GC27"/>
      <c r="GD27"/>
      <c r="GE27"/>
      <c r="GF27"/>
      <c r="GG27"/>
      <c r="GH27"/>
      <c r="GI27"/>
      <c r="GJ27"/>
      <c r="GK27"/>
      <c r="GL27"/>
      <c r="GM27"/>
      <c r="GN27"/>
      <c r="GO27"/>
    </row>
    <row r="28" spans="1:197">
      <c r="F28" s="1063">
        <v>1</v>
      </c>
      <c r="G28" s="801" t="s">
        <v>15689</v>
      </c>
      <c r="I28" s="801" t="s">
        <v>15660</v>
      </c>
      <c r="J28" s="801" t="s">
        <v>697</v>
      </c>
      <c r="L28" s="801" t="s">
        <v>15672</v>
      </c>
      <c r="M28" s="801" t="s">
        <v>8374</v>
      </c>
      <c r="N28" s="801" t="s">
        <v>8384</v>
      </c>
      <c r="O28" s="801" t="s">
        <v>8389</v>
      </c>
      <c r="P28" s="801" t="s">
        <v>8394</v>
      </c>
      <c r="Q28" s="801" t="s">
        <v>8399</v>
      </c>
      <c r="R28" s="801" t="s">
        <v>8404</v>
      </c>
      <c r="S28" s="801" t="s">
        <v>8414</v>
      </c>
      <c r="T28" s="801" t="s">
        <v>8439</v>
      </c>
      <c r="U28" s="801" t="s">
        <v>8464</v>
      </c>
      <c r="V28" s="801" t="s">
        <v>9280</v>
      </c>
      <c r="AT28" s="802" t="s">
        <v>13387</v>
      </c>
      <c r="AU28" s="802" t="s">
        <v>13387</v>
      </c>
      <c r="AZ28" s="802" t="s">
        <v>5864</v>
      </c>
      <c r="CM28" s="801" t="s">
        <v>2577</v>
      </c>
      <c r="CU28" s="801" t="s">
        <v>13386</v>
      </c>
      <c r="CV28" s="801" t="s">
        <v>13341</v>
      </c>
      <c r="CW28" s="801" t="s">
        <v>13374</v>
      </c>
      <c r="CX28" s="801" t="s">
        <v>13379</v>
      </c>
      <c r="CY28" s="801" t="s">
        <v>13385</v>
      </c>
      <c r="CZ28" s="801" t="s">
        <v>13384</v>
      </c>
      <c r="DC28"/>
      <c r="DD28" t="s">
        <v>12676</v>
      </c>
      <c r="DE28" t="s">
        <v>13920</v>
      </c>
      <c r="FH28"/>
      <c r="FI28"/>
      <c r="FJ28"/>
      <c r="FK28"/>
      <c r="FL28"/>
      <c r="FM28"/>
      <c r="FN28"/>
      <c r="FO28"/>
      <c r="FP28"/>
      <c r="FQ28"/>
      <c r="FR28"/>
      <c r="FS28"/>
      <c r="FT28"/>
      <c r="FU28"/>
      <c r="FV28"/>
      <c r="FW28"/>
      <c r="FX28"/>
      <c r="FY28"/>
      <c r="FZ28"/>
      <c r="GA28"/>
      <c r="GB28"/>
      <c r="GC28"/>
      <c r="GD28"/>
      <c r="GE28"/>
      <c r="GF28"/>
      <c r="GG28"/>
      <c r="GH28"/>
      <c r="GI28"/>
      <c r="GJ28"/>
      <c r="GK28"/>
      <c r="GL28"/>
      <c r="GM28"/>
      <c r="GN28"/>
      <c r="GO28"/>
    </row>
    <row r="29" spans="1:197" ht="15.75">
      <c r="A29" s="1327" t="s">
        <v>15687</v>
      </c>
      <c r="B29" s="1327"/>
      <c r="C29" s="1327"/>
      <c r="D29" s="1327"/>
      <c r="F29" s="1063">
        <v>2</v>
      </c>
      <c r="G29" s="801" t="s">
        <v>15690</v>
      </c>
      <c r="I29" s="801" t="s">
        <v>15661</v>
      </c>
      <c r="J29" s="801" t="s">
        <v>15662</v>
      </c>
      <c r="L29" s="801" t="s">
        <v>15673</v>
      </c>
      <c r="M29" s="801" t="s">
        <v>8384</v>
      </c>
      <c r="N29" s="801" t="s">
        <v>8394</v>
      </c>
      <c r="O29" s="801" t="s">
        <v>8414</v>
      </c>
      <c r="P29" s="801" t="s">
        <v>8434</v>
      </c>
      <c r="Q29" s="801" t="s">
        <v>8454</v>
      </c>
      <c r="R29" s="801" t="s">
        <v>15674</v>
      </c>
      <c r="S29" s="801" t="s">
        <v>15675</v>
      </c>
      <c r="T29" s="801" t="s">
        <v>9280</v>
      </c>
      <c r="U29" s="801" t="s">
        <v>9311</v>
      </c>
      <c r="V29" s="801" t="s">
        <v>9302</v>
      </c>
      <c r="AT29" s="802" t="s">
        <v>13383</v>
      </c>
      <c r="AU29" s="802" t="s">
        <v>13383</v>
      </c>
      <c r="AZ29" s="802" t="s">
        <v>6155</v>
      </c>
      <c r="CM29" s="801" t="s">
        <v>13382</v>
      </c>
      <c r="CU29" s="801" t="s">
        <v>6240</v>
      </c>
      <c r="CV29" s="801" t="s">
        <v>13336</v>
      </c>
      <c r="CW29" s="801" t="s">
        <v>13381</v>
      </c>
      <c r="CX29" s="801" t="s">
        <v>13373</v>
      </c>
      <c r="CY29" s="801" t="s">
        <v>13380</v>
      </c>
      <c r="CZ29" s="801" t="s">
        <v>13379</v>
      </c>
      <c r="DC29"/>
      <c r="DE29" t="s">
        <v>13921</v>
      </c>
      <c r="FH29"/>
      <c r="FI29"/>
      <c r="FJ29"/>
      <c r="FK29"/>
      <c r="FL29"/>
      <c r="FM29"/>
      <c r="FN29"/>
      <c r="FO29"/>
      <c r="FP29"/>
      <c r="FQ29"/>
      <c r="FR29"/>
      <c r="FS29"/>
      <c r="FT29"/>
      <c r="FU29"/>
      <c r="FV29"/>
      <c r="FW29"/>
      <c r="FX29"/>
      <c r="FY29"/>
      <c r="FZ29"/>
      <c r="GA29"/>
      <c r="GB29"/>
      <c r="GC29"/>
      <c r="GD29"/>
      <c r="GE29"/>
      <c r="GF29"/>
      <c r="GG29"/>
      <c r="GH29"/>
      <c r="GI29"/>
      <c r="GJ29"/>
      <c r="GK29"/>
      <c r="GL29"/>
      <c r="GM29"/>
      <c r="GN29"/>
      <c r="GO29"/>
    </row>
    <row r="30" spans="1:197" ht="21">
      <c r="A30" s="1051" t="s">
        <v>15642</v>
      </c>
      <c r="B30" s="1050"/>
      <c r="F30" s="1063">
        <v>3</v>
      </c>
      <c r="G30" s="801" t="s">
        <v>15691</v>
      </c>
      <c r="I30" s="801" t="s">
        <v>15663</v>
      </c>
      <c r="J30" s="801" t="s">
        <v>15664</v>
      </c>
      <c r="L30" s="801" t="s">
        <v>15676</v>
      </c>
      <c r="M30" s="801" t="s">
        <v>15677</v>
      </c>
      <c r="N30" s="801" t="s">
        <v>8369</v>
      </c>
      <c r="O30" s="801" t="s">
        <v>8374</v>
      </c>
      <c r="P30" s="801" t="s">
        <v>8384</v>
      </c>
      <c r="Q30" s="801" t="s">
        <v>8394</v>
      </c>
      <c r="R30" s="801" t="s">
        <v>8404</v>
      </c>
      <c r="S30" s="801" t="s">
        <v>8414</v>
      </c>
      <c r="T30" s="801" t="s">
        <v>8439</v>
      </c>
      <c r="U30" s="801" t="s">
        <v>8464</v>
      </c>
      <c r="V30" s="801" t="s">
        <v>9280</v>
      </c>
      <c r="AT30" s="802" t="s">
        <v>13378</v>
      </c>
      <c r="AU30" s="802" t="s">
        <v>13378</v>
      </c>
      <c r="AZ30" s="802" t="s">
        <v>5971</v>
      </c>
      <c r="CM30" s="801" t="s">
        <v>13377</v>
      </c>
      <c r="CU30" s="801" t="s">
        <v>13376</v>
      </c>
      <c r="CV30" s="801" t="s">
        <v>13326</v>
      </c>
      <c r="CW30" s="801" t="s">
        <v>13375</v>
      </c>
      <c r="CX30" s="801" t="s">
        <v>13368</v>
      </c>
      <c r="CY30" s="801" t="s">
        <v>13374</v>
      </c>
      <c r="CZ30" s="801" t="s">
        <v>13373</v>
      </c>
      <c r="DC30"/>
      <c r="DD30" t="s">
        <v>13938</v>
      </c>
      <c r="DE30" t="s">
        <v>13922</v>
      </c>
      <c r="FH30"/>
      <c r="FI30"/>
      <c r="FJ30"/>
      <c r="FK30"/>
      <c r="FL30"/>
      <c r="FM30"/>
      <c r="FN30"/>
      <c r="FO30"/>
      <c r="FP30"/>
      <c r="FQ30"/>
      <c r="FR30"/>
      <c r="FS30"/>
      <c r="FT30"/>
      <c r="FU30"/>
      <c r="FV30"/>
      <c r="FW30"/>
      <c r="FX30"/>
      <c r="FY30"/>
      <c r="FZ30"/>
      <c r="GA30"/>
      <c r="GB30"/>
      <c r="GC30"/>
      <c r="GD30"/>
      <c r="GE30"/>
      <c r="GF30"/>
      <c r="GG30"/>
      <c r="GH30"/>
      <c r="GI30"/>
      <c r="GJ30"/>
      <c r="GK30"/>
      <c r="GL30"/>
      <c r="GM30"/>
      <c r="GN30"/>
      <c r="GO30"/>
    </row>
    <row r="31" spans="1:197" ht="21">
      <c r="A31" s="1051" t="s">
        <v>15643</v>
      </c>
      <c r="B31" s="1050"/>
      <c r="F31" s="1063">
        <v>4</v>
      </c>
      <c r="G31" s="801" t="s">
        <v>15692</v>
      </c>
      <c r="I31" s="801" t="s">
        <v>15665</v>
      </c>
      <c r="J31" s="801" t="s">
        <v>14123</v>
      </c>
      <c r="L31" s="801" t="s">
        <v>15678</v>
      </c>
      <c r="M31" s="801" t="s">
        <v>7698</v>
      </c>
      <c r="N31" s="801" t="s">
        <v>15677</v>
      </c>
      <c r="O31" s="801" t="s">
        <v>8369</v>
      </c>
      <c r="P31" s="801" t="s">
        <v>8374</v>
      </c>
      <c r="Q31" s="801" t="s">
        <v>8384</v>
      </c>
      <c r="R31" s="801" t="s">
        <v>8394</v>
      </c>
      <c r="S31" s="801" t="s">
        <v>8404</v>
      </c>
      <c r="T31" s="801" t="s">
        <v>8414</v>
      </c>
      <c r="U31" s="801" t="s">
        <v>8439</v>
      </c>
      <c r="V31" s="801" t="s">
        <v>8464</v>
      </c>
      <c r="AT31" s="802" t="s">
        <v>13372</v>
      </c>
      <c r="AU31" s="802" t="s">
        <v>13372</v>
      </c>
      <c r="AZ31" s="802" t="s">
        <v>5996</v>
      </c>
      <c r="CM31" s="801" t="s">
        <v>13371</v>
      </c>
      <c r="CU31" s="801" t="s">
        <v>13370</v>
      </c>
      <c r="CV31" s="801" t="s">
        <v>13369</v>
      </c>
      <c r="CW31" s="801" t="s">
        <v>922</v>
      </c>
      <c r="CX31" s="801" t="s">
        <v>13362</v>
      </c>
      <c r="CY31" s="801" t="s">
        <v>922</v>
      </c>
      <c r="CZ31" s="801" t="s">
        <v>13368</v>
      </c>
      <c r="DC31"/>
      <c r="DE31" t="s">
        <v>13923</v>
      </c>
      <c r="FH31"/>
      <c r="FI31"/>
      <c r="FJ31"/>
      <c r="FK31"/>
      <c r="FL31"/>
      <c r="FM31"/>
      <c r="FN31"/>
      <c r="FO31"/>
      <c r="FP31"/>
      <c r="FQ31"/>
      <c r="FR31"/>
      <c r="FS31"/>
      <c r="FT31"/>
      <c r="FU31"/>
      <c r="FV31"/>
      <c r="FW31"/>
      <c r="FX31"/>
      <c r="FY31"/>
      <c r="FZ31"/>
      <c r="GA31"/>
      <c r="GB31"/>
      <c r="GC31"/>
      <c r="GD31"/>
      <c r="GE31"/>
      <c r="GF31"/>
      <c r="GG31"/>
      <c r="GH31"/>
      <c r="GI31"/>
      <c r="GJ31"/>
      <c r="GK31"/>
      <c r="GL31"/>
      <c r="GM31"/>
      <c r="GN31"/>
      <c r="GO31"/>
    </row>
    <row r="32" spans="1:197" ht="21">
      <c r="A32" s="1051" t="s">
        <v>15644</v>
      </c>
      <c r="B32" s="1050"/>
      <c r="F32" s="1063">
        <v>5</v>
      </c>
      <c r="G32" s="801" t="s">
        <v>15693</v>
      </c>
      <c r="I32" s="801" t="s">
        <v>9155</v>
      </c>
      <c r="J32" s="801" t="s">
        <v>703</v>
      </c>
      <c r="L32" s="801" t="s">
        <v>15679</v>
      </c>
      <c r="M32" s="801" t="s">
        <v>15680</v>
      </c>
      <c r="N32" s="801" t="s">
        <v>7698</v>
      </c>
      <c r="O32" s="801" t="s">
        <v>8366</v>
      </c>
      <c r="P32" s="801" t="s">
        <v>8368</v>
      </c>
      <c r="Q32" s="801" t="s">
        <v>8372</v>
      </c>
      <c r="R32" s="801" t="s">
        <v>8374</v>
      </c>
      <c r="S32" s="801" t="s">
        <v>8389</v>
      </c>
      <c r="T32" s="801" t="s">
        <v>8404</v>
      </c>
      <c r="U32" s="801" t="s">
        <v>8444</v>
      </c>
      <c r="V32" s="801" t="s">
        <v>8464</v>
      </c>
      <c r="AT32" s="802" t="s">
        <v>13367</v>
      </c>
      <c r="AU32" s="802" t="s">
        <v>13367</v>
      </c>
      <c r="AZ32" s="802" t="s">
        <v>5983</v>
      </c>
      <c r="CM32" s="801" t="s">
        <v>13366</v>
      </c>
      <c r="CU32" s="801" t="s">
        <v>13365</v>
      </c>
      <c r="CV32" s="801" t="s">
        <v>13364</v>
      </c>
      <c r="CW32" s="801" t="s">
        <v>13363</v>
      </c>
      <c r="CX32" s="801" t="s">
        <v>13356</v>
      </c>
      <c r="CY32" s="801" t="s">
        <v>13358</v>
      </c>
      <c r="CZ32" s="801" t="s">
        <v>13362</v>
      </c>
      <c r="DC32"/>
      <c r="DD32" t="s">
        <v>12671</v>
      </c>
      <c r="DE32" t="s">
        <v>13924</v>
      </c>
      <c r="FH32"/>
      <c r="FI32"/>
      <c r="FJ32"/>
      <c r="FK32"/>
      <c r="FL32"/>
      <c r="FM32"/>
      <c r="FN32"/>
      <c r="FO32"/>
      <c r="FP32"/>
      <c r="FQ32"/>
      <c r="FR32"/>
      <c r="FS32"/>
      <c r="FT32"/>
      <c r="FU32"/>
      <c r="FV32"/>
      <c r="FW32"/>
      <c r="FX32"/>
      <c r="FY32"/>
      <c r="FZ32"/>
      <c r="GA32"/>
      <c r="GB32"/>
      <c r="GC32"/>
      <c r="GD32"/>
      <c r="GE32"/>
      <c r="GF32"/>
      <c r="GG32"/>
      <c r="GH32"/>
      <c r="GI32"/>
      <c r="GJ32"/>
      <c r="GK32"/>
      <c r="GL32"/>
      <c r="GM32"/>
      <c r="GN32"/>
      <c r="GO32"/>
    </row>
    <row r="33" spans="1:198" ht="21">
      <c r="A33" s="1051" t="s">
        <v>15645</v>
      </c>
      <c r="B33" s="1050"/>
      <c r="F33" s="1063">
        <v>6</v>
      </c>
      <c r="G33" s="801" t="s">
        <v>15694</v>
      </c>
      <c r="I33" s="801" t="s">
        <v>15666</v>
      </c>
      <c r="J33" s="801" t="s">
        <v>708</v>
      </c>
      <c r="L33" s="801" t="s">
        <v>15681</v>
      </c>
      <c r="M33" s="801" t="s">
        <v>15682</v>
      </c>
      <c r="N33" s="801" t="s">
        <v>15683</v>
      </c>
      <c r="O33" s="801" t="s">
        <v>15684</v>
      </c>
      <c r="P33" s="801" t="s">
        <v>15685</v>
      </c>
      <c r="Q33" s="801" t="s">
        <v>15686</v>
      </c>
      <c r="R33" s="801" t="s">
        <v>15680</v>
      </c>
      <c r="S33" s="801" t="s">
        <v>7698</v>
      </c>
      <c r="T33" s="801" t="s">
        <v>8366</v>
      </c>
      <c r="U33" s="801" t="s">
        <v>8368</v>
      </c>
      <c r="V33" s="801" t="s">
        <v>8369</v>
      </c>
      <c r="AT33" s="802" t="s">
        <v>13361</v>
      </c>
      <c r="AU33" s="802" t="s">
        <v>13361</v>
      </c>
      <c r="AZ33" s="802" t="s">
        <v>6070</v>
      </c>
      <c r="CM33" s="801" t="s">
        <v>13360</v>
      </c>
      <c r="CU33" s="801" t="s">
        <v>13343</v>
      </c>
      <c r="CV33" s="801" t="s">
        <v>13359</v>
      </c>
      <c r="CW33" s="801" t="s">
        <v>13358</v>
      </c>
      <c r="CX33" s="801" t="s">
        <v>13347</v>
      </c>
      <c r="CY33" s="801" t="s">
        <v>13357</v>
      </c>
      <c r="CZ33" s="801" t="s">
        <v>13356</v>
      </c>
      <c r="DC33"/>
      <c r="DE33" t="s">
        <v>13925</v>
      </c>
      <c r="FH33"/>
      <c r="FI33"/>
      <c r="FJ33"/>
      <c r="FK33"/>
      <c r="FL33"/>
      <c r="FM33"/>
      <c r="FN33"/>
      <c r="FO33"/>
      <c r="FP33"/>
      <c r="FQ33"/>
      <c r="FR33"/>
      <c r="FS33"/>
      <c r="FT33"/>
      <c r="FU33"/>
      <c r="FV33"/>
      <c r="FW33"/>
      <c r="FX33"/>
      <c r="FY33"/>
      <c r="FZ33"/>
      <c r="GA33"/>
      <c r="GB33"/>
      <c r="GC33"/>
      <c r="GD33"/>
      <c r="GE33"/>
      <c r="GF33"/>
      <c r="GG33"/>
      <c r="GH33"/>
      <c r="GI33"/>
      <c r="GJ33"/>
      <c r="GK33"/>
      <c r="GL33"/>
      <c r="GM33"/>
      <c r="GN33"/>
      <c r="GO33"/>
    </row>
    <row r="34" spans="1:198" ht="21">
      <c r="A34" s="1051" t="s">
        <v>15646</v>
      </c>
      <c r="B34" s="1050"/>
      <c r="F34" s="1063">
        <v>7</v>
      </c>
      <c r="G34" s="801" t="s">
        <v>15695</v>
      </c>
      <c r="I34" s="801" t="s">
        <v>15667</v>
      </c>
      <c r="J34" s="801" t="s">
        <v>15668</v>
      </c>
      <c r="AT34" s="802" t="s">
        <v>13355</v>
      </c>
      <c r="AU34" s="802" t="s">
        <v>13355</v>
      </c>
      <c r="AZ34" s="802" t="s">
        <v>6071</v>
      </c>
      <c r="CU34" s="801" t="s">
        <v>9633</v>
      </c>
      <c r="CV34" s="801" t="s">
        <v>13354</v>
      </c>
      <c r="CW34" s="801" t="s">
        <v>13353</v>
      </c>
      <c r="CX34" s="801" t="s">
        <v>13341</v>
      </c>
      <c r="CY34" s="801" t="s">
        <v>3630</v>
      </c>
      <c r="CZ34" s="801" t="s">
        <v>13352</v>
      </c>
      <c r="DC34"/>
      <c r="DE34" t="s">
        <v>13926</v>
      </c>
      <c r="FH34"/>
      <c r="FI34"/>
      <c r="FJ34"/>
      <c r="FK34"/>
      <c r="FL34"/>
      <c r="FM34"/>
      <c r="FN34"/>
      <c r="FO34"/>
      <c r="FP34"/>
      <c r="FQ34"/>
      <c r="FR34"/>
      <c r="FS34"/>
      <c r="FT34"/>
      <c r="FU34"/>
      <c r="FV34"/>
      <c r="FW34"/>
      <c r="FX34"/>
      <c r="FY34"/>
      <c r="FZ34"/>
      <c r="GA34"/>
      <c r="GB34"/>
      <c r="GC34"/>
      <c r="GD34"/>
      <c r="GE34"/>
      <c r="GF34"/>
      <c r="GG34"/>
      <c r="GH34"/>
      <c r="GI34"/>
      <c r="GJ34"/>
      <c r="GK34"/>
      <c r="GL34"/>
      <c r="GM34"/>
      <c r="GN34"/>
      <c r="GO34"/>
    </row>
    <row r="35" spans="1:198" ht="21">
      <c r="A35" s="1051" t="s">
        <v>15647</v>
      </c>
      <c r="B35" s="1050"/>
      <c r="F35" s="1063">
        <v>8</v>
      </c>
      <c r="G35" s="801" t="s">
        <v>15696</v>
      </c>
      <c r="I35" s="801" t="s">
        <v>8462</v>
      </c>
      <c r="J35" s="801" t="s">
        <v>15669</v>
      </c>
      <c r="L35" s="801" t="s">
        <v>13787</v>
      </c>
      <c r="AT35" s="802" t="s">
        <v>13351</v>
      </c>
      <c r="AU35" s="802" t="s">
        <v>13351</v>
      </c>
      <c r="AZ35" s="802" t="s">
        <v>5858</v>
      </c>
      <c r="CU35" s="801" t="s">
        <v>5917</v>
      </c>
      <c r="CV35" s="801" t="s">
        <v>13350</v>
      </c>
      <c r="CW35" s="801" t="s">
        <v>3630</v>
      </c>
      <c r="CX35" s="801" t="s">
        <v>13349</v>
      </c>
      <c r="CY35" s="801" t="s">
        <v>13348</v>
      </c>
      <c r="CZ35" s="801" t="s">
        <v>13347</v>
      </c>
      <c r="DC35"/>
      <c r="DD35" t="s">
        <v>13939</v>
      </c>
      <c r="DE35" t="s">
        <v>13928</v>
      </c>
      <c r="FH35"/>
      <c r="FI35"/>
      <c r="FJ35"/>
      <c r="FK35"/>
      <c r="FL35"/>
      <c r="FM35"/>
      <c r="FN35"/>
      <c r="FO35"/>
      <c r="FP35"/>
      <c r="FQ35"/>
      <c r="FR35"/>
      <c r="FS35"/>
      <c r="FT35"/>
      <c r="FU35"/>
      <c r="FV35"/>
      <c r="FW35"/>
      <c r="FX35"/>
      <c r="FY35"/>
      <c r="FZ35"/>
      <c r="GA35"/>
      <c r="GB35"/>
      <c r="GC35"/>
      <c r="GD35"/>
      <c r="GE35"/>
      <c r="GF35"/>
      <c r="GG35"/>
      <c r="GH35"/>
      <c r="GI35"/>
      <c r="GJ35"/>
      <c r="GK35"/>
      <c r="GL35"/>
      <c r="GM35"/>
      <c r="GN35"/>
      <c r="GO35"/>
    </row>
    <row r="36" spans="1:198" ht="21">
      <c r="A36" s="1051" t="s">
        <v>15648</v>
      </c>
      <c r="B36" s="1050"/>
      <c r="F36" s="1063">
        <v>9</v>
      </c>
      <c r="G36" s="801" t="s">
        <v>15697</v>
      </c>
      <c r="I36" s="801" t="s">
        <v>7966</v>
      </c>
      <c r="J36" s="801" t="s">
        <v>15670</v>
      </c>
      <c r="AT36" s="802" t="s">
        <v>13346</v>
      </c>
      <c r="AU36" s="802" t="s">
        <v>13346</v>
      </c>
      <c r="AZ36" s="802" t="s">
        <v>6223</v>
      </c>
      <c r="CU36" s="801" t="s">
        <v>13345</v>
      </c>
      <c r="CV36" s="801" t="s">
        <v>13344</v>
      </c>
      <c r="CW36" s="801" t="s">
        <v>13343</v>
      </c>
      <c r="CX36" s="801" t="s">
        <v>13326</v>
      </c>
      <c r="CY36" s="801" t="s">
        <v>13342</v>
      </c>
      <c r="CZ36" s="801" t="s">
        <v>13341</v>
      </c>
      <c r="DC36"/>
      <c r="DE36" t="s">
        <v>13929</v>
      </c>
      <c r="FH36"/>
      <c r="FI36"/>
      <c r="FJ36"/>
      <c r="FK36"/>
      <c r="FL36"/>
      <c r="FM36"/>
      <c r="FN36"/>
      <c r="FO36"/>
      <c r="FP36"/>
      <c r="FQ36"/>
      <c r="FR36"/>
      <c r="FS36"/>
      <c r="FT36"/>
      <c r="FU36"/>
      <c r="FV36"/>
      <c r="FW36"/>
      <c r="FX36"/>
      <c r="FY36"/>
      <c r="FZ36"/>
      <c r="GA36"/>
      <c r="GB36"/>
      <c r="GC36"/>
      <c r="GD36"/>
      <c r="GE36"/>
      <c r="GF36"/>
      <c r="GG36"/>
      <c r="GH36"/>
      <c r="GI36"/>
      <c r="GJ36"/>
      <c r="GK36"/>
      <c r="GL36"/>
      <c r="GM36"/>
      <c r="GN36"/>
      <c r="GO36"/>
    </row>
    <row r="37" spans="1:198" ht="21">
      <c r="A37" s="1051" t="s">
        <v>15649</v>
      </c>
      <c r="B37" s="1050"/>
      <c r="F37" s="1063">
        <v>10</v>
      </c>
      <c r="G37" s="801" t="s">
        <v>15698</v>
      </c>
      <c r="AT37" s="802" t="s">
        <v>13340</v>
      </c>
      <c r="AU37" s="802" t="s">
        <v>13340</v>
      </c>
      <c r="AZ37" s="802" t="s">
        <v>5973</v>
      </c>
      <c r="CU37" s="801" t="s">
        <v>13339</v>
      </c>
      <c r="CV37" s="801" t="s">
        <v>13338</v>
      </c>
      <c r="CW37" s="801" t="s">
        <v>13337</v>
      </c>
      <c r="CX37" s="801" t="s">
        <v>13321</v>
      </c>
      <c r="CY37" s="801" t="s">
        <v>13333</v>
      </c>
      <c r="CZ37" s="801" t="s">
        <v>13336</v>
      </c>
      <c r="DC37"/>
      <c r="DD37" t="s">
        <v>13940</v>
      </c>
      <c r="DE37" t="s">
        <v>13941</v>
      </c>
      <c r="FH37"/>
      <c r="FI37"/>
      <c r="FJ37"/>
      <c r="FK37"/>
      <c r="FL37"/>
      <c r="FM37"/>
      <c r="FN37"/>
      <c r="FO37"/>
      <c r="FP37"/>
      <c r="FQ37"/>
      <c r="FR37"/>
      <c r="FS37"/>
      <c r="FT37"/>
      <c r="FU37"/>
      <c r="FV37"/>
      <c r="FW37"/>
      <c r="FX37"/>
      <c r="FY37"/>
      <c r="FZ37"/>
      <c r="GA37"/>
      <c r="GB37"/>
      <c r="GC37"/>
      <c r="GD37"/>
      <c r="GE37"/>
      <c r="GF37"/>
      <c r="GG37"/>
      <c r="GH37"/>
      <c r="GI37"/>
      <c r="GJ37"/>
      <c r="GK37"/>
      <c r="GL37"/>
      <c r="GM37"/>
      <c r="GN37"/>
      <c r="GO37"/>
    </row>
    <row r="38" spans="1:198" ht="21">
      <c r="A38" s="1051" t="s">
        <v>15650</v>
      </c>
      <c r="B38" s="1050"/>
      <c r="F38" s="1063">
        <v>11</v>
      </c>
      <c r="G38" s="801" t="s">
        <v>15699</v>
      </c>
      <c r="AT38" s="802" t="s">
        <v>13335</v>
      </c>
      <c r="AU38" s="802" t="s">
        <v>13335</v>
      </c>
      <c r="AZ38" s="802" t="s">
        <v>5855</v>
      </c>
      <c r="CU38" s="801" t="s">
        <v>6241</v>
      </c>
      <c r="CV38" s="801" t="s">
        <v>13334</v>
      </c>
      <c r="CW38" s="801" t="s">
        <v>13333</v>
      </c>
      <c r="CX38" s="801" t="s">
        <v>13332</v>
      </c>
      <c r="CY38" s="801" t="s">
        <v>13327</v>
      </c>
      <c r="CZ38" s="801" t="s">
        <v>13331</v>
      </c>
      <c r="DC38"/>
      <c r="DE38" t="s">
        <v>13942</v>
      </c>
      <c r="FH38"/>
      <c r="FI38"/>
      <c r="FJ38"/>
      <c r="FK38"/>
      <c r="FL38"/>
      <c r="FM38"/>
      <c r="FN38"/>
      <c r="FO38"/>
      <c r="FP38"/>
      <c r="FQ38"/>
      <c r="FR38"/>
      <c r="FS38"/>
      <c r="FT38"/>
      <c r="FU38"/>
      <c r="FV38"/>
      <c r="FW38"/>
      <c r="FX38"/>
      <c r="FY38"/>
      <c r="FZ38"/>
      <c r="GA38"/>
      <c r="GB38"/>
      <c r="GC38"/>
      <c r="GD38"/>
      <c r="GE38"/>
      <c r="GF38"/>
      <c r="GG38"/>
      <c r="GH38"/>
      <c r="GI38"/>
      <c r="GJ38"/>
      <c r="GK38"/>
      <c r="GL38"/>
      <c r="GM38"/>
      <c r="GN38"/>
      <c r="GO38"/>
    </row>
    <row r="39" spans="1:198" ht="21">
      <c r="A39" s="1051" t="s">
        <v>15651</v>
      </c>
      <c r="B39" s="1050"/>
      <c r="F39" s="1063">
        <v>12</v>
      </c>
      <c r="G39" s="801" t="s">
        <v>15700</v>
      </c>
      <c r="AT39" s="802" t="s">
        <v>13330</v>
      </c>
      <c r="AU39" s="802" t="s">
        <v>13330</v>
      </c>
      <c r="AZ39" s="802" t="s">
        <v>5978</v>
      </c>
      <c r="CU39" s="801" t="s">
        <v>13329</v>
      </c>
      <c r="CV39" s="801" t="s">
        <v>13328</v>
      </c>
      <c r="CW39" s="801" t="s">
        <v>13327</v>
      </c>
      <c r="CX39" s="801" t="s">
        <v>13317</v>
      </c>
      <c r="CY39" s="801" t="s">
        <v>13322</v>
      </c>
      <c r="CZ39" s="801" t="s">
        <v>13326</v>
      </c>
      <c r="DC39"/>
      <c r="FH39"/>
      <c r="FI39"/>
      <c r="FJ39"/>
      <c r="FK39"/>
      <c r="FL39"/>
      <c r="FM39"/>
      <c r="FN39"/>
      <c r="FO39"/>
      <c r="FP39"/>
      <c r="FQ39"/>
      <c r="FR39"/>
      <c r="FS39"/>
      <c r="FT39"/>
      <c r="FU39"/>
      <c r="FV39"/>
      <c r="FW39"/>
      <c r="FX39"/>
      <c r="FY39"/>
      <c r="FZ39"/>
      <c r="GA39"/>
      <c r="GB39"/>
      <c r="GC39"/>
      <c r="GD39"/>
      <c r="GE39"/>
      <c r="GF39"/>
      <c r="GG39"/>
      <c r="GH39"/>
      <c r="GI39"/>
      <c r="GJ39"/>
      <c r="GK39"/>
      <c r="GL39"/>
      <c r="GM39"/>
      <c r="GN39"/>
      <c r="GO39"/>
    </row>
    <row r="40" spans="1:198" ht="21">
      <c r="A40" s="1051" t="s">
        <v>15652</v>
      </c>
      <c r="B40" s="1050"/>
      <c r="F40" s="1063">
        <v>13</v>
      </c>
      <c r="G40" s="801" t="s">
        <v>15701</v>
      </c>
      <c r="AT40" s="802" t="s">
        <v>13325</v>
      </c>
      <c r="AU40" s="802" t="s">
        <v>13325</v>
      </c>
      <c r="AZ40" s="802" t="s">
        <v>6055</v>
      </c>
      <c r="CU40" s="801" t="s">
        <v>13324</v>
      </c>
      <c r="CV40" s="801" t="s">
        <v>13323</v>
      </c>
      <c r="CW40" s="801" t="s">
        <v>13322</v>
      </c>
      <c r="CX40" s="801" t="s">
        <v>13312</v>
      </c>
      <c r="CY40" s="801" t="s">
        <v>13319</v>
      </c>
      <c r="CZ40" s="801" t="s">
        <v>13321</v>
      </c>
      <c r="DC40"/>
      <c r="FH40"/>
      <c r="FI40"/>
      <c r="FJ40"/>
      <c r="FK40"/>
      <c r="FL40"/>
      <c r="FM40"/>
      <c r="FN40"/>
      <c r="FO40"/>
      <c r="FP40"/>
      <c r="FQ40"/>
      <c r="FR40"/>
      <c r="FS40"/>
      <c r="FT40"/>
      <c r="FU40"/>
      <c r="FV40"/>
      <c r="FW40"/>
      <c r="FX40"/>
      <c r="FY40"/>
      <c r="FZ40"/>
      <c r="GA40"/>
      <c r="GB40"/>
      <c r="GC40"/>
      <c r="GD40"/>
      <c r="GE40"/>
      <c r="GF40"/>
      <c r="GG40"/>
      <c r="GH40"/>
      <c r="GI40"/>
      <c r="GJ40"/>
      <c r="GK40"/>
      <c r="GL40"/>
      <c r="GM40"/>
      <c r="GN40"/>
      <c r="GO40"/>
    </row>
    <row r="41" spans="1:198" ht="21.75" thickBot="1">
      <c r="A41" s="1051" t="s">
        <v>15653</v>
      </c>
      <c r="B41" s="1050"/>
      <c r="F41" s="1063">
        <v>14</v>
      </c>
      <c r="G41" s="801" t="s">
        <v>15702</v>
      </c>
      <c r="AT41" s="802" t="s">
        <v>13320</v>
      </c>
      <c r="AU41" s="802" t="s">
        <v>13320</v>
      </c>
      <c r="AZ41" s="802" t="s">
        <v>6157</v>
      </c>
      <c r="CU41" s="801" t="s">
        <v>13319</v>
      </c>
      <c r="CV41" s="801" t="s">
        <v>13285</v>
      </c>
      <c r="CW41" s="801" t="s">
        <v>13319</v>
      </c>
      <c r="CX41" s="801" t="s">
        <v>13318</v>
      </c>
      <c r="CY41" s="801" t="s">
        <v>7365</v>
      </c>
      <c r="CZ41" s="801" t="s">
        <v>13317</v>
      </c>
      <c r="DC41"/>
      <c r="FH41"/>
      <c r="FI41"/>
      <c r="FJ41"/>
      <c r="FK41"/>
      <c r="FL41"/>
      <c r="FM41"/>
      <c r="FN41"/>
      <c r="FO41"/>
      <c r="FP41"/>
      <c r="FQ41"/>
      <c r="FR41"/>
      <c r="FS41"/>
      <c r="FT41"/>
      <c r="FU41"/>
      <c r="FV41"/>
      <c r="FW41"/>
      <c r="FX41"/>
      <c r="FY41"/>
      <c r="FZ41"/>
      <c r="GA41"/>
      <c r="GB41"/>
      <c r="GC41"/>
      <c r="GD41"/>
      <c r="GE41"/>
      <c r="GF41"/>
      <c r="GG41"/>
      <c r="GH41"/>
      <c r="GI41"/>
      <c r="GJ41"/>
      <c r="GK41"/>
      <c r="GL41"/>
      <c r="GM41"/>
      <c r="GN41"/>
      <c r="GO41"/>
    </row>
    <row r="42" spans="1:198" ht="21">
      <c r="A42" s="1051" t="s">
        <v>15654</v>
      </c>
      <c r="B42" s="1050"/>
      <c r="F42" s="1063">
        <v>15</v>
      </c>
      <c r="G42" s="801" t="s">
        <v>15703</v>
      </c>
      <c r="AT42" s="802" t="s">
        <v>13316</v>
      </c>
      <c r="AU42" s="802" t="s">
        <v>13316</v>
      </c>
      <c r="AZ42" s="802" t="s">
        <v>5865</v>
      </c>
      <c r="CU42" s="801" t="s">
        <v>7365</v>
      </c>
      <c r="CV42" s="801" t="s">
        <v>13315</v>
      </c>
      <c r="CW42" s="801" t="s">
        <v>7365</v>
      </c>
      <c r="CX42" s="801" t="s">
        <v>13314</v>
      </c>
      <c r="CY42" s="801" t="s">
        <v>13313</v>
      </c>
      <c r="CZ42" s="801" t="s">
        <v>13312</v>
      </c>
      <c r="DC42"/>
      <c r="DE42" s="824" t="s">
        <v>13947</v>
      </c>
      <c r="DF42" s="825"/>
      <c r="DG42" s="826" t="s">
        <v>13948</v>
      </c>
      <c r="DH42" s="827"/>
      <c r="DI42" s="827"/>
      <c r="DJ42" s="828"/>
      <c r="DK42" s="825"/>
      <c r="DL42" s="826" t="s">
        <v>4758</v>
      </c>
      <c r="DM42" s="827"/>
      <c r="DN42" s="827"/>
      <c r="DO42" s="828"/>
      <c r="DP42" s="825"/>
      <c r="DQ42" s="826" t="s">
        <v>4788</v>
      </c>
      <c r="DR42" s="827"/>
      <c r="DS42" s="827"/>
      <c r="DT42" s="827"/>
      <c r="DU42" s="827"/>
      <c r="DV42" s="827"/>
      <c r="DW42" s="828"/>
      <c r="DX42" s="825"/>
      <c r="DY42" s="826" t="s">
        <v>2496</v>
      </c>
      <c r="DZ42" s="827"/>
      <c r="EA42" s="827"/>
      <c r="EB42" s="828"/>
      <c r="EC42" s="825"/>
      <c r="ED42" s="826" t="s">
        <v>13949</v>
      </c>
      <c r="EE42" s="827"/>
      <c r="EF42" s="827"/>
      <c r="EG42" s="828"/>
      <c r="EH42" s="825"/>
      <c r="EI42" s="826" t="s">
        <v>13950</v>
      </c>
      <c r="EJ42" s="827"/>
      <c r="EK42" s="828"/>
      <c r="EL42" s="825"/>
      <c r="EM42" s="826" t="s">
        <v>13951</v>
      </c>
      <c r="EN42" s="828"/>
      <c r="EO42" s="825"/>
      <c r="EP42" s="826" t="s">
        <v>2612</v>
      </c>
      <c r="EQ42" s="827" t="s">
        <v>13108</v>
      </c>
      <c r="ER42" s="828"/>
      <c r="ES42" s="825"/>
      <c r="ET42" s="826" t="s">
        <v>2612</v>
      </c>
      <c r="EU42" s="827" t="s">
        <v>13105</v>
      </c>
      <c r="EV42" s="827"/>
      <c r="EW42" s="828"/>
      <c r="EX42" s="825"/>
      <c r="EY42" s="826" t="s">
        <v>2612</v>
      </c>
      <c r="EZ42" s="827" t="s">
        <v>13107</v>
      </c>
      <c r="FA42" s="828"/>
      <c r="FB42" s="825"/>
      <c r="FC42" s="826" t="s">
        <v>2612</v>
      </c>
      <c r="FD42" s="827" t="s">
        <v>13103</v>
      </c>
      <c r="FE42" s="827"/>
      <c r="FF42" s="828"/>
      <c r="FG42" s="825"/>
      <c r="FH42" s="826" t="s">
        <v>2612</v>
      </c>
      <c r="FI42" s="827" t="s">
        <v>13110</v>
      </c>
      <c r="FJ42" s="828"/>
      <c r="FK42" s="825"/>
      <c r="FL42" s="826" t="s">
        <v>2612</v>
      </c>
      <c r="FM42" s="827" t="s">
        <v>13109</v>
      </c>
      <c r="FN42" s="828"/>
      <c r="FO42" s="825"/>
      <c r="FP42" s="826" t="s">
        <v>2612</v>
      </c>
      <c r="FQ42" s="827" t="s">
        <v>13952</v>
      </c>
      <c r="FR42" s="828"/>
      <c r="FS42" s="825"/>
      <c r="FT42" s="826" t="s">
        <v>2612</v>
      </c>
      <c r="FU42" s="827" t="s">
        <v>13953</v>
      </c>
      <c r="FV42" s="828"/>
      <c r="FW42" s="825"/>
      <c r="FX42" s="824" t="s">
        <v>3874</v>
      </c>
      <c r="FY42" s="825"/>
      <c r="FZ42" s="826" t="s">
        <v>3580</v>
      </c>
      <c r="GA42" s="827"/>
      <c r="GB42" s="828"/>
      <c r="GC42" s="825"/>
      <c r="GD42" s="826" t="s">
        <v>13954</v>
      </c>
      <c r="GE42" s="827"/>
      <c r="GF42" s="828"/>
      <c r="GG42" s="825"/>
      <c r="GH42" s="826" t="s">
        <v>13955</v>
      </c>
      <c r="GI42" s="827"/>
      <c r="GJ42" s="827"/>
      <c r="GK42" s="828"/>
      <c r="GL42" s="825"/>
      <c r="GM42" s="826" t="s">
        <v>13956</v>
      </c>
      <c r="GN42" s="827"/>
      <c r="GO42" s="828"/>
    </row>
    <row r="43" spans="1:198" ht="21.75" thickBot="1">
      <c r="A43" s="1051" t="s">
        <v>15655</v>
      </c>
      <c r="B43" s="1050"/>
      <c r="F43" s="1063">
        <v>16</v>
      </c>
      <c r="G43" s="801" t="s">
        <v>15704</v>
      </c>
      <c r="AT43" s="802" t="s">
        <v>13311</v>
      </c>
      <c r="AU43" s="802" t="s">
        <v>13311</v>
      </c>
      <c r="AZ43" s="802" t="s">
        <v>6017</v>
      </c>
      <c r="CU43" s="801" t="s">
        <v>7734</v>
      </c>
      <c r="CV43" s="801" t="s">
        <v>13282</v>
      </c>
      <c r="CW43" s="801" t="s">
        <v>13310</v>
      </c>
      <c r="CX43" s="801" t="s">
        <v>13303</v>
      </c>
      <c r="CY43" s="801" t="s">
        <v>13310</v>
      </c>
      <c r="CZ43" s="801" t="s">
        <v>13309</v>
      </c>
      <c r="DC43"/>
      <c r="DE43" s="829" t="s">
        <v>13957</v>
      </c>
      <c r="DF43" s="825"/>
      <c r="DG43" s="830" t="s">
        <v>1352</v>
      </c>
      <c r="DH43" s="831" t="s">
        <v>1351</v>
      </c>
      <c r="DI43" s="831" t="s">
        <v>13958</v>
      </c>
      <c r="DJ43" s="832" t="s">
        <v>13959</v>
      </c>
      <c r="DK43" s="825"/>
      <c r="DL43" s="830" t="s">
        <v>1352</v>
      </c>
      <c r="DM43" s="831" t="s">
        <v>1351</v>
      </c>
      <c r="DN43" s="831" t="s">
        <v>13960</v>
      </c>
      <c r="DO43" s="832" t="s">
        <v>13961</v>
      </c>
      <c r="DP43" s="825"/>
      <c r="DQ43" s="830" t="s">
        <v>1352</v>
      </c>
      <c r="DR43" s="831" t="s">
        <v>1351</v>
      </c>
      <c r="DS43" s="831" t="s">
        <v>13962</v>
      </c>
      <c r="DT43" s="831" t="s">
        <v>13961</v>
      </c>
      <c r="DU43" s="831" t="s">
        <v>13963</v>
      </c>
      <c r="DV43" s="831" t="s">
        <v>13960</v>
      </c>
      <c r="DW43" s="832" t="s">
        <v>13963</v>
      </c>
      <c r="DX43" s="825"/>
      <c r="DY43" s="830" t="s">
        <v>1352</v>
      </c>
      <c r="DZ43" s="831" t="s">
        <v>1351</v>
      </c>
      <c r="EA43" s="831" t="s">
        <v>13964</v>
      </c>
      <c r="EB43" s="832" t="s">
        <v>13965</v>
      </c>
      <c r="EC43" s="825"/>
      <c r="ED43" s="830" t="s">
        <v>1352</v>
      </c>
      <c r="EE43" s="831" t="s">
        <v>1351</v>
      </c>
      <c r="EF43" s="831" t="s">
        <v>13960</v>
      </c>
      <c r="EG43" s="832" t="s">
        <v>13961</v>
      </c>
      <c r="EH43" s="825"/>
      <c r="EI43" s="830" t="s">
        <v>1352</v>
      </c>
      <c r="EJ43" s="831" t="s">
        <v>1351</v>
      </c>
      <c r="EK43" s="832" t="s">
        <v>13966</v>
      </c>
      <c r="EL43" s="825"/>
      <c r="EM43" s="830" t="s">
        <v>1352</v>
      </c>
      <c r="EN43" s="832" t="s">
        <v>1351</v>
      </c>
      <c r="EO43" s="825"/>
      <c r="EP43" s="830" t="s">
        <v>1352</v>
      </c>
      <c r="EQ43" s="831" t="s">
        <v>1351</v>
      </c>
      <c r="ER43" s="832" t="s">
        <v>13966</v>
      </c>
      <c r="ES43" s="825"/>
      <c r="ET43" s="830" t="s">
        <v>1352</v>
      </c>
      <c r="EU43" s="831" t="s">
        <v>1351</v>
      </c>
      <c r="EV43" s="831" t="s">
        <v>13960</v>
      </c>
      <c r="EW43" s="832" t="s">
        <v>13961</v>
      </c>
      <c r="EX43" s="825"/>
      <c r="EY43" s="830" t="s">
        <v>1352</v>
      </c>
      <c r="EZ43" s="831" t="s">
        <v>1351</v>
      </c>
      <c r="FA43" s="832" t="s">
        <v>13966</v>
      </c>
      <c r="FB43" s="825"/>
      <c r="FC43" s="830" t="s">
        <v>1352</v>
      </c>
      <c r="FD43" s="831" t="s">
        <v>1351</v>
      </c>
      <c r="FE43" s="831" t="s">
        <v>13960</v>
      </c>
      <c r="FF43" s="832" t="s">
        <v>13961</v>
      </c>
      <c r="FG43" s="825"/>
      <c r="FH43" s="830" t="s">
        <v>1352</v>
      </c>
      <c r="FI43" s="831" t="s">
        <v>1351</v>
      </c>
      <c r="FJ43" s="832" t="s">
        <v>13966</v>
      </c>
      <c r="FK43" s="825"/>
      <c r="FL43" s="830" t="s">
        <v>1352</v>
      </c>
      <c r="FM43" s="831" t="s">
        <v>1351</v>
      </c>
      <c r="FN43" s="832" t="s">
        <v>13966</v>
      </c>
      <c r="FO43" s="825"/>
      <c r="FP43" s="830" t="s">
        <v>1352</v>
      </c>
      <c r="FQ43" s="831" t="s">
        <v>1351</v>
      </c>
      <c r="FR43" s="832" t="s">
        <v>13966</v>
      </c>
      <c r="FS43" s="825"/>
      <c r="FT43" s="830" t="s">
        <v>1352</v>
      </c>
      <c r="FU43" s="831" t="s">
        <v>1351</v>
      </c>
      <c r="FV43" s="832" t="s">
        <v>13966</v>
      </c>
      <c r="FW43" s="825"/>
      <c r="FX43" s="829" t="s">
        <v>13957</v>
      </c>
      <c r="FY43" s="825"/>
      <c r="FZ43" s="830" t="s">
        <v>1352</v>
      </c>
      <c r="GA43" s="831" t="s">
        <v>1351</v>
      </c>
      <c r="GB43" s="832" t="s">
        <v>13967</v>
      </c>
      <c r="GC43" s="825"/>
      <c r="GD43" s="830" t="s">
        <v>1352</v>
      </c>
      <c r="GE43" s="831" t="s">
        <v>1351</v>
      </c>
      <c r="GF43" s="832" t="s">
        <v>13968</v>
      </c>
      <c r="GG43" s="825"/>
      <c r="GH43" s="830" t="s">
        <v>13969</v>
      </c>
      <c r="GI43" s="831" t="s">
        <v>13970</v>
      </c>
      <c r="GJ43" s="831" t="s">
        <v>13971</v>
      </c>
      <c r="GK43" s="832" t="s">
        <v>13972</v>
      </c>
      <c r="GL43" s="825"/>
      <c r="GM43" s="830" t="s">
        <v>13973</v>
      </c>
      <c r="GN43" s="831" t="s">
        <v>13974</v>
      </c>
      <c r="GO43" s="832" t="s">
        <v>13975</v>
      </c>
    </row>
    <row r="44" spans="1:198" ht="21">
      <c r="A44" s="1051" t="s">
        <v>15656</v>
      </c>
      <c r="F44" s="1063">
        <v>17</v>
      </c>
      <c r="G44" s="801" t="s">
        <v>15705</v>
      </c>
      <c r="AT44" s="802" t="s">
        <v>13308</v>
      </c>
      <c r="AU44" s="802" t="s">
        <v>13308</v>
      </c>
      <c r="AZ44" s="802" t="s">
        <v>6059</v>
      </c>
      <c r="CU44" s="801" t="s">
        <v>5803</v>
      </c>
      <c r="CV44" s="801" t="s">
        <v>13307</v>
      </c>
      <c r="CW44" s="801" t="s">
        <v>7736</v>
      </c>
      <c r="CX44" s="801" t="s">
        <v>13298</v>
      </c>
      <c r="CY44" s="801" t="s">
        <v>7736</v>
      </c>
      <c r="CZ44" s="801" t="s">
        <v>13306</v>
      </c>
      <c r="DC44"/>
      <c r="DN44" t="str">
        <f ca="1">DN45&amp;DO45</f>
        <v>Hackhearth</v>
      </c>
      <c r="DT44" t="str">
        <f ca="1">DT45&amp;DV45</f>
        <v>Galaamne</v>
      </c>
      <c r="FH44"/>
      <c r="FI44"/>
      <c r="FJ44"/>
      <c r="FK44"/>
      <c r="FL44"/>
      <c r="FM44"/>
      <c r="FN44"/>
      <c r="FO44"/>
      <c r="FP44"/>
      <c r="FQ44"/>
      <c r="FR44"/>
      <c r="FS44"/>
      <c r="FT44"/>
      <c r="FU44"/>
      <c r="FV44"/>
      <c r="FW44"/>
      <c r="FX44"/>
      <c r="FY44"/>
      <c r="FZ44"/>
      <c r="GA44"/>
      <c r="GB44"/>
      <c r="GC44"/>
      <c r="GD44"/>
      <c r="GE44"/>
      <c r="GF44"/>
      <c r="GG44"/>
      <c r="GH44" t="str">
        <f ca="1">GH45&amp;GI45</f>
        <v>Kerus</v>
      </c>
      <c r="GI44"/>
      <c r="GJ44" s="1" t="str">
        <f ca="1">GJ45&amp;GK45</f>
        <v>Vlathyn</v>
      </c>
      <c r="GK44"/>
      <c r="GL44"/>
      <c r="GM44" t="str">
        <f ca="1">GM45&amp;GN45&amp;GO45</f>
        <v>Ssinutal</v>
      </c>
      <c r="GN44"/>
      <c r="GO44"/>
    </row>
    <row r="45" spans="1:198" ht="21">
      <c r="A45" s="1051" t="s">
        <v>15657</v>
      </c>
      <c r="F45" s="1063">
        <v>18</v>
      </c>
      <c r="G45" s="801" t="s">
        <v>15706</v>
      </c>
      <c r="AT45" s="802" t="s">
        <v>13305</v>
      </c>
      <c r="AU45" s="802" t="s">
        <v>13305</v>
      </c>
      <c r="AZ45" s="802" t="s">
        <v>6057</v>
      </c>
      <c r="CU45" s="801" t="s">
        <v>13304</v>
      </c>
      <c r="CV45" s="801" t="s">
        <v>13277</v>
      </c>
      <c r="CW45" s="801" t="s">
        <v>5852</v>
      </c>
      <c r="CX45" s="801" t="s">
        <v>13290</v>
      </c>
      <c r="CY45" s="801" t="s">
        <v>5852</v>
      </c>
      <c r="CZ45" s="801" t="s">
        <v>13303</v>
      </c>
      <c r="DC45"/>
      <c r="DE45" t="str" cm="1">
        <f t="array" aca="1" ref="DE45" ca="1">INDEX(DE$50:DE$140,RANDBETWEEN(1,DE46),1)</f>
        <v>Zeed</v>
      </c>
      <c r="DG45" s="1" t="str" cm="1">
        <f t="array" aca="1" ref="DG45" ca="1">INDEX(DG$50:DG$140,RANDBETWEEN(1,DG46),1)</f>
        <v>Heskan</v>
      </c>
      <c r="DH45" s="1" t="str" cm="1">
        <f t="array" aca="1" ref="DH45" ca="1">INDEX(DH$50:DH$140,RANDBETWEEN(1,DH46),1)</f>
        <v>Leytra</v>
      </c>
      <c r="DI45" s="1" t="str" cm="1">
        <f t="array" aca="1" ref="DI45" ca="1">INDEX(DI$50:DI$140,RANDBETWEEN(1,DI46),1)</f>
        <v>Black</v>
      </c>
      <c r="DJ45" s="1" t="str" cm="1">
        <f t="array" aca="1" ref="DJ45" ca="1">INDEX(DJ$50:DJ$140,RANDBETWEEN(1,DJ46),1)</f>
        <v>Gold</v>
      </c>
      <c r="DL45" s="1" t="str" cm="1">
        <f t="array" aca="1" ref="DL45" ca="1">INDEX(DL$50:DL$140,RANDBETWEEN(1,DL46),1)</f>
        <v>Fargrim</v>
      </c>
      <c r="DM45" s="1" t="str" cm="1">
        <f t="array" aca="1" ref="DM45" ca="1">INDEX(DM$50:DM$140,RANDBETWEEN(1,DM46),1)</f>
        <v>Vronwe</v>
      </c>
      <c r="DN45" s="1" t="str" cm="1">
        <f t="array" aca="1" ref="DN45" ca="1">INDEX(DN$50:DN$140,RANDBETWEEN(1,DN46),1)</f>
        <v>Hack</v>
      </c>
      <c r="DO45" s="1" t="str" cm="1">
        <f t="array" aca="1" ref="DO45" ca="1">INDEX(DO$50:DO$140,RANDBETWEEN(1,DO46),1)</f>
        <v>hearth</v>
      </c>
      <c r="DQ45" s="1" t="str" cm="1">
        <f t="array" aca="1" ref="DQ45" ca="1">INDEX(DQ$50:DQ$140,RANDBETWEEN(1,DQ46),1)</f>
        <v>Mindartis</v>
      </c>
      <c r="DR45" s="1" t="str" cm="1">
        <f t="array" aca="1" ref="DR45" ca="1">INDEX(DR$50:DR$140,RANDBETWEEN(1,DR46),1)</f>
        <v>Velene</v>
      </c>
      <c r="DS45" s="1" t="str" cm="1">
        <f t="array" aca="1" ref="DS45" ca="1">INDEX(DS$50:DS$140,RANDBETWEEN(1,DS46),1)</f>
        <v>Bryn</v>
      </c>
      <c r="DT45" s="1" t="str" cm="1">
        <f t="array" aca="1" ref="DT45" ca="1">INDEX(DT$50:DT$140,RANDBETWEEN(1,DT46),1)</f>
        <v>Gala</v>
      </c>
      <c r="DU45" s="1" t="str" cm="1">
        <f t="array" aca="1" ref="DU45" ca="1">INDEX(DU$50:DU$140,RANDBETWEEN(1,DU46),1)</f>
        <v>flower</v>
      </c>
      <c r="DV45" s="1" t="str" cm="1">
        <f t="array" aca="1" ref="DV45" ca="1">INDEX(DV$50:DV$140,RANDBETWEEN(1,DV46),1)</f>
        <v>amne</v>
      </c>
      <c r="DW45" s="1" t="str" cm="1">
        <f t="array" aca="1" ref="DW45" ca="1">INDEX(DW$50:DW$140,RANDBETWEEN(1,DW46),1)</f>
        <v>Silver</v>
      </c>
      <c r="DY45" s="1" t="str" cm="1">
        <f t="array" aca="1" ref="DY45" ca="1">INDEX(DY$50:DY$140,RANDBETWEEN(1,DY46),1)</f>
        <v>Burgell</v>
      </c>
      <c r="DZ45" s="1" t="str" cm="1">
        <f t="array" aca="1" ref="DZ45" ca="1">INDEX(DZ$50:DZ$140,RANDBETWEEN(1,DZ46),1)</f>
        <v>Mardnab</v>
      </c>
      <c r="EA45" s="1" t="str" cm="1">
        <f t="array" aca="1" ref="EA45" ca="1">INDEX(EA$50:EA$140,RANDBETWEEN(1,EA46),1)</f>
        <v>Timbers</v>
      </c>
      <c r="EB45" s="1" t="str" cm="1">
        <f t="array" aca="1" ref="EB45" ca="1">INDEX(EB$50:EB$140,RANDBETWEEN(1,EB46),1)</f>
        <v>Badger</v>
      </c>
      <c r="ED45" s="1" t="str" cm="1">
        <f t="array" aca="1" ref="ED45" ca="1">INDEX(ED$50:ED$140,RANDBETWEEN(1,ED46),1)</f>
        <v>Durthmeck</v>
      </c>
      <c r="EE45" s="1" t="str" cm="1">
        <f t="array" aca="1" ref="EE45" ca="1">INDEX(EE$50:EE$140,RANDBETWEEN(1,EE46),1)</f>
        <v>Krivi</v>
      </c>
      <c r="EF45" s="1" t="str" cm="1">
        <f t="array" aca="1" ref="EF45" ca="1">INDEX(EF$50:EF$140,RANDBETWEEN(1,EF46),1)</f>
        <v>Iron</v>
      </c>
      <c r="EG45" s="1" t="str" cm="1">
        <f t="array" aca="1" ref="EG45" ca="1">INDEX(EG$50:EG$140,RANDBETWEEN(1,EG46),1)</f>
        <v>foot</v>
      </c>
      <c r="EI45" s="1" t="str" cm="1">
        <f t="array" aca="1" ref="EI45" ca="1">INDEX(EI$50:EI$140,RANDBETWEEN(1,EI46),1)</f>
        <v>Perrin</v>
      </c>
      <c r="EJ45" s="1" t="str" cm="1">
        <f t="array" aca="1" ref="EJ45" ca="1">INDEX(EJ$50:EJ$140,RANDBETWEEN(1,EJ46),1)</f>
        <v>Shaena</v>
      </c>
      <c r="EK45" s="1" t="str" cm="1">
        <f t="array" aca="1" ref="EK45" ca="1">INDEX(EK$50:EK$140,RANDBETWEEN(1,EK46),1)</f>
        <v>Hilltopple</v>
      </c>
      <c r="EM45" s="1" t="str" cm="1">
        <f t="array" aca="1" ref="EM45" ca="1">INDEX(EM$50:EM$140,RANDBETWEEN(1,EM46),1)</f>
        <v>Shump</v>
      </c>
      <c r="EN45" s="1" t="str" cm="1">
        <f t="array" aca="1" ref="EN45" ca="1">INDEX(EN$50:EN$140,RANDBETWEEN(1,EN46),1)</f>
        <v>Volen</v>
      </c>
      <c r="EP45" s="1" t="str" cm="1">
        <f t="array" aca="1" ref="EP45" ca="1">INDEX(EP$50:EP$140,RANDBETWEEN(1,EP46),1)</f>
        <v>Mehmen</v>
      </c>
      <c r="EQ45" s="1" t="str" cm="1">
        <f t="array" aca="1" ref="EQ45" ca="1">INDEX(EQ$50:EQ$140,RANDBETWEEN(1,EQ46),1)</f>
        <v>Seipora</v>
      </c>
      <c r="ER45" s="1" t="str" cm="1">
        <f t="array" aca="1" ref="ER45" ca="1">INDEX(ER$50:ER$140,RANDBETWEEN(1,ER46),1)</f>
        <v>Mostana</v>
      </c>
      <c r="ET45" s="1" t="str" cm="1">
        <f t="array" aca="1" ref="ET45" ca="1">INDEX(ET$50:ET$140,RANDBETWEEN(1,ET46),1)</f>
        <v>Morn</v>
      </c>
      <c r="EU45" s="1" t="str" cm="1">
        <f t="array" aca="1" ref="EU45" ca="1">INDEX(EU$50:EU$140,RANDBETWEEN(1,EU46),1)</f>
        <v>Kerri</v>
      </c>
      <c r="EV45" s="1" t="str" cm="1">
        <f t="array" aca="1" ref="EV45" ca="1">INDEX(EV$50:EV$140,RANDBETWEEN(1,EV46),1)</f>
        <v>Amble</v>
      </c>
      <c r="EW45" s="1" t="str" cm="1">
        <f t="array" aca="1" ref="EW45" ca="1">INDEX(EW$50:EW$140,RANDBETWEEN(1,EW46),1)</f>
        <v>dragon</v>
      </c>
      <c r="EY45" s="1" t="str" cm="1">
        <f t="array" aca="1" ref="EY45" ca="1">INDEX(EY$50:EY$140,RANDBETWEEN(1,EY46),1)</f>
        <v>Sergor</v>
      </c>
      <c r="EZ45" s="1" t="str" cm="1">
        <f t="array" aca="1" ref="EZ45" ca="1">INDEX(EZ$50:EZ$140,RANDBETWEEN(1,EZ46),1)</f>
        <v>Katernin</v>
      </c>
      <c r="FA45" s="1" t="str" cm="1">
        <f t="array" aca="1" ref="FA45" ca="1">INDEX(FA$50:FA$140,RANDBETWEEN(1,FA46),1)</f>
        <v>Bersk</v>
      </c>
      <c r="FC45" s="1" t="str" cm="1">
        <f t="array" aca="1" ref="FC45" ca="1">INDEX(FC$50:FC$140,RANDBETWEEN(1,FC46),1)</f>
        <v>Taman</v>
      </c>
      <c r="FD45" s="1" t="str" cm="1">
        <f t="array" aca="1" ref="FD45" ca="1">INDEX(FD$50:FD$140,RANDBETWEEN(1,FD46),1)</f>
        <v>Kethra</v>
      </c>
      <c r="FE45" s="1" t="str" cm="1">
        <f t="array" aca="1" ref="FE45" ca="1">INDEX(FE$50:FE$140,RANDBETWEEN(1,FE46),1)</f>
        <v>Hel</v>
      </c>
      <c r="FF45" s="1" t="str" cm="1">
        <f t="array" aca="1" ref="FF45" ca="1">INDEX(FF$50:FF$140,RANDBETWEEN(1,FF46),1)</f>
        <v>rivver</v>
      </c>
      <c r="FH45" s="1" t="str" cm="1">
        <f t="array" aca="1" ref="FH45" ca="1">INDEX(FH$50:FH$140,RANDBETWEEN(1,FH46),1)</f>
        <v>Urthur</v>
      </c>
      <c r="FI45" s="1" t="str" cm="1">
        <f t="array" aca="1" ref="FI45" ca="1">INDEX(FI$50:FI$140,RANDBETWEEN(1,FI46),1)</f>
        <v>Sefris</v>
      </c>
      <c r="FJ45" s="1" t="str" cm="1">
        <f t="array" aca="1" ref="FJ45" ca="1">INDEX(FJ$50:FJ$140,RANDBETWEEN(1,FJ46),1)</f>
        <v>Ankhalab</v>
      </c>
      <c r="FK45"/>
      <c r="FL45" s="1" t="str" cm="1">
        <f t="array" aca="1" ref="FL45" ca="1">INDEX(FL$50:FL$140,RANDBETWEEN(1,FL46),1)</f>
        <v>Borivik</v>
      </c>
      <c r="FM45" s="1" t="str" cm="1">
        <f t="array" aca="1" ref="FM45" ca="1">INDEX(FM$50:FM$140,RANDBETWEEN(1,FM46),1)</f>
        <v>Imzel</v>
      </c>
      <c r="FN45" s="1" t="str" cm="1">
        <f t="array" aca="1" ref="FN45" ca="1">INDEX(FN$50:FN$140,RANDBETWEEN(1,FN46),1)</f>
        <v>Murnyethara</v>
      </c>
      <c r="FO45" s="1"/>
      <c r="FP45" s="1" t="str" cm="1">
        <f t="array" aca="1" ref="FP45" ca="1">INDEX(FP$50:FP$140,RANDBETWEEN(1,FP46),1)</f>
        <v>An</v>
      </c>
      <c r="FQ45" s="1" t="str" cm="1">
        <f t="array" aca="1" ref="FQ45" ca="1">INDEX(FQ$50:FQ$140,RANDBETWEEN(1,FQ46),1)</f>
        <v>Jia</v>
      </c>
      <c r="FR45" s="1" t="str" cm="1">
        <f t="array" aca="1" ref="FR45" ca="1">INDEX(FR$50:FR$140,RANDBETWEEN(1,FR46),1)</f>
        <v>Sum</v>
      </c>
      <c r="FS45" s="1"/>
      <c r="FT45" s="1" t="str" cm="1">
        <f t="array" aca="1" ref="FT45" ca="1">INDEX(FT$50:FT$140,RANDBETWEEN(1,FT46),1)</f>
        <v>Pieron</v>
      </c>
      <c r="FU45" s="1" t="str" cm="1">
        <f t="array" aca="1" ref="FU45" ca="1">INDEX(FU$50:FU$140,RANDBETWEEN(1,FU46),1)</f>
        <v>Luisa</v>
      </c>
      <c r="FV45" s="1" t="str" cm="1">
        <f t="array" aca="1" ref="FV45" ca="1">INDEX(FV$50:FV$140,RANDBETWEEN(1,FV46),1)</f>
        <v>Calabra</v>
      </c>
      <c r="FW45" s="1"/>
      <c r="FX45" s="1" t="str" cm="1">
        <f t="array" aca="1" ref="FX45" ca="1">INDEX(FX$50:FX$140,RANDBETWEEN(1,FX46),1)</f>
        <v>Kethend (gem)</v>
      </c>
      <c r="FY45" s="1"/>
      <c r="FZ45" s="1" t="str" cm="1">
        <f t="array" aca="1" ref="FZ45" ca="1">INDEX(FZ$50:FZ$140,RANDBETWEEN(1,FZ46),1)</f>
        <v>Urzul</v>
      </c>
      <c r="GA45" s="1" t="str" cm="1">
        <f t="array" aca="1" ref="GA45" ca="1">INDEX(GA$50:GA$140,RANDBETWEEN(1,GA46),1)</f>
        <v>Ovak</v>
      </c>
      <c r="GB45" s="1" t="str" cm="1">
        <f t="array" aca="1" ref="GB45" ca="1">INDEX(GB$50:GB$140,RANDBETWEEN(1,GB46),1)</f>
        <v>Doom Hammer</v>
      </c>
      <c r="GC45" s="1"/>
      <c r="GD45" s="1" t="str" cm="1">
        <f t="array" aca="1" ref="GD45" ca="1">INDEX(GD$50:GD$140,RANDBETWEEN(1,GD46),1)</f>
        <v>Skamos</v>
      </c>
      <c r="GE45" s="1" t="str" cm="1">
        <f t="array" aca="1" ref="GE45" ca="1">INDEX(GE$50:GE$140,RANDBETWEEN(1,GE46),1)</f>
        <v>Criella</v>
      </c>
      <c r="GF45" s="1" t="str" cm="1">
        <f t="array" aca="1" ref="GF45" ca="1">INDEX(GF$50:GF$140,RANDBETWEEN(1,GF46),1)</f>
        <v>Reverence</v>
      </c>
      <c r="GG45" s="1"/>
      <c r="GH45" s="1" t="str" cm="1">
        <f t="array" aca="1" ref="GH45" ca="1">INDEX(GH$50:GH$140,RANDBETWEEN(1,GH46),1)</f>
        <v>Ke</v>
      </c>
      <c r="GI45" s="1" t="str" cm="1">
        <f t="array" aca="1" ref="GI45" ca="1">INDEX(GI$50:GI$140,RANDBETWEEN(1,GI46),1)</f>
        <v>rus</v>
      </c>
      <c r="GJ45" s="1" t="str" cm="1">
        <f t="array" aca="1" ref="GJ45" ca="1">INDEX(GJ$50:GJ$140,RANDBETWEEN(1,GJ46),1)</f>
        <v>Vla</v>
      </c>
      <c r="GK45" s="1" t="str" cm="1">
        <f t="array" aca="1" ref="GK45" ca="1">INDEX(GK$50:GK$140,RANDBETWEEN(1,GK46),1)</f>
        <v>thyn</v>
      </c>
      <c r="GL45" s="1"/>
      <c r="GM45" s="1" t="str" cm="1">
        <f t="array" aca="1" ref="GM45" ca="1">INDEX(GM$50:GM$140,RANDBETWEEN(1,GM46),1)</f>
        <v>Ssi</v>
      </c>
      <c r="GN45" s="1" t="str" cm="1">
        <f t="array" aca="1" ref="GN45" ca="1">INDEX(GN$50:GN$140,RANDBETWEEN(1,GN46),1)</f>
        <v>nu</v>
      </c>
      <c r="GO45" s="1" t="str" cm="1">
        <f t="array" aca="1" ref="GO45" ca="1">INDEX(GO$50:GO$140,RANDBETWEEN(1,GO46),1)</f>
        <v>tal</v>
      </c>
    </row>
    <row r="46" spans="1:198" ht="21">
      <c r="A46" s="1051" t="s">
        <v>15658</v>
      </c>
      <c r="F46" s="1063">
        <v>19</v>
      </c>
      <c r="G46" s="801" t="s">
        <v>15707</v>
      </c>
      <c r="AT46" s="802" t="s">
        <v>13302</v>
      </c>
      <c r="AU46" s="802" t="s">
        <v>13302</v>
      </c>
      <c r="AZ46" s="802" t="s">
        <v>13301</v>
      </c>
      <c r="CU46" s="801" t="s">
        <v>13300</v>
      </c>
      <c r="CV46" s="801" t="s">
        <v>13299</v>
      </c>
      <c r="CW46" s="801" t="s">
        <v>2860</v>
      </c>
      <c r="CX46" s="801" t="s">
        <v>13285</v>
      </c>
      <c r="CY46" s="801" t="s">
        <v>2860</v>
      </c>
      <c r="CZ46" s="801" t="s">
        <v>13298</v>
      </c>
      <c r="DC46"/>
      <c r="DE46">
        <f>91-COUNTBLANK(DE$50:DE$140)</f>
        <v>14</v>
      </c>
      <c r="DF46" s="1"/>
      <c r="DG46" s="1">
        <f t="shared" ref="DG46:FQ46" si="0">91-COUNTBLANK(DG$50:DG$140)</f>
        <v>54</v>
      </c>
      <c r="DH46" s="1">
        <f t="shared" si="0"/>
        <v>30</v>
      </c>
      <c r="DI46" s="1">
        <f t="shared" si="0"/>
        <v>5</v>
      </c>
      <c r="DJ46" s="1">
        <f t="shared" si="0"/>
        <v>5</v>
      </c>
      <c r="DK46" s="1"/>
      <c r="DL46" s="1">
        <f t="shared" si="0"/>
        <v>76</v>
      </c>
      <c r="DM46" s="1">
        <f t="shared" si="0"/>
        <v>38</v>
      </c>
      <c r="DN46" s="1">
        <f t="shared" si="0"/>
        <v>20</v>
      </c>
      <c r="DO46" s="1">
        <f t="shared" si="0"/>
        <v>20</v>
      </c>
      <c r="DP46" s="1"/>
      <c r="DQ46" s="1">
        <f t="shared" si="0"/>
        <v>54</v>
      </c>
      <c r="DR46" s="1">
        <f t="shared" si="0"/>
        <v>40</v>
      </c>
      <c r="DS46" s="1">
        <f t="shared" si="0"/>
        <v>17</v>
      </c>
      <c r="DT46" s="1">
        <f t="shared" si="0"/>
        <v>9</v>
      </c>
      <c r="DU46" s="1">
        <f t="shared" si="0"/>
        <v>9</v>
      </c>
      <c r="DV46" s="1">
        <f t="shared" si="0"/>
        <v>8</v>
      </c>
      <c r="DW46" s="1">
        <f t="shared" si="0"/>
        <v>8</v>
      </c>
      <c r="DX46" s="1"/>
      <c r="DY46" s="1">
        <f t="shared" si="0"/>
        <v>23</v>
      </c>
      <c r="DZ46" s="1">
        <f t="shared" si="0"/>
        <v>22</v>
      </c>
      <c r="EA46" s="1">
        <f t="shared" si="0"/>
        <v>11</v>
      </c>
      <c r="EB46" s="1">
        <f t="shared" si="0"/>
        <v>13</v>
      </c>
      <c r="EC46" s="1"/>
      <c r="ED46" s="1">
        <f t="shared" si="0"/>
        <v>10</v>
      </c>
      <c r="EE46" s="1">
        <f t="shared" si="0"/>
        <v>10</v>
      </c>
      <c r="EF46" s="1">
        <f t="shared" si="0"/>
        <v>6</v>
      </c>
      <c r="EG46" s="1">
        <f t="shared" si="0"/>
        <v>5</v>
      </c>
      <c r="EH46" s="1"/>
      <c r="EI46" s="1">
        <f t="shared" si="0"/>
        <v>17</v>
      </c>
      <c r="EJ46" s="1">
        <f t="shared" si="0"/>
        <v>18</v>
      </c>
      <c r="EK46" s="1">
        <f t="shared" si="0"/>
        <v>10</v>
      </c>
      <c r="EL46" s="1"/>
      <c r="EM46" s="1">
        <f t="shared" si="0"/>
        <v>12</v>
      </c>
      <c r="EN46" s="1">
        <f t="shared" si="0"/>
        <v>13</v>
      </c>
      <c r="EO46" s="1"/>
      <c r="EP46" s="1">
        <f t="shared" si="0"/>
        <v>7</v>
      </c>
      <c r="EQ46" s="1">
        <f t="shared" si="0"/>
        <v>8</v>
      </c>
      <c r="ER46" s="1">
        <f t="shared" si="0"/>
        <v>7</v>
      </c>
      <c r="ES46" s="1"/>
      <c r="ET46" s="1">
        <f t="shared" si="0"/>
        <v>10</v>
      </c>
      <c r="EU46" s="1">
        <f t="shared" si="0"/>
        <v>9</v>
      </c>
      <c r="EV46" s="1">
        <f t="shared" si="0"/>
        <v>6</v>
      </c>
      <c r="EW46" s="1">
        <f t="shared" si="0"/>
        <v>6</v>
      </c>
      <c r="EX46" s="1"/>
      <c r="EY46" s="1">
        <f t="shared" si="0"/>
        <v>11</v>
      </c>
      <c r="EZ46" s="1">
        <f t="shared" si="0"/>
        <v>8</v>
      </c>
      <c r="FA46" s="1">
        <f t="shared" si="0"/>
        <v>8</v>
      </c>
      <c r="FB46" s="1"/>
      <c r="FC46" s="1">
        <f t="shared" si="0"/>
        <v>11</v>
      </c>
      <c r="FD46" s="1">
        <f t="shared" si="0"/>
        <v>8</v>
      </c>
      <c r="FE46" s="1">
        <f t="shared" si="0"/>
        <v>6</v>
      </c>
      <c r="FF46" s="1">
        <f t="shared" si="0"/>
        <v>6</v>
      </c>
      <c r="FG46" s="1"/>
      <c r="FH46" s="1">
        <f t="shared" si="0"/>
        <v>9</v>
      </c>
      <c r="FI46" s="1">
        <f t="shared" si="0"/>
        <v>9</v>
      </c>
      <c r="FJ46" s="1">
        <f t="shared" si="0"/>
        <v>7</v>
      </c>
      <c r="FK46" s="1"/>
      <c r="FL46" s="1">
        <f t="shared" si="0"/>
        <v>8</v>
      </c>
      <c r="FM46" s="1">
        <f t="shared" si="0"/>
        <v>8</v>
      </c>
      <c r="FN46" s="1">
        <f t="shared" si="0"/>
        <v>6</v>
      </c>
      <c r="FO46" s="1"/>
      <c r="FP46" s="1">
        <f t="shared" si="0"/>
        <v>13</v>
      </c>
      <c r="FQ46" s="1">
        <f t="shared" si="0"/>
        <v>8</v>
      </c>
      <c r="FR46" s="1">
        <f t="shared" ref="FR46:GO46" si="1">91-COUNTBLANK(FR$50:FR$140)</f>
        <v>12</v>
      </c>
      <c r="FS46" s="1"/>
      <c r="FT46" s="1">
        <f t="shared" si="1"/>
        <v>8</v>
      </c>
      <c r="FU46" s="1">
        <f t="shared" si="1"/>
        <v>9</v>
      </c>
      <c r="FV46" s="1">
        <f t="shared" si="1"/>
        <v>8</v>
      </c>
      <c r="FW46" s="1"/>
      <c r="FX46" s="1">
        <f t="shared" si="1"/>
        <v>24</v>
      </c>
      <c r="FY46" s="1"/>
      <c r="FZ46" s="1">
        <f t="shared" si="1"/>
        <v>12</v>
      </c>
      <c r="GA46" s="1">
        <f t="shared" si="1"/>
        <v>12</v>
      </c>
      <c r="GB46" s="1">
        <f t="shared" si="1"/>
        <v>12</v>
      </c>
      <c r="GC46" s="1"/>
      <c r="GD46" s="1">
        <f t="shared" si="1"/>
        <v>14</v>
      </c>
      <c r="GE46" s="1">
        <f t="shared" si="1"/>
        <v>13</v>
      </c>
      <c r="GF46" s="1">
        <f t="shared" si="1"/>
        <v>21</v>
      </c>
      <c r="GG46" s="1"/>
      <c r="GH46" s="1">
        <f t="shared" si="1"/>
        <v>8</v>
      </c>
      <c r="GI46" s="1">
        <f t="shared" si="1"/>
        <v>7</v>
      </c>
      <c r="GJ46" s="1">
        <f t="shared" si="1"/>
        <v>8</v>
      </c>
      <c r="GK46" s="1">
        <f t="shared" si="1"/>
        <v>4</v>
      </c>
      <c r="GL46" s="1"/>
      <c r="GM46" s="1">
        <f t="shared" si="1"/>
        <v>17</v>
      </c>
      <c r="GN46" s="1">
        <f t="shared" si="1"/>
        <v>14</v>
      </c>
      <c r="GO46" s="1">
        <f t="shared" si="1"/>
        <v>13</v>
      </c>
    </row>
    <row r="47" spans="1:198">
      <c r="F47" s="1063">
        <v>20</v>
      </c>
      <c r="G47" s="801" t="s">
        <v>15708</v>
      </c>
      <c r="AT47" s="802" t="s">
        <v>13297</v>
      </c>
      <c r="AU47" s="802" t="s">
        <v>13297</v>
      </c>
      <c r="AZ47" s="802" t="s">
        <v>6156</v>
      </c>
      <c r="CU47" s="801" t="s">
        <v>2828</v>
      </c>
      <c r="CV47" s="801" t="s">
        <v>13296</v>
      </c>
      <c r="CW47" s="801" t="s">
        <v>13295</v>
      </c>
      <c r="CX47" s="801" t="s">
        <v>13282</v>
      </c>
      <c r="CY47" s="801" t="s">
        <v>13295</v>
      </c>
      <c r="CZ47" s="801" t="s">
        <v>13294</v>
      </c>
      <c r="DC47"/>
      <c r="DE47" t="s">
        <v>16412</v>
      </c>
      <c r="DF47" s="1" t="s">
        <v>2494</v>
      </c>
      <c r="DG47" s="1" t="s">
        <v>16413</v>
      </c>
      <c r="DH47" s="1" t="s">
        <v>16414</v>
      </c>
      <c r="DI47" s="1" t="s">
        <v>16415</v>
      </c>
      <c r="DJ47" s="1" t="s">
        <v>16416</v>
      </c>
      <c r="DK47" s="1" t="s">
        <v>2494</v>
      </c>
      <c r="DL47" s="1" t="s">
        <v>16417</v>
      </c>
      <c r="DM47" s="1" t="s">
        <v>16418</v>
      </c>
      <c r="DN47" s="1" t="s">
        <v>16419</v>
      </c>
      <c r="DO47" s="1" t="s">
        <v>16420</v>
      </c>
      <c r="DP47" s="1" t="s">
        <v>2494</v>
      </c>
      <c r="DQ47" s="1" t="s">
        <v>16421</v>
      </c>
      <c r="DR47" s="1" t="s">
        <v>16422</v>
      </c>
      <c r="DS47" s="1" t="s">
        <v>16423</v>
      </c>
      <c r="DT47" s="1" t="s">
        <v>16424</v>
      </c>
      <c r="DU47" s="1" t="s">
        <v>16425</v>
      </c>
      <c r="DV47" s="1" t="s">
        <v>16426</v>
      </c>
      <c r="DW47" s="1" t="s">
        <v>16427</v>
      </c>
      <c r="DX47" s="1" t="s">
        <v>2494</v>
      </c>
      <c r="DY47" s="1" t="s">
        <v>16428</v>
      </c>
      <c r="DZ47" s="1" t="s">
        <v>16429</v>
      </c>
      <c r="EA47" s="1" t="s">
        <v>16430</v>
      </c>
      <c r="EB47" s="1" t="s">
        <v>16431</v>
      </c>
      <c r="EC47" s="1" t="s">
        <v>2494</v>
      </c>
      <c r="ED47" s="1" t="s">
        <v>16432</v>
      </c>
      <c r="EE47" s="1" t="s">
        <v>16433</v>
      </c>
      <c r="EF47" s="1" t="s">
        <v>16434</v>
      </c>
      <c r="EG47" s="1" t="s">
        <v>16435</v>
      </c>
      <c r="EH47" s="1" t="s">
        <v>2494</v>
      </c>
      <c r="EI47" s="1" t="s">
        <v>16436</v>
      </c>
      <c r="EJ47" s="1" t="s">
        <v>16437</v>
      </c>
      <c r="EK47" s="1" t="s">
        <v>16438</v>
      </c>
      <c r="EL47" s="1" t="s">
        <v>2494</v>
      </c>
      <c r="EM47" s="1" t="s">
        <v>16439</v>
      </c>
      <c r="EN47" s="1" t="s">
        <v>16440</v>
      </c>
      <c r="EO47" s="1" t="s">
        <v>2494</v>
      </c>
      <c r="EP47" s="1" t="s">
        <v>16441</v>
      </c>
      <c r="EQ47" s="1" t="s">
        <v>16442</v>
      </c>
      <c r="ER47" s="1" t="s">
        <v>16443</v>
      </c>
      <c r="ES47" s="1" t="s">
        <v>2494</v>
      </c>
      <c r="ET47" s="1" t="s">
        <v>16444</v>
      </c>
      <c r="EU47" s="1" t="s">
        <v>16445</v>
      </c>
      <c r="EV47" s="1" t="s">
        <v>16446</v>
      </c>
      <c r="EW47" s="1" t="s">
        <v>16447</v>
      </c>
      <c r="EX47" s="1" t="s">
        <v>2494</v>
      </c>
      <c r="EY47" s="1" t="s">
        <v>16448</v>
      </c>
      <c r="EZ47" s="1" t="s">
        <v>16449</v>
      </c>
      <c r="FA47" s="1" t="s">
        <v>16450</v>
      </c>
      <c r="FB47" s="1" t="s">
        <v>2494</v>
      </c>
      <c r="FC47" s="1" t="s">
        <v>16451</v>
      </c>
      <c r="FD47" s="1" t="s">
        <v>16452</v>
      </c>
      <c r="FE47" s="1" t="s">
        <v>16453</v>
      </c>
      <c r="FF47" s="1" t="s">
        <v>16454</v>
      </c>
      <c r="FG47" s="1" t="s">
        <v>2494</v>
      </c>
      <c r="FH47" s="1" t="s">
        <v>16455</v>
      </c>
      <c r="FI47" s="1" t="s">
        <v>16456</v>
      </c>
      <c r="FJ47" s="1" t="s">
        <v>16457</v>
      </c>
      <c r="FK47" s="1" t="s">
        <v>2494</v>
      </c>
      <c r="FL47" s="1" t="s">
        <v>16458</v>
      </c>
      <c r="FM47" s="1" t="s">
        <v>16459</v>
      </c>
      <c r="FN47" s="1" t="s">
        <v>16460</v>
      </c>
      <c r="FO47" s="1" t="s">
        <v>2494</v>
      </c>
      <c r="FP47" s="1" t="s">
        <v>16461</v>
      </c>
      <c r="FQ47" s="1" t="s">
        <v>16462</v>
      </c>
      <c r="FR47" s="1" t="s">
        <v>16463</v>
      </c>
      <c r="FS47" s="1" t="s">
        <v>2494</v>
      </c>
      <c r="FT47" s="1" t="s">
        <v>16464</v>
      </c>
      <c r="FU47" s="1" t="s">
        <v>16465</v>
      </c>
      <c r="FV47" s="1" t="s">
        <v>16466</v>
      </c>
      <c r="FW47" s="1" t="s">
        <v>2494</v>
      </c>
      <c r="FX47" s="1" t="s">
        <v>16467</v>
      </c>
      <c r="FY47" s="1" t="s">
        <v>2494</v>
      </c>
      <c r="FZ47" s="1" t="s">
        <v>16468</v>
      </c>
      <c r="GA47" s="1" t="s">
        <v>16469</v>
      </c>
      <c r="GB47" s="1" t="s">
        <v>16470</v>
      </c>
      <c r="GC47" s="1" t="s">
        <v>2494</v>
      </c>
      <c r="GD47" s="1" t="s">
        <v>16471</v>
      </c>
      <c r="GE47" s="1" t="s">
        <v>16472</v>
      </c>
      <c r="GF47" s="1" t="s">
        <v>16473</v>
      </c>
      <c r="GG47" s="1" t="s">
        <v>2494</v>
      </c>
      <c r="GH47" s="1" t="s">
        <v>16474</v>
      </c>
      <c r="GI47" s="1" t="s">
        <v>16475</v>
      </c>
      <c r="GJ47" s="1" t="s">
        <v>16476</v>
      </c>
      <c r="GK47" s="1" t="s">
        <v>16477</v>
      </c>
      <c r="GL47" s="1"/>
      <c r="GM47" s="1" t="str">
        <f>_xlfn.TEXTJOIN(", ",1,GM50:GM140)</f>
        <v>As, E, Hes, Hi, Is, Ma, Me, O, Shal, Si, So, Ssi, Sui, Ta, Te, Ya, Zi</v>
      </c>
      <c r="GN47" s="1" t="str">
        <f>_xlfn.TEXTJOIN(", ",1,GN50:GN140)</f>
        <v>ut, zt, sa, to, nu, tl, kash, ta, mal, l, a, o, h, s</v>
      </c>
      <c r="GO47" s="1" t="str">
        <f>_xlfn.TEXTJOIN(", ",1,GO50:GO140)</f>
        <v>ali, li, tal, tee, hu, ya, eh, lah, va, kosh, ash, shi, u</v>
      </c>
      <c r="GP47" s="1"/>
    </row>
    <row r="48" spans="1:198" ht="15">
      <c r="F48" s="1063">
        <v>21</v>
      </c>
      <c r="G48" s="801" t="s">
        <v>15709</v>
      </c>
      <c r="AT48" s="802" t="s">
        <v>13293</v>
      </c>
      <c r="AU48" s="802" t="s">
        <v>13293</v>
      </c>
      <c r="AZ48" s="802" t="s">
        <v>5979</v>
      </c>
      <c r="CU48" s="801" t="s">
        <v>13292</v>
      </c>
      <c r="CV48" s="801" t="s">
        <v>13291</v>
      </c>
      <c r="CW48" s="801" t="s">
        <v>2828</v>
      </c>
      <c r="CX48" s="801" t="s">
        <v>13277</v>
      </c>
      <c r="CY48" s="801" t="s">
        <v>2828</v>
      </c>
      <c r="CZ48" s="801" t="s">
        <v>13290</v>
      </c>
      <c r="DC48"/>
      <c r="DD48" s="825"/>
      <c r="DE48" s="801"/>
      <c r="DF48" s="801"/>
      <c r="DG48" s="801"/>
      <c r="DH48" s="801"/>
      <c r="DI48" s="801"/>
      <c r="DJ48" s="801"/>
      <c r="DK48" s="801"/>
      <c r="DL48" s="801"/>
      <c r="DM48" s="801"/>
      <c r="DN48" s="801"/>
      <c r="DO48" s="801"/>
      <c r="DP48" s="801"/>
      <c r="DQ48" s="801"/>
      <c r="DR48" s="801"/>
      <c r="DS48" s="801"/>
      <c r="DT48" s="801"/>
      <c r="DU48" s="801"/>
      <c r="DV48" s="801"/>
      <c r="DW48" s="801"/>
      <c r="DX48" s="801"/>
      <c r="DY48" s="801"/>
      <c r="DZ48" s="801"/>
      <c r="EA48" s="801"/>
      <c r="EB48" s="801"/>
      <c r="EC48" s="801"/>
      <c r="ED48" s="801"/>
      <c r="EE48" s="801"/>
      <c r="EF48" s="801"/>
      <c r="EG48" s="801"/>
      <c r="EH48" s="801"/>
      <c r="EI48" s="801"/>
      <c r="EJ48" s="801"/>
      <c r="EK48" s="801"/>
      <c r="EL48" s="801"/>
      <c r="EM48" s="801"/>
      <c r="EN48" s="801"/>
      <c r="EO48" s="801"/>
      <c r="EP48" s="801"/>
      <c r="EQ48" s="801"/>
      <c r="ER48" s="801"/>
      <c r="ES48" s="801"/>
      <c r="ET48" s="801"/>
      <c r="EU48" s="801"/>
      <c r="EV48" s="801"/>
      <c r="EW48" s="801"/>
      <c r="EX48" s="801"/>
      <c r="EY48" s="801"/>
      <c r="EZ48" s="801"/>
      <c r="FA48" s="801"/>
      <c r="FB48" s="801"/>
      <c r="FC48" s="801"/>
      <c r="FD48" s="801"/>
      <c r="FE48" s="801"/>
      <c r="FF48" s="801"/>
      <c r="FG48" s="801"/>
    </row>
    <row r="49" spans="1:197" ht="15">
      <c r="F49" s="1063">
        <v>22</v>
      </c>
      <c r="G49" s="801" t="s">
        <v>15710</v>
      </c>
      <c r="AT49" s="802" t="s">
        <v>13289</v>
      </c>
      <c r="AU49" s="802" t="s">
        <v>13289</v>
      </c>
      <c r="AZ49" s="802" t="s">
        <v>6016</v>
      </c>
      <c r="CU49" s="801" t="s">
        <v>13288</v>
      </c>
      <c r="CV49" s="801" t="s">
        <v>13287</v>
      </c>
      <c r="CW49" s="801" t="s">
        <v>6242</v>
      </c>
      <c r="CX49" s="801" t="s">
        <v>13286</v>
      </c>
      <c r="CY49" s="801" t="s">
        <v>6242</v>
      </c>
      <c r="CZ49" s="801" t="s">
        <v>13285</v>
      </c>
      <c r="DC49"/>
      <c r="DD49" s="825"/>
      <c r="DE49" s="801"/>
      <c r="DF49" s="801"/>
      <c r="DG49" s="801"/>
      <c r="DH49" s="801"/>
      <c r="DI49" s="801"/>
      <c r="DJ49" s="801"/>
      <c r="DK49" s="801"/>
      <c r="DL49" s="801"/>
      <c r="DM49" s="801"/>
      <c r="DN49" s="801"/>
      <c r="DO49" s="801"/>
      <c r="DP49" s="801"/>
      <c r="DQ49" s="801"/>
      <c r="DR49" s="801"/>
      <c r="DS49" s="801"/>
      <c r="DT49" s="801"/>
      <c r="DU49" s="801"/>
      <c r="DV49" s="801"/>
      <c r="DW49" s="801"/>
      <c r="DX49" s="801"/>
      <c r="DY49" s="801"/>
      <c r="DZ49" s="801"/>
      <c r="EA49" s="801"/>
      <c r="EB49" s="801"/>
      <c r="EC49" s="801"/>
      <c r="ED49" s="801"/>
      <c r="EE49" s="801"/>
      <c r="EF49" s="801"/>
      <c r="EG49" s="801"/>
      <c r="EH49" s="801"/>
      <c r="EI49" s="801"/>
      <c r="EJ49" s="801"/>
      <c r="EK49" s="801"/>
      <c r="EL49" s="801"/>
      <c r="EM49" s="801"/>
      <c r="EN49" s="801"/>
      <c r="EO49" s="801"/>
      <c r="EP49" s="801"/>
      <c r="EQ49" s="801"/>
      <c r="ER49" s="801"/>
      <c r="ES49" s="801"/>
      <c r="ET49" s="801"/>
      <c r="EU49" s="801"/>
      <c r="EV49" s="801"/>
      <c r="EW49" s="801"/>
      <c r="EX49" s="801"/>
      <c r="EY49" s="801"/>
      <c r="EZ49" s="801"/>
      <c r="FA49" s="801"/>
      <c r="FB49" s="801"/>
      <c r="FC49" s="801"/>
      <c r="FD49" s="801"/>
      <c r="FE49" s="801"/>
      <c r="FF49" s="801"/>
      <c r="FG49" s="801"/>
    </row>
    <row r="50" spans="1:197" ht="15">
      <c r="A50" s="801" t="s">
        <v>15844</v>
      </c>
      <c r="F50" s="1063">
        <v>23</v>
      </c>
      <c r="G50" s="801" t="s">
        <v>15711</v>
      </c>
      <c r="AT50" s="802" t="s">
        <v>13284</v>
      </c>
      <c r="AU50" s="802" t="s">
        <v>13284</v>
      </c>
      <c r="AZ50" s="802" t="s">
        <v>5875</v>
      </c>
      <c r="CU50" s="801" t="s">
        <v>13283</v>
      </c>
      <c r="CV50" s="801" t="s">
        <v>13269</v>
      </c>
      <c r="CW50" s="801" t="s">
        <v>13275</v>
      </c>
      <c r="CX50" s="801" t="s">
        <v>13271</v>
      </c>
      <c r="CY50" s="801" t="s">
        <v>13275</v>
      </c>
      <c r="CZ50" s="801" t="s">
        <v>13282</v>
      </c>
      <c r="DC50"/>
      <c r="DD50" s="825">
        <v>1</v>
      </c>
      <c r="DE50" s="825" t="s">
        <v>13976</v>
      </c>
      <c r="DF50" s="825"/>
      <c r="DG50" s="825" t="s">
        <v>13977</v>
      </c>
      <c r="DH50" s="825" t="s">
        <v>13978</v>
      </c>
      <c r="DI50" s="825" t="s">
        <v>694</v>
      </c>
      <c r="DJ50" s="825" t="s">
        <v>13979</v>
      </c>
      <c r="DK50" s="825"/>
      <c r="DL50" s="825" t="s">
        <v>13980</v>
      </c>
      <c r="DM50" s="825" t="s">
        <v>6311</v>
      </c>
      <c r="DN50" s="825" t="s">
        <v>6311</v>
      </c>
      <c r="DO50" s="825" t="s">
        <v>13981</v>
      </c>
      <c r="DP50" s="825"/>
      <c r="DQ50" s="825" t="s">
        <v>13982</v>
      </c>
      <c r="DR50" s="825" t="s">
        <v>13983</v>
      </c>
      <c r="DS50" s="825" t="s">
        <v>13984</v>
      </c>
      <c r="DT50" s="825" t="s">
        <v>13985</v>
      </c>
      <c r="DU50" s="825" t="s">
        <v>13986</v>
      </c>
      <c r="DV50" s="825" t="s">
        <v>13987</v>
      </c>
      <c r="DW50" s="825" t="s">
        <v>13988</v>
      </c>
      <c r="DX50" s="825"/>
      <c r="DY50" s="825" t="s">
        <v>13989</v>
      </c>
      <c r="DZ50" s="825" t="s">
        <v>13990</v>
      </c>
      <c r="EA50" s="825" t="s">
        <v>13991</v>
      </c>
      <c r="EB50" s="825" t="s">
        <v>13992</v>
      </c>
      <c r="EC50" s="825"/>
      <c r="ED50" s="825" t="s">
        <v>13993</v>
      </c>
      <c r="EE50" s="825" t="s">
        <v>13994</v>
      </c>
      <c r="EF50" s="825" t="s">
        <v>13995</v>
      </c>
      <c r="EG50" s="825" t="s">
        <v>13996</v>
      </c>
      <c r="EH50" s="825"/>
      <c r="EI50" s="825" t="s">
        <v>13997</v>
      </c>
      <c r="EJ50" s="825" t="s">
        <v>13998</v>
      </c>
      <c r="EK50" s="825" t="s">
        <v>13999</v>
      </c>
      <c r="EL50" s="825"/>
      <c r="EM50" s="825" t="s">
        <v>14000</v>
      </c>
      <c r="EN50" s="825" t="s">
        <v>14001</v>
      </c>
      <c r="EO50" s="825"/>
      <c r="EP50" s="825" t="s">
        <v>14002</v>
      </c>
      <c r="EQ50" s="825" t="s">
        <v>14003</v>
      </c>
      <c r="ER50" s="825" t="s">
        <v>14004</v>
      </c>
      <c r="ES50" s="825"/>
      <c r="ET50" s="825" t="s">
        <v>14005</v>
      </c>
      <c r="EU50" s="825" t="s">
        <v>14006</v>
      </c>
      <c r="EV50" s="825" t="s">
        <v>14007</v>
      </c>
      <c r="EW50" s="825" t="s">
        <v>14008</v>
      </c>
      <c r="EX50" s="825"/>
      <c r="EY50" s="825" t="s">
        <v>14009</v>
      </c>
      <c r="EZ50" s="825" t="s">
        <v>14010</v>
      </c>
      <c r="FA50" s="825" t="s">
        <v>14011</v>
      </c>
      <c r="FB50" s="825"/>
      <c r="FC50" s="825" t="s">
        <v>14012</v>
      </c>
      <c r="FD50" s="825" t="s">
        <v>14013</v>
      </c>
      <c r="FE50" s="825" t="s">
        <v>14014</v>
      </c>
      <c r="FF50" s="825" t="s">
        <v>14015</v>
      </c>
      <c r="FG50" s="825"/>
      <c r="FH50" s="825" t="s">
        <v>14016</v>
      </c>
      <c r="FI50" s="825" t="s">
        <v>14017</v>
      </c>
      <c r="FJ50" s="825" t="s">
        <v>14018</v>
      </c>
      <c r="FK50" s="825"/>
      <c r="FL50" s="825" t="s">
        <v>14019</v>
      </c>
      <c r="FM50" s="825" t="s">
        <v>14020</v>
      </c>
      <c r="FN50" s="825" t="s">
        <v>14021</v>
      </c>
      <c r="FO50" s="825"/>
      <c r="FP50" s="825" t="s">
        <v>14022</v>
      </c>
      <c r="FQ50" s="825" t="s">
        <v>14023</v>
      </c>
      <c r="FR50" s="825" t="s">
        <v>14024</v>
      </c>
      <c r="FS50" s="825"/>
      <c r="FT50" s="825" t="s">
        <v>14025</v>
      </c>
      <c r="FU50" s="825" t="s">
        <v>14026</v>
      </c>
      <c r="FV50" s="825" t="s">
        <v>14027</v>
      </c>
      <c r="FW50" s="825"/>
      <c r="FX50" s="825" t="s">
        <v>14028</v>
      </c>
      <c r="FY50" s="825"/>
      <c r="FZ50" s="825" t="s">
        <v>14029</v>
      </c>
      <c r="GA50" s="825" t="s">
        <v>14030</v>
      </c>
      <c r="GB50" s="825" t="s">
        <v>14031</v>
      </c>
      <c r="GC50" s="825"/>
      <c r="GD50" s="825" t="s">
        <v>14032</v>
      </c>
      <c r="GE50" s="825" t="s">
        <v>14033</v>
      </c>
      <c r="GF50" s="825" t="s">
        <v>13763</v>
      </c>
      <c r="GG50" s="825"/>
      <c r="GH50" s="825" t="s">
        <v>14034</v>
      </c>
      <c r="GI50" s="825" t="s">
        <v>14035</v>
      </c>
      <c r="GJ50" s="825" t="s">
        <v>14036</v>
      </c>
      <c r="GK50" s="825" t="s">
        <v>14037</v>
      </c>
      <c r="GL50" s="825"/>
      <c r="GM50" s="825" t="s">
        <v>14038</v>
      </c>
      <c r="GN50" s="825" t="s">
        <v>14039</v>
      </c>
      <c r="GO50" s="825" t="s">
        <v>14040</v>
      </c>
    </row>
    <row r="51" spans="1:197" ht="15">
      <c r="F51" s="1063">
        <v>24</v>
      </c>
      <c r="G51" s="801" t="s">
        <v>15712</v>
      </c>
      <c r="AT51" s="802" t="s">
        <v>13281</v>
      </c>
      <c r="AU51" s="802" t="s">
        <v>13281</v>
      </c>
      <c r="AZ51" s="802" t="s">
        <v>13280</v>
      </c>
      <c r="CU51" s="801" t="s">
        <v>9007</v>
      </c>
      <c r="CV51" s="801" t="s">
        <v>13279</v>
      </c>
      <c r="CW51" s="801" t="s">
        <v>2588</v>
      </c>
      <c r="CX51" s="801" t="s">
        <v>13278</v>
      </c>
      <c r="CY51" s="801" t="s">
        <v>2588</v>
      </c>
      <c r="CZ51" s="801" t="s">
        <v>13277</v>
      </c>
      <c r="DC51"/>
      <c r="DD51" s="825">
        <v>2</v>
      </c>
      <c r="DE51" s="825" t="s">
        <v>14041</v>
      </c>
      <c r="DF51" s="825"/>
      <c r="DG51" s="825" t="s">
        <v>14042</v>
      </c>
      <c r="DH51" s="825" t="s">
        <v>14043</v>
      </c>
      <c r="DI51" s="825" t="s">
        <v>14044</v>
      </c>
      <c r="DJ51" s="825" t="s">
        <v>14045</v>
      </c>
      <c r="DK51" s="825"/>
      <c r="DL51" s="825" t="s">
        <v>14046</v>
      </c>
      <c r="DM51" s="825" t="s">
        <v>14047</v>
      </c>
      <c r="DN51" s="825" t="s">
        <v>6253</v>
      </c>
      <c r="DO51" s="825" t="s">
        <v>14048</v>
      </c>
      <c r="DP51" s="825"/>
      <c r="DQ51" s="825" t="s">
        <v>14049</v>
      </c>
      <c r="DR51" s="825" t="s">
        <v>14050</v>
      </c>
      <c r="DS51" s="825" t="s">
        <v>14051</v>
      </c>
      <c r="DT51" s="825" t="s">
        <v>14052</v>
      </c>
      <c r="DU51" s="825" t="s">
        <v>14053</v>
      </c>
      <c r="DV51" s="825" t="s">
        <v>14054</v>
      </c>
      <c r="DW51" s="825" t="s">
        <v>14055</v>
      </c>
      <c r="DX51" s="825"/>
      <c r="DY51" s="825" t="s">
        <v>14056</v>
      </c>
      <c r="DZ51" s="825" t="s">
        <v>14057</v>
      </c>
      <c r="EA51" s="825" t="s">
        <v>14058</v>
      </c>
      <c r="EB51" s="825" t="s">
        <v>14059</v>
      </c>
      <c r="EC51" s="825"/>
      <c r="ED51" s="825" t="s">
        <v>14060</v>
      </c>
      <c r="EE51" s="825" t="s">
        <v>14061</v>
      </c>
      <c r="EF51" s="825" t="s">
        <v>13988</v>
      </c>
      <c r="EG51" s="825" t="s">
        <v>14062</v>
      </c>
      <c r="EH51" s="825"/>
      <c r="EI51" s="825" t="s">
        <v>14012</v>
      </c>
      <c r="EJ51" s="825" t="s">
        <v>14063</v>
      </c>
      <c r="EK51" s="825" t="s">
        <v>14064</v>
      </c>
      <c r="EL51" s="825"/>
      <c r="EM51" s="825" t="s">
        <v>14065</v>
      </c>
      <c r="EN51" s="825" t="s">
        <v>14066</v>
      </c>
      <c r="EO51" s="825"/>
      <c r="EP51" s="825" t="s">
        <v>14067</v>
      </c>
      <c r="EQ51" s="825" t="s">
        <v>14068</v>
      </c>
      <c r="ER51" s="825" t="s">
        <v>14069</v>
      </c>
      <c r="ES51" s="825"/>
      <c r="ET51" s="825" t="s">
        <v>12902</v>
      </c>
      <c r="EU51" s="825" t="s">
        <v>14070</v>
      </c>
      <c r="EV51" s="825" t="s">
        <v>14071</v>
      </c>
      <c r="EW51" s="825" t="s">
        <v>14072</v>
      </c>
      <c r="EX51" s="825"/>
      <c r="EY51" s="825" t="s">
        <v>14073</v>
      </c>
      <c r="EZ51" s="825" t="s">
        <v>14074</v>
      </c>
      <c r="FA51" s="825" t="s">
        <v>14075</v>
      </c>
      <c r="FB51" s="825"/>
      <c r="FC51" s="825" t="s">
        <v>14076</v>
      </c>
      <c r="FD51" s="825" t="s">
        <v>14077</v>
      </c>
      <c r="FE51" s="825" t="s">
        <v>14078</v>
      </c>
      <c r="FF51" s="825" t="s">
        <v>14079</v>
      </c>
      <c r="FG51" s="825"/>
      <c r="FH51" s="825" t="s">
        <v>14080</v>
      </c>
      <c r="FI51" s="825" t="s">
        <v>14081</v>
      </c>
      <c r="FJ51" s="825" t="s">
        <v>14082</v>
      </c>
      <c r="FK51" s="825"/>
      <c r="FL51" s="825" t="s">
        <v>14083</v>
      </c>
      <c r="FM51" s="825" t="s">
        <v>14084</v>
      </c>
      <c r="FN51" s="825" t="s">
        <v>14085</v>
      </c>
      <c r="FO51" s="825"/>
      <c r="FP51" s="825" t="s">
        <v>14086</v>
      </c>
      <c r="FQ51" s="825" t="s">
        <v>14087</v>
      </c>
      <c r="FR51" s="825" t="s">
        <v>14088</v>
      </c>
      <c r="FS51" s="825"/>
      <c r="FT51" s="825" t="s">
        <v>14089</v>
      </c>
      <c r="FU51" s="825" t="s">
        <v>14090</v>
      </c>
      <c r="FV51" s="825" t="s">
        <v>14091</v>
      </c>
      <c r="FW51" s="825"/>
      <c r="FX51" s="825" t="s">
        <v>14092</v>
      </c>
      <c r="FY51" s="825"/>
      <c r="FZ51" s="825" t="s">
        <v>14093</v>
      </c>
      <c r="GA51" s="825" t="s">
        <v>14094</v>
      </c>
      <c r="GB51" s="825" t="s">
        <v>14095</v>
      </c>
      <c r="GC51" s="825"/>
      <c r="GD51" s="825" t="s">
        <v>14096</v>
      </c>
      <c r="GE51" s="825" t="s">
        <v>14097</v>
      </c>
      <c r="GF51" s="825" t="s">
        <v>14098</v>
      </c>
      <c r="GG51" s="825"/>
      <c r="GH51" s="825" t="s">
        <v>14099</v>
      </c>
      <c r="GI51" s="825" t="s">
        <v>14100</v>
      </c>
      <c r="GJ51" s="825" t="s">
        <v>14101</v>
      </c>
      <c r="GK51" s="825" t="s">
        <v>14102</v>
      </c>
      <c r="GL51" s="825"/>
      <c r="GM51" s="825" t="s">
        <v>14103</v>
      </c>
      <c r="GN51" s="825" t="s">
        <v>14104</v>
      </c>
      <c r="GO51" s="825" t="s">
        <v>14105</v>
      </c>
    </row>
    <row r="52" spans="1:197" ht="15">
      <c r="A52" s="801" t="s">
        <v>15837</v>
      </c>
      <c r="F52" s="1063">
        <v>25</v>
      </c>
      <c r="G52" s="801" t="s">
        <v>15713</v>
      </c>
      <c r="AT52" s="802" t="s">
        <v>13276</v>
      </c>
      <c r="AU52" s="802" t="s">
        <v>13276</v>
      </c>
      <c r="AZ52" s="802" t="s">
        <v>6201</v>
      </c>
      <c r="CU52" s="801" t="s">
        <v>13275</v>
      </c>
      <c r="CV52" s="801" t="s">
        <v>13274</v>
      </c>
      <c r="CX52" s="801" t="s">
        <v>13273</v>
      </c>
      <c r="CY52" s="801" t="s">
        <v>13272</v>
      </c>
      <c r="CZ52" s="801" t="s">
        <v>13271</v>
      </c>
      <c r="DC52"/>
      <c r="DD52" s="825">
        <v>3</v>
      </c>
      <c r="DE52" s="825" t="s">
        <v>14106</v>
      </c>
      <c r="DF52" s="825"/>
      <c r="DG52" s="825" t="s">
        <v>14107</v>
      </c>
      <c r="DH52" s="825" t="s">
        <v>14108</v>
      </c>
      <c r="DI52" s="825" t="s">
        <v>688</v>
      </c>
      <c r="DJ52" s="825" t="s">
        <v>697</v>
      </c>
      <c r="DK52" s="825"/>
      <c r="DL52" s="825" t="s">
        <v>14109</v>
      </c>
      <c r="DM52" s="825" t="s">
        <v>14110</v>
      </c>
      <c r="DN52" s="825" t="s">
        <v>697</v>
      </c>
      <c r="DO52" s="825" t="s">
        <v>14111</v>
      </c>
      <c r="DP52" s="825"/>
      <c r="DQ52" s="825" t="s">
        <v>14112</v>
      </c>
      <c r="DR52" s="825" t="s">
        <v>14113</v>
      </c>
      <c r="DS52" s="825" t="s">
        <v>14099</v>
      </c>
      <c r="DT52" s="825" t="s">
        <v>14114</v>
      </c>
      <c r="DU52" s="825" t="s">
        <v>14115</v>
      </c>
      <c r="DV52" s="825" t="s">
        <v>14116</v>
      </c>
      <c r="DW52" s="825" t="s">
        <v>14117</v>
      </c>
      <c r="DX52" s="825"/>
      <c r="DY52" s="825" t="s">
        <v>14118</v>
      </c>
      <c r="DZ52" s="825" t="s">
        <v>14119</v>
      </c>
      <c r="EA52" s="825" t="s">
        <v>14120</v>
      </c>
      <c r="EB52" s="825" t="s">
        <v>5267</v>
      </c>
      <c r="EC52" s="825"/>
      <c r="ED52" s="825" t="s">
        <v>14121</v>
      </c>
      <c r="EE52" s="825" t="s">
        <v>14122</v>
      </c>
      <c r="EF52" s="825" t="s">
        <v>14123</v>
      </c>
      <c r="EG52" s="825" t="s">
        <v>14124</v>
      </c>
      <c r="EH52" s="825"/>
      <c r="EI52" s="825" t="s">
        <v>14125</v>
      </c>
      <c r="EJ52" s="825" t="s">
        <v>14126</v>
      </c>
      <c r="EK52" s="825" t="s">
        <v>14127</v>
      </c>
      <c r="EL52" s="825"/>
      <c r="EM52" s="825" t="s">
        <v>14128</v>
      </c>
      <c r="EN52" s="825" t="s">
        <v>14129</v>
      </c>
      <c r="EO52" s="825"/>
      <c r="EP52" s="825" t="s">
        <v>14130</v>
      </c>
      <c r="EQ52" s="825" t="s">
        <v>14131</v>
      </c>
      <c r="ER52" s="825" t="s">
        <v>14132</v>
      </c>
      <c r="ES52" s="825"/>
      <c r="ET52" s="825" t="s">
        <v>14133</v>
      </c>
      <c r="EU52" s="825" t="s">
        <v>14134</v>
      </c>
      <c r="EV52" s="825" t="s">
        <v>14135</v>
      </c>
      <c r="EW52" s="825" t="s">
        <v>14136</v>
      </c>
      <c r="EX52" s="825"/>
      <c r="EY52" s="825" t="s">
        <v>14137</v>
      </c>
      <c r="EZ52" s="825" t="s">
        <v>14138</v>
      </c>
      <c r="FA52" s="825" t="s">
        <v>14139</v>
      </c>
      <c r="FB52" s="825"/>
      <c r="FC52" s="825" t="s">
        <v>12899</v>
      </c>
      <c r="FD52" s="825" t="s">
        <v>14140</v>
      </c>
      <c r="FE52" s="825" t="s">
        <v>2814</v>
      </c>
      <c r="FF52" s="825" t="s">
        <v>14141</v>
      </c>
      <c r="FG52" s="825"/>
      <c r="FH52" s="825" t="s">
        <v>14142</v>
      </c>
      <c r="FI52" s="825" t="s">
        <v>14143</v>
      </c>
      <c r="FJ52" s="825" t="s">
        <v>14144</v>
      </c>
      <c r="FK52" s="825"/>
      <c r="FL52" s="825" t="s">
        <v>14145</v>
      </c>
      <c r="FM52" s="825" t="s">
        <v>14146</v>
      </c>
      <c r="FN52" s="825" t="s">
        <v>14147</v>
      </c>
      <c r="FO52" s="825"/>
      <c r="FP52" s="825" t="s">
        <v>14148</v>
      </c>
      <c r="FQ52" s="825" t="s">
        <v>14149</v>
      </c>
      <c r="FR52" s="825" t="s">
        <v>14150</v>
      </c>
      <c r="FS52" s="825"/>
      <c r="FT52" s="825" t="s">
        <v>14151</v>
      </c>
      <c r="FU52" s="825" t="s">
        <v>14152</v>
      </c>
      <c r="FV52" s="825" t="s">
        <v>14153</v>
      </c>
      <c r="FW52" s="825"/>
      <c r="FX52" s="825" t="s">
        <v>14154</v>
      </c>
      <c r="FY52" s="825"/>
      <c r="FZ52" s="825" t="s">
        <v>14155</v>
      </c>
      <c r="GA52" s="825" t="s">
        <v>14066</v>
      </c>
      <c r="GB52" s="825" t="s">
        <v>14156</v>
      </c>
      <c r="GC52" s="825"/>
      <c r="GD52" s="825" t="s">
        <v>14157</v>
      </c>
      <c r="GE52" s="825" t="s">
        <v>14158</v>
      </c>
      <c r="GF52" s="825" t="s">
        <v>14159</v>
      </c>
      <c r="GG52" s="825"/>
      <c r="GH52" s="825" t="s">
        <v>14160</v>
      </c>
      <c r="GI52" s="825" t="s">
        <v>14161</v>
      </c>
      <c r="GJ52" s="825" t="s">
        <v>14162</v>
      </c>
      <c r="GK52" s="825" t="s">
        <v>14163</v>
      </c>
      <c r="GL52" s="825"/>
      <c r="GM52" s="825" t="s">
        <v>14164</v>
      </c>
      <c r="GN52" s="825" t="s">
        <v>14165</v>
      </c>
      <c r="GO52" s="825" t="s">
        <v>14166</v>
      </c>
    </row>
    <row r="53" spans="1:197" ht="15">
      <c r="A53" s="801" t="s">
        <v>15838</v>
      </c>
      <c r="B53" s="1066">
        <f ca="1">RANDBETWEEN(1,2)-1</f>
        <v>1</v>
      </c>
      <c r="F53" s="1063">
        <v>26</v>
      </c>
      <c r="G53" s="801" t="s">
        <v>15714</v>
      </c>
      <c r="AT53" s="802" t="s">
        <v>13270</v>
      </c>
      <c r="AU53" s="802" t="s">
        <v>13270</v>
      </c>
      <c r="AZ53" s="802" t="s">
        <v>5874</v>
      </c>
      <c r="CZ53" s="801" t="s">
        <v>13269</v>
      </c>
      <c r="DC53"/>
      <c r="DD53" s="825">
        <v>4</v>
      </c>
      <c r="DE53" s="825" t="s">
        <v>14167</v>
      </c>
      <c r="DF53" s="825"/>
      <c r="DG53" s="825" t="s">
        <v>14168</v>
      </c>
      <c r="DH53" s="825" t="s">
        <v>14169</v>
      </c>
      <c r="DI53" s="825" t="s">
        <v>14170</v>
      </c>
      <c r="DJ53" s="825" t="s">
        <v>708</v>
      </c>
      <c r="DK53" s="825"/>
      <c r="DL53" s="825" t="s">
        <v>14171</v>
      </c>
      <c r="DM53" s="825" t="s">
        <v>14172</v>
      </c>
      <c r="DN53" s="825" t="s">
        <v>14173</v>
      </c>
      <c r="DO53" s="825" t="s">
        <v>14174</v>
      </c>
      <c r="DP53" s="825"/>
      <c r="DQ53" s="825" t="s">
        <v>14175</v>
      </c>
      <c r="DR53" s="825" t="s">
        <v>14176</v>
      </c>
      <c r="DS53" s="825" t="s">
        <v>14177</v>
      </c>
      <c r="DT53" s="825" t="s">
        <v>14178</v>
      </c>
      <c r="DU53" s="825" t="s">
        <v>14179</v>
      </c>
      <c r="DV53" s="825" t="s">
        <v>14180</v>
      </c>
      <c r="DW53" s="825" t="s">
        <v>6336</v>
      </c>
      <c r="DX53" s="825"/>
      <c r="DY53" s="825" t="s">
        <v>14181</v>
      </c>
      <c r="DZ53" s="825" t="s">
        <v>14182</v>
      </c>
      <c r="EA53" s="825" t="s">
        <v>14183</v>
      </c>
      <c r="EB53" s="825" t="s">
        <v>13581</v>
      </c>
      <c r="EC53" s="825"/>
      <c r="ED53" s="825" t="s">
        <v>14184</v>
      </c>
      <c r="EE53" s="825" t="s">
        <v>14185</v>
      </c>
      <c r="EF53" s="825" t="s">
        <v>2884</v>
      </c>
      <c r="EG53" s="825" t="s">
        <v>14186</v>
      </c>
      <c r="EH53" s="825"/>
      <c r="EI53" s="825" t="s">
        <v>14187</v>
      </c>
      <c r="EJ53" s="825" t="s">
        <v>14188</v>
      </c>
      <c r="EK53" s="825" t="s">
        <v>14189</v>
      </c>
      <c r="EL53" s="825"/>
      <c r="EM53" s="825" t="s">
        <v>14190</v>
      </c>
      <c r="EN53" s="825" t="s">
        <v>14030</v>
      </c>
      <c r="EO53" s="825"/>
      <c r="EP53" s="825" t="s">
        <v>14191</v>
      </c>
      <c r="EQ53" s="825" t="s">
        <v>6325</v>
      </c>
      <c r="ER53" s="825" t="s">
        <v>14192</v>
      </c>
      <c r="ES53" s="825"/>
      <c r="ET53" s="825" t="s">
        <v>14193</v>
      </c>
      <c r="EU53" s="825" t="s">
        <v>14194</v>
      </c>
      <c r="EV53" s="825" t="s">
        <v>14195</v>
      </c>
      <c r="EW53" s="825" t="s">
        <v>14015</v>
      </c>
      <c r="EX53" s="825"/>
      <c r="EY53" s="825" t="s">
        <v>14196</v>
      </c>
      <c r="EZ53" s="825" t="s">
        <v>14197</v>
      </c>
      <c r="FA53" s="825" t="s">
        <v>14198</v>
      </c>
      <c r="FB53" s="825"/>
      <c r="FC53" s="825" t="s">
        <v>14199</v>
      </c>
      <c r="FD53" s="825" t="s">
        <v>14200</v>
      </c>
      <c r="FE53" s="825" t="s">
        <v>14201</v>
      </c>
      <c r="FF53" s="825" t="s">
        <v>14072</v>
      </c>
      <c r="FG53" s="825"/>
      <c r="FH53" s="825" t="s">
        <v>14202</v>
      </c>
      <c r="FI53" s="825" t="s">
        <v>14203</v>
      </c>
      <c r="FJ53" s="825" t="s">
        <v>14204</v>
      </c>
      <c r="FK53" s="825"/>
      <c r="FL53" s="825" t="s">
        <v>14205</v>
      </c>
      <c r="FM53" s="825" t="s">
        <v>14206</v>
      </c>
      <c r="FN53" s="825" t="s">
        <v>14207</v>
      </c>
      <c r="FO53" s="825"/>
      <c r="FP53" s="825" t="s">
        <v>14208</v>
      </c>
      <c r="FQ53" s="825" t="s">
        <v>14209</v>
      </c>
      <c r="FR53" s="825" t="s">
        <v>14210</v>
      </c>
      <c r="FS53" s="825"/>
      <c r="FT53" s="825" t="s">
        <v>14211</v>
      </c>
      <c r="FU53" s="825" t="s">
        <v>14212</v>
      </c>
      <c r="FV53" s="825" t="s">
        <v>14213</v>
      </c>
      <c r="FW53" s="825"/>
      <c r="FX53" s="825" t="s">
        <v>14214</v>
      </c>
      <c r="FY53" s="825"/>
      <c r="FZ53" s="825" t="s">
        <v>14215</v>
      </c>
      <c r="GA53" s="825" t="s">
        <v>14216</v>
      </c>
      <c r="GB53" s="825" t="s">
        <v>14217</v>
      </c>
      <c r="GC53" s="825"/>
      <c r="GD53" s="825" t="s">
        <v>14218</v>
      </c>
      <c r="GE53" s="825" t="s">
        <v>14219</v>
      </c>
      <c r="GF53" s="825" t="s">
        <v>14220</v>
      </c>
      <c r="GG53" s="825"/>
      <c r="GH53" s="825" t="s">
        <v>14221</v>
      </c>
      <c r="GI53" s="825" t="s">
        <v>14222</v>
      </c>
      <c r="GJ53" s="825" t="s">
        <v>14223</v>
      </c>
      <c r="GK53" s="825" t="s">
        <v>14224</v>
      </c>
      <c r="GL53" s="825"/>
      <c r="GM53" s="825" t="s">
        <v>14225</v>
      </c>
      <c r="GN53" s="825" t="s">
        <v>14226</v>
      </c>
      <c r="GO53" s="825" t="s">
        <v>14227</v>
      </c>
    </row>
    <row r="54" spans="1:197" ht="15">
      <c r="A54" s="801" t="s">
        <v>15839</v>
      </c>
      <c r="B54" s="1066">
        <f ca="1">RANDBETWEEN(1,3)-1</f>
        <v>1</v>
      </c>
      <c r="F54" s="1063">
        <v>27</v>
      </c>
      <c r="G54" s="801" t="s">
        <v>15715</v>
      </c>
      <c r="AT54" s="802" t="s">
        <v>13268</v>
      </c>
      <c r="AU54" s="802" t="s">
        <v>13268</v>
      </c>
      <c r="AZ54" s="802" t="s">
        <v>6179</v>
      </c>
      <c r="DC54"/>
      <c r="DD54" s="825">
        <v>5</v>
      </c>
      <c r="DE54" s="825" t="s">
        <v>14228</v>
      </c>
      <c r="DF54" s="825"/>
      <c r="DG54" s="825" t="s">
        <v>14229</v>
      </c>
      <c r="DH54" s="825" t="s">
        <v>14230</v>
      </c>
      <c r="DI54" s="825" t="s">
        <v>14231</v>
      </c>
      <c r="DJ54" s="825" t="s">
        <v>703</v>
      </c>
      <c r="DK54" s="825"/>
      <c r="DL54" s="825" t="s">
        <v>14232</v>
      </c>
      <c r="DM54" s="825" t="s">
        <v>14233</v>
      </c>
      <c r="DN54" s="825" t="s">
        <v>14234</v>
      </c>
      <c r="DO54" s="825" t="s">
        <v>13996</v>
      </c>
      <c r="DP54" s="825"/>
      <c r="DQ54" s="825" t="s">
        <v>14235</v>
      </c>
      <c r="DR54" s="825" t="s">
        <v>14236</v>
      </c>
      <c r="DS54" s="825" t="s">
        <v>14237</v>
      </c>
      <c r="DT54" s="825" t="s">
        <v>14238</v>
      </c>
      <c r="DU54" s="825" t="s">
        <v>14239</v>
      </c>
      <c r="DV54" s="825" t="s">
        <v>14240</v>
      </c>
      <c r="DW54" s="825" t="s">
        <v>703</v>
      </c>
      <c r="DX54" s="825"/>
      <c r="DY54" s="825" t="s">
        <v>14241</v>
      </c>
      <c r="DZ54" s="825" t="s">
        <v>14242</v>
      </c>
      <c r="EA54" s="825" t="s">
        <v>14243</v>
      </c>
      <c r="EB54" s="825" t="s">
        <v>14244</v>
      </c>
      <c r="EC54" s="825"/>
      <c r="ED54" s="825" t="s">
        <v>14245</v>
      </c>
      <c r="EE54" s="825" t="s">
        <v>14246</v>
      </c>
      <c r="EF54" s="825" t="s">
        <v>14247</v>
      </c>
      <c r="EG54" s="825" t="s">
        <v>14248</v>
      </c>
      <c r="EH54" s="825"/>
      <c r="EI54" s="825" t="s">
        <v>14249</v>
      </c>
      <c r="EJ54" s="825" t="s">
        <v>14250</v>
      </c>
      <c r="EK54" s="825" t="s">
        <v>14251</v>
      </c>
      <c r="EL54" s="825"/>
      <c r="EM54" s="825" t="s">
        <v>14252</v>
      </c>
      <c r="EN54" s="825" t="s">
        <v>14253</v>
      </c>
      <c r="EO54" s="825"/>
      <c r="EP54" s="825" t="s">
        <v>14254</v>
      </c>
      <c r="EQ54" s="825" t="s">
        <v>14255</v>
      </c>
      <c r="ER54" s="825" t="s">
        <v>14256</v>
      </c>
      <c r="ES54" s="825"/>
      <c r="ET54" s="825" t="s">
        <v>14257</v>
      </c>
      <c r="EU54" s="825" t="s">
        <v>14258</v>
      </c>
      <c r="EV54" s="825" t="s">
        <v>14259</v>
      </c>
      <c r="EW54" s="825" t="s">
        <v>14260</v>
      </c>
      <c r="EX54" s="825"/>
      <c r="EY54" s="825" t="s">
        <v>14261</v>
      </c>
      <c r="EZ54" s="825" t="s">
        <v>14262</v>
      </c>
      <c r="FA54" s="825" t="s">
        <v>14263</v>
      </c>
      <c r="FB54" s="825"/>
      <c r="FC54" s="825" t="s">
        <v>14264</v>
      </c>
      <c r="FD54" s="825" t="s">
        <v>14197</v>
      </c>
      <c r="FE54" s="825" t="s">
        <v>5716</v>
      </c>
      <c r="FF54" s="825" t="s">
        <v>14265</v>
      </c>
      <c r="FG54" s="825"/>
      <c r="FH54" s="825" t="s">
        <v>14266</v>
      </c>
      <c r="FI54" s="825" t="s">
        <v>14267</v>
      </c>
      <c r="FJ54" s="825" t="s">
        <v>14268</v>
      </c>
      <c r="FK54" s="825"/>
      <c r="FL54" s="825" t="s">
        <v>14269</v>
      </c>
      <c r="FM54" s="825" t="s">
        <v>14270</v>
      </c>
      <c r="FN54" s="825" t="s">
        <v>14271</v>
      </c>
      <c r="FO54" s="825"/>
      <c r="FP54" s="825" t="s">
        <v>14272</v>
      </c>
      <c r="FQ54" s="825" t="s">
        <v>14273</v>
      </c>
      <c r="FR54" s="825" t="s">
        <v>14274</v>
      </c>
      <c r="FS54" s="825"/>
      <c r="FT54" s="825" t="s">
        <v>14275</v>
      </c>
      <c r="FU54" s="825" t="s">
        <v>14276</v>
      </c>
      <c r="FV54" s="825" t="s">
        <v>14277</v>
      </c>
      <c r="FW54" s="825"/>
      <c r="FX54" s="825" t="s">
        <v>14278</v>
      </c>
      <c r="FY54" s="825"/>
      <c r="FZ54" s="825" t="s">
        <v>14279</v>
      </c>
      <c r="GA54" s="825" t="s">
        <v>14253</v>
      </c>
      <c r="GB54" s="825" t="s">
        <v>14280</v>
      </c>
      <c r="GC54" s="825"/>
      <c r="GD54" s="825" t="s">
        <v>14281</v>
      </c>
      <c r="GE54" s="825" t="s">
        <v>14282</v>
      </c>
      <c r="GF54" s="825" t="s">
        <v>14283</v>
      </c>
      <c r="GG54" s="825"/>
      <c r="GH54" s="825" t="s">
        <v>14284</v>
      </c>
      <c r="GI54" s="825" t="s">
        <v>14285</v>
      </c>
      <c r="GJ54" s="825" t="s">
        <v>14286</v>
      </c>
      <c r="GK54" s="825"/>
      <c r="GL54" s="825"/>
      <c r="GM54" s="825" t="s">
        <v>14287</v>
      </c>
      <c r="GN54" s="825" t="s">
        <v>14288</v>
      </c>
      <c r="GO54" s="825" t="s">
        <v>14289</v>
      </c>
    </row>
    <row r="55" spans="1:197" ht="15">
      <c r="A55" s="801" t="s">
        <v>15840</v>
      </c>
      <c r="B55" s="1066">
        <f ca="1">RANDBETWEEN(1,4)+RANDBETWEEN(1,4)</f>
        <v>6</v>
      </c>
      <c r="C55" s="801" t="s">
        <v>15846</v>
      </c>
      <c r="F55" s="1063">
        <v>28</v>
      </c>
      <c r="G55" s="801" t="s">
        <v>15716</v>
      </c>
      <c r="AT55" s="802" t="s">
        <v>13267</v>
      </c>
      <c r="AU55" s="802" t="s">
        <v>13267</v>
      </c>
      <c r="AZ55" s="802" t="s">
        <v>6139</v>
      </c>
      <c r="DC55"/>
      <c r="DD55" s="825">
        <v>6</v>
      </c>
      <c r="DE55" s="825" t="s">
        <v>14290</v>
      </c>
      <c r="DF55" s="825"/>
      <c r="DG55" s="825" t="s">
        <v>14291</v>
      </c>
      <c r="DH55" s="825" t="s">
        <v>14292</v>
      </c>
      <c r="DI55" s="825"/>
      <c r="DJ55" s="825"/>
      <c r="DK55" s="825"/>
      <c r="DL55" s="825" t="s">
        <v>14293</v>
      </c>
      <c r="DM55" s="825" t="s">
        <v>14294</v>
      </c>
      <c r="DN55" s="825" t="s">
        <v>14257</v>
      </c>
      <c r="DO55" s="825" t="s">
        <v>14295</v>
      </c>
      <c r="DP55" s="825"/>
      <c r="DQ55" s="825" t="s">
        <v>14296</v>
      </c>
      <c r="DR55" s="825" t="s">
        <v>14297</v>
      </c>
      <c r="DS55" s="825" t="s">
        <v>14298</v>
      </c>
      <c r="DT55" s="825" t="s">
        <v>14299</v>
      </c>
      <c r="DU55" s="825" t="s">
        <v>14300</v>
      </c>
      <c r="DV55" s="825" t="s">
        <v>14301</v>
      </c>
      <c r="DW55" s="825" t="s">
        <v>14302</v>
      </c>
      <c r="DX55" s="825"/>
      <c r="DY55" s="825" t="s">
        <v>14303</v>
      </c>
      <c r="DZ55" s="825" t="s">
        <v>14304</v>
      </c>
      <c r="EA55" s="825" t="s">
        <v>14305</v>
      </c>
      <c r="EB55" s="825" t="s">
        <v>14306</v>
      </c>
      <c r="EC55" s="825"/>
      <c r="ED55" s="825" t="s">
        <v>14307</v>
      </c>
      <c r="EE55" s="825" t="s">
        <v>14308</v>
      </c>
      <c r="EF55" s="825" t="s">
        <v>7736</v>
      </c>
      <c r="EG55" s="825"/>
      <c r="EH55" s="825"/>
      <c r="EI55" s="825" t="s">
        <v>14309</v>
      </c>
      <c r="EJ55" s="825" t="s">
        <v>14310</v>
      </c>
      <c r="EK55" s="825" t="s">
        <v>14311</v>
      </c>
      <c r="EL55" s="825"/>
      <c r="EM55" s="825" t="s">
        <v>14312</v>
      </c>
      <c r="EN55" s="825" t="s">
        <v>14313</v>
      </c>
      <c r="EO55" s="825"/>
      <c r="EP55" s="825" t="s">
        <v>14314</v>
      </c>
      <c r="EQ55" s="825" t="s">
        <v>14315</v>
      </c>
      <c r="ER55" s="825" t="s">
        <v>14316</v>
      </c>
      <c r="ES55" s="825"/>
      <c r="ET55" s="825" t="s">
        <v>763</v>
      </c>
      <c r="EU55" s="825" t="s">
        <v>14317</v>
      </c>
      <c r="EV55" s="825" t="s">
        <v>14318</v>
      </c>
      <c r="EW55" s="825" t="s">
        <v>14319</v>
      </c>
      <c r="EX55" s="825"/>
      <c r="EY55" s="825" t="s">
        <v>14320</v>
      </c>
      <c r="EZ55" s="825" t="s">
        <v>14321</v>
      </c>
      <c r="FA55" s="825" t="s">
        <v>14322</v>
      </c>
      <c r="FB55" s="825"/>
      <c r="FC55" s="825" t="s">
        <v>14323</v>
      </c>
      <c r="FD55" s="825" t="s">
        <v>14324</v>
      </c>
      <c r="FE55" s="825" t="s">
        <v>14325</v>
      </c>
      <c r="FF55" s="825" t="s">
        <v>14326</v>
      </c>
      <c r="FG55" s="825"/>
      <c r="FH55" s="825" t="s">
        <v>14327</v>
      </c>
      <c r="FI55" s="825" t="s">
        <v>14328</v>
      </c>
      <c r="FJ55" s="825" t="s">
        <v>14329</v>
      </c>
      <c r="FK55" s="825"/>
      <c r="FL55" s="825" t="s">
        <v>14330</v>
      </c>
      <c r="FM55" s="825" t="s">
        <v>14331</v>
      </c>
      <c r="FN55" s="825" t="s">
        <v>14332</v>
      </c>
      <c r="FO55" s="825"/>
      <c r="FP55" s="825" t="s">
        <v>14333</v>
      </c>
      <c r="FQ55" s="825" t="s">
        <v>14334</v>
      </c>
      <c r="FR55" s="825" t="s">
        <v>14335</v>
      </c>
      <c r="FS55" s="825"/>
      <c r="FT55" s="825" t="s">
        <v>14336</v>
      </c>
      <c r="FU55" s="825" t="s">
        <v>14337</v>
      </c>
      <c r="FV55" s="825" t="s">
        <v>14338</v>
      </c>
      <c r="FW55" s="825"/>
      <c r="FX55" s="825" t="s">
        <v>14339</v>
      </c>
      <c r="FY55" s="825"/>
      <c r="FZ55" s="825" t="s">
        <v>14340</v>
      </c>
      <c r="GA55" s="825" t="s">
        <v>14313</v>
      </c>
      <c r="GB55" s="825" t="s">
        <v>14341</v>
      </c>
      <c r="GC55" s="825"/>
      <c r="GD55" s="825" t="s">
        <v>14342</v>
      </c>
      <c r="GE55" s="825" t="s">
        <v>14343</v>
      </c>
      <c r="GF55" s="825" t="s">
        <v>14344</v>
      </c>
      <c r="GG55" s="825"/>
      <c r="GH55" s="825" t="s">
        <v>14345</v>
      </c>
      <c r="GI55" s="825" t="s">
        <v>14346</v>
      </c>
      <c r="GJ55" s="825" t="s">
        <v>14347</v>
      </c>
      <c r="GK55" s="825"/>
      <c r="GL55" s="825"/>
      <c r="GM55" s="825" t="s">
        <v>14348</v>
      </c>
      <c r="GN55" s="825" t="s">
        <v>14349</v>
      </c>
      <c r="GO55" s="825" t="s">
        <v>14350</v>
      </c>
    </row>
    <row r="56" spans="1:197" ht="15">
      <c r="A56" s="801" t="s">
        <v>15841</v>
      </c>
      <c r="B56" s="1066">
        <f ca="1">RANDBETWEEN(1,4)+1</f>
        <v>2</v>
      </c>
      <c r="C56" s="801" t="s">
        <v>15845</v>
      </c>
      <c r="F56" s="1063">
        <v>29</v>
      </c>
      <c r="G56" s="801" t="s">
        <v>15717</v>
      </c>
      <c r="AT56" s="802" t="s">
        <v>13266</v>
      </c>
      <c r="AU56" s="802" t="s">
        <v>13266</v>
      </c>
      <c r="AZ56" s="802" t="s">
        <v>6203</v>
      </c>
      <c r="DC56"/>
      <c r="DD56" s="825">
        <v>7</v>
      </c>
      <c r="DE56" s="825" t="s">
        <v>14351</v>
      </c>
      <c r="DF56" s="825"/>
      <c r="DG56" s="825" t="s">
        <v>14352</v>
      </c>
      <c r="DH56" s="825" t="s">
        <v>14353</v>
      </c>
      <c r="DI56" s="825"/>
      <c r="DJ56" s="825"/>
      <c r="DK56" s="825"/>
      <c r="DL56" s="825" t="s">
        <v>14354</v>
      </c>
      <c r="DM56" s="825" t="s">
        <v>14355</v>
      </c>
      <c r="DN56" s="825" t="s">
        <v>14356</v>
      </c>
      <c r="DO56" s="825" t="s">
        <v>14357</v>
      </c>
      <c r="DP56" s="825"/>
      <c r="DQ56" s="825" t="s">
        <v>14358</v>
      </c>
      <c r="DR56" s="825" t="s">
        <v>14359</v>
      </c>
      <c r="DS56" s="825" t="s">
        <v>14360</v>
      </c>
      <c r="DT56" s="825" t="s">
        <v>14361</v>
      </c>
      <c r="DU56" s="825" t="s">
        <v>14362</v>
      </c>
      <c r="DV56" s="825" t="s">
        <v>14363</v>
      </c>
      <c r="DW56" s="825" t="s">
        <v>12726</v>
      </c>
      <c r="DX56" s="825"/>
      <c r="DY56" s="825" t="s">
        <v>14249</v>
      </c>
      <c r="DZ56" s="825" t="s">
        <v>14364</v>
      </c>
      <c r="EA56" s="825" t="s">
        <v>14365</v>
      </c>
      <c r="EB56" s="825" t="s">
        <v>14366</v>
      </c>
      <c r="EC56" s="825"/>
      <c r="ED56" s="825" t="s">
        <v>14367</v>
      </c>
      <c r="EE56" s="825" t="s">
        <v>14368</v>
      </c>
      <c r="EF56" s="825"/>
      <c r="EG56" s="825"/>
      <c r="EH56" s="825"/>
      <c r="EI56" s="825" t="s">
        <v>14369</v>
      </c>
      <c r="EJ56" s="825" t="s">
        <v>14370</v>
      </c>
      <c r="EK56" s="825" t="s">
        <v>14371</v>
      </c>
      <c r="EL56" s="825"/>
      <c r="EM56" s="825" t="s">
        <v>14372</v>
      </c>
      <c r="EN56" s="825" t="s">
        <v>14373</v>
      </c>
      <c r="EO56" s="825"/>
      <c r="EP56" s="825" t="s">
        <v>14374</v>
      </c>
      <c r="EQ56" s="825" t="s">
        <v>14375</v>
      </c>
      <c r="ER56" s="825" t="s">
        <v>14376</v>
      </c>
      <c r="ES56" s="825"/>
      <c r="ET56" s="825" t="s">
        <v>14377</v>
      </c>
      <c r="EU56" s="825" t="s">
        <v>14378</v>
      </c>
      <c r="EV56" s="825"/>
      <c r="EW56" s="825"/>
      <c r="EX56" s="825"/>
      <c r="EY56" s="825" t="s">
        <v>14379</v>
      </c>
      <c r="EZ56" s="825" t="s">
        <v>12945</v>
      </c>
      <c r="FA56" s="825" t="s">
        <v>14380</v>
      </c>
      <c r="FB56" s="825"/>
      <c r="FC56" s="825" t="s">
        <v>14381</v>
      </c>
      <c r="FD56" s="825" t="s">
        <v>14382</v>
      </c>
      <c r="FE56" s="825"/>
      <c r="FF56" s="825"/>
      <c r="FG56" s="825"/>
      <c r="FH56" s="825" t="s">
        <v>14383</v>
      </c>
      <c r="FI56" s="825" t="s">
        <v>14384</v>
      </c>
      <c r="FJ56" s="825" t="s">
        <v>14385</v>
      </c>
      <c r="FK56" s="825"/>
      <c r="FL56" s="825" t="s">
        <v>14386</v>
      </c>
      <c r="FM56" s="825" t="s">
        <v>14387</v>
      </c>
      <c r="FN56" s="825"/>
      <c r="FO56" s="825"/>
      <c r="FP56" s="825" t="s">
        <v>14388</v>
      </c>
      <c r="FQ56" s="825" t="s">
        <v>14389</v>
      </c>
      <c r="FR56" s="825" t="s">
        <v>14273</v>
      </c>
      <c r="FS56" s="825"/>
      <c r="FT56" s="825" t="s">
        <v>14390</v>
      </c>
      <c r="FU56" s="825" t="s">
        <v>14391</v>
      </c>
      <c r="FV56" s="825" t="s">
        <v>14392</v>
      </c>
      <c r="FW56" s="825"/>
      <c r="FX56" s="825" t="s">
        <v>14393</v>
      </c>
      <c r="FY56" s="825"/>
      <c r="FZ56" s="825" t="s">
        <v>14394</v>
      </c>
      <c r="GA56" s="825" t="s">
        <v>14001</v>
      </c>
      <c r="GB56" s="825" t="s">
        <v>14395</v>
      </c>
      <c r="GC56" s="825"/>
      <c r="GD56" s="825" t="s">
        <v>14396</v>
      </c>
      <c r="GE56" s="825" t="s">
        <v>14397</v>
      </c>
      <c r="GF56" s="825" t="s">
        <v>5885</v>
      </c>
      <c r="GG56" s="825"/>
      <c r="GH56" s="825" t="s">
        <v>14398</v>
      </c>
      <c r="GI56" s="825" t="s">
        <v>14100</v>
      </c>
      <c r="GJ56" s="825" t="s">
        <v>14399</v>
      </c>
      <c r="GK56" s="825"/>
      <c r="GL56" s="825"/>
      <c r="GM56" s="825" t="s">
        <v>14400</v>
      </c>
      <c r="GN56" s="825" t="s">
        <v>14401</v>
      </c>
      <c r="GO56" s="825" t="s">
        <v>14402</v>
      </c>
    </row>
    <row r="57" spans="1:197" ht="15">
      <c r="A57" s="801" t="s">
        <v>15842</v>
      </c>
      <c r="B57" s="1066">
        <f ca="1">RANDBETWEEN(1,4)+2</f>
        <v>3</v>
      </c>
      <c r="F57" s="1063">
        <v>30</v>
      </c>
      <c r="G57" s="801" t="s">
        <v>15718</v>
      </c>
      <c r="AT57" s="802" t="s">
        <v>13265</v>
      </c>
      <c r="AU57" s="802" t="s">
        <v>13265</v>
      </c>
      <c r="AZ57" s="802" t="s">
        <v>6159</v>
      </c>
      <c r="DC57"/>
      <c r="DD57" s="825">
        <v>8</v>
      </c>
      <c r="DE57" s="825" t="s">
        <v>14403</v>
      </c>
      <c r="DF57" s="825"/>
      <c r="DG57" s="825" t="s">
        <v>14404</v>
      </c>
      <c r="DH57" s="825" t="s">
        <v>14405</v>
      </c>
      <c r="DI57" s="825"/>
      <c r="DJ57" s="825"/>
      <c r="DK57" s="825"/>
      <c r="DL57" s="825" t="s">
        <v>14406</v>
      </c>
      <c r="DM57" s="825" t="s">
        <v>14407</v>
      </c>
      <c r="DN57" s="825" t="s">
        <v>14123</v>
      </c>
      <c r="DO57" s="825" t="s">
        <v>14408</v>
      </c>
      <c r="DP57" s="825"/>
      <c r="DQ57" s="825" t="s">
        <v>14409</v>
      </c>
      <c r="DR57" s="825" t="s">
        <v>14410</v>
      </c>
      <c r="DS57" s="825" t="s">
        <v>14411</v>
      </c>
      <c r="DT57" s="825" t="s">
        <v>14412</v>
      </c>
      <c r="DU57" s="825" t="s">
        <v>14413</v>
      </c>
      <c r="DV57" s="825" t="s">
        <v>14414</v>
      </c>
      <c r="DW57" s="825" t="s">
        <v>708</v>
      </c>
      <c r="DX57" s="825"/>
      <c r="DY57" s="825" t="s">
        <v>14415</v>
      </c>
      <c r="DZ57" s="825" t="s">
        <v>14416</v>
      </c>
      <c r="EA57" s="825" t="s">
        <v>14417</v>
      </c>
      <c r="EB57" s="825" t="s">
        <v>14418</v>
      </c>
      <c r="EC57" s="825"/>
      <c r="ED57" s="825" t="s">
        <v>14419</v>
      </c>
      <c r="EE57" s="825" t="s">
        <v>14420</v>
      </c>
      <c r="EF57" s="825"/>
      <c r="EG57" s="825"/>
      <c r="EH57" s="825"/>
      <c r="EI57" s="825" t="s">
        <v>14421</v>
      </c>
      <c r="EJ57" s="825" t="s">
        <v>14422</v>
      </c>
      <c r="EK57" s="825" t="s">
        <v>14423</v>
      </c>
      <c r="EL57" s="825"/>
      <c r="EM57" s="825" t="s">
        <v>14424</v>
      </c>
      <c r="EN57" s="825" t="s">
        <v>14094</v>
      </c>
      <c r="EO57" s="825"/>
      <c r="EP57" s="825"/>
      <c r="EQ57" s="825" t="s">
        <v>14425</v>
      </c>
      <c r="ER57" s="825"/>
      <c r="ES57" s="825"/>
      <c r="ET57" s="825" t="s">
        <v>14426</v>
      </c>
      <c r="EU57" s="825" t="s">
        <v>14427</v>
      </c>
      <c r="EV57" s="825"/>
      <c r="EW57" s="825"/>
      <c r="EX57" s="825"/>
      <c r="EY57" s="825" t="s">
        <v>14428</v>
      </c>
      <c r="EZ57" s="825" t="s">
        <v>14429</v>
      </c>
      <c r="FA57" s="825" t="s">
        <v>14430</v>
      </c>
      <c r="FB57" s="825"/>
      <c r="FC57" s="825" t="s">
        <v>14431</v>
      </c>
      <c r="FD57" s="825" t="s">
        <v>14432</v>
      </c>
      <c r="FE57" s="825"/>
      <c r="FF57" s="825"/>
      <c r="FG57" s="825"/>
      <c r="FH57" s="825" t="s">
        <v>14433</v>
      </c>
      <c r="FI57" s="825" t="s">
        <v>14434</v>
      </c>
      <c r="FJ57" s="825"/>
      <c r="FK57" s="825"/>
      <c r="FL57" s="825" t="s">
        <v>14435</v>
      </c>
      <c r="FM57" s="825" t="s">
        <v>14436</v>
      </c>
      <c r="FN57" s="825"/>
      <c r="FO57" s="825"/>
      <c r="FP57" s="825" t="s">
        <v>14437</v>
      </c>
      <c r="FQ57" s="825" t="s">
        <v>14438</v>
      </c>
      <c r="FR57" s="825" t="s">
        <v>7331</v>
      </c>
      <c r="FS57" s="825"/>
      <c r="FT57" s="825" t="s">
        <v>14439</v>
      </c>
      <c r="FU57" s="825" t="s">
        <v>14440</v>
      </c>
      <c r="FV57" s="825" t="s">
        <v>14441</v>
      </c>
      <c r="FW57" s="825"/>
      <c r="FX57" s="825" t="s">
        <v>14442</v>
      </c>
      <c r="FY57" s="825"/>
      <c r="FZ57" s="825" t="s">
        <v>14443</v>
      </c>
      <c r="GA57" s="825" t="s">
        <v>14444</v>
      </c>
      <c r="GB57" s="825" t="s">
        <v>14445</v>
      </c>
      <c r="GC57" s="825"/>
      <c r="GD57" s="825" t="s">
        <v>14446</v>
      </c>
      <c r="GE57" s="825" t="s">
        <v>14447</v>
      </c>
      <c r="GF57" s="825" t="s">
        <v>14448</v>
      </c>
      <c r="GG57" s="825"/>
      <c r="GH57" s="825" t="s">
        <v>14449</v>
      </c>
      <c r="GI57" s="825"/>
      <c r="GJ57" s="825" t="s">
        <v>14450</v>
      </c>
      <c r="GK57" s="825"/>
      <c r="GL57" s="825"/>
      <c r="GM57" s="825" t="s">
        <v>14451</v>
      </c>
      <c r="GN57" s="825" t="s">
        <v>14452</v>
      </c>
      <c r="GO57" s="825" t="s">
        <v>14453</v>
      </c>
    </row>
    <row r="58" spans="1:197" ht="15">
      <c r="A58" s="801" t="s">
        <v>15843</v>
      </c>
      <c r="B58" s="1066">
        <f ca="1">RANDBETWEEN(1,6)-1</f>
        <v>2</v>
      </c>
      <c r="F58" s="1063">
        <v>31</v>
      </c>
      <c r="G58" s="801" t="s">
        <v>15719</v>
      </c>
      <c r="AT58" s="802" t="s">
        <v>13264</v>
      </c>
      <c r="AU58" s="802" t="s">
        <v>13264</v>
      </c>
      <c r="AZ58" s="802" t="s">
        <v>5866</v>
      </c>
      <c r="DC58"/>
      <c r="DD58" s="825">
        <v>9</v>
      </c>
      <c r="DE58" s="825" t="s">
        <v>14454</v>
      </c>
      <c r="DF58" s="825"/>
      <c r="DG58" s="825" t="s">
        <v>14455</v>
      </c>
      <c r="DH58" s="825" t="s">
        <v>14456</v>
      </c>
      <c r="DI58" s="825"/>
      <c r="DJ58" s="825"/>
      <c r="DK58" s="825"/>
      <c r="DL58" s="825" t="s">
        <v>14457</v>
      </c>
      <c r="DM58" s="825" t="s">
        <v>14458</v>
      </c>
      <c r="DN58" s="825" t="s">
        <v>3253</v>
      </c>
      <c r="DO58" s="825" t="s">
        <v>14459</v>
      </c>
      <c r="DP58" s="825"/>
      <c r="DQ58" s="825" t="s">
        <v>14460</v>
      </c>
      <c r="DR58" s="825" t="s">
        <v>14461</v>
      </c>
      <c r="DS58" s="825" t="s">
        <v>14462</v>
      </c>
      <c r="DT58" s="825" t="s">
        <v>14463</v>
      </c>
      <c r="DU58" s="825" t="s">
        <v>14464</v>
      </c>
      <c r="DV58" s="825"/>
      <c r="DW58" s="825"/>
      <c r="DX58" s="825"/>
      <c r="DY58" s="825" t="s">
        <v>14465</v>
      </c>
      <c r="DZ58" s="825" t="s">
        <v>14466</v>
      </c>
      <c r="EA58" s="825" t="s">
        <v>14467</v>
      </c>
      <c r="EB58" s="825" t="s">
        <v>14468</v>
      </c>
      <c r="EC58" s="825"/>
      <c r="ED58" s="825" t="s">
        <v>14469</v>
      </c>
      <c r="EE58" s="825" t="s">
        <v>14470</v>
      </c>
      <c r="EF58" s="825"/>
      <c r="EG58" s="825"/>
      <c r="EH58" s="825"/>
      <c r="EI58" s="825" t="s">
        <v>14471</v>
      </c>
      <c r="EJ58" s="825" t="s">
        <v>14472</v>
      </c>
      <c r="EK58" s="825" t="s">
        <v>14473</v>
      </c>
      <c r="EL58" s="825"/>
      <c r="EM58" s="825" t="s">
        <v>14474</v>
      </c>
      <c r="EN58" s="825" t="s">
        <v>14444</v>
      </c>
      <c r="EO58" s="825"/>
      <c r="EP58" s="825"/>
      <c r="EQ58" s="825"/>
      <c r="ER58" s="825"/>
      <c r="ES58" s="825"/>
      <c r="ET58" s="825" t="s">
        <v>12918</v>
      </c>
      <c r="EU58" s="825" t="s">
        <v>14475</v>
      </c>
      <c r="EV58" s="825"/>
      <c r="EW58" s="825"/>
      <c r="EX58" s="825"/>
      <c r="EY58" s="825" t="s">
        <v>14476</v>
      </c>
      <c r="EZ58" s="825"/>
      <c r="FA58" s="825"/>
      <c r="FB58" s="825"/>
      <c r="FC58" s="825" t="s">
        <v>14477</v>
      </c>
      <c r="FD58" s="825"/>
      <c r="FE58" s="825"/>
      <c r="FF58" s="825"/>
      <c r="FG58" s="825"/>
      <c r="FH58" s="825" t="s">
        <v>14478</v>
      </c>
      <c r="FI58" s="825" t="s">
        <v>14479</v>
      </c>
      <c r="FJ58" s="825"/>
      <c r="FK58" s="825"/>
      <c r="FL58" s="825"/>
      <c r="FM58" s="825"/>
      <c r="FN58" s="825"/>
      <c r="FO58" s="825"/>
      <c r="FP58" s="825" t="s">
        <v>14480</v>
      </c>
      <c r="FQ58" s="825"/>
      <c r="FR58" s="825" t="s">
        <v>14481</v>
      </c>
      <c r="FS58" s="825"/>
      <c r="FT58" s="825"/>
      <c r="FU58" s="825" t="s">
        <v>14482</v>
      </c>
      <c r="FV58" s="825"/>
      <c r="FW58" s="825"/>
      <c r="FX58" s="825" t="s">
        <v>14483</v>
      </c>
      <c r="FY58" s="825"/>
      <c r="FZ58" s="825" t="s">
        <v>14484</v>
      </c>
      <c r="GA58" s="825" t="s">
        <v>14373</v>
      </c>
      <c r="GB58" s="825" t="s">
        <v>14485</v>
      </c>
      <c r="GC58" s="825"/>
      <c r="GD58" s="825" t="s">
        <v>14486</v>
      </c>
      <c r="GE58" s="825" t="s">
        <v>14487</v>
      </c>
      <c r="GF58" s="825" t="s">
        <v>14488</v>
      </c>
      <c r="GG58" s="825"/>
      <c r="GH58" s="825"/>
      <c r="GI58" s="825"/>
      <c r="GJ58" s="825"/>
      <c r="GK58" s="825"/>
      <c r="GL58" s="825"/>
      <c r="GM58" s="825" t="s">
        <v>14347</v>
      </c>
      <c r="GN58" s="825" t="s">
        <v>14489</v>
      </c>
      <c r="GO58" s="825" t="s">
        <v>14490</v>
      </c>
    </row>
    <row r="59" spans="1:197" ht="15">
      <c r="F59" s="1063">
        <v>32</v>
      </c>
      <c r="G59" s="801" t="s">
        <v>15720</v>
      </c>
      <c r="AT59" s="802" t="s">
        <v>13263</v>
      </c>
      <c r="AU59" s="802" t="s">
        <v>13263</v>
      </c>
      <c r="AZ59" s="802" t="s">
        <v>6224</v>
      </c>
      <c r="DC59"/>
      <c r="DD59" s="825">
        <v>10</v>
      </c>
      <c r="DE59" s="825" t="s">
        <v>14491</v>
      </c>
      <c r="DF59" s="825"/>
      <c r="DG59" s="825" t="s">
        <v>14492</v>
      </c>
      <c r="DH59" s="825" t="s">
        <v>14493</v>
      </c>
      <c r="DI59" s="825"/>
      <c r="DJ59" s="825"/>
      <c r="DK59" s="825"/>
      <c r="DL59" s="825" t="s">
        <v>14494</v>
      </c>
      <c r="DM59" s="825" t="s">
        <v>14495</v>
      </c>
      <c r="DN59" s="825" t="s">
        <v>2884</v>
      </c>
      <c r="DO59" s="825" t="s">
        <v>1794</v>
      </c>
      <c r="DP59" s="825"/>
      <c r="DQ59" s="825" t="s">
        <v>14496</v>
      </c>
      <c r="DR59" s="825" t="s">
        <v>14497</v>
      </c>
      <c r="DS59" s="825" t="s">
        <v>14498</v>
      </c>
      <c r="DT59" s="825"/>
      <c r="DU59" s="825"/>
      <c r="DV59" s="825"/>
      <c r="DW59" s="825"/>
      <c r="DX59" s="825"/>
      <c r="DY59" s="825" t="s">
        <v>14499</v>
      </c>
      <c r="DZ59" s="825" t="s">
        <v>14500</v>
      </c>
      <c r="EA59" s="825" t="s">
        <v>14501</v>
      </c>
      <c r="EB59" s="825" t="s">
        <v>14502</v>
      </c>
      <c r="EC59" s="825"/>
      <c r="ED59" s="825" t="s">
        <v>14503</v>
      </c>
      <c r="EE59" s="825" t="s">
        <v>14504</v>
      </c>
      <c r="EF59" s="825"/>
      <c r="EG59" s="825"/>
      <c r="EH59" s="825"/>
      <c r="EI59" s="825" t="s">
        <v>14505</v>
      </c>
      <c r="EJ59" s="825" t="s">
        <v>14506</v>
      </c>
      <c r="EK59" s="825" t="s">
        <v>14507</v>
      </c>
      <c r="EL59" s="825"/>
      <c r="EM59" s="825" t="s">
        <v>14508</v>
      </c>
      <c r="EN59" s="825" t="s">
        <v>14216</v>
      </c>
      <c r="EO59" s="825"/>
      <c r="EP59" s="825"/>
      <c r="EQ59" s="825"/>
      <c r="ER59" s="825"/>
      <c r="ES59" s="825"/>
      <c r="ET59" s="825" t="s">
        <v>14509</v>
      </c>
      <c r="EU59" s="825"/>
      <c r="EV59" s="825"/>
      <c r="EW59" s="825"/>
      <c r="EX59" s="825"/>
      <c r="EY59" s="825" t="s">
        <v>14510</v>
      </c>
      <c r="EZ59" s="825"/>
      <c r="FA59" s="825"/>
      <c r="FB59" s="825"/>
      <c r="FC59" s="825" t="s">
        <v>14511</v>
      </c>
      <c r="FD59" s="825"/>
      <c r="FE59" s="825"/>
      <c r="FF59" s="825"/>
      <c r="FG59" s="825"/>
      <c r="FH59" s="825"/>
      <c r="FI59" s="825"/>
      <c r="FJ59" s="825"/>
      <c r="FK59" s="825"/>
      <c r="FL59" s="825"/>
      <c r="FM59" s="825"/>
      <c r="FN59" s="825"/>
      <c r="FO59" s="825"/>
      <c r="FP59" s="825" t="s">
        <v>14512</v>
      </c>
      <c r="FQ59" s="825"/>
      <c r="FR59" s="825" t="s">
        <v>14513</v>
      </c>
      <c r="FS59" s="825"/>
      <c r="FT59" s="825"/>
      <c r="FU59" s="825"/>
      <c r="FV59" s="825"/>
      <c r="FW59" s="825"/>
      <c r="FX59" s="825" t="s">
        <v>14514</v>
      </c>
      <c r="FY59" s="825"/>
      <c r="FZ59" s="825" t="s">
        <v>14515</v>
      </c>
      <c r="GA59" s="825" t="s">
        <v>14516</v>
      </c>
      <c r="GB59" s="825" t="s">
        <v>14517</v>
      </c>
      <c r="GC59" s="825"/>
      <c r="GD59" s="825" t="s">
        <v>14518</v>
      </c>
      <c r="GE59" s="825" t="s">
        <v>14519</v>
      </c>
      <c r="GF59" s="825" t="s">
        <v>14520</v>
      </c>
      <c r="GG59" s="825"/>
      <c r="GH59" s="825"/>
      <c r="GI59" s="825"/>
      <c r="GJ59" s="825"/>
      <c r="GK59" s="825"/>
      <c r="GL59" s="825"/>
      <c r="GM59" s="825" t="s">
        <v>14521</v>
      </c>
      <c r="GN59" s="825" t="s">
        <v>14522</v>
      </c>
      <c r="GO59" s="825" t="s">
        <v>14523</v>
      </c>
    </row>
    <row r="60" spans="1:197" ht="15">
      <c r="F60" s="1063">
        <v>33</v>
      </c>
      <c r="G60" s="801" t="s">
        <v>15721</v>
      </c>
      <c r="AT60" s="802" t="s">
        <v>13262</v>
      </c>
      <c r="AU60" s="802" t="s">
        <v>13262</v>
      </c>
      <c r="AZ60" s="802" t="s">
        <v>5884</v>
      </c>
      <c r="DC60"/>
      <c r="DD60" s="825">
        <v>11</v>
      </c>
      <c r="DE60" s="825" t="s">
        <v>14524</v>
      </c>
      <c r="DF60" s="825"/>
      <c r="DG60" s="825" t="s">
        <v>14525</v>
      </c>
      <c r="DH60" s="825" t="s">
        <v>14526</v>
      </c>
      <c r="DI60" s="825"/>
      <c r="DJ60" s="825"/>
      <c r="DK60" s="825"/>
      <c r="DL60" s="825" t="s">
        <v>14527</v>
      </c>
      <c r="DM60" s="825" t="s">
        <v>14528</v>
      </c>
      <c r="DN60" s="825" t="s">
        <v>703</v>
      </c>
      <c r="DO60" s="825" t="s">
        <v>1799</v>
      </c>
      <c r="DP60" s="825"/>
      <c r="DQ60" s="825" t="s">
        <v>14529</v>
      </c>
      <c r="DR60" s="825" t="s">
        <v>14530</v>
      </c>
      <c r="DS60" s="825" t="s">
        <v>14531</v>
      </c>
      <c r="DT60" s="825"/>
      <c r="DU60" s="825"/>
      <c r="DV60" s="825"/>
      <c r="DW60" s="825"/>
      <c r="DX60" s="825"/>
      <c r="DY60" s="825" t="s">
        <v>14532</v>
      </c>
      <c r="DZ60" s="825" t="s">
        <v>14533</v>
      </c>
      <c r="EA60" s="825" t="s">
        <v>14534</v>
      </c>
      <c r="EB60" s="825" t="s">
        <v>14535</v>
      </c>
      <c r="EC60" s="825"/>
      <c r="ED60" s="825"/>
      <c r="EE60" s="825"/>
      <c r="EF60" s="825"/>
      <c r="EG60" s="825"/>
      <c r="EH60" s="825"/>
      <c r="EI60" s="825" t="s">
        <v>14536</v>
      </c>
      <c r="EJ60" s="825" t="s">
        <v>14537</v>
      </c>
      <c r="EK60" s="825"/>
      <c r="EL60" s="825"/>
      <c r="EM60" s="825" t="s">
        <v>14538</v>
      </c>
      <c r="EN60" s="825" t="s">
        <v>14516</v>
      </c>
      <c r="EO60" s="825"/>
      <c r="EP60" s="825"/>
      <c r="EQ60" s="825"/>
      <c r="ER60" s="825"/>
      <c r="ES60" s="825"/>
      <c r="ET60" s="825"/>
      <c r="EU60" s="825"/>
      <c r="EV60" s="825"/>
      <c r="EW60" s="825"/>
      <c r="EX60" s="825"/>
      <c r="EY60" s="825" t="s">
        <v>14539</v>
      </c>
      <c r="EZ60" s="825"/>
      <c r="FA60" s="825"/>
      <c r="FB60" s="825"/>
      <c r="FC60" s="825" t="s">
        <v>14540</v>
      </c>
      <c r="FD60" s="825"/>
      <c r="FE60" s="825"/>
      <c r="FF60" s="825"/>
      <c r="FG60" s="825"/>
      <c r="FH60" s="825"/>
      <c r="FI60" s="825"/>
      <c r="FJ60" s="825"/>
      <c r="FK60" s="825"/>
      <c r="FL60" s="825"/>
      <c r="FM60" s="825"/>
      <c r="FN60" s="825"/>
      <c r="FO60" s="825"/>
      <c r="FP60" s="825" t="s">
        <v>14541</v>
      </c>
      <c r="FQ60" s="825"/>
      <c r="FR60" s="825" t="s">
        <v>14542</v>
      </c>
      <c r="FS60" s="825"/>
      <c r="FT60" s="825"/>
      <c r="FU60" s="825"/>
      <c r="FV60" s="825"/>
      <c r="FW60" s="825"/>
      <c r="FX60" s="825" t="s">
        <v>14543</v>
      </c>
      <c r="FY60" s="825"/>
      <c r="FZ60" s="825" t="s">
        <v>14544</v>
      </c>
      <c r="GA60" s="825" t="s">
        <v>14129</v>
      </c>
      <c r="GB60" s="825" t="s">
        <v>14545</v>
      </c>
      <c r="GC60" s="825"/>
      <c r="GD60" s="825" t="s">
        <v>14546</v>
      </c>
      <c r="GE60" s="825" t="s">
        <v>14547</v>
      </c>
      <c r="GF60" s="825" t="s">
        <v>14548</v>
      </c>
      <c r="GG60" s="825"/>
      <c r="GH60" s="825"/>
      <c r="GI60" s="825"/>
      <c r="GJ60" s="825"/>
      <c r="GK60" s="825"/>
      <c r="GL60" s="825"/>
      <c r="GM60" s="825" t="s">
        <v>14549</v>
      </c>
      <c r="GN60" s="825" t="s">
        <v>14550</v>
      </c>
      <c r="GO60" s="825" t="s">
        <v>14551</v>
      </c>
    </row>
    <row r="61" spans="1:197" ht="15">
      <c r="A61" s="801" t="s">
        <v>8759</v>
      </c>
      <c r="B61" s="801" t="s">
        <v>15850</v>
      </c>
      <c r="F61" s="1063">
        <v>34</v>
      </c>
      <c r="G61" s="801" t="s">
        <v>15722</v>
      </c>
      <c r="AT61" s="802" t="s">
        <v>13261</v>
      </c>
      <c r="AU61" s="802" t="s">
        <v>13261</v>
      </c>
      <c r="AZ61" s="802" t="s">
        <v>6101</v>
      </c>
      <c r="DC61"/>
      <c r="DD61" s="825">
        <v>12</v>
      </c>
      <c r="DE61" s="825" t="s">
        <v>14552</v>
      </c>
      <c r="DF61" s="825"/>
      <c r="DG61" s="825" t="s">
        <v>14553</v>
      </c>
      <c r="DH61" s="825" t="s">
        <v>14554</v>
      </c>
      <c r="DI61" s="825"/>
      <c r="DJ61" s="825"/>
      <c r="DK61" s="825"/>
      <c r="DL61" s="825" t="s">
        <v>14555</v>
      </c>
      <c r="DM61" s="825" t="s">
        <v>14556</v>
      </c>
      <c r="DN61" s="825" t="s">
        <v>708</v>
      </c>
      <c r="DO61" s="825" t="s">
        <v>14008</v>
      </c>
      <c r="DP61" s="825"/>
      <c r="DQ61" s="825" t="s">
        <v>14557</v>
      </c>
      <c r="DR61" s="825" t="s">
        <v>14558</v>
      </c>
      <c r="DS61" s="825" t="s">
        <v>14559</v>
      </c>
      <c r="DT61" s="825"/>
      <c r="DU61" s="825"/>
      <c r="DV61" s="825"/>
      <c r="DW61" s="825"/>
      <c r="DX61" s="825"/>
      <c r="DY61" s="825" t="s">
        <v>14560</v>
      </c>
      <c r="DZ61" s="825" t="s">
        <v>14561</v>
      </c>
      <c r="EA61" s="825"/>
      <c r="EB61" s="825" t="s">
        <v>14562</v>
      </c>
      <c r="EC61" s="825"/>
      <c r="ED61" s="825"/>
      <c r="EE61" s="825"/>
      <c r="EF61" s="825"/>
      <c r="EG61" s="825"/>
      <c r="EH61" s="825"/>
      <c r="EI61" s="825" t="s">
        <v>14563</v>
      </c>
      <c r="EJ61" s="825" t="s">
        <v>14564</v>
      </c>
      <c r="EK61" s="825"/>
      <c r="EL61" s="825"/>
      <c r="EM61" s="825" t="s">
        <v>14565</v>
      </c>
      <c r="EN61" s="825" t="s">
        <v>14566</v>
      </c>
      <c r="EO61" s="825"/>
      <c r="EP61" s="825"/>
      <c r="EQ61" s="825"/>
      <c r="ER61" s="825"/>
      <c r="ES61" s="825"/>
      <c r="ET61" s="825"/>
      <c r="EU61" s="825"/>
      <c r="EV61" s="825"/>
      <c r="EW61" s="825"/>
      <c r="EX61" s="825"/>
      <c r="EY61" s="825"/>
      <c r="EZ61" s="825"/>
      <c r="FA61" s="825"/>
      <c r="FB61" s="825"/>
      <c r="FC61" s="825"/>
      <c r="FD61" s="825"/>
      <c r="FE61" s="825"/>
      <c r="FF61" s="825"/>
      <c r="FG61" s="825"/>
      <c r="FH61" s="825"/>
      <c r="FI61" s="825"/>
      <c r="FJ61" s="825"/>
      <c r="FK61" s="825"/>
      <c r="FL61" s="825"/>
      <c r="FM61" s="825"/>
      <c r="FN61" s="825"/>
      <c r="FO61" s="825"/>
      <c r="FP61" s="825" t="s">
        <v>14389</v>
      </c>
      <c r="FQ61" s="825"/>
      <c r="FR61" s="825" t="s">
        <v>14567</v>
      </c>
      <c r="FS61" s="825"/>
      <c r="FT61" s="825"/>
      <c r="FU61" s="825"/>
      <c r="FV61" s="825"/>
      <c r="FW61" s="825"/>
      <c r="FX61" s="825" t="s">
        <v>14568</v>
      </c>
      <c r="FY61" s="825"/>
      <c r="FZ61" s="825" t="s">
        <v>14569</v>
      </c>
      <c r="GA61" s="825" t="s">
        <v>14566</v>
      </c>
      <c r="GB61" s="825" t="s">
        <v>14570</v>
      </c>
      <c r="GC61" s="825"/>
      <c r="GD61" s="825" t="s">
        <v>14571</v>
      </c>
      <c r="GE61" s="825" t="s">
        <v>14572</v>
      </c>
      <c r="GF61" s="825" t="s">
        <v>14573</v>
      </c>
      <c r="GG61" s="825"/>
      <c r="GH61" s="825"/>
      <c r="GI61" s="825"/>
      <c r="GJ61" s="825"/>
      <c r="GK61" s="825"/>
      <c r="GL61" s="825"/>
      <c r="GM61" s="825" t="s">
        <v>14574</v>
      </c>
      <c r="GN61" s="825" t="s">
        <v>14575</v>
      </c>
      <c r="GO61" s="825" t="s">
        <v>14576</v>
      </c>
    </row>
    <row r="62" spans="1:197" ht="15">
      <c r="A62" s="801" t="s">
        <v>9752</v>
      </c>
      <c r="B62" s="801" t="s">
        <v>7370</v>
      </c>
      <c r="F62" s="1063">
        <v>35</v>
      </c>
      <c r="G62" s="801" t="s">
        <v>15723</v>
      </c>
      <c r="AT62" s="802" t="s">
        <v>13260</v>
      </c>
      <c r="AU62" s="802" t="s">
        <v>13260</v>
      </c>
      <c r="AZ62" s="802" t="s">
        <v>6180</v>
      </c>
      <c r="DC62"/>
      <c r="DD62" s="825">
        <v>13</v>
      </c>
      <c r="DE62" s="825" t="s">
        <v>14577</v>
      </c>
      <c r="DF62" s="825"/>
      <c r="DG62" s="825" t="s">
        <v>14578</v>
      </c>
      <c r="DH62" s="825" t="s">
        <v>14579</v>
      </c>
      <c r="DI62" s="825"/>
      <c r="DJ62" s="825"/>
      <c r="DK62" s="825"/>
      <c r="DL62" s="825" t="s">
        <v>14580</v>
      </c>
      <c r="DM62" s="825" t="s">
        <v>14581</v>
      </c>
      <c r="DN62" s="825" t="s">
        <v>14582</v>
      </c>
      <c r="DO62" s="825" t="s">
        <v>14583</v>
      </c>
      <c r="DP62" s="825"/>
      <c r="DQ62" s="825" t="s">
        <v>14584</v>
      </c>
      <c r="DR62" s="825" t="s">
        <v>14585</v>
      </c>
      <c r="DS62" s="825" t="s">
        <v>14586</v>
      </c>
      <c r="DT62" s="825"/>
      <c r="DU62" s="825"/>
      <c r="DV62" s="825"/>
      <c r="DW62" s="825"/>
      <c r="DX62" s="825"/>
      <c r="DY62" s="825" t="s">
        <v>14587</v>
      </c>
      <c r="DZ62" s="825" t="s">
        <v>14588</v>
      </c>
      <c r="EA62" s="825"/>
      <c r="EB62" s="825" t="s">
        <v>14589</v>
      </c>
      <c r="EC62" s="825"/>
      <c r="ED62" s="825"/>
      <c r="EE62" s="825"/>
      <c r="EF62" s="825"/>
      <c r="EG62" s="825"/>
      <c r="EH62" s="825"/>
      <c r="EI62" s="825" t="s">
        <v>14590</v>
      </c>
      <c r="EJ62" s="825" t="s">
        <v>14591</v>
      </c>
      <c r="EK62" s="825"/>
      <c r="EL62" s="825"/>
      <c r="EM62" s="825"/>
      <c r="EN62" s="825" t="s">
        <v>14592</v>
      </c>
      <c r="EO62" s="825"/>
      <c r="EP62" s="825"/>
      <c r="EQ62" s="825"/>
      <c r="ER62" s="825"/>
      <c r="ES62" s="825"/>
      <c r="ET62" s="825"/>
      <c r="EU62" s="825"/>
      <c r="EV62" s="825"/>
      <c r="EW62" s="825"/>
      <c r="EX62" s="825"/>
      <c r="EY62" s="825"/>
      <c r="EZ62" s="825"/>
      <c r="FA62" s="825"/>
      <c r="FB62" s="825"/>
      <c r="FC62" s="825"/>
      <c r="FD62" s="825"/>
      <c r="FE62" s="825"/>
      <c r="FF62" s="825"/>
      <c r="FG62" s="825"/>
      <c r="FH62" s="825"/>
      <c r="FI62" s="825"/>
      <c r="FJ62" s="825"/>
      <c r="FK62" s="825"/>
      <c r="FL62" s="825"/>
      <c r="FM62" s="825"/>
      <c r="FN62" s="825"/>
      <c r="FO62" s="825"/>
      <c r="FP62" s="825" t="s">
        <v>14593</v>
      </c>
      <c r="FQ62" s="825"/>
      <c r="FR62" s="825"/>
      <c r="FS62" s="825"/>
      <c r="FT62" s="825"/>
      <c r="FU62" s="825"/>
      <c r="FV62" s="825"/>
      <c r="FW62" s="825"/>
      <c r="FX62" s="825" t="s">
        <v>14594</v>
      </c>
      <c r="FY62" s="825"/>
      <c r="FZ62" s="825"/>
      <c r="GA62" s="825"/>
      <c r="GB62" s="825"/>
      <c r="GC62" s="825"/>
      <c r="GD62" s="825" t="s">
        <v>14595</v>
      </c>
      <c r="GE62" s="825" t="s">
        <v>14596</v>
      </c>
      <c r="GF62" s="825" t="s">
        <v>14597</v>
      </c>
      <c r="GG62" s="825"/>
      <c r="GH62" s="825"/>
      <c r="GI62" s="825"/>
      <c r="GJ62" s="825"/>
      <c r="GK62" s="825"/>
      <c r="GL62" s="825"/>
      <c r="GM62" s="825" t="s">
        <v>14598</v>
      </c>
      <c r="GN62" s="825" t="s">
        <v>14599</v>
      </c>
      <c r="GO62" s="825" t="s">
        <v>14600</v>
      </c>
    </row>
    <row r="63" spans="1:197" ht="15">
      <c r="A63" s="801" t="s">
        <v>9754</v>
      </c>
      <c r="B63" s="801" t="s">
        <v>12292</v>
      </c>
      <c r="F63" s="1063">
        <v>36</v>
      </c>
      <c r="G63" s="801" t="s">
        <v>15724</v>
      </c>
      <c r="AT63" s="802" t="s">
        <v>13259</v>
      </c>
      <c r="AU63" s="802" t="s">
        <v>13259</v>
      </c>
      <c r="AZ63" s="802" t="s">
        <v>5977</v>
      </c>
      <c r="DC63"/>
      <c r="DD63" s="825">
        <v>14</v>
      </c>
      <c r="DE63" s="825" t="s">
        <v>14601</v>
      </c>
      <c r="DF63" s="825"/>
      <c r="DG63" s="825" t="s">
        <v>14602</v>
      </c>
      <c r="DH63" s="825" t="s">
        <v>14603</v>
      </c>
      <c r="DI63" s="825"/>
      <c r="DJ63" s="825"/>
      <c r="DK63" s="825"/>
      <c r="DL63" s="825" t="s">
        <v>14604</v>
      </c>
      <c r="DM63" s="825" t="s">
        <v>14605</v>
      </c>
      <c r="DN63" s="825" t="s">
        <v>14606</v>
      </c>
      <c r="DO63" s="825" t="s">
        <v>14607</v>
      </c>
      <c r="DP63" s="825"/>
      <c r="DQ63" s="825" t="s">
        <v>14608</v>
      </c>
      <c r="DR63" s="825" t="s">
        <v>14609</v>
      </c>
      <c r="DS63" s="825" t="s">
        <v>14610</v>
      </c>
      <c r="DT63" s="825"/>
      <c r="DU63" s="825"/>
      <c r="DV63" s="825"/>
      <c r="DW63" s="825"/>
      <c r="DX63" s="825"/>
      <c r="DY63" s="825" t="s">
        <v>14611</v>
      </c>
      <c r="DZ63" s="825" t="s">
        <v>14612</v>
      </c>
      <c r="EA63" s="825"/>
      <c r="EB63" s="825"/>
      <c r="EC63" s="825"/>
      <c r="ED63" s="825"/>
      <c r="EE63" s="825"/>
      <c r="EF63" s="825"/>
      <c r="EG63" s="825"/>
      <c r="EH63" s="825"/>
      <c r="EI63" s="825" t="s">
        <v>14613</v>
      </c>
      <c r="EJ63" s="825" t="s">
        <v>14614</v>
      </c>
      <c r="EK63" s="825"/>
      <c r="EL63" s="825"/>
      <c r="EM63" s="825"/>
      <c r="EN63" s="825"/>
      <c r="EO63" s="825"/>
      <c r="EP63" s="825"/>
      <c r="EQ63" s="825"/>
      <c r="ER63" s="825"/>
      <c r="ES63" s="825"/>
      <c r="ET63" s="825"/>
      <c r="EU63" s="825"/>
      <c r="EV63" s="825"/>
      <c r="EW63" s="825"/>
      <c r="EX63" s="825"/>
      <c r="EY63" s="825"/>
      <c r="EZ63" s="825"/>
      <c r="FA63" s="825"/>
      <c r="FB63" s="825"/>
      <c r="FC63" s="825"/>
      <c r="FD63" s="825"/>
      <c r="FE63" s="825"/>
      <c r="FF63" s="825"/>
      <c r="FG63" s="825"/>
      <c r="FH63" s="825"/>
      <c r="FI63" s="825"/>
      <c r="FJ63" s="825"/>
      <c r="FK63" s="825"/>
      <c r="FL63" s="825"/>
      <c r="FM63" s="825"/>
      <c r="FN63" s="825"/>
      <c r="FO63" s="825"/>
      <c r="FP63" s="825"/>
      <c r="FQ63" s="825"/>
      <c r="FR63" s="825"/>
      <c r="FS63" s="825"/>
      <c r="FT63" s="825"/>
      <c r="FU63" s="825"/>
      <c r="FV63" s="825"/>
      <c r="FW63" s="825"/>
      <c r="FX63" s="825" t="s">
        <v>14615</v>
      </c>
      <c r="FY63" s="825"/>
      <c r="FZ63" s="825"/>
      <c r="GA63" s="825"/>
      <c r="GB63" s="825"/>
      <c r="GC63" s="825"/>
      <c r="GD63" s="825" t="s">
        <v>14616</v>
      </c>
      <c r="GE63" s="825"/>
      <c r="GF63" s="825" t="s">
        <v>14617</v>
      </c>
      <c r="GG63" s="825"/>
      <c r="GH63" s="825"/>
      <c r="GI63" s="825"/>
      <c r="GJ63" s="825"/>
      <c r="GK63" s="825"/>
      <c r="GL63" s="825"/>
      <c r="GM63" s="825" t="s">
        <v>14618</v>
      </c>
      <c r="GN63" s="825" t="s">
        <v>14619</v>
      </c>
      <c r="GO63" s="825"/>
    </row>
    <row r="64" spans="1:197" ht="15">
      <c r="A64" s="801" t="s">
        <v>12211</v>
      </c>
      <c r="B64" s="801" t="s">
        <v>13855</v>
      </c>
      <c r="F64" s="1063">
        <v>37</v>
      </c>
      <c r="G64" s="801" t="s">
        <v>15725</v>
      </c>
      <c r="AT64" s="802" t="s">
        <v>13258</v>
      </c>
      <c r="AU64" s="802" t="s">
        <v>13258</v>
      </c>
      <c r="AZ64" s="802" t="s">
        <v>5972</v>
      </c>
      <c r="DC64"/>
      <c r="DD64" s="825">
        <v>15</v>
      </c>
      <c r="DE64" s="825"/>
      <c r="DF64" s="825"/>
      <c r="DG64" s="825" t="s">
        <v>14620</v>
      </c>
      <c r="DH64" s="825" t="s">
        <v>14621</v>
      </c>
      <c r="DI64" s="825"/>
      <c r="DJ64" s="825"/>
      <c r="DK64" s="825"/>
      <c r="DL64" s="825" t="s">
        <v>14622</v>
      </c>
      <c r="DM64" s="825" t="s">
        <v>14623</v>
      </c>
      <c r="DN64" s="825" t="s">
        <v>6814</v>
      </c>
      <c r="DO64" s="825" t="s">
        <v>14624</v>
      </c>
      <c r="DP64" s="825"/>
      <c r="DQ64" s="825" t="s">
        <v>14625</v>
      </c>
      <c r="DR64" s="825" t="s">
        <v>14626</v>
      </c>
      <c r="DS64" s="825" t="s">
        <v>14627</v>
      </c>
      <c r="DT64" s="825"/>
      <c r="DU64" s="825"/>
      <c r="DV64" s="825"/>
      <c r="DW64" s="825"/>
      <c r="DX64" s="825"/>
      <c r="DY64" s="825" t="s">
        <v>14628</v>
      </c>
      <c r="DZ64" s="825" t="s">
        <v>14629</v>
      </c>
      <c r="EA64" s="825"/>
      <c r="EB64" s="825"/>
      <c r="EC64" s="825"/>
      <c r="ED64" s="825"/>
      <c r="EE64" s="825"/>
      <c r="EF64" s="825"/>
      <c r="EG64" s="825"/>
      <c r="EH64" s="825"/>
      <c r="EI64" s="825" t="s">
        <v>14630</v>
      </c>
      <c r="EJ64" s="825" t="s">
        <v>14631</v>
      </c>
      <c r="EK64" s="825"/>
      <c r="EL64" s="825"/>
      <c r="EM64" s="825"/>
      <c r="EN64" s="825"/>
      <c r="EO64" s="825"/>
      <c r="EP64" s="825"/>
      <c r="EQ64" s="825"/>
      <c r="ER64" s="825"/>
      <c r="ES64" s="825"/>
      <c r="ET64" s="825"/>
      <c r="EU64" s="825"/>
      <c r="EV64" s="825"/>
      <c r="EW64" s="825"/>
      <c r="EX64" s="825"/>
      <c r="EY64" s="825"/>
      <c r="EZ64" s="825"/>
      <c r="FA64" s="825"/>
      <c r="FB64" s="825"/>
      <c r="FC64" s="825"/>
      <c r="FD64" s="825"/>
      <c r="FE64" s="825"/>
      <c r="FF64" s="825"/>
      <c r="FG64" s="825"/>
      <c r="FH64" s="825"/>
      <c r="FI64" s="825"/>
      <c r="FJ64" s="825"/>
      <c r="FK64" s="825"/>
      <c r="FL64" s="825"/>
      <c r="FM64" s="825"/>
      <c r="FN64" s="825"/>
      <c r="FO64" s="825"/>
      <c r="FP64" s="825"/>
      <c r="FQ64" s="825"/>
      <c r="FR64" s="825"/>
      <c r="FS64" s="825"/>
      <c r="FT64" s="825"/>
      <c r="FU64" s="825"/>
      <c r="FV64" s="825"/>
      <c r="FW64" s="825"/>
      <c r="FX64" s="825" t="s">
        <v>14632</v>
      </c>
      <c r="FY64" s="825"/>
      <c r="FZ64" s="825"/>
      <c r="GA64" s="825"/>
      <c r="GB64" s="825"/>
      <c r="GC64" s="825"/>
      <c r="GD64" s="825"/>
      <c r="GE64" s="825"/>
      <c r="GF64" s="825" t="s">
        <v>14633</v>
      </c>
      <c r="GG64" s="825"/>
      <c r="GH64" s="825"/>
      <c r="GI64" s="825"/>
      <c r="GJ64" s="825"/>
      <c r="GK64" s="825"/>
      <c r="GL64" s="825"/>
      <c r="GM64" s="825" t="s">
        <v>14634</v>
      </c>
      <c r="GN64" s="825"/>
      <c r="GO64" s="825"/>
    </row>
    <row r="65" spans="1:197" ht="15">
      <c r="A65" s="801" t="s">
        <v>8372</v>
      </c>
      <c r="B65" s="801" t="s">
        <v>13933</v>
      </c>
      <c r="F65" s="1063">
        <v>38</v>
      </c>
      <c r="G65" s="801" t="s">
        <v>15726</v>
      </c>
      <c r="AT65" s="802" t="s">
        <v>13257</v>
      </c>
      <c r="AU65" s="802" t="s">
        <v>13257</v>
      </c>
      <c r="AZ65" s="802" t="s">
        <v>6073</v>
      </c>
      <c r="DC65"/>
      <c r="DD65" s="825">
        <v>16</v>
      </c>
      <c r="DE65" s="825"/>
      <c r="DF65" s="825"/>
      <c r="DG65" s="825" t="s">
        <v>14635</v>
      </c>
      <c r="DH65" s="825" t="s">
        <v>14636</v>
      </c>
      <c r="DI65" s="825"/>
      <c r="DJ65" s="825"/>
      <c r="DK65" s="825"/>
      <c r="DL65" s="825" t="s">
        <v>14637</v>
      </c>
      <c r="DM65" s="825" t="s">
        <v>14638</v>
      </c>
      <c r="DN65" s="825" t="s">
        <v>14639</v>
      </c>
      <c r="DO65" s="825" t="s">
        <v>14640</v>
      </c>
      <c r="DP65" s="825"/>
      <c r="DQ65" s="825" t="s">
        <v>14641</v>
      </c>
      <c r="DR65" s="825" t="s">
        <v>14238</v>
      </c>
      <c r="DS65" s="825" t="s">
        <v>14642</v>
      </c>
      <c r="DT65" s="825"/>
      <c r="DU65" s="825"/>
      <c r="DV65" s="825"/>
      <c r="DW65" s="825"/>
      <c r="DX65" s="825"/>
      <c r="DY65" s="825" t="s">
        <v>14643</v>
      </c>
      <c r="DZ65" s="825" t="s">
        <v>14644</v>
      </c>
      <c r="EA65" s="825"/>
      <c r="EB65" s="825"/>
      <c r="EC65" s="825"/>
      <c r="ED65" s="825"/>
      <c r="EE65" s="825"/>
      <c r="EF65" s="825"/>
      <c r="EG65" s="825"/>
      <c r="EH65" s="825"/>
      <c r="EI65" s="825" t="s">
        <v>14645</v>
      </c>
      <c r="EJ65" s="825" t="s">
        <v>14646</v>
      </c>
      <c r="EK65" s="825"/>
      <c r="EL65" s="825"/>
      <c r="EM65" s="825"/>
      <c r="EN65" s="825"/>
      <c r="EO65" s="825"/>
      <c r="EP65" s="825"/>
      <c r="EQ65" s="825"/>
      <c r="ER65" s="825"/>
      <c r="ES65" s="825"/>
      <c r="ET65" s="825"/>
      <c r="EU65" s="825"/>
      <c r="EV65" s="825"/>
      <c r="EW65" s="825"/>
      <c r="EX65" s="825"/>
      <c r="EY65" s="825"/>
      <c r="EZ65" s="825"/>
      <c r="FA65" s="825"/>
      <c r="FB65" s="825"/>
      <c r="FC65" s="825"/>
      <c r="FD65" s="825"/>
      <c r="FE65" s="825"/>
      <c r="FF65" s="825"/>
      <c r="FG65" s="825"/>
      <c r="FH65" s="825"/>
      <c r="FI65" s="825"/>
      <c r="FJ65" s="825"/>
      <c r="FK65" s="825"/>
      <c r="FL65" s="825"/>
      <c r="FM65" s="825"/>
      <c r="FN65" s="825"/>
      <c r="FO65" s="825"/>
      <c r="FP65" s="825"/>
      <c r="FQ65" s="825"/>
      <c r="FR65" s="825"/>
      <c r="FS65" s="825"/>
      <c r="FT65" s="825"/>
      <c r="FU65" s="825"/>
      <c r="FV65" s="825"/>
      <c r="FW65" s="825"/>
      <c r="FX65" s="825" t="s">
        <v>14647</v>
      </c>
      <c r="FY65" s="825"/>
      <c r="FZ65" s="825"/>
      <c r="GA65" s="825"/>
      <c r="GB65" s="825"/>
      <c r="GC65" s="825"/>
      <c r="GD65" s="825"/>
      <c r="GE65" s="825"/>
      <c r="GF65" s="825" t="s">
        <v>5814</v>
      </c>
      <c r="GG65" s="825"/>
      <c r="GH65" s="825"/>
      <c r="GI65" s="825"/>
      <c r="GJ65" s="825"/>
      <c r="GK65" s="825"/>
      <c r="GL65" s="825"/>
      <c r="GM65" s="825" t="s">
        <v>14648</v>
      </c>
      <c r="GN65" s="825"/>
      <c r="GO65" s="825"/>
    </row>
    <row r="66" spans="1:197" ht="15">
      <c r="A66" s="801" t="s">
        <v>8373</v>
      </c>
      <c r="B66" s="801" t="s">
        <v>15847</v>
      </c>
      <c r="F66" s="1063">
        <v>39</v>
      </c>
      <c r="G66" s="801" t="s">
        <v>15727</v>
      </c>
      <c r="AT66" s="802" t="s">
        <v>13256</v>
      </c>
      <c r="AU66" s="802" t="s">
        <v>13256</v>
      </c>
      <c r="AZ66" s="802" t="s">
        <v>6160</v>
      </c>
      <c r="DC66"/>
      <c r="DD66" s="825">
        <v>17</v>
      </c>
      <c r="DE66" s="825"/>
      <c r="DF66" s="825"/>
      <c r="DG66" s="825" t="s">
        <v>14649</v>
      </c>
      <c r="DH66" s="825" t="s">
        <v>14650</v>
      </c>
      <c r="DI66" s="825"/>
      <c r="DJ66" s="825"/>
      <c r="DK66" s="825"/>
      <c r="DL66" s="825" t="s">
        <v>14651</v>
      </c>
      <c r="DM66" s="825" t="s">
        <v>14652</v>
      </c>
      <c r="DN66" s="825" t="s">
        <v>14014</v>
      </c>
      <c r="DO66" s="825" t="s">
        <v>14653</v>
      </c>
      <c r="DP66" s="825"/>
      <c r="DQ66" s="825" t="s">
        <v>14654</v>
      </c>
      <c r="DR66" s="825" t="s">
        <v>14655</v>
      </c>
      <c r="DS66" s="825" t="s">
        <v>14656</v>
      </c>
      <c r="DT66" s="825"/>
      <c r="DU66" s="825"/>
      <c r="DV66" s="825"/>
      <c r="DW66" s="825"/>
      <c r="DX66" s="825"/>
      <c r="DY66" s="825" t="s">
        <v>14657</v>
      </c>
      <c r="DZ66" s="825" t="s">
        <v>14658</v>
      </c>
      <c r="EA66" s="825"/>
      <c r="EB66" s="825"/>
      <c r="EC66" s="825"/>
      <c r="ED66" s="825"/>
      <c r="EE66" s="825"/>
      <c r="EF66" s="825"/>
      <c r="EG66" s="825"/>
      <c r="EH66" s="825"/>
      <c r="EI66" s="825" t="s">
        <v>14659</v>
      </c>
      <c r="EJ66" s="825" t="s">
        <v>14660</v>
      </c>
      <c r="EK66" s="825"/>
      <c r="EL66" s="825"/>
      <c r="EM66" s="825"/>
      <c r="EN66" s="825"/>
      <c r="EO66" s="825"/>
      <c r="EP66" s="825"/>
      <c r="EQ66" s="825"/>
      <c r="ER66" s="825"/>
      <c r="ES66" s="825"/>
      <c r="ET66" s="825"/>
      <c r="EU66" s="825"/>
      <c r="EV66" s="825"/>
      <c r="EW66" s="825"/>
      <c r="EX66" s="825"/>
      <c r="EY66" s="825"/>
      <c r="EZ66" s="825"/>
      <c r="FA66" s="825"/>
      <c r="FB66" s="825"/>
      <c r="FC66" s="825"/>
      <c r="FD66" s="825"/>
      <c r="FE66" s="825"/>
      <c r="FF66" s="825"/>
      <c r="FG66" s="825"/>
      <c r="FH66" s="825"/>
      <c r="FI66" s="825"/>
      <c r="FJ66" s="825"/>
      <c r="FK66" s="825"/>
      <c r="FL66" s="825"/>
      <c r="FM66" s="825"/>
      <c r="FN66" s="825"/>
      <c r="FO66" s="825"/>
      <c r="FP66" s="825"/>
      <c r="FQ66" s="825"/>
      <c r="FR66" s="825"/>
      <c r="FS66" s="825"/>
      <c r="FT66" s="825"/>
      <c r="FU66" s="825"/>
      <c r="FV66" s="825"/>
      <c r="FW66" s="825"/>
      <c r="FX66" s="825" t="s">
        <v>14661</v>
      </c>
      <c r="FY66" s="825"/>
      <c r="FZ66" s="825"/>
      <c r="GA66" s="825"/>
      <c r="GB66" s="825"/>
      <c r="GC66" s="825"/>
      <c r="GD66" s="825"/>
      <c r="GE66" s="825"/>
      <c r="GF66" s="825" t="s">
        <v>14662</v>
      </c>
      <c r="GG66" s="825"/>
      <c r="GH66" s="825"/>
      <c r="GI66" s="825"/>
      <c r="GJ66" s="825"/>
      <c r="GK66" s="825"/>
      <c r="GL66" s="825"/>
      <c r="GM66" s="825" t="s">
        <v>14663</v>
      </c>
      <c r="GN66" s="825"/>
      <c r="GO66" s="825"/>
    </row>
    <row r="67" spans="1:197" ht="15">
      <c r="A67" s="801" t="s">
        <v>15848</v>
      </c>
      <c r="B67" s="801" t="s">
        <v>15849</v>
      </c>
      <c r="F67" s="1063">
        <v>40</v>
      </c>
      <c r="G67" s="801" t="s">
        <v>15728</v>
      </c>
      <c r="AT67" s="802" t="s">
        <v>13255</v>
      </c>
      <c r="AU67" s="802" t="s">
        <v>13255</v>
      </c>
      <c r="AZ67" s="802" t="s">
        <v>5883</v>
      </c>
      <c r="DC67"/>
      <c r="DD67" s="825">
        <v>18</v>
      </c>
      <c r="DE67" s="825"/>
      <c r="DF67" s="825"/>
      <c r="DG67" s="825" t="s">
        <v>14664</v>
      </c>
      <c r="DH67" s="825" t="s">
        <v>14665</v>
      </c>
      <c r="DI67" s="825"/>
      <c r="DJ67" s="825"/>
      <c r="DK67" s="825"/>
      <c r="DL67" s="825" t="s">
        <v>14666</v>
      </c>
      <c r="DM67" s="825" t="s">
        <v>14667</v>
      </c>
      <c r="DN67" s="825" t="s">
        <v>5809</v>
      </c>
      <c r="DO67" s="825" t="s">
        <v>14668</v>
      </c>
      <c r="DP67" s="825"/>
      <c r="DQ67" s="825" t="s">
        <v>14669</v>
      </c>
      <c r="DR67" s="825" t="s">
        <v>14670</v>
      </c>
      <c r="DS67" s="825"/>
      <c r="DT67" s="825"/>
      <c r="DU67" s="825"/>
      <c r="DV67" s="825"/>
      <c r="DW67" s="825"/>
      <c r="DX67" s="825"/>
      <c r="DY67" s="825" t="s">
        <v>14671</v>
      </c>
      <c r="DZ67" s="825" t="s">
        <v>14672</v>
      </c>
      <c r="EA67" s="825"/>
      <c r="EB67" s="825"/>
      <c r="EC67" s="825"/>
      <c r="ED67" s="825"/>
      <c r="EE67" s="825"/>
      <c r="EF67" s="825"/>
      <c r="EG67" s="825"/>
      <c r="EH67" s="825"/>
      <c r="EI67" s="825"/>
      <c r="EJ67" s="825" t="s">
        <v>14673</v>
      </c>
      <c r="EK67" s="825"/>
      <c r="EL67" s="825"/>
      <c r="EM67" s="825"/>
      <c r="EN67" s="825"/>
      <c r="EO67" s="825"/>
      <c r="EP67" s="825"/>
      <c r="EQ67" s="825"/>
      <c r="ER67" s="825"/>
      <c r="ES67" s="825"/>
      <c r="ET67" s="825"/>
      <c r="EU67" s="825"/>
      <c r="EV67" s="825"/>
      <c r="EW67" s="825"/>
      <c r="EX67" s="825"/>
      <c r="EY67" s="825"/>
      <c r="EZ67" s="825"/>
      <c r="FA67" s="825"/>
      <c r="FB67" s="825"/>
      <c r="FC67" s="825"/>
      <c r="FD67" s="825"/>
      <c r="FE67" s="825"/>
      <c r="FF67" s="825"/>
      <c r="FG67" s="825"/>
      <c r="FH67" s="825"/>
      <c r="FI67" s="825"/>
      <c r="FJ67" s="825"/>
      <c r="FK67" s="825"/>
      <c r="FL67" s="825"/>
      <c r="FM67" s="825"/>
      <c r="FN67" s="825"/>
      <c r="FO67" s="825"/>
      <c r="FP67" s="825"/>
      <c r="FQ67" s="825"/>
      <c r="FR67" s="825"/>
      <c r="FS67" s="825"/>
      <c r="FT67" s="825"/>
      <c r="FU67" s="825"/>
      <c r="FV67" s="825"/>
      <c r="FW67" s="825"/>
      <c r="FX67" s="825" t="s">
        <v>14674</v>
      </c>
      <c r="FY67" s="825"/>
      <c r="FZ67" s="825"/>
      <c r="GA67" s="825"/>
      <c r="GB67" s="825"/>
      <c r="GC67" s="825"/>
      <c r="GD67" s="825"/>
      <c r="GE67" s="825"/>
      <c r="GF67" s="825" t="s">
        <v>14675</v>
      </c>
      <c r="GG67" s="825"/>
      <c r="GH67" s="825"/>
      <c r="GI67" s="825"/>
      <c r="GJ67" s="825"/>
      <c r="GK67" s="825"/>
      <c r="GL67" s="825"/>
      <c r="GM67" s="825"/>
      <c r="GN67" s="825"/>
      <c r="GO67" s="825"/>
    </row>
    <row r="68" spans="1:197" ht="15">
      <c r="F68" s="1063">
        <v>41</v>
      </c>
      <c r="G68" s="801" t="s">
        <v>15729</v>
      </c>
      <c r="AT68" s="802" t="s">
        <v>13254</v>
      </c>
      <c r="AU68" s="802" t="s">
        <v>13254</v>
      </c>
      <c r="AZ68" s="802" t="s">
        <v>5859</v>
      </c>
      <c r="DC68"/>
      <c r="DD68" s="825">
        <v>19</v>
      </c>
      <c r="DE68" s="825"/>
      <c r="DF68" s="825"/>
      <c r="DG68" s="825" t="s">
        <v>14676</v>
      </c>
      <c r="DH68" s="825" t="s">
        <v>14677</v>
      </c>
      <c r="DI68" s="825"/>
      <c r="DJ68" s="825"/>
      <c r="DK68" s="825"/>
      <c r="DL68" s="825" t="s">
        <v>14678</v>
      </c>
      <c r="DM68" s="825" t="s">
        <v>14679</v>
      </c>
      <c r="DN68" s="825" t="s">
        <v>13787</v>
      </c>
      <c r="DO68" s="825" t="s">
        <v>14680</v>
      </c>
      <c r="DP68" s="825"/>
      <c r="DQ68" s="825" t="s">
        <v>14681</v>
      </c>
      <c r="DR68" s="825" t="s">
        <v>14682</v>
      </c>
      <c r="DS68" s="825"/>
      <c r="DT68" s="825"/>
      <c r="DU68" s="825"/>
      <c r="DV68" s="825"/>
      <c r="DW68" s="825"/>
      <c r="DX68" s="825"/>
      <c r="DY68" s="825" t="s">
        <v>14683</v>
      </c>
      <c r="DZ68" s="825" t="s">
        <v>14684</v>
      </c>
      <c r="EA68" s="825"/>
      <c r="EB68" s="825"/>
      <c r="EC68" s="825"/>
      <c r="ED68" s="825"/>
      <c r="EE68" s="825"/>
      <c r="EF68" s="825"/>
      <c r="EG68" s="825"/>
      <c r="EH68" s="825"/>
      <c r="EI68" s="825"/>
      <c r="EJ68" s="825"/>
      <c r="EK68" s="825"/>
      <c r="EL68" s="825"/>
      <c r="EM68" s="825"/>
      <c r="EN68" s="825"/>
      <c r="EO68" s="825"/>
      <c r="EP68" s="825"/>
      <c r="EQ68" s="825"/>
      <c r="ER68" s="825"/>
      <c r="ES68" s="825"/>
      <c r="ET68" s="825"/>
      <c r="EU68" s="825"/>
      <c r="EV68" s="825"/>
      <c r="EW68" s="825"/>
      <c r="EX68" s="825"/>
      <c r="EY68" s="825"/>
      <c r="EZ68" s="825"/>
      <c r="FA68" s="825"/>
      <c r="FB68" s="825"/>
      <c r="FC68" s="825"/>
      <c r="FD68" s="825"/>
      <c r="FE68" s="825"/>
      <c r="FF68" s="825"/>
      <c r="FG68" s="825"/>
      <c r="FH68" s="825"/>
      <c r="FI68" s="825"/>
      <c r="FJ68" s="825"/>
      <c r="FK68" s="825"/>
      <c r="FL68" s="825"/>
      <c r="FM68" s="825"/>
      <c r="FN68" s="825"/>
      <c r="FO68" s="825"/>
      <c r="FP68" s="825"/>
      <c r="FQ68" s="825"/>
      <c r="FR68" s="825"/>
      <c r="FS68" s="825"/>
      <c r="FT68" s="825"/>
      <c r="FU68" s="825"/>
      <c r="FV68" s="825"/>
      <c r="FW68" s="825"/>
      <c r="FX68" s="825" t="s">
        <v>14685</v>
      </c>
      <c r="FY68" s="825"/>
      <c r="FZ68" s="825"/>
      <c r="GA68" s="825"/>
      <c r="GB68" s="825"/>
      <c r="GC68" s="825"/>
      <c r="GD68" s="825"/>
      <c r="GE68" s="825"/>
      <c r="GF68" s="825" t="s">
        <v>14686</v>
      </c>
      <c r="GG68" s="825"/>
      <c r="GH68" s="825"/>
      <c r="GI68" s="825"/>
      <c r="GJ68" s="825"/>
      <c r="GK68" s="825"/>
      <c r="GL68" s="825"/>
      <c r="GM68" s="825"/>
      <c r="GN68" s="825"/>
      <c r="GO68" s="825"/>
    </row>
    <row r="69" spans="1:197" ht="15">
      <c r="F69" s="1063">
        <v>42</v>
      </c>
      <c r="G69" s="801" t="s">
        <v>15730</v>
      </c>
      <c r="AT69" s="802" t="s">
        <v>13253</v>
      </c>
      <c r="AU69" s="802" t="s">
        <v>13253</v>
      </c>
      <c r="AZ69" s="802" t="s">
        <v>6103</v>
      </c>
      <c r="DC69"/>
      <c r="DD69" s="825">
        <v>20</v>
      </c>
      <c r="DE69" s="825"/>
      <c r="DF69" s="825"/>
      <c r="DG69" s="825" t="s">
        <v>14687</v>
      </c>
      <c r="DH69" s="825" t="s">
        <v>14688</v>
      </c>
      <c r="DI69" s="825"/>
      <c r="DJ69" s="825"/>
      <c r="DK69" s="825"/>
      <c r="DL69" s="825" t="s">
        <v>14689</v>
      </c>
      <c r="DM69" s="825" t="s">
        <v>14690</v>
      </c>
      <c r="DN69" s="825" t="s">
        <v>14045</v>
      </c>
      <c r="DO69" s="825" t="s">
        <v>14124</v>
      </c>
      <c r="DP69" s="825"/>
      <c r="DQ69" s="825" t="s">
        <v>14691</v>
      </c>
      <c r="DR69" s="825" t="s">
        <v>14692</v>
      </c>
      <c r="DS69" s="825"/>
      <c r="DT69" s="825"/>
      <c r="DU69" s="825"/>
      <c r="DV69" s="825"/>
      <c r="DW69" s="825"/>
      <c r="DX69" s="825"/>
      <c r="DY69" s="825" t="s">
        <v>14693</v>
      </c>
      <c r="DZ69" s="825" t="s">
        <v>12945</v>
      </c>
      <c r="EA69" s="825"/>
      <c r="EB69" s="825"/>
      <c r="EC69" s="825"/>
      <c r="ED69" s="825"/>
      <c r="EE69" s="825"/>
      <c r="EF69" s="825"/>
      <c r="EG69" s="825"/>
      <c r="EH69" s="825"/>
      <c r="EI69" s="825"/>
      <c r="EJ69" s="825"/>
      <c r="EK69" s="825"/>
      <c r="EL69" s="825"/>
      <c r="EM69" s="825"/>
      <c r="EN69" s="825"/>
      <c r="EO69" s="825"/>
      <c r="EP69" s="825"/>
      <c r="EQ69" s="825"/>
      <c r="ER69" s="825"/>
      <c r="ES69" s="825"/>
      <c r="ET69" s="825"/>
      <c r="EU69" s="825"/>
      <c r="EV69" s="825"/>
      <c r="EW69" s="825"/>
      <c r="EX69" s="825"/>
      <c r="EY69" s="825"/>
      <c r="EZ69" s="825"/>
      <c r="FA69" s="825"/>
      <c r="FB69" s="825"/>
      <c r="FC69" s="825"/>
      <c r="FD69" s="825"/>
      <c r="FE69" s="825"/>
      <c r="FF69" s="825"/>
      <c r="FG69" s="825"/>
      <c r="FH69" s="825"/>
      <c r="FI69" s="825"/>
      <c r="FJ69" s="825"/>
      <c r="FK69" s="825"/>
      <c r="FL69" s="825"/>
      <c r="FM69" s="825"/>
      <c r="FN69" s="825"/>
      <c r="FO69" s="825"/>
      <c r="FP69" s="825"/>
      <c r="FQ69" s="825"/>
      <c r="FR69" s="825"/>
      <c r="FS69" s="825"/>
      <c r="FT69" s="825"/>
      <c r="FU69" s="825"/>
      <c r="FV69" s="825"/>
      <c r="FW69" s="825"/>
      <c r="FX69" s="825" t="s">
        <v>14694</v>
      </c>
      <c r="FY69" s="825"/>
      <c r="FZ69" s="825"/>
      <c r="GA69" s="825"/>
      <c r="GB69" s="825"/>
      <c r="GC69" s="825"/>
      <c r="GD69" s="825"/>
      <c r="GE69" s="825"/>
      <c r="GF69" s="825" t="s">
        <v>14695</v>
      </c>
      <c r="GG69" s="825"/>
      <c r="GH69" s="825"/>
      <c r="GI69" s="825"/>
      <c r="GJ69" s="825"/>
      <c r="GK69" s="825"/>
      <c r="GL69" s="825"/>
      <c r="GM69" s="825"/>
      <c r="GN69" s="825"/>
      <c r="GO69" s="825"/>
    </row>
    <row r="70" spans="1:197" ht="17.25">
      <c r="A70" s="29" t="s">
        <v>15851</v>
      </c>
      <c r="F70" s="1063">
        <v>43</v>
      </c>
      <c r="G70" s="801" t="s">
        <v>15731</v>
      </c>
      <c r="AT70" s="802" t="s">
        <v>13252</v>
      </c>
      <c r="AU70" s="802" t="s">
        <v>13252</v>
      </c>
      <c r="AZ70" s="802" t="s">
        <v>5867</v>
      </c>
      <c r="DC70"/>
      <c r="DD70" s="825">
        <v>21</v>
      </c>
      <c r="DE70" s="825"/>
      <c r="DF70" s="825"/>
      <c r="DG70" s="825" t="s">
        <v>14696</v>
      </c>
      <c r="DH70" s="825" t="s">
        <v>14697</v>
      </c>
      <c r="DI70" s="825"/>
      <c r="DJ70" s="825"/>
      <c r="DK70" s="825"/>
      <c r="DL70" s="825" t="s">
        <v>14698</v>
      </c>
      <c r="DM70" s="825" t="s">
        <v>14699</v>
      </c>
      <c r="DN70" s="825"/>
      <c r="DO70" s="825"/>
      <c r="DP70" s="825"/>
      <c r="DQ70" s="825" t="s">
        <v>14700</v>
      </c>
      <c r="DR70" s="825" t="s">
        <v>14701</v>
      </c>
      <c r="DS70" s="825"/>
      <c r="DT70" s="825"/>
      <c r="DU70" s="825"/>
      <c r="DV70" s="825"/>
      <c r="DW70" s="825"/>
      <c r="DX70" s="825"/>
      <c r="DY70" s="825" t="s">
        <v>14702</v>
      </c>
      <c r="DZ70" s="825" t="s">
        <v>14703</v>
      </c>
      <c r="EA70" s="825"/>
      <c r="EB70" s="825"/>
      <c r="EC70" s="825"/>
      <c r="ED70" s="825"/>
      <c r="EE70" s="825"/>
      <c r="EF70" s="825"/>
      <c r="EG70" s="825"/>
      <c r="EH70" s="825"/>
      <c r="EI70" s="825"/>
      <c r="EJ70" s="825"/>
      <c r="EK70" s="825"/>
      <c r="EL70" s="825"/>
      <c r="EM70" s="825"/>
      <c r="EN70" s="825"/>
      <c r="EO70" s="825"/>
      <c r="EP70" s="825"/>
      <c r="EQ70" s="825"/>
      <c r="ER70" s="825"/>
      <c r="ES70" s="825"/>
      <c r="ET70" s="825"/>
      <c r="EU70" s="825"/>
      <c r="EV70" s="825"/>
      <c r="EW70" s="825"/>
      <c r="EX70" s="825"/>
      <c r="EY70" s="825"/>
      <c r="EZ70" s="825"/>
      <c r="FA70" s="825"/>
      <c r="FB70" s="825"/>
      <c r="FC70" s="825"/>
      <c r="FD70" s="825"/>
      <c r="FE70" s="825"/>
      <c r="FF70" s="825"/>
      <c r="FG70" s="825"/>
      <c r="FH70" s="825"/>
      <c r="FI70" s="825"/>
      <c r="FJ70" s="825"/>
      <c r="FK70" s="825"/>
      <c r="FL70" s="825"/>
      <c r="FM70" s="825"/>
      <c r="FN70" s="825"/>
      <c r="FO70" s="825"/>
      <c r="FP70" s="825"/>
      <c r="FQ70" s="825"/>
      <c r="FR70" s="825"/>
      <c r="FS70" s="825"/>
      <c r="FT70" s="825"/>
      <c r="FU70" s="825"/>
      <c r="FV70" s="825"/>
      <c r="FW70" s="825"/>
      <c r="FX70" s="825" t="s">
        <v>14704</v>
      </c>
      <c r="FY70" s="825"/>
      <c r="FZ70" s="825"/>
      <c r="GA70" s="825"/>
      <c r="GB70" s="825"/>
      <c r="GC70" s="825"/>
      <c r="GD70" s="825"/>
      <c r="GE70" s="825"/>
      <c r="GF70" s="825" t="s">
        <v>14705</v>
      </c>
      <c r="GG70" s="825"/>
      <c r="GH70" s="825"/>
      <c r="GI70" s="825"/>
      <c r="GJ70" s="825"/>
      <c r="GK70" s="825"/>
      <c r="GL70" s="825"/>
      <c r="GM70" s="825"/>
      <c r="GN70" s="825"/>
      <c r="GO70" s="825"/>
    </row>
    <row r="71" spans="1:197" ht="17.25">
      <c r="B71" s="29" t="s">
        <v>15854</v>
      </c>
      <c r="F71" s="1063">
        <v>44</v>
      </c>
      <c r="G71" s="801" t="s">
        <v>15732</v>
      </c>
      <c r="AZ71" s="802" t="s">
        <v>6062</v>
      </c>
      <c r="DC71"/>
      <c r="DD71" s="825">
        <v>22</v>
      </c>
      <c r="DE71" s="825"/>
      <c r="DF71" s="825"/>
      <c r="DG71" s="825" t="s">
        <v>14706</v>
      </c>
      <c r="DH71" s="825" t="s">
        <v>14707</v>
      </c>
      <c r="DI71" s="825"/>
      <c r="DJ71" s="825"/>
      <c r="DK71" s="825"/>
      <c r="DL71" s="825" t="s">
        <v>14708</v>
      </c>
      <c r="DM71" s="825" t="s">
        <v>14709</v>
      </c>
      <c r="DN71" s="825"/>
      <c r="DO71" s="825"/>
      <c r="DP71" s="825"/>
      <c r="DQ71" s="825" t="s">
        <v>14710</v>
      </c>
      <c r="DR71" s="825" t="s">
        <v>14711</v>
      </c>
      <c r="DS71" s="825"/>
      <c r="DT71" s="825"/>
      <c r="DU71" s="825"/>
      <c r="DV71" s="825"/>
      <c r="DW71" s="825"/>
      <c r="DX71" s="825"/>
      <c r="DY71" s="825" t="s">
        <v>14712</v>
      </c>
      <c r="DZ71" s="825" t="s">
        <v>14713</v>
      </c>
      <c r="EA71" s="825"/>
      <c r="EB71" s="825"/>
      <c r="EC71" s="825"/>
      <c r="ED71" s="825"/>
      <c r="EE71" s="825"/>
      <c r="EF71" s="825"/>
      <c r="EG71" s="825"/>
      <c r="EH71" s="825"/>
      <c r="EI71" s="825"/>
      <c r="EJ71" s="825"/>
      <c r="EK71" s="825"/>
      <c r="EL71" s="825"/>
      <c r="EM71" s="825"/>
      <c r="EN71" s="825"/>
      <c r="EO71" s="825"/>
      <c r="EP71" s="825"/>
      <c r="EQ71" s="825"/>
      <c r="ER71" s="825"/>
      <c r="ES71" s="825"/>
      <c r="ET71" s="825"/>
      <c r="EU71" s="825"/>
      <c r="EV71" s="825"/>
      <c r="EW71" s="825"/>
      <c r="EX71" s="825"/>
      <c r="EY71" s="825"/>
      <c r="EZ71" s="825"/>
      <c r="FA71" s="825"/>
      <c r="FB71" s="825"/>
      <c r="FC71" s="825"/>
      <c r="FD71" s="825"/>
      <c r="FE71" s="825"/>
      <c r="FF71" s="825"/>
      <c r="FG71" s="825"/>
      <c r="FH71" s="825"/>
      <c r="FI71" s="825"/>
      <c r="FJ71" s="825"/>
      <c r="FK71" s="825"/>
      <c r="FL71" s="825"/>
      <c r="FM71" s="825"/>
      <c r="FN71" s="825"/>
      <c r="FO71" s="825"/>
      <c r="FP71" s="825"/>
      <c r="FQ71" s="825"/>
      <c r="FR71" s="825"/>
      <c r="FS71" s="825"/>
      <c r="FT71" s="825"/>
      <c r="FU71" s="825"/>
      <c r="FV71" s="825"/>
      <c r="FW71" s="825"/>
      <c r="FX71" s="825" t="s">
        <v>14714</v>
      </c>
      <c r="FY71" s="825"/>
      <c r="FZ71" s="825"/>
      <c r="GA71" s="825"/>
      <c r="GB71" s="825"/>
      <c r="GC71" s="825"/>
      <c r="GD71" s="825"/>
      <c r="GE71" s="825"/>
      <c r="GF71" s="825"/>
      <c r="GG71" s="825"/>
      <c r="GH71" s="825"/>
      <c r="GI71" s="825"/>
      <c r="GJ71" s="825"/>
      <c r="GK71" s="825"/>
      <c r="GL71" s="825"/>
      <c r="GM71" s="825"/>
      <c r="GN71" s="825"/>
      <c r="GO71" s="825"/>
    </row>
    <row r="72" spans="1:197" ht="17.25">
      <c r="B72" s="29" t="s">
        <v>15855</v>
      </c>
      <c r="F72" s="1063">
        <v>45</v>
      </c>
      <c r="G72" s="801" t="s">
        <v>15733</v>
      </c>
      <c r="AZ72" s="802" t="s">
        <v>6169</v>
      </c>
      <c r="DC72"/>
      <c r="DD72" s="825">
        <v>23</v>
      </c>
      <c r="DE72" s="825"/>
      <c r="DF72" s="825"/>
      <c r="DG72" s="825" t="s">
        <v>14715</v>
      </c>
      <c r="DH72" s="825" t="s">
        <v>14716</v>
      </c>
      <c r="DI72" s="825"/>
      <c r="DJ72" s="825"/>
      <c r="DK72" s="825"/>
      <c r="DL72" s="825" t="s">
        <v>14717</v>
      </c>
      <c r="DM72" s="825" t="s">
        <v>14718</v>
      </c>
      <c r="DN72" s="825"/>
      <c r="DO72" s="825"/>
      <c r="DP72" s="825"/>
      <c r="DQ72" s="825" t="s">
        <v>14719</v>
      </c>
      <c r="DR72" s="825" t="s">
        <v>14720</v>
      </c>
      <c r="DS72" s="825"/>
      <c r="DT72" s="825"/>
      <c r="DU72" s="825"/>
      <c r="DV72" s="825"/>
      <c r="DW72" s="825"/>
      <c r="DX72" s="825"/>
      <c r="DY72" s="825" t="s">
        <v>14721</v>
      </c>
      <c r="DZ72" s="825"/>
      <c r="EA72" s="825"/>
      <c r="EB72" s="825"/>
      <c r="EC72" s="825"/>
      <c r="ED72" s="825"/>
      <c r="EE72" s="825"/>
      <c r="EF72" s="825"/>
      <c r="EG72" s="825"/>
      <c r="EH72" s="825"/>
      <c r="EI72" s="825"/>
      <c r="EJ72" s="825"/>
      <c r="EK72" s="825"/>
      <c r="EL72" s="825"/>
      <c r="EM72" s="825"/>
      <c r="EN72" s="825"/>
      <c r="EO72" s="825"/>
      <c r="EP72" s="825"/>
      <c r="EQ72" s="825"/>
      <c r="ER72" s="825"/>
      <c r="ES72" s="825"/>
      <c r="ET72" s="825"/>
      <c r="EU72" s="825"/>
      <c r="EV72" s="825"/>
      <c r="EW72" s="825"/>
      <c r="EX72" s="825"/>
      <c r="EY72" s="825"/>
      <c r="EZ72" s="825"/>
      <c r="FA72" s="825"/>
      <c r="FB72" s="825"/>
      <c r="FC72" s="825"/>
      <c r="FD72" s="825"/>
      <c r="FE72" s="825"/>
      <c r="FF72" s="825"/>
      <c r="FG72" s="825"/>
      <c r="FH72" s="825"/>
      <c r="FI72" s="825"/>
      <c r="FJ72" s="825"/>
      <c r="FK72" s="825"/>
      <c r="FL72" s="825"/>
      <c r="FM72" s="825"/>
      <c r="FN72" s="825"/>
      <c r="FO72" s="825"/>
      <c r="FP72" s="825"/>
      <c r="FQ72" s="825"/>
      <c r="FR72" s="825"/>
      <c r="FS72" s="825"/>
      <c r="FT72" s="825"/>
      <c r="FU72" s="825"/>
      <c r="FV72" s="825"/>
      <c r="FW72" s="825"/>
      <c r="FX72" s="825" t="s">
        <v>14722</v>
      </c>
      <c r="FY72" s="825"/>
      <c r="FZ72" s="825"/>
      <c r="GA72" s="825"/>
      <c r="GB72" s="825"/>
      <c r="GC72" s="825"/>
      <c r="GD72" s="825"/>
      <c r="GE72" s="825"/>
      <c r="GF72" s="825"/>
      <c r="GG72" s="825"/>
      <c r="GH72" s="825"/>
      <c r="GI72" s="825"/>
      <c r="GJ72" s="825"/>
      <c r="GK72" s="825"/>
      <c r="GL72" s="825"/>
      <c r="GM72" s="825"/>
      <c r="GN72" s="825"/>
      <c r="GO72" s="825"/>
    </row>
    <row r="73" spans="1:197" ht="17.25">
      <c r="B73" s="29" t="s">
        <v>15856</v>
      </c>
      <c r="F73" s="1063">
        <v>46</v>
      </c>
      <c r="G73" s="801" t="s">
        <v>15734</v>
      </c>
      <c r="AZ73" s="802" t="s">
        <v>5974</v>
      </c>
      <c r="DC73"/>
      <c r="DD73" s="825">
        <v>24</v>
      </c>
      <c r="DE73" s="825"/>
      <c r="DF73" s="825"/>
      <c r="DG73" s="825" t="s">
        <v>14723</v>
      </c>
      <c r="DH73" s="825" t="s">
        <v>14724</v>
      </c>
      <c r="DI73" s="825"/>
      <c r="DJ73" s="825"/>
      <c r="DK73" s="825"/>
      <c r="DL73" s="825" t="s">
        <v>14725</v>
      </c>
      <c r="DM73" s="825" t="s">
        <v>14726</v>
      </c>
      <c r="DN73" s="825"/>
      <c r="DO73" s="825"/>
      <c r="DP73" s="825"/>
      <c r="DQ73" s="825" t="s">
        <v>14727</v>
      </c>
      <c r="DR73" s="825" t="s">
        <v>14728</v>
      </c>
      <c r="DS73" s="825"/>
      <c r="DT73" s="825"/>
      <c r="DU73" s="825"/>
      <c r="DV73" s="825"/>
      <c r="DW73" s="825"/>
      <c r="DX73" s="825"/>
      <c r="DY73" s="825"/>
      <c r="DZ73" s="825"/>
      <c r="EA73" s="825"/>
      <c r="EB73" s="825"/>
      <c r="EC73" s="825"/>
      <c r="ED73" s="825"/>
      <c r="EE73" s="825"/>
      <c r="EF73" s="825"/>
      <c r="EG73" s="825"/>
      <c r="EH73" s="825"/>
      <c r="EI73" s="825"/>
      <c r="EJ73" s="825"/>
      <c r="EK73" s="825"/>
      <c r="EL73" s="825"/>
      <c r="EM73" s="825"/>
      <c r="EN73" s="825"/>
      <c r="EO73" s="825"/>
      <c r="EP73" s="825"/>
      <c r="EQ73" s="825"/>
      <c r="ER73" s="825"/>
      <c r="ES73" s="825"/>
      <c r="ET73" s="825"/>
      <c r="EU73" s="825"/>
      <c r="EV73" s="825"/>
      <c r="EW73" s="825"/>
      <c r="EX73" s="825"/>
      <c r="EY73" s="825"/>
      <c r="EZ73" s="825"/>
      <c r="FA73" s="825"/>
      <c r="FB73" s="825"/>
      <c r="FC73" s="825"/>
      <c r="FD73" s="825"/>
      <c r="FE73" s="825"/>
      <c r="FF73" s="825"/>
      <c r="FG73" s="825"/>
      <c r="FH73" s="825"/>
      <c r="FI73" s="825"/>
      <c r="FJ73" s="825"/>
      <c r="FK73" s="825"/>
      <c r="FL73" s="825"/>
      <c r="FM73" s="825"/>
      <c r="FN73" s="825"/>
      <c r="FO73" s="825"/>
      <c r="FP73" s="825"/>
      <c r="FQ73" s="825"/>
      <c r="FR73" s="825"/>
      <c r="FS73" s="825"/>
      <c r="FT73" s="825"/>
      <c r="FU73" s="825"/>
      <c r="FV73" s="825"/>
      <c r="FW73" s="825"/>
      <c r="FX73" s="825" t="s">
        <v>14729</v>
      </c>
      <c r="FY73" s="825"/>
      <c r="FZ73" s="825"/>
      <c r="GA73" s="825"/>
      <c r="GB73" s="825"/>
      <c r="GC73" s="825"/>
      <c r="GD73" s="825"/>
      <c r="GE73" s="825"/>
      <c r="GF73" s="825"/>
      <c r="GG73" s="825"/>
      <c r="GH73" s="825"/>
      <c r="GI73" s="825"/>
      <c r="GJ73" s="825"/>
      <c r="GK73" s="825"/>
      <c r="GL73" s="825"/>
      <c r="GM73" s="825"/>
      <c r="GN73" s="825"/>
      <c r="GO73" s="825"/>
    </row>
    <row r="74" spans="1:197" ht="17.25">
      <c r="B74" s="29" t="s">
        <v>15857</v>
      </c>
      <c r="F74" s="1063">
        <v>47</v>
      </c>
      <c r="G74" s="801" t="s">
        <v>15735</v>
      </c>
      <c r="AZ74" s="802" t="s">
        <v>6080</v>
      </c>
      <c r="DC74"/>
      <c r="DD74" s="825">
        <v>25</v>
      </c>
      <c r="DE74" s="825"/>
      <c r="DF74" s="825"/>
      <c r="DG74" s="825" t="s">
        <v>14730</v>
      </c>
      <c r="DH74" s="825" t="s">
        <v>14731</v>
      </c>
      <c r="DI74" s="825"/>
      <c r="DJ74" s="825"/>
      <c r="DK74" s="825"/>
      <c r="DL74" s="825" t="s">
        <v>14732</v>
      </c>
      <c r="DM74" s="825" t="s">
        <v>14733</v>
      </c>
      <c r="DN74" s="825"/>
      <c r="DO74" s="825"/>
      <c r="DP74" s="825"/>
      <c r="DQ74" s="825" t="s">
        <v>14734</v>
      </c>
      <c r="DR74" s="825" t="s">
        <v>14735</v>
      </c>
      <c r="DS74" s="825"/>
      <c r="DT74" s="825"/>
      <c r="DU74" s="825"/>
      <c r="DV74" s="825"/>
      <c r="DW74" s="825"/>
      <c r="DX74" s="825"/>
      <c r="DY74" s="825"/>
      <c r="DZ74" s="825"/>
      <c r="EA74" s="825"/>
      <c r="EB74" s="825"/>
      <c r="EC74" s="825"/>
      <c r="ED74" s="825"/>
      <c r="EE74" s="825"/>
      <c r="EF74" s="825"/>
      <c r="EG74" s="825"/>
      <c r="EH74" s="825"/>
      <c r="EI74" s="825"/>
      <c r="EJ74" s="825"/>
      <c r="EK74" s="825"/>
      <c r="EL74" s="825"/>
      <c r="EM74" s="825"/>
      <c r="EN74" s="825"/>
      <c r="EO74" s="825"/>
      <c r="EP74" s="825"/>
      <c r="EQ74" s="825"/>
      <c r="ER74" s="825"/>
      <c r="ES74" s="825"/>
      <c r="ET74" s="825"/>
      <c r="EU74" s="825"/>
      <c r="EV74" s="825"/>
      <c r="EW74" s="825"/>
      <c r="EX74" s="825"/>
      <c r="EY74" s="825"/>
      <c r="EZ74" s="825"/>
      <c r="FA74" s="825"/>
      <c r="FB74" s="825"/>
      <c r="FC74" s="825"/>
      <c r="FD74" s="825"/>
      <c r="FE74" s="825"/>
      <c r="FF74" s="825"/>
      <c r="FG74" s="825"/>
      <c r="FH74" s="825"/>
      <c r="FI74" s="825"/>
      <c r="FJ74" s="825"/>
      <c r="FK74" s="825"/>
      <c r="FL74" s="825"/>
      <c r="FM74" s="825"/>
      <c r="FN74" s="825"/>
      <c r="FO74" s="825"/>
      <c r="FP74" s="825"/>
      <c r="FQ74" s="825"/>
      <c r="FR74" s="825"/>
      <c r="FS74" s="825"/>
      <c r="FT74" s="825"/>
      <c r="FU74" s="825"/>
      <c r="FV74" s="825"/>
      <c r="FW74" s="825"/>
      <c r="FX74" s="825"/>
      <c r="FY74" s="825"/>
      <c r="FZ74" s="825"/>
      <c r="GA74" s="825"/>
      <c r="GB74" s="825"/>
      <c r="GC74" s="825"/>
      <c r="GD74" s="825"/>
      <c r="GE74" s="825"/>
      <c r="GF74" s="825"/>
      <c r="GG74" s="825"/>
      <c r="GH74" s="825"/>
      <c r="GI74" s="825"/>
      <c r="GJ74" s="825"/>
      <c r="GK74" s="825"/>
      <c r="GL74" s="825"/>
      <c r="GM74" s="825"/>
      <c r="GN74" s="825"/>
      <c r="GO74" s="825"/>
    </row>
    <row r="75" spans="1:197" ht="17.25">
      <c r="B75" s="29" t="s">
        <v>15858</v>
      </c>
      <c r="F75" s="1063">
        <v>48</v>
      </c>
      <c r="G75" s="801" t="s">
        <v>15736</v>
      </c>
      <c r="AZ75" s="802" t="s">
        <v>6063</v>
      </c>
      <c r="DC75"/>
      <c r="DD75" s="825">
        <v>26</v>
      </c>
      <c r="DE75" s="825"/>
      <c r="DF75" s="825"/>
      <c r="DG75" s="825" t="s">
        <v>14736</v>
      </c>
      <c r="DH75" s="825" t="s">
        <v>14737</v>
      </c>
      <c r="DI75" s="825"/>
      <c r="DJ75" s="825"/>
      <c r="DK75" s="825"/>
      <c r="DL75" s="825" t="s">
        <v>14738</v>
      </c>
      <c r="DM75" s="825" t="s">
        <v>14739</v>
      </c>
      <c r="DN75" s="825"/>
      <c r="DO75" s="825"/>
      <c r="DP75" s="825"/>
      <c r="DQ75" s="825" t="s">
        <v>14740</v>
      </c>
      <c r="DR75" s="825" t="s">
        <v>14741</v>
      </c>
      <c r="DS75" s="825"/>
      <c r="DT75" s="825"/>
      <c r="DU75" s="825"/>
      <c r="DV75" s="825"/>
      <c r="DW75" s="825"/>
      <c r="DX75" s="825"/>
      <c r="DY75" s="825"/>
      <c r="DZ75" s="825"/>
      <c r="EA75" s="825"/>
      <c r="EB75" s="825"/>
      <c r="EC75" s="825"/>
      <c r="ED75" s="825"/>
      <c r="EE75" s="825"/>
      <c r="EF75" s="825"/>
      <c r="EG75" s="825"/>
      <c r="EH75" s="825"/>
      <c r="EI75" s="825"/>
      <c r="EJ75" s="825"/>
      <c r="EK75" s="825"/>
      <c r="EL75" s="825"/>
      <c r="EM75" s="825"/>
      <c r="EN75" s="825"/>
      <c r="EO75" s="825"/>
      <c r="EP75" s="825"/>
      <c r="EQ75" s="825"/>
      <c r="ER75" s="825"/>
      <c r="ES75" s="825"/>
      <c r="ET75" s="825"/>
      <c r="EU75" s="825"/>
      <c r="EV75" s="825"/>
      <c r="EW75" s="825"/>
      <c r="EX75" s="825"/>
      <c r="EY75" s="825"/>
      <c r="EZ75" s="825"/>
      <c r="FA75" s="825"/>
      <c r="FB75" s="825"/>
      <c r="FC75" s="825"/>
      <c r="FD75" s="825"/>
      <c r="FE75" s="825"/>
      <c r="FF75" s="825"/>
      <c r="FG75" s="825"/>
      <c r="FH75" s="825"/>
      <c r="FI75" s="825"/>
      <c r="FJ75" s="825"/>
      <c r="FK75" s="825"/>
      <c r="FL75" s="825"/>
      <c r="FM75" s="825"/>
      <c r="FN75" s="825"/>
      <c r="FO75" s="825"/>
      <c r="FP75" s="825"/>
      <c r="FQ75" s="825"/>
      <c r="FR75" s="825"/>
      <c r="FS75" s="825"/>
      <c r="FT75" s="825"/>
      <c r="FU75" s="825"/>
      <c r="FV75" s="825"/>
      <c r="FW75" s="825"/>
      <c r="FX75" s="825"/>
      <c r="FY75" s="825"/>
      <c r="FZ75" s="825"/>
      <c r="GA75" s="825"/>
      <c r="GB75" s="825"/>
      <c r="GC75" s="825"/>
      <c r="GD75" s="825"/>
      <c r="GE75" s="825"/>
      <c r="GF75" s="825"/>
      <c r="GG75" s="825"/>
      <c r="GH75" s="825"/>
      <c r="GI75" s="825"/>
      <c r="GJ75" s="825"/>
      <c r="GK75" s="825"/>
      <c r="GL75" s="825"/>
      <c r="GM75" s="825"/>
      <c r="GN75" s="825"/>
      <c r="GO75" s="825"/>
    </row>
    <row r="76" spans="1:197" ht="17.25">
      <c r="B76" s="29" t="s">
        <v>15859</v>
      </c>
      <c r="F76" s="1063">
        <v>49</v>
      </c>
      <c r="G76" s="801" t="s">
        <v>15737</v>
      </c>
      <c r="AZ76" s="802" t="s">
        <v>6072</v>
      </c>
      <c r="DC76"/>
      <c r="DD76" s="825">
        <v>27</v>
      </c>
      <c r="DE76" s="825"/>
      <c r="DF76" s="825"/>
      <c r="DG76" s="825" t="s">
        <v>14742</v>
      </c>
      <c r="DH76" s="825" t="s">
        <v>14743</v>
      </c>
      <c r="DI76" s="825"/>
      <c r="DJ76" s="825"/>
      <c r="DK76" s="825"/>
      <c r="DL76" s="825" t="s">
        <v>14744</v>
      </c>
      <c r="DM76" s="825" t="s">
        <v>14745</v>
      </c>
      <c r="DN76" s="825"/>
      <c r="DO76" s="825"/>
      <c r="DP76" s="825"/>
      <c r="DQ76" s="825" t="s">
        <v>14746</v>
      </c>
      <c r="DR76" s="825" t="s">
        <v>14642</v>
      </c>
      <c r="DS76" s="825"/>
      <c r="DT76" s="825"/>
      <c r="DU76" s="825"/>
      <c r="DV76" s="825"/>
      <c r="DW76" s="825"/>
      <c r="DX76" s="825"/>
      <c r="DY76" s="825"/>
      <c r="DZ76" s="825"/>
      <c r="EA76" s="825"/>
      <c r="EB76" s="825"/>
      <c r="EC76" s="825"/>
      <c r="ED76" s="825"/>
      <c r="EE76" s="825"/>
      <c r="EF76" s="825"/>
      <c r="EG76" s="825"/>
      <c r="EH76" s="825"/>
      <c r="EI76" s="825"/>
      <c r="EJ76" s="825"/>
      <c r="EK76" s="825"/>
      <c r="EL76" s="825"/>
      <c r="EM76" s="825"/>
      <c r="EN76" s="825"/>
      <c r="EO76" s="825"/>
      <c r="EP76" s="825"/>
      <c r="EQ76" s="825"/>
      <c r="ER76" s="825"/>
      <c r="ES76" s="825"/>
      <c r="ET76" s="825"/>
      <c r="EU76" s="825"/>
      <c r="EV76" s="825"/>
      <c r="EW76" s="825"/>
      <c r="EX76" s="825"/>
      <c r="EY76" s="825"/>
      <c r="EZ76" s="825"/>
      <c r="FA76" s="825"/>
      <c r="FB76" s="825"/>
      <c r="FC76" s="825"/>
      <c r="FD76" s="825"/>
      <c r="FE76" s="825"/>
      <c r="FF76" s="825"/>
      <c r="FG76" s="825"/>
      <c r="FH76" s="825"/>
      <c r="FI76" s="825"/>
      <c r="FJ76" s="825"/>
      <c r="FK76" s="825"/>
      <c r="FL76" s="825"/>
      <c r="FM76" s="825"/>
      <c r="FN76" s="825"/>
      <c r="FO76" s="825"/>
      <c r="FP76" s="825"/>
      <c r="FQ76" s="825"/>
      <c r="FR76" s="825"/>
      <c r="FS76" s="825"/>
      <c r="FT76" s="825"/>
      <c r="FU76" s="825"/>
      <c r="FV76" s="825"/>
      <c r="FW76" s="825"/>
      <c r="FX76" s="825"/>
      <c r="FY76" s="825"/>
      <c r="FZ76" s="825"/>
      <c r="GA76" s="825"/>
      <c r="GB76" s="825"/>
      <c r="GC76" s="825"/>
      <c r="GD76" s="825"/>
      <c r="GE76" s="825"/>
      <c r="GF76" s="825"/>
      <c r="GG76" s="825"/>
      <c r="GH76" s="825"/>
      <c r="GI76" s="825"/>
      <c r="GJ76" s="825"/>
      <c r="GK76" s="825"/>
      <c r="GL76" s="825"/>
      <c r="GM76" s="825"/>
      <c r="GN76" s="825"/>
      <c r="GO76" s="825"/>
    </row>
    <row r="77" spans="1:197" ht="17.25">
      <c r="B77" s="29" t="s">
        <v>15860</v>
      </c>
      <c r="F77" s="1063">
        <v>50</v>
      </c>
      <c r="G77" s="801" t="s">
        <v>15738</v>
      </c>
      <c r="AZ77" s="802" t="s">
        <v>6170</v>
      </c>
      <c r="DC77"/>
      <c r="DD77" s="825">
        <v>28</v>
      </c>
      <c r="DE77" s="825"/>
      <c r="DF77" s="825"/>
      <c r="DG77" s="825" t="s">
        <v>14747</v>
      </c>
      <c r="DH77" s="825" t="s">
        <v>14748</v>
      </c>
      <c r="DI77" s="825"/>
      <c r="DJ77" s="825"/>
      <c r="DK77" s="825"/>
      <c r="DL77" s="825" t="s">
        <v>14749</v>
      </c>
      <c r="DM77" s="825" t="s">
        <v>14750</v>
      </c>
      <c r="DN77" s="825"/>
      <c r="DO77" s="825"/>
      <c r="DP77" s="825"/>
      <c r="DQ77" s="825" t="s">
        <v>14751</v>
      </c>
      <c r="DR77" s="825" t="s">
        <v>14752</v>
      </c>
      <c r="DS77" s="825"/>
      <c r="DT77" s="825"/>
      <c r="DU77" s="825"/>
      <c r="DV77" s="825"/>
      <c r="DW77" s="825"/>
      <c r="DX77" s="825"/>
      <c r="DY77" s="825"/>
      <c r="DZ77" s="825"/>
      <c r="EA77" s="825"/>
      <c r="EB77" s="825"/>
      <c r="EC77" s="825"/>
      <c r="ED77" s="825"/>
      <c r="EE77" s="825"/>
      <c r="EF77" s="825"/>
      <c r="EG77" s="825"/>
      <c r="EH77" s="825"/>
      <c r="EI77" s="825"/>
      <c r="EJ77" s="825"/>
      <c r="EK77" s="825"/>
      <c r="EL77" s="825"/>
      <c r="EM77" s="825"/>
      <c r="EN77" s="825"/>
      <c r="EO77" s="825"/>
      <c r="EP77" s="825"/>
      <c r="EQ77" s="825"/>
      <c r="ER77" s="825"/>
      <c r="ES77" s="825"/>
      <c r="ET77" s="825"/>
      <c r="EU77" s="825"/>
      <c r="EV77" s="825"/>
      <c r="EW77" s="825"/>
      <c r="EX77" s="825"/>
      <c r="EY77" s="825"/>
      <c r="EZ77" s="825"/>
      <c r="FA77" s="825"/>
      <c r="FB77" s="825"/>
      <c r="FC77" s="825"/>
      <c r="FD77" s="825"/>
      <c r="FE77" s="825"/>
      <c r="FF77" s="825"/>
      <c r="FG77" s="825"/>
      <c r="FH77" s="825"/>
      <c r="FI77" s="825"/>
      <c r="FJ77" s="825"/>
      <c r="FK77" s="825"/>
      <c r="FL77" s="825"/>
      <c r="FM77" s="825"/>
      <c r="FN77" s="825"/>
      <c r="FO77" s="825"/>
      <c r="FP77" s="825"/>
      <c r="FQ77" s="825"/>
      <c r="FR77" s="825"/>
      <c r="FS77" s="825"/>
      <c r="FT77" s="825"/>
      <c r="FU77" s="825"/>
      <c r="FV77" s="825"/>
      <c r="FW77" s="825"/>
      <c r="FX77" s="825"/>
      <c r="FY77" s="825"/>
      <c r="FZ77" s="825"/>
      <c r="GA77" s="825"/>
      <c r="GB77" s="825"/>
      <c r="GC77" s="825"/>
      <c r="GD77" s="825"/>
      <c r="GE77" s="825"/>
      <c r="GF77" s="825"/>
      <c r="GG77" s="825"/>
      <c r="GH77" s="825"/>
      <c r="GI77" s="825"/>
      <c r="GJ77" s="825"/>
      <c r="GK77" s="825"/>
      <c r="GL77" s="825"/>
      <c r="GM77" s="825"/>
      <c r="GN77" s="825"/>
      <c r="GO77" s="825"/>
    </row>
    <row r="78" spans="1:197" ht="17.25">
      <c r="B78" s="29" t="s">
        <v>15861</v>
      </c>
      <c r="F78" s="1063">
        <v>51</v>
      </c>
      <c r="G78" s="801" t="s">
        <v>15740</v>
      </c>
      <c r="AZ78" s="802" t="s">
        <v>6079</v>
      </c>
      <c r="DC78"/>
      <c r="DD78" s="825">
        <v>29</v>
      </c>
      <c r="DE78" s="825"/>
      <c r="DF78" s="825"/>
      <c r="DG78" s="825" t="s">
        <v>14753</v>
      </c>
      <c r="DH78" s="825" t="s">
        <v>14754</v>
      </c>
      <c r="DI78" s="825"/>
      <c r="DJ78" s="825"/>
      <c r="DK78" s="825"/>
      <c r="DL78" s="825" t="s">
        <v>14755</v>
      </c>
      <c r="DM78" s="825" t="s">
        <v>14756</v>
      </c>
      <c r="DN78" s="825"/>
      <c r="DO78" s="825"/>
      <c r="DP78" s="825"/>
      <c r="DQ78" s="825" t="s">
        <v>14757</v>
      </c>
      <c r="DR78" s="825" t="s">
        <v>14758</v>
      </c>
      <c r="DS78" s="825"/>
      <c r="DT78" s="825"/>
      <c r="DU78" s="825"/>
      <c r="DV78" s="825"/>
      <c r="DW78" s="825"/>
      <c r="DX78" s="825"/>
      <c r="DY78" s="825"/>
      <c r="DZ78" s="825"/>
      <c r="EA78" s="825"/>
      <c r="EB78" s="825"/>
      <c r="EC78" s="825"/>
      <c r="ED78" s="825"/>
      <c r="EE78" s="825"/>
      <c r="EF78" s="825"/>
      <c r="EG78" s="825"/>
      <c r="EH78" s="825"/>
      <c r="EI78" s="825"/>
      <c r="EJ78" s="825"/>
      <c r="EK78" s="825"/>
      <c r="EL78" s="825"/>
      <c r="EM78" s="825"/>
      <c r="EN78" s="825"/>
      <c r="EO78" s="825"/>
      <c r="EP78" s="825"/>
      <c r="EQ78" s="825"/>
      <c r="ER78" s="825"/>
      <c r="ES78" s="825"/>
      <c r="ET78" s="825"/>
      <c r="EU78" s="825"/>
      <c r="EV78" s="825"/>
      <c r="EW78" s="825"/>
      <c r="EX78" s="825"/>
      <c r="EY78" s="825"/>
      <c r="EZ78" s="825"/>
      <c r="FA78" s="825"/>
      <c r="FB78" s="825"/>
      <c r="FC78" s="825"/>
      <c r="FD78" s="825"/>
      <c r="FE78" s="825"/>
      <c r="FF78" s="825"/>
      <c r="FG78" s="825"/>
      <c r="FH78" s="825"/>
      <c r="FI78" s="825"/>
      <c r="FJ78" s="825"/>
      <c r="FK78" s="825"/>
      <c r="FL78" s="825"/>
      <c r="FM78" s="825"/>
      <c r="FN78" s="825"/>
      <c r="FO78" s="825"/>
      <c r="FP78" s="825"/>
      <c r="FQ78" s="825"/>
      <c r="FR78" s="825"/>
      <c r="FS78" s="825"/>
      <c r="FT78" s="825"/>
      <c r="FU78" s="825"/>
      <c r="FV78" s="825"/>
      <c r="FW78" s="825"/>
      <c r="FX78" s="825"/>
      <c r="FY78" s="825"/>
      <c r="FZ78" s="825"/>
      <c r="GA78" s="825"/>
      <c r="GB78" s="825"/>
      <c r="GC78" s="825"/>
      <c r="GD78" s="825"/>
      <c r="GE78" s="825"/>
      <c r="GF78" s="825"/>
      <c r="GG78" s="825"/>
      <c r="GH78" s="825"/>
      <c r="GI78" s="825"/>
      <c r="GJ78" s="825"/>
      <c r="GK78" s="825"/>
      <c r="GL78" s="825"/>
      <c r="GM78" s="825"/>
      <c r="GN78" s="825"/>
      <c r="GO78" s="825"/>
    </row>
    <row r="79" spans="1:197" ht="17.25">
      <c r="B79" s="29" t="s">
        <v>15852</v>
      </c>
      <c r="F79" s="1063">
        <v>52</v>
      </c>
      <c r="G79" s="801" t="s">
        <v>15741</v>
      </c>
      <c r="AZ79" s="802" t="s">
        <v>6214</v>
      </c>
      <c r="DC79"/>
      <c r="DD79" s="825">
        <v>30</v>
      </c>
      <c r="DE79" s="825"/>
      <c r="DF79" s="825"/>
      <c r="DG79" s="825" t="s">
        <v>14759</v>
      </c>
      <c r="DH79" s="825" t="s">
        <v>14760</v>
      </c>
      <c r="DI79" s="825"/>
      <c r="DJ79" s="825"/>
      <c r="DK79" s="825"/>
      <c r="DL79" s="825" t="s">
        <v>14761</v>
      </c>
      <c r="DM79" s="825" t="s">
        <v>14762</v>
      </c>
      <c r="DN79" s="825"/>
      <c r="DO79" s="825"/>
      <c r="DP79" s="825"/>
      <c r="DQ79" s="825" t="s">
        <v>14763</v>
      </c>
      <c r="DR79" s="825" t="s">
        <v>14764</v>
      </c>
      <c r="DS79" s="825"/>
      <c r="DT79" s="825"/>
      <c r="DU79" s="825"/>
      <c r="DV79" s="825"/>
      <c r="DW79" s="825"/>
      <c r="DX79" s="825"/>
      <c r="DY79" s="825"/>
      <c r="DZ79" s="825"/>
      <c r="EA79" s="825"/>
      <c r="EB79" s="825"/>
      <c r="EC79" s="825"/>
      <c r="ED79" s="825"/>
      <c r="EE79" s="825"/>
      <c r="EF79" s="825"/>
      <c r="EG79" s="825"/>
      <c r="EH79" s="825"/>
      <c r="EI79" s="825"/>
      <c r="EJ79" s="825"/>
      <c r="EK79" s="825"/>
      <c r="EL79" s="825"/>
      <c r="EM79" s="825"/>
      <c r="EN79" s="825"/>
      <c r="EO79" s="825"/>
      <c r="EP79" s="825"/>
      <c r="EQ79" s="825"/>
      <c r="ER79" s="825"/>
      <c r="ES79" s="825"/>
      <c r="ET79" s="825"/>
      <c r="EU79" s="825"/>
      <c r="EV79" s="825"/>
      <c r="EW79" s="825"/>
      <c r="EX79" s="825"/>
      <c r="EY79" s="825"/>
      <c r="EZ79" s="825"/>
      <c r="FA79" s="825"/>
      <c r="FB79" s="825"/>
      <c r="FC79" s="825"/>
      <c r="FD79" s="825"/>
      <c r="FE79" s="825"/>
      <c r="FF79" s="825"/>
      <c r="FG79" s="825"/>
      <c r="FH79" s="825"/>
      <c r="FI79" s="825"/>
      <c r="FJ79" s="825"/>
      <c r="FK79" s="825"/>
      <c r="FL79" s="825"/>
      <c r="FM79" s="825"/>
      <c r="FN79" s="825"/>
      <c r="FO79" s="825"/>
      <c r="FP79" s="825"/>
      <c r="FQ79" s="825"/>
      <c r="FR79" s="825"/>
      <c r="FS79" s="825"/>
      <c r="FT79" s="825"/>
      <c r="FU79" s="825"/>
      <c r="FV79" s="825"/>
      <c r="FW79" s="825"/>
      <c r="FX79" s="825"/>
      <c r="FY79" s="825"/>
      <c r="FZ79" s="825"/>
      <c r="GA79" s="825"/>
      <c r="GB79" s="825"/>
      <c r="GC79" s="825"/>
      <c r="GD79" s="825"/>
      <c r="GE79" s="825"/>
      <c r="GF79" s="825"/>
      <c r="GG79" s="825"/>
      <c r="GH79" s="825"/>
      <c r="GI79" s="825"/>
      <c r="GJ79" s="825"/>
      <c r="GK79" s="825"/>
      <c r="GL79" s="825"/>
      <c r="GM79" s="825"/>
      <c r="GN79" s="825"/>
      <c r="GO79" s="825"/>
    </row>
    <row r="80" spans="1:197" ht="17.25">
      <c r="B80" s="29" t="s">
        <v>15862</v>
      </c>
      <c r="F80" s="1063">
        <v>53</v>
      </c>
      <c r="G80" s="801" t="s">
        <v>15742</v>
      </c>
      <c r="AZ80" s="802" t="s">
        <v>5985</v>
      </c>
      <c r="DC80"/>
      <c r="DD80" s="825">
        <v>31</v>
      </c>
      <c r="DE80" s="825"/>
      <c r="DF80" s="825"/>
      <c r="DG80" s="825" t="s">
        <v>14765</v>
      </c>
      <c r="DH80" s="825"/>
      <c r="DI80" s="825"/>
      <c r="DJ80" s="825"/>
      <c r="DK80" s="825"/>
      <c r="DL80" s="825" t="s">
        <v>14766</v>
      </c>
      <c r="DM80" s="825" t="s">
        <v>14767</v>
      </c>
      <c r="DN80" s="825"/>
      <c r="DO80" s="825"/>
      <c r="DP80" s="825"/>
      <c r="DQ80" s="825" t="s">
        <v>14768</v>
      </c>
      <c r="DR80" s="825" t="s">
        <v>14769</v>
      </c>
      <c r="DS80" s="825"/>
      <c r="DT80" s="825"/>
      <c r="DU80" s="825"/>
      <c r="DV80" s="825"/>
      <c r="DW80" s="825"/>
      <c r="DX80" s="825"/>
      <c r="DY80" s="825"/>
      <c r="DZ80" s="825"/>
      <c r="EA80" s="825"/>
      <c r="EB80" s="825"/>
      <c r="EC80" s="825"/>
      <c r="ED80" s="825"/>
      <c r="EE80" s="825"/>
      <c r="EF80" s="825"/>
      <c r="EG80" s="825"/>
      <c r="EH80" s="825"/>
      <c r="EI80" s="825"/>
      <c r="EJ80" s="825"/>
      <c r="EK80" s="825"/>
      <c r="EL80" s="825"/>
      <c r="EM80" s="825"/>
      <c r="EN80" s="825"/>
      <c r="EO80" s="825"/>
      <c r="EP80" s="825"/>
      <c r="EQ80" s="825"/>
      <c r="ER80" s="825"/>
      <c r="ES80" s="825"/>
      <c r="ET80" s="825"/>
      <c r="EU80" s="825"/>
      <c r="EV80" s="825"/>
      <c r="EW80" s="825"/>
      <c r="EX80" s="825"/>
      <c r="EY80" s="825"/>
      <c r="EZ80" s="825"/>
      <c r="FA80" s="825"/>
      <c r="FB80" s="825"/>
      <c r="FC80" s="825"/>
      <c r="FD80" s="825"/>
      <c r="FE80" s="825"/>
      <c r="FF80" s="825"/>
      <c r="FG80" s="825"/>
      <c r="FH80" s="825"/>
      <c r="FI80" s="825"/>
      <c r="FJ80" s="825"/>
      <c r="FK80" s="825"/>
      <c r="FL80" s="825"/>
      <c r="FM80" s="825"/>
      <c r="FN80" s="825"/>
      <c r="FO80" s="825"/>
      <c r="FP80" s="825"/>
      <c r="FQ80" s="825"/>
      <c r="FR80" s="825"/>
      <c r="FS80" s="825"/>
      <c r="FT80" s="825"/>
      <c r="FU80" s="825"/>
      <c r="FV80" s="825"/>
      <c r="FW80" s="825"/>
      <c r="FX80" s="825"/>
      <c r="FY80" s="825"/>
      <c r="FZ80" s="825"/>
      <c r="GA80" s="825"/>
      <c r="GB80" s="825"/>
      <c r="GC80" s="825"/>
      <c r="GD80" s="825"/>
      <c r="GE80" s="825"/>
      <c r="GF80" s="825"/>
      <c r="GG80" s="825"/>
      <c r="GH80" s="825"/>
      <c r="GI80" s="825"/>
      <c r="GJ80" s="825"/>
      <c r="GK80" s="825"/>
      <c r="GL80" s="825"/>
      <c r="GM80" s="825"/>
      <c r="GN80" s="825"/>
      <c r="GO80" s="825"/>
    </row>
    <row r="81" spans="2:197" ht="17.25">
      <c r="B81" s="29" t="s">
        <v>15863</v>
      </c>
      <c r="F81" s="1063">
        <v>54</v>
      </c>
      <c r="G81" s="801" t="s">
        <v>15743</v>
      </c>
      <c r="AZ81" s="802" t="s">
        <v>6225</v>
      </c>
      <c r="DC81"/>
      <c r="DD81" s="825">
        <v>32</v>
      </c>
      <c r="DE81" s="825"/>
      <c r="DF81" s="825"/>
      <c r="DG81" s="825" t="s">
        <v>14770</v>
      </c>
      <c r="DH81" s="825"/>
      <c r="DI81" s="825"/>
      <c r="DJ81" s="825"/>
      <c r="DK81" s="825"/>
      <c r="DL81" s="825" t="s">
        <v>14771</v>
      </c>
      <c r="DM81" s="825" t="s">
        <v>14772</v>
      </c>
      <c r="DN81" s="825"/>
      <c r="DO81" s="825"/>
      <c r="DP81" s="825"/>
      <c r="DQ81" s="825" t="s">
        <v>14773</v>
      </c>
      <c r="DR81" s="825" t="s">
        <v>14774</v>
      </c>
      <c r="DS81" s="825"/>
      <c r="DT81" s="825"/>
      <c r="DU81" s="825"/>
      <c r="DV81" s="825"/>
      <c r="DW81" s="825"/>
      <c r="DX81" s="825"/>
      <c r="DY81" s="825"/>
      <c r="DZ81" s="825"/>
      <c r="EA81" s="825"/>
      <c r="EB81" s="825"/>
      <c r="EC81" s="825"/>
      <c r="ED81" s="825"/>
      <c r="EE81" s="825"/>
      <c r="EF81" s="825"/>
      <c r="EG81" s="825"/>
      <c r="EH81" s="825"/>
      <c r="EI81" s="825"/>
      <c r="EJ81" s="825"/>
      <c r="EK81" s="825"/>
      <c r="EL81" s="825"/>
      <c r="EM81" s="825"/>
      <c r="EN81" s="825"/>
      <c r="EO81" s="825"/>
      <c r="EP81" s="825"/>
      <c r="EQ81" s="825"/>
      <c r="ER81" s="825"/>
      <c r="ES81" s="825"/>
      <c r="ET81" s="825"/>
      <c r="EU81" s="825"/>
      <c r="EV81" s="825"/>
      <c r="EW81" s="825"/>
      <c r="EX81" s="825"/>
      <c r="EY81" s="825"/>
      <c r="EZ81" s="825"/>
      <c r="FA81" s="825"/>
      <c r="FB81" s="825"/>
      <c r="FC81" s="825"/>
      <c r="FD81" s="825"/>
      <c r="FE81" s="825"/>
      <c r="FF81" s="825"/>
      <c r="FG81" s="825"/>
      <c r="FH81" s="825"/>
      <c r="FI81" s="825"/>
      <c r="FJ81" s="825"/>
      <c r="FK81" s="825"/>
      <c r="FL81" s="825"/>
      <c r="FM81" s="825"/>
      <c r="FN81" s="825"/>
      <c r="FO81" s="825"/>
      <c r="FP81" s="825"/>
      <c r="FQ81" s="825"/>
      <c r="FR81" s="825"/>
      <c r="FS81" s="825"/>
      <c r="FT81" s="825"/>
      <c r="FU81" s="825"/>
      <c r="FV81" s="825"/>
      <c r="FW81" s="825"/>
      <c r="FX81" s="825"/>
      <c r="FY81" s="825"/>
      <c r="FZ81" s="825"/>
      <c r="GA81" s="825"/>
      <c r="GB81" s="825"/>
      <c r="GC81" s="825"/>
      <c r="GD81" s="825"/>
      <c r="GE81" s="825"/>
      <c r="GF81" s="825"/>
      <c r="GG81" s="825"/>
      <c r="GH81" s="825"/>
      <c r="GI81" s="825"/>
      <c r="GJ81" s="825"/>
      <c r="GK81" s="825"/>
      <c r="GL81" s="825"/>
      <c r="GM81" s="825"/>
      <c r="GN81" s="825"/>
      <c r="GO81" s="825"/>
    </row>
    <row r="82" spans="2:197" ht="17.25">
      <c r="B82" s="645" t="s">
        <v>15853</v>
      </c>
      <c r="F82" s="1063">
        <v>55</v>
      </c>
      <c r="G82" s="801" t="s">
        <v>15744</v>
      </c>
      <c r="AZ82" s="802" t="s">
        <v>6011</v>
      </c>
      <c r="DC82"/>
      <c r="DD82" s="825">
        <v>33</v>
      </c>
      <c r="DE82" s="825"/>
      <c r="DF82" s="825"/>
      <c r="DG82" s="825" t="s">
        <v>14775</v>
      </c>
      <c r="DH82" s="825"/>
      <c r="DI82" s="825"/>
      <c r="DJ82" s="825"/>
      <c r="DK82" s="825"/>
      <c r="DL82" s="825" t="s">
        <v>14776</v>
      </c>
      <c r="DM82" s="825" t="s">
        <v>14777</v>
      </c>
      <c r="DN82" s="825"/>
      <c r="DO82" s="825"/>
      <c r="DP82" s="825"/>
      <c r="DQ82" s="825" t="s">
        <v>14778</v>
      </c>
      <c r="DR82" s="825" t="s">
        <v>14779</v>
      </c>
      <c r="DS82" s="825"/>
      <c r="DT82" s="825"/>
      <c r="DU82" s="825"/>
      <c r="DV82" s="825"/>
      <c r="DW82" s="825"/>
      <c r="DX82" s="825"/>
      <c r="DY82" s="825"/>
      <c r="DZ82" s="825"/>
      <c r="EA82" s="825"/>
      <c r="EB82" s="825"/>
      <c r="EC82" s="825"/>
      <c r="ED82" s="825"/>
      <c r="EE82" s="825"/>
      <c r="EF82" s="825"/>
      <c r="EG82" s="825"/>
      <c r="EH82" s="825"/>
      <c r="EI82" s="825"/>
      <c r="EJ82" s="825"/>
      <c r="EK82" s="825"/>
      <c r="EL82" s="825"/>
      <c r="EM82" s="825"/>
      <c r="EN82" s="825"/>
      <c r="EO82" s="825"/>
      <c r="EP82" s="825"/>
      <c r="EQ82" s="825"/>
      <c r="ER82" s="825"/>
      <c r="ES82" s="825"/>
      <c r="ET82" s="825"/>
      <c r="EU82" s="825"/>
      <c r="EV82" s="825"/>
      <c r="EW82" s="825"/>
      <c r="EX82" s="825"/>
      <c r="EY82" s="825"/>
      <c r="EZ82" s="825"/>
      <c r="FA82" s="825"/>
      <c r="FB82" s="825"/>
      <c r="FC82" s="825"/>
      <c r="FD82" s="825"/>
      <c r="FE82" s="825"/>
      <c r="FF82" s="825"/>
      <c r="FG82" s="825"/>
      <c r="FH82" s="825"/>
      <c r="FI82" s="825"/>
      <c r="FJ82" s="825"/>
      <c r="FK82" s="825"/>
      <c r="FL82" s="825"/>
      <c r="FM82" s="825"/>
      <c r="FN82" s="825"/>
      <c r="FO82" s="825"/>
      <c r="FP82" s="825"/>
      <c r="FQ82" s="825"/>
      <c r="FR82" s="825"/>
      <c r="FS82" s="825"/>
      <c r="FT82" s="825"/>
      <c r="FU82" s="825"/>
      <c r="FV82" s="825"/>
      <c r="FW82" s="825"/>
      <c r="FX82" s="825"/>
      <c r="FY82" s="825"/>
      <c r="FZ82" s="825"/>
      <c r="GA82" s="825"/>
      <c r="GB82" s="825"/>
      <c r="GC82" s="825"/>
      <c r="GD82" s="825"/>
      <c r="GE82" s="825"/>
      <c r="GF82" s="825"/>
      <c r="GG82" s="825"/>
      <c r="GH82" s="825"/>
      <c r="GI82" s="825"/>
      <c r="GJ82" s="825"/>
      <c r="GK82" s="825"/>
      <c r="GL82" s="825"/>
      <c r="GM82" s="825"/>
      <c r="GN82" s="825"/>
      <c r="GO82" s="825"/>
    </row>
    <row r="83" spans="2:197" ht="15">
      <c r="F83" s="1063">
        <v>56</v>
      </c>
      <c r="G83" s="801" t="s">
        <v>15745</v>
      </c>
      <c r="AZ83" s="802" t="s">
        <v>6053</v>
      </c>
      <c r="DC83"/>
      <c r="DD83" s="825">
        <v>34</v>
      </c>
      <c r="DE83" s="825"/>
      <c r="DF83" s="825"/>
      <c r="DG83" s="825" t="s">
        <v>14780</v>
      </c>
      <c r="DH83" s="825"/>
      <c r="DI83" s="825"/>
      <c r="DJ83" s="825"/>
      <c r="DK83" s="825"/>
      <c r="DL83" s="825" t="s">
        <v>14781</v>
      </c>
      <c r="DM83" s="825" t="s">
        <v>14782</v>
      </c>
      <c r="DN83" s="825"/>
      <c r="DO83" s="825"/>
      <c r="DP83" s="825"/>
      <c r="DQ83" s="825" t="s">
        <v>14783</v>
      </c>
      <c r="DR83" s="825" t="s">
        <v>14784</v>
      </c>
      <c r="DS83" s="825"/>
      <c r="DT83" s="825"/>
      <c r="DU83" s="825"/>
      <c r="DV83" s="825"/>
      <c r="DW83" s="825"/>
      <c r="DX83" s="825"/>
      <c r="DY83" s="825"/>
      <c r="DZ83" s="825"/>
      <c r="EA83" s="825"/>
      <c r="EB83" s="825"/>
      <c r="EC83" s="825"/>
      <c r="ED83" s="825"/>
      <c r="EE83" s="825"/>
      <c r="EF83" s="825"/>
      <c r="EG83" s="825"/>
      <c r="EH83" s="825"/>
      <c r="EI83" s="825"/>
      <c r="EJ83" s="825"/>
      <c r="EK83" s="825"/>
      <c r="EL83" s="825"/>
      <c r="EM83" s="825"/>
      <c r="EN83" s="825"/>
      <c r="EO83" s="825"/>
      <c r="EP83" s="825"/>
      <c r="EQ83" s="825"/>
      <c r="ER83" s="825"/>
      <c r="ES83" s="825"/>
      <c r="ET83" s="825"/>
      <c r="EU83" s="825"/>
      <c r="EV83" s="825"/>
      <c r="EW83" s="825"/>
      <c r="EX83" s="825"/>
      <c r="EY83" s="825"/>
      <c r="EZ83" s="825"/>
      <c r="FA83" s="825"/>
      <c r="FB83" s="825"/>
      <c r="FC83" s="825"/>
      <c r="FD83" s="825"/>
      <c r="FE83" s="825"/>
      <c r="FF83" s="825"/>
      <c r="FG83" s="825"/>
      <c r="FH83" s="825"/>
      <c r="FI83" s="825"/>
      <c r="FJ83" s="825"/>
      <c r="FK83" s="825"/>
      <c r="FL83" s="825"/>
      <c r="FM83" s="825"/>
      <c r="FN83" s="825"/>
      <c r="FO83" s="825"/>
      <c r="FP83" s="825"/>
      <c r="FQ83" s="825"/>
      <c r="FR83" s="825"/>
      <c r="FS83" s="825"/>
      <c r="FT83" s="825"/>
      <c r="FU83" s="825"/>
      <c r="FV83" s="825"/>
      <c r="FW83" s="825"/>
      <c r="FX83" s="825"/>
      <c r="FY83" s="825"/>
      <c r="FZ83" s="825"/>
      <c r="GA83" s="825"/>
      <c r="GB83" s="825"/>
      <c r="GC83" s="825"/>
      <c r="GD83" s="825"/>
      <c r="GE83" s="825"/>
      <c r="GF83" s="825"/>
      <c r="GG83" s="825"/>
      <c r="GH83" s="825"/>
      <c r="GI83" s="825"/>
      <c r="GJ83" s="825"/>
      <c r="GK83" s="825"/>
      <c r="GL83" s="825"/>
      <c r="GM83" s="825"/>
      <c r="GN83" s="825"/>
      <c r="GO83" s="825"/>
    </row>
    <row r="84" spans="2:197" ht="15">
      <c r="F84" s="1063">
        <v>57</v>
      </c>
      <c r="G84" s="801" t="s">
        <v>15746</v>
      </c>
      <c r="AZ84" s="802" t="s">
        <v>5984</v>
      </c>
      <c r="DC84"/>
      <c r="DD84" s="825">
        <v>35</v>
      </c>
      <c r="DE84" s="825"/>
      <c r="DF84" s="825"/>
      <c r="DG84" s="825" t="s">
        <v>14785</v>
      </c>
      <c r="DH84" s="825"/>
      <c r="DI84" s="825"/>
      <c r="DJ84" s="825"/>
      <c r="DK84" s="825"/>
      <c r="DL84" s="825" t="s">
        <v>14786</v>
      </c>
      <c r="DM84" s="825" t="s">
        <v>14787</v>
      </c>
      <c r="DN84" s="825"/>
      <c r="DO84" s="825"/>
      <c r="DP84" s="825"/>
      <c r="DQ84" s="825" t="s">
        <v>14788</v>
      </c>
      <c r="DR84" s="825" t="s">
        <v>14789</v>
      </c>
      <c r="DS84" s="825"/>
      <c r="DT84" s="825"/>
      <c r="DU84" s="825"/>
      <c r="DV84" s="825"/>
      <c r="DW84" s="825"/>
      <c r="DX84" s="825"/>
      <c r="DY84" s="825"/>
      <c r="DZ84" s="825"/>
      <c r="EA84" s="825"/>
      <c r="EB84" s="825"/>
      <c r="EC84" s="825"/>
      <c r="ED84" s="825"/>
      <c r="EE84" s="825"/>
      <c r="EF84" s="825"/>
      <c r="EG84" s="825"/>
      <c r="EH84" s="825"/>
      <c r="EI84" s="825"/>
      <c r="EJ84" s="825"/>
      <c r="EK84" s="825"/>
      <c r="EL84" s="825"/>
      <c r="EM84" s="825"/>
      <c r="EN84" s="825"/>
      <c r="EO84" s="825"/>
      <c r="EP84" s="825"/>
      <c r="EQ84" s="825"/>
      <c r="ER84" s="825"/>
      <c r="ES84" s="825"/>
      <c r="ET84" s="825"/>
      <c r="EU84" s="825"/>
      <c r="EV84" s="825"/>
      <c r="EW84" s="825"/>
      <c r="EX84" s="825"/>
      <c r="EY84" s="825"/>
      <c r="EZ84" s="825"/>
      <c r="FA84" s="825"/>
      <c r="FB84" s="825"/>
      <c r="FC84" s="825"/>
      <c r="FD84" s="825"/>
      <c r="FE84" s="825"/>
      <c r="FF84" s="825"/>
      <c r="FG84" s="825"/>
      <c r="FH84" s="825"/>
      <c r="FI84" s="825"/>
      <c r="FJ84" s="825"/>
      <c r="FK84" s="825"/>
      <c r="FL84" s="825"/>
      <c r="FM84" s="825"/>
      <c r="FN84" s="825"/>
      <c r="FO84" s="825"/>
      <c r="FP84" s="825"/>
      <c r="FQ84" s="825"/>
      <c r="FR84" s="825"/>
      <c r="FS84" s="825"/>
      <c r="FT84" s="825"/>
      <c r="FU84" s="825"/>
      <c r="FV84" s="825"/>
      <c r="FW84" s="825"/>
      <c r="FX84" s="825"/>
      <c r="FY84" s="825"/>
      <c r="FZ84" s="825"/>
      <c r="GA84" s="825"/>
      <c r="GB84" s="825"/>
      <c r="GC84" s="825"/>
      <c r="GD84" s="825"/>
      <c r="GE84" s="825"/>
      <c r="GF84" s="825"/>
      <c r="GG84" s="825"/>
      <c r="GH84" s="825"/>
      <c r="GI84" s="825"/>
      <c r="GJ84" s="825"/>
      <c r="GK84" s="825"/>
      <c r="GL84" s="825"/>
      <c r="GM84" s="825"/>
      <c r="GN84" s="825"/>
      <c r="GO84" s="825"/>
    </row>
    <row r="85" spans="2:197" ht="15">
      <c r="F85" s="1063">
        <v>58</v>
      </c>
      <c r="G85" s="801" t="s">
        <v>15747</v>
      </c>
      <c r="AZ85" s="802" t="s">
        <v>5988</v>
      </c>
      <c r="DC85"/>
      <c r="DD85" s="825">
        <v>36</v>
      </c>
      <c r="DE85" s="825"/>
      <c r="DF85" s="825"/>
      <c r="DG85" s="825" t="s">
        <v>14790</v>
      </c>
      <c r="DH85" s="825"/>
      <c r="DI85" s="825"/>
      <c r="DJ85" s="825"/>
      <c r="DK85" s="825"/>
      <c r="DL85" s="825" t="s">
        <v>14791</v>
      </c>
      <c r="DM85" s="825" t="s">
        <v>14792</v>
      </c>
      <c r="DN85" s="825"/>
      <c r="DO85" s="825"/>
      <c r="DP85" s="825"/>
      <c r="DQ85" s="825" t="s">
        <v>14793</v>
      </c>
      <c r="DR85" s="825" t="s">
        <v>14794</v>
      </c>
      <c r="DS85" s="825"/>
      <c r="DT85" s="825"/>
      <c r="DU85" s="825"/>
      <c r="DV85" s="825"/>
      <c r="DW85" s="825"/>
      <c r="DX85" s="825"/>
      <c r="DY85" s="825"/>
      <c r="DZ85" s="825"/>
      <c r="EA85" s="825"/>
      <c r="EB85" s="825"/>
      <c r="EC85" s="825"/>
      <c r="ED85" s="825"/>
      <c r="EE85" s="825"/>
      <c r="EF85" s="825"/>
      <c r="EG85" s="825"/>
      <c r="EH85" s="825"/>
      <c r="EI85" s="825"/>
      <c r="EJ85" s="825"/>
      <c r="EK85" s="825"/>
      <c r="EL85" s="825"/>
      <c r="EM85" s="825"/>
      <c r="EN85" s="825"/>
      <c r="EO85" s="825"/>
      <c r="EP85" s="825"/>
      <c r="EQ85" s="825"/>
      <c r="ER85" s="825"/>
      <c r="ES85" s="825"/>
      <c r="ET85" s="825"/>
      <c r="EU85" s="825"/>
      <c r="EV85" s="825"/>
      <c r="EW85" s="825"/>
      <c r="EX85" s="825"/>
      <c r="EY85" s="825"/>
      <c r="EZ85" s="825"/>
      <c r="FA85" s="825"/>
      <c r="FB85" s="825"/>
      <c r="FC85" s="825"/>
      <c r="FD85" s="825"/>
      <c r="FE85" s="825"/>
      <c r="FF85" s="825"/>
      <c r="FG85" s="825"/>
      <c r="FH85" s="825"/>
      <c r="FI85" s="825"/>
      <c r="FJ85" s="825"/>
      <c r="FK85" s="825"/>
      <c r="FL85" s="825"/>
      <c r="FM85" s="825"/>
      <c r="FN85" s="825"/>
      <c r="FO85" s="825"/>
      <c r="FP85" s="825"/>
      <c r="FQ85" s="825"/>
      <c r="FR85" s="825"/>
      <c r="FS85" s="825"/>
      <c r="FT85" s="825"/>
      <c r="FU85" s="825"/>
      <c r="FV85" s="825"/>
      <c r="FW85" s="825"/>
      <c r="FX85" s="825"/>
      <c r="FY85" s="825"/>
      <c r="FZ85" s="825"/>
      <c r="GA85" s="825"/>
      <c r="GB85" s="825"/>
      <c r="GC85" s="825"/>
      <c r="GD85" s="825"/>
      <c r="GE85" s="825"/>
      <c r="GF85" s="825"/>
      <c r="GG85" s="825"/>
      <c r="GH85" s="825"/>
      <c r="GI85" s="825"/>
      <c r="GJ85" s="825"/>
      <c r="GK85" s="825"/>
      <c r="GL85" s="825"/>
      <c r="GM85" s="825"/>
      <c r="GN85" s="825"/>
      <c r="GO85" s="825"/>
    </row>
    <row r="86" spans="2:197" ht="15">
      <c r="F86" s="1063">
        <v>59</v>
      </c>
      <c r="G86" s="801" t="s">
        <v>15748</v>
      </c>
      <c r="AZ86" s="802" t="s">
        <v>6091</v>
      </c>
      <c r="DC86"/>
      <c r="DD86" s="825">
        <v>37</v>
      </c>
      <c r="DE86" s="825"/>
      <c r="DF86" s="825"/>
      <c r="DG86" s="825" t="s">
        <v>14795</v>
      </c>
      <c r="DH86" s="825"/>
      <c r="DI86" s="825"/>
      <c r="DJ86" s="825"/>
      <c r="DK86" s="825"/>
      <c r="DL86" s="825" t="s">
        <v>14796</v>
      </c>
      <c r="DM86" s="825" t="s">
        <v>14797</v>
      </c>
      <c r="DN86" s="825"/>
      <c r="DO86" s="825"/>
      <c r="DP86" s="825"/>
      <c r="DQ86" s="825" t="s">
        <v>14798</v>
      </c>
      <c r="DR86" s="825" t="s">
        <v>14799</v>
      </c>
      <c r="DS86" s="825"/>
      <c r="DT86" s="825"/>
      <c r="DU86" s="825"/>
      <c r="DV86" s="825"/>
      <c r="DW86" s="825"/>
      <c r="DX86" s="825"/>
      <c r="DY86" s="825"/>
      <c r="DZ86" s="825"/>
      <c r="EA86" s="825"/>
      <c r="EB86" s="825"/>
      <c r="EC86" s="825"/>
      <c r="ED86" s="825"/>
      <c r="EE86" s="825"/>
      <c r="EF86" s="825"/>
      <c r="EG86" s="825"/>
      <c r="EH86" s="825"/>
      <c r="EI86" s="825"/>
      <c r="EJ86" s="825"/>
      <c r="EK86" s="825"/>
      <c r="EL86" s="825"/>
      <c r="EM86" s="825"/>
      <c r="EN86" s="825"/>
      <c r="EO86" s="825"/>
      <c r="EP86" s="825"/>
      <c r="EQ86" s="825"/>
      <c r="ER86" s="825"/>
      <c r="ES86" s="825"/>
      <c r="ET86" s="825"/>
      <c r="EU86" s="825"/>
      <c r="EV86" s="825"/>
      <c r="EW86" s="825"/>
      <c r="EX86" s="825"/>
      <c r="EY86" s="825"/>
      <c r="EZ86" s="825"/>
      <c r="FA86" s="825"/>
      <c r="FB86" s="825"/>
      <c r="FC86" s="825"/>
      <c r="FD86" s="825"/>
      <c r="FE86" s="825"/>
      <c r="FF86" s="825"/>
      <c r="FG86" s="825"/>
      <c r="FH86" s="825"/>
      <c r="FI86" s="825"/>
      <c r="FJ86" s="825"/>
      <c r="FK86" s="825"/>
      <c r="FL86" s="825"/>
      <c r="FM86" s="825"/>
      <c r="FN86" s="825"/>
      <c r="FO86" s="825"/>
      <c r="FP86" s="825"/>
      <c r="FQ86" s="825"/>
      <c r="FR86" s="825"/>
      <c r="FS86" s="825"/>
      <c r="FT86" s="825"/>
      <c r="FU86" s="825"/>
      <c r="FV86" s="825"/>
      <c r="FW86" s="825"/>
      <c r="FX86" s="825"/>
      <c r="FY86" s="825"/>
      <c r="FZ86" s="825"/>
      <c r="GA86" s="825"/>
      <c r="GB86" s="825"/>
      <c r="GC86" s="825"/>
      <c r="GD86" s="825"/>
      <c r="GE86" s="825"/>
      <c r="GF86" s="825"/>
      <c r="GG86" s="825"/>
      <c r="GH86" s="825"/>
      <c r="GI86" s="825"/>
      <c r="GJ86" s="825"/>
      <c r="GK86" s="825"/>
      <c r="GL86" s="825"/>
      <c r="GM86" s="825"/>
      <c r="GN86" s="825"/>
      <c r="GO86" s="825"/>
    </row>
    <row r="87" spans="2:197" ht="15">
      <c r="F87" s="1063">
        <v>60</v>
      </c>
      <c r="G87" s="801" t="s">
        <v>15749</v>
      </c>
      <c r="AZ87" s="802" t="s">
        <v>6172</v>
      </c>
      <c r="DC87"/>
      <c r="DD87" s="825">
        <v>38</v>
      </c>
      <c r="DE87" s="825"/>
      <c r="DF87" s="825"/>
      <c r="DG87" s="825" t="s">
        <v>14800</v>
      </c>
      <c r="DH87" s="825"/>
      <c r="DI87" s="825"/>
      <c r="DJ87" s="825"/>
      <c r="DK87" s="825"/>
      <c r="DL87" s="825" t="s">
        <v>14801</v>
      </c>
      <c r="DM87" s="825" t="s">
        <v>14802</v>
      </c>
      <c r="DN87" s="825"/>
      <c r="DO87" s="825"/>
      <c r="DP87" s="825"/>
      <c r="DQ87" s="825" t="s">
        <v>14803</v>
      </c>
      <c r="DR87" s="825" t="s">
        <v>14804</v>
      </c>
      <c r="DS87" s="825"/>
      <c r="DT87" s="825"/>
      <c r="DU87" s="825"/>
      <c r="DV87" s="825"/>
      <c r="DW87" s="825"/>
      <c r="DX87" s="825"/>
      <c r="DY87" s="825"/>
      <c r="DZ87" s="825"/>
      <c r="EA87" s="825"/>
      <c r="EB87" s="825"/>
      <c r="EC87" s="825"/>
      <c r="ED87" s="825"/>
      <c r="EE87" s="825"/>
      <c r="EF87" s="825"/>
      <c r="EG87" s="825"/>
      <c r="EH87" s="825"/>
      <c r="EI87" s="825"/>
      <c r="EJ87" s="825"/>
      <c r="EK87" s="825"/>
      <c r="EL87" s="825"/>
      <c r="EM87" s="825"/>
      <c r="EN87" s="825"/>
      <c r="EO87" s="825"/>
      <c r="EP87" s="825"/>
      <c r="EQ87" s="825"/>
      <c r="ER87" s="825"/>
      <c r="ES87" s="825"/>
      <c r="ET87" s="825"/>
      <c r="EU87" s="825"/>
      <c r="EV87" s="825"/>
      <c r="EW87" s="825"/>
      <c r="EX87" s="825"/>
      <c r="EY87" s="825"/>
      <c r="EZ87" s="825"/>
      <c r="FA87" s="825"/>
      <c r="FB87" s="825"/>
      <c r="FC87" s="825"/>
      <c r="FD87" s="825"/>
      <c r="FE87" s="825"/>
      <c r="FF87" s="825"/>
      <c r="FG87" s="825"/>
      <c r="FH87" s="825"/>
      <c r="FI87" s="825"/>
      <c r="FJ87" s="825"/>
      <c r="FK87" s="825"/>
      <c r="FL87" s="825"/>
      <c r="FM87" s="825"/>
      <c r="FN87" s="825"/>
      <c r="FO87" s="825"/>
      <c r="FP87" s="825"/>
      <c r="FQ87" s="825"/>
      <c r="FR87" s="825"/>
      <c r="FS87" s="825"/>
      <c r="FT87" s="825"/>
      <c r="FU87" s="825"/>
      <c r="FV87" s="825"/>
      <c r="FW87" s="825"/>
      <c r="FX87" s="825"/>
      <c r="FY87" s="825"/>
      <c r="FZ87" s="825"/>
      <c r="GA87" s="825"/>
      <c r="GB87" s="825"/>
      <c r="GC87" s="825"/>
      <c r="GD87" s="825"/>
      <c r="GE87" s="825"/>
      <c r="GF87" s="825"/>
      <c r="GG87" s="825"/>
      <c r="GH87" s="825"/>
      <c r="GI87" s="825"/>
      <c r="GJ87" s="825"/>
      <c r="GK87" s="825"/>
      <c r="GL87" s="825"/>
      <c r="GM87" s="825"/>
      <c r="GN87" s="825"/>
      <c r="GO87" s="825"/>
    </row>
    <row r="88" spans="2:197" ht="15">
      <c r="B88" s="801" t="s">
        <v>15864</v>
      </c>
      <c r="F88" s="1063">
        <v>61</v>
      </c>
      <c r="G88" s="801" t="s">
        <v>15750</v>
      </c>
      <c r="AZ88" s="802" t="s">
        <v>6134</v>
      </c>
      <c r="DC88"/>
      <c r="DD88" s="825">
        <v>39</v>
      </c>
      <c r="DE88" s="825"/>
      <c r="DF88" s="825"/>
      <c r="DG88" s="825" t="s">
        <v>14805</v>
      </c>
      <c r="DH88" s="825"/>
      <c r="DI88" s="825"/>
      <c r="DJ88" s="825"/>
      <c r="DK88" s="825"/>
      <c r="DL88" s="825" t="s">
        <v>14806</v>
      </c>
      <c r="DM88" s="825"/>
      <c r="DN88" s="825"/>
      <c r="DO88" s="825"/>
      <c r="DP88" s="825"/>
      <c r="DQ88" s="825" t="s">
        <v>14807</v>
      </c>
      <c r="DR88" s="825" t="s">
        <v>14808</v>
      </c>
      <c r="DS88" s="825"/>
      <c r="DT88" s="825"/>
      <c r="DU88" s="825"/>
      <c r="DV88" s="825"/>
      <c r="DW88" s="825"/>
      <c r="DX88" s="825"/>
      <c r="DY88" s="825"/>
      <c r="DZ88" s="825"/>
      <c r="EA88" s="825"/>
      <c r="EB88" s="825"/>
      <c r="EC88" s="825"/>
      <c r="ED88" s="825"/>
      <c r="EE88" s="825"/>
      <c r="EF88" s="825"/>
      <c r="EG88" s="825"/>
      <c r="EH88" s="825"/>
      <c r="EI88" s="825"/>
      <c r="EJ88" s="825"/>
      <c r="EK88" s="825"/>
      <c r="EL88" s="825"/>
      <c r="EM88" s="825"/>
      <c r="EN88" s="825"/>
      <c r="EO88" s="825"/>
      <c r="EP88" s="825"/>
      <c r="EQ88" s="825"/>
      <c r="ER88" s="825"/>
      <c r="ES88" s="825"/>
      <c r="ET88" s="825"/>
      <c r="EU88" s="825"/>
      <c r="EV88" s="825"/>
      <c r="EW88" s="825"/>
      <c r="EX88" s="825"/>
      <c r="EY88" s="825"/>
      <c r="EZ88" s="825"/>
      <c r="FA88" s="825"/>
      <c r="FB88" s="825"/>
      <c r="FC88" s="825"/>
      <c r="FD88" s="825"/>
      <c r="FE88" s="825"/>
      <c r="FF88" s="825"/>
      <c r="FG88" s="825"/>
      <c r="FH88" s="825"/>
      <c r="FI88" s="825"/>
      <c r="FJ88" s="825"/>
      <c r="FK88" s="825"/>
      <c r="FL88" s="825"/>
      <c r="FM88" s="825"/>
      <c r="FN88" s="825"/>
      <c r="FO88" s="825"/>
      <c r="FP88" s="825"/>
      <c r="FQ88" s="825"/>
      <c r="FR88" s="825"/>
      <c r="FS88" s="825"/>
      <c r="FT88" s="825"/>
      <c r="FU88" s="825"/>
      <c r="FV88" s="825"/>
      <c r="FW88" s="825"/>
      <c r="FX88" s="825"/>
      <c r="FY88" s="825"/>
      <c r="FZ88" s="825"/>
      <c r="GA88" s="825"/>
      <c r="GB88" s="825"/>
      <c r="GC88" s="825"/>
      <c r="GD88" s="825"/>
      <c r="GE88" s="825"/>
      <c r="GF88" s="825"/>
      <c r="GG88" s="825"/>
      <c r="GH88" s="825"/>
      <c r="GI88" s="825"/>
      <c r="GJ88" s="825"/>
      <c r="GK88" s="825"/>
      <c r="GL88" s="825"/>
      <c r="GM88" s="825"/>
      <c r="GN88" s="825"/>
      <c r="GO88" s="825"/>
    </row>
    <row r="89" spans="2:197" ht="15">
      <c r="B89" s="801" t="s">
        <v>15865</v>
      </c>
      <c r="F89" s="1063">
        <v>62</v>
      </c>
      <c r="G89" s="801" t="s">
        <v>15751</v>
      </c>
      <c r="AZ89" s="802" t="s">
        <v>6061</v>
      </c>
      <c r="DC89"/>
      <c r="DD89" s="825">
        <v>40</v>
      </c>
      <c r="DE89" s="825"/>
      <c r="DF89" s="825"/>
      <c r="DG89" s="825" t="s">
        <v>14809</v>
      </c>
      <c r="DH89" s="825"/>
      <c r="DI89" s="825"/>
      <c r="DJ89" s="825"/>
      <c r="DK89" s="825"/>
      <c r="DL89" s="825" t="s">
        <v>14810</v>
      </c>
      <c r="DM89" s="825"/>
      <c r="DN89" s="825"/>
      <c r="DO89" s="825"/>
      <c r="DP89" s="825"/>
      <c r="DQ89" s="825" t="s">
        <v>14811</v>
      </c>
      <c r="DR89" s="825" t="s">
        <v>14812</v>
      </c>
      <c r="DS89" s="825"/>
      <c r="DT89" s="825"/>
      <c r="DU89" s="825"/>
      <c r="DV89" s="825"/>
      <c r="DW89" s="825"/>
      <c r="DX89" s="825"/>
      <c r="DY89" s="825"/>
      <c r="DZ89" s="825"/>
      <c r="EA89" s="825"/>
      <c r="EB89" s="825"/>
      <c r="EC89" s="825"/>
      <c r="ED89" s="825"/>
      <c r="EE89" s="825"/>
      <c r="EF89" s="825"/>
      <c r="EG89" s="825"/>
      <c r="EH89" s="825"/>
      <c r="EI89" s="825"/>
      <c r="EJ89" s="825"/>
      <c r="EK89" s="825"/>
      <c r="EL89" s="825"/>
      <c r="EM89" s="825"/>
      <c r="EN89" s="825"/>
      <c r="EO89" s="825"/>
      <c r="EP89" s="825"/>
      <c r="EQ89" s="825"/>
      <c r="ER89" s="825"/>
      <c r="ES89" s="825"/>
      <c r="ET89" s="825"/>
      <c r="EU89" s="825"/>
      <c r="EV89" s="825"/>
      <c r="EW89" s="825"/>
      <c r="EX89" s="825"/>
      <c r="EY89" s="825"/>
      <c r="EZ89" s="825"/>
      <c r="FA89" s="825"/>
      <c r="FB89" s="825"/>
      <c r="FC89" s="825"/>
      <c r="FD89" s="825"/>
      <c r="FE89" s="825"/>
      <c r="FF89" s="825"/>
      <c r="FG89" s="825"/>
      <c r="FH89" s="825"/>
      <c r="FI89" s="825"/>
      <c r="FJ89" s="825"/>
      <c r="FK89" s="825"/>
      <c r="FL89" s="825"/>
      <c r="FM89" s="825"/>
      <c r="FN89" s="825"/>
      <c r="FO89" s="825"/>
      <c r="FP89" s="825"/>
      <c r="FQ89" s="825"/>
      <c r="FR89" s="825"/>
      <c r="FS89" s="825"/>
      <c r="FT89" s="825"/>
      <c r="FU89" s="825"/>
      <c r="FV89" s="825"/>
      <c r="FW89" s="825"/>
      <c r="FX89" s="825"/>
      <c r="FY89" s="825"/>
      <c r="FZ89" s="825"/>
      <c r="GA89" s="825"/>
      <c r="GB89" s="825"/>
      <c r="GC89" s="825"/>
      <c r="GD89" s="825"/>
      <c r="GE89" s="825"/>
      <c r="GF89" s="825"/>
      <c r="GG89" s="825"/>
      <c r="GH89" s="825"/>
      <c r="GI89" s="825"/>
      <c r="GJ89" s="825"/>
      <c r="GK89" s="825"/>
      <c r="GL89" s="825"/>
      <c r="GM89" s="825"/>
      <c r="GN89" s="825"/>
      <c r="GO89" s="825"/>
    </row>
    <row r="90" spans="2:197" ht="15">
      <c r="B90" s="801" t="s">
        <v>15866</v>
      </c>
      <c r="F90" s="1063">
        <v>63</v>
      </c>
      <c r="G90" s="801" t="s">
        <v>15752</v>
      </c>
      <c r="AZ90" s="802" t="s">
        <v>6012</v>
      </c>
      <c r="DC90"/>
      <c r="DD90" s="825">
        <v>41</v>
      </c>
      <c r="DE90" s="825"/>
      <c r="DF90" s="825"/>
      <c r="DG90" s="825" t="s">
        <v>14813</v>
      </c>
      <c r="DH90" s="825"/>
      <c r="DI90" s="825"/>
      <c r="DJ90" s="825"/>
      <c r="DK90" s="825"/>
      <c r="DL90" s="825" t="s">
        <v>14814</v>
      </c>
      <c r="DM90" s="825"/>
      <c r="DN90" s="825"/>
      <c r="DO90" s="825"/>
      <c r="DP90" s="825"/>
      <c r="DQ90" s="825" t="s">
        <v>14815</v>
      </c>
      <c r="DR90" s="825"/>
      <c r="DS90" s="825"/>
      <c r="DT90" s="825"/>
      <c r="DU90" s="825"/>
      <c r="DV90" s="825"/>
      <c r="DW90" s="825"/>
      <c r="DX90" s="825"/>
      <c r="DY90" s="825"/>
      <c r="DZ90" s="825"/>
      <c r="EA90" s="825"/>
      <c r="EB90" s="825"/>
      <c r="EC90" s="825"/>
      <c r="ED90" s="825"/>
      <c r="EE90" s="825"/>
      <c r="EF90" s="825"/>
      <c r="EG90" s="825"/>
      <c r="EH90" s="825"/>
      <c r="EI90" s="825"/>
      <c r="EJ90" s="825"/>
      <c r="EK90" s="825"/>
      <c r="EL90" s="825"/>
      <c r="EM90" s="825"/>
      <c r="EN90" s="825"/>
      <c r="EO90" s="825"/>
      <c r="EP90" s="825"/>
      <c r="EQ90" s="825"/>
      <c r="ER90" s="825"/>
      <c r="ES90" s="825"/>
      <c r="ET90" s="825"/>
      <c r="EU90" s="825"/>
      <c r="EV90" s="825"/>
      <c r="EW90" s="825"/>
      <c r="EX90" s="825"/>
      <c r="EY90" s="825"/>
      <c r="EZ90" s="825"/>
      <c r="FA90" s="825"/>
      <c r="FB90" s="825"/>
      <c r="FC90" s="825"/>
      <c r="FD90" s="825"/>
      <c r="FE90" s="825"/>
      <c r="FF90" s="825"/>
      <c r="FG90" s="825"/>
      <c r="FH90" s="825"/>
      <c r="FI90" s="825"/>
      <c r="FJ90" s="825"/>
      <c r="FK90" s="825"/>
      <c r="FL90" s="825"/>
      <c r="FM90" s="825"/>
      <c r="FN90" s="825"/>
      <c r="FO90" s="825"/>
      <c r="FP90" s="825"/>
      <c r="FQ90" s="825"/>
      <c r="FR90" s="825"/>
      <c r="FS90" s="825"/>
      <c r="FT90" s="825"/>
      <c r="FU90" s="825"/>
      <c r="FV90" s="825"/>
      <c r="FW90" s="825"/>
      <c r="FX90" s="825"/>
      <c r="FY90" s="825"/>
      <c r="FZ90" s="825"/>
      <c r="GA90" s="825"/>
      <c r="GB90" s="825"/>
      <c r="GC90" s="825"/>
      <c r="GD90" s="825"/>
      <c r="GE90" s="825"/>
      <c r="GF90" s="825"/>
      <c r="GG90" s="825"/>
      <c r="GH90" s="825"/>
      <c r="GI90" s="825"/>
      <c r="GJ90" s="825"/>
      <c r="GK90" s="825"/>
      <c r="GL90" s="825"/>
      <c r="GM90" s="825"/>
      <c r="GN90" s="825"/>
      <c r="GO90" s="825"/>
    </row>
    <row r="91" spans="2:197" ht="15">
      <c r="B91" s="801" t="s">
        <v>15867</v>
      </c>
      <c r="F91" s="1063">
        <v>64</v>
      </c>
      <c r="G91" s="801" t="s">
        <v>15753</v>
      </c>
      <c r="AZ91" s="802" t="s">
        <v>5986</v>
      </c>
      <c r="DC91"/>
      <c r="DD91" s="825">
        <v>42</v>
      </c>
      <c r="DE91" s="825"/>
      <c r="DF91" s="825"/>
      <c r="DG91" s="825" t="s">
        <v>14816</v>
      </c>
      <c r="DH91" s="825"/>
      <c r="DI91" s="825"/>
      <c r="DJ91" s="825"/>
      <c r="DK91" s="825"/>
      <c r="DL91" s="825" t="s">
        <v>14817</v>
      </c>
      <c r="DM91" s="825"/>
      <c r="DN91" s="825"/>
      <c r="DO91" s="825"/>
      <c r="DP91" s="825"/>
      <c r="DQ91" s="825" t="s">
        <v>14818</v>
      </c>
      <c r="DR91" s="825"/>
      <c r="DS91" s="825"/>
      <c r="DT91" s="825"/>
      <c r="DU91" s="825"/>
      <c r="DV91" s="825"/>
      <c r="DW91" s="825"/>
      <c r="DX91" s="825"/>
      <c r="DY91" s="825"/>
      <c r="DZ91" s="825"/>
      <c r="EA91" s="825"/>
      <c r="EB91" s="825"/>
      <c r="EC91" s="825"/>
      <c r="ED91" s="825"/>
      <c r="EE91" s="825"/>
      <c r="EF91" s="825"/>
      <c r="EG91" s="825"/>
      <c r="EH91" s="825"/>
      <c r="EI91" s="825"/>
      <c r="EJ91" s="825"/>
      <c r="EK91" s="825"/>
      <c r="EL91" s="825"/>
      <c r="EM91" s="825"/>
      <c r="EN91" s="825"/>
      <c r="EO91" s="825"/>
      <c r="EP91" s="825"/>
      <c r="EQ91" s="825"/>
      <c r="ER91" s="825"/>
      <c r="ES91" s="825"/>
      <c r="ET91" s="825"/>
      <c r="EU91" s="825"/>
      <c r="EV91" s="825"/>
      <c r="EW91" s="825"/>
      <c r="EX91" s="825"/>
      <c r="EY91" s="825"/>
      <c r="EZ91" s="825"/>
      <c r="FA91" s="825"/>
      <c r="FB91" s="825"/>
      <c r="FC91" s="825"/>
      <c r="FD91" s="825"/>
      <c r="FE91" s="825"/>
      <c r="FF91" s="825"/>
      <c r="FG91" s="825"/>
      <c r="FH91" s="825"/>
      <c r="FI91" s="825"/>
      <c r="FJ91" s="825"/>
      <c r="FK91" s="825"/>
      <c r="FL91" s="825"/>
      <c r="FM91" s="825"/>
      <c r="FN91" s="825"/>
      <c r="FO91" s="825"/>
      <c r="FP91" s="825"/>
      <c r="FQ91" s="825"/>
      <c r="FR91" s="825"/>
      <c r="FS91" s="825"/>
      <c r="FT91" s="825"/>
      <c r="FU91" s="825"/>
      <c r="FV91" s="825"/>
      <c r="FW91" s="825"/>
      <c r="FX91" s="825"/>
      <c r="FY91" s="825"/>
      <c r="FZ91" s="825"/>
      <c r="GA91" s="825"/>
      <c r="GB91" s="825"/>
      <c r="GC91" s="825"/>
      <c r="GD91" s="825"/>
      <c r="GE91" s="825"/>
      <c r="GF91" s="825"/>
      <c r="GG91" s="825"/>
      <c r="GH91" s="825"/>
      <c r="GI91" s="825"/>
      <c r="GJ91" s="825"/>
      <c r="GK91" s="825"/>
      <c r="GL91" s="825"/>
      <c r="GM91" s="825"/>
      <c r="GN91" s="825"/>
      <c r="GO91" s="825"/>
    </row>
    <row r="92" spans="2:197" ht="15">
      <c r="B92" s="801" t="s">
        <v>15868</v>
      </c>
      <c r="F92" s="1063">
        <v>65</v>
      </c>
      <c r="G92" s="801" t="s">
        <v>15754</v>
      </c>
      <c r="AZ92" s="802" t="s">
        <v>6001</v>
      </c>
      <c r="DC92"/>
      <c r="DD92" s="825">
        <v>43</v>
      </c>
      <c r="DE92" s="825"/>
      <c r="DF92" s="825"/>
      <c r="DG92" s="825" t="s">
        <v>14819</v>
      </c>
      <c r="DH92" s="825"/>
      <c r="DI92" s="825"/>
      <c r="DJ92" s="825"/>
      <c r="DK92" s="825"/>
      <c r="DL92" s="825" t="s">
        <v>14820</v>
      </c>
      <c r="DM92" s="825"/>
      <c r="DN92" s="825"/>
      <c r="DO92" s="825"/>
      <c r="DP92" s="825"/>
      <c r="DQ92" s="825" t="s">
        <v>14821</v>
      </c>
      <c r="DR92" s="825"/>
      <c r="DS92" s="825"/>
      <c r="DT92" s="825"/>
      <c r="DU92" s="825"/>
      <c r="DV92" s="825"/>
      <c r="DW92" s="825"/>
      <c r="DX92" s="825"/>
      <c r="DY92" s="825"/>
      <c r="DZ92" s="825"/>
      <c r="EA92" s="825"/>
      <c r="EB92" s="825"/>
      <c r="EC92" s="825"/>
      <c r="ED92" s="825"/>
      <c r="EE92" s="825"/>
      <c r="EF92" s="825"/>
      <c r="EG92" s="825"/>
      <c r="EH92" s="825"/>
      <c r="EI92" s="825"/>
      <c r="EJ92" s="825"/>
      <c r="EK92" s="825"/>
      <c r="EL92" s="825"/>
      <c r="EM92" s="825"/>
      <c r="EN92" s="825"/>
      <c r="EO92" s="825"/>
      <c r="EP92" s="825"/>
      <c r="EQ92" s="825"/>
      <c r="ER92" s="825"/>
      <c r="ES92" s="825"/>
      <c r="ET92" s="825"/>
      <c r="EU92" s="825"/>
      <c r="EV92" s="825"/>
      <c r="EW92" s="825"/>
      <c r="EX92" s="825"/>
      <c r="EY92" s="825"/>
      <c r="EZ92" s="825"/>
      <c r="FA92" s="825"/>
      <c r="FB92" s="825"/>
      <c r="FC92" s="825"/>
      <c r="FD92" s="825"/>
      <c r="FE92" s="825"/>
      <c r="FF92" s="825"/>
      <c r="FG92" s="825"/>
      <c r="FH92" s="825"/>
      <c r="FI92" s="825"/>
      <c r="FJ92" s="825"/>
      <c r="FK92" s="825"/>
      <c r="FL92" s="825"/>
      <c r="FM92" s="825"/>
      <c r="FN92" s="825"/>
      <c r="FO92" s="825"/>
      <c r="FP92" s="825"/>
      <c r="FQ92" s="825"/>
      <c r="FR92" s="825"/>
      <c r="FS92" s="825"/>
      <c r="FT92" s="825"/>
      <c r="FU92" s="825"/>
      <c r="FV92" s="825"/>
      <c r="FW92" s="825"/>
      <c r="FX92" s="825"/>
      <c r="FY92" s="825"/>
      <c r="FZ92" s="825"/>
      <c r="GA92" s="825"/>
      <c r="GB92" s="825"/>
      <c r="GC92" s="825"/>
      <c r="GD92" s="825"/>
      <c r="GE92" s="825"/>
      <c r="GF92" s="825"/>
      <c r="GG92" s="825"/>
      <c r="GH92" s="825"/>
      <c r="GI92" s="825"/>
      <c r="GJ92" s="825"/>
      <c r="GK92" s="825"/>
      <c r="GL92" s="825"/>
      <c r="GM92" s="825"/>
      <c r="GN92" s="825"/>
      <c r="GO92" s="825"/>
    </row>
    <row r="93" spans="2:197" ht="15">
      <c r="B93" s="801" t="s">
        <v>15869</v>
      </c>
      <c r="F93" s="1063">
        <v>66</v>
      </c>
      <c r="G93" s="801" t="s">
        <v>15755</v>
      </c>
      <c r="AZ93" s="802" t="s">
        <v>6206</v>
      </c>
      <c r="DC93"/>
      <c r="DD93" s="825">
        <v>44</v>
      </c>
      <c r="DE93" s="825"/>
      <c r="DF93" s="825"/>
      <c r="DG93" s="825" t="s">
        <v>14822</v>
      </c>
      <c r="DH93" s="825"/>
      <c r="DI93" s="825"/>
      <c r="DJ93" s="825"/>
      <c r="DK93" s="825"/>
      <c r="DL93" s="825" t="s">
        <v>14823</v>
      </c>
      <c r="DM93" s="825"/>
      <c r="DN93" s="825"/>
      <c r="DO93" s="825"/>
      <c r="DP93" s="825"/>
      <c r="DQ93" s="825" t="s">
        <v>14824</v>
      </c>
      <c r="DR93" s="825"/>
      <c r="DS93" s="825"/>
      <c r="DT93" s="825"/>
      <c r="DU93" s="825"/>
      <c r="DV93" s="825"/>
      <c r="DW93" s="825"/>
      <c r="DX93" s="825"/>
      <c r="DY93" s="825"/>
      <c r="DZ93" s="825"/>
      <c r="EA93" s="825"/>
      <c r="EB93" s="825"/>
      <c r="EC93" s="825"/>
      <c r="ED93" s="825"/>
      <c r="EE93" s="825"/>
      <c r="EF93" s="825"/>
      <c r="EG93" s="825"/>
      <c r="EH93" s="825"/>
      <c r="EI93" s="825"/>
      <c r="EJ93" s="825"/>
      <c r="EK93" s="825"/>
      <c r="EL93" s="825"/>
      <c r="EM93" s="825"/>
      <c r="EN93" s="825"/>
      <c r="EO93" s="825"/>
      <c r="EP93" s="825"/>
      <c r="EQ93" s="825"/>
      <c r="ER93" s="825"/>
      <c r="ES93" s="825"/>
      <c r="ET93" s="825"/>
      <c r="EU93" s="825"/>
      <c r="EV93" s="825"/>
      <c r="EW93" s="825"/>
      <c r="EX93" s="825"/>
      <c r="EY93" s="825"/>
      <c r="EZ93" s="825"/>
      <c r="FA93" s="825"/>
      <c r="FB93" s="825"/>
      <c r="FC93" s="825"/>
      <c r="FD93" s="825"/>
      <c r="FE93" s="825"/>
      <c r="FF93" s="825"/>
      <c r="FG93" s="825"/>
      <c r="FH93" s="825"/>
      <c r="FI93" s="825"/>
      <c r="FJ93" s="825"/>
      <c r="FK93" s="825"/>
      <c r="FL93" s="825"/>
      <c r="FM93" s="825"/>
      <c r="FN93" s="825"/>
      <c r="FO93" s="825"/>
      <c r="FP93" s="825"/>
      <c r="FQ93" s="825"/>
      <c r="FR93" s="825"/>
      <c r="FS93" s="825"/>
      <c r="FT93" s="825"/>
      <c r="FU93" s="825"/>
      <c r="FV93" s="825"/>
      <c r="FW93" s="825"/>
      <c r="FX93" s="825"/>
      <c r="FY93" s="825"/>
      <c r="FZ93" s="825"/>
      <c r="GA93" s="825"/>
      <c r="GB93" s="825"/>
      <c r="GC93" s="825"/>
      <c r="GD93" s="825"/>
      <c r="GE93" s="825"/>
      <c r="GF93" s="825"/>
      <c r="GG93" s="825"/>
      <c r="GH93" s="825"/>
      <c r="GI93" s="825"/>
      <c r="GJ93" s="825"/>
      <c r="GK93" s="825"/>
      <c r="GL93" s="825"/>
      <c r="GM93" s="825"/>
      <c r="GN93" s="825"/>
      <c r="GO93" s="825"/>
    </row>
    <row r="94" spans="2:197" ht="15">
      <c r="B94" s="801" t="s">
        <v>15870</v>
      </c>
      <c r="F94" s="1063">
        <v>67</v>
      </c>
      <c r="G94" s="801" t="s">
        <v>15756</v>
      </c>
      <c r="AZ94" s="802" t="s">
        <v>5891</v>
      </c>
      <c r="DC94"/>
      <c r="DD94" s="825">
        <v>45</v>
      </c>
      <c r="DE94" s="825"/>
      <c r="DF94" s="825"/>
      <c r="DG94" s="825" t="s">
        <v>14825</v>
      </c>
      <c r="DH94" s="825"/>
      <c r="DI94" s="825"/>
      <c r="DJ94" s="825"/>
      <c r="DK94" s="825"/>
      <c r="DL94" s="825" t="s">
        <v>14826</v>
      </c>
      <c r="DM94" s="825"/>
      <c r="DN94" s="825"/>
      <c r="DO94" s="825"/>
      <c r="DP94" s="825"/>
      <c r="DQ94" s="825" t="s">
        <v>14827</v>
      </c>
      <c r="DR94" s="825"/>
      <c r="DS94" s="825"/>
      <c r="DT94" s="825"/>
      <c r="DU94" s="825"/>
      <c r="DV94" s="825"/>
      <c r="DW94" s="825"/>
      <c r="DX94" s="825"/>
      <c r="DY94" s="825"/>
      <c r="DZ94" s="825"/>
      <c r="EA94" s="825"/>
      <c r="EB94" s="825"/>
      <c r="EC94" s="825"/>
      <c r="ED94" s="825"/>
      <c r="EE94" s="825"/>
      <c r="EF94" s="825"/>
      <c r="EG94" s="825"/>
      <c r="EH94" s="825"/>
      <c r="EI94" s="825"/>
      <c r="EJ94" s="825"/>
      <c r="EK94" s="825"/>
      <c r="EL94" s="825"/>
      <c r="EM94" s="825"/>
      <c r="EN94" s="825"/>
      <c r="EO94" s="825"/>
      <c r="EP94" s="825"/>
      <c r="EQ94" s="825"/>
      <c r="ER94" s="825"/>
      <c r="ES94" s="825"/>
      <c r="ET94" s="825"/>
      <c r="EU94" s="825"/>
      <c r="EV94" s="825"/>
      <c r="EW94" s="825"/>
      <c r="EX94" s="825"/>
      <c r="EY94" s="825"/>
      <c r="EZ94" s="825"/>
      <c r="FA94" s="825"/>
      <c r="FB94" s="825"/>
      <c r="FC94" s="825"/>
      <c r="FD94" s="825"/>
      <c r="FE94" s="825"/>
      <c r="FF94" s="825"/>
      <c r="FG94" s="825"/>
      <c r="FH94" s="825"/>
      <c r="FI94" s="825"/>
      <c r="FJ94" s="825"/>
      <c r="FK94" s="825"/>
      <c r="FL94" s="825"/>
      <c r="FM94" s="825"/>
      <c r="FN94" s="825"/>
      <c r="FO94" s="825"/>
      <c r="FP94" s="825"/>
      <c r="FQ94" s="825"/>
      <c r="FR94" s="825"/>
      <c r="FS94" s="825"/>
      <c r="FT94" s="825"/>
      <c r="FU94" s="825"/>
      <c r="FV94" s="825"/>
      <c r="FW94" s="825"/>
      <c r="FX94" s="825"/>
      <c r="FY94" s="825"/>
      <c r="FZ94" s="825"/>
      <c r="GA94" s="825"/>
      <c r="GB94" s="825"/>
      <c r="GC94" s="825"/>
      <c r="GD94" s="825"/>
      <c r="GE94" s="825"/>
      <c r="GF94" s="825"/>
      <c r="GG94" s="825"/>
      <c r="GH94" s="825"/>
      <c r="GI94" s="825"/>
      <c r="GJ94" s="825"/>
      <c r="GK94" s="825"/>
      <c r="GL94" s="825"/>
      <c r="GM94" s="825"/>
      <c r="GN94" s="825"/>
      <c r="GO94" s="825"/>
    </row>
    <row r="95" spans="2:197" ht="15">
      <c r="B95" s="801" t="s">
        <v>15871</v>
      </c>
      <c r="F95" s="1063">
        <v>68</v>
      </c>
      <c r="G95" s="801" t="s">
        <v>15757</v>
      </c>
      <c r="AZ95" s="802" t="s">
        <v>6018</v>
      </c>
      <c r="DC95"/>
      <c r="DD95" s="825">
        <v>46</v>
      </c>
      <c r="DE95" s="825"/>
      <c r="DF95" s="825"/>
      <c r="DG95" s="825" t="s">
        <v>14828</v>
      </c>
      <c r="DH95" s="825"/>
      <c r="DI95" s="825"/>
      <c r="DJ95" s="825"/>
      <c r="DK95" s="825"/>
      <c r="DL95" s="825" t="s">
        <v>14829</v>
      </c>
      <c r="DM95" s="825"/>
      <c r="DN95" s="825"/>
      <c r="DO95" s="825"/>
      <c r="DP95" s="825"/>
      <c r="DQ95" s="825" t="s">
        <v>14830</v>
      </c>
      <c r="DR95" s="825"/>
      <c r="DS95" s="825"/>
      <c r="DT95" s="825"/>
      <c r="DU95" s="825"/>
      <c r="DV95" s="825"/>
      <c r="DW95" s="825"/>
      <c r="DX95" s="825"/>
      <c r="DY95" s="825"/>
      <c r="DZ95" s="825"/>
      <c r="EA95" s="825"/>
      <c r="EB95" s="825"/>
      <c r="EC95" s="825"/>
      <c r="ED95" s="825"/>
      <c r="EE95" s="825"/>
      <c r="EF95" s="825"/>
      <c r="EG95" s="825"/>
      <c r="EH95" s="825"/>
      <c r="EI95" s="825"/>
      <c r="EJ95" s="825"/>
      <c r="EK95" s="825"/>
      <c r="EL95" s="825"/>
      <c r="EM95" s="825"/>
      <c r="EN95" s="825"/>
      <c r="EO95" s="825"/>
      <c r="EP95" s="825"/>
      <c r="EQ95" s="825"/>
      <c r="ER95" s="825"/>
      <c r="ES95" s="825"/>
      <c r="ET95" s="825"/>
      <c r="EU95" s="825"/>
      <c r="EV95" s="825"/>
      <c r="EW95" s="825"/>
      <c r="EX95" s="825"/>
      <c r="EY95" s="825"/>
      <c r="EZ95" s="825"/>
      <c r="FA95" s="825"/>
      <c r="FB95" s="825"/>
      <c r="FC95" s="825"/>
      <c r="FD95" s="825"/>
      <c r="FE95" s="825"/>
      <c r="FF95" s="825"/>
      <c r="FG95" s="825"/>
      <c r="FH95" s="825"/>
      <c r="FI95" s="825"/>
      <c r="FJ95" s="825"/>
      <c r="FK95" s="825"/>
      <c r="FL95" s="825"/>
      <c r="FM95" s="825"/>
      <c r="FN95" s="825"/>
      <c r="FO95" s="825"/>
      <c r="FP95" s="825"/>
      <c r="FQ95" s="825"/>
      <c r="FR95" s="825"/>
      <c r="FS95" s="825"/>
      <c r="FT95" s="825"/>
      <c r="FU95" s="825"/>
      <c r="FV95" s="825"/>
      <c r="FW95" s="825"/>
      <c r="FX95" s="825"/>
      <c r="FY95" s="825"/>
      <c r="FZ95" s="825"/>
      <c r="GA95" s="825"/>
      <c r="GB95" s="825"/>
      <c r="GC95" s="825"/>
      <c r="GD95" s="825"/>
      <c r="GE95" s="825"/>
      <c r="GF95" s="825"/>
      <c r="GG95" s="825"/>
      <c r="GH95" s="825"/>
      <c r="GI95" s="825"/>
      <c r="GJ95" s="825"/>
      <c r="GK95" s="825"/>
      <c r="GL95" s="825"/>
      <c r="GM95" s="825"/>
      <c r="GN95" s="825"/>
      <c r="GO95" s="825"/>
    </row>
    <row r="96" spans="2:197" ht="15">
      <c r="B96" s="801" t="s">
        <v>15872</v>
      </c>
      <c r="F96" s="1063">
        <v>69</v>
      </c>
      <c r="G96" s="801" t="s">
        <v>15758</v>
      </c>
      <c r="AZ96" s="802" t="s">
        <v>5890</v>
      </c>
      <c r="DC96"/>
      <c r="DD96" s="825">
        <v>47</v>
      </c>
      <c r="DE96" s="825"/>
      <c r="DF96" s="825"/>
      <c r="DG96" s="825" t="s">
        <v>14831</v>
      </c>
      <c r="DH96" s="825"/>
      <c r="DI96" s="825"/>
      <c r="DJ96" s="825"/>
      <c r="DK96" s="825"/>
      <c r="DL96" s="825" t="s">
        <v>14832</v>
      </c>
      <c r="DM96" s="825"/>
      <c r="DN96" s="825"/>
      <c r="DO96" s="825"/>
      <c r="DP96" s="825"/>
      <c r="DQ96" s="825" t="s">
        <v>14833</v>
      </c>
      <c r="DR96" s="825"/>
      <c r="DS96" s="825"/>
      <c r="DT96" s="825"/>
      <c r="DU96" s="825"/>
      <c r="DV96" s="825"/>
      <c r="DW96" s="825"/>
      <c r="DX96" s="825"/>
      <c r="DY96" s="825"/>
      <c r="DZ96" s="825"/>
      <c r="EA96" s="825"/>
      <c r="EB96" s="825"/>
      <c r="EC96" s="825"/>
      <c r="ED96" s="825"/>
      <c r="EE96" s="825"/>
      <c r="EF96" s="825"/>
      <c r="EG96" s="825"/>
      <c r="EH96" s="825"/>
      <c r="EI96" s="825"/>
      <c r="EJ96" s="825"/>
      <c r="EK96" s="825"/>
      <c r="EL96" s="825"/>
      <c r="EM96" s="825"/>
      <c r="EN96" s="825"/>
      <c r="EO96" s="825"/>
      <c r="EP96" s="825"/>
      <c r="EQ96" s="825"/>
      <c r="ER96" s="825"/>
      <c r="ES96" s="825"/>
      <c r="ET96" s="825"/>
      <c r="EU96" s="825"/>
      <c r="EV96" s="825"/>
      <c r="EW96" s="825"/>
      <c r="EX96" s="825"/>
      <c r="EY96" s="825"/>
      <c r="EZ96" s="825"/>
      <c r="FA96" s="825"/>
      <c r="FB96" s="825"/>
      <c r="FC96" s="825"/>
      <c r="FD96" s="825"/>
      <c r="FE96" s="825"/>
      <c r="FF96" s="825"/>
      <c r="FG96" s="825"/>
      <c r="FH96" s="825"/>
      <c r="FI96" s="825"/>
      <c r="FJ96" s="825"/>
      <c r="FK96" s="825"/>
      <c r="FL96" s="825"/>
      <c r="FM96" s="825"/>
      <c r="FN96" s="825"/>
      <c r="FO96" s="825"/>
      <c r="FP96" s="825"/>
      <c r="FQ96" s="825"/>
      <c r="FR96" s="825"/>
      <c r="FS96" s="825"/>
      <c r="FT96" s="825"/>
      <c r="FU96" s="825"/>
      <c r="FV96" s="825"/>
      <c r="FW96" s="825"/>
      <c r="FX96" s="825"/>
      <c r="FY96" s="825"/>
      <c r="FZ96" s="825"/>
      <c r="GA96" s="825"/>
      <c r="GB96" s="825"/>
      <c r="GC96" s="825"/>
      <c r="GD96" s="825"/>
      <c r="GE96" s="825"/>
      <c r="GF96" s="825"/>
      <c r="GG96" s="825"/>
      <c r="GH96" s="825"/>
      <c r="GI96" s="825"/>
      <c r="GJ96" s="825"/>
      <c r="GK96" s="825"/>
      <c r="GL96" s="825"/>
      <c r="GM96" s="825"/>
      <c r="GN96" s="825"/>
      <c r="GO96" s="825"/>
    </row>
    <row r="97" spans="2:197" ht="15">
      <c r="B97" s="801" t="s">
        <v>15873</v>
      </c>
      <c r="F97" s="1063">
        <v>70</v>
      </c>
      <c r="G97" s="801" t="s">
        <v>15759</v>
      </c>
      <c r="AZ97" s="802" t="s">
        <v>5863</v>
      </c>
      <c r="DC97"/>
      <c r="DD97" s="825">
        <v>48</v>
      </c>
      <c r="DE97" s="825"/>
      <c r="DF97" s="825"/>
      <c r="DG97" s="825" t="s">
        <v>14834</v>
      </c>
      <c r="DH97" s="825"/>
      <c r="DI97" s="825"/>
      <c r="DJ97" s="825"/>
      <c r="DK97" s="825"/>
      <c r="DL97" s="825" t="s">
        <v>14835</v>
      </c>
      <c r="DM97" s="825"/>
      <c r="DN97" s="825"/>
      <c r="DO97" s="825"/>
      <c r="DP97" s="825"/>
      <c r="DQ97" s="825" t="s">
        <v>14836</v>
      </c>
      <c r="DR97" s="825"/>
      <c r="DS97" s="825"/>
      <c r="DT97" s="825"/>
      <c r="DU97" s="825"/>
      <c r="DV97" s="825"/>
      <c r="DW97" s="825"/>
      <c r="DX97" s="825"/>
      <c r="DY97" s="825"/>
      <c r="DZ97" s="825"/>
      <c r="EA97" s="825"/>
      <c r="EB97" s="825"/>
      <c r="EC97" s="825"/>
      <c r="ED97" s="825"/>
      <c r="EE97" s="825"/>
      <c r="EF97" s="825"/>
      <c r="EG97" s="825"/>
      <c r="EH97" s="825"/>
      <c r="EI97" s="825"/>
      <c r="EJ97" s="825"/>
      <c r="EK97" s="825"/>
      <c r="EL97" s="825"/>
      <c r="EM97" s="825"/>
      <c r="EN97" s="825"/>
      <c r="EO97" s="825"/>
      <c r="EP97" s="825"/>
      <c r="EQ97" s="825"/>
      <c r="ER97" s="825"/>
      <c r="ES97" s="825"/>
      <c r="ET97" s="825"/>
      <c r="EU97" s="825"/>
      <c r="EV97" s="825"/>
      <c r="EW97" s="825"/>
      <c r="EX97" s="825"/>
      <c r="EY97" s="825"/>
      <c r="EZ97" s="825"/>
      <c r="FA97" s="825"/>
      <c r="FB97" s="825"/>
      <c r="FC97" s="825"/>
      <c r="FD97" s="825"/>
      <c r="FE97" s="825"/>
      <c r="FF97" s="825"/>
      <c r="FG97" s="825"/>
      <c r="FH97" s="825"/>
      <c r="FI97" s="825"/>
      <c r="FJ97" s="825"/>
      <c r="FK97" s="825"/>
      <c r="FL97" s="825"/>
      <c r="FM97" s="825"/>
      <c r="FN97" s="825"/>
      <c r="FO97" s="825"/>
      <c r="FP97" s="825"/>
      <c r="FQ97" s="825"/>
      <c r="FR97" s="825"/>
      <c r="FS97" s="825"/>
      <c r="FT97" s="825"/>
      <c r="FU97" s="825"/>
      <c r="FV97" s="825"/>
      <c r="FW97" s="825"/>
      <c r="FX97" s="825"/>
      <c r="FY97" s="825"/>
      <c r="FZ97" s="825"/>
      <c r="GA97" s="825"/>
      <c r="GB97" s="825"/>
      <c r="GC97" s="825"/>
      <c r="GD97" s="825"/>
      <c r="GE97" s="825"/>
      <c r="GF97" s="825"/>
      <c r="GG97" s="825"/>
      <c r="GH97" s="825"/>
      <c r="GI97" s="825"/>
      <c r="GJ97" s="825"/>
      <c r="GK97" s="825"/>
      <c r="GL97" s="825"/>
      <c r="GM97" s="825"/>
      <c r="GN97" s="825"/>
      <c r="GO97" s="825"/>
    </row>
    <row r="98" spans="2:197" ht="15">
      <c r="B98" s="801" t="s">
        <v>15874</v>
      </c>
      <c r="F98" s="1063">
        <v>71</v>
      </c>
      <c r="G98" s="801" t="s">
        <v>15760</v>
      </c>
      <c r="AZ98" s="802" t="s">
        <v>6067</v>
      </c>
      <c r="DC98"/>
      <c r="DD98" s="825">
        <v>49</v>
      </c>
      <c r="DE98" s="825"/>
      <c r="DF98" s="825"/>
      <c r="DG98" s="825" t="s">
        <v>14837</v>
      </c>
      <c r="DH98" s="825"/>
      <c r="DI98" s="825"/>
      <c r="DJ98" s="825"/>
      <c r="DK98" s="825"/>
      <c r="DL98" s="825" t="s">
        <v>14838</v>
      </c>
      <c r="DM98" s="825"/>
      <c r="DN98" s="825"/>
      <c r="DO98" s="825"/>
      <c r="DP98" s="825"/>
      <c r="DQ98" s="825" t="s">
        <v>14839</v>
      </c>
      <c r="DR98" s="825"/>
      <c r="DS98" s="825"/>
      <c r="DT98" s="825"/>
      <c r="DU98" s="825"/>
      <c r="DV98" s="825"/>
      <c r="DW98" s="825"/>
      <c r="DX98" s="825"/>
      <c r="DY98" s="825"/>
      <c r="DZ98" s="825"/>
      <c r="EA98" s="825"/>
      <c r="EB98" s="825"/>
      <c r="EC98" s="825"/>
      <c r="ED98" s="825"/>
      <c r="EE98" s="825"/>
      <c r="EF98" s="825"/>
      <c r="EG98" s="825"/>
      <c r="EH98" s="825"/>
      <c r="EI98" s="825"/>
      <c r="EJ98" s="825"/>
      <c r="EK98" s="825"/>
      <c r="EL98" s="825"/>
      <c r="EM98" s="825"/>
      <c r="EN98" s="825"/>
      <c r="EO98" s="825"/>
      <c r="EP98" s="825"/>
      <c r="EQ98" s="825"/>
      <c r="ER98" s="825"/>
      <c r="ES98" s="825"/>
      <c r="ET98" s="825"/>
      <c r="EU98" s="825"/>
      <c r="EV98" s="825"/>
      <c r="EW98" s="825"/>
      <c r="EX98" s="825"/>
      <c r="EY98" s="825"/>
      <c r="EZ98" s="825"/>
      <c r="FA98" s="825"/>
      <c r="FB98" s="825"/>
      <c r="FC98" s="825"/>
      <c r="FD98" s="825"/>
      <c r="FE98" s="825"/>
      <c r="FF98" s="825"/>
      <c r="FG98" s="825"/>
      <c r="FH98" s="825"/>
      <c r="FI98" s="825"/>
      <c r="FJ98" s="825"/>
      <c r="FK98" s="825"/>
      <c r="FL98" s="825"/>
      <c r="FM98" s="825"/>
      <c r="FN98" s="825"/>
      <c r="FO98" s="825"/>
      <c r="FP98" s="825"/>
      <c r="FQ98" s="825"/>
      <c r="FR98" s="825"/>
      <c r="FS98" s="825"/>
      <c r="FT98" s="825"/>
      <c r="FU98" s="825"/>
      <c r="FV98" s="825"/>
      <c r="FW98" s="825"/>
      <c r="FX98" s="825"/>
      <c r="FY98" s="825"/>
      <c r="FZ98" s="825"/>
      <c r="GA98" s="825"/>
      <c r="GB98" s="825"/>
      <c r="GC98" s="825"/>
      <c r="GD98" s="825"/>
      <c r="GE98" s="825"/>
      <c r="GF98" s="825"/>
      <c r="GG98" s="825"/>
      <c r="GH98" s="825"/>
      <c r="GI98" s="825"/>
      <c r="GJ98" s="825"/>
      <c r="GK98" s="825"/>
      <c r="GL98" s="825"/>
      <c r="GM98" s="825"/>
      <c r="GN98" s="825"/>
      <c r="GO98" s="825"/>
    </row>
    <row r="99" spans="2:197" ht="15">
      <c r="B99" s="801" t="s">
        <v>15875</v>
      </c>
      <c r="F99" s="1063">
        <v>72</v>
      </c>
      <c r="G99" s="801" t="s">
        <v>15761</v>
      </c>
      <c r="AZ99" s="802" t="s">
        <v>6078</v>
      </c>
      <c r="DC99"/>
      <c r="DD99" s="825">
        <v>50</v>
      </c>
      <c r="DE99" s="825"/>
      <c r="DF99" s="825"/>
      <c r="DG99" s="825" t="s">
        <v>14840</v>
      </c>
      <c r="DH99" s="825"/>
      <c r="DI99" s="825"/>
      <c r="DJ99" s="825"/>
      <c r="DK99" s="825"/>
      <c r="DL99" s="825" t="s">
        <v>14841</v>
      </c>
      <c r="DM99" s="825"/>
      <c r="DN99" s="825"/>
      <c r="DO99" s="825"/>
      <c r="DP99" s="825"/>
      <c r="DQ99" s="825" t="s">
        <v>14842</v>
      </c>
      <c r="DR99" s="825"/>
      <c r="DS99" s="825"/>
      <c r="DT99" s="825"/>
      <c r="DU99" s="825"/>
      <c r="DV99" s="825"/>
      <c r="DW99" s="825"/>
      <c r="DX99" s="825"/>
      <c r="DY99" s="825"/>
      <c r="DZ99" s="825"/>
      <c r="EA99" s="825"/>
      <c r="EB99" s="825"/>
      <c r="EC99" s="825"/>
      <c r="ED99" s="825"/>
      <c r="EE99" s="825"/>
      <c r="EF99" s="825"/>
      <c r="EG99" s="825"/>
      <c r="EH99" s="825"/>
      <c r="EI99" s="825"/>
      <c r="EJ99" s="825"/>
      <c r="EK99" s="825"/>
      <c r="EL99" s="825"/>
      <c r="EM99" s="825"/>
      <c r="EN99" s="825"/>
      <c r="EO99" s="825"/>
      <c r="EP99" s="825"/>
      <c r="EQ99" s="825"/>
      <c r="ER99" s="825"/>
      <c r="ES99" s="825"/>
      <c r="ET99" s="825"/>
      <c r="EU99" s="825"/>
      <c r="EV99" s="825"/>
      <c r="EW99" s="825"/>
      <c r="EX99" s="825"/>
      <c r="EY99" s="825"/>
      <c r="EZ99" s="825"/>
      <c r="FA99" s="825"/>
      <c r="FB99" s="825"/>
      <c r="FC99" s="825"/>
      <c r="FD99" s="825"/>
      <c r="FE99" s="825"/>
      <c r="FF99" s="825"/>
      <c r="FG99" s="825"/>
      <c r="FH99" s="825"/>
      <c r="FI99" s="825"/>
      <c r="FJ99" s="825"/>
      <c r="FK99" s="825"/>
      <c r="FL99" s="825"/>
      <c r="FM99" s="825"/>
      <c r="FN99" s="825"/>
      <c r="FO99" s="825"/>
      <c r="FP99" s="825"/>
      <c r="FQ99" s="825"/>
      <c r="FR99" s="825"/>
      <c r="FS99" s="825"/>
      <c r="FT99" s="825"/>
      <c r="FU99" s="825"/>
      <c r="FV99" s="825"/>
      <c r="FW99" s="825"/>
      <c r="FX99" s="825"/>
      <c r="FY99" s="825"/>
      <c r="FZ99" s="825"/>
      <c r="GA99" s="825"/>
      <c r="GB99" s="825"/>
      <c r="GC99" s="825"/>
      <c r="GD99" s="825"/>
      <c r="GE99" s="825"/>
      <c r="GF99" s="825"/>
      <c r="GG99" s="825"/>
      <c r="GH99" s="825"/>
      <c r="GI99" s="825"/>
      <c r="GJ99" s="825"/>
      <c r="GK99" s="825"/>
      <c r="GL99" s="825"/>
      <c r="GM99" s="825"/>
      <c r="GN99" s="825"/>
      <c r="GO99" s="825"/>
    </row>
    <row r="100" spans="2:197" ht="15">
      <c r="B100" s="801" t="s">
        <v>15876</v>
      </c>
      <c r="F100" s="1063">
        <v>73</v>
      </c>
      <c r="G100" s="801" t="s">
        <v>15762</v>
      </c>
      <c r="AZ100" s="802" t="s">
        <v>6015</v>
      </c>
      <c r="DC100"/>
      <c r="DD100" s="825">
        <v>51</v>
      </c>
      <c r="DE100" s="825"/>
      <c r="DF100" s="825"/>
      <c r="DG100" s="825" t="s">
        <v>14843</v>
      </c>
      <c r="DH100" s="825"/>
      <c r="DI100" s="825"/>
      <c r="DJ100" s="825"/>
      <c r="DK100" s="825"/>
      <c r="DL100" s="825" t="s">
        <v>14844</v>
      </c>
      <c r="DM100" s="825"/>
      <c r="DN100" s="825"/>
      <c r="DO100" s="825"/>
      <c r="DP100" s="825"/>
      <c r="DQ100" s="825" t="s">
        <v>14845</v>
      </c>
      <c r="DR100" s="825"/>
      <c r="DS100" s="825"/>
      <c r="DT100" s="825"/>
      <c r="DU100" s="825"/>
      <c r="DV100" s="825"/>
      <c r="DW100" s="825"/>
      <c r="DX100" s="825"/>
      <c r="DY100" s="825"/>
      <c r="DZ100" s="825"/>
      <c r="EA100" s="825"/>
      <c r="EB100" s="825"/>
      <c r="EC100" s="825"/>
      <c r="ED100" s="825"/>
      <c r="EE100" s="825"/>
      <c r="EF100" s="825"/>
      <c r="EG100" s="825"/>
      <c r="EH100" s="825"/>
      <c r="EI100" s="825"/>
      <c r="EJ100" s="825"/>
      <c r="EK100" s="825"/>
      <c r="EL100" s="825"/>
      <c r="EM100" s="825"/>
      <c r="EN100" s="825"/>
      <c r="EO100" s="825"/>
      <c r="EP100" s="825"/>
      <c r="EQ100" s="825"/>
      <c r="ER100" s="825"/>
      <c r="ES100" s="825"/>
      <c r="ET100" s="825"/>
      <c r="EU100" s="825"/>
      <c r="EV100" s="825"/>
      <c r="EW100" s="825"/>
      <c r="EX100" s="825"/>
      <c r="EY100" s="825"/>
      <c r="EZ100" s="825"/>
      <c r="FA100" s="825"/>
      <c r="FB100" s="825"/>
      <c r="FC100" s="825"/>
      <c r="FD100" s="825"/>
      <c r="FE100" s="825"/>
      <c r="FF100" s="825"/>
      <c r="FG100" s="825"/>
      <c r="FH100" s="825"/>
      <c r="FI100" s="825"/>
      <c r="FJ100" s="825"/>
      <c r="FK100" s="825"/>
      <c r="FL100" s="825"/>
      <c r="FM100" s="825"/>
      <c r="FN100" s="825"/>
      <c r="FO100" s="825"/>
      <c r="FP100" s="825"/>
      <c r="FQ100" s="825"/>
      <c r="FR100" s="825"/>
      <c r="FS100" s="825"/>
      <c r="FT100" s="825"/>
      <c r="FU100" s="825"/>
      <c r="FV100" s="825"/>
      <c r="FW100" s="825"/>
      <c r="FX100" s="825"/>
      <c r="FY100" s="825"/>
      <c r="FZ100" s="825"/>
      <c r="GA100" s="825"/>
      <c r="GB100" s="825"/>
      <c r="GC100" s="825"/>
      <c r="GD100" s="825"/>
      <c r="GE100" s="825"/>
      <c r="GF100" s="825"/>
      <c r="GG100" s="825"/>
      <c r="GH100" s="825"/>
      <c r="GI100" s="825"/>
      <c r="GJ100" s="825"/>
      <c r="GK100" s="825"/>
      <c r="GL100" s="825"/>
      <c r="GM100" s="825"/>
      <c r="GN100" s="825"/>
      <c r="GO100" s="825"/>
    </row>
    <row r="101" spans="2:197" ht="15">
      <c r="B101" s="801" t="s">
        <v>15877</v>
      </c>
      <c r="F101" s="1063">
        <v>74</v>
      </c>
      <c r="G101" s="801" t="s">
        <v>15763</v>
      </c>
      <c r="AZ101" s="802" t="s">
        <v>5991</v>
      </c>
      <c r="DC101"/>
      <c r="DD101" s="825">
        <v>52</v>
      </c>
      <c r="DE101" s="825"/>
      <c r="DF101" s="825"/>
      <c r="DG101" s="825" t="s">
        <v>14846</v>
      </c>
      <c r="DH101" s="825"/>
      <c r="DI101" s="825"/>
      <c r="DJ101" s="825"/>
      <c r="DK101" s="825"/>
      <c r="DL101" s="825" t="s">
        <v>14847</v>
      </c>
      <c r="DM101" s="825"/>
      <c r="DN101" s="825"/>
      <c r="DO101" s="825"/>
      <c r="DP101" s="825"/>
      <c r="DQ101" s="825" t="s">
        <v>14848</v>
      </c>
      <c r="DR101" s="825"/>
      <c r="DS101" s="825"/>
      <c r="DT101" s="825"/>
      <c r="DU101" s="825"/>
      <c r="DV101" s="825"/>
      <c r="DW101" s="825"/>
      <c r="DX101" s="825"/>
      <c r="DY101" s="825"/>
      <c r="DZ101" s="825"/>
      <c r="EA101" s="825"/>
      <c r="EB101" s="825"/>
      <c r="EC101" s="825"/>
      <c r="ED101" s="825"/>
      <c r="EE101" s="825"/>
      <c r="EF101" s="825"/>
      <c r="EG101" s="825"/>
      <c r="EH101" s="825"/>
      <c r="EI101" s="825"/>
      <c r="EJ101" s="825"/>
      <c r="EK101" s="825"/>
      <c r="EL101" s="825"/>
      <c r="EM101" s="825"/>
      <c r="EN101" s="825"/>
      <c r="EO101" s="825"/>
      <c r="EP101" s="825"/>
      <c r="EQ101" s="825"/>
      <c r="ER101" s="825"/>
      <c r="ES101" s="825"/>
      <c r="ET101" s="825"/>
      <c r="EU101" s="825"/>
      <c r="EV101" s="825"/>
      <c r="EW101" s="825"/>
      <c r="EX101" s="825"/>
      <c r="EY101" s="825"/>
      <c r="EZ101" s="825"/>
      <c r="FA101" s="825"/>
      <c r="FB101" s="825"/>
      <c r="FC101" s="825"/>
      <c r="FD101" s="825"/>
      <c r="FE101" s="825"/>
      <c r="FF101" s="825"/>
      <c r="FG101" s="825"/>
      <c r="FH101" s="825"/>
      <c r="FI101" s="825"/>
      <c r="FJ101" s="825"/>
      <c r="FK101" s="825"/>
      <c r="FL101" s="825"/>
      <c r="FM101" s="825"/>
      <c r="FN101" s="825"/>
      <c r="FO101" s="825"/>
      <c r="FP101" s="825"/>
      <c r="FQ101" s="825"/>
      <c r="FR101" s="825"/>
      <c r="FS101" s="825"/>
      <c r="FT101" s="825"/>
      <c r="FU101" s="825"/>
      <c r="FV101" s="825"/>
      <c r="FW101" s="825"/>
      <c r="FX101" s="825"/>
      <c r="FY101" s="825"/>
      <c r="FZ101" s="825"/>
      <c r="GA101" s="825"/>
      <c r="GB101" s="825"/>
      <c r="GC101" s="825"/>
      <c r="GD101" s="825"/>
      <c r="GE101" s="825"/>
      <c r="GF101" s="825"/>
      <c r="GG101" s="825"/>
      <c r="GH101" s="825"/>
      <c r="GI101" s="825"/>
      <c r="GJ101" s="825"/>
      <c r="GK101" s="825"/>
      <c r="GL101" s="825"/>
      <c r="GM101" s="825"/>
      <c r="GN101" s="825"/>
      <c r="GO101" s="825"/>
    </row>
    <row r="102" spans="2:197" ht="15">
      <c r="B102" s="801" t="s">
        <v>15878</v>
      </c>
      <c r="F102" s="1063">
        <v>75</v>
      </c>
      <c r="G102" s="801" t="s">
        <v>15764</v>
      </c>
      <c r="AZ102" s="802" t="s">
        <v>6200</v>
      </c>
      <c r="DC102"/>
      <c r="DD102" s="825">
        <v>53</v>
      </c>
      <c r="DE102" s="825"/>
      <c r="DF102" s="825"/>
      <c r="DG102" s="825" t="s">
        <v>14849</v>
      </c>
      <c r="DH102" s="825"/>
      <c r="DI102" s="825"/>
      <c r="DJ102" s="825"/>
      <c r="DK102" s="825"/>
      <c r="DL102" s="825" t="s">
        <v>14850</v>
      </c>
      <c r="DM102" s="825"/>
      <c r="DN102" s="825"/>
      <c r="DO102" s="825"/>
      <c r="DP102" s="825"/>
      <c r="DQ102" s="825" t="s">
        <v>14851</v>
      </c>
      <c r="DR102" s="825"/>
      <c r="DS102" s="825"/>
      <c r="DT102" s="825"/>
      <c r="DU102" s="825"/>
      <c r="DV102" s="825"/>
      <c r="DW102" s="825"/>
      <c r="DX102" s="825"/>
      <c r="DY102" s="825"/>
      <c r="DZ102" s="825"/>
      <c r="EA102" s="825"/>
      <c r="EB102" s="825"/>
      <c r="EC102" s="825"/>
      <c r="ED102" s="825"/>
      <c r="EE102" s="825"/>
      <c r="EF102" s="825"/>
      <c r="EG102" s="825"/>
      <c r="EH102" s="825"/>
      <c r="EI102" s="825"/>
      <c r="EJ102" s="825"/>
      <c r="EK102" s="825"/>
      <c r="EL102" s="825"/>
      <c r="EM102" s="825"/>
      <c r="EN102" s="825"/>
      <c r="EO102" s="825"/>
      <c r="EP102" s="825"/>
      <c r="EQ102" s="825"/>
      <c r="ER102" s="825"/>
      <c r="ES102" s="825"/>
      <c r="ET102" s="825"/>
      <c r="EU102" s="825"/>
      <c r="EV102" s="825"/>
      <c r="EW102" s="825"/>
      <c r="EX102" s="825"/>
      <c r="EY102" s="825"/>
      <c r="EZ102" s="825"/>
      <c r="FA102" s="825"/>
      <c r="FB102" s="825"/>
      <c r="FC102" s="825"/>
      <c r="FD102" s="825"/>
      <c r="FE102" s="825"/>
      <c r="FF102" s="825"/>
      <c r="FG102" s="825"/>
      <c r="FH102" s="825"/>
      <c r="FI102" s="825"/>
      <c r="FJ102" s="825"/>
      <c r="FK102" s="825"/>
      <c r="FL102" s="825"/>
      <c r="FM102" s="825"/>
      <c r="FN102" s="825"/>
      <c r="FO102" s="825"/>
      <c r="FP102" s="825"/>
      <c r="FQ102" s="825"/>
      <c r="FR102" s="825"/>
      <c r="FS102" s="825"/>
      <c r="FT102" s="825"/>
      <c r="FU102" s="825"/>
      <c r="FV102" s="825"/>
      <c r="FW102" s="825"/>
      <c r="FX102" s="825"/>
      <c r="FY102" s="825"/>
      <c r="FZ102" s="825"/>
      <c r="GA102" s="825"/>
      <c r="GB102" s="825"/>
      <c r="GC102" s="825"/>
      <c r="GD102" s="825"/>
      <c r="GE102" s="825"/>
      <c r="GF102" s="825"/>
      <c r="GG102" s="825"/>
      <c r="GH102" s="825"/>
      <c r="GI102" s="825"/>
      <c r="GJ102" s="825"/>
      <c r="GK102" s="825"/>
      <c r="GL102" s="825"/>
      <c r="GM102" s="825"/>
      <c r="GN102" s="825"/>
      <c r="GO102" s="825"/>
    </row>
    <row r="103" spans="2:197" ht="15">
      <c r="B103" s="801" t="s">
        <v>15879</v>
      </c>
      <c r="F103" s="1063">
        <v>76</v>
      </c>
      <c r="G103" s="801" t="s">
        <v>15766</v>
      </c>
      <c r="AZ103" s="802" t="s">
        <v>6215</v>
      </c>
      <c r="DC103"/>
      <c r="DD103" s="825">
        <v>54</v>
      </c>
      <c r="DE103" s="825"/>
      <c r="DF103" s="825"/>
      <c r="DG103" s="825" t="s">
        <v>14852</v>
      </c>
      <c r="DH103" s="825"/>
      <c r="DI103" s="825"/>
      <c r="DJ103" s="825"/>
      <c r="DK103" s="825"/>
      <c r="DL103" s="825" t="s">
        <v>14853</v>
      </c>
      <c r="DM103" s="825"/>
      <c r="DN103" s="825"/>
      <c r="DO103" s="825"/>
      <c r="DP103" s="825"/>
      <c r="DQ103" s="825" t="s">
        <v>14854</v>
      </c>
      <c r="DR103" s="825"/>
      <c r="DS103" s="825"/>
      <c r="DT103" s="825"/>
      <c r="DU103" s="825"/>
      <c r="DV103" s="825"/>
      <c r="DW103" s="825"/>
      <c r="DX103" s="825"/>
      <c r="DY103" s="825"/>
      <c r="DZ103" s="825"/>
      <c r="EA103" s="825"/>
      <c r="EB103" s="825"/>
      <c r="EC103" s="825"/>
      <c r="ED103" s="825"/>
      <c r="EE103" s="825"/>
      <c r="EF103" s="825"/>
      <c r="EG103" s="825"/>
      <c r="EH103" s="825"/>
      <c r="EI103" s="825"/>
      <c r="EJ103" s="825"/>
      <c r="EK103" s="825"/>
      <c r="EL103" s="825"/>
      <c r="EM103" s="825"/>
      <c r="EN103" s="825"/>
      <c r="EO103" s="825"/>
      <c r="EP103" s="825"/>
      <c r="EQ103" s="825"/>
      <c r="ER103" s="825"/>
      <c r="ES103" s="825"/>
      <c r="ET103" s="825"/>
      <c r="EU103" s="825"/>
      <c r="EV103" s="825"/>
      <c r="EW103" s="825"/>
      <c r="EX103" s="825"/>
      <c r="EY103" s="825"/>
      <c r="EZ103" s="825"/>
      <c r="FA103" s="825"/>
      <c r="FB103" s="825"/>
      <c r="FC103" s="825"/>
      <c r="FD103" s="825"/>
      <c r="FE103" s="825"/>
      <c r="FF103" s="825"/>
      <c r="FG103" s="825"/>
      <c r="FH103" s="825"/>
      <c r="FI103" s="825"/>
      <c r="FJ103" s="825"/>
      <c r="FK103" s="825"/>
      <c r="FL103" s="825"/>
      <c r="FM103" s="825"/>
      <c r="FN103" s="825"/>
      <c r="FO103" s="825"/>
      <c r="FP103" s="825"/>
      <c r="FQ103" s="825"/>
      <c r="FR103" s="825"/>
      <c r="FS103" s="825"/>
      <c r="FT103" s="825"/>
      <c r="FU103" s="825"/>
      <c r="FV103" s="825"/>
      <c r="FW103" s="825"/>
      <c r="FX103" s="825"/>
      <c r="FY103" s="825"/>
      <c r="FZ103" s="825"/>
      <c r="GA103" s="825"/>
      <c r="GB103" s="825"/>
      <c r="GC103" s="825"/>
      <c r="GD103" s="825"/>
      <c r="GE103" s="825"/>
      <c r="GF103" s="825"/>
      <c r="GG103" s="825"/>
      <c r="GH103" s="825"/>
      <c r="GI103" s="825"/>
      <c r="GJ103" s="825"/>
      <c r="GK103" s="825"/>
      <c r="GL103" s="825"/>
      <c r="GM103" s="825"/>
      <c r="GN103" s="825"/>
      <c r="GO103" s="825"/>
    </row>
    <row r="104" spans="2:197" ht="15">
      <c r="B104" s="801" t="s">
        <v>15880</v>
      </c>
      <c r="F104" s="1063">
        <v>77</v>
      </c>
      <c r="G104" s="801" t="s">
        <v>15767</v>
      </c>
      <c r="AZ104" s="802" t="s">
        <v>6042</v>
      </c>
      <c r="DC104"/>
      <c r="DD104" s="825">
        <v>55</v>
      </c>
      <c r="DE104" s="825"/>
      <c r="DF104" s="825"/>
      <c r="DG104" s="825"/>
      <c r="DH104" s="825"/>
      <c r="DI104" s="825"/>
      <c r="DJ104" s="825"/>
      <c r="DK104" s="825"/>
      <c r="DL104" s="825" t="s">
        <v>14855</v>
      </c>
      <c r="DM104" s="825"/>
      <c r="DN104" s="825"/>
      <c r="DO104" s="825"/>
      <c r="DP104" s="825"/>
      <c r="DQ104" s="825"/>
      <c r="DR104" s="825"/>
      <c r="DS104" s="825"/>
      <c r="DT104" s="825"/>
      <c r="DU104" s="825"/>
      <c r="DV104" s="825"/>
      <c r="DW104" s="825"/>
      <c r="DX104" s="825"/>
      <c r="DY104" s="825"/>
      <c r="DZ104" s="825"/>
      <c r="EA104" s="825"/>
      <c r="EB104" s="825"/>
      <c r="EC104" s="825"/>
      <c r="ED104" s="825"/>
      <c r="EE104" s="825"/>
      <c r="EF104" s="825"/>
      <c r="EG104" s="825"/>
      <c r="EH104" s="825"/>
      <c r="EI104" s="825"/>
      <c r="EJ104" s="825"/>
      <c r="EK104" s="825"/>
      <c r="EL104" s="825"/>
      <c r="EM104" s="825"/>
      <c r="EN104" s="825"/>
      <c r="EO104" s="825"/>
      <c r="EP104" s="825"/>
      <c r="EQ104" s="825"/>
      <c r="ER104" s="825"/>
      <c r="ES104" s="825"/>
      <c r="ET104" s="825"/>
      <c r="EU104" s="825"/>
      <c r="EV104" s="825"/>
      <c r="EW104" s="825"/>
      <c r="EX104" s="825"/>
      <c r="EY104" s="825"/>
      <c r="EZ104" s="825"/>
      <c r="FA104" s="825"/>
      <c r="FB104" s="825"/>
      <c r="FC104" s="825"/>
      <c r="FD104" s="825"/>
      <c r="FE104" s="825"/>
      <c r="FF104" s="825"/>
      <c r="FG104" s="825"/>
      <c r="FH104" s="825"/>
      <c r="FI104" s="825"/>
      <c r="FJ104" s="825"/>
      <c r="FK104" s="825"/>
      <c r="FL104" s="825"/>
      <c r="FM104" s="825"/>
      <c r="FN104" s="825"/>
      <c r="FO104" s="825"/>
      <c r="FP104" s="825"/>
      <c r="FQ104" s="825"/>
      <c r="FR104" s="825"/>
      <c r="FS104" s="825"/>
      <c r="FT104" s="825"/>
      <c r="FU104" s="825"/>
      <c r="FV104" s="825"/>
      <c r="FW104" s="825"/>
      <c r="FX104" s="825"/>
      <c r="FY104" s="825"/>
      <c r="FZ104" s="825"/>
      <c r="GA104" s="825"/>
      <c r="GB104" s="825"/>
      <c r="GC104" s="825"/>
      <c r="GD104" s="825"/>
      <c r="GE104" s="825"/>
      <c r="GF104" s="825"/>
      <c r="GG104" s="825"/>
      <c r="GH104" s="825"/>
      <c r="GI104" s="825"/>
      <c r="GJ104" s="825"/>
      <c r="GK104" s="825"/>
      <c r="GL104" s="825"/>
      <c r="GM104" s="825"/>
      <c r="GN104" s="825"/>
      <c r="GO104" s="825"/>
    </row>
    <row r="105" spans="2:197" ht="15">
      <c r="B105" s="801" t="s">
        <v>15881</v>
      </c>
      <c r="F105" s="1063">
        <v>78</v>
      </c>
      <c r="G105" s="801" t="s">
        <v>15768</v>
      </c>
      <c r="AZ105" s="802" t="s">
        <v>6020</v>
      </c>
      <c r="DC105"/>
      <c r="DD105" s="825">
        <v>56</v>
      </c>
      <c r="DE105" s="825"/>
      <c r="DF105" s="825"/>
      <c r="DG105" s="825"/>
      <c r="DH105" s="825"/>
      <c r="DI105" s="825"/>
      <c r="DJ105" s="825"/>
      <c r="DK105" s="825"/>
      <c r="DL105" s="825" t="s">
        <v>14856</v>
      </c>
      <c r="DM105" s="825"/>
      <c r="DN105" s="825"/>
      <c r="DO105" s="825"/>
      <c r="DP105" s="825"/>
      <c r="DQ105" s="825"/>
      <c r="DR105" s="825"/>
      <c r="DS105" s="825"/>
      <c r="DT105" s="825"/>
      <c r="DU105" s="825"/>
      <c r="DV105" s="825"/>
      <c r="DW105" s="825"/>
      <c r="DX105" s="825"/>
      <c r="DY105" s="825"/>
      <c r="DZ105" s="825"/>
      <c r="EA105" s="825"/>
      <c r="EB105" s="825"/>
      <c r="EC105" s="825"/>
      <c r="ED105" s="825"/>
      <c r="EE105" s="825"/>
      <c r="EF105" s="825"/>
      <c r="EG105" s="825"/>
      <c r="EH105" s="825"/>
      <c r="EI105" s="825"/>
      <c r="EJ105" s="825"/>
      <c r="EK105" s="825"/>
      <c r="EL105" s="825"/>
      <c r="EM105" s="825"/>
      <c r="EN105" s="825"/>
      <c r="EO105" s="825"/>
      <c r="EP105" s="825"/>
      <c r="EQ105" s="825"/>
      <c r="ER105" s="825"/>
      <c r="ES105" s="825"/>
      <c r="ET105" s="825"/>
      <c r="EU105" s="825"/>
      <c r="EV105" s="825"/>
      <c r="EW105" s="825"/>
      <c r="EX105" s="825"/>
      <c r="EY105" s="825"/>
      <c r="EZ105" s="825"/>
      <c r="FA105" s="825"/>
      <c r="FB105" s="825"/>
      <c r="FC105" s="825"/>
      <c r="FD105" s="825"/>
      <c r="FE105" s="825"/>
      <c r="FF105" s="825"/>
      <c r="FG105" s="825"/>
      <c r="FH105" s="825"/>
      <c r="FI105" s="825"/>
      <c r="FJ105" s="825"/>
      <c r="FK105" s="825"/>
      <c r="FL105" s="825"/>
      <c r="FM105" s="825"/>
      <c r="FN105" s="825"/>
      <c r="FO105" s="825"/>
      <c r="FP105" s="825"/>
      <c r="FQ105" s="825"/>
      <c r="FR105" s="825"/>
      <c r="FS105" s="825"/>
      <c r="FT105" s="825"/>
      <c r="FU105" s="825"/>
      <c r="FV105" s="825"/>
      <c r="FW105" s="825"/>
      <c r="FX105" s="825"/>
      <c r="FY105" s="825"/>
      <c r="FZ105" s="825"/>
      <c r="GA105" s="825"/>
      <c r="GB105" s="825"/>
      <c r="GC105" s="825"/>
      <c r="GD105" s="825"/>
      <c r="GE105" s="825"/>
      <c r="GF105" s="825"/>
      <c r="GG105" s="825"/>
      <c r="GH105" s="825"/>
      <c r="GI105" s="825"/>
      <c r="GJ105" s="825"/>
      <c r="GK105" s="825"/>
      <c r="GL105" s="825"/>
      <c r="GM105" s="825"/>
      <c r="GN105" s="825"/>
      <c r="GO105" s="825"/>
    </row>
    <row r="106" spans="2:197" ht="15">
      <c r="B106" s="801" t="s">
        <v>15882</v>
      </c>
      <c r="F106" s="1063">
        <v>79</v>
      </c>
      <c r="G106" s="801" t="s">
        <v>15769</v>
      </c>
      <c r="AZ106" s="802" t="s">
        <v>5898</v>
      </c>
      <c r="DC106"/>
      <c r="DD106" s="825">
        <v>57</v>
      </c>
      <c r="DE106" s="825"/>
      <c r="DF106" s="825"/>
      <c r="DG106" s="825"/>
      <c r="DH106" s="825"/>
      <c r="DI106" s="825"/>
      <c r="DJ106" s="825"/>
      <c r="DK106" s="825"/>
      <c r="DL106" s="825" t="s">
        <v>14857</v>
      </c>
      <c r="DM106" s="825"/>
      <c r="DN106" s="825"/>
      <c r="DO106" s="825"/>
      <c r="DP106" s="825"/>
      <c r="DQ106" s="825"/>
      <c r="DR106" s="825"/>
      <c r="DS106" s="825"/>
      <c r="DT106" s="825"/>
      <c r="DU106" s="825"/>
      <c r="DV106" s="825"/>
      <c r="DW106" s="825"/>
      <c r="DX106" s="825"/>
      <c r="DY106" s="825"/>
      <c r="DZ106" s="825"/>
      <c r="EA106" s="825"/>
      <c r="EB106" s="825"/>
      <c r="EC106" s="825"/>
      <c r="ED106" s="825"/>
      <c r="EE106" s="825"/>
      <c r="EF106" s="825"/>
      <c r="EG106" s="825"/>
      <c r="EH106" s="825"/>
      <c r="EI106" s="825"/>
      <c r="EJ106" s="825"/>
      <c r="EK106" s="825"/>
      <c r="EL106" s="825"/>
      <c r="EM106" s="825"/>
      <c r="EN106" s="825"/>
      <c r="EO106" s="825"/>
      <c r="EP106" s="825"/>
      <c r="EQ106" s="825"/>
      <c r="ER106" s="825"/>
      <c r="ES106" s="825"/>
      <c r="ET106" s="825"/>
      <c r="EU106" s="825"/>
      <c r="EV106" s="825"/>
      <c r="EW106" s="825"/>
      <c r="EX106" s="825"/>
      <c r="EY106" s="825"/>
      <c r="EZ106" s="825"/>
      <c r="FA106" s="825"/>
      <c r="FB106" s="825"/>
      <c r="FC106" s="825"/>
      <c r="FD106" s="825"/>
      <c r="FE106" s="825"/>
      <c r="FF106" s="825"/>
      <c r="FG106" s="825"/>
      <c r="FH106" s="825"/>
      <c r="FI106" s="825"/>
      <c r="FJ106" s="825"/>
      <c r="FK106" s="825"/>
      <c r="FL106" s="825"/>
      <c r="FM106" s="825"/>
      <c r="FN106" s="825"/>
      <c r="FO106" s="825"/>
      <c r="FP106" s="825"/>
      <c r="FQ106" s="825"/>
      <c r="FR106" s="825"/>
      <c r="FS106" s="825"/>
      <c r="FT106" s="825"/>
      <c r="FU106" s="825"/>
      <c r="FV106" s="825"/>
      <c r="FW106" s="825"/>
      <c r="FX106" s="825"/>
      <c r="FY106" s="825"/>
      <c r="FZ106" s="825"/>
      <c r="GA106" s="825"/>
      <c r="GB106" s="825"/>
      <c r="GC106" s="825"/>
      <c r="GD106" s="825"/>
      <c r="GE106" s="825"/>
      <c r="GF106" s="825"/>
      <c r="GG106" s="825"/>
      <c r="GH106" s="825"/>
      <c r="GI106" s="825"/>
      <c r="GJ106" s="825"/>
      <c r="GK106" s="825"/>
      <c r="GL106" s="825"/>
      <c r="GM106" s="825"/>
      <c r="GN106" s="825"/>
      <c r="GO106" s="825"/>
    </row>
    <row r="107" spans="2:197" ht="15">
      <c r="B107" s="801" t="s">
        <v>15883</v>
      </c>
      <c r="F107" s="1063">
        <v>80</v>
      </c>
      <c r="G107" s="801" t="s">
        <v>15770</v>
      </c>
      <c r="AZ107" s="802" t="s">
        <v>6032</v>
      </c>
      <c r="DC107"/>
      <c r="DD107" s="825">
        <v>58</v>
      </c>
      <c r="DE107" s="825"/>
      <c r="DF107" s="825"/>
      <c r="DG107" s="825"/>
      <c r="DH107" s="825"/>
      <c r="DI107" s="825"/>
      <c r="DJ107" s="825"/>
      <c r="DK107" s="825"/>
      <c r="DL107" s="825" t="s">
        <v>14858</v>
      </c>
      <c r="DM107" s="825"/>
      <c r="DN107" s="825"/>
      <c r="DO107" s="825"/>
      <c r="DP107" s="825"/>
      <c r="DQ107" s="825"/>
      <c r="DR107" s="825"/>
      <c r="DS107" s="825"/>
      <c r="DT107" s="825"/>
      <c r="DU107" s="825"/>
      <c r="DV107" s="825"/>
      <c r="DW107" s="825"/>
      <c r="DX107" s="825"/>
      <c r="DY107" s="825"/>
      <c r="DZ107" s="825"/>
      <c r="EA107" s="825"/>
      <c r="EB107" s="825"/>
      <c r="EC107" s="825"/>
      <c r="ED107" s="825"/>
      <c r="EE107" s="825"/>
      <c r="EF107" s="825"/>
      <c r="EG107" s="825"/>
      <c r="EH107" s="825"/>
      <c r="EI107" s="825"/>
      <c r="EJ107" s="825"/>
      <c r="EK107" s="825"/>
      <c r="EL107" s="825"/>
      <c r="EM107" s="825"/>
      <c r="EN107" s="825"/>
      <c r="EO107" s="825"/>
      <c r="EP107" s="825"/>
      <c r="EQ107" s="825"/>
      <c r="ER107" s="825"/>
      <c r="ES107" s="825"/>
      <c r="ET107" s="825"/>
      <c r="EU107" s="825"/>
      <c r="EV107" s="825"/>
      <c r="EW107" s="825"/>
      <c r="EX107" s="825"/>
      <c r="EY107" s="825"/>
      <c r="EZ107" s="825"/>
      <c r="FA107" s="825"/>
      <c r="FB107" s="825"/>
      <c r="FC107" s="825"/>
      <c r="FD107" s="825"/>
      <c r="FE107" s="825"/>
      <c r="FF107" s="825"/>
      <c r="FG107" s="825"/>
      <c r="FH107" s="825"/>
      <c r="FI107" s="825"/>
      <c r="FJ107" s="825"/>
      <c r="FK107" s="825"/>
      <c r="FL107" s="825"/>
      <c r="FM107" s="825"/>
      <c r="FN107" s="825"/>
      <c r="FO107" s="825"/>
      <c r="FP107" s="825"/>
      <c r="FQ107" s="825"/>
      <c r="FR107" s="825"/>
      <c r="FS107" s="825"/>
      <c r="FT107" s="825"/>
      <c r="FU107" s="825"/>
      <c r="FV107" s="825"/>
      <c r="FW107" s="825"/>
      <c r="FX107" s="825"/>
      <c r="FY107" s="825"/>
      <c r="FZ107" s="825"/>
      <c r="GA107" s="825"/>
      <c r="GB107" s="825"/>
      <c r="GC107" s="825"/>
      <c r="GD107" s="825"/>
      <c r="GE107" s="825"/>
      <c r="GF107" s="825"/>
      <c r="GG107" s="825"/>
      <c r="GH107" s="825"/>
      <c r="GI107" s="825"/>
      <c r="GJ107" s="825"/>
      <c r="GK107" s="825"/>
      <c r="GL107" s="825"/>
      <c r="GM107" s="825"/>
      <c r="GN107" s="825"/>
      <c r="GO107" s="825"/>
    </row>
    <row r="108" spans="2:197" ht="15">
      <c r="B108" s="801" t="s">
        <v>15884</v>
      </c>
      <c r="F108" s="1063">
        <v>81</v>
      </c>
      <c r="G108" s="801" t="s">
        <v>15771</v>
      </c>
      <c r="AZ108" s="802" t="s">
        <v>5899</v>
      </c>
      <c r="DC108"/>
      <c r="DD108" s="825">
        <v>59</v>
      </c>
      <c r="DE108" s="825"/>
      <c r="DF108" s="825"/>
      <c r="DG108" s="825"/>
      <c r="DH108" s="825"/>
      <c r="DI108" s="825"/>
      <c r="DJ108" s="825"/>
      <c r="DK108" s="825"/>
      <c r="DL108" s="825" t="s">
        <v>14859</v>
      </c>
      <c r="DM108" s="825"/>
      <c r="DN108" s="825"/>
      <c r="DO108" s="825"/>
      <c r="DP108" s="825"/>
      <c r="DQ108" s="825"/>
      <c r="DR108" s="825"/>
      <c r="DS108" s="825"/>
      <c r="DT108" s="825"/>
      <c r="DU108" s="825"/>
      <c r="DV108" s="825"/>
      <c r="DW108" s="825"/>
      <c r="DX108" s="825"/>
      <c r="DY108" s="825"/>
      <c r="DZ108" s="825"/>
      <c r="EA108" s="825"/>
      <c r="EB108" s="825"/>
      <c r="EC108" s="825"/>
      <c r="ED108" s="825"/>
      <c r="EE108" s="825"/>
      <c r="EF108" s="825"/>
      <c r="EG108" s="825"/>
      <c r="EH108" s="825"/>
      <c r="EI108" s="825"/>
      <c r="EJ108" s="825"/>
      <c r="EK108" s="825"/>
      <c r="EL108" s="825"/>
      <c r="EM108" s="825"/>
      <c r="EN108" s="825"/>
      <c r="EO108" s="825"/>
      <c r="EP108" s="825"/>
      <c r="EQ108" s="825"/>
      <c r="ER108" s="825"/>
      <c r="ES108" s="825"/>
      <c r="ET108" s="825"/>
      <c r="EU108" s="825"/>
      <c r="EV108" s="825"/>
      <c r="EW108" s="825"/>
      <c r="EX108" s="825"/>
      <c r="EY108" s="825"/>
      <c r="EZ108" s="825"/>
      <c r="FA108" s="825"/>
      <c r="FB108" s="825"/>
      <c r="FC108" s="825"/>
      <c r="FD108" s="825"/>
      <c r="FE108" s="825"/>
      <c r="FF108" s="825"/>
      <c r="FG108" s="825"/>
      <c r="FH108" s="825"/>
      <c r="FI108" s="825"/>
      <c r="FJ108" s="825"/>
      <c r="FK108" s="825"/>
      <c r="FL108" s="825"/>
      <c r="FM108" s="825"/>
      <c r="FN108" s="825"/>
      <c r="FO108" s="825"/>
      <c r="FP108" s="825"/>
      <c r="FQ108" s="825"/>
      <c r="FR108" s="825"/>
      <c r="FS108" s="825"/>
      <c r="FT108" s="825"/>
      <c r="FU108" s="825"/>
      <c r="FV108" s="825"/>
      <c r="FW108" s="825"/>
      <c r="FX108" s="825"/>
      <c r="FY108" s="825"/>
      <c r="FZ108" s="825"/>
      <c r="GA108" s="825"/>
      <c r="GB108" s="825"/>
      <c r="GC108" s="825"/>
      <c r="GD108" s="825"/>
      <c r="GE108" s="825"/>
      <c r="GF108" s="825"/>
      <c r="GG108" s="825"/>
      <c r="GH108" s="825"/>
      <c r="GI108" s="825"/>
      <c r="GJ108" s="825"/>
      <c r="GK108" s="825"/>
      <c r="GL108" s="825"/>
      <c r="GM108" s="825"/>
      <c r="GN108" s="825"/>
      <c r="GO108" s="825"/>
    </row>
    <row r="109" spans="2:197" ht="15">
      <c r="F109" s="1063">
        <v>82</v>
      </c>
      <c r="G109" s="801" t="s">
        <v>15772</v>
      </c>
      <c r="AZ109" s="802" t="s">
        <v>5877</v>
      </c>
      <c r="DC109"/>
      <c r="DD109" s="825">
        <v>60</v>
      </c>
      <c r="DE109" s="825"/>
      <c r="DF109" s="825"/>
      <c r="DG109" s="825"/>
      <c r="DH109" s="825"/>
      <c r="DI109" s="825"/>
      <c r="DJ109" s="825"/>
      <c r="DK109" s="825"/>
      <c r="DL109" s="825" t="s">
        <v>14860</v>
      </c>
      <c r="DM109" s="825"/>
      <c r="DN109" s="825"/>
      <c r="DO109" s="825"/>
      <c r="DP109" s="825"/>
      <c r="DQ109" s="825"/>
      <c r="DR109" s="825"/>
      <c r="DS109" s="825"/>
      <c r="DT109" s="825"/>
      <c r="DU109" s="825"/>
      <c r="DV109" s="825"/>
      <c r="DW109" s="825"/>
      <c r="DX109" s="825"/>
      <c r="DY109" s="825"/>
      <c r="DZ109" s="825"/>
      <c r="EA109" s="825"/>
      <c r="EB109" s="825"/>
      <c r="EC109" s="825"/>
      <c r="ED109" s="825"/>
      <c r="EE109" s="825"/>
      <c r="EF109" s="825"/>
      <c r="EG109" s="825"/>
      <c r="EH109" s="825"/>
      <c r="EI109" s="825"/>
      <c r="EJ109" s="825"/>
      <c r="EK109" s="825"/>
      <c r="EL109" s="825"/>
      <c r="EM109" s="825"/>
      <c r="EN109" s="825"/>
      <c r="EO109" s="825"/>
      <c r="EP109" s="825"/>
      <c r="EQ109" s="825"/>
      <c r="ER109" s="825"/>
      <c r="ES109" s="825"/>
      <c r="ET109" s="825"/>
      <c r="EU109" s="825"/>
      <c r="EV109" s="825"/>
      <c r="EW109" s="825"/>
      <c r="EX109" s="825"/>
      <c r="EY109" s="825"/>
      <c r="EZ109" s="825"/>
      <c r="FA109" s="825"/>
      <c r="FB109" s="825"/>
      <c r="FC109" s="825"/>
      <c r="FD109" s="825"/>
      <c r="FE109" s="825"/>
      <c r="FF109" s="825"/>
      <c r="FG109" s="825"/>
      <c r="FH109" s="825"/>
      <c r="FI109" s="825"/>
      <c r="FJ109" s="825"/>
      <c r="FK109" s="825"/>
      <c r="FL109" s="825"/>
      <c r="FM109" s="825"/>
      <c r="FN109" s="825"/>
      <c r="FO109" s="825"/>
      <c r="FP109" s="825"/>
      <c r="FQ109" s="825"/>
      <c r="FR109" s="825"/>
      <c r="FS109" s="825"/>
      <c r="FT109" s="825"/>
      <c r="FU109" s="825"/>
      <c r="FV109" s="825"/>
      <c r="FW109" s="825"/>
      <c r="FX109" s="825"/>
      <c r="FY109" s="825"/>
      <c r="FZ109" s="825"/>
      <c r="GA109" s="825"/>
      <c r="GB109" s="825"/>
      <c r="GC109" s="825"/>
      <c r="GD109" s="825"/>
      <c r="GE109" s="825"/>
      <c r="GF109" s="825"/>
      <c r="GG109" s="825"/>
      <c r="GH109" s="825"/>
      <c r="GI109" s="825"/>
      <c r="GJ109" s="825"/>
      <c r="GK109" s="825"/>
      <c r="GL109" s="825"/>
      <c r="GM109" s="825"/>
      <c r="GN109" s="825"/>
      <c r="GO109" s="825"/>
    </row>
    <row r="110" spans="2:197" ht="15">
      <c r="B110" s="801" t="s">
        <v>15885</v>
      </c>
      <c r="F110" s="1063">
        <v>83</v>
      </c>
      <c r="G110" s="801" t="s">
        <v>15773</v>
      </c>
      <c r="AZ110" s="802" t="s">
        <v>5906</v>
      </c>
      <c r="DC110"/>
      <c r="DD110" s="825">
        <v>61</v>
      </c>
      <c r="DE110" s="825"/>
      <c r="DF110" s="825"/>
      <c r="DG110" s="825"/>
      <c r="DH110" s="825"/>
      <c r="DI110" s="825"/>
      <c r="DJ110" s="825"/>
      <c r="DK110" s="825"/>
      <c r="DL110" s="825" t="s">
        <v>14861</v>
      </c>
      <c r="DM110" s="825"/>
      <c r="DN110" s="825"/>
      <c r="DO110" s="825"/>
      <c r="DP110" s="825"/>
      <c r="DQ110" s="825"/>
      <c r="DR110" s="825"/>
      <c r="DS110" s="825"/>
      <c r="DT110" s="825"/>
      <c r="DU110" s="825"/>
      <c r="DV110" s="825"/>
      <c r="DW110" s="825"/>
      <c r="DX110" s="825"/>
      <c r="DY110" s="825"/>
      <c r="DZ110" s="825"/>
      <c r="EA110" s="825"/>
      <c r="EB110" s="825"/>
      <c r="EC110" s="825"/>
      <c r="ED110" s="825"/>
      <c r="EE110" s="825"/>
      <c r="EF110" s="825"/>
      <c r="EG110" s="825"/>
      <c r="EH110" s="825"/>
      <c r="EI110" s="825"/>
      <c r="EJ110" s="825"/>
      <c r="EK110" s="825"/>
      <c r="EL110" s="825"/>
      <c r="EM110" s="825"/>
      <c r="EN110" s="825"/>
      <c r="EO110" s="825"/>
      <c r="EP110" s="825"/>
      <c r="EQ110" s="825"/>
      <c r="ER110" s="825"/>
      <c r="ES110" s="825"/>
      <c r="ET110" s="825"/>
      <c r="EU110" s="825"/>
      <c r="EV110" s="825"/>
      <c r="EW110" s="825"/>
      <c r="EX110" s="825"/>
      <c r="EY110" s="825"/>
      <c r="EZ110" s="825"/>
      <c r="FA110" s="825"/>
      <c r="FB110" s="825"/>
      <c r="FC110" s="825"/>
      <c r="FD110" s="825"/>
      <c r="FE110" s="825"/>
      <c r="FF110" s="825"/>
      <c r="FG110" s="825"/>
      <c r="FH110" s="825"/>
      <c r="FI110" s="825"/>
      <c r="FJ110" s="825"/>
      <c r="FK110" s="825"/>
      <c r="FL110" s="825"/>
      <c r="FM110" s="825"/>
      <c r="FN110" s="825"/>
      <c r="FO110" s="825"/>
      <c r="FP110" s="825"/>
      <c r="FQ110" s="825"/>
      <c r="FR110" s="825"/>
      <c r="FS110" s="825"/>
      <c r="FT110" s="825"/>
      <c r="FU110" s="825"/>
      <c r="FV110" s="825"/>
      <c r="FW110" s="825"/>
      <c r="FX110" s="825"/>
      <c r="FY110" s="825"/>
      <c r="FZ110" s="825"/>
      <c r="GA110" s="825"/>
      <c r="GB110" s="825"/>
      <c r="GC110" s="825"/>
      <c r="GD110" s="825"/>
      <c r="GE110" s="825"/>
      <c r="GF110" s="825"/>
      <c r="GG110" s="825"/>
      <c r="GH110" s="825"/>
      <c r="GI110" s="825"/>
      <c r="GJ110" s="825"/>
      <c r="GK110" s="825"/>
      <c r="GL110" s="825"/>
      <c r="GM110" s="825"/>
      <c r="GN110" s="825"/>
      <c r="GO110" s="825"/>
    </row>
    <row r="111" spans="2:197" ht="15">
      <c r="B111" s="801" t="s">
        <v>15886</v>
      </c>
      <c r="F111" s="1063">
        <v>84</v>
      </c>
      <c r="G111" s="801" t="s">
        <v>15774</v>
      </c>
      <c r="AZ111" s="802" t="s">
        <v>6207</v>
      </c>
      <c r="DC111"/>
      <c r="DD111" s="825">
        <v>62</v>
      </c>
      <c r="DE111" s="825"/>
      <c r="DF111" s="825"/>
      <c r="DG111" s="825"/>
      <c r="DH111" s="825"/>
      <c r="DI111" s="825"/>
      <c r="DJ111" s="825"/>
      <c r="DK111" s="825"/>
      <c r="DL111" s="825" t="s">
        <v>14862</v>
      </c>
      <c r="DM111" s="825"/>
      <c r="DN111" s="825"/>
      <c r="DO111" s="825"/>
      <c r="DP111" s="825"/>
      <c r="DQ111" s="825"/>
      <c r="DR111" s="825"/>
      <c r="DS111" s="825"/>
      <c r="DT111" s="825"/>
      <c r="DU111" s="825"/>
      <c r="DV111" s="825"/>
      <c r="DW111" s="825"/>
      <c r="DX111" s="825"/>
      <c r="DY111" s="825"/>
      <c r="DZ111" s="825"/>
      <c r="EA111" s="825"/>
      <c r="EB111" s="825"/>
      <c r="EC111" s="825"/>
      <c r="ED111" s="825"/>
      <c r="EE111" s="825"/>
      <c r="EF111" s="825"/>
      <c r="EG111" s="825"/>
      <c r="EH111" s="825"/>
      <c r="EI111" s="825"/>
      <c r="EJ111" s="825"/>
      <c r="EK111" s="825"/>
      <c r="EL111" s="825"/>
      <c r="EM111" s="825"/>
      <c r="EN111" s="825"/>
      <c r="EO111" s="825"/>
      <c r="EP111" s="825"/>
      <c r="EQ111" s="825"/>
      <c r="ER111" s="825"/>
      <c r="ES111" s="825"/>
      <c r="ET111" s="825"/>
      <c r="EU111" s="825"/>
      <c r="EV111" s="825"/>
      <c r="EW111" s="825"/>
      <c r="EX111" s="825"/>
      <c r="EY111" s="825"/>
      <c r="EZ111" s="825"/>
      <c r="FA111" s="825"/>
      <c r="FB111" s="825"/>
      <c r="FC111" s="825"/>
      <c r="FD111" s="825"/>
      <c r="FE111" s="825"/>
      <c r="FF111" s="825"/>
      <c r="FG111" s="825"/>
      <c r="FH111" s="825"/>
      <c r="FI111" s="825"/>
      <c r="FJ111" s="825"/>
      <c r="FK111" s="825"/>
      <c r="FL111" s="825"/>
      <c r="FM111" s="825"/>
      <c r="FN111" s="825"/>
      <c r="FO111" s="825"/>
      <c r="FP111" s="825"/>
      <c r="FQ111" s="825"/>
      <c r="FR111" s="825"/>
      <c r="FS111" s="825"/>
      <c r="FT111" s="825"/>
      <c r="FU111" s="825"/>
      <c r="FV111" s="825"/>
      <c r="FW111" s="825"/>
      <c r="FX111" s="825"/>
      <c r="FY111" s="825"/>
      <c r="FZ111" s="825"/>
      <c r="GA111" s="825"/>
      <c r="GB111" s="825"/>
      <c r="GC111" s="825"/>
      <c r="GD111" s="825"/>
      <c r="GE111" s="825"/>
      <c r="GF111" s="825"/>
      <c r="GG111" s="825"/>
      <c r="GH111" s="825"/>
      <c r="GI111" s="825"/>
      <c r="GJ111" s="825"/>
      <c r="GK111" s="825"/>
      <c r="GL111" s="825"/>
      <c r="GM111" s="825"/>
      <c r="GN111" s="825"/>
      <c r="GO111" s="825"/>
    </row>
    <row r="112" spans="2:197" ht="15">
      <c r="B112" s="801" t="s">
        <v>15887</v>
      </c>
      <c r="F112" s="1063">
        <v>85</v>
      </c>
      <c r="G112" s="801" t="s">
        <v>15775</v>
      </c>
      <c r="AZ112" s="802" t="s">
        <v>5992</v>
      </c>
      <c r="DC112"/>
      <c r="DD112" s="825">
        <v>63</v>
      </c>
      <c r="DE112" s="825"/>
      <c r="DF112" s="825"/>
      <c r="DG112" s="825"/>
      <c r="DH112" s="825"/>
      <c r="DI112" s="825"/>
      <c r="DJ112" s="825"/>
      <c r="DK112" s="825"/>
      <c r="DL112" s="825" t="s">
        <v>14863</v>
      </c>
      <c r="DM112" s="825"/>
      <c r="DN112" s="825"/>
      <c r="DO112" s="825"/>
      <c r="DP112" s="825"/>
      <c r="DQ112" s="825"/>
      <c r="DR112" s="825"/>
      <c r="DS112" s="825"/>
      <c r="DT112" s="825"/>
      <c r="DU112" s="825"/>
      <c r="DV112" s="825"/>
      <c r="DW112" s="825"/>
      <c r="DX112" s="825"/>
      <c r="DY112" s="825"/>
      <c r="DZ112" s="825"/>
      <c r="EA112" s="825"/>
      <c r="EB112" s="825"/>
      <c r="EC112" s="825"/>
      <c r="ED112" s="825"/>
      <c r="EE112" s="825"/>
      <c r="EF112" s="825"/>
      <c r="EG112" s="825"/>
      <c r="EH112" s="825"/>
      <c r="EI112" s="825"/>
      <c r="EJ112" s="825"/>
      <c r="EK112" s="825"/>
      <c r="EL112" s="825"/>
      <c r="EM112" s="825"/>
      <c r="EN112" s="825"/>
      <c r="EO112" s="825"/>
      <c r="EP112" s="825"/>
      <c r="EQ112" s="825"/>
      <c r="ER112" s="825"/>
      <c r="ES112" s="825"/>
      <c r="ET112" s="825"/>
      <c r="EU112" s="825"/>
      <c r="EV112" s="825"/>
      <c r="EW112" s="825"/>
      <c r="EX112" s="825"/>
      <c r="EY112" s="825"/>
      <c r="EZ112" s="825"/>
      <c r="FA112" s="825"/>
      <c r="FB112" s="825"/>
      <c r="FC112" s="825"/>
      <c r="FD112" s="825"/>
      <c r="FE112" s="825"/>
      <c r="FF112" s="825"/>
      <c r="FG112" s="825"/>
      <c r="FH112" s="825"/>
      <c r="FI112" s="825"/>
      <c r="FJ112" s="825"/>
      <c r="FK112" s="825"/>
      <c r="FL112" s="825"/>
      <c r="FM112" s="825"/>
      <c r="FN112" s="825"/>
      <c r="FO112" s="825"/>
      <c r="FP112" s="825"/>
      <c r="FQ112" s="825"/>
      <c r="FR112" s="825"/>
      <c r="FS112" s="825"/>
      <c r="FT112" s="825"/>
      <c r="FU112" s="825"/>
      <c r="FV112" s="825"/>
      <c r="FW112" s="825"/>
      <c r="FX112" s="825"/>
      <c r="FY112" s="825"/>
      <c r="FZ112" s="825"/>
      <c r="GA112" s="825"/>
      <c r="GB112" s="825"/>
      <c r="GC112" s="825"/>
      <c r="GD112" s="825"/>
      <c r="GE112" s="825"/>
      <c r="GF112" s="825"/>
      <c r="GG112" s="825"/>
      <c r="GH112" s="825"/>
      <c r="GI112" s="825"/>
      <c r="GJ112" s="825"/>
      <c r="GK112" s="825"/>
      <c r="GL112" s="825"/>
      <c r="GM112" s="825"/>
      <c r="GN112" s="825"/>
      <c r="GO112" s="825"/>
    </row>
    <row r="113" spans="1:197" ht="15">
      <c r="B113" s="801" t="s">
        <v>15888</v>
      </c>
      <c r="F113" s="1063">
        <v>86</v>
      </c>
      <c r="G113" s="801" t="s">
        <v>15776</v>
      </c>
      <c r="AZ113" s="802" t="s">
        <v>5876</v>
      </c>
      <c r="DC113"/>
      <c r="DD113" s="825">
        <v>64</v>
      </c>
      <c r="DE113" s="825"/>
      <c r="DF113" s="825"/>
      <c r="DG113" s="825"/>
      <c r="DH113" s="825"/>
      <c r="DI113" s="825"/>
      <c r="DJ113" s="825"/>
      <c r="DK113" s="825"/>
      <c r="DL113" s="825" t="s">
        <v>14864</v>
      </c>
      <c r="DM113" s="825"/>
      <c r="DN113" s="825"/>
      <c r="DO113" s="825"/>
      <c r="DP113" s="825"/>
      <c r="DQ113" s="825"/>
      <c r="DR113" s="825"/>
      <c r="DS113" s="825"/>
      <c r="DT113" s="825"/>
      <c r="DU113" s="825"/>
      <c r="DV113" s="825"/>
      <c r="DW113" s="825"/>
      <c r="DX113" s="825"/>
      <c r="DY113" s="825"/>
      <c r="DZ113" s="825"/>
      <c r="EA113" s="825"/>
      <c r="EB113" s="825"/>
      <c r="EC113" s="825"/>
      <c r="ED113" s="825"/>
      <c r="EE113" s="825"/>
      <c r="EF113" s="825"/>
      <c r="EG113" s="825"/>
      <c r="EH113" s="825"/>
      <c r="EI113" s="825"/>
      <c r="EJ113" s="825"/>
      <c r="EK113" s="825"/>
      <c r="EL113" s="825"/>
      <c r="EM113" s="825"/>
      <c r="EN113" s="825"/>
      <c r="EO113" s="825"/>
      <c r="EP113" s="825"/>
      <c r="EQ113" s="825"/>
      <c r="ER113" s="825"/>
      <c r="ES113" s="825"/>
      <c r="ET113" s="825"/>
      <c r="EU113" s="825"/>
      <c r="EV113" s="825"/>
      <c r="EW113" s="825"/>
      <c r="EX113" s="825"/>
      <c r="EY113" s="825"/>
      <c r="EZ113" s="825"/>
      <c r="FA113" s="825"/>
      <c r="FB113" s="825"/>
      <c r="FC113" s="825"/>
      <c r="FD113" s="825"/>
      <c r="FE113" s="825"/>
      <c r="FF113" s="825"/>
      <c r="FG113" s="825"/>
      <c r="FH113" s="825"/>
      <c r="FI113" s="825"/>
      <c r="FJ113" s="825"/>
      <c r="FK113" s="825"/>
      <c r="FL113" s="825"/>
      <c r="FM113" s="825"/>
      <c r="FN113" s="825"/>
      <c r="FO113" s="825"/>
      <c r="FP113" s="825"/>
      <c r="FQ113" s="825"/>
      <c r="FR113" s="825"/>
      <c r="FS113" s="825"/>
      <c r="FT113" s="825"/>
      <c r="FU113" s="825"/>
      <c r="FV113" s="825"/>
      <c r="FW113" s="825"/>
      <c r="FX113" s="825"/>
      <c r="FY113" s="825"/>
      <c r="FZ113" s="825"/>
      <c r="GA113" s="825"/>
      <c r="GB113" s="825"/>
      <c r="GC113" s="825"/>
      <c r="GD113" s="825"/>
      <c r="GE113" s="825"/>
      <c r="GF113" s="825"/>
      <c r="GG113" s="825"/>
      <c r="GH113" s="825"/>
      <c r="GI113" s="825"/>
      <c r="GJ113" s="825"/>
      <c r="GK113" s="825"/>
      <c r="GL113" s="825"/>
      <c r="GM113" s="825"/>
      <c r="GN113" s="825"/>
      <c r="GO113" s="825"/>
    </row>
    <row r="114" spans="1:197" ht="15">
      <c r="B114" s="801" t="s">
        <v>15889</v>
      </c>
      <c r="F114" s="1063">
        <v>87</v>
      </c>
      <c r="G114" s="801" t="s">
        <v>15777</v>
      </c>
      <c r="AZ114" s="802" t="s">
        <v>5914</v>
      </c>
      <c r="DC114"/>
      <c r="DD114" s="825">
        <v>65</v>
      </c>
      <c r="DE114" s="825"/>
      <c r="DF114" s="825"/>
      <c r="DG114" s="825"/>
      <c r="DH114" s="825"/>
      <c r="DI114" s="825"/>
      <c r="DJ114" s="825"/>
      <c r="DK114" s="825"/>
      <c r="DL114" s="825" t="s">
        <v>14865</v>
      </c>
      <c r="DM114" s="825"/>
      <c r="DN114" s="825"/>
      <c r="DO114" s="825"/>
      <c r="DP114" s="825"/>
      <c r="DQ114" s="825"/>
      <c r="DR114" s="825"/>
      <c r="DS114" s="825"/>
      <c r="DT114" s="825"/>
      <c r="DU114" s="825"/>
      <c r="DV114" s="825"/>
      <c r="DW114" s="825"/>
      <c r="DX114" s="825"/>
      <c r="DY114" s="825"/>
      <c r="DZ114" s="825"/>
      <c r="EA114" s="825"/>
      <c r="EB114" s="825"/>
      <c r="EC114" s="825"/>
      <c r="ED114" s="825"/>
      <c r="EE114" s="825"/>
      <c r="EF114" s="825"/>
      <c r="EG114" s="825"/>
      <c r="EH114" s="825"/>
      <c r="EI114" s="825"/>
      <c r="EJ114" s="825"/>
      <c r="EK114" s="825"/>
      <c r="EL114" s="825"/>
      <c r="EM114" s="825"/>
      <c r="EN114" s="825"/>
      <c r="EO114" s="825"/>
      <c r="EP114" s="825"/>
      <c r="EQ114" s="825"/>
      <c r="ER114" s="825"/>
      <c r="ES114" s="825"/>
      <c r="ET114" s="825"/>
      <c r="EU114" s="825"/>
      <c r="EV114" s="825"/>
      <c r="EW114" s="825"/>
      <c r="EX114" s="825"/>
      <c r="EY114" s="825"/>
      <c r="EZ114" s="825"/>
      <c r="FA114" s="825"/>
      <c r="FB114" s="825"/>
      <c r="FC114" s="825"/>
      <c r="FD114" s="825"/>
      <c r="FE114" s="825"/>
      <c r="FF114" s="825"/>
      <c r="FG114" s="825"/>
      <c r="FH114" s="825"/>
      <c r="FI114" s="825"/>
      <c r="FJ114" s="825"/>
      <c r="FK114" s="825"/>
      <c r="FL114" s="825"/>
      <c r="FM114" s="825"/>
      <c r="FN114" s="825"/>
      <c r="FO114" s="825"/>
      <c r="FP114" s="825"/>
      <c r="FQ114" s="825"/>
      <c r="FR114" s="825"/>
      <c r="FS114" s="825"/>
      <c r="FT114" s="825"/>
      <c r="FU114" s="825"/>
      <c r="FV114" s="825"/>
      <c r="FW114" s="825"/>
      <c r="FX114" s="825"/>
      <c r="FY114" s="825"/>
      <c r="FZ114" s="825"/>
      <c r="GA114" s="825"/>
      <c r="GB114" s="825"/>
      <c r="GC114" s="825"/>
      <c r="GD114" s="825"/>
      <c r="GE114" s="825"/>
      <c r="GF114" s="825"/>
      <c r="GG114" s="825"/>
      <c r="GH114" s="825"/>
      <c r="GI114" s="825"/>
      <c r="GJ114" s="825"/>
      <c r="GK114" s="825"/>
      <c r="GL114" s="825"/>
      <c r="GM114" s="825"/>
      <c r="GN114" s="825"/>
      <c r="GO114" s="825"/>
    </row>
    <row r="115" spans="1:197" ht="15">
      <c r="B115" s="801" t="s">
        <v>15890</v>
      </c>
      <c r="F115" s="1063">
        <v>88</v>
      </c>
      <c r="G115" s="801" t="s">
        <v>15778</v>
      </c>
      <c r="AZ115" s="802" t="s">
        <v>5825</v>
      </c>
      <c r="DC115"/>
      <c r="DD115" s="825">
        <v>66</v>
      </c>
      <c r="DE115" s="825"/>
      <c r="DF115" s="825"/>
      <c r="DG115" s="825"/>
      <c r="DH115" s="825"/>
      <c r="DI115" s="825"/>
      <c r="DJ115" s="825"/>
      <c r="DK115" s="825"/>
      <c r="DL115" s="825" t="s">
        <v>14866</v>
      </c>
      <c r="DM115" s="825"/>
      <c r="DN115" s="825"/>
      <c r="DO115" s="825"/>
      <c r="DP115" s="825"/>
      <c r="DQ115" s="825"/>
      <c r="DR115" s="825"/>
      <c r="DS115" s="825"/>
      <c r="DT115" s="825"/>
      <c r="DU115" s="825"/>
      <c r="DV115" s="825"/>
      <c r="DW115" s="825"/>
      <c r="DX115" s="825"/>
      <c r="DY115" s="825"/>
      <c r="DZ115" s="825"/>
      <c r="EA115" s="825"/>
      <c r="EB115" s="825"/>
      <c r="EC115" s="825"/>
      <c r="ED115" s="825"/>
      <c r="EE115" s="825"/>
      <c r="EF115" s="825"/>
      <c r="EG115" s="825"/>
      <c r="EH115" s="825"/>
      <c r="EI115" s="825"/>
      <c r="EJ115" s="825"/>
      <c r="EK115" s="825"/>
      <c r="EL115" s="825"/>
      <c r="EM115" s="825"/>
      <c r="EN115" s="825"/>
      <c r="EO115" s="825"/>
      <c r="EP115" s="825"/>
      <c r="EQ115" s="825"/>
      <c r="ER115" s="825"/>
      <c r="ES115" s="825"/>
      <c r="ET115" s="825"/>
      <c r="EU115" s="825"/>
      <c r="EV115" s="825"/>
      <c r="EW115" s="825"/>
      <c r="EX115" s="825"/>
      <c r="EY115" s="825"/>
      <c r="EZ115" s="825"/>
      <c r="FA115" s="825"/>
      <c r="FB115" s="825"/>
      <c r="FC115" s="825"/>
      <c r="FD115" s="825"/>
      <c r="FE115" s="825"/>
      <c r="FF115" s="825"/>
      <c r="FG115" s="825"/>
      <c r="FH115" s="825"/>
      <c r="FI115" s="825"/>
      <c r="FJ115" s="825"/>
      <c r="FK115" s="825"/>
      <c r="FL115" s="825"/>
      <c r="FM115" s="825"/>
      <c r="FN115" s="825"/>
      <c r="FO115" s="825"/>
      <c r="FP115" s="825"/>
      <c r="FQ115" s="825"/>
      <c r="FR115" s="825"/>
      <c r="FS115" s="825"/>
      <c r="FT115" s="825"/>
      <c r="FU115" s="825"/>
      <c r="FV115" s="825"/>
      <c r="FW115" s="825"/>
      <c r="FX115" s="825"/>
      <c r="FY115" s="825"/>
      <c r="FZ115" s="825"/>
      <c r="GA115" s="825"/>
      <c r="GB115" s="825"/>
      <c r="GC115" s="825"/>
      <c r="GD115" s="825"/>
      <c r="GE115" s="825"/>
      <c r="GF115" s="825"/>
      <c r="GG115" s="825"/>
      <c r="GH115" s="825"/>
      <c r="GI115" s="825"/>
      <c r="GJ115" s="825"/>
      <c r="GK115" s="825"/>
      <c r="GL115" s="825"/>
      <c r="GM115" s="825"/>
      <c r="GN115" s="825"/>
      <c r="GO115" s="825"/>
    </row>
    <row r="116" spans="1:197" ht="15">
      <c r="B116" s="801" t="s">
        <v>15891</v>
      </c>
      <c r="F116" s="1063">
        <v>89</v>
      </c>
      <c r="G116" s="801" t="s">
        <v>15779</v>
      </c>
      <c r="AZ116" s="802" t="s">
        <v>5981</v>
      </c>
      <c r="DC116"/>
      <c r="DD116" s="825">
        <v>67</v>
      </c>
      <c r="DE116" s="825"/>
      <c r="DF116" s="825"/>
      <c r="DG116" s="825"/>
      <c r="DH116" s="825"/>
      <c r="DI116" s="825"/>
      <c r="DJ116" s="825"/>
      <c r="DK116" s="825"/>
      <c r="DL116" s="825" t="s">
        <v>14867</v>
      </c>
      <c r="DM116" s="825"/>
      <c r="DN116" s="825"/>
      <c r="DO116" s="825"/>
      <c r="DP116" s="825"/>
      <c r="DQ116" s="825"/>
      <c r="DR116" s="825"/>
      <c r="DS116" s="825"/>
      <c r="DT116" s="825"/>
      <c r="DU116" s="825"/>
      <c r="DV116" s="825"/>
      <c r="DW116" s="825"/>
      <c r="DX116" s="825"/>
      <c r="DY116" s="825"/>
      <c r="DZ116" s="825"/>
      <c r="EA116" s="825"/>
      <c r="EB116" s="825"/>
      <c r="EC116" s="825"/>
      <c r="ED116" s="825"/>
      <c r="EE116" s="825"/>
      <c r="EF116" s="825"/>
      <c r="EG116" s="825"/>
      <c r="EH116" s="825"/>
      <c r="EI116" s="825"/>
      <c r="EJ116" s="825"/>
      <c r="EK116" s="825"/>
      <c r="EL116" s="825"/>
      <c r="EM116" s="825"/>
      <c r="EN116" s="825"/>
      <c r="EO116" s="825"/>
      <c r="EP116" s="825"/>
      <c r="EQ116" s="825"/>
      <c r="ER116" s="825"/>
      <c r="ES116" s="825"/>
      <c r="ET116" s="825"/>
      <c r="EU116" s="825"/>
      <c r="EV116" s="825"/>
      <c r="EW116" s="825"/>
      <c r="EX116" s="825"/>
      <c r="EY116" s="825"/>
      <c r="EZ116" s="825"/>
      <c r="FA116" s="825"/>
      <c r="FB116" s="825"/>
      <c r="FC116" s="825"/>
      <c r="FD116" s="825"/>
      <c r="FE116" s="825"/>
      <c r="FF116" s="825"/>
      <c r="FG116" s="825"/>
      <c r="FH116" s="825"/>
      <c r="FI116" s="825"/>
      <c r="FJ116" s="825"/>
      <c r="FK116" s="825"/>
      <c r="FL116" s="825"/>
      <c r="FM116" s="825"/>
      <c r="FN116" s="825"/>
      <c r="FO116" s="825"/>
      <c r="FP116" s="825"/>
      <c r="FQ116" s="825"/>
      <c r="FR116" s="825"/>
      <c r="FS116" s="825"/>
      <c r="FT116" s="825"/>
      <c r="FU116" s="825"/>
      <c r="FV116" s="825"/>
      <c r="FW116" s="825"/>
      <c r="FX116" s="825"/>
      <c r="FY116" s="825"/>
      <c r="FZ116" s="825"/>
      <c r="GA116" s="825"/>
      <c r="GB116" s="825"/>
      <c r="GC116" s="825"/>
      <c r="GD116" s="825"/>
      <c r="GE116" s="825"/>
      <c r="GF116" s="825"/>
      <c r="GG116" s="825"/>
      <c r="GH116" s="825"/>
      <c r="GI116" s="825"/>
      <c r="GJ116" s="825"/>
      <c r="GK116" s="825"/>
      <c r="GL116" s="825"/>
      <c r="GM116" s="825"/>
      <c r="GN116" s="825"/>
      <c r="GO116" s="825"/>
    </row>
    <row r="117" spans="1:197" ht="15">
      <c r="B117" s="801" t="s">
        <v>15892</v>
      </c>
      <c r="F117" s="1063">
        <v>90</v>
      </c>
      <c r="G117" s="801" t="s">
        <v>15780</v>
      </c>
      <c r="AZ117" s="802" t="s">
        <v>5987</v>
      </c>
      <c r="DC117"/>
      <c r="DD117" s="825">
        <v>68</v>
      </c>
      <c r="DE117" s="825"/>
      <c r="DF117" s="825"/>
      <c r="DG117" s="825"/>
      <c r="DH117" s="825"/>
      <c r="DI117" s="825"/>
      <c r="DJ117" s="825"/>
      <c r="DK117" s="825"/>
      <c r="DL117" s="825" t="s">
        <v>14868</v>
      </c>
      <c r="DM117" s="825"/>
      <c r="DN117" s="825"/>
      <c r="DO117" s="825"/>
      <c r="DP117" s="825"/>
      <c r="DQ117" s="825"/>
      <c r="DR117" s="825"/>
      <c r="DS117" s="825"/>
      <c r="DT117" s="825"/>
      <c r="DU117" s="825"/>
      <c r="DV117" s="825"/>
      <c r="DW117" s="825"/>
      <c r="DX117" s="825"/>
      <c r="DY117" s="825"/>
      <c r="DZ117" s="825"/>
      <c r="EA117" s="825"/>
      <c r="EB117" s="825"/>
      <c r="EC117" s="825"/>
      <c r="ED117" s="825"/>
      <c r="EE117" s="825"/>
      <c r="EF117" s="825"/>
      <c r="EG117" s="825"/>
      <c r="EH117" s="825"/>
      <c r="EI117" s="825"/>
      <c r="EJ117" s="825"/>
      <c r="EK117" s="825"/>
      <c r="EL117" s="825"/>
      <c r="EM117" s="825"/>
      <c r="EN117" s="825"/>
      <c r="EO117" s="825"/>
      <c r="EP117" s="825"/>
      <c r="EQ117" s="825"/>
      <c r="ER117" s="825"/>
      <c r="ES117" s="825"/>
      <c r="ET117" s="825"/>
      <c r="EU117" s="825"/>
      <c r="EV117" s="825"/>
      <c r="EW117" s="825"/>
      <c r="EX117" s="825"/>
      <c r="EY117" s="825"/>
      <c r="EZ117" s="825"/>
      <c r="FA117" s="825"/>
      <c r="FB117" s="825"/>
      <c r="FC117" s="825"/>
      <c r="FD117" s="825"/>
      <c r="FE117" s="825"/>
      <c r="FF117" s="825"/>
      <c r="FG117" s="825"/>
      <c r="FH117" s="825"/>
      <c r="FI117" s="825"/>
      <c r="FJ117" s="825"/>
      <c r="FK117" s="825"/>
      <c r="FL117" s="825"/>
      <c r="FM117" s="825"/>
      <c r="FN117" s="825"/>
      <c r="FO117" s="825"/>
      <c r="FP117" s="825"/>
      <c r="FQ117" s="825"/>
      <c r="FR117" s="825"/>
      <c r="FS117" s="825"/>
      <c r="FT117" s="825"/>
      <c r="FU117" s="825"/>
      <c r="FV117" s="825"/>
      <c r="FW117" s="825"/>
      <c r="FX117" s="825"/>
      <c r="FY117" s="825"/>
      <c r="FZ117" s="825"/>
      <c r="GA117" s="825"/>
      <c r="GB117" s="825"/>
      <c r="GC117" s="825"/>
      <c r="GD117" s="825"/>
      <c r="GE117" s="825"/>
      <c r="GF117" s="825"/>
      <c r="GG117" s="825"/>
      <c r="GH117" s="825"/>
      <c r="GI117" s="825"/>
      <c r="GJ117" s="825"/>
      <c r="GK117" s="825"/>
      <c r="GL117" s="825"/>
      <c r="GM117" s="825"/>
      <c r="GN117" s="825"/>
      <c r="GO117" s="825"/>
    </row>
    <row r="118" spans="1:197" ht="15">
      <c r="B118" s="801" t="s">
        <v>15893</v>
      </c>
      <c r="F118" s="1063">
        <v>91</v>
      </c>
      <c r="G118" s="801" t="s">
        <v>15781</v>
      </c>
      <c r="AZ118" s="802" t="s">
        <v>6031</v>
      </c>
      <c r="DC118"/>
      <c r="DD118" s="825">
        <v>69</v>
      </c>
      <c r="DE118" s="825"/>
      <c r="DF118" s="825"/>
      <c r="DG118" s="825"/>
      <c r="DH118" s="825"/>
      <c r="DI118" s="825"/>
      <c r="DJ118" s="825"/>
      <c r="DK118" s="825"/>
      <c r="DL118" s="825" t="s">
        <v>14869</v>
      </c>
      <c r="DM118" s="825"/>
      <c r="DN118" s="825"/>
      <c r="DO118" s="825"/>
      <c r="DP118" s="825"/>
      <c r="DQ118" s="825"/>
      <c r="DR118" s="825"/>
      <c r="DS118" s="825"/>
      <c r="DT118" s="825"/>
      <c r="DU118" s="825"/>
      <c r="DV118" s="825"/>
      <c r="DW118" s="825"/>
      <c r="DX118" s="825"/>
      <c r="DY118" s="825"/>
      <c r="DZ118" s="825"/>
      <c r="EA118" s="825"/>
      <c r="EB118" s="825"/>
      <c r="EC118" s="825"/>
      <c r="ED118" s="825"/>
      <c r="EE118" s="825"/>
      <c r="EF118" s="825"/>
      <c r="EG118" s="825"/>
      <c r="EH118" s="825"/>
      <c r="EI118" s="825"/>
      <c r="EJ118" s="825"/>
      <c r="EK118" s="825"/>
      <c r="EL118" s="825"/>
      <c r="EM118" s="825"/>
      <c r="EN118" s="825"/>
      <c r="EO118" s="825"/>
      <c r="EP118" s="825"/>
      <c r="EQ118" s="825"/>
      <c r="ER118" s="825"/>
      <c r="ES118" s="825"/>
      <c r="ET118" s="825"/>
      <c r="EU118" s="825"/>
      <c r="EV118" s="825"/>
      <c r="EW118" s="825"/>
      <c r="EX118" s="825"/>
      <c r="EY118" s="825"/>
      <c r="EZ118" s="825"/>
      <c r="FA118" s="825"/>
      <c r="FB118" s="825"/>
      <c r="FC118" s="825"/>
      <c r="FD118" s="825"/>
      <c r="FE118" s="825"/>
      <c r="FF118" s="825"/>
      <c r="FG118" s="825"/>
      <c r="FH118" s="825"/>
      <c r="FI118" s="825"/>
      <c r="FJ118" s="825"/>
      <c r="FK118" s="825"/>
      <c r="FL118" s="825"/>
      <c r="FM118" s="825"/>
      <c r="FN118" s="825"/>
      <c r="FO118" s="825"/>
      <c r="FP118" s="825"/>
      <c r="FQ118" s="825"/>
      <c r="FR118" s="825"/>
      <c r="FS118" s="825"/>
      <c r="FT118" s="825"/>
      <c r="FU118" s="825"/>
      <c r="FV118" s="825"/>
      <c r="FW118" s="825"/>
      <c r="FX118" s="825"/>
      <c r="FY118" s="825"/>
      <c r="FZ118" s="825"/>
      <c r="GA118" s="825"/>
      <c r="GB118" s="825"/>
      <c r="GC118" s="825"/>
      <c r="GD118" s="825"/>
      <c r="GE118" s="825"/>
      <c r="GF118" s="825"/>
      <c r="GG118" s="825"/>
      <c r="GH118" s="825"/>
      <c r="GI118" s="825"/>
      <c r="GJ118" s="825"/>
      <c r="GK118" s="825"/>
      <c r="GL118" s="825"/>
      <c r="GM118" s="825"/>
      <c r="GN118" s="825"/>
      <c r="GO118" s="825"/>
    </row>
    <row r="119" spans="1:197" ht="15">
      <c r="B119" s="801" t="s">
        <v>15894</v>
      </c>
      <c r="F119" s="1063">
        <v>92</v>
      </c>
      <c r="G119" s="801" t="s">
        <v>15782</v>
      </c>
      <c r="AZ119" s="802" t="s">
        <v>5861</v>
      </c>
      <c r="DC119"/>
      <c r="DD119" s="825">
        <v>70</v>
      </c>
      <c r="DE119" s="825"/>
      <c r="DF119" s="825"/>
      <c r="DG119" s="825"/>
      <c r="DH119" s="825"/>
      <c r="DI119" s="825"/>
      <c r="DJ119" s="825"/>
      <c r="DK119" s="825"/>
      <c r="DL119" s="825" t="s">
        <v>14870</v>
      </c>
      <c r="DM119" s="825"/>
      <c r="DN119" s="825"/>
      <c r="DO119" s="825"/>
      <c r="DP119" s="825"/>
      <c r="DQ119" s="825"/>
      <c r="DR119" s="825"/>
      <c r="DS119" s="825"/>
      <c r="DT119" s="825"/>
      <c r="DU119" s="825"/>
      <c r="DV119" s="825"/>
      <c r="DW119" s="825"/>
      <c r="DX119" s="825"/>
      <c r="DY119" s="825"/>
      <c r="DZ119" s="825"/>
      <c r="EA119" s="825"/>
      <c r="EB119" s="825"/>
      <c r="EC119" s="825"/>
      <c r="ED119" s="825"/>
      <c r="EE119" s="825"/>
      <c r="EF119" s="825"/>
      <c r="EG119" s="825"/>
      <c r="EH119" s="825"/>
      <c r="EI119" s="825"/>
      <c r="EJ119" s="825"/>
      <c r="EK119" s="825"/>
      <c r="EL119" s="825"/>
      <c r="EM119" s="825"/>
      <c r="EN119" s="825"/>
      <c r="EO119" s="825"/>
      <c r="EP119" s="825"/>
      <c r="EQ119" s="825"/>
      <c r="ER119" s="825"/>
      <c r="ES119" s="825"/>
      <c r="ET119" s="825"/>
      <c r="EU119" s="825"/>
      <c r="EV119" s="825"/>
      <c r="EW119" s="825"/>
      <c r="EX119" s="825"/>
      <c r="EY119" s="825"/>
      <c r="EZ119" s="825"/>
      <c r="FA119" s="825"/>
      <c r="FB119" s="825"/>
      <c r="FC119" s="825"/>
      <c r="FD119" s="825"/>
      <c r="FE119" s="825"/>
      <c r="FF119" s="825"/>
      <c r="FG119" s="825"/>
      <c r="FH119" s="825"/>
      <c r="FI119" s="825"/>
      <c r="FJ119" s="825"/>
      <c r="FK119" s="825"/>
      <c r="FL119" s="825"/>
      <c r="FM119" s="825"/>
      <c r="FN119" s="825"/>
      <c r="FO119" s="825"/>
      <c r="FP119" s="825"/>
      <c r="FQ119" s="825"/>
      <c r="FR119" s="825"/>
      <c r="FS119" s="825"/>
      <c r="FT119" s="825"/>
      <c r="FU119" s="825"/>
      <c r="FV119" s="825"/>
      <c r="FW119" s="825"/>
      <c r="FX119" s="825"/>
      <c r="FY119" s="825"/>
      <c r="FZ119" s="825"/>
      <c r="GA119" s="825"/>
      <c r="GB119" s="825"/>
      <c r="GC119" s="825"/>
      <c r="GD119" s="825"/>
      <c r="GE119" s="825"/>
      <c r="GF119" s="825"/>
      <c r="GG119" s="825"/>
      <c r="GH119" s="825"/>
      <c r="GI119" s="825"/>
      <c r="GJ119" s="825"/>
      <c r="GK119" s="825"/>
      <c r="GL119" s="825"/>
      <c r="GM119" s="825"/>
      <c r="GN119" s="825"/>
      <c r="GO119" s="825"/>
    </row>
    <row r="120" spans="1:197" ht="15">
      <c r="B120" s="801" t="s">
        <v>15895</v>
      </c>
      <c r="F120" s="1063">
        <v>93</v>
      </c>
      <c r="G120" s="801" t="s">
        <v>15783</v>
      </c>
      <c r="AZ120" s="802" t="s">
        <v>5878</v>
      </c>
      <c r="DC120"/>
      <c r="DD120" s="825">
        <v>71</v>
      </c>
      <c r="DE120" s="825"/>
      <c r="DF120" s="825"/>
      <c r="DG120" s="825"/>
      <c r="DH120" s="825"/>
      <c r="DI120" s="825"/>
      <c r="DJ120" s="825"/>
      <c r="DK120" s="825"/>
      <c r="DL120" s="825" t="s">
        <v>14871</v>
      </c>
      <c r="DM120" s="825"/>
      <c r="DN120" s="825"/>
      <c r="DO120" s="825"/>
      <c r="DP120" s="825"/>
      <c r="DQ120" s="825"/>
      <c r="DR120" s="825"/>
      <c r="DS120" s="825"/>
      <c r="DT120" s="825"/>
      <c r="DU120" s="825"/>
      <c r="DV120" s="825"/>
      <c r="DW120" s="825"/>
      <c r="DX120" s="825"/>
      <c r="DY120" s="825"/>
      <c r="DZ120" s="825"/>
      <c r="EA120" s="825"/>
      <c r="EB120" s="825"/>
      <c r="EC120" s="825"/>
      <c r="ED120" s="825"/>
      <c r="EE120" s="825"/>
      <c r="EF120" s="825"/>
      <c r="EG120" s="825"/>
      <c r="EH120" s="825"/>
      <c r="EI120" s="825"/>
      <c r="EJ120" s="825"/>
      <c r="EK120" s="825"/>
      <c r="EL120" s="825"/>
      <c r="EM120" s="825"/>
      <c r="EN120" s="825"/>
      <c r="EO120" s="825"/>
      <c r="EP120" s="825"/>
      <c r="EQ120" s="825"/>
      <c r="ER120" s="825"/>
      <c r="ES120" s="825"/>
      <c r="ET120" s="825"/>
      <c r="EU120" s="825"/>
      <c r="EV120" s="825"/>
      <c r="EW120" s="825"/>
      <c r="EX120" s="825"/>
      <c r="EY120" s="825"/>
      <c r="EZ120" s="825"/>
      <c r="FA120" s="825"/>
      <c r="FB120" s="825"/>
      <c r="FC120" s="825"/>
      <c r="FD120" s="825"/>
      <c r="FE120" s="825"/>
      <c r="FF120" s="825"/>
      <c r="FG120" s="825"/>
      <c r="FH120" s="825"/>
      <c r="FI120" s="825"/>
      <c r="FJ120" s="825"/>
      <c r="FK120" s="825"/>
      <c r="FL120" s="825"/>
      <c r="FM120" s="825"/>
      <c r="FN120" s="825"/>
      <c r="FO120" s="825"/>
      <c r="FP120" s="825"/>
      <c r="FQ120" s="825"/>
      <c r="FR120" s="825"/>
      <c r="FS120" s="825"/>
      <c r="FT120" s="825"/>
      <c r="FU120" s="825"/>
      <c r="FV120" s="825"/>
      <c r="FW120" s="825"/>
      <c r="FX120" s="825"/>
      <c r="FY120" s="825"/>
      <c r="FZ120" s="825"/>
      <c r="GA120" s="825"/>
      <c r="GB120" s="825"/>
      <c r="GC120" s="825"/>
      <c r="GD120" s="825"/>
      <c r="GE120" s="825"/>
      <c r="GF120" s="825"/>
      <c r="GG120" s="825"/>
      <c r="GH120" s="825"/>
      <c r="GI120" s="825"/>
      <c r="GJ120" s="825"/>
      <c r="GK120" s="825"/>
      <c r="GL120" s="825"/>
      <c r="GM120" s="825"/>
      <c r="GN120" s="825"/>
      <c r="GO120" s="825"/>
    </row>
    <row r="121" spans="1:197" ht="15">
      <c r="B121" s="801" t="s">
        <v>15896</v>
      </c>
      <c r="F121" s="1063">
        <v>94</v>
      </c>
      <c r="G121" s="801" t="s">
        <v>15784</v>
      </c>
      <c r="AZ121" s="802" t="s">
        <v>6226</v>
      </c>
      <c r="DC121"/>
      <c r="DD121" s="825">
        <v>72</v>
      </c>
      <c r="DE121" s="825"/>
      <c r="DF121" s="825"/>
      <c r="DG121" s="825"/>
      <c r="DH121" s="825"/>
      <c r="DI121" s="825"/>
      <c r="DJ121" s="825"/>
      <c r="DK121" s="825"/>
      <c r="DL121" s="825" t="s">
        <v>14725</v>
      </c>
      <c r="DM121" s="825"/>
      <c r="DN121" s="825"/>
      <c r="DO121" s="825"/>
      <c r="DP121" s="825"/>
      <c r="DQ121" s="825"/>
      <c r="DR121" s="825"/>
      <c r="DS121" s="825"/>
      <c r="DT121" s="825"/>
      <c r="DU121" s="825"/>
      <c r="DV121" s="825"/>
      <c r="DW121" s="825"/>
      <c r="DX121" s="825"/>
      <c r="DY121" s="825"/>
      <c r="DZ121" s="825"/>
      <c r="EA121" s="825"/>
      <c r="EB121" s="825"/>
      <c r="EC121" s="825"/>
      <c r="ED121" s="825"/>
      <c r="EE121" s="825"/>
      <c r="EF121" s="825"/>
      <c r="EG121" s="825"/>
      <c r="EH121" s="825"/>
      <c r="EI121" s="825"/>
      <c r="EJ121" s="825"/>
      <c r="EK121" s="825"/>
      <c r="EL121" s="825"/>
      <c r="EM121" s="825"/>
      <c r="EN121" s="825"/>
      <c r="EO121" s="825"/>
      <c r="EP121" s="825"/>
      <c r="EQ121" s="825"/>
      <c r="ER121" s="825"/>
      <c r="ES121" s="825"/>
      <c r="ET121" s="825"/>
      <c r="EU121" s="825"/>
      <c r="EV121" s="825"/>
      <c r="EW121" s="825"/>
      <c r="EX121" s="825"/>
      <c r="EY121" s="825"/>
      <c r="EZ121" s="825"/>
      <c r="FA121" s="825"/>
      <c r="FB121" s="825"/>
      <c r="FC121" s="825"/>
      <c r="FD121" s="825"/>
      <c r="FE121" s="825"/>
      <c r="FF121" s="825"/>
      <c r="FG121" s="825"/>
      <c r="FH121" s="825"/>
      <c r="FI121" s="825"/>
      <c r="FJ121" s="825"/>
      <c r="FK121" s="825"/>
      <c r="FL121" s="825"/>
      <c r="FM121" s="825"/>
      <c r="FN121" s="825"/>
      <c r="FO121" s="825"/>
      <c r="FP121" s="825"/>
      <c r="FQ121" s="825"/>
      <c r="FR121" s="825"/>
      <c r="FS121" s="825"/>
      <c r="FT121" s="825"/>
      <c r="FU121" s="825"/>
      <c r="FV121" s="825"/>
      <c r="FW121" s="825"/>
      <c r="FX121" s="825"/>
      <c r="FY121" s="825"/>
      <c r="FZ121" s="825"/>
      <c r="GA121" s="825"/>
      <c r="GB121" s="825"/>
      <c r="GC121" s="825"/>
      <c r="GD121" s="825"/>
      <c r="GE121" s="825"/>
      <c r="GF121" s="825"/>
      <c r="GG121" s="825"/>
      <c r="GH121" s="825"/>
      <c r="GI121" s="825"/>
      <c r="GJ121" s="825"/>
      <c r="GK121" s="825"/>
      <c r="GL121" s="825"/>
      <c r="GM121" s="825"/>
      <c r="GN121" s="825"/>
      <c r="GO121" s="825"/>
    </row>
    <row r="122" spans="1:197" ht="15">
      <c r="B122" s="801" t="s">
        <v>15897</v>
      </c>
      <c r="F122" s="1063">
        <v>95</v>
      </c>
      <c r="G122" s="801" t="s">
        <v>15785</v>
      </c>
      <c r="AZ122" s="802" t="s">
        <v>5886</v>
      </c>
      <c r="DC122"/>
      <c r="DD122" s="825">
        <v>73</v>
      </c>
      <c r="DE122" s="825"/>
      <c r="DF122" s="825"/>
      <c r="DG122" s="825"/>
      <c r="DH122" s="825"/>
      <c r="DI122" s="825"/>
      <c r="DJ122" s="825"/>
      <c r="DK122" s="825"/>
      <c r="DL122" s="825" t="s">
        <v>14872</v>
      </c>
      <c r="DM122" s="825"/>
      <c r="DN122" s="825"/>
      <c r="DO122" s="825"/>
      <c r="DP122" s="825"/>
      <c r="DQ122" s="825"/>
      <c r="DR122" s="825"/>
      <c r="DS122" s="825"/>
      <c r="DT122" s="825"/>
      <c r="DU122" s="825"/>
      <c r="DV122" s="825"/>
      <c r="DW122" s="825"/>
      <c r="DX122" s="825"/>
      <c r="DY122" s="825"/>
      <c r="DZ122" s="825"/>
      <c r="EA122" s="825"/>
      <c r="EB122" s="825"/>
      <c r="EC122" s="825"/>
      <c r="ED122" s="825"/>
      <c r="EE122" s="825"/>
      <c r="EF122" s="825"/>
      <c r="EG122" s="825"/>
      <c r="EH122" s="825"/>
      <c r="EI122" s="825"/>
      <c r="EJ122" s="825"/>
      <c r="EK122" s="825"/>
      <c r="EL122" s="825"/>
      <c r="EM122" s="825"/>
      <c r="EN122" s="825"/>
      <c r="EO122" s="825"/>
      <c r="EP122" s="825"/>
      <c r="EQ122" s="825"/>
      <c r="ER122" s="825"/>
      <c r="ES122" s="825"/>
      <c r="ET122" s="825"/>
      <c r="EU122" s="825"/>
      <c r="EV122" s="825"/>
      <c r="EW122" s="825"/>
      <c r="EX122" s="825"/>
      <c r="EY122" s="825"/>
      <c r="EZ122" s="825"/>
      <c r="FA122" s="825"/>
      <c r="FB122" s="825"/>
      <c r="FC122" s="825"/>
      <c r="FD122" s="825"/>
      <c r="FE122" s="825"/>
      <c r="FF122" s="825"/>
      <c r="FG122" s="825"/>
      <c r="FH122" s="825"/>
      <c r="FI122" s="825"/>
      <c r="FJ122" s="825"/>
      <c r="FK122" s="825"/>
      <c r="FL122" s="825"/>
      <c r="FM122" s="825"/>
      <c r="FN122" s="825"/>
      <c r="FO122" s="825"/>
      <c r="FP122" s="825"/>
      <c r="FQ122" s="825"/>
      <c r="FR122" s="825"/>
      <c r="FS122" s="825"/>
      <c r="FT122" s="825"/>
      <c r="FU122" s="825"/>
      <c r="FV122" s="825"/>
      <c r="FW122" s="825"/>
      <c r="FX122" s="825"/>
      <c r="FY122" s="825"/>
      <c r="FZ122" s="825"/>
      <c r="GA122" s="825"/>
      <c r="GB122" s="825"/>
      <c r="GC122" s="825"/>
      <c r="GD122" s="825"/>
      <c r="GE122" s="825"/>
      <c r="GF122" s="825"/>
      <c r="GG122" s="825"/>
      <c r="GH122" s="825"/>
      <c r="GI122" s="825"/>
      <c r="GJ122" s="825"/>
      <c r="GK122" s="825"/>
      <c r="GL122" s="825"/>
      <c r="GM122" s="825"/>
      <c r="GN122" s="825"/>
      <c r="GO122" s="825"/>
    </row>
    <row r="123" spans="1:197" ht="15">
      <c r="F123" s="1063">
        <v>96</v>
      </c>
      <c r="G123" s="801" t="s">
        <v>15786</v>
      </c>
      <c r="AZ123" s="802" t="s">
        <v>6069</v>
      </c>
      <c r="DC123"/>
      <c r="DD123" s="825">
        <v>74</v>
      </c>
      <c r="DE123" s="825"/>
      <c r="DF123" s="825"/>
      <c r="DG123" s="825"/>
      <c r="DH123" s="825"/>
      <c r="DI123" s="825"/>
      <c r="DJ123" s="825"/>
      <c r="DK123" s="825"/>
      <c r="DL123" s="825" t="s">
        <v>14873</v>
      </c>
      <c r="DM123" s="825"/>
      <c r="DN123" s="825"/>
      <c r="DO123" s="825"/>
      <c r="DP123" s="825"/>
      <c r="DQ123" s="825"/>
      <c r="DR123" s="825"/>
      <c r="DS123" s="825"/>
      <c r="DT123" s="825"/>
      <c r="DU123" s="825"/>
      <c r="DV123" s="825"/>
      <c r="DW123" s="825"/>
      <c r="DX123" s="825"/>
      <c r="DY123" s="825"/>
      <c r="DZ123" s="825"/>
      <c r="EA123" s="825"/>
      <c r="EB123" s="825"/>
      <c r="EC123" s="825"/>
      <c r="ED123" s="825"/>
      <c r="EE123" s="825"/>
      <c r="EF123" s="825"/>
      <c r="EG123" s="825"/>
      <c r="EH123" s="825"/>
      <c r="EI123" s="825"/>
      <c r="EJ123" s="825"/>
      <c r="EK123" s="825"/>
      <c r="EL123" s="825"/>
      <c r="EM123" s="825"/>
      <c r="EN123" s="825"/>
      <c r="EO123" s="825"/>
      <c r="EP123" s="825"/>
      <c r="EQ123" s="825"/>
      <c r="ER123" s="825"/>
      <c r="ES123" s="825"/>
      <c r="ET123" s="825"/>
      <c r="EU123" s="825"/>
      <c r="EV123" s="825"/>
      <c r="EW123" s="825"/>
      <c r="EX123" s="825"/>
      <c r="EY123" s="825"/>
      <c r="EZ123" s="825"/>
      <c r="FA123" s="825"/>
      <c r="FB123" s="825"/>
      <c r="FC123" s="825"/>
      <c r="FD123" s="825"/>
      <c r="FE123" s="825"/>
      <c r="FF123" s="825"/>
      <c r="FG123" s="825"/>
      <c r="FH123" s="825"/>
      <c r="FI123" s="825"/>
      <c r="FJ123" s="825"/>
      <c r="FK123" s="825"/>
      <c r="FL123" s="825"/>
      <c r="FM123" s="825"/>
      <c r="FN123" s="825"/>
      <c r="FO123" s="825"/>
      <c r="FP123" s="825"/>
      <c r="FQ123" s="825"/>
      <c r="FR123" s="825"/>
      <c r="FS123" s="825"/>
      <c r="FT123" s="825"/>
      <c r="FU123" s="825"/>
      <c r="FV123" s="825"/>
      <c r="FW123" s="825"/>
      <c r="FX123" s="825"/>
      <c r="FY123" s="825"/>
      <c r="FZ123" s="825"/>
      <c r="GA123" s="825"/>
      <c r="GB123" s="825"/>
      <c r="GC123" s="825"/>
      <c r="GD123" s="825"/>
      <c r="GE123" s="825"/>
      <c r="GF123" s="825"/>
      <c r="GG123" s="825"/>
      <c r="GH123" s="825"/>
      <c r="GI123" s="825"/>
      <c r="GJ123" s="825"/>
      <c r="GK123" s="825"/>
      <c r="GL123" s="825"/>
      <c r="GM123" s="825"/>
      <c r="GN123" s="825"/>
      <c r="GO123" s="825"/>
    </row>
    <row r="124" spans="1:197" ht="15">
      <c r="F124" s="1063">
        <v>97</v>
      </c>
      <c r="G124" s="801" t="s">
        <v>15787</v>
      </c>
      <c r="AZ124" s="802" t="s">
        <v>6086</v>
      </c>
      <c r="DC124"/>
      <c r="DD124" s="825">
        <v>75</v>
      </c>
      <c r="DE124" s="825"/>
      <c r="DF124" s="825"/>
      <c r="DG124" s="825"/>
      <c r="DH124" s="825"/>
      <c r="DI124" s="825"/>
      <c r="DJ124" s="825"/>
      <c r="DK124" s="825"/>
      <c r="DL124" s="825" t="s">
        <v>14874</v>
      </c>
      <c r="DM124" s="825"/>
      <c r="DN124" s="825"/>
      <c r="DO124" s="825"/>
      <c r="DP124" s="825"/>
      <c r="DQ124" s="825"/>
      <c r="DR124" s="825"/>
      <c r="DS124" s="825"/>
      <c r="DT124" s="825"/>
      <c r="DU124" s="825"/>
      <c r="DV124" s="825"/>
      <c r="DW124" s="825"/>
      <c r="DX124" s="825"/>
      <c r="DY124" s="825"/>
      <c r="DZ124" s="825"/>
      <c r="EA124" s="825"/>
      <c r="EB124" s="825"/>
      <c r="EC124" s="825"/>
      <c r="ED124" s="825"/>
      <c r="EE124" s="825"/>
      <c r="EF124" s="825"/>
      <c r="EG124" s="825"/>
      <c r="EH124" s="825"/>
      <c r="EI124" s="825"/>
      <c r="EJ124" s="825"/>
      <c r="EK124" s="825"/>
      <c r="EL124" s="825"/>
      <c r="EM124" s="825"/>
      <c r="EN124" s="825"/>
      <c r="EO124" s="825"/>
      <c r="EP124" s="825"/>
      <c r="EQ124" s="825"/>
      <c r="ER124" s="825"/>
      <c r="ES124" s="825"/>
      <c r="ET124" s="825"/>
      <c r="EU124" s="825"/>
      <c r="EV124" s="825"/>
      <c r="EW124" s="825"/>
      <c r="EX124" s="825"/>
      <c r="EY124" s="825"/>
      <c r="EZ124" s="825"/>
      <c r="FA124" s="825"/>
      <c r="FB124" s="825"/>
      <c r="FC124" s="825"/>
      <c r="FD124" s="825"/>
      <c r="FE124" s="825"/>
      <c r="FF124" s="825"/>
      <c r="FG124" s="825"/>
      <c r="FH124" s="825"/>
      <c r="FI124" s="825"/>
      <c r="FJ124" s="825"/>
      <c r="FK124" s="825"/>
      <c r="FL124" s="825"/>
      <c r="FM124" s="825"/>
      <c r="FN124" s="825"/>
      <c r="FO124" s="825"/>
      <c r="FP124" s="825"/>
      <c r="FQ124" s="825"/>
      <c r="FR124" s="825"/>
      <c r="FS124" s="825"/>
      <c r="FT124" s="825"/>
      <c r="FU124" s="825"/>
      <c r="FV124" s="825"/>
      <c r="FW124" s="825"/>
      <c r="FX124" s="825"/>
      <c r="FY124" s="825"/>
      <c r="FZ124" s="825"/>
      <c r="GA124" s="825"/>
      <c r="GB124" s="825"/>
      <c r="GC124" s="825"/>
      <c r="GD124" s="825"/>
      <c r="GE124" s="825"/>
      <c r="GF124" s="825"/>
      <c r="GG124" s="825"/>
      <c r="GH124" s="825"/>
      <c r="GI124" s="825"/>
      <c r="GJ124" s="825"/>
      <c r="GK124" s="825"/>
      <c r="GL124" s="825"/>
      <c r="GM124" s="825"/>
      <c r="GN124" s="825"/>
      <c r="GO124" s="825"/>
    </row>
    <row r="125" spans="1:197" ht="15">
      <c r="F125" s="1063">
        <v>98</v>
      </c>
      <c r="G125" s="801" t="s">
        <v>15788</v>
      </c>
      <c r="AZ125" s="802" t="s">
        <v>6106</v>
      </c>
      <c r="DC125"/>
      <c r="DD125" s="825">
        <v>76</v>
      </c>
      <c r="DE125" s="825"/>
      <c r="DF125" s="825"/>
      <c r="DG125" s="825"/>
      <c r="DH125" s="825"/>
      <c r="DI125" s="825"/>
      <c r="DJ125" s="825"/>
      <c r="DK125" s="825"/>
      <c r="DL125" s="825" t="s">
        <v>14875</v>
      </c>
      <c r="DM125" s="825"/>
      <c r="DN125" s="825"/>
      <c r="DO125" s="825"/>
      <c r="DP125" s="825"/>
      <c r="DQ125" s="825"/>
      <c r="DR125" s="825"/>
      <c r="DS125" s="825"/>
      <c r="DT125" s="825"/>
      <c r="DU125" s="825"/>
      <c r="DV125" s="825"/>
      <c r="DW125" s="825"/>
      <c r="DX125" s="825"/>
      <c r="DY125" s="825"/>
      <c r="DZ125" s="825"/>
      <c r="EA125" s="825"/>
      <c r="EB125" s="825"/>
      <c r="EC125" s="825"/>
      <c r="ED125" s="825"/>
      <c r="EE125" s="825"/>
      <c r="EF125" s="825"/>
      <c r="EG125" s="825"/>
      <c r="EH125" s="825"/>
      <c r="EI125" s="825"/>
      <c r="EJ125" s="825"/>
      <c r="EK125" s="825"/>
      <c r="EL125" s="825"/>
      <c r="EM125" s="825"/>
      <c r="EN125" s="825"/>
      <c r="EO125" s="825"/>
      <c r="EP125" s="825"/>
      <c r="EQ125" s="825"/>
      <c r="ER125" s="825"/>
      <c r="ES125" s="825"/>
      <c r="ET125" s="825"/>
      <c r="EU125" s="825"/>
      <c r="EV125" s="825"/>
      <c r="EW125" s="825"/>
      <c r="EX125" s="825"/>
      <c r="EY125" s="825"/>
      <c r="EZ125" s="825"/>
      <c r="FA125" s="825"/>
      <c r="FB125" s="825"/>
      <c r="FC125" s="825"/>
      <c r="FD125" s="825"/>
      <c r="FE125" s="825"/>
      <c r="FF125" s="825"/>
      <c r="FG125" s="825"/>
      <c r="FH125" s="825"/>
      <c r="FI125" s="825"/>
      <c r="FJ125" s="825"/>
      <c r="FK125" s="825"/>
      <c r="FL125" s="825"/>
      <c r="FM125" s="825"/>
      <c r="FN125" s="825"/>
      <c r="FO125" s="825"/>
      <c r="FP125" s="825"/>
      <c r="FQ125" s="825"/>
      <c r="FR125" s="825"/>
      <c r="FS125" s="825"/>
      <c r="FT125" s="825"/>
      <c r="FU125" s="825"/>
      <c r="FV125" s="825"/>
      <c r="FW125" s="825"/>
      <c r="FX125" s="825"/>
      <c r="FY125" s="825"/>
      <c r="FZ125" s="825"/>
      <c r="GA125" s="825"/>
      <c r="GB125" s="825"/>
      <c r="GC125" s="825"/>
      <c r="GD125" s="825"/>
      <c r="GE125" s="825"/>
      <c r="GF125" s="825"/>
      <c r="GG125" s="825"/>
      <c r="GH125" s="825"/>
      <c r="GI125" s="825"/>
      <c r="GJ125" s="825"/>
      <c r="GK125" s="825"/>
      <c r="GL125" s="825"/>
      <c r="GM125" s="825"/>
      <c r="GN125" s="825"/>
      <c r="GO125" s="825"/>
    </row>
    <row r="126" spans="1:197" ht="15">
      <c r="A126" s="801" t="s">
        <v>15898</v>
      </c>
      <c r="F126" s="1065"/>
      <c r="G126" s="1064" t="s">
        <v>15765</v>
      </c>
      <c r="AZ126" s="802" t="s">
        <v>6090</v>
      </c>
      <c r="DC126"/>
      <c r="DD126" s="825">
        <v>77</v>
      </c>
      <c r="DE126" s="825"/>
      <c r="DF126" s="825"/>
      <c r="DG126" s="825"/>
      <c r="DH126" s="825"/>
      <c r="DI126" s="825"/>
      <c r="DJ126" s="825"/>
      <c r="DK126" s="825"/>
      <c r="DL126" s="825"/>
      <c r="DM126" s="825"/>
      <c r="DN126" s="825"/>
      <c r="DO126" s="825"/>
      <c r="DP126" s="825"/>
      <c r="DQ126" s="825"/>
      <c r="DR126" s="825"/>
      <c r="DS126" s="825"/>
      <c r="DT126" s="825"/>
      <c r="DU126" s="825"/>
      <c r="DV126" s="825"/>
      <c r="DW126" s="825"/>
      <c r="DX126" s="825"/>
      <c r="DY126" s="825"/>
      <c r="DZ126" s="825"/>
      <c r="EA126" s="825"/>
      <c r="EB126" s="825"/>
      <c r="EC126" s="825"/>
      <c r="ED126" s="825"/>
      <c r="EE126" s="825"/>
      <c r="EF126" s="825"/>
      <c r="EG126" s="825"/>
      <c r="EH126" s="825"/>
      <c r="EI126" s="825"/>
      <c r="EJ126" s="825"/>
      <c r="EK126" s="825"/>
      <c r="EL126" s="825"/>
      <c r="EM126" s="825"/>
      <c r="EN126" s="825"/>
      <c r="EO126" s="825"/>
      <c r="EP126" s="825"/>
      <c r="EQ126" s="825"/>
      <c r="ER126" s="825"/>
      <c r="ES126" s="825"/>
      <c r="ET126" s="825"/>
      <c r="EU126" s="825"/>
      <c r="EV126" s="825"/>
      <c r="EW126" s="825"/>
      <c r="EX126" s="825"/>
      <c r="EY126" s="825"/>
      <c r="EZ126" s="825"/>
      <c r="FA126" s="825"/>
      <c r="FB126" s="825"/>
      <c r="FC126" s="825"/>
      <c r="FD126" s="825"/>
      <c r="FE126" s="825"/>
      <c r="FF126" s="825"/>
      <c r="FG126" s="825"/>
      <c r="FH126" s="825"/>
      <c r="FI126" s="825"/>
      <c r="FJ126" s="825"/>
      <c r="FK126" s="825"/>
      <c r="FL126" s="825"/>
      <c r="FM126" s="825"/>
      <c r="FN126" s="825"/>
      <c r="FO126" s="825"/>
      <c r="FP126" s="825"/>
      <c r="FQ126" s="825"/>
      <c r="FR126" s="825"/>
      <c r="FS126" s="825"/>
      <c r="FT126" s="825"/>
      <c r="FU126" s="825"/>
      <c r="FV126" s="825"/>
      <c r="FW126" s="825"/>
      <c r="FX126" s="825"/>
      <c r="FY126" s="825"/>
      <c r="FZ126" s="825"/>
      <c r="GA126" s="825"/>
      <c r="GB126" s="825"/>
      <c r="GC126" s="825"/>
      <c r="GD126" s="825"/>
      <c r="GE126" s="825"/>
      <c r="GF126" s="825"/>
      <c r="GG126" s="825"/>
      <c r="GH126" s="825"/>
      <c r="GI126" s="825"/>
      <c r="GJ126" s="825"/>
      <c r="GK126" s="825"/>
      <c r="GL126" s="825"/>
      <c r="GM126" s="825"/>
      <c r="GN126" s="825"/>
      <c r="GO126" s="825"/>
    </row>
    <row r="127" spans="1:197" ht="15">
      <c r="A127" s="801" t="s">
        <v>7698</v>
      </c>
      <c r="B127" s="801" t="s">
        <v>15899</v>
      </c>
      <c r="AZ127" s="802" t="s">
        <v>5993</v>
      </c>
      <c r="DC127"/>
      <c r="DD127" s="825">
        <v>78</v>
      </c>
      <c r="DE127" s="825"/>
      <c r="DF127" s="825"/>
      <c r="DG127" s="825"/>
      <c r="DH127" s="825"/>
      <c r="DI127" s="825"/>
      <c r="DJ127" s="825"/>
      <c r="DK127" s="825"/>
      <c r="DL127" s="825"/>
      <c r="DM127" s="825"/>
      <c r="DN127" s="825"/>
      <c r="DO127" s="825"/>
      <c r="DP127" s="825"/>
      <c r="DQ127" s="825"/>
      <c r="DR127" s="825"/>
      <c r="DS127" s="825"/>
      <c r="DT127" s="825"/>
      <c r="DU127" s="825"/>
      <c r="DV127" s="825"/>
      <c r="DW127" s="825"/>
      <c r="DX127" s="825"/>
      <c r="DY127" s="825"/>
      <c r="DZ127" s="825"/>
      <c r="EA127" s="825"/>
      <c r="EB127" s="825"/>
      <c r="EC127" s="825"/>
      <c r="ED127" s="825"/>
      <c r="EE127" s="825"/>
      <c r="EF127" s="825"/>
      <c r="EG127" s="825"/>
      <c r="EH127" s="825"/>
      <c r="EI127" s="825"/>
      <c r="EJ127" s="825"/>
      <c r="EK127" s="825"/>
      <c r="EL127" s="825"/>
      <c r="EM127" s="825"/>
      <c r="EN127" s="825"/>
      <c r="EO127" s="825"/>
      <c r="EP127" s="825"/>
      <c r="EQ127" s="825"/>
      <c r="ER127" s="825"/>
      <c r="ES127" s="825"/>
      <c r="ET127" s="825"/>
      <c r="EU127" s="825"/>
      <c r="EV127" s="825"/>
      <c r="EW127" s="825"/>
      <c r="EX127" s="825"/>
      <c r="EY127" s="825"/>
      <c r="EZ127" s="825"/>
      <c r="FA127" s="825"/>
      <c r="FB127" s="825"/>
      <c r="FC127" s="825"/>
      <c r="FD127" s="825"/>
      <c r="FE127" s="825"/>
      <c r="FF127" s="825"/>
      <c r="FG127" s="825"/>
      <c r="FH127" s="825"/>
      <c r="FI127" s="825"/>
      <c r="FJ127" s="825"/>
      <c r="FK127" s="825"/>
      <c r="FL127" s="825"/>
      <c r="FM127" s="825"/>
      <c r="FN127" s="825"/>
      <c r="FO127" s="825"/>
      <c r="FP127" s="825"/>
      <c r="FQ127" s="825"/>
      <c r="FR127" s="825"/>
      <c r="FS127" s="825"/>
      <c r="FT127" s="825"/>
      <c r="FU127" s="825"/>
      <c r="FV127" s="825"/>
      <c r="FW127" s="825"/>
      <c r="FX127" s="825"/>
      <c r="FY127" s="825"/>
      <c r="FZ127" s="825"/>
      <c r="GA127" s="825"/>
      <c r="GB127" s="825"/>
      <c r="GC127" s="825"/>
      <c r="GD127" s="825"/>
      <c r="GE127" s="825"/>
      <c r="GF127" s="825"/>
      <c r="GG127" s="825"/>
      <c r="GH127" s="825"/>
      <c r="GI127" s="825"/>
      <c r="GJ127" s="825"/>
      <c r="GK127" s="825"/>
      <c r="GL127" s="825"/>
      <c r="GM127" s="825"/>
      <c r="GN127" s="825"/>
      <c r="GO127" s="825"/>
    </row>
    <row r="128" spans="1:197" ht="15">
      <c r="A128" s="801" t="s">
        <v>8366</v>
      </c>
      <c r="B128" s="801" t="s">
        <v>15900</v>
      </c>
      <c r="AZ128" s="802" t="s">
        <v>6217</v>
      </c>
      <c r="DC128"/>
      <c r="DD128" s="825">
        <v>79</v>
      </c>
      <c r="DE128" s="825"/>
      <c r="DF128" s="825"/>
      <c r="DG128" s="825"/>
      <c r="DH128" s="825"/>
      <c r="DI128" s="825"/>
      <c r="DJ128" s="825"/>
      <c r="DK128" s="825"/>
      <c r="DL128" s="825"/>
      <c r="DM128" s="825"/>
      <c r="DN128" s="825"/>
      <c r="DO128" s="825"/>
      <c r="DP128" s="825"/>
      <c r="DQ128" s="825"/>
      <c r="DR128" s="825"/>
      <c r="DS128" s="825"/>
      <c r="DT128" s="825"/>
      <c r="DU128" s="825"/>
      <c r="DV128" s="825"/>
      <c r="DW128" s="825"/>
      <c r="DX128" s="825"/>
      <c r="DY128" s="825"/>
      <c r="DZ128" s="825"/>
      <c r="EA128" s="825"/>
      <c r="EB128" s="825"/>
      <c r="EC128" s="825"/>
      <c r="ED128" s="825"/>
      <c r="EE128" s="825"/>
      <c r="EF128" s="825"/>
      <c r="EG128" s="825"/>
      <c r="EH128" s="825"/>
      <c r="EI128" s="825"/>
      <c r="EJ128" s="825"/>
      <c r="EK128" s="825"/>
      <c r="EL128" s="825"/>
      <c r="EM128" s="825"/>
      <c r="EN128" s="825"/>
      <c r="EO128" s="825"/>
      <c r="EP128" s="825"/>
      <c r="EQ128" s="825"/>
      <c r="ER128" s="825"/>
      <c r="ES128" s="825"/>
      <c r="ET128" s="825"/>
      <c r="EU128" s="825"/>
      <c r="EV128" s="825"/>
      <c r="EW128" s="825"/>
      <c r="EX128" s="825"/>
      <c r="EY128" s="825"/>
      <c r="EZ128" s="825"/>
      <c r="FA128" s="825"/>
      <c r="FB128" s="825"/>
      <c r="FC128" s="825"/>
      <c r="FD128" s="825"/>
      <c r="FE128" s="825"/>
      <c r="FF128" s="825"/>
      <c r="FG128" s="825"/>
      <c r="FH128" s="825"/>
      <c r="FI128" s="825"/>
      <c r="FJ128" s="825"/>
      <c r="FK128" s="825"/>
      <c r="FL128" s="825"/>
      <c r="FM128" s="825"/>
      <c r="FN128" s="825"/>
      <c r="FO128" s="825"/>
      <c r="FP128" s="825"/>
      <c r="FQ128" s="825"/>
      <c r="FR128" s="825"/>
      <c r="FS128" s="825"/>
      <c r="FT128" s="825"/>
      <c r="FU128" s="825"/>
      <c r="FV128" s="825"/>
      <c r="FW128" s="825"/>
      <c r="FX128" s="825"/>
      <c r="FY128" s="825"/>
      <c r="FZ128" s="825"/>
      <c r="GA128" s="825"/>
      <c r="GB128" s="825"/>
      <c r="GC128" s="825"/>
      <c r="GD128" s="825"/>
      <c r="GE128" s="825"/>
      <c r="GF128" s="825"/>
      <c r="GG128" s="825"/>
      <c r="GH128" s="825"/>
      <c r="GI128" s="825"/>
      <c r="GJ128" s="825"/>
      <c r="GK128" s="825"/>
      <c r="GL128" s="825"/>
      <c r="GM128" s="825"/>
      <c r="GN128" s="825"/>
      <c r="GO128" s="825"/>
    </row>
    <row r="129" spans="1:197" ht="15">
      <c r="A129" s="801" t="s">
        <v>8367</v>
      </c>
      <c r="B129" s="801" t="s">
        <v>6814</v>
      </c>
      <c r="AZ129" s="802" t="s">
        <v>6097</v>
      </c>
      <c r="DC129"/>
      <c r="DD129" s="825">
        <v>80</v>
      </c>
      <c r="DE129" s="825"/>
      <c r="DF129" s="825"/>
      <c r="DG129" s="825"/>
      <c r="DH129" s="825"/>
      <c r="DI129" s="825"/>
      <c r="DJ129" s="825"/>
      <c r="DK129" s="825"/>
      <c r="DL129" s="825"/>
      <c r="DM129" s="825"/>
      <c r="DN129" s="825"/>
      <c r="DO129" s="825"/>
      <c r="DP129" s="825"/>
      <c r="DQ129" s="825"/>
      <c r="DR129" s="825"/>
      <c r="DS129" s="825"/>
      <c r="DT129" s="825"/>
      <c r="DU129" s="825"/>
      <c r="DV129" s="825"/>
      <c r="DW129" s="825"/>
      <c r="DX129" s="825"/>
      <c r="DY129" s="825"/>
      <c r="DZ129" s="825"/>
      <c r="EA129" s="825"/>
      <c r="EB129" s="825"/>
      <c r="EC129" s="825"/>
      <c r="ED129" s="825"/>
      <c r="EE129" s="825"/>
      <c r="EF129" s="825"/>
      <c r="EG129" s="825"/>
      <c r="EH129" s="825"/>
      <c r="EI129" s="825"/>
      <c r="EJ129" s="825"/>
      <c r="EK129" s="825"/>
      <c r="EL129" s="825"/>
      <c r="EM129" s="825"/>
      <c r="EN129" s="825"/>
      <c r="EO129" s="825"/>
      <c r="EP129" s="825"/>
      <c r="EQ129" s="825"/>
      <c r="ER129" s="825"/>
      <c r="ES129" s="825"/>
      <c r="ET129" s="825"/>
      <c r="EU129" s="825"/>
      <c r="EV129" s="825"/>
      <c r="EW129" s="825"/>
      <c r="EX129" s="825"/>
      <c r="EY129" s="825"/>
      <c r="EZ129" s="825"/>
      <c r="FA129" s="825"/>
      <c r="FB129" s="825"/>
      <c r="FC129" s="825"/>
      <c r="FD129" s="825"/>
      <c r="FE129" s="825"/>
      <c r="FF129" s="825"/>
      <c r="FG129" s="825"/>
      <c r="FH129" s="825"/>
      <c r="FI129" s="825"/>
      <c r="FJ129" s="825"/>
      <c r="FK129" s="825"/>
      <c r="FL129" s="825"/>
      <c r="FM129" s="825"/>
      <c r="FN129" s="825"/>
      <c r="FO129" s="825"/>
      <c r="FP129" s="825"/>
      <c r="FQ129" s="825"/>
      <c r="FR129" s="825"/>
      <c r="FS129" s="825"/>
      <c r="FT129" s="825"/>
      <c r="FU129" s="825"/>
      <c r="FV129" s="825"/>
      <c r="FW129" s="825"/>
      <c r="FX129" s="825"/>
      <c r="FY129" s="825"/>
      <c r="FZ129" s="825"/>
      <c r="GA129" s="825"/>
      <c r="GB129" s="825"/>
      <c r="GC129" s="825"/>
      <c r="GD129" s="825"/>
      <c r="GE129" s="825"/>
      <c r="GF129" s="825"/>
      <c r="GG129" s="825"/>
      <c r="GH129" s="825"/>
      <c r="GI129" s="825"/>
      <c r="GJ129" s="825"/>
      <c r="GK129" s="825"/>
      <c r="GL129" s="825"/>
      <c r="GM129" s="825"/>
      <c r="GN129" s="825"/>
      <c r="GO129" s="825"/>
    </row>
    <row r="130" spans="1:197" ht="15">
      <c r="A130" s="801" t="s">
        <v>8368</v>
      </c>
      <c r="B130" s="801" t="s">
        <v>15901</v>
      </c>
      <c r="F130" s="801" t="s">
        <v>15929</v>
      </c>
      <c r="G130" s="801" t="s">
        <v>15930</v>
      </c>
      <c r="AZ130" s="802" t="s">
        <v>6163</v>
      </c>
      <c r="DC130"/>
      <c r="DD130" s="825">
        <v>81</v>
      </c>
      <c r="DE130" s="825"/>
      <c r="DF130" s="825"/>
      <c r="DG130" s="825"/>
      <c r="DH130" s="825"/>
      <c r="DI130" s="825"/>
      <c r="DJ130" s="825"/>
      <c r="DK130" s="825"/>
      <c r="DL130" s="825"/>
      <c r="DM130" s="825"/>
      <c r="DN130" s="825"/>
      <c r="DO130" s="825"/>
      <c r="DP130" s="825"/>
      <c r="DQ130" s="825"/>
      <c r="DR130" s="825"/>
      <c r="DS130" s="825"/>
      <c r="DT130" s="825"/>
      <c r="DU130" s="825"/>
      <c r="DV130" s="825"/>
      <c r="DW130" s="825"/>
      <c r="DX130" s="825"/>
      <c r="DY130" s="825"/>
      <c r="DZ130" s="825"/>
      <c r="EA130" s="825"/>
      <c r="EB130" s="825"/>
      <c r="EC130" s="825"/>
      <c r="ED130" s="825"/>
      <c r="EE130" s="825"/>
      <c r="EF130" s="825"/>
      <c r="EG130" s="825"/>
      <c r="EH130" s="825"/>
      <c r="EI130" s="825"/>
      <c r="EJ130" s="825"/>
      <c r="EK130" s="825"/>
      <c r="EL130" s="825"/>
      <c r="EM130" s="825"/>
      <c r="EN130" s="825"/>
      <c r="EO130" s="825"/>
      <c r="EP130" s="825"/>
      <c r="EQ130" s="825"/>
      <c r="ER130" s="825"/>
      <c r="ES130" s="825"/>
      <c r="ET130" s="825"/>
      <c r="EU130" s="825"/>
      <c r="EV130" s="825"/>
      <c r="EW130" s="825"/>
      <c r="EX130" s="825"/>
      <c r="EY130" s="825"/>
      <c r="EZ130" s="825"/>
      <c r="FA130" s="825"/>
      <c r="FB130" s="825"/>
      <c r="FC130" s="825"/>
      <c r="FD130" s="825"/>
      <c r="FE130" s="825"/>
      <c r="FF130" s="825"/>
      <c r="FG130" s="825"/>
      <c r="FH130" s="825"/>
      <c r="FI130" s="825"/>
      <c r="FJ130" s="825"/>
      <c r="FK130" s="825"/>
      <c r="FL130" s="825"/>
      <c r="FM130" s="825"/>
      <c r="FN130" s="825"/>
      <c r="FO130" s="825"/>
      <c r="FP130" s="825"/>
      <c r="FQ130" s="825"/>
      <c r="FR130" s="825"/>
      <c r="FS130" s="825"/>
      <c r="FT130" s="825"/>
      <c r="FU130" s="825"/>
      <c r="FV130" s="825"/>
      <c r="FW130" s="825"/>
      <c r="FX130" s="825"/>
      <c r="FY130" s="825"/>
      <c r="FZ130" s="825"/>
      <c r="GA130" s="825"/>
      <c r="GB130" s="825"/>
      <c r="GC130" s="825"/>
      <c r="GD130" s="825"/>
      <c r="GE130" s="825"/>
      <c r="GF130" s="825"/>
      <c r="GG130" s="825"/>
      <c r="GH130" s="825"/>
      <c r="GI130" s="825"/>
      <c r="GJ130" s="825"/>
      <c r="GK130" s="825"/>
      <c r="GL130" s="825"/>
      <c r="GM130" s="825"/>
      <c r="GN130" s="825"/>
      <c r="GO130" s="825"/>
    </row>
    <row r="131" spans="1:197" ht="15">
      <c r="A131" s="801" t="s">
        <v>8369</v>
      </c>
      <c r="B131" s="801" t="s">
        <v>15902</v>
      </c>
      <c r="F131" s="1067" t="s">
        <v>15931</v>
      </c>
      <c r="G131" s="1067" t="s">
        <v>15994</v>
      </c>
      <c r="AZ131" s="802" t="s">
        <v>5907</v>
      </c>
      <c r="DC131"/>
      <c r="DD131" s="825">
        <v>82</v>
      </c>
      <c r="DE131" s="825"/>
      <c r="DF131" s="825"/>
      <c r="DG131" s="825"/>
      <c r="DH131" s="825"/>
      <c r="DI131" s="825"/>
      <c r="DJ131" s="825"/>
      <c r="DK131" s="825"/>
      <c r="DL131" s="825"/>
      <c r="DM131" s="825"/>
      <c r="DN131" s="825"/>
      <c r="DO131" s="825"/>
      <c r="DP131" s="825"/>
      <c r="DQ131" s="825"/>
      <c r="DR131" s="825"/>
      <c r="DS131" s="825"/>
      <c r="DT131" s="825"/>
      <c r="DU131" s="825"/>
      <c r="DV131" s="825"/>
      <c r="DW131" s="825"/>
      <c r="DX131" s="825"/>
      <c r="DY131" s="825"/>
      <c r="DZ131" s="825"/>
      <c r="EA131" s="825"/>
      <c r="EB131" s="825"/>
      <c r="EC131" s="825"/>
      <c r="ED131" s="825"/>
      <c r="EE131" s="825"/>
      <c r="EF131" s="825"/>
      <c r="EG131" s="825"/>
      <c r="EH131" s="825"/>
      <c r="EI131" s="825"/>
      <c r="EJ131" s="825"/>
      <c r="EK131" s="825"/>
      <c r="EL131" s="825"/>
      <c r="EM131" s="825"/>
      <c r="EN131" s="825"/>
      <c r="EO131" s="825"/>
      <c r="EP131" s="825"/>
      <c r="EQ131" s="825"/>
      <c r="ER131" s="825"/>
      <c r="ES131" s="825"/>
      <c r="ET131" s="825"/>
      <c r="EU131" s="825"/>
      <c r="EV131" s="825"/>
      <c r="EW131" s="825"/>
      <c r="EX131" s="825"/>
      <c r="EY131" s="825"/>
      <c r="EZ131" s="825"/>
      <c r="FA131" s="825"/>
      <c r="FB131" s="825"/>
      <c r="FC131" s="825"/>
      <c r="FD131" s="825"/>
      <c r="FE131" s="825"/>
      <c r="FF131" s="825"/>
      <c r="FG131" s="825"/>
      <c r="FH131" s="825"/>
      <c r="FI131" s="825"/>
      <c r="FJ131" s="825"/>
      <c r="FK131" s="825"/>
      <c r="FL131" s="825"/>
      <c r="FM131" s="825"/>
      <c r="FN131" s="825"/>
      <c r="FO131" s="825"/>
      <c r="FP131" s="825"/>
      <c r="FQ131" s="825"/>
      <c r="FR131" s="825"/>
      <c r="FS131" s="825"/>
      <c r="FT131" s="825"/>
      <c r="FU131" s="825"/>
      <c r="FV131" s="825"/>
      <c r="FW131" s="825"/>
      <c r="FX131" s="825"/>
      <c r="FY131" s="825"/>
      <c r="FZ131" s="825"/>
      <c r="GA131" s="825"/>
      <c r="GB131" s="825"/>
      <c r="GC131" s="825"/>
      <c r="GD131" s="825"/>
      <c r="GE131" s="825"/>
      <c r="GF131" s="825"/>
      <c r="GG131" s="825"/>
      <c r="GH131" s="825"/>
      <c r="GI131" s="825"/>
      <c r="GJ131" s="825"/>
      <c r="GK131" s="825"/>
      <c r="GL131" s="825"/>
      <c r="GM131" s="825"/>
      <c r="GN131" s="825"/>
      <c r="GO131" s="825"/>
    </row>
    <row r="132" spans="1:197" ht="15">
      <c r="A132" s="801" t="s">
        <v>8370</v>
      </c>
      <c r="B132" s="801" t="s">
        <v>15903</v>
      </c>
      <c r="F132" s="801" t="s">
        <v>15932</v>
      </c>
      <c r="G132" s="801" t="s">
        <v>15995</v>
      </c>
      <c r="AZ132" s="802" t="s">
        <v>6186</v>
      </c>
      <c r="DC132"/>
      <c r="DD132" s="825">
        <v>83</v>
      </c>
      <c r="DE132" s="825"/>
      <c r="DF132" s="825"/>
      <c r="DG132" s="825"/>
      <c r="DH132" s="825"/>
      <c r="DI132" s="825"/>
      <c r="DJ132" s="825"/>
      <c r="DK132" s="825"/>
      <c r="DL132" s="825"/>
      <c r="DM132" s="825"/>
      <c r="DN132" s="825"/>
      <c r="DO132" s="825"/>
      <c r="DP132" s="825"/>
      <c r="DQ132" s="825"/>
      <c r="DR132" s="825"/>
      <c r="DS132" s="825"/>
      <c r="DT132" s="825"/>
      <c r="DU132" s="825"/>
      <c r="DV132" s="825"/>
      <c r="DW132" s="825"/>
      <c r="DX132" s="825"/>
      <c r="DY132" s="825"/>
      <c r="DZ132" s="825"/>
      <c r="EA132" s="825"/>
      <c r="EB132" s="825"/>
      <c r="EC132" s="825"/>
      <c r="ED132" s="825"/>
      <c r="EE132" s="825"/>
      <c r="EF132" s="825"/>
      <c r="EG132" s="825"/>
      <c r="EH132" s="825"/>
      <c r="EI132" s="825"/>
      <c r="EJ132" s="825"/>
      <c r="EK132" s="825"/>
      <c r="EL132" s="825"/>
      <c r="EM132" s="825"/>
      <c r="EN132" s="825"/>
      <c r="EO132" s="825"/>
      <c r="EP132" s="825"/>
      <c r="EQ132" s="825"/>
      <c r="ER132" s="825"/>
      <c r="ES132" s="825"/>
      <c r="ET132" s="825"/>
      <c r="EU132" s="825"/>
      <c r="EV132" s="825"/>
      <c r="EW132" s="825"/>
      <c r="EX132" s="825"/>
      <c r="EY132" s="825"/>
      <c r="EZ132" s="825"/>
      <c r="FA132" s="825"/>
      <c r="FB132" s="825"/>
      <c r="FC132" s="825"/>
      <c r="FD132" s="825"/>
      <c r="FE132" s="825"/>
      <c r="FF132" s="825"/>
      <c r="FG132" s="825"/>
      <c r="FH132" s="825"/>
      <c r="FI132" s="825"/>
      <c r="FJ132" s="825"/>
      <c r="FK132" s="825"/>
      <c r="FL132" s="825"/>
      <c r="FM132" s="825"/>
      <c r="FN132" s="825"/>
      <c r="FO132" s="825"/>
      <c r="FP132" s="825"/>
      <c r="FQ132" s="825"/>
      <c r="FR132" s="825"/>
      <c r="FS132" s="825"/>
      <c r="FT132" s="825"/>
      <c r="FU132" s="825"/>
      <c r="FV132" s="825"/>
      <c r="FW132" s="825"/>
      <c r="FX132" s="825"/>
      <c r="FY132" s="825"/>
      <c r="FZ132" s="825"/>
      <c r="GA132" s="825"/>
      <c r="GB132" s="825"/>
      <c r="GC132" s="825"/>
      <c r="GD132" s="825"/>
      <c r="GE132" s="825"/>
      <c r="GF132" s="825"/>
      <c r="GG132" s="825"/>
      <c r="GH132" s="825"/>
      <c r="GI132" s="825"/>
      <c r="GJ132" s="825"/>
      <c r="GK132" s="825"/>
      <c r="GL132" s="825"/>
      <c r="GM132" s="825"/>
      <c r="GN132" s="825"/>
      <c r="GO132" s="825"/>
    </row>
    <row r="133" spans="1:197" ht="15">
      <c r="A133" s="801" t="s">
        <v>8371</v>
      </c>
      <c r="B133" s="801" t="s">
        <v>15904</v>
      </c>
      <c r="F133" s="801" t="s">
        <v>15933</v>
      </c>
      <c r="G133" s="801" t="s">
        <v>15934</v>
      </c>
      <c r="AZ133" s="802" t="s">
        <v>6164</v>
      </c>
      <c r="DC133"/>
      <c r="DD133" s="825">
        <v>84</v>
      </c>
      <c r="DE133" s="825"/>
      <c r="DF133" s="825"/>
      <c r="DG133" s="825"/>
      <c r="DH133" s="825"/>
      <c r="DI133" s="825"/>
      <c r="DJ133" s="825"/>
      <c r="DK133" s="825"/>
      <c r="DL133" s="825"/>
      <c r="DM133" s="825"/>
      <c r="DN133" s="825"/>
      <c r="DO133" s="825"/>
      <c r="DP133" s="825"/>
      <c r="DQ133" s="825"/>
      <c r="DR133" s="825"/>
      <c r="DS133" s="825"/>
      <c r="DT133" s="825"/>
      <c r="DU133" s="825"/>
      <c r="DV133" s="825"/>
      <c r="DW133" s="825"/>
      <c r="DX133" s="825"/>
      <c r="DY133" s="825"/>
      <c r="DZ133" s="825"/>
      <c r="EA133" s="825"/>
      <c r="EB133" s="825"/>
      <c r="EC133" s="825"/>
      <c r="ED133" s="825"/>
      <c r="EE133" s="825"/>
      <c r="EF133" s="825"/>
      <c r="EG133" s="825"/>
      <c r="EH133" s="825"/>
      <c r="EI133" s="825"/>
      <c r="EJ133" s="825"/>
      <c r="EK133" s="825"/>
      <c r="EL133" s="825"/>
      <c r="EM133" s="825"/>
      <c r="EN133" s="825"/>
      <c r="EO133" s="825"/>
      <c r="EP133" s="825"/>
      <c r="EQ133" s="825"/>
      <c r="ER133" s="825"/>
      <c r="ES133" s="825"/>
      <c r="ET133" s="825"/>
      <c r="EU133" s="825"/>
      <c r="EV133" s="825"/>
      <c r="EW133" s="825"/>
      <c r="EX133" s="825"/>
      <c r="EY133" s="825"/>
      <c r="EZ133" s="825"/>
      <c r="FA133" s="825"/>
      <c r="FB133" s="825"/>
      <c r="FC133" s="825"/>
      <c r="FD133" s="825"/>
      <c r="FE133" s="825"/>
      <c r="FF133" s="825"/>
      <c r="FG133" s="825"/>
      <c r="FH133" s="825"/>
      <c r="FI133" s="825"/>
      <c r="FJ133" s="825"/>
      <c r="FK133" s="825"/>
      <c r="FL133" s="825"/>
      <c r="FM133" s="825"/>
      <c r="FN133" s="825"/>
      <c r="FO133" s="825"/>
      <c r="FP133" s="825"/>
      <c r="FQ133" s="825"/>
      <c r="FR133" s="825"/>
      <c r="FS133" s="825"/>
      <c r="FT133" s="825"/>
      <c r="FU133" s="825"/>
      <c r="FV133" s="825"/>
      <c r="FW133" s="825"/>
      <c r="FX133" s="825"/>
      <c r="FY133" s="825"/>
      <c r="FZ133" s="825"/>
      <c r="GA133" s="825"/>
      <c r="GB133" s="825"/>
      <c r="GC133" s="825"/>
      <c r="GD133" s="825"/>
      <c r="GE133" s="825"/>
      <c r="GF133" s="825"/>
      <c r="GG133" s="825"/>
      <c r="GH133" s="825"/>
      <c r="GI133" s="825"/>
      <c r="GJ133" s="825"/>
      <c r="GK133" s="825"/>
      <c r="GL133" s="825"/>
      <c r="GM133" s="825"/>
      <c r="GN133" s="825"/>
      <c r="GO133" s="825"/>
    </row>
    <row r="134" spans="1:197" ht="15">
      <c r="A134" s="801" t="s">
        <v>8372</v>
      </c>
      <c r="B134" s="801" t="s">
        <v>15905</v>
      </c>
      <c r="F134" s="801" t="s">
        <v>15935</v>
      </c>
      <c r="G134" s="801" t="s">
        <v>15996</v>
      </c>
      <c r="AZ134" s="802" t="s">
        <v>6111</v>
      </c>
      <c r="DC134"/>
      <c r="DD134" s="825">
        <v>85</v>
      </c>
      <c r="DE134" s="825"/>
      <c r="DF134" s="825"/>
      <c r="DG134" s="825"/>
      <c r="DH134" s="825"/>
      <c r="DI134" s="825"/>
      <c r="DJ134" s="825"/>
      <c r="DK134" s="825"/>
      <c r="DL134" s="825"/>
      <c r="DM134" s="825"/>
      <c r="DN134" s="825"/>
      <c r="DO134" s="825"/>
      <c r="DP134" s="825"/>
      <c r="DQ134" s="825"/>
      <c r="DR134" s="825"/>
      <c r="DS134" s="825"/>
      <c r="DT134" s="825"/>
      <c r="DU134" s="825"/>
      <c r="DV134" s="825"/>
      <c r="DW134" s="825"/>
      <c r="DX134" s="825"/>
      <c r="DY134" s="825"/>
      <c r="DZ134" s="825"/>
      <c r="EA134" s="825"/>
      <c r="EB134" s="825"/>
      <c r="EC134" s="825"/>
      <c r="ED134" s="825"/>
      <c r="EE134" s="825"/>
      <c r="EF134" s="825"/>
      <c r="EG134" s="825"/>
      <c r="EH134" s="825"/>
      <c r="EI134" s="825"/>
      <c r="EJ134" s="825"/>
      <c r="EK134" s="825"/>
      <c r="EL134" s="825"/>
      <c r="EM134" s="825"/>
      <c r="EN134" s="825"/>
      <c r="EO134" s="825"/>
      <c r="EP134" s="825"/>
      <c r="EQ134" s="825"/>
      <c r="ER134" s="825"/>
      <c r="ES134" s="825"/>
      <c r="ET134" s="825"/>
      <c r="EU134" s="825"/>
      <c r="EV134" s="825"/>
      <c r="EW134" s="825"/>
      <c r="EX134" s="825"/>
      <c r="EY134" s="825"/>
      <c r="EZ134" s="825"/>
      <c r="FA134" s="825"/>
      <c r="FB134" s="825"/>
      <c r="FC134" s="825"/>
      <c r="FD134" s="825"/>
      <c r="FE134" s="825"/>
      <c r="FF134" s="825"/>
      <c r="FG134" s="825"/>
      <c r="FH134" s="825"/>
      <c r="FI134" s="825"/>
      <c r="FJ134" s="825"/>
      <c r="FK134" s="825"/>
      <c r="FL134" s="825"/>
      <c r="FM134" s="825"/>
      <c r="FN134" s="825"/>
      <c r="FO134" s="825"/>
      <c r="FP134" s="825"/>
      <c r="FQ134" s="825"/>
      <c r="FR134" s="825"/>
      <c r="FS134" s="825"/>
      <c r="FT134" s="825"/>
      <c r="FU134" s="825"/>
      <c r="FV134" s="825"/>
      <c r="FW134" s="825"/>
      <c r="FX134" s="825"/>
      <c r="FY134" s="825"/>
      <c r="FZ134" s="825"/>
      <c r="GA134" s="825"/>
      <c r="GB134" s="825"/>
      <c r="GC134" s="825"/>
      <c r="GD134" s="825"/>
      <c r="GE134" s="825"/>
      <c r="GF134" s="825"/>
      <c r="GG134" s="825"/>
      <c r="GH134" s="825"/>
      <c r="GI134" s="825"/>
      <c r="GJ134" s="825"/>
      <c r="GK134" s="825"/>
      <c r="GL134" s="825"/>
      <c r="GM134" s="825"/>
      <c r="GN134" s="825"/>
      <c r="GO134" s="825"/>
    </row>
    <row r="135" spans="1:197" ht="15">
      <c r="A135" s="801" t="s">
        <v>8373</v>
      </c>
      <c r="B135" s="801" t="s">
        <v>15906</v>
      </c>
      <c r="F135" s="801" t="s">
        <v>15936</v>
      </c>
      <c r="AZ135" s="802" t="s">
        <v>5915</v>
      </c>
      <c r="DC135"/>
      <c r="DD135" s="825">
        <v>86</v>
      </c>
      <c r="DE135" s="825"/>
      <c r="DF135" s="825"/>
      <c r="DG135" s="825"/>
      <c r="DH135" s="825"/>
      <c r="DI135" s="825"/>
      <c r="DJ135" s="825"/>
      <c r="DK135" s="825"/>
      <c r="DL135" s="825"/>
      <c r="DM135" s="825"/>
      <c r="DN135" s="825"/>
      <c r="DO135" s="825"/>
      <c r="DP135" s="825"/>
      <c r="DQ135" s="825"/>
      <c r="DR135" s="825"/>
      <c r="DS135" s="825"/>
      <c r="DT135" s="825"/>
      <c r="DU135" s="825"/>
      <c r="DV135" s="825"/>
      <c r="DW135" s="825"/>
      <c r="DX135" s="825"/>
      <c r="DY135" s="825"/>
      <c r="DZ135" s="825"/>
      <c r="EA135" s="825"/>
      <c r="EB135" s="825"/>
      <c r="EC135" s="825"/>
      <c r="ED135" s="825"/>
      <c r="EE135" s="825"/>
      <c r="EF135" s="825"/>
      <c r="EG135" s="825"/>
      <c r="EH135" s="825"/>
      <c r="EI135" s="825"/>
      <c r="EJ135" s="825"/>
      <c r="EK135" s="825"/>
      <c r="EL135" s="825"/>
      <c r="EM135" s="825"/>
      <c r="EN135" s="825"/>
      <c r="EO135" s="825"/>
      <c r="EP135" s="825"/>
      <c r="EQ135" s="825"/>
      <c r="ER135" s="825"/>
      <c r="ES135" s="825"/>
      <c r="ET135" s="825"/>
      <c r="EU135" s="825"/>
      <c r="EV135" s="825"/>
      <c r="EW135" s="825"/>
      <c r="EX135" s="825"/>
      <c r="EY135" s="825"/>
      <c r="EZ135" s="825"/>
      <c r="FA135" s="825"/>
      <c r="FB135" s="825"/>
      <c r="FC135" s="825"/>
      <c r="FD135" s="825"/>
      <c r="FE135" s="825"/>
      <c r="FF135" s="825"/>
      <c r="FG135" s="825"/>
      <c r="FH135" s="825"/>
      <c r="FI135" s="825"/>
      <c r="FJ135" s="825"/>
      <c r="FK135" s="825"/>
      <c r="FL135" s="825"/>
      <c r="FM135" s="825"/>
      <c r="FN135" s="825"/>
      <c r="FO135" s="825"/>
      <c r="FP135" s="825"/>
      <c r="FQ135" s="825"/>
      <c r="FR135" s="825"/>
      <c r="FS135" s="825"/>
      <c r="FT135" s="825"/>
      <c r="FU135" s="825"/>
      <c r="FV135" s="825"/>
      <c r="FW135" s="825"/>
      <c r="FX135" s="825"/>
      <c r="FY135" s="825"/>
      <c r="FZ135" s="825"/>
      <c r="GA135" s="825"/>
      <c r="GB135" s="825"/>
      <c r="GC135" s="825"/>
      <c r="GD135" s="825"/>
      <c r="GE135" s="825"/>
      <c r="GF135" s="825"/>
      <c r="GG135" s="825"/>
      <c r="GH135" s="825"/>
      <c r="GI135" s="825"/>
      <c r="GJ135" s="825"/>
      <c r="GK135" s="825"/>
      <c r="GL135" s="825"/>
      <c r="GM135" s="825"/>
      <c r="GN135" s="825"/>
      <c r="GO135" s="825"/>
    </row>
    <row r="136" spans="1:197" ht="15">
      <c r="A136" s="801" t="s">
        <v>8374</v>
      </c>
      <c r="B136" s="801" t="s">
        <v>15907</v>
      </c>
      <c r="F136" s="801" t="s">
        <v>15999</v>
      </c>
      <c r="G136" s="801" t="s">
        <v>16000</v>
      </c>
      <c r="AZ136" s="802" t="s">
        <v>6087</v>
      </c>
      <c r="DC136"/>
      <c r="DD136" s="825">
        <v>87</v>
      </c>
      <c r="DE136" s="825"/>
      <c r="DF136" s="825"/>
      <c r="DG136" s="825"/>
      <c r="DH136" s="825"/>
      <c r="DI136" s="825"/>
      <c r="DJ136" s="825"/>
      <c r="DK136" s="825"/>
      <c r="DL136" s="825"/>
      <c r="DM136" s="825"/>
      <c r="DN136" s="825"/>
      <c r="DO136" s="825"/>
      <c r="DP136" s="825"/>
      <c r="DQ136" s="825"/>
      <c r="DR136" s="825"/>
      <c r="DS136" s="825"/>
      <c r="DT136" s="825"/>
      <c r="DU136" s="825"/>
      <c r="DV136" s="825"/>
      <c r="DW136" s="825"/>
      <c r="DX136" s="825"/>
      <c r="DY136" s="825"/>
      <c r="DZ136" s="825"/>
      <c r="EA136" s="825"/>
      <c r="EB136" s="825"/>
      <c r="EC136" s="825"/>
      <c r="ED136" s="825"/>
      <c r="EE136" s="825"/>
      <c r="EF136" s="825"/>
      <c r="EG136" s="825"/>
      <c r="EH136" s="825"/>
      <c r="EI136" s="825"/>
      <c r="EJ136" s="825"/>
      <c r="EK136" s="825"/>
      <c r="EL136" s="825"/>
      <c r="EM136" s="825"/>
      <c r="EN136" s="825"/>
      <c r="EO136" s="825"/>
      <c r="EP136" s="825"/>
      <c r="EQ136" s="825"/>
      <c r="ER136" s="825"/>
      <c r="ES136" s="825"/>
      <c r="ET136" s="825"/>
      <c r="EU136" s="825"/>
      <c r="EV136" s="825"/>
      <c r="EW136" s="825"/>
      <c r="EX136" s="825"/>
      <c r="EY136" s="825"/>
      <c r="EZ136" s="825"/>
      <c r="FA136" s="825"/>
      <c r="FB136" s="825"/>
      <c r="FC136" s="825"/>
      <c r="FD136" s="825"/>
      <c r="FE136" s="825"/>
      <c r="FF136" s="825"/>
      <c r="FG136" s="825"/>
      <c r="FH136" s="825"/>
      <c r="FI136" s="825"/>
      <c r="FJ136" s="825"/>
      <c r="FK136" s="825"/>
      <c r="FL136" s="825"/>
      <c r="FM136" s="825"/>
      <c r="FN136" s="825"/>
      <c r="FO136" s="825"/>
      <c r="FP136" s="825"/>
      <c r="FQ136" s="825"/>
      <c r="FR136" s="825"/>
      <c r="FS136" s="825"/>
      <c r="FT136" s="825"/>
      <c r="FU136" s="825"/>
      <c r="FV136" s="825"/>
      <c r="FW136" s="825"/>
      <c r="FX136" s="825"/>
      <c r="FY136" s="825"/>
      <c r="FZ136" s="825"/>
      <c r="GA136" s="825"/>
      <c r="GB136" s="825"/>
      <c r="GC136" s="825"/>
      <c r="GD136" s="825"/>
      <c r="GE136" s="825"/>
      <c r="GF136" s="825"/>
      <c r="GG136" s="825"/>
      <c r="GH136" s="825"/>
      <c r="GI136" s="825"/>
      <c r="GJ136" s="825"/>
      <c r="GK136" s="825"/>
      <c r="GL136" s="825"/>
      <c r="GM136" s="825"/>
      <c r="GN136" s="825"/>
      <c r="GO136" s="825"/>
    </row>
    <row r="137" spans="1:197" ht="15">
      <c r="F137" s="801" t="s">
        <v>15937</v>
      </c>
      <c r="G137" s="801" t="s">
        <v>15997</v>
      </c>
      <c r="AZ137" s="802" t="s">
        <v>3654</v>
      </c>
      <c r="DC137"/>
      <c r="DD137" s="825">
        <v>88</v>
      </c>
      <c r="DE137" s="825"/>
      <c r="DF137" s="825"/>
      <c r="DG137" s="825"/>
      <c r="DH137" s="825"/>
      <c r="DI137" s="825"/>
      <c r="DJ137" s="825"/>
      <c r="DK137" s="825"/>
      <c r="DL137" s="825"/>
      <c r="DM137" s="825"/>
      <c r="DN137" s="825"/>
      <c r="DO137" s="825"/>
      <c r="DP137" s="825"/>
      <c r="DQ137" s="825"/>
      <c r="DR137" s="825"/>
      <c r="DS137" s="825"/>
      <c r="DT137" s="825"/>
      <c r="DU137" s="825"/>
      <c r="DV137" s="825"/>
      <c r="DW137" s="825"/>
      <c r="DX137" s="825"/>
      <c r="DY137" s="825"/>
      <c r="DZ137" s="825"/>
      <c r="EA137" s="825"/>
      <c r="EB137" s="825"/>
      <c r="EC137" s="825"/>
      <c r="ED137" s="825"/>
      <c r="EE137" s="825"/>
      <c r="EF137" s="825"/>
      <c r="EG137" s="825"/>
      <c r="EH137" s="825"/>
      <c r="EI137" s="825"/>
      <c r="EJ137" s="825"/>
      <c r="EK137" s="825"/>
      <c r="EL137" s="825"/>
      <c r="EM137" s="825"/>
      <c r="EN137" s="825"/>
      <c r="EO137" s="825"/>
      <c r="EP137" s="825"/>
      <c r="EQ137" s="825"/>
      <c r="ER137" s="825"/>
      <c r="ES137" s="825"/>
      <c r="ET137" s="825"/>
      <c r="EU137" s="825"/>
      <c r="EV137" s="825"/>
      <c r="EW137" s="825"/>
      <c r="EX137" s="825"/>
      <c r="EY137" s="825"/>
      <c r="EZ137" s="825"/>
      <c r="FA137" s="825"/>
      <c r="FB137" s="825"/>
      <c r="FC137" s="825"/>
      <c r="FD137" s="825"/>
      <c r="FE137" s="825"/>
      <c r="FF137" s="825"/>
      <c r="FG137" s="825"/>
      <c r="FH137" s="825"/>
      <c r="FI137" s="825"/>
      <c r="FJ137" s="825"/>
      <c r="FK137" s="825"/>
      <c r="FL137" s="825"/>
      <c r="FM137" s="825"/>
      <c r="FN137" s="825"/>
      <c r="FO137" s="825"/>
      <c r="FP137" s="825"/>
      <c r="FQ137" s="825"/>
      <c r="FR137" s="825"/>
      <c r="FS137" s="825"/>
      <c r="FT137" s="825"/>
      <c r="FU137" s="825"/>
      <c r="FV137" s="825"/>
      <c r="FW137" s="825"/>
      <c r="FX137" s="825"/>
      <c r="FY137" s="825"/>
      <c r="FZ137" s="825"/>
      <c r="GA137" s="825"/>
      <c r="GB137" s="825"/>
      <c r="GC137" s="825"/>
      <c r="GD137" s="825"/>
      <c r="GE137" s="825"/>
      <c r="GF137" s="825"/>
      <c r="GG137" s="825"/>
      <c r="GH137" s="825"/>
      <c r="GI137" s="825"/>
      <c r="GJ137" s="825"/>
      <c r="GK137" s="825"/>
      <c r="GL137" s="825"/>
      <c r="GM137" s="825"/>
      <c r="GN137" s="825"/>
      <c r="GO137" s="825"/>
    </row>
    <row r="138" spans="1:197" ht="15">
      <c r="F138" s="1068" t="s">
        <v>15655</v>
      </c>
      <c r="G138" s="1067" t="s">
        <v>15998</v>
      </c>
      <c r="AZ138" s="802" t="s">
        <v>6181</v>
      </c>
      <c r="DC138"/>
      <c r="DD138" s="825">
        <v>89</v>
      </c>
      <c r="DE138" s="825"/>
      <c r="DF138" s="825"/>
      <c r="DG138" s="825"/>
      <c r="DH138" s="825"/>
      <c r="DI138" s="825"/>
      <c r="DJ138" s="825"/>
      <c r="DK138" s="825"/>
      <c r="DL138" s="825"/>
      <c r="DM138" s="825"/>
      <c r="DN138" s="825"/>
      <c r="DO138" s="825"/>
      <c r="DP138" s="825"/>
      <c r="DQ138" s="825"/>
      <c r="DR138" s="825"/>
      <c r="DS138" s="825"/>
      <c r="DT138" s="825"/>
      <c r="DU138" s="825"/>
      <c r="DV138" s="825"/>
      <c r="DW138" s="825"/>
      <c r="DX138" s="825"/>
      <c r="DY138" s="825"/>
      <c r="DZ138" s="825"/>
      <c r="EA138" s="825"/>
      <c r="EB138" s="825"/>
      <c r="EC138" s="825"/>
      <c r="ED138" s="825"/>
      <c r="EE138" s="825"/>
      <c r="EF138" s="825"/>
      <c r="EG138" s="825"/>
      <c r="EH138" s="825"/>
      <c r="EI138" s="825"/>
      <c r="EJ138" s="825"/>
      <c r="EK138" s="825"/>
      <c r="EL138" s="825"/>
      <c r="EM138" s="825"/>
      <c r="EN138" s="825"/>
      <c r="EO138" s="825"/>
      <c r="EP138" s="825"/>
      <c r="EQ138" s="825"/>
      <c r="ER138" s="825"/>
      <c r="ES138" s="825"/>
      <c r="ET138" s="825"/>
      <c r="EU138" s="825"/>
      <c r="EV138" s="825"/>
      <c r="EW138" s="825"/>
      <c r="EX138" s="825"/>
      <c r="EY138" s="825"/>
      <c r="EZ138" s="825"/>
      <c r="FA138" s="825"/>
      <c r="FB138" s="825"/>
      <c r="FC138" s="825"/>
      <c r="FD138" s="825"/>
      <c r="FE138" s="825"/>
      <c r="FF138" s="825"/>
      <c r="FG138" s="825"/>
      <c r="FH138" s="825"/>
      <c r="FI138" s="825"/>
      <c r="FJ138" s="825"/>
      <c r="FK138" s="825"/>
      <c r="FL138" s="825"/>
      <c r="FM138" s="825"/>
      <c r="FN138" s="825"/>
      <c r="FO138" s="825"/>
      <c r="FP138" s="825"/>
      <c r="FQ138" s="825"/>
      <c r="FR138" s="825"/>
      <c r="FS138" s="825"/>
      <c r="FT138" s="825"/>
      <c r="FU138" s="825"/>
      <c r="FV138" s="825"/>
      <c r="FW138" s="825"/>
      <c r="FX138" s="825"/>
      <c r="FY138" s="825"/>
      <c r="FZ138" s="825"/>
      <c r="GA138" s="825"/>
      <c r="GB138" s="825"/>
      <c r="GC138" s="825"/>
      <c r="GD138" s="825"/>
      <c r="GE138" s="825"/>
      <c r="GF138" s="825"/>
      <c r="GG138" s="825"/>
      <c r="GH138" s="825"/>
      <c r="GI138" s="825"/>
      <c r="GJ138" s="825"/>
      <c r="GK138" s="825"/>
      <c r="GL138" s="825"/>
      <c r="GM138" s="825"/>
      <c r="GN138" s="825"/>
      <c r="GO138" s="825"/>
    </row>
    <row r="139" spans="1:197" ht="15">
      <c r="B139" s="801" t="s">
        <v>15908</v>
      </c>
      <c r="F139" s="1067" t="s">
        <v>15938</v>
      </c>
      <c r="AZ139" s="802" t="s">
        <v>6182</v>
      </c>
      <c r="DC139"/>
      <c r="DD139" s="825">
        <v>90</v>
      </c>
      <c r="DE139" s="825"/>
      <c r="DF139" s="825"/>
      <c r="DG139" s="825"/>
      <c r="DH139" s="825"/>
      <c r="DI139" s="825"/>
      <c r="DJ139" s="825"/>
      <c r="DK139" s="825"/>
      <c r="DL139" s="825"/>
      <c r="DM139" s="825"/>
      <c r="DN139" s="825"/>
      <c r="DO139" s="825"/>
      <c r="DP139" s="825"/>
      <c r="DQ139" s="825"/>
      <c r="DR139" s="825"/>
      <c r="DS139" s="825"/>
      <c r="DT139" s="825"/>
      <c r="DU139" s="825"/>
      <c r="DV139" s="825"/>
      <c r="DW139" s="825"/>
      <c r="DX139" s="825"/>
      <c r="DY139" s="825"/>
      <c r="DZ139" s="825"/>
      <c r="EA139" s="825"/>
      <c r="EB139" s="825"/>
      <c r="EC139" s="825"/>
      <c r="ED139" s="825"/>
      <c r="EE139" s="825"/>
      <c r="EF139" s="825"/>
      <c r="EG139" s="825"/>
      <c r="EH139" s="825"/>
      <c r="EI139" s="825"/>
      <c r="EJ139" s="825"/>
      <c r="EK139" s="825"/>
      <c r="EL139" s="825"/>
      <c r="EM139" s="825"/>
      <c r="EN139" s="825"/>
      <c r="EO139" s="825"/>
      <c r="EP139" s="825"/>
      <c r="EQ139" s="825"/>
      <c r="ER139" s="825"/>
      <c r="ES139" s="825"/>
      <c r="ET139" s="825"/>
      <c r="EU139" s="825"/>
      <c r="EV139" s="825"/>
      <c r="EW139" s="825"/>
      <c r="EX139" s="825"/>
      <c r="EY139" s="825"/>
      <c r="EZ139" s="825"/>
      <c r="FA139" s="825"/>
      <c r="FB139" s="825"/>
      <c r="FC139" s="825"/>
      <c r="FD139" s="825"/>
      <c r="FE139" s="825"/>
      <c r="FF139" s="825"/>
      <c r="FG139" s="825"/>
      <c r="FH139" s="825"/>
      <c r="FI139" s="825"/>
      <c r="FJ139" s="825"/>
      <c r="FK139" s="825"/>
      <c r="FL139" s="825"/>
      <c r="FM139" s="825"/>
      <c r="FN139" s="825"/>
      <c r="FO139" s="825"/>
      <c r="FP139" s="825"/>
      <c r="FQ139" s="825"/>
      <c r="FR139" s="825"/>
      <c r="FS139" s="825"/>
      <c r="FT139" s="825"/>
      <c r="FU139" s="825"/>
      <c r="FV139" s="825"/>
      <c r="FW139" s="825"/>
      <c r="FX139" s="825"/>
      <c r="FY139" s="825"/>
      <c r="FZ139" s="825"/>
      <c r="GA139" s="825"/>
      <c r="GB139" s="825"/>
      <c r="GC139" s="825"/>
      <c r="GD139" s="825"/>
      <c r="GE139" s="825"/>
      <c r="GF139" s="825"/>
      <c r="GG139" s="825"/>
      <c r="GH139" s="825"/>
      <c r="GI139" s="825"/>
      <c r="GJ139" s="825"/>
      <c r="GK139" s="825"/>
      <c r="GL139" s="825"/>
      <c r="GM139" s="825"/>
      <c r="GN139" s="825"/>
      <c r="GO139" s="825"/>
    </row>
    <row r="140" spans="1:197" ht="15">
      <c r="A140" s="801" t="s">
        <v>7698</v>
      </c>
      <c r="B140" s="801" t="s">
        <v>15909</v>
      </c>
      <c r="AZ140" s="802" t="s">
        <v>5860</v>
      </c>
      <c r="DC140"/>
      <c r="DD140" s="825">
        <v>91</v>
      </c>
      <c r="DE140" s="825"/>
      <c r="DF140" s="825"/>
      <c r="DG140" s="825"/>
      <c r="DH140" s="825"/>
      <c r="DI140" s="825"/>
      <c r="DJ140" s="825"/>
      <c r="DK140" s="825"/>
      <c r="DL140" s="825"/>
      <c r="DM140" s="825"/>
      <c r="DN140" s="825"/>
      <c r="DO140" s="825"/>
      <c r="DP140" s="825"/>
      <c r="DQ140" s="825"/>
      <c r="DR140" s="825"/>
      <c r="DS140" s="825"/>
      <c r="DT140" s="825"/>
      <c r="DU140" s="825"/>
      <c r="DV140" s="825"/>
      <c r="DW140" s="825"/>
      <c r="DX140" s="825"/>
      <c r="DY140" s="825"/>
      <c r="DZ140" s="825"/>
      <c r="EA140" s="825"/>
      <c r="EB140" s="825"/>
      <c r="EC140" s="825"/>
      <c r="ED140" s="825"/>
      <c r="EE140" s="825"/>
      <c r="EF140" s="825"/>
      <c r="EG140" s="825"/>
      <c r="EH140" s="825"/>
      <c r="EI140" s="825"/>
      <c r="EJ140" s="825"/>
      <c r="EK140" s="825"/>
      <c r="EL140" s="825"/>
      <c r="EM140" s="825"/>
      <c r="EN140" s="825"/>
      <c r="EO140" s="825"/>
      <c r="EP140" s="825"/>
      <c r="EQ140" s="825"/>
      <c r="ER140" s="825"/>
      <c r="ES140" s="825"/>
      <c r="ET140" s="825"/>
      <c r="EU140" s="825"/>
      <c r="EV140" s="825"/>
      <c r="EW140" s="825"/>
      <c r="EX140" s="825"/>
      <c r="EY140" s="825"/>
      <c r="EZ140" s="825"/>
      <c r="FA140" s="825"/>
      <c r="FB140" s="825"/>
      <c r="FC140" s="825"/>
      <c r="FD140" s="825"/>
      <c r="FE140" s="825"/>
      <c r="FF140" s="825"/>
      <c r="FG140" s="825"/>
      <c r="FH140" s="825"/>
      <c r="FI140" s="825"/>
      <c r="FJ140" s="825"/>
      <c r="FK140" s="825"/>
      <c r="FL140" s="825"/>
      <c r="FM140" s="825"/>
      <c r="FN140" s="825"/>
      <c r="FO140" s="825"/>
      <c r="FP140" s="825"/>
      <c r="FQ140" s="825"/>
      <c r="FR140" s="825"/>
      <c r="FS140" s="825"/>
      <c r="FT140" s="825"/>
      <c r="FU140" s="825"/>
      <c r="FV140" s="825"/>
      <c r="FW140" s="825"/>
      <c r="FX140" s="825"/>
      <c r="FY140" s="825"/>
      <c r="FZ140" s="825"/>
      <c r="GA140" s="825"/>
      <c r="GB140" s="825"/>
      <c r="GC140" s="825"/>
      <c r="GD140" s="825"/>
      <c r="GE140" s="825"/>
      <c r="GF140" s="825"/>
      <c r="GG140" s="825"/>
      <c r="GH140" s="825"/>
      <c r="GI140" s="825"/>
      <c r="GJ140" s="825"/>
      <c r="GK140" s="825"/>
      <c r="GL140" s="825"/>
      <c r="GM140" s="825"/>
      <c r="GN140" s="825"/>
      <c r="GO140" s="825"/>
    </row>
    <row r="141" spans="1:197" ht="15" thickBot="1">
      <c r="A141" s="801" t="s">
        <v>8366</v>
      </c>
      <c r="B141" s="801" t="s">
        <v>15910</v>
      </c>
      <c r="AZ141" s="802" t="s">
        <v>6183</v>
      </c>
      <c r="DC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row>
    <row r="142" spans="1:197" ht="15.75" thickBot="1">
      <c r="B142" s="801" t="s">
        <v>15911</v>
      </c>
      <c r="AZ142" s="802" t="s">
        <v>5924</v>
      </c>
      <c r="DC142"/>
      <c r="DD142" s="1328" t="s">
        <v>14876</v>
      </c>
      <c r="DE142" s="1329"/>
      <c r="DF142" s="1329"/>
      <c r="DG142" s="1329"/>
      <c r="DH142" s="1329"/>
      <c r="DI142" s="1329"/>
      <c r="DJ142" s="1329"/>
      <c r="DK142" s="1329"/>
      <c r="DL142" s="1329"/>
      <c r="DM142" s="1329"/>
      <c r="DN142" s="1329"/>
      <c r="DO142" s="1329"/>
      <c r="DP142" s="1329"/>
      <c r="DQ142" s="1329"/>
      <c r="DR142" s="1329"/>
      <c r="DS142" s="841"/>
      <c r="DT142" s="841"/>
      <c r="DU142" s="841"/>
      <c r="DV142" s="841"/>
      <c r="DW142" s="841"/>
      <c r="DX142" s="841"/>
      <c r="DY142" s="841"/>
      <c r="DZ142" s="841"/>
      <c r="EA142" s="841"/>
      <c r="EB142" s="841"/>
      <c r="EC142" s="841"/>
      <c r="ED142" s="841"/>
      <c r="EE142" s="841"/>
      <c r="EF142" s="841"/>
      <c r="EG142" s="841"/>
      <c r="EH142" s="841"/>
      <c r="EI142" s="841"/>
      <c r="EJ142" s="841"/>
      <c r="EK142" s="841"/>
      <c r="EL142" s="841"/>
      <c r="EM142" s="841"/>
      <c r="EN142" s="841"/>
      <c r="EO142" s="841"/>
      <c r="EP142" s="841"/>
      <c r="EQ142" s="841"/>
      <c r="ER142" s="841"/>
      <c r="ES142" s="841"/>
      <c r="ET142" s="841"/>
      <c r="EU142" s="841"/>
      <c r="EV142" s="841"/>
      <c r="EW142" s="841"/>
      <c r="EX142" s="841"/>
      <c r="EY142" s="841"/>
      <c r="EZ142" s="841"/>
      <c r="FA142" s="841"/>
      <c r="FB142" s="841"/>
      <c r="FC142" s="841"/>
      <c r="FD142" s="841"/>
      <c r="FE142" s="841"/>
      <c r="FF142" s="8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row>
    <row r="143" spans="1:197">
      <c r="B143" s="801" t="s">
        <v>15912</v>
      </c>
      <c r="AZ143" s="802" t="s">
        <v>6184</v>
      </c>
      <c r="DC143"/>
      <c r="DD143" s="843" t="s">
        <v>14877</v>
      </c>
      <c r="DE143" s="844" t="s">
        <v>14878</v>
      </c>
      <c r="DF143" s="845" t="s">
        <v>2494</v>
      </c>
      <c r="DG143" s="845" t="s">
        <v>14879</v>
      </c>
      <c r="DH143" s="844" t="s">
        <v>14296</v>
      </c>
      <c r="DI143" s="845" t="s">
        <v>2494</v>
      </c>
      <c r="DJ143" s="845" t="s">
        <v>14880</v>
      </c>
      <c r="DK143" s="844" t="s">
        <v>13997</v>
      </c>
      <c r="DL143" s="845" t="s">
        <v>2494</v>
      </c>
      <c r="DM143" s="845" t="s">
        <v>14371</v>
      </c>
      <c r="DN143" s="844" t="s">
        <v>14067</v>
      </c>
      <c r="DO143" s="845" t="s">
        <v>2494</v>
      </c>
      <c r="DP143" s="845" t="s">
        <v>14132</v>
      </c>
      <c r="DQ143" s="844" t="s">
        <v>14257</v>
      </c>
      <c r="DR143" s="845" t="s">
        <v>2494</v>
      </c>
      <c r="DS143" s="845" t="s">
        <v>14881</v>
      </c>
      <c r="DT143" s="844" t="s">
        <v>14009</v>
      </c>
      <c r="DU143" s="845" t="s">
        <v>2494</v>
      </c>
      <c r="DV143" s="845" t="s">
        <v>14198</v>
      </c>
      <c r="DW143" s="844" t="s">
        <v>14511</v>
      </c>
      <c r="DX143" s="845" t="s">
        <v>2494</v>
      </c>
      <c r="DY143" s="845" t="s">
        <v>14882</v>
      </c>
      <c r="DZ143" s="844" t="s">
        <v>14327</v>
      </c>
      <c r="EA143" s="845" t="s">
        <v>2494</v>
      </c>
      <c r="EB143" s="845" t="s">
        <v>14018</v>
      </c>
      <c r="EC143" s="844" t="s">
        <v>14386</v>
      </c>
      <c r="ED143" s="845" t="s">
        <v>2494</v>
      </c>
      <c r="EE143" s="845" t="s">
        <v>14332</v>
      </c>
      <c r="EF143" s="844" t="s">
        <v>14437</v>
      </c>
      <c r="EG143" s="845" t="s">
        <v>2494</v>
      </c>
      <c r="EH143" s="845" t="s">
        <v>14481</v>
      </c>
      <c r="EI143" s="844" t="s">
        <v>14257</v>
      </c>
      <c r="EJ143" s="845" t="s">
        <v>2494</v>
      </c>
      <c r="EK143" s="845" t="s">
        <v>14883</v>
      </c>
      <c r="EL143" s="844" t="s">
        <v>14336</v>
      </c>
      <c r="EM143" s="845" t="s">
        <v>2494</v>
      </c>
      <c r="EN143" s="846" t="s">
        <v>14884</v>
      </c>
      <c r="EO143" s="844" t="s">
        <v>14885</v>
      </c>
      <c r="EP143" s="845" t="s">
        <v>2494</v>
      </c>
      <c r="EQ143" s="847" t="s">
        <v>14886</v>
      </c>
      <c r="ER143" s="844" t="s">
        <v>14492</v>
      </c>
      <c r="ES143" s="845" t="s">
        <v>2494</v>
      </c>
      <c r="ET143" s="846" t="s">
        <v>14887</v>
      </c>
      <c r="EU143" s="844" t="s">
        <v>14671</v>
      </c>
      <c r="EV143" s="845" t="s">
        <v>2494</v>
      </c>
      <c r="EW143" s="846" t="s">
        <v>14365</v>
      </c>
      <c r="EX143" s="844" t="s">
        <v>14474</v>
      </c>
      <c r="EY143" s="845" t="s">
        <v>2494</v>
      </c>
      <c r="EZ143" s="846" t="s">
        <v>14888</v>
      </c>
      <c r="FA143" s="844" t="s">
        <v>14616</v>
      </c>
      <c r="FB143" s="845" t="s">
        <v>2494</v>
      </c>
      <c r="FC143" s="846" t="s">
        <v>14548</v>
      </c>
      <c r="FD143" s="844" t="s">
        <v>14889</v>
      </c>
      <c r="FE143" s="845" t="s">
        <v>2494</v>
      </c>
      <c r="FF143" s="848" t="s">
        <v>14890</v>
      </c>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row>
    <row r="144" spans="1:197" ht="15">
      <c r="B144" s="801" t="s">
        <v>15913</v>
      </c>
      <c r="AZ144" s="802" t="s">
        <v>5885</v>
      </c>
      <c r="DC144"/>
      <c r="DD144" s="849" t="s">
        <v>5826</v>
      </c>
      <c r="DE144" s="1323" t="s">
        <v>4758</v>
      </c>
      <c r="DF144" s="1324"/>
      <c r="DG144" s="1325"/>
      <c r="DH144" s="1323" t="s">
        <v>4788</v>
      </c>
      <c r="DI144" s="1324"/>
      <c r="DJ144" s="1325"/>
      <c r="DK144" s="1323" t="s">
        <v>13950</v>
      </c>
      <c r="DL144" s="1324"/>
      <c r="DM144" s="1325"/>
      <c r="DN144" s="1323" t="s">
        <v>13108</v>
      </c>
      <c r="DO144" s="1324"/>
      <c r="DP144" s="1325"/>
      <c r="DQ144" s="1323" t="s">
        <v>13105</v>
      </c>
      <c r="DR144" s="1324"/>
      <c r="DS144" s="1325"/>
      <c r="DT144" s="1323" t="s">
        <v>13107</v>
      </c>
      <c r="DU144" s="1324"/>
      <c r="DV144" s="1325"/>
      <c r="DW144" s="1323" t="s">
        <v>13103</v>
      </c>
      <c r="DX144" s="1324"/>
      <c r="DY144" s="1325"/>
      <c r="DZ144" s="1323" t="s">
        <v>13110</v>
      </c>
      <c r="EA144" s="1324"/>
      <c r="EB144" s="1325"/>
      <c r="EC144" s="1323" t="s">
        <v>13109</v>
      </c>
      <c r="ED144" s="1324"/>
      <c r="EE144" s="1325"/>
      <c r="EF144" s="1323" t="s">
        <v>13952</v>
      </c>
      <c r="EG144" s="1324"/>
      <c r="EH144" s="1325"/>
      <c r="EI144" s="1323" t="s">
        <v>14891</v>
      </c>
      <c r="EJ144" s="1324"/>
      <c r="EK144" s="1325"/>
      <c r="EL144" s="1323" t="s">
        <v>13953</v>
      </c>
      <c r="EM144" s="1324"/>
      <c r="EN144" s="1325"/>
      <c r="EO144" s="1323" t="s">
        <v>4790</v>
      </c>
      <c r="EP144" s="1324"/>
      <c r="EQ144" s="1325"/>
      <c r="ER144" s="1323" t="s">
        <v>14892</v>
      </c>
      <c r="ES144" s="1324"/>
      <c r="ET144" s="1325"/>
      <c r="EU144" s="1323" t="s">
        <v>14893</v>
      </c>
      <c r="EV144" s="1324"/>
      <c r="EW144" s="1325"/>
      <c r="EX144" s="1323" t="s">
        <v>14894</v>
      </c>
      <c r="EY144" s="1324"/>
      <c r="EZ144" s="1325"/>
      <c r="FA144" s="1323" t="s">
        <v>13954</v>
      </c>
      <c r="FB144" s="1324"/>
      <c r="FC144" s="1325"/>
      <c r="FD144" s="1323"/>
      <c r="FE144" s="1324"/>
      <c r="FF144" s="1326"/>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row>
    <row r="145" spans="2:197" ht="15" thickBot="1">
      <c r="B145" s="801" t="s">
        <v>15914</v>
      </c>
      <c r="F145" s="801" t="s">
        <v>15939</v>
      </c>
      <c r="G145" s="801" t="s">
        <v>551</v>
      </c>
      <c r="AZ145" s="802" t="s">
        <v>5929</v>
      </c>
      <c r="DC145"/>
      <c r="DD145" s="850"/>
      <c r="DE145" s="851" t="s">
        <v>1352</v>
      </c>
      <c r="DF145" s="852" t="s">
        <v>1351</v>
      </c>
      <c r="DG145" s="853" t="s">
        <v>13966</v>
      </c>
      <c r="DH145" s="851" t="s">
        <v>1352</v>
      </c>
      <c r="DI145" s="852" t="s">
        <v>1351</v>
      </c>
      <c r="DJ145" s="853" t="s">
        <v>13966</v>
      </c>
      <c r="DK145" s="851" t="s">
        <v>1352</v>
      </c>
      <c r="DL145" s="852" t="s">
        <v>1351</v>
      </c>
      <c r="DM145" s="853" t="s">
        <v>13966</v>
      </c>
      <c r="DN145" s="851" t="s">
        <v>1352</v>
      </c>
      <c r="DO145" s="852" t="s">
        <v>1351</v>
      </c>
      <c r="DP145" s="853" t="s">
        <v>13966</v>
      </c>
      <c r="DQ145" s="851" t="s">
        <v>1352</v>
      </c>
      <c r="DR145" s="852" t="s">
        <v>1351</v>
      </c>
      <c r="DS145" s="853" t="s">
        <v>13966</v>
      </c>
      <c r="DT145" s="851" t="s">
        <v>1352</v>
      </c>
      <c r="DU145" s="852" t="s">
        <v>1351</v>
      </c>
      <c r="DV145" s="853" t="s">
        <v>13966</v>
      </c>
      <c r="DW145" s="851" t="s">
        <v>1352</v>
      </c>
      <c r="DX145" s="852" t="s">
        <v>1351</v>
      </c>
      <c r="DY145" s="853" t="s">
        <v>13966</v>
      </c>
      <c r="DZ145" s="851" t="s">
        <v>1352</v>
      </c>
      <c r="EA145" s="852" t="s">
        <v>1351</v>
      </c>
      <c r="EB145" s="853" t="s">
        <v>13966</v>
      </c>
      <c r="EC145" s="851" t="s">
        <v>1352</v>
      </c>
      <c r="ED145" s="852" t="s">
        <v>1351</v>
      </c>
      <c r="EE145" s="853" t="s">
        <v>13966</v>
      </c>
      <c r="EF145" s="851" t="s">
        <v>1352</v>
      </c>
      <c r="EG145" s="852" t="s">
        <v>1351</v>
      </c>
      <c r="EH145" s="853" t="s">
        <v>13966</v>
      </c>
      <c r="EI145" s="851" t="s">
        <v>1352</v>
      </c>
      <c r="EJ145" s="852" t="s">
        <v>1351</v>
      </c>
      <c r="EK145" s="853" t="s">
        <v>13966</v>
      </c>
      <c r="EL145" s="851" t="s">
        <v>1352</v>
      </c>
      <c r="EM145" s="852" t="s">
        <v>1351</v>
      </c>
      <c r="EN145" s="853" t="s">
        <v>13966</v>
      </c>
      <c r="EO145" s="851" t="s">
        <v>1352</v>
      </c>
      <c r="EP145" s="852" t="s">
        <v>1351</v>
      </c>
      <c r="EQ145" s="854" t="s">
        <v>13966</v>
      </c>
      <c r="ER145" s="851" t="s">
        <v>1352</v>
      </c>
      <c r="ES145" s="852" t="s">
        <v>1351</v>
      </c>
      <c r="ET145" s="853" t="s">
        <v>13966</v>
      </c>
      <c r="EU145" s="851" t="s">
        <v>1352</v>
      </c>
      <c r="EV145" s="852" t="s">
        <v>1351</v>
      </c>
      <c r="EW145" s="853" t="s">
        <v>13966</v>
      </c>
      <c r="EX145" s="851" t="s">
        <v>1352</v>
      </c>
      <c r="EY145" s="852" t="s">
        <v>1351</v>
      </c>
      <c r="EZ145" s="853" t="s">
        <v>13966</v>
      </c>
      <c r="FA145" s="851" t="s">
        <v>1352</v>
      </c>
      <c r="FB145" s="852" t="s">
        <v>1351</v>
      </c>
      <c r="FC145" s="853" t="s">
        <v>13966</v>
      </c>
      <c r="FD145" s="851" t="s">
        <v>1352</v>
      </c>
      <c r="FE145" s="852" t="s">
        <v>1351</v>
      </c>
      <c r="FF145" s="855" t="s">
        <v>13966</v>
      </c>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row>
    <row r="146" spans="2:197">
      <c r="B146" s="801" t="s">
        <v>15915</v>
      </c>
      <c r="F146" s="801" t="s">
        <v>15371</v>
      </c>
      <c r="G146" s="801" t="s">
        <v>15940</v>
      </c>
      <c r="AZ146" s="802" t="s">
        <v>5871</v>
      </c>
      <c r="DC146"/>
      <c r="DD146" s="856" t="s">
        <v>14895</v>
      </c>
      <c r="DE146" s="857">
        <v>2</v>
      </c>
      <c r="DF146" s="858">
        <v>3</v>
      </c>
      <c r="DG146" s="859">
        <v>4</v>
      </c>
      <c r="DH146" s="857">
        <v>5</v>
      </c>
      <c r="DI146" s="858">
        <v>6</v>
      </c>
      <c r="DJ146" s="859">
        <v>7</v>
      </c>
      <c r="DK146" s="857">
        <v>8</v>
      </c>
      <c r="DL146" s="858">
        <v>9</v>
      </c>
      <c r="DM146" s="859">
        <v>10</v>
      </c>
      <c r="DN146" s="857">
        <v>11</v>
      </c>
      <c r="DO146" s="858">
        <v>12</v>
      </c>
      <c r="DP146" s="859">
        <v>13</v>
      </c>
      <c r="DQ146" s="857">
        <v>14</v>
      </c>
      <c r="DR146" s="858">
        <v>15</v>
      </c>
      <c r="DS146" s="859">
        <v>16</v>
      </c>
      <c r="DT146" s="857">
        <v>17</v>
      </c>
      <c r="DU146" s="858">
        <v>18</v>
      </c>
      <c r="DV146" s="859">
        <v>19</v>
      </c>
      <c r="DW146" s="857">
        <v>20</v>
      </c>
      <c r="DX146" s="858">
        <v>21</v>
      </c>
      <c r="DY146" s="860">
        <v>22</v>
      </c>
      <c r="DZ146" s="857">
        <v>23</v>
      </c>
      <c r="EA146" s="858">
        <v>24</v>
      </c>
      <c r="EB146" s="859">
        <v>25</v>
      </c>
      <c r="EC146" s="857">
        <v>26</v>
      </c>
      <c r="ED146" s="858">
        <v>27</v>
      </c>
      <c r="EE146" s="859">
        <v>28</v>
      </c>
      <c r="EF146" s="857">
        <v>29</v>
      </c>
      <c r="EG146" s="858">
        <v>30</v>
      </c>
      <c r="EH146" s="859">
        <v>31</v>
      </c>
      <c r="EI146" s="857">
        <v>32</v>
      </c>
      <c r="EJ146" s="858">
        <v>33</v>
      </c>
      <c r="EK146" s="859">
        <v>34</v>
      </c>
      <c r="EL146" s="857">
        <v>35</v>
      </c>
      <c r="EM146" s="858">
        <v>36</v>
      </c>
      <c r="EN146" s="859">
        <v>37</v>
      </c>
      <c r="EO146" s="861">
        <v>38</v>
      </c>
      <c r="EP146" s="858">
        <v>39</v>
      </c>
      <c r="EQ146" s="860">
        <v>40</v>
      </c>
      <c r="ER146" s="857">
        <v>41</v>
      </c>
      <c r="ES146" s="858">
        <v>42</v>
      </c>
      <c r="ET146" s="859">
        <v>43</v>
      </c>
      <c r="EU146" s="857">
        <v>44</v>
      </c>
      <c r="EV146" s="858">
        <v>45</v>
      </c>
      <c r="EW146" s="859">
        <v>46</v>
      </c>
      <c r="EX146" s="857">
        <v>47</v>
      </c>
      <c r="EY146" s="858">
        <v>48</v>
      </c>
      <c r="EZ146" s="862">
        <v>49</v>
      </c>
      <c r="FA146" s="857">
        <v>50</v>
      </c>
      <c r="FB146" s="858">
        <v>51</v>
      </c>
      <c r="FC146" s="859">
        <v>52</v>
      </c>
      <c r="FD146" s="857">
        <v>53</v>
      </c>
      <c r="FE146" s="858">
        <v>54</v>
      </c>
      <c r="FF146" s="863">
        <v>55</v>
      </c>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row>
    <row r="147" spans="2:197" ht="15" thickBot="1">
      <c r="B147" s="801" t="s">
        <v>15916</v>
      </c>
      <c r="F147" s="801" t="s">
        <v>15941</v>
      </c>
      <c r="G147" s="801" t="s">
        <v>15942</v>
      </c>
      <c r="AZ147" s="802" t="s">
        <v>5892</v>
      </c>
      <c r="DC147"/>
      <c r="DD147" s="864" t="s">
        <v>1643</v>
      </c>
      <c r="DE147" s="839">
        <v>30</v>
      </c>
      <c r="DF147" s="835">
        <v>23</v>
      </c>
      <c r="DG147" s="865">
        <v>15</v>
      </c>
      <c r="DH147" s="839">
        <v>29</v>
      </c>
      <c r="DI147" s="835">
        <v>30</v>
      </c>
      <c r="DJ147" s="865">
        <v>10</v>
      </c>
      <c r="DK147" s="839">
        <v>17</v>
      </c>
      <c r="DL147" s="835">
        <v>18</v>
      </c>
      <c r="DM147" s="865">
        <v>10</v>
      </c>
      <c r="DN147" s="839">
        <v>7</v>
      </c>
      <c r="DO147" s="835">
        <v>8</v>
      </c>
      <c r="DP147" s="865">
        <v>7</v>
      </c>
      <c r="DQ147" s="839">
        <v>10</v>
      </c>
      <c r="DR147" s="835">
        <v>9</v>
      </c>
      <c r="DS147" s="865">
        <v>6</v>
      </c>
      <c r="DT147" s="839">
        <v>11</v>
      </c>
      <c r="DU147" s="835">
        <v>8</v>
      </c>
      <c r="DV147" s="865">
        <v>8</v>
      </c>
      <c r="DW147" s="839">
        <v>11</v>
      </c>
      <c r="DX147" s="835">
        <v>8</v>
      </c>
      <c r="DY147" s="866">
        <v>6</v>
      </c>
      <c r="DZ147" s="839">
        <v>9</v>
      </c>
      <c r="EA147" s="835">
        <v>9</v>
      </c>
      <c r="EB147" s="865">
        <v>7</v>
      </c>
      <c r="EC147" s="839">
        <v>8</v>
      </c>
      <c r="ED147" s="835">
        <v>8</v>
      </c>
      <c r="EE147" s="865">
        <v>6</v>
      </c>
      <c r="EF147" s="839">
        <v>13</v>
      </c>
      <c r="EG147" s="835">
        <v>8</v>
      </c>
      <c r="EH147" s="865">
        <v>12</v>
      </c>
      <c r="EI147" s="839">
        <v>10</v>
      </c>
      <c r="EJ147" s="835">
        <v>9</v>
      </c>
      <c r="EK147" s="865">
        <v>6</v>
      </c>
      <c r="EL147" s="839">
        <v>8</v>
      </c>
      <c r="EM147" s="835">
        <v>9</v>
      </c>
      <c r="EN147" s="865">
        <v>8</v>
      </c>
      <c r="EO147" s="840">
        <v>130</v>
      </c>
      <c r="EP147" s="835">
        <v>141</v>
      </c>
      <c r="EQ147" s="866">
        <v>74</v>
      </c>
      <c r="ER147" s="839">
        <v>11</v>
      </c>
      <c r="ES147" s="835">
        <v>17</v>
      </c>
      <c r="ET147" s="865">
        <v>18</v>
      </c>
      <c r="EU147" s="839">
        <v>23</v>
      </c>
      <c r="EV147" s="835">
        <v>22</v>
      </c>
      <c r="EW147" s="865">
        <v>11</v>
      </c>
      <c r="EX147" s="839">
        <v>12</v>
      </c>
      <c r="EY147" s="835">
        <v>12</v>
      </c>
      <c r="EZ147" s="867">
        <v>13</v>
      </c>
      <c r="FA147" s="839">
        <v>14</v>
      </c>
      <c r="FB147" s="835">
        <v>13</v>
      </c>
      <c r="FC147" s="865">
        <v>21</v>
      </c>
      <c r="FD147" s="839">
        <v>3</v>
      </c>
      <c r="FE147" s="835">
        <v>3</v>
      </c>
      <c r="FF147" s="836">
        <v>3</v>
      </c>
      <c r="FG147">
        <f>MAX(DE147:FF147)</f>
        <v>141</v>
      </c>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row>
    <row r="148" spans="2:197">
      <c r="B148" s="801" t="s">
        <v>15917</v>
      </c>
      <c r="F148" s="801" t="s">
        <v>15943</v>
      </c>
      <c r="G148" s="801" t="s">
        <v>15944</v>
      </c>
      <c r="AZ148" s="802" t="s">
        <v>6188</v>
      </c>
      <c r="DC148"/>
      <c r="DD148" s="868">
        <v>1</v>
      </c>
      <c r="DE148" s="869" t="s">
        <v>13980</v>
      </c>
      <c r="DF148" s="870" t="s">
        <v>6311</v>
      </c>
      <c r="DG148" s="871" t="s">
        <v>14896</v>
      </c>
      <c r="DH148" s="872" t="s">
        <v>13982</v>
      </c>
      <c r="DI148" s="873" t="s">
        <v>13983</v>
      </c>
      <c r="DJ148" s="874" t="s">
        <v>14897</v>
      </c>
      <c r="DK148" s="875" t="s">
        <v>13997</v>
      </c>
      <c r="DL148" s="876" t="s">
        <v>13998</v>
      </c>
      <c r="DM148" s="877" t="s">
        <v>13999</v>
      </c>
      <c r="DN148" s="878" t="s">
        <v>14898</v>
      </c>
      <c r="DO148" s="837" t="s">
        <v>14003</v>
      </c>
      <c r="DP148" s="879" t="s">
        <v>14004</v>
      </c>
      <c r="DQ148" s="878" t="s">
        <v>14899</v>
      </c>
      <c r="DR148" s="837" t="s">
        <v>14006</v>
      </c>
      <c r="DS148" s="879" t="s">
        <v>14900</v>
      </c>
      <c r="DT148" s="878" t="s">
        <v>14009</v>
      </c>
      <c r="DU148" s="837" t="s">
        <v>14010</v>
      </c>
      <c r="DV148" s="879" t="s">
        <v>14011</v>
      </c>
      <c r="DW148" s="878" t="s">
        <v>14012</v>
      </c>
      <c r="DX148" s="837" t="s">
        <v>14013</v>
      </c>
      <c r="DY148" s="880" t="s">
        <v>14901</v>
      </c>
      <c r="DZ148" s="878" t="s">
        <v>14016</v>
      </c>
      <c r="EA148" s="837" t="s">
        <v>14017</v>
      </c>
      <c r="EB148" s="879" t="s">
        <v>14018</v>
      </c>
      <c r="EC148" s="878" t="s">
        <v>14019</v>
      </c>
      <c r="ED148" s="837" t="s">
        <v>14902</v>
      </c>
      <c r="EE148" s="879" t="s">
        <v>14021</v>
      </c>
      <c r="EF148" s="878" t="s">
        <v>14022</v>
      </c>
      <c r="EG148" s="837" t="s">
        <v>14023</v>
      </c>
      <c r="EH148" s="879" t="s">
        <v>14024</v>
      </c>
      <c r="EI148" s="878" t="s">
        <v>14899</v>
      </c>
      <c r="EJ148" s="837" t="s">
        <v>14006</v>
      </c>
      <c r="EK148" s="879" t="s">
        <v>14900</v>
      </c>
      <c r="EL148" s="878" t="s">
        <v>14025</v>
      </c>
      <c r="EM148" s="837" t="s">
        <v>14026</v>
      </c>
      <c r="EN148" s="879" t="s">
        <v>14027</v>
      </c>
      <c r="EO148" s="881" t="s">
        <v>13997</v>
      </c>
      <c r="EP148" s="837" t="s">
        <v>14903</v>
      </c>
      <c r="EQ148" s="880" t="s">
        <v>14904</v>
      </c>
      <c r="ER148" s="878" t="s">
        <v>13977</v>
      </c>
      <c r="ES148" s="837" t="s">
        <v>13978</v>
      </c>
      <c r="ET148" s="879" t="s">
        <v>14905</v>
      </c>
      <c r="EU148" s="878" t="s">
        <v>13989</v>
      </c>
      <c r="EV148" s="837" t="s">
        <v>14906</v>
      </c>
      <c r="EW148" s="879" t="s">
        <v>13991</v>
      </c>
      <c r="EX148" s="878" t="s">
        <v>14065</v>
      </c>
      <c r="EY148" s="837" t="s">
        <v>14001</v>
      </c>
      <c r="EZ148" s="882" t="s">
        <v>13992</v>
      </c>
      <c r="FA148" s="878" t="s">
        <v>14032</v>
      </c>
      <c r="FB148" s="837" t="s">
        <v>14033</v>
      </c>
      <c r="FC148" s="879" t="s">
        <v>13763</v>
      </c>
      <c r="FD148" s="878" t="s">
        <v>14889</v>
      </c>
      <c r="FE148" s="837" t="s">
        <v>14907</v>
      </c>
      <c r="FF148" s="833" t="s">
        <v>14890</v>
      </c>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row>
    <row r="149" spans="2:197">
      <c r="B149" s="801" t="s">
        <v>15918</v>
      </c>
      <c r="F149" s="801" t="s">
        <v>8373</v>
      </c>
      <c r="G149" s="801" t="s">
        <v>15945</v>
      </c>
      <c r="AZ149" s="802" t="s">
        <v>6161</v>
      </c>
      <c r="DC149"/>
      <c r="DD149" s="883">
        <v>2</v>
      </c>
      <c r="DE149" s="884" t="s">
        <v>14046</v>
      </c>
      <c r="DF149" s="885" t="s">
        <v>14047</v>
      </c>
      <c r="DG149" s="886" t="s">
        <v>14908</v>
      </c>
      <c r="DH149" s="887" t="s">
        <v>14049</v>
      </c>
      <c r="DI149" s="888" t="s">
        <v>14050</v>
      </c>
      <c r="DJ149" s="889" t="s">
        <v>14880</v>
      </c>
      <c r="DK149" s="890" t="s">
        <v>14012</v>
      </c>
      <c r="DL149" s="891" t="s">
        <v>14063</v>
      </c>
      <c r="DM149" s="892" t="s">
        <v>14064</v>
      </c>
      <c r="DN149" s="893" t="s">
        <v>14067</v>
      </c>
      <c r="DO149" s="838" t="s">
        <v>14068</v>
      </c>
      <c r="DP149" s="894" t="s">
        <v>14069</v>
      </c>
      <c r="DQ149" s="893" t="s">
        <v>12902</v>
      </c>
      <c r="DR149" s="838" t="s">
        <v>14070</v>
      </c>
      <c r="DS149" s="894" t="s">
        <v>14909</v>
      </c>
      <c r="DT149" s="893" t="s">
        <v>14073</v>
      </c>
      <c r="DU149" s="838" t="s">
        <v>14074</v>
      </c>
      <c r="DV149" s="894" t="s">
        <v>14075</v>
      </c>
      <c r="DW149" s="893" t="s">
        <v>14076</v>
      </c>
      <c r="DX149" s="838" t="s">
        <v>14077</v>
      </c>
      <c r="DY149" s="895" t="s">
        <v>14910</v>
      </c>
      <c r="DZ149" s="893" t="s">
        <v>14911</v>
      </c>
      <c r="EA149" s="838" t="s">
        <v>14081</v>
      </c>
      <c r="EB149" s="894" t="s">
        <v>14082</v>
      </c>
      <c r="EC149" s="893" t="s">
        <v>14083</v>
      </c>
      <c r="ED149" s="838" t="s">
        <v>14084</v>
      </c>
      <c r="EE149" s="894" t="s">
        <v>14085</v>
      </c>
      <c r="EF149" s="893" t="s">
        <v>14086</v>
      </c>
      <c r="EG149" s="838" t="s">
        <v>14087</v>
      </c>
      <c r="EH149" s="894" t="s">
        <v>14088</v>
      </c>
      <c r="EI149" s="893" t="s">
        <v>12902</v>
      </c>
      <c r="EJ149" s="838" t="s">
        <v>14070</v>
      </c>
      <c r="EK149" s="894" t="s">
        <v>14909</v>
      </c>
      <c r="EL149" s="893" t="s">
        <v>14089</v>
      </c>
      <c r="EM149" s="838" t="s">
        <v>14090</v>
      </c>
      <c r="EN149" s="894" t="s">
        <v>14091</v>
      </c>
      <c r="EO149" s="896" t="s">
        <v>14912</v>
      </c>
      <c r="EP149" s="838" t="s">
        <v>14913</v>
      </c>
      <c r="EQ149" s="895" t="s">
        <v>14914</v>
      </c>
      <c r="ER149" s="893" t="s">
        <v>14042</v>
      </c>
      <c r="ES149" s="838" t="s">
        <v>14043</v>
      </c>
      <c r="ET149" s="894" t="s">
        <v>14915</v>
      </c>
      <c r="EU149" s="893" t="s">
        <v>14056</v>
      </c>
      <c r="EV149" s="838" t="s">
        <v>14057</v>
      </c>
      <c r="EW149" s="894" t="s">
        <v>14058</v>
      </c>
      <c r="EX149" s="893" t="s">
        <v>14128</v>
      </c>
      <c r="EY149" s="838" t="s">
        <v>14066</v>
      </c>
      <c r="EZ149" s="897" t="s">
        <v>14059</v>
      </c>
      <c r="FA149" s="893" t="s">
        <v>14096</v>
      </c>
      <c r="FB149" s="838" t="s">
        <v>14097</v>
      </c>
      <c r="FC149" s="894" t="s">
        <v>14098</v>
      </c>
      <c r="FD149" s="893" t="s">
        <v>14889</v>
      </c>
      <c r="FE149" s="838" t="s">
        <v>14907</v>
      </c>
      <c r="FF149" s="834" t="s">
        <v>14890</v>
      </c>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row>
    <row r="150" spans="2:197">
      <c r="B150" s="801" t="s">
        <v>15919</v>
      </c>
      <c r="F150" s="801" t="s">
        <v>8374</v>
      </c>
      <c r="G150" s="801" t="s">
        <v>15946</v>
      </c>
      <c r="AZ150" s="802" t="s">
        <v>6028</v>
      </c>
      <c r="DC150"/>
      <c r="DD150" s="883">
        <v>3</v>
      </c>
      <c r="DE150" s="898" t="s">
        <v>14109</v>
      </c>
      <c r="DF150" s="899" t="s">
        <v>14110</v>
      </c>
      <c r="DG150" s="900" t="s">
        <v>14916</v>
      </c>
      <c r="DH150" s="887" t="s">
        <v>14112</v>
      </c>
      <c r="DI150" s="888" t="s">
        <v>14917</v>
      </c>
      <c r="DJ150" s="901" t="s">
        <v>14918</v>
      </c>
      <c r="DK150" s="890" t="s">
        <v>14125</v>
      </c>
      <c r="DL150" s="902" t="s">
        <v>14126</v>
      </c>
      <c r="DM150" s="892" t="s">
        <v>14127</v>
      </c>
      <c r="DN150" s="893" t="s">
        <v>14919</v>
      </c>
      <c r="DO150" s="838" t="s">
        <v>14131</v>
      </c>
      <c r="DP150" s="894" t="s">
        <v>14132</v>
      </c>
      <c r="DQ150" s="893" t="s">
        <v>14133</v>
      </c>
      <c r="DR150" s="838" t="s">
        <v>14134</v>
      </c>
      <c r="DS150" s="894" t="s">
        <v>14883</v>
      </c>
      <c r="DT150" s="893" t="s">
        <v>14137</v>
      </c>
      <c r="DU150" s="838" t="s">
        <v>14138</v>
      </c>
      <c r="DV150" s="894" t="s">
        <v>14139</v>
      </c>
      <c r="DW150" s="893" t="s">
        <v>12899</v>
      </c>
      <c r="DX150" s="838" t="s">
        <v>14140</v>
      </c>
      <c r="DY150" s="895" t="s">
        <v>14882</v>
      </c>
      <c r="DZ150" s="893" t="s">
        <v>14920</v>
      </c>
      <c r="EA150" s="838" t="s">
        <v>14143</v>
      </c>
      <c r="EB150" s="894" t="s">
        <v>14144</v>
      </c>
      <c r="EC150" s="893" t="s">
        <v>14145</v>
      </c>
      <c r="ED150" s="838" t="s">
        <v>14146</v>
      </c>
      <c r="EE150" s="894" t="s">
        <v>14147</v>
      </c>
      <c r="EF150" s="893" t="s">
        <v>14148</v>
      </c>
      <c r="EG150" s="838" t="s">
        <v>14149</v>
      </c>
      <c r="EH150" s="894" t="s">
        <v>14150</v>
      </c>
      <c r="EI150" s="893" t="s">
        <v>14133</v>
      </c>
      <c r="EJ150" s="838" t="s">
        <v>14134</v>
      </c>
      <c r="EK150" s="894" t="s">
        <v>14883</v>
      </c>
      <c r="EL150" s="893" t="s">
        <v>14151</v>
      </c>
      <c r="EM150" s="838" t="s">
        <v>14152</v>
      </c>
      <c r="EN150" s="894" t="s">
        <v>14153</v>
      </c>
      <c r="EO150" s="896" t="s">
        <v>14921</v>
      </c>
      <c r="EP150" s="838" t="s">
        <v>14922</v>
      </c>
      <c r="EQ150" s="895" t="s">
        <v>14923</v>
      </c>
      <c r="ER150" s="893" t="s">
        <v>14107</v>
      </c>
      <c r="ES150" s="838" t="s">
        <v>14108</v>
      </c>
      <c r="ET150" s="894" t="s">
        <v>14924</v>
      </c>
      <c r="EU150" s="893" t="s">
        <v>14118</v>
      </c>
      <c r="EV150" s="838" t="s">
        <v>14119</v>
      </c>
      <c r="EW150" s="894" t="s">
        <v>14120</v>
      </c>
      <c r="EX150" s="893" t="s">
        <v>14190</v>
      </c>
      <c r="EY150" s="838" t="s">
        <v>14129</v>
      </c>
      <c r="EZ150" s="897" t="s">
        <v>5267</v>
      </c>
      <c r="FA150" s="893" t="s">
        <v>14157</v>
      </c>
      <c r="FB150" s="838" t="s">
        <v>14158</v>
      </c>
      <c r="FC150" s="894" t="s">
        <v>14159</v>
      </c>
      <c r="FD150" s="893" t="s">
        <v>14889</v>
      </c>
      <c r="FE150" s="838" t="s">
        <v>14907</v>
      </c>
      <c r="FF150" s="834" t="s">
        <v>14890</v>
      </c>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row>
    <row r="151" spans="2:197">
      <c r="B151" s="801" t="s">
        <v>15920</v>
      </c>
      <c r="F151" s="801" t="s">
        <v>8375</v>
      </c>
      <c r="G151" s="801" t="s">
        <v>15947</v>
      </c>
      <c r="AZ151" s="802" t="s">
        <v>5869</v>
      </c>
      <c r="DC151"/>
      <c r="DD151" s="883">
        <v>4</v>
      </c>
      <c r="DE151" s="884" t="s">
        <v>14171</v>
      </c>
      <c r="DF151" s="885" t="s">
        <v>14172</v>
      </c>
      <c r="DG151" s="886" t="s">
        <v>14925</v>
      </c>
      <c r="DH151" s="887" t="s">
        <v>14175</v>
      </c>
      <c r="DI151" s="888" t="s">
        <v>14176</v>
      </c>
      <c r="DJ151" s="903" t="s">
        <v>14926</v>
      </c>
      <c r="DK151" s="890" t="s">
        <v>14187</v>
      </c>
      <c r="DL151" s="902" t="s">
        <v>14188</v>
      </c>
      <c r="DM151" s="904" t="s">
        <v>14189</v>
      </c>
      <c r="DN151" s="893" t="s">
        <v>14191</v>
      </c>
      <c r="DO151" s="838" t="s">
        <v>6325</v>
      </c>
      <c r="DP151" s="894" t="s">
        <v>14192</v>
      </c>
      <c r="DQ151" s="893" t="s">
        <v>14193</v>
      </c>
      <c r="DR151" s="838" t="s">
        <v>14194</v>
      </c>
      <c r="DS151" s="894" t="s">
        <v>14927</v>
      </c>
      <c r="DT151" s="893" t="s">
        <v>14196</v>
      </c>
      <c r="DU151" s="838" t="s">
        <v>14197</v>
      </c>
      <c r="DV151" s="894" t="s">
        <v>14198</v>
      </c>
      <c r="DW151" s="893" t="s">
        <v>14199</v>
      </c>
      <c r="DX151" s="838" t="s">
        <v>14200</v>
      </c>
      <c r="DY151" s="895" t="s">
        <v>14928</v>
      </c>
      <c r="DZ151" s="893" t="s">
        <v>14202</v>
      </c>
      <c r="EA151" s="838" t="s">
        <v>14203</v>
      </c>
      <c r="EB151" s="894" t="s">
        <v>14204</v>
      </c>
      <c r="EC151" s="893" t="s">
        <v>14205</v>
      </c>
      <c r="ED151" s="838" t="s">
        <v>14206</v>
      </c>
      <c r="EE151" s="894" t="s">
        <v>14207</v>
      </c>
      <c r="EF151" s="893" t="s">
        <v>14208</v>
      </c>
      <c r="EG151" s="838" t="s">
        <v>14209</v>
      </c>
      <c r="EH151" s="894" t="s">
        <v>14210</v>
      </c>
      <c r="EI151" s="893" t="s">
        <v>14193</v>
      </c>
      <c r="EJ151" s="838" t="s">
        <v>14194</v>
      </c>
      <c r="EK151" s="894" t="s">
        <v>14927</v>
      </c>
      <c r="EL151" s="893" t="s">
        <v>14211</v>
      </c>
      <c r="EM151" s="838" t="s">
        <v>14212</v>
      </c>
      <c r="EN151" s="894" t="s">
        <v>14213</v>
      </c>
      <c r="EO151" s="896" t="s">
        <v>14929</v>
      </c>
      <c r="EP151" s="838" t="s">
        <v>14930</v>
      </c>
      <c r="EQ151" s="895" t="s">
        <v>14931</v>
      </c>
      <c r="ER151" s="893" t="s">
        <v>14168</v>
      </c>
      <c r="ES151" s="838" t="s">
        <v>14169</v>
      </c>
      <c r="ET151" s="894" t="s">
        <v>14932</v>
      </c>
      <c r="EU151" s="893" t="s">
        <v>14181</v>
      </c>
      <c r="EV151" s="838" t="s">
        <v>14182</v>
      </c>
      <c r="EW151" s="894" t="s">
        <v>14933</v>
      </c>
      <c r="EX151" s="893" t="s">
        <v>14252</v>
      </c>
      <c r="EY151" s="838" t="s">
        <v>14030</v>
      </c>
      <c r="EZ151" s="897" t="s">
        <v>13581</v>
      </c>
      <c r="FA151" s="893" t="s">
        <v>14218</v>
      </c>
      <c r="FB151" s="838" t="s">
        <v>14219</v>
      </c>
      <c r="FC151" s="894" t="s">
        <v>14220</v>
      </c>
      <c r="FD151" s="893"/>
      <c r="FE151" s="838"/>
      <c r="FF151" s="834"/>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row>
    <row r="152" spans="2:197">
      <c r="B152" s="801" t="s">
        <v>15921</v>
      </c>
      <c r="F152" s="801" t="s">
        <v>8376</v>
      </c>
      <c r="G152" s="801" t="s">
        <v>11414</v>
      </c>
      <c r="AZ152" s="802" t="s">
        <v>6204</v>
      </c>
      <c r="DC152"/>
      <c r="DD152" s="883">
        <v>5</v>
      </c>
      <c r="DE152" s="884" t="s">
        <v>14878</v>
      </c>
      <c r="DF152" s="885" t="s">
        <v>14233</v>
      </c>
      <c r="DG152" s="900" t="s">
        <v>14934</v>
      </c>
      <c r="DH152" s="887" t="s">
        <v>14235</v>
      </c>
      <c r="DI152" s="888" t="s">
        <v>14236</v>
      </c>
      <c r="DJ152" s="901" t="s">
        <v>14935</v>
      </c>
      <c r="DK152" s="905" t="s">
        <v>14249</v>
      </c>
      <c r="DL152" s="902" t="s">
        <v>14250</v>
      </c>
      <c r="DM152" s="904" t="s">
        <v>14251</v>
      </c>
      <c r="DN152" s="893" t="s">
        <v>14254</v>
      </c>
      <c r="DO152" s="838" t="s">
        <v>14936</v>
      </c>
      <c r="DP152" s="894" t="s">
        <v>14256</v>
      </c>
      <c r="DQ152" s="893" t="s">
        <v>14257</v>
      </c>
      <c r="DR152" s="838" t="s">
        <v>14258</v>
      </c>
      <c r="DS152" s="894" t="s">
        <v>14937</v>
      </c>
      <c r="DT152" s="893" t="s">
        <v>14261</v>
      </c>
      <c r="DU152" s="838" t="s">
        <v>14262</v>
      </c>
      <c r="DV152" s="894" t="s">
        <v>14263</v>
      </c>
      <c r="DW152" s="893" t="s">
        <v>14264</v>
      </c>
      <c r="DX152" s="838" t="s">
        <v>14197</v>
      </c>
      <c r="DY152" s="895" t="s">
        <v>14938</v>
      </c>
      <c r="DZ152" s="893" t="s">
        <v>14266</v>
      </c>
      <c r="EA152" s="838" t="s">
        <v>14267</v>
      </c>
      <c r="EB152" s="894" t="s">
        <v>14268</v>
      </c>
      <c r="EC152" s="893" t="s">
        <v>14269</v>
      </c>
      <c r="ED152" s="838" t="s">
        <v>14270</v>
      </c>
      <c r="EE152" s="894" t="s">
        <v>14271</v>
      </c>
      <c r="EF152" s="893" t="s">
        <v>14939</v>
      </c>
      <c r="EG152" s="838" t="s">
        <v>14273</v>
      </c>
      <c r="EH152" s="894" t="s">
        <v>14274</v>
      </c>
      <c r="EI152" s="893" t="s">
        <v>14257</v>
      </c>
      <c r="EJ152" s="838" t="s">
        <v>14258</v>
      </c>
      <c r="EK152" s="894" t="s">
        <v>14937</v>
      </c>
      <c r="EL152" s="893" t="s">
        <v>14275</v>
      </c>
      <c r="EM152" s="838" t="s">
        <v>14276</v>
      </c>
      <c r="EN152" s="894" t="s">
        <v>14884</v>
      </c>
      <c r="EO152" s="896" t="s">
        <v>14940</v>
      </c>
      <c r="EP152" s="838" t="s">
        <v>14941</v>
      </c>
      <c r="EQ152" s="895" t="s">
        <v>14942</v>
      </c>
      <c r="ER152" s="893" t="s">
        <v>14229</v>
      </c>
      <c r="ES152" s="838" t="s">
        <v>14230</v>
      </c>
      <c r="ET152" s="894" t="s">
        <v>14887</v>
      </c>
      <c r="EU152" s="893" t="s">
        <v>14241</v>
      </c>
      <c r="EV152" s="838" t="s">
        <v>14242</v>
      </c>
      <c r="EW152" s="894" t="s">
        <v>14243</v>
      </c>
      <c r="EX152" s="893" t="s">
        <v>14312</v>
      </c>
      <c r="EY152" s="838" t="s">
        <v>14253</v>
      </c>
      <c r="EZ152" s="897" t="s">
        <v>14244</v>
      </c>
      <c r="FA152" s="893" t="s">
        <v>14281</v>
      </c>
      <c r="FB152" s="838" t="s">
        <v>14282</v>
      </c>
      <c r="FC152" s="894" t="s">
        <v>14283</v>
      </c>
      <c r="FD152" s="893"/>
      <c r="FE152" s="838"/>
      <c r="FF152" s="834"/>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row>
    <row r="153" spans="2:197">
      <c r="B153" s="801" t="s">
        <v>15922</v>
      </c>
      <c r="AZ153" s="802" t="s">
        <v>6138</v>
      </c>
      <c r="DC153"/>
      <c r="DD153" s="883">
        <v>6</v>
      </c>
      <c r="DE153" s="884" t="s">
        <v>14293</v>
      </c>
      <c r="DF153" s="906" t="s">
        <v>14294</v>
      </c>
      <c r="DG153" s="886" t="s">
        <v>14943</v>
      </c>
      <c r="DH153" s="907" t="s">
        <v>14296</v>
      </c>
      <c r="DI153" s="908" t="s">
        <v>14297</v>
      </c>
      <c r="DJ153" s="903" t="s">
        <v>14944</v>
      </c>
      <c r="DK153" s="905" t="s">
        <v>14945</v>
      </c>
      <c r="DL153" s="891" t="s">
        <v>14310</v>
      </c>
      <c r="DM153" s="904" t="s">
        <v>14311</v>
      </c>
      <c r="DN153" s="893" t="s">
        <v>14314</v>
      </c>
      <c r="DO153" s="838" t="s">
        <v>14315</v>
      </c>
      <c r="DP153" s="894" t="s">
        <v>14316</v>
      </c>
      <c r="DQ153" s="893" t="s">
        <v>763</v>
      </c>
      <c r="DR153" s="838" t="s">
        <v>14946</v>
      </c>
      <c r="DS153" s="894" t="s">
        <v>14881</v>
      </c>
      <c r="DT153" s="893" t="s">
        <v>14320</v>
      </c>
      <c r="DU153" s="838" t="s">
        <v>14321</v>
      </c>
      <c r="DV153" s="894" t="s">
        <v>14322</v>
      </c>
      <c r="DW153" s="893" t="s">
        <v>14323</v>
      </c>
      <c r="DX153" s="838" t="s">
        <v>14324</v>
      </c>
      <c r="DY153" s="895" t="s">
        <v>14947</v>
      </c>
      <c r="DZ153" s="893" t="s">
        <v>14327</v>
      </c>
      <c r="EA153" s="838" t="s">
        <v>14328</v>
      </c>
      <c r="EB153" s="894" t="s">
        <v>14329</v>
      </c>
      <c r="EC153" s="893" t="s">
        <v>14330</v>
      </c>
      <c r="ED153" s="838" t="s">
        <v>14331</v>
      </c>
      <c r="EE153" s="894" t="s">
        <v>14332</v>
      </c>
      <c r="EF153" s="893" t="s">
        <v>14333</v>
      </c>
      <c r="EG153" s="838" t="s">
        <v>14334</v>
      </c>
      <c r="EH153" s="894" t="s">
        <v>14335</v>
      </c>
      <c r="EI153" s="893" t="s">
        <v>763</v>
      </c>
      <c r="EJ153" s="838" t="s">
        <v>14946</v>
      </c>
      <c r="EK153" s="894" t="s">
        <v>14881</v>
      </c>
      <c r="EL153" s="893" t="s">
        <v>14336</v>
      </c>
      <c r="EM153" s="838" t="s">
        <v>14337</v>
      </c>
      <c r="EN153" s="894" t="s">
        <v>14338</v>
      </c>
      <c r="EO153" s="896" t="s">
        <v>14948</v>
      </c>
      <c r="EP153" s="838" t="s">
        <v>14949</v>
      </c>
      <c r="EQ153" s="895" t="s">
        <v>14950</v>
      </c>
      <c r="ER153" s="893" t="s">
        <v>14291</v>
      </c>
      <c r="ES153" s="838" t="s">
        <v>14292</v>
      </c>
      <c r="ET153" s="894" t="s">
        <v>14951</v>
      </c>
      <c r="EU153" s="893" t="s">
        <v>14303</v>
      </c>
      <c r="EV153" s="838" t="s">
        <v>14304</v>
      </c>
      <c r="EW153" s="894" t="s">
        <v>14305</v>
      </c>
      <c r="EX153" s="893" t="s">
        <v>14372</v>
      </c>
      <c r="EY153" s="838" t="s">
        <v>14313</v>
      </c>
      <c r="EZ153" s="897" t="s">
        <v>14888</v>
      </c>
      <c r="FA153" s="893" t="s">
        <v>14342</v>
      </c>
      <c r="FB153" s="838" t="s">
        <v>14343</v>
      </c>
      <c r="FC153" s="894" t="s">
        <v>14344</v>
      </c>
      <c r="FD153" s="893"/>
      <c r="FE153" s="838"/>
      <c r="FF153" s="834"/>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row>
    <row r="154" spans="2:197">
      <c r="B154" s="801" t="s">
        <v>15923</v>
      </c>
      <c r="AZ154" s="802" t="s">
        <v>6137</v>
      </c>
      <c r="DC154"/>
      <c r="DD154" s="883">
        <v>7</v>
      </c>
      <c r="DE154" s="898" t="s">
        <v>14354</v>
      </c>
      <c r="DF154" s="885" t="s">
        <v>14355</v>
      </c>
      <c r="DG154" s="886" t="s">
        <v>14879</v>
      </c>
      <c r="DH154" s="907" t="s">
        <v>14358</v>
      </c>
      <c r="DI154" s="888" t="s">
        <v>14359</v>
      </c>
      <c r="DJ154" s="901" t="s">
        <v>14952</v>
      </c>
      <c r="DK154" s="905" t="s">
        <v>14369</v>
      </c>
      <c r="DL154" s="902" t="s">
        <v>14370</v>
      </c>
      <c r="DM154" s="892" t="s">
        <v>14371</v>
      </c>
      <c r="DN154" s="893" t="s">
        <v>14374</v>
      </c>
      <c r="DO154" s="838" t="s">
        <v>14953</v>
      </c>
      <c r="DP154" s="894" t="s">
        <v>14376</v>
      </c>
      <c r="DQ154" s="893" t="s">
        <v>14377</v>
      </c>
      <c r="DR154" s="838" t="s">
        <v>14378</v>
      </c>
      <c r="DS154" s="894"/>
      <c r="DT154" s="893" t="s">
        <v>14379</v>
      </c>
      <c r="DU154" s="838" t="s">
        <v>12945</v>
      </c>
      <c r="DV154" s="894" t="s">
        <v>14380</v>
      </c>
      <c r="DW154" s="893" t="s">
        <v>14381</v>
      </c>
      <c r="DX154" s="838" t="s">
        <v>14382</v>
      </c>
      <c r="DY154" s="895"/>
      <c r="DZ154" s="893" t="s">
        <v>14383</v>
      </c>
      <c r="EA154" s="838" t="s">
        <v>14384</v>
      </c>
      <c r="EB154" s="894" t="s">
        <v>14385</v>
      </c>
      <c r="EC154" s="893" t="s">
        <v>14386</v>
      </c>
      <c r="ED154" s="838" t="s">
        <v>14387</v>
      </c>
      <c r="EE154" s="894"/>
      <c r="EF154" s="893" t="s">
        <v>14388</v>
      </c>
      <c r="EG154" s="838" t="s">
        <v>14389</v>
      </c>
      <c r="EH154" s="894" t="s">
        <v>14273</v>
      </c>
      <c r="EI154" s="893" t="s">
        <v>14377</v>
      </c>
      <c r="EJ154" s="838" t="s">
        <v>14378</v>
      </c>
      <c r="EK154" s="894"/>
      <c r="EL154" s="893" t="s">
        <v>14390</v>
      </c>
      <c r="EM154" s="838" t="s">
        <v>14391</v>
      </c>
      <c r="EN154" s="894" t="s">
        <v>14392</v>
      </c>
      <c r="EO154" s="896" t="s">
        <v>14954</v>
      </c>
      <c r="EP154" s="838" t="s">
        <v>14955</v>
      </c>
      <c r="EQ154" s="895" t="s">
        <v>14956</v>
      </c>
      <c r="ER154" s="893" t="s">
        <v>14352</v>
      </c>
      <c r="ES154" s="838" t="s">
        <v>14353</v>
      </c>
      <c r="ET154" s="894" t="s">
        <v>14957</v>
      </c>
      <c r="EU154" s="893" t="s">
        <v>14249</v>
      </c>
      <c r="EV154" s="838" t="s">
        <v>14364</v>
      </c>
      <c r="EW154" s="894" t="s">
        <v>14365</v>
      </c>
      <c r="EX154" s="893" t="s">
        <v>14958</v>
      </c>
      <c r="EY154" s="838" t="s">
        <v>14373</v>
      </c>
      <c r="EZ154" s="897" t="s">
        <v>14366</v>
      </c>
      <c r="FA154" s="893" t="s">
        <v>14396</v>
      </c>
      <c r="FB154" s="838" t="s">
        <v>14397</v>
      </c>
      <c r="FC154" s="894" t="s">
        <v>5885</v>
      </c>
      <c r="FD154" s="893"/>
      <c r="FE154" s="838"/>
      <c r="FF154" s="83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row>
    <row r="155" spans="2:197">
      <c r="B155" s="801" t="s">
        <v>15924</v>
      </c>
      <c r="F155" s="801" t="s">
        <v>15948</v>
      </c>
      <c r="G155" s="801" t="s">
        <v>722</v>
      </c>
      <c r="H155" s="801" t="s">
        <v>15949</v>
      </c>
      <c r="I155" s="801" t="s">
        <v>15950</v>
      </c>
      <c r="J155" s="801" t="s">
        <v>15951</v>
      </c>
      <c r="K155" s="801" t="s">
        <v>551</v>
      </c>
      <c r="AZ155" s="802" t="s">
        <v>6004</v>
      </c>
      <c r="DC155"/>
      <c r="DD155" s="883">
        <v>8</v>
      </c>
      <c r="DE155" s="884" t="s">
        <v>14406</v>
      </c>
      <c r="DF155" s="885" t="s">
        <v>14407</v>
      </c>
      <c r="DG155" s="900" t="s">
        <v>14959</v>
      </c>
      <c r="DH155" s="887" t="s">
        <v>14960</v>
      </c>
      <c r="DI155" s="888" t="s">
        <v>14961</v>
      </c>
      <c r="DJ155" s="889" t="s">
        <v>14962</v>
      </c>
      <c r="DK155" s="890" t="s">
        <v>14421</v>
      </c>
      <c r="DL155" s="891" t="s">
        <v>14422</v>
      </c>
      <c r="DM155" s="904" t="s">
        <v>14423</v>
      </c>
      <c r="DN155" s="893"/>
      <c r="DO155" s="838" t="s">
        <v>14425</v>
      </c>
      <c r="DP155" s="894"/>
      <c r="DQ155" s="893" t="s">
        <v>14426</v>
      </c>
      <c r="DR155" s="838" t="s">
        <v>14427</v>
      </c>
      <c r="DS155" s="894"/>
      <c r="DT155" s="893" t="s">
        <v>14428</v>
      </c>
      <c r="DU155" s="838" t="s">
        <v>14429</v>
      </c>
      <c r="DV155" s="894" t="s">
        <v>14430</v>
      </c>
      <c r="DW155" s="893" t="s">
        <v>14431</v>
      </c>
      <c r="DX155" s="838" t="s">
        <v>14432</v>
      </c>
      <c r="DY155" s="895"/>
      <c r="DZ155" s="893" t="s">
        <v>14433</v>
      </c>
      <c r="EA155" s="838" t="s">
        <v>14434</v>
      </c>
      <c r="EB155" s="894"/>
      <c r="EC155" s="893" t="s">
        <v>14435</v>
      </c>
      <c r="ED155" s="838" t="s">
        <v>14436</v>
      </c>
      <c r="EE155" s="894"/>
      <c r="EF155" s="893" t="s">
        <v>14437</v>
      </c>
      <c r="EG155" s="838" t="s">
        <v>14438</v>
      </c>
      <c r="EH155" s="894" t="s">
        <v>14963</v>
      </c>
      <c r="EI155" s="893" t="s">
        <v>14426</v>
      </c>
      <c r="EJ155" s="838" t="s">
        <v>14427</v>
      </c>
      <c r="EK155" s="894"/>
      <c r="EL155" s="893" t="s">
        <v>14439</v>
      </c>
      <c r="EM155" s="838" t="s">
        <v>14440</v>
      </c>
      <c r="EN155" s="894" t="s">
        <v>14441</v>
      </c>
      <c r="EO155" s="896" t="s">
        <v>14964</v>
      </c>
      <c r="EP155" s="838" t="s">
        <v>14965</v>
      </c>
      <c r="EQ155" s="895" t="s">
        <v>14966</v>
      </c>
      <c r="ER155" s="893" t="s">
        <v>14404</v>
      </c>
      <c r="ES155" s="838" t="s">
        <v>14405</v>
      </c>
      <c r="ET155" s="894" t="s">
        <v>14967</v>
      </c>
      <c r="EU155" s="893" t="s">
        <v>14415</v>
      </c>
      <c r="EV155" s="838" t="s">
        <v>14416</v>
      </c>
      <c r="EW155" s="894" t="s">
        <v>14417</v>
      </c>
      <c r="EX155" s="893" t="s">
        <v>14474</v>
      </c>
      <c r="EY155" s="838" t="s">
        <v>14094</v>
      </c>
      <c r="EZ155" s="897" t="s">
        <v>14418</v>
      </c>
      <c r="FA155" s="893" t="s">
        <v>14446</v>
      </c>
      <c r="FB155" s="838" t="s">
        <v>14447</v>
      </c>
      <c r="FC155" s="894" t="s">
        <v>14448</v>
      </c>
      <c r="FD155" s="893"/>
      <c r="FE155" s="838"/>
      <c r="FF155" s="834"/>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row>
    <row r="156" spans="2:197">
      <c r="B156" s="801" t="s">
        <v>15925</v>
      </c>
      <c r="F156" s="801" t="s">
        <v>15952</v>
      </c>
      <c r="AZ156" s="802" t="s">
        <v>6024</v>
      </c>
      <c r="DC156"/>
      <c r="DD156" s="883">
        <v>9</v>
      </c>
      <c r="DE156" s="884" t="s">
        <v>14457</v>
      </c>
      <c r="DF156" s="906" t="s">
        <v>14458</v>
      </c>
      <c r="DG156" s="886" t="s">
        <v>14968</v>
      </c>
      <c r="DH156" s="887" t="s">
        <v>14460</v>
      </c>
      <c r="DI156" s="888" t="s">
        <v>14461</v>
      </c>
      <c r="DJ156" s="889" t="s">
        <v>14969</v>
      </c>
      <c r="DK156" s="890" t="s">
        <v>14471</v>
      </c>
      <c r="DL156" s="902" t="s">
        <v>14472</v>
      </c>
      <c r="DM156" s="904" t="s">
        <v>14473</v>
      </c>
      <c r="DN156" s="893"/>
      <c r="DO156" s="838"/>
      <c r="DP156" s="894"/>
      <c r="DQ156" s="893" t="s">
        <v>12918</v>
      </c>
      <c r="DR156" s="838" t="s">
        <v>14475</v>
      </c>
      <c r="DS156" s="894"/>
      <c r="DT156" s="893" t="s">
        <v>14970</v>
      </c>
      <c r="DU156" s="838"/>
      <c r="DV156" s="894"/>
      <c r="DW156" s="893" t="s">
        <v>14477</v>
      </c>
      <c r="DX156" s="838"/>
      <c r="DY156" s="895"/>
      <c r="DZ156" s="893" t="s">
        <v>14971</v>
      </c>
      <c r="EA156" s="838" t="s">
        <v>14479</v>
      </c>
      <c r="EB156" s="894"/>
      <c r="EC156" s="893"/>
      <c r="ED156" s="838"/>
      <c r="EE156" s="894"/>
      <c r="EF156" s="893" t="s">
        <v>14972</v>
      </c>
      <c r="EG156" s="838"/>
      <c r="EH156" s="894" t="s">
        <v>14481</v>
      </c>
      <c r="EI156" s="893" t="s">
        <v>12918</v>
      </c>
      <c r="EJ156" s="838" t="s">
        <v>14475</v>
      </c>
      <c r="EK156" s="894"/>
      <c r="EL156" s="893"/>
      <c r="EM156" s="838" t="s">
        <v>14482</v>
      </c>
      <c r="EN156" s="894"/>
      <c r="EO156" s="896" t="s">
        <v>1308</v>
      </c>
      <c r="EP156" s="838" t="s">
        <v>14973</v>
      </c>
      <c r="EQ156" s="895" t="s">
        <v>14974</v>
      </c>
      <c r="ER156" s="893" t="s">
        <v>14455</v>
      </c>
      <c r="ES156" s="838" t="s">
        <v>14456</v>
      </c>
      <c r="ET156" s="894" t="s">
        <v>14975</v>
      </c>
      <c r="EU156" s="893" t="s">
        <v>14465</v>
      </c>
      <c r="EV156" s="838" t="s">
        <v>14466</v>
      </c>
      <c r="EW156" s="894" t="s">
        <v>14976</v>
      </c>
      <c r="EX156" s="893" t="s">
        <v>14508</v>
      </c>
      <c r="EY156" s="838" t="s">
        <v>14444</v>
      </c>
      <c r="EZ156" s="897" t="s">
        <v>14468</v>
      </c>
      <c r="FA156" s="893" t="s">
        <v>14486</v>
      </c>
      <c r="FB156" s="838" t="s">
        <v>14487</v>
      </c>
      <c r="FC156" s="894" t="s">
        <v>14488</v>
      </c>
      <c r="FD156" s="893"/>
      <c r="FE156" s="838"/>
      <c r="FF156" s="834"/>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row>
    <row r="157" spans="2:197">
      <c r="B157" s="801" t="s">
        <v>15926</v>
      </c>
      <c r="F157" s="801" t="s">
        <v>15953</v>
      </c>
      <c r="G157" s="801" t="s">
        <v>9013</v>
      </c>
      <c r="H157" s="801" t="s">
        <v>9013</v>
      </c>
      <c r="I157" s="801" t="s">
        <v>9013</v>
      </c>
      <c r="J157" s="801" t="s">
        <v>9013</v>
      </c>
      <c r="K157" s="801" t="s">
        <v>9013</v>
      </c>
      <c r="AZ157" s="802" t="s">
        <v>6096</v>
      </c>
      <c r="DC157"/>
      <c r="DD157" s="883">
        <v>10</v>
      </c>
      <c r="DE157" s="898" t="s">
        <v>14494</v>
      </c>
      <c r="DF157" s="885" t="s">
        <v>14495</v>
      </c>
      <c r="DG157" s="900" t="s">
        <v>14977</v>
      </c>
      <c r="DH157" s="887" t="s">
        <v>14496</v>
      </c>
      <c r="DI157" s="888" t="s">
        <v>14497</v>
      </c>
      <c r="DJ157" s="901" t="s">
        <v>14978</v>
      </c>
      <c r="DK157" s="905" t="s">
        <v>14505</v>
      </c>
      <c r="DL157" s="902" t="s">
        <v>14979</v>
      </c>
      <c r="DM157" s="892" t="s">
        <v>14507</v>
      </c>
      <c r="DN157" s="893"/>
      <c r="DO157" s="838"/>
      <c r="DP157" s="894"/>
      <c r="DQ157" s="893" t="s">
        <v>14509</v>
      </c>
      <c r="DR157" s="838"/>
      <c r="DS157" s="894"/>
      <c r="DT157" s="893" t="s">
        <v>14510</v>
      </c>
      <c r="DU157" s="838"/>
      <c r="DV157" s="894"/>
      <c r="DW157" s="893" t="s">
        <v>14511</v>
      </c>
      <c r="DX157" s="838"/>
      <c r="DY157" s="895"/>
      <c r="DZ157" s="893"/>
      <c r="EA157" s="838"/>
      <c r="EB157" s="894"/>
      <c r="EC157" s="893"/>
      <c r="ED157" s="838"/>
      <c r="EE157" s="894"/>
      <c r="EF157" s="893" t="s">
        <v>14512</v>
      </c>
      <c r="EG157" s="838"/>
      <c r="EH157" s="894" t="s">
        <v>14513</v>
      </c>
      <c r="EI157" s="893" t="s">
        <v>14509</v>
      </c>
      <c r="EJ157" s="838"/>
      <c r="EK157" s="894"/>
      <c r="EL157" s="893"/>
      <c r="EM157" s="838"/>
      <c r="EN157" s="894"/>
      <c r="EO157" s="896" t="s">
        <v>14980</v>
      </c>
      <c r="EP157" s="838" t="s">
        <v>14981</v>
      </c>
      <c r="EQ157" s="895" t="s">
        <v>14982</v>
      </c>
      <c r="ER157" s="893" t="s">
        <v>14492</v>
      </c>
      <c r="ES157" s="838" t="s">
        <v>14493</v>
      </c>
      <c r="ET157" s="894" t="s">
        <v>14983</v>
      </c>
      <c r="EU157" s="893" t="s">
        <v>14499</v>
      </c>
      <c r="EV157" s="838" t="s">
        <v>14500</v>
      </c>
      <c r="EW157" s="894" t="s">
        <v>14501</v>
      </c>
      <c r="EX157" s="893" t="s">
        <v>14984</v>
      </c>
      <c r="EY157" s="838" t="s">
        <v>14516</v>
      </c>
      <c r="EZ157" s="897" t="s">
        <v>14502</v>
      </c>
      <c r="FA157" s="893" t="s">
        <v>14518</v>
      </c>
      <c r="FB157" s="838" t="s">
        <v>14519</v>
      </c>
      <c r="FC157" s="894" t="s">
        <v>14520</v>
      </c>
      <c r="FD157" s="893"/>
      <c r="FE157" s="838"/>
      <c r="FF157" s="834"/>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row>
    <row r="158" spans="2:197">
      <c r="B158" s="801" t="s">
        <v>15927</v>
      </c>
      <c r="F158" s="801" t="s">
        <v>14972</v>
      </c>
      <c r="G158" s="801" t="s">
        <v>9013</v>
      </c>
      <c r="H158" s="801" t="s">
        <v>9013</v>
      </c>
      <c r="I158" s="801" t="s">
        <v>9013</v>
      </c>
      <c r="J158" s="801" t="s">
        <v>9013</v>
      </c>
      <c r="K158" s="801" t="s">
        <v>9013</v>
      </c>
      <c r="AZ158" s="802" t="s">
        <v>6107</v>
      </c>
      <c r="DC158"/>
      <c r="DD158" s="883">
        <v>11</v>
      </c>
      <c r="DE158" s="898" t="s">
        <v>14527</v>
      </c>
      <c r="DF158" s="885" t="s">
        <v>14528</v>
      </c>
      <c r="DG158" s="900" t="s">
        <v>14985</v>
      </c>
      <c r="DH158" s="887" t="s">
        <v>14529</v>
      </c>
      <c r="DI158" s="888" t="s">
        <v>14986</v>
      </c>
      <c r="DJ158" s="894"/>
      <c r="DK158" s="890" t="s">
        <v>14987</v>
      </c>
      <c r="DL158" s="909" t="s">
        <v>14537</v>
      </c>
      <c r="DM158" s="894"/>
      <c r="DN158" s="893"/>
      <c r="DO158" s="838"/>
      <c r="DP158" s="894"/>
      <c r="DQ158" s="893"/>
      <c r="DR158" s="838"/>
      <c r="DS158" s="894"/>
      <c r="DT158" s="893" t="s">
        <v>14539</v>
      </c>
      <c r="DU158" s="838"/>
      <c r="DV158" s="894"/>
      <c r="DW158" s="893" t="s">
        <v>14540</v>
      </c>
      <c r="DX158" s="838"/>
      <c r="DY158" s="895"/>
      <c r="DZ158" s="893"/>
      <c r="EA158" s="838"/>
      <c r="EB158" s="894"/>
      <c r="EC158" s="893"/>
      <c r="ED158" s="838"/>
      <c r="EE158" s="894"/>
      <c r="EF158" s="893" t="s">
        <v>14541</v>
      </c>
      <c r="EG158" s="838"/>
      <c r="EH158" s="894" t="s">
        <v>14542</v>
      </c>
      <c r="EI158" s="893"/>
      <c r="EJ158" s="838"/>
      <c r="EK158" s="894"/>
      <c r="EL158" s="893"/>
      <c r="EM158" s="838"/>
      <c r="EN158" s="894"/>
      <c r="EO158" s="896" t="s">
        <v>14988</v>
      </c>
      <c r="EP158" s="838" t="s">
        <v>14989</v>
      </c>
      <c r="EQ158" s="895" t="s">
        <v>14990</v>
      </c>
      <c r="ER158" s="893" t="s">
        <v>14525</v>
      </c>
      <c r="ES158" s="838" t="s">
        <v>14526</v>
      </c>
      <c r="ET158" s="894" t="s">
        <v>14991</v>
      </c>
      <c r="EU158" s="893" t="s">
        <v>14532</v>
      </c>
      <c r="EV158" s="838" t="s">
        <v>14533</v>
      </c>
      <c r="EW158" s="894" t="s">
        <v>14534</v>
      </c>
      <c r="EX158" s="893" t="s">
        <v>14565</v>
      </c>
      <c r="EY158" s="838" t="s">
        <v>14566</v>
      </c>
      <c r="EZ158" s="897" t="s">
        <v>14535</v>
      </c>
      <c r="FA158" s="893" t="s">
        <v>14546</v>
      </c>
      <c r="FB158" s="838" t="s">
        <v>14547</v>
      </c>
      <c r="FC158" s="894" t="s">
        <v>14548</v>
      </c>
      <c r="FD158" s="893"/>
      <c r="FE158" s="838"/>
      <c r="FF158" s="834"/>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row>
    <row r="159" spans="2:197">
      <c r="B159" s="801" t="s">
        <v>15928</v>
      </c>
      <c r="F159" s="801" t="s">
        <v>5788</v>
      </c>
      <c r="G159" s="801" t="s">
        <v>15954</v>
      </c>
      <c r="H159" s="801" t="s">
        <v>15955</v>
      </c>
      <c r="I159" s="801" t="s">
        <v>15371</v>
      </c>
      <c r="J159" s="801" t="s">
        <v>15956</v>
      </c>
      <c r="K159" s="801" t="s">
        <v>8370</v>
      </c>
      <c r="AZ159" s="802" t="s">
        <v>6002</v>
      </c>
      <c r="DC159"/>
      <c r="DD159" s="883">
        <v>12</v>
      </c>
      <c r="DE159" s="898" t="s">
        <v>14555</v>
      </c>
      <c r="DF159" s="906" t="s">
        <v>14556</v>
      </c>
      <c r="DG159" s="886" t="s">
        <v>14992</v>
      </c>
      <c r="DH159" s="887" t="s">
        <v>14557</v>
      </c>
      <c r="DI159" s="908" t="s">
        <v>14558</v>
      </c>
      <c r="DJ159" s="894"/>
      <c r="DK159" s="890" t="s">
        <v>14563</v>
      </c>
      <c r="DL159" s="891" t="s">
        <v>14564</v>
      </c>
      <c r="DM159" s="894"/>
      <c r="DN159" s="893"/>
      <c r="DO159" s="838"/>
      <c r="DP159" s="894"/>
      <c r="DQ159" s="893"/>
      <c r="DR159" s="838"/>
      <c r="DS159" s="894"/>
      <c r="DT159" s="893"/>
      <c r="DU159" s="838"/>
      <c r="DV159" s="894"/>
      <c r="DW159" s="893"/>
      <c r="DX159" s="838"/>
      <c r="DY159" s="895"/>
      <c r="DZ159" s="893"/>
      <c r="EA159" s="838"/>
      <c r="EB159" s="894"/>
      <c r="EC159" s="893"/>
      <c r="ED159" s="838"/>
      <c r="EE159" s="894"/>
      <c r="EF159" s="893" t="s">
        <v>14389</v>
      </c>
      <c r="EG159" s="838"/>
      <c r="EH159" s="894" t="s">
        <v>14567</v>
      </c>
      <c r="EI159" s="893"/>
      <c r="EJ159" s="838"/>
      <c r="EK159" s="894"/>
      <c r="EL159" s="893"/>
      <c r="EM159" s="838"/>
      <c r="EN159" s="894"/>
      <c r="EO159" s="896" t="s">
        <v>14993</v>
      </c>
      <c r="EP159" s="838" t="s">
        <v>14994</v>
      </c>
      <c r="EQ159" s="895" t="s">
        <v>14995</v>
      </c>
      <c r="ER159" s="893"/>
      <c r="ES159" s="838" t="s">
        <v>14554</v>
      </c>
      <c r="ET159" s="894" t="s">
        <v>14996</v>
      </c>
      <c r="EU159" s="893" t="s">
        <v>14560</v>
      </c>
      <c r="EV159" s="838" t="s">
        <v>14561</v>
      </c>
      <c r="EW159" s="894"/>
      <c r="EX159" s="893" t="s">
        <v>14000</v>
      </c>
      <c r="EY159" s="838" t="s">
        <v>14592</v>
      </c>
      <c r="EZ159" s="897" t="s">
        <v>14562</v>
      </c>
      <c r="FA159" s="893" t="s">
        <v>14571</v>
      </c>
      <c r="FB159" s="838" t="s">
        <v>14997</v>
      </c>
      <c r="FC159" s="894" t="s">
        <v>14573</v>
      </c>
      <c r="FD159" s="893"/>
      <c r="FE159" s="838"/>
      <c r="FF159" s="834"/>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row>
    <row r="160" spans="2:197">
      <c r="F160" s="801" t="s">
        <v>15957</v>
      </c>
      <c r="G160" s="801" t="s">
        <v>15958</v>
      </c>
      <c r="H160" s="801" t="s">
        <v>15959</v>
      </c>
      <c r="I160" s="801" t="s">
        <v>7698</v>
      </c>
      <c r="J160" s="801" t="s">
        <v>15960</v>
      </c>
      <c r="K160" s="801" t="s">
        <v>8370</v>
      </c>
      <c r="AZ160" s="802" t="s">
        <v>5995</v>
      </c>
      <c r="DC160"/>
      <c r="DD160" s="883">
        <v>13</v>
      </c>
      <c r="DE160" s="884" t="s">
        <v>14580</v>
      </c>
      <c r="DF160" s="906" t="s">
        <v>14581</v>
      </c>
      <c r="DG160" s="886" t="s">
        <v>14998</v>
      </c>
      <c r="DH160" s="907" t="s">
        <v>14584</v>
      </c>
      <c r="DI160" s="908" t="s">
        <v>14585</v>
      </c>
      <c r="DJ160" s="894"/>
      <c r="DK160" s="890" t="s">
        <v>14590</v>
      </c>
      <c r="DL160" s="891" t="s">
        <v>14591</v>
      </c>
      <c r="DM160" s="894"/>
      <c r="DN160" s="893"/>
      <c r="DO160" s="838"/>
      <c r="DP160" s="894"/>
      <c r="DQ160" s="893"/>
      <c r="DR160" s="838"/>
      <c r="DS160" s="894"/>
      <c r="DT160" s="893"/>
      <c r="DU160" s="838"/>
      <c r="DV160" s="894"/>
      <c r="DW160" s="893"/>
      <c r="DX160" s="838"/>
      <c r="DY160" s="895"/>
      <c r="DZ160" s="893"/>
      <c r="EA160" s="838"/>
      <c r="EB160" s="894"/>
      <c r="EC160" s="893"/>
      <c r="ED160" s="838"/>
      <c r="EE160" s="894"/>
      <c r="EF160" s="893" t="s">
        <v>14593</v>
      </c>
      <c r="EG160" s="838"/>
      <c r="EH160" s="894"/>
      <c r="EI160" s="893"/>
      <c r="EJ160" s="838"/>
      <c r="EK160" s="894"/>
      <c r="EL160" s="893"/>
      <c r="EM160" s="838"/>
      <c r="EN160" s="894"/>
      <c r="EO160" s="896" t="s">
        <v>14999</v>
      </c>
      <c r="EP160" s="838" t="s">
        <v>15000</v>
      </c>
      <c r="EQ160" s="895" t="s">
        <v>15001</v>
      </c>
      <c r="ER160" s="893"/>
      <c r="ES160" s="838" t="s">
        <v>14579</v>
      </c>
      <c r="ET160" s="894" t="s">
        <v>15002</v>
      </c>
      <c r="EU160" s="893" t="s">
        <v>14587</v>
      </c>
      <c r="EV160" s="838" t="s">
        <v>14588</v>
      </c>
      <c r="EW160" s="894"/>
      <c r="EX160" s="893"/>
      <c r="EY160" s="838"/>
      <c r="EZ160" s="897" t="s">
        <v>15003</v>
      </c>
      <c r="FA160" s="893" t="s">
        <v>14595</v>
      </c>
      <c r="FB160" s="838" t="s">
        <v>14596</v>
      </c>
      <c r="FC160" s="894" t="s">
        <v>14597</v>
      </c>
      <c r="FD160" s="893"/>
      <c r="FE160" s="838"/>
      <c r="FF160" s="834"/>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row>
    <row r="161" spans="6:197">
      <c r="F161" s="801" t="s">
        <v>5786</v>
      </c>
      <c r="G161" s="801" t="s">
        <v>15961</v>
      </c>
      <c r="H161" s="801" t="s">
        <v>15962</v>
      </c>
      <c r="I161" s="801" t="s">
        <v>9752</v>
      </c>
      <c r="J161" s="801" t="s">
        <v>9754</v>
      </c>
      <c r="K161" s="801" t="s">
        <v>9358</v>
      </c>
      <c r="AZ161" s="802" t="s">
        <v>6221</v>
      </c>
      <c r="DC161"/>
      <c r="DD161" s="883">
        <v>14</v>
      </c>
      <c r="DE161" s="884" t="s">
        <v>14604</v>
      </c>
      <c r="DF161" s="885" t="s">
        <v>14605</v>
      </c>
      <c r="DG161" s="900" t="s">
        <v>15004</v>
      </c>
      <c r="DH161" s="907" t="s">
        <v>14608</v>
      </c>
      <c r="DI161" s="888" t="s">
        <v>15005</v>
      </c>
      <c r="DJ161" s="894"/>
      <c r="DK161" s="905" t="s">
        <v>14613</v>
      </c>
      <c r="DL161" s="902" t="s">
        <v>14614</v>
      </c>
      <c r="DM161" s="894"/>
      <c r="DN161" s="893"/>
      <c r="DO161" s="838"/>
      <c r="DP161" s="894"/>
      <c r="DQ161" s="893"/>
      <c r="DR161" s="838"/>
      <c r="DS161" s="894"/>
      <c r="DT161" s="893"/>
      <c r="DU161" s="838"/>
      <c r="DV161" s="894"/>
      <c r="DW161" s="893"/>
      <c r="DX161" s="838"/>
      <c r="DY161" s="895"/>
      <c r="DZ161" s="893"/>
      <c r="EA161" s="838"/>
      <c r="EB161" s="894"/>
      <c r="EC161" s="893"/>
      <c r="ED161" s="838"/>
      <c r="EE161" s="894"/>
      <c r="EF161" s="893"/>
      <c r="EG161" s="838"/>
      <c r="EH161" s="894"/>
      <c r="EI161" s="893"/>
      <c r="EJ161" s="838"/>
      <c r="EK161" s="894"/>
      <c r="EL161" s="893"/>
      <c r="EM161" s="838"/>
      <c r="EN161" s="894"/>
      <c r="EO161" s="896" t="s">
        <v>15006</v>
      </c>
      <c r="EP161" s="838" t="s">
        <v>15007</v>
      </c>
      <c r="EQ161" s="895" t="s">
        <v>15008</v>
      </c>
      <c r="ER161" s="893"/>
      <c r="ES161" s="838" t="s">
        <v>14603</v>
      </c>
      <c r="ET161" s="894" t="s">
        <v>15009</v>
      </c>
      <c r="EU161" s="893" t="s">
        <v>14611</v>
      </c>
      <c r="EV161" s="838" t="s">
        <v>14612</v>
      </c>
      <c r="EW161" s="894"/>
      <c r="EX161" s="893"/>
      <c r="EY161" s="838"/>
      <c r="EZ161" s="897"/>
      <c r="FA161" s="893" t="s">
        <v>14616</v>
      </c>
      <c r="FB161" s="838"/>
      <c r="FC161" s="894" t="s">
        <v>14617</v>
      </c>
      <c r="FD161" s="893"/>
      <c r="FE161" s="838"/>
      <c r="FF161" s="834"/>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row>
    <row r="162" spans="6:197">
      <c r="AZ162" s="802" t="s">
        <v>6185</v>
      </c>
      <c r="DC162"/>
      <c r="DD162" s="883">
        <v>15</v>
      </c>
      <c r="DE162" s="898" t="s">
        <v>14622</v>
      </c>
      <c r="DF162" s="885" t="s">
        <v>14623</v>
      </c>
      <c r="DG162" s="886" t="s">
        <v>15010</v>
      </c>
      <c r="DH162" s="907" t="s">
        <v>14625</v>
      </c>
      <c r="DI162" s="908" t="s">
        <v>14626</v>
      </c>
      <c r="DJ162" s="894"/>
      <c r="DK162" s="905" t="s">
        <v>14630</v>
      </c>
      <c r="DL162" s="902" t="s">
        <v>14631</v>
      </c>
      <c r="DM162" s="894"/>
      <c r="DN162" s="893"/>
      <c r="DO162" s="838"/>
      <c r="DP162" s="894"/>
      <c r="DQ162" s="893"/>
      <c r="DR162" s="838"/>
      <c r="DS162" s="894"/>
      <c r="DT162" s="893"/>
      <c r="DU162" s="838"/>
      <c r="DV162" s="894"/>
      <c r="DW162" s="893"/>
      <c r="DX162" s="838"/>
      <c r="DY162" s="895"/>
      <c r="DZ162" s="893"/>
      <c r="EA162" s="838"/>
      <c r="EB162" s="894"/>
      <c r="EC162" s="893"/>
      <c r="ED162" s="838"/>
      <c r="EE162" s="894"/>
      <c r="EF162" s="893"/>
      <c r="EG162" s="838"/>
      <c r="EH162" s="894"/>
      <c r="EI162" s="893"/>
      <c r="EJ162" s="838"/>
      <c r="EK162" s="894"/>
      <c r="EL162" s="893"/>
      <c r="EM162" s="838"/>
      <c r="EN162" s="894"/>
      <c r="EO162" s="896" t="s">
        <v>15011</v>
      </c>
      <c r="EP162" s="838" t="s">
        <v>15012</v>
      </c>
      <c r="EQ162" s="895" t="s">
        <v>15013</v>
      </c>
      <c r="ER162" s="893"/>
      <c r="ES162" s="838" t="s">
        <v>14621</v>
      </c>
      <c r="ET162" s="894" t="s">
        <v>15014</v>
      </c>
      <c r="EU162" s="893" t="s">
        <v>14628</v>
      </c>
      <c r="EV162" s="838" t="s">
        <v>14629</v>
      </c>
      <c r="EW162" s="894"/>
      <c r="EX162" s="893"/>
      <c r="EY162" s="838"/>
      <c r="EZ162" s="897"/>
      <c r="FA162" s="893"/>
      <c r="FB162" s="838"/>
      <c r="FC162" s="894" t="s">
        <v>14633</v>
      </c>
      <c r="FD162" s="893"/>
      <c r="FE162" s="838"/>
      <c r="FF162" s="834"/>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row>
    <row r="163" spans="6:197">
      <c r="AZ163" s="802" t="s">
        <v>5980</v>
      </c>
      <c r="DC163"/>
      <c r="DD163" s="883">
        <v>16</v>
      </c>
      <c r="DE163" s="884" t="s">
        <v>14637</v>
      </c>
      <c r="DF163" s="885" t="s">
        <v>15015</v>
      </c>
      <c r="DG163" s="900"/>
      <c r="DH163" s="907" t="s">
        <v>14641</v>
      </c>
      <c r="DI163" s="888" t="s">
        <v>14238</v>
      </c>
      <c r="DJ163" s="894"/>
      <c r="DK163" s="890" t="s">
        <v>14645</v>
      </c>
      <c r="DL163" s="902" t="s">
        <v>14646</v>
      </c>
      <c r="DM163" s="894"/>
      <c r="DN163" s="893"/>
      <c r="DO163" s="838"/>
      <c r="DP163" s="894"/>
      <c r="DQ163" s="893"/>
      <c r="DR163" s="838"/>
      <c r="DS163" s="894"/>
      <c r="DT163" s="893"/>
      <c r="DU163" s="838"/>
      <c r="DV163" s="894"/>
      <c r="DW163" s="893"/>
      <c r="DX163" s="838"/>
      <c r="DY163" s="895"/>
      <c r="DZ163" s="893"/>
      <c r="EA163" s="838"/>
      <c r="EB163" s="894"/>
      <c r="EC163" s="893"/>
      <c r="ED163" s="838"/>
      <c r="EE163" s="894"/>
      <c r="EF163" s="893"/>
      <c r="EG163" s="838"/>
      <c r="EH163" s="894"/>
      <c r="EI163" s="893"/>
      <c r="EJ163" s="838"/>
      <c r="EK163" s="894"/>
      <c r="EL163" s="893"/>
      <c r="EM163" s="838"/>
      <c r="EN163" s="894"/>
      <c r="EO163" s="896" t="s">
        <v>15016</v>
      </c>
      <c r="EP163" s="838" t="s">
        <v>15017</v>
      </c>
      <c r="EQ163" s="895" t="s">
        <v>14886</v>
      </c>
      <c r="ER163" s="893"/>
      <c r="ES163" s="838" t="s">
        <v>14636</v>
      </c>
      <c r="ET163" s="894" t="s">
        <v>15018</v>
      </c>
      <c r="EU163" s="893" t="s">
        <v>14643</v>
      </c>
      <c r="EV163" s="838" t="s">
        <v>14644</v>
      </c>
      <c r="EW163" s="894"/>
      <c r="EX163" s="893"/>
      <c r="EY163" s="838"/>
      <c r="EZ163" s="897"/>
      <c r="FA163" s="893"/>
      <c r="FB163" s="838"/>
      <c r="FC163" s="894" t="s">
        <v>5814</v>
      </c>
      <c r="FD163" s="893"/>
      <c r="FE163" s="838"/>
      <c r="FF163" s="834"/>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row>
    <row r="164" spans="6:197">
      <c r="AZ164" s="802" t="s">
        <v>6003</v>
      </c>
      <c r="DC164"/>
      <c r="DD164" s="883">
        <v>17</v>
      </c>
      <c r="DE164" s="884" t="s">
        <v>14651</v>
      </c>
      <c r="DF164" s="885" t="s">
        <v>14652</v>
      </c>
      <c r="DG164" s="886"/>
      <c r="DH164" s="887" t="s">
        <v>14654</v>
      </c>
      <c r="DI164" s="888" t="s">
        <v>14655</v>
      </c>
      <c r="DJ164" s="894"/>
      <c r="DK164" s="890" t="s">
        <v>14659</v>
      </c>
      <c r="DL164" s="902" t="s">
        <v>14660</v>
      </c>
      <c r="DM164" s="894"/>
      <c r="DN164" s="893"/>
      <c r="DO164" s="838"/>
      <c r="DP164" s="894"/>
      <c r="DQ164" s="893"/>
      <c r="DR164" s="838"/>
      <c r="DS164" s="894"/>
      <c r="DT164" s="893"/>
      <c r="DU164" s="838"/>
      <c r="DV164" s="894"/>
      <c r="DW164" s="893"/>
      <c r="DX164" s="838"/>
      <c r="DY164" s="895"/>
      <c r="DZ164" s="893"/>
      <c r="EA164" s="838"/>
      <c r="EB164" s="894"/>
      <c r="EC164" s="893"/>
      <c r="ED164" s="838"/>
      <c r="EE164" s="894"/>
      <c r="EF164" s="893"/>
      <c r="EG164" s="838"/>
      <c r="EH164" s="894"/>
      <c r="EI164" s="893"/>
      <c r="EJ164" s="838"/>
      <c r="EK164" s="894"/>
      <c r="EL164" s="893"/>
      <c r="EM164" s="838"/>
      <c r="EN164" s="894"/>
      <c r="EO164" s="896" t="s">
        <v>15019</v>
      </c>
      <c r="EP164" s="838" t="s">
        <v>15020</v>
      </c>
      <c r="EQ164" s="895" t="s">
        <v>15021</v>
      </c>
      <c r="ER164" s="893"/>
      <c r="ES164" s="838" t="s">
        <v>14650</v>
      </c>
      <c r="ET164" s="894" t="s">
        <v>15022</v>
      </c>
      <c r="EU164" s="893" t="s">
        <v>14657</v>
      </c>
      <c r="EV164" s="838" t="s">
        <v>14658</v>
      </c>
      <c r="EW164" s="894"/>
      <c r="EX164" s="893"/>
      <c r="EY164" s="838"/>
      <c r="EZ164" s="897"/>
      <c r="FA164" s="893"/>
      <c r="FB164" s="838"/>
      <c r="FC164" s="894" t="s">
        <v>14662</v>
      </c>
      <c r="FD164" s="893"/>
      <c r="FE164" s="838"/>
      <c r="FF164" s="83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row>
    <row r="165" spans="6:197">
      <c r="F165" s="801" t="s">
        <v>15963</v>
      </c>
      <c r="AZ165" s="802" t="s">
        <v>5870</v>
      </c>
      <c r="DC165"/>
      <c r="DD165" s="883">
        <v>18</v>
      </c>
      <c r="DE165" s="884" t="s">
        <v>14666</v>
      </c>
      <c r="DF165" s="885" t="s">
        <v>14667</v>
      </c>
      <c r="DG165" s="886"/>
      <c r="DH165" s="907" t="s">
        <v>14669</v>
      </c>
      <c r="DI165" s="888" t="s">
        <v>14670</v>
      </c>
      <c r="DJ165" s="894"/>
      <c r="DK165" s="893"/>
      <c r="DL165" s="902" t="s">
        <v>14673</v>
      </c>
      <c r="DM165" s="894"/>
      <c r="DN165" s="893"/>
      <c r="DO165" s="838"/>
      <c r="DP165" s="894"/>
      <c r="DQ165" s="893"/>
      <c r="DR165" s="838"/>
      <c r="DS165" s="894"/>
      <c r="DT165" s="893"/>
      <c r="DU165" s="838"/>
      <c r="DV165" s="894"/>
      <c r="DW165" s="893"/>
      <c r="DX165" s="838"/>
      <c r="DY165" s="895"/>
      <c r="DZ165" s="893"/>
      <c r="EA165" s="838"/>
      <c r="EB165" s="894"/>
      <c r="EC165" s="893"/>
      <c r="ED165" s="838"/>
      <c r="EE165" s="894"/>
      <c r="EF165" s="893"/>
      <c r="EG165" s="838"/>
      <c r="EH165" s="894"/>
      <c r="EI165" s="893"/>
      <c r="EJ165" s="838"/>
      <c r="EK165" s="894"/>
      <c r="EL165" s="893"/>
      <c r="EM165" s="838"/>
      <c r="EN165" s="894"/>
      <c r="EO165" s="896" t="s">
        <v>15023</v>
      </c>
      <c r="EP165" s="838" t="s">
        <v>15024</v>
      </c>
      <c r="EQ165" s="895" t="s">
        <v>15025</v>
      </c>
      <c r="ER165" s="893"/>
      <c r="ES165" s="838"/>
      <c r="ET165" s="894" t="s">
        <v>15026</v>
      </c>
      <c r="EU165" s="893" t="s">
        <v>14671</v>
      </c>
      <c r="EV165" s="838" t="s">
        <v>14672</v>
      </c>
      <c r="EW165" s="894"/>
      <c r="EX165" s="893"/>
      <c r="EY165" s="838"/>
      <c r="EZ165" s="897"/>
      <c r="FA165" s="893"/>
      <c r="FB165" s="838"/>
      <c r="FC165" s="894" t="s">
        <v>14675</v>
      </c>
      <c r="FD165" s="893"/>
      <c r="FE165" s="838"/>
      <c r="FF165" s="834"/>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row>
    <row r="166" spans="6:197">
      <c r="F166" s="801" t="s">
        <v>15964</v>
      </c>
      <c r="G166" s="801" t="s">
        <v>722</v>
      </c>
      <c r="H166" s="801" t="s">
        <v>15965</v>
      </c>
      <c r="I166" s="801" t="s">
        <v>15966</v>
      </c>
      <c r="J166" s="801" t="s">
        <v>15967</v>
      </c>
      <c r="K166" s="801" t="s">
        <v>8868</v>
      </c>
      <c r="AZ166" s="802" t="s">
        <v>5862</v>
      </c>
      <c r="DC166"/>
      <c r="DD166" s="883">
        <v>19</v>
      </c>
      <c r="DE166" s="884" t="s">
        <v>14678</v>
      </c>
      <c r="DF166" s="906" t="s">
        <v>14679</v>
      </c>
      <c r="DG166" s="900"/>
      <c r="DH166" s="887" t="s">
        <v>14681</v>
      </c>
      <c r="DI166" s="910" t="s">
        <v>14682</v>
      </c>
      <c r="DJ166" s="894"/>
      <c r="DK166" s="893"/>
      <c r="DL166" s="838"/>
      <c r="DM166" s="894"/>
      <c r="DN166" s="893"/>
      <c r="DO166" s="838"/>
      <c r="DP166" s="894"/>
      <c r="DQ166" s="893"/>
      <c r="DR166" s="838"/>
      <c r="DS166" s="894"/>
      <c r="DT166" s="893"/>
      <c r="DU166" s="838"/>
      <c r="DV166" s="894"/>
      <c r="DW166" s="893"/>
      <c r="DX166" s="838"/>
      <c r="DY166" s="895"/>
      <c r="DZ166" s="893"/>
      <c r="EA166" s="838"/>
      <c r="EB166" s="894"/>
      <c r="EC166" s="893"/>
      <c r="ED166" s="838"/>
      <c r="EE166" s="894"/>
      <c r="EF166" s="893"/>
      <c r="EG166" s="838"/>
      <c r="EH166" s="894"/>
      <c r="EI166" s="893"/>
      <c r="EJ166" s="838"/>
      <c r="EK166" s="894"/>
      <c r="EL166" s="893"/>
      <c r="EM166" s="838"/>
      <c r="EN166" s="894"/>
      <c r="EO166" s="896" t="s">
        <v>15027</v>
      </c>
      <c r="EP166" s="838" t="s">
        <v>15028</v>
      </c>
      <c r="EQ166" s="895" t="s">
        <v>15029</v>
      </c>
      <c r="ER166" s="893"/>
      <c r="ES166" s="838"/>
      <c r="ET166" s="894"/>
      <c r="EU166" s="893" t="s">
        <v>14683</v>
      </c>
      <c r="EV166" s="838" t="s">
        <v>14684</v>
      </c>
      <c r="EW166" s="894"/>
      <c r="EX166" s="893"/>
      <c r="EY166" s="838"/>
      <c r="EZ166" s="897"/>
      <c r="FA166" s="893"/>
      <c r="FB166" s="838"/>
      <c r="FC166" s="894" t="s">
        <v>14686</v>
      </c>
      <c r="FD166" s="893"/>
      <c r="FE166" s="838"/>
      <c r="FF166" s="834"/>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row>
    <row r="167" spans="6:197">
      <c r="F167" s="801" t="s">
        <v>15968</v>
      </c>
      <c r="G167" s="801" t="s">
        <v>15969</v>
      </c>
      <c r="H167" s="801" t="s">
        <v>5787</v>
      </c>
      <c r="I167" s="801" t="s">
        <v>7685</v>
      </c>
      <c r="J167" s="801" t="s">
        <v>9763</v>
      </c>
      <c r="K167" s="801" t="s">
        <v>9358</v>
      </c>
      <c r="AZ167" s="802" t="s">
        <v>3943</v>
      </c>
      <c r="DC167"/>
      <c r="DD167" s="883">
        <v>20</v>
      </c>
      <c r="DE167" s="884" t="s">
        <v>14689</v>
      </c>
      <c r="DF167" s="885" t="s">
        <v>14690</v>
      </c>
      <c r="DG167" s="886"/>
      <c r="DH167" s="907" t="s">
        <v>14691</v>
      </c>
      <c r="DI167" s="888" t="s">
        <v>14692</v>
      </c>
      <c r="DJ167" s="894"/>
      <c r="DK167" s="893"/>
      <c r="DL167" s="838"/>
      <c r="DM167" s="894"/>
      <c r="DN167" s="893"/>
      <c r="DO167" s="838"/>
      <c r="DP167" s="894"/>
      <c r="DQ167" s="893"/>
      <c r="DR167" s="838"/>
      <c r="DS167" s="894"/>
      <c r="DT167" s="893"/>
      <c r="DU167" s="838"/>
      <c r="DV167" s="894"/>
      <c r="DW167" s="893"/>
      <c r="DX167" s="838"/>
      <c r="DY167" s="895"/>
      <c r="DZ167" s="893"/>
      <c r="EA167" s="838"/>
      <c r="EB167" s="894"/>
      <c r="EC167" s="893"/>
      <c r="ED167" s="838"/>
      <c r="EE167" s="894"/>
      <c r="EF167" s="893"/>
      <c r="EG167" s="838"/>
      <c r="EH167" s="894"/>
      <c r="EI167" s="893"/>
      <c r="EJ167" s="838"/>
      <c r="EK167" s="894"/>
      <c r="EL167" s="893"/>
      <c r="EM167" s="838"/>
      <c r="EN167" s="894"/>
      <c r="EO167" s="896" t="s">
        <v>15030</v>
      </c>
      <c r="EP167" s="838" t="s">
        <v>15031</v>
      </c>
      <c r="EQ167" s="895" t="s">
        <v>15032</v>
      </c>
      <c r="ER167" s="893"/>
      <c r="ES167" s="838"/>
      <c r="ET167" s="894"/>
      <c r="EU167" s="893" t="s">
        <v>14693</v>
      </c>
      <c r="EV167" s="838" t="s">
        <v>15033</v>
      </c>
      <c r="EW167" s="894"/>
      <c r="EX167" s="893"/>
      <c r="EY167" s="838"/>
      <c r="EZ167" s="897"/>
      <c r="FA167" s="893"/>
      <c r="FB167" s="838"/>
      <c r="FC167" s="894" t="s">
        <v>14695</v>
      </c>
      <c r="FD167" s="893"/>
      <c r="FE167" s="838"/>
      <c r="FF167" s="834"/>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row>
    <row r="168" spans="6:197">
      <c r="F168" s="801" t="s">
        <v>4788</v>
      </c>
      <c r="G168" s="801" t="s">
        <v>15970</v>
      </c>
      <c r="H168" s="801" t="s">
        <v>15971</v>
      </c>
      <c r="AZ168" s="802" t="s">
        <v>5873</v>
      </c>
      <c r="DC168"/>
      <c r="DD168" s="883">
        <v>21</v>
      </c>
      <c r="DE168" s="898" t="s">
        <v>14698</v>
      </c>
      <c r="DF168" s="906" t="s">
        <v>14699</v>
      </c>
      <c r="DG168" s="900"/>
      <c r="DH168" s="907" t="s">
        <v>14700</v>
      </c>
      <c r="DI168" s="911" t="s">
        <v>14701</v>
      </c>
      <c r="DJ168" s="894"/>
      <c r="DK168" s="893"/>
      <c r="DL168" s="838"/>
      <c r="DM168" s="894"/>
      <c r="DN168" s="893"/>
      <c r="DO168" s="838"/>
      <c r="DP168" s="894"/>
      <c r="DQ168" s="893"/>
      <c r="DR168" s="838"/>
      <c r="DS168" s="894"/>
      <c r="DT168" s="893"/>
      <c r="DU168" s="838"/>
      <c r="DV168" s="894"/>
      <c r="DW168" s="893"/>
      <c r="DX168" s="838"/>
      <c r="DY168" s="895"/>
      <c r="DZ168" s="893"/>
      <c r="EA168" s="838"/>
      <c r="EB168" s="894"/>
      <c r="EC168" s="893"/>
      <c r="ED168" s="838"/>
      <c r="EE168" s="894"/>
      <c r="EF168" s="893"/>
      <c r="EG168" s="838"/>
      <c r="EH168" s="894"/>
      <c r="EI168" s="893"/>
      <c r="EJ168" s="838"/>
      <c r="EK168" s="894"/>
      <c r="EL168" s="893"/>
      <c r="EM168" s="838"/>
      <c r="EN168" s="894"/>
      <c r="EO168" s="896" t="s">
        <v>15034</v>
      </c>
      <c r="EP168" s="838" t="s">
        <v>15035</v>
      </c>
      <c r="EQ168" s="895" t="s">
        <v>15036</v>
      </c>
      <c r="ER168" s="893"/>
      <c r="ES168" s="838"/>
      <c r="ET168" s="894"/>
      <c r="EU168" s="893" t="s">
        <v>14702</v>
      </c>
      <c r="EV168" s="838" t="s">
        <v>14703</v>
      </c>
      <c r="EW168" s="894"/>
      <c r="EX168" s="893"/>
      <c r="EY168" s="838"/>
      <c r="EZ168" s="897"/>
      <c r="FA168" s="893"/>
      <c r="FB168" s="838"/>
      <c r="FC168" s="894" t="s">
        <v>14705</v>
      </c>
      <c r="FD168" s="893"/>
      <c r="FE168" s="838"/>
      <c r="FF168" s="834"/>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row>
    <row r="169" spans="6:197">
      <c r="F169" s="801" t="s">
        <v>4123</v>
      </c>
      <c r="G169" s="801" t="s">
        <v>7685</v>
      </c>
      <c r="H169" s="801" t="s">
        <v>15991</v>
      </c>
      <c r="I169" s="801" t="s">
        <v>9763</v>
      </c>
      <c r="J169" s="801" t="s">
        <v>8369</v>
      </c>
      <c r="K169" s="801" t="s">
        <v>8370</v>
      </c>
      <c r="AZ169" s="802" t="s">
        <v>6077</v>
      </c>
      <c r="DC169"/>
      <c r="DD169" s="883">
        <v>22</v>
      </c>
      <c r="DE169" s="884" t="s">
        <v>14708</v>
      </c>
      <c r="DF169" s="906" t="s">
        <v>14709</v>
      </c>
      <c r="DG169" s="900"/>
      <c r="DH169" s="887" t="s">
        <v>14710</v>
      </c>
      <c r="DI169" s="912" t="s">
        <v>14711</v>
      </c>
      <c r="DJ169" s="894"/>
      <c r="DK169" s="893"/>
      <c r="DL169" s="838"/>
      <c r="DM169" s="894"/>
      <c r="DN169" s="893"/>
      <c r="DO169" s="838"/>
      <c r="DP169" s="894"/>
      <c r="DQ169" s="893"/>
      <c r="DR169" s="838"/>
      <c r="DS169" s="894"/>
      <c r="DT169" s="893"/>
      <c r="DU169" s="838"/>
      <c r="DV169" s="894"/>
      <c r="DW169" s="893"/>
      <c r="DX169" s="838"/>
      <c r="DY169" s="895"/>
      <c r="DZ169" s="893"/>
      <c r="EA169" s="838"/>
      <c r="EB169" s="894"/>
      <c r="EC169" s="893"/>
      <c r="ED169" s="838"/>
      <c r="EE169" s="894"/>
      <c r="EF169" s="893"/>
      <c r="EG169" s="838"/>
      <c r="EH169" s="894"/>
      <c r="EI169" s="893"/>
      <c r="EJ169" s="838"/>
      <c r="EK169" s="894"/>
      <c r="EL169" s="893"/>
      <c r="EM169" s="838"/>
      <c r="EN169" s="894"/>
      <c r="EO169" s="896" t="s">
        <v>15037</v>
      </c>
      <c r="EP169" s="838" t="s">
        <v>15038</v>
      </c>
      <c r="EQ169" s="895" t="s">
        <v>15039</v>
      </c>
      <c r="ER169" s="893"/>
      <c r="ES169" s="838"/>
      <c r="ET169" s="894"/>
      <c r="EU169" s="893" t="s">
        <v>14712</v>
      </c>
      <c r="EV169" s="838" t="s">
        <v>14713</v>
      </c>
      <c r="EW169" s="894"/>
      <c r="EX169" s="893"/>
      <c r="EY169" s="838"/>
      <c r="EZ169" s="897"/>
      <c r="FA169" s="893"/>
      <c r="FB169" s="838"/>
      <c r="FC169" s="894"/>
      <c r="FD169" s="893"/>
      <c r="FE169" s="838"/>
      <c r="FF169" s="834"/>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row>
    <row r="170" spans="6:197">
      <c r="F170" s="801" t="s">
        <v>2496</v>
      </c>
      <c r="G170" s="801" t="s">
        <v>8368</v>
      </c>
      <c r="H170" s="801" t="s">
        <v>15972</v>
      </c>
      <c r="I170" s="801" t="s">
        <v>9752</v>
      </c>
      <c r="J170" s="801" t="s">
        <v>15973</v>
      </c>
      <c r="K170" s="801" t="s">
        <v>8370</v>
      </c>
      <c r="AZ170" s="802" t="s">
        <v>6076</v>
      </c>
      <c r="DC170"/>
      <c r="DD170" s="883">
        <v>23</v>
      </c>
      <c r="DE170" s="898" t="s">
        <v>14717</v>
      </c>
      <c r="DF170" s="885" t="s">
        <v>14718</v>
      </c>
      <c r="DG170" s="886"/>
      <c r="DH170" s="887" t="s">
        <v>15040</v>
      </c>
      <c r="DI170" s="912" t="s">
        <v>14720</v>
      </c>
      <c r="DJ170" s="894"/>
      <c r="DK170" s="893"/>
      <c r="DL170" s="838"/>
      <c r="DM170" s="894"/>
      <c r="DN170" s="893"/>
      <c r="DO170" s="838"/>
      <c r="DP170" s="894"/>
      <c r="DQ170" s="893"/>
      <c r="DR170" s="838"/>
      <c r="DS170" s="894"/>
      <c r="DT170" s="893"/>
      <c r="DU170" s="838"/>
      <c r="DV170" s="894"/>
      <c r="DW170" s="893"/>
      <c r="DX170" s="838"/>
      <c r="DY170" s="895"/>
      <c r="DZ170" s="893"/>
      <c r="EA170" s="838"/>
      <c r="EB170" s="894"/>
      <c r="EC170" s="893"/>
      <c r="ED170" s="838"/>
      <c r="EE170" s="894"/>
      <c r="EF170" s="893"/>
      <c r="EG170" s="838"/>
      <c r="EH170" s="894"/>
      <c r="EI170" s="893"/>
      <c r="EJ170" s="838"/>
      <c r="EK170" s="894"/>
      <c r="EL170" s="893"/>
      <c r="EM170" s="838"/>
      <c r="EN170" s="894"/>
      <c r="EO170" s="896" t="s">
        <v>15041</v>
      </c>
      <c r="EP170" s="838" t="s">
        <v>15042</v>
      </c>
      <c r="EQ170" s="895" t="s">
        <v>15039</v>
      </c>
      <c r="ER170" s="893"/>
      <c r="ES170" s="838"/>
      <c r="ET170" s="894"/>
      <c r="EU170" s="893" t="s">
        <v>14721</v>
      </c>
      <c r="EV170" s="838"/>
      <c r="EW170" s="894"/>
      <c r="EX170" s="893"/>
      <c r="EY170" s="838"/>
      <c r="EZ170" s="897"/>
      <c r="FA170" s="893"/>
      <c r="FB170" s="838"/>
      <c r="FC170" s="894"/>
      <c r="FD170" s="893"/>
      <c r="FE170" s="838"/>
      <c r="FF170" s="834"/>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row>
    <row r="171" spans="6:197">
      <c r="F171" s="801" t="s">
        <v>4281</v>
      </c>
      <c r="G171" s="801" t="s">
        <v>8367</v>
      </c>
      <c r="H171" s="801" t="s">
        <v>15974</v>
      </c>
      <c r="I171" s="801" t="s">
        <v>9763</v>
      </c>
      <c r="J171" s="801" t="s">
        <v>9358</v>
      </c>
      <c r="K171" s="801" t="s">
        <v>7685</v>
      </c>
      <c r="AZ171" s="802" t="s">
        <v>5989</v>
      </c>
      <c r="DC171"/>
      <c r="DD171" s="883">
        <v>24</v>
      </c>
      <c r="DE171" s="884" t="s">
        <v>14725</v>
      </c>
      <c r="DF171" s="838"/>
      <c r="DG171" s="894"/>
      <c r="DH171" s="907" t="s">
        <v>14727</v>
      </c>
      <c r="DI171" s="912" t="s">
        <v>14728</v>
      </c>
      <c r="DJ171" s="894"/>
      <c r="DK171" s="893"/>
      <c r="DL171" s="838"/>
      <c r="DM171" s="894"/>
      <c r="DN171" s="893"/>
      <c r="DO171" s="838"/>
      <c r="DP171" s="894"/>
      <c r="DQ171" s="893"/>
      <c r="DR171" s="838"/>
      <c r="DS171" s="894"/>
      <c r="DT171" s="893"/>
      <c r="DU171" s="838"/>
      <c r="DV171" s="894"/>
      <c r="DW171" s="893"/>
      <c r="DX171" s="838"/>
      <c r="DY171" s="895"/>
      <c r="DZ171" s="893"/>
      <c r="EA171" s="838"/>
      <c r="EB171" s="894"/>
      <c r="EC171" s="893"/>
      <c r="ED171" s="838"/>
      <c r="EE171" s="894"/>
      <c r="EF171" s="893"/>
      <c r="EG171" s="838"/>
      <c r="EH171" s="894"/>
      <c r="EI171" s="893"/>
      <c r="EJ171" s="838"/>
      <c r="EK171" s="894"/>
      <c r="EL171" s="893"/>
      <c r="EM171" s="838"/>
      <c r="EN171" s="894"/>
      <c r="EO171" s="896" t="s">
        <v>15043</v>
      </c>
      <c r="EP171" s="838" t="s">
        <v>15044</v>
      </c>
      <c r="EQ171" s="895" t="s">
        <v>15045</v>
      </c>
      <c r="ER171" s="893"/>
      <c r="ES171" s="838"/>
      <c r="ET171" s="894"/>
      <c r="EU171" s="893"/>
      <c r="EV171" s="838"/>
      <c r="EW171" s="894"/>
      <c r="EX171" s="893"/>
      <c r="EY171" s="838"/>
      <c r="EZ171" s="897"/>
      <c r="FA171" s="893"/>
      <c r="FB171" s="838"/>
      <c r="FC171" s="894"/>
      <c r="FD171" s="893"/>
      <c r="FE171" s="838"/>
      <c r="FF171" s="834"/>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row>
    <row r="172" spans="6:197">
      <c r="F172" s="801" t="s">
        <v>4269</v>
      </c>
      <c r="G172" s="801" t="s">
        <v>7698</v>
      </c>
      <c r="H172" s="801" t="s">
        <v>15992</v>
      </c>
      <c r="I172" s="801" t="s">
        <v>9763</v>
      </c>
      <c r="J172" s="801" t="s">
        <v>8369</v>
      </c>
      <c r="K172" s="801" t="s">
        <v>8370</v>
      </c>
      <c r="AZ172" s="802" t="s">
        <v>5894</v>
      </c>
      <c r="DC172"/>
      <c r="DD172" s="883">
        <v>25</v>
      </c>
      <c r="DE172" s="898" t="s">
        <v>14732</v>
      </c>
      <c r="DF172" s="838"/>
      <c r="DG172" s="894"/>
      <c r="DH172" s="887" t="s">
        <v>14734</v>
      </c>
      <c r="DI172" s="911" t="s">
        <v>15046</v>
      </c>
      <c r="DJ172" s="894"/>
      <c r="DK172" s="893"/>
      <c r="DL172" s="838"/>
      <c r="DM172" s="894"/>
      <c r="DN172" s="893"/>
      <c r="DO172" s="838"/>
      <c r="DP172" s="894"/>
      <c r="DQ172" s="893"/>
      <c r="DR172" s="838"/>
      <c r="DS172" s="894"/>
      <c r="DT172" s="893"/>
      <c r="DU172" s="838"/>
      <c r="DV172" s="894"/>
      <c r="DW172" s="893"/>
      <c r="DX172" s="838"/>
      <c r="DY172" s="895"/>
      <c r="DZ172" s="893"/>
      <c r="EA172" s="838"/>
      <c r="EB172" s="894"/>
      <c r="EC172" s="893"/>
      <c r="ED172" s="838"/>
      <c r="EE172" s="894"/>
      <c r="EF172" s="893"/>
      <c r="EG172" s="838"/>
      <c r="EH172" s="894"/>
      <c r="EI172" s="893"/>
      <c r="EJ172" s="838"/>
      <c r="EK172" s="894"/>
      <c r="EL172" s="893"/>
      <c r="EM172" s="838"/>
      <c r="EN172" s="894"/>
      <c r="EO172" s="896" t="s">
        <v>15047</v>
      </c>
      <c r="EP172" s="838" t="s">
        <v>15048</v>
      </c>
      <c r="EQ172" s="895" t="s">
        <v>15049</v>
      </c>
      <c r="ER172" s="893"/>
      <c r="ES172" s="838"/>
      <c r="ET172" s="894"/>
      <c r="EU172" s="893"/>
      <c r="EV172" s="838"/>
      <c r="EW172" s="894"/>
      <c r="EX172" s="893"/>
      <c r="EY172" s="838"/>
      <c r="EZ172" s="897"/>
      <c r="FA172" s="893"/>
      <c r="FB172" s="838"/>
      <c r="FC172" s="894"/>
      <c r="FD172" s="893"/>
      <c r="FE172" s="838"/>
      <c r="FF172" s="834"/>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row>
    <row r="173" spans="6:197">
      <c r="F173" s="801" t="s">
        <v>13950</v>
      </c>
      <c r="G173" s="801" t="s">
        <v>8372</v>
      </c>
      <c r="H173" s="801" t="s">
        <v>15975</v>
      </c>
      <c r="I173" s="801" t="s">
        <v>7698</v>
      </c>
      <c r="J173" s="801" t="s">
        <v>8366</v>
      </c>
      <c r="K173" s="801" t="s">
        <v>15976</v>
      </c>
      <c r="AZ173" s="802" t="s">
        <v>6033</v>
      </c>
      <c r="DC173"/>
      <c r="DD173" s="883">
        <v>26</v>
      </c>
      <c r="DE173" s="898" t="s">
        <v>14738</v>
      </c>
      <c r="DF173" s="838"/>
      <c r="DG173" s="894"/>
      <c r="DH173" s="907" t="s">
        <v>14740</v>
      </c>
      <c r="DI173" s="913" t="s">
        <v>14741</v>
      </c>
      <c r="DJ173" s="894"/>
      <c r="DK173" s="893"/>
      <c r="DL173" s="838"/>
      <c r="DM173" s="894"/>
      <c r="DN173" s="893"/>
      <c r="DO173" s="838"/>
      <c r="DP173" s="894"/>
      <c r="DQ173" s="893"/>
      <c r="DR173" s="838"/>
      <c r="DS173" s="894"/>
      <c r="DT173" s="893"/>
      <c r="DU173" s="838"/>
      <c r="DV173" s="894"/>
      <c r="DW173" s="893"/>
      <c r="DX173" s="838"/>
      <c r="DY173" s="895"/>
      <c r="DZ173" s="893"/>
      <c r="EA173" s="838"/>
      <c r="EB173" s="894"/>
      <c r="EC173" s="893"/>
      <c r="ED173" s="838"/>
      <c r="EE173" s="894"/>
      <c r="EF173" s="893"/>
      <c r="EG173" s="838"/>
      <c r="EH173" s="894"/>
      <c r="EI173" s="893"/>
      <c r="EJ173" s="838"/>
      <c r="EK173" s="894"/>
      <c r="EL173" s="893"/>
      <c r="EM173" s="838"/>
      <c r="EN173" s="894"/>
      <c r="EO173" s="896" t="s">
        <v>15050</v>
      </c>
      <c r="EP173" s="838" t="s">
        <v>15051</v>
      </c>
      <c r="EQ173" s="895" t="s">
        <v>15052</v>
      </c>
      <c r="ER173" s="893"/>
      <c r="ES173" s="838"/>
      <c r="ET173" s="894"/>
      <c r="EU173" s="893"/>
      <c r="EV173" s="838"/>
      <c r="EW173" s="894"/>
      <c r="EX173" s="893"/>
      <c r="EY173" s="838"/>
      <c r="EZ173" s="897"/>
      <c r="FA173" s="893"/>
      <c r="FB173" s="838"/>
      <c r="FC173" s="894"/>
      <c r="FD173" s="893"/>
      <c r="FE173" s="838"/>
      <c r="FF173" s="834"/>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row>
    <row r="174" spans="6:197">
      <c r="F174" s="801" t="s">
        <v>4104</v>
      </c>
      <c r="G174" s="801" t="s">
        <v>8369</v>
      </c>
      <c r="H174" s="801" t="s">
        <v>15977</v>
      </c>
      <c r="I174" s="801" t="s">
        <v>9763</v>
      </c>
      <c r="J174" s="801" t="s">
        <v>9358</v>
      </c>
      <c r="K174" s="801" t="s">
        <v>7685</v>
      </c>
      <c r="AZ174" s="802" t="s">
        <v>6108</v>
      </c>
      <c r="DC174"/>
      <c r="DD174" s="883">
        <v>27</v>
      </c>
      <c r="DE174" s="898" t="s">
        <v>14744</v>
      </c>
      <c r="DF174" s="838"/>
      <c r="DG174" s="894"/>
      <c r="DH174" s="907" t="s">
        <v>14746</v>
      </c>
      <c r="DI174" s="911" t="s">
        <v>14642</v>
      </c>
      <c r="DJ174" s="894"/>
      <c r="DK174" s="893"/>
      <c r="DL174" s="838"/>
      <c r="DM174" s="894"/>
      <c r="DN174" s="893"/>
      <c r="DO174" s="838"/>
      <c r="DP174" s="894"/>
      <c r="DQ174" s="893"/>
      <c r="DR174" s="838"/>
      <c r="DS174" s="894"/>
      <c r="DT174" s="893"/>
      <c r="DU174" s="838"/>
      <c r="DV174" s="894"/>
      <c r="DW174" s="893"/>
      <c r="DX174" s="838"/>
      <c r="DY174" s="895"/>
      <c r="DZ174" s="893"/>
      <c r="EA174" s="838"/>
      <c r="EB174" s="894"/>
      <c r="EC174" s="893"/>
      <c r="ED174" s="838"/>
      <c r="EE174" s="894"/>
      <c r="EF174" s="893"/>
      <c r="EG174" s="838"/>
      <c r="EH174" s="894"/>
      <c r="EI174" s="893"/>
      <c r="EJ174" s="838"/>
      <c r="EK174" s="894"/>
      <c r="EL174" s="893"/>
      <c r="EM174" s="838"/>
      <c r="EN174" s="894"/>
      <c r="EO174" s="896" t="s">
        <v>15053</v>
      </c>
      <c r="EP174" s="838" t="s">
        <v>15054</v>
      </c>
      <c r="EQ174" s="895" t="s">
        <v>15055</v>
      </c>
      <c r="ER174" s="893"/>
      <c r="ES174" s="838"/>
      <c r="ET174" s="894"/>
      <c r="EU174" s="893"/>
      <c r="EV174" s="838"/>
      <c r="EW174" s="894"/>
      <c r="EX174" s="893"/>
      <c r="EY174" s="838"/>
      <c r="EZ174" s="897"/>
      <c r="FA174" s="893"/>
      <c r="FB174" s="838"/>
      <c r="FC174" s="894"/>
      <c r="FD174" s="893"/>
      <c r="FE174" s="838"/>
      <c r="FF174" s="83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row>
    <row r="175" spans="6:197">
      <c r="F175" s="801" t="s">
        <v>3609</v>
      </c>
      <c r="G175" s="801" t="s">
        <v>8368</v>
      </c>
      <c r="H175" s="801" t="s">
        <v>15978</v>
      </c>
      <c r="I175" s="801" t="s">
        <v>9763</v>
      </c>
      <c r="J175" s="801" t="s">
        <v>8369</v>
      </c>
      <c r="K175" s="801" t="s">
        <v>8370</v>
      </c>
      <c r="AZ175" s="802" t="s">
        <v>5881</v>
      </c>
      <c r="DC175"/>
      <c r="DD175" s="883">
        <v>28</v>
      </c>
      <c r="DE175" s="884" t="s">
        <v>14749</v>
      </c>
      <c r="DF175" s="838"/>
      <c r="DG175" s="894"/>
      <c r="DH175" s="887" t="s">
        <v>14751</v>
      </c>
      <c r="DI175" s="911" t="s">
        <v>14752</v>
      </c>
      <c r="DJ175" s="894"/>
      <c r="DK175" s="893"/>
      <c r="DL175" s="838"/>
      <c r="DM175" s="894"/>
      <c r="DN175" s="893"/>
      <c r="DO175" s="838"/>
      <c r="DP175" s="894"/>
      <c r="DQ175" s="893"/>
      <c r="DR175" s="838"/>
      <c r="DS175" s="894"/>
      <c r="DT175" s="893"/>
      <c r="DU175" s="838"/>
      <c r="DV175" s="894"/>
      <c r="DW175" s="893"/>
      <c r="DX175" s="838"/>
      <c r="DY175" s="895"/>
      <c r="DZ175" s="893"/>
      <c r="EA175" s="838"/>
      <c r="EB175" s="894"/>
      <c r="EC175" s="893"/>
      <c r="ED175" s="838"/>
      <c r="EE175" s="894"/>
      <c r="EF175" s="893"/>
      <c r="EG175" s="838"/>
      <c r="EH175" s="894"/>
      <c r="EI175" s="893"/>
      <c r="EJ175" s="838"/>
      <c r="EK175" s="894"/>
      <c r="EL175" s="893"/>
      <c r="EM175" s="838"/>
      <c r="EN175" s="894"/>
      <c r="EO175" s="896" t="s">
        <v>15056</v>
      </c>
      <c r="EP175" s="838" t="s">
        <v>15057</v>
      </c>
      <c r="EQ175" s="895" t="s">
        <v>15058</v>
      </c>
      <c r="ER175" s="893"/>
      <c r="ES175" s="838"/>
      <c r="ET175" s="894"/>
      <c r="EU175" s="893"/>
      <c r="EV175" s="838"/>
      <c r="EW175" s="894"/>
      <c r="EX175" s="893"/>
      <c r="EY175" s="838"/>
      <c r="EZ175" s="897"/>
      <c r="FA175" s="893"/>
      <c r="FB175" s="838"/>
      <c r="FC175" s="894"/>
      <c r="FD175" s="893"/>
      <c r="FE175" s="838"/>
      <c r="FF175" s="834"/>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row>
    <row r="176" spans="6:197">
      <c r="F176" s="801" t="s">
        <v>3580</v>
      </c>
      <c r="G176" s="801" t="s">
        <v>7698</v>
      </c>
      <c r="H176" s="801" t="s">
        <v>15979</v>
      </c>
      <c r="I176" s="801" t="s">
        <v>9763</v>
      </c>
      <c r="J176" s="801" t="s">
        <v>8369</v>
      </c>
      <c r="K176" s="801" t="s">
        <v>8370</v>
      </c>
      <c r="AZ176" s="802" t="s">
        <v>6210</v>
      </c>
      <c r="DC176"/>
      <c r="DD176" s="883">
        <v>29</v>
      </c>
      <c r="DE176" s="884" t="s">
        <v>14755</v>
      </c>
      <c r="DF176" s="838"/>
      <c r="DG176" s="894"/>
      <c r="DH176" s="887" t="s">
        <v>14757</v>
      </c>
      <c r="DI176" s="912" t="s">
        <v>14758</v>
      </c>
      <c r="DJ176" s="894"/>
      <c r="DK176" s="893"/>
      <c r="DL176" s="838"/>
      <c r="DM176" s="894"/>
      <c r="DN176" s="893"/>
      <c r="DO176" s="838"/>
      <c r="DP176" s="894"/>
      <c r="DQ176" s="893"/>
      <c r="DR176" s="838"/>
      <c r="DS176" s="894"/>
      <c r="DT176" s="893"/>
      <c r="DU176" s="838"/>
      <c r="DV176" s="894"/>
      <c r="DW176" s="893"/>
      <c r="DX176" s="838"/>
      <c r="DY176" s="895"/>
      <c r="DZ176" s="893"/>
      <c r="EA176" s="838"/>
      <c r="EB176" s="894"/>
      <c r="EC176" s="893"/>
      <c r="ED176" s="838"/>
      <c r="EE176" s="894"/>
      <c r="EF176" s="893"/>
      <c r="EG176" s="838"/>
      <c r="EH176" s="894"/>
      <c r="EI176" s="893"/>
      <c r="EJ176" s="838"/>
      <c r="EK176" s="894"/>
      <c r="EL176" s="893"/>
      <c r="EM176" s="838"/>
      <c r="EN176" s="894"/>
      <c r="EO176" s="896" t="s">
        <v>15059</v>
      </c>
      <c r="EP176" s="838" t="s">
        <v>15060</v>
      </c>
      <c r="EQ176" s="895" t="s">
        <v>15061</v>
      </c>
      <c r="ER176" s="893"/>
      <c r="ES176" s="838"/>
      <c r="ET176" s="894"/>
      <c r="EU176" s="893"/>
      <c r="EV176" s="838"/>
      <c r="EW176" s="894"/>
      <c r="EX176" s="893"/>
      <c r="EY176" s="838"/>
      <c r="EZ176" s="897"/>
      <c r="FA176" s="893"/>
      <c r="FB176" s="838"/>
      <c r="FC176" s="894"/>
      <c r="FD176" s="893"/>
      <c r="FE176" s="838"/>
      <c r="FF176" s="834"/>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row>
    <row r="177" spans="6:197">
      <c r="F177" s="801" t="s">
        <v>15980</v>
      </c>
      <c r="G177" s="801" t="s">
        <v>7698</v>
      </c>
      <c r="H177" s="801" t="s">
        <v>7685</v>
      </c>
      <c r="I177" s="801" t="s">
        <v>7685</v>
      </c>
      <c r="J177" s="801" t="s">
        <v>15981</v>
      </c>
      <c r="K177" s="801" t="s">
        <v>7685</v>
      </c>
      <c r="AZ177" s="802" t="s">
        <v>5900</v>
      </c>
      <c r="DC177"/>
      <c r="DD177" s="883">
        <v>30</v>
      </c>
      <c r="DE177" s="884" t="s">
        <v>14761</v>
      </c>
      <c r="DF177" s="838"/>
      <c r="DG177" s="894"/>
      <c r="DH177" s="893"/>
      <c r="DI177" s="911" t="s">
        <v>14764</v>
      </c>
      <c r="DJ177" s="894"/>
      <c r="DK177" s="893"/>
      <c r="DL177" s="838"/>
      <c r="DM177" s="894"/>
      <c r="DN177" s="893"/>
      <c r="DO177" s="838"/>
      <c r="DP177" s="894"/>
      <c r="DQ177" s="893"/>
      <c r="DR177" s="838"/>
      <c r="DS177" s="894"/>
      <c r="DT177" s="893"/>
      <c r="DU177" s="838"/>
      <c r="DV177" s="894"/>
      <c r="DW177" s="893"/>
      <c r="DX177" s="838"/>
      <c r="DY177" s="895"/>
      <c r="DZ177" s="893"/>
      <c r="EA177" s="838"/>
      <c r="EB177" s="894"/>
      <c r="EC177" s="893"/>
      <c r="ED177" s="838"/>
      <c r="EE177" s="894"/>
      <c r="EF177" s="893"/>
      <c r="EG177" s="838"/>
      <c r="EH177" s="894"/>
      <c r="EI177" s="893"/>
      <c r="EJ177" s="838"/>
      <c r="EK177" s="894"/>
      <c r="EL177" s="893"/>
      <c r="EM177" s="838"/>
      <c r="EN177" s="894"/>
      <c r="EO177" s="896" t="s">
        <v>15059</v>
      </c>
      <c r="EP177" s="838" t="s">
        <v>15062</v>
      </c>
      <c r="EQ177" s="895" t="s">
        <v>15063</v>
      </c>
      <c r="ER177" s="893"/>
      <c r="ES177" s="838"/>
      <c r="ET177" s="894"/>
      <c r="EU177" s="893"/>
      <c r="EV177" s="838"/>
      <c r="EW177" s="894"/>
      <c r="EX177" s="893"/>
      <c r="EY177" s="838"/>
      <c r="EZ177" s="897"/>
      <c r="FA177" s="893"/>
      <c r="FB177" s="838"/>
      <c r="FC177" s="894"/>
      <c r="FD177" s="893"/>
      <c r="FE177" s="838"/>
      <c r="FF177" s="834"/>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row>
    <row r="178" spans="6:197">
      <c r="F178" s="801" t="s">
        <v>15982</v>
      </c>
      <c r="G178" s="801" t="s">
        <v>7698</v>
      </c>
      <c r="H178" s="801" t="s">
        <v>7685</v>
      </c>
      <c r="I178" s="801" t="s">
        <v>7685</v>
      </c>
      <c r="J178" s="801" t="s">
        <v>15981</v>
      </c>
      <c r="K178" s="801" t="s">
        <v>7685</v>
      </c>
      <c r="AZ178" s="802" t="s">
        <v>6118</v>
      </c>
      <c r="DC178"/>
      <c r="DD178" s="883">
        <v>31</v>
      </c>
      <c r="DE178" s="893"/>
      <c r="DF178" s="838"/>
      <c r="DG178" s="894"/>
      <c r="DH178" s="893"/>
      <c r="DI178" s="838"/>
      <c r="DJ178" s="894"/>
      <c r="DK178" s="893"/>
      <c r="DL178" s="838"/>
      <c r="DM178" s="894"/>
      <c r="DN178" s="893"/>
      <c r="DO178" s="838"/>
      <c r="DP178" s="894"/>
      <c r="DQ178" s="893"/>
      <c r="DR178" s="838"/>
      <c r="DS178" s="894"/>
      <c r="DT178" s="893"/>
      <c r="DU178" s="838"/>
      <c r="DV178" s="894"/>
      <c r="DW178" s="893"/>
      <c r="DX178" s="838"/>
      <c r="DY178" s="895"/>
      <c r="DZ178" s="893"/>
      <c r="EA178" s="838"/>
      <c r="EB178" s="894"/>
      <c r="EC178" s="893"/>
      <c r="ED178" s="838"/>
      <c r="EE178" s="894"/>
      <c r="EF178" s="893"/>
      <c r="EG178" s="838"/>
      <c r="EH178" s="894"/>
      <c r="EI178" s="893"/>
      <c r="EJ178" s="838"/>
      <c r="EK178" s="894"/>
      <c r="EL178" s="893"/>
      <c r="EM178" s="838"/>
      <c r="EN178" s="894"/>
      <c r="EO178" s="896" t="s">
        <v>15064</v>
      </c>
      <c r="EP178" s="838" t="s">
        <v>15065</v>
      </c>
      <c r="EQ178" s="895" t="s">
        <v>15066</v>
      </c>
      <c r="ER178" s="893"/>
      <c r="ES178" s="838"/>
      <c r="ET178" s="894"/>
      <c r="EU178" s="893"/>
      <c r="EV178" s="838"/>
      <c r="EW178" s="894"/>
      <c r="EX178" s="893"/>
      <c r="EY178" s="838"/>
      <c r="EZ178" s="897"/>
      <c r="FA178" s="893"/>
      <c r="FB178" s="838"/>
      <c r="FC178" s="894"/>
      <c r="FD178" s="893"/>
      <c r="FE178" s="838"/>
      <c r="FF178" s="834"/>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row>
    <row r="179" spans="6:197">
      <c r="F179" s="1064" t="s">
        <v>7742</v>
      </c>
      <c r="G179" s="1064" t="s">
        <v>15983</v>
      </c>
      <c r="H179" s="1064" t="s">
        <v>15984</v>
      </c>
      <c r="I179" s="1064" t="s">
        <v>9763</v>
      </c>
      <c r="J179" s="1064" t="s">
        <v>8369</v>
      </c>
      <c r="K179" s="1064" t="s">
        <v>15985</v>
      </c>
      <c r="AZ179" s="802" t="s">
        <v>6038</v>
      </c>
      <c r="DC179"/>
      <c r="DD179" s="883">
        <v>32</v>
      </c>
      <c r="DE179" s="893"/>
      <c r="DF179" s="838"/>
      <c r="DG179" s="894"/>
      <c r="DH179" s="893"/>
      <c r="DI179" s="838"/>
      <c r="DJ179" s="894"/>
      <c r="DK179" s="893"/>
      <c r="DL179" s="838"/>
      <c r="DM179" s="894"/>
      <c r="DN179" s="893"/>
      <c r="DO179" s="838"/>
      <c r="DP179" s="894"/>
      <c r="DQ179" s="893"/>
      <c r="DR179" s="838"/>
      <c r="DS179" s="894"/>
      <c r="DT179" s="893"/>
      <c r="DU179" s="838"/>
      <c r="DV179" s="894"/>
      <c r="DW179" s="893"/>
      <c r="DX179" s="838"/>
      <c r="DY179" s="895"/>
      <c r="DZ179" s="893"/>
      <c r="EA179" s="838"/>
      <c r="EB179" s="894"/>
      <c r="EC179" s="893"/>
      <c r="ED179" s="838"/>
      <c r="EE179" s="894"/>
      <c r="EF179" s="893"/>
      <c r="EG179" s="838"/>
      <c r="EH179" s="894"/>
      <c r="EI179" s="893"/>
      <c r="EJ179" s="838"/>
      <c r="EK179" s="894"/>
      <c r="EL179" s="893"/>
      <c r="EM179" s="838"/>
      <c r="EN179" s="894"/>
      <c r="EO179" s="896" t="s">
        <v>15067</v>
      </c>
      <c r="EP179" s="838" t="s">
        <v>15068</v>
      </c>
      <c r="EQ179" s="895" t="s">
        <v>15069</v>
      </c>
      <c r="ER179" s="893"/>
      <c r="ES179" s="838"/>
      <c r="ET179" s="894"/>
      <c r="EU179" s="893"/>
      <c r="EV179" s="838"/>
      <c r="EW179" s="894"/>
      <c r="EX179" s="893"/>
      <c r="EY179" s="838"/>
      <c r="EZ179" s="897"/>
      <c r="FA179" s="893"/>
      <c r="FB179" s="838"/>
      <c r="FC179" s="894"/>
      <c r="FD179" s="893"/>
      <c r="FE179" s="838"/>
      <c r="FF179" s="834"/>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row>
    <row r="180" spans="6:197">
      <c r="F180" s="1064" t="s">
        <v>5243</v>
      </c>
      <c r="G180" s="1064" t="s">
        <v>15970</v>
      </c>
      <c r="H180" s="1064" t="s">
        <v>15986</v>
      </c>
      <c r="I180" s="1064" t="s">
        <v>15371</v>
      </c>
      <c r="J180" s="1064" t="s">
        <v>15956</v>
      </c>
      <c r="K180" s="1064" t="s">
        <v>8370</v>
      </c>
      <c r="AZ180" s="802" t="s">
        <v>6189</v>
      </c>
      <c r="DC180"/>
      <c r="DD180" s="883">
        <v>33</v>
      </c>
      <c r="DE180" s="893"/>
      <c r="DF180" s="838"/>
      <c r="DG180" s="894"/>
      <c r="DH180" s="893"/>
      <c r="DI180" s="838"/>
      <c r="DJ180" s="894"/>
      <c r="DK180" s="893"/>
      <c r="DL180" s="838"/>
      <c r="DM180" s="894"/>
      <c r="DN180" s="893"/>
      <c r="DO180" s="838"/>
      <c r="DP180" s="894"/>
      <c r="DQ180" s="893"/>
      <c r="DR180" s="838"/>
      <c r="DS180" s="894"/>
      <c r="DT180" s="893"/>
      <c r="DU180" s="838"/>
      <c r="DV180" s="894"/>
      <c r="DW180" s="893"/>
      <c r="DX180" s="838"/>
      <c r="DY180" s="895"/>
      <c r="DZ180" s="893"/>
      <c r="EA180" s="838"/>
      <c r="EB180" s="894"/>
      <c r="EC180" s="893"/>
      <c r="ED180" s="838"/>
      <c r="EE180" s="894"/>
      <c r="EF180" s="893"/>
      <c r="EG180" s="838"/>
      <c r="EH180" s="894"/>
      <c r="EI180" s="893"/>
      <c r="EJ180" s="838"/>
      <c r="EK180" s="894"/>
      <c r="EL180" s="893"/>
      <c r="EM180" s="838"/>
      <c r="EN180" s="894"/>
      <c r="EO180" s="896" t="s">
        <v>15070</v>
      </c>
      <c r="EP180" s="838" t="s">
        <v>15071</v>
      </c>
      <c r="EQ180" s="895" t="s">
        <v>15072</v>
      </c>
      <c r="ER180" s="893"/>
      <c r="ES180" s="838"/>
      <c r="ET180" s="894"/>
      <c r="EU180" s="893"/>
      <c r="EV180" s="838"/>
      <c r="EW180" s="894"/>
      <c r="EX180" s="893"/>
      <c r="EY180" s="838"/>
      <c r="EZ180" s="897"/>
      <c r="FA180" s="893"/>
      <c r="FB180" s="838"/>
      <c r="FC180" s="894"/>
      <c r="FD180" s="893"/>
      <c r="FE180" s="838"/>
      <c r="FF180" s="834"/>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row>
    <row r="181" spans="6:197">
      <c r="F181" s="1064" t="s">
        <v>9035</v>
      </c>
      <c r="G181" s="1064" t="s">
        <v>8369</v>
      </c>
      <c r="H181" s="1064" t="s">
        <v>15993</v>
      </c>
      <c r="I181" s="1064" t="s">
        <v>7698</v>
      </c>
      <c r="J181" s="1064" t="s">
        <v>15987</v>
      </c>
      <c r="K181" s="1064" t="s">
        <v>15941</v>
      </c>
      <c r="AZ181" s="802" t="s">
        <v>5893</v>
      </c>
      <c r="DC181"/>
      <c r="DD181" s="883">
        <v>34</v>
      </c>
      <c r="DE181" s="893"/>
      <c r="DF181" s="838"/>
      <c r="DG181" s="894"/>
      <c r="DH181" s="893"/>
      <c r="DI181" s="838"/>
      <c r="DJ181" s="894"/>
      <c r="DK181" s="893"/>
      <c r="DL181" s="838"/>
      <c r="DM181" s="894"/>
      <c r="DN181" s="893"/>
      <c r="DO181" s="838"/>
      <c r="DP181" s="894"/>
      <c r="DQ181" s="893"/>
      <c r="DR181" s="838"/>
      <c r="DS181" s="894"/>
      <c r="DT181" s="893"/>
      <c r="DU181" s="838"/>
      <c r="DV181" s="894"/>
      <c r="DW181" s="893"/>
      <c r="DX181" s="838"/>
      <c r="DY181" s="895"/>
      <c r="DZ181" s="893"/>
      <c r="EA181" s="838"/>
      <c r="EB181" s="894"/>
      <c r="EC181" s="893"/>
      <c r="ED181" s="838"/>
      <c r="EE181" s="894"/>
      <c r="EF181" s="893"/>
      <c r="EG181" s="838"/>
      <c r="EH181" s="894"/>
      <c r="EI181" s="893"/>
      <c r="EJ181" s="838"/>
      <c r="EK181" s="894"/>
      <c r="EL181" s="893"/>
      <c r="EM181" s="838"/>
      <c r="EN181" s="894"/>
      <c r="EO181" s="896" t="s">
        <v>15073</v>
      </c>
      <c r="EP181" s="838" t="s">
        <v>15074</v>
      </c>
      <c r="EQ181" s="895" t="s">
        <v>15075</v>
      </c>
      <c r="ER181" s="893"/>
      <c r="ES181" s="838"/>
      <c r="ET181" s="894"/>
      <c r="EU181" s="893"/>
      <c r="EV181" s="838"/>
      <c r="EW181" s="894"/>
      <c r="EX181" s="893"/>
      <c r="EY181" s="838"/>
      <c r="EZ181" s="897"/>
      <c r="FA181" s="893"/>
      <c r="FB181" s="838"/>
      <c r="FC181" s="894"/>
      <c r="FD181" s="893"/>
      <c r="FE181" s="838"/>
      <c r="FF181" s="834"/>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row>
    <row r="182" spans="6:197">
      <c r="F182" s="1064" t="s">
        <v>5167</v>
      </c>
      <c r="G182" s="1064" t="s">
        <v>7698</v>
      </c>
      <c r="H182" s="1064" t="s">
        <v>15988</v>
      </c>
      <c r="I182" s="1064" t="s">
        <v>9752</v>
      </c>
      <c r="J182" s="1064" t="s">
        <v>9754</v>
      </c>
      <c r="K182" s="1064" t="s">
        <v>9358</v>
      </c>
      <c r="AZ182" s="802" t="s">
        <v>5902</v>
      </c>
      <c r="DC182"/>
      <c r="DD182" s="883">
        <v>35</v>
      </c>
      <c r="DE182" s="893"/>
      <c r="DF182" s="838"/>
      <c r="DG182" s="894"/>
      <c r="DH182" s="893"/>
      <c r="DI182" s="838"/>
      <c r="DJ182" s="894"/>
      <c r="DK182" s="893"/>
      <c r="DL182" s="838"/>
      <c r="DM182" s="894"/>
      <c r="DN182" s="893"/>
      <c r="DO182" s="838"/>
      <c r="DP182" s="894"/>
      <c r="DQ182" s="893"/>
      <c r="DR182" s="838"/>
      <c r="DS182" s="894"/>
      <c r="DT182" s="893"/>
      <c r="DU182" s="838"/>
      <c r="DV182" s="894"/>
      <c r="DW182" s="893"/>
      <c r="DX182" s="838"/>
      <c r="DY182" s="895"/>
      <c r="DZ182" s="893"/>
      <c r="EA182" s="838"/>
      <c r="EB182" s="894"/>
      <c r="EC182" s="893"/>
      <c r="ED182" s="838"/>
      <c r="EE182" s="894"/>
      <c r="EF182" s="893"/>
      <c r="EG182" s="838"/>
      <c r="EH182" s="894"/>
      <c r="EI182" s="893"/>
      <c r="EJ182" s="838"/>
      <c r="EK182" s="894"/>
      <c r="EL182" s="893"/>
      <c r="EM182" s="838"/>
      <c r="EN182" s="894"/>
      <c r="EO182" s="896" t="s">
        <v>15076</v>
      </c>
      <c r="EP182" s="838" t="s">
        <v>15077</v>
      </c>
      <c r="EQ182" s="895" t="s">
        <v>15078</v>
      </c>
      <c r="ER182" s="893"/>
      <c r="ES182" s="838"/>
      <c r="ET182" s="894"/>
      <c r="EU182" s="893"/>
      <c r="EV182" s="838"/>
      <c r="EW182" s="894"/>
      <c r="EX182" s="893"/>
      <c r="EY182" s="838"/>
      <c r="EZ182" s="897"/>
      <c r="FA182" s="893"/>
      <c r="FB182" s="838"/>
      <c r="FC182" s="894"/>
      <c r="FD182" s="893"/>
      <c r="FE182" s="838"/>
      <c r="FF182" s="834"/>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row>
    <row r="183" spans="6:197">
      <c r="F183" s="1064" t="s">
        <v>15989</v>
      </c>
      <c r="G183" s="1064" t="s">
        <v>8374</v>
      </c>
      <c r="H183" s="1064" t="s">
        <v>15990</v>
      </c>
      <c r="I183" s="1064" t="s">
        <v>15371</v>
      </c>
      <c r="J183" s="1064" t="s">
        <v>15956</v>
      </c>
      <c r="K183" s="1064" t="s">
        <v>8370</v>
      </c>
      <c r="AZ183" s="802" t="s">
        <v>13251</v>
      </c>
      <c r="DC183"/>
      <c r="DD183" s="883">
        <v>36</v>
      </c>
      <c r="DE183" s="893"/>
      <c r="DF183" s="838"/>
      <c r="DG183" s="894"/>
      <c r="DH183" s="893"/>
      <c r="DI183" s="838"/>
      <c r="DJ183" s="894"/>
      <c r="DK183" s="893"/>
      <c r="DL183" s="838"/>
      <c r="DM183" s="894"/>
      <c r="DN183" s="893"/>
      <c r="DO183" s="838"/>
      <c r="DP183" s="894"/>
      <c r="DQ183" s="893"/>
      <c r="DR183" s="838"/>
      <c r="DS183" s="894"/>
      <c r="DT183" s="893"/>
      <c r="DU183" s="838"/>
      <c r="DV183" s="894"/>
      <c r="DW183" s="893"/>
      <c r="DX183" s="838"/>
      <c r="DY183" s="895"/>
      <c r="DZ183" s="893"/>
      <c r="EA183" s="838"/>
      <c r="EB183" s="894"/>
      <c r="EC183" s="893"/>
      <c r="ED183" s="838"/>
      <c r="EE183" s="894"/>
      <c r="EF183" s="893"/>
      <c r="EG183" s="838"/>
      <c r="EH183" s="894"/>
      <c r="EI183" s="893"/>
      <c r="EJ183" s="838"/>
      <c r="EK183" s="894"/>
      <c r="EL183" s="893"/>
      <c r="EM183" s="838"/>
      <c r="EN183" s="894"/>
      <c r="EO183" s="896" t="s">
        <v>15079</v>
      </c>
      <c r="EP183" s="838" t="s">
        <v>15080</v>
      </c>
      <c r="EQ183" s="895" t="s">
        <v>15081</v>
      </c>
      <c r="ER183" s="893"/>
      <c r="ES183" s="838"/>
      <c r="ET183" s="894"/>
      <c r="EU183" s="893"/>
      <c r="EV183" s="838"/>
      <c r="EW183" s="894"/>
      <c r="EX183" s="893"/>
      <c r="EY183" s="838"/>
      <c r="EZ183" s="897"/>
      <c r="FA183" s="893"/>
      <c r="FB183" s="838"/>
      <c r="FC183" s="894"/>
      <c r="FD183" s="893"/>
      <c r="FE183" s="838"/>
      <c r="FF183" s="834"/>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row>
    <row r="184" spans="6:197">
      <c r="AZ184" s="802" t="s">
        <v>6021</v>
      </c>
      <c r="DC184"/>
      <c r="DD184" s="883">
        <v>37</v>
      </c>
      <c r="DE184" s="893"/>
      <c r="DF184" s="838"/>
      <c r="DG184" s="894"/>
      <c r="DH184" s="893"/>
      <c r="DI184" s="838"/>
      <c r="DJ184" s="894"/>
      <c r="DK184" s="893"/>
      <c r="DL184" s="838"/>
      <c r="DM184" s="894"/>
      <c r="DN184" s="893"/>
      <c r="DO184" s="838"/>
      <c r="DP184" s="894"/>
      <c r="DQ184" s="893"/>
      <c r="DR184" s="838"/>
      <c r="DS184" s="894"/>
      <c r="DT184" s="893"/>
      <c r="DU184" s="838"/>
      <c r="DV184" s="894"/>
      <c r="DW184" s="893"/>
      <c r="DX184" s="838"/>
      <c r="DY184" s="895"/>
      <c r="DZ184" s="893"/>
      <c r="EA184" s="838"/>
      <c r="EB184" s="894"/>
      <c r="EC184" s="893"/>
      <c r="ED184" s="838"/>
      <c r="EE184" s="894"/>
      <c r="EF184" s="893"/>
      <c r="EG184" s="838"/>
      <c r="EH184" s="894"/>
      <c r="EI184" s="893"/>
      <c r="EJ184" s="838"/>
      <c r="EK184" s="894"/>
      <c r="EL184" s="893"/>
      <c r="EM184" s="838"/>
      <c r="EN184" s="894"/>
      <c r="EO184" s="896" t="s">
        <v>15082</v>
      </c>
      <c r="EP184" s="838" t="s">
        <v>15083</v>
      </c>
      <c r="EQ184" s="895" t="s">
        <v>15084</v>
      </c>
      <c r="ER184" s="893"/>
      <c r="ES184" s="838"/>
      <c r="ET184" s="894"/>
      <c r="EU184" s="893"/>
      <c r="EV184" s="838"/>
      <c r="EW184" s="894"/>
      <c r="EX184" s="893"/>
      <c r="EY184" s="838"/>
      <c r="EZ184" s="897"/>
      <c r="FA184" s="893"/>
      <c r="FB184" s="838"/>
      <c r="FC184" s="894"/>
      <c r="FD184" s="893"/>
      <c r="FE184" s="838"/>
      <c r="FF184" s="83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row>
    <row r="185" spans="6:197">
      <c r="AZ185" s="802" t="s">
        <v>5879</v>
      </c>
      <c r="DC185"/>
      <c r="DD185" s="883">
        <v>38</v>
      </c>
      <c r="DE185" s="893"/>
      <c r="DF185" s="838"/>
      <c r="DG185" s="894"/>
      <c r="DH185" s="893"/>
      <c r="DI185" s="838"/>
      <c r="DJ185" s="894"/>
      <c r="DK185" s="893"/>
      <c r="DL185" s="838"/>
      <c r="DM185" s="894"/>
      <c r="DN185" s="893"/>
      <c r="DO185" s="838"/>
      <c r="DP185" s="894"/>
      <c r="DQ185" s="893"/>
      <c r="DR185" s="838"/>
      <c r="DS185" s="894"/>
      <c r="DT185" s="893"/>
      <c r="DU185" s="838"/>
      <c r="DV185" s="894"/>
      <c r="DW185" s="893"/>
      <c r="DX185" s="838"/>
      <c r="DY185" s="895"/>
      <c r="DZ185" s="893"/>
      <c r="EA185" s="838"/>
      <c r="EB185" s="894"/>
      <c r="EC185" s="893"/>
      <c r="ED185" s="838"/>
      <c r="EE185" s="894"/>
      <c r="EF185" s="893"/>
      <c r="EG185" s="838"/>
      <c r="EH185" s="894"/>
      <c r="EI185" s="893"/>
      <c r="EJ185" s="838"/>
      <c r="EK185" s="894"/>
      <c r="EL185" s="893"/>
      <c r="EM185" s="838"/>
      <c r="EN185" s="894"/>
      <c r="EO185" s="896" t="s">
        <v>15085</v>
      </c>
      <c r="EP185" s="838" t="s">
        <v>15086</v>
      </c>
      <c r="EQ185" s="895" t="s">
        <v>15087</v>
      </c>
      <c r="ER185" s="893"/>
      <c r="ES185" s="838"/>
      <c r="ET185" s="894"/>
      <c r="EU185" s="893"/>
      <c r="EV185" s="838"/>
      <c r="EW185" s="894"/>
      <c r="EX185" s="893"/>
      <c r="EY185" s="838"/>
      <c r="EZ185" s="897"/>
      <c r="FA185" s="893"/>
      <c r="FB185" s="838"/>
      <c r="FC185" s="894"/>
      <c r="FD185" s="893"/>
      <c r="FE185" s="838"/>
      <c r="FF185" s="834"/>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row>
    <row r="186" spans="6:197">
      <c r="AZ186" s="802" t="s">
        <v>5968</v>
      </c>
      <c r="DC186"/>
      <c r="DD186" s="883">
        <v>39</v>
      </c>
      <c r="DE186" s="893"/>
      <c r="DF186" s="838"/>
      <c r="DG186" s="894"/>
      <c r="DH186" s="893"/>
      <c r="DI186" s="838"/>
      <c r="DJ186" s="894"/>
      <c r="DK186" s="893"/>
      <c r="DL186" s="838"/>
      <c r="DM186" s="894"/>
      <c r="DN186" s="893"/>
      <c r="DO186" s="838"/>
      <c r="DP186" s="894"/>
      <c r="DQ186" s="893"/>
      <c r="DR186" s="838"/>
      <c r="DS186" s="894"/>
      <c r="DT186" s="893"/>
      <c r="DU186" s="838"/>
      <c r="DV186" s="894"/>
      <c r="DW186" s="893"/>
      <c r="DX186" s="838"/>
      <c r="DY186" s="895"/>
      <c r="DZ186" s="893"/>
      <c r="EA186" s="838"/>
      <c r="EB186" s="894"/>
      <c r="EC186" s="893"/>
      <c r="ED186" s="838"/>
      <c r="EE186" s="894"/>
      <c r="EF186" s="893"/>
      <c r="EG186" s="838"/>
      <c r="EH186" s="894"/>
      <c r="EI186" s="893"/>
      <c r="EJ186" s="838"/>
      <c r="EK186" s="894"/>
      <c r="EL186" s="893"/>
      <c r="EM186" s="838"/>
      <c r="EN186" s="894"/>
      <c r="EO186" s="896" t="s">
        <v>15088</v>
      </c>
      <c r="EP186" s="838" t="s">
        <v>15089</v>
      </c>
      <c r="EQ186" s="895" t="s">
        <v>15090</v>
      </c>
      <c r="ER186" s="893"/>
      <c r="ES186" s="838"/>
      <c r="ET186" s="894"/>
      <c r="EU186" s="893"/>
      <c r="EV186" s="838"/>
      <c r="EW186" s="894"/>
      <c r="EX186" s="893"/>
      <c r="EY186" s="838"/>
      <c r="EZ186" s="897"/>
      <c r="FA186" s="893"/>
      <c r="FB186" s="838"/>
      <c r="FC186" s="894"/>
      <c r="FD186" s="893"/>
      <c r="FE186" s="838"/>
      <c r="FF186" s="834"/>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row>
    <row r="187" spans="6:197">
      <c r="AZ187" s="802" t="s">
        <v>6041</v>
      </c>
      <c r="DC187"/>
      <c r="DD187" s="883">
        <v>40</v>
      </c>
      <c r="DE187" s="893"/>
      <c r="DF187" s="838"/>
      <c r="DG187" s="894"/>
      <c r="DH187" s="893"/>
      <c r="DI187" s="838"/>
      <c r="DJ187" s="894"/>
      <c r="DK187" s="893"/>
      <c r="DL187" s="838"/>
      <c r="DM187" s="894"/>
      <c r="DN187" s="893"/>
      <c r="DO187" s="838"/>
      <c r="DP187" s="894"/>
      <c r="DQ187" s="893"/>
      <c r="DR187" s="838"/>
      <c r="DS187" s="894"/>
      <c r="DT187" s="893"/>
      <c r="DU187" s="838"/>
      <c r="DV187" s="894"/>
      <c r="DW187" s="893"/>
      <c r="DX187" s="838"/>
      <c r="DY187" s="895"/>
      <c r="DZ187" s="893"/>
      <c r="EA187" s="838"/>
      <c r="EB187" s="894"/>
      <c r="EC187" s="893"/>
      <c r="ED187" s="838"/>
      <c r="EE187" s="894"/>
      <c r="EF187" s="893"/>
      <c r="EG187" s="838"/>
      <c r="EH187" s="894"/>
      <c r="EI187" s="893"/>
      <c r="EJ187" s="838"/>
      <c r="EK187" s="894"/>
      <c r="EL187" s="893"/>
      <c r="EM187" s="838"/>
      <c r="EN187" s="894"/>
      <c r="EO187" s="896" t="s">
        <v>15091</v>
      </c>
      <c r="EP187" s="838" t="s">
        <v>15092</v>
      </c>
      <c r="EQ187" s="895" t="s">
        <v>15093</v>
      </c>
      <c r="ER187" s="893"/>
      <c r="ES187" s="838"/>
      <c r="ET187" s="894"/>
      <c r="EU187" s="893"/>
      <c r="EV187" s="838"/>
      <c r="EW187" s="894"/>
      <c r="EX187" s="893"/>
      <c r="EY187" s="838"/>
      <c r="EZ187" s="897"/>
      <c r="FA187" s="893"/>
      <c r="FB187" s="838"/>
      <c r="FC187" s="894"/>
      <c r="FD187" s="893"/>
      <c r="FE187" s="838"/>
      <c r="FF187" s="834"/>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row>
    <row r="188" spans="6:197">
      <c r="AZ188" s="802" t="s">
        <v>6089</v>
      </c>
      <c r="DC188"/>
      <c r="DD188" s="883">
        <v>41</v>
      </c>
      <c r="DE188" s="893"/>
      <c r="DF188" s="838"/>
      <c r="DG188" s="894"/>
      <c r="DH188" s="893"/>
      <c r="DI188" s="838"/>
      <c r="DJ188" s="894"/>
      <c r="DK188" s="893"/>
      <c r="DL188" s="838"/>
      <c r="DM188" s="894"/>
      <c r="DN188" s="893"/>
      <c r="DO188" s="838"/>
      <c r="DP188" s="894"/>
      <c r="DQ188" s="893"/>
      <c r="DR188" s="838"/>
      <c r="DS188" s="894"/>
      <c r="DT188" s="893"/>
      <c r="DU188" s="838"/>
      <c r="DV188" s="894"/>
      <c r="DW188" s="893"/>
      <c r="DX188" s="838"/>
      <c r="DY188" s="895"/>
      <c r="DZ188" s="893"/>
      <c r="EA188" s="838"/>
      <c r="EB188" s="894"/>
      <c r="EC188" s="893"/>
      <c r="ED188" s="838"/>
      <c r="EE188" s="894"/>
      <c r="EF188" s="893"/>
      <c r="EG188" s="838"/>
      <c r="EH188" s="894"/>
      <c r="EI188" s="893"/>
      <c r="EJ188" s="838"/>
      <c r="EK188" s="894"/>
      <c r="EL188" s="893"/>
      <c r="EM188" s="838"/>
      <c r="EN188" s="894"/>
      <c r="EO188" s="896" t="s">
        <v>15094</v>
      </c>
      <c r="EP188" s="838" t="s">
        <v>15095</v>
      </c>
      <c r="EQ188" s="895" t="s">
        <v>15093</v>
      </c>
      <c r="ER188" s="893"/>
      <c r="ES188" s="838"/>
      <c r="ET188" s="894"/>
      <c r="EU188" s="893"/>
      <c r="EV188" s="838"/>
      <c r="EW188" s="894"/>
      <c r="EX188" s="893"/>
      <c r="EY188" s="838"/>
      <c r="EZ188" s="897"/>
      <c r="FA188" s="893"/>
      <c r="FB188" s="838"/>
      <c r="FC188" s="894"/>
      <c r="FD188" s="893"/>
      <c r="FE188" s="838"/>
      <c r="FF188" s="834"/>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row>
    <row r="189" spans="6:197">
      <c r="AZ189" s="802" t="s">
        <v>5997</v>
      </c>
      <c r="DC189"/>
      <c r="DD189" s="883">
        <v>42</v>
      </c>
      <c r="DE189" s="893"/>
      <c r="DF189" s="838"/>
      <c r="DG189" s="894"/>
      <c r="DH189" s="893"/>
      <c r="DI189" s="838"/>
      <c r="DJ189" s="894"/>
      <c r="DK189" s="893"/>
      <c r="DL189" s="838"/>
      <c r="DM189" s="894"/>
      <c r="DN189" s="893"/>
      <c r="DO189" s="838"/>
      <c r="DP189" s="894"/>
      <c r="DQ189" s="893"/>
      <c r="DR189" s="838"/>
      <c r="DS189" s="894"/>
      <c r="DT189" s="893"/>
      <c r="DU189" s="838"/>
      <c r="DV189" s="894"/>
      <c r="DW189" s="893"/>
      <c r="DX189" s="838"/>
      <c r="DY189" s="895"/>
      <c r="DZ189" s="893"/>
      <c r="EA189" s="838"/>
      <c r="EB189" s="894"/>
      <c r="EC189" s="893"/>
      <c r="ED189" s="838"/>
      <c r="EE189" s="894"/>
      <c r="EF189" s="893"/>
      <c r="EG189" s="838"/>
      <c r="EH189" s="894"/>
      <c r="EI189" s="893"/>
      <c r="EJ189" s="838"/>
      <c r="EK189" s="894"/>
      <c r="EL189" s="893"/>
      <c r="EM189" s="838"/>
      <c r="EN189" s="894"/>
      <c r="EO189" s="896" t="s">
        <v>15096</v>
      </c>
      <c r="EP189" s="838" t="s">
        <v>15095</v>
      </c>
      <c r="EQ189" s="895" t="s">
        <v>15097</v>
      </c>
      <c r="ER189" s="893"/>
      <c r="ES189" s="838"/>
      <c r="ET189" s="894"/>
      <c r="EU189" s="893"/>
      <c r="EV189" s="838"/>
      <c r="EW189" s="894"/>
      <c r="EX189" s="893"/>
      <c r="EY189" s="838"/>
      <c r="EZ189" s="897"/>
      <c r="FA189" s="893"/>
      <c r="FB189" s="838"/>
      <c r="FC189" s="894"/>
      <c r="FD189" s="893"/>
      <c r="FE189" s="838"/>
      <c r="FF189" s="834"/>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row>
    <row r="190" spans="6:197">
      <c r="AZ190" s="802" t="s">
        <v>6175</v>
      </c>
      <c r="DC190"/>
      <c r="DD190" s="883">
        <v>43</v>
      </c>
      <c r="DE190" s="893"/>
      <c r="DF190" s="838"/>
      <c r="DG190" s="894"/>
      <c r="DH190" s="893"/>
      <c r="DI190" s="838"/>
      <c r="DJ190" s="894"/>
      <c r="DK190" s="893"/>
      <c r="DL190" s="838"/>
      <c r="DM190" s="894"/>
      <c r="DN190" s="893"/>
      <c r="DO190" s="838"/>
      <c r="DP190" s="894"/>
      <c r="DQ190" s="893"/>
      <c r="DR190" s="838"/>
      <c r="DS190" s="894"/>
      <c r="DT190" s="893"/>
      <c r="DU190" s="838"/>
      <c r="DV190" s="894"/>
      <c r="DW190" s="893"/>
      <c r="DX190" s="838"/>
      <c r="DY190" s="895"/>
      <c r="DZ190" s="893"/>
      <c r="EA190" s="838"/>
      <c r="EB190" s="894"/>
      <c r="EC190" s="893"/>
      <c r="ED190" s="838"/>
      <c r="EE190" s="894"/>
      <c r="EF190" s="893"/>
      <c r="EG190" s="838"/>
      <c r="EH190" s="894"/>
      <c r="EI190" s="893"/>
      <c r="EJ190" s="838"/>
      <c r="EK190" s="894"/>
      <c r="EL190" s="893"/>
      <c r="EM190" s="838"/>
      <c r="EN190" s="894"/>
      <c r="EO190" s="896" t="s">
        <v>15098</v>
      </c>
      <c r="EP190" s="838" t="s">
        <v>15099</v>
      </c>
      <c r="EQ190" s="895" t="s">
        <v>15100</v>
      </c>
      <c r="ER190" s="893"/>
      <c r="ES190" s="838"/>
      <c r="ET190" s="894"/>
      <c r="EU190" s="893"/>
      <c r="EV190" s="838"/>
      <c r="EW190" s="894"/>
      <c r="EX190" s="893"/>
      <c r="EY190" s="838"/>
      <c r="EZ190" s="897"/>
      <c r="FA190" s="893"/>
      <c r="FB190" s="838"/>
      <c r="FC190" s="894"/>
      <c r="FD190" s="893"/>
      <c r="FE190" s="838"/>
      <c r="FF190" s="834"/>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row>
    <row r="191" spans="6:197">
      <c r="AZ191" s="802" t="s">
        <v>6029</v>
      </c>
      <c r="DC191"/>
      <c r="DD191" s="883">
        <v>44</v>
      </c>
      <c r="DE191" s="893"/>
      <c r="DF191" s="838"/>
      <c r="DG191" s="894"/>
      <c r="DH191" s="893"/>
      <c r="DI191" s="838"/>
      <c r="DJ191" s="894"/>
      <c r="DK191" s="893"/>
      <c r="DL191" s="838"/>
      <c r="DM191" s="894"/>
      <c r="DN191" s="893"/>
      <c r="DO191" s="838"/>
      <c r="DP191" s="894"/>
      <c r="DQ191" s="893"/>
      <c r="DR191" s="838"/>
      <c r="DS191" s="894"/>
      <c r="DT191" s="893"/>
      <c r="DU191" s="838"/>
      <c r="DV191" s="894"/>
      <c r="DW191" s="893"/>
      <c r="DX191" s="838"/>
      <c r="DY191" s="895"/>
      <c r="DZ191" s="893"/>
      <c r="EA191" s="838"/>
      <c r="EB191" s="894"/>
      <c r="EC191" s="893"/>
      <c r="ED191" s="838"/>
      <c r="EE191" s="894"/>
      <c r="EF191" s="893"/>
      <c r="EG191" s="838"/>
      <c r="EH191" s="894"/>
      <c r="EI191" s="893"/>
      <c r="EJ191" s="838"/>
      <c r="EK191" s="894"/>
      <c r="EL191" s="893"/>
      <c r="EM191" s="838"/>
      <c r="EN191" s="894"/>
      <c r="EO191" s="896" t="s">
        <v>15101</v>
      </c>
      <c r="EP191" s="838" t="s">
        <v>15102</v>
      </c>
      <c r="EQ191" s="895" t="s">
        <v>15103</v>
      </c>
      <c r="ER191" s="893"/>
      <c r="ES191" s="838"/>
      <c r="ET191" s="894"/>
      <c r="EU191" s="893"/>
      <c r="EV191" s="838"/>
      <c r="EW191" s="894"/>
      <c r="EX191" s="893"/>
      <c r="EY191" s="838"/>
      <c r="EZ191" s="897"/>
      <c r="FA191" s="893"/>
      <c r="FB191" s="838"/>
      <c r="FC191" s="894"/>
      <c r="FD191" s="893"/>
      <c r="FE191" s="838"/>
      <c r="FF191" s="834"/>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row>
    <row r="192" spans="6:197">
      <c r="AZ192" s="802" t="s">
        <v>5901</v>
      </c>
      <c r="DC192"/>
      <c r="DD192" s="883">
        <v>45</v>
      </c>
      <c r="DE192" s="893"/>
      <c r="DF192" s="838"/>
      <c r="DG192" s="894"/>
      <c r="DH192" s="893"/>
      <c r="DI192" s="838"/>
      <c r="DJ192" s="894"/>
      <c r="DK192" s="893"/>
      <c r="DL192" s="838"/>
      <c r="DM192" s="894"/>
      <c r="DN192" s="893"/>
      <c r="DO192" s="838"/>
      <c r="DP192" s="894"/>
      <c r="DQ192" s="893"/>
      <c r="DR192" s="838"/>
      <c r="DS192" s="894"/>
      <c r="DT192" s="893"/>
      <c r="DU192" s="838"/>
      <c r="DV192" s="894"/>
      <c r="DW192" s="893"/>
      <c r="DX192" s="838"/>
      <c r="DY192" s="895"/>
      <c r="DZ192" s="893"/>
      <c r="EA192" s="838"/>
      <c r="EB192" s="894"/>
      <c r="EC192" s="893"/>
      <c r="ED192" s="838"/>
      <c r="EE192" s="894"/>
      <c r="EF192" s="893"/>
      <c r="EG192" s="838"/>
      <c r="EH192" s="894"/>
      <c r="EI192" s="893"/>
      <c r="EJ192" s="838"/>
      <c r="EK192" s="894"/>
      <c r="EL192" s="893"/>
      <c r="EM192" s="838"/>
      <c r="EN192" s="894"/>
      <c r="EO192" s="896" t="s">
        <v>15104</v>
      </c>
      <c r="EP192" s="838" t="s">
        <v>15105</v>
      </c>
      <c r="EQ192" s="895" t="s">
        <v>15106</v>
      </c>
      <c r="ER192" s="893"/>
      <c r="ES192" s="838"/>
      <c r="ET192" s="894"/>
      <c r="EU192" s="893"/>
      <c r="EV192" s="838"/>
      <c r="EW192" s="894"/>
      <c r="EX192" s="893"/>
      <c r="EY192" s="838"/>
      <c r="EZ192" s="897"/>
      <c r="FA192" s="893"/>
      <c r="FB192" s="838"/>
      <c r="FC192" s="894"/>
      <c r="FD192" s="893"/>
      <c r="FE192" s="838"/>
      <c r="FF192" s="834"/>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row>
    <row r="193" spans="52:197">
      <c r="AZ193" s="802" t="s">
        <v>6013</v>
      </c>
      <c r="DC193"/>
      <c r="DD193" s="883">
        <v>46</v>
      </c>
      <c r="DE193" s="893"/>
      <c r="DF193" s="838"/>
      <c r="DG193" s="894"/>
      <c r="DH193" s="893"/>
      <c r="DI193" s="838"/>
      <c r="DJ193" s="894"/>
      <c r="DK193" s="893"/>
      <c r="DL193" s="838"/>
      <c r="DM193" s="894"/>
      <c r="DN193" s="893"/>
      <c r="DO193" s="838"/>
      <c r="DP193" s="894"/>
      <c r="DQ193" s="893"/>
      <c r="DR193" s="838"/>
      <c r="DS193" s="894"/>
      <c r="DT193" s="893"/>
      <c r="DU193" s="838"/>
      <c r="DV193" s="894"/>
      <c r="DW193" s="893"/>
      <c r="DX193" s="838"/>
      <c r="DY193" s="895"/>
      <c r="DZ193" s="893"/>
      <c r="EA193" s="838"/>
      <c r="EB193" s="894"/>
      <c r="EC193" s="893"/>
      <c r="ED193" s="838"/>
      <c r="EE193" s="894"/>
      <c r="EF193" s="893"/>
      <c r="EG193" s="838"/>
      <c r="EH193" s="894"/>
      <c r="EI193" s="893"/>
      <c r="EJ193" s="838"/>
      <c r="EK193" s="894"/>
      <c r="EL193" s="893"/>
      <c r="EM193" s="838"/>
      <c r="EN193" s="894"/>
      <c r="EO193" s="896" t="s">
        <v>15107</v>
      </c>
      <c r="EP193" s="838" t="s">
        <v>15108</v>
      </c>
      <c r="EQ193" s="895" t="s">
        <v>15109</v>
      </c>
      <c r="ER193" s="893"/>
      <c r="ES193" s="838"/>
      <c r="ET193" s="894"/>
      <c r="EU193" s="893"/>
      <c r="EV193" s="838"/>
      <c r="EW193" s="894"/>
      <c r="EX193" s="893"/>
      <c r="EY193" s="838"/>
      <c r="EZ193" s="897"/>
      <c r="FA193" s="893"/>
      <c r="FB193" s="838"/>
      <c r="FC193" s="894"/>
      <c r="FD193" s="893"/>
      <c r="FE193" s="838"/>
      <c r="FF193" s="834"/>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row>
    <row r="194" spans="52:197">
      <c r="AZ194" s="802" t="s">
        <v>6084</v>
      </c>
      <c r="DC194"/>
      <c r="DD194" s="883">
        <v>47</v>
      </c>
      <c r="DE194" s="893"/>
      <c r="DF194" s="838"/>
      <c r="DG194" s="894"/>
      <c r="DH194" s="893"/>
      <c r="DI194" s="838"/>
      <c r="DJ194" s="894"/>
      <c r="DK194" s="893"/>
      <c r="DL194" s="838"/>
      <c r="DM194" s="894"/>
      <c r="DN194" s="893"/>
      <c r="DO194" s="838"/>
      <c r="DP194" s="894"/>
      <c r="DQ194" s="893"/>
      <c r="DR194" s="838"/>
      <c r="DS194" s="894"/>
      <c r="DT194" s="893"/>
      <c r="DU194" s="838"/>
      <c r="DV194" s="894"/>
      <c r="DW194" s="893"/>
      <c r="DX194" s="838"/>
      <c r="DY194" s="895"/>
      <c r="DZ194" s="893"/>
      <c r="EA194" s="838"/>
      <c r="EB194" s="894"/>
      <c r="EC194" s="893"/>
      <c r="ED194" s="838"/>
      <c r="EE194" s="894"/>
      <c r="EF194" s="893"/>
      <c r="EG194" s="838"/>
      <c r="EH194" s="894"/>
      <c r="EI194" s="893"/>
      <c r="EJ194" s="838"/>
      <c r="EK194" s="894"/>
      <c r="EL194" s="893"/>
      <c r="EM194" s="838"/>
      <c r="EN194" s="894"/>
      <c r="EO194" s="896" t="s">
        <v>15110</v>
      </c>
      <c r="EP194" s="838" t="s">
        <v>15111</v>
      </c>
      <c r="EQ194" s="895" t="s">
        <v>15112</v>
      </c>
      <c r="ER194" s="893"/>
      <c r="ES194" s="838"/>
      <c r="ET194" s="894"/>
      <c r="EU194" s="893"/>
      <c r="EV194" s="838"/>
      <c r="EW194" s="894"/>
      <c r="EX194" s="893"/>
      <c r="EY194" s="838"/>
      <c r="EZ194" s="897"/>
      <c r="FA194" s="893"/>
      <c r="FB194" s="838"/>
      <c r="FC194" s="894"/>
      <c r="FD194" s="893"/>
      <c r="FE194" s="838"/>
      <c r="FF194" s="83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row>
    <row r="195" spans="52:197">
      <c r="AZ195" s="802" t="s">
        <v>6022</v>
      </c>
      <c r="DC195"/>
      <c r="DD195" s="883">
        <v>48</v>
      </c>
      <c r="DE195" s="893"/>
      <c r="DF195" s="838"/>
      <c r="DG195" s="894"/>
      <c r="DH195" s="893"/>
      <c r="DI195" s="838"/>
      <c r="DJ195" s="894"/>
      <c r="DK195" s="893"/>
      <c r="DL195" s="838"/>
      <c r="DM195" s="894"/>
      <c r="DN195" s="893"/>
      <c r="DO195" s="838"/>
      <c r="DP195" s="894"/>
      <c r="DQ195" s="893"/>
      <c r="DR195" s="838"/>
      <c r="DS195" s="894"/>
      <c r="DT195" s="893"/>
      <c r="DU195" s="838"/>
      <c r="DV195" s="894"/>
      <c r="DW195" s="893"/>
      <c r="DX195" s="838"/>
      <c r="DY195" s="895"/>
      <c r="DZ195" s="893"/>
      <c r="EA195" s="838"/>
      <c r="EB195" s="894"/>
      <c r="EC195" s="893"/>
      <c r="ED195" s="838"/>
      <c r="EE195" s="894"/>
      <c r="EF195" s="893"/>
      <c r="EG195" s="838"/>
      <c r="EH195" s="894"/>
      <c r="EI195" s="893"/>
      <c r="EJ195" s="838"/>
      <c r="EK195" s="894"/>
      <c r="EL195" s="893"/>
      <c r="EM195" s="838"/>
      <c r="EN195" s="894"/>
      <c r="EO195" s="896" t="s">
        <v>15113</v>
      </c>
      <c r="EP195" s="838" t="s">
        <v>15114</v>
      </c>
      <c r="EQ195" s="895" t="s">
        <v>15115</v>
      </c>
      <c r="ER195" s="893"/>
      <c r="ES195" s="838"/>
      <c r="ET195" s="894"/>
      <c r="EU195" s="893"/>
      <c r="EV195" s="838"/>
      <c r="EW195" s="894"/>
      <c r="EX195" s="893"/>
      <c r="EY195" s="838"/>
      <c r="EZ195" s="897"/>
      <c r="FA195" s="893"/>
      <c r="FB195" s="838"/>
      <c r="FC195" s="894"/>
      <c r="FD195" s="893"/>
      <c r="FE195" s="838"/>
      <c r="FF195" s="834"/>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row>
    <row r="196" spans="52:197">
      <c r="AZ196" s="802" t="s">
        <v>5933</v>
      </c>
      <c r="DC196"/>
      <c r="DD196" s="883">
        <v>49</v>
      </c>
      <c r="DE196" s="893"/>
      <c r="DF196" s="838"/>
      <c r="DG196" s="894"/>
      <c r="DH196" s="893"/>
      <c r="DI196" s="838"/>
      <c r="DJ196" s="894"/>
      <c r="DK196" s="893"/>
      <c r="DL196" s="838"/>
      <c r="DM196" s="894"/>
      <c r="DN196" s="893"/>
      <c r="DO196" s="838"/>
      <c r="DP196" s="894"/>
      <c r="DQ196" s="893"/>
      <c r="DR196" s="838"/>
      <c r="DS196" s="894"/>
      <c r="DT196" s="893"/>
      <c r="DU196" s="838"/>
      <c r="DV196" s="894"/>
      <c r="DW196" s="893"/>
      <c r="DX196" s="838"/>
      <c r="DY196" s="895"/>
      <c r="DZ196" s="893"/>
      <c r="EA196" s="838"/>
      <c r="EB196" s="894"/>
      <c r="EC196" s="893"/>
      <c r="ED196" s="838"/>
      <c r="EE196" s="894"/>
      <c r="EF196" s="893"/>
      <c r="EG196" s="838"/>
      <c r="EH196" s="894"/>
      <c r="EI196" s="893"/>
      <c r="EJ196" s="838"/>
      <c r="EK196" s="894"/>
      <c r="EL196" s="893"/>
      <c r="EM196" s="838"/>
      <c r="EN196" s="894"/>
      <c r="EO196" s="896" t="s">
        <v>15116</v>
      </c>
      <c r="EP196" s="838" t="s">
        <v>13000</v>
      </c>
      <c r="EQ196" s="895" t="s">
        <v>15117</v>
      </c>
      <c r="ER196" s="893"/>
      <c r="ES196" s="838"/>
      <c r="ET196" s="894"/>
      <c r="EU196" s="893"/>
      <c r="EV196" s="838"/>
      <c r="EW196" s="894"/>
      <c r="EX196" s="893"/>
      <c r="EY196" s="838"/>
      <c r="EZ196" s="897"/>
      <c r="FA196" s="893"/>
      <c r="FB196" s="838"/>
      <c r="FC196" s="894"/>
      <c r="FD196" s="893"/>
      <c r="FE196" s="838"/>
      <c r="FF196" s="834"/>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row>
    <row r="197" spans="52:197">
      <c r="AZ197" s="802" t="s">
        <v>5920</v>
      </c>
      <c r="DC197"/>
      <c r="DD197" s="883">
        <v>50</v>
      </c>
      <c r="DE197" s="893"/>
      <c r="DF197" s="838"/>
      <c r="DG197" s="894"/>
      <c r="DH197" s="893"/>
      <c r="DI197" s="838"/>
      <c r="DJ197" s="894"/>
      <c r="DK197" s="893"/>
      <c r="DL197" s="838"/>
      <c r="DM197" s="894"/>
      <c r="DN197" s="893"/>
      <c r="DO197" s="838"/>
      <c r="DP197" s="894"/>
      <c r="DQ197" s="893"/>
      <c r="DR197" s="838"/>
      <c r="DS197" s="894"/>
      <c r="DT197" s="893"/>
      <c r="DU197" s="838"/>
      <c r="DV197" s="894"/>
      <c r="DW197" s="893"/>
      <c r="DX197" s="838"/>
      <c r="DY197" s="895"/>
      <c r="DZ197" s="893"/>
      <c r="EA197" s="838"/>
      <c r="EB197" s="894"/>
      <c r="EC197" s="893"/>
      <c r="ED197" s="838"/>
      <c r="EE197" s="894"/>
      <c r="EF197" s="893"/>
      <c r="EG197" s="838"/>
      <c r="EH197" s="894"/>
      <c r="EI197" s="893"/>
      <c r="EJ197" s="838"/>
      <c r="EK197" s="894"/>
      <c r="EL197" s="893"/>
      <c r="EM197" s="838"/>
      <c r="EN197" s="894"/>
      <c r="EO197" s="896" t="s">
        <v>15118</v>
      </c>
      <c r="EP197" s="838" t="s">
        <v>15119</v>
      </c>
      <c r="EQ197" s="895" t="s">
        <v>15120</v>
      </c>
      <c r="ER197" s="893"/>
      <c r="ES197" s="838"/>
      <c r="ET197" s="894"/>
      <c r="EU197" s="893"/>
      <c r="EV197" s="838"/>
      <c r="EW197" s="894"/>
      <c r="EX197" s="893"/>
      <c r="EY197" s="838"/>
      <c r="EZ197" s="897"/>
      <c r="FA197" s="893"/>
      <c r="FB197" s="838"/>
      <c r="FC197" s="894"/>
      <c r="FD197" s="893"/>
      <c r="FE197" s="838"/>
      <c r="FF197" s="834"/>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row>
    <row r="198" spans="52:197">
      <c r="AZ198" s="802" t="s">
        <v>6219</v>
      </c>
      <c r="DC198"/>
      <c r="DD198" s="883">
        <v>51</v>
      </c>
      <c r="DE198" s="893"/>
      <c r="DF198" s="838"/>
      <c r="DG198" s="894"/>
      <c r="DH198" s="893"/>
      <c r="DI198" s="838"/>
      <c r="DJ198" s="894"/>
      <c r="DK198" s="893"/>
      <c r="DL198" s="838"/>
      <c r="DM198" s="894"/>
      <c r="DN198" s="893"/>
      <c r="DO198" s="838"/>
      <c r="DP198" s="894"/>
      <c r="DQ198" s="893"/>
      <c r="DR198" s="838"/>
      <c r="DS198" s="894"/>
      <c r="DT198" s="893"/>
      <c r="DU198" s="838"/>
      <c r="DV198" s="894"/>
      <c r="DW198" s="893"/>
      <c r="DX198" s="838"/>
      <c r="DY198" s="895"/>
      <c r="DZ198" s="893"/>
      <c r="EA198" s="838"/>
      <c r="EB198" s="894"/>
      <c r="EC198" s="893"/>
      <c r="ED198" s="838"/>
      <c r="EE198" s="894"/>
      <c r="EF198" s="893"/>
      <c r="EG198" s="838"/>
      <c r="EH198" s="894"/>
      <c r="EI198" s="893"/>
      <c r="EJ198" s="838"/>
      <c r="EK198" s="894"/>
      <c r="EL198" s="893"/>
      <c r="EM198" s="838"/>
      <c r="EN198" s="894"/>
      <c r="EO198" s="896" t="s">
        <v>15121</v>
      </c>
      <c r="EP198" s="838" t="s">
        <v>15122</v>
      </c>
      <c r="EQ198" s="895" t="s">
        <v>15123</v>
      </c>
      <c r="ER198" s="893"/>
      <c r="ES198" s="838"/>
      <c r="ET198" s="894"/>
      <c r="EU198" s="893"/>
      <c r="EV198" s="838"/>
      <c r="EW198" s="894"/>
      <c r="EX198" s="893"/>
      <c r="EY198" s="838"/>
      <c r="EZ198" s="897"/>
      <c r="FA198" s="893"/>
      <c r="FB198" s="838"/>
      <c r="FC198" s="894"/>
      <c r="FD198" s="893"/>
      <c r="FE198" s="838"/>
      <c r="FF198" s="834"/>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row>
    <row r="199" spans="52:197">
      <c r="AZ199" s="802" t="s">
        <v>13250</v>
      </c>
      <c r="DC199"/>
      <c r="DD199" s="883">
        <v>52</v>
      </c>
      <c r="DE199" s="893"/>
      <c r="DF199" s="838"/>
      <c r="DG199" s="894"/>
      <c r="DH199" s="893"/>
      <c r="DI199" s="838"/>
      <c r="DJ199" s="894"/>
      <c r="DK199" s="893"/>
      <c r="DL199" s="838"/>
      <c r="DM199" s="894"/>
      <c r="DN199" s="893"/>
      <c r="DO199" s="838"/>
      <c r="DP199" s="894"/>
      <c r="DQ199" s="893"/>
      <c r="DR199" s="838"/>
      <c r="DS199" s="894"/>
      <c r="DT199" s="893"/>
      <c r="DU199" s="838"/>
      <c r="DV199" s="894"/>
      <c r="DW199" s="893"/>
      <c r="DX199" s="838"/>
      <c r="DY199" s="895"/>
      <c r="DZ199" s="893"/>
      <c r="EA199" s="838"/>
      <c r="EB199" s="894"/>
      <c r="EC199" s="893"/>
      <c r="ED199" s="838"/>
      <c r="EE199" s="894"/>
      <c r="EF199" s="893"/>
      <c r="EG199" s="838"/>
      <c r="EH199" s="894"/>
      <c r="EI199" s="893"/>
      <c r="EJ199" s="838"/>
      <c r="EK199" s="894"/>
      <c r="EL199" s="893"/>
      <c r="EM199" s="838"/>
      <c r="EN199" s="894"/>
      <c r="EO199" s="896" t="s">
        <v>15124</v>
      </c>
      <c r="EP199" s="838" t="s">
        <v>15125</v>
      </c>
      <c r="EQ199" s="895" t="s">
        <v>15126</v>
      </c>
      <c r="ER199" s="893"/>
      <c r="ES199" s="838"/>
      <c r="ET199" s="894"/>
      <c r="EU199" s="893"/>
      <c r="EV199" s="838"/>
      <c r="EW199" s="894"/>
      <c r="EX199" s="893"/>
      <c r="EY199" s="838"/>
      <c r="EZ199" s="897"/>
      <c r="FA199" s="893"/>
      <c r="FB199" s="838"/>
      <c r="FC199" s="894"/>
      <c r="FD199" s="893"/>
      <c r="FE199" s="838"/>
      <c r="FF199" s="834"/>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row>
    <row r="200" spans="52:197">
      <c r="AZ200" s="802" t="s">
        <v>5937</v>
      </c>
      <c r="DC200"/>
      <c r="DD200" s="883">
        <v>53</v>
      </c>
      <c r="DE200" s="893"/>
      <c r="DF200" s="838"/>
      <c r="DG200" s="894"/>
      <c r="DH200" s="893"/>
      <c r="DI200" s="838"/>
      <c r="DJ200" s="894"/>
      <c r="DK200" s="893"/>
      <c r="DL200" s="838"/>
      <c r="DM200" s="894"/>
      <c r="DN200" s="893"/>
      <c r="DO200" s="838"/>
      <c r="DP200" s="894"/>
      <c r="DQ200" s="893"/>
      <c r="DR200" s="838"/>
      <c r="DS200" s="894"/>
      <c r="DT200" s="893"/>
      <c r="DU200" s="838"/>
      <c r="DV200" s="894"/>
      <c r="DW200" s="893"/>
      <c r="DX200" s="838"/>
      <c r="DY200" s="895"/>
      <c r="DZ200" s="893"/>
      <c r="EA200" s="838"/>
      <c r="EB200" s="894"/>
      <c r="EC200" s="893"/>
      <c r="ED200" s="838"/>
      <c r="EE200" s="894"/>
      <c r="EF200" s="893"/>
      <c r="EG200" s="838"/>
      <c r="EH200" s="894"/>
      <c r="EI200" s="893"/>
      <c r="EJ200" s="838"/>
      <c r="EK200" s="894"/>
      <c r="EL200" s="893"/>
      <c r="EM200" s="838"/>
      <c r="EN200" s="894"/>
      <c r="EO200" s="896" t="s">
        <v>15127</v>
      </c>
      <c r="EP200" s="838" t="s">
        <v>15128</v>
      </c>
      <c r="EQ200" s="895" t="s">
        <v>15129</v>
      </c>
      <c r="ER200" s="893"/>
      <c r="ES200" s="838"/>
      <c r="ET200" s="894"/>
      <c r="EU200" s="893"/>
      <c r="EV200" s="838"/>
      <c r="EW200" s="894"/>
      <c r="EX200" s="893"/>
      <c r="EY200" s="838"/>
      <c r="EZ200" s="897"/>
      <c r="FA200" s="893"/>
      <c r="FB200" s="838"/>
      <c r="FC200" s="894"/>
      <c r="FD200" s="893"/>
      <c r="FE200" s="838"/>
      <c r="FF200" s="834"/>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row>
    <row r="201" spans="52:197">
      <c r="AZ201" s="802" t="s">
        <v>6222</v>
      </c>
      <c r="DC201"/>
      <c r="DD201" s="883">
        <v>54</v>
      </c>
      <c r="DE201" s="893"/>
      <c r="DF201" s="838"/>
      <c r="DG201" s="894"/>
      <c r="DH201" s="893"/>
      <c r="DI201" s="838"/>
      <c r="DJ201" s="894"/>
      <c r="DK201" s="893"/>
      <c r="DL201" s="838"/>
      <c r="DM201" s="894"/>
      <c r="DN201" s="893"/>
      <c r="DO201" s="838"/>
      <c r="DP201" s="894"/>
      <c r="DQ201" s="893"/>
      <c r="DR201" s="838"/>
      <c r="DS201" s="894"/>
      <c r="DT201" s="893"/>
      <c r="DU201" s="838"/>
      <c r="DV201" s="894"/>
      <c r="DW201" s="893"/>
      <c r="DX201" s="838"/>
      <c r="DY201" s="895"/>
      <c r="DZ201" s="893"/>
      <c r="EA201" s="838"/>
      <c r="EB201" s="894"/>
      <c r="EC201" s="893"/>
      <c r="ED201" s="838"/>
      <c r="EE201" s="894"/>
      <c r="EF201" s="893"/>
      <c r="EG201" s="838"/>
      <c r="EH201" s="894"/>
      <c r="EI201" s="893"/>
      <c r="EJ201" s="838"/>
      <c r="EK201" s="894"/>
      <c r="EL201" s="893"/>
      <c r="EM201" s="838"/>
      <c r="EN201" s="894"/>
      <c r="EO201" s="896" t="s">
        <v>15130</v>
      </c>
      <c r="EP201" s="838" t="s">
        <v>15131</v>
      </c>
      <c r="EQ201" s="895" t="s">
        <v>15132</v>
      </c>
      <c r="ER201" s="893"/>
      <c r="ES201" s="838"/>
      <c r="ET201" s="894"/>
      <c r="EU201" s="893"/>
      <c r="EV201" s="838"/>
      <c r="EW201" s="894"/>
      <c r="EX201" s="893"/>
      <c r="EY201" s="838"/>
      <c r="EZ201" s="897"/>
      <c r="FA201" s="893"/>
      <c r="FB201" s="838"/>
      <c r="FC201" s="894"/>
      <c r="FD201" s="893"/>
      <c r="FE201" s="838"/>
      <c r="FF201" s="834"/>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row>
    <row r="202" spans="52:197">
      <c r="AZ202" s="802" t="s">
        <v>5910</v>
      </c>
      <c r="DC202"/>
      <c r="DD202" s="883">
        <v>55</v>
      </c>
      <c r="DE202" s="893"/>
      <c r="DF202" s="838"/>
      <c r="DG202" s="894"/>
      <c r="DH202" s="893"/>
      <c r="DI202" s="838"/>
      <c r="DJ202" s="894"/>
      <c r="DK202" s="893"/>
      <c r="DL202" s="838"/>
      <c r="DM202" s="894"/>
      <c r="DN202" s="893"/>
      <c r="DO202" s="838"/>
      <c r="DP202" s="894"/>
      <c r="DQ202" s="893"/>
      <c r="DR202" s="838"/>
      <c r="DS202" s="894"/>
      <c r="DT202" s="893"/>
      <c r="DU202" s="838"/>
      <c r="DV202" s="894"/>
      <c r="DW202" s="893"/>
      <c r="DX202" s="838"/>
      <c r="DY202" s="895"/>
      <c r="DZ202" s="893"/>
      <c r="EA202" s="838"/>
      <c r="EB202" s="894"/>
      <c r="EC202" s="893"/>
      <c r="ED202" s="838"/>
      <c r="EE202" s="894"/>
      <c r="EF202" s="893"/>
      <c r="EG202" s="838"/>
      <c r="EH202" s="894"/>
      <c r="EI202" s="893"/>
      <c r="EJ202" s="838"/>
      <c r="EK202" s="894"/>
      <c r="EL202" s="893"/>
      <c r="EM202" s="838"/>
      <c r="EN202" s="894"/>
      <c r="EO202" s="896" t="s">
        <v>15133</v>
      </c>
      <c r="EP202" s="838" t="s">
        <v>15134</v>
      </c>
      <c r="EQ202" s="895" t="s">
        <v>15135</v>
      </c>
      <c r="ER202" s="893"/>
      <c r="ES202" s="838"/>
      <c r="ET202" s="894"/>
      <c r="EU202" s="893"/>
      <c r="EV202" s="838"/>
      <c r="EW202" s="894"/>
      <c r="EX202" s="893"/>
      <c r="EY202" s="838"/>
      <c r="EZ202" s="897"/>
      <c r="FA202" s="893"/>
      <c r="FB202" s="838"/>
      <c r="FC202" s="894"/>
      <c r="FD202" s="893"/>
      <c r="FE202" s="838"/>
      <c r="FF202" s="834"/>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row>
    <row r="203" spans="52:197">
      <c r="AZ203" s="802" t="s">
        <v>5925</v>
      </c>
      <c r="DC203"/>
      <c r="DD203" s="883">
        <v>56</v>
      </c>
      <c r="DE203" s="893"/>
      <c r="DF203" s="838"/>
      <c r="DG203" s="894"/>
      <c r="DH203" s="893"/>
      <c r="DI203" s="838"/>
      <c r="DJ203" s="894"/>
      <c r="DK203" s="893"/>
      <c r="DL203" s="838"/>
      <c r="DM203" s="894"/>
      <c r="DN203" s="893"/>
      <c r="DO203" s="838"/>
      <c r="DP203" s="894"/>
      <c r="DQ203" s="893"/>
      <c r="DR203" s="838"/>
      <c r="DS203" s="894"/>
      <c r="DT203" s="893"/>
      <c r="DU203" s="838"/>
      <c r="DV203" s="894"/>
      <c r="DW203" s="893"/>
      <c r="DX203" s="838"/>
      <c r="DY203" s="895"/>
      <c r="DZ203" s="893"/>
      <c r="EA203" s="838"/>
      <c r="EB203" s="894"/>
      <c r="EC203" s="893"/>
      <c r="ED203" s="838"/>
      <c r="EE203" s="894"/>
      <c r="EF203" s="893"/>
      <c r="EG203" s="838"/>
      <c r="EH203" s="894"/>
      <c r="EI203" s="893"/>
      <c r="EJ203" s="838"/>
      <c r="EK203" s="894"/>
      <c r="EL203" s="893"/>
      <c r="EM203" s="838"/>
      <c r="EN203" s="894"/>
      <c r="EO203" s="896" t="s">
        <v>15136</v>
      </c>
      <c r="EP203" s="838" t="s">
        <v>15137</v>
      </c>
      <c r="EQ203" s="895" t="s">
        <v>15138</v>
      </c>
      <c r="ER203" s="893"/>
      <c r="ES203" s="838"/>
      <c r="ET203" s="894"/>
      <c r="EU203" s="893"/>
      <c r="EV203" s="838"/>
      <c r="EW203" s="894"/>
      <c r="EX203" s="893"/>
      <c r="EY203" s="838"/>
      <c r="EZ203" s="897"/>
      <c r="FA203" s="893"/>
      <c r="FB203" s="838"/>
      <c r="FC203" s="894"/>
      <c r="FD203" s="893"/>
      <c r="FE203" s="838"/>
      <c r="FF203" s="834"/>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row>
    <row r="204" spans="52:197">
      <c r="AZ204" s="802" t="s">
        <v>6005</v>
      </c>
      <c r="DC204"/>
      <c r="DD204" s="883">
        <v>57</v>
      </c>
      <c r="DE204" s="893"/>
      <c r="DF204" s="838"/>
      <c r="DG204" s="894"/>
      <c r="DH204" s="893"/>
      <c r="DI204" s="838"/>
      <c r="DJ204" s="894"/>
      <c r="DK204" s="893"/>
      <c r="DL204" s="838"/>
      <c r="DM204" s="894"/>
      <c r="DN204" s="893"/>
      <c r="DO204" s="838"/>
      <c r="DP204" s="894"/>
      <c r="DQ204" s="893"/>
      <c r="DR204" s="838"/>
      <c r="DS204" s="894"/>
      <c r="DT204" s="893"/>
      <c r="DU204" s="838"/>
      <c r="DV204" s="894"/>
      <c r="DW204" s="893"/>
      <c r="DX204" s="838"/>
      <c r="DY204" s="895"/>
      <c r="DZ204" s="893"/>
      <c r="EA204" s="838"/>
      <c r="EB204" s="894"/>
      <c r="EC204" s="893"/>
      <c r="ED204" s="838"/>
      <c r="EE204" s="894"/>
      <c r="EF204" s="893"/>
      <c r="EG204" s="838"/>
      <c r="EH204" s="894"/>
      <c r="EI204" s="893"/>
      <c r="EJ204" s="838"/>
      <c r="EK204" s="894"/>
      <c r="EL204" s="893"/>
      <c r="EM204" s="838"/>
      <c r="EN204" s="894"/>
      <c r="EO204" s="896" t="s">
        <v>15139</v>
      </c>
      <c r="EP204" s="838" t="s">
        <v>15140</v>
      </c>
      <c r="EQ204" s="895" t="s">
        <v>15141</v>
      </c>
      <c r="ER204" s="893"/>
      <c r="ES204" s="838"/>
      <c r="ET204" s="894"/>
      <c r="EU204" s="893"/>
      <c r="EV204" s="838"/>
      <c r="EW204" s="894"/>
      <c r="EX204" s="893"/>
      <c r="EY204" s="838"/>
      <c r="EZ204" s="897"/>
      <c r="FA204" s="893"/>
      <c r="FB204" s="838"/>
      <c r="FC204" s="894"/>
      <c r="FD204" s="893"/>
      <c r="FE204" s="838"/>
      <c r="FF204" s="83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row>
    <row r="205" spans="52:197">
      <c r="AZ205" s="802" t="s">
        <v>6220</v>
      </c>
      <c r="DC205"/>
      <c r="DD205" s="883">
        <v>58</v>
      </c>
      <c r="DE205" s="893"/>
      <c r="DF205" s="838"/>
      <c r="DG205" s="894"/>
      <c r="DH205" s="893"/>
      <c r="DI205" s="838"/>
      <c r="DJ205" s="894"/>
      <c r="DK205" s="893"/>
      <c r="DL205" s="838"/>
      <c r="DM205" s="894"/>
      <c r="DN205" s="893"/>
      <c r="DO205" s="838"/>
      <c r="DP205" s="894"/>
      <c r="DQ205" s="893"/>
      <c r="DR205" s="838"/>
      <c r="DS205" s="894"/>
      <c r="DT205" s="893"/>
      <c r="DU205" s="838"/>
      <c r="DV205" s="894"/>
      <c r="DW205" s="893"/>
      <c r="DX205" s="838"/>
      <c r="DY205" s="895"/>
      <c r="DZ205" s="893"/>
      <c r="EA205" s="838"/>
      <c r="EB205" s="894"/>
      <c r="EC205" s="893"/>
      <c r="ED205" s="838"/>
      <c r="EE205" s="894"/>
      <c r="EF205" s="893"/>
      <c r="EG205" s="838"/>
      <c r="EH205" s="894"/>
      <c r="EI205" s="893"/>
      <c r="EJ205" s="838"/>
      <c r="EK205" s="894"/>
      <c r="EL205" s="893"/>
      <c r="EM205" s="838"/>
      <c r="EN205" s="894"/>
      <c r="EO205" s="896" t="s">
        <v>15142</v>
      </c>
      <c r="EP205" s="838" t="s">
        <v>15143</v>
      </c>
      <c r="EQ205" s="895" t="s">
        <v>15144</v>
      </c>
      <c r="ER205" s="893"/>
      <c r="ES205" s="838"/>
      <c r="ET205" s="894"/>
      <c r="EU205" s="893"/>
      <c r="EV205" s="838"/>
      <c r="EW205" s="894"/>
      <c r="EX205" s="893"/>
      <c r="EY205" s="838"/>
      <c r="EZ205" s="897"/>
      <c r="FA205" s="893"/>
      <c r="FB205" s="838"/>
      <c r="FC205" s="894"/>
      <c r="FD205" s="893"/>
      <c r="FE205" s="838"/>
      <c r="FF205" s="834"/>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row>
    <row r="206" spans="52:197">
      <c r="AZ206" s="802" t="s">
        <v>6168</v>
      </c>
      <c r="DC206"/>
      <c r="DD206" s="883">
        <v>59</v>
      </c>
      <c r="DE206" s="893"/>
      <c r="DF206" s="838"/>
      <c r="DG206" s="894"/>
      <c r="DH206" s="893"/>
      <c r="DI206" s="838"/>
      <c r="DJ206" s="894"/>
      <c r="DK206" s="893"/>
      <c r="DL206" s="838"/>
      <c r="DM206" s="894"/>
      <c r="DN206" s="893"/>
      <c r="DO206" s="838"/>
      <c r="DP206" s="894"/>
      <c r="DQ206" s="893"/>
      <c r="DR206" s="838"/>
      <c r="DS206" s="894"/>
      <c r="DT206" s="893"/>
      <c r="DU206" s="838"/>
      <c r="DV206" s="894"/>
      <c r="DW206" s="893"/>
      <c r="DX206" s="838"/>
      <c r="DY206" s="895"/>
      <c r="DZ206" s="893"/>
      <c r="EA206" s="838"/>
      <c r="EB206" s="894"/>
      <c r="EC206" s="893"/>
      <c r="ED206" s="838"/>
      <c r="EE206" s="894"/>
      <c r="EF206" s="893"/>
      <c r="EG206" s="838"/>
      <c r="EH206" s="894"/>
      <c r="EI206" s="893"/>
      <c r="EJ206" s="838"/>
      <c r="EK206" s="894"/>
      <c r="EL206" s="893"/>
      <c r="EM206" s="838"/>
      <c r="EN206" s="894"/>
      <c r="EO206" s="896" t="s">
        <v>15145</v>
      </c>
      <c r="EP206" s="838" t="s">
        <v>15146</v>
      </c>
      <c r="EQ206" s="895" t="s">
        <v>15147</v>
      </c>
      <c r="ER206" s="893"/>
      <c r="ES206" s="838"/>
      <c r="ET206" s="894"/>
      <c r="EU206" s="893"/>
      <c r="EV206" s="838"/>
      <c r="EW206" s="894"/>
      <c r="EX206" s="893"/>
      <c r="EY206" s="838"/>
      <c r="EZ206" s="897"/>
      <c r="FA206" s="893"/>
      <c r="FB206" s="838"/>
      <c r="FC206" s="894"/>
      <c r="FD206" s="893"/>
      <c r="FE206" s="838"/>
      <c r="FF206" s="834"/>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row>
    <row r="207" spans="52:197">
      <c r="AZ207" s="802" t="s">
        <v>5908</v>
      </c>
      <c r="DC207"/>
      <c r="DD207" s="883">
        <v>60</v>
      </c>
      <c r="DE207" s="893"/>
      <c r="DF207" s="838"/>
      <c r="DG207" s="894"/>
      <c r="DH207" s="893"/>
      <c r="DI207" s="838"/>
      <c r="DJ207" s="894"/>
      <c r="DK207" s="893"/>
      <c r="DL207" s="838"/>
      <c r="DM207" s="894"/>
      <c r="DN207" s="893"/>
      <c r="DO207" s="838"/>
      <c r="DP207" s="894"/>
      <c r="DQ207" s="893"/>
      <c r="DR207" s="838"/>
      <c r="DS207" s="894"/>
      <c r="DT207" s="893"/>
      <c r="DU207" s="838"/>
      <c r="DV207" s="894"/>
      <c r="DW207" s="893"/>
      <c r="DX207" s="838"/>
      <c r="DY207" s="895"/>
      <c r="DZ207" s="893"/>
      <c r="EA207" s="838"/>
      <c r="EB207" s="894"/>
      <c r="EC207" s="893"/>
      <c r="ED207" s="838"/>
      <c r="EE207" s="894"/>
      <c r="EF207" s="893"/>
      <c r="EG207" s="838"/>
      <c r="EH207" s="894"/>
      <c r="EI207" s="893"/>
      <c r="EJ207" s="838"/>
      <c r="EK207" s="894"/>
      <c r="EL207" s="893"/>
      <c r="EM207" s="838"/>
      <c r="EN207" s="894"/>
      <c r="EO207" s="896" t="s">
        <v>15148</v>
      </c>
      <c r="EP207" s="838" t="s">
        <v>15149</v>
      </c>
      <c r="EQ207" s="895" t="s">
        <v>15150</v>
      </c>
      <c r="ER207" s="893"/>
      <c r="ES207" s="838"/>
      <c r="ET207" s="894"/>
      <c r="EU207" s="893"/>
      <c r="EV207" s="838"/>
      <c r="EW207" s="894"/>
      <c r="EX207" s="893"/>
      <c r="EY207" s="838"/>
      <c r="EZ207" s="897"/>
      <c r="FA207" s="893"/>
      <c r="FB207" s="838"/>
      <c r="FC207" s="894"/>
      <c r="FD207" s="893"/>
      <c r="FE207" s="838"/>
      <c r="FF207" s="834"/>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row>
    <row r="208" spans="52:197">
      <c r="AZ208" s="802" t="s">
        <v>6125</v>
      </c>
      <c r="DC208"/>
      <c r="DD208" s="883">
        <v>61</v>
      </c>
      <c r="DE208" s="893"/>
      <c r="DF208" s="838"/>
      <c r="DG208" s="894"/>
      <c r="DH208" s="893"/>
      <c r="DI208" s="838"/>
      <c r="DJ208" s="894"/>
      <c r="DK208" s="893"/>
      <c r="DL208" s="838"/>
      <c r="DM208" s="894"/>
      <c r="DN208" s="893"/>
      <c r="DO208" s="838"/>
      <c r="DP208" s="894"/>
      <c r="DQ208" s="893"/>
      <c r="DR208" s="838"/>
      <c r="DS208" s="894"/>
      <c r="DT208" s="893"/>
      <c r="DU208" s="838"/>
      <c r="DV208" s="894"/>
      <c r="DW208" s="893"/>
      <c r="DX208" s="838"/>
      <c r="DY208" s="895"/>
      <c r="DZ208" s="893"/>
      <c r="EA208" s="838"/>
      <c r="EB208" s="894"/>
      <c r="EC208" s="893"/>
      <c r="ED208" s="838"/>
      <c r="EE208" s="894"/>
      <c r="EF208" s="893"/>
      <c r="EG208" s="838"/>
      <c r="EH208" s="894"/>
      <c r="EI208" s="893"/>
      <c r="EJ208" s="838"/>
      <c r="EK208" s="894"/>
      <c r="EL208" s="893"/>
      <c r="EM208" s="838"/>
      <c r="EN208" s="894"/>
      <c r="EO208" s="896" t="s">
        <v>15151</v>
      </c>
      <c r="EP208" s="838" t="s">
        <v>15152</v>
      </c>
      <c r="EQ208" s="895" t="s">
        <v>15153</v>
      </c>
      <c r="ER208" s="893"/>
      <c r="ES208" s="838"/>
      <c r="ET208" s="894"/>
      <c r="EU208" s="893"/>
      <c r="EV208" s="838"/>
      <c r="EW208" s="894"/>
      <c r="EX208" s="893"/>
      <c r="EY208" s="838"/>
      <c r="EZ208" s="897"/>
      <c r="FA208" s="893"/>
      <c r="FB208" s="838"/>
      <c r="FC208" s="894"/>
      <c r="FD208" s="893"/>
      <c r="FE208" s="838"/>
      <c r="FF208" s="834"/>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row>
    <row r="209" spans="52:197">
      <c r="AZ209" s="802" t="s">
        <v>6039</v>
      </c>
      <c r="DC209"/>
      <c r="DD209" s="883">
        <v>62</v>
      </c>
      <c r="DE209" s="893"/>
      <c r="DF209" s="838"/>
      <c r="DG209" s="894"/>
      <c r="DH209" s="893"/>
      <c r="DI209" s="838"/>
      <c r="DJ209" s="894"/>
      <c r="DK209" s="893"/>
      <c r="DL209" s="838"/>
      <c r="DM209" s="894"/>
      <c r="DN209" s="893"/>
      <c r="DO209" s="838"/>
      <c r="DP209" s="894"/>
      <c r="DQ209" s="893"/>
      <c r="DR209" s="838"/>
      <c r="DS209" s="894"/>
      <c r="DT209" s="893"/>
      <c r="DU209" s="838"/>
      <c r="DV209" s="894"/>
      <c r="DW209" s="893"/>
      <c r="DX209" s="838"/>
      <c r="DY209" s="895"/>
      <c r="DZ209" s="893"/>
      <c r="EA209" s="838"/>
      <c r="EB209" s="894"/>
      <c r="EC209" s="893"/>
      <c r="ED209" s="838"/>
      <c r="EE209" s="894"/>
      <c r="EF209" s="893"/>
      <c r="EG209" s="838"/>
      <c r="EH209" s="894"/>
      <c r="EI209" s="893"/>
      <c r="EJ209" s="838"/>
      <c r="EK209" s="894"/>
      <c r="EL209" s="893"/>
      <c r="EM209" s="838"/>
      <c r="EN209" s="894"/>
      <c r="EO209" s="896" t="s">
        <v>15154</v>
      </c>
      <c r="EP209" s="838" t="s">
        <v>15155</v>
      </c>
      <c r="EQ209" s="895" t="s">
        <v>15156</v>
      </c>
      <c r="ER209" s="893"/>
      <c r="ES209" s="838"/>
      <c r="ET209" s="894"/>
      <c r="EU209" s="893"/>
      <c r="EV209" s="838"/>
      <c r="EW209" s="894"/>
      <c r="EX209" s="893"/>
      <c r="EY209" s="838"/>
      <c r="EZ209" s="897"/>
      <c r="FA209" s="893"/>
      <c r="FB209" s="838"/>
      <c r="FC209" s="894"/>
      <c r="FD209" s="893"/>
      <c r="FE209" s="838"/>
      <c r="FF209" s="834"/>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row>
    <row r="210" spans="52:197">
      <c r="AZ210" s="802" t="s">
        <v>5941</v>
      </c>
      <c r="DC210"/>
      <c r="DD210" s="883">
        <v>63</v>
      </c>
      <c r="DE210" s="893"/>
      <c r="DF210" s="838"/>
      <c r="DG210" s="894"/>
      <c r="DH210" s="893"/>
      <c r="DI210" s="838"/>
      <c r="DJ210" s="894"/>
      <c r="DK210" s="893"/>
      <c r="DL210" s="838"/>
      <c r="DM210" s="894"/>
      <c r="DN210" s="893"/>
      <c r="DO210" s="838"/>
      <c r="DP210" s="894"/>
      <c r="DQ210" s="893"/>
      <c r="DR210" s="838"/>
      <c r="DS210" s="894"/>
      <c r="DT210" s="893"/>
      <c r="DU210" s="838"/>
      <c r="DV210" s="894"/>
      <c r="DW210" s="893"/>
      <c r="DX210" s="838"/>
      <c r="DY210" s="895"/>
      <c r="DZ210" s="893"/>
      <c r="EA210" s="838"/>
      <c r="EB210" s="894"/>
      <c r="EC210" s="893"/>
      <c r="ED210" s="838"/>
      <c r="EE210" s="894"/>
      <c r="EF210" s="893"/>
      <c r="EG210" s="838"/>
      <c r="EH210" s="894"/>
      <c r="EI210" s="893"/>
      <c r="EJ210" s="838"/>
      <c r="EK210" s="894"/>
      <c r="EL210" s="893"/>
      <c r="EM210" s="838"/>
      <c r="EN210" s="894"/>
      <c r="EO210" s="896" t="s">
        <v>15157</v>
      </c>
      <c r="EP210" s="838" t="s">
        <v>15158</v>
      </c>
      <c r="EQ210" s="895" t="s">
        <v>15159</v>
      </c>
      <c r="ER210" s="893"/>
      <c r="ES210" s="838"/>
      <c r="ET210" s="894"/>
      <c r="EU210" s="893"/>
      <c r="EV210" s="838"/>
      <c r="EW210" s="894"/>
      <c r="EX210" s="893"/>
      <c r="EY210" s="838"/>
      <c r="EZ210" s="897"/>
      <c r="FA210" s="893"/>
      <c r="FB210" s="838"/>
      <c r="FC210" s="894"/>
      <c r="FD210" s="893"/>
      <c r="FE210" s="838"/>
      <c r="FF210" s="834"/>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row>
    <row r="211" spans="52:197">
      <c r="AZ211" s="802" t="s">
        <v>5945</v>
      </c>
      <c r="DC211"/>
      <c r="DD211" s="883">
        <v>64</v>
      </c>
      <c r="DE211" s="893"/>
      <c r="DF211" s="838"/>
      <c r="DG211" s="894"/>
      <c r="DH211" s="893"/>
      <c r="DI211" s="838"/>
      <c r="DJ211" s="894"/>
      <c r="DK211" s="893"/>
      <c r="DL211" s="838"/>
      <c r="DM211" s="894"/>
      <c r="DN211" s="893"/>
      <c r="DO211" s="838"/>
      <c r="DP211" s="894"/>
      <c r="DQ211" s="893"/>
      <c r="DR211" s="838"/>
      <c r="DS211" s="894"/>
      <c r="DT211" s="893"/>
      <c r="DU211" s="838"/>
      <c r="DV211" s="894"/>
      <c r="DW211" s="893"/>
      <c r="DX211" s="838"/>
      <c r="DY211" s="895"/>
      <c r="DZ211" s="893"/>
      <c r="EA211" s="838"/>
      <c r="EB211" s="894"/>
      <c r="EC211" s="893"/>
      <c r="ED211" s="838"/>
      <c r="EE211" s="894"/>
      <c r="EF211" s="893"/>
      <c r="EG211" s="838"/>
      <c r="EH211" s="894"/>
      <c r="EI211" s="893"/>
      <c r="EJ211" s="838"/>
      <c r="EK211" s="894"/>
      <c r="EL211" s="893"/>
      <c r="EM211" s="838"/>
      <c r="EN211" s="894"/>
      <c r="EO211" s="896" t="s">
        <v>15160</v>
      </c>
      <c r="EP211" s="838" t="s">
        <v>15161</v>
      </c>
      <c r="EQ211" s="895" t="s">
        <v>15162</v>
      </c>
      <c r="ER211" s="893"/>
      <c r="ES211" s="838"/>
      <c r="ET211" s="894"/>
      <c r="EU211" s="893"/>
      <c r="EV211" s="838"/>
      <c r="EW211" s="894"/>
      <c r="EX211" s="893"/>
      <c r="EY211" s="838"/>
      <c r="EZ211" s="897"/>
      <c r="FA211" s="893"/>
      <c r="FB211" s="838"/>
      <c r="FC211" s="894"/>
      <c r="FD211" s="893"/>
      <c r="FE211" s="838"/>
      <c r="FF211" s="834"/>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row>
    <row r="212" spans="52:197">
      <c r="AZ212" s="802" t="s">
        <v>13249</v>
      </c>
      <c r="DC212"/>
      <c r="DD212" s="883">
        <v>65</v>
      </c>
      <c r="DE212" s="893"/>
      <c r="DF212" s="838"/>
      <c r="DG212" s="894"/>
      <c r="DH212" s="893"/>
      <c r="DI212" s="838"/>
      <c r="DJ212" s="894"/>
      <c r="DK212" s="893"/>
      <c r="DL212" s="838"/>
      <c r="DM212" s="894"/>
      <c r="DN212" s="893"/>
      <c r="DO212" s="838"/>
      <c r="DP212" s="894"/>
      <c r="DQ212" s="893"/>
      <c r="DR212" s="838"/>
      <c r="DS212" s="894"/>
      <c r="DT212" s="893"/>
      <c r="DU212" s="838"/>
      <c r="DV212" s="894"/>
      <c r="DW212" s="893"/>
      <c r="DX212" s="838"/>
      <c r="DY212" s="895"/>
      <c r="DZ212" s="893"/>
      <c r="EA212" s="838"/>
      <c r="EB212" s="894"/>
      <c r="EC212" s="893"/>
      <c r="ED212" s="838"/>
      <c r="EE212" s="894"/>
      <c r="EF212" s="893"/>
      <c r="EG212" s="838"/>
      <c r="EH212" s="894"/>
      <c r="EI212" s="893"/>
      <c r="EJ212" s="838"/>
      <c r="EK212" s="894"/>
      <c r="EL212" s="893"/>
      <c r="EM212" s="838"/>
      <c r="EN212" s="894"/>
      <c r="EO212" s="896" t="s">
        <v>15163</v>
      </c>
      <c r="EP212" s="838" t="s">
        <v>15164</v>
      </c>
      <c r="EQ212" s="895" t="s">
        <v>15165</v>
      </c>
      <c r="ER212" s="893"/>
      <c r="ES212" s="838"/>
      <c r="ET212" s="894"/>
      <c r="EU212" s="893"/>
      <c r="EV212" s="838"/>
      <c r="EW212" s="894"/>
      <c r="EX212" s="893"/>
      <c r="EY212" s="838"/>
      <c r="EZ212" s="897"/>
      <c r="FA212" s="893"/>
      <c r="FB212" s="838"/>
      <c r="FC212" s="894"/>
      <c r="FD212" s="893"/>
      <c r="FE212" s="838"/>
      <c r="FF212" s="834"/>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row>
    <row r="213" spans="52:197">
      <c r="AZ213" s="802" t="s">
        <v>6218</v>
      </c>
      <c r="DC213"/>
      <c r="DD213" s="883">
        <v>66</v>
      </c>
      <c r="DE213" s="893"/>
      <c r="DF213" s="838"/>
      <c r="DG213" s="894"/>
      <c r="DH213" s="893"/>
      <c r="DI213" s="838"/>
      <c r="DJ213" s="894"/>
      <c r="DK213" s="893"/>
      <c r="DL213" s="838"/>
      <c r="DM213" s="894"/>
      <c r="DN213" s="893"/>
      <c r="DO213" s="838"/>
      <c r="DP213" s="894"/>
      <c r="DQ213" s="893"/>
      <c r="DR213" s="838"/>
      <c r="DS213" s="894"/>
      <c r="DT213" s="893"/>
      <c r="DU213" s="838"/>
      <c r="DV213" s="894"/>
      <c r="DW213" s="893"/>
      <c r="DX213" s="838"/>
      <c r="DY213" s="895"/>
      <c r="DZ213" s="893"/>
      <c r="EA213" s="838"/>
      <c r="EB213" s="894"/>
      <c r="EC213" s="893"/>
      <c r="ED213" s="838"/>
      <c r="EE213" s="894"/>
      <c r="EF213" s="893"/>
      <c r="EG213" s="838"/>
      <c r="EH213" s="894"/>
      <c r="EI213" s="893"/>
      <c r="EJ213" s="838"/>
      <c r="EK213" s="894"/>
      <c r="EL213" s="893"/>
      <c r="EM213" s="838"/>
      <c r="EN213" s="894"/>
      <c r="EO213" s="896" t="s">
        <v>15166</v>
      </c>
      <c r="EP213" s="838" t="s">
        <v>15164</v>
      </c>
      <c r="EQ213" s="895" t="s">
        <v>15167</v>
      </c>
      <c r="ER213" s="893"/>
      <c r="ES213" s="838"/>
      <c r="ET213" s="894"/>
      <c r="EU213" s="893"/>
      <c r="EV213" s="838"/>
      <c r="EW213" s="894"/>
      <c r="EX213" s="893"/>
      <c r="EY213" s="838"/>
      <c r="EZ213" s="897"/>
      <c r="FA213" s="893"/>
      <c r="FB213" s="838"/>
      <c r="FC213" s="894"/>
      <c r="FD213" s="893"/>
      <c r="FE213" s="838"/>
      <c r="FF213" s="834"/>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row>
    <row r="214" spans="52:197">
      <c r="AZ214" s="802" t="s">
        <v>6205</v>
      </c>
      <c r="DC214"/>
      <c r="DD214" s="883">
        <v>67</v>
      </c>
      <c r="DE214" s="893"/>
      <c r="DF214" s="838"/>
      <c r="DG214" s="894"/>
      <c r="DH214" s="893"/>
      <c r="DI214" s="838"/>
      <c r="DJ214" s="894"/>
      <c r="DK214" s="893"/>
      <c r="DL214" s="838"/>
      <c r="DM214" s="894"/>
      <c r="DN214" s="893"/>
      <c r="DO214" s="838"/>
      <c r="DP214" s="894"/>
      <c r="DQ214" s="893"/>
      <c r="DR214" s="838"/>
      <c r="DS214" s="894"/>
      <c r="DT214" s="893"/>
      <c r="DU214" s="838"/>
      <c r="DV214" s="894"/>
      <c r="DW214" s="893"/>
      <c r="DX214" s="838"/>
      <c r="DY214" s="895"/>
      <c r="DZ214" s="893"/>
      <c r="EA214" s="838"/>
      <c r="EB214" s="894"/>
      <c r="EC214" s="893"/>
      <c r="ED214" s="838"/>
      <c r="EE214" s="894"/>
      <c r="EF214" s="893"/>
      <c r="EG214" s="838"/>
      <c r="EH214" s="894"/>
      <c r="EI214" s="893"/>
      <c r="EJ214" s="838"/>
      <c r="EK214" s="894"/>
      <c r="EL214" s="893"/>
      <c r="EM214" s="838"/>
      <c r="EN214" s="894"/>
      <c r="EO214" s="896" t="s">
        <v>15168</v>
      </c>
      <c r="EP214" s="838" t="s">
        <v>15169</v>
      </c>
      <c r="EQ214" s="895" t="s">
        <v>15170</v>
      </c>
      <c r="ER214" s="893"/>
      <c r="ES214" s="838"/>
      <c r="ET214" s="894"/>
      <c r="EU214" s="893"/>
      <c r="EV214" s="838"/>
      <c r="EW214" s="894"/>
      <c r="EX214" s="893"/>
      <c r="EY214" s="838"/>
      <c r="EZ214" s="897"/>
      <c r="FA214" s="893"/>
      <c r="FB214" s="838"/>
      <c r="FC214" s="894"/>
      <c r="FD214" s="893"/>
      <c r="FE214" s="838"/>
      <c r="FF214" s="83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row>
    <row r="215" spans="52:197">
      <c r="AZ215" s="802" t="s">
        <v>6045</v>
      </c>
      <c r="DC215"/>
      <c r="DD215" s="883">
        <v>68</v>
      </c>
      <c r="DE215" s="893"/>
      <c r="DF215" s="838"/>
      <c r="DG215" s="894"/>
      <c r="DH215" s="893"/>
      <c r="DI215" s="838"/>
      <c r="DJ215" s="894"/>
      <c r="DK215" s="893"/>
      <c r="DL215" s="838"/>
      <c r="DM215" s="894"/>
      <c r="DN215" s="893"/>
      <c r="DO215" s="838"/>
      <c r="DP215" s="894"/>
      <c r="DQ215" s="893"/>
      <c r="DR215" s="838"/>
      <c r="DS215" s="894"/>
      <c r="DT215" s="893"/>
      <c r="DU215" s="838"/>
      <c r="DV215" s="894"/>
      <c r="DW215" s="893"/>
      <c r="DX215" s="838"/>
      <c r="DY215" s="895"/>
      <c r="DZ215" s="893"/>
      <c r="EA215" s="838"/>
      <c r="EB215" s="894"/>
      <c r="EC215" s="893"/>
      <c r="ED215" s="838"/>
      <c r="EE215" s="894"/>
      <c r="EF215" s="893"/>
      <c r="EG215" s="838"/>
      <c r="EH215" s="894"/>
      <c r="EI215" s="893"/>
      <c r="EJ215" s="838"/>
      <c r="EK215" s="894"/>
      <c r="EL215" s="893"/>
      <c r="EM215" s="838"/>
      <c r="EN215" s="894"/>
      <c r="EO215" s="896" t="s">
        <v>15171</v>
      </c>
      <c r="EP215" s="838" t="s">
        <v>15172</v>
      </c>
      <c r="EQ215" s="895" t="s">
        <v>15173</v>
      </c>
      <c r="ER215" s="893"/>
      <c r="ES215" s="838"/>
      <c r="ET215" s="894"/>
      <c r="EU215" s="893"/>
      <c r="EV215" s="838"/>
      <c r="EW215" s="894"/>
      <c r="EX215" s="893"/>
      <c r="EY215" s="838"/>
      <c r="EZ215" s="897"/>
      <c r="FA215" s="893"/>
      <c r="FB215" s="838"/>
      <c r="FC215" s="894"/>
      <c r="FD215" s="893"/>
      <c r="FE215" s="838"/>
      <c r="FF215" s="834"/>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row>
    <row r="216" spans="52:197">
      <c r="AZ216" s="802" t="s">
        <v>6035</v>
      </c>
      <c r="DC216"/>
      <c r="DD216" s="883">
        <v>69</v>
      </c>
      <c r="DE216" s="893"/>
      <c r="DF216" s="838"/>
      <c r="DG216" s="894"/>
      <c r="DH216" s="893"/>
      <c r="DI216" s="838"/>
      <c r="DJ216" s="894"/>
      <c r="DK216" s="893"/>
      <c r="DL216" s="838"/>
      <c r="DM216" s="894"/>
      <c r="DN216" s="893"/>
      <c r="DO216" s="838"/>
      <c r="DP216" s="894"/>
      <c r="DQ216" s="893"/>
      <c r="DR216" s="838"/>
      <c r="DS216" s="894"/>
      <c r="DT216" s="893"/>
      <c r="DU216" s="838"/>
      <c r="DV216" s="894"/>
      <c r="DW216" s="893"/>
      <c r="DX216" s="838"/>
      <c r="DY216" s="895"/>
      <c r="DZ216" s="893"/>
      <c r="EA216" s="838"/>
      <c r="EB216" s="894"/>
      <c r="EC216" s="893"/>
      <c r="ED216" s="838"/>
      <c r="EE216" s="894"/>
      <c r="EF216" s="893"/>
      <c r="EG216" s="838"/>
      <c r="EH216" s="894"/>
      <c r="EI216" s="893"/>
      <c r="EJ216" s="838"/>
      <c r="EK216" s="894"/>
      <c r="EL216" s="893"/>
      <c r="EM216" s="838"/>
      <c r="EN216" s="894"/>
      <c r="EO216" s="896" t="s">
        <v>15174</v>
      </c>
      <c r="EP216" s="838" t="s">
        <v>15175</v>
      </c>
      <c r="EQ216" s="895" t="s">
        <v>15176</v>
      </c>
      <c r="ER216" s="893"/>
      <c r="ES216" s="838"/>
      <c r="ET216" s="894"/>
      <c r="EU216" s="893"/>
      <c r="EV216" s="838"/>
      <c r="EW216" s="894"/>
      <c r="EX216" s="893"/>
      <c r="EY216" s="838"/>
      <c r="EZ216" s="897"/>
      <c r="FA216" s="893"/>
      <c r="FB216" s="838"/>
      <c r="FC216" s="894"/>
      <c r="FD216" s="893"/>
      <c r="FE216" s="838"/>
      <c r="FF216" s="834"/>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row>
    <row r="217" spans="52:197">
      <c r="AZ217" s="802" t="s">
        <v>6092</v>
      </c>
      <c r="DC217"/>
      <c r="DD217" s="883">
        <v>70</v>
      </c>
      <c r="DE217" s="893"/>
      <c r="DF217" s="838"/>
      <c r="DG217" s="894"/>
      <c r="DH217" s="893"/>
      <c r="DI217" s="838"/>
      <c r="DJ217" s="894"/>
      <c r="DK217" s="893"/>
      <c r="DL217" s="838"/>
      <c r="DM217" s="894"/>
      <c r="DN217" s="893"/>
      <c r="DO217" s="838"/>
      <c r="DP217" s="894"/>
      <c r="DQ217" s="893"/>
      <c r="DR217" s="838"/>
      <c r="DS217" s="894"/>
      <c r="DT217" s="893"/>
      <c r="DU217" s="838"/>
      <c r="DV217" s="894"/>
      <c r="DW217" s="893"/>
      <c r="DX217" s="838"/>
      <c r="DY217" s="895"/>
      <c r="DZ217" s="893"/>
      <c r="EA217" s="838"/>
      <c r="EB217" s="894"/>
      <c r="EC217" s="893"/>
      <c r="ED217" s="838"/>
      <c r="EE217" s="894"/>
      <c r="EF217" s="893"/>
      <c r="EG217" s="838"/>
      <c r="EH217" s="894"/>
      <c r="EI217" s="893"/>
      <c r="EJ217" s="838"/>
      <c r="EK217" s="894"/>
      <c r="EL217" s="893"/>
      <c r="EM217" s="838"/>
      <c r="EN217" s="894"/>
      <c r="EO217" s="896" t="s">
        <v>15177</v>
      </c>
      <c r="EP217" s="838" t="s">
        <v>15178</v>
      </c>
      <c r="EQ217" s="895" t="s">
        <v>15179</v>
      </c>
      <c r="ER217" s="893"/>
      <c r="ES217" s="838"/>
      <c r="ET217" s="894"/>
      <c r="EU217" s="893"/>
      <c r="EV217" s="838"/>
      <c r="EW217" s="894"/>
      <c r="EX217" s="893"/>
      <c r="EY217" s="838"/>
      <c r="EZ217" s="897"/>
      <c r="FA217" s="893"/>
      <c r="FB217" s="838"/>
      <c r="FC217" s="894"/>
      <c r="FD217" s="893"/>
      <c r="FE217" s="838"/>
      <c r="FF217" s="834"/>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row>
    <row r="218" spans="52:197">
      <c r="AZ218" s="802" t="s">
        <v>6098</v>
      </c>
      <c r="DC218"/>
      <c r="DD218" s="883">
        <v>71</v>
      </c>
      <c r="DE218" s="893"/>
      <c r="DF218" s="838"/>
      <c r="DG218" s="894"/>
      <c r="DH218" s="893"/>
      <c r="DI218" s="838"/>
      <c r="DJ218" s="894"/>
      <c r="DK218" s="893"/>
      <c r="DL218" s="838"/>
      <c r="DM218" s="894"/>
      <c r="DN218" s="893"/>
      <c r="DO218" s="838"/>
      <c r="DP218" s="894"/>
      <c r="DQ218" s="893"/>
      <c r="DR218" s="838"/>
      <c r="DS218" s="894"/>
      <c r="DT218" s="893"/>
      <c r="DU218" s="838"/>
      <c r="DV218" s="894"/>
      <c r="DW218" s="893"/>
      <c r="DX218" s="838"/>
      <c r="DY218" s="895"/>
      <c r="DZ218" s="893"/>
      <c r="EA218" s="838"/>
      <c r="EB218" s="894"/>
      <c r="EC218" s="893"/>
      <c r="ED218" s="838"/>
      <c r="EE218" s="894"/>
      <c r="EF218" s="893"/>
      <c r="EG218" s="838"/>
      <c r="EH218" s="894"/>
      <c r="EI218" s="893"/>
      <c r="EJ218" s="838"/>
      <c r="EK218" s="894"/>
      <c r="EL218" s="893"/>
      <c r="EM218" s="838"/>
      <c r="EN218" s="894"/>
      <c r="EO218" s="896" t="s">
        <v>15180</v>
      </c>
      <c r="EP218" s="838" t="s">
        <v>15181</v>
      </c>
      <c r="EQ218" s="895" t="s">
        <v>15182</v>
      </c>
      <c r="ER218" s="893"/>
      <c r="ES218" s="838"/>
      <c r="ET218" s="894"/>
      <c r="EU218" s="893"/>
      <c r="EV218" s="838"/>
      <c r="EW218" s="894"/>
      <c r="EX218" s="893"/>
      <c r="EY218" s="838"/>
      <c r="EZ218" s="897"/>
      <c r="FA218" s="893"/>
      <c r="FB218" s="838"/>
      <c r="FC218" s="894"/>
      <c r="FD218" s="893"/>
      <c r="FE218" s="838"/>
      <c r="FF218" s="834"/>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row>
    <row r="219" spans="52:197">
      <c r="AZ219" s="802" t="s">
        <v>6102</v>
      </c>
      <c r="DC219"/>
      <c r="DD219" s="883">
        <v>72</v>
      </c>
      <c r="DE219" s="893"/>
      <c r="DF219" s="838"/>
      <c r="DG219" s="894"/>
      <c r="DH219" s="893"/>
      <c r="DI219" s="838"/>
      <c r="DJ219" s="894"/>
      <c r="DK219" s="893"/>
      <c r="DL219" s="838"/>
      <c r="DM219" s="894"/>
      <c r="DN219" s="893"/>
      <c r="DO219" s="838"/>
      <c r="DP219" s="894"/>
      <c r="DQ219" s="893"/>
      <c r="DR219" s="838"/>
      <c r="DS219" s="894"/>
      <c r="DT219" s="893"/>
      <c r="DU219" s="838"/>
      <c r="DV219" s="894"/>
      <c r="DW219" s="893"/>
      <c r="DX219" s="838"/>
      <c r="DY219" s="895"/>
      <c r="DZ219" s="893"/>
      <c r="EA219" s="838"/>
      <c r="EB219" s="894"/>
      <c r="EC219" s="893"/>
      <c r="ED219" s="838"/>
      <c r="EE219" s="894"/>
      <c r="EF219" s="893"/>
      <c r="EG219" s="838"/>
      <c r="EH219" s="894"/>
      <c r="EI219" s="893"/>
      <c r="EJ219" s="838"/>
      <c r="EK219" s="894"/>
      <c r="EL219" s="893"/>
      <c r="EM219" s="838"/>
      <c r="EN219" s="894"/>
      <c r="EO219" s="896" t="s">
        <v>15183</v>
      </c>
      <c r="EP219" s="838" t="s">
        <v>15184</v>
      </c>
      <c r="EQ219" s="895" t="s">
        <v>15185</v>
      </c>
      <c r="ER219" s="893"/>
      <c r="ES219" s="838"/>
      <c r="ET219" s="894"/>
      <c r="EU219" s="893"/>
      <c r="EV219" s="838"/>
      <c r="EW219" s="894"/>
      <c r="EX219" s="893"/>
      <c r="EY219" s="838"/>
      <c r="EZ219" s="897"/>
      <c r="FA219" s="893"/>
      <c r="FB219" s="838"/>
      <c r="FC219" s="894"/>
      <c r="FD219" s="893"/>
      <c r="FE219" s="838"/>
      <c r="FF219" s="834"/>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row>
    <row r="220" spans="52:197">
      <c r="AZ220" s="802" t="s">
        <v>6109</v>
      </c>
      <c r="DC220"/>
      <c r="DD220" s="883">
        <v>73</v>
      </c>
      <c r="DE220" s="893"/>
      <c r="DF220" s="838"/>
      <c r="DG220" s="894"/>
      <c r="DH220" s="893"/>
      <c r="DI220" s="838"/>
      <c r="DJ220" s="894"/>
      <c r="DK220" s="893"/>
      <c r="DL220" s="838"/>
      <c r="DM220" s="894"/>
      <c r="DN220" s="893"/>
      <c r="DO220" s="838"/>
      <c r="DP220" s="894"/>
      <c r="DQ220" s="893"/>
      <c r="DR220" s="838"/>
      <c r="DS220" s="894"/>
      <c r="DT220" s="893"/>
      <c r="DU220" s="838"/>
      <c r="DV220" s="894"/>
      <c r="DW220" s="893"/>
      <c r="DX220" s="838"/>
      <c r="DY220" s="895"/>
      <c r="DZ220" s="893"/>
      <c r="EA220" s="838"/>
      <c r="EB220" s="894"/>
      <c r="EC220" s="893"/>
      <c r="ED220" s="838"/>
      <c r="EE220" s="894"/>
      <c r="EF220" s="893"/>
      <c r="EG220" s="838"/>
      <c r="EH220" s="894"/>
      <c r="EI220" s="893"/>
      <c r="EJ220" s="838"/>
      <c r="EK220" s="894"/>
      <c r="EL220" s="893"/>
      <c r="EM220" s="838"/>
      <c r="EN220" s="894"/>
      <c r="EO220" s="896" t="s">
        <v>15186</v>
      </c>
      <c r="EP220" s="838" t="s">
        <v>15187</v>
      </c>
      <c r="EQ220" s="895" t="s">
        <v>15188</v>
      </c>
      <c r="ER220" s="893"/>
      <c r="ES220" s="838"/>
      <c r="ET220" s="894"/>
      <c r="EU220" s="893"/>
      <c r="EV220" s="838"/>
      <c r="EW220" s="894"/>
      <c r="EX220" s="893"/>
      <c r="EY220" s="838"/>
      <c r="EZ220" s="897"/>
      <c r="FA220" s="893"/>
      <c r="FB220" s="838"/>
      <c r="FC220" s="894"/>
      <c r="FD220" s="893"/>
      <c r="FE220" s="838"/>
      <c r="FF220" s="834"/>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row>
    <row r="221" spans="52:197">
      <c r="AZ221" s="802" t="s">
        <v>2556</v>
      </c>
      <c r="DC221"/>
      <c r="DD221" s="883">
        <v>74</v>
      </c>
      <c r="DE221" s="893"/>
      <c r="DF221" s="838"/>
      <c r="DG221" s="894"/>
      <c r="DH221" s="893"/>
      <c r="DI221" s="838"/>
      <c r="DJ221" s="894"/>
      <c r="DK221" s="893"/>
      <c r="DL221" s="838"/>
      <c r="DM221" s="894"/>
      <c r="DN221" s="893"/>
      <c r="DO221" s="838"/>
      <c r="DP221" s="894"/>
      <c r="DQ221" s="893"/>
      <c r="DR221" s="838"/>
      <c r="DS221" s="894"/>
      <c r="DT221" s="893"/>
      <c r="DU221" s="838"/>
      <c r="DV221" s="894"/>
      <c r="DW221" s="893"/>
      <c r="DX221" s="838"/>
      <c r="DY221" s="895"/>
      <c r="DZ221" s="893"/>
      <c r="EA221" s="838"/>
      <c r="EB221" s="894"/>
      <c r="EC221" s="893"/>
      <c r="ED221" s="838"/>
      <c r="EE221" s="894"/>
      <c r="EF221" s="893"/>
      <c r="EG221" s="838"/>
      <c r="EH221" s="894"/>
      <c r="EI221" s="893"/>
      <c r="EJ221" s="838"/>
      <c r="EK221" s="894"/>
      <c r="EL221" s="893"/>
      <c r="EM221" s="838"/>
      <c r="EN221" s="894"/>
      <c r="EO221" s="896" t="s">
        <v>15189</v>
      </c>
      <c r="EP221" s="838" t="s">
        <v>15190</v>
      </c>
      <c r="EQ221" s="895" t="s">
        <v>15191</v>
      </c>
      <c r="ER221" s="893"/>
      <c r="ES221" s="838"/>
      <c r="ET221" s="894"/>
      <c r="EU221" s="893"/>
      <c r="EV221" s="838"/>
      <c r="EW221" s="894"/>
      <c r="EX221" s="893"/>
      <c r="EY221" s="838"/>
      <c r="EZ221" s="897"/>
      <c r="FA221" s="893"/>
      <c r="FB221" s="838"/>
      <c r="FC221" s="894"/>
      <c r="FD221" s="893"/>
      <c r="FE221" s="838"/>
      <c r="FF221" s="834"/>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row>
    <row r="222" spans="52:197">
      <c r="AZ222" s="802" t="s">
        <v>6129</v>
      </c>
      <c r="DC222"/>
      <c r="DD222" s="883">
        <v>75</v>
      </c>
      <c r="DE222" s="893"/>
      <c r="DF222" s="838"/>
      <c r="DG222" s="894"/>
      <c r="DH222" s="893"/>
      <c r="DI222" s="838"/>
      <c r="DJ222" s="894"/>
      <c r="DK222" s="893"/>
      <c r="DL222" s="838"/>
      <c r="DM222" s="894"/>
      <c r="DN222" s="893"/>
      <c r="DO222" s="838"/>
      <c r="DP222" s="894"/>
      <c r="DQ222" s="893"/>
      <c r="DR222" s="838"/>
      <c r="DS222" s="894"/>
      <c r="DT222" s="893"/>
      <c r="DU222" s="838"/>
      <c r="DV222" s="894"/>
      <c r="DW222" s="893"/>
      <c r="DX222" s="838"/>
      <c r="DY222" s="895"/>
      <c r="DZ222" s="893"/>
      <c r="EA222" s="838"/>
      <c r="EB222" s="894"/>
      <c r="EC222" s="893"/>
      <c r="ED222" s="838"/>
      <c r="EE222" s="894"/>
      <c r="EF222" s="893"/>
      <c r="EG222" s="838"/>
      <c r="EH222" s="894"/>
      <c r="EI222" s="893"/>
      <c r="EJ222" s="838"/>
      <c r="EK222" s="894"/>
      <c r="EL222" s="893"/>
      <c r="EM222" s="838"/>
      <c r="EN222" s="894"/>
      <c r="EO222" s="896" t="s">
        <v>15192</v>
      </c>
      <c r="EP222" s="838" t="s">
        <v>15193</v>
      </c>
      <c r="EQ222" s="895"/>
      <c r="ER222" s="893"/>
      <c r="ES222" s="838"/>
      <c r="ET222" s="894"/>
      <c r="EU222" s="893"/>
      <c r="EV222" s="838"/>
      <c r="EW222" s="894"/>
      <c r="EX222" s="893"/>
      <c r="EY222" s="838"/>
      <c r="EZ222" s="897"/>
      <c r="FA222" s="893"/>
      <c r="FB222" s="838"/>
      <c r="FC222" s="894"/>
      <c r="FD222" s="893"/>
      <c r="FE222" s="838"/>
      <c r="FF222" s="834"/>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row>
    <row r="223" spans="52:197">
      <c r="AZ223" s="802" t="s">
        <v>5934</v>
      </c>
      <c r="DC223"/>
      <c r="DD223" s="883">
        <v>76</v>
      </c>
      <c r="DE223" s="893"/>
      <c r="DF223" s="838"/>
      <c r="DG223" s="894"/>
      <c r="DH223" s="893"/>
      <c r="DI223" s="838"/>
      <c r="DJ223" s="894"/>
      <c r="DK223" s="893"/>
      <c r="DL223" s="838"/>
      <c r="DM223" s="894"/>
      <c r="DN223" s="893"/>
      <c r="DO223" s="838"/>
      <c r="DP223" s="894"/>
      <c r="DQ223" s="893"/>
      <c r="DR223" s="838"/>
      <c r="DS223" s="894"/>
      <c r="DT223" s="893"/>
      <c r="DU223" s="838"/>
      <c r="DV223" s="894"/>
      <c r="DW223" s="893"/>
      <c r="DX223" s="838"/>
      <c r="DY223" s="895"/>
      <c r="DZ223" s="893"/>
      <c r="EA223" s="838"/>
      <c r="EB223" s="894"/>
      <c r="EC223" s="893"/>
      <c r="ED223" s="838"/>
      <c r="EE223" s="894"/>
      <c r="EF223" s="893"/>
      <c r="EG223" s="838"/>
      <c r="EH223" s="894"/>
      <c r="EI223" s="893"/>
      <c r="EJ223" s="838"/>
      <c r="EK223" s="894"/>
      <c r="EL223" s="893"/>
      <c r="EM223" s="838"/>
      <c r="EN223" s="894"/>
      <c r="EO223" s="896" t="s">
        <v>15194</v>
      </c>
      <c r="EP223" s="838" t="s">
        <v>15195</v>
      </c>
      <c r="EQ223" s="895"/>
      <c r="ER223" s="893"/>
      <c r="ES223" s="838"/>
      <c r="ET223" s="894"/>
      <c r="EU223" s="893"/>
      <c r="EV223" s="838"/>
      <c r="EW223" s="894"/>
      <c r="EX223" s="893"/>
      <c r="EY223" s="838"/>
      <c r="EZ223" s="897"/>
      <c r="FA223" s="893"/>
      <c r="FB223" s="838"/>
      <c r="FC223" s="894"/>
      <c r="FD223" s="893"/>
      <c r="FE223" s="838"/>
      <c r="FF223" s="834"/>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row>
    <row r="224" spans="52:197">
      <c r="AZ224" s="802" t="s">
        <v>5918</v>
      </c>
      <c r="DC224"/>
      <c r="DD224" s="883">
        <v>77</v>
      </c>
      <c r="DE224" s="893"/>
      <c r="DF224" s="838"/>
      <c r="DG224" s="894"/>
      <c r="DH224" s="893"/>
      <c r="DI224" s="838"/>
      <c r="DJ224" s="894"/>
      <c r="DK224" s="893"/>
      <c r="DL224" s="838"/>
      <c r="DM224" s="894"/>
      <c r="DN224" s="893"/>
      <c r="DO224" s="838"/>
      <c r="DP224" s="894"/>
      <c r="DQ224" s="893"/>
      <c r="DR224" s="838"/>
      <c r="DS224" s="894"/>
      <c r="DT224" s="893"/>
      <c r="DU224" s="838"/>
      <c r="DV224" s="894"/>
      <c r="DW224" s="893"/>
      <c r="DX224" s="838"/>
      <c r="DY224" s="895"/>
      <c r="DZ224" s="893"/>
      <c r="EA224" s="838"/>
      <c r="EB224" s="894"/>
      <c r="EC224" s="893"/>
      <c r="ED224" s="838"/>
      <c r="EE224" s="894"/>
      <c r="EF224" s="893"/>
      <c r="EG224" s="838"/>
      <c r="EH224" s="894"/>
      <c r="EI224" s="893"/>
      <c r="EJ224" s="838"/>
      <c r="EK224" s="894"/>
      <c r="EL224" s="893"/>
      <c r="EM224" s="838"/>
      <c r="EN224" s="894"/>
      <c r="EO224" s="896" t="s">
        <v>15196</v>
      </c>
      <c r="EP224" s="838" t="s">
        <v>15160</v>
      </c>
      <c r="EQ224" s="895"/>
      <c r="ER224" s="893"/>
      <c r="ES224" s="838"/>
      <c r="ET224" s="894"/>
      <c r="EU224" s="893"/>
      <c r="EV224" s="838"/>
      <c r="EW224" s="894"/>
      <c r="EX224" s="893"/>
      <c r="EY224" s="838"/>
      <c r="EZ224" s="897"/>
      <c r="FA224" s="893"/>
      <c r="FB224" s="838"/>
      <c r="FC224" s="894"/>
      <c r="FD224" s="893"/>
      <c r="FE224" s="838"/>
      <c r="FF224" s="83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row>
    <row r="225" spans="52:197">
      <c r="AZ225" s="802" t="s">
        <v>6190</v>
      </c>
      <c r="DC225"/>
      <c r="DD225" s="883">
        <v>78</v>
      </c>
      <c r="DE225" s="893"/>
      <c r="DF225" s="838"/>
      <c r="DG225" s="894"/>
      <c r="DH225" s="893"/>
      <c r="DI225" s="838"/>
      <c r="DJ225" s="894"/>
      <c r="DK225" s="893"/>
      <c r="DL225" s="838"/>
      <c r="DM225" s="894"/>
      <c r="DN225" s="893"/>
      <c r="DO225" s="838"/>
      <c r="DP225" s="894"/>
      <c r="DQ225" s="893"/>
      <c r="DR225" s="838"/>
      <c r="DS225" s="894"/>
      <c r="DT225" s="893"/>
      <c r="DU225" s="838"/>
      <c r="DV225" s="894"/>
      <c r="DW225" s="893"/>
      <c r="DX225" s="838"/>
      <c r="DY225" s="895"/>
      <c r="DZ225" s="893"/>
      <c r="EA225" s="838"/>
      <c r="EB225" s="894"/>
      <c r="EC225" s="893"/>
      <c r="ED225" s="838"/>
      <c r="EE225" s="894"/>
      <c r="EF225" s="893"/>
      <c r="EG225" s="838"/>
      <c r="EH225" s="894"/>
      <c r="EI225" s="893"/>
      <c r="EJ225" s="838"/>
      <c r="EK225" s="894"/>
      <c r="EL225" s="893"/>
      <c r="EM225" s="838"/>
      <c r="EN225" s="894"/>
      <c r="EO225" s="896" t="s">
        <v>15197</v>
      </c>
      <c r="EP225" s="838" t="s">
        <v>15198</v>
      </c>
      <c r="EQ225" s="895"/>
      <c r="ER225" s="893"/>
      <c r="ES225" s="838"/>
      <c r="ET225" s="894"/>
      <c r="EU225" s="893"/>
      <c r="EV225" s="838"/>
      <c r="EW225" s="894"/>
      <c r="EX225" s="893"/>
      <c r="EY225" s="838"/>
      <c r="EZ225" s="897"/>
      <c r="FA225" s="893"/>
      <c r="FB225" s="838"/>
      <c r="FC225" s="894"/>
      <c r="FD225" s="893"/>
      <c r="FE225" s="838"/>
      <c r="FF225" s="834"/>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row>
    <row r="226" spans="52:197">
      <c r="AZ226" s="802" t="s">
        <v>5916</v>
      </c>
      <c r="DC226"/>
      <c r="DD226" s="883">
        <v>79</v>
      </c>
      <c r="DE226" s="893"/>
      <c r="DF226" s="838"/>
      <c r="DG226" s="894"/>
      <c r="DH226" s="893"/>
      <c r="DI226" s="838"/>
      <c r="DJ226" s="894"/>
      <c r="DK226" s="893"/>
      <c r="DL226" s="838"/>
      <c r="DM226" s="894"/>
      <c r="DN226" s="893"/>
      <c r="DO226" s="838"/>
      <c r="DP226" s="894"/>
      <c r="DQ226" s="893"/>
      <c r="DR226" s="838"/>
      <c r="DS226" s="894"/>
      <c r="DT226" s="893"/>
      <c r="DU226" s="838"/>
      <c r="DV226" s="894"/>
      <c r="DW226" s="893"/>
      <c r="DX226" s="838"/>
      <c r="DY226" s="895"/>
      <c r="DZ226" s="893"/>
      <c r="EA226" s="838"/>
      <c r="EB226" s="894"/>
      <c r="EC226" s="893"/>
      <c r="ED226" s="838"/>
      <c r="EE226" s="894"/>
      <c r="EF226" s="893"/>
      <c r="EG226" s="838"/>
      <c r="EH226" s="894"/>
      <c r="EI226" s="893"/>
      <c r="EJ226" s="838"/>
      <c r="EK226" s="894"/>
      <c r="EL226" s="893"/>
      <c r="EM226" s="838"/>
      <c r="EN226" s="894"/>
      <c r="EO226" s="896" t="s">
        <v>15199</v>
      </c>
      <c r="EP226" s="838" t="s">
        <v>15106</v>
      </c>
      <c r="EQ226" s="895"/>
      <c r="ER226" s="893"/>
      <c r="ES226" s="838"/>
      <c r="ET226" s="894"/>
      <c r="EU226" s="893"/>
      <c r="EV226" s="838"/>
      <c r="EW226" s="894"/>
      <c r="EX226" s="893"/>
      <c r="EY226" s="838"/>
      <c r="EZ226" s="897"/>
      <c r="FA226" s="893"/>
      <c r="FB226" s="838"/>
      <c r="FC226" s="894"/>
      <c r="FD226" s="893"/>
      <c r="FE226" s="838"/>
      <c r="FF226" s="834"/>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row>
    <row r="227" spans="52:197">
      <c r="AZ227" s="802" t="s">
        <v>5938</v>
      </c>
      <c r="DC227"/>
      <c r="DD227" s="883">
        <v>80</v>
      </c>
      <c r="DE227" s="893"/>
      <c r="DF227" s="838"/>
      <c r="DG227" s="894"/>
      <c r="DH227" s="893"/>
      <c r="DI227" s="838"/>
      <c r="DJ227" s="894"/>
      <c r="DK227" s="893"/>
      <c r="DL227" s="838"/>
      <c r="DM227" s="894"/>
      <c r="DN227" s="893"/>
      <c r="DO227" s="838"/>
      <c r="DP227" s="894"/>
      <c r="DQ227" s="893"/>
      <c r="DR227" s="838"/>
      <c r="DS227" s="894"/>
      <c r="DT227" s="893"/>
      <c r="DU227" s="838"/>
      <c r="DV227" s="894"/>
      <c r="DW227" s="893"/>
      <c r="DX227" s="838"/>
      <c r="DY227" s="895"/>
      <c r="DZ227" s="893"/>
      <c r="EA227" s="838"/>
      <c r="EB227" s="894"/>
      <c r="EC227" s="893"/>
      <c r="ED227" s="838"/>
      <c r="EE227" s="894"/>
      <c r="EF227" s="893"/>
      <c r="EG227" s="838"/>
      <c r="EH227" s="894"/>
      <c r="EI227" s="893"/>
      <c r="EJ227" s="838"/>
      <c r="EK227" s="894"/>
      <c r="EL227" s="893"/>
      <c r="EM227" s="838"/>
      <c r="EN227" s="894"/>
      <c r="EO227" s="896" t="s">
        <v>15200</v>
      </c>
      <c r="EP227" s="838" t="s">
        <v>15201</v>
      </c>
      <c r="EQ227" s="895"/>
      <c r="ER227" s="893"/>
      <c r="ES227" s="838"/>
      <c r="ET227" s="894"/>
      <c r="EU227" s="893"/>
      <c r="EV227" s="838"/>
      <c r="EW227" s="894"/>
      <c r="EX227" s="893"/>
      <c r="EY227" s="838"/>
      <c r="EZ227" s="897"/>
      <c r="FA227" s="893"/>
      <c r="FB227" s="838"/>
      <c r="FC227" s="894"/>
      <c r="FD227" s="893"/>
      <c r="FE227" s="838"/>
      <c r="FF227" s="834"/>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row>
    <row r="228" spans="52:197">
      <c r="AZ228" s="802" t="s">
        <v>6191</v>
      </c>
      <c r="DC228"/>
      <c r="DD228" s="883">
        <v>81</v>
      </c>
      <c r="DE228" s="893"/>
      <c r="DF228" s="838"/>
      <c r="DG228" s="894"/>
      <c r="DH228" s="893"/>
      <c r="DI228" s="838"/>
      <c r="DJ228" s="894"/>
      <c r="DK228" s="893"/>
      <c r="DL228" s="838"/>
      <c r="DM228" s="894"/>
      <c r="DN228" s="893"/>
      <c r="DO228" s="838"/>
      <c r="DP228" s="894"/>
      <c r="DQ228" s="893"/>
      <c r="DR228" s="838"/>
      <c r="DS228" s="894"/>
      <c r="DT228" s="893"/>
      <c r="DU228" s="838"/>
      <c r="DV228" s="894"/>
      <c r="DW228" s="893"/>
      <c r="DX228" s="838"/>
      <c r="DY228" s="895"/>
      <c r="DZ228" s="893"/>
      <c r="EA228" s="838"/>
      <c r="EB228" s="894"/>
      <c r="EC228" s="893"/>
      <c r="ED228" s="838"/>
      <c r="EE228" s="894"/>
      <c r="EF228" s="893"/>
      <c r="EG228" s="838"/>
      <c r="EH228" s="894"/>
      <c r="EI228" s="893"/>
      <c r="EJ228" s="838"/>
      <c r="EK228" s="894"/>
      <c r="EL228" s="893"/>
      <c r="EM228" s="838"/>
      <c r="EN228" s="894"/>
      <c r="EO228" s="896" t="s">
        <v>15202</v>
      </c>
      <c r="EP228" s="838" t="s">
        <v>15203</v>
      </c>
      <c r="EQ228" s="895"/>
      <c r="ER228" s="893"/>
      <c r="ES228" s="838"/>
      <c r="ET228" s="894"/>
      <c r="EU228" s="893"/>
      <c r="EV228" s="838"/>
      <c r="EW228" s="894"/>
      <c r="EX228" s="893"/>
      <c r="EY228" s="838"/>
      <c r="EZ228" s="897"/>
      <c r="FA228" s="893"/>
      <c r="FB228" s="838"/>
      <c r="FC228" s="894"/>
      <c r="FD228" s="893"/>
      <c r="FE228" s="838"/>
      <c r="FF228" s="834"/>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row>
    <row r="229" spans="52:197">
      <c r="AZ229" s="802" t="s">
        <v>5809</v>
      </c>
      <c r="DC229"/>
      <c r="DD229" s="883">
        <v>82</v>
      </c>
      <c r="DE229" s="893"/>
      <c r="DF229" s="838"/>
      <c r="DG229" s="894"/>
      <c r="DH229" s="893"/>
      <c r="DI229" s="838"/>
      <c r="DJ229" s="894"/>
      <c r="DK229" s="893"/>
      <c r="DL229" s="838"/>
      <c r="DM229" s="894"/>
      <c r="DN229" s="893"/>
      <c r="DO229" s="838"/>
      <c r="DP229" s="894"/>
      <c r="DQ229" s="893"/>
      <c r="DR229" s="838"/>
      <c r="DS229" s="894"/>
      <c r="DT229" s="893"/>
      <c r="DU229" s="838"/>
      <c r="DV229" s="894"/>
      <c r="DW229" s="893"/>
      <c r="DX229" s="838"/>
      <c r="DY229" s="895"/>
      <c r="DZ229" s="893"/>
      <c r="EA229" s="838"/>
      <c r="EB229" s="894"/>
      <c r="EC229" s="893"/>
      <c r="ED229" s="838"/>
      <c r="EE229" s="894"/>
      <c r="EF229" s="893"/>
      <c r="EG229" s="838"/>
      <c r="EH229" s="894"/>
      <c r="EI229" s="893"/>
      <c r="EJ229" s="838"/>
      <c r="EK229" s="894"/>
      <c r="EL229" s="893"/>
      <c r="EM229" s="838"/>
      <c r="EN229" s="894"/>
      <c r="EO229" s="896" t="s">
        <v>15204</v>
      </c>
      <c r="EP229" s="838" t="s">
        <v>15205</v>
      </c>
      <c r="EQ229" s="895"/>
      <c r="ER229" s="893"/>
      <c r="ES229" s="838"/>
      <c r="ET229" s="894"/>
      <c r="EU229" s="893"/>
      <c r="EV229" s="838"/>
      <c r="EW229" s="894"/>
      <c r="EX229" s="893"/>
      <c r="EY229" s="838"/>
      <c r="EZ229" s="897"/>
      <c r="FA229" s="893"/>
      <c r="FB229" s="838"/>
      <c r="FC229" s="894"/>
      <c r="FD229" s="893"/>
      <c r="FE229" s="838"/>
      <c r="FF229" s="834"/>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row>
    <row r="230" spans="52:197">
      <c r="AZ230" s="802" t="s">
        <v>6173</v>
      </c>
      <c r="DC230"/>
      <c r="DD230" s="883">
        <v>83</v>
      </c>
      <c r="DE230" s="893"/>
      <c r="DF230" s="838"/>
      <c r="DG230" s="894"/>
      <c r="DH230" s="893"/>
      <c r="DI230" s="838"/>
      <c r="DJ230" s="894"/>
      <c r="DK230" s="893"/>
      <c r="DL230" s="838"/>
      <c r="DM230" s="894"/>
      <c r="DN230" s="893"/>
      <c r="DO230" s="838"/>
      <c r="DP230" s="894"/>
      <c r="DQ230" s="893"/>
      <c r="DR230" s="838"/>
      <c r="DS230" s="894"/>
      <c r="DT230" s="893"/>
      <c r="DU230" s="838"/>
      <c r="DV230" s="894"/>
      <c r="DW230" s="893"/>
      <c r="DX230" s="838"/>
      <c r="DY230" s="895"/>
      <c r="DZ230" s="893"/>
      <c r="EA230" s="838"/>
      <c r="EB230" s="894"/>
      <c r="EC230" s="893"/>
      <c r="ED230" s="838"/>
      <c r="EE230" s="894"/>
      <c r="EF230" s="893"/>
      <c r="EG230" s="838"/>
      <c r="EH230" s="894"/>
      <c r="EI230" s="893"/>
      <c r="EJ230" s="838"/>
      <c r="EK230" s="894"/>
      <c r="EL230" s="893"/>
      <c r="EM230" s="838"/>
      <c r="EN230" s="894"/>
      <c r="EO230" s="896" t="s">
        <v>15206</v>
      </c>
      <c r="EP230" s="838" t="s">
        <v>15207</v>
      </c>
      <c r="EQ230" s="895"/>
      <c r="ER230" s="893"/>
      <c r="ES230" s="838"/>
      <c r="ET230" s="894"/>
      <c r="EU230" s="893"/>
      <c r="EV230" s="838"/>
      <c r="EW230" s="894"/>
      <c r="EX230" s="893"/>
      <c r="EY230" s="838"/>
      <c r="EZ230" s="897"/>
      <c r="FA230" s="893"/>
      <c r="FB230" s="838"/>
      <c r="FC230" s="894"/>
      <c r="FD230" s="893"/>
      <c r="FE230" s="838"/>
      <c r="FF230" s="834"/>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row>
    <row r="231" spans="52:197">
      <c r="AZ231" s="802" t="s">
        <v>6075</v>
      </c>
      <c r="DC231"/>
      <c r="DD231" s="883">
        <v>84</v>
      </c>
      <c r="DE231" s="893"/>
      <c r="DF231" s="838"/>
      <c r="DG231" s="894"/>
      <c r="DH231" s="893"/>
      <c r="DI231" s="838"/>
      <c r="DJ231" s="894"/>
      <c r="DK231" s="893"/>
      <c r="DL231" s="838"/>
      <c r="DM231" s="894"/>
      <c r="DN231" s="893"/>
      <c r="DO231" s="838"/>
      <c r="DP231" s="894"/>
      <c r="DQ231" s="893"/>
      <c r="DR231" s="838"/>
      <c r="DS231" s="894"/>
      <c r="DT231" s="893"/>
      <c r="DU231" s="838"/>
      <c r="DV231" s="894"/>
      <c r="DW231" s="893"/>
      <c r="DX231" s="838"/>
      <c r="DY231" s="895"/>
      <c r="DZ231" s="893"/>
      <c r="EA231" s="838"/>
      <c r="EB231" s="894"/>
      <c r="EC231" s="893"/>
      <c r="ED231" s="838"/>
      <c r="EE231" s="894"/>
      <c r="EF231" s="893"/>
      <c r="EG231" s="838"/>
      <c r="EH231" s="894"/>
      <c r="EI231" s="893"/>
      <c r="EJ231" s="838"/>
      <c r="EK231" s="894"/>
      <c r="EL231" s="893"/>
      <c r="EM231" s="838"/>
      <c r="EN231" s="894"/>
      <c r="EO231" s="896" t="s">
        <v>15208</v>
      </c>
      <c r="EP231" s="838" t="s">
        <v>15209</v>
      </c>
      <c r="EQ231" s="895"/>
      <c r="ER231" s="893"/>
      <c r="ES231" s="838"/>
      <c r="ET231" s="894"/>
      <c r="EU231" s="893"/>
      <c r="EV231" s="838"/>
      <c r="EW231" s="894"/>
      <c r="EX231" s="893"/>
      <c r="EY231" s="838"/>
      <c r="EZ231" s="897"/>
      <c r="FA231" s="893"/>
      <c r="FB231" s="838"/>
      <c r="FC231" s="894"/>
      <c r="FD231" s="893"/>
      <c r="FE231" s="838"/>
      <c r="FF231" s="834"/>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row>
    <row r="232" spans="52:197">
      <c r="AZ232" s="802" t="s">
        <v>13248</v>
      </c>
      <c r="DC232"/>
      <c r="DD232" s="883">
        <v>85</v>
      </c>
      <c r="DE232" s="893"/>
      <c r="DF232" s="838"/>
      <c r="DG232" s="894"/>
      <c r="DH232" s="893"/>
      <c r="DI232" s="838"/>
      <c r="DJ232" s="894"/>
      <c r="DK232" s="893"/>
      <c r="DL232" s="838"/>
      <c r="DM232" s="894"/>
      <c r="DN232" s="893"/>
      <c r="DO232" s="838"/>
      <c r="DP232" s="894"/>
      <c r="DQ232" s="893"/>
      <c r="DR232" s="838"/>
      <c r="DS232" s="894"/>
      <c r="DT232" s="893"/>
      <c r="DU232" s="838"/>
      <c r="DV232" s="894"/>
      <c r="DW232" s="893"/>
      <c r="DX232" s="838"/>
      <c r="DY232" s="895"/>
      <c r="DZ232" s="893"/>
      <c r="EA232" s="838"/>
      <c r="EB232" s="894"/>
      <c r="EC232" s="893"/>
      <c r="ED232" s="838"/>
      <c r="EE232" s="894"/>
      <c r="EF232" s="893"/>
      <c r="EG232" s="838"/>
      <c r="EH232" s="894"/>
      <c r="EI232" s="893"/>
      <c r="EJ232" s="838"/>
      <c r="EK232" s="894"/>
      <c r="EL232" s="893"/>
      <c r="EM232" s="838"/>
      <c r="EN232" s="894"/>
      <c r="EO232" s="896" t="s">
        <v>15210</v>
      </c>
      <c r="EP232" s="838" t="s">
        <v>15211</v>
      </c>
      <c r="EQ232" s="895"/>
      <c r="ER232" s="893"/>
      <c r="ES232" s="838"/>
      <c r="ET232" s="894"/>
      <c r="EU232" s="893"/>
      <c r="EV232" s="838"/>
      <c r="EW232" s="894"/>
      <c r="EX232" s="893"/>
      <c r="EY232" s="838"/>
      <c r="EZ232" s="897"/>
      <c r="FA232" s="893"/>
      <c r="FB232" s="838"/>
      <c r="FC232" s="894"/>
      <c r="FD232" s="893"/>
      <c r="FE232" s="838"/>
      <c r="FF232" s="834"/>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row>
    <row r="233" spans="52:197">
      <c r="AZ233" s="802" t="s">
        <v>5942</v>
      </c>
      <c r="DC233"/>
      <c r="DD233" s="883">
        <v>86</v>
      </c>
      <c r="DE233" s="893"/>
      <c r="DF233" s="838"/>
      <c r="DG233" s="894"/>
      <c r="DH233" s="893"/>
      <c r="DI233" s="838"/>
      <c r="DJ233" s="894"/>
      <c r="DK233" s="893"/>
      <c r="DL233" s="838"/>
      <c r="DM233" s="894"/>
      <c r="DN233" s="893"/>
      <c r="DO233" s="838"/>
      <c r="DP233" s="894"/>
      <c r="DQ233" s="893"/>
      <c r="DR233" s="838"/>
      <c r="DS233" s="894"/>
      <c r="DT233" s="893"/>
      <c r="DU233" s="838"/>
      <c r="DV233" s="894"/>
      <c r="DW233" s="893"/>
      <c r="DX233" s="838"/>
      <c r="DY233" s="895"/>
      <c r="DZ233" s="893"/>
      <c r="EA233" s="838"/>
      <c r="EB233" s="894"/>
      <c r="EC233" s="893"/>
      <c r="ED233" s="838"/>
      <c r="EE233" s="894"/>
      <c r="EF233" s="893"/>
      <c r="EG233" s="838"/>
      <c r="EH233" s="894"/>
      <c r="EI233" s="893"/>
      <c r="EJ233" s="838"/>
      <c r="EK233" s="894"/>
      <c r="EL233" s="893"/>
      <c r="EM233" s="838"/>
      <c r="EN233" s="894"/>
      <c r="EO233" s="896" t="s">
        <v>15212</v>
      </c>
      <c r="EP233" s="838" t="s">
        <v>15213</v>
      </c>
      <c r="EQ233" s="895"/>
      <c r="ER233" s="893"/>
      <c r="ES233" s="838"/>
      <c r="ET233" s="894"/>
      <c r="EU233" s="893"/>
      <c r="EV233" s="838"/>
      <c r="EW233" s="894"/>
      <c r="EX233" s="893"/>
      <c r="EY233" s="838"/>
      <c r="EZ233" s="897"/>
      <c r="FA233" s="893"/>
      <c r="FB233" s="838"/>
      <c r="FC233" s="894"/>
      <c r="FD233" s="893"/>
      <c r="FE233" s="838"/>
      <c r="FF233" s="834"/>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row>
    <row r="234" spans="52:197">
      <c r="AZ234" s="802" t="s">
        <v>5909</v>
      </c>
      <c r="DC234"/>
      <c r="DD234" s="883">
        <v>87</v>
      </c>
      <c r="DE234" s="893"/>
      <c r="DF234" s="838"/>
      <c r="DG234" s="894"/>
      <c r="DH234" s="893"/>
      <c r="DI234" s="838"/>
      <c r="DJ234" s="894"/>
      <c r="DK234" s="893"/>
      <c r="DL234" s="838"/>
      <c r="DM234" s="894"/>
      <c r="DN234" s="893"/>
      <c r="DO234" s="838"/>
      <c r="DP234" s="894"/>
      <c r="DQ234" s="893"/>
      <c r="DR234" s="838"/>
      <c r="DS234" s="894"/>
      <c r="DT234" s="893"/>
      <c r="DU234" s="838"/>
      <c r="DV234" s="894"/>
      <c r="DW234" s="893"/>
      <c r="DX234" s="838"/>
      <c r="DY234" s="895"/>
      <c r="DZ234" s="893"/>
      <c r="EA234" s="838"/>
      <c r="EB234" s="894"/>
      <c r="EC234" s="893"/>
      <c r="ED234" s="838"/>
      <c r="EE234" s="894"/>
      <c r="EF234" s="893"/>
      <c r="EG234" s="838"/>
      <c r="EH234" s="894"/>
      <c r="EI234" s="893"/>
      <c r="EJ234" s="838"/>
      <c r="EK234" s="894"/>
      <c r="EL234" s="893"/>
      <c r="EM234" s="838"/>
      <c r="EN234" s="894"/>
      <c r="EO234" s="896" t="s">
        <v>15214</v>
      </c>
      <c r="EP234" s="838" t="s">
        <v>15215</v>
      </c>
      <c r="EQ234" s="895"/>
      <c r="ER234" s="893"/>
      <c r="ES234" s="838"/>
      <c r="ET234" s="894"/>
      <c r="EU234" s="893"/>
      <c r="EV234" s="838"/>
      <c r="EW234" s="894"/>
      <c r="EX234" s="893"/>
      <c r="EY234" s="838"/>
      <c r="EZ234" s="897"/>
      <c r="FA234" s="893"/>
      <c r="FB234" s="838"/>
      <c r="FC234" s="894"/>
      <c r="FD234" s="893"/>
      <c r="FE234" s="838"/>
      <c r="FF234" s="8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row>
    <row r="235" spans="52:197">
      <c r="AZ235" s="802" t="s">
        <v>5946</v>
      </c>
      <c r="DC235"/>
      <c r="DD235" s="883">
        <v>88</v>
      </c>
      <c r="DE235" s="893"/>
      <c r="DF235" s="838"/>
      <c r="DG235" s="894"/>
      <c r="DH235" s="893"/>
      <c r="DI235" s="838"/>
      <c r="DJ235" s="894"/>
      <c r="DK235" s="893"/>
      <c r="DL235" s="838"/>
      <c r="DM235" s="894"/>
      <c r="DN235" s="893"/>
      <c r="DO235" s="838"/>
      <c r="DP235" s="894"/>
      <c r="DQ235" s="893"/>
      <c r="DR235" s="838"/>
      <c r="DS235" s="894"/>
      <c r="DT235" s="893"/>
      <c r="DU235" s="838"/>
      <c r="DV235" s="894"/>
      <c r="DW235" s="893"/>
      <c r="DX235" s="838"/>
      <c r="DY235" s="895"/>
      <c r="DZ235" s="893"/>
      <c r="EA235" s="838"/>
      <c r="EB235" s="894"/>
      <c r="EC235" s="893"/>
      <c r="ED235" s="838"/>
      <c r="EE235" s="894"/>
      <c r="EF235" s="893"/>
      <c r="EG235" s="838"/>
      <c r="EH235" s="894"/>
      <c r="EI235" s="893"/>
      <c r="EJ235" s="838"/>
      <c r="EK235" s="894"/>
      <c r="EL235" s="893"/>
      <c r="EM235" s="838"/>
      <c r="EN235" s="894"/>
      <c r="EO235" s="896" t="s">
        <v>15216</v>
      </c>
      <c r="EP235" s="838" t="s">
        <v>15217</v>
      </c>
      <c r="EQ235" s="895"/>
      <c r="ER235" s="893"/>
      <c r="ES235" s="838"/>
      <c r="ET235" s="894"/>
      <c r="EU235" s="893"/>
      <c r="EV235" s="838"/>
      <c r="EW235" s="894"/>
      <c r="EX235" s="893"/>
      <c r="EY235" s="838"/>
      <c r="EZ235" s="897"/>
      <c r="FA235" s="893"/>
      <c r="FB235" s="838"/>
      <c r="FC235" s="894"/>
      <c r="FD235" s="893"/>
      <c r="FE235" s="838"/>
      <c r="FF235" s="834"/>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row>
    <row r="236" spans="52:197">
      <c r="AZ236" s="802" t="s">
        <v>5949</v>
      </c>
      <c r="DC236"/>
      <c r="DD236" s="883">
        <v>89</v>
      </c>
      <c r="DE236" s="893"/>
      <c r="DF236" s="838"/>
      <c r="DG236" s="894"/>
      <c r="DH236" s="893"/>
      <c r="DI236" s="838"/>
      <c r="DJ236" s="894"/>
      <c r="DK236" s="893"/>
      <c r="DL236" s="838"/>
      <c r="DM236" s="894"/>
      <c r="DN236" s="893"/>
      <c r="DO236" s="838"/>
      <c r="DP236" s="894"/>
      <c r="DQ236" s="893"/>
      <c r="DR236" s="838"/>
      <c r="DS236" s="894"/>
      <c r="DT236" s="893"/>
      <c r="DU236" s="838"/>
      <c r="DV236" s="894"/>
      <c r="DW236" s="893"/>
      <c r="DX236" s="838"/>
      <c r="DY236" s="895"/>
      <c r="DZ236" s="893"/>
      <c r="EA236" s="838"/>
      <c r="EB236" s="894"/>
      <c r="EC236" s="893"/>
      <c r="ED236" s="838"/>
      <c r="EE236" s="894"/>
      <c r="EF236" s="893"/>
      <c r="EG236" s="838"/>
      <c r="EH236" s="894"/>
      <c r="EI236" s="893"/>
      <c r="EJ236" s="838"/>
      <c r="EK236" s="894"/>
      <c r="EL236" s="893"/>
      <c r="EM236" s="838"/>
      <c r="EN236" s="894"/>
      <c r="EO236" s="896" t="s">
        <v>15218</v>
      </c>
      <c r="EP236" s="838" t="s">
        <v>15219</v>
      </c>
      <c r="EQ236" s="895"/>
      <c r="ER236" s="893"/>
      <c r="ES236" s="838"/>
      <c r="ET236" s="894"/>
      <c r="EU236" s="893"/>
      <c r="EV236" s="838"/>
      <c r="EW236" s="894"/>
      <c r="EX236" s="893"/>
      <c r="EY236" s="838"/>
      <c r="EZ236" s="897"/>
      <c r="FA236" s="893"/>
      <c r="FB236" s="838"/>
      <c r="FC236" s="894"/>
      <c r="FD236" s="893"/>
      <c r="FE236" s="838"/>
      <c r="FF236" s="834"/>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row>
    <row r="237" spans="52:197">
      <c r="AZ237" s="802" t="s">
        <v>6112</v>
      </c>
      <c r="DC237"/>
      <c r="DD237" s="883">
        <v>90</v>
      </c>
      <c r="DE237" s="893"/>
      <c r="DF237" s="838"/>
      <c r="DG237" s="894"/>
      <c r="DH237" s="893"/>
      <c r="DI237" s="838"/>
      <c r="DJ237" s="894"/>
      <c r="DK237" s="893"/>
      <c r="DL237" s="838"/>
      <c r="DM237" s="894"/>
      <c r="DN237" s="893"/>
      <c r="DO237" s="838"/>
      <c r="DP237" s="894"/>
      <c r="DQ237" s="893"/>
      <c r="DR237" s="838"/>
      <c r="DS237" s="894"/>
      <c r="DT237" s="893"/>
      <c r="DU237" s="838"/>
      <c r="DV237" s="894"/>
      <c r="DW237" s="893"/>
      <c r="DX237" s="838"/>
      <c r="DY237" s="895"/>
      <c r="DZ237" s="893"/>
      <c r="EA237" s="838"/>
      <c r="EB237" s="894"/>
      <c r="EC237" s="893"/>
      <c r="ED237" s="838"/>
      <c r="EE237" s="894"/>
      <c r="EF237" s="893"/>
      <c r="EG237" s="838"/>
      <c r="EH237" s="894"/>
      <c r="EI237" s="893"/>
      <c r="EJ237" s="838"/>
      <c r="EK237" s="894"/>
      <c r="EL237" s="893"/>
      <c r="EM237" s="838"/>
      <c r="EN237" s="894"/>
      <c r="EO237" s="896" t="s">
        <v>15220</v>
      </c>
      <c r="EP237" s="838" t="s">
        <v>15221</v>
      </c>
      <c r="EQ237" s="895"/>
      <c r="ER237" s="893"/>
      <c r="ES237" s="838"/>
      <c r="ET237" s="894"/>
      <c r="EU237" s="893"/>
      <c r="EV237" s="838"/>
      <c r="EW237" s="894"/>
      <c r="EX237" s="893"/>
      <c r="EY237" s="838"/>
      <c r="EZ237" s="897"/>
      <c r="FA237" s="893"/>
      <c r="FB237" s="838"/>
      <c r="FC237" s="894"/>
      <c r="FD237" s="893"/>
      <c r="FE237" s="838"/>
      <c r="FF237" s="834"/>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row>
    <row r="238" spans="52:197">
      <c r="AZ238" s="802" t="s">
        <v>6143</v>
      </c>
      <c r="DC238"/>
      <c r="DD238" s="883">
        <v>91</v>
      </c>
      <c r="DE238" s="893"/>
      <c r="DF238" s="838"/>
      <c r="DG238" s="894"/>
      <c r="DH238" s="893"/>
      <c r="DI238" s="838"/>
      <c r="DJ238" s="894"/>
      <c r="DK238" s="893"/>
      <c r="DL238" s="838"/>
      <c r="DM238" s="894"/>
      <c r="DN238" s="893"/>
      <c r="DO238" s="838"/>
      <c r="DP238" s="894"/>
      <c r="DQ238" s="893"/>
      <c r="DR238" s="838"/>
      <c r="DS238" s="894"/>
      <c r="DT238" s="893"/>
      <c r="DU238" s="838"/>
      <c r="DV238" s="894"/>
      <c r="DW238" s="893"/>
      <c r="DX238" s="838"/>
      <c r="DY238" s="895"/>
      <c r="DZ238" s="893"/>
      <c r="EA238" s="838"/>
      <c r="EB238" s="894"/>
      <c r="EC238" s="893"/>
      <c r="ED238" s="838"/>
      <c r="EE238" s="894"/>
      <c r="EF238" s="893"/>
      <c r="EG238" s="838"/>
      <c r="EH238" s="894"/>
      <c r="EI238" s="893"/>
      <c r="EJ238" s="838"/>
      <c r="EK238" s="894"/>
      <c r="EL238" s="893"/>
      <c r="EM238" s="838"/>
      <c r="EN238" s="894"/>
      <c r="EO238" s="896" t="s">
        <v>15222</v>
      </c>
      <c r="EP238" s="838" t="s">
        <v>15223</v>
      </c>
      <c r="EQ238" s="895"/>
      <c r="ER238" s="893"/>
      <c r="ES238" s="838"/>
      <c r="ET238" s="894"/>
      <c r="EU238" s="893"/>
      <c r="EV238" s="838"/>
      <c r="EW238" s="894"/>
      <c r="EX238" s="893"/>
      <c r="EY238" s="838"/>
      <c r="EZ238" s="897"/>
      <c r="FA238" s="893"/>
      <c r="FB238" s="838"/>
      <c r="FC238" s="894"/>
      <c r="FD238" s="893"/>
      <c r="FE238" s="838"/>
      <c r="FF238" s="834"/>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row>
    <row r="239" spans="52:197">
      <c r="AZ239" s="802" t="s">
        <v>6176</v>
      </c>
      <c r="DC239"/>
      <c r="DD239" s="883">
        <v>92</v>
      </c>
      <c r="DE239" s="893"/>
      <c r="DF239" s="838"/>
      <c r="DG239" s="894"/>
      <c r="DH239" s="893"/>
      <c r="DI239" s="838"/>
      <c r="DJ239" s="894"/>
      <c r="DK239" s="893"/>
      <c r="DL239" s="838"/>
      <c r="DM239" s="894"/>
      <c r="DN239" s="893"/>
      <c r="DO239" s="838"/>
      <c r="DP239" s="894"/>
      <c r="DQ239" s="893"/>
      <c r="DR239" s="838"/>
      <c r="DS239" s="894"/>
      <c r="DT239" s="893"/>
      <c r="DU239" s="838"/>
      <c r="DV239" s="894"/>
      <c r="DW239" s="893"/>
      <c r="DX239" s="838"/>
      <c r="DY239" s="895"/>
      <c r="DZ239" s="893"/>
      <c r="EA239" s="838"/>
      <c r="EB239" s="894"/>
      <c r="EC239" s="893"/>
      <c r="ED239" s="838"/>
      <c r="EE239" s="894"/>
      <c r="EF239" s="893"/>
      <c r="EG239" s="838"/>
      <c r="EH239" s="894"/>
      <c r="EI239" s="893"/>
      <c r="EJ239" s="838"/>
      <c r="EK239" s="894"/>
      <c r="EL239" s="893"/>
      <c r="EM239" s="838"/>
      <c r="EN239" s="894"/>
      <c r="EO239" s="896" t="s">
        <v>15224</v>
      </c>
      <c r="EP239" s="838" t="s">
        <v>15225</v>
      </c>
      <c r="EQ239" s="895"/>
      <c r="ER239" s="893"/>
      <c r="ES239" s="838"/>
      <c r="ET239" s="894"/>
      <c r="EU239" s="893"/>
      <c r="EV239" s="838"/>
      <c r="EW239" s="894"/>
      <c r="EX239" s="893"/>
      <c r="EY239" s="838"/>
      <c r="EZ239" s="897"/>
      <c r="FA239" s="893"/>
      <c r="FB239" s="838"/>
      <c r="FC239" s="894"/>
      <c r="FD239" s="893"/>
      <c r="FE239" s="838"/>
      <c r="FF239" s="834"/>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row>
    <row r="240" spans="52:197">
      <c r="AZ240" s="802" t="s">
        <v>6043</v>
      </c>
      <c r="DC240"/>
      <c r="DD240" s="883">
        <v>93</v>
      </c>
      <c r="DE240" s="893"/>
      <c r="DF240" s="838"/>
      <c r="DG240" s="894"/>
      <c r="DH240" s="893"/>
      <c r="DI240" s="838"/>
      <c r="DJ240" s="894"/>
      <c r="DK240" s="893"/>
      <c r="DL240" s="838"/>
      <c r="DM240" s="894"/>
      <c r="DN240" s="893"/>
      <c r="DO240" s="838"/>
      <c r="DP240" s="894"/>
      <c r="DQ240" s="893"/>
      <c r="DR240" s="838"/>
      <c r="DS240" s="894"/>
      <c r="DT240" s="893"/>
      <c r="DU240" s="838"/>
      <c r="DV240" s="894"/>
      <c r="DW240" s="893"/>
      <c r="DX240" s="838"/>
      <c r="DY240" s="895"/>
      <c r="DZ240" s="893"/>
      <c r="EA240" s="838"/>
      <c r="EB240" s="894"/>
      <c r="EC240" s="893"/>
      <c r="ED240" s="838"/>
      <c r="EE240" s="894"/>
      <c r="EF240" s="893"/>
      <c r="EG240" s="838"/>
      <c r="EH240" s="894"/>
      <c r="EI240" s="893"/>
      <c r="EJ240" s="838"/>
      <c r="EK240" s="894"/>
      <c r="EL240" s="893"/>
      <c r="EM240" s="838"/>
      <c r="EN240" s="894"/>
      <c r="EO240" s="896" t="s">
        <v>15226</v>
      </c>
      <c r="EP240" s="838" t="s">
        <v>15227</v>
      </c>
      <c r="EQ240" s="895"/>
      <c r="ER240" s="893"/>
      <c r="ES240" s="838"/>
      <c r="ET240" s="894"/>
      <c r="EU240" s="893"/>
      <c r="EV240" s="838"/>
      <c r="EW240" s="894"/>
      <c r="EX240" s="893"/>
      <c r="EY240" s="838"/>
      <c r="EZ240" s="897"/>
      <c r="FA240" s="893"/>
      <c r="FB240" s="838"/>
      <c r="FC240" s="894"/>
      <c r="FD240" s="893"/>
      <c r="FE240" s="838"/>
      <c r="FF240" s="834"/>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row>
    <row r="241" spans="52:197">
      <c r="AZ241" s="802" t="s">
        <v>6229</v>
      </c>
      <c r="DC241"/>
      <c r="DD241" s="883">
        <v>94</v>
      </c>
      <c r="DE241" s="893"/>
      <c r="DF241" s="838"/>
      <c r="DG241" s="894"/>
      <c r="DH241" s="893"/>
      <c r="DI241" s="838"/>
      <c r="DJ241" s="894"/>
      <c r="DK241" s="893"/>
      <c r="DL241" s="838"/>
      <c r="DM241" s="894"/>
      <c r="DN241" s="893"/>
      <c r="DO241" s="838"/>
      <c r="DP241" s="894"/>
      <c r="DQ241" s="893"/>
      <c r="DR241" s="838"/>
      <c r="DS241" s="894"/>
      <c r="DT241" s="893"/>
      <c r="DU241" s="838"/>
      <c r="DV241" s="894"/>
      <c r="DW241" s="893"/>
      <c r="DX241" s="838"/>
      <c r="DY241" s="895"/>
      <c r="DZ241" s="893"/>
      <c r="EA241" s="838"/>
      <c r="EB241" s="894"/>
      <c r="EC241" s="893"/>
      <c r="ED241" s="838"/>
      <c r="EE241" s="894"/>
      <c r="EF241" s="893"/>
      <c r="EG241" s="838"/>
      <c r="EH241" s="894"/>
      <c r="EI241" s="893"/>
      <c r="EJ241" s="838"/>
      <c r="EK241" s="894"/>
      <c r="EL241" s="893"/>
      <c r="EM241" s="838"/>
      <c r="EN241" s="894"/>
      <c r="EO241" s="896" t="s">
        <v>15228</v>
      </c>
      <c r="EP241" s="838" t="s">
        <v>15229</v>
      </c>
      <c r="EQ241" s="895"/>
      <c r="ER241" s="893"/>
      <c r="ES241" s="838"/>
      <c r="ET241" s="894"/>
      <c r="EU241" s="893"/>
      <c r="EV241" s="838"/>
      <c r="EW241" s="894"/>
      <c r="EX241" s="893"/>
      <c r="EY241" s="838"/>
      <c r="EZ241" s="897"/>
      <c r="FA241" s="893"/>
      <c r="FB241" s="838"/>
      <c r="FC241" s="894"/>
      <c r="FD241" s="893"/>
      <c r="FE241" s="838"/>
      <c r="FF241" s="834"/>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row>
    <row r="242" spans="52:197">
      <c r="AZ242" s="802" t="s">
        <v>6145</v>
      </c>
      <c r="DC242"/>
      <c r="DD242" s="883">
        <v>95</v>
      </c>
      <c r="DE242" s="893"/>
      <c r="DF242" s="838"/>
      <c r="DG242" s="894"/>
      <c r="DH242" s="893"/>
      <c r="DI242" s="838"/>
      <c r="DJ242" s="894"/>
      <c r="DK242" s="893"/>
      <c r="DL242" s="838"/>
      <c r="DM242" s="894"/>
      <c r="DN242" s="893"/>
      <c r="DO242" s="838"/>
      <c r="DP242" s="894"/>
      <c r="DQ242" s="893"/>
      <c r="DR242" s="838"/>
      <c r="DS242" s="894"/>
      <c r="DT242" s="893"/>
      <c r="DU242" s="838"/>
      <c r="DV242" s="894"/>
      <c r="DW242" s="893"/>
      <c r="DX242" s="838"/>
      <c r="DY242" s="895"/>
      <c r="DZ242" s="893"/>
      <c r="EA242" s="838"/>
      <c r="EB242" s="894"/>
      <c r="EC242" s="893"/>
      <c r="ED242" s="838"/>
      <c r="EE242" s="894"/>
      <c r="EF242" s="893"/>
      <c r="EG242" s="838"/>
      <c r="EH242" s="894"/>
      <c r="EI242" s="893"/>
      <c r="EJ242" s="838"/>
      <c r="EK242" s="894"/>
      <c r="EL242" s="893"/>
      <c r="EM242" s="838"/>
      <c r="EN242" s="894"/>
      <c r="EO242" s="896" t="s">
        <v>15230</v>
      </c>
      <c r="EP242" s="838" t="s">
        <v>15231</v>
      </c>
      <c r="EQ242" s="895"/>
      <c r="ER242" s="893"/>
      <c r="ES242" s="838"/>
      <c r="ET242" s="894"/>
      <c r="EU242" s="893"/>
      <c r="EV242" s="838"/>
      <c r="EW242" s="894"/>
      <c r="EX242" s="893"/>
      <c r="EY242" s="838"/>
      <c r="EZ242" s="897"/>
      <c r="FA242" s="893"/>
      <c r="FB242" s="838"/>
      <c r="FC242" s="894"/>
      <c r="FD242" s="893"/>
      <c r="FE242" s="838"/>
      <c r="FF242" s="834"/>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row>
    <row r="243" spans="52:197">
      <c r="AZ243" s="802" t="s">
        <v>5950</v>
      </c>
      <c r="DC243"/>
      <c r="DD243" s="883">
        <v>96</v>
      </c>
      <c r="DE243" s="893"/>
      <c r="DF243" s="838"/>
      <c r="DG243" s="894"/>
      <c r="DH243" s="893"/>
      <c r="DI243" s="838"/>
      <c r="DJ243" s="894"/>
      <c r="DK243" s="893"/>
      <c r="DL243" s="838"/>
      <c r="DM243" s="894"/>
      <c r="DN243" s="893"/>
      <c r="DO243" s="838"/>
      <c r="DP243" s="894"/>
      <c r="DQ243" s="893"/>
      <c r="DR243" s="838"/>
      <c r="DS243" s="894"/>
      <c r="DT243" s="893"/>
      <c r="DU243" s="838"/>
      <c r="DV243" s="894"/>
      <c r="DW243" s="893"/>
      <c r="DX243" s="838"/>
      <c r="DY243" s="895"/>
      <c r="DZ243" s="893"/>
      <c r="EA243" s="838"/>
      <c r="EB243" s="894"/>
      <c r="EC243" s="893"/>
      <c r="ED243" s="838"/>
      <c r="EE243" s="894"/>
      <c r="EF243" s="893"/>
      <c r="EG243" s="838"/>
      <c r="EH243" s="894"/>
      <c r="EI243" s="893"/>
      <c r="EJ243" s="838"/>
      <c r="EK243" s="894"/>
      <c r="EL243" s="893"/>
      <c r="EM243" s="838"/>
      <c r="EN243" s="894"/>
      <c r="EO243" s="896" t="s">
        <v>14885</v>
      </c>
      <c r="EP243" s="838" t="s">
        <v>15232</v>
      </c>
      <c r="EQ243" s="895"/>
      <c r="ER243" s="893"/>
      <c r="ES243" s="838"/>
      <c r="ET243" s="894"/>
      <c r="EU243" s="893"/>
      <c r="EV243" s="838"/>
      <c r="EW243" s="894"/>
      <c r="EX243" s="893"/>
      <c r="EY243" s="838"/>
      <c r="EZ243" s="897"/>
      <c r="FA243" s="893"/>
      <c r="FB243" s="838"/>
      <c r="FC243" s="894"/>
      <c r="FD243" s="893"/>
      <c r="FE243" s="838"/>
      <c r="FF243" s="834"/>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row>
    <row r="244" spans="52:197">
      <c r="AZ244" s="802" t="s">
        <v>6095</v>
      </c>
      <c r="DC244"/>
      <c r="DD244" s="883">
        <v>97</v>
      </c>
      <c r="DE244" s="893"/>
      <c r="DF244" s="838"/>
      <c r="DG244" s="894"/>
      <c r="DH244" s="893"/>
      <c r="DI244" s="838"/>
      <c r="DJ244" s="894"/>
      <c r="DK244" s="893"/>
      <c r="DL244" s="838"/>
      <c r="DM244" s="894"/>
      <c r="DN244" s="893"/>
      <c r="DO244" s="838"/>
      <c r="DP244" s="894"/>
      <c r="DQ244" s="893"/>
      <c r="DR244" s="838"/>
      <c r="DS244" s="894"/>
      <c r="DT244" s="893"/>
      <c r="DU244" s="838"/>
      <c r="DV244" s="894"/>
      <c r="DW244" s="893"/>
      <c r="DX244" s="838"/>
      <c r="DY244" s="895"/>
      <c r="DZ244" s="893"/>
      <c r="EA244" s="838"/>
      <c r="EB244" s="894"/>
      <c r="EC244" s="893"/>
      <c r="ED244" s="838"/>
      <c r="EE244" s="894"/>
      <c r="EF244" s="893"/>
      <c r="EG244" s="838"/>
      <c r="EH244" s="894"/>
      <c r="EI244" s="893"/>
      <c r="EJ244" s="838"/>
      <c r="EK244" s="894"/>
      <c r="EL244" s="893"/>
      <c r="EM244" s="838"/>
      <c r="EN244" s="894"/>
      <c r="EO244" s="896" t="s">
        <v>14885</v>
      </c>
      <c r="EP244" s="838" t="s">
        <v>15233</v>
      </c>
      <c r="EQ244" s="895"/>
      <c r="ER244" s="893"/>
      <c r="ES244" s="838"/>
      <c r="ET244" s="894"/>
      <c r="EU244" s="893"/>
      <c r="EV244" s="838"/>
      <c r="EW244" s="894"/>
      <c r="EX244" s="893"/>
      <c r="EY244" s="838"/>
      <c r="EZ244" s="897"/>
      <c r="FA244" s="893"/>
      <c r="FB244" s="838"/>
      <c r="FC244" s="894"/>
      <c r="FD244" s="893"/>
      <c r="FE244" s="838"/>
      <c r="FF244" s="83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row>
    <row r="245" spans="52:197">
      <c r="AZ245" s="802" t="s">
        <v>5999</v>
      </c>
      <c r="DC245"/>
      <c r="DD245" s="883">
        <v>98</v>
      </c>
      <c r="DE245" s="893"/>
      <c r="DF245" s="838"/>
      <c r="DG245" s="894"/>
      <c r="DH245" s="893"/>
      <c r="DI245" s="838"/>
      <c r="DJ245" s="894"/>
      <c r="DK245" s="893"/>
      <c r="DL245" s="838"/>
      <c r="DM245" s="894"/>
      <c r="DN245" s="893"/>
      <c r="DO245" s="838"/>
      <c r="DP245" s="894"/>
      <c r="DQ245" s="893"/>
      <c r="DR245" s="838"/>
      <c r="DS245" s="894"/>
      <c r="DT245" s="893"/>
      <c r="DU245" s="838"/>
      <c r="DV245" s="894"/>
      <c r="DW245" s="893"/>
      <c r="DX245" s="838"/>
      <c r="DY245" s="895"/>
      <c r="DZ245" s="893"/>
      <c r="EA245" s="838"/>
      <c r="EB245" s="894"/>
      <c r="EC245" s="893"/>
      <c r="ED245" s="838"/>
      <c r="EE245" s="894"/>
      <c r="EF245" s="893"/>
      <c r="EG245" s="838"/>
      <c r="EH245" s="894"/>
      <c r="EI245" s="893"/>
      <c r="EJ245" s="838"/>
      <c r="EK245" s="894"/>
      <c r="EL245" s="893"/>
      <c r="EM245" s="838"/>
      <c r="EN245" s="894"/>
      <c r="EO245" s="896" t="s">
        <v>15234</v>
      </c>
      <c r="EP245" s="838" t="s">
        <v>15235</v>
      </c>
      <c r="EQ245" s="895"/>
      <c r="ER245" s="893"/>
      <c r="ES245" s="838"/>
      <c r="ET245" s="894"/>
      <c r="EU245" s="893"/>
      <c r="EV245" s="838"/>
      <c r="EW245" s="894"/>
      <c r="EX245" s="893"/>
      <c r="EY245" s="838"/>
      <c r="EZ245" s="897"/>
      <c r="FA245" s="893"/>
      <c r="FB245" s="838"/>
      <c r="FC245" s="894"/>
      <c r="FD245" s="893"/>
      <c r="FE245" s="838"/>
      <c r="FF245" s="834"/>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row>
    <row r="246" spans="52:197">
      <c r="AZ246" s="802" t="s">
        <v>5921</v>
      </c>
      <c r="DC246"/>
      <c r="DD246" s="883">
        <v>99</v>
      </c>
      <c r="DE246" s="893"/>
      <c r="DF246" s="838"/>
      <c r="DG246" s="894"/>
      <c r="DH246" s="893"/>
      <c r="DI246" s="838"/>
      <c r="DJ246" s="894"/>
      <c r="DK246" s="893"/>
      <c r="DL246" s="838"/>
      <c r="DM246" s="894"/>
      <c r="DN246" s="893"/>
      <c r="DO246" s="838"/>
      <c r="DP246" s="894"/>
      <c r="DQ246" s="893"/>
      <c r="DR246" s="838"/>
      <c r="DS246" s="894"/>
      <c r="DT246" s="893"/>
      <c r="DU246" s="838"/>
      <c r="DV246" s="894"/>
      <c r="DW246" s="893"/>
      <c r="DX246" s="838"/>
      <c r="DY246" s="895"/>
      <c r="DZ246" s="893"/>
      <c r="EA246" s="838"/>
      <c r="EB246" s="894"/>
      <c r="EC246" s="893"/>
      <c r="ED246" s="838"/>
      <c r="EE246" s="894"/>
      <c r="EF246" s="893"/>
      <c r="EG246" s="838"/>
      <c r="EH246" s="894"/>
      <c r="EI246" s="893"/>
      <c r="EJ246" s="838"/>
      <c r="EK246" s="894"/>
      <c r="EL246" s="893"/>
      <c r="EM246" s="838"/>
      <c r="EN246" s="894"/>
      <c r="EO246" s="896" t="s">
        <v>15236</v>
      </c>
      <c r="EP246" s="838" t="s">
        <v>15237</v>
      </c>
      <c r="EQ246" s="895"/>
      <c r="ER246" s="893"/>
      <c r="ES246" s="838"/>
      <c r="ET246" s="894"/>
      <c r="EU246" s="893"/>
      <c r="EV246" s="838"/>
      <c r="EW246" s="894"/>
      <c r="EX246" s="893"/>
      <c r="EY246" s="838"/>
      <c r="EZ246" s="897"/>
      <c r="FA246" s="893"/>
      <c r="FB246" s="838"/>
      <c r="FC246" s="894"/>
      <c r="FD246" s="893"/>
      <c r="FE246" s="838"/>
      <c r="FF246" s="834"/>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row>
    <row r="247" spans="52:197">
      <c r="AZ247" s="802" t="s">
        <v>5922</v>
      </c>
      <c r="DC247"/>
      <c r="DD247" s="883">
        <v>100</v>
      </c>
      <c r="DE247" s="893"/>
      <c r="DF247" s="838"/>
      <c r="DG247" s="894"/>
      <c r="DH247" s="893"/>
      <c r="DI247" s="838"/>
      <c r="DJ247" s="894"/>
      <c r="DK247" s="893"/>
      <c r="DL247" s="838"/>
      <c r="DM247" s="894"/>
      <c r="DN247" s="893"/>
      <c r="DO247" s="838"/>
      <c r="DP247" s="894"/>
      <c r="DQ247" s="893"/>
      <c r="DR247" s="838"/>
      <c r="DS247" s="894"/>
      <c r="DT247" s="893"/>
      <c r="DU247" s="838"/>
      <c r="DV247" s="894"/>
      <c r="DW247" s="893"/>
      <c r="DX247" s="838"/>
      <c r="DY247" s="895"/>
      <c r="DZ247" s="893"/>
      <c r="EA247" s="838"/>
      <c r="EB247" s="894"/>
      <c r="EC247" s="893"/>
      <c r="ED247" s="838"/>
      <c r="EE247" s="894"/>
      <c r="EF247" s="893"/>
      <c r="EG247" s="838"/>
      <c r="EH247" s="894"/>
      <c r="EI247" s="893"/>
      <c r="EJ247" s="838"/>
      <c r="EK247" s="894"/>
      <c r="EL247" s="893"/>
      <c r="EM247" s="838"/>
      <c r="EN247" s="894"/>
      <c r="EO247" s="896" t="s">
        <v>15238</v>
      </c>
      <c r="EP247" s="838" t="s">
        <v>15239</v>
      </c>
      <c r="EQ247" s="895"/>
      <c r="ER247" s="893"/>
      <c r="ES247" s="838"/>
      <c r="ET247" s="894"/>
      <c r="EU247" s="893"/>
      <c r="EV247" s="838"/>
      <c r="EW247" s="894"/>
      <c r="EX247" s="893"/>
      <c r="EY247" s="838"/>
      <c r="EZ247" s="897"/>
      <c r="FA247" s="893"/>
      <c r="FB247" s="838"/>
      <c r="FC247" s="894"/>
      <c r="FD247" s="893"/>
      <c r="FE247" s="838"/>
      <c r="FF247" s="834"/>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row>
    <row r="248" spans="52:197">
      <c r="AZ248" s="802" t="s">
        <v>5994</v>
      </c>
      <c r="DC248"/>
      <c r="DD248" s="883">
        <v>101</v>
      </c>
      <c r="DE248" s="893"/>
      <c r="DF248" s="838"/>
      <c r="DG248" s="894"/>
      <c r="DH248" s="893"/>
      <c r="DI248" s="838"/>
      <c r="DJ248" s="894"/>
      <c r="DK248" s="893"/>
      <c r="DL248" s="838"/>
      <c r="DM248" s="894"/>
      <c r="DN248" s="893"/>
      <c r="DO248" s="838"/>
      <c r="DP248" s="894"/>
      <c r="DQ248" s="893"/>
      <c r="DR248" s="838"/>
      <c r="DS248" s="894"/>
      <c r="DT248" s="893"/>
      <c r="DU248" s="838"/>
      <c r="DV248" s="894"/>
      <c r="DW248" s="893"/>
      <c r="DX248" s="838"/>
      <c r="DY248" s="895"/>
      <c r="DZ248" s="893"/>
      <c r="EA248" s="838"/>
      <c r="EB248" s="894"/>
      <c r="EC248" s="893"/>
      <c r="ED248" s="838"/>
      <c r="EE248" s="894"/>
      <c r="EF248" s="893"/>
      <c r="EG248" s="838"/>
      <c r="EH248" s="894"/>
      <c r="EI248" s="893"/>
      <c r="EJ248" s="838"/>
      <c r="EK248" s="894"/>
      <c r="EL248" s="893"/>
      <c r="EM248" s="838"/>
      <c r="EN248" s="894"/>
      <c r="EO248" s="896" t="s">
        <v>15240</v>
      </c>
      <c r="EP248" s="838" t="s">
        <v>15241</v>
      </c>
      <c r="EQ248" s="895"/>
      <c r="ER248" s="893"/>
      <c r="ES248" s="838"/>
      <c r="ET248" s="894"/>
      <c r="EU248" s="893"/>
      <c r="EV248" s="838"/>
      <c r="EW248" s="894"/>
      <c r="EX248" s="893"/>
      <c r="EY248" s="838"/>
      <c r="EZ248" s="897"/>
      <c r="FA248" s="893"/>
      <c r="FB248" s="838"/>
      <c r="FC248" s="894"/>
      <c r="FD248" s="893"/>
      <c r="FE248" s="838"/>
      <c r="FF248" s="834"/>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row>
    <row r="249" spans="52:197">
      <c r="AZ249" s="802" t="s">
        <v>6046</v>
      </c>
      <c r="DC249"/>
      <c r="DD249" s="883">
        <v>102</v>
      </c>
      <c r="DE249" s="893"/>
      <c r="DF249" s="838"/>
      <c r="DG249" s="894"/>
      <c r="DH249" s="893"/>
      <c r="DI249" s="838"/>
      <c r="DJ249" s="894"/>
      <c r="DK249" s="893"/>
      <c r="DL249" s="838"/>
      <c r="DM249" s="894"/>
      <c r="DN249" s="893"/>
      <c r="DO249" s="838"/>
      <c r="DP249" s="894"/>
      <c r="DQ249" s="893"/>
      <c r="DR249" s="838"/>
      <c r="DS249" s="894"/>
      <c r="DT249" s="893"/>
      <c r="DU249" s="838"/>
      <c r="DV249" s="894"/>
      <c r="DW249" s="893"/>
      <c r="DX249" s="838"/>
      <c r="DY249" s="895"/>
      <c r="DZ249" s="893"/>
      <c r="EA249" s="838"/>
      <c r="EB249" s="894"/>
      <c r="EC249" s="893"/>
      <c r="ED249" s="838"/>
      <c r="EE249" s="894"/>
      <c r="EF249" s="893"/>
      <c r="EG249" s="838"/>
      <c r="EH249" s="894"/>
      <c r="EI249" s="893"/>
      <c r="EJ249" s="838"/>
      <c r="EK249" s="894"/>
      <c r="EL249" s="893"/>
      <c r="EM249" s="838"/>
      <c r="EN249" s="894"/>
      <c r="EO249" s="896" t="s">
        <v>15242</v>
      </c>
      <c r="EP249" s="838" t="s">
        <v>15243</v>
      </c>
      <c r="EQ249" s="895"/>
      <c r="ER249" s="893"/>
      <c r="ES249" s="838"/>
      <c r="ET249" s="894"/>
      <c r="EU249" s="893"/>
      <c r="EV249" s="838"/>
      <c r="EW249" s="894"/>
      <c r="EX249" s="893"/>
      <c r="EY249" s="838"/>
      <c r="EZ249" s="897"/>
      <c r="FA249" s="893"/>
      <c r="FB249" s="838"/>
      <c r="FC249" s="894"/>
      <c r="FD249" s="893"/>
      <c r="FE249" s="838"/>
      <c r="FF249" s="834"/>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row>
    <row r="250" spans="52:197">
      <c r="AZ250" s="802" t="s">
        <v>5887</v>
      </c>
      <c r="DC250"/>
      <c r="DD250" s="883">
        <v>103</v>
      </c>
      <c r="DE250" s="893"/>
      <c r="DF250" s="838"/>
      <c r="DG250" s="894"/>
      <c r="DH250" s="893"/>
      <c r="DI250" s="838"/>
      <c r="DJ250" s="894"/>
      <c r="DK250" s="893"/>
      <c r="DL250" s="838"/>
      <c r="DM250" s="894"/>
      <c r="DN250" s="893"/>
      <c r="DO250" s="838"/>
      <c r="DP250" s="894"/>
      <c r="DQ250" s="893"/>
      <c r="DR250" s="838"/>
      <c r="DS250" s="894"/>
      <c r="DT250" s="893"/>
      <c r="DU250" s="838"/>
      <c r="DV250" s="894"/>
      <c r="DW250" s="893"/>
      <c r="DX250" s="838"/>
      <c r="DY250" s="895"/>
      <c r="DZ250" s="893"/>
      <c r="EA250" s="838"/>
      <c r="EB250" s="894"/>
      <c r="EC250" s="893"/>
      <c r="ED250" s="838"/>
      <c r="EE250" s="894"/>
      <c r="EF250" s="893"/>
      <c r="EG250" s="838"/>
      <c r="EH250" s="894"/>
      <c r="EI250" s="893"/>
      <c r="EJ250" s="838"/>
      <c r="EK250" s="894"/>
      <c r="EL250" s="893"/>
      <c r="EM250" s="838"/>
      <c r="EN250" s="894"/>
      <c r="EO250" s="896" t="s">
        <v>15242</v>
      </c>
      <c r="EP250" s="838" t="s">
        <v>15243</v>
      </c>
      <c r="EQ250" s="895"/>
      <c r="ER250" s="893"/>
      <c r="ES250" s="838"/>
      <c r="ET250" s="894"/>
      <c r="EU250" s="893"/>
      <c r="EV250" s="838"/>
      <c r="EW250" s="894"/>
      <c r="EX250" s="893"/>
      <c r="EY250" s="838"/>
      <c r="EZ250" s="897"/>
      <c r="FA250" s="893"/>
      <c r="FB250" s="838"/>
      <c r="FC250" s="894"/>
      <c r="FD250" s="893"/>
      <c r="FE250" s="838"/>
      <c r="FF250" s="834"/>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row>
    <row r="251" spans="52:197">
      <c r="AZ251" s="802" t="s">
        <v>13247</v>
      </c>
      <c r="DC251"/>
      <c r="DD251" s="883">
        <v>104</v>
      </c>
      <c r="DE251" s="893"/>
      <c r="DF251" s="838"/>
      <c r="DG251" s="894"/>
      <c r="DH251" s="893"/>
      <c r="DI251" s="838"/>
      <c r="DJ251" s="894"/>
      <c r="DK251" s="893"/>
      <c r="DL251" s="838"/>
      <c r="DM251" s="894"/>
      <c r="DN251" s="893"/>
      <c r="DO251" s="838"/>
      <c r="DP251" s="894"/>
      <c r="DQ251" s="893"/>
      <c r="DR251" s="838"/>
      <c r="DS251" s="894"/>
      <c r="DT251" s="893"/>
      <c r="DU251" s="838"/>
      <c r="DV251" s="894"/>
      <c r="DW251" s="893"/>
      <c r="DX251" s="838"/>
      <c r="DY251" s="895"/>
      <c r="DZ251" s="893"/>
      <c r="EA251" s="838"/>
      <c r="EB251" s="894"/>
      <c r="EC251" s="893"/>
      <c r="ED251" s="838"/>
      <c r="EE251" s="894"/>
      <c r="EF251" s="893"/>
      <c r="EG251" s="838"/>
      <c r="EH251" s="894"/>
      <c r="EI251" s="893"/>
      <c r="EJ251" s="838"/>
      <c r="EK251" s="894"/>
      <c r="EL251" s="893"/>
      <c r="EM251" s="838"/>
      <c r="EN251" s="894"/>
      <c r="EO251" s="896" t="s">
        <v>15244</v>
      </c>
      <c r="EP251" s="838" t="s">
        <v>15245</v>
      </c>
      <c r="EQ251" s="895"/>
      <c r="ER251" s="893"/>
      <c r="ES251" s="838"/>
      <c r="ET251" s="894"/>
      <c r="EU251" s="893"/>
      <c r="EV251" s="838"/>
      <c r="EW251" s="894"/>
      <c r="EX251" s="893"/>
      <c r="EY251" s="838"/>
      <c r="EZ251" s="897"/>
      <c r="FA251" s="893"/>
      <c r="FB251" s="838"/>
      <c r="FC251" s="894"/>
      <c r="FD251" s="893"/>
      <c r="FE251" s="838"/>
      <c r="FF251" s="834"/>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row>
    <row r="252" spans="52:197">
      <c r="AZ252" s="802" t="s">
        <v>6227</v>
      </c>
      <c r="DC252"/>
      <c r="DD252" s="883">
        <v>105</v>
      </c>
      <c r="DE252" s="893"/>
      <c r="DF252" s="838"/>
      <c r="DG252" s="894"/>
      <c r="DH252" s="893"/>
      <c r="DI252" s="838"/>
      <c r="DJ252" s="894"/>
      <c r="DK252" s="893"/>
      <c r="DL252" s="838"/>
      <c r="DM252" s="894"/>
      <c r="DN252" s="893"/>
      <c r="DO252" s="838"/>
      <c r="DP252" s="894"/>
      <c r="DQ252" s="893"/>
      <c r="DR252" s="838"/>
      <c r="DS252" s="894"/>
      <c r="DT252" s="893"/>
      <c r="DU252" s="838"/>
      <c r="DV252" s="894"/>
      <c r="DW252" s="893"/>
      <c r="DX252" s="838"/>
      <c r="DY252" s="895"/>
      <c r="DZ252" s="893"/>
      <c r="EA252" s="838"/>
      <c r="EB252" s="894"/>
      <c r="EC252" s="893"/>
      <c r="ED252" s="838"/>
      <c r="EE252" s="894"/>
      <c r="EF252" s="893"/>
      <c r="EG252" s="838"/>
      <c r="EH252" s="894"/>
      <c r="EI252" s="893"/>
      <c r="EJ252" s="838"/>
      <c r="EK252" s="894"/>
      <c r="EL252" s="893"/>
      <c r="EM252" s="838"/>
      <c r="EN252" s="894"/>
      <c r="EO252" s="896" t="s">
        <v>15246</v>
      </c>
      <c r="EP252" s="838" t="s">
        <v>15247</v>
      </c>
      <c r="EQ252" s="895"/>
      <c r="ER252" s="893"/>
      <c r="ES252" s="838"/>
      <c r="ET252" s="894"/>
      <c r="EU252" s="893"/>
      <c r="EV252" s="838"/>
      <c r="EW252" s="894"/>
      <c r="EX252" s="893"/>
      <c r="EY252" s="838"/>
      <c r="EZ252" s="897"/>
      <c r="FA252" s="893"/>
      <c r="FB252" s="838"/>
      <c r="FC252" s="894"/>
      <c r="FD252" s="893"/>
      <c r="FE252" s="838"/>
      <c r="FF252" s="834"/>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row>
    <row r="253" spans="52:197">
      <c r="AZ253" s="802" t="s">
        <v>6085</v>
      </c>
      <c r="DC253"/>
      <c r="DD253" s="883">
        <v>106</v>
      </c>
      <c r="DE253" s="893"/>
      <c r="DF253" s="838"/>
      <c r="DG253" s="894"/>
      <c r="DH253" s="893"/>
      <c r="DI253" s="838"/>
      <c r="DJ253" s="894"/>
      <c r="DK253" s="893"/>
      <c r="DL253" s="838"/>
      <c r="DM253" s="894"/>
      <c r="DN253" s="893"/>
      <c r="DO253" s="838"/>
      <c r="DP253" s="894"/>
      <c r="DQ253" s="893"/>
      <c r="DR253" s="838"/>
      <c r="DS253" s="894"/>
      <c r="DT253" s="893"/>
      <c r="DU253" s="838"/>
      <c r="DV253" s="894"/>
      <c r="DW253" s="893"/>
      <c r="DX253" s="838"/>
      <c r="DY253" s="895"/>
      <c r="DZ253" s="893"/>
      <c r="EA253" s="838"/>
      <c r="EB253" s="894"/>
      <c r="EC253" s="893"/>
      <c r="ED253" s="838"/>
      <c r="EE253" s="894"/>
      <c r="EF253" s="893"/>
      <c r="EG253" s="838"/>
      <c r="EH253" s="894"/>
      <c r="EI253" s="893"/>
      <c r="EJ253" s="838"/>
      <c r="EK253" s="894"/>
      <c r="EL253" s="893"/>
      <c r="EM253" s="838"/>
      <c r="EN253" s="894"/>
      <c r="EO253" s="896" t="s">
        <v>15248</v>
      </c>
      <c r="EP253" s="838" t="s">
        <v>15249</v>
      </c>
      <c r="EQ253" s="895"/>
      <c r="ER253" s="893"/>
      <c r="ES253" s="838"/>
      <c r="ET253" s="894"/>
      <c r="EU253" s="893"/>
      <c r="EV253" s="838"/>
      <c r="EW253" s="894"/>
      <c r="EX253" s="893"/>
      <c r="EY253" s="838"/>
      <c r="EZ253" s="897"/>
      <c r="FA253" s="893"/>
      <c r="FB253" s="838"/>
      <c r="FC253" s="894"/>
      <c r="FD253" s="893"/>
      <c r="FE253" s="838"/>
      <c r="FF253" s="834"/>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row>
    <row r="254" spans="52:197">
      <c r="AZ254" s="802" t="s">
        <v>6060</v>
      </c>
      <c r="DC254"/>
      <c r="DD254" s="883">
        <v>107</v>
      </c>
      <c r="DE254" s="893"/>
      <c r="DF254" s="838"/>
      <c r="DG254" s="894"/>
      <c r="DH254" s="893"/>
      <c r="DI254" s="838"/>
      <c r="DJ254" s="894"/>
      <c r="DK254" s="893"/>
      <c r="DL254" s="838"/>
      <c r="DM254" s="894"/>
      <c r="DN254" s="893"/>
      <c r="DO254" s="838"/>
      <c r="DP254" s="894"/>
      <c r="DQ254" s="893"/>
      <c r="DR254" s="838"/>
      <c r="DS254" s="894"/>
      <c r="DT254" s="893"/>
      <c r="DU254" s="838"/>
      <c r="DV254" s="894"/>
      <c r="DW254" s="893"/>
      <c r="DX254" s="838"/>
      <c r="DY254" s="895"/>
      <c r="DZ254" s="893"/>
      <c r="EA254" s="838"/>
      <c r="EB254" s="894"/>
      <c r="EC254" s="893"/>
      <c r="ED254" s="838"/>
      <c r="EE254" s="894"/>
      <c r="EF254" s="893"/>
      <c r="EG254" s="838"/>
      <c r="EH254" s="894"/>
      <c r="EI254" s="893"/>
      <c r="EJ254" s="838"/>
      <c r="EK254" s="894"/>
      <c r="EL254" s="893"/>
      <c r="EM254" s="838"/>
      <c r="EN254" s="894"/>
      <c r="EO254" s="896" t="s">
        <v>15250</v>
      </c>
      <c r="EP254" s="838" t="s">
        <v>15251</v>
      </c>
      <c r="EQ254" s="895"/>
      <c r="ER254" s="893"/>
      <c r="ES254" s="838"/>
      <c r="ET254" s="894"/>
      <c r="EU254" s="893"/>
      <c r="EV254" s="838"/>
      <c r="EW254" s="894"/>
      <c r="EX254" s="893"/>
      <c r="EY254" s="838"/>
      <c r="EZ254" s="897"/>
      <c r="FA254" s="893"/>
      <c r="FB254" s="838"/>
      <c r="FC254" s="894"/>
      <c r="FD254" s="893"/>
      <c r="FE254" s="838"/>
      <c r="FF254" s="83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row>
    <row r="255" spans="52:197">
      <c r="AZ255" s="802" t="s">
        <v>6148</v>
      </c>
      <c r="DC255"/>
      <c r="DD255" s="883">
        <v>108</v>
      </c>
      <c r="DE255" s="893"/>
      <c r="DF255" s="838"/>
      <c r="DG255" s="894"/>
      <c r="DH255" s="893"/>
      <c r="DI255" s="838"/>
      <c r="DJ255" s="894"/>
      <c r="DK255" s="893"/>
      <c r="DL255" s="838"/>
      <c r="DM255" s="894"/>
      <c r="DN255" s="893"/>
      <c r="DO255" s="838"/>
      <c r="DP255" s="894"/>
      <c r="DQ255" s="893"/>
      <c r="DR255" s="838"/>
      <c r="DS255" s="894"/>
      <c r="DT255" s="893"/>
      <c r="DU255" s="838"/>
      <c r="DV255" s="894"/>
      <c r="DW255" s="893"/>
      <c r="DX255" s="838"/>
      <c r="DY255" s="895"/>
      <c r="DZ255" s="893"/>
      <c r="EA255" s="838"/>
      <c r="EB255" s="894"/>
      <c r="EC255" s="893"/>
      <c r="ED255" s="838"/>
      <c r="EE255" s="894"/>
      <c r="EF255" s="893"/>
      <c r="EG255" s="838"/>
      <c r="EH255" s="894"/>
      <c r="EI255" s="893"/>
      <c r="EJ255" s="838"/>
      <c r="EK255" s="894"/>
      <c r="EL255" s="893"/>
      <c r="EM255" s="838"/>
      <c r="EN255" s="894"/>
      <c r="EO255" s="896" t="s">
        <v>15252</v>
      </c>
      <c r="EP255" s="838" t="s">
        <v>15253</v>
      </c>
      <c r="EQ255" s="895"/>
      <c r="ER255" s="893"/>
      <c r="ES255" s="838"/>
      <c r="ET255" s="894"/>
      <c r="EU255" s="893"/>
      <c r="EV255" s="838"/>
      <c r="EW255" s="894"/>
      <c r="EX255" s="893"/>
      <c r="EY255" s="838"/>
      <c r="EZ255" s="897"/>
      <c r="FA255" s="893"/>
      <c r="FB255" s="838"/>
      <c r="FC255" s="894"/>
      <c r="FD255" s="893"/>
      <c r="FE255" s="838"/>
      <c r="FF255" s="834"/>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row>
    <row r="256" spans="52:197">
      <c r="AZ256" s="802" t="s">
        <v>5897</v>
      </c>
      <c r="DC256"/>
      <c r="DD256" s="883">
        <v>109</v>
      </c>
      <c r="DE256" s="893"/>
      <c r="DF256" s="838"/>
      <c r="DG256" s="894"/>
      <c r="DH256" s="893"/>
      <c r="DI256" s="838"/>
      <c r="DJ256" s="894"/>
      <c r="DK256" s="893"/>
      <c r="DL256" s="838"/>
      <c r="DM256" s="894"/>
      <c r="DN256" s="893"/>
      <c r="DO256" s="838"/>
      <c r="DP256" s="894"/>
      <c r="DQ256" s="893"/>
      <c r="DR256" s="838"/>
      <c r="DS256" s="894"/>
      <c r="DT256" s="893"/>
      <c r="DU256" s="838"/>
      <c r="DV256" s="894"/>
      <c r="DW256" s="893"/>
      <c r="DX256" s="838"/>
      <c r="DY256" s="895"/>
      <c r="DZ256" s="893"/>
      <c r="EA256" s="838"/>
      <c r="EB256" s="894"/>
      <c r="EC256" s="893"/>
      <c r="ED256" s="838"/>
      <c r="EE256" s="894"/>
      <c r="EF256" s="893"/>
      <c r="EG256" s="838"/>
      <c r="EH256" s="894"/>
      <c r="EI256" s="893"/>
      <c r="EJ256" s="838"/>
      <c r="EK256" s="894"/>
      <c r="EL256" s="893"/>
      <c r="EM256" s="838"/>
      <c r="EN256" s="894"/>
      <c r="EO256" s="896" t="s">
        <v>15254</v>
      </c>
      <c r="EP256" s="838" t="s">
        <v>15255</v>
      </c>
      <c r="EQ256" s="895"/>
      <c r="ER256" s="893"/>
      <c r="ES256" s="838"/>
      <c r="ET256" s="894"/>
      <c r="EU256" s="893"/>
      <c r="EV256" s="838"/>
      <c r="EW256" s="894"/>
      <c r="EX256" s="893"/>
      <c r="EY256" s="838"/>
      <c r="EZ256" s="897"/>
      <c r="FA256" s="893"/>
      <c r="FB256" s="838"/>
      <c r="FC256" s="894"/>
      <c r="FD256" s="893"/>
      <c r="FE256" s="838"/>
      <c r="FF256" s="834"/>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row>
    <row r="257" spans="52:197">
      <c r="AZ257" s="802" t="s">
        <v>5905</v>
      </c>
      <c r="DC257"/>
      <c r="DD257" s="883">
        <v>110</v>
      </c>
      <c r="DE257" s="893"/>
      <c r="DF257" s="838"/>
      <c r="DG257" s="894"/>
      <c r="DH257" s="893"/>
      <c r="DI257" s="838"/>
      <c r="DJ257" s="894"/>
      <c r="DK257" s="893"/>
      <c r="DL257" s="838"/>
      <c r="DM257" s="894"/>
      <c r="DN257" s="893"/>
      <c r="DO257" s="838"/>
      <c r="DP257" s="894"/>
      <c r="DQ257" s="893"/>
      <c r="DR257" s="838"/>
      <c r="DS257" s="894"/>
      <c r="DT257" s="893"/>
      <c r="DU257" s="838"/>
      <c r="DV257" s="894"/>
      <c r="DW257" s="893"/>
      <c r="DX257" s="838"/>
      <c r="DY257" s="895"/>
      <c r="DZ257" s="893"/>
      <c r="EA257" s="838"/>
      <c r="EB257" s="894"/>
      <c r="EC257" s="893"/>
      <c r="ED257" s="838"/>
      <c r="EE257" s="894"/>
      <c r="EF257" s="893"/>
      <c r="EG257" s="838"/>
      <c r="EH257" s="894"/>
      <c r="EI257" s="893"/>
      <c r="EJ257" s="838"/>
      <c r="EK257" s="894"/>
      <c r="EL257" s="893"/>
      <c r="EM257" s="838"/>
      <c r="EN257" s="894"/>
      <c r="EO257" s="896" t="s">
        <v>15256</v>
      </c>
      <c r="EP257" s="838" t="s">
        <v>15257</v>
      </c>
      <c r="EQ257" s="895"/>
      <c r="ER257" s="893"/>
      <c r="ES257" s="838"/>
      <c r="ET257" s="894"/>
      <c r="EU257" s="893"/>
      <c r="EV257" s="838"/>
      <c r="EW257" s="894"/>
      <c r="EX257" s="893"/>
      <c r="EY257" s="838"/>
      <c r="EZ257" s="897"/>
      <c r="FA257" s="893"/>
      <c r="FB257" s="838"/>
      <c r="FC257" s="894"/>
      <c r="FD257" s="893"/>
      <c r="FE257" s="838"/>
      <c r="FF257" s="834"/>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row>
    <row r="258" spans="52:197">
      <c r="AZ258" s="802" t="s">
        <v>6202</v>
      </c>
      <c r="DC258"/>
      <c r="DD258" s="883">
        <v>111</v>
      </c>
      <c r="DE258" s="893"/>
      <c r="DF258" s="838"/>
      <c r="DG258" s="894"/>
      <c r="DH258" s="893"/>
      <c r="DI258" s="838"/>
      <c r="DJ258" s="894"/>
      <c r="DK258" s="893"/>
      <c r="DL258" s="838"/>
      <c r="DM258" s="894"/>
      <c r="DN258" s="893"/>
      <c r="DO258" s="838"/>
      <c r="DP258" s="894"/>
      <c r="DQ258" s="893"/>
      <c r="DR258" s="838"/>
      <c r="DS258" s="894"/>
      <c r="DT258" s="893"/>
      <c r="DU258" s="838"/>
      <c r="DV258" s="894"/>
      <c r="DW258" s="893"/>
      <c r="DX258" s="838"/>
      <c r="DY258" s="895"/>
      <c r="DZ258" s="893"/>
      <c r="EA258" s="838"/>
      <c r="EB258" s="894"/>
      <c r="EC258" s="893"/>
      <c r="ED258" s="838"/>
      <c r="EE258" s="894"/>
      <c r="EF258" s="893"/>
      <c r="EG258" s="838"/>
      <c r="EH258" s="894"/>
      <c r="EI258" s="893"/>
      <c r="EJ258" s="838"/>
      <c r="EK258" s="894"/>
      <c r="EL258" s="893"/>
      <c r="EM258" s="838"/>
      <c r="EN258" s="894"/>
      <c r="EO258" s="896" t="s">
        <v>15258</v>
      </c>
      <c r="EP258" s="838" t="s">
        <v>15259</v>
      </c>
      <c r="EQ258" s="895"/>
      <c r="ER258" s="893"/>
      <c r="ES258" s="838"/>
      <c r="ET258" s="894"/>
      <c r="EU258" s="893"/>
      <c r="EV258" s="838"/>
      <c r="EW258" s="894"/>
      <c r="EX258" s="893"/>
      <c r="EY258" s="838"/>
      <c r="EZ258" s="897"/>
      <c r="FA258" s="893"/>
      <c r="FB258" s="838"/>
      <c r="FC258" s="894"/>
      <c r="FD258" s="893"/>
      <c r="FE258" s="838"/>
      <c r="FF258" s="834"/>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row>
    <row r="259" spans="52:197">
      <c r="AZ259" s="802" t="s">
        <v>5888</v>
      </c>
      <c r="DC259"/>
      <c r="DD259" s="883">
        <v>112</v>
      </c>
      <c r="DE259" s="893"/>
      <c r="DF259" s="838"/>
      <c r="DG259" s="894"/>
      <c r="DH259" s="893"/>
      <c r="DI259" s="838"/>
      <c r="DJ259" s="894"/>
      <c r="DK259" s="893"/>
      <c r="DL259" s="838"/>
      <c r="DM259" s="894"/>
      <c r="DN259" s="893"/>
      <c r="DO259" s="838"/>
      <c r="DP259" s="894"/>
      <c r="DQ259" s="893"/>
      <c r="DR259" s="838"/>
      <c r="DS259" s="894"/>
      <c r="DT259" s="893"/>
      <c r="DU259" s="838"/>
      <c r="DV259" s="894"/>
      <c r="DW259" s="893"/>
      <c r="DX259" s="838"/>
      <c r="DY259" s="895"/>
      <c r="DZ259" s="893"/>
      <c r="EA259" s="838"/>
      <c r="EB259" s="894"/>
      <c r="EC259" s="893"/>
      <c r="ED259" s="838"/>
      <c r="EE259" s="894"/>
      <c r="EF259" s="893"/>
      <c r="EG259" s="838"/>
      <c r="EH259" s="894"/>
      <c r="EI259" s="893"/>
      <c r="EJ259" s="838"/>
      <c r="EK259" s="894"/>
      <c r="EL259" s="893"/>
      <c r="EM259" s="838"/>
      <c r="EN259" s="894"/>
      <c r="EO259" s="896" t="s">
        <v>15260</v>
      </c>
      <c r="EP259" s="838" t="s">
        <v>15261</v>
      </c>
      <c r="EQ259" s="895"/>
      <c r="ER259" s="893"/>
      <c r="ES259" s="838"/>
      <c r="ET259" s="894"/>
      <c r="EU259" s="893"/>
      <c r="EV259" s="838"/>
      <c r="EW259" s="894"/>
      <c r="EX259" s="893"/>
      <c r="EY259" s="838"/>
      <c r="EZ259" s="897"/>
      <c r="FA259" s="893"/>
      <c r="FB259" s="838"/>
      <c r="FC259" s="894"/>
      <c r="FD259" s="893"/>
      <c r="FE259" s="838"/>
      <c r="FF259" s="834"/>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row>
    <row r="260" spans="52:197">
      <c r="AZ260" s="802" t="s">
        <v>5913</v>
      </c>
      <c r="DC260"/>
      <c r="DD260" s="883">
        <v>113</v>
      </c>
      <c r="DE260" s="893"/>
      <c r="DF260" s="838"/>
      <c r="DG260" s="894"/>
      <c r="DH260" s="893"/>
      <c r="DI260" s="838"/>
      <c r="DJ260" s="894"/>
      <c r="DK260" s="893"/>
      <c r="DL260" s="838"/>
      <c r="DM260" s="894"/>
      <c r="DN260" s="893"/>
      <c r="DO260" s="838"/>
      <c r="DP260" s="894"/>
      <c r="DQ260" s="893"/>
      <c r="DR260" s="838"/>
      <c r="DS260" s="894"/>
      <c r="DT260" s="893"/>
      <c r="DU260" s="838"/>
      <c r="DV260" s="894"/>
      <c r="DW260" s="893"/>
      <c r="DX260" s="838"/>
      <c r="DY260" s="895"/>
      <c r="DZ260" s="893"/>
      <c r="EA260" s="838"/>
      <c r="EB260" s="894"/>
      <c r="EC260" s="893"/>
      <c r="ED260" s="838"/>
      <c r="EE260" s="894"/>
      <c r="EF260" s="893"/>
      <c r="EG260" s="838"/>
      <c r="EH260" s="894"/>
      <c r="EI260" s="893"/>
      <c r="EJ260" s="838"/>
      <c r="EK260" s="894"/>
      <c r="EL260" s="893"/>
      <c r="EM260" s="838"/>
      <c r="EN260" s="894"/>
      <c r="EO260" s="896" t="s">
        <v>15262</v>
      </c>
      <c r="EP260" s="838" t="s">
        <v>15263</v>
      </c>
      <c r="EQ260" s="895"/>
      <c r="ER260" s="893"/>
      <c r="ES260" s="838"/>
      <c r="ET260" s="894"/>
      <c r="EU260" s="893"/>
      <c r="EV260" s="838"/>
      <c r="EW260" s="894"/>
      <c r="EX260" s="893"/>
      <c r="EY260" s="838"/>
      <c r="EZ260" s="897"/>
      <c r="FA260" s="893"/>
      <c r="FB260" s="838"/>
      <c r="FC260" s="894"/>
      <c r="FD260" s="893"/>
      <c r="FE260" s="838"/>
      <c r="FF260" s="834"/>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row>
    <row r="261" spans="52:197">
      <c r="AZ261" s="802" t="s">
        <v>5880</v>
      </c>
      <c r="DC261"/>
      <c r="DD261" s="883">
        <v>114</v>
      </c>
      <c r="DE261" s="893"/>
      <c r="DF261" s="838"/>
      <c r="DG261" s="894"/>
      <c r="DH261" s="893"/>
      <c r="DI261" s="838"/>
      <c r="DJ261" s="894"/>
      <c r="DK261" s="893"/>
      <c r="DL261" s="838"/>
      <c r="DM261" s="894"/>
      <c r="DN261" s="893"/>
      <c r="DO261" s="838"/>
      <c r="DP261" s="894"/>
      <c r="DQ261" s="893"/>
      <c r="DR261" s="838"/>
      <c r="DS261" s="894"/>
      <c r="DT261" s="893"/>
      <c r="DU261" s="838"/>
      <c r="DV261" s="894"/>
      <c r="DW261" s="893"/>
      <c r="DX261" s="838"/>
      <c r="DY261" s="895"/>
      <c r="DZ261" s="893"/>
      <c r="EA261" s="838"/>
      <c r="EB261" s="894"/>
      <c r="EC261" s="893"/>
      <c r="ED261" s="838"/>
      <c r="EE261" s="894"/>
      <c r="EF261" s="893"/>
      <c r="EG261" s="838"/>
      <c r="EH261" s="894"/>
      <c r="EI261" s="893"/>
      <c r="EJ261" s="838"/>
      <c r="EK261" s="894"/>
      <c r="EL261" s="893"/>
      <c r="EM261" s="838"/>
      <c r="EN261" s="894"/>
      <c r="EO261" s="896" t="s">
        <v>15264</v>
      </c>
      <c r="EP261" s="838" t="s">
        <v>15265</v>
      </c>
      <c r="EQ261" s="895"/>
      <c r="ER261" s="893"/>
      <c r="ES261" s="838"/>
      <c r="ET261" s="894"/>
      <c r="EU261" s="893"/>
      <c r="EV261" s="838"/>
      <c r="EW261" s="894"/>
      <c r="EX261" s="893"/>
      <c r="EY261" s="838"/>
      <c r="EZ261" s="897"/>
      <c r="FA261" s="893"/>
      <c r="FB261" s="838"/>
      <c r="FC261" s="894"/>
      <c r="FD261" s="893"/>
      <c r="FE261" s="838"/>
      <c r="FF261" s="834"/>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row>
    <row r="262" spans="52:197">
      <c r="AZ262" s="802" t="s">
        <v>5998</v>
      </c>
      <c r="DC262"/>
      <c r="DD262" s="883">
        <v>115</v>
      </c>
      <c r="DE262" s="893"/>
      <c r="DF262" s="838"/>
      <c r="DG262" s="894"/>
      <c r="DH262" s="893"/>
      <c r="DI262" s="838"/>
      <c r="DJ262" s="894"/>
      <c r="DK262" s="893"/>
      <c r="DL262" s="838"/>
      <c r="DM262" s="894"/>
      <c r="DN262" s="893"/>
      <c r="DO262" s="838"/>
      <c r="DP262" s="894"/>
      <c r="DQ262" s="893"/>
      <c r="DR262" s="838"/>
      <c r="DS262" s="894"/>
      <c r="DT262" s="893"/>
      <c r="DU262" s="838"/>
      <c r="DV262" s="894"/>
      <c r="DW262" s="893"/>
      <c r="DX262" s="838"/>
      <c r="DY262" s="895"/>
      <c r="DZ262" s="893"/>
      <c r="EA262" s="838"/>
      <c r="EB262" s="894"/>
      <c r="EC262" s="893"/>
      <c r="ED262" s="838"/>
      <c r="EE262" s="894"/>
      <c r="EF262" s="893"/>
      <c r="EG262" s="838"/>
      <c r="EH262" s="894"/>
      <c r="EI262" s="893"/>
      <c r="EJ262" s="838"/>
      <c r="EK262" s="894"/>
      <c r="EL262" s="893"/>
      <c r="EM262" s="838"/>
      <c r="EN262" s="894"/>
      <c r="EO262" s="896" t="s">
        <v>15266</v>
      </c>
      <c r="EP262" s="838" t="s">
        <v>15267</v>
      </c>
      <c r="EQ262" s="895"/>
      <c r="ER262" s="893"/>
      <c r="ES262" s="838"/>
      <c r="ET262" s="894"/>
      <c r="EU262" s="893"/>
      <c r="EV262" s="838"/>
      <c r="EW262" s="894"/>
      <c r="EX262" s="893"/>
      <c r="EY262" s="838"/>
      <c r="EZ262" s="897"/>
      <c r="FA262" s="893"/>
      <c r="FB262" s="838"/>
      <c r="FC262" s="894"/>
      <c r="FD262" s="893"/>
      <c r="FE262" s="838"/>
      <c r="FF262" s="834"/>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row>
    <row r="263" spans="52:197">
      <c r="AZ263" s="802" t="s">
        <v>5927</v>
      </c>
      <c r="DC263"/>
      <c r="DD263" s="883">
        <v>116</v>
      </c>
      <c r="DE263" s="893"/>
      <c r="DF263" s="838"/>
      <c r="DG263" s="894"/>
      <c r="DH263" s="893"/>
      <c r="DI263" s="838"/>
      <c r="DJ263" s="894"/>
      <c r="DK263" s="893"/>
      <c r="DL263" s="838"/>
      <c r="DM263" s="894"/>
      <c r="DN263" s="893"/>
      <c r="DO263" s="838"/>
      <c r="DP263" s="894"/>
      <c r="DQ263" s="893"/>
      <c r="DR263" s="838"/>
      <c r="DS263" s="894"/>
      <c r="DT263" s="893"/>
      <c r="DU263" s="838"/>
      <c r="DV263" s="894"/>
      <c r="DW263" s="893"/>
      <c r="DX263" s="838"/>
      <c r="DY263" s="895"/>
      <c r="DZ263" s="893"/>
      <c r="EA263" s="838"/>
      <c r="EB263" s="894"/>
      <c r="EC263" s="893"/>
      <c r="ED263" s="838"/>
      <c r="EE263" s="894"/>
      <c r="EF263" s="893"/>
      <c r="EG263" s="838"/>
      <c r="EH263" s="894"/>
      <c r="EI263" s="893"/>
      <c r="EJ263" s="838"/>
      <c r="EK263" s="894"/>
      <c r="EL263" s="893"/>
      <c r="EM263" s="838"/>
      <c r="EN263" s="894"/>
      <c r="EO263" s="896" t="s">
        <v>15268</v>
      </c>
      <c r="EP263" s="838" t="s">
        <v>15269</v>
      </c>
      <c r="EQ263" s="895"/>
      <c r="ER263" s="893"/>
      <c r="ES263" s="838"/>
      <c r="ET263" s="894"/>
      <c r="EU263" s="893"/>
      <c r="EV263" s="838"/>
      <c r="EW263" s="894"/>
      <c r="EX263" s="893"/>
      <c r="EY263" s="838"/>
      <c r="EZ263" s="897"/>
      <c r="FA263" s="893"/>
      <c r="FB263" s="838"/>
      <c r="FC263" s="894"/>
      <c r="FD263" s="893"/>
      <c r="FE263" s="838"/>
      <c r="FF263" s="834"/>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row>
    <row r="264" spans="52:197">
      <c r="AZ264" s="802" t="s">
        <v>6066</v>
      </c>
      <c r="DC264"/>
      <c r="DD264" s="883">
        <v>117</v>
      </c>
      <c r="DE264" s="893"/>
      <c r="DF264" s="838"/>
      <c r="DG264" s="894"/>
      <c r="DH264" s="893"/>
      <c r="DI264" s="838"/>
      <c r="DJ264" s="894"/>
      <c r="DK264" s="893"/>
      <c r="DL264" s="838"/>
      <c r="DM264" s="894"/>
      <c r="DN264" s="893"/>
      <c r="DO264" s="838"/>
      <c r="DP264" s="894"/>
      <c r="DQ264" s="893"/>
      <c r="DR264" s="838"/>
      <c r="DS264" s="894"/>
      <c r="DT264" s="893"/>
      <c r="DU264" s="838"/>
      <c r="DV264" s="894"/>
      <c r="DW264" s="893"/>
      <c r="DX264" s="838"/>
      <c r="DY264" s="895"/>
      <c r="DZ264" s="893"/>
      <c r="EA264" s="838"/>
      <c r="EB264" s="894"/>
      <c r="EC264" s="893"/>
      <c r="ED264" s="838"/>
      <c r="EE264" s="894"/>
      <c r="EF264" s="893"/>
      <c r="EG264" s="838"/>
      <c r="EH264" s="894"/>
      <c r="EI264" s="893"/>
      <c r="EJ264" s="838"/>
      <c r="EK264" s="894"/>
      <c r="EL264" s="893"/>
      <c r="EM264" s="838"/>
      <c r="EN264" s="894"/>
      <c r="EO264" s="896" t="s">
        <v>15270</v>
      </c>
      <c r="EP264" s="838" t="s">
        <v>15271</v>
      </c>
      <c r="EQ264" s="895"/>
      <c r="ER264" s="893"/>
      <c r="ES264" s="838"/>
      <c r="ET264" s="894"/>
      <c r="EU264" s="893"/>
      <c r="EV264" s="838"/>
      <c r="EW264" s="894"/>
      <c r="EX264" s="893"/>
      <c r="EY264" s="838"/>
      <c r="EZ264" s="897"/>
      <c r="FA264" s="893"/>
      <c r="FB264" s="838"/>
      <c r="FC264" s="894"/>
      <c r="FD264" s="893"/>
      <c r="FE264" s="838"/>
      <c r="FF264" s="83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row>
    <row r="265" spans="52:197">
      <c r="AZ265" s="802" t="s">
        <v>5931</v>
      </c>
      <c r="DC265"/>
      <c r="DD265" s="883">
        <v>118</v>
      </c>
      <c r="DE265" s="893"/>
      <c r="DF265" s="838"/>
      <c r="DG265" s="894"/>
      <c r="DH265" s="893"/>
      <c r="DI265" s="838"/>
      <c r="DJ265" s="894"/>
      <c r="DK265" s="893"/>
      <c r="DL265" s="838"/>
      <c r="DM265" s="894"/>
      <c r="DN265" s="893"/>
      <c r="DO265" s="838"/>
      <c r="DP265" s="894"/>
      <c r="DQ265" s="893"/>
      <c r="DR265" s="838"/>
      <c r="DS265" s="894"/>
      <c r="DT265" s="893"/>
      <c r="DU265" s="838"/>
      <c r="DV265" s="894"/>
      <c r="DW265" s="893"/>
      <c r="DX265" s="838"/>
      <c r="DY265" s="895"/>
      <c r="DZ265" s="893"/>
      <c r="EA265" s="838"/>
      <c r="EB265" s="894"/>
      <c r="EC265" s="893"/>
      <c r="ED265" s="838"/>
      <c r="EE265" s="894"/>
      <c r="EF265" s="893"/>
      <c r="EG265" s="838"/>
      <c r="EH265" s="894"/>
      <c r="EI265" s="893"/>
      <c r="EJ265" s="838"/>
      <c r="EK265" s="894"/>
      <c r="EL265" s="893"/>
      <c r="EM265" s="838"/>
      <c r="EN265" s="894"/>
      <c r="EO265" s="896" t="s">
        <v>15272</v>
      </c>
      <c r="EP265" s="838" t="s">
        <v>15273</v>
      </c>
      <c r="EQ265" s="895"/>
      <c r="ER265" s="893"/>
      <c r="ES265" s="838"/>
      <c r="ET265" s="894"/>
      <c r="EU265" s="893"/>
      <c r="EV265" s="838"/>
      <c r="EW265" s="894"/>
      <c r="EX265" s="893"/>
      <c r="EY265" s="838"/>
      <c r="EZ265" s="897"/>
      <c r="FA265" s="893"/>
      <c r="FB265" s="838"/>
      <c r="FC265" s="894"/>
      <c r="FD265" s="893"/>
      <c r="FE265" s="838"/>
      <c r="FF265" s="834"/>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row>
    <row r="266" spans="52:197">
      <c r="AZ266" s="802" t="s">
        <v>6105</v>
      </c>
      <c r="DC266"/>
      <c r="DD266" s="883">
        <v>119</v>
      </c>
      <c r="DE266" s="893"/>
      <c r="DF266" s="838"/>
      <c r="DG266" s="894"/>
      <c r="DH266" s="893"/>
      <c r="DI266" s="838"/>
      <c r="DJ266" s="894"/>
      <c r="DK266" s="893"/>
      <c r="DL266" s="838"/>
      <c r="DM266" s="894"/>
      <c r="DN266" s="893"/>
      <c r="DO266" s="838"/>
      <c r="DP266" s="894"/>
      <c r="DQ266" s="893"/>
      <c r="DR266" s="838"/>
      <c r="DS266" s="894"/>
      <c r="DT266" s="893"/>
      <c r="DU266" s="838"/>
      <c r="DV266" s="894"/>
      <c r="DW266" s="893"/>
      <c r="DX266" s="838"/>
      <c r="DY266" s="895"/>
      <c r="DZ266" s="893"/>
      <c r="EA266" s="838"/>
      <c r="EB266" s="894"/>
      <c r="EC266" s="893"/>
      <c r="ED266" s="838"/>
      <c r="EE266" s="894"/>
      <c r="EF266" s="893"/>
      <c r="EG266" s="838"/>
      <c r="EH266" s="894"/>
      <c r="EI266" s="893"/>
      <c r="EJ266" s="838"/>
      <c r="EK266" s="894"/>
      <c r="EL266" s="893"/>
      <c r="EM266" s="838"/>
      <c r="EN266" s="894"/>
      <c r="EO266" s="896" t="s">
        <v>15274</v>
      </c>
      <c r="EP266" s="838" t="s">
        <v>15275</v>
      </c>
      <c r="EQ266" s="895"/>
      <c r="ER266" s="893"/>
      <c r="ES266" s="838"/>
      <c r="ET266" s="894"/>
      <c r="EU266" s="893"/>
      <c r="EV266" s="838"/>
      <c r="EW266" s="894"/>
      <c r="EX266" s="893"/>
      <c r="EY266" s="838"/>
      <c r="EZ266" s="897"/>
      <c r="FA266" s="893"/>
      <c r="FB266" s="838"/>
      <c r="FC266" s="894"/>
      <c r="FD266" s="893"/>
      <c r="FE266" s="838"/>
      <c r="FF266" s="834"/>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row>
    <row r="267" spans="52:197">
      <c r="AZ267" s="802" t="s">
        <v>6130</v>
      </c>
      <c r="DC267"/>
      <c r="DD267" s="883">
        <v>120</v>
      </c>
      <c r="DE267" s="893"/>
      <c r="DF267" s="838"/>
      <c r="DG267" s="894"/>
      <c r="DH267" s="893"/>
      <c r="DI267" s="838"/>
      <c r="DJ267" s="894"/>
      <c r="DK267" s="893"/>
      <c r="DL267" s="838"/>
      <c r="DM267" s="894"/>
      <c r="DN267" s="893"/>
      <c r="DO267" s="838"/>
      <c r="DP267" s="894"/>
      <c r="DQ267" s="893"/>
      <c r="DR267" s="838"/>
      <c r="DS267" s="894"/>
      <c r="DT267" s="893"/>
      <c r="DU267" s="838"/>
      <c r="DV267" s="894"/>
      <c r="DW267" s="893"/>
      <c r="DX267" s="838"/>
      <c r="DY267" s="895"/>
      <c r="DZ267" s="893"/>
      <c r="EA267" s="838"/>
      <c r="EB267" s="894"/>
      <c r="EC267" s="893"/>
      <c r="ED267" s="838"/>
      <c r="EE267" s="894"/>
      <c r="EF267" s="893"/>
      <c r="EG267" s="838"/>
      <c r="EH267" s="894"/>
      <c r="EI267" s="893"/>
      <c r="EJ267" s="838"/>
      <c r="EK267" s="894"/>
      <c r="EL267" s="893"/>
      <c r="EM267" s="838"/>
      <c r="EN267" s="894"/>
      <c r="EO267" s="896" t="s">
        <v>15276</v>
      </c>
      <c r="EP267" s="838" t="s">
        <v>15277</v>
      </c>
      <c r="EQ267" s="895"/>
      <c r="ER267" s="893"/>
      <c r="ES267" s="838"/>
      <c r="ET267" s="894"/>
      <c r="EU267" s="893"/>
      <c r="EV267" s="838"/>
      <c r="EW267" s="894"/>
      <c r="EX267" s="893"/>
      <c r="EY267" s="838"/>
      <c r="EZ267" s="897"/>
      <c r="FA267" s="893"/>
      <c r="FB267" s="838"/>
      <c r="FC267" s="894"/>
      <c r="FD267" s="893"/>
      <c r="FE267" s="838"/>
      <c r="FF267" s="834"/>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row>
    <row r="268" spans="52:197">
      <c r="AZ268" s="802" t="s">
        <v>13246</v>
      </c>
      <c r="DC268"/>
      <c r="DD268" s="883">
        <v>121</v>
      </c>
      <c r="DE268" s="893"/>
      <c r="DF268" s="838"/>
      <c r="DG268" s="894"/>
      <c r="DH268" s="893"/>
      <c r="DI268" s="838"/>
      <c r="DJ268" s="894"/>
      <c r="DK268" s="893"/>
      <c r="DL268" s="838"/>
      <c r="DM268" s="894"/>
      <c r="DN268" s="893"/>
      <c r="DO268" s="838"/>
      <c r="DP268" s="894"/>
      <c r="DQ268" s="893"/>
      <c r="DR268" s="838"/>
      <c r="DS268" s="894"/>
      <c r="DT268" s="893"/>
      <c r="DU268" s="838"/>
      <c r="DV268" s="894"/>
      <c r="DW268" s="893"/>
      <c r="DX268" s="838"/>
      <c r="DY268" s="895"/>
      <c r="DZ268" s="893"/>
      <c r="EA268" s="838"/>
      <c r="EB268" s="894"/>
      <c r="EC268" s="893"/>
      <c r="ED268" s="838"/>
      <c r="EE268" s="894"/>
      <c r="EF268" s="893"/>
      <c r="EG268" s="838"/>
      <c r="EH268" s="894"/>
      <c r="EI268" s="893"/>
      <c r="EJ268" s="838"/>
      <c r="EK268" s="894"/>
      <c r="EL268" s="893"/>
      <c r="EM268" s="838"/>
      <c r="EN268" s="894"/>
      <c r="EO268" s="896" t="s">
        <v>15278</v>
      </c>
      <c r="EP268" s="838" t="s">
        <v>15262</v>
      </c>
      <c r="EQ268" s="895"/>
      <c r="ER268" s="893"/>
      <c r="ES268" s="838"/>
      <c r="ET268" s="894"/>
      <c r="EU268" s="893"/>
      <c r="EV268" s="838"/>
      <c r="EW268" s="894"/>
      <c r="EX268" s="893"/>
      <c r="EY268" s="838"/>
      <c r="EZ268" s="897"/>
      <c r="FA268" s="893"/>
      <c r="FB268" s="838"/>
      <c r="FC268" s="894"/>
      <c r="FD268" s="893"/>
      <c r="FE268" s="838"/>
      <c r="FF268" s="834"/>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row>
    <row r="269" spans="52:197">
      <c r="AZ269" s="802" t="s">
        <v>13245</v>
      </c>
      <c r="DC269"/>
      <c r="DD269" s="883">
        <v>122</v>
      </c>
      <c r="DE269" s="893"/>
      <c r="DF269" s="838"/>
      <c r="DG269" s="894"/>
      <c r="DH269" s="893"/>
      <c r="DI269" s="838"/>
      <c r="DJ269" s="894"/>
      <c r="DK269" s="893"/>
      <c r="DL269" s="838"/>
      <c r="DM269" s="894"/>
      <c r="DN269" s="893"/>
      <c r="DO269" s="838"/>
      <c r="DP269" s="894"/>
      <c r="DQ269" s="893"/>
      <c r="DR269" s="838"/>
      <c r="DS269" s="894"/>
      <c r="DT269" s="893"/>
      <c r="DU269" s="838"/>
      <c r="DV269" s="894"/>
      <c r="DW269" s="893"/>
      <c r="DX269" s="838"/>
      <c r="DY269" s="895"/>
      <c r="DZ269" s="893"/>
      <c r="EA269" s="838"/>
      <c r="EB269" s="894"/>
      <c r="EC269" s="893"/>
      <c r="ED269" s="838"/>
      <c r="EE269" s="894"/>
      <c r="EF269" s="893"/>
      <c r="EG269" s="838"/>
      <c r="EH269" s="894"/>
      <c r="EI269" s="893"/>
      <c r="EJ269" s="838"/>
      <c r="EK269" s="894"/>
      <c r="EL269" s="893"/>
      <c r="EM269" s="838"/>
      <c r="EN269" s="894"/>
      <c r="EO269" s="896" t="s">
        <v>15279</v>
      </c>
      <c r="EP269" s="838" t="s">
        <v>15280</v>
      </c>
      <c r="EQ269" s="895"/>
      <c r="ER269" s="893"/>
      <c r="ES269" s="838"/>
      <c r="ET269" s="894"/>
      <c r="EU269" s="893"/>
      <c r="EV269" s="838"/>
      <c r="EW269" s="894"/>
      <c r="EX269" s="893"/>
      <c r="EY269" s="838"/>
      <c r="EZ269" s="897"/>
      <c r="FA269" s="893"/>
      <c r="FB269" s="838"/>
      <c r="FC269" s="894"/>
      <c r="FD269" s="893"/>
      <c r="FE269" s="838"/>
      <c r="FF269" s="834"/>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row>
    <row r="270" spans="52:197">
      <c r="AZ270" s="802" t="s">
        <v>6140</v>
      </c>
      <c r="DC270"/>
      <c r="DD270" s="883">
        <v>123</v>
      </c>
      <c r="DE270" s="893"/>
      <c r="DF270" s="838"/>
      <c r="DG270" s="894"/>
      <c r="DH270" s="893"/>
      <c r="DI270" s="838"/>
      <c r="DJ270" s="894"/>
      <c r="DK270" s="893"/>
      <c r="DL270" s="838"/>
      <c r="DM270" s="894"/>
      <c r="DN270" s="893"/>
      <c r="DO270" s="838"/>
      <c r="DP270" s="894"/>
      <c r="DQ270" s="893"/>
      <c r="DR270" s="838"/>
      <c r="DS270" s="894"/>
      <c r="DT270" s="893"/>
      <c r="DU270" s="838"/>
      <c r="DV270" s="894"/>
      <c r="DW270" s="893"/>
      <c r="DX270" s="838"/>
      <c r="DY270" s="895"/>
      <c r="DZ270" s="893"/>
      <c r="EA270" s="838"/>
      <c r="EB270" s="894"/>
      <c r="EC270" s="893"/>
      <c r="ED270" s="838"/>
      <c r="EE270" s="894"/>
      <c r="EF270" s="893"/>
      <c r="EG270" s="838"/>
      <c r="EH270" s="894"/>
      <c r="EI270" s="893"/>
      <c r="EJ270" s="838"/>
      <c r="EK270" s="894"/>
      <c r="EL270" s="893"/>
      <c r="EM270" s="838"/>
      <c r="EN270" s="894"/>
      <c r="EO270" s="896" t="s">
        <v>15281</v>
      </c>
      <c r="EP270" s="838" t="s">
        <v>15282</v>
      </c>
      <c r="EQ270" s="895"/>
      <c r="ER270" s="893"/>
      <c r="ES270" s="838"/>
      <c r="ET270" s="894"/>
      <c r="EU270" s="893"/>
      <c r="EV270" s="838"/>
      <c r="EW270" s="894"/>
      <c r="EX270" s="893"/>
      <c r="EY270" s="838"/>
      <c r="EZ270" s="897"/>
      <c r="FA270" s="893"/>
      <c r="FB270" s="838"/>
      <c r="FC270" s="894"/>
      <c r="FD270" s="893"/>
      <c r="FE270" s="838"/>
      <c r="FF270" s="834"/>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row>
    <row r="271" spans="52:197">
      <c r="AZ271" s="802" t="s">
        <v>13244</v>
      </c>
      <c r="DC271"/>
      <c r="DD271" s="883">
        <v>124</v>
      </c>
      <c r="DE271" s="893"/>
      <c r="DF271" s="838"/>
      <c r="DG271" s="894"/>
      <c r="DH271" s="893"/>
      <c r="DI271" s="838"/>
      <c r="DJ271" s="894"/>
      <c r="DK271" s="893"/>
      <c r="DL271" s="838"/>
      <c r="DM271" s="894"/>
      <c r="DN271" s="893"/>
      <c r="DO271" s="838"/>
      <c r="DP271" s="894"/>
      <c r="DQ271" s="893"/>
      <c r="DR271" s="838"/>
      <c r="DS271" s="894"/>
      <c r="DT271" s="893"/>
      <c r="DU271" s="838"/>
      <c r="DV271" s="894"/>
      <c r="DW271" s="893"/>
      <c r="DX271" s="838"/>
      <c r="DY271" s="895"/>
      <c r="DZ271" s="893"/>
      <c r="EA271" s="838"/>
      <c r="EB271" s="894"/>
      <c r="EC271" s="893"/>
      <c r="ED271" s="838"/>
      <c r="EE271" s="894"/>
      <c r="EF271" s="893"/>
      <c r="EG271" s="838"/>
      <c r="EH271" s="894"/>
      <c r="EI271" s="893"/>
      <c r="EJ271" s="838"/>
      <c r="EK271" s="894"/>
      <c r="EL271" s="893"/>
      <c r="EM271" s="838"/>
      <c r="EN271" s="894"/>
      <c r="EO271" s="896" t="s">
        <v>15283</v>
      </c>
      <c r="EP271" s="838" t="s">
        <v>15284</v>
      </c>
      <c r="EQ271" s="895"/>
      <c r="ER271" s="893"/>
      <c r="ES271" s="838"/>
      <c r="ET271" s="894"/>
      <c r="EU271" s="893"/>
      <c r="EV271" s="838"/>
      <c r="EW271" s="894"/>
      <c r="EX271" s="893"/>
      <c r="EY271" s="838"/>
      <c r="EZ271" s="897"/>
      <c r="FA271" s="893"/>
      <c r="FB271" s="838"/>
      <c r="FC271" s="894"/>
      <c r="FD271" s="893"/>
      <c r="FE271" s="838"/>
      <c r="FF271" s="834"/>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row>
    <row r="272" spans="52:197">
      <c r="AZ272" s="802" t="s">
        <v>6113</v>
      </c>
      <c r="DC272"/>
      <c r="DD272" s="883">
        <v>125</v>
      </c>
      <c r="DE272" s="893"/>
      <c r="DF272" s="838"/>
      <c r="DG272" s="894"/>
      <c r="DH272" s="893"/>
      <c r="DI272" s="838"/>
      <c r="DJ272" s="894"/>
      <c r="DK272" s="893"/>
      <c r="DL272" s="838"/>
      <c r="DM272" s="894"/>
      <c r="DN272" s="893"/>
      <c r="DO272" s="838"/>
      <c r="DP272" s="894"/>
      <c r="DQ272" s="893"/>
      <c r="DR272" s="838"/>
      <c r="DS272" s="894"/>
      <c r="DT272" s="893"/>
      <c r="DU272" s="838"/>
      <c r="DV272" s="894"/>
      <c r="DW272" s="893"/>
      <c r="DX272" s="838"/>
      <c r="DY272" s="895"/>
      <c r="DZ272" s="893"/>
      <c r="EA272" s="838"/>
      <c r="EB272" s="894"/>
      <c r="EC272" s="893"/>
      <c r="ED272" s="838"/>
      <c r="EE272" s="894"/>
      <c r="EF272" s="893"/>
      <c r="EG272" s="838"/>
      <c r="EH272" s="894"/>
      <c r="EI272" s="893"/>
      <c r="EJ272" s="838"/>
      <c r="EK272" s="894"/>
      <c r="EL272" s="893"/>
      <c r="EM272" s="838"/>
      <c r="EN272" s="894"/>
      <c r="EO272" s="896" t="s">
        <v>15285</v>
      </c>
      <c r="EP272" s="838" t="s">
        <v>15286</v>
      </c>
      <c r="EQ272" s="895"/>
      <c r="ER272" s="893"/>
      <c r="ES272" s="838"/>
      <c r="ET272" s="894"/>
      <c r="EU272" s="893"/>
      <c r="EV272" s="838"/>
      <c r="EW272" s="894"/>
      <c r="EX272" s="893"/>
      <c r="EY272" s="838"/>
      <c r="EZ272" s="897"/>
      <c r="FA272" s="893"/>
      <c r="FB272" s="838"/>
      <c r="FC272" s="894"/>
      <c r="FD272" s="893"/>
      <c r="FE272" s="838"/>
      <c r="FF272" s="834"/>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row>
    <row r="273" spans="52:197">
      <c r="AZ273" s="802" t="s">
        <v>5926</v>
      </c>
      <c r="DC273"/>
      <c r="DD273" s="883">
        <v>126</v>
      </c>
      <c r="DE273" s="893"/>
      <c r="DF273" s="838"/>
      <c r="DG273" s="894"/>
      <c r="DH273" s="893"/>
      <c r="DI273" s="838"/>
      <c r="DJ273" s="894"/>
      <c r="DK273" s="893"/>
      <c r="DL273" s="838"/>
      <c r="DM273" s="894"/>
      <c r="DN273" s="893"/>
      <c r="DO273" s="838"/>
      <c r="DP273" s="894"/>
      <c r="DQ273" s="893"/>
      <c r="DR273" s="838"/>
      <c r="DS273" s="894"/>
      <c r="DT273" s="893"/>
      <c r="DU273" s="838"/>
      <c r="DV273" s="894"/>
      <c r="DW273" s="893"/>
      <c r="DX273" s="838"/>
      <c r="DY273" s="895"/>
      <c r="DZ273" s="893"/>
      <c r="EA273" s="838"/>
      <c r="EB273" s="894"/>
      <c r="EC273" s="893"/>
      <c r="ED273" s="838"/>
      <c r="EE273" s="894"/>
      <c r="EF273" s="893"/>
      <c r="EG273" s="838"/>
      <c r="EH273" s="894"/>
      <c r="EI273" s="893"/>
      <c r="EJ273" s="838"/>
      <c r="EK273" s="894"/>
      <c r="EL273" s="893"/>
      <c r="EM273" s="838"/>
      <c r="EN273" s="894"/>
      <c r="EO273" s="896" t="s">
        <v>15287</v>
      </c>
      <c r="EP273" s="838" t="s">
        <v>15288</v>
      </c>
      <c r="EQ273" s="895"/>
      <c r="ER273" s="893"/>
      <c r="ES273" s="838"/>
      <c r="ET273" s="894"/>
      <c r="EU273" s="893"/>
      <c r="EV273" s="838"/>
      <c r="EW273" s="894"/>
      <c r="EX273" s="893"/>
      <c r="EY273" s="838"/>
      <c r="EZ273" s="897"/>
      <c r="FA273" s="893"/>
      <c r="FB273" s="838"/>
      <c r="FC273" s="894"/>
      <c r="FD273" s="893"/>
      <c r="FE273" s="838"/>
      <c r="FF273" s="834"/>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row>
    <row r="274" spans="52:197">
      <c r="AZ274" s="802" t="s">
        <v>6194</v>
      </c>
      <c r="DC274"/>
      <c r="DD274" s="883">
        <v>127</v>
      </c>
      <c r="DE274" s="893"/>
      <c r="DF274" s="838"/>
      <c r="DG274" s="894"/>
      <c r="DH274" s="893"/>
      <c r="DI274" s="838"/>
      <c r="DJ274" s="894"/>
      <c r="DK274" s="893"/>
      <c r="DL274" s="838"/>
      <c r="DM274" s="894"/>
      <c r="DN274" s="893"/>
      <c r="DO274" s="838"/>
      <c r="DP274" s="894"/>
      <c r="DQ274" s="893"/>
      <c r="DR274" s="838"/>
      <c r="DS274" s="894"/>
      <c r="DT274" s="893"/>
      <c r="DU274" s="838"/>
      <c r="DV274" s="894"/>
      <c r="DW274" s="893"/>
      <c r="DX274" s="838"/>
      <c r="DY274" s="895"/>
      <c r="DZ274" s="893"/>
      <c r="EA274" s="838"/>
      <c r="EB274" s="894"/>
      <c r="EC274" s="893"/>
      <c r="ED274" s="838"/>
      <c r="EE274" s="894"/>
      <c r="EF274" s="893"/>
      <c r="EG274" s="838"/>
      <c r="EH274" s="894"/>
      <c r="EI274" s="893"/>
      <c r="EJ274" s="838"/>
      <c r="EK274" s="894"/>
      <c r="EL274" s="893"/>
      <c r="EM274" s="838"/>
      <c r="EN274" s="894"/>
      <c r="EO274" s="896" t="s">
        <v>15289</v>
      </c>
      <c r="EP274" s="838" t="s">
        <v>15290</v>
      </c>
      <c r="EQ274" s="895"/>
      <c r="ER274" s="893"/>
      <c r="ES274" s="838"/>
      <c r="ET274" s="894"/>
      <c r="EU274" s="893"/>
      <c r="EV274" s="838"/>
      <c r="EW274" s="894"/>
      <c r="EX274" s="893"/>
      <c r="EY274" s="838"/>
      <c r="EZ274" s="897"/>
      <c r="FA274" s="893"/>
      <c r="FB274" s="838"/>
      <c r="FC274" s="894"/>
      <c r="FD274" s="893"/>
      <c r="FE274" s="838"/>
      <c r="FF274" s="83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row>
    <row r="275" spans="52:197">
      <c r="AZ275" s="802" t="s">
        <v>13243</v>
      </c>
      <c r="DC275"/>
      <c r="DD275" s="883">
        <v>128</v>
      </c>
      <c r="DE275" s="893"/>
      <c r="DF275" s="838"/>
      <c r="DG275" s="894"/>
      <c r="DH275" s="893"/>
      <c r="DI275" s="838"/>
      <c r="DJ275" s="894"/>
      <c r="DK275" s="893"/>
      <c r="DL275" s="838"/>
      <c r="DM275" s="894"/>
      <c r="DN275" s="893"/>
      <c r="DO275" s="838"/>
      <c r="DP275" s="894"/>
      <c r="DQ275" s="893"/>
      <c r="DR275" s="838"/>
      <c r="DS275" s="894"/>
      <c r="DT275" s="893"/>
      <c r="DU275" s="838"/>
      <c r="DV275" s="894"/>
      <c r="DW275" s="893"/>
      <c r="DX275" s="838"/>
      <c r="DY275" s="895"/>
      <c r="DZ275" s="893"/>
      <c r="EA275" s="838"/>
      <c r="EB275" s="894"/>
      <c r="EC275" s="893"/>
      <c r="ED275" s="838"/>
      <c r="EE275" s="894"/>
      <c r="EF275" s="893"/>
      <c r="EG275" s="838"/>
      <c r="EH275" s="894"/>
      <c r="EI275" s="893"/>
      <c r="EJ275" s="838"/>
      <c r="EK275" s="894"/>
      <c r="EL275" s="893"/>
      <c r="EM275" s="838"/>
      <c r="EN275" s="894"/>
      <c r="EO275" s="896" t="s">
        <v>15291</v>
      </c>
      <c r="EP275" s="838" t="s">
        <v>15292</v>
      </c>
      <c r="EQ275" s="895"/>
      <c r="ER275" s="893"/>
      <c r="ES275" s="838"/>
      <c r="ET275" s="894"/>
      <c r="EU275" s="893"/>
      <c r="EV275" s="838"/>
      <c r="EW275" s="894"/>
      <c r="EX275" s="893"/>
      <c r="EY275" s="838"/>
      <c r="EZ275" s="897"/>
      <c r="FA275" s="893"/>
      <c r="FB275" s="838"/>
      <c r="FC275" s="894"/>
      <c r="FD275" s="893"/>
      <c r="FE275" s="838"/>
      <c r="FF275" s="834"/>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row>
    <row r="276" spans="52:197">
      <c r="AZ276" s="802" t="s">
        <v>6141</v>
      </c>
      <c r="DC276"/>
      <c r="DD276" s="883">
        <v>129</v>
      </c>
      <c r="DE276" s="893"/>
      <c r="DF276" s="838"/>
      <c r="DG276" s="894"/>
      <c r="DH276" s="893"/>
      <c r="DI276" s="838"/>
      <c r="DJ276" s="894"/>
      <c r="DK276" s="893"/>
      <c r="DL276" s="838"/>
      <c r="DM276" s="894"/>
      <c r="DN276" s="893"/>
      <c r="DO276" s="838"/>
      <c r="DP276" s="894"/>
      <c r="DQ276" s="893"/>
      <c r="DR276" s="838"/>
      <c r="DS276" s="894"/>
      <c r="DT276" s="893"/>
      <c r="DU276" s="838"/>
      <c r="DV276" s="894"/>
      <c r="DW276" s="893"/>
      <c r="DX276" s="838"/>
      <c r="DY276" s="895"/>
      <c r="DZ276" s="893"/>
      <c r="EA276" s="838"/>
      <c r="EB276" s="894"/>
      <c r="EC276" s="893"/>
      <c r="ED276" s="838"/>
      <c r="EE276" s="894"/>
      <c r="EF276" s="893"/>
      <c r="EG276" s="838"/>
      <c r="EH276" s="894"/>
      <c r="EI276" s="893"/>
      <c r="EJ276" s="838"/>
      <c r="EK276" s="894"/>
      <c r="EL276" s="893"/>
      <c r="EM276" s="838"/>
      <c r="EN276" s="894"/>
      <c r="EO276" s="896" t="s">
        <v>15293</v>
      </c>
      <c r="EP276" s="838" t="s">
        <v>15294</v>
      </c>
      <c r="EQ276" s="895"/>
      <c r="ER276" s="893"/>
      <c r="ES276" s="838"/>
      <c r="ET276" s="894"/>
      <c r="EU276" s="893"/>
      <c r="EV276" s="838"/>
      <c r="EW276" s="894"/>
      <c r="EX276" s="893"/>
      <c r="EY276" s="838"/>
      <c r="EZ276" s="897"/>
      <c r="FA276" s="893"/>
      <c r="FB276" s="838"/>
      <c r="FC276" s="894"/>
      <c r="FD276" s="893"/>
      <c r="FE276" s="838"/>
      <c r="FF276" s="834"/>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row>
    <row r="277" spans="52:197">
      <c r="AZ277" s="802" t="s">
        <v>5895</v>
      </c>
      <c r="DC277"/>
      <c r="DD277" s="883">
        <v>130</v>
      </c>
      <c r="DE277" s="893"/>
      <c r="DF277" s="838"/>
      <c r="DG277" s="894"/>
      <c r="DH277" s="893"/>
      <c r="DI277" s="838"/>
      <c r="DJ277" s="894"/>
      <c r="DK277" s="893"/>
      <c r="DL277" s="838"/>
      <c r="DM277" s="894"/>
      <c r="DN277" s="893"/>
      <c r="DO277" s="838"/>
      <c r="DP277" s="894"/>
      <c r="DQ277" s="893"/>
      <c r="DR277" s="838"/>
      <c r="DS277" s="894"/>
      <c r="DT277" s="893"/>
      <c r="DU277" s="838"/>
      <c r="DV277" s="894"/>
      <c r="DW277" s="893"/>
      <c r="DX277" s="838"/>
      <c r="DY277" s="895"/>
      <c r="DZ277" s="893"/>
      <c r="EA277" s="838"/>
      <c r="EB277" s="894"/>
      <c r="EC277" s="893"/>
      <c r="ED277" s="838"/>
      <c r="EE277" s="894"/>
      <c r="EF277" s="893"/>
      <c r="EG277" s="838"/>
      <c r="EH277" s="894"/>
      <c r="EI277" s="893"/>
      <c r="EJ277" s="838"/>
      <c r="EK277" s="894"/>
      <c r="EL277" s="893"/>
      <c r="EM277" s="838"/>
      <c r="EN277" s="894"/>
      <c r="EO277" s="896" t="s">
        <v>15295</v>
      </c>
      <c r="EP277" s="838" t="s">
        <v>15296</v>
      </c>
      <c r="EQ277" s="895"/>
      <c r="ER277" s="893"/>
      <c r="ES277" s="838"/>
      <c r="ET277" s="894"/>
      <c r="EU277" s="893"/>
      <c r="EV277" s="838"/>
      <c r="EW277" s="894"/>
      <c r="EX277" s="893"/>
      <c r="EY277" s="838"/>
      <c r="EZ277" s="897"/>
      <c r="FA277" s="893"/>
      <c r="FB277" s="838"/>
      <c r="FC277" s="894"/>
      <c r="FD277" s="893"/>
      <c r="FE277" s="838"/>
      <c r="FF277" s="834"/>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row>
    <row r="278" spans="52:197">
      <c r="AZ278" s="802" t="s">
        <v>6174</v>
      </c>
      <c r="DC278"/>
      <c r="DD278" s="883">
        <v>131</v>
      </c>
      <c r="DE278" s="893"/>
      <c r="DF278" s="838"/>
      <c r="DG278" s="894"/>
      <c r="DH278" s="893"/>
      <c r="DI278" s="838"/>
      <c r="DJ278" s="894"/>
      <c r="DK278" s="893"/>
      <c r="DL278" s="838"/>
      <c r="DM278" s="894"/>
      <c r="DN278" s="893"/>
      <c r="DO278" s="838"/>
      <c r="DP278" s="894"/>
      <c r="DQ278" s="893"/>
      <c r="DR278" s="838"/>
      <c r="DS278" s="894"/>
      <c r="DT278" s="893"/>
      <c r="DU278" s="838"/>
      <c r="DV278" s="894"/>
      <c r="DW278" s="893"/>
      <c r="DX278" s="838"/>
      <c r="DY278" s="895"/>
      <c r="DZ278" s="893"/>
      <c r="EA278" s="838"/>
      <c r="EB278" s="894"/>
      <c r="EC278" s="893"/>
      <c r="ED278" s="838"/>
      <c r="EE278" s="894"/>
      <c r="EF278" s="893"/>
      <c r="EG278" s="838"/>
      <c r="EH278" s="894"/>
      <c r="EI278" s="893"/>
      <c r="EJ278" s="838"/>
      <c r="EK278" s="894"/>
      <c r="EL278" s="893"/>
      <c r="EM278" s="838"/>
      <c r="EN278" s="894"/>
      <c r="EO278" s="896"/>
      <c r="EP278" s="838" t="s">
        <v>15297</v>
      </c>
      <c r="EQ278" s="895"/>
      <c r="ER278" s="893"/>
      <c r="ES278" s="838"/>
      <c r="ET278" s="894"/>
      <c r="EU278" s="893"/>
      <c r="EV278" s="838"/>
      <c r="EW278" s="894"/>
      <c r="EX278" s="893"/>
      <c r="EY278" s="838"/>
      <c r="EZ278" s="897"/>
      <c r="FA278" s="893"/>
      <c r="FB278" s="838"/>
      <c r="FC278" s="894"/>
      <c r="FD278" s="893"/>
      <c r="FE278" s="838"/>
      <c r="FF278" s="834"/>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row>
    <row r="279" spans="52:197">
      <c r="AZ279" s="802" t="s">
        <v>6100</v>
      </c>
      <c r="DC279"/>
      <c r="DD279" s="883">
        <v>132</v>
      </c>
      <c r="DE279" s="893"/>
      <c r="DF279" s="838"/>
      <c r="DG279" s="894"/>
      <c r="DH279" s="893"/>
      <c r="DI279" s="838"/>
      <c r="DJ279" s="894"/>
      <c r="DK279" s="893"/>
      <c r="DL279" s="838"/>
      <c r="DM279" s="894"/>
      <c r="DN279" s="893"/>
      <c r="DO279" s="838"/>
      <c r="DP279" s="894"/>
      <c r="DQ279" s="893"/>
      <c r="DR279" s="838"/>
      <c r="DS279" s="894"/>
      <c r="DT279" s="893"/>
      <c r="DU279" s="838"/>
      <c r="DV279" s="894"/>
      <c r="DW279" s="893"/>
      <c r="DX279" s="838"/>
      <c r="DY279" s="895"/>
      <c r="DZ279" s="893"/>
      <c r="EA279" s="838"/>
      <c r="EB279" s="894"/>
      <c r="EC279" s="893"/>
      <c r="ED279" s="838"/>
      <c r="EE279" s="894"/>
      <c r="EF279" s="893"/>
      <c r="EG279" s="838"/>
      <c r="EH279" s="894"/>
      <c r="EI279" s="893"/>
      <c r="EJ279" s="838"/>
      <c r="EK279" s="894"/>
      <c r="EL279" s="893"/>
      <c r="EM279" s="838"/>
      <c r="EN279" s="894"/>
      <c r="EO279" s="896"/>
      <c r="EP279" s="838" t="s">
        <v>15298</v>
      </c>
      <c r="EQ279" s="895"/>
      <c r="ER279" s="893"/>
      <c r="ES279" s="838"/>
      <c r="ET279" s="894"/>
      <c r="EU279" s="893"/>
      <c r="EV279" s="838"/>
      <c r="EW279" s="894"/>
      <c r="EX279" s="893"/>
      <c r="EY279" s="838"/>
      <c r="EZ279" s="897"/>
      <c r="FA279" s="893"/>
      <c r="FB279" s="838"/>
      <c r="FC279" s="894"/>
      <c r="FD279" s="893"/>
      <c r="FE279" s="838"/>
      <c r="FF279" s="834"/>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row>
    <row r="280" spans="52:197">
      <c r="AZ280" s="802" t="s">
        <v>5954</v>
      </c>
      <c r="DC280"/>
      <c r="DD280" s="883">
        <v>133</v>
      </c>
      <c r="DE280" s="893"/>
      <c r="DF280" s="838"/>
      <c r="DG280" s="894"/>
      <c r="DH280" s="893"/>
      <c r="DI280" s="838"/>
      <c r="DJ280" s="894"/>
      <c r="DK280" s="893"/>
      <c r="DL280" s="838"/>
      <c r="DM280" s="894"/>
      <c r="DN280" s="893"/>
      <c r="DO280" s="838"/>
      <c r="DP280" s="894"/>
      <c r="DQ280" s="893"/>
      <c r="DR280" s="838"/>
      <c r="DS280" s="894"/>
      <c r="DT280" s="893"/>
      <c r="DU280" s="838"/>
      <c r="DV280" s="894"/>
      <c r="DW280" s="893"/>
      <c r="DX280" s="838"/>
      <c r="DY280" s="895"/>
      <c r="DZ280" s="893"/>
      <c r="EA280" s="838"/>
      <c r="EB280" s="894"/>
      <c r="EC280" s="893"/>
      <c r="ED280" s="838"/>
      <c r="EE280" s="894"/>
      <c r="EF280" s="893"/>
      <c r="EG280" s="838"/>
      <c r="EH280" s="894"/>
      <c r="EI280" s="893"/>
      <c r="EJ280" s="838"/>
      <c r="EK280" s="894"/>
      <c r="EL280" s="893"/>
      <c r="EM280" s="838"/>
      <c r="EN280" s="894"/>
      <c r="EO280" s="896"/>
      <c r="EP280" s="838" t="s">
        <v>15299</v>
      </c>
      <c r="EQ280" s="895"/>
      <c r="ER280" s="893"/>
      <c r="ES280" s="838"/>
      <c r="ET280" s="894"/>
      <c r="EU280" s="893"/>
      <c r="EV280" s="838"/>
      <c r="EW280" s="894"/>
      <c r="EX280" s="893"/>
      <c r="EY280" s="838"/>
      <c r="EZ280" s="897"/>
      <c r="FA280" s="893"/>
      <c r="FB280" s="838"/>
      <c r="FC280" s="894"/>
      <c r="FD280" s="893"/>
      <c r="FE280" s="838"/>
      <c r="FF280" s="834"/>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row>
    <row r="281" spans="52:197">
      <c r="AZ281" s="802" t="s">
        <v>6192</v>
      </c>
      <c r="DC281"/>
      <c r="DD281" s="883">
        <v>134</v>
      </c>
      <c r="DE281" s="893"/>
      <c r="DF281" s="838"/>
      <c r="DG281" s="894"/>
      <c r="DH281" s="893"/>
      <c r="DI281" s="838"/>
      <c r="DJ281" s="894"/>
      <c r="DK281" s="893"/>
      <c r="DL281" s="838"/>
      <c r="DM281" s="894"/>
      <c r="DN281" s="893"/>
      <c r="DO281" s="838"/>
      <c r="DP281" s="894"/>
      <c r="DQ281" s="893"/>
      <c r="DR281" s="838"/>
      <c r="DS281" s="894"/>
      <c r="DT281" s="893"/>
      <c r="DU281" s="838"/>
      <c r="DV281" s="894"/>
      <c r="DW281" s="893"/>
      <c r="DX281" s="838"/>
      <c r="DY281" s="895"/>
      <c r="DZ281" s="893"/>
      <c r="EA281" s="838"/>
      <c r="EB281" s="894"/>
      <c r="EC281" s="893"/>
      <c r="ED281" s="838"/>
      <c r="EE281" s="894"/>
      <c r="EF281" s="893"/>
      <c r="EG281" s="838"/>
      <c r="EH281" s="894"/>
      <c r="EI281" s="893"/>
      <c r="EJ281" s="838"/>
      <c r="EK281" s="894"/>
      <c r="EL281" s="893"/>
      <c r="EM281" s="838"/>
      <c r="EN281" s="894"/>
      <c r="EO281" s="896"/>
      <c r="EP281" s="838" t="s">
        <v>15300</v>
      </c>
      <c r="EQ281" s="895"/>
      <c r="ER281" s="893"/>
      <c r="ES281" s="838"/>
      <c r="ET281" s="894"/>
      <c r="EU281" s="893"/>
      <c r="EV281" s="838"/>
      <c r="EW281" s="894"/>
      <c r="EX281" s="893"/>
      <c r="EY281" s="838"/>
      <c r="EZ281" s="897"/>
      <c r="FA281" s="893"/>
      <c r="FB281" s="838"/>
      <c r="FC281" s="894"/>
      <c r="FD281" s="893"/>
      <c r="FE281" s="838"/>
      <c r="FF281" s="834"/>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row>
    <row r="282" spans="52:197">
      <c r="AZ282" s="802" t="s">
        <v>13242</v>
      </c>
      <c r="DC282"/>
      <c r="DD282" s="883">
        <v>135</v>
      </c>
      <c r="DE282" s="893"/>
      <c r="DF282" s="838"/>
      <c r="DG282" s="894"/>
      <c r="DH282" s="893"/>
      <c r="DI282" s="838"/>
      <c r="DJ282" s="894"/>
      <c r="DK282" s="893"/>
      <c r="DL282" s="838"/>
      <c r="DM282" s="894"/>
      <c r="DN282" s="893"/>
      <c r="DO282" s="838"/>
      <c r="DP282" s="894"/>
      <c r="DQ282" s="893"/>
      <c r="DR282" s="838"/>
      <c r="DS282" s="894"/>
      <c r="DT282" s="893"/>
      <c r="DU282" s="838"/>
      <c r="DV282" s="894"/>
      <c r="DW282" s="893"/>
      <c r="DX282" s="838"/>
      <c r="DY282" s="895"/>
      <c r="DZ282" s="893"/>
      <c r="EA282" s="838"/>
      <c r="EB282" s="894"/>
      <c r="EC282" s="893"/>
      <c r="ED282" s="838"/>
      <c r="EE282" s="894"/>
      <c r="EF282" s="893"/>
      <c r="EG282" s="838"/>
      <c r="EH282" s="894"/>
      <c r="EI282" s="893"/>
      <c r="EJ282" s="838"/>
      <c r="EK282" s="894"/>
      <c r="EL282" s="893"/>
      <c r="EM282" s="838"/>
      <c r="EN282" s="894"/>
      <c r="EO282" s="896"/>
      <c r="EP282" s="838" t="s">
        <v>15301</v>
      </c>
      <c r="EQ282" s="895"/>
      <c r="ER282" s="893"/>
      <c r="ES282" s="838"/>
      <c r="ET282" s="894"/>
      <c r="EU282" s="893"/>
      <c r="EV282" s="838"/>
      <c r="EW282" s="894"/>
      <c r="EX282" s="893"/>
      <c r="EY282" s="838"/>
      <c r="EZ282" s="897"/>
      <c r="FA282" s="893"/>
      <c r="FB282" s="838"/>
      <c r="FC282" s="894"/>
      <c r="FD282" s="893"/>
      <c r="FE282" s="838"/>
      <c r="FF282" s="834"/>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row>
    <row r="283" spans="52:197">
      <c r="AZ283" s="802" t="s">
        <v>6036</v>
      </c>
      <c r="DC283"/>
      <c r="DD283" s="883">
        <v>136</v>
      </c>
      <c r="DE283" s="893"/>
      <c r="DF283" s="838"/>
      <c r="DG283" s="894"/>
      <c r="DH283" s="893"/>
      <c r="DI283" s="838"/>
      <c r="DJ283" s="894"/>
      <c r="DK283" s="893"/>
      <c r="DL283" s="838"/>
      <c r="DM283" s="894"/>
      <c r="DN283" s="893"/>
      <c r="DO283" s="838"/>
      <c r="DP283" s="894"/>
      <c r="DQ283" s="893"/>
      <c r="DR283" s="838"/>
      <c r="DS283" s="894"/>
      <c r="DT283" s="893"/>
      <c r="DU283" s="838"/>
      <c r="DV283" s="894"/>
      <c r="DW283" s="893"/>
      <c r="DX283" s="838"/>
      <c r="DY283" s="895"/>
      <c r="DZ283" s="893"/>
      <c r="EA283" s="838"/>
      <c r="EB283" s="894"/>
      <c r="EC283" s="893"/>
      <c r="ED283" s="838"/>
      <c r="EE283" s="894"/>
      <c r="EF283" s="893"/>
      <c r="EG283" s="838"/>
      <c r="EH283" s="894"/>
      <c r="EI283" s="893"/>
      <c r="EJ283" s="838"/>
      <c r="EK283" s="894"/>
      <c r="EL283" s="893"/>
      <c r="EM283" s="838"/>
      <c r="EN283" s="894"/>
      <c r="EO283" s="896"/>
      <c r="EP283" s="838" t="s">
        <v>15302</v>
      </c>
      <c r="EQ283" s="895"/>
      <c r="ER283" s="893"/>
      <c r="ES283" s="838"/>
      <c r="ET283" s="894"/>
      <c r="EU283" s="893"/>
      <c r="EV283" s="838"/>
      <c r="EW283" s="894"/>
      <c r="EX283" s="893"/>
      <c r="EY283" s="838"/>
      <c r="EZ283" s="897"/>
      <c r="FA283" s="893"/>
      <c r="FB283" s="838"/>
      <c r="FC283" s="894"/>
      <c r="FD283" s="893"/>
      <c r="FE283" s="838"/>
      <c r="FF283" s="834"/>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row>
    <row r="284" spans="52:197">
      <c r="AZ284" s="802" t="s">
        <v>5936</v>
      </c>
      <c r="DC284"/>
      <c r="DD284" s="883">
        <v>137</v>
      </c>
      <c r="DE284" s="893"/>
      <c r="DF284" s="838"/>
      <c r="DG284" s="894"/>
      <c r="DH284" s="893"/>
      <c r="DI284" s="838"/>
      <c r="DJ284" s="894"/>
      <c r="DK284" s="893"/>
      <c r="DL284" s="838"/>
      <c r="DM284" s="894"/>
      <c r="DN284" s="893"/>
      <c r="DO284" s="838"/>
      <c r="DP284" s="894"/>
      <c r="DQ284" s="893"/>
      <c r="DR284" s="838"/>
      <c r="DS284" s="894"/>
      <c r="DT284" s="893"/>
      <c r="DU284" s="838"/>
      <c r="DV284" s="894"/>
      <c r="DW284" s="893"/>
      <c r="DX284" s="838"/>
      <c r="DY284" s="895"/>
      <c r="DZ284" s="893"/>
      <c r="EA284" s="838"/>
      <c r="EB284" s="894"/>
      <c r="EC284" s="893"/>
      <c r="ED284" s="838"/>
      <c r="EE284" s="894"/>
      <c r="EF284" s="893"/>
      <c r="EG284" s="838"/>
      <c r="EH284" s="894"/>
      <c r="EI284" s="893"/>
      <c r="EJ284" s="838"/>
      <c r="EK284" s="894"/>
      <c r="EL284" s="893"/>
      <c r="EM284" s="838"/>
      <c r="EN284" s="894"/>
      <c r="EO284" s="896"/>
      <c r="EP284" s="838" t="s">
        <v>15293</v>
      </c>
      <c r="EQ284" s="895"/>
      <c r="ER284" s="893"/>
      <c r="ES284" s="838"/>
      <c r="ET284" s="894"/>
      <c r="EU284" s="893"/>
      <c r="EV284" s="838"/>
      <c r="EW284" s="894"/>
      <c r="EX284" s="893"/>
      <c r="EY284" s="838"/>
      <c r="EZ284" s="897"/>
      <c r="FA284" s="893"/>
      <c r="FB284" s="838"/>
      <c r="FC284" s="894"/>
      <c r="FD284" s="893"/>
      <c r="FE284" s="838"/>
      <c r="FF284" s="83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row>
    <row r="285" spans="52:197">
      <c r="AZ285" s="802" t="s">
        <v>6014</v>
      </c>
      <c r="DC285"/>
      <c r="DD285" s="883">
        <v>138</v>
      </c>
      <c r="DE285" s="893"/>
      <c r="DF285" s="838"/>
      <c r="DG285" s="894"/>
      <c r="DH285" s="893"/>
      <c r="DI285" s="838"/>
      <c r="DJ285" s="894"/>
      <c r="DK285" s="893"/>
      <c r="DL285" s="838"/>
      <c r="DM285" s="894"/>
      <c r="DN285" s="893"/>
      <c r="DO285" s="838"/>
      <c r="DP285" s="894"/>
      <c r="DQ285" s="893"/>
      <c r="DR285" s="838"/>
      <c r="DS285" s="894"/>
      <c r="DT285" s="893"/>
      <c r="DU285" s="838"/>
      <c r="DV285" s="894"/>
      <c r="DW285" s="893"/>
      <c r="DX285" s="838"/>
      <c r="DY285" s="895"/>
      <c r="DZ285" s="893"/>
      <c r="EA285" s="838"/>
      <c r="EB285" s="894"/>
      <c r="EC285" s="893"/>
      <c r="ED285" s="838"/>
      <c r="EE285" s="894"/>
      <c r="EF285" s="893"/>
      <c r="EG285" s="838"/>
      <c r="EH285" s="894"/>
      <c r="EI285" s="893"/>
      <c r="EJ285" s="838"/>
      <c r="EK285" s="894"/>
      <c r="EL285" s="893"/>
      <c r="EM285" s="838"/>
      <c r="EN285" s="894"/>
      <c r="EO285" s="896"/>
      <c r="EP285" s="838" t="s">
        <v>15303</v>
      </c>
      <c r="EQ285" s="895"/>
      <c r="ER285" s="893"/>
      <c r="ES285" s="838"/>
      <c r="ET285" s="894"/>
      <c r="EU285" s="893"/>
      <c r="EV285" s="838"/>
      <c r="EW285" s="894"/>
      <c r="EX285" s="893"/>
      <c r="EY285" s="838"/>
      <c r="EZ285" s="897"/>
      <c r="FA285" s="893"/>
      <c r="FB285" s="838"/>
      <c r="FC285" s="894"/>
      <c r="FD285" s="893"/>
      <c r="FE285" s="838"/>
      <c r="FF285" s="834"/>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row>
    <row r="286" spans="52:197">
      <c r="AZ286" s="802" t="s">
        <v>5930</v>
      </c>
      <c r="DC286"/>
      <c r="DD286" s="883">
        <v>139</v>
      </c>
      <c r="DE286" s="893"/>
      <c r="DF286" s="838"/>
      <c r="DG286" s="894"/>
      <c r="DH286" s="893"/>
      <c r="DI286" s="838"/>
      <c r="DJ286" s="894"/>
      <c r="DK286" s="893"/>
      <c r="DL286" s="838"/>
      <c r="DM286" s="894"/>
      <c r="DN286" s="893"/>
      <c r="DO286" s="838"/>
      <c r="DP286" s="894"/>
      <c r="DQ286" s="893"/>
      <c r="DR286" s="838"/>
      <c r="DS286" s="894"/>
      <c r="DT286" s="893"/>
      <c r="DU286" s="838"/>
      <c r="DV286" s="894"/>
      <c r="DW286" s="893"/>
      <c r="DX286" s="838"/>
      <c r="DY286" s="895"/>
      <c r="DZ286" s="893"/>
      <c r="EA286" s="838"/>
      <c r="EB286" s="894"/>
      <c r="EC286" s="893"/>
      <c r="ED286" s="838"/>
      <c r="EE286" s="894"/>
      <c r="EF286" s="893"/>
      <c r="EG286" s="838"/>
      <c r="EH286" s="894"/>
      <c r="EI286" s="893"/>
      <c r="EJ286" s="838"/>
      <c r="EK286" s="894"/>
      <c r="EL286" s="893"/>
      <c r="EM286" s="838"/>
      <c r="EN286" s="894"/>
      <c r="EO286" s="896"/>
      <c r="EP286" s="838" t="s">
        <v>6483</v>
      </c>
      <c r="EQ286" s="895"/>
      <c r="ER286" s="893"/>
      <c r="ES286" s="838"/>
      <c r="ET286" s="894"/>
      <c r="EU286" s="893"/>
      <c r="EV286" s="838"/>
      <c r="EW286" s="894"/>
      <c r="EX286" s="893"/>
      <c r="EY286" s="838"/>
      <c r="EZ286" s="897"/>
      <c r="FA286" s="893"/>
      <c r="FB286" s="838"/>
      <c r="FC286" s="894"/>
      <c r="FD286" s="893"/>
      <c r="FE286" s="838"/>
      <c r="FF286" s="834"/>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row>
    <row r="287" spans="52:197">
      <c r="AZ287" s="802" t="s">
        <v>6110</v>
      </c>
      <c r="DC287"/>
      <c r="DD287" s="883">
        <v>140</v>
      </c>
      <c r="DE287" s="893"/>
      <c r="DF287" s="838"/>
      <c r="DG287" s="894"/>
      <c r="DH287" s="893"/>
      <c r="DI287" s="838"/>
      <c r="DJ287" s="894"/>
      <c r="DK287" s="893"/>
      <c r="DL287" s="838"/>
      <c r="DM287" s="894"/>
      <c r="DN287" s="893"/>
      <c r="DO287" s="838"/>
      <c r="DP287" s="894"/>
      <c r="DQ287" s="893"/>
      <c r="DR287" s="838"/>
      <c r="DS287" s="894"/>
      <c r="DT287" s="893"/>
      <c r="DU287" s="838"/>
      <c r="DV287" s="894"/>
      <c r="DW287" s="893"/>
      <c r="DX287" s="838"/>
      <c r="DY287" s="895"/>
      <c r="DZ287" s="893"/>
      <c r="EA287" s="838"/>
      <c r="EB287" s="894"/>
      <c r="EC287" s="893"/>
      <c r="ED287" s="838"/>
      <c r="EE287" s="894"/>
      <c r="EF287" s="893"/>
      <c r="EG287" s="838"/>
      <c r="EH287" s="894"/>
      <c r="EI287" s="893"/>
      <c r="EJ287" s="838"/>
      <c r="EK287" s="894"/>
      <c r="EL287" s="893"/>
      <c r="EM287" s="838"/>
      <c r="EN287" s="894"/>
      <c r="EO287" s="896"/>
      <c r="EP287" s="838" t="s">
        <v>15304</v>
      </c>
      <c r="EQ287" s="895"/>
      <c r="ER287" s="893"/>
      <c r="ES287" s="838"/>
      <c r="ET287" s="894"/>
      <c r="EU287" s="893"/>
      <c r="EV287" s="838"/>
      <c r="EW287" s="894"/>
      <c r="EX287" s="893"/>
      <c r="EY287" s="838"/>
      <c r="EZ287" s="897"/>
      <c r="FA287" s="893"/>
      <c r="FB287" s="838"/>
      <c r="FC287" s="894"/>
      <c r="FD287" s="893"/>
      <c r="FE287" s="838"/>
      <c r="FF287" s="834"/>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row>
    <row r="288" spans="52:197">
      <c r="AZ288" s="802" t="s">
        <v>5917</v>
      </c>
      <c r="DC288"/>
      <c r="DD288" s="883">
        <v>141</v>
      </c>
      <c r="DE288" s="893"/>
      <c r="DF288" s="838"/>
      <c r="DG288" s="894"/>
      <c r="DH288" s="893"/>
      <c r="DI288" s="838"/>
      <c r="DJ288" s="894"/>
      <c r="DK288" s="893"/>
      <c r="DL288" s="838"/>
      <c r="DM288" s="894"/>
      <c r="DN288" s="893"/>
      <c r="DO288" s="838"/>
      <c r="DP288" s="894"/>
      <c r="DQ288" s="893"/>
      <c r="DR288" s="838"/>
      <c r="DS288" s="894"/>
      <c r="DT288" s="893"/>
      <c r="DU288" s="838"/>
      <c r="DV288" s="894"/>
      <c r="DW288" s="893"/>
      <c r="DX288" s="838"/>
      <c r="DY288" s="895"/>
      <c r="DZ288" s="893"/>
      <c r="EA288" s="838"/>
      <c r="EB288" s="894"/>
      <c r="EC288" s="893"/>
      <c r="ED288" s="838"/>
      <c r="EE288" s="894"/>
      <c r="EF288" s="893"/>
      <c r="EG288" s="838"/>
      <c r="EH288" s="894"/>
      <c r="EI288" s="893"/>
      <c r="EJ288" s="838"/>
      <c r="EK288" s="894"/>
      <c r="EL288" s="893"/>
      <c r="EM288" s="838"/>
      <c r="EN288" s="894"/>
      <c r="EO288" s="896"/>
      <c r="EP288" s="838" t="s">
        <v>15305</v>
      </c>
      <c r="EQ288" s="895"/>
      <c r="ER288" s="893"/>
      <c r="ES288" s="838"/>
      <c r="ET288" s="894"/>
      <c r="EU288" s="893"/>
      <c r="EV288" s="838"/>
      <c r="EW288" s="894"/>
      <c r="EX288" s="893"/>
      <c r="EY288" s="838"/>
      <c r="EZ288" s="897"/>
      <c r="FA288" s="893"/>
      <c r="FB288" s="838"/>
      <c r="FC288" s="894"/>
      <c r="FD288" s="893"/>
      <c r="FE288" s="838"/>
      <c r="FF288" s="834"/>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row>
    <row r="289" spans="52:197">
      <c r="AZ289" s="802" t="s">
        <v>5872</v>
      </c>
      <c r="DC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row>
    <row r="290" spans="52:197">
      <c r="AZ290" s="802" t="s">
        <v>5882</v>
      </c>
      <c r="DC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row>
    <row r="291" spans="52:197">
      <c r="AZ291" s="802" t="s">
        <v>5896</v>
      </c>
      <c r="DC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row>
    <row r="292" spans="52:197">
      <c r="AZ292" s="802" t="s">
        <v>6047</v>
      </c>
      <c r="DC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row>
    <row r="293" spans="52:197">
      <c r="AZ293" s="802" t="s">
        <v>6187</v>
      </c>
      <c r="DC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row>
    <row r="294" spans="52:197">
      <c r="AZ294" s="802" t="s">
        <v>6115</v>
      </c>
      <c r="DC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row>
    <row r="295" spans="52:197">
      <c r="AZ295" s="802" t="s">
        <v>6211</v>
      </c>
      <c r="DC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row>
    <row r="296" spans="52:197">
      <c r="AZ296" s="802" t="s">
        <v>6006</v>
      </c>
      <c r="DC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row>
    <row r="297" spans="52:197">
      <c r="AZ297" s="802" t="s">
        <v>6114</v>
      </c>
      <c r="DC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row>
    <row r="298" spans="52:197">
      <c r="AZ298" s="802" t="s">
        <v>5903</v>
      </c>
      <c r="DC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row>
    <row r="299" spans="52:197">
      <c r="AZ299" s="802" t="s">
        <v>5904</v>
      </c>
      <c r="DC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row>
    <row r="300" spans="52:197">
      <c r="AZ300" s="802" t="s">
        <v>6083</v>
      </c>
      <c r="DC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row>
    <row r="301" spans="52:197">
      <c r="AZ301" s="802" t="s">
        <v>6147</v>
      </c>
      <c r="DC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row>
    <row r="302" spans="52:197">
      <c r="AZ302" s="802" t="s">
        <v>6132</v>
      </c>
      <c r="DC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row>
    <row r="303" spans="52:197">
      <c r="AZ303" s="802" t="s">
        <v>6048</v>
      </c>
      <c r="DC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row>
    <row r="304" spans="52:197">
      <c r="AZ304" s="802" t="s">
        <v>5956</v>
      </c>
      <c r="DC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row>
    <row r="305" spans="52:197">
      <c r="AZ305" s="802" t="s">
        <v>5940</v>
      </c>
      <c r="DC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row>
    <row r="306" spans="52:197">
      <c r="AZ306" s="802" t="s">
        <v>6233</v>
      </c>
      <c r="DC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row>
    <row r="307" spans="52:197">
      <c r="AZ307" s="802" t="s">
        <v>6196</v>
      </c>
      <c r="DC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row>
    <row r="308" spans="52:197">
      <c r="AZ308" s="802" t="s">
        <v>6142</v>
      </c>
      <c r="DC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row>
    <row r="309" spans="52:197">
      <c r="AZ309" s="802" t="s">
        <v>6193</v>
      </c>
      <c r="DC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row>
    <row r="310" spans="52:197">
      <c r="AZ310" s="802" t="s">
        <v>5912</v>
      </c>
      <c r="DC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row>
    <row r="311" spans="52:197">
      <c r="AZ311" s="802" t="s">
        <v>6120</v>
      </c>
      <c r="DC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row>
    <row r="312" spans="52:197">
      <c r="AZ312" s="802" t="s">
        <v>6050</v>
      </c>
      <c r="DC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row>
    <row r="313" spans="52:197">
      <c r="AZ313" s="802" t="s">
        <v>6000</v>
      </c>
      <c r="DC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row>
    <row r="314" spans="52:197">
      <c r="AZ314" s="802" t="s">
        <v>5919</v>
      </c>
      <c r="DC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row>
    <row r="315" spans="52:197">
      <c r="AZ315" s="802" t="s">
        <v>6088</v>
      </c>
      <c r="DC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row>
    <row r="316" spans="52:197">
      <c r="AZ316" s="802" t="s">
        <v>6023</v>
      </c>
      <c r="DC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row>
    <row r="317" spans="52:197">
      <c r="AZ317" s="802" t="s">
        <v>6197</v>
      </c>
      <c r="DC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row>
    <row r="318" spans="52:197">
      <c r="AZ318" s="802" t="s">
        <v>6010</v>
      </c>
      <c r="DC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row>
    <row r="319" spans="52:197">
      <c r="AZ319" s="802" t="s">
        <v>6049</v>
      </c>
      <c r="DC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row>
    <row r="320" spans="52:197">
      <c r="AZ320" s="802" t="s">
        <v>6008</v>
      </c>
      <c r="DC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row>
    <row r="321" spans="52:197">
      <c r="AZ321" s="802" t="s">
        <v>5944</v>
      </c>
      <c r="DC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row>
    <row r="322" spans="52:197">
      <c r="AZ322" s="802" t="s">
        <v>6165</v>
      </c>
      <c r="DC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row>
    <row r="323" spans="52:197">
      <c r="AZ323" s="802" t="s">
        <v>5958</v>
      </c>
      <c r="DC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row>
    <row r="324" spans="52:197">
      <c r="AZ324" s="802" t="s">
        <v>5948</v>
      </c>
      <c r="DC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row>
    <row r="325" spans="52:197">
      <c r="AZ325" s="802" t="s">
        <v>5935</v>
      </c>
      <c r="DC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row>
    <row r="326" spans="52:197">
      <c r="AZ326" s="802" t="s">
        <v>6230</v>
      </c>
      <c r="DC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row>
    <row r="327" spans="52:197">
      <c r="AZ327" s="802" t="s">
        <v>6117</v>
      </c>
      <c r="DC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row>
    <row r="328" spans="52:197">
      <c r="AZ328" s="802" t="s">
        <v>6065</v>
      </c>
      <c r="DC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row>
    <row r="329" spans="52:197">
      <c r="AZ329" s="802" t="s">
        <v>5960</v>
      </c>
      <c r="DC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row>
    <row r="330" spans="52:197">
      <c r="AZ330" s="802" t="s">
        <v>3171</v>
      </c>
      <c r="DC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row>
    <row r="331" spans="52:197">
      <c r="AZ331" s="802" t="s">
        <v>5990</v>
      </c>
      <c r="DC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row>
    <row r="332" spans="52:197">
      <c r="AZ332" s="802" t="s">
        <v>6121</v>
      </c>
      <c r="DC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row>
    <row r="333" spans="52:197">
      <c r="AZ333" s="802" t="s">
        <v>6144</v>
      </c>
      <c r="DC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row>
    <row r="334" spans="52:197">
      <c r="AZ334" s="802" t="s">
        <v>5962</v>
      </c>
      <c r="DC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row>
    <row r="335" spans="52:197">
      <c r="AZ335" s="802" t="s">
        <v>5953</v>
      </c>
      <c r="DC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row>
    <row r="336" spans="52:197">
      <c r="AZ336" s="802" t="s">
        <v>6231</v>
      </c>
      <c r="DC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row>
    <row r="337" spans="52:197">
      <c r="AZ337" s="802" t="s">
        <v>5964</v>
      </c>
      <c r="DC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row>
    <row r="338" spans="52:197">
      <c r="AZ338" s="802" t="s">
        <v>5955</v>
      </c>
      <c r="DC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row>
    <row r="339" spans="52:197">
      <c r="AZ339" s="802" t="s">
        <v>6026</v>
      </c>
      <c r="DC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row>
    <row r="340" spans="52:197">
      <c r="AZ340" s="802" t="s">
        <v>6082</v>
      </c>
      <c r="DC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row>
    <row r="341" spans="52:197">
      <c r="AZ341" s="802" t="s">
        <v>6150</v>
      </c>
      <c r="DC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row>
    <row r="342" spans="52:197">
      <c r="AZ342" s="802" t="s">
        <v>6019</v>
      </c>
      <c r="DC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row>
    <row r="343" spans="52:197">
      <c r="AZ343" s="802" t="s">
        <v>5957</v>
      </c>
      <c r="DC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row>
    <row r="344" spans="52:197">
      <c r="AZ344" s="802" t="s">
        <v>5939</v>
      </c>
      <c r="DC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row>
    <row r="345" spans="52:197">
      <c r="AZ345" s="802" t="s">
        <v>5943</v>
      </c>
      <c r="DC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row>
    <row r="346" spans="52:197">
      <c r="AZ346" s="802" t="s">
        <v>2768</v>
      </c>
      <c r="DC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row>
    <row r="347" spans="52:197">
      <c r="AZ347" s="802" t="s">
        <v>6009</v>
      </c>
      <c r="DC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row>
    <row r="348" spans="52:197">
      <c r="AZ348" s="802" t="s">
        <v>13241</v>
      </c>
      <c r="DC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row>
    <row r="349" spans="52:197">
      <c r="AZ349" s="802" t="s">
        <v>6007</v>
      </c>
      <c r="DC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row>
    <row r="350" spans="52:197">
      <c r="AZ350" s="802" t="s">
        <v>6162</v>
      </c>
      <c r="DC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row>
    <row r="351" spans="52:197">
      <c r="AZ351" s="802" t="s">
        <v>5947</v>
      </c>
      <c r="DC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row>
    <row r="352" spans="52:197">
      <c r="AZ352" s="802" t="s">
        <v>6034</v>
      </c>
      <c r="DC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row>
    <row r="353" spans="52:197">
      <c r="AZ353" s="802" t="s">
        <v>6040</v>
      </c>
      <c r="DC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row>
    <row r="354" spans="52:197">
      <c r="AZ354" s="802" t="s">
        <v>6146</v>
      </c>
      <c r="DC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row>
    <row r="355" spans="52:197">
      <c r="AZ355" s="802" t="s">
        <v>6074</v>
      </c>
      <c r="DC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row>
    <row r="356" spans="52:197">
      <c r="AZ356" s="802" t="s">
        <v>5965</v>
      </c>
      <c r="DC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row>
    <row r="357" spans="52:197">
      <c r="AZ357" s="802" t="s">
        <v>6116</v>
      </c>
      <c r="DC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row>
    <row r="358" spans="52:197">
      <c r="AZ358" s="802" t="s">
        <v>6094</v>
      </c>
      <c r="DC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row>
    <row r="359" spans="52:197">
      <c r="AZ359" s="802" t="s">
        <v>6171</v>
      </c>
      <c r="DC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row>
    <row r="360" spans="52:197">
      <c r="AZ360" s="802" t="s">
        <v>13240</v>
      </c>
      <c r="DC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row>
    <row r="361" spans="52:197">
      <c r="AZ361" s="802" t="s">
        <v>5923</v>
      </c>
      <c r="DC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row>
    <row r="362" spans="52:197">
      <c r="AZ362" s="802" t="s">
        <v>5959</v>
      </c>
      <c r="DC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row>
    <row r="363" spans="52:197">
      <c r="AZ363" s="802" t="s">
        <v>6212</v>
      </c>
      <c r="DC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row>
    <row r="364" spans="52:197">
      <c r="AZ364" s="802" t="s">
        <v>6232</v>
      </c>
      <c r="DC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row>
    <row r="365" spans="52:197">
      <c r="AZ365" s="802" t="s">
        <v>3120</v>
      </c>
      <c r="DC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row>
    <row r="366" spans="52:197">
      <c r="AZ366" s="802" t="s">
        <v>5952</v>
      </c>
      <c r="DC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row>
    <row r="367" spans="52:197">
      <c r="AZ367" s="802" t="s">
        <v>6195</v>
      </c>
      <c r="DC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row>
    <row r="368" spans="52:197">
      <c r="AZ368" s="802" t="s">
        <v>6027</v>
      </c>
      <c r="DC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row>
    <row r="369" spans="52:197">
      <c r="AZ369" s="802" t="s">
        <v>6124</v>
      </c>
      <c r="DC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row>
    <row r="370" spans="52:197">
      <c r="AZ370" s="802" t="s">
        <v>6128</v>
      </c>
      <c r="DC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row>
    <row r="371" spans="52:197">
      <c r="AZ371" s="802" t="s">
        <v>6166</v>
      </c>
      <c r="DC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row>
    <row r="372" spans="52:197">
      <c r="AZ372" s="802" t="s">
        <v>5961</v>
      </c>
      <c r="DC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row>
    <row r="373" spans="52:197">
      <c r="AZ373" s="802" t="s">
        <v>6119</v>
      </c>
      <c r="DC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row>
    <row r="374" spans="52:197">
      <c r="AZ374" s="802" t="s">
        <v>6208</v>
      </c>
      <c r="DC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row>
    <row r="375" spans="52:197">
      <c r="AZ375" s="802" t="s">
        <v>5951</v>
      </c>
      <c r="DC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row>
    <row r="376" spans="52:197">
      <c r="AZ376" s="802" t="s">
        <v>6126</v>
      </c>
      <c r="DC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row>
    <row r="377" spans="52:197">
      <c r="AZ377" s="802" t="s">
        <v>13239</v>
      </c>
      <c r="DC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row>
    <row r="378" spans="52:197">
      <c r="AZ378" s="802" t="s">
        <v>4766</v>
      </c>
      <c r="DC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row>
    <row r="379" spans="52:197">
      <c r="AZ379" s="802" t="s">
        <v>5889</v>
      </c>
      <c r="DC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row>
    <row r="380" spans="52:197">
      <c r="AZ380" s="802" t="s">
        <v>6081</v>
      </c>
      <c r="DC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row>
    <row r="381" spans="52:197">
      <c r="AZ381" s="802" t="s">
        <v>5911</v>
      </c>
      <c r="DC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row>
    <row r="382" spans="52:197">
      <c r="AZ382" s="802" t="s">
        <v>5928</v>
      </c>
      <c r="DC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row>
    <row r="383" spans="52:197">
      <c r="AZ383" s="802" t="s">
        <v>6099</v>
      </c>
      <c r="DC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row>
    <row r="384" spans="52:197">
      <c r="AZ384" s="802" t="s">
        <v>5963</v>
      </c>
      <c r="DC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row>
    <row r="385" spans="52:197">
      <c r="AZ385" s="802" t="s">
        <v>6198</v>
      </c>
      <c r="DC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row>
    <row r="386" spans="52:197">
      <c r="AZ386" s="802" t="s">
        <v>5932</v>
      </c>
      <c r="DC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row>
    <row r="387" spans="52:197">
      <c r="AZ387" s="802" t="s">
        <v>6149</v>
      </c>
      <c r="DC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row>
    <row r="388" spans="52:197">
      <c r="AZ388" s="802" t="s">
        <v>6037</v>
      </c>
      <c r="DC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row>
    <row r="389" spans="52:197">
      <c r="AZ389" s="802" t="s">
        <v>6234</v>
      </c>
      <c r="DC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row>
    <row r="390" spans="52:197">
      <c r="AZ390" s="802" t="s">
        <v>4035</v>
      </c>
      <c r="DC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row>
    <row r="391" spans="52:197">
      <c r="AZ391" s="802" t="s">
        <v>6152</v>
      </c>
      <c r="DC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row>
    <row r="392" spans="52:197">
      <c r="AZ392" s="802" t="s">
        <v>6104</v>
      </c>
      <c r="DC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row>
    <row r="393" spans="52:197">
      <c r="AZ393" s="802" t="s">
        <v>6123</v>
      </c>
      <c r="DC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row>
    <row r="394" spans="52:197">
      <c r="AZ394" s="802" t="s">
        <v>6122</v>
      </c>
      <c r="DC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row>
    <row r="395" spans="52:197">
      <c r="AZ395" s="802" t="s">
        <v>6051</v>
      </c>
      <c r="DC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row>
    <row r="396" spans="52:197">
      <c r="AZ396" s="802" t="s">
        <v>5966</v>
      </c>
      <c r="DC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row>
    <row r="397" spans="52:197">
      <c r="AZ397" s="802" t="s">
        <v>2955</v>
      </c>
      <c r="DC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row>
    <row r="398" spans="52:197">
      <c r="AZ398" s="802" t="s">
        <v>6052</v>
      </c>
      <c r="DC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row>
    <row r="399" spans="52:197">
      <c r="AZ399" s="802" t="s">
        <v>6131</v>
      </c>
      <c r="DC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row>
    <row r="400" spans="52:197">
      <c r="AZ400" s="802" t="s">
        <v>6068</v>
      </c>
      <c r="DC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row>
    <row r="401" spans="52:197">
      <c r="AZ401" s="802" t="s">
        <v>6228</v>
      </c>
      <c r="DC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row>
    <row r="402" spans="52:197">
      <c r="AZ402" s="802" t="s">
        <v>6093</v>
      </c>
      <c r="DC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row>
    <row r="403" spans="52:197">
      <c r="AZ403" s="802" t="s">
        <v>6127</v>
      </c>
      <c r="DC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row>
    <row r="404" spans="52:197">
      <c r="AZ404" s="802" t="s">
        <v>6025</v>
      </c>
      <c r="DC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row>
    <row r="405" spans="52:197">
      <c r="AZ405" s="802" t="s">
        <v>6209</v>
      </c>
      <c r="DC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row>
    <row r="406" spans="52:197">
      <c r="AZ406" s="802" t="s">
        <v>6151</v>
      </c>
      <c r="DC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row>
    <row r="407" spans="52:197">
      <c r="AZ407" s="802" t="s">
        <v>6044</v>
      </c>
      <c r="DC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row>
    <row r="408" spans="52:197">
      <c r="AZ408" s="802" t="s">
        <v>6167</v>
      </c>
      <c r="DC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row>
    <row r="409" spans="52:197">
      <c r="AZ409" s="802" t="s">
        <v>5967</v>
      </c>
      <c r="DC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row>
    <row r="410" spans="52:197">
      <c r="DC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row>
    <row r="411" spans="52:197">
      <c r="DC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row>
    <row r="412" spans="52:197">
      <c r="DC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row>
    <row r="413" spans="52:197">
      <c r="DC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row>
    <row r="414" spans="52:197">
      <c r="DC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row>
    <row r="415" spans="52:197">
      <c r="DC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row>
    <row r="416" spans="52:197">
      <c r="DC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row>
    <row r="417" spans="107:197">
      <c r="DC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row>
    <row r="418" spans="107:197">
      <c r="DC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row>
    <row r="419" spans="107:197">
      <c r="DC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row>
    <row r="420" spans="107:197">
      <c r="DC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row>
    <row r="421" spans="107:197">
      <c r="DC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row>
    <row r="422" spans="107:197">
      <c r="DC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row>
    <row r="423" spans="107:197">
      <c r="DC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row>
    <row r="424" spans="107:197">
      <c r="DC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row>
    <row r="425" spans="107:197">
      <c r="DC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row>
    <row r="426" spans="107:197">
      <c r="DC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row>
    <row r="427" spans="107:197">
      <c r="DC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row>
    <row r="428" spans="107:197">
      <c r="DC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row>
    <row r="429" spans="107:197">
      <c r="DC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row>
    <row r="430" spans="107:197">
      <c r="DC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row>
    <row r="431" spans="107:197">
      <c r="DC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row>
    <row r="432" spans="107:197">
      <c r="DC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row>
    <row r="433" spans="107:197">
      <c r="DC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row>
    <row r="434" spans="107:197">
      <c r="DC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row>
    <row r="435" spans="107:197">
      <c r="DC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row>
    <row r="436" spans="107:197">
      <c r="DC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row>
    <row r="437" spans="107:197">
      <c r="DC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row>
    <row r="438" spans="107:197">
      <c r="DC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row>
    <row r="439" spans="107:197">
      <c r="DC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row>
    <row r="440" spans="107:197">
      <c r="DC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row>
    <row r="441" spans="107:197">
      <c r="DC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row>
    <row r="442" spans="107:197">
      <c r="DC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row>
    <row r="443" spans="107:197">
      <c r="DC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row>
    <row r="444" spans="107:197">
      <c r="DC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row>
    <row r="445" spans="107:197">
      <c r="DC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row>
    <row r="446" spans="107:197">
      <c r="DC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row>
    <row r="447" spans="107:197">
      <c r="DC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row>
    <row r="448" spans="107:197">
      <c r="DC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row>
    <row r="449" spans="107:197">
      <c r="DC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row>
    <row r="450" spans="107:197">
      <c r="DC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row>
    <row r="451" spans="107:197">
      <c r="DC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row>
    <row r="452" spans="107:197">
      <c r="DC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row>
    <row r="453" spans="107:197">
      <c r="DC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row>
    <row r="454" spans="107:197">
      <c r="DC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row>
    <row r="455" spans="107:197">
      <c r="DC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row>
    <row r="456" spans="107:197">
      <c r="DC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row>
    <row r="457" spans="107:197">
      <c r="DC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row>
    <row r="458" spans="107:197">
      <c r="DC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row>
    <row r="459" spans="107:197">
      <c r="DC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row>
    <row r="460" spans="107:197">
      <c r="DC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row>
    <row r="461" spans="107:197">
      <c r="DC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row>
    <row r="462" spans="107:197">
      <c r="DC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row>
    <row r="463" spans="107:197">
      <c r="DC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row>
    <row r="464" spans="107:197">
      <c r="DC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row>
    <row r="465" spans="107:197">
      <c r="DC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row>
    <row r="466" spans="107:197">
      <c r="DC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row>
    <row r="467" spans="107:197">
      <c r="DC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row>
    <row r="468" spans="107:197">
      <c r="DC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row>
    <row r="469" spans="107:197">
      <c r="DC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row>
    <row r="470" spans="107:197">
      <c r="DC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row>
    <row r="471" spans="107:197">
      <c r="DC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row>
    <row r="472" spans="107:197">
      <c r="DC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row>
    <row r="473" spans="107:197">
      <c r="DC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row>
    <row r="474" spans="107:197">
      <c r="DC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row>
    <row r="475" spans="107:197">
      <c r="DC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row>
    <row r="476" spans="107:197">
      <c r="DC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row>
    <row r="477" spans="107:197">
      <c r="DC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row>
    <row r="478" spans="107:197">
      <c r="DC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row>
    <row r="479" spans="107:197">
      <c r="DC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row>
    <row r="480" spans="107:197">
      <c r="DC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row>
    <row r="481" spans="107:197">
      <c r="DC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row>
    <row r="482" spans="107:197">
      <c r="DC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row>
    <row r="483" spans="107:197">
      <c r="DC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row>
    <row r="484" spans="107:197">
      <c r="DC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row>
    <row r="485" spans="107:197">
      <c r="DC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row>
    <row r="486" spans="107:197">
      <c r="DC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row>
    <row r="487" spans="107:197">
      <c r="DC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row>
    <row r="488" spans="107:197">
      <c r="DC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row>
    <row r="489" spans="107:197">
      <c r="DC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row>
    <row r="490" spans="107:197">
      <c r="DC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row>
    <row r="491" spans="107:197">
      <c r="DC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row>
    <row r="492" spans="107:197">
      <c r="DC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row>
    <row r="493" spans="107:197">
      <c r="DC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row>
    <row r="494" spans="107:197">
      <c r="DC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row>
    <row r="495" spans="107:197">
      <c r="DC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row>
    <row r="496" spans="107:197">
      <c r="DC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row>
    <row r="497" spans="107:197">
      <c r="DC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row>
    <row r="498" spans="107:197">
      <c r="DC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row>
    <row r="499" spans="107:197">
      <c r="DC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row>
    <row r="500" spans="107:197">
      <c r="DC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row>
    <row r="501" spans="107:197">
      <c r="DC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row>
    <row r="502" spans="107:197">
      <c r="DC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row>
    <row r="503" spans="107:197">
      <c r="DC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row>
    <row r="504" spans="107:197">
      <c r="DC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row>
    <row r="505" spans="107:197">
      <c r="DC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row>
    <row r="506" spans="107:197">
      <c r="DC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row>
    <row r="507" spans="107:197">
      <c r="DC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row>
    <row r="508" spans="107:197">
      <c r="DC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row>
    <row r="509" spans="107:197">
      <c r="DC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row>
    <row r="510" spans="107:197">
      <c r="DC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row>
    <row r="511" spans="107:197">
      <c r="DC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row>
    <row r="512" spans="107:197">
      <c r="DC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row>
    <row r="513" spans="107:197">
      <c r="DC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row>
    <row r="514" spans="107:197">
      <c r="DC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row>
    <row r="515" spans="107:197">
      <c r="DC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row>
    <row r="516" spans="107:197">
      <c r="DC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row>
    <row r="517" spans="107:197">
      <c r="DC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row>
    <row r="518" spans="107:197">
      <c r="DC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row>
    <row r="519" spans="107:197">
      <c r="DC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row>
    <row r="520" spans="107:197">
      <c r="DC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row>
    <row r="521" spans="107:197">
      <c r="DC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row>
    <row r="522" spans="107:197">
      <c r="DC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row>
    <row r="523" spans="107:197">
      <c r="DC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row>
    <row r="524" spans="107:197">
      <c r="DC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row>
    <row r="525" spans="107:197">
      <c r="DC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row>
    <row r="526" spans="107:197">
      <c r="DC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row>
    <row r="527" spans="107:197">
      <c r="DC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row>
    <row r="528" spans="107:197">
      <c r="DC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row>
    <row r="529" spans="107:197">
      <c r="DC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row>
    <row r="530" spans="107:197">
      <c r="DC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row>
    <row r="531" spans="107:197">
      <c r="DC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row>
    <row r="532" spans="107:197">
      <c r="DC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row>
    <row r="533" spans="107:197">
      <c r="DC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row>
    <row r="534" spans="107:197">
      <c r="DC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row>
    <row r="535" spans="107:197">
      <c r="DC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row>
    <row r="536" spans="107:197">
      <c r="DC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row>
    <row r="537" spans="107:197">
      <c r="DC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row>
    <row r="538" spans="107:197">
      <c r="DC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row>
    <row r="539" spans="107:197">
      <c r="DC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row>
    <row r="540" spans="107:197">
      <c r="DC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row>
    <row r="541" spans="107:197">
      <c r="DC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row>
    <row r="542" spans="107:197">
      <c r="DC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row>
    <row r="543" spans="107:197">
      <c r="DC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row>
    <row r="544" spans="107:197">
      <c r="DC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row>
    <row r="545" spans="107:197">
      <c r="DC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row>
    <row r="546" spans="107:197">
      <c r="DC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row>
    <row r="547" spans="107:197">
      <c r="DC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row>
    <row r="548" spans="107:197">
      <c r="DC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row>
    <row r="549" spans="107:197">
      <c r="DC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row>
    <row r="550" spans="107:197">
      <c r="DC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row>
    <row r="551" spans="107:197">
      <c r="DC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row>
    <row r="552" spans="107:197">
      <c r="DC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row>
    <row r="553" spans="107:197">
      <c r="DC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row>
    <row r="554" spans="107:197">
      <c r="DC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row>
    <row r="555" spans="107:197">
      <c r="DC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row>
    <row r="556" spans="107:197">
      <c r="DC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row>
    <row r="557" spans="107:197">
      <c r="DC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row>
    <row r="558" spans="107:197">
      <c r="DC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row>
    <row r="559" spans="107:197">
      <c r="DC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row>
    <row r="560" spans="107:197">
      <c r="DC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row>
    <row r="561" spans="107:197">
      <c r="DC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row>
    <row r="562" spans="107:197">
      <c r="DC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row>
    <row r="563" spans="107:197">
      <c r="DC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row>
    <row r="564" spans="107:197">
      <c r="DC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row>
    <row r="565" spans="107:197">
      <c r="DC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row>
    <row r="566" spans="107:197">
      <c r="DC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row>
    <row r="567" spans="107:197">
      <c r="DC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row>
    <row r="568" spans="107:197">
      <c r="DC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row>
    <row r="569" spans="107:197">
      <c r="DC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row>
    <row r="570" spans="107:197">
      <c r="DC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row>
    <row r="571" spans="107:197">
      <c r="DC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row>
    <row r="572" spans="107:197">
      <c r="DC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row>
    <row r="573" spans="107:197">
      <c r="DC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row>
    <row r="574" spans="107:197">
      <c r="DC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row>
    <row r="575" spans="107:197">
      <c r="DC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row>
    <row r="576" spans="107:197">
      <c r="DC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row>
    <row r="577" spans="107:197">
      <c r="DC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row>
    <row r="578" spans="107:197">
      <c r="DC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row>
    <row r="579" spans="107:197">
      <c r="DC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row>
    <row r="580" spans="107:197">
      <c r="DC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row>
    <row r="581" spans="107:197">
      <c r="DC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row>
    <row r="582" spans="107:197">
      <c r="DC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row>
    <row r="583" spans="107:197">
      <c r="DC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row>
    <row r="584" spans="107:197">
      <c r="DC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row>
    <row r="585" spans="107:197">
      <c r="DC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row>
    <row r="586" spans="107:197">
      <c r="DC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row>
    <row r="587" spans="107:197">
      <c r="DC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row>
    <row r="588" spans="107:197">
      <c r="DC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row>
    <row r="589" spans="107:197">
      <c r="DC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row>
    <row r="590" spans="107:197">
      <c r="DC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row>
    <row r="591" spans="107:197">
      <c r="DC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row>
    <row r="592" spans="107:197">
      <c r="DC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row>
    <row r="593" spans="107:197">
      <c r="DC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row>
    <row r="594" spans="107:197">
      <c r="DC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row>
    <row r="595" spans="107:197">
      <c r="DC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row>
    <row r="596" spans="107:197">
      <c r="DC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row>
    <row r="597" spans="107:197">
      <c r="DC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row>
    <row r="598" spans="107:197">
      <c r="DC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row>
    <row r="599" spans="107:197">
      <c r="DC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row>
    <row r="600" spans="107:197">
      <c r="DC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row>
    <row r="601" spans="107:197">
      <c r="DC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row>
    <row r="602" spans="107:197">
      <c r="DC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row>
    <row r="603" spans="107:197">
      <c r="DC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row>
    <row r="604" spans="107:197">
      <c r="DC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row>
    <row r="605" spans="107:197">
      <c r="DC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row>
    <row r="606" spans="107:197">
      <c r="DC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row>
    <row r="607" spans="107:197">
      <c r="DC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row>
    <row r="608" spans="107:197">
      <c r="DC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row>
    <row r="609" spans="107:197">
      <c r="DC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row>
    <row r="610" spans="107:197">
      <c r="DC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row>
    <row r="611" spans="107:197">
      <c r="DC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row>
    <row r="612" spans="107:197">
      <c r="DC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row>
    <row r="613" spans="107:197">
      <c r="DC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row>
    <row r="614" spans="107:197">
      <c r="DC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row>
    <row r="615" spans="107:197">
      <c r="DC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row>
    <row r="616" spans="107:197">
      <c r="DC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row>
    <row r="617" spans="107:197">
      <c r="DC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row>
    <row r="618" spans="107:197">
      <c r="DC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row>
    <row r="619" spans="107:197">
      <c r="DC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row>
    <row r="620" spans="107:197">
      <c r="DC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row>
    <row r="621" spans="107:197">
      <c r="DC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row>
    <row r="622" spans="107:197">
      <c r="DC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row>
    <row r="623" spans="107:197">
      <c r="DC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row>
    <row r="624" spans="107:197">
      <c r="DC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row>
    <row r="625" spans="107:197">
      <c r="DC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row>
    <row r="626" spans="107:197">
      <c r="DC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row>
    <row r="627" spans="107:197">
      <c r="DC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row>
    <row r="628" spans="107:197">
      <c r="DC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row>
    <row r="629" spans="107:197">
      <c r="DC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row>
    <row r="630" spans="107:197">
      <c r="DC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row>
    <row r="631" spans="107:197">
      <c r="DC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row>
    <row r="632" spans="107:197">
      <c r="DC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row>
    <row r="633" spans="107:197">
      <c r="DC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row>
    <row r="634" spans="107:197">
      <c r="DC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row>
    <row r="635" spans="107:197">
      <c r="DC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row>
    <row r="636" spans="107:197">
      <c r="DC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row>
    <row r="637" spans="107:197">
      <c r="DC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row>
    <row r="638" spans="107:197">
      <c r="DC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row>
    <row r="639" spans="107:197">
      <c r="DC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row>
    <row r="640" spans="107:197">
      <c r="DC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row>
    <row r="641" spans="107:197">
      <c r="DC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row>
    <row r="642" spans="107:197">
      <c r="DC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row>
    <row r="643" spans="107:197">
      <c r="DC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row>
    <row r="644" spans="107:197">
      <c r="DC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row>
    <row r="645" spans="107:197">
      <c r="DC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row>
    <row r="646" spans="107:197">
      <c r="DC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row>
    <row r="647" spans="107:197">
      <c r="DC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row>
    <row r="648" spans="107:197">
      <c r="DC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row>
    <row r="649" spans="107:197">
      <c r="DC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row>
    <row r="650" spans="107:197">
      <c r="DC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row>
    <row r="651" spans="107:197">
      <c r="DC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row>
    <row r="652" spans="107:197">
      <c r="DC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row>
    <row r="653" spans="107:197">
      <c r="DC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row>
    <row r="654" spans="107:197">
      <c r="DC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row>
    <row r="655" spans="107:197">
      <c r="DC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row>
    <row r="656" spans="107:197">
      <c r="DC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row>
    <row r="657" spans="107:197">
      <c r="DC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row>
    <row r="658" spans="107:197">
      <c r="DC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row>
    <row r="659" spans="107:197">
      <c r="DC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row>
    <row r="660" spans="107:197">
      <c r="DC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row>
    <row r="661" spans="107:197">
      <c r="DC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row>
    <row r="662" spans="107:197">
      <c r="DC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row>
    <row r="663" spans="107:197">
      <c r="DC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row>
    <row r="664" spans="107:197">
      <c r="DC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row>
    <row r="665" spans="107:197">
      <c r="DC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row>
    <row r="666" spans="107:197">
      <c r="DC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row>
    <row r="667" spans="107:197">
      <c r="DC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row>
    <row r="668" spans="107:197">
      <c r="DC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row>
    <row r="669" spans="107:197">
      <c r="DC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row>
    <row r="670" spans="107:197">
      <c r="DC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row>
    <row r="671" spans="107:197">
      <c r="DC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row>
    <row r="672" spans="107:197">
      <c r="DC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row>
    <row r="673" spans="107:197">
      <c r="DC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row>
    <row r="674" spans="107:197">
      <c r="DC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row>
    <row r="675" spans="107:197">
      <c r="DC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row>
    <row r="676" spans="107:197">
      <c r="DC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row>
    <row r="677" spans="107:197">
      <c r="DC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row>
    <row r="678" spans="107:197">
      <c r="DC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row>
    <row r="679" spans="107:197">
      <c r="DC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row>
    <row r="680" spans="107:197">
      <c r="DC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row>
    <row r="681" spans="107:197">
      <c r="DC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row>
    <row r="682" spans="107:197">
      <c r="DC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row>
    <row r="683" spans="107:197">
      <c r="DC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row>
    <row r="684" spans="107:197">
      <c r="DC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row>
    <row r="685" spans="107:197">
      <c r="DC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row>
    <row r="686" spans="107:197">
      <c r="DC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row>
    <row r="687" spans="107:197">
      <c r="DC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row>
    <row r="688" spans="107:197">
      <c r="DC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row>
    <row r="689" spans="107:197">
      <c r="DC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row>
    <row r="690" spans="107:197">
      <c r="DC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row>
    <row r="691" spans="107:197">
      <c r="DC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row>
    <row r="692" spans="107:197">
      <c r="DC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row>
    <row r="693" spans="107:197">
      <c r="DC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row>
    <row r="694" spans="107:197">
      <c r="DC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row>
    <row r="695" spans="107:197">
      <c r="DC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row>
    <row r="696" spans="107:197">
      <c r="DC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row>
    <row r="697" spans="107:197">
      <c r="DC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row>
    <row r="698" spans="107:197">
      <c r="DC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row>
    <row r="699" spans="107:197">
      <c r="DC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row>
    <row r="700" spans="107:197">
      <c r="DC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row>
    <row r="701" spans="107:197">
      <c r="DC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row>
    <row r="702" spans="107:197">
      <c r="DC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row>
    <row r="703" spans="107:197">
      <c r="DC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row>
    <row r="704" spans="107:197">
      <c r="DC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row>
    <row r="705" spans="107:197">
      <c r="DC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row>
    <row r="706" spans="107:197">
      <c r="DC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row>
    <row r="707" spans="107:197">
      <c r="DC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row>
    <row r="708" spans="107:197">
      <c r="DC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row>
    <row r="709" spans="107:197">
      <c r="DC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row>
    <row r="710" spans="107:197">
      <c r="DC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row>
    <row r="711" spans="107:197">
      <c r="DC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row>
    <row r="712" spans="107:197">
      <c r="DC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row>
    <row r="713" spans="107:197">
      <c r="DC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row>
    <row r="714" spans="107:197">
      <c r="DC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row>
    <row r="715" spans="107:197">
      <c r="DC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row>
    <row r="716" spans="107:197">
      <c r="DC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row>
    <row r="717" spans="107:197">
      <c r="DC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row>
    <row r="718" spans="107:197">
      <c r="DC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row>
    <row r="719" spans="107:197">
      <c r="DC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row>
    <row r="720" spans="107:197">
      <c r="DC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row>
    <row r="721" spans="107:197">
      <c r="DC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row>
    <row r="722" spans="107:197">
      <c r="DC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row>
    <row r="723" spans="107:197">
      <c r="DC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row>
    <row r="724" spans="107:197">
      <c r="DC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row>
    <row r="725" spans="107:197">
      <c r="DC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row>
    <row r="726" spans="107:197">
      <c r="DC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row>
    <row r="727" spans="107:197">
      <c r="DC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row>
    <row r="728" spans="107:197">
      <c r="DC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row>
    <row r="729" spans="107:197">
      <c r="DC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row>
    <row r="730" spans="107:197">
      <c r="DC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row>
    <row r="731" spans="107:197">
      <c r="DC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row>
    <row r="732" spans="107:197">
      <c r="DC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row>
    <row r="733" spans="107:197">
      <c r="DC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row>
    <row r="734" spans="107:197">
      <c r="DC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row>
    <row r="735" spans="107:197">
      <c r="DC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row>
    <row r="736" spans="107:197">
      <c r="DC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row>
    <row r="737" spans="107:197">
      <c r="DC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row>
    <row r="738" spans="107:197">
      <c r="DC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row>
    <row r="739" spans="107:197">
      <c r="DC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row>
    <row r="740" spans="107:197">
      <c r="DC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row>
    <row r="741" spans="107:197">
      <c r="DC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row>
    <row r="742" spans="107:197">
      <c r="DC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row>
    <row r="743" spans="107:197">
      <c r="DC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row>
    <row r="744" spans="107:197">
      <c r="DC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row>
    <row r="745" spans="107:197">
      <c r="DC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row>
    <row r="746" spans="107:197">
      <c r="DC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row>
    <row r="747" spans="107:197">
      <c r="DC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row>
    <row r="748" spans="107:197">
      <c r="DC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row>
    <row r="749" spans="107:197">
      <c r="DC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row>
    <row r="750" spans="107:197">
      <c r="DC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row>
    <row r="751" spans="107:197">
      <c r="DC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row>
    <row r="752" spans="107:197">
      <c r="DC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row>
    <row r="753" spans="107:197">
      <c r="DC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row>
    <row r="754" spans="107:197">
      <c r="DC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row>
    <row r="755" spans="107:197">
      <c r="DC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row>
    <row r="756" spans="107:197">
      <c r="DC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row>
    <row r="757" spans="107:197">
      <c r="DC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row>
    <row r="758" spans="107:197">
      <c r="DC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row>
    <row r="759" spans="107:197">
      <c r="DC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row>
    <row r="760" spans="107:197">
      <c r="DC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row>
    <row r="761" spans="107:197">
      <c r="DC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row>
    <row r="762" spans="107:197">
      <c r="DC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row>
    <row r="763" spans="107:197">
      <c r="DC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row>
    <row r="764" spans="107:197">
      <c r="DC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row>
    <row r="765" spans="107:197">
      <c r="DC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row>
    <row r="766" spans="107:197">
      <c r="DC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row>
    <row r="767" spans="107:197">
      <c r="DC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row>
    <row r="768" spans="107:197">
      <c r="DC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row>
    <row r="769" spans="107:197">
      <c r="DC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row>
    <row r="770" spans="107:197">
      <c r="DC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row>
    <row r="771" spans="107:197">
      <c r="DC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row>
    <row r="772" spans="107:197">
      <c r="DC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row>
    <row r="773" spans="107:197">
      <c r="DC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row>
    <row r="774" spans="107:197">
      <c r="DC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row>
    <row r="775" spans="107:197">
      <c r="DC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row>
    <row r="776" spans="107:197">
      <c r="DC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row>
    <row r="777" spans="107:197">
      <c r="DC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row>
    <row r="778" spans="107:197">
      <c r="DC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row>
    <row r="779" spans="107:197">
      <c r="DC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row>
    <row r="780" spans="107:197">
      <c r="DC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row>
    <row r="781" spans="107:197">
      <c r="DC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row>
    <row r="782" spans="107:197">
      <c r="DC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row>
    <row r="783" spans="107:197">
      <c r="DC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row>
    <row r="784" spans="107:197">
      <c r="DC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row>
    <row r="785" spans="107:197">
      <c r="DC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row>
    <row r="786" spans="107:197">
      <c r="DC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row>
    <row r="787" spans="107:197">
      <c r="DC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row>
    <row r="788" spans="107:197">
      <c r="DC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row>
    <row r="789" spans="107:197">
      <c r="DC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row>
    <row r="790" spans="107:197">
      <c r="DC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row>
    <row r="791" spans="107:197">
      <c r="DC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row>
    <row r="792" spans="107:197">
      <c r="DC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row>
    <row r="793" spans="107:197">
      <c r="DC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row>
    <row r="794" spans="107:197">
      <c r="DC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row>
    <row r="795" spans="107:197">
      <c r="DC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row>
    <row r="796" spans="107:197">
      <c r="DC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row>
    <row r="797" spans="107:197">
      <c r="DC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row>
    <row r="798" spans="107:197">
      <c r="DC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row>
    <row r="799" spans="107:197">
      <c r="DC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row>
    <row r="800" spans="107:197">
      <c r="DC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row>
    <row r="801" spans="107:197">
      <c r="DC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row>
    <row r="802" spans="107:197">
      <c r="DC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row>
    <row r="803" spans="107:197">
      <c r="DC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row>
    <row r="804" spans="107:197">
      <c r="DC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row>
    <row r="805" spans="107:197">
      <c r="DC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row>
    <row r="806" spans="107:197">
      <c r="DC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row>
    <row r="807" spans="107:197">
      <c r="DC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row>
    <row r="808" spans="107:197">
      <c r="DC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row>
    <row r="809" spans="107:197">
      <c r="DC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row>
    <row r="810" spans="107:197">
      <c r="DC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row>
    <row r="811" spans="107:197">
      <c r="DC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row>
    <row r="812" spans="107:197">
      <c r="DC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row>
    <row r="813" spans="107:197">
      <c r="DC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row>
    <row r="814" spans="107:197">
      <c r="DC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row>
    <row r="815" spans="107:197">
      <c r="DC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row>
    <row r="816" spans="107:197">
      <c r="DC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row>
    <row r="817" spans="107:197">
      <c r="DC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row>
    <row r="818" spans="107:197">
      <c r="DC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row>
    <row r="819" spans="107:197">
      <c r="DC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row>
    <row r="820" spans="107:197">
      <c r="DC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row>
    <row r="821" spans="107:197">
      <c r="DC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row>
    <row r="822" spans="107:197">
      <c r="DC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row>
    <row r="823" spans="107:197">
      <c r="DC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row>
    <row r="824" spans="107:197">
      <c r="DC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row>
    <row r="825" spans="107:197">
      <c r="DC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row>
    <row r="826" spans="107:197">
      <c r="DC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row>
    <row r="827" spans="107:197">
      <c r="DC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row>
    <row r="828" spans="107:197">
      <c r="DC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row>
    <row r="829" spans="107:197">
      <c r="DC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row>
    <row r="830" spans="107:197">
      <c r="DC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row>
    <row r="831" spans="107:197">
      <c r="DC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row>
    <row r="832" spans="107:197">
      <c r="DC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row>
    <row r="833" spans="107:197">
      <c r="DC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row>
    <row r="834" spans="107:197">
      <c r="DC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row>
    <row r="835" spans="107:197">
      <c r="DC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row>
    <row r="836" spans="107:197">
      <c r="DC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row>
    <row r="837" spans="107:197">
      <c r="DC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row>
    <row r="838" spans="107:197">
      <c r="DC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row>
    <row r="839" spans="107:197">
      <c r="DC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row>
    <row r="840" spans="107:197">
      <c r="DC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row>
    <row r="841" spans="107:197">
      <c r="DC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row>
    <row r="842" spans="107:197">
      <c r="DC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row>
    <row r="843" spans="107:197">
      <c r="DC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row>
    <row r="844" spans="107:197">
      <c r="DC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row>
    <row r="845" spans="107:197">
      <c r="DC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row>
    <row r="846" spans="107:197">
      <c r="DC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row>
    <row r="847" spans="107:197">
      <c r="DC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row>
    <row r="848" spans="107:197">
      <c r="DC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row>
    <row r="849" spans="107:197">
      <c r="DC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row>
    <row r="850" spans="107:197">
      <c r="DC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row>
    <row r="851" spans="107:197">
      <c r="DC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row>
    <row r="852" spans="107:197">
      <c r="DC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row>
    <row r="853" spans="107:197">
      <c r="DC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row>
    <row r="854" spans="107:197">
      <c r="DC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row>
    <row r="855" spans="107:197">
      <c r="DC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row>
    <row r="856" spans="107:197">
      <c r="DC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row>
    <row r="857" spans="107:197">
      <c r="DC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row>
    <row r="858" spans="107:197">
      <c r="DC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row>
    <row r="859" spans="107:197">
      <c r="DC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row>
    <row r="860" spans="107:197">
      <c r="DC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row>
    <row r="861" spans="107:197">
      <c r="DC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row>
    <row r="862" spans="107:197">
      <c r="DC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row>
    <row r="863" spans="107:197">
      <c r="DC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row>
    <row r="864" spans="107:197">
      <c r="DC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row>
    <row r="865" spans="107:197">
      <c r="DC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row>
    <row r="866" spans="107:197">
      <c r="DC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row>
    <row r="867" spans="107:197">
      <c r="DC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row>
    <row r="868" spans="107:197">
      <c r="DC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row>
    <row r="869" spans="107:197">
      <c r="DC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row>
    <row r="870" spans="107:197">
      <c r="DC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row>
    <row r="871" spans="107:197">
      <c r="DC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row>
    <row r="872" spans="107:197">
      <c r="DC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row>
    <row r="873" spans="107:197">
      <c r="DC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row>
    <row r="874" spans="107:197">
      <c r="DC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row>
    <row r="875" spans="107:197">
      <c r="DC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row>
    <row r="876" spans="107:197">
      <c r="DC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row>
    <row r="877" spans="107:197">
      <c r="DC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row>
    <row r="878" spans="107:197">
      <c r="DC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row>
    <row r="879" spans="107:197">
      <c r="DC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row>
    <row r="880" spans="107:197">
      <c r="DC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row>
    <row r="881" spans="107:197">
      <c r="DC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row>
    <row r="882" spans="107:197">
      <c r="DC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row>
    <row r="883" spans="107:197">
      <c r="DC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row>
    <row r="884" spans="107:197">
      <c r="DC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row>
    <row r="885" spans="107:197">
      <c r="DC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row>
    <row r="886" spans="107:197">
      <c r="DC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row>
    <row r="887" spans="107:197">
      <c r="DC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row>
    <row r="888" spans="107:197">
      <c r="DC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row>
    <row r="889" spans="107:197">
      <c r="DC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row>
    <row r="890" spans="107:197">
      <c r="DC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row>
    <row r="891" spans="107:197">
      <c r="DC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row>
    <row r="892" spans="107:197">
      <c r="DC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row>
    <row r="893" spans="107:197">
      <c r="DC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row>
    <row r="894" spans="107:197">
      <c r="DC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row>
    <row r="895" spans="107:197">
      <c r="DC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row>
    <row r="896" spans="107:197">
      <c r="DC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row>
    <row r="897" spans="107:197">
      <c r="DC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row>
    <row r="898" spans="107:197">
      <c r="DC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row>
    <row r="899" spans="107:197">
      <c r="DC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row>
    <row r="900" spans="107:197">
      <c r="DC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row>
    <row r="901" spans="107:197">
      <c r="DC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row>
    <row r="902" spans="107:197">
      <c r="DC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row>
    <row r="903" spans="107:197">
      <c r="DC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row>
    <row r="904" spans="107:197">
      <c r="DC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row>
    <row r="905" spans="107:197">
      <c r="DC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row>
    <row r="906" spans="107:197">
      <c r="DC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row>
    <row r="907" spans="107:197">
      <c r="DC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row>
    <row r="908" spans="107:197">
      <c r="DC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row>
    <row r="909" spans="107:197">
      <c r="DC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row>
    <row r="910" spans="107:197">
      <c r="DC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row>
    <row r="911" spans="107:197">
      <c r="DC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row>
    <row r="912" spans="107:197">
      <c r="DC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row>
    <row r="913" spans="107:197">
      <c r="DC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row>
    <row r="914" spans="107:197">
      <c r="DC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row>
    <row r="915" spans="107:197">
      <c r="DC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row>
    <row r="916" spans="107:197">
      <c r="DC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row>
    <row r="917" spans="107:197">
      <c r="DC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row>
    <row r="918" spans="107:197">
      <c r="DC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row>
    <row r="919" spans="107:197">
      <c r="DC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row>
    <row r="920" spans="107:197">
      <c r="DC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row>
    <row r="921" spans="107:197">
      <c r="DC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row>
    <row r="922" spans="107:197">
      <c r="DC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row>
    <row r="923" spans="107:197">
      <c r="DC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row>
    <row r="924" spans="107:197">
      <c r="DC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row>
    <row r="925" spans="107:197">
      <c r="DC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row>
    <row r="926" spans="107:197">
      <c r="DC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row>
    <row r="927" spans="107:197">
      <c r="DC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row>
    <row r="928" spans="107:197">
      <c r="DC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row>
    <row r="929" spans="107:197">
      <c r="DC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row>
    <row r="930" spans="107:197">
      <c r="DC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row>
    <row r="931" spans="107:197">
      <c r="DC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row>
    <row r="932" spans="107:197">
      <c r="DC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row>
    <row r="933" spans="107:197">
      <c r="DC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row>
    <row r="934" spans="107:197">
      <c r="DC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row>
    <row r="935" spans="107:197">
      <c r="DC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row>
    <row r="936" spans="107:197">
      <c r="DC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row>
    <row r="937" spans="107:197">
      <c r="DC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row>
    <row r="938" spans="107:197">
      <c r="DC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row>
    <row r="939" spans="107:197">
      <c r="DC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row>
    <row r="940" spans="107:197">
      <c r="DC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row>
    <row r="941" spans="107:197">
      <c r="DC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row>
    <row r="942" spans="107:197">
      <c r="DC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row>
    <row r="943" spans="107:197">
      <c r="DC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row>
    <row r="944" spans="107:197">
      <c r="DC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row>
    <row r="945" spans="107:197">
      <c r="DC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row>
    <row r="946" spans="107:197">
      <c r="DC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row>
    <row r="947" spans="107:197">
      <c r="DC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row>
    <row r="948" spans="107:197">
      <c r="DC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row>
    <row r="949" spans="107:197">
      <c r="DC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row>
    <row r="950" spans="107:197">
      <c r="DC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row>
    <row r="951" spans="107:197">
      <c r="DC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row>
    <row r="952" spans="107:197">
      <c r="DC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row>
    <row r="953" spans="107:197">
      <c r="DC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row>
    <row r="954" spans="107:197">
      <c r="DC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row>
    <row r="955" spans="107:197">
      <c r="DC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row>
    <row r="956" spans="107:197">
      <c r="DC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row>
    <row r="957" spans="107:197">
      <c r="DC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row>
    <row r="958" spans="107:197">
      <c r="DC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row>
    <row r="959" spans="107:197">
      <c r="DC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row>
    <row r="960" spans="107:197">
      <c r="DC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row>
    <row r="961" spans="107:197">
      <c r="DC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row>
    <row r="962" spans="107:197">
      <c r="DC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row>
    <row r="963" spans="107:197">
      <c r="DC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row>
    <row r="964" spans="107:197">
      <c r="DC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row>
    <row r="965" spans="107:197">
      <c r="DC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row>
    <row r="966" spans="107:197">
      <c r="DC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row>
    <row r="967" spans="107:197">
      <c r="DC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row>
    <row r="968" spans="107:197">
      <c r="DC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row>
    <row r="969" spans="107:197">
      <c r="DC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row>
    <row r="970" spans="107:197">
      <c r="DC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row>
    <row r="971" spans="107:197">
      <c r="DC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row>
    <row r="972" spans="107:197">
      <c r="DC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row>
    <row r="973" spans="107:197">
      <c r="DC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row>
    <row r="974" spans="107:197">
      <c r="DC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row>
    <row r="975" spans="107:197">
      <c r="DC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row>
    <row r="976" spans="107:197">
      <c r="DC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row>
    <row r="977" spans="107:197">
      <c r="DC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row>
    <row r="978" spans="107:197">
      <c r="DC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row>
    <row r="979" spans="107:197">
      <c r="DC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row>
    <row r="980" spans="107:197">
      <c r="DC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row>
    <row r="981" spans="107:197">
      <c r="DC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row>
    <row r="982" spans="107:197">
      <c r="DC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row>
    <row r="983" spans="107:197">
      <c r="DC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row>
    <row r="984" spans="107:197">
      <c r="DC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row>
    <row r="985" spans="107:197">
      <c r="DC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row>
    <row r="986" spans="107:197">
      <c r="DC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row>
    <row r="987" spans="107:197">
      <c r="DC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row>
    <row r="988" spans="107:197">
      <c r="DC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row>
    <row r="989" spans="107:197">
      <c r="DC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row>
    <row r="990" spans="107:197">
      <c r="DC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row>
    <row r="991" spans="107:197">
      <c r="DC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row>
    <row r="992" spans="107:197">
      <c r="DC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row>
    <row r="993" spans="107:197">
      <c r="DC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row>
    <row r="994" spans="107:197">
      <c r="DC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row>
    <row r="995" spans="107:197">
      <c r="DC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row>
    <row r="996" spans="107:197">
      <c r="DC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row>
    <row r="997" spans="107:197">
      <c r="DC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row>
    <row r="998" spans="107:197">
      <c r="DC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row>
    <row r="999" spans="107:197">
      <c r="DC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row>
    <row r="1000" spans="107:197">
      <c r="DC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row>
    <row r="1001" spans="107:197">
      <c r="DC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row>
    <row r="1002" spans="107:197">
      <c r="DC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row>
    <row r="1003" spans="107:197">
      <c r="DC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row>
    <row r="1004" spans="107:197">
      <c r="DC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row>
    <row r="1005" spans="107:197">
      <c r="DC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row>
    <row r="1006" spans="107:197">
      <c r="DC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row>
    <row r="1007" spans="107:197">
      <c r="DC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row>
    <row r="1008" spans="107:197">
      <c r="DC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row>
    <row r="1009" spans="107:197">
      <c r="DC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row>
    <row r="1010" spans="107:197">
      <c r="DC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row>
    <row r="1011" spans="107:197">
      <c r="DC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row>
    <row r="1012" spans="107:197">
      <c r="DC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row>
    <row r="1013" spans="107:197">
      <c r="DC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row>
    <row r="1014" spans="107:197">
      <c r="DC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row>
    <row r="1015" spans="107:197">
      <c r="DC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row>
    <row r="1016" spans="107:197">
      <c r="DC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row>
    <row r="1017" spans="107:197">
      <c r="DC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row>
    <row r="1018" spans="107:197">
      <c r="DC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row>
    <row r="1019" spans="107:197">
      <c r="DC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row>
    <row r="1020" spans="107:197">
      <c r="DC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row>
    <row r="1021" spans="107:197">
      <c r="DC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row>
    <row r="1022" spans="107:197">
      <c r="DC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row>
    <row r="1023" spans="107:197">
      <c r="DC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row>
    <row r="1024" spans="107:197">
      <c r="DC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row>
    <row r="1025" spans="107:197">
      <c r="DC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row>
    <row r="1026" spans="107:197">
      <c r="DC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row>
    <row r="1027" spans="107:197">
      <c r="DC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row>
    <row r="1028" spans="107:197">
      <c r="DC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row>
    <row r="1029" spans="107:197">
      <c r="DC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row>
    <row r="1030" spans="107:197">
      <c r="DC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row>
    <row r="1031" spans="107:197">
      <c r="DC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row>
    <row r="1032" spans="107:197">
      <c r="DC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row>
    <row r="1033" spans="107:197">
      <c r="DC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row>
    <row r="1034" spans="107:197">
      <c r="DC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row>
    <row r="1035" spans="107:197">
      <c r="DC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row>
    <row r="1036" spans="107:197">
      <c r="DC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row>
    <row r="1037" spans="107:197">
      <c r="DC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row>
    <row r="1038" spans="107:197">
      <c r="DC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row>
    <row r="1039" spans="107:197">
      <c r="DC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row>
    <row r="1040" spans="107:197">
      <c r="DC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row>
    <row r="1041" spans="107:197">
      <c r="DC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row>
    <row r="1042" spans="107:197">
      <c r="DC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row>
    <row r="1043" spans="107:197">
      <c r="DC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row>
    <row r="1044" spans="107:197">
      <c r="DC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row>
    <row r="1045" spans="107:197">
      <c r="DC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row>
    <row r="1046" spans="107:197">
      <c r="DC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row>
    <row r="1047" spans="107:197">
      <c r="DC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row>
    <row r="1048" spans="107:197">
      <c r="DC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row>
    <row r="1049" spans="107:197">
      <c r="DC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row>
    <row r="1050" spans="107:197">
      <c r="DC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row>
    <row r="1051" spans="107:197">
      <c r="DC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row>
    <row r="1052" spans="107:197">
      <c r="DC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row>
    <row r="1053" spans="107:197">
      <c r="DC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row>
    <row r="1054" spans="107:197">
      <c r="DC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row>
    <row r="1055" spans="107:197">
      <c r="DC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row>
    <row r="1056" spans="107:197">
      <c r="DC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row>
    <row r="1057" spans="107:197">
      <c r="DC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row>
    <row r="1058" spans="107:197">
      <c r="DC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row>
    <row r="1059" spans="107:197">
      <c r="DC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row>
    <row r="1060" spans="107:197">
      <c r="DC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row>
    <row r="1061" spans="107:197">
      <c r="DC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row>
    <row r="1062" spans="107:197">
      <c r="DC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row>
    <row r="1063" spans="107:197">
      <c r="DC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row>
    <row r="1064" spans="107:197">
      <c r="DC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row>
    <row r="1065" spans="107:197">
      <c r="DC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row>
    <row r="1066" spans="107:197">
      <c r="DC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row>
    <row r="1067" spans="107:197">
      <c r="DC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row>
    <row r="1068" spans="107:197">
      <c r="DC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row>
    <row r="1069" spans="107:197">
      <c r="DC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row>
    <row r="1070" spans="107:197">
      <c r="DC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row>
    <row r="1071" spans="107:197">
      <c r="DC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row>
    <row r="1072" spans="107:197">
      <c r="DC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row>
    <row r="1073" spans="107:197">
      <c r="DC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row>
    <row r="1074" spans="107:197">
      <c r="DC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row>
    <row r="1075" spans="107:197">
      <c r="DC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row>
    <row r="1076" spans="107:197">
      <c r="DC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row>
    <row r="1077" spans="107:197">
      <c r="DC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row>
    <row r="1078" spans="107:197">
      <c r="DC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row>
    <row r="1079" spans="107:197">
      <c r="DC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row>
    <row r="1080" spans="107:197">
      <c r="DC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row>
    <row r="1081" spans="107:197">
      <c r="DC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row>
    <row r="1082" spans="107:197">
      <c r="DC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row>
    <row r="1083" spans="107:197">
      <c r="DC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row>
    <row r="1084" spans="107:197">
      <c r="DC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row>
    <row r="1085" spans="107:197">
      <c r="DC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row>
    <row r="1086" spans="107:197">
      <c r="DC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row>
    <row r="1087" spans="107:197">
      <c r="DC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row>
    <row r="1088" spans="107:197">
      <c r="DC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row>
    <row r="1089" spans="107:197">
      <c r="DC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row>
    <row r="1090" spans="107:197">
      <c r="DC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row>
    <row r="1091" spans="107:197">
      <c r="DC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row>
    <row r="1092" spans="107:197">
      <c r="DC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row>
    <row r="1093" spans="107:197">
      <c r="DC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row>
    <row r="1094" spans="107:197">
      <c r="DC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row>
    <row r="1095" spans="107:197">
      <c r="DC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row>
    <row r="1096" spans="107:197">
      <c r="DC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row>
    <row r="1097" spans="107:197">
      <c r="DC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row>
    <row r="1098" spans="107:197">
      <c r="DC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row>
    <row r="1099" spans="107:197">
      <c r="DC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row>
    <row r="1100" spans="107:197">
      <c r="DC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row>
    <row r="1101" spans="107:197">
      <c r="DC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row>
    <row r="1102" spans="107:197">
      <c r="DC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row>
    <row r="1103" spans="107:197">
      <c r="DC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row>
    <row r="1104" spans="107:197">
      <c r="DC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row>
    <row r="1105" spans="107:197">
      <c r="DC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row>
    <row r="1106" spans="107:197">
      <c r="DC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row>
    <row r="1107" spans="107:197">
      <c r="DC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row>
    <row r="1108" spans="107:197">
      <c r="DC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row>
    <row r="1109" spans="107:197">
      <c r="DC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row>
    <row r="1110" spans="107:197">
      <c r="DC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row>
    <row r="1111" spans="107:197">
      <c r="DC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row>
    <row r="1112" spans="107:197">
      <c r="DC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row>
    <row r="1113" spans="107:197">
      <c r="DC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row>
    <row r="1114" spans="107:197">
      <c r="DC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row>
    <row r="1115" spans="107:197">
      <c r="DC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row>
    <row r="1116" spans="107:197">
      <c r="DC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row>
    <row r="1117" spans="107:197">
      <c r="DC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row>
    <row r="1118" spans="107:197">
      <c r="DC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row>
    <row r="1119" spans="107:197">
      <c r="DC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row>
    <row r="1120" spans="107:197">
      <c r="DC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row>
    <row r="1121" spans="107:197">
      <c r="DC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row>
    <row r="1122" spans="107:197">
      <c r="DC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row>
    <row r="1123" spans="107:197">
      <c r="DC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row>
    <row r="1124" spans="107:197">
      <c r="DC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row>
    <row r="1125" spans="107:197">
      <c r="DC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row>
    <row r="1126" spans="107:197">
      <c r="DC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row>
    <row r="1127" spans="107:197">
      <c r="DC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row>
    <row r="1128" spans="107:197">
      <c r="DC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row>
    <row r="1129" spans="107:197">
      <c r="DC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row>
    <row r="1130" spans="107:197">
      <c r="DC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row>
    <row r="1131" spans="107:197">
      <c r="DC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row>
    <row r="1132" spans="107:197">
      <c r="DC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row>
    <row r="1133" spans="107:197">
      <c r="DC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row>
    <row r="1134" spans="107:197">
      <c r="DC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row>
    <row r="1135" spans="107:197">
      <c r="DC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row>
    <row r="1136" spans="107:197">
      <c r="DC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row>
    <row r="1137" spans="107:197">
      <c r="DC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row>
    <row r="1138" spans="107:197">
      <c r="DC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row>
    <row r="1139" spans="107:197">
      <c r="DC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row>
    <row r="1140" spans="107:197">
      <c r="DC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row>
    <row r="1141" spans="107:197">
      <c r="DC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row>
    <row r="1142" spans="107:197">
      <c r="DC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row>
    <row r="1143" spans="107:197">
      <c r="DC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row>
    <row r="1144" spans="107:197">
      <c r="DC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row>
    <row r="1145" spans="107:197">
      <c r="DC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row>
    <row r="1146" spans="107:197">
      <c r="DC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row>
    <row r="1147" spans="107:197">
      <c r="DC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row>
    <row r="1148" spans="107:197">
      <c r="DC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row>
    <row r="1149" spans="107:197">
      <c r="DC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row>
    <row r="1150" spans="107:197">
      <c r="DC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row>
    <row r="1151" spans="107:197">
      <c r="DC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row>
    <row r="1152" spans="107:197">
      <c r="DC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row>
    <row r="1153" spans="107:197">
      <c r="DC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row>
    <row r="1154" spans="107:197">
      <c r="DC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row>
    <row r="1155" spans="107:197">
      <c r="DC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row>
    <row r="1156" spans="107:197">
      <c r="DC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row>
    <row r="1157" spans="107:197">
      <c r="DC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row>
    <row r="1158" spans="107:197">
      <c r="DC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row>
    <row r="1159" spans="107:197">
      <c r="DC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row>
    <row r="1160" spans="107:197">
      <c r="DC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row>
    <row r="1161" spans="107:197">
      <c r="DC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row>
    <row r="1162" spans="107:197">
      <c r="DC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row>
    <row r="1163" spans="107:197">
      <c r="DC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row>
    <row r="1164" spans="107:197">
      <c r="DC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row>
    <row r="1165" spans="107:197">
      <c r="DC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row>
    <row r="1166" spans="107:197">
      <c r="DC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row>
    <row r="1167" spans="107:197">
      <c r="DC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row>
    <row r="1168" spans="107:197">
      <c r="DC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row>
    <row r="1169" spans="107:197">
      <c r="DC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row>
    <row r="1170" spans="107:197">
      <c r="DC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row>
    <row r="1171" spans="107:197">
      <c r="DC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row>
    <row r="1172" spans="107:197">
      <c r="DC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row>
    <row r="1173" spans="107:197">
      <c r="DC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row>
    <row r="1174" spans="107:197">
      <c r="DC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row>
    <row r="1175" spans="107:197">
      <c r="DC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row>
    <row r="1176" spans="107:197">
      <c r="DC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row>
    <row r="1177" spans="107:197">
      <c r="DC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row>
    <row r="1178" spans="107:197">
      <c r="DC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row>
    <row r="1179" spans="107:197">
      <c r="DC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row>
    <row r="1180" spans="107:197">
      <c r="DC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row>
    <row r="1181" spans="107:197">
      <c r="DC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row>
    <row r="1182" spans="107:197">
      <c r="DC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row>
    <row r="1183" spans="107:197">
      <c r="DC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row>
    <row r="1184" spans="107:197">
      <c r="DC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row>
    <row r="1185" spans="107:197">
      <c r="DC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row>
    <row r="1186" spans="107:197">
      <c r="DC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row>
    <row r="1187" spans="107:197">
      <c r="DC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row>
    <row r="1188" spans="107:197">
      <c r="DC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row>
    <row r="1189" spans="107:197">
      <c r="DC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row>
    <row r="1190" spans="107:197">
      <c r="DC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row>
    <row r="1191" spans="107:197">
      <c r="DC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row>
    <row r="1192" spans="107:197">
      <c r="DC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row>
    <row r="1193" spans="107:197">
      <c r="DC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row>
    <row r="1194" spans="107:197">
      <c r="DC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row>
    <row r="1195" spans="107:197">
      <c r="DC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row>
    <row r="1196" spans="107:197">
      <c r="DC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row>
    <row r="1197" spans="107:197">
      <c r="DC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row>
    <row r="1198" spans="107:197">
      <c r="DC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row>
    <row r="1199" spans="107:197">
      <c r="DC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row>
    <row r="1200" spans="107:197">
      <c r="DC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row>
    <row r="1201" spans="107:197">
      <c r="DC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row>
    <row r="1202" spans="107:197">
      <c r="DC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row>
    <row r="1203" spans="107:197">
      <c r="DC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row>
    <row r="1204" spans="107:197">
      <c r="DC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row>
    <row r="1205" spans="107:197">
      <c r="DC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row>
    <row r="1206" spans="107:197">
      <c r="DC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row>
    <row r="1207" spans="107:197">
      <c r="DC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row>
    <row r="1208" spans="107:197">
      <c r="DC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row>
    <row r="1209" spans="107:197">
      <c r="DC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row>
    <row r="1210" spans="107:197">
      <c r="DC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row>
    <row r="1211" spans="107:197">
      <c r="DC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row>
    <row r="1212" spans="107:197">
      <c r="DC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row>
    <row r="1213" spans="107:197">
      <c r="DC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row>
    <row r="1214" spans="107:197">
      <c r="DC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row>
    <row r="1215" spans="107:197">
      <c r="DC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row>
    <row r="1216" spans="107:197">
      <c r="DC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row>
    <row r="1217" spans="107:197">
      <c r="DC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row>
    <row r="1218" spans="107:197">
      <c r="DC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row>
    <row r="1219" spans="107:197">
      <c r="DC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row>
    <row r="1220" spans="107:197">
      <c r="DC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row>
    <row r="1221" spans="107:197">
      <c r="DC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row>
    <row r="1222" spans="107:197">
      <c r="DC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row>
    <row r="1223" spans="107:197">
      <c r="DC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row>
    <row r="1224" spans="107:197">
      <c r="DC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row>
    <row r="1225" spans="107:197">
      <c r="DC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row>
    <row r="1226" spans="107:197">
      <c r="DC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row>
    <row r="1227" spans="107:197">
      <c r="DC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row>
    <row r="1228" spans="107:197">
      <c r="DC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row>
    <row r="1229" spans="107:197">
      <c r="DC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row>
    <row r="1230" spans="107:197">
      <c r="DC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row>
    <row r="1231" spans="107:197">
      <c r="DC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row>
    <row r="1232" spans="107:197">
      <c r="DC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row>
    <row r="1233" spans="107:197">
      <c r="DC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row>
    <row r="1234" spans="107:197">
      <c r="DC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row>
    <row r="1235" spans="107:197">
      <c r="DC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row>
    <row r="1236" spans="107:197">
      <c r="DC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row>
    <row r="1237" spans="107:197">
      <c r="DC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row>
    <row r="1238" spans="107:197">
      <c r="DC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row>
    <row r="1239" spans="107:197">
      <c r="DC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row>
    <row r="1240" spans="107:197">
      <c r="DC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row>
    <row r="1241" spans="107:197">
      <c r="DC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row>
    <row r="1242" spans="107:197">
      <c r="DC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row>
    <row r="1243" spans="107:197">
      <c r="DC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row>
    <row r="1244" spans="107:197">
      <c r="DC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row>
    <row r="1245" spans="107:197">
      <c r="DC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row>
    <row r="1246" spans="107:197">
      <c r="DC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row>
    <row r="1247" spans="107:197">
      <c r="DC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row>
    <row r="1248" spans="107:197">
      <c r="DC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row>
    <row r="1249" spans="107:197">
      <c r="DC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row>
    <row r="1250" spans="107:197">
      <c r="DC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row>
    <row r="1251" spans="107:197">
      <c r="DC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row>
    <row r="1252" spans="107:197">
      <c r="DC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row>
    <row r="1253" spans="107:197">
      <c r="DC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row>
    <row r="1254" spans="107:197">
      <c r="DC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row>
    <row r="1255" spans="107:197">
      <c r="DC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row>
    <row r="1256" spans="107:197">
      <c r="DC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row>
    <row r="1257" spans="107:197">
      <c r="DC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row>
    <row r="1258" spans="107:197">
      <c r="DC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row>
    <row r="1259" spans="107:197">
      <c r="DC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row>
    <row r="1260" spans="107:197">
      <c r="DC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row>
    <row r="1261" spans="107:197">
      <c r="DC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row>
    <row r="1262" spans="107:197">
      <c r="DC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row>
    <row r="1263" spans="107:197">
      <c r="DC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row>
    <row r="1264" spans="107:197">
      <c r="DC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row>
    <row r="1265" spans="107:197">
      <c r="DC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row>
    <row r="1266" spans="107:197">
      <c r="DC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row>
    <row r="1267" spans="107:197">
      <c r="DC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row>
    <row r="1268" spans="107:197">
      <c r="DC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row>
    <row r="1269" spans="107:197">
      <c r="DC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row>
    <row r="1270" spans="107:197">
      <c r="DC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row>
    <row r="1271" spans="107:197">
      <c r="DC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row>
    <row r="1272" spans="107:197">
      <c r="DC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row>
    <row r="1273" spans="107:197">
      <c r="DC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row>
    <row r="1274" spans="107:197">
      <c r="DC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row>
    <row r="1275" spans="107:197">
      <c r="DC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row>
    <row r="1276" spans="107:197">
      <c r="DC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row>
    <row r="1277" spans="107:197">
      <c r="DC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row>
    <row r="1278" spans="107:197">
      <c r="DC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row>
    <row r="1279" spans="107:197">
      <c r="DC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row>
    <row r="1280" spans="107:197">
      <c r="DC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row>
    <row r="1281" spans="107:197">
      <c r="DC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row>
    <row r="1282" spans="107:197">
      <c r="DC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row>
    <row r="1283" spans="107:197">
      <c r="DC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row>
    <row r="1284" spans="107:197">
      <c r="DC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row>
    <row r="1285" spans="107:197">
      <c r="DC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row>
    <row r="1286" spans="107:197">
      <c r="DC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row>
    <row r="1287" spans="107:197">
      <c r="DC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row>
    <row r="1288" spans="107:197">
      <c r="DC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row>
    <row r="1289" spans="107:197">
      <c r="DC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row>
    <row r="1290" spans="107:197">
      <c r="DC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row>
    <row r="1291" spans="107:197">
      <c r="DC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row>
    <row r="1292" spans="107:197">
      <c r="DC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row>
    <row r="1293" spans="107:197">
      <c r="DC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row>
    <row r="1294" spans="107:197">
      <c r="DC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row>
    <row r="1295" spans="107:197">
      <c r="DC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row>
    <row r="1296" spans="107:197">
      <c r="DC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row>
    <row r="1297" spans="107:197">
      <c r="DC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row>
    <row r="1298" spans="107:197">
      <c r="DC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row>
    <row r="1299" spans="107:197">
      <c r="DC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row>
    <row r="1300" spans="107:197">
      <c r="DC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row>
    <row r="1301" spans="107:197">
      <c r="DC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row>
    <row r="1302" spans="107:197">
      <c r="DC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row>
    <row r="1303" spans="107:197">
      <c r="DC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row>
    <row r="1304" spans="107:197">
      <c r="DC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row>
    <row r="1305" spans="107:197">
      <c r="DC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row>
    <row r="1306" spans="107:197">
      <c r="DC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row>
    <row r="1307" spans="107:197">
      <c r="DC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row>
    <row r="1308" spans="107:197">
      <c r="DC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row>
    <row r="1309" spans="107:197">
      <c r="DC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row>
    <row r="1310" spans="107:197">
      <c r="DC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row>
    <row r="1311" spans="107:197">
      <c r="DC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row>
    <row r="1312" spans="107:197">
      <c r="DC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row>
    <row r="1313" spans="107:197">
      <c r="DC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row>
    <row r="1314" spans="107:197">
      <c r="DC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row>
    <row r="1315" spans="107:197">
      <c r="DC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row>
    <row r="1316" spans="107:197">
      <c r="DC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row>
    <row r="1317" spans="107:197">
      <c r="DC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row>
    <row r="1318" spans="107:197">
      <c r="DC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row>
    <row r="1319" spans="107:197">
      <c r="DC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row>
    <row r="1320" spans="107:197">
      <c r="DC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row>
    <row r="1321" spans="107:197">
      <c r="DC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row>
    <row r="1322" spans="107:197">
      <c r="DC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row>
    <row r="1323" spans="107:197">
      <c r="DC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row>
    <row r="1324" spans="107:197">
      <c r="DC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row>
    <row r="1325" spans="107:197">
      <c r="DC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row>
    <row r="1326" spans="107:197">
      <c r="DC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row>
    <row r="1327" spans="107:197">
      <c r="DC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row>
    <row r="1328" spans="107:197">
      <c r="DC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row>
    <row r="1329" spans="107:197">
      <c r="DC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row>
    <row r="1330" spans="107:197">
      <c r="DC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row>
    <row r="1331" spans="107:197">
      <c r="DC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row>
    <row r="1332" spans="107:197">
      <c r="DC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row>
    <row r="1333" spans="107:197">
      <c r="DC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row>
    <row r="1334" spans="107:197">
      <c r="DC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row>
    <row r="1335" spans="107:197">
      <c r="DC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row>
    <row r="1336" spans="107:197">
      <c r="DC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row>
    <row r="1337" spans="107:197">
      <c r="DC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row>
    <row r="1338" spans="107:197">
      <c r="DC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row>
    <row r="1339" spans="107:197">
      <c r="DC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row>
    <row r="1340" spans="107:197">
      <c r="DC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row>
    <row r="1341" spans="107:197">
      <c r="DC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row>
    <row r="1342" spans="107:197">
      <c r="DC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row>
    <row r="1343" spans="107:197">
      <c r="DC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row>
    <row r="1344" spans="107:197">
      <c r="DC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row>
    <row r="1345" spans="107:197">
      <c r="DC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row>
    <row r="1346" spans="107:197">
      <c r="DC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row>
    <row r="1347" spans="107:197">
      <c r="DC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row>
    <row r="1348" spans="107:197">
      <c r="DC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row>
    <row r="1349" spans="107:197">
      <c r="DC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row>
    <row r="1350" spans="107:197">
      <c r="DC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row>
    <row r="1351" spans="107:197">
      <c r="DC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row>
    <row r="1352" spans="107:197">
      <c r="DC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row>
    <row r="1353" spans="107:197">
      <c r="DC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row>
    <row r="1354" spans="107:197">
      <c r="DC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row>
    <row r="1355" spans="107:197">
      <c r="DC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row>
    <row r="1356" spans="107:197">
      <c r="DC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row>
    <row r="1357" spans="107:197">
      <c r="DC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row>
    <row r="1358" spans="107:197">
      <c r="DC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row>
    <row r="1359" spans="107:197">
      <c r="DC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row>
    <row r="1360" spans="107:197">
      <c r="DC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row>
    <row r="1361" spans="107:197">
      <c r="DC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row>
    <row r="1362" spans="107:197">
      <c r="DC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row>
    <row r="1363" spans="107:197">
      <c r="DC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row>
    <row r="1364" spans="107:197">
      <c r="DC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row>
    <row r="1365" spans="107:197">
      <c r="DC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row>
    <row r="1366" spans="107:197">
      <c r="DC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row>
    <row r="1367" spans="107:197">
      <c r="DC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row>
    <row r="1368" spans="107:197">
      <c r="DC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row>
    <row r="1369" spans="107:197">
      <c r="DC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row>
    <row r="1370" spans="107:197">
      <c r="DC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row>
    <row r="1371" spans="107:197">
      <c r="DC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row>
    <row r="1372" spans="107:197">
      <c r="DC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row>
    <row r="1373" spans="107:197">
      <c r="DC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row>
    <row r="1374" spans="107:197">
      <c r="DC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row>
    <row r="1375" spans="107:197">
      <c r="DC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row>
    <row r="1376" spans="107:197">
      <c r="DC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row>
    <row r="1377" spans="107:197">
      <c r="DC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row>
    <row r="1378" spans="107:197">
      <c r="DC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row>
    <row r="1379" spans="107:197">
      <c r="DC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row>
    <row r="1380" spans="107:197">
      <c r="DC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row>
    <row r="1381" spans="107:197">
      <c r="DC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row>
    <row r="1382" spans="107:197">
      <c r="DC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row>
    <row r="1383" spans="107:197">
      <c r="DC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row>
    <row r="1384" spans="107:197">
      <c r="DC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row>
    <row r="1385" spans="107:197">
      <c r="DC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row>
    <row r="1386" spans="107:197">
      <c r="DC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row>
    <row r="1387" spans="107:197">
      <c r="DC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row>
    <row r="1388" spans="107:197">
      <c r="DC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row>
    <row r="1389" spans="107:197">
      <c r="DC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row>
    <row r="1390" spans="107:197">
      <c r="DC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row>
    <row r="1391" spans="107:197">
      <c r="DC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row>
    <row r="1392" spans="107:197">
      <c r="DC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row>
    <row r="1393" spans="107:197">
      <c r="DC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row>
    <row r="1394" spans="107:197">
      <c r="DC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row>
    <row r="1395" spans="107:197">
      <c r="DC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row>
    <row r="1396" spans="107:197">
      <c r="DC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row>
    <row r="1397" spans="107:197">
      <c r="DC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row>
    <row r="1398" spans="107:197">
      <c r="DC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row>
    <row r="1399" spans="107:197">
      <c r="DC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row>
    <row r="1400" spans="107:197">
      <c r="DC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row>
    <row r="1401" spans="107:197">
      <c r="DC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row>
    <row r="1402" spans="107:197">
      <c r="DC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row>
    <row r="1403" spans="107:197">
      <c r="DC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row>
    <row r="1404" spans="107:197">
      <c r="DC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row>
    <row r="1405" spans="107:197">
      <c r="DC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row>
    <row r="1406" spans="107:197">
      <c r="DC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row>
    <row r="1407" spans="107:197">
      <c r="DC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row>
    <row r="1408" spans="107:197">
      <c r="DC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row>
    <row r="1409" spans="107:197">
      <c r="DC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row>
    <row r="1410" spans="107:197">
      <c r="DC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row>
    <row r="1411" spans="107:197">
      <c r="DC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row>
    <row r="1412" spans="107:197">
      <c r="DC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row>
    <row r="1413" spans="107:197">
      <c r="DC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row>
    <row r="1414" spans="107:197">
      <c r="DC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row>
    <row r="1415" spans="107:197">
      <c r="DC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row>
    <row r="1416" spans="107:197">
      <c r="DC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row>
    <row r="1417" spans="107:197">
      <c r="DC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row>
    <row r="1418" spans="107:197">
      <c r="DC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row>
    <row r="1419" spans="107:197">
      <c r="DC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row>
    <row r="1420" spans="107:197">
      <c r="DC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row>
    <row r="1421" spans="107:197">
      <c r="DC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row>
    <row r="1422" spans="107:197">
      <c r="DC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row>
    <row r="1423" spans="107:197">
      <c r="DC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row>
    <row r="1424" spans="107:197">
      <c r="DC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row>
    <row r="1425" spans="107:197">
      <c r="DC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row>
    <row r="1426" spans="107:197">
      <c r="DC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row>
    <row r="1427" spans="107:197">
      <c r="DC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row>
    <row r="1428" spans="107:197">
      <c r="DC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row>
    <row r="1429" spans="107:197">
      <c r="DC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row>
    <row r="1430" spans="107:197">
      <c r="DC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row>
    <row r="1431" spans="107:197">
      <c r="DC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row>
    <row r="1432" spans="107:197">
      <c r="DC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row>
    <row r="1433" spans="107:197">
      <c r="DC1433"/>
      <c r="FH1433"/>
      <c r="FI1433"/>
      <c r="FJ1433"/>
      <c r="FK1433"/>
      <c r="FL1433"/>
      <c r="FM1433"/>
      <c r="FN1433"/>
      <c r="FO1433"/>
      <c r="FP1433"/>
      <c r="FQ1433"/>
      <c r="FR1433"/>
      <c r="FS1433"/>
      <c r="FT1433"/>
      <c r="FU1433"/>
      <c r="FV1433"/>
      <c r="FW1433"/>
      <c r="FX1433"/>
      <c r="FY1433"/>
      <c r="FZ1433"/>
      <c r="GA1433"/>
      <c r="GB1433"/>
      <c r="GC1433"/>
      <c r="GD1433"/>
      <c r="GE1433"/>
      <c r="GF1433"/>
      <c r="GG1433"/>
      <c r="GH1433"/>
      <c r="GI1433"/>
      <c r="GJ1433"/>
      <c r="GK1433"/>
      <c r="GL1433"/>
      <c r="GM1433"/>
      <c r="GN1433"/>
      <c r="GO1433"/>
    </row>
    <row r="1434" spans="107:197">
      <c r="DC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c r="GJ1434"/>
      <c r="GK1434"/>
      <c r="GL1434"/>
      <c r="GM1434"/>
      <c r="GN1434"/>
      <c r="GO1434"/>
    </row>
    <row r="1435" spans="107:197">
      <c r="DC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c r="GJ1435"/>
      <c r="GK1435"/>
      <c r="GL1435"/>
      <c r="GM1435"/>
      <c r="GN1435"/>
      <c r="GO1435"/>
    </row>
    <row r="1436" spans="107:197">
      <c r="DC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row>
    <row r="1437" spans="107:197">
      <c r="DC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c r="GJ1437"/>
      <c r="GK1437"/>
      <c r="GL1437"/>
      <c r="GM1437"/>
      <c r="GN1437"/>
      <c r="GO1437"/>
    </row>
    <row r="1438" spans="107:197">
      <c r="DC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c r="GJ1438"/>
      <c r="GK1438"/>
      <c r="GL1438"/>
      <c r="GM1438"/>
      <c r="GN1438"/>
      <c r="GO1438"/>
    </row>
    <row r="1439" spans="107:197">
      <c r="DC1439"/>
      <c r="FH1439"/>
      <c r="FI1439"/>
      <c r="FJ1439"/>
      <c r="FK1439"/>
      <c r="FL1439"/>
      <c r="FM1439"/>
      <c r="FN1439"/>
      <c r="FO1439"/>
      <c r="FP1439"/>
      <c r="FQ1439"/>
      <c r="FR1439"/>
      <c r="FS1439"/>
      <c r="FT1439"/>
      <c r="FU1439"/>
      <c r="FV1439"/>
      <c r="FW1439"/>
      <c r="FX1439"/>
      <c r="FY1439"/>
      <c r="FZ1439"/>
      <c r="GA1439"/>
      <c r="GB1439"/>
      <c r="GC1439"/>
      <c r="GD1439"/>
      <c r="GE1439"/>
      <c r="GF1439"/>
      <c r="GG1439"/>
      <c r="GH1439"/>
      <c r="GI1439"/>
      <c r="GJ1439"/>
      <c r="GK1439"/>
      <c r="GL1439"/>
      <c r="GM1439"/>
      <c r="GN1439"/>
      <c r="GO1439"/>
    </row>
    <row r="1440" spans="107:197">
      <c r="DC1440"/>
      <c r="FH1440"/>
      <c r="FI1440"/>
      <c r="FJ1440"/>
      <c r="FK1440"/>
      <c r="FL1440"/>
      <c r="FM1440"/>
      <c r="FN1440"/>
      <c r="FO1440"/>
      <c r="FP1440"/>
      <c r="FQ1440"/>
      <c r="FR1440"/>
      <c r="FS1440"/>
      <c r="FT1440"/>
      <c r="FU1440"/>
      <c r="FV1440"/>
      <c r="FW1440"/>
      <c r="FX1440"/>
      <c r="FY1440"/>
      <c r="FZ1440"/>
      <c r="GA1440"/>
      <c r="GB1440"/>
      <c r="GC1440"/>
      <c r="GD1440"/>
      <c r="GE1440"/>
      <c r="GF1440"/>
      <c r="GG1440"/>
      <c r="GH1440"/>
      <c r="GI1440"/>
      <c r="GJ1440"/>
      <c r="GK1440"/>
      <c r="GL1440"/>
      <c r="GM1440"/>
      <c r="GN1440"/>
      <c r="GO1440"/>
    </row>
    <row r="1441" spans="107:197">
      <c r="DC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row>
    <row r="1442" spans="107:197">
      <c r="DC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row>
    <row r="1443" spans="107:197">
      <c r="DC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row>
    <row r="1444" spans="107:197">
      <c r="DC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row>
    <row r="1445" spans="107:197">
      <c r="DC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row>
    <row r="1446" spans="107:197">
      <c r="DC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row>
    <row r="1447" spans="107:197">
      <c r="DC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row>
    <row r="1448" spans="107:197">
      <c r="DC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row>
    <row r="1449" spans="107:197">
      <c r="DC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row>
    <row r="1450" spans="107:197">
      <c r="DC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row>
    <row r="1451" spans="107:197">
      <c r="DC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row>
    <row r="1452" spans="107:197">
      <c r="DC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row>
    <row r="1453" spans="107:197">
      <c r="DC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row>
    <row r="1454" spans="107:197">
      <c r="DC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row>
    <row r="1455" spans="107:197">
      <c r="DC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row>
    <row r="1456" spans="107:197">
      <c r="DC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row>
    <row r="1457" spans="107:197">
      <c r="DC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row>
    <row r="1458" spans="107:197">
      <c r="DC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row>
    <row r="1459" spans="107:197">
      <c r="DC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row>
    <row r="1460" spans="107:197">
      <c r="DC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row>
    <row r="1461" spans="107:197">
      <c r="DC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row>
    <row r="1462" spans="107:197">
      <c r="DC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row>
    <row r="1463" spans="107:197">
      <c r="DC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row>
    <row r="1464" spans="107:197">
      <c r="DC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row>
    <row r="1465" spans="107:197">
      <c r="DC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row>
    <row r="1466" spans="107:197">
      <c r="DC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row>
    <row r="1467" spans="107:197">
      <c r="DC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row>
    <row r="1468" spans="107:197">
      <c r="DC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row>
    <row r="1469" spans="107:197">
      <c r="DC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row>
    <row r="1470" spans="107:197">
      <c r="DC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row>
    <row r="1471" spans="107:197">
      <c r="DC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row>
    <row r="1472" spans="107:197">
      <c r="DC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row>
    <row r="1473" spans="107:197">
      <c r="DC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row>
    <row r="1474" spans="107:197">
      <c r="DC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row>
    <row r="1475" spans="107:197">
      <c r="DC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row>
    <row r="1476" spans="107:197">
      <c r="DC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row>
    <row r="1477" spans="107:197">
      <c r="DC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row>
    <row r="1478" spans="107:197">
      <c r="DC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row>
    <row r="1479" spans="107:197">
      <c r="DC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row>
    <row r="1480" spans="107:197">
      <c r="DC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row>
    <row r="1481" spans="107:197">
      <c r="DC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row>
    <row r="1482" spans="107:197">
      <c r="DC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row>
    <row r="1483" spans="107:197">
      <c r="DC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row>
    <row r="1484" spans="107:197">
      <c r="DC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row>
    <row r="1485" spans="107:197">
      <c r="DC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row>
    <row r="1486" spans="107:197">
      <c r="DC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row>
    <row r="1487" spans="107:197">
      <c r="DC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row>
    <row r="1488" spans="107:197">
      <c r="DC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row>
    <row r="1489" spans="107:197">
      <c r="DC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row>
    <row r="1490" spans="107:197">
      <c r="DC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row>
    <row r="1491" spans="107:197">
      <c r="DC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row>
    <row r="1492" spans="107:197">
      <c r="DC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row>
    <row r="1493" spans="107:197">
      <c r="DC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row>
    <row r="1494" spans="107:197">
      <c r="DC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row>
    <row r="1495" spans="107:197">
      <c r="DC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row>
    <row r="1496" spans="107:197">
      <c r="DC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row>
    <row r="1497" spans="107:197">
      <c r="DC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row>
    <row r="1498" spans="107:197">
      <c r="DC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row>
    <row r="1499" spans="107:197">
      <c r="DC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row>
    <row r="1500" spans="107:197">
      <c r="DC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row>
    <row r="1501" spans="107:197">
      <c r="DC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row>
    <row r="1502" spans="107:197">
      <c r="DC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row>
    <row r="1503" spans="107:197">
      <c r="DC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row>
    <row r="1504" spans="107:197">
      <c r="DC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row>
    <row r="1505" spans="107:197">
      <c r="DC1505"/>
      <c r="FH1505"/>
      <c r="FI1505"/>
      <c r="FJ1505"/>
      <c r="FK1505"/>
      <c r="FL1505"/>
      <c r="FM1505"/>
      <c r="FN1505"/>
      <c r="FO1505"/>
      <c r="FP1505"/>
      <c r="FQ1505"/>
      <c r="FR1505"/>
      <c r="FS1505"/>
      <c r="FT1505"/>
      <c r="FU1505"/>
      <c r="FV1505"/>
      <c r="FW1505"/>
      <c r="FX1505"/>
      <c r="FY1505"/>
      <c r="FZ1505"/>
      <c r="GA1505"/>
      <c r="GB1505"/>
      <c r="GC1505"/>
      <c r="GD1505"/>
      <c r="GE1505"/>
      <c r="GF1505"/>
      <c r="GG1505"/>
      <c r="GH1505"/>
      <c r="GI1505"/>
      <c r="GJ1505"/>
      <c r="GK1505"/>
      <c r="GL1505"/>
      <c r="GM1505"/>
      <c r="GN1505"/>
      <c r="GO1505"/>
    </row>
    <row r="1506" spans="107:197">
      <c r="DC1506"/>
      <c r="FH1506"/>
      <c r="FI1506"/>
      <c r="FJ1506"/>
      <c r="FK1506"/>
      <c r="FL1506"/>
      <c r="FM1506"/>
      <c r="FN1506"/>
      <c r="FO1506"/>
      <c r="FP1506"/>
      <c r="FQ1506"/>
      <c r="FR1506"/>
      <c r="FS1506"/>
      <c r="FT1506"/>
      <c r="FU1506"/>
      <c r="FV1506"/>
      <c r="FW1506"/>
      <c r="FX1506"/>
      <c r="FY1506"/>
      <c r="FZ1506"/>
      <c r="GA1506"/>
      <c r="GB1506"/>
      <c r="GC1506"/>
      <c r="GD1506"/>
      <c r="GE1506"/>
      <c r="GF1506"/>
      <c r="GG1506"/>
      <c r="GH1506"/>
      <c r="GI1506"/>
      <c r="GJ1506"/>
      <c r="GK1506"/>
      <c r="GL1506"/>
      <c r="GM1506"/>
      <c r="GN1506"/>
      <c r="GO1506"/>
    </row>
    <row r="1507" spans="107:197">
      <c r="DC1507"/>
      <c r="FH1507"/>
      <c r="FI1507"/>
      <c r="FJ1507"/>
      <c r="FK1507"/>
      <c r="FL1507"/>
      <c r="FM1507"/>
      <c r="FN1507"/>
      <c r="FO1507"/>
      <c r="FP1507"/>
      <c r="FQ1507"/>
      <c r="FR1507"/>
      <c r="FS1507"/>
      <c r="FT1507"/>
      <c r="FU1507"/>
      <c r="FV1507"/>
      <c r="FW1507"/>
      <c r="FX1507"/>
      <c r="FY1507"/>
      <c r="FZ1507"/>
      <c r="GA1507"/>
      <c r="GB1507"/>
      <c r="GC1507"/>
      <c r="GD1507"/>
      <c r="GE1507"/>
      <c r="GF1507"/>
      <c r="GG1507"/>
      <c r="GH1507"/>
      <c r="GI1507"/>
      <c r="GJ1507"/>
      <c r="GK1507"/>
      <c r="GL1507"/>
      <c r="GM1507"/>
      <c r="GN1507"/>
      <c r="GO1507"/>
    </row>
    <row r="1508" spans="107:197">
      <c r="DC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c r="GJ1508"/>
      <c r="GK1508"/>
      <c r="GL1508"/>
      <c r="GM1508"/>
      <c r="GN1508"/>
      <c r="GO1508"/>
    </row>
    <row r="1509" spans="107:197">
      <c r="DC1509"/>
      <c r="FH1509"/>
      <c r="FI1509"/>
      <c r="FJ1509"/>
      <c r="FK1509"/>
      <c r="FL1509"/>
      <c r="FM1509"/>
      <c r="FN1509"/>
      <c r="FO1509"/>
      <c r="FP1509"/>
      <c r="FQ1509"/>
      <c r="FR1509"/>
      <c r="FS1509"/>
      <c r="FT1509"/>
      <c r="FU1509"/>
      <c r="FV1509"/>
      <c r="FW1509"/>
      <c r="FX1509"/>
      <c r="FY1509"/>
      <c r="FZ1509"/>
      <c r="GA1509"/>
      <c r="GB1509"/>
      <c r="GC1509"/>
      <c r="GD1509"/>
      <c r="GE1509"/>
      <c r="GF1509"/>
      <c r="GG1509"/>
      <c r="GH1509"/>
      <c r="GI1509"/>
      <c r="GJ1509"/>
      <c r="GK1509"/>
      <c r="GL1509"/>
      <c r="GM1509"/>
      <c r="GN1509"/>
      <c r="GO1509"/>
    </row>
    <row r="1510" spans="107:197">
      <c r="DC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row>
    <row r="1511" spans="107:197">
      <c r="DC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c r="GJ1511"/>
      <c r="GK1511"/>
      <c r="GL1511"/>
      <c r="GM1511"/>
      <c r="GN1511"/>
      <c r="GO1511"/>
    </row>
    <row r="1512" spans="107:197">
      <c r="DC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row>
    <row r="1513" spans="107:197">
      <c r="DC1513"/>
      <c r="FH1513"/>
      <c r="FI1513"/>
      <c r="FJ1513"/>
      <c r="FK1513"/>
      <c r="FL1513"/>
      <c r="FM1513"/>
      <c r="FN1513"/>
      <c r="FO1513"/>
      <c r="FP1513"/>
      <c r="FQ1513"/>
      <c r="FR1513"/>
      <c r="FS1513"/>
      <c r="FT1513"/>
      <c r="FU1513"/>
      <c r="FV1513"/>
      <c r="FW1513"/>
      <c r="FX1513"/>
      <c r="FY1513"/>
      <c r="FZ1513"/>
      <c r="GA1513"/>
      <c r="GB1513"/>
      <c r="GC1513"/>
      <c r="GD1513"/>
      <c r="GE1513"/>
      <c r="GF1513"/>
      <c r="GG1513"/>
      <c r="GH1513"/>
      <c r="GI1513"/>
      <c r="GJ1513"/>
      <c r="GK1513"/>
      <c r="GL1513"/>
      <c r="GM1513"/>
      <c r="GN1513"/>
      <c r="GO1513"/>
    </row>
    <row r="1514" spans="107:197">
      <c r="DC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row>
    <row r="1515" spans="107:197">
      <c r="DC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row>
    <row r="1516" spans="107:197">
      <c r="DC1516"/>
      <c r="FH1516"/>
      <c r="FI1516"/>
      <c r="FJ1516"/>
      <c r="FK1516"/>
      <c r="FL1516"/>
      <c r="FM1516"/>
      <c r="FN1516"/>
      <c r="FO1516"/>
      <c r="FP1516"/>
      <c r="FQ1516"/>
      <c r="FR1516"/>
      <c r="FS1516"/>
      <c r="FT1516"/>
      <c r="FU1516"/>
      <c r="FV1516"/>
      <c r="FW1516"/>
      <c r="FX1516"/>
      <c r="FY1516"/>
      <c r="FZ1516"/>
      <c r="GA1516"/>
      <c r="GB1516"/>
      <c r="GC1516"/>
      <c r="GD1516"/>
      <c r="GE1516"/>
      <c r="GF1516"/>
      <c r="GG1516"/>
      <c r="GH1516"/>
      <c r="GI1516"/>
      <c r="GJ1516"/>
      <c r="GK1516"/>
      <c r="GL1516"/>
      <c r="GM1516"/>
      <c r="GN1516"/>
      <c r="GO1516"/>
    </row>
    <row r="1517" spans="107:197">
      <c r="DC1517"/>
      <c r="FH1517"/>
      <c r="FI1517"/>
      <c r="FJ1517"/>
      <c r="FK1517"/>
      <c r="FL1517"/>
      <c r="FM1517"/>
      <c r="FN1517"/>
      <c r="FO1517"/>
      <c r="FP1517"/>
      <c r="FQ1517"/>
      <c r="FR1517"/>
      <c r="FS1517"/>
      <c r="FT1517"/>
      <c r="FU1517"/>
      <c r="FV1517"/>
      <c r="FW1517"/>
      <c r="FX1517"/>
      <c r="FY1517"/>
      <c r="FZ1517"/>
      <c r="GA1517"/>
      <c r="GB1517"/>
      <c r="GC1517"/>
      <c r="GD1517"/>
      <c r="GE1517"/>
      <c r="GF1517"/>
      <c r="GG1517"/>
      <c r="GH1517"/>
      <c r="GI1517"/>
      <c r="GJ1517"/>
      <c r="GK1517"/>
      <c r="GL1517"/>
      <c r="GM1517"/>
      <c r="GN1517"/>
      <c r="GO1517"/>
    </row>
    <row r="1518" spans="107:197">
      <c r="DC1518"/>
      <c r="FH1518"/>
      <c r="FI1518"/>
      <c r="FJ1518"/>
      <c r="FK1518"/>
      <c r="FL1518"/>
      <c r="FM1518"/>
      <c r="FN1518"/>
      <c r="FO1518"/>
      <c r="FP1518"/>
      <c r="FQ1518"/>
      <c r="FR1518"/>
      <c r="FS1518"/>
      <c r="FT1518"/>
      <c r="FU1518"/>
      <c r="FV1518"/>
      <c r="FW1518"/>
      <c r="FX1518"/>
      <c r="FY1518"/>
      <c r="FZ1518"/>
      <c r="GA1518"/>
      <c r="GB1518"/>
      <c r="GC1518"/>
      <c r="GD1518"/>
      <c r="GE1518"/>
      <c r="GF1518"/>
      <c r="GG1518"/>
      <c r="GH1518"/>
      <c r="GI1518"/>
      <c r="GJ1518"/>
      <c r="GK1518"/>
      <c r="GL1518"/>
      <c r="GM1518"/>
      <c r="GN1518"/>
      <c r="GO1518"/>
    </row>
    <row r="1519" spans="107:197">
      <c r="DC1519"/>
      <c r="FH1519"/>
      <c r="FI1519"/>
      <c r="FJ1519"/>
      <c r="FK1519"/>
      <c r="FL1519"/>
      <c r="FM1519"/>
      <c r="FN1519"/>
      <c r="FO1519"/>
      <c r="FP1519"/>
      <c r="FQ1519"/>
      <c r="FR1519"/>
      <c r="FS1519"/>
      <c r="FT1519"/>
      <c r="FU1519"/>
      <c r="FV1519"/>
      <c r="FW1519"/>
      <c r="FX1519"/>
      <c r="FY1519"/>
      <c r="FZ1519"/>
      <c r="GA1519"/>
      <c r="GB1519"/>
      <c r="GC1519"/>
      <c r="GD1519"/>
      <c r="GE1519"/>
      <c r="GF1519"/>
      <c r="GG1519"/>
      <c r="GH1519"/>
      <c r="GI1519"/>
      <c r="GJ1519"/>
      <c r="GK1519"/>
      <c r="GL1519"/>
      <c r="GM1519"/>
      <c r="GN1519"/>
      <c r="GO1519"/>
    </row>
    <row r="1520" spans="107:197">
      <c r="DC1520"/>
      <c r="FH1520"/>
      <c r="FI1520"/>
      <c r="FJ1520"/>
      <c r="FK1520"/>
      <c r="FL1520"/>
      <c r="FM1520"/>
      <c r="FN1520"/>
      <c r="FO1520"/>
      <c r="FP1520"/>
      <c r="FQ1520"/>
      <c r="FR1520"/>
      <c r="FS1520"/>
      <c r="FT1520"/>
      <c r="FU1520"/>
      <c r="FV1520"/>
      <c r="FW1520"/>
      <c r="FX1520"/>
      <c r="FY1520"/>
      <c r="FZ1520"/>
      <c r="GA1520"/>
      <c r="GB1520"/>
      <c r="GC1520"/>
      <c r="GD1520"/>
      <c r="GE1520"/>
      <c r="GF1520"/>
      <c r="GG1520"/>
      <c r="GH1520"/>
      <c r="GI1520"/>
      <c r="GJ1520"/>
      <c r="GK1520"/>
      <c r="GL1520"/>
      <c r="GM1520"/>
      <c r="GN1520"/>
      <c r="GO1520"/>
    </row>
    <row r="1521" spans="107:197">
      <c r="DC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row>
    <row r="1522" spans="107:197">
      <c r="DC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row>
    <row r="1523" spans="107:197">
      <c r="DC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row>
    <row r="1524" spans="107:197">
      <c r="DC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row>
    <row r="1525" spans="107:197">
      <c r="DC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row>
    <row r="1526" spans="107:197">
      <c r="DC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row>
    <row r="1527" spans="107:197">
      <c r="DC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row>
    <row r="1528" spans="107:197">
      <c r="DC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row>
    <row r="1529" spans="107:197">
      <c r="DC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row>
    <row r="1530" spans="107:197">
      <c r="DC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row>
    <row r="1531" spans="107:197">
      <c r="DC1531"/>
      <c r="FH1531"/>
      <c r="FI1531"/>
      <c r="FJ1531"/>
      <c r="FK1531"/>
      <c r="FL1531"/>
      <c r="FM1531"/>
      <c r="FN1531"/>
      <c r="FO1531"/>
      <c r="FP1531"/>
      <c r="FQ1531"/>
      <c r="FR1531"/>
      <c r="FS1531"/>
      <c r="FT1531"/>
      <c r="FU1531"/>
      <c r="FV1531"/>
      <c r="FW1531"/>
      <c r="FX1531"/>
      <c r="FY1531"/>
      <c r="FZ1531"/>
      <c r="GA1531"/>
      <c r="GB1531"/>
      <c r="GC1531"/>
      <c r="GD1531"/>
      <c r="GE1531"/>
      <c r="GF1531"/>
      <c r="GG1531"/>
      <c r="GH1531"/>
      <c r="GI1531"/>
      <c r="GJ1531"/>
      <c r="GK1531"/>
      <c r="GL1531"/>
      <c r="GM1531"/>
      <c r="GN1531"/>
      <c r="GO1531"/>
    </row>
    <row r="1532" spans="107:197">
      <c r="DC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row>
    <row r="1533" spans="107:197">
      <c r="DC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row>
    <row r="1534" spans="107:197">
      <c r="DC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row>
    <row r="1535" spans="107:197">
      <c r="DC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row>
    <row r="1536" spans="107:197">
      <c r="DC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row>
    <row r="1537" spans="107:197">
      <c r="DC1537"/>
      <c r="FH1537"/>
      <c r="FI1537"/>
      <c r="FJ1537"/>
      <c r="FK1537"/>
      <c r="FL1537"/>
      <c r="FM1537"/>
      <c r="FN1537"/>
      <c r="FO1537"/>
      <c r="FP1537"/>
      <c r="FQ1537"/>
      <c r="FR1537"/>
      <c r="FS1537"/>
      <c r="FT1537"/>
      <c r="FU1537"/>
      <c r="FV1537"/>
      <c r="FW1537"/>
      <c r="FX1537"/>
      <c r="FY1537"/>
      <c r="FZ1537"/>
      <c r="GA1537"/>
      <c r="GB1537"/>
      <c r="GC1537"/>
      <c r="GD1537"/>
      <c r="GE1537"/>
      <c r="GF1537"/>
      <c r="GG1537"/>
      <c r="GH1537"/>
      <c r="GI1537"/>
      <c r="GJ1537"/>
      <c r="GK1537"/>
      <c r="GL1537"/>
      <c r="GM1537"/>
      <c r="GN1537"/>
      <c r="GO1537"/>
    </row>
    <row r="1538" spans="107:197">
      <c r="DC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row>
    <row r="1539" spans="107:197">
      <c r="DC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row>
    <row r="1540" spans="107:197">
      <c r="DC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row>
    <row r="1541" spans="107:197">
      <c r="DC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row>
    <row r="1542" spans="107:197">
      <c r="DC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row>
    <row r="1543" spans="107:197">
      <c r="DC1543"/>
      <c r="FH1543"/>
      <c r="FI1543"/>
      <c r="FJ1543"/>
      <c r="FK1543"/>
      <c r="FL1543"/>
      <c r="FM1543"/>
      <c r="FN1543"/>
      <c r="FO1543"/>
      <c r="FP1543"/>
      <c r="FQ1543"/>
      <c r="FR1543"/>
      <c r="FS1543"/>
      <c r="FT1543"/>
      <c r="FU1543"/>
      <c r="FV1543"/>
      <c r="FW1543"/>
      <c r="FX1543"/>
      <c r="FY1543"/>
      <c r="FZ1543"/>
      <c r="GA1543"/>
      <c r="GB1543"/>
      <c r="GC1543"/>
      <c r="GD1543"/>
      <c r="GE1543"/>
      <c r="GF1543"/>
      <c r="GG1543"/>
      <c r="GH1543"/>
      <c r="GI1543"/>
      <c r="GJ1543"/>
      <c r="GK1543"/>
      <c r="GL1543"/>
      <c r="GM1543"/>
      <c r="GN1543"/>
      <c r="GO1543"/>
    </row>
    <row r="1544" spans="107:197">
      <c r="DC1544"/>
      <c r="FH1544"/>
      <c r="FI1544"/>
      <c r="FJ1544"/>
      <c r="FK1544"/>
      <c r="FL1544"/>
      <c r="FM1544"/>
      <c r="FN1544"/>
      <c r="FO1544"/>
      <c r="FP1544"/>
      <c r="FQ1544"/>
      <c r="FR1544"/>
      <c r="FS1544"/>
      <c r="FT1544"/>
      <c r="FU1544"/>
      <c r="FV1544"/>
      <c r="FW1544"/>
      <c r="FX1544"/>
      <c r="FY1544"/>
      <c r="FZ1544"/>
      <c r="GA1544"/>
      <c r="GB1544"/>
      <c r="GC1544"/>
      <c r="GD1544"/>
      <c r="GE1544"/>
      <c r="GF1544"/>
      <c r="GG1544"/>
      <c r="GH1544"/>
      <c r="GI1544"/>
      <c r="GJ1544"/>
      <c r="GK1544"/>
      <c r="GL1544"/>
      <c r="GM1544"/>
      <c r="GN1544"/>
      <c r="GO1544"/>
    </row>
    <row r="1545" spans="107:197">
      <c r="DC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c r="GJ1545"/>
      <c r="GK1545"/>
      <c r="GL1545"/>
      <c r="GM1545"/>
      <c r="GN1545"/>
      <c r="GO1545"/>
    </row>
    <row r="1546" spans="107:197">
      <c r="DC1546"/>
      <c r="FH1546"/>
      <c r="FI1546"/>
      <c r="FJ1546"/>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row>
    <row r="1547" spans="107:197">
      <c r="DC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row>
    <row r="1548" spans="107:197">
      <c r="DC1548"/>
      <c r="FH1548"/>
      <c r="FI1548"/>
      <c r="FJ1548"/>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row>
    <row r="1549" spans="107:197">
      <c r="DC1549"/>
      <c r="FH1549"/>
      <c r="FI1549"/>
      <c r="FJ1549"/>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row>
    <row r="1550" spans="107:197">
      <c r="DC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row>
    <row r="1551" spans="107:197">
      <c r="DC1551"/>
      <c r="FH1551"/>
      <c r="FI1551"/>
      <c r="FJ1551"/>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row>
    <row r="1552" spans="107:197">
      <c r="DC1552"/>
      <c r="FH1552"/>
      <c r="FI1552"/>
      <c r="FJ1552"/>
      <c r="FK1552"/>
      <c r="FL1552"/>
      <c r="FM1552"/>
      <c r="FN1552"/>
      <c r="FO1552"/>
      <c r="FP1552"/>
      <c r="FQ1552"/>
      <c r="FR1552"/>
      <c r="FS1552"/>
      <c r="FT1552"/>
      <c r="FU1552"/>
      <c r="FV1552"/>
      <c r="FW1552"/>
      <c r="FX1552"/>
      <c r="FY1552"/>
      <c r="FZ1552"/>
      <c r="GA1552"/>
      <c r="GB1552"/>
      <c r="GC1552"/>
      <c r="GD1552"/>
      <c r="GE1552"/>
      <c r="GF1552"/>
      <c r="GG1552"/>
      <c r="GH1552"/>
      <c r="GI1552"/>
      <c r="GJ1552"/>
      <c r="GK1552"/>
      <c r="GL1552"/>
      <c r="GM1552"/>
      <c r="GN1552"/>
      <c r="GO1552"/>
    </row>
    <row r="1553" spans="107:197">
      <c r="DC1553"/>
      <c r="FH1553"/>
      <c r="FI1553"/>
      <c r="FJ1553"/>
      <c r="FK1553"/>
      <c r="FL1553"/>
      <c r="FM1553"/>
      <c r="FN1553"/>
      <c r="FO1553"/>
      <c r="FP1553"/>
      <c r="FQ1553"/>
      <c r="FR1553"/>
      <c r="FS1553"/>
      <c r="FT1553"/>
      <c r="FU1553"/>
      <c r="FV1553"/>
      <c r="FW1553"/>
      <c r="FX1553"/>
      <c r="FY1553"/>
      <c r="FZ1553"/>
      <c r="GA1553"/>
      <c r="GB1553"/>
      <c r="GC1553"/>
      <c r="GD1553"/>
      <c r="GE1553"/>
      <c r="GF1553"/>
      <c r="GG1553"/>
      <c r="GH1553"/>
      <c r="GI1553"/>
      <c r="GJ1553"/>
      <c r="GK1553"/>
      <c r="GL1553"/>
      <c r="GM1553"/>
      <c r="GN1553"/>
      <c r="GO1553"/>
    </row>
    <row r="1554" spans="107:197">
      <c r="DC1554"/>
      <c r="FH1554"/>
      <c r="FI1554"/>
      <c r="FJ1554"/>
      <c r="FK1554"/>
      <c r="FL1554"/>
      <c r="FM1554"/>
      <c r="FN1554"/>
      <c r="FO1554"/>
      <c r="FP1554"/>
      <c r="FQ1554"/>
      <c r="FR1554"/>
      <c r="FS1554"/>
      <c r="FT1554"/>
      <c r="FU1554"/>
      <c r="FV1554"/>
      <c r="FW1554"/>
      <c r="FX1554"/>
      <c r="FY1554"/>
      <c r="FZ1554"/>
      <c r="GA1554"/>
      <c r="GB1554"/>
      <c r="GC1554"/>
      <c r="GD1554"/>
      <c r="GE1554"/>
      <c r="GF1554"/>
      <c r="GG1554"/>
      <c r="GH1554"/>
      <c r="GI1554"/>
      <c r="GJ1554"/>
      <c r="GK1554"/>
      <c r="GL1554"/>
      <c r="GM1554"/>
      <c r="GN1554"/>
      <c r="GO1554"/>
    </row>
    <row r="1555" spans="107:197">
      <c r="DC1555"/>
      <c r="FH1555"/>
      <c r="FI1555"/>
      <c r="FJ1555"/>
      <c r="FK1555"/>
      <c r="FL1555"/>
      <c r="FM1555"/>
      <c r="FN1555"/>
      <c r="FO1555"/>
      <c r="FP1555"/>
      <c r="FQ1555"/>
      <c r="FR1555"/>
      <c r="FS1555"/>
      <c r="FT1555"/>
      <c r="FU1555"/>
      <c r="FV1555"/>
      <c r="FW1555"/>
      <c r="FX1555"/>
      <c r="FY1555"/>
      <c r="FZ1555"/>
      <c r="GA1555"/>
      <c r="GB1555"/>
      <c r="GC1555"/>
      <c r="GD1555"/>
      <c r="GE1555"/>
      <c r="GF1555"/>
      <c r="GG1555"/>
      <c r="GH1555"/>
      <c r="GI1555"/>
      <c r="GJ1555"/>
      <c r="GK1555"/>
      <c r="GL1555"/>
      <c r="GM1555"/>
      <c r="GN1555"/>
      <c r="GO1555"/>
    </row>
    <row r="1556" spans="107:197">
      <c r="DC1556"/>
      <c r="FH1556"/>
      <c r="FI1556"/>
      <c r="FJ1556"/>
      <c r="FK1556"/>
      <c r="FL1556"/>
      <c r="FM1556"/>
      <c r="FN1556"/>
      <c r="FO1556"/>
      <c r="FP1556"/>
      <c r="FQ1556"/>
      <c r="FR1556"/>
      <c r="FS1556"/>
      <c r="FT1556"/>
      <c r="FU1556"/>
      <c r="FV1556"/>
      <c r="FW1556"/>
      <c r="FX1556"/>
      <c r="FY1556"/>
      <c r="FZ1556"/>
      <c r="GA1556"/>
      <c r="GB1556"/>
      <c r="GC1556"/>
      <c r="GD1556"/>
      <c r="GE1556"/>
      <c r="GF1556"/>
      <c r="GG1556"/>
      <c r="GH1556"/>
      <c r="GI1556"/>
      <c r="GJ1556"/>
      <c r="GK1556"/>
      <c r="GL1556"/>
      <c r="GM1556"/>
      <c r="GN1556"/>
      <c r="GO1556"/>
    </row>
    <row r="1557" spans="107:197">
      <c r="DC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c r="GJ1557"/>
      <c r="GK1557"/>
      <c r="GL1557"/>
      <c r="GM1557"/>
      <c r="GN1557"/>
      <c r="GO1557"/>
    </row>
    <row r="1558" spans="107:197">
      <c r="DC1558"/>
      <c r="FH1558"/>
      <c r="FI1558"/>
      <c r="FJ1558"/>
      <c r="FK1558"/>
      <c r="FL1558"/>
      <c r="FM1558"/>
      <c r="FN1558"/>
      <c r="FO1558"/>
      <c r="FP1558"/>
      <c r="FQ1558"/>
      <c r="FR1558"/>
      <c r="FS1558"/>
      <c r="FT1558"/>
      <c r="FU1558"/>
      <c r="FV1558"/>
      <c r="FW1558"/>
      <c r="FX1558"/>
      <c r="FY1558"/>
      <c r="FZ1558"/>
      <c r="GA1558"/>
      <c r="GB1558"/>
      <c r="GC1558"/>
      <c r="GD1558"/>
      <c r="GE1558"/>
      <c r="GF1558"/>
      <c r="GG1558"/>
      <c r="GH1558"/>
      <c r="GI1558"/>
      <c r="GJ1558"/>
      <c r="GK1558"/>
      <c r="GL1558"/>
      <c r="GM1558"/>
      <c r="GN1558"/>
      <c r="GO1558"/>
    </row>
    <row r="1559" spans="107:197">
      <c r="DC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c r="GJ1559"/>
      <c r="GK1559"/>
      <c r="GL1559"/>
      <c r="GM1559"/>
      <c r="GN1559"/>
      <c r="GO1559"/>
    </row>
    <row r="1560" spans="107:197">
      <c r="DC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c r="GJ1560"/>
      <c r="GK1560"/>
      <c r="GL1560"/>
      <c r="GM1560"/>
      <c r="GN1560"/>
      <c r="GO1560"/>
    </row>
    <row r="1561" spans="107:197">
      <c r="DC1561"/>
      <c r="FH1561"/>
      <c r="FI1561"/>
      <c r="FJ1561"/>
      <c r="FK1561"/>
      <c r="FL1561"/>
      <c r="FM1561"/>
      <c r="FN1561"/>
      <c r="FO1561"/>
      <c r="FP1561"/>
      <c r="FQ1561"/>
      <c r="FR1561"/>
      <c r="FS1561"/>
      <c r="FT1561"/>
      <c r="FU1561"/>
      <c r="FV1561"/>
      <c r="FW1561"/>
      <c r="FX1561"/>
      <c r="FY1561"/>
      <c r="FZ1561"/>
      <c r="GA1561"/>
      <c r="GB1561"/>
      <c r="GC1561"/>
      <c r="GD1561"/>
      <c r="GE1561"/>
      <c r="GF1561"/>
      <c r="GG1561"/>
      <c r="GH1561"/>
      <c r="GI1561"/>
      <c r="GJ1561"/>
      <c r="GK1561"/>
      <c r="GL1561"/>
      <c r="GM1561"/>
      <c r="GN1561"/>
      <c r="GO1561"/>
    </row>
    <row r="1562" spans="107:197">
      <c r="DC1562"/>
      <c r="FH1562"/>
      <c r="FI1562"/>
      <c r="FJ1562"/>
      <c r="FK1562"/>
      <c r="FL1562"/>
      <c r="FM1562"/>
      <c r="FN1562"/>
      <c r="FO1562"/>
      <c r="FP1562"/>
      <c r="FQ1562"/>
      <c r="FR1562"/>
      <c r="FS1562"/>
      <c r="FT1562"/>
      <c r="FU1562"/>
      <c r="FV1562"/>
      <c r="FW1562"/>
      <c r="FX1562"/>
      <c r="FY1562"/>
      <c r="FZ1562"/>
      <c r="GA1562"/>
      <c r="GB1562"/>
      <c r="GC1562"/>
      <c r="GD1562"/>
      <c r="GE1562"/>
      <c r="GF1562"/>
      <c r="GG1562"/>
      <c r="GH1562"/>
      <c r="GI1562"/>
      <c r="GJ1562"/>
      <c r="GK1562"/>
      <c r="GL1562"/>
      <c r="GM1562"/>
      <c r="GN1562"/>
      <c r="GO1562"/>
    </row>
    <row r="1563" spans="107:197">
      <c r="DC1563"/>
      <c r="FH1563"/>
      <c r="FI1563"/>
      <c r="FJ1563"/>
      <c r="FK1563"/>
      <c r="FL1563"/>
      <c r="FM1563"/>
      <c r="FN1563"/>
      <c r="FO1563"/>
      <c r="FP1563"/>
      <c r="FQ1563"/>
      <c r="FR1563"/>
      <c r="FS1563"/>
      <c r="FT1563"/>
      <c r="FU1563"/>
      <c r="FV1563"/>
      <c r="FW1563"/>
      <c r="FX1563"/>
      <c r="FY1563"/>
      <c r="FZ1563"/>
      <c r="GA1563"/>
      <c r="GB1563"/>
      <c r="GC1563"/>
      <c r="GD1563"/>
      <c r="GE1563"/>
      <c r="GF1563"/>
      <c r="GG1563"/>
      <c r="GH1563"/>
      <c r="GI1563"/>
      <c r="GJ1563"/>
      <c r="GK1563"/>
      <c r="GL1563"/>
      <c r="GM1563"/>
      <c r="GN1563"/>
      <c r="GO1563"/>
    </row>
    <row r="1564" spans="107:197">
      <c r="DC1564"/>
      <c r="FH1564"/>
      <c r="FI1564"/>
      <c r="FJ1564"/>
      <c r="FK1564"/>
      <c r="FL1564"/>
      <c r="FM1564"/>
      <c r="FN1564"/>
      <c r="FO1564"/>
      <c r="FP1564"/>
      <c r="FQ1564"/>
      <c r="FR1564"/>
      <c r="FS1564"/>
      <c r="FT1564"/>
      <c r="FU1564"/>
      <c r="FV1564"/>
      <c r="FW1564"/>
      <c r="FX1564"/>
      <c r="FY1564"/>
      <c r="FZ1564"/>
      <c r="GA1564"/>
      <c r="GB1564"/>
      <c r="GC1564"/>
      <c r="GD1564"/>
      <c r="GE1564"/>
      <c r="GF1564"/>
      <c r="GG1564"/>
      <c r="GH1564"/>
      <c r="GI1564"/>
      <c r="GJ1564"/>
      <c r="GK1564"/>
      <c r="GL1564"/>
      <c r="GM1564"/>
      <c r="GN1564"/>
      <c r="GO1564"/>
    </row>
    <row r="1565" spans="107:197">
      <c r="DC1565"/>
      <c r="FH1565"/>
      <c r="FI1565"/>
      <c r="FJ1565"/>
      <c r="FK1565"/>
      <c r="FL1565"/>
      <c r="FM1565"/>
      <c r="FN1565"/>
      <c r="FO1565"/>
      <c r="FP1565"/>
      <c r="FQ1565"/>
      <c r="FR1565"/>
      <c r="FS1565"/>
      <c r="FT1565"/>
      <c r="FU1565"/>
      <c r="FV1565"/>
      <c r="FW1565"/>
      <c r="FX1565"/>
      <c r="FY1565"/>
      <c r="FZ1565"/>
      <c r="GA1565"/>
      <c r="GB1565"/>
      <c r="GC1565"/>
      <c r="GD1565"/>
      <c r="GE1565"/>
      <c r="GF1565"/>
      <c r="GG1565"/>
      <c r="GH1565"/>
      <c r="GI1565"/>
      <c r="GJ1565"/>
      <c r="GK1565"/>
      <c r="GL1565"/>
      <c r="GM1565"/>
      <c r="GN1565"/>
      <c r="GO1565"/>
    </row>
    <row r="1566" spans="107:197">
      <c r="DC1566"/>
      <c r="FH1566"/>
      <c r="FI1566"/>
      <c r="FJ1566"/>
      <c r="FK1566"/>
      <c r="FL1566"/>
      <c r="FM1566"/>
      <c r="FN1566"/>
      <c r="FO1566"/>
      <c r="FP1566"/>
      <c r="FQ1566"/>
      <c r="FR1566"/>
      <c r="FS1566"/>
      <c r="FT1566"/>
      <c r="FU1566"/>
      <c r="FV1566"/>
      <c r="FW1566"/>
      <c r="FX1566"/>
      <c r="FY1566"/>
      <c r="FZ1566"/>
      <c r="GA1566"/>
      <c r="GB1566"/>
      <c r="GC1566"/>
      <c r="GD1566"/>
      <c r="GE1566"/>
      <c r="GF1566"/>
      <c r="GG1566"/>
      <c r="GH1566"/>
      <c r="GI1566"/>
      <c r="GJ1566"/>
      <c r="GK1566"/>
      <c r="GL1566"/>
      <c r="GM1566"/>
      <c r="GN1566"/>
      <c r="GO1566"/>
    </row>
    <row r="1567" spans="107:197">
      <c r="DC1567"/>
      <c r="FH1567"/>
      <c r="FI1567"/>
      <c r="FJ1567"/>
      <c r="FK1567"/>
      <c r="FL1567"/>
      <c r="FM1567"/>
      <c r="FN1567"/>
      <c r="FO1567"/>
      <c r="FP1567"/>
      <c r="FQ1567"/>
      <c r="FR1567"/>
      <c r="FS1567"/>
      <c r="FT1567"/>
      <c r="FU1567"/>
      <c r="FV1567"/>
      <c r="FW1567"/>
      <c r="FX1567"/>
      <c r="FY1567"/>
      <c r="FZ1567"/>
      <c r="GA1567"/>
      <c r="GB1567"/>
      <c r="GC1567"/>
      <c r="GD1567"/>
      <c r="GE1567"/>
      <c r="GF1567"/>
      <c r="GG1567"/>
      <c r="GH1567"/>
      <c r="GI1567"/>
      <c r="GJ1567"/>
      <c r="GK1567"/>
      <c r="GL1567"/>
      <c r="GM1567"/>
      <c r="GN1567"/>
      <c r="GO1567"/>
    </row>
    <row r="1568" spans="107:197">
      <c r="DC1568"/>
      <c r="FH1568"/>
      <c r="FI1568"/>
      <c r="FJ1568"/>
      <c r="FK1568"/>
      <c r="FL1568"/>
      <c r="FM1568"/>
      <c r="FN1568"/>
      <c r="FO1568"/>
      <c r="FP1568"/>
      <c r="FQ1568"/>
      <c r="FR1568"/>
      <c r="FS1568"/>
      <c r="FT1568"/>
      <c r="FU1568"/>
      <c r="FV1568"/>
      <c r="FW1568"/>
      <c r="FX1568"/>
      <c r="FY1568"/>
      <c r="FZ1568"/>
      <c r="GA1568"/>
      <c r="GB1568"/>
      <c r="GC1568"/>
      <c r="GD1568"/>
      <c r="GE1568"/>
      <c r="GF1568"/>
      <c r="GG1568"/>
      <c r="GH1568"/>
      <c r="GI1568"/>
      <c r="GJ1568"/>
      <c r="GK1568"/>
      <c r="GL1568"/>
      <c r="GM1568"/>
      <c r="GN1568"/>
      <c r="GO1568"/>
    </row>
    <row r="1569" spans="107:197">
      <c r="DC1569"/>
      <c r="FH1569"/>
      <c r="FI1569"/>
      <c r="FJ1569"/>
      <c r="FK1569"/>
      <c r="FL1569"/>
      <c r="FM1569"/>
      <c r="FN1569"/>
      <c r="FO1569"/>
      <c r="FP1569"/>
      <c r="FQ1569"/>
      <c r="FR1569"/>
      <c r="FS1569"/>
      <c r="FT1569"/>
      <c r="FU1569"/>
      <c r="FV1569"/>
      <c r="FW1569"/>
      <c r="FX1569"/>
      <c r="FY1569"/>
      <c r="FZ1569"/>
      <c r="GA1569"/>
      <c r="GB1569"/>
      <c r="GC1569"/>
      <c r="GD1569"/>
      <c r="GE1569"/>
      <c r="GF1569"/>
      <c r="GG1569"/>
      <c r="GH1569"/>
      <c r="GI1569"/>
      <c r="GJ1569"/>
      <c r="GK1569"/>
      <c r="GL1569"/>
      <c r="GM1569"/>
      <c r="GN1569"/>
      <c r="GO1569"/>
    </row>
    <row r="1570" spans="107:197">
      <c r="DC1570"/>
      <c r="FH1570"/>
      <c r="FI1570"/>
      <c r="FJ1570"/>
      <c r="FK1570"/>
      <c r="FL1570"/>
      <c r="FM1570"/>
      <c r="FN1570"/>
      <c r="FO1570"/>
      <c r="FP1570"/>
      <c r="FQ1570"/>
      <c r="FR1570"/>
      <c r="FS1570"/>
      <c r="FT1570"/>
      <c r="FU1570"/>
      <c r="FV1570"/>
      <c r="FW1570"/>
      <c r="FX1570"/>
      <c r="FY1570"/>
      <c r="FZ1570"/>
      <c r="GA1570"/>
      <c r="GB1570"/>
      <c r="GC1570"/>
      <c r="GD1570"/>
      <c r="GE1570"/>
      <c r="GF1570"/>
      <c r="GG1570"/>
      <c r="GH1570"/>
      <c r="GI1570"/>
      <c r="GJ1570"/>
      <c r="GK1570"/>
      <c r="GL1570"/>
      <c r="GM1570"/>
      <c r="GN1570"/>
      <c r="GO1570"/>
    </row>
    <row r="1571" spans="107:197">
      <c r="DC1571"/>
      <c r="FH1571"/>
      <c r="FI1571"/>
      <c r="FJ1571"/>
      <c r="FK1571"/>
      <c r="FL1571"/>
      <c r="FM1571"/>
      <c r="FN1571"/>
      <c r="FO1571"/>
      <c r="FP1571"/>
      <c r="FQ1571"/>
      <c r="FR1571"/>
      <c r="FS1571"/>
      <c r="FT1571"/>
      <c r="FU1571"/>
      <c r="FV1571"/>
      <c r="FW1571"/>
      <c r="FX1571"/>
      <c r="FY1571"/>
      <c r="FZ1571"/>
      <c r="GA1571"/>
      <c r="GB1571"/>
      <c r="GC1571"/>
      <c r="GD1571"/>
      <c r="GE1571"/>
      <c r="GF1571"/>
      <c r="GG1571"/>
      <c r="GH1571"/>
      <c r="GI1571"/>
      <c r="GJ1571"/>
      <c r="GK1571"/>
      <c r="GL1571"/>
      <c r="GM1571"/>
      <c r="GN1571"/>
      <c r="GO1571"/>
    </row>
    <row r="1572" spans="107:197">
      <c r="DC1572"/>
      <c r="FH1572"/>
      <c r="FI1572"/>
      <c r="FJ1572"/>
      <c r="FK1572"/>
      <c r="FL1572"/>
      <c r="FM1572"/>
      <c r="FN1572"/>
      <c r="FO1572"/>
      <c r="FP1572"/>
      <c r="FQ1572"/>
      <c r="FR1572"/>
      <c r="FS1572"/>
      <c r="FT1572"/>
      <c r="FU1572"/>
      <c r="FV1572"/>
      <c r="FW1572"/>
      <c r="FX1572"/>
      <c r="FY1572"/>
      <c r="FZ1572"/>
      <c r="GA1572"/>
      <c r="GB1572"/>
      <c r="GC1572"/>
      <c r="GD1572"/>
      <c r="GE1572"/>
      <c r="GF1572"/>
      <c r="GG1572"/>
      <c r="GH1572"/>
      <c r="GI1572"/>
      <c r="GJ1572"/>
      <c r="GK1572"/>
      <c r="GL1572"/>
      <c r="GM1572"/>
      <c r="GN1572"/>
      <c r="GO1572"/>
    </row>
    <row r="1573" spans="107:197">
      <c r="DC1573"/>
      <c r="FH1573"/>
      <c r="FI1573"/>
      <c r="FJ1573"/>
      <c r="FK1573"/>
      <c r="FL1573"/>
      <c r="FM1573"/>
      <c r="FN1573"/>
      <c r="FO1573"/>
      <c r="FP1573"/>
      <c r="FQ1573"/>
      <c r="FR1573"/>
      <c r="FS1573"/>
      <c r="FT1573"/>
      <c r="FU1573"/>
      <c r="FV1573"/>
      <c r="FW1573"/>
      <c r="FX1573"/>
      <c r="FY1573"/>
      <c r="FZ1573"/>
      <c r="GA1573"/>
      <c r="GB1573"/>
      <c r="GC1573"/>
      <c r="GD1573"/>
      <c r="GE1573"/>
      <c r="GF1573"/>
      <c r="GG1573"/>
      <c r="GH1573"/>
      <c r="GI1573"/>
      <c r="GJ1573"/>
      <c r="GK1573"/>
      <c r="GL1573"/>
      <c r="GM1573"/>
      <c r="GN1573"/>
      <c r="GO1573"/>
    </row>
    <row r="1574" spans="107:197">
      <c r="DC1574"/>
      <c r="FH1574"/>
      <c r="FI1574"/>
      <c r="FJ1574"/>
      <c r="FK1574"/>
      <c r="FL1574"/>
      <c r="FM1574"/>
      <c r="FN1574"/>
      <c r="FO1574"/>
      <c r="FP1574"/>
      <c r="FQ1574"/>
      <c r="FR1574"/>
      <c r="FS1574"/>
      <c r="FT1574"/>
      <c r="FU1574"/>
      <c r="FV1574"/>
      <c r="FW1574"/>
      <c r="FX1574"/>
      <c r="FY1574"/>
      <c r="FZ1574"/>
      <c r="GA1574"/>
      <c r="GB1574"/>
      <c r="GC1574"/>
      <c r="GD1574"/>
      <c r="GE1574"/>
      <c r="GF1574"/>
      <c r="GG1574"/>
      <c r="GH1574"/>
      <c r="GI1574"/>
      <c r="GJ1574"/>
      <c r="GK1574"/>
      <c r="GL1574"/>
      <c r="GM1574"/>
      <c r="GN1574"/>
      <c r="GO1574"/>
    </row>
    <row r="1575" spans="107:197">
      <c r="DC1575"/>
      <c r="FH1575"/>
      <c r="FI1575"/>
      <c r="FJ1575"/>
      <c r="FK1575"/>
      <c r="FL1575"/>
      <c r="FM1575"/>
      <c r="FN1575"/>
      <c r="FO1575"/>
      <c r="FP1575"/>
      <c r="FQ1575"/>
      <c r="FR1575"/>
      <c r="FS1575"/>
      <c r="FT1575"/>
      <c r="FU1575"/>
      <c r="FV1575"/>
      <c r="FW1575"/>
      <c r="FX1575"/>
      <c r="FY1575"/>
      <c r="FZ1575"/>
      <c r="GA1575"/>
      <c r="GB1575"/>
      <c r="GC1575"/>
      <c r="GD1575"/>
      <c r="GE1575"/>
      <c r="GF1575"/>
      <c r="GG1575"/>
      <c r="GH1575"/>
      <c r="GI1575"/>
      <c r="GJ1575"/>
      <c r="GK1575"/>
      <c r="GL1575"/>
      <c r="GM1575"/>
      <c r="GN1575"/>
      <c r="GO1575"/>
    </row>
    <row r="1576" spans="107:197">
      <c r="DC1576"/>
      <c r="FH1576"/>
      <c r="FI1576"/>
      <c r="FJ1576"/>
      <c r="FK1576"/>
      <c r="FL1576"/>
      <c r="FM1576"/>
      <c r="FN1576"/>
      <c r="FO1576"/>
      <c r="FP1576"/>
      <c r="FQ1576"/>
      <c r="FR1576"/>
      <c r="FS1576"/>
      <c r="FT1576"/>
      <c r="FU1576"/>
      <c r="FV1576"/>
      <c r="FW1576"/>
      <c r="FX1576"/>
      <c r="FY1576"/>
      <c r="FZ1576"/>
      <c r="GA1576"/>
      <c r="GB1576"/>
      <c r="GC1576"/>
      <c r="GD1576"/>
      <c r="GE1576"/>
      <c r="GF1576"/>
      <c r="GG1576"/>
      <c r="GH1576"/>
      <c r="GI1576"/>
      <c r="GJ1576"/>
      <c r="GK1576"/>
      <c r="GL1576"/>
      <c r="GM1576"/>
      <c r="GN1576"/>
      <c r="GO1576"/>
    </row>
    <row r="1577" spans="107:197">
      <c r="DC1577"/>
      <c r="FH1577"/>
      <c r="FI1577"/>
      <c r="FJ1577"/>
      <c r="FK1577"/>
      <c r="FL1577"/>
      <c r="FM1577"/>
      <c r="FN1577"/>
      <c r="FO1577"/>
      <c r="FP1577"/>
      <c r="FQ1577"/>
      <c r="FR1577"/>
      <c r="FS1577"/>
      <c r="FT1577"/>
      <c r="FU1577"/>
      <c r="FV1577"/>
      <c r="FW1577"/>
      <c r="FX1577"/>
      <c r="FY1577"/>
      <c r="FZ1577"/>
      <c r="GA1577"/>
      <c r="GB1577"/>
      <c r="GC1577"/>
      <c r="GD1577"/>
      <c r="GE1577"/>
      <c r="GF1577"/>
      <c r="GG1577"/>
      <c r="GH1577"/>
      <c r="GI1577"/>
      <c r="GJ1577"/>
      <c r="GK1577"/>
      <c r="GL1577"/>
      <c r="GM1577"/>
      <c r="GN1577"/>
      <c r="GO1577"/>
    </row>
    <row r="1578" spans="107:197">
      <c r="DC1578"/>
      <c r="FH1578"/>
      <c r="FI1578"/>
      <c r="FJ1578"/>
      <c r="FK1578"/>
      <c r="FL1578"/>
      <c r="FM1578"/>
      <c r="FN1578"/>
      <c r="FO1578"/>
      <c r="FP1578"/>
      <c r="FQ1578"/>
      <c r="FR1578"/>
      <c r="FS1578"/>
      <c r="FT1578"/>
      <c r="FU1578"/>
      <c r="FV1578"/>
      <c r="FW1578"/>
      <c r="FX1578"/>
      <c r="FY1578"/>
      <c r="FZ1578"/>
      <c r="GA1578"/>
      <c r="GB1578"/>
      <c r="GC1578"/>
      <c r="GD1578"/>
      <c r="GE1578"/>
      <c r="GF1578"/>
      <c r="GG1578"/>
      <c r="GH1578"/>
      <c r="GI1578"/>
      <c r="GJ1578"/>
      <c r="GK1578"/>
      <c r="GL1578"/>
      <c r="GM1578"/>
      <c r="GN1578"/>
      <c r="GO1578"/>
    </row>
    <row r="1579" spans="107:197">
      <c r="DC1579"/>
      <c r="FH1579"/>
      <c r="FI1579"/>
      <c r="FJ1579"/>
      <c r="FK1579"/>
      <c r="FL1579"/>
      <c r="FM1579"/>
      <c r="FN1579"/>
      <c r="FO1579"/>
      <c r="FP1579"/>
      <c r="FQ1579"/>
      <c r="FR1579"/>
      <c r="FS1579"/>
      <c r="FT1579"/>
      <c r="FU1579"/>
      <c r="FV1579"/>
      <c r="FW1579"/>
      <c r="FX1579"/>
      <c r="FY1579"/>
      <c r="FZ1579"/>
      <c r="GA1579"/>
      <c r="GB1579"/>
      <c r="GC1579"/>
      <c r="GD1579"/>
      <c r="GE1579"/>
      <c r="GF1579"/>
      <c r="GG1579"/>
      <c r="GH1579"/>
      <c r="GI1579"/>
      <c r="GJ1579"/>
      <c r="GK1579"/>
      <c r="GL1579"/>
      <c r="GM1579"/>
      <c r="GN1579"/>
      <c r="GO1579"/>
    </row>
    <row r="1580" spans="107:197">
      <c r="DC1580"/>
      <c r="FH1580"/>
      <c r="FI1580"/>
      <c r="FJ1580"/>
      <c r="FK1580"/>
      <c r="FL1580"/>
      <c r="FM1580"/>
      <c r="FN1580"/>
      <c r="FO1580"/>
      <c r="FP1580"/>
      <c r="FQ1580"/>
      <c r="FR1580"/>
      <c r="FS1580"/>
      <c r="FT1580"/>
      <c r="FU1580"/>
      <c r="FV1580"/>
      <c r="FW1580"/>
      <c r="FX1580"/>
      <c r="FY1580"/>
      <c r="FZ1580"/>
      <c r="GA1580"/>
      <c r="GB1580"/>
      <c r="GC1580"/>
      <c r="GD1580"/>
      <c r="GE1580"/>
      <c r="GF1580"/>
      <c r="GG1580"/>
      <c r="GH1580"/>
      <c r="GI1580"/>
      <c r="GJ1580"/>
      <c r="GK1580"/>
      <c r="GL1580"/>
      <c r="GM1580"/>
      <c r="GN1580"/>
      <c r="GO1580"/>
    </row>
    <row r="1581" spans="107:197">
      <c r="DC1581"/>
      <c r="FH1581"/>
      <c r="FI1581"/>
      <c r="FJ1581"/>
      <c r="FK1581"/>
      <c r="FL1581"/>
      <c r="FM1581"/>
      <c r="FN1581"/>
      <c r="FO1581"/>
      <c r="FP1581"/>
      <c r="FQ1581"/>
      <c r="FR1581"/>
      <c r="FS1581"/>
      <c r="FT1581"/>
      <c r="FU1581"/>
      <c r="FV1581"/>
      <c r="FW1581"/>
      <c r="FX1581"/>
      <c r="FY1581"/>
      <c r="FZ1581"/>
      <c r="GA1581"/>
      <c r="GB1581"/>
      <c r="GC1581"/>
      <c r="GD1581"/>
      <c r="GE1581"/>
      <c r="GF1581"/>
      <c r="GG1581"/>
      <c r="GH1581"/>
      <c r="GI1581"/>
      <c r="GJ1581"/>
      <c r="GK1581"/>
      <c r="GL1581"/>
      <c r="GM1581"/>
      <c r="GN1581"/>
      <c r="GO1581"/>
    </row>
    <row r="1582" spans="107:197">
      <c r="DC1582"/>
      <c r="FH1582"/>
      <c r="FI1582"/>
      <c r="FJ1582"/>
      <c r="FK1582"/>
      <c r="FL1582"/>
      <c r="FM1582"/>
      <c r="FN1582"/>
      <c r="FO1582"/>
      <c r="FP1582"/>
      <c r="FQ1582"/>
      <c r="FR1582"/>
      <c r="FS1582"/>
      <c r="FT1582"/>
      <c r="FU1582"/>
      <c r="FV1582"/>
      <c r="FW1582"/>
      <c r="FX1582"/>
      <c r="FY1582"/>
      <c r="FZ1582"/>
      <c r="GA1582"/>
      <c r="GB1582"/>
      <c r="GC1582"/>
      <c r="GD1582"/>
      <c r="GE1582"/>
      <c r="GF1582"/>
      <c r="GG1582"/>
      <c r="GH1582"/>
      <c r="GI1582"/>
      <c r="GJ1582"/>
      <c r="GK1582"/>
      <c r="GL1582"/>
      <c r="GM1582"/>
      <c r="GN1582"/>
      <c r="GO1582"/>
    </row>
    <row r="1583" spans="107:197">
      <c r="DC1583"/>
      <c r="FH1583"/>
      <c r="FI1583"/>
      <c r="FJ1583"/>
      <c r="FK1583"/>
      <c r="FL1583"/>
      <c r="FM1583"/>
      <c r="FN1583"/>
      <c r="FO1583"/>
      <c r="FP1583"/>
      <c r="FQ1583"/>
      <c r="FR1583"/>
      <c r="FS1583"/>
      <c r="FT1583"/>
      <c r="FU1583"/>
      <c r="FV1583"/>
      <c r="FW1583"/>
      <c r="FX1583"/>
      <c r="FY1583"/>
      <c r="FZ1583"/>
      <c r="GA1583"/>
      <c r="GB1583"/>
      <c r="GC1583"/>
      <c r="GD1583"/>
      <c r="GE1583"/>
      <c r="GF1583"/>
      <c r="GG1583"/>
      <c r="GH1583"/>
      <c r="GI1583"/>
      <c r="GJ1583"/>
      <c r="GK1583"/>
      <c r="GL1583"/>
      <c r="GM1583"/>
      <c r="GN1583"/>
      <c r="GO1583"/>
    </row>
    <row r="1584" spans="107:197">
      <c r="DC1584"/>
      <c r="FH1584"/>
      <c r="FI1584"/>
      <c r="FJ1584"/>
      <c r="FK1584"/>
      <c r="FL1584"/>
      <c r="FM1584"/>
      <c r="FN1584"/>
      <c r="FO1584"/>
      <c r="FP1584"/>
      <c r="FQ1584"/>
      <c r="FR1584"/>
      <c r="FS1584"/>
      <c r="FT1584"/>
      <c r="FU1584"/>
      <c r="FV1584"/>
      <c r="FW1584"/>
      <c r="FX1584"/>
      <c r="FY1584"/>
      <c r="FZ1584"/>
      <c r="GA1584"/>
      <c r="GB1584"/>
      <c r="GC1584"/>
      <c r="GD1584"/>
      <c r="GE1584"/>
      <c r="GF1584"/>
      <c r="GG1584"/>
      <c r="GH1584"/>
      <c r="GI1584"/>
      <c r="GJ1584"/>
      <c r="GK1584"/>
      <c r="GL1584"/>
      <c r="GM1584"/>
      <c r="GN1584"/>
      <c r="GO1584"/>
    </row>
    <row r="1585" spans="107:197">
      <c r="DC1585"/>
      <c r="FH1585"/>
      <c r="FI1585"/>
      <c r="FJ1585"/>
      <c r="FK1585"/>
      <c r="FL1585"/>
      <c r="FM1585"/>
      <c r="FN1585"/>
      <c r="FO1585"/>
      <c r="FP1585"/>
      <c r="FQ1585"/>
      <c r="FR1585"/>
      <c r="FS1585"/>
      <c r="FT1585"/>
      <c r="FU1585"/>
      <c r="FV1585"/>
      <c r="FW1585"/>
      <c r="FX1585"/>
      <c r="FY1585"/>
      <c r="FZ1585"/>
      <c r="GA1585"/>
      <c r="GB1585"/>
      <c r="GC1585"/>
      <c r="GD1585"/>
      <c r="GE1585"/>
      <c r="GF1585"/>
      <c r="GG1585"/>
      <c r="GH1585"/>
      <c r="GI1585"/>
      <c r="GJ1585"/>
      <c r="GK1585"/>
      <c r="GL1585"/>
      <c r="GM1585"/>
      <c r="GN1585"/>
      <c r="GO1585"/>
    </row>
    <row r="1586" spans="107:197">
      <c r="DC1586"/>
      <c r="FH1586"/>
      <c r="FI1586"/>
      <c r="FJ1586"/>
      <c r="FK1586"/>
      <c r="FL1586"/>
      <c r="FM1586"/>
      <c r="FN1586"/>
      <c r="FO1586"/>
      <c r="FP1586"/>
      <c r="FQ1586"/>
      <c r="FR1586"/>
      <c r="FS1586"/>
      <c r="FT1586"/>
      <c r="FU1586"/>
      <c r="FV1586"/>
      <c r="FW1586"/>
      <c r="FX1586"/>
      <c r="FY1586"/>
      <c r="FZ1586"/>
      <c r="GA1586"/>
      <c r="GB1586"/>
      <c r="GC1586"/>
      <c r="GD1586"/>
      <c r="GE1586"/>
      <c r="GF1586"/>
      <c r="GG1586"/>
      <c r="GH1586"/>
      <c r="GI1586"/>
      <c r="GJ1586"/>
      <c r="GK1586"/>
      <c r="GL1586"/>
      <c r="GM1586"/>
      <c r="GN1586"/>
      <c r="GO1586"/>
    </row>
    <row r="1587" spans="107:197">
      <c r="DC1587"/>
      <c r="FH1587"/>
      <c r="FI1587"/>
      <c r="FJ1587"/>
      <c r="FK1587"/>
      <c r="FL1587"/>
      <c r="FM1587"/>
      <c r="FN1587"/>
      <c r="FO1587"/>
      <c r="FP1587"/>
      <c r="FQ1587"/>
      <c r="FR1587"/>
      <c r="FS1587"/>
      <c r="FT1587"/>
      <c r="FU1587"/>
      <c r="FV1587"/>
      <c r="FW1587"/>
      <c r="FX1587"/>
      <c r="FY1587"/>
      <c r="FZ1587"/>
      <c r="GA1587"/>
      <c r="GB1587"/>
      <c r="GC1587"/>
      <c r="GD1587"/>
      <c r="GE1587"/>
      <c r="GF1587"/>
      <c r="GG1587"/>
      <c r="GH1587"/>
      <c r="GI1587"/>
      <c r="GJ1587"/>
      <c r="GK1587"/>
      <c r="GL1587"/>
      <c r="GM1587"/>
      <c r="GN1587"/>
      <c r="GO1587"/>
    </row>
    <row r="1588" spans="107:197">
      <c r="DC1588"/>
      <c r="FH1588"/>
      <c r="FI1588"/>
      <c r="FJ1588"/>
      <c r="FK1588"/>
      <c r="FL1588"/>
      <c r="FM1588"/>
      <c r="FN1588"/>
      <c r="FO1588"/>
      <c r="FP1588"/>
      <c r="FQ1588"/>
      <c r="FR1588"/>
      <c r="FS1588"/>
      <c r="FT1588"/>
      <c r="FU1588"/>
      <c r="FV1588"/>
      <c r="FW1588"/>
      <c r="FX1588"/>
      <c r="FY1588"/>
      <c r="FZ1588"/>
      <c r="GA1588"/>
      <c r="GB1588"/>
      <c r="GC1588"/>
      <c r="GD1588"/>
      <c r="GE1588"/>
      <c r="GF1588"/>
      <c r="GG1588"/>
      <c r="GH1588"/>
      <c r="GI1588"/>
      <c r="GJ1588"/>
      <c r="GK1588"/>
      <c r="GL1588"/>
      <c r="GM1588"/>
      <c r="GN1588"/>
      <c r="GO1588"/>
    </row>
    <row r="1589" spans="107:197">
      <c r="DC1589"/>
      <c r="FH1589"/>
      <c r="FI1589"/>
      <c r="FJ1589"/>
      <c r="FK1589"/>
      <c r="FL1589"/>
      <c r="FM1589"/>
      <c r="FN1589"/>
      <c r="FO1589"/>
      <c r="FP1589"/>
      <c r="FQ1589"/>
      <c r="FR1589"/>
      <c r="FS1589"/>
      <c r="FT1589"/>
      <c r="FU1589"/>
      <c r="FV1589"/>
      <c r="FW1589"/>
      <c r="FX1589"/>
      <c r="FY1589"/>
      <c r="FZ1589"/>
      <c r="GA1589"/>
      <c r="GB1589"/>
      <c r="GC1589"/>
      <c r="GD1589"/>
      <c r="GE1589"/>
      <c r="GF1589"/>
      <c r="GG1589"/>
      <c r="GH1589"/>
      <c r="GI1589"/>
      <c r="GJ1589"/>
      <c r="GK1589"/>
      <c r="GL1589"/>
      <c r="GM1589"/>
      <c r="GN1589"/>
      <c r="GO1589"/>
    </row>
    <row r="1590" spans="107:197">
      <c r="DC1590"/>
      <c r="FH1590"/>
      <c r="FI1590"/>
      <c r="FJ1590"/>
      <c r="FK1590"/>
      <c r="FL1590"/>
      <c r="FM1590"/>
      <c r="FN1590"/>
      <c r="FO1590"/>
      <c r="FP1590"/>
      <c r="FQ1590"/>
      <c r="FR1590"/>
      <c r="FS1590"/>
      <c r="FT1590"/>
      <c r="FU1590"/>
      <c r="FV1590"/>
      <c r="FW1590"/>
      <c r="FX1590"/>
      <c r="FY1590"/>
      <c r="FZ1590"/>
      <c r="GA1590"/>
      <c r="GB1590"/>
      <c r="GC1590"/>
      <c r="GD1590"/>
      <c r="GE1590"/>
      <c r="GF1590"/>
      <c r="GG1590"/>
      <c r="GH1590"/>
      <c r="GI1590"/>
      <c r="GJ1590"/>
      <c r="GK1590"/>
      <c r="GL1590"/>
      <c r="GM1590"/>
      <c r="GN1590"/>
      <c r="GO1590"/>
    </row>
    <row r="1591" spans="107:197">
      <c r="DC1591"/>
      <c r="FH1591"/>
      <c r="FI1591"/>
      <c r="FJ1591"/>
      <c r="FK1591"/>
      <c r="FL1591"/>
      <c r="FM1591"/>
      <c r="FN1591"/>
      <c r="FO1591"/>
      <c r="FP1591"/>
      <c r="FQ1591"/>
      <c r="FR1591"/>
      <c r="FS1591"/>
      <c r="FT1591"/>
      <c r="FU1591"/>
      <c r="FV1591"/>
      <c r="FW1591"/>
      <c r="FX1591"/>
      <c r="FY1591"/>
      <c r="FZ1591"/>
      <c r="GA1591"/>
      <c r="GB1591"/>
      <c r="GC1591"/>
      <c r="GD1591"/>
      <c r="GE1591"/>
      <c r="GF1591"/>
      <c r="GG1591"/>
      <c r="GH1591"/>
      <c r="GI1591"/>
      <c r="GJ1591"/>
      <c r="GK1591"/>
      <c r="GL1591"/>
      <c r="GM1591"/>
      <c r="GN1591"/>
      <c r="GO1591"/>
    </row>
    <row r="1592" spans="107:197">
      <c r="DC1592"/>
      <c r="FH1592"/>
      <c r="FI1592"/>
      <c r="FJ1592"/>
      <c r="FK1592"/>
      <c r="FL1592"/>
      <c r="FM1592"/>
      <c r="FN1592"/>
      <c r="FO1592"/>
      <c r="FP1592"/>
      <c r="FQ1592"/>
      <c r="FR1592"/>
      <c r="FS1592"/>
      <c r="FT1592"/>
      <c r="FU1592"/>
      <c r="FV1592"/>
      <c r="FW1592"/>
      <c r="FX1592"/>
      <c r="FY1592"/>
      <c r="FZ1592"/>
      <c r="GA1592"/>
      <c r="GB1592"/>
      <c r="GC1592"/>
      <c r="GD1592"/>
      <c r="GE1592"/>
      <c r="GF1592"/>
      <c r="GG1592"/>
      <c r="GH1592"/>
      <c r="GI1592"/>
      <c r="GJ1592"/>
      <c r="GK1592"/>
      <c r="GL1592"/>
      <c r="GM1592"/>
      <c r="GN1592"/>
      <c r="GO1592"/>
    </row>
    <row r="1593" spans="107:197">
      <c r="DC1593"/>
      <c r="FH1593"/>
      <c r="FI1593"/>
      <c r="FJ1593"/>
      <c r="FK1593"/>
      <c r="FL1593"/>
      <c r="FM1593"/>
      <c r="FN1593"/>
      <c r="FO1593"/>
      <c r="FP1593"/>
      <c r="FQ1593"/>
      <c r="FR1593"/>
      <c r="FS1593"/>
      <c r="FT1593"/>
      <c r="FU1593"/>
      <c r="FV1593"/>
      <c r="FW1593"/>
      <c r="FX1593"/>
      <c r="FY1593"/>
      <c r="FZ1593"/>
      <c r="GA1593"/>
      <c r="GB1593"/>
      <c r="GC1593"/>
      <c r="GD1593"/>
      <c r="GE1593"/>
      <c r="GF1593"/>
      <c r="GG1593"/>
      <c r="GH1593"/>
      <c r="GI1593"/>
      <c r="GJ1593"/>
      <c r="GK1593"/>
      <c r="GL1593"/>
      <c r="GM1593"/>
      <c r="GN1593"/>
      <c r="GO1593"/>
    </row>
    <row r="1594" spans="107:197">
      <c r="DC1594"/>
      <c r="FH1594"/>
      <c r="FI1594"/>
      <c r="FJ1594"/>
      <c r="FK1594"/>
      <c r="FL1594"/>
      <c r="FM1594"/>
      <c r="FN1594"/>
      <c r="FO1594"/>
      <c r="FP1594"/>
      <c r="FQ1594"/>
      <c r="FR1594"/>
      <c r="FS1594"/>
      <c r="FT1594"/>
      <c r="FU1594"/>
      <c r="FV1594"/>
      <c r="FW1594"/>
      <c r="FX1594"/>
      <c r="FY1594"/>
      <c r="FZ1594"/>
      <c r="GA1594"/>
      <c r="GB1594"/>
      <c r="GC1594"/>
      <c r="GD1594"/>
      <c r="GE1594"/>
      <c r="GF1594"/>
      <c r="GG1594"/>
      <c r="GH1594"/>
      <c r="GI1594"/>
      <c r="GJ1594"/>
      <c r="GK1594"/>
      <c r="GL1594"/>
      <c r="GM1594"/>
      <c r="GN1594"/>
      <c r="GO1594"/>
    </row>
    <row r="1595" spans="107:197">
      <c r="DC1595"/>
      <c r="FH1595"/>
      <c r="FI1595"/>
      <c r="FJ1595"/>
      <c r="FK1595"/>
      <c r="FL1595"/>
      <c r="FM1595"/>
      <c r="FN1595"/>
      <c r="FO1595"/>
      <c r="FP1595"/>
      <c r="FQ1595"/>
      <c r="FR1595"/>
      <c r="FS1595"/>
      <c r="FT1595"/>
      <c r="FU1595"/>
      <c r="FV1595"/>
      <c r="FW1595"/>
      <c r="FX1595"/>
      <c r="FY1595"/>
      <c r="FZ1595"/>
      <c r="GA1595"/>
      <c r="GB1595"/>
      <c r="GC1595"/>
      <c r="GD1595"/>
      <c r="GE1595"/>
      <c r="GF1595"/>
      <c r="GG1595"/>
      <c r="GH1595"/>
      <c r="GI1595"/>
      <c r="GJ1595"/>
      <c r="GK1595"/>
      <c r="GL1595"/>
      <c r="GM1595"/>
      <c r="GN1595"/>
      <c r="GO1595"/>
    </row>
    <row r="1596" spans="107:197">
      <c r="DC1596"/>
      <c r="FH1596"/>
      <c r="FI1596"/>
      <c r="FJ1596"/>
      <c r="FK1596"/>
      <c r="FL1596"/>
      <c r="FM1596"/>
      <c r="FN1596"/>
      <c r="FO1596"/>
      <c r="FP1596"/>
      <c r="FQ1596"/>
      <c r="FR1596"/>
      <c r="FS1596"/>
      <c r="FT1596"/>
      <c r="FU1596"/>
      <c r="FV1596"/>
      <c r="FW1596"/>
      <c r="FX1596"/>
      <c r="FY1596"/>
      <c r="FZ1596"/>
      <c r="GA1596"/>
      <c r="GB1596"/>
      <c r="GC1596"/>
      <c r="GD1596"/>
      <c r="GE1596"/>
      <c r="GF1596"/>
      <c r="GG1596"/>
      <c r="GH1596"/>
      <c r="GI1596"/>
      <c r="GJ1596"/>
      <c r="GK1596"/>
      <c r="GL1596"/>
      <c r="GM1596"/>
      <c r="GN1596"/>
      <c r="GO1596"/>
    </row>
    <row r="1597" spans="107:197">
      <c r="DC1597"/>
      <c r="FH1597"/>
      <c r="FI1597"/>
      <c r="FJ1597"/>
      <c r="FK1597"/>
      <c r="FL1597"/>
      <c r="FM1597"/>
      <c r="FN1597"/>
      <c r="FO1597"/>
      <c r="FP1597"/>
      <c r="FQ1597"/>
      <c r="FR1597"/>
      <c r="FS1597"/>
      <c r="FT1597"/>
      <c r="FU1597"/>
      <c r="FV1597"/>
      <c r="FW1597"/>
      <c r="FX1597"/>
      <c r="FY1597"/>
      <c r="FZ1597"/>
      <c r="GA1597"/>
      <c r="GB1597"/>
      <c r="GC1597"/>
      <c r="GD1597"/>
      <c r="GE1597"/>
      <c r="GF1597"/>
      <c r="GG1597"/>
      <c r="GH1597"/>
      <c r="GI1597"/>
      <c r="GJ1597"/>
      <c r="GK1597"/>
      <c r="GL1597"/>
      <c r="GM1597"/>
      <c r="GN1597"/>
      <c r="GO1597"/>
    </row>
    <row r="1598" spans="107:197">
      <c r="DC1598"/>
      <c r="FH1598"/>
      <c r="FI1598"/>
      <c r="FJ1598"/>
      <c r="FK1598"/>
      <c r="FL1598"/>
      <c r="FM1598"/>
      <c r="FN1598"/>
      <c r="FO1598"/>
      <c r="FP1598"/>
      <c r="FQ1598"/>
      <c r="FR1598"/>
      <c r="FS1598"/>
      <c r="FT1598"/>
      <c r="FU1598"/>
      <c r="FV1598"/>
      <c r="FW1598"/>
      <c r="FX1598"/>
      <c r="FY1598"/>
      <c r="FZ1598"/>
      <c r="GA1598"/>
      <c r="GB1598"/>
      <c r="GC1598"/>
      <c r="GD1598"/>
      <c r="GE1598"/>
      <c r="GF1598"/>
      <c r="GG1598"/>
      <c r="GH1598"/>
      <c r="GI1598"/>
      <c r="GJ1598"/>
      <c r="GK1598"/>
      <c r="GL1598"/>
      <c r="GM1598"/>
      <c r="GN1598"/>
      <c r="GO1598"/>
    </row>
    <row r="1599" spans="107:197">
      <c r="DC1599"/>
      <c r="FH1599"/>
      <c r="FI1599"/>
      <c r="FJ1599"/>
      <c r="FK1599"/>
      <c r="FL1599"/>
      <c r="FM1599"/>
      <c r="FN1599"/>
      <c r="FO1599"/>
      <c r="FP1599"/>
      <c r="FQ1599"/>
      <c r="FR1599"/>
      <c r="FS1599"/>
      <c r="FT1599"/>
      <c r="FU1599"/>
      <c r="FV1599"/>
      <c r="FW1599"/>
      <c r="FX1599"/>
      <c r="FY1599"/>
      <c r="FZ1599"/>
      <c r="GA1599"/>
      <c r="GB1599"/>
      <c r="GC1599"/>
      <c r="GD1599"/>
      <c r="GE1599"/>
      <c r="GF1599"/>
      <c r="GG1599"/>
      <c r="GH1599"/>
      <c r="GI1599"/>
      <c r="GJ1599"/>
      <c r="GK1599"/>
      <c r="GL1599"/>
      <c r="GM1599"/>
      <c r="GN1599"/>
      <c r="GO1599"/>
    </row>
    <row r="1600" spans="107:197">
      <c r="DC1600"/>
      <c r="FH1600"/>
      <c r="FI1600"/>
      <c r="FJ1600"/>
      <c r="FK1600"/>
      <c r="FL1600"/>
      <c r="FM1600"/>
      <c r="FN1600"/>
      <c r="FO1600"/>
      <c r="FP1600"/>
      <c r="FQ1600"/>
      <c r="FR1600"/>
      <c r="FS1600"/>
      <c r="FT1600"/>
      <c r="FU1600"/>
      <c r="FV1600"/>
      <c r="FW1600"/>
      <c r="FX1600"/>
      <c r="FY1600"/>
      <c r="FZ1600"/>
      <c r="GA1600"/>
      <c r="GB1600"/>
      <c r="GC1600"/>
      <c r="GD1600"/>
      <c r="GE1600"/>
      <c r="GF1600"/>
      <c r="GG1600"/>
      <c r="GH1600"/>
      <c r="GI1600"/>
      <c r="GJ1600"/>
      <c r="GK1600"/>
      <c r="GL1600"/>
      <c r="GM1600"/>
      <c r="GN1600"/>
      <c r="GO1600"/>
    </row>
    <row r="1601" spans="107:197">
      <c r="DC1601"/>
      <c r="FH1601"/>
      <c r="FI1601"/>
      <c r="FJ1601"/>
      <c r="FK1601"/>
      <c r="FL1601"/>
      <c r="FM1601"/>
      <c r="FN1601"/>
      <c r="FO1601"/>
      <c r="FP1601"/>
      <c r="FQ1601"/>
      <c r="FR1601"/>
      <c r="FS1601"/>
      <c r="FT1601"/>
      <c r="FU1601"/>
      <c r="FV1601"/>
      <c r="FW1601"/>
      <c r="FX1601"/>
      <c r="FY1601"/>
      <c r="FZ1601"/>
      <c r="GA1601"/>
      <c r="GB1601"/>
      <c r="GC1601"/>
      <c r="GD1601"/>
      <c r="GE1601"/>
      <c r="GF1601"/>
      <c r="GG1601"/>
      <c r="GH1601"/>
      <c r="GI1601"/>
      <c r="GJ1601"/>
      <c r="GK1601"/>
      <c r="GL1601"/>
      <c r="GM1601"/>
      <c r="GN1601"/>
      <c r="GO1601"/>
    </row>
    <row r="1602" spans="107:197">
      <c r="DC1602"/>
      <c r="FH1602"/>
      <c r="FI1602"/>
      <c r="FJ1602"/>
      <c r="FK1602"/>
      <c r="FL1602"/>
      <c r="FM1602"/>
      <c r="FN1602"/>
      <c r="FO1602"/>
      <c r="FP1602"/>
      <c r="FQ1602"/>
      <c r="FR1602"/>
      <c r="FS1602"/>
      <c r="FT1602"/>
      <c r="FU1602"/>
      <c r="FV1602"/>
      <c r="FW1602"/>
      <c r="FX1602"/>
      <c r="FY1602"/>
      <c r="FZ1602"/>
      <c r="GA1602"/>
      <c r="GB1602"/>
      <c r="GC1602"/>
      <c r="GD1602"/>
      <c r="GE1602"/>
      <c r="GF1602"/>
      <c r="GG1602"/>
      <c r="GH1602"/>
      <c r="GI1602"/>
      <c r="GJ1602"/>
      <c r="GK1602"/>
      <c r="GL1602"/>
      <c r="GM1602"/>
      <c r="GN1602"/>
      <c r="GO1602"/>
    </row>
    <row r="1603" spans="107:197">
      <c r="DC1603"/>
      <c r="FH1603"/>
      <c r="FI1603"/>
      <c r="FJ1603"/>
      <c r="FK1603"/>
      <c r="FL1603"/>
      <c r="FM1603"/>
      <c r="FN1603"/>
      <c r="FO1603"/>
      <c r="FP1603"/>
      <c r="FQ1603"/>
      <c r="FR1603"/>
      <c r="FS1603"/>
      <c r="FT1603"/>
      <c r="FU1603"/>
      <c r="FV1603"/>
      <c r="FW1603"/>
      <c r="FX1603"/>
      <c r="FY1603"/>
      <c r="FZ1603"/>
      <c r="GA1603"/>
      <c r="GB1603"/>
      <c r="GC1603"/>
      <c r="GD1603"/>
      <c r="GE1603"/>
      <c r="GF1603"/>
      <c r="GG1603"/>
      <c r="GH1603"/>
      <c r="GI1603"/>
      <c r="GJ1603"/>
      <c r="GK1603"/>
      <c r="GL1603"/>
      <c r="GM1603"/>
      <c r="GN1603"/>
      <c r="GO1603"/>
    </row>
    <row r="1604" spans="107:197">
      <c r="DC1604"/>
      <c r="FH1604"/>
      <c r="FI1604"/>
      <c r="FJ1604"/>
      <c r="FK1604"/>
      <c r="FL1604"/>
      <c r="FM1604"/>
      <c r="FN1604"/>
      <c r="FO1604"/>
      <c r="FP1604"/>
      <c r="FQ1604"/>
      <c r="FR1604"/>
      <c r="FS1604"/>
      <c r="FT1604"/>
      <c r="FU1604"/>
      <c r="FV1604"/>
      <c r="FW1604"/>
      <c r="FX1604"/>
      <c r="FY1604"/>
      <c r="FZ1604"/>
      <c r="GA1604"/>
      <c r="GB1604"/>
      <c r="GC1604"/>
      <c r="GD1604"/>
      <c r="GE1604"/>
      <c r="GF1604"/>
      <c r="GG1604"/>
      <c r="GH1604"/>
      <c r="GI1604"/>
      <c r="GJ1604"/>
      <c r="GK1604"/>
      <c r="GL1604"/>
      <c r="GM1604"/>
      <c r="GN1604"/>
      <c r="GO1604"/>
    </row>
    <row r="1605" spans="107:197">
      <c r="DC1605"/>
      <c r="FH1605"/>
      <c r="FI1605"/>
      <c r="FJ1605"/>
      <c r="FK1605"/>
      <c r="FL1605"/>
      <c r="FM1605"/>
      <c r="FN1605"/>
      <c r="FO1605"/>
      <c r="FP1605"/>
      <c r="FQ1605"/>
      <c r="FR1605"/>
      <c r="FS1605"/>
      <c r="FT1605"/>
      <c r="FU1605"/>
      <c r="FV1605"/>
      <c r="FW1605"/>
      <c r="FX1605"/>
      <c r="FY1605"/>
      <c r="FZ1605"/>
      <c r="GA1605"/>
      <c r="GB1605"/>
      <c r="GC1605"/>
      <c r="GD1605"/>
      <c r="GE1605"/>
      <c r="GF1605"/>
      <c r="GG1605"/>
      <c r="GH1605"/>
      <c r="GI1605"/>
      <c r="GJ1605"/>
      <c r="GK1605"/>
      <c r="GL1605"/>
      <c r="GM1605"/>
      <c r="GN1605"/>
      <c r="GO1605"/>
    </row>
    <row r="1606" spans="107:197">
      <c r="DC1606"/>
      <c r="FH1606"/>
      <c r="FI1606"/>
      <c r="FJ1606"/>
      <c r="FK1606"/>
      <c r="FL1606"/>
      <c r="FM1606"/>
      <c r="FN1606"/>
      <c r="FO1606"/>
      <c r="FP1606"/>
      <c r="FQ1606"/>
      <c r="FR1606"/>
      <c r="FS1606"/>
      <c r="FT1606"/>
      <c r="FU1606"/>
      <c r="FV1606"/>
      <c r="FW1606"/>
      <c r="FX1606"/>
      <c r="FY1606"/>
      <c r="FZ1606"/>
      <c r="GA1606"/>
      <c r="GB1606"/>
      <c r="GC1606"/>
      <c r="GD1606"/>
      <c r="GE1606"/>
      <c r="GF1606"/>
      <c r="GG1606"/>
      <c r="GH1606"/>
      <c r="GI1606"/>
      <c r="GJ1606"/>
      <c r="GK1606"/>
      <c r="GL1606"/>
      <c r="GM1606"/>
      <c r="GN1606"/>
      <c r="GO1606"/>
    </row>
    <row r="1607" spans="107:197">
      <c r="DC1607"/>
      <c r="FH1607"/>
      <c r="FI1607"/>
      <c r="FJ1607"/>
      <c r="FK1607"/>
      <c r="FL1607"/>
      <c r="FM1607"/>
      <c r="FN1607"/>
      <c r="FO1607"/>
      <c r="FP1607"/>
      <c r="FQ1607"/>
      <c r="FR1607"/>
      <c r="FS1607"/>
      <c r="FT1607"/>
      <c r="FU1607"/>
      <c r="FV1607"/>
      <c r="FW1607"/>
      <c r="FX1607"/>
      <c r="FY1607"/>
      <c r="FZ1607"/>
      <c r="GA1607"/>
      <c r="GB1607"/>
      <c r="GC1607"/>
      <c r="GD1607"/>
      <c r="GE1607"/>
      <c r="GF1607"/>
      <c r="GG1607"/>
      <c r="GH1607"/>
      <c r="GI1607"/>
      <c r="GJ1607"/>
      <c r="GK1607"/>
      <c r="GL1607"/>
      <c r="GM1607"/>
      <c r="GN1607"/>
      <c r="GO1607"/>
    </row>
    <row r="1608" spans="107:197">
      <c r="DC1608"/>
      <c r="FH1608"/>
      <c r="FI1608"/>
      <c r="FJ1608"/>
      <c r="FK1608"/>
      <c r="FL1608"/>
      <c r="FM1608"/>
      <c r="FN1608"/>
      <c r="FO1608"/>
      <c r="FP1608"/>
      <c r="FQ1608"/>
      <c r="FR1608"/>
      <c r="FS1608"/>
      <c r="FT1608"/>
      <c r="FU1608"/>
      <c r="FV1608"/>
      <c r="FW1608"/>
      <c r="FX1608"/>
      <c r="FY1608"/>
      <c r="FZ1608"/>
      <c r="GA1608"/>
      <c r="GB1608"/>
      <c r="GC1608"/>
      <c r="GD1608"/>
      <c r="GE1608"/>
      <c r="GF1608"/>
      <c r="GG1608"/>
      <c r="GH1608"/>
      <c r="GI1608"/>
      <c r="GJ1608"/>
      <c r="GK1608"/>
      <c r="GL1608"/>
      <c r="GM1608"/>
      <c r="GN1608"/>
      <c r="GO1608"/>
    </row>
    <row r="1609" spans="107:197">
      <c r="DC1609"/>
      <c r="FH1609"/>
      <c r="FI1609"/>
      <c r="FJ1609"/>
      <c r="FK1609"/>
      <c r="FL1609"/>
      <c r="FM1609"/>
      <c r="FN1609"/>
      <c r="FO1609"/>
      <c r="FP1609"/>
      <c r="FQ1609"/>
      <c r="FR1609"/>
      <c r="FS1609"/>
      <c r="FT1609"/>
      <c r="FU1609"/>
      <c r="FV1609"/>
      <c r="FW1609"/>
      <c r="FX1609"/>
      <c r="FY1609"/>
      <c r="FZ1609"/>
      <c r="GA1609"/>
      <c r="GB1609"/>
      <c r="GC1609"/>
      <c r="GD1609"/>
      <c r="GE1609"/>
      <c r="GF1609"/>
      <c r="GG1609"/>
      <c r="GH1609"/>
      <c r="GI1609"/>
      <c r="GJ1609"/>
      <c r="GK1609"/>
      <c r="GL1609"/>
      <c r="GM1609"/>
      <c r="GN1609"/>
      <c r="GO1609"/>
    </row>
    <row r="1610" spans="107:197">
      <c r="DC1610"/>
      <c r="FH1610"/>
      <c r="FI1610"/>
      <c r="FJ1610"/>
      <c r="FK1610"/>
      <c r="FL1610"/>
      <c r="FM1610"/>
      <c r="FN1610"/>
      <c r="FO1610"/>
      <c r="FP1610"/>
      <c r="FQ1610"/>
      <c r="FR1610"/>
      <c r="FS1610"/>
      <c r="FT1610"/>
      <c r="FU1610"/>
      <c r="FV1610"/>
      <c r="FW1610"/>
      <c r="FX1610"/>
      <c r="FY1610"/>
      <c r="FZ1610"/>
      <c r="GA1610"/>
      <c r="GB1610"/>
      <c r="GC1610"/>
      <c r="GD1610"/>
      <c r="GE1610"/>
      <c r="GF1610"/>
      <c r="GG1610"/>
      <c r="GH1610"/>
      <c r="GI1610"/>
      <c r="GJ1610"/>
      <c r="GK1610"/>
      <c r="GL1610"/>
      <c r="GM1610"/>
      <c r="GN1610"/>
      <c r="GO1610"/>
    </row>
    <row r="1611" spans="107:197">
      <c r="DC1611"/>
      <c r="FH1611"/>
      <c r="FI1611"/>
      <c r="FJ1611"/>
      <c r="FK1611"/>
      <c r="FL1611"/>
      <c r="FM1611"/>
      <c r="FN1611"/>
      <c r="FO1611"/>
      <c r="FP1611"/>
      <c r="FQ1611"/>
      <c r="FR1611"/>
      <c r="FS1611"/>
      <c r="FT1611"/>
      <c r="FU1611"/>
      <c r="FV1611"/>
      <c r="FW1611"/>
      <c r="FX1611"/>
      <c r="FY1611"/>
      <c r="FZ1611"/>
      <c r="GA1611"/>
      <c r="GB1611"/>
      <c r="GC1611"/>
      <c r="GD1611"/>
      <c r="GE1611"/>
      <c r="GF1611"/>
      <c r="GG1611"/>
      <c r="GH1611"/>
      <c r="GI1611"/>
      <c r="GJ1611"/>
      <c r="GK1611"/>
      <c r="GL1611"/>
      <c r="GM1611"/>
      <c r="GN1611"/>
      <c r="GO1611"/>
    </row>
    <row r="1612" spans="107:197">
      <c r="DC1612"/>
      <c r="FH1612"/>
      <c r="FI1612"/>
      <c r="FJ1612"/>
      <c r="FK1612"/>
      <c r="FL1612"/>
      <c r="FM1612"/>
      <c r="FN1612"/>
      <c r="FO1612"/>
      <c r="FP1612"/>
      <c r="FQ1612"/>
      <c r="FR1612"/>
      <c r="FS1612"/>
      <c r="FT1612"/>
      <c r="FU1612"/>
      <c r="FV1612"/>
      <c r="FW1612"/>
      <c r="FX1612"/>
      <c r="FY1612"/>
      <c r="FZ1612"/>
      <c r="GA1612"/>
      <c r="GB1612"/>
      <c r="GC1612"/>
      <c r="GD1612"/>
      <c r="GE1612"/>
      <c r="GF1612"/>
      <c r="GG1612"/>
      <c r="GH1612"/>
      <c r="GI1612"/>
      <c r="GJ1612"/>
      <c r="GK1612"/>
      <c r="GL1612"/>
      <c r="GM1612"/>
      <c r="GN1612"/>
      <c r="GO1612"/>
    </row>
    <row r="1613" spans="107:197">
      <c r="DC1613"/>
      <c r="FH1613"/>
      <c r="FI1613"/>
      <c r="FJ1613"/>
      <c r="FK1613"/>
      <c r="FL1613"/>
      <c r="FM1613"/>
      <c r="FN1613"/>
      <c r="FO1613"/>
      <c r="FP1613"/>
      <c r="FQ1613"/>
      <c r="FR1613"/>
      <c r="FS1613"/>
      <c r="FT1613"/>
      <c r="FU1613"/>
      <c r="FV1613"/>
      <c r="FW1613"/>
      <c r="FX1613"/>
      <c r="FY1613"/>
      <c r="FZ1613"/>
      <c r="GA1613"/>
      <c r="GB1613"/>
      <c r="GC1613"/>
      <c r="GD1613"/>
      <c r="GE1613"/>
      <c r="GF1613"/>
      <c r="GG1613"/>
      <c r="GH1613"/>
      <c r="GI1613"/>
      <c r="GJ1613"/>
      <c r="GK1613"/>
      <c r="GL1613"/>
      <c r="GM1613"/>
      <c r="GN1613"/>
      <c r="GO1613"/>
    </row>
    <row r="1614" spans="107:197">
      <c r="DC1614"/>
      <c r="FH1614"/>
      <c r="FI1614"/>
      <c r="FJ1614"/>
      <c r="FK1614"/>
      <c r="FL1614"/>
      <c r="FM1614"/>
      <c r="FN1614"/>
      <c r="FO1614"/>
      <c r="FP1614"/>
      <c r="FQ1614"/>
      <c r="FR1614"/>
      <c r="FS1614"/>
      <c r="FT1614"/>
      <c r="FU1614"/>
      <c r="FV1614"/>
      <c r="FW1614"/>
      <c r="FX1614"/>
      <c r="FY1614"/>
      <c r="FZ1614"/>
      <c r="GA1614"/>
      <c r="GB1614"/>
      <c r="GC1614"/>
      <c r="GD1614"/>
      <c r="GE1614"/>
      <c r="GF1614"/>
      <c r="GG1614"/>
      <c r="GH1614"/>
      <c r="GI1614"/>
      <c r="GJ1614"/>
      <c r="GK1614"/>
      <c r="GL1614"/>
      <c r="GM1614"/>
      <c r="GN1614"/>
      <c r="GO1614"/>
    </row>
    <row r="1615" spans="107:197">
      <c r="DC1615"/>
      <c r="FH1615"/>
      <c r="FI1615"/>
      <c r="FJ1615"/>
      <c r="FK1615"/>
      <c r="FL1615"/>
      <c r="FM1615"/>
      <c r="FN1615"/>
      <c r="FO1615"/>
      <c r="FP1615"/>
      <c r="FQ1615"/>
      <c r="FR1615"/>
      <c r="FS1615"/>
      <c r="FT1615"/>
      <c r="FU1615"/>
      <c r="FV1615"/>
      <c r="FW1615"/>
      <c r="FX1615"/>
      <c r="FY1615"/>
      <c r="FZ1615"/>
      <c r="GA1615"/>
      <c r="GB1615"/>
      <c r="GC1615"/>
      <c r="GD1615"/>
      <c r="GE1615"/>
      <c r="GF1615"/>
      <c r="GG1615"/>
      <c r="GH1615"/>
      <c r="GI1615"/>
      <c r="GJ1615"/>
      <c r="GK1615"/>
      <c r="GL1615"/>
      <c r="GM1615"/>
      <c r="GN1615"/>
      <c r="GO1615"/>
    </row>
    <row r="1616" spans="107:197">
      <c r="DC1616"/>
      <c r="FH1616"/>
      <c r="FI1616"/>
      <c r="FJ1616"/>
      <c r="FK1616"/>
      <c r="FL1616"/>
      <c r="FM1616"/>
      <c r="FN1616"/>
      <c r="FO1616"/>
      <c r="FP1616"/>
      <c r="FQ1616"/>
      <c r="FR1616"/>
      <c r="FS1616"/>
      <c r="FT1616"/>
      <c r="FU1616"/>
      <c r="FV1616"/>
      <c r="FW1616"/>
      <c r="FX1616"/>
      <c r="FY1616"/>
      <c r="FZ1616"/>
      <c r="GA1616"/>
      <c r="GB1616"/>
      <c r="GC1616"/>
      <c r="GD1616"/>
      <c r="GE1616"/>
      <c r="GF1616"/>
      <c r="GG1616"/>
      <c r="GH1616"/>
      <c r="GI1616"/>
      <c r="GJ1616"/>
      <c r="GK1616"/>
      <c r="GL1616"/>
      <c r="GM1616"/>
      <c r="GN1616"/>
      <c r="GO1616"/>
    </row>
    <row r="1617" spans="107:197">
      <c r="DC1617"/>
      <c r="FH1617"/>
      <c r="FI1617"/>
      <c r="FJ1617"/>
      <c r="FK1617"/>
      <c r="FL1617"/>
      <c r="FM1617"/>
      <c r="FN1617"/>
      <c r="FO1617"/>
      <c r="FP1617"/>
      <c r="FQ1617"/>
      <c r="FR1617"/>
      <c r="FS1617"/>
      <c r="FT1617"/>
      <c r="FU1617"/>
      <c r="FV1617"/>
      <c r="FW1617"/>
      <c r="FX1617"/>
      <c r="FY1617"/>
      <c r="FZ1617"/>
      <c r="GA1617"/>
      <c r="GB1617"/>
      <c r="GC1617"/>
      <c r="GD1617"/>
      <c r="GE1617"/>
      <c r="GF1617"/>
      <c r="GG1617"/>
      <c r="GH1617"/>
      <c r="GI1617"/>
      <c r="GJ1617"/>
      <c r="GK1617"/>
      <c r="GL1617"/>
      <c r="GM1617"/>
      <c r="GN1617"/>
      <c r="GO1617"/>
    </row>
    <row r="1618" spans="107:197">
      <c r="DC1618"/>
      <c r="FH1618"/>
      <c r="FI1618"/>
      <c r="FJ1618"/>
      <c r="FK1618"/>
      <c r="FL1618"/>
      <c r="FM1618"/>
      <c r="FN1618"/>
      <c r="FO1618"/>
      <c r="FP1618"/>
      <c r="FQ1618"/>
      <c r="FR1618"/>
      <c r="FS1618"/>
      <c r="FT1618"/>
      <c r="FU1618"/>
      <c r="FV1618"/>
      <c r="FW1618"/>
      <c r="FX1618"/>
      <c r="FY1618"/>
      <c r="FZ1618"/>
      <c r="GA1618"/>
      <c r="GB1618"/>
      <c r="GC1618"/>
      <c r="GD1618"/>
      <c r="GE1618"/>
      <c r="GF1618"/>
      <c r="GG1618"/>
      <c r="GH1618"/>
      <c r="GI1618"/>
      <c r="GJ1618"/>
      <c r="GK1618"/>
      <c r="GL1618"/>
      <c r="GM1618"/>
      <c r="GN1618"/>
      <c r="GO1618"/>
    </row>
    <row r="1619" spans="107:197">
      <c r="DC1619"/>
      <c r="FH1619"/>
      <c r="FI1619"/>
      <c r="FJ1619"/>
      <c r="FK1619"/>
      <c r="FL1619"/>
      <c r="FM1619"/>
      <c r="FN1619"/>
      <c r="FO1619"/>
      <c r="FP1619"/>
      <c r="FQ1619"/>
      <c r="FR1619"/>
      <c r="FS1619"/>
      <c r="FT1619"/>
      <c r="FU1619"/>
      <c r="FV1619"/>
      <c r="FW1619"/>
      <c r="FX1619"/>
      <c r="FY1619"/>
      <c r="FZ1619"/>
      <c r="GA1619"/>
      <c r="GB1619"/>
      <c r="GC1619"/>
      <c r="GD1619"/>
      <c r="GE1619"/>
      <c r="GF1619"/>
      <c r="GG1619"/>
      <c r="GH1619"/>
      <c r="GI1619"/>
      <c r="GJ1619"/>
      <c r="GK1619"/>
      <c r="GL1619"/>
      <c r="GM1619"/>
      <c r="GN1619"/>
      <c r="GO1619"/>
    </row>
    <row r="1620" spans="107:197">
      <c r="DC1620"/>
      <c r="FH1620"/>
      <c r="FI1620"/>
      <c r="FJ1620"/>
      <c r="FK1620"/>
      <c r="FL1620"/>
      <c r="FM1620"/>
      <c r="FN1620"/>
      <c r="FO1620"/>
      <c r="FP1620"/>
      <c r="FQ1620"/>
      <c r="FR1620"/>
      <c r="FS1620"/>
      <c r="FT1620"/>
      <c r="FU1620"/>
      <c r="FV1620"/>
      <c r="FW1620"/>
      <c r="FX1620"/>
      <c r="FY1620"/>
      <c r="FZ1620"/>
      <c r="GA1620"/>
      <c r="GB1620"/>
      <c r="GC1620"/>
      <c r="GD1620"/>
      <c r="GE1620"/>
      <c r="GF1620"/>
      <c r="GG1620"/>
      <c r="GH1620"/>
      <c r="GI1620"/>
      <c r="GJ1620"/>
      <c r="GK1620"/>
      <c r="GL1620"/>
      <c r="GM1620"/>
      <c r="GN1620"/>
      <c r="GO1620"/>
    </row>
    <row r="1621" spans="107:197">
      <c r="DC1621"/>
      <c r="FH1621"/>
      <c r="FI1621"/>
      <c r="FJ1621"/>
      <c r="FK1621"/>
      <c r="FL1621"/>
      <c r="FM1621"/>
      <c r="FN1621"/>
      <c r="FO1621"/>
      <c r="FP1621"/>
      <c r="FQ1621"/>
      <c r="FR1621"/>
      <c r="FS1621"/>
      <c r="FT1621"/>
      <c r="FU1621"/>
      <c r="FV1621"/>
      <c r="FW1621"/>
      <c r="FX1621"/>
      <c r="FY1621"/>
      <c r="FZ1621"/>
      <c r="GA1621"/>
      <c r="GB1621"/>
      <c r="GC1621"/>
      <c r="GD1621"/>
      <c r="GE1621"/>
      <c r="GF1621"/>
      <c r="GG1621"/>
      <c r="GH1621"/>
      <c r="GI1621"/>
      <c r="GJ1621"/>
      <c r="GK1621"/>
      <c r="GL1621"/>
      <c r="GM1621"/>
      <c r="GN1621"/>
      <c r="GO1621"/>
    </row>
    <row r="1622" spans="107:197">
      <c r="DC1622"/>
      <c r="FH1622"/>
      <c r="FI1622"/>
      <c r="FJ1622"/>
      <c r="FK1622"/>
      <c r="FL1622"/>
      <c r="FM1622"/>
      <c r="FN1622"/>
      <c r="FO1622"/>
      <c r="FP1622"/>
      <c r="FQ1622"/>
      <c r="FR1622"/>
      <c r="FS1622"/>
      <c r="FT1622"/>
      <c r="FU1622"/>
      <c r="FV1622"/>
      <c r="FW1622"/>
      <c r="FX1622"/>
      <c r="FY1622"/>
      <c r="FZ1622"/>
      <c r="GA1622"/>
      <c r="GB1622"/>
      <c r="GC1622"/>
      <c r="GD1622"/>
      <c r="GE1622"/>
      <c r="GF1622"/>
      <c r="GG1622"/>
      <c r="GH1622"/>
      <c r="GI1622"/>
      <c r="GJ1622"/>
      <c r="GK1622"/>
      <c r="GL1622"/>
      <c r="GM1622"/>
      <c r="GN1622"/>
      <c r="GO1622"/>
    </row>
    <row r="1623" spans="107:197">
      <c r="DC1623"/>
      <c r="FH1623"/>
      <c r="FI1623"/>
      <c r="FJ1623"/>
      <c r="FK1623"/>
      <c r="FL1623"/>
      <c r="FM1623"/>
      <c r="FN1623"/>
      <c r="FO1623"/>
      <c r="FP1623"/>
      <c r="FQ1623"/>
      <c r="FR1623"/>
      <c r="FS1623"/>
      <c r="FT1623"/>
      <c r="FU1623"/>
      <c r="FV1623"/>
      <c r="FW1623"/>
      <c r="FX1623"/>
      <c r="FY1623"/>
      <c r="FZ1623"/>
      <c r="GA1623"/>
      <c r="GB1623"/>
      <c r="GC1623"/>
      <c r="GD1623"/>
      <c r="GE1623"/>
      <c r="GF1623"/>
      <c r="GG1623"/>
      <c r="GH1623"/>
      <c r="GI1623"/>
      <c r="GJ1623"/>
      <c r="GK1623"/>
      <c r="GL1623"/>
      <c r="GM1623"/>
      <c r="GN1623"/>
      <c r="GO1623"/>
    </row>
    <row r="1624" spans="107:197">
      <c r="DC1624"/>
      <c r="FH1624"/>
      <c r="FI1624"/>
      <c r="FJ1624"/>
      <c r="FK1624"/>
      <c r="FL1624"/>
      <c r="FM1624"/>
      <c r="FN1624"/>
      <c r="FO1624"/>
      <c r="FP1624"/>
      <c r="FQ1624"/>
      <c r="FR1624"/>
      <c r="FS1624"/>
      <c r="FT1624"/>
      <c r="FU1624"/>
      <c r="FV1624"/>
      <c r="FW1624"/>
      <c r="FX1624"/>
      <c r="FY1624"/>
      <c r="FZ1624"/>
      <c r="GA1624"/>
      <c r="GB1624"/>
      <c r="GC1624"/>
      <c r="GD1624"/>
      <c r="GE1624"/>
      <c r="GF1624"/>
      <c r="GG1624"/>
      <c r="GH1624"/>
      <c r="GI1624"/>
      <c r="GJ1624"/>
      <c r="GK1624"/>
      <c r="GL1624"/>
      <c r="GM1624"/>
      <c r="GN1624"/>
      <c r="GO1624"/>
    </row>
    <row r="1625" spans="107:197">
      <c r="DC1625"/>
      <c r="FH1625"/>
      <c r="FI1625"/>
      <c r="FJ1625"/>
      <c r="FK1625"/>
      <c r="FL1625"/>
      <c r="FM1625"/>
      <c r="FN1625"/>
      <c r="FO1625"/>
      <c r="FP1625"/>
      <c r="FQ1625"/>
      <c r="FR1625"/>
      <c r="FS1625"/>
      <c r="FT1625"/>
      <c r="FU1625"/>
      <c r="FV1625"/>
      <c r="FW1625"/>
      <c r="FX1625"/>
      <c r="FY1625"/>
      <c r="FZ1625"/>
      <c r="GA1625"/>
      <c r="GB1625"/>
      <c r="GC1625"/>
      <c r="GD1625"/>
      <c r="GE1625"/>
      <c r="GF1625"/>
      <c r="GG1625"/>
      <c r="GH1625"/>
      <c r="GI1625"/>
      <c r="GJ1625"/>
      <c r="GK1625"/>
      <c r="GL1625"/>
      <c r="GM1625"/>
      <c r="GN1625"/>
      <c r="GO1625"/>
    </row>
    <row r="1626" spans="107:197">
      <c r="DC1626"/>
      <c r="FH1626"/>
      <c r="FI1626"/>
      <c r="FJ1626"/>
      <c r="FK1626"/>
      <c r="FL1626"/>
      <c r="FM1626"/>
      <c r="FN1626"/>
      <c r="FO1626"/>
      <c r="FP1626"/>
      <c r="FQ1626"/>
      <c r="FR1626"/>
      <c r="FS1626"/>
      <c r="FT1626"/>
      <c r="FU1626"/>
      <c r="FV1626"/>
      <c r="FW1626"/>
      <c r="FX1626"/>
      <c r="FY1626"/>
      <c r="FZ1626"/>
      <c r="GA1626"/>
      <c r="GB1626"/>
      <c r="GC1626"/>
      <c r="GD1626"/>
      <c r="GE1626"/>
      <c r="GF1626"/>
      <c r="GG1626"/>
      <c r="GH1626"/>
      <c r="GI1626"/>
      <c r="GJ1626"/>
      <c r="GK1626"/>
      <c r="GL1626"/>
      <c r="GM1626"/>
      <c r="GN1626"/>
      <c r="GO1626"/>
    </row>
    <row r="1627" spans="107:197">
      <c r="DC1627"/>
      <c r="FH1627"/>
      <c r="FI1627"/>
      <c r="FJ1627"/>
      <c r="FK1627"/>
      <c r="FL1627"/>
      <c r="FM1627"/>
      <c r="FN1627"/>
      <c r="FO1627"/>
      <c r="FP1627"/>
      <c r="FQ1627"/>
      <c r="FR1627"/>
      <c r="FS1627"/>
      <c r="FT1627"/>
      <c r="FU1627"/>
      <c r="FV1627"/>
      <c r="FW1627"/>
      <c r="FX1627"/>
      <c r="FY1627"/>
      <c r="FZ1627"/>
      <c r="GA1627"/>
      <c r="GB1627"/>
      <c r="GC1627"/>
      <c r="GD1627"/>
      <c r="GE1627"/>
      <c r="GF1627"/>
      <c r="GG1627"/>
      <c r="GH1627"/>
      <c r="GI1627"/>
      <c r="GJ1627"/>
      <c r="GK1627"/>
      <c r="GL1627"/>
      <c r="GM1627"/>
      <c r="GN1627"/>
      <c r="GO1627"/>
    </row>
    <row r="1628" spans="107:197">
      <c r="DC1628"/>
      <c r="FH1628"/>
      <c r="FI1628"/>
      <c r="FJ1628"/>
      <c r="FK1628"/>
      <c r="FL1628"/>
      <c r="FM1628"/>
      <c r="FN1628"/>
      <c r="FO1628"/>
      <c r="FP1628"/>
      <c r="FQ1628"/>
      <c r="FR1628"/>
      <c r="FS1628"/>
      <c r="FT1628"/>
      <c r="FU1628"/>
      <c r="FV1628"/>
      <c r="FW1628"/>
      <c r="FX1628"/>
      <c r="FY1628"/>
      <c r="FZ1628"/>
      <c r="GA1628"/>
      <c r="GB1628"/>
      <c r="GC1628"/>
      <c r="GD1628"/>
      <c r="GE1628"/>
      <c r="GF1628"/>
      <c r="GG1628"/>
      <c r="GH1628"/>
      <c r="GI1628"/>
      <c r="GJ1628"/>
      <c r="GK1628"/>
      <c r="GL1628"/>
      <c r="GM1628"/>
      <c r="GN1628"/>
      <c r="GO1628"/>
    </row>
    <row r="1629" spans="107:197">
      <c r="DC1629"/>
      <c r="FH1629"/>
      <c r="FI1629"/>
      <c r="FJ1629"/>
      <c r="FK1629"/>
      <c r="FL1629"/>
      <c r="FM1629"/>
      <c r="FN1629"/>
      <c r="FO1629"/>
      <c r="FP1629"/>
      <c r="FQ1629"/>
      <c r="FR1629"/>
      <c r="FS1629"/>
      <c r="FT1629"/>
      <c r="FU1629"/>
      <c r="FV1629"/>
      <c r="FW1629"/>
      <c r="FX1629"/>
      <c r="FY1629"/>
      <c r="FZ1629"/>
      <c r="GA1629"/>
      <c r="GB1629"/>
      <c r="GC1629"/>
      <c r="GD1629"/>
      <c r="GE1629"/>
      <c r="GF1629"/>
      <c r="GG1629"/>
      <c r="GH1629"/>
      <c r="GI1629"/>
      <c r="GJ1629"/>
      <c r="GK1629"/>
      <c r="GL1629"/>
      <c r="GM1629"/>
      <c r="GN1629"/>
      <c r="GO1629"/>
    </row>
    <row r="1630" spans="107:197">
      <c r="DC1630"/>
      <c r="FH1630"/>
      <c r="FI1630"/>
      <c r="FJ1630"/>
      <c r="FK1630"/>
      <c r="FL1630"/>
      <c r="FM1630"/>
      <c r="FN1630"/>
      <c r="FO1630"/>
      <c r="FP1630"/>
      <c r="FQ1630"/>
      <c r="FR1630"/>
      <c r="FS1630"/>
      <c r="FT1630"/>
      <c r="FU1630"/>
      <c r="FV1630"/>
      <c r="FW1630"/>
      <c r="FX1630"/>
      <c r="FY1630"/>
      <c r="FZ1630"/>
      <c r="GA1630"/>
      <c r="GB1630"/>
      <c r="GC1630"/>
      <c r="GD1630"/>
      <c r="GE1630"/>
      <c r="GF1630"/>
      <c r="GG1630"/>
      <c r="GH1630"/>
      <c r="GI1630"/>
      <c r="GJ1630"/>
      <c r="GK1630"/>
      <c r="GL1630"/>
      <c r="GM1630"/>
      <c r="GN1630"/>
      <c r="GO1630"/>
    </row>
    <row r="1631" spans="107:197">
      <c r="DC1631"/>
      <c r="FH1631"/>
      <c r="FI1631"/>
      <c r="FJ1631"/>
      <c r="FK1631"/>
      <c r="FL1631"/>
      <c r="FM1631"/>
      <c r="FN1631"/>
      <c r="FO1631"/>
      <c r="FP1631"/>
      <c r="FQ1631"/>
      <c r="FR1631"/>
      <c r="FS1631"/>
      <c r="FT1631"/>
      <c r="FU1631"/>
      <c r="FV1631"/>
      <c r="FW1631"/>
      <c r="FX1631"/>
      <c r="FY1631"/>
      <c r="FZ1631"/>
      <c r="GA1631"/>
      <c r="GB1631"/>
      <c r="GC1631"/>
      <c r="GD1631"/>
      <c r="GE1631"/>
      <c r="GF1631"/>
      <c r="GG1631"/>
      <c r="GH1631"/>
      <c r="GI1631"/>
      <c r="GJ1631"/>
      <c r="GK1631"/>
      <c r="GL1631"/>
      <c r="GM1631"/>
      <c r="GN1631"/>
      <c r="GO1631"/>
    </row>
    <row r="1632" spans="107:197">
      <c r="DC1632"/>
      <c r="FH1632"/>
      <c r="FI1632"/>
      <c r="FJ1632"/>
      <c r="FK1632"/>
      <c r="FL1632"/>
      <c r="FM1632"/>
      <c r="FN1632"/>
      <c r="FO1632"/>
      <c r="FP1632"/>
      <c r="FQ1632"/>
      <c r="FR1632"/>
      <c r="FS1632"/>
      <c r="FT1632"/>
      <c r="FU1632"/>
      <c r="FV1632"/>
      <c r="FW1632"/>
      <c r="FX1632"/>
      <c r="FY1632"/>
      <c r="FZ1632"/>
      <c r="GA1632"/>
      <c r="GB1632"/>
      <c r="GC1632"/>
      <c r="GD1632"/>
      <c r="GE1632"/>
      <c r="GF1632"/>
      <c r="GG1632"/>
      <c r="GH1632"/>
      <c r="GI1632"/>
      <c r="GJ1632"/>
      <c r="GK1632"/>
      <c r="GL1632"/>
      <c r="GM1632"/>
      <c r="GN1632"/>
      <c r="GO1632"/>
    </row>
    <row r="1633" spans="107:197">
      <c r="DC1633"/>
      <c r="FH1633"/>
      <c r="FI1633"/>
      <c r="FJ1633"/>
      <c r="FK1633"/>
      <c r="FL1633"/>
      <c r="FM1633"/>
      <c r="FN1633"/>
      <c r="FO1633"/>
      <c r="FP1633"/>
      <c r="FQ1633"/>
      <c r="FR1633"/>
      <c r="FS1633"/>
      <c r="FT1633"/>
      <c r="FU1633"/>
      <c r="FV1633"/>
      <c r="FW1633"/>
      <c r="FX1633"/>
      <c r="FY1633"/>
      <c r="FZ1633"/>
      <c r="GA1633"/>
      <c r="GB1633"/>
      <c r="GC1633"/>
      <c r="GD1633"/>
      <c r="GE1633"/>
      <c r="GF1633"/>
      <c r="GG1633"/>
      <c r="GH1633"/>
      <c r="GI1633"/>
      <c r="GJ1633"/>
      <c r="GK1633"/>
      <c r="GL1633"/>
      <c r="GM1633"/>
      <c r="GN1633"/>
      <c r="GO1633"/>
    </row>
    <row r="1634" spans="107:197">
      <c r="DC1634"/>
      <c r="FH1634"/>
      <c r="FI1634"/>
      <c r="FJ1634"/>
      <c r="FK1634"/>
      <c r="FL1634"/>
      <c r="FM1634"/>
      <c r="FN1634"/>
      <c r="FO1634"/>
      <c r="FP1634"/>
      <c r="FQ1634"/>
      <c r="FR1634"/>
      <c r="FS1634"/>
      <c r="FT1634"/>
      <c r="FU1634"/>
      <c r="FV1634"/>
      <c r="FW1634"/>
      <c r="FX1634"/>
      <c r="FY1634"/>
      <c r="FZ1634"/>
      <c r="GA1634"/>
      <c r="GB1634"/>
      <c r="GC1634"/>
      <c r="GD1634"/>
      <c r="GE1634"/>
      <c r="GF1634"/>
      <c r="GG1634"/>
      <c r="GH1634"/>
      <c r="GI1634"/>
      <c r="GJ1634"/>
      <c r="GK1634"/>
      <c r="GL1634"/>
      <c r="GM1634"/>
      <c r="GN1634"/>
      <c r="GO1634"/>
    </row>
    <row r="1635" spans="107:197">
      <c r="DC1635"/>
      <c r="FH1635"/>
      <c r="FI1635"/>
      <c r="FJ1635"/>
      <c r="FK1635"/>
      <c r="FL1635"/>
      <c r="FM1635"/>
      <c r="FN1635"/>
      <c r="FO1635"/>
      <c r="FP1635"/>
      <c r="FQ1635"/>
      <c r="FR1635"/>
      <c r="FS1635"/>
      <c r="FT1635"/>
      <c r="FU1635"/>
      <c r="FV1635"/>
      <c r="FW1635"/>
      <c r="FX1635"/>
      <c r="FY1635"/>
      <c r="FZ1635"/>
      <c r="GA1635"/>
      <c r="GB1635"/>
      <c r="GC1635"/>
      <c r="GD1635"/>
      <c r="GE1635"/>
      <c r="GF1635"/>
      <c r="GG1635"/>
      <c r="GH1635"/>
      <c r="GI1635"/>
      <c r="GJ1635"/>
      <c r="GK1635"/>
      <c r="GL1635"/>
      <c r="GM1635"/>
      <c r="GN1635"/>
      <c r="GO1635"/>
    </row>
    <row r="1636" spans="107:197">
      <c r="DC1636"/>
      <c r="FH1636"/>
      <c r="FI1636"/>
      <c r="FJ1636"/>
      <c r="FK1636"/>
      <c r="FL1636"/>
      <c r="FM1636"/>
      <c r="FN1636"/>
      <c r="FO1636"/>
      <c r="FP1636"/>
      <c r="FQ1636"/>
      <c r="FR1636"/>
      <c r="FS1636"/>
      <c r="FT1636"/>
      <c r="FU1636"/>
      <c r="FV1636"/>
      <c r="FW1636"/>
      <c r="FX1636"/>
      <c r="FY1636"/>
      <c r="FZ1636"/>
      <c r="GA1636"/>
      <c r="GB1636"/>
      <c r="GC1636"/>
      <c r="GD1636"/>
      <c r="GE1636"/>
      <c r="GF1636"/>
      <c r="GG1636"/>
      <c r="GH1636"/>
      <c r="GI1636"/>
      <c r="GJ1636"/>
      <c r="GK1636"/>
      <c r="GL1636"/>
      <c r="GM1636"/>
      <c r="GN1636"/>
      <c r="GO1636"/>
    </row>
    <row r="1637" spans="107:197">
      <c r="DC1637"/>
      <c r="FH1637"/>
      <c r="FI1637"/>
      <c r="FJ1637"/>
      <c r="FK1637"/>
      <c r="FL1637"/>
      <c r="FM1637"/>
      <c r="FN1637"/>
      <c r="FO1637"/>
      <c r="FP1637"/>
      <c r="FQ1637"/>
      <c r="FR1637"/>
      <c r="FS1637"/>
      <c r="FT1637"/>
      <c r="FU1637"/>
      <c r="FV1637"/>
      <c r="FW1637"/>
      <c r="FX1637"/>
      <c r="FY1637"/>
      <c r="FZ1637"/>
      <c r="GA1637"/>
      <c r="GB1637"/>
      <c r="GC1637"/>
      <c r="GD1637"/>
      <c r="GE1637"/>
      <c r="GF1637"/>
      <c r="GG1637"/>
      <c r="GH1637"/>
      <c r="GI1637"/>
      <c r="GJ1637"/>
      <c r="GK1637"/>
      <c r="GL1637"/>
      <c r="GM1637"/>
      <c r="GN1637"/>
      <c r="GO1637"/>
    </row>
    <row r="1638" spans="107:197">
      <c r="DC1638"/>
      <c r="FH1638"/>
      <c r="FI1638"/>
      <c r="FJ1638"/>
      <c r="FK1638"/>
      <c r="FL1638"/>
      <c r="FM1638"/>
      <c r="FN1638"/>
      <c r="FO1638"/>
      <c r="FP1638"/>
      <c r="FQ1638"/>
      <c r="FR1638"/>
      <c r="FS1638"/>
      <c r="FT1638"/>
      <c r="FU1638"/>
      <c r="FV1638"/>
      <c r="FW1638"/>
      <c r="FX1638"/>
      <c r="FY1638"/>
      <c r="FZ1638"/>
      <c r="GA1638"/>
      <c r="GB1638"/>
      <c r="GC1638"/>
      <c r="GD1638"/>
      <c r="GE1638"/>
      <c r="GF1638"/>
      <c r="GG1638"/>
      <c r="GH1638"/>
      <c r="GI1638"/>
      <c r="GJ1638"/>
      <c r="GK1638"/>
      <c r="GL1638"/>
      <c r="GM1638"/>
      <c r="GN1638"/>
      <c r="GO1638"/>
    </row>
    <row r="1639" spans="107:197">
      <c r="DC1639"/>
      <c r="FH1639"/>
      <c r="FI1639"/>
      <c r="FJ1639"/>
      <c r="FK1639"/>
      <c r="FL1639"/>
      <c r="FM1639"/>
      <c r="FN1639"/>
      <c r="FO1639"/>
      <c r="FP1639"/>
      <c r="FQ1639"/>
      <c r="FR1639"/>
      <c r="FS1639"/>
      <c r="FT1639"/>
      <c r="FU1639"/>
      <c r="FV1639"/>
      <c r="FW1639"/>
      <c r="FX1639"/>
      <c r="FY1639"/>
      <c r="FZ1639"/>
      <c r="GA1639"/>
      <c r="GB1639"/>
      <c r="GC1639"/>
      <c r="GD1639"/>
      <c r="GE1639"/>
      <c r="GF1639"/>
      <c r="GG1639"/>
      <c r="GH1639"/>
      <c r="GI1639"/>
      <c r="GJ1639"/>
      <c r="GK1639"/>
      <c r="GL1639"/>
      <c r="GM1639"/>
      <c r="GN1639"/>
      <c r="GO1639"/>
    </row>
    <row r="1640" spans="107:197">
      <c r="DC1640"/>
      <c r="FH1640"/>
      <c r="FI1640"/>
      <c r="FJ1640"/>
      <c r="FK1640"/>
      <c r="FL1640"/>
      <c r="FM1640"/>
      <c r="FN1640"/>
      <c r="FO1640"/>
      <c r="FP1640"/>
      <c r="FQ1640"/>
      <c r="FR1640"/>
      <c r="FS1640"/>
      <c r="FT1640"/>
      <c r="FU1640"/>
      <c r="FV1640"/>
      <c r="FW1640"/>
      <c r="FX1640"/>
      <c r="FY1640"/>
      <c r="FZ1640"/>
      <c r="GA1640"/>
      <c r="GB1640"/>
      <c r="GC1640"/>
      <c r="GD1640"/>
      <c r="GE1640"/>
      <c r="GF1640"/>
      <c r="GG1640"/>
      <c r="GH1640"/>
      <c r="GI1640"/>
      <c r="GJ1640"/>
      <c r="GK1640"/>
      <c r="GL1640"/>
      <c r="GM1640"/>
      <c r="GN1640"/>
      <c r="GO1640"/>
    </row>
    <row r="1641" spans="107:197">
      <c r="DC1641"/>
      <c r="FH1641"/>
      <c r="FI1641"/>
      <c r="FJ1641"/>
      <c r="FK1641"/>
      <c r="FL1641"/>
      <c r="FM1641"/>
      <c r="FN1641"/>
      <c r="FO1641"/>
      <c r="FP1641"/>
      <c r="FQ1641"/>
      <c r="FR1641"/>
      <c r="FS1641"/>
      <c r="FT1641"/>
      <c r="FU1641"/>
      <c r="FV1641"/>
      <c r="FW1641"/>
      <c r="FX1641"/>
      <c r="FY1641"/>
      <c r="FZ1641"/>
      <c r="GA1641"/>
      <c r="GB1641"/>
      <c r="GC1641"/>
      <c r="GD1641"/>
      <c r="GE1641"/>
      <c r="GF1641"/>
      <c r="GG1641"/>
      <c r="GH1641"/>
      <c r="GI1641"/>
      <c r="GJ1641"/>
      <c r="GK1641"/>
      <c r="GL1641"/>
      <c r="GM1641"/>
      <c r="GN1641"/>
      <c r="GO1641"/>
    </row>
    <row r="1642" spans="107:197">
      <c r="DC1642"/>
      <c r="FH1642"/>
      <c r="FI1642"/>
      <c r="FJ1642"/>
      <c r="FK1642"/>
      <c r="FL1642"/>
      <c r="FM1642"/>
      <c r="FN1642"/>
      <c r="FO1642"/>
      <c r="FP1642"/>
      <c r="FQ1642"/>
      <c r="FR1642"/>
      <c r="FS1642"/>
      <c r="FT1642"/>
      <c r="FU1642"/>
      <c r="FV1642"/>
      <c r="FW1642"/>
      <c r="FX1642"/>
      <c r="FY1642"/>
      <c r="FZ1642"/>
      <c r="GA1642"/>
      <c r="GB1642"/>
      <c r="GC1642"/>
      <c r="GD1642"/>
      <c r="GE1642"/>
      <c r="GF1642"/>
      <c r="GG1642"/>
      <c r="GH1642"/>
      <c r="GI1642"/>
      <c r="GJ1642"/>
      <c r="GK1642"/>
      <c r="GL1642"/>
      <c r="GM1642"/>
      <c r="GN1642"/>
      <c r="GO1642"/>
    </row>
    <row r="1643" spans="107:197">
      <c r="DC1643"/>
      <c r="FH1643"/>
      <c r="FI1643"/>
      <c r="FJ1643"/>
      <c r="FK1643"/>
      <c r="FL1643"/>
      <c r="FM1643"/>
      <c r="FN1643"/>
      <c r="FO1643"/>
      <c r="FP1643"/>
      <c r="FQ1643"/>
      <c r="FR1643"/>
      <c r="FS1643"/>
      <c r="FT1643"/>
      <c r="FU1643"/>
      <c r="FV1643"/>
      <c r="FW1643"/>
      <c r="FX1643"/>
      <c r="FY1643"/>
      <c r="FZ1643"/>
      <c r="GA1643"/>
      <c r="GB1643"/>
      <c r="GC1643"/>
      <c r="GD1643"/>
      <c r="GE1643"/>
      <c r="GF1643"/>
      <c r="GG1643"/>
      <c r="GH1643"/>
      <c r="GI1643"/>
      <c r="GJ1643"/>
      <c r="GK1643"/>
      <c r="GL1643"/>
      <c r="GM1643"/>
      <c r="GN1643"/>
      <c r="GO1643"/>
    </row>
    <row r="1644" spans="107:197">
      <c r="DC1644"/>
      <c r="FH1644"/>
      <c r="FI1644"/>
      <c r="FJ1644"/>
      <c r="FK1644"/>
      <c r="FL1644"/>
      <c r="FM1644"/>
      <c r="FN1644"/>
      <c r="FO1644"/>
      <c r="FP1644"/>
      <c r="FQ1644"/>
      <c r="FR1644"/>
      <c r="FS1644"/>
      <c r="FT1644"/>
      <c r="FU1644"/>
      <c r="FV1644"/>
      <c r="FW1644"/>
      <c r="FX1644"/>
      <c r="FY1644"/>
      <c r="FZ1644"/>
      <c r="GA1644"/>
      <c r="GB1644"/>
      <c r="GC1644"/>
      <c r="GD1644"/>
      <c r="GE1644"/>
      <c r="GF1644"/>
      <c r="GG1644"/>
      <c r="GH1644"/>
      <c r="GI1644"/>
      <c r="GJ1644"/>
      <c r="GK1644"/>
      <c r="GL1644"/>
      <c r="GM1644"/>
      <c r="GN1644"/>
      <c r="GO1644"/>
    </row>
    <row r="1645" spans="107:197">
      <c r="DC1645"/>
      <c r="FH1645"/>
      <c r="FI1645"/>
      <c r="FJ1645"/>
      <c r="FK1645"/>
      <c r="FL1645"/>
      <c r="FM1645"/>
      <c r="FN1645"/>
      <c r="FO1645"/>
      <c r="FP1645"/>
      <c r="FQ1645"/>
      <c r="FR1645"/>
      <c r="FS1645"/>
      <c r="FT1645"/>
      <c r="FU1645"/>
      <c r="FV1645"/>
      <c r="FW1645"/>
      <c r="FX1645"/>
      <c r="FY1645"/>
      <c r="FZ1645"/>
      <c r="GA1645"/>
      <c r="GB1645"/>
      <c r="GC1645"/>
      <c r="GD1645"/>
      <c r="GE1645"/>
      <c r="GF1645"/>
      <c r="GG1645"/>
      <c r="GH1645"/>
      <c r="GI1645"/>
      <c r="GJ1645"/>
      <c r="GK1645"/>
      <c r="GL1645"/>
      <c r="GM1645"/>
      <c r="GN1645"/>
      <c r="GO1645"/>
    </row>
    <row r="1646" spans="107:197">
      <c r="DC1646"/>
      <c r="FH1646"/>
      <c r="FI1646"/>
      <c r="FJ1646"/>
      <c r="FK1646"/>
      <c r="FL1646"/>
      <c r="FM1646"/>
      <c r="FN1646"/>
      <c r="FO1646"/>
      <c r="FP1646"/>
      <c r="FQ1646"/>
      <c r="FR1646"/>
      <c r="FS1646"/>
      <c r="FT1646"/>
      <c r="FU1646"/>
      <c r="FV1646"/>
      <c r="FW1646"/>
      <c r="FX1646"/>
      <c r="FY1646"/>
      <c r="FZ1646"/>
      <c r="GA1646"/>
      <c r="GB1646"/>
      <c r="GC1646"/>
      <c r="GD1646"/>
      <c r="GE1646"/>
      <c r="GF1646"/>
      <c r="GG1646"/>
      <c r="GH1646"/>
      <c r="GI1646"/>
      <c r="GJ1646"/>
      <c r="GK1646"/>
      <c r="GL1646"/>
      <c r="GM1646"/>
      <c r="GN1646"/>
      <c r="GO1646"/>
    </row>
    <row r="1647" spans="107:197">
      <c r="DC1647"/>
      <c r="FH1647"/>
      <c r="FI1647"/>
      <c r="FJ1647"/>
      <c r="FK1647"/>
      <c r="FL1647"/>
      <c r="FM1647"/>
      <c r="FN1647"/>
      <c r="FO1647"/>
      <c r="FP1647"/>
      <c r="FQ1647"/>
      <c r="FR1647"/>
      <c r="FS1647"/>
      <c r="FT1647"/>
      <c r="FU1647"/>
      <c r="FV1647"/>
      <c r="FW1647"/>
      <c r="FX1647"/>
      <c r="FY1647"/>
      <c r="FZ1647"/>
      <c r="GA1647"/>
      <c r="GB1647"/>
      <c r="GC1647"/>
      <c r="GD1647"/>
      <c r="GE1647"/>
      <c r="GF1647"/>
      <c r="GG1647"/>
      <c r="GH1647"/>
      <c r="GI1647"/>
      <c r="GJ1647"/>
      <c r="GK1647"/>
      <c r="GL1647"/>
      <c r="GM1647"/>
      <c r="GN1647"/>
      <c r="GO1647"/>
    </row>
    <row r="1648" spans="107:197">
      <c r="DC1648"/>
      <c r="FH1648"/>
      <c r="FI1648"/>
      <c r="FJ1648"/>
      <c r="FK1648"/>
      <c r="FL1648"/>
      <c r="FM1648"/>
      <c r="FN1648"/>
      <c r="FO1648"/>
      <c r="FP1648"/>
      <c r="FQ1648"/>
      <c r="FR1648"/>
      <c r="FS1648"/>
      <c r="FT1648"/>
      <c r="FU1648"/>
      <c r="FV1648"/>
      <c r="FW1648"/>
      <c r="FX1648"/>
      <c r="FY1648"/>
      <c r="FZ1648"/>
      <c r="GA1648"/>
      <c r="GB1648"/>
      <c r="GC1648"/>
      <c r="GD1648"/>
      <c r="GE1648"/>
      <c r="GF1648"/>
      <c r="GG1648"/>
      <c r="GH1648"/>
      <c r="GI1648"/>
      <c r="GJ1648"/>
      <c r="GK1648"/>
      <c r="GL1648"/>
      <c r="GM1648"/>
      <c r="GN1648"/>
      <c r="GO1648"/>
    </row>
    <row r="1649" spans="107:197">
      <c r="DC1649"/>
      <c r="FH1649"/>
      <c r="FI1649"/>
      <c r="FJ1649"/>
      <c r="FK1649"/>
      <c r="FL1649"/>
      <c r="FM1649"/>
      <c r="FN1649"/>
      <c r="FO1649"/>
      <c r="FP1649"/>
      <c r="FQ1649"/>
      <c r="FR1649"/>
      <c r="FS1649"/>
      <c r="FT1649"/>
      <c r="FU1649"/>
      <c r="FV1649"/>
      <c r="FW1649"/>
      <c r="FX1649"/>
      <c r="FY1649"/>
      <c r="FZ1649"/>
      <c r="GA1649"/>
      <c r="GB1649"/>
      <c r="GC1649"/>
      <c r="GD1649"/>
      <c r="GE1649"/>
      <c r="GF1649"/>
      <c r="GG1649"/>
      <c r="GH1649"/>
      <c r="GI1649"/>
      <c r="GJ1649"/>
      <c r="GK1649"/>
      <c r="GL1649"/>
      <c r="GM1649"/>
      <c r="GN1649"/>
      <c r="GO1649"/>
    </row>
    <row r="1650" spans="107:197">
      <c r="DC1650"/>
      <c r="FH1650"/>
      <c r="FI1650"/>
      <c r="FJ1650"/>
      <c r="FK1650"/>
      <c r="FL1650"/>
      <c r="FM1650"/>
      <c r="FN1650"/>
      <c r="FO1650"/>
      <c r="FP1650"/>
      <c r="FQ1650"/>
      <c r="FR1650"/>
      <c r="FS1650"/>
      <c r="FT1650"/>
      <c r="FU1650"/>
      <c r="FV1650"/>
      <c r="FW1650"/>
      <c r="FX1650"/>
      <c r="FY1650"/>
      <c r="FZ1650"/>
      <c r="GA1650"/>
      <c r="GB1650"/>
      <c r="GC1650"/>
      <c r="GD1650"/>
      <c r="GE1650"/>
      <c r="GF1650"/>
      <c r="GG1650"/>
      <c r="GH1650"/>
      <c r="GI1650"/>
      <c r="GJ1650"/>
      <c r="GK1650"/>
      <c r="GL1650"/>
      <c r="GM1650"/>
      <c r="GN1650"/>
      <c r="GO1650"/>
    </row>
    <row r="1651" spans="107:197">
      <c r="DC1651"/>
      <c r="FH1651"/>
      <c r="FI1651"/>
      <c r="FJ1651"/>
      <c r="FK1651"/>
      <c r="FL1651"/>
      <c r="FM1651"/>
      <c r="FN1651"/>
      <c r="FO1651"/>
      <c r="FP1651"/>
      <c r="FQ1651"/>
      <c r="FR1651"/>
      <c r="FS1651"/>
      <c r="FT1651"/>
      <c r="FU1651"/>
      <c r="FV1651"/>
      <c r="FW1651"/>
      <c r="FX1651"/>
      <c r="FY1651"/>
      <c r="FZ1651"/>
      <c r="GA1651"/>
      <c r="GB1651"/>
      <c r="GC1651"/>
      <c r="GD1651"/>
      <c r="GE1651"/>
      <c r="GF1651"/>
      <c r="GG1651"/>
      <c r="GH1651"/>
      <c r="GI1651"/>
      <c r="GJ1651"/>
      <c r="GK1651"/>
      <c r="GL1651"/>
      <c r="GM1651"/>
      <c r="GN1651"/>
      <c r="GO1651"/>
    </row>
    <row r="1652" spans="107:197">
      <c r="DC1652"/>
      <c r="FH1652"/>
      <c r="FI1652"/>
      <c r="FJ1652"/>
      <c r="FK1652"/>
      <c r="FL1652"/>
      <c r="FM1652"/>
      <c r="FN1652"/>
      <c r="FO1652"/>
      <c r="FP1652"/>
      <c r="FQ1652"/>
      <c r="FR1652"/>
      <c r="FS1652"/>
      <c r="FT1652"/>
      <c r="FU1652"/>
      <c r="FV1652"/>
      <c r="FW1652"/>
      <c r="FX1652"/>
      <c r="FY1652"/>
      <c r="FZ1652"/>
      <c r="GA1652"/>
      <c r="GB1652"/>
      <c r="GC1652"/>
      <c r="GD1652"/>
      <c r="GE1652"/>
      <c r="GF1652"/>
      <c r="GG1652"/>
      <c r="GH1652"/>
      <c r="GI1652"/>
      <c r="GJ1652"/>
      <c r="GK1652"/>
      <c r="GL1652"/>
      <c r="GM1652"/>
      <c r="GN1652"/>
      <c r="GO1652"/>
    </row>
    <row r="1653" spans="107:197">
      <c r="DC1653"/>
      <c r="FH1653"/>
      <c r="FI1653"/>
      <c r="FJ1653"/>
      <c r="FK1653"/>
      <c r="FL1653"/>
      <c r="FM1653"/>
      <c r="FN1653"/>
      <c r="FO1653"/>
      <c r="FP1653"/>
      <c r="FQ1653"/>
      <c r="FR1653"/>
      <c r="FS1653"/>
      <c r="FT1653"/>
      <c r="FU1653"/>
      <c r="FV1653"/>
      <c r="FW1653"/>
      <c r="FX1653"/>
      <c r="FY1653"/>
      <c r="FZ1653"/>
      <c r="GA1653"/>
      <c r="GB1653"/>
      <c r="GC1653"/>
      <c r="GD1653"/>
      <c r="GE1653"/>
      <c r="GF1653"/>
      <c r="GG1653"/>
      <c r="GH1653"/>
      <c r="GI1653"/>
      <c r="GJ1653"/>
      <c r="GK1653"/>
      <c r="GL1653"/>
      <c r="GM1653"/>
      <c r="GN1653"/>
      <c r="GO1653"/>
    </row>
    <row r="1654" spans="107:197">
      <c r="DC1654"/>
      <c r="FH1654"/>
      <c r="FI1654"/>
      <c r="FJ1654"/>
      <c r="FK1654"/>
      <c r="FL1654"/>
      <c r="FM1654"/>
      <c r="FN1654"/>
      <c r="FO1654"/>
      <c r="FP1654"/>
      <c r="FQ1654"/>
      <c r="FR1654"/>
      <c r="FS1654"/>
      <c r="FT1654"/>
      <c r="FU1654"/>
      <c r="FV1654"/>
      <c r="FW1654"/>
      <c r="FX1654"/>
      <c r="FY1654"/>
      <c r="FZ1654"/>
      <c r="GA1654"/>
      <c r="GB1654"/>
      <c r="GC1654"/>
      <c r="GD1654"/>
      <c r="GE1654"/>
      <c r="GF1654"/>
      <c r="GG1654"/>
      <c r="GH1654"/>
      <c r="GI1654"/>
      <c r="GJ1654"/>
      <c r="GK1654"/>
      <c r="GL1654"/>
      <c r="GM1654"/>
      <c r="GN1654"/>
      <c r="GO1654"/>
    </row>
    <row r="1655" spans="107:197">
      <c r="DC1655"/>
      <c r="FH1655"/>
      <c r="FI1655"/>
      <c r="FJ1655"/>
      <c r="FK1655"/>
      <c r="FL1655"/>
      <c r="FM1655"/>
      <c r="FN1655"/>
      <c r="FO1655"/>
      <c r="FP1655"/>
      <c r="FQ1655"/>
      <c r="FR1655"/>
      <c r="FS1655"/>
      <c r="FT1655"/>
      <c r="FU1655"/>
      <c r="FV1655"/>
      <c r="FW1655"/>
      <c r="FX1655"/>
      <c r="FY1655"/>
      <c r="FZ1655"/>
      <c r="GA1655"/>
      <c r="GB1655"/>
      <c r="GC1655"/>
      <c r="GD1655"/>
      <c r="GE1655"/>
      <c r="GF1655"/>
      <c r="GG1655"/>
      <c r="GH1655"/>
      <c r="GI1655"/>
      <c r="GJ1655"/>
      <c r="GK1655"/>
      <c r="GL1655"/>
      <c r="GM1655"/>
      <c r="GN1655"/>
      <c r="GO1655"/>
    </row>
    <row r="1656" spans="107:197">
      <c r="DC1656"/>
      <c r="FH1656"/>
      <c r="FI1656"/>
      <c r="FJ1656"/>
      <c r="FK1656"/>
      <c r="FL1656"/>
      <c r="FM1656"/>
      <c r="FN1656"/>
      <c r="FO1656"/>
      <c r="FP1656"/>
      <c r="FQ1656"/>
      <c r="FR1656"/>
      <c r="FS1656"/>
      <c r="FT1656"/>
      <c r="FU1656"/>
      <c r="FV1656"/>
      <c r="FW1656"/>
      <c r="FX1656"/>
      <c r="FY1656"/>
      <c r="FZ1656"/>
      <c r="GA1656"/>
      <c r="GB1656"/>
      <c r="GC1656"/>
      <c r="GD1656"/>
      <c r="GE1656"/>
      <c r="GF1656"/>
      <c r="GG1656"/>
      <c r="GH1656"/>
      <c r="GI1656"/>
      <c r="GJ1656"/>
      <c r="GK1656"/>
      <c r="GL1656"/>
      <c r="GM1656"/>
      <c r="GN1656"/>
      <c r="GO1656"/>
    </row>
    <row r="1657" spans="107:197">
      <c r="DC1657"/>
      <c r="FH1657"/>
      <c r="FI1657"/>
      <c r="FJ1657"/>
      <c r="FK1657"/>
      <c r="FL1657"/>
      <c r="FM1657"/>
      <c r="FN1657"/>
      <c r="FO1657"/>
      <c r="FP1657"/>
      <c r="FQ1657"/>
      <c r="FR1657"/>
      <c r="FS1657"/>
      <c r="FT1657"/>
      <c r="FU1657"/>
      <c r="FV1657"/>
      <c r="FW1657"/>
      <c r="FX1657"/>
      <c r="FY1657"/>
      <c r="FZ1657"/>
      <c r="GA1657"/>
      <c r="GB1657"/>
      <c r="GC1657"/>
      <c r="GD1657"/>
      <c r="GE1657"/>
      <c r="GF1657"/>
      <c r="GG1657"/>
      <c r="GH1657"/>
      <c r="GI1657"/>
      <c r="GJ1657"/>
      <c r="GK1657"/>
      <c r="GL1657"/>
      <c r="GM1657"/>
      <c r="GN1657"/>
      <c r="GO1657"/>
    </row>
    <row r="1658" spans="107:197">
      <c r="DC1658"/>
      <c r="FH1658"/>
      <c r="FI1658"/>
      <c r="FJ1658"/>
      <c r="FK1658"/>
      <c r="FL1658"/>
      <c r="FM1658"/>
      <c r="FN1658"/>
      <c r="FO1658"/>
      <c r="FP1658"/>
      <c r="FQ1658"/>
      <c r="FR1658"/>
      <c r="FS1658"/>
      <c r="FT1658"/>
      <c r="FU1658"/>
      <c r="FV1658"/>
      <c r="FW1658"/>
      <c r="FX1658"/>
      <c r="FY1658"/>
      <c r="FZ1658"/>
      <c r="GA1658"/>
      <c r="GB1658"/>
      <c r="GC1658"/>
      <c r="GD1658"/>
      <c r="GE1658"/>
      <c r="GF1658"/>
      <c r="GG1658"/>
      <c r="GH1658"/>
      <c r="GI1658"/>
      <c r="GJ1658"/>
      <c r="GK1658"/>
      <c r="GL1658"/>
      <c r="GM1658"/>
      <c r="GN1658"/>
      <c r="GO1658"/>
    </row>
    <row r="1659" spans="107:197">
      <c r="DC1659"/>
      <c r="FH1659"/>
      <c r="FI1659"/>
      <c r="FJ1659"/>
      <c r="FK1659"/>
      <c r="FL1659"/>
      <c r="FM1659"/>
      <c r="FN1659"/>
      <c r="FO1659"/>
      <c r="FP1659"/>
      <c r="FQ1659"/>
      <c r="FR1659"/>
      <c r="FS1659"/>
      <c r="FT1659"/>
      <c r="FU1659"/>
      <c r="FV1659"/>
      <c r="FW1659"/>
      <c r="FX1659"/>
      <c r="FY1659"/>
      <c r="FZ1659"/>
      <c r="GA1659"/>
      <c r="GB1659"/>
      <c r="GC1659"/>
      <c r="GD1659"/>
      <c r="GE1659"/>
      <c r="GF1659"/>
      <c r="GG1659"/>
      <c r="GH1659"/>
      <c r="GI1659"/>
      <c r="GJ1659"/>
      <c r="GK1659"/>
      <c r="GL1659"/>
      <c r="GM1659"/>
      <c r="GN1659"/>
      <c r="GO1659"/>
    </row>
    <row r="1660" spans="107:197">
      <c r="DC1660"/>
      <c r="FH1660"/>
      <c r="FI1660"/>
      <c r="FJ1660"/>
      <c r="FK1660"/>
      <c r="FL1660"/>
      <c r="FM1660"/>
      <c r="FN1660"/>
      <c r="FO1660"/>
      <c r="FP1660"/>
      <c r="FQ1660"/>
      <c r="FR1660"/>
      <c r="FS1660"/>
      <c r="FT1660"/>
      <c r="FU1660"/>
      <c r="FV1660"/>
      <c r="FW1660"/>
      <c r="FX1660"/>
      <c r="FY1660"/>
      <c r="FZ1660"/>
      <c r="GA1660"/>
      <c r="GB1660"/>
      <c r="GC1660"/>
      <c r="GD1660"/>
      <c r="GE1660"/>
      <c r="GF1660"/>
      <c r="GG1660"/>
      <c r="GH1660"/>
      <c r="GI1660"/>
      <c r="GJ1660"/>
      <c r="GK1660"/>
      <c r="GL1660"/>
      <c r="GM1660"/>
      <c r="GN1660"/>
      <c r="GO1660"/>
    </row>
    <row r="1661" spans="107:197">
      <c r="DC1661"/>
      <c r="FH1661"/>
      <c r="FI1661"/>
      <c r="FJ1661"/>
      <c r="FK1661"/>
      <c r="FL1661"/>
      <c r="FM1661"/>
      <c r="FN1661"/>
      <c r="FO1661"/>
      <c r="FP1661"/>
      <c r="FQ1661"/>
      <c r="FR1661"/>
      <c r="FS1661"/>
      <c r="FT1661"/>
      <c r="FU1661"/>
      <c r="FV1661"/>
      <c r="FW1661"/>
      <c r="FX1661"/>
      <c r="FY1661"/>
      <c r="FZ1661"/>
      <c r="GA1661"/>
      <c r="GB1661"/>
      <c r="GC1661"/>
      <c r="GD1661"/>
      <c r="GE1661"/>
      <c r="GF1661"/>
      <c r="GG1661"/>
      <c r="GH1661"/>
      <c r="GI1661"/>
      <c r="GJ1661"/>
      <c r="GK1661"/>
      <c r="GL1661"/>
      <c r="GM1661"/>
      <c r="GN1661"/>
      <c r="GO1661"/>
    </row>
    <row r="1662" spans="107:197">
      <c r="DC1662"/>
      <c r="FH1662"/>
      <c r="FI1662"/>
      <c r="FJ1662"/>
      <c r="FK1662"/>
      <c r="FL1662"/>
      <c r="FM1662"/>
      <c r="FN1662"/>
      <c r="FO1662"/>
      <c r="FP1662"/>
      <c r="FQ1662"/>
      <c r="FR1662"/>
      <c r="FS1662"/>
      <c r="FT1662"/>
      <c r="FU1662"/>
      <c r="FV1662"/>
      <c r="FW1662"/>
      <c r="FX1662"/>
      <c r="FY1662"/>
      <c r="FZ1662"/>
      <c r="GA1662"/>
      <c r="GB1662"/>
      <c r="GC1662"/>
      <c r="GD1662"/>
      <c r="GE1662"/>
      <c r="GF1662"/>
      <c r="GG1662"/>
      <c r="GH1662"/>
      <c r="GI1662"/>
      <c r="GJ1662"/>
      <c r="GK1662"/>
      <c r="GL1662"/>
      <c r="GM1662"/>
      <c r="GN1662"/>
      <c r="GO1662"/>
    </row>
    <row r="1663" spans="107:197">
      <c r="DC1663"/>
      <c r="FH1663"/>
      <c r="FI1663"/>
      <c r="FJ1663"/>
      <c r="FK1663"/>
      <c r="FL1663"/>
      <c r="FM1663"/>
      <c r="FN1663"/>
      <c r="FO1663"/>
      <c r="FP1663"/>
      <c r="FQ1663"/>
      <c r="FR1663"/>
      <c r="FS1663"/>
      <c r="FT1663"/>
      <c r="FU1663"/>
      <c r="FV1663"/>
      <c r="FW1663"/>
      <c r="FX1663"/>
      <c r="FY1663"/>
      <c r="FZ1663"/>
      <c r="GA1663"/>
      <c r="GB1663"/>
      <c r="GC1663"/>
      <c r="GD1663"/>
      <c r="GE1663"/>
      <c r="GF1663"/>
      <c r="GG1663"/>
      <c r="GH1663"/>
      <c r="GI1663"/>
      <c r="GJ1663"/>
      <c r="GK1663"/>
      <c r="GL1663"/>
      <c r="GM1663"/>
      <c r="GN1663"/>
      <c r="GO1663"/>
    </row>
    <row r="1664" spans="107:197">
      <c r="DC1664"/>
      <c r="FH1664"/>
      <c r="FI1664"/>
      <c r="FJ1664"/>
      <c r="FK1664"/>
      <c r="FL1664"/>
      <c r="FM1664"/>
      <c r="FN1664"/>
      <c r="FO1664"/>
      <c r="FP1664"/>
      <c r="FQ1664"/>
      <c r="FR1664"/>
      <c r="FS1664"/>
      <c r="FT1664"/>
      <c r="FU1664"/>
      <c r="FV1664"/>
      <c r="FW1664"/>
      <c r="FX1664"/>
      <c r="FY1664"/>
      <c r="FZ1664"/>
      <c r="GA1664"/>
      <c r="GB1664"/>
      <c r="GC1664"/>
      <c r="GD1664"/>
      <c r="GE1664"/>
      <c r="GF1664"/>
      <c r="GG1664"/>
      <c r="GH1664"/>
      <c r="GI1664"/>
      <c r="GJ1664"/>
      <c r="GK1664"/>
      <c r="GL1664"/>
      <c r="GM1664"/>
      <c r="GN1664"/>
      <c r="GO1664"/>
    </row>
    <row r="1665" spans="107:197">
      <c r="DC1665"/>
      <c r="FH1665"/>
      <c r="FI1665"/>
      <c r="FJ1665"/>
      <c r="FK1665"/>
      <c r="FL1665"/>
      <c r="FM1665"/>
      <c r="FN1665"/>
      <c r="FO1665"/>
      <c r="FP1665"/>
      <c r="FQ1665"/>
      <c r="FR1665"/>
      <c r="FS1665"/>
      <c r="FT1665"/>
      <c r="FU1665"/>
      <c r="FV1665"/>
      <c r="FW1665"/>
      <c r="FX1665"/>
      <c r="FY1665"/>
      <c r="FZ1665"/>
      <c r="GA1665"/>
      <c r="GB1665"/>
      <c r="GC1665"/>
      <c r="GD1665"/>
      <c r="GE1665"/>
      <c r="GF1665"/>
      <c r="GG1665"/>
      <c r="GH1665"/>
      <c r="GI1665"/>
      <c r="GJ1665"/>
      <c r="GK1665"/>
      <c r="GL1665"/>
      <c r="GM1665"/>
      <c r="GN1665"/>
      <c r="GO1665"/>
    </row>
    <row r="1666" spans="107:197">
      <c r="DC1666"/>
      <c r="FH1666"/>
      <c r="FI1666"/>
      <c r="FJ1666"/>
      <c r="FK1666"/>
      <c r="FL1666"/>
      <c r="FM1666"/>
      <c r="FN1666"/>
      <c r="FO1666"/>
      <c r="FP1666"/>
      <c r="FQ1666"/>
      <c r="FR1666"/>
      <c r="FS1666"/>
      <c r="FT1666"/>
      <c r="FU1666"/>
      <c r="FV1666"/>
      <c r="FW1666"/>
      <c r="FX1666"/>
      <c r="FY1666"/>
      <c r="FZ1666"/>
      <c r="GA1666"/>
      <c r="GB1666"/>
      <c r="GC1666"/>
      <c r="GD1666"/>
      <c r="GE1666"/>
      <c r="GF1666"/>
      <c r="GG1666"/>
      <c r="GH1666"/>
      <c r="GI1666"/>
      <c r="GJ1666"/>
      <c r="GK1666"/>
      <c r="GL1666"/>
      <c r="GM1666"/>
      <c r="GN1666"/>
      <c r="GO1666"/>
    </row>
    <row r="1667" spans="107:197">
      <c r="DC1667"/>
      <c r="FH1667"/>
      <c r="FI1667"/>
      <c r="FJ1667"/>
      <c r="FK1667"/>
      <c r="FL1667"/>
      <c r="FM1667"/>
      <c r="FN1667"/>
      <c r="FO1667"/>
      <c r="FP1667"/>
      <c r="FQ1667"/>
      <c r="FR1667"/>
      <c r="FS1667"/>
      <c r="FT1667"/>
      <c r="FU1667"/>
      <c r="FV1667"/>
      <c r="FW1667"/>
      <c r="FX1667"/>
      <c r="FY1667"/>
      <c r="FZ1667"/>
      <c r="GA1667"/>
      <c r="GB1667"/>
      <c r="GC1667"/>
      <c r="GD1667"/>
      <c r="GE1667"/>
      <c r="GF1667"/>
      <c r="GG1667"/>
      <c r="GH1667"/>
      <c r="GI1667"/>
      <c r="GJ1667"/>
      <c r="GK1667"/>
      <c r="GL1667"/>
      <c r="GM1667"/>
      <c r="GN1667"/>
      <c r="GO1667"/>
    </row>
    <row r="1668" spans="107:197">
      <c r="DC1668"/>
      <c r="FH1668"/>
      <c r="FI1668"/>
      <c r="FJ1668"/>
      <c r="FK1668"/>
      <c r="FL1668"/>
      <c r="FM1668"/>
      <c r="FN1668"/>
      <c r="FO1668"/>
      <c r="FP1668"/>
      <c r="FQ1668"/>
      <c r="FR1668"/>
      <c r="FS1668"/>
      <c r="FT1668"/>
      <c r="FU1668"/>
      <c r="FV1668"/>
      <c r="FW1668"/>
      <c r="FX1668"/>
      <c r="FY1668"/>
      <c r="FZ1668"/>
      <c r="GA1668"/>
      <c r="GB1668"/>
      <c r="GC1668"/>
      <c r="GD1668"/>
      <c r="GE1668"/>
      <c r="GF1668"/>
      <c r="GG1668"/>
      <c r="GH1668"/>
      <c r="GI1668"/>
      <c r="GJ1668"/>
      <c r="GK1668"/>
      <c r="GL1668"/>
      <c r="GM1668"/>
      <c r="GN1668"/>
      <c r="GO1668"/>
    </row>
    <row r="1669" spans="107:197">
      <c r="DC1669"/>
      <c r="FH1669"/>
      <c r="FI1669"/>
      <c r="FJ1669"/>
      <c r="FK1669"/>
      <c r="FL1669"/>
      <c r="FM1669"/>
      <c r="FN1669"/>
      <c r="FO1669"/>
      <c r="FP1669"/>
      <c r="FQ1669"/>
      <c r="FR1669"/>
      <c r="FS1669"/>
      <c r="FT1669"/>
      <c r="FU1669"/>
      <c r="FV1669"/>
      <c r="FW1669"/>
      <c r="FX1669"/>
      <c r="FY1669"/>
      <c r="FZ1669"/>
      <c r="GA1669"/>
      <c r="GB1669"/>
      <c r="GC1669"/>
      <c r="GD1669"/>
      <c r="GE1669"/>
      <c r="GF1669"/>
      <c r="GG1669"/>
      <c r="GH1669"/>
      <c r="GI1669"/>
      <c r="GJ1669"/>
      <c r="GK1669"/>
      <c r="GL1669"/>
      <c r="GM1669"/>
      <c r="GN1669"/>
      <c r="GO1669"/>
    </row>
    <row r="1670" spans="107:197">
      <c r="DC1670"/>
      <c r="FH1670"/>
      <c r="FI1670"/>
      <c r="FJ1670"/>
      <c r="FK1670"/>
      <c r="FL1670"/>
      <c r="FM1670"/>
      <c r="FN1670"/>
      <c r="FO1670"/>
      <c r="FP1670"/>
      <c r="FQ1670"/>
      <c r="FR1670"/>
      <c r="FS1670"/>
      <c r="FT1670"/>
      <c r="FU1670"/>
      <c r="FV1670"/>
      <c r="FW1670"/>
      <c r="FX1670"/>
      <c r="FY1670"/>
      <c r="FZ1670"/>
      <c r="GA1670"/>
      <c r="GB1670"/>
      <c r="GC1670"/>
      <c r="GD1670"/>
      <c r="GE1670"/>
      <c r="GF1670"/>
      <c r="GG1670"/>
      <c r="GH1670"/>
      <c r="GI1670"/>
      <c r="GJ1670"/>
      <c r="GK1670"/>
      <c r="GL1670"/>
      <c r="GM1670"/>
      <c r="GN1670"/>
      <c r="GO1670"/>
    </row>
    <row r="1671" spans="107:197">
      <c r="DC1671"/>
      <c r="FH1671"/>
      <c r="FI1671"/>
      <c r="FJ1671"/>
      <c r="FK1671"/>
      <c r="FL1671"/>
      <c r="FM1671"/>
      <c r="FN1671"/>
      <c r="FO1671"/>
      <c r="FP1671"/>
      <c r="FQ1671"/>
      <c r="FR1671"/>
      <c r="FS1671"/>
      <c r="FT1671"/>
      <c r="FU1671"/>
      <c r="FV1671"/>
      <c r="FW1671"/>
      <c r="FX1671"/>
      <c r="FY1671"/>
      <c r="FZ1671"/>
      <c r="GA1671"/>
      <c r="GB1671"/>
      <c r="GC1671"/>
      <c r="GD1671"/>
      <c r="GE1671"/>
      <c r="GF1671"/>
      <c r="GG1671"/>
      <c r="GH1671"/>
      <c r="GI1671"/>
      <c r="GJ1671"/>
      <c r="GK1671"/>
      <c r="GL1671"/>
      <c r="GM1671"/>
      <c r="GN1671"/>
      <c r="GO1671"/>
    </row>
    <row r="1672" spans="107:197">
      <c r="DC1672"/>
      <c r="FH1672"/>
      <c r="FI1672"/>
      <c r="FJ1672"/>
      <c r="FK1672"/>
      <c r="FL1672"/>
      <c r="FM1672"/>
      <c r="FN1672"/>
      <c r="FO1672"/>
      <c r="FP1672"/>
      <c r="FQ1672"/>
      <c r="FR1672"/>
      <c r="FS1672"/>
      <c r="FT1672"/>
      <c r="FU1672"/>
      <c r="FV1672"/>
      <c r="FW1672"/>
      <c r="FX1672"/>
      <c r="FY1672"/>
      <c r="FZ1672"/>
      <c r="GA1672"/>
      <c r="GB1672"/>
      <c r="GC1672"/>
      <c r="GD1672"/>
      <c r="GE1672"/>
      <c r="GF1672"/>
      <c r="GG1672"/>
      <c r="GH1672"/>
      <c r="GI1672"/>
      <c r="GJ1672"/>
      <c r="GK1672"/>
      <c r="GL1672"/>
      <c r="GM1672"/>
      <c r="GN1672"/>
      <c r="GO1672"/>
    </row>
    <row r="1673" spans="107:197">
      <c r="DC1673"/>
      <c r="FH1673"/>
      <c r="FI1673"/>
      <c r="FJ1673"/>
      <c r="FK1673"/>
      <c r="FL1673"/>
      <c r="FM1673"/>
      <c r="FN1673"/>
      <c r="FO1673"/>
      <c r="FP1673"/>
      <c r="FQ1673"/>
      <c r="FR1673"/>
      <c r="FS1673"/>
      <c r="FT1673"/>
      <c r="FU1673"/>
      <c r="FV1673"/>
      <c r="FW1673"/>
      <c r="FX1673"/>
      <c r="FY1673"/>
      <c r="FZ1673"/>
      <c r="GA1673"/>
      <c r="GB1673"/>
      <c r="GC1673"/>
      <c r="GD1673"/>
      <c r="GE1673"/>
      <c r="GF1673"/>
      <c r="GG1673"/>
      <c r="GH1673"/>
      <c r="GI1673"/>
      <c r="GJ1673"/>
      <c r="GK1673"/>
      <c r="GL1673"/>
      <c r="GM1673"/>
      <c r="GN1673"/>
      <c r="GO1673"/>
    </row>
    <row r="1674" spans="107:197">
      <c r="DC1674"/>
      <c r="FH1674"/>
      <c r="FI1674"/>
      <c r="FJ1674"/>
      <c r="FK1674"/>
      <c r="FL1674"/>
      <c r="FM1674"/>
      <c r="FN1674"/>
      <c r="FO1674"/>
      <c r="FP1674"/>
      <c r="FQ1674"/>
      <c r="FR1674"/>
      <c r="FS1674"/>
      <c r="FT1674"/>
      <c r="FU1674"/>
      <c r="FV1674"/>
      <c r="FW1674"/>
      <c r="FX1674"/>
      <c r="FY1674"/>
      <c r="FZ1674"/>
      <c r="GA1674"/>
      <c r="GB1674"/>
      <c r="GC1674"/>
      <c r="GD1674"/>
      <c r="GE1674"/>
      <c r="GF1674"/>
      <c r="GG1674"/>
      <c r="GH1674"/>
      <c r="GI1674"/>
      <c r="GJ1674"/>
      <c r="GK1674"/>
      <c r="GL1674"/>
      <c r="GM1674"/>
      <c r="GN1674"/>
      <c r="GO1674"/>
    </row>
    <row r="1675" spans="107:197">
      <c r="DC1675"/>
      <c r="FH1675"/>
      <c r="FI1675"/>
      <c r="FJ1675"/>
      <c r="FK1675"/>
      <c r="FL1675"/>
      <c r="FM1675"/>
      <c r="FN1675"/>
      <c r="FO1675"/>
      <c r="FP1675"/>
      <c r="FQ1675"/>
      <c r="FR1675"/>
      <c r="FS1675"/>
      <c r="FT1675"/>
      <c r="FU1675"/>
      <c r="FV1675"/>
      <c r="FW1675"/>
      <c r="FX1675"/>
      <c r="FY1675"/>
      <c r="FZ1675"/>
      <c r="GA1675"/>
      <c r="GB1675"/>
      <c r="GC1675"/>
      <c r="GD1675"/>
      <c r="GE1675"/>
      <c r="GF1675"/>
      <c r="GG1675"/>
      <c r="GH1675"/>
      <c r="GI1675"/>
      <c r="GJ1675"/>
      <c r="GK1675"/>
      <c r="GL1675"/>
      <c r="GM1675"/>
      <c r="GN1675"/>
      <c r="GO1675"/>
    </row>
    <row r="1676" spans="107:197">
      <c r="DC1676"/>
      <c r="FH1676"/>
      <c r="FI1676"/>
      <c r="FJ1676"/>
      <c r="FK1676"/>
      <c r="FL1676"/>
      <c r="FM1676"/>
      <c r="FN1676"/>
      <c r="FO1676"/>
      <c r="FP1676"/>
      <c r="FQ1676"/>
      <c r="FR1676"/>
      <c r="FS1676"/>
      <c r="FT1676"/>
      <c r="FU1676"/>
      <c r="FV1676"/>
      <c r="FW1676"/>
      <c r="FX1676"/>
      <c r="FY1676"/>
      <c r="FZ1676"/>
      <c r="GA1676"/>
      <c r="GB1676"/>
      <c r="GC1676"/>
      <c r="GD1676"/>
      <c r="GE1676"/>
      <c r="GF1676"/>
      <c r="GG1676"/>
      <c r="GH1676"/>
      <c r="GI1676"/>
      <c r="GJ1676"/>
      <c r="GK1676"/>
      <c r="GL1676"/>
      <c r="GM1676"/>
      <c r="GN1676"/>
      <c r="GO1676"/>
    </row>
    <row r="1677" spans="107:197">
      <c r="DC1677"/>
      <c r="FH1677"/>
      <c r="FI1677"/>
      <c r="FJ1677"/>
      <c r="FK1677"/>
      <c r="FL1677"/>
      <c r="FM1677"/>
      <c r="FN1677"/>
      <c r="FO1677"/>
      <c r="FP1677"/>
      <c r="FQ1677"/>
      <c r="FR1677"/>
      <c r="FS1677"/>
      <c r="FT1677"/>
      <c r="FU1677"/>
      <c r="FV1677"/>
      <c r="FW1677"/>
      <c r="FX1677"/>
      <c r="FY1677"/>
      <c r="FZ1677"/>
      <c r="GA1677"/>
      <c r="GB1677"/>
      <c r="GC1677"/>
      <c r="GD1677"/>
      <c r="GE1677"/>
      <c r="GF1677"/>
      <c r="GG1677"/>
      <c r="GH1677"/>
      <c r="GI1677"/>
      <c r="GJ1677"/>
      <c r="GK1677"/>
      <c r="GL1677"/>
      <c r="GM1677"/>
      <c r="GN1677"/>
      <c r="GO1677"/>
    </row>
    <row r="1678" spans="107:197">
      <c r="DC1678"/>
      <c r="FH1678"/>
      <c r="FI1678"/>
      <c r="FJ1678"/>
      <c r="FK1678"/>
      <c r="FL1678"/>
      <c r="FM1678"/>
      <c r="FN1678"/>
      <c r="FO1678"/>
      <c r="FP1678"/>
      <c r="FQ1678"/>
      <c r="FR1678"/>
      <c r="FS1678"/>
      <c r="FT1678"/>
      <c r="FU1678"/>
      <c r="FV1678"/>
      <c r="FW1678"/>
      <c r="FX1678"/>
      <c r="FY1678"/>
      <c r="FZ1678"/>
      <c r="GA1678"/>
      <c r="GB1678"/>
      <c r="GC1678"/>
      <c r="GD1678"/>
      <c r="GE1678"/>
      <c r="GF1678"/>
      <c r="GG1678"/>
      <c r="GH1678"/>
      <c r="GI1678"/>
      <c r="GJ1678"/>
      <c r="GK1678"/>
      <c r="GL1678"/>
      <c r="GM1678"/>
      <c r="GN1678"/>
      <c r="GO1678"/>
    </row>
    <row r="1679" spans="107:197">
      <c r="DC1679"/>
      <c r="FH1679"/>
      <c r="FI1679"/>
      <c r="FJ1679"/>
      <c r="FK1679"/>
      <c r="FL1679"/>
      <c r="FM1679"/>
      <c r="FN1679"/>
      <c r="FO1679"/>
      <c r="FP1679"/>
      <c r="FQ1679"/>
      <c r="FR1679"/>
      <c r="FS1679"/>
      <c r="FT1679"/>
      <c r="FU1679"/>
      <c r="FV1679"/>
      <c r="FW1679"/>
      <c r="FX1679"/>
      <c r="FY1679"/>
      <c r="FZ1679"/>
      <c r="GA1679"/>
      <c r="GB1679"/>
      <c r="GC1679"/>
      <c r="GD1679"/>
      <c r="GE1679"/>
      <c r="GF1679"/>
      <c r="GG1679"/>
      <c r="GH1679"/>
      <c r="GI1679"/>
      <c r="GJ1679"/>
      <c r="GK1679"/>
      <c r="GL1679"/>
      <c r="GM1679"/>
      <c r="GN1679"/>
      <c r="GO1679"/>
    </row>
    <row r="1680" spans="107:197">
      <c r="DC1680"/>
      <c r="FH1680"/>
      <c r="FI1680"/>
      <c r="FJ1680"/>
      <c r="FK1680"/>
      <c r="FL1680"/>
      <c r="FM1680"/>
      <c r="FN1680"/>
      <c r="FO1680"/>
      <c r="FP1680"/>
      <c r="FQ1680"/>
      <c r="FR1680"/>
      <c r="FS1680"/>
      <c r="FT1680"/>
      <c r="FU1680"/>
      <c r="FV1680"/>
      <c r="FW1680"/>
      <c r="FX1680"/>
      <c r="FY1680"/>
      <c r="FZ1680"/>
      <c r="GA1680"/>
      <c r="GB1680"/>
      <c r="GC1680"/>
      <c r="GD1680"/>
      <c r="GE1680"/>
      <c r="GF1680"/>
      <c r="GG1680"/>
      <c r="GH1680"/>
      <c r="GI1680"/>
      <c r="GJ1680"/>
      <c r="GK1680"/>
      <c r="GL1680"/>
      <c r="GM1680"/>
      <c r="GN1680"/>
      <c r="GO1680"/>
    </row>
    <row r="1681" spans="107:197">
      <c r="DC1681"/>
      <c r="FH1681"/>
      <c r="FI1681"/>
      <c r="FJ1681"/>
      <c r="FK1681"/>
      <c r="FL1681"/>
      <c r="FM1681"/>
      <c r="FN1681"/>
      <c r="FO1681"/>
      <c r="FP1681"/>
      <c r="FQ1681"/>
      <c r="FR1681"/>
      <c r="FS1681"/>
      <c r="FT1681"/>
      <c r="FU1681"/>
      <c r="FV1681"/>
      <c r="FW1681"/>
      <c r="FX1681"/>
      <c r="FY1681"/>
      <c r="FZ1681"/>
      <c r="GA1681"/>
      <c r="GB1681"/>
      <c r="GC1681"/>
      <c r="GD1681"/>
      <c r="GE1681"/>
      <c r="GF1681"/>
      <c r="GG1681"/>
      <c r="GH1681"/>
      <c r="GI1681"/>
      <c r="GJ1681"/>
      <c r="GK1681"/>
      <c r="GL1681"/>
      <c r="GM1681"/>
      <c r="GN1681"/>
      <c r="GO1681"/>
    </row>
    <row r="1682" spans="107:197">
      <c r="DC1682"/>
      <c r="FH1682"/>
      <c r="FI1682"/>
      <c r="FJ1682"/>
      <c r="FK1682"/>
      <c r="FL1682"/>
      <c r="FM1682"/>
      <c r="FN1682"/>
      <c r="FO1682"/>
      <c r="FP1682"/>
      <c r="FQ1682"/>
      <c r="FR1682"/>
      <c r="FS1682"/>
      <c r="FT1682"/>
      <c r="FU1682"/>
      <c r="FV1682"/>
      <c r="FW1682"/>
      <c r="FX1682"/>
      <c r="FY1682"/>
      <c r="FZ1682"/>
      <c r="GA1682"/>
      <c r="GB1682"/>
      <c r="GC1682"/>
      <c r="GD1682"/>
      <c r="GE1682"/>
      <c r="GF1682"/>
      <c r="GG1682"/>
      <c r="GH1682"/>
      <c r="GI1682"/>
      <c r="GJ1682"/>
      <c r="GK1682"/>
      <c r="GL1682"/>
      <c r="GM1682"/>
      <c r="GN1682"/>
      <c r="GO1682"/>
    </row>
    <row r="1683" spans="107:197">
      <c r="DC1683"/>
      <c r="FH1683"/>
      <c r="FI1683"/>
      <c r="FJ1683"/>
      <c r="FK1683"/>
      <c r="FL1683"/>
      <c r="FM1683"/>
      <c r="FN1683"/>
      <c r="FO1683"/>
      <c r="FP1683"/>
      <c r="FQ1683"/>
      <c r="FR1683"/>
      <c r="FS1683"/>
      <c r="FT1683"/>
      <c r="FU1683"/>
      <c r="FV1683"/>
      <c r="FW1683"/>
      <c r="FX1683"/>
      <c r="FY1683"/>
      <c r="FZ1683"/>
      <c r="GA1683"/>
      <c r="GB1683"/>
      <c r="GC1683"/>
      <c r="GD1683"/>
      <c r="GE1683"/>
      <c r="GF1683"/>
      <c r="GG1683"/>
      <c r="GH1683"/>
      <c r="GI1683"/>
      <c r="GJ1683"/>
      <c r="GK1683"/>
      <c r="GL1683"/>
      <c r="GM1683"/>
      <c r="GN1683"/>
      <c r="GO1683"/>
    </row>
    <row r="1684" spans="107:197">
      <c r="DC1684"/>
      <c r="FH1684"/>
      <c r="FI1684"/>
      <c r="FJ1684"/>
      <c r="FK1684"/>
      <c r="FL1684"/>
      <c r="FM1684"/>
      <c r="FN1684"/>
      <c r="FO1684"/>
      <c r="FP1684"/>
      <c r="FQ1684"/>
      <c r="FR1684"/>
      <c r="FS1684"/>
      <c r="FT1684"/>
      <c r="FU1684"/>
      <c r="FV1684"/>
      <c r="FW1684"/>
      <c r="FX1684"/>
      <c r="FY1684"/>
      <c r="FZ1684"/>
      <c r="GA1684"/>
      <c r="GB1684"/>
      <c r="GC1684"/>
      <c r="GD1684"/>
      <c r="GE1684"/>
      <c r="GF1684"/>
      <c r="GG1684"/>
      <c r="GH1684"/>
      <c r="GI1684"/>
      <c r="GJ1684"/>
      <c r="GK1684"/>
      <c r="GL1684"/>
      <c r="GM1684"/>
      <c r="GN1684"/>
      <c r="GO1684"/>
    </row>
    <row r="1685" spans="107:197">
      <c r="DC1685"/>
      <c r="FH1685"/>
      <c r="FI1685"/>
      <c r="FJ1685"/>
      <c r="FK1685"/>
      <c r="FL1685"/>
      <c r="FM1685"/>
      <c r="FN1685"/>
      <c r="FO1685"/>
      <c r="FP1685"/>
      <c r="FQ1685"/>
      <c r="FR1685"/>
      <c r="FS1685"/>
      <c r="FT1685"/>
      <c r="FU1685"/>
      <c r="FV1685"/>
      <c r="FW1685"/>
      <c r="FX1685"/>
      <c r="FY1685"/>
      <c r="FZ1685"/>
      <c r="GA1685"/>
      <c r="GB1685"/>
      <c r="GC1685"/>
      <c r="GD1685"/>
      <c r="GE1685"/>
      <c r="GF1685"/>
      <c r="GG1685"/>
      <c r="GH1685"/>
      <c r="GI1685"/>
      <c r="GJ1685"/>
      <c r="GK1685"/>
      <c r="GL1685"/>
      <c r="GM1685"/>
      <c r="GN1685"/>
      <c r="GO1685"/>
    </row>
    <row r="1686" spans="107:197">
      <c r="DC1686"/>
      <c r="FH1686"/>
      <c r="FI1686"/>
      <c r="FJ1686"/>
      <c r="FK1686"/>
      <c r="FL1686"/>
      <c r="FM1686"/>
      <c r="FN1686"/>
      <c r="FO1686"/>
      <c r="FP1686"/>
      <c r="FQ1686"/>
      <c r="FR1686"/>
      <c r="FS1686"/>
      <c r="FT1686"/>
      <c r="FU1686"/>
      <c r="FV1686"/>
      <c r="FW1686"/>
      <c r="FX1686"/>
      <c r="FY1686"/>
      <c r="FZ1686"/>
      <c r="GA1686"/>
      <c r="GB1686"/>
      <c r="GC1686"/>
      <c r="GD1686"/>
      <c r="GE1686"/>
      <c r="GF1686"/>
      <c r="GG1686"/>
      <c r="GH1686"/>
      <c r="GI1686"/>
      <c r="GJ1686"/>
      <c r="GK1686"/>
      <c r="GL1686"/>
      <c r="GM1686"/>
      <c r="GN1686"/>
      <c r="GO1686"/>
    </row>
    <row r="1687" spans="107:197">
      <c r="DC1687"/>
      <c r="FH1687"/>
      <c r="FI1687"/>
      <c r="FJ1687"/>
      <c r="FK1687"/>
      <c r="FL1687"/>
      <c r="FM1687"/>
      <c r="FN1687"/>
      <c r="FO1687"/>
      <c r="FP1687"/>
      <c r="FQ1687"/>
      <c r="FR1687"/>
      <c r="FS1687"/>
      <c r="FT1687"/>
      <c r="FU1687"/>
      <c r="FV1687"/>
      <c r="FW1687"/>
      <c r="FX1687"/>
      <c r="FY1687"/>
      <c r="FZ1687"/>
      <c r="GA1687"/>
      <c r="GB1687"/>
      <c r="GC1687"/>
      <c r="GD1687"/>
      <c r="GE1687"/>
      <c r="GF1687"/>
      <c r="GG1687"/>
      <c r="GH1687"/>
      <c r="GI1687"/>
      <c r="GJ1687"/>
      <c r="GK1687"/>
      <c r="GL1687"/>
      <c r="GM1687"/>
      <c r="GN1687"/>
      <c r="GO1687"/>
    </row>
    <row r="1688" spans="107:197">
      <c r="DC1688"/>
      <c r="FH1688"/>
      <c r="FI1688"/>
      <c r="FJ1688"/>
      <c r="FK1688"/>
      <c r="FL1688"/>
      <c r="FM1688"/>
      <c r="FN1688"/>
      <c r="FO1688"/>
      <c r="FP1688"/>
      <c r="FQ1688"/>
      <c r="FR1688"/>
      <c r="FS1688"/>
      <c r="FT1688"/>
      <c r="FU1688"/>
      <c r="FV1688"/>
      <c r="FW1688"/>
      <c r="FX1688"/>
      <c r="FY1688"/>
      <c r="FZ1688"/>
      <c r="GA1688"/>
      <c r="GB1688"/>
      <c r="GC1688"/>
      <c r="GD1688"/>
      <c r="GE1688"/>
      <c r="GF1688"/>
      <c r="GG1688"/>
      <c r="GH1688"/>
      <c r="GI1688"/>
      <c r="GJ1688"/>
      <c r="GK1688"/>
      <c r="GL1688"/>
      <c r="GM1688"/>
      <c r="GN1688"/>
      <c r="GO1688"/>
    </row>
    <row r="1689" spans="107:197">
      <c r="DC1689"/>
      <c r="FH1689"/>
      <c r="FI1689"/>
      <c r="FJ1689"/>
      <c r="FK1689"/>
      <c r="FL1689"/>
      <c r="FM1689"/>
      <c r="FN1689"/>
      <c r="FO1689"/>
      <c r="FP1689"/>
      <c r="FQ1689"/>
      <c r="FR1689"/>
      <c r="FS1689"/>
      <c r="FT1689"/>
      <c r="FU1689"/>
      <c r="FV1689"/>
      <c r="FW1689"/>
      <c r="FX1689"/>
      <c r="FY1689"/>
      <c r="FZ1689"/>
      <c r="GA1689"/>
      <c r="GB1689"/>
      <c r="GC1689"/>
      <c r="GD1689"/>
      <c r="GE1689"/>
      <c r="GF1689"/>
      <c r="GG1689"/>
      <c r="GH1689"/>
      <c r="GI1689"/>
      <c r="GJ1689"/>
      <c r="GK1689"/>
      <c r="GL1689"/>
      <c r="GM1689"/>
      <c r="GN1689"/>
      <c r="GO1689"/>
    </row>
    <row r="1690" spans="107:197">
      <c r="DC1690"/>
      <c r="FH1690"/>
      <c r="FI1690"/>
      <c r="FJ1690"/>
      <c r="FK1690"/>
      <c r="FL1690"/>
      <c r="FM1690"/>
      <c r="FN1690"/>
      <c r="FO1690"/>
      <c r="FP1690"/>
      <c r="FQ1690"/>
      <c r="FR1690"/>
      <c r="FS1690"/>
      <c r="FT1690"/>
      <c r="FU1690"/>
      <c r="FV1690"/>
      <c r="FW1690"/>
      <c r="FX1690"/>
      <c r="FY1690"/>
      <c r="FZ1690"/>
      <c r="GA1690"/>
      <c r="GB1690"/>
      <c r="GC1690"/>
      <c r="GD1690"/>
      <c r="GE1690"/>
      <c r="GF1690"/>
      <c r="GG1690"/>
      <c r="GH1690"/>
      <c r="GI1690"/>
      <c r="GJ1690"/>
      <c r="GK1690"/>
      <c r="GL1690"/>
      <c r="GM1690"/>
      <c r="GN1690"/>
      <c r="GO1690"/>
    </row>
    <row r="1691" spans="107:197">
      <c r="DC1691"/>
      <c r="FH1691"/>
      <c r="FI1691"/>
      <c r="FJ1691"/>
      <c r="FK1691"/>
      <c r="FL1691"/>
      <c r="FM1691"/>
      <c r="FN1691"/>
      <c r="FO1691"/>
      <c r="FP1691"/>
      <c r="FQ1691"/>
      <c r="FR1691"/>
      <c r="FS1691"/>
      <c r="FT1691"/>
      <c r="FU1691"/>
      <c r="FV1691"/>
      <c r="FW1691"/>
      <c r="FX1691"/>
      <c r="FY1691"/>
      <c r="FZ1691"/>
      <c r="GA1691"/>
      <c r="GB1691"/>
      <c r="GC1691"/>
      <c r="GD1691"/>
      <c r="GE1691"/>
      <c r="GF1691"/>
      <c r="GG1691"/>
      <c r="GH1691"/>
      <c r="GI1691"/>
      <c r="GJ1691"/>
      <c r="GK1691"/>
      <c r="GL1691"/>
      <c r="GM1691"/>
      <c r="GN1691"/>
      <c r="GO1691"/>
    </row>
    <row r="1692" spans="107:197">
      <c r="DC1692"/>
      <c r="FH1692"/>
      <c r="FI1692"/>
      <c r="FJ1692"/>
      <c r="FK1692"/>
      <c r="FL1692"/>
      <c r="FM1692"/>
      <c r="FN1692"/>
      <c r="FO1692"/>
      <c r="FP1692"/>
      <c r="FQ1692"/>
      <c r="FR1692"/>
      <c r="FS1692"/>
      <c r="FT1692"/>
      <c r="FU1692"/>
      <c r="FV1692"/>
      <c r="FW1692"/>
      <c r="FX1692"/>
      <c r="FY1692"/>
      <c r="FZ1692"/>
      <c r="GA1692"/>
      <c r="GB1692"/>
      <c r="GC1692"/>
      <c r="GD1692"/>
      <c r="GE1692"/>
      <c r="GF1692"/>
      <c r="GG1692"/>
      <c r="GH1692"/>
      <c r="GI1692"/>
      <c r="GJ1692"/>
      <c r="GK1692"/>
      <c r="GL1692"/>
      <c r="GM1692"/>
      <c r="GN1692"/>
      <c r="GO1692"/>
    </row>
    <row r="1693" spans="107:197">
      <c r="DC1693"/>
      <c r="FH1693"/>
      <c r="FI1693"/>
      <c r="FJ1693"/>
      <c r="FK1693"/>
      <c r="FL1693"/>
      <c r="FM1693"/>
      <c r="FN1693"/>
      <c r="FO1693"/>
      <c r="FP1693"/>
      <c r="FQ1693"/>
      <c r="FR1693"/>
      <c r="FS1693"/>
      <c r="FT1693"/>
      <c r="FU1693"/>
      <c r="FV1693"/>
      <c r="FW1693"/>
      <c r="FX1693"/>
      <c r="FY1693"/>
      <c r="FZ1693"/>
      <c r="GA1693"/>
      <c r="GB1693"/>
      <c r="GC1693"/>
      <c r="GD1693"/>
      <c r="GE1693"/>
      <c r="GF1693"/>
      <c r="GG1693"/>
      <c r="GH1693"/>
      <c r="GI1693"/>
      <c r="GJ1693"/>
      <c r="GK1693"/>
      <c r="GL1693"/>
      <c r="GM1693"/>
      <c r="GN1693"/>
      <c r="GO1693"/>
    </row>
    <row r="1694" spans="107:197">
      <c r="DC1694"/>
      <c r="FH1694"/>
      <c r="FI1694"/>
      <c r="FJ1694"/>
      <c r="FK1694"/>
      <c r="FL1694"/>
      <c r="FM1694"/>
      <c r="FN1694"/>
      <c r="FO1694"/>
      <c r="FP1694"/>
      <c r="FQ1694"/>
      <c r="FR1694"/>
      <c r="FS1694"/>
      <c r="FT1694"/>
      <c r="FU1694"/>
      <c r="FV1694"/>
      <c r="FW1694"/>
      <c r="FX1694"/>
      <c r="FY1694"/>
      <c r="FZ1694"/>
      <c r="GA1694"/>
      <c r="GB1694"/>
      <c r="GC1694"/>
      <c r="GD1694"/>
      <c r="GE1694"/>
      <c r="GF1694"/>
      <c r="GG1694"/>
      <c r="GH1694"/>
      <c r="GI1694"/>
      <c r="GJ1694"/>
      <c r="GK1694"/>
      <c r="GL1694"/>
      <c r="GM1694"/>
      <c r="GN1694"/>
      <c r="GO1694"/>
    </row>
    <row r="1695" spans="107:197">
      <c r="DC1695"/>
      <c r="FH1695"/>
      <c r="FI1695"/>
      <c r="FJ1695"/>
      <c r="FK1695"/>
      <c r="FL1695"/>
      <c r="FM1695"/>
      <c r="FN1695"/>
      <c r="FO1695"/>
      <c r="FP1695"/>
      <c r="FQ1695"/>
      <c r="FR1695"/>
      <c r="FS1695"/>
      <c r="FT1695"/>
      <c r="FU1695"/>
      <c r="FV1695"/>
      <c r="FW1695"/>
      <c r="FX1695"/>
      <c r="FY1695"/>
      <c r="FZ1695"/>
      <c r="GA1695"/>
      <c r="GB1695"/>
      <c r="GC1695"/>
      <c r="GD1695"/>
      <c r="GE1695"/>
      <c r="GF1695"/>
      <c r="GG1695"/>
      <c r="GH1695"/>
      <c r="GI1695"/>
      <c r="GJ1695"/>
      <c r="GK1695"/>
      <c r="GL1695"/>
      <c r="GM1695"/>
      <c r="GN1695"/>
      <c r="GO1695"/>
    </row>
    <row r="1696" spans="107:197">
      <c r="DC1696"/>
      <c r="FH1696"/>
      <c r="FI1696"/>
      <c r="FJ1696"/>
      <c r="FK1696"/>
      <c r="FL1696"/>
      <c r="FM1696"/>
      <c r="FN1696"/>
      <c r="FO1696"/>
      <c r="FP1696"/>
      <c r="FQ1696"/>
      <c r="FR1696"/>
      <c r="FS1696"/>
      <c r="FT1696"/>
      <c r="FU1696"/>
      <c r="FV1696"/>
      <c r="FW1696"/>
      <c r="FX1696"/>
      <c r="FY1696"/>
      <c r="FZ1696"/>
      <c r="GA1696"/>
      <c r="GB1696"/>
      <c r="GC1696"/>
      <c r="GD1696"/>
      <c r="GE1696"/>
      <c r="GF1696"/>
      <c r="GG1696"/>
      <c r="GH1696"/>
      <c r="GI1696"/>
      <c r="GJ1696"/>
      <c r="GK1696"/>
      <c r="GL1696"/>
      <c r="GM1696"/>
      <c r="GN1696"/>
      <c r="GO1696"/>
    </row>
    <row r="1697" spans="107:197">
      <c r="DC1697"/>
      <c r="FH1697"/>
      <c r="FI1697"/>
      <c r="FJ1697"/>
      <c r="FK1697"/>
      <c r="FL1697"/>
      <c r="FM1697"/>
      <c r="FN1697"/>
      <c r="FO1697"/>
      <c r="FP1697"/>
      <c r="FQ1697"/>
      <c r="FR1697"/>
      <c r="FS1697"/>
      <c r="FT1697"/>
      <c r="FU1697"/>
      <c r="FV1697"/>
      <c r="FW1697"/>
      <c r="FX1697"/>
      <c r="FY1697"/>
      <c r="FZ1697"/>
      <c r="GA1697"/>
      <c r="GB1697"/>
      <c r="GC1697"/>
      <c r="GD1697"/>
      <c r="GE1697"/>
      <c r="GF1697"/>
      <c r="GG1697"/>
      <c r="GH1697"/>
      <c r="GI1697"/>
      <c r="GJ1697"/>
      <c r="GK1697"/>
      <c r="GL1697"/>
      <c r="GM1697"/>
      <c r="GN1697"/>
      <c r="GO1697"/>
    </row>
    <row r="1698" spans="107:197">
      <c r="DC1698"/>
      <c r="FH1698"/>
      <c r="FI1698"/>
      <c r="FJ1698"/>
      <c r="FK1698"/>
      <c r="FL1698"/>
      <c r="FM1698"/>
      <c r="FN1698"/>
      <c r="FO1698"/>
      <c r="FP1698"/>
      <c r="FQ1698"/>
      <c r="FR1698"/>
      <c r="FS1698"/>
      <c r="FT1698"/>
      <c r="FU1698"/>
      <c r="FV1698"/>
      <c r="FW1698"/>
      <c r="FX1698"/>
      <c r="FY1698"/>
      <c r="FZ1698"/>
      <c r="GA1698"/>
      <c r="GB1698"/>
      <c r="GC1698"/>
      <c r="GD1698"/>
      <c r="GE1698"/>
      <c r="GF1698"/>
      <c r="GG1698"/>
      <c r="GH1698"/>
      <c r="GI1698"/>
      <c r="GJ1698"/>
      <c r="GK1698"/>
      <c r="GL1698"/>
      <c r="GM1698"/>
      <c r="GN1698"/>
      <c r="GO1698"/>
    </row>
    <row r="1699" spans="107:197">
      <c r="DC1699"/>
      <c r="FH1699"/>
      <c r="FI1699"/>
      <c r="FJ1699"/>
      <c r="FK1699"/>
      <c r="FL1699"/>
      <c r="FM1699"/>
      <c r="FN1699"/>
      <c r="FO1699"/>
      <c r="FP1699"/>
      <c r="FQ1699"/>
      <c r="FR1699"/>
      <c r="FS1699"/>
      <c r="FT1699"/>
      <c r="FU1699"/>
      <c r="FV1699"/>
      <c r="FW1699"/>
      <c r="FX1699"/>
      <c r="FY1699"/>
      <c r="FZ1699"/>
      <c r="GA1699"/>
      <c r="GB1699"/>
      <c r="GC1699"/>
      <c r="GD1699"/>
      <c r="GE1699"/>
      <c r="GF1699"/>
      <c r="GG1699"/>
      <c r="GH1699"/>
      <c r="GI1699"/>
      <c r="GJ1699"/>
      <c r="GK1699"/>
      <c r="GL1699"/>
      <c r="GM1699"/>
      <c r="GN1699"/>
      <c r="GO1699"/>
    </row>
    <row r="1700" spans="107:197">
      <c r="DC1700"/>
      <c r="FH1700"/>
      <c r="FI1700"/>
      <c r="FJ1700"/>
      <c r="FK1700"/>
      <c r="FL1700"/>
      <c r="FM1700"/>
      <c r="FN1700"/>
      <c r="FO1700"/>
      <c r="FP1700"/>
      <c r="FQ1700"/>
      <c r="FR1700"/>
      <c r="FS1700"/>
      <c r="FT1700"/>
      <c r="FU1700"/>
      <c r="FV1700"/>
      <c r="FW1700"/>
      <c r="FX1700"/>
      <c r="FY1700"/>
      <c r="FZ1700"/>
      <c r="GA1700"/>
      <c r="GB1700"/>
      <c r="GC1700"/>
      <c r="GD1700"/>
      <c r="GE1700"/>
      <c r="GF1700"/>
      <c r="GG1700"/>
      <c r="GH1700"/>
      <c r="GI1700"/>
      <c r="GJ1700"/>
      <c r="GK1700"/>
      <c r="GL1700"/>
      <c r="GM1700"/>
      <c r="GN1700"/>
      <c r="GO1700"/>
    </row>
    <row r="1701" spans="107:197">
      <c r="DC1701"/>
      <c r="FH1701"/>
      <c r="FI1701"/>
      <c r="FJ1701"/>
      <c r="FK1701"/>
      <c r="FL1701"/>
      <c r="FM1701"/>
      <c r="FN1701"/>
      <c r="FO1701"/>
      <c r="FP1701"/>
      <c r="FQ1701"/>
      <c r="FR1701"/>
      <c r="FS1701"/>
      <c r="FT1701"/>
      <c r="FU1701"/>
      <c r="FV1701"/>
      <c r="FW1701"/>
      <c r="FX1701"/>
      <c r="FY1701"/>
      <c r="FZ1701"/>
      <c r="GA1701"/>
      <c r="GB1701"/>
      <c r="GC1701"/>
      <c r="GD1701"/>
      <c r="GE1701"/>
      <c r="GF1701"/>
      <c r="GG1701"/>
      <c r="GH1701"/>
      <c r="GI1701"/>
      <c r="GJ1701"/>
      <c r="GK1701"/>
      <c r="GL1701"/>
      <c r="GM1701"/>
      <c r="GN1701"/>
      <c r="GO1701"/>
    </row>
    <row r="1702" spans="107:197">
      <c r="DC1702"/>
      <c r="FH1702"/>
      <c r="FI1702"/>
      <c r="FJ1702"/>
      <c r="FK1702"/>
      <c r="FL1702"/>
      <c r="FM1702"/>
      <c r="FN1702"/>
      <c r="FO1702"/>
      <c r="FP1702"/>
      <c r="FQ1702"/>
      <c r="FR1702"/>
      <c r="FS1702"/>
      <c r="FT1702"/>
      <c r="FU1702"/>
      <c r="FV1702"/>
      <c r="FW1702"/>
      <c r="FX1702"/>
      <c r="FY1702"/>
      <c r="FZ1702"/>
      <c r="GA1702"/>
      <c r="GB1702"/>
      <c r="GC1702"/>
      <c r="GD1702"/>
      <c r="GE1702"/>
      <c r="GF1702"/>
      <c r="GG1702"/>
      <c r="GH1702"/>
      <c r="GI1702"/>
      <c r="GJ1702"/>
      <c r="GK1702"/>
      <c r="GL1702"/>
      <c r="GM1702"/>
      <c r="GN1702"/>
      <c r="GO1702"/>
    </row>
    <row r="1703" spans="107:197">
      <c r="DC1703"/>
      <c r="FH1703"/>
      <c r="FI1703"/>
      <c r="FJ1703"/>
      <c r="FK1703"/>
      <c r="FL1703"/>
      <c r="FM1703"/>
      <c r="FN1703"/>
      <c r="FO1703"/>
      <c r="FP1703"/>
      <c r="FQ1703"/>
      <c r="FR1703"/>
      <c r="FS1703"/>
      <c r="FT1703"/>
      <c r="FU1703"/>
      <c r="FV1703"/>
      <c r="FW1703"/>
      <c r="FX1703"/>
      <c r="FY1703"/>
      <c r="FZ1703"/>
      <c r="GA1703"/>
      <c r="GB1703"/>
      <c r="GC1703"/>
      <c r="GD1703"/>
      <c r="GE1703"/>
      <c r="GF1703"/>
      <c r="GG1703"/>
      <c r="GH1703"/>
      <c r="GI1703"/>
      <c r="GJ1703"/>
      <c r="GK1703"/>
      <c r="GL1703"/>
      <c r="GM1703"/>
      <c r="GN1703"/>
      <c r="GO1703"/>
    </row>
    <row r="1704" spans="107:197">
      <c r="DC1704"/>
      <c r="FH1704"/>
      <c r="FI1704"/>
      <c r="FJ1704"/>
      <c r="FK1704"/>
      <c r="FL1704"/>
      <c r="FM1704"/>
      <c r="FN1704"/>
      <c r="FO1704"/>
      <c r="FP1704"/>
      <c r="FQ1704"/>
      <c r="FR1704"/>
      <c r="FS1704"/>
      <c r="FT1704"/>
      <c r="FU1704"/>
      <c r="FV1704"/>
      <c r="FW1704"/>
      <c r="FX1704"/>
      <c r="FY1704"/>
      <c r="FZ1704"/>
      <c r="GA1704"/>
      <c r="GB1704"/>
      <c r="GC1704"/>
      <c r="GD1704"/>
      <c r="GE1704"/>
      <c r="GF1704"/>
      <c r="GG1704"/>
      <c r="GH1704"/>
      <c r="GI1704"/>
      <c r="GJ1704"/>
      <c r="GK1704"/>
      <c r="GL1704"/>
      <c r="GM1704"/>
      <c r="GN1704"/>
      <c r="GO1704"/>
    </row>
    <row r="1705" spans="107:197">
      <c r="DC1705"/>
      <c r="FH1705"/>
      <c r="FI1705"/>
      <c r="FJ1705"/>
      <c r="FK1705"/>
      <c r="FL1705"/>
      <c r="FM1705"/>
      <c r="FN1705"/>
      <c r="FO1705"/>
      <c r="FP1705"/>
      <c r="FQ1705"/>
      <c r="FR1705"/>
      <c r="FS1705"/>
      <c r="FT1705"/>
      <c r="FU1705"/>
      <c r="FV1705"/>
      <c r="FW1705"/>
      <c r="FX1705"/>
      <c r="FY1705"/>
      <c r="FZ1705"/>
      <c r="GA1705"/>
      <c r="GB1705"/>
      <c r="GC1705"/>
      <c r="GD1705"/>
      <c r="GE1705"/>
      <c r="GF1705"/>
      <c r="GG1705"/>
      <c r="GH1705"/>
      <c r="GI1705"/>
      <c r="GJ1705"/>
      <c r="GK1705"/>
      <c r="GL1705"/>
      <c r="GM1705"/>
      <c r="GN1705"/>
      <c r="GO1705"/>
    </row>
    <row r="1706" spans="107:197">
      <c r="DC1706"/>
      <c r="FH1706"/>
      <c r="FI1706"/>
      <c r="FJ1706"/>
      <c r="FK1706"/>
      <c r="FL1706"/>
      <c r="FM1706"/>
      <c r="FN1706"/>
      <c r="FO1706"/>
      <c r="FP1706"/>
      <c r="FQ1706"/>
      <c r="FR1706"/>
      <c r="FS1706"/>
      <c r="FT1706"/>
      <c r="FU1706"/>
      <c r="FV1706"/>
      <c r="FW1706"/>
      <c r="FX1706"/>
      <c r="FY1706"/>
      <c r="FZ1706"/>
      <c r="GA1706"/>
      <c r="GB1706"/>
      <c r="GC1706"/>
      <c r="GD1706"/>
      <c r="GE1706"/>
      <c r="GF1706"/>
      <c r="GG1706"/>
      <c r="GH1706"/>
      <c r="GI1706"/>
      <c r="GJ1706"/>
      <c r="GK1706"/>
      <c r="GL1706"/>
      <c r="GM1706"/>
      <c r="GN1706"/>
      <c r="GO1706"/>
    </row>
    <row r="1707" spans="107:197">
      <c r="DC1707"/>
      <c r="FH1707"/>
      <c r="FI1707"/>
      <c r="FJ1707"/>
      <c r="FK1707"/>
      <c r="FL1707"/>
      <c r="FM1707"/>
      <c r="FN1707"/>
      <c r="FO1707"/>
      <c r="FP1707"/>
      <c r="FQ1707"/>
      <c r="FR1707"/>
      <c r="FS1707"/>
      <c r="FT1707"/>
      <c r="FU1707"/>
      <c r="FV1707"/>
      <c r="FW1707"/>
      <c r="FX1707"/>
      <c r="FY1707"/>
      <c r="FZ1707"/>
      <c r="GA1707"/>
      <c r="GB1707"/>
      <c r="GC1707"/>
      <c r="GD1707"/>
      <c r="GE1707"/>
      <c r="GF1707"/>
      <c r="GG1707"/>
      <c r="GH1707"/>
      <c r="GI1707"/>
      <c r="GJ1707"/>
      <c r="GK1707"/>
      <c r="GL1707"/>
      <c r="GM1707"/>
      <c r="GN1707"/>
      <c r="GO1707"/>
    </row>
    <row r="1708" spans="107:197">
      <c r="DC1708"/>
      <c r="FH1708"/>
      <c r="FI1708"/>
      <c r="FJ1708"/>
      <c r="FK1708"/>
      <c r="FL1708"/>
      <c r="FM1708"/>
      <c r="FN1708"/>
      <c r="FO1708"/>
      <c r="FP1708"/>
      <c r="FQ1708"/>
      <c r="FR1708"/>
      <c r="FS1708"/>
      <c r="FT1708"/>
      <c r="FU1708"/>
      <c r="FV1708"/>
      <c r="FW1708"/>
      <c r="FX1708"/>
      <c r="FY1708"/>
      <c r="FZ1708"/>
      <c r="GA1708"/>
      <c r="GB1708"/>
      <c r="GC1708"/>
      <c r="GD1708"/>
      <c r="GE1708"/>
      <c r="GF1708"/>
      <c r="GG1708"/>
      <c r="GH1708"/>
      <c r="GI1708"/>
      <c r="GJ1708"/>
      <c r="GK1708"/>
      <c r="GL1708"/>
      <c r="GM1708"/>
      <c r="GN1708"/>
      <c r="GO1708"/>
    </row>
    <row r="1709" spans="107:197">
      <c r="DC1709"/>
      <c r="FH1709"/>
      <c r="FI1709"/>
      <c r="FJ1709"/>
      <c r="FK1709"/>
      <c r="FL1709"/>
      <c r="FM1709"/>
      <c r="FN1709"/>
      <c r="FO1709"/>
      <c r="FP1709"/>
      <c r="FQ1709"/>
      <c r="FR1709"/>
      <c r="FS1709"/>
      <c r="FT1709"/>
      <c r="FU1709"/>
      <c r="FV1709"/>
      <c r="FW1709"/>
      <c r="FX1709"/>
      <c r="FY1709"/>
      <c r="FZ1709"/>
      <c r="GA1709"/>
      <c r="GB1709"/>
      <c r="GC1709"/>
      <c r="GD1709"/>
      <c r="GE1709"/>
      <c r="GF1709"/>
      <c r="GG1709"/>
      <c r="GH1709"/>
      <c r="GI1709"/>
      <c r="GJ1709"/>
      <c r="GK1709"/>
      <c r="GL1709"/>
      <c r="GM1709"/>
      <c r="GN1709"/>
      <c r="GO1709"/>
    </row>
    <row r="1710" spans="107:197">
      <c r="DC1710"/>
      <c r="FH1710"/>
      <c r="FI1710"/>
      <c r="FJ1710"/>
      <c r="FK1710"/>
      <c r="FL1710"/>
      <c r="FM1710"/>
      <c r="FN1710"/>
      <c r="FO1710"/>
      <c r="FP1710"/>
      <c r="FQ1710"/>
      <c r="FR1710"/>
      <c r="FS1710"/>
      <c r="FT1710"/>
      <c r="FU1710"/>
      <c r="FV1710"/>
      <c r="FW1710"/>
      <c r="FX1710"/>
      <c r="FY1710"/>
      <c r="FZ1710"/>
      <c r="GA1710"/>
      <c r="GB1710"/>
      <c r="GC1710"/>
      <c r="GD1710"/>
      <c r="GE1710"/>
      <c r="GF1710"/>
      <c r="GG1710"/>
      <c r="GH1710"/>
      <c r="GI1710"/>
      <c r="GJ1710"/>
      <c r="GK1710"/>
      <c r="GL1710"/>
      <c r="GM1710"/>
      <c r="GN1710"/>
      <c r="GO1710"/>
    </row>
    <row r="1711" spans="107:197">
      <c r="DC1711"/>
      <c r="FH1711"/>
      <c r="FI1711"/>
      <c r="FJ1711"/>
      <c r="FK1711"/>
      <c r="FL1711"/>
      <c r="FM1711"/>
      <c r="FN1711"/>
      <c r="FO1711"/>
      <c r="FP1711"/>
      <c r="FQ1711"/>
      <c r="FR1711"/>
      <c r="FS1711"/>
      <c r="FT1711"/>
      <c r="FU1711"/>
      <c r="FV1711"/>
      <c r="FW1711"/>
      <c r="FX1711"/>
      <c r="FY1711"/>
      <c r="FZ1711"/>
      <c r="GA1711"/>
      <c r="GB1711"/>
      <c r="GC1711"/>
      <c r="GD1711"/>
      <c r="GE1711"/>
      <c r="GF1711"/>
      <c r="GG1711"/>
      <c r="GH1711"/>
      <c r="GI1711"/>
      <c r="GJ1711"/>
      <c r="GK1711"/>
      <c r="GL1711"/>
      <c r="GM1711"/>
      <c r="GN1711"/>
      <c r="GO1711"/>
    </row>
    <row r="1712" spans="107:197">
      <c r="DC1712"/>
      <c r="FH1712"/>
      <c r="FI1712"/>
      <c r="FJ1712"/>
      <c r="FK1712"/>
      <c r="FL1712"/>
      <c r="FM1712"/>
      <c r="FN1712"/>
      <c r="FO1712"/>
      <c r="FP1712"/>
      <c r="FQ1712"/>
      <c r="FR1712"/>
      <c r="FS1712"/>
      <c r="FT1712"/>
      <c r="FU1712"/>
      <c r="FV1712"/>
      <c r="FW1712"/>
      <c r="FX1712"/>
      <c r="FY1712"/>
      <c r="FZ1712"/>
      <c r="GA1712"/>
      <c r="GB1712"/>
      <c r="GC1712"/>
      <c r="GD1712"/>
      <c r="GE1712"/>
      <c r="GF1712"/>
      <c r="GG1712"/>
      <c r="GH1712"/>
      <c r="GI1712"/>
      <c r="GJ1712"/>
      <c r="GK1712"/>
      <c r="GL1712"/>
      <c r="GM1712"/>
      <c r="GN1712"/>
      <c r="GO1712"/>
    </row>
    <row r="1713" spans="107:197">
      <c r="DC1713"/>
      <c r="FH1713"/>
      <c r="FI1713"/>
      <c r="FJ1713"/>
      <c r="FK1713"/>
      <c r="FL1713"/>
      <c r="FM1713"/>
      <c r="FN1713"/>
      <c r="FO1713"/>
      <c r="FP1713"/>
      <c r="FQ1713"/>
      <c r="FR1713"/>
      <c r="FS1713"/>
      <c r="FT1713"/>
      <c r="FU1713"/>
      <c r="FV1713"/>
      <c r="FW1713"/>
      <c r="FX1713"/>
      <c r="FY1713"/>
      <c r="FZ1713"/>
      <c r="GA1713"/>
      <c r="GB1713"/>
      <c r="GC1713"/>
      <c r="GD1713"/>
      <c r="GE1713"/>
      <c r="GF1713"/>
      <c r="GG1713"/>
      <c r="GH1713"/>
      <c r="GI1713"/>
      <c r="GJ1713"/>
      <c r="GK1713"/>
      <c r="GL1713"/>
      <c r="GM1713"/>
      <c r="GN1713"/>
      <c r="GO1713"/>
    </row>
    <row r="1714" spans="107:197">
      <c r="DC1714"/>
      <c r="FH1714"/>
      <c r="FI1714"/>
      <c r="FJ1714"/>
      <c r="FK1714"/>
      <c r="FL1714"/>
      <c r="FM1714"/>
      <c r="FN1714"/>
      <c r="FO1714"/>
      <c r="FP1714"/>
      <c r="FQ1714"/>
      <c r="FR1714"/>
      <c r="FS1714"/>
      <c r="FT1714"/>
      <c r="FU1714"/>
      <c r="FV1714"/>
      <c r="FW1714"/>
      <c r="FX1714"/>
      <c r="FY1714"/>
      <c r="FZ1714"/>
      <c r="GA1714"/>
      <c r="GB1714"/>
      <c r="GC1714"/>
      <c r="GD1714"/>
      <c r="GE1714"/>
      <c r="GF1714"/>
      <c r="GG1714"/>
      <c r="GH1714"/>
      <c r="GI1714"/>
      <c r="GJ1714"/>
      <c r="GK1714"/>
      <c r="GL1714"/>
      <c r="GM1714"/>
      <c r="GN1714"/>
      <c r="GO1714"/>
    </row>
    <row r="1715" spans="107:197">
      <c r="DC1715"/>
      <c r="FH1715"/>
      <c r="FI1715"/>
      <c r="FJ1715"/>
      <c r="FK1715"/>
      <c r="FL1715"/>
      <c r="FM1715"/>
      <c r="FN1715"/>
      <c r="FO1715"/>
      <c r="FP1715"/>
      <c r="FQ1715"/>
      <c r="FR1715"/>
      <c r="FS1715"/>
      <c r="FT1715"/>
      <c r="FU1715"/>
      <c r="FV1715"/>
      <c r="FW1715"/>
      <c r="FX1715"/>
      <c r="FY1715"/>
      <c r="FZ1715"/>
      <c r="GA1715"/>
      <c r="GB1715"/>
      <c r="GC1715"/>
      <c r="GD1715"/>
      <c r="GE1715"/>
      <c r="GF1715"/>
      <c r="GG1715"/>
      <c r="GH1715"/>
      <c r="GI1715"/>
      <c r="GJ1715"/>
      <c r="GK1715"/>
      <c r="GL1715"/>
      <c r="GM1715"/>
      <c r="GN1715"/>
      <c r="GO1715"/>
    </row>
    <row r="1716" spans="107:197">
      <c r="DC1716"/>
      <c r="FH1716"/>
      <c r="FI1716"/>
      <c r="FJ1716"/>
      <c r="FK1716"/>
      <c r="FL1716"/>
      <c r="FM1716"/>
      <c r="FN1716"/>
      <c r="FO1716"/>
      <c r="FP1716"/>
      <c r="FQ1716"/>
      <c r="FR1716"/>
      <c r="FS1716"/>
      <c r="FT1716"/>
      <c r="FU1716"/>
      <c r="FV1716"/>
      <c r="FW1716"/>
      <c r="FX1716"/>
      <c r="FY1716"/>
      <c r="FZ1716"/>
      <c r="GA1716"/>
      <c r="GB1716"/>
      <c r="GC1716"/>
      <c r="GD1716"/>
      <c r="GE1716"/>
      <c r="GF1716"/>
      <c r="GG1716"/>
      <c r="GH1716"/>
      <c r="GI1716"/>
      <c r="GJ1716"/>
      <c r="GK1716"/>
      <c r="GL1716"/>
      <c r="GM1716"/>
      <c r="GN1716"/>
      <c r="GO1716"/>
    </row>
    <row r="1717" spans="107:197">
      <c r="DC1717"/>
      <c r="FH1717"/>
      <c r="FI1717"/>
      <c r="FJ1717"/>
      <c r="FK1717"/>
      <c r="FL1717"/>
      <c r="FM1717"/>
      <c r="FN1717"/>
      <c r="FO1717"/>
      <c r="FP1717"/>
      <c r="FQ1717"/>
      <c r="FR1717"/>
      <c r="FS1717"/>
      <c r="FT1717"/>
      <c r="FU1717"/>
      <c r="FV1717"/>
      <c r="FW1717"/>
      <c r="FX1717"/>
      <c r="FY1717"/>
      <c r="FZ1717"/>
      <c r="GA1717"/>
      <c r="GB1717"/>
      <c r="GC1717"/>
      <c r="GD1717"/>
      <c r="GE1717"/>
      <c r="GF1717"/>
      <c r="GG1717"/>
      <c r="GH1717"/>
      <c r="GI1717"/>
      <c r="GJ1717"/>
      <c r="GK1717"/>
      <c r="GL1717"/>
      <c r="GM1717"/>
      <c r="GN1717"/>
      <c r="GO1717"/>
    </row>
    <row r="1718" spans="107:197">
      <c r="DC1718"/>
      <c r="FH1718"/>
      <c r="FI1718"/>
      <c r="FJ1718"/>
      <c r="FK1718"/>
      <c r="FL1718"/>
      <c r="FM1718"/>
      <c r="FN1718"/>
      <c r="FO1718"/>
      <c r="FP1718"/>
      <c r="FQ1718"/>
      <c r="FR1718"/>
      <c r="FS1718"/>
      <c r="FT1718"/>
      <c r="FU1718"/>
      <c r="FV1718"/>
      <c r="FW1718"/>
      <c r="FX1718"/>
      <c r="FY1718"/>
      <c r="FZ1718"/>
      <c r="GA1718"/>
      <c r="GB1718"/>
      <c r="GC1718"/>
      <c r="GD1718"/>
      <c r="GE1718"/>
      <c r="GF1718"/>
      <c r="GG1718"/>
      <c r="GH1718"/>
      <c r="GI1718"/>
      <c r="GJ1718"/>
      <c r="GK1718"/>
      <c r="GL1718"/>
      <c r="GM1718"/>
      <c r="GN1718"/>
      <c r="GO1718"/>
    </row>
    <row r="1719" spans="107:197">
      <c r="DC1719"/>
      <c r="FH1719"/>
      <c r="FI1719"/>
      <c r="FJ1719"/>
      <c r="FK1719"/>
      <c r="FL1719"/>
      <c r="FM1719"/>
      <c r="FN1719"/>
      <c r="FO1719"/>
      <c r="FP1719"/>
      <c r="FQ1719"/>
      <c r="FR1719"/>
      <c r="FS1719"/>
      <c r="FT1719"/>
      <c r="FU1719"/>
      <c r="FV1719"/>
      <c r="FW1719"/>
      <c r="FX1719"/>
      <c r="FY1719"/>
      <c r="FZ1719"/>
      <c r="GA1719"/>
      <c r="GB1719"/>
      <c r="GC1719"/>
      <c r="GD1719"/>
      <c r="GE1719"/>
      <c r="GF1719"/>
      <c r="GG1719"/>
      <c r="GH1719"/>
      <c r="GI1719"/>
      <c r="GJ1719"/>
      <c r="GK1719"/>
      <c r="GL1719"/>
      <c r="GM1719"/>
      <c r="GN1719"/>
      <c r="GO1719"/>
    </row>
    <row r="1720" spans="107:197">
      <c r="DC1720"/>
      <c r="FH1720"/>
      <c r="FI1720"/>
      <c r="FJ1720"/>
      <c r="FK1720"/>
      <c r="FL1720"/>
      <c r="FM1720"/>
      <c r="FN1720"/>
      <c r="FO1720"/>
      <c r="FP1720"/>
      <c r="FQ1720"/>
      <c r="FR1720"/>
      <c r="FS1720"/>
      <c r="FT1720"/>
      <c r="FU1720"/>
      <c r="FV1720"/>
      <c r="FW1720"/>
      <c r="FX1720"/>
      <c r="FY1720"/>
      <c r="FZ1720"/>
      <c r="GA1720"/>
      <c r="GB1720"/>
      <c r="GC1720"/>
      <c r="GD1720"/>
      <c r="GE1720"/>
      <c r="GF1720"/>
      <c r="GG1720"/>
      <c r="GH1720"/>
      <c r="GI1720"/>
      <c r="GJ1720"/>
      <c r="GK1720"/>
      <c r="GL1720"/>
      <c r="GM1720"/>
      <c r="GN1720"/>
      <c r="GO1720"/>
    </row>
    <row r="1721" spans="107:197">
      <c r="DC1721"/>
      <c r="FH1721"/>
      <c r="FI1721"/>
      <c r="FJ1721"/>
      <c r="FK1721"/>
      <c r="FL1721"/>
      <c r="FM1721"/>
      <c r="FN1721"/>
      <c r="FO1721"/>
      <c r="FP1721"/>
      <c r="FQ1721"/>
      <c r="FR1721"/>
      <c r="FS1721"/>
      <c r="FT1721"/>
      <c r="FU1721"/>
      <c r="FV1721"/>
      <c r="FW1721"/>
      <c r="FX1721"/>
      <c r="FY1721"/>
      <c r="FZ1721"/>
      <c r="GA1721"/>
      <c r="GB1721"/>
      <c r="GC1721"/>
      <c r="GD1721"/>
      <c r="GE1721"/>
      <c r="GF1721"/>
      <c r="GG1721"/>
      <c r="GH1721"/>
      <c r="GI1721"/>
      <c r="GJ1721"/>
      <c r="GK1721"/>
      <c r="GL1721"/>
      <c r="GM1721"/>
      <c r="GN1721"/>
      <c r="GO1721"/>
    </row>
    <row r="1722" spans="107:197">
      <c r="DC1722"/>
      <c r="FH1722"/>
      <c r="FI1722"/>
      <c r="FJ1722"/>
      <c r="FK1722"/>
      <c r="FL1722"/>
      <c r="FM1722"/>
      <c r="FN1722"/>
      <c r="FO1722"/>
      <c r="FP1722"/>
      <c r="FQ1722"/>
      <c r="FR1722"/>
      <c r="FS1722"/>
      <c r="FT1722"/>
      <c r="FU1722"/>
      <c r="FV1722"/>
      <c r="FW1722"/>
      <c r="FX1722"/>
      <c r="FY1722"/>
      <c r="FZ1722"/>
      <c r="GA1722"/>
      <c r="GB1722"/>
      <c r="GC1722"/>
      <c r="GD1722"/>
      <c r="GE1722"/>
      <c r="GF1722"/>
      <c r="GG1722"/>
      <c r="GH1722"/>
      <c r="GI1722"/>
      <c r="GJ1722"/>
      <c r="GK1722"/>
      <c r="GL1722"/>
      <c r="GM1722"/>
      <c r="GN1722"/>
      <c r="GO1722"/>
    </row>
    <row r="1723" spans="107:197">
      <c r="DC1723"/>
      <c r="FH1723"/>
      <c r="FI1723"/>
      <c r="FJ1723"/>
      <c r="FK1723"/>
      <c r="FL1723"/>
      <c r="FM1723"/>
      <c r="FN1723"/>
      <c r="FO1723"/>
      <c r="FP1723"/>
      <c r="FQ1723"/>
      <c r="FR1723"/>
      <c r="FS1723"/>
      <c r="FT1723"/>
      <c r="FU1723"/>
      <c r="FV1723"/>
      <c r="FW1723"/>
      <c r="FX1723"/>
      <c r="FY1723"/>
      <c r="FZ1723"/>
      <c r="GA1723"/>
      <c r="GB1723"/>
      <c r="GC1723"/>
      <c r="GD1723"/>
      <c r="GE1723"/>
      <c r="GF1723"/>
      <c r="GG1723"/>
      <c r="GH1723"/>
      <c r="GI1723"/>
      <c r="GJ1723"/>
      <c r="GK1723"/>
      <c r="GL1723"/>
      <c r="GM1723"/>
      <c r="GN1723"/>
      <c r="GO1723"/>
    </row>
    <row r="1724" spans="107:197">
      <c r="DC1724"/>
      <c r="FH1724"/>
      <c r="FI1724"/>
      <c r="FJ1724"/>
      <c r="FK1724"/>
      <c r="FL1724"/>
      <c r="FM1724"/>
      <c r="FN1724"/>
      <c r="FO1724"/>
      <c r="FP1724"/>
      <c r="FQ1724"/>
      <c r="FR1724"/>
      <c r="FS1724"/>
      <c r="FT1724"/>
      <c r="FU1724"/>
      <c r="FV1724"/>
      <c r="FW1724"/>
      <c r="FX1724"/>
      <c r="FY1724"/>
      <c r="FZ1724"/>
      <c r="GA1724"/>
      <c r="GB1724"/>
      <c r="GC1724"/>
      <c r="GD1724"/>
      <c r="GE1724"/>
      <c r="GF1724"/>
      <c r="GG1724"/>
      <c r="GH1724"/>
      <c r="GI1724"/>
      <c r="GJ1724"/>
      <c r="GK1724"/>
      <c r="GL1724"/>
      <c r="GM1724"/>
      <c r="GN1724"/>
      <c r="GO1724"/>
    </row>
    <row r="1725" spans="107:197">
      <c r="DC1725"/>
      <c r="FH1725"/>
      <c r="FI1725"/>
      <c r="FJ1725"/>
      <c r="FK1725"/>
      <c r="FL1725"/>
      <c r="FM1725"/>
      <c r="FN1725"/>
      <c r="FO1725"/>
      <c r="FP1725"/>
      <c r="FQ1725"/>
      <c r="FR1725"/>
      <c r="FS1725"/>
      <c r="FT1725"/>
      <c r="FU1725"/>
      <c r="FV1725"/>
      <c r="FW1725"/>
      <c r="FX1725"/>
      <c r="FY1725"/>
      <c r="FZ1725"/>
      <c r="GA1725"/>
      <c r="GB1725"/>
      <c r="GC1725"/>
      <c r="GD1725"/>
      <c r="GE1725"/>
      <c r="GF1725"/>
      <c r="GG1725"/>
      <c r="GH1725"/>
      <c r="GI1725"/>
      <c r="GJ1725"/>
      <c r="GK1725"/>
      <c r="GL1725"/>
      <c r="GM1725"/>
      <c r="GN1725"/>
      <c r="GO1725"/>
    </row>
    <row r="1726" spans="107:197">
      <c r="DC1726"/>
      <c r="FH1726"/>
      <c r="FI1726"/>
      <c r="FJ1726"/>
      <c r="FK1726"/>
      <c r="FL1726"/>
      <c r="FM1726"/>
      <c r="FN1726"/>
      <c r="FO1726"/>
      <c r="FP1726"/>
      <c r="FQ1726"/>
      <c r="FR1726"/>
      <c r="FS1726"/>
      <c r="FT1726"/>
      <c r="FU1726"/>
      <c r="FV1726"/>
      <c r="FW1726"/>
      <c r="FX1726"/>
      <c r="FY1726"/>
      <c r="FZ1726"/>
      <c r="GA1726"/>
      <c r="GB1726"/>
      <c r="GC1726"/>
      <c r="GD1726"/>
      <c r="GE1726"/>
      <c r="GF1726"/>
      <c r="GG1726"/>
      <c r="GH1726"/>
      <c r="GI1726"/>
      <c r="GJ1726"/>
      <c r="GK1726"/>
      <c r="GL1726"/>
      <c r="GM1726"/>
      <c r="GN1726"/>
      <c r="GO1726"/>
    </row>
    <row r="1727" spans="107:197">
      <c r="DC1727"/>
      <c r="FH1727"/>
      <c r="FI1727"/>
      <c r="FJ1727"/>
      <c r="FK1727"/>
      <c r="FL1727"/>
      <c r="FM1727"/>
      <c r="FN1727"/>
      <c r="FO1727"/>
      <c r="FP1727"/>
      <c r="FQ1727"/>
      <c r="FR1727"/>
      <c r="FS1727"/>
      <c r="FT1727"/>
      <c r="FU1727"/>
      <c r="FV1727"/>
      <c r="FW1727"/>
      <c r="FX1727"/>
      <c r="FY1727"/>
      <c r="FZ1727"/>
      <c r="GA1727"/>
      <c r="GB1727"/>
      <c r="GC1727"/>
      <c r="GD1727"/>
      <c r="GE1727"/>
      <c r="GF1727"/>
      <c r="GG1727"/>
      <c r="GH1727"/>
      <c r="GI1727"/>
      <c r="GJ1727"/>
      <c r="GK1727"/>
      <c r="GL1727"/>
      <c r="GM1727"/>
      <c r="GN1727"/>
      <c r="GO1727"/>
    </row>
    <row r="1728" spans="107:197">
      <c r="DC1728"/>
      <c r="FH1728"/>
      <c r="FI1728"/>
      <c r="FJ1728"/>
      <c r="FK1728"/>
      <c r="FL1728"/>
      <c r="FM1728"/>
      <c r="FN1728"/>
      <c r="FO1728"/>
      <c r="FP1728"/>
      <c r="FQ1728"/>
      <c r="FR1728"/>
      <c r="FS1728"/>
      <c r="FT1728"/>
      <c r="FU1728"/>
      <c r="FV1728"/>
      <c r="FW1728"/>
      <c r="FX1728"/>
      <c r="FY1728"/>
      <c r="FZ1728"/>
      <c r="GA1728"/>
      <c r="GB1728"/>
      <c r="GC1728"/>
      <c r="GD1728"/>
      <c r="GE1728"/>
      <c r="GF1728"/>
      <c r="GG1728"/>
      <c r="GH1728"/>
      <c r="GI1728"/>
      <c r="GJ1728"/>
      <c r="GK1728"/>
      <c r="GL1728"/>
      <c r="GM1728"/>
      <c r="GN1728"/>
      <c r="GO1728"/>
    </row>
    <row r="1729" spans="107:197">
      <c r="DC1729"/>
      <c r="FH1729"/>
      <c r="FI1729"/>
      <c r="FJ1729"/>
      <c r="FK1729"/>
      <c r="FL1729"/>
      <c r="FM1729"/>
      <c r="FN1729"/>
      <c r="FO1729"/>
      <c r="FP1729"/>
      <c r="FQ1729"/>
      <c r="FR1729"/>
      <c r="FS1729"/>
      <c r="FT1729"/>
      <c r="FU1729"/>
      <c r="FV1729"/>
      <c r="FW1729"/>
      <c r="FX1729"/>
      <c r="FY1729"/>
      <c r="FZ1729"/>
      <c r="GA1729"/>
      <c r="GB1729"/>
      <c r="GC1729"/>
      <c r="GD1729"/>
      <c r="GE1729"/>
      <c r="GF1729"/>
      <c r="GG1729"/>
      <c r="GH1729"/>
      <c r="GI1729"/>
      <c r="GJ1729"/>
      <c r="GK1729"/>
      <c r="GL1729"/>
      <c r="GM1729"/>
      <c r="GN1729"/>
      <c r="GO1729"/>
    </row>
    <row r="1730" spans="107:197">
      <c r="DC1730"/>
      <c r="FH1730"/>
      <c r="FI1730"/>
      <c r="FJ1730"/>
      <c r="FK1730"/>
      <c r="FL1730"/>
      <c r="FM1730"/>
      <c r="FN1730"/>
      <c r="FO1730"/>
      <c r="FP1730"/>
      <c r="FQ1730"/>
      <c r="FR1730"/>
      <c r="FS1730"/>
      <c r="FT1730"/>
      <c r="FU1730"/>
      <c r="FV1730"/>
      <c r="FW1730"/>
      <c r="FX1730"/>
      <c r="FY1730"/>
      <c r="FZ1730"/>
      <c r="GA1730"/>
      <c r="GB1730"/>
      <c r="GC1730"/>
      <c r="GD1730"/>
      <c r="GE1730"/>
      <c r="GF1730"/>
      <c r="GG1730"/>
      <c r="GH1730"/>
      <c r="GI1730"/>
      <c r="GJ1730"/>
      <c r="GK1730"/>
      <c r="GL1730"/>
      <c r="GM1730"/>
      <c r="GN1730"/>
      <c r="GO1730"/>
    </row>
    <row r="1731" spans="107:197">
      <c r="DC1731"/>
      <c r="FH1731"/>
      <c r="FI1731"/>
      <c r="FJ1731"/>
      <c r="FK1731"/>
      <c r="FL1731"/>
      <c r="FM1731"/>
      <c r="FN1731"/>
      <c r="FO1731"/>
      <c r="FP1731"/>
      <c r="FQ1731"/>
      <c r="FR1731"/>
      <c r="FS1731"/>
      <c r="FT1731"/>
      <c r="FU1731"/>
      <c r="FV1731"/>
      <c r="FW1731"/>
      <c r="FX1731"/>
      <c r="FY1731"/>
      <c r="FZ1731"/>
      <c r="GA1731"/>
      <c r="GB1731"/>
      <c r="GC1731"/>
      <c r="GD1731"/>
      <c r="GE1731"/>
      <c r="GF1731"/>
      <c r="GG1731"/>
      <c r="GH1731"/>
      <c r="GI1731"/>
      <c r="GJ1731"/>
      <c r="GK1731"/>
      <c r="GL1731"/>
      <c r="GM1731"/>
      <c r="GN1731"/>
      <c r="GO1731"/>
    </row>
    <row r="1732" spans="107:197">
      <c r="DC1732"/>
      <c r="FH1732"/>
      <c r="FI1732"/>
      <c r="FJ1732"/>
      <c r="FK1732"/>
      <c r="FL1732"/>
      <c r="FM1732"/>
      <c r="FN1732"/>
      <c r="FO1732"/>
      <c r="FP1732"/>
      <c r="FQ1732"/>
      <c r="FR1732"/>
      <c r="FS1732"/>
      <c r="FT1732"/>
      <c r="FU1732"/>
      <c r="FV1732"/>
      <c r="FW1732"/>
      <c r="FX1732"/>
      <c r="FY1732"/>
      <c r="FZ1732"/>
      <c r="GA1732"/>
      <c r="GB1732"/>
      <c r="GC1732"/>
      <c r="GD1732"/>
      <c r="GE1732"/>
      <c r="GF1732"/>
      <c r="GG1732"/>
      <c r="GH1732"/>
      <c r="GI1732"/>
      <c r="GJ1732"/>
      <c r="GK1732"/>
      <c r="GL1732"/>
      <c r="GM1732"/>
      <c r="GN1732"/>
      <c r="GO1732"/>
    </row>
    <row r="1733" spans="107:197">
      <c r="DC1733"/>
      <c r="FH1733"/>
      <c r="FI1733"/>
      <c r="FJ1733"/>
      <c r="FK1733"/>
      <c r="FL1733"/>
      <c r="FM1733"/>
      <c r="FN1733"/>
      <c r="FO1733"/>
      <c r="FP1733"/>
      <c r="FQ1733"/>
      <c r="FR1733"/>
      <c r="FS1733"/>
      <c r="FT1733"/>
      <c r="FU1733"/>
      <c r="FV1733"/>
      <c r="FW1733"/>
      <c r="FX1733"/>
      <c r="FY1733"/>
      <c r="FZ1733"/>
      <c r="GA1733"/>
      <c r="GB1733"/>
      <c r="GC1733"/>
      <c r="GD1733"/>
      <c r="GE1733"/>
      <c r="GF1733"/>
      <c r="GG1733"/>
      <c r="GH1733"/>
      <c r="GI1733"/>
      <c r="GJ1733"/>
      <c r="GK1733"/>
      <c r="GL1733"/>
      <c r="GM1733"/>
      <c r="GN1733"/>
      <c r="GO1733"/>
    </row>
    <row r="1734" spans="107:197">
      <c r="DC1734"/>
      <c r="FH1734"/>
      <c r="FI1734"/>
      <c r="FJ1734"/>
      <c r="FK1734"/>
      <c r="FL1734"/>
      <c r="FM1734"/>
      <c r="FN1734"/>
      <c r="FO1734"/>
      <c r="FP1734"/>
      <c r="FQ1734"/>
      <c r="FR1734"/>
      <c r="FS1734"/>
      <c r="FT1734"/>
      <c r="FU1734"/>
      <c r="FV1734"/>
      <c r="FW1734"/>
      <c r="FX1734"/>
      <c r="FY1734"/>
      <c r="FZ1734"/>
      <c r="GA1734"/>
      <c r="GB1734"/>
      <c r="GC1734"/>
      <c r="GD1734"/>
      <c r="GE1734"/>
      <c r="GF1734"/>
      <c r="GG1734"/>
      <c r="GH1734"/>
      <c r="GI1734"/>
      <c r="GJ1734"/>
      <c r="GK1734"/>
      <c r="GL1734"/>
      <c r="GM1734"/>
      <c r="GN1734"/>
      <c r="GO1734"/>
    </row>
    <row r="1735" spans="107:197">
      <c r="DC1735"/>
      <c r="FH1735"/>
      <c r="FI1735"/>
      <c r="FJ1735"/>
      <c r="FK1735"/>
      <c r="FL1735"/>
      <c r="FM1735"/>
      <c r="FN1735"/>
      <c r="FO1735"/>
      <c r="FP1735"/>
      <c r="FQ1735"/>
      <c r="FR1735"/>
      <c r="FS1735"/>
      <c r="FT1735"/>
      <c r="FU1735"/>
      <c r="FV1735"/>
      <c r="FW1735"/>
      <c r="FX1735"/>
      <c r="FY1735"/>
      <c r="FZ1735"/>
      <c r="GA1735"/>
      <c r="GB1735"/>
      <c r="GC1735"/>
      <c r="GD1735"/>
      <c r="GE1735"/>
      <c r="GF1735"/>
      <c r="GG1735"/>
      <c r="GH1735"/>
      <c r="GI1735"/>
      <c r="GJ1735"/>
      <c r="GK1735"/>
      <c r="GL1735"/>
      <c r="GM1735"/>
      <c r="GN1735"/>
      <c r="GO1735"/>
    </row>
    <row r="1736" spans="107:197">
      <c r="DC1736"/>
      <c r="FH1736"/>
      <c r="FI1736"/>
      <c r="FJ1736"/>
      <c r="FK1736"/>
      <c r="FL1736"/>
      <c r="FM1736"/>
      <c r="FN1736"/>
      <c r="FO1736"/>
      <c r="FP1736"/>
      <c r="FQ1736"/>
      <c r="FR1736"/>
      <c r="FS1736"/>
      <c r="FT1736"/>
      <c r="FU1736"/>
      <c r="FV1736"/>
      <c r="FW1736"/>
      <c r="FX1736"/>
      <c r="FY1736"/>
      <c r="FZ1736"/>
      <c r="GA1736"/>
      <c r="GB1736"/>
      <c r="GC1736"/>
      <c r="GD1736"/>
      <c r="GE1736"/>
      <c r="GF1736"/>
      <c r="GG1736"/>
      <c r="GH1736"/>
      <c r="GI1736"/>
      <c r="GJ1736"/>
      <c r="GK1736"/>
      <c r="GL1736"/>
      <c r="GM1736"/>
      <c r="GN1736"/>
      <c r="GO1736"/>
    </row>
    <row r="1737" spans="107:197">
      <c r="DC1737"/>
      <c r="FH1737"/>
      <c r="FI1737"/>
      <c r="FJ1737"/>
      <c r="FK1737"/>
      <c r="FL1737"/>
      <c r="FM1737"/>
      <c r="FN1737"/>
      <c r="FO1737"/>
      <c r="FP1737"/>
      <c r="FQ1737"/>
      <c r="FR1737"/>
      <c r="FS1737"/>
      <c r="FT1737"/>
      <c r="FU1737"/>
      <c r="FV1737"/>
      <c r="FW1737"/>
      <c r="FX1737"/>
      <c r="FY1737"/>
      <c r="FZ1737"/>
      <c r="GA1737"/>
      <c r="GB1737"/>
      <c r="GC1737"/>
      <c r="GD1737"/>
      <c r="GE1737"/>
      <c r="GF1737"/>
      <c r="GG1737"/>
      <c r="GH1737"/>
      <c r="GI1737"/>
      <c r="GJ1737"/>
      <c r="GK1737"/>
      <c r="GL1737"/>
      <c r="GM1737"/>
      <c r="GN1737"/>
      <c r="GO1737"/>
    </row>
    <row r="1738" spans="107:197">
      <c r="DC1738"/>
      <c r="FH1738"/>
      <c r="FI1738"/>
      <c r="FJ1738"/>
      <c r="FK1738"/>
      <c r="FL1738"/>
      <c r="FM1738"/>
      <c r="FN1738"/>
      <c r="FO1738"/>
      <c r="FP1738"/>
      <c r="FQ1738"/>
      <c r="FR1738"/>
      <c r="FS1738"/>
      <c r="FT1738"/>
      <c r="FU1738"/>
      <c r="FV1738"/>
      <c r="FW1738"/>
      <c r="FX1738"/>
      <c r="FY1738"/>
      <c r="FZ1738"/>
      <c r="GA1738"/>
      <c r="GB1738"/>
      <c r="GC1738"/>
      <c r="GD1738"/>
      <c r="GE1738"/>
      <c r="GF1738"/>
      <c r="GG1738"/>
      <c r="GH1738"/>
      <c r="GI1738"/>
      <c r="GJ1738"/>
      <c r="GK1738"/>
      <c r="GL1738"/>
      <c r="GM1738"/>
      <c r="GN1738"/>
      <c r="GO1738"/>
    </row>
    <row r="1739" spans="107:197">
      <c r="DC1739"/>
      <c r="FH1739"/>
      <c r="FI1739"/>
      <c r="FJ1739"/>
      <c r="FK1739"/>
      <c r="FL1739"/>
      <c r="FM1739"/>
      <c r="FN1739"/>
      <c r="FO1739"/>
      <c r="FP1739"/>
      <c r="FQ1739"/>
      <c r="FR1739"/>
      <c r="FS1739"/>
      <c r="FT1739"/>
      <c r="FU1739"/>
      <c r="FV1739"/>
      <c r="FW1739"/>
      <c r="FX1739"/>
      <c r="FY1739"/>
      <c r="FZ1739"/>
      <c r="GA1739"/>
      <c r="GB1739"/>
      <c r="GC1739"/>
      <c r="GD1739"/>
      <c r="GE1739"/>
      <c r="GF1739"/>
      <c r="GG1739"/>
      <c r="GH1739"/>
      <c r="GI1739"/>
      <c r="GJ1739"/>
      <c r="GK1739"/>
      <c r="GL1739"/>
      <c r="GM1739"/>
      <c r="GN1739"/>
      <c r="GO1739"/>
    </row>
    <row r="1740" spans="107:197">
      <c r="DC1740"/>
      <c r="FH1740"/>
      <c r="FI1740"/>
      <c r="FJ1740"/>
      <c r="FK1740"/>
      <c r="FL1740"/>
      <c r="FM1740"/>
      <c r="FN1740"/>
      <c r="FO1740"/>
      <c r="FP1740"/>
      <c r="FQ1740"/>
      <c r="FR1740"/>
      <c r="FS1740"/>
      <c r="FT1740"/>
      <c r="FU1740"/>
      <c r="FV1740"/>
      <c r="FW1740"/>
      <c r="FX1740"/>
      <c r="FY1740"/>
      <c r="FZ1740"/>
      <c r="GA1740"/>
      <c r="GB1740"/>
      <c r="GC1740"/>
      <c r="GD1740"/>
      <c r="GE1740"/>
      <c r="GF1740"/>
      <c r="GG1740"/>
      <c r="GH1740"/>
      <c r="GI1740"/>
      <c r="GJ1740"/>
      <c r="GK1740"/>
      <c r="GL1740"/>
      <c r="GM1740"/>
      <c r="GN1740"/>
      <c r="GO1740"/>
    </row>
    <row r="1741" spans="107:197">
      <c r="DC1741"/>
      <c r="FH1741"/>
      <c r="FI1741"/>
      <c r="FJ1741"/>
      <c r="FK1741"/>
      <c r="FL1741"/>
      <c r="FM1741"/>
      <c r="FN1741"/>
      <c r="FO1741"/>
      <c r="FP1741"/>
      <c r="FQ1741"/>
      <c r="FR1741"/>
      <c r="FS1741"/>
      <c r="FT1741"/>
      <c r="FU1741"/>
      <c r="FV1741"/>
      <c r="FW1741"/>
      <c r="FX1741"/>
      <c r="FY1741"/>
      <c r="FZ1741"/>
      <c r="GA1741"/>
      <c r="GB1741"/>
      <c r="GC1741"/>
      <c r="GD1741"/>
      <c r="GE1741"/>
      <c r="GF1741"/>
      <c r="GG1741"/>
      <c r="GH1741"/>
      <c r="GI1741"/>
      <c r="GJ1741"/>
      <c r="GK1741"/>
      <c r="GL1741"/>
      <c r="GM1741"/>
      <c r="GN1741"/>
      <c r="GO1741"/>
    </row>
    <row r="1742" spans="107:197">
      <c r="DC1742"/>
      <c r="FH1742"/>
      <c r="FI1742"/>
      <c r="FJ1742"/>
      <c r="FK1742"/>
      <c r="FL1742"/>
      <c r="FM1742"/>
      <c r="FN1742"/>
      <c r="FO1742"/>
      <c r="FP1742"/>
      <c r="FQ1742"/>
      <c r="FR1742"/>
      <c r="FS1742"/>
      <c r="FT1742"/>
      <c r="FU1742"/>
      <c r="FV1742"/>
      <c r="FW1742"/>
      <c r="FX1742"/>
      <c r="FY1742"/>
      <c r="FZ1742"/>
      <c r="GA1742"/>
      <c r="GB1742"/>
      <c r="GC1742"/>
      <c r="GD1742"/>
      <c r="GE1742"/>
      <c r="GF1742"/>
      <c r="GG1742"/>
      <c r="GH1742"/>
      <c r="GI1742"/>
      <c r="GJ1742"/>
      <c r="GK1742"/>
      <c r="GL1742"/>
      <c r="GM1742"/>
      <c r="GN1742"/>
      <c r="GO1742"/>
    </row>
    <row r="1743" spans="107:197">
      <c r="DC1743"/>
      <c r="FH1743"/>
      <c r="FI1743"/>
      <c r="FJ1743"/>
      <c r="FK1743"/>
      <c r="FL1743"/>
      <c r="FM1743"/>
      <c r="FN1743"/>
      <c r="FO1743"/>
      <c r="FP1743"/>
      <c r="FQ1743"/>
      <c r="FR1743"/>
      <c r="FS1743"/>
      <c r="FT1743"/>
      <c r="FU1743"/>
      <c r="FV1743"/>
      <c r="FW1743"/>
      <c r="FX1743"/>
      <c r="FY1743"/>
      <c r="FZ1743"/>
      <c r="GA1743"/>
      <c r="GB1743"/>
      <c r="GC1743"/>
      <c r="GD1743"/>
      <c r="GE1743"/>
      <c r="GF1743"/>
      <c r="GG1743"/>
      <c r="GH1743"/>
      <c r="GI1743"/>
      <c r="GJ1743"/>
      <c r="GK1743"/>
      <c r="GL1743"/>
      <c r="GM1743"/>
      <c r="GN1743"/>
      <c r="GO1743"/>
    </row>
    <row r="1744" spans="107:197">
      <c r="DC1744"/>
      <c r="FH1744"/>
      <c r="FI1744"/>
      <c r="FJ1744"/>
      <c r="FK1744"/>
      <c r="FL1744"/>
      <c r="FM1744"/>
      <c r="FN1744"/>
      <c r="FO1744"/>
      <c r="FP1744"/>
      <c r="FQ1744"/>
      <c r="FR1744"/>
      <c r="FS1744"/>
      <c r="FT1744"/>
      <c r="FU1744"/>
      <c r="FV1744"/>
      <c r="FW1744"/>
      <c r="FX1744"/>
      <c r="FY1744"/>
      <c r="FZ1744"/>
      <c r="GA1744"/>
      <c r="GB1744"/>
      <c r="GC1744"/>
      <c r="GD1744"/>
      <c r="GE1744"/>
      <c r="GF1744"/>
      <c r="GG1744"/>
      <c r="GH1744"/>
      <c r="GI1744"/>
      <c r="GJ1744"/>
      <c r="GK1744"/>
      <c r="GL1744"/>
      <c r="GM1744"/>
      <c r="GN1744"/>
      <c r="GO1744"/>
    </row>
    <row r="1745" spans="107:197">
      <c r="DC1745"/>
      <c r="FH1745"/>
      <c r="FI1745"/>
      <c r="FJ1745"/>
      <c r="FK1745"/>
      <c r="FL1745"/>
      <c r="FM1745"/>
      <c r="FN1745"/>
      <c r="FO1745"/>
      <c r="FP1745"/>
      <c r="FQ1745"/>
      <c r="FR1745"/>
      <c r="FS1745"/>
      <c r="FT1745"/>
      <c r="FU1745"/>
      <c r="FV1745"/>
      <c r="FW1745"/>
      <c r="FX1745"/>
      <c r="FY1745"/>
      <c r="FZ1745"/>
      <c r="GA1745"/>
      <c r="GB1745"/>
      <c r="GC1745"/>
      <c r="GD1745"/>
      <c r="GE1745"/>
      <c r="GF1745"/>
      <c r="GG1745"/>
      <c r="GH1745"/>
      <c r="GI1745"/>
      <c r="GJ1745"/>
      <c r="GK1745"/>
      <c r="GL1745"/>
      <c r="GM1745"/>
      <c r="GN1745"/>
      <c r="GO1745"/>
    </row>
    <row r="1746" spans="107:197">
      <c r="DC1746"/>
      <c r="FH1746"/>
      <c r="FI1746"/>
      <c r="FJ1746"/>
      <c r="FK1746"/>
      <c r="FL1746"/>
      <c r="FM1746"/>
      <c r="FN1746"/>
      <c r="FO1746"/>
      <c r="FP1746"/>
      <c r="FQ1746"/>
      <c r="FR1746"/>
      <c r="FS1746"/>
      <c r="FT1746"/>
      <c r="FU1746"/>
      <c r="FV1746"/>
      <c r="FW1746"/>
      <c r="FX1746"/>
      <c r="FY1746"/>
      <c r="FZ1746"/>
      <c r="GA1746"/>
      <c r="GB1746"/>
      <c r="GC1746"/>
      <c r="GD1746"/>
      <c r="GE1746"/>
      <c r="GF1746"/>
      <c r="GG1746"/>
      <c r="GH1746"/>
      <c r="GI1746"/>
      <c r="GJ1746"/>
      <c r="GK1746"/>
      <c r="GL1746"/>
      <c r="GM1746"/>
      <c r="GN1746"/>
      <c r="GO1746"/>
    </row>
    <row r="1747" spans="107:197">
      <c r="DC1747"/>
      <c r="FH1747"/>
      <c r="FI1747"/>
      <c r="FJ1747"/>
      <c r="FK1747"/>
      <c r="FL1747"/>
      <c r="FM1747"/>
      <c r="FN1747"/>
      <c r="FO1747"/>
      <c r="FP1747"/>
      <c r="FQ1747"/>
      <c r="FR1747"/>
      <c r="FS1747"/>
      <c r="FT1747"/>
      <c r="FU1747"/>
      <c r="FV1747"/>
      <c r="FW1747"/>
      <c r="FX1747"/>
      <c r="FY1747"/>
      <c r="FZ1747"/>
      <c r="GA1747"/>
      <c r="GB1747"/>
      <c r="GC1747"/>
      <c r="GD1747"/>
      <c r="GE1747"/>
      <c r="GF1747"/>
      <c r="GG1747"/>
      <c r="GH1747"/>
      <c r="GI1747"/>
      <c r="GJ1747"/>
      <c r="GK1747"/>
      <c r="GL1747"/>
      <c r="GM1747"/>
      <c r="GN1747"/>
      <c r="GO1747"/>
    </row>
    <row r="1748" spans="107:197">
      <c r="DC1748"/>
      <c r="FH1748"/>
      <c r="FI1748"/>
      <c r="FJ1748"/>
      <c r="FK1748"/>
      <c r="FL1748"/>
      <c r="FM1748"/>
      <c r="FN1748"/>
      <c r="FO1748"/>
      <c r="FP1748"/>
      <c r="FQ1748"/>
      <c r="FR1748"/>
      <c r="FS1748"/>
      <c r="FT1748"/>
      <c r="FU1748"/>
      <c r="FV1748"/>
      <c r="FW1748"/>
      <c r="FX1748"/>
      <c r="FY1748"/>
      <c r="FZ1748"/>
      <c r="GA1748"/>
      <c r="GB1748"/>
      <c r="GC1748"/>
      <c r="GD1748"/>
      <c r="GE1748"/>
      <c r="GF1748"/>
      <c r="GG1748"/>
      <c r="GH1748"/>
      <c r="GI1748"/>
      <c r="GJ1748"/>
      <c r="GK1748"/>
      <c r="GL1748"/>
      <c r="GM1748"/>
      <c r="GN1748"/>
      <c r="GO1748"/>
    </row>
    <row r="1749" spans="107:197">
      <c r="DC1749"/>
      <c r="FH1749"/>
      <c r="FI1749"/>
      <c r="FJ1749"/>
      <c r="FK1749"/>
      <c r="FL1749"/>
      <c r="FM1749"/>
      <c r="FN1749"/>
      <c r="FO1749"/>
      <c r="FP1749"/>
      <c r="FQ1749"/>
      <c r="FR1749"/>
      <c r="FS1749"/>
      <c r="FT1749"/>
      <c r="FU1749"/>
      <c r="FV1749"/>
      <c r="FW1749"/>
      <c r="FX1749"/>
      <c r="FY1749"/>
      <c r="FZ1749"/>
      <c r="GA1749"/>
      <c r="GB1749"/>
      <c r="GC1749"/>
      <c r="GD1749"/>
      <c r="GE1749"/>
      <c r="GF1749"/>
      <c r="GG1749"/>
      <c r="GH1749"/>
      <c r="GI1749"/>
      <c r="GJ1749"/>
      <c r="GK1749"/>
      <c r="GL1749"/>
      <c r="GM1749"/>
      <c r="GN1749"/>
      <c r="GO1749"/>
    </row>
    <row r="1750" spans="107:197">
      <c r="DC1750"/>
      <c r="FH1750"/>
      <c r="FI1750"/>
      <c r="FJ1750"/>
      <c r="FK1750"/>
      <c r="FL1750"/>
      <c r="FM1750"/>
      <c r="FN1750"/>
      <c r="FO1750"/>
      <c r="FP1750"/>
      <c r="FQ1750"/>
      <c r="FR1750"/>
      <c r="FS1750"/>
      <c r="FT1750"/>
      <c r="FU1750"/>
      <c r="FV1750"/>
      <c r="FW1750"/>
      <c r="FX1750"/>
      <c r="FY1750"/>
      <c r="FZ1750"/>
      <c r="GA1750"/>
      <c r="GB1750"/>
      <c r="GC1750"/>
      <c r="GD1750"/>
      <c r="GE1750"/>
      <c r="GF1750"/>
      <c r="GG1750"/>
      <c r="GH1750"/>
      <c r="GI1750"/>
      <c r="GJ1750"/>
      <c r="GK1750"/>
      <c r="GL1750"/>
      <c r="GM1750"/>
      <c r="GN1750"/>
      <c r="GO1750"/>
    </row>
    <row r="1751" spans="107:197">
      <c r="DC1751"/>
      <c r="FH1751"/>
      <c r="FI1751"/>
      <c r="FJ1751"/>
      <c r="FK1751"/>
      <c r="FL1751"/>
      <c r="FM1751"/>
      <c r="FN1751"/>
      <c r="FO1751"/>
      <c r="FP1751"/>
      <c r="FQ1751"/>
      <c r="FR1751"/>
      <c r="FS1751"/>
      <c r="FT1751"/>
      <c r="FU1751"/>
      <c r="FV1751"/>
      <c r="FW1751"/>
      <c r="FX1751"/>
      <c r="FY1751"/>
      <c r="FZ1751"/>
      <c r="GA1751"/>
      <c r="GB1751"/>
      <c r="GC1751"/>
      <c r="GD1751"/>
      <c r="GE1751"/>
      <c r="GF1751"/>
      <c r="GG1751"/>
      <c r="GH1751"/>
      <c r="GI1751"/>
      <c r="GJ1751"/>
      <c r="GK1751"/>
      <c r="GL1751"/>
      <c r="GM1751"/>
      <c r="GN1751"/>
      <c r="GO1751"/>
    </row>
    <row r="1752" spans="107:197">
      <c r="DC1752"/>
      <c r="FH1752"/>
      <c r="FI1752"/>
      <c r="FJ1752"/>
      <c r="FK1752"/>
      <c r="FL1752"/>
      <c r="FM1752"/>
      <c r="FN1752"/>
      <c r="FO1752"/>
      <c r="FP1752"/>
      <c r="FQ1752"/>
      <c r="FR1752"/>
      <c r="FS1752"/>
      <c r="FT1752"/>
      <c r="FU1752"/>
      <c r="FV1752"/>
      <c r="FW1752"/>
      <c r="FX1752"/>
      <c r="FY1752"/>
      <c r="FZ1752"/>
      <c r="GA1752"/>
      <c r="GB1752"/>
      <c r="GC1752"/>
      <c r="GD1752"/>
      <c r="GE1752"/>
      <c r="GF1752"/>
      <c r="GG1752"/>
      <c r="GH1752"/>
      <c r="GI1752"/>
      <c r="GJ1752"/>
      <c r="GK1752"/>
      <c r="GL1752"/>
      <c r="GM1752"/>
      <c r="GN1752"/>
      <c r="GO1752"/>
    </row>
    <row r="1753" spans="107:197">
      <c r="DC1753"/>
      <c r="FH1753"/>
      <c r="FI1753"/>
      <c r="FJ1753"/>
      <c r="FK1753"/>
      <c r="FL1753"/>
      <c r="FM1753"/>
      <c r="FN1753"/>
      <c r="FO1753"/>
      <c r="FP1753"/>
      <c r="FQ1753"/>
      <c r="FR1753"/>
      <c r="FS1753"/>
      <c r="FT1753"/>
      <c r="FU1753"/>
      <c r="FV1753"/>
      <c r="FW1753"/>
      <c r="FX1753"/>
      <c r="FY1753"/>
      <c r="FZ1753"/>
      <c r="GA1753"/>
      <c r="GB1753"/>
      <c r="GC1753"/>
      <c r="GD1753"/>
      <c r="GE1753"/>
      <c r="GF1753"/>
      <c r="GG1753"/>
      <c r="GH1753"/>
      <c r="GI1753"/>
      <c r="GJ1753"/>
      <c r="GK1753"/>
      <c r="GL1753"/>
      <c r="GM1753"/>
      <c r="GN1753"/>
      <c r="GO1753"/>
    </row>
    <row r="1754" spans="107:197">
      <c r="DC1754"/>
      <c r="FH1754"/>
      <c r="FI1754"/>
      <c r="FJ1754"/>
      <c r="FK1754"/>
      <c r="FL1754"/>
      <c r="FM1754"/>
      <c r="FN1754"/>
      <c r="FO1754"/>
      <c r="FP1754"/>
      <c r="FQ1754"/>
      <c r="FR1754"/>
      <c r="FS1754"/>
      <c r="FT1754"/>
      <c r="FU1754"/>
      <c r="FV1754"/>
      <c r="FW1754"/>
      <c r="FX1754"/>
      <c r="FY1754"/>
      <c r="FZ1754"/>
      <c r="GA1754"/>
      <c r="GB1754"/>
      <c r="GC1754"/>
      <c r="GD1754"/>
      <c r="GE1754"/>
      <c r="GF1754"/>
      <c r="GG1754"/>
      <c r="GH1754"/>
      <c r="GI1754"/>
      <c r="GJ1754"/>
      <c r="GK1754"/>
      <c r="GL1754"/>
      <c r="GM1754"/>
      <c r="GN1754"/>
      <c r="GO1754"/>
    </row>
    <row r="1755" spans="107:197">
      <c r="DC1755"/>
      <c r="FH1755"/>
      <c r="FI1755"/>
      <c r="FJ1755"/>
      <c r="FK1755"/>
      <c r="FL1755"/>
      <c r="FM1755"/>
      <c r="FN1755"/>
      <c r="FO1755"/>
      <c r="FP1755"/>
      <c r="FQ1755"/>
      <c r="FR1755"/>
      <c r="FS1755"/>
      <c r="FT1755"/>
      <c r="FU1755"/>
      <c r="FV1755"/>
      <c r="FW1755"/>
      <c r="FX1755"/>
      <c r="FY1755"/>
      <c r="FZ1755"/>
      <c r="GA1755"/>
      <c r="GB1755"/>
      <c r="GC1755"/>
      <c r="GD1755"/>
      <c r="GE1755"/>
      <c r="GF1755"/>
      <c r="GG1755"/>
      <c r="GH1755"/>
      <c r="GI1755"/>
      <c r="GJ1755"/>
      <c r="GK1755"/>
      <c r="GL1755"/>
      <c r="GM1755"/>
      <c r="GN1755"/>
      <c r="GO1755"/>
    </row>
    <row r="1756" spans="107:197">
      <c r="DC1756"/>
      <c r="FH1756"/>
      <c r="FI1756"/>
      <c r="FJ1756"/>
      <c r="FK1756"/>
      <c r="FL1756"/>
      <c r="FM1756"/>
      <c r="FN1756"/>
      <c r="FO1756"/>
      <c r="FP1756"/>
      <c r="FQ1756"/>
      <c r="FR1756"/>
      <c r="FS1756"/>
      <c r="FT1756"/>
      <c r="FU1756"/>
      <c r="FV1756"/>
      <c r="FW1756"/>
      <c r="FX1756"/>
      <c r="FY1756"/>
      <c r="FZ1756"/>
      <c r="GA1756"/>
      <c r="GB1756"/>
      <c r="GC1756"/>
      <c r="GD1756"/>
      <c r="GE1756"/>
      <c r="GF1756"/>
      <c r="GG1756"/>
      <c r="GH1756"/>
      <c r="GI1756"/>
      <c r="GJ1756"/>
      <c r="GK1756"/>
      <c r="GL1756"/>
      <c r="GM1756"/>
      <c r="GN1756"/>
      <c r="GO1756"/>
    </row>
    <row r="1757" spans="107:197">
      <c r="DC1757"/>
      <c r="FH1757"/>
      <c r="FI1757"/>
      <c r="FJ1757"/>
      <c r="FK1757"/>
      <c r="FL1757"/>
      <c r="FM1757"/>
      <c r="FN1757"/>
      <c r="FO1757"/>
      <c r="FP1757"/>
      <c r="FQ1757"/>
      <c r="FR1757"/>
      <c r="FS1757"/>
      <c r="FT1757"/>
      <c r="FU1757"/>
      <c r="FV1757"/>
      <c r="FW1757"/>
      <c r="FX1757"/>
      <c r="FY1757"/>
      <c r="FZ1757"/>
      <c r="GA1757"/>
      <c r="GB1757"/>
      <c r="GC1757"/>
      <c r="GD1757"/>
      <c r="GE1757"/>
      <c r="GF1757"/>
      <c r="GG1757"/>
      <c r="GH1757"/>
      <c r="GI1757"/>
      <c r="GJ1757"/>
      <c r="GK1757"/>
      <c r="GL1757"/>
      <c r="GM1757"/>
      <c r="GN1757"/>
      <c r="GO1757"/>
    </row>
    <row r="1758" spans="107:197">
      <c r="DC1758"/>
      <c r="FH1758"/>
      <c r="FI1758"/>
      <c r="FJ1758"/>
      <c r="FK1758"/>
      <c r="FL1758"/>
      <c r="FM1758"/>
      <c r="FN1758"/>
      <c r="FO1758"/>
      <c r="FP1758"/>
      <c r="FQ1758"/>
      <c r="FR1758"/>
      <c r="FS1758"/>
      <c r="FT1758"/>
      <c r="FU1758"/>
      <c r="FV1758"/>
      <c r="FW1758"/>
      <c r="FX1758"/>
      <c r="FY1758"/>
      <c r="FZ1758"/>
      <c r="GA1758"/>
      <c r="GB1758"/>
      <c r="GC1758"/>
      <c r="GD1758"/>
      <c r="GE1758"/>
      <c r="GF1758"/>
      <c r="GG1758"/>
      <c r="GH1758"/>
      <c r="GI1758"/>
      <c r="GJ1758"/>
      <c r="GK1758"/>
      <c r="GL1758"/>
      <c r="GM1758"/>
      <c r="GN1758"/>
      <c r="GO1758"/>
    </row>
    <row r="1759" spans="107:197">
      <c r="DC1759"/>
      <c r="FH1759"/>
      <c r="FI1759"/>
      <c r="FJ1759"/>
      <c r="FK1759"/>
      <c r="FL1759"/>
      <c r="FM1759"/>
      <c r="FN1759"/>
      <c r="FO1759"/>
      <c r="FP1759"/>
      <c r="FQ1759"/>
      <c r="FR1759"/>
      <c r="FS1759"/>
      <c r="FT1759"/>
      <c r="FU1759"/>
      <c r="FV1759"/>
      <c r="FW1759"/>
      <c r="FX1759"/>
      <c r="FY1759"/>
      <c r="FZ1759"/>
      <c r="GA1759"/>
      <c r="GB1759"/>
      <c r="GC1759"/>
      <c r="GD1759"/>
      <c r="GE1759"/>
      <c r="GF1759"/>
      <c r="GG1759"/>
      <c r="GH1759"/>
      <c r="GI1759"/>
      <c r="GJ1759"/>
      <c r="GK1759"/>
      <c r="GL1759"/>
      <c r="GM1759"/>
      <c r="GN1759"/>
      <c r="GO1759"/>
    </row>
    <row r="1760" spans="107:197">
      <c r="DC1760"/>
      <c r="FH1760"/>
      <c r="FI1760"/>
      <c r="FJ1760"/>
      <c r="FK1760"/>
      <c r="FL1760"/>
      <c r="FM1760"/>
      <c r="FN1760"/>
      <c r="FO1760"/>
      <c r="FP1760"/>
      <c r="FQ1760"/>
      <c r="FR1760"/>
      <c r="FS1760"/>
      <c r="FT1760"/>
      <c r="FU1760"/>
      <c r="FV1760"/>
      <c r="FW1760"/>
      <c r="FX1760"/>
      <c r="FY1760"/>
      <c r="FZ1760"/>
      <c r="GA1760"/>
      <c r="GB1760"/>
      <c r="GC1760"/>
      <c r="GD1760"/>
      <c r="GE1760"/>
      <c r="GF1760"/>
      <c r="GG1760"/>
      <c r="GH1760"/>
      <c r="GI1760"/>
      <c r="GJ1760"/>
      <c r="GK1760"/>
      <c r="GL1760"/>
      <c r="GM1760"/>
      <c r="GN1760"/>
      <c r="GO1760"/>
    </row>
    <row r="1761" spans="107:197">
      <c r="DC1761"/>
      <c r="FH1761"/>
      <c r="FI1761"/>
      <c r="FJ1761"/>
      <c r="FK1761"/>
      <c r="FL1761"/>
      <c r="FM1761"/>
      <c r="FN1761"/>
      <c r="FO1761"/>
      <c r="FP1761"/>
      <c r="FQ1761"/>
      <c r="FR1761"/>
      <c r="FS1761"/>
      <c r="FT1761"/>
      <c r="FU1761"/>
      <c r="FV1761"/>
      <c r="FW1761"/>
      <c r="FX1761"/>
      <c r="FY1761"/>
      <c r="FZ1761"/>
      <c r="GA1761"/>
      <c r="GB1761"/>
      <c r="GC1761"/>
      <c r="GD1761"/>
      <c r="GE1761"/>
      <c r="GF1761"/>
      <c r="GG1761"/>
      <c r="GH1761"/>
      <c r="GI1761"/>
      <c r="GJ1761"/>
      <c r="GK1761"/>
      <c r="GL1761"/>
      <c r="GM1761"/>
      <c r="GN1761"/>
      <c r="GO1761"/>
    </row>
    <row r="1762" spans="107:197">
      <c r="DC1762"/>
      <c r="FH1762"/>
      <c r="FI1762"/>
      <c r="FJ1762"/>
      <c r="FK1762"/>
      <c r="FL1762"/>
      <c r="FM1762"/>
      <c r="FN1762"/>
      <c r="FO1762"/>
      <c r="FP1762"/>
      <c r="FQ1762"/>
      <c r="FR1762"/>
      <c r="FS1762"/>
      <c r="FT1762"/>
      <c r="FU1762"/>
      <c r="FV1762"/>
      <c r="FW1762"/>
      <c r="FX1762"/>
      <c r="FY1762"/>
      <c r="FZ1762"/>
      <c r="GA1762"/>
      <c r="GB1762"/>
      <c r="GC1762"/>
      <c r="GD1762"/>
      <c r="GE1762"/>
      <c r="GF1762"/>
      <c r="GG1762"/>
      <c r="GH1762"/>
      <c r="GI1762"/>
      <c r="GJ1762"/>
      <c r="GK1762"/>
      <c r="GL1762"/>
      <c r="GM1762"/>
      <c r="GN1762"/>
      <c r="GO1762"/>
    </row>
    <row r="1763" spans="107:197">
      <c r="DC1763"/>
      <c r="FH1763"/>
      <c r="FI1763"/>
      <c r="FJ1763"/>
      <c r="FK1763"/>
      <c r="FL1763"/>
      <c r="FM1763"/>
      <c r="FN1763"/>
      <c r="FO1763"/>
      <c r="FP1763"/>
      <c r="FQ1763"/>
      <c r="FR1763"/>
      <c r="FS1763"/>
      <c r="FT1763"/>
      <c r="FU1763"/>
      <c r="FV1763"/>
      <c r="FW1763"/>
      <c r="FX1763"/>
      <c r="FY1763"/>
      <c r="FZ1763"/>
      <c r="GA1763"/>
      <c r="GB1763"/>
      <c r="GC1763"/>
      <c r="GD1763"/>
      <c r="GE1763"/>
      <c r="GF1763"/>
      <c r="GG1763"/>
      <c r="GH1763"/>
      <c r="GI1763"/>
      <c r="GJ1763"/>
      <c r="GK1763"/>
      <c r="GL1763"/>
      <c r="GM1763"/>
      <c r="GN1763"/>
      <c r="GO1763"/>
    </row>
    <row r="1764" spans="107:197">
      <c r="DC1764"/>
      <c r="FH1764"/>
      <c r="FI1764"/>
      <c r="FJ1764"/>
      <c r="FK1764"/>
      <c r="FL1764"/>
      <c r="FM1764"/>
      <c r="FN1764"/>
      <c r="FO1764"/>
      <c r="FP1764"/>
      <c r="FQ1764"/>
      <c r="FR1764"/>
      <c r="FS1764"/>
      <c r="FT1764"/>
      <c r="FU1764"/>
      <c r="FV1764"/>
      <c r="FW1764"/>
      <c r="FX1764"/>
      <c r="FY1764"/>
      <c r="FZ1764"/>
      <c r="GA1764"/>
      <c r="GB1764"/>
      <c r="GC1764"/>
      <c r="GD1764"/>
      <c r="GE1764"/>
      <c r="GF1764"/>
      <c r="GG1764"/>
      <c r="GH1764"/>
      <c r="GI1764"/>
      <c r="GJ1764"/>
      <c r="GK1764"/>
      <c r="GL1764"/>
      <c r="GM1764"/>
      <c r="GN1764"/>
      <c r="GO1764"/>
    </row>
    <row r="1765" spans="107:197">
      <c r="DC1765"/>
      <c r="FH1765"/>
      <c r="FI1765"/>
      <c r="FJ1765"/>
      <c r="FK1765"/>
      <c r="FL1765"/>
      <c r="FM1765"/>
      <c r="FN1765"/>
      <c r="FO1765"/>
      <c r="FP1765"/>
      <c r="FQ1765"/>
      <c r="FR1765"/>
      <c r="FS1765"/>
      <c r="FT1765"/>
      <c r="FU1765"/>
      <c r="FV1765"/>
      <c r="FW1765"/>
      <c r="FX1765"/>
      <c r="FY1765"/>
      <c r="FZ1765"/>
      <c r="GA1765"/>
      <c r="GB1765"/>
      <c r="GC1765"/>
      <c r="GD1765"/>
      <c r="GE1765"/>
      <c r="GF1765"/>
      <c r="GG1765"/>
      <c r="GH1765"/>
      <c r="GI1765"/>
      <c r="GJ1765"/>
      <c r="GK1765"/>
      <c r="GL1765"/>
      <c r="GM1765"/>
      <c r="GN1765"/>
      <c r="GO1765"/>
    </row>
    <row r="1766" spans="107:197">
      <c r="DC1766"/>
      <c r="FH1766"/>
      <c r="FI1766"/>
      <c r="FJ1766"/>
      <c r="FK1766"/>
      <c r="FL1766"/>
      <c r="FM1766"/>
      <c r="FN1766"/>
      <c r="FO1766"/>
      <c r="FP1766"/>
      <c r="FQ1766"/>
      <c r="FR1766"/>
      <c r="FS1766"/>
      <c r="FT1766"/>
      <c r="FU1766"/>
      <c r="FV1766"/>
      <c r="FW1766"/>
      <c r="FX1766"/>
      <c r="FY1766"/>
      <c r="FZ1766"/>
      <c r="GA1766"/>
      <c r="GB1766"/>
      <c r="GC1766"/>
      <c r="GD1766"/>
      <c r="GE1766"/>
      <c r="GF1766"/>
      <c r="GG1766"/>
      <c r="GH1766"/>
      <c r="GI1766"/>
      <c r="GJ1766"/>
      <c r="GK1766"/>
      <c r="GL1766"/>
      <c r="GM1766"/>
      <c r="GN1766"/>
      <c r="GO1766"/>
    </row>
    <row r="1767" spans="107:197">
      <c r="DC1767"/>
      <c r="FH1767"/>
      <c r="FI1767"/>
      <c r="FJ1767"/>
      <c r="FK1767"/>
      <c r="FL1767"/>
      <c r="FM1767"/>
      <c r="FN1767"/>
      <c r="FO1767"/>
      <c r="FP1767"/>
      <c r="FQ1767"/>
      <c r="FR1767"/>
      <c r="FS1767"/>
      <c r="FT1767"/>
      <c r="FU1767"/>
      <c r="FV1767"/>
      <c r="FW1767"/>
      <c r="FX1767"/>
      <c r="FY1767"/>
      <c r="FZ1767"/>
      <c r="GA1767"/>
      <c r="GB1767"/>
      <c r="GC1767"/>
      <c r="GD1767"/>
      <c r="GE1767"/>
      <c r="GF1767"/>
      <c r="GG1767"/>
      <c r="GH1767"/>
      <c r="GI1767"/>
      <c r="GJ1767"/>
      <c r="GK1767"/>
      <c r="GL1767"/>
      <c r="GM1767"/>
      <c r="GN1767"/>
      <c r="GO1767"/>
    </row>
    <row r="1768" spans="107:197">
      <c r="DC1768"/>
      <c r="FH1768"/>
      <c r="FI1768"/>
      <c r="FJ1768"/>
      <c r="FK1768"/>
      <c r="FL1768"/>
      <c r="FM1768"/>
      <c r="FN1768"/>
      <c r="FO1768"/>
      <c r="FP1768"/>
      <c r="FQ1768"/>
      <c r="FR1768"/>
      <c r="FS1768"/>
      <c r="FT1768"/>
      <c r="FU1768"/>
      <c r="FV1768"/>
      <c r="FW1768"/>
      <c r="FX1768"/>
      <c r="FY1768"/>
      <c r="FZ1768"/>
      <c r="GA1768"/>
      <c r="GB1768"/>
      <c r="GC1768"/>
      <c r="GD1768"/>
      <c r="GE1768"/>
      <c r="GF1768"/>
      <c r="GG1768"/>
      <c r="GH1768"/>
      <c r="GI1768"/>
      <c r="GJ1768"/>
      <c r="GK1768"/>
      <c r="GL1768"/>
      <c r="GM1768"/>
      <c r="GN1768"/>
      <c r="GO1768"/>
    </row>
    <row r="1769" spans="107:197">
      <c r="DC1769"/>
      <c r="FH1769"/>
      <c r="FI1769"/>
      <c r="FJ1769"/>
      <c r="FK1769"/>
      <c r="FL1769"/>
      <c r="FM1769"/>
      <c r="FN1769"/>
      <c r="FO1769"/>
      <c r="FP1769"/>
      <c r="FQ1769"/>
      <c r="FR1769"/>
      <c r="FS1769"/>
      <c r="FT1769"/>
      <c r="FU1769"/>
      <c r="FV1769"/>
      <c r="FW1769"/>
      <c r="FX1769"/>
      <c r="FY1769"/>
      <c r="FZ1769"/>
      <c r="GA1769"/>
      <c r="GB1769"/>
      <c r="GC1769"/>
      <c r="GD1769"/>
      <c r="GE1769"/>
      <c r="GF1769"/>
      <c r="GG1769"/>
      <c r="GH1769"/>
      <c r="GI1769"/>
      <c r="GJ1769"/>
      <c r="GK1769"/>
      <c r="GL1769"/>
      <c r="GM1769"/>
      <c r="GN1769"/>
      <c r="GO1769"/>
    </row>
    <row r="1770" spans="107:197">
      <c r="DC1770"/>
      <c r="FH1770"/>
      <c r="FI1770"/>
      <c r="FJ1770"/>
      <c r="FK1770"/>
      <c r="FL1770"/>
      <c r="FM1770"/>
      <c r="FN1770"/>
      <c r="FO1770"/>
      <c r="FP1770"/>
      <c r="FQ1770"/>
      <c r="FR1770"/>
      <c r="FS1770"/>
      <c r="FT1770"/>
      <c r="FU1770"/>
      <c r="FV1770"/>
      <c r="FW1770"/>
      <c r="FX1770"/>
      <c r="FY1770"/>
      <c r="FZ1770"/>
      <c r="GA1770"/>
      <c r="GB1770"/>
      <c r="GC1770"/>
      <c r="GD1770"/>
      <c r="GE1770"/>
      <c r="GF1770"/>
      <c r="GG1770"/>
      <c r="GH1770"/>
      <c r="GI1770"/>
      <c r="GJ1770"/>
      <c r="GK1770"/>
      <c r="GL1770"/>
      <c r="GM1770"/>
      <c r="GN1770"/>
      <c r="GO1770"/>
    </row>
    <row r="1771" spans="107:197">
      <c r="DC1771"/>
      <c r="FH1771"/>
      <c r="FI1771"/>
      <c r="FJ1771"/>
      <c r="FK1771"/>
      <c r="FL1771"/>
      <c r="FM1771"/>
      <c r="FN1771"/>
      <c r="FO1771"/>
      <c r="FP1771"/>
      <c r="FQ1771"/>
      <c r="FR1771"/>
      <c r="FS1771"/>
      <c r="FT1771"/>
      <c r="FU1771"/>
      <c r="FV1771"/>
      <c r="FW1771"/>
      <c r="FX1771"/>
      <c r="FY1771"/>
      <c r="FZ1771"/>
      <c r="GA1771"/>
      <c r="GB1771"/>
      <c r="GC1771"/>
      <c r="GD1771"/>
      <c r="GE1771"/>
      <c r="GF1771"/>
      <c r="GG1771"/>
      <c r="GH1771"/>
      <c r="GI1771"/>
      <c r="GJ1771"/>
      <c r="GK1771"/>
      <c r="GL1771"/>
      <c r="GM1771"/>
      <c r="GN1771"/>
      <c r="GO1771"/>
    </row>
    <row r="1772" spans="107:197">
      <c r="DC1772"/>
      <c r="FH1772"/>
      <c r="FI1772"/>
      <c r="FJ1772"/>
      <c r="FK1772"/>
      <c r="FL1772"/>
      <c r="FM1772"/>
      <c r="FN1772"/>
      <c r="FO1772"/>
      <c r="FP1772"/>
      <c r="FQ1772"/>
      <c r="FR1772"/>
      <c r="FS1772"/>
      <c r="FT1772"/>
      <c r="FU1772"/>
      <c r="FV1772"/>
      <c r="FW1772"/>
      <c r="FX1772"/>
      <c r="FY1772"/>
      <c r="FZ1772"/>
      <c r="GA1772"/>
      <c r="GB1772"/>
      <c r="GC1772"/>
      <c r="GD1772"/>
      <c r="GE1772"/>
      <c r="GF1772"/>
      <c r="GG1772"/>
      <c r="GH1772"/>
      <c r="GI1772"/>
      <c r="GJ1772"/>
      <c r="GK1772"/>
      <c r="GL1772"/>
      <c r="GM1772"/>
      <c r="GN1772"/>
      <c r="GO1772"/>
    </row>
    <row r="1773" spans="107:197">
      <c r="DC1773"/>
      <c r="FH1773"/>
      <c r="FI1773"/>
      <c r="FJ1773"/>
      <c r="FK1773"/>
      <c r="FL1773"/>
      <c r="FM1773"/>
      <c r="FN1773"/>
      <c r="FO1773"/>
      <c r="FP1773"/>
      <c r="FQ1773"/>
      <c r="FR1773"/>
      <c r="FS1773"/>
      <c r="FT1773"/>
      <c r="FU1773"/>
      <c r="FV1773"/>
      <c r="FW1773"/>
      <c r="FX1773"/>
      <c r="FY1773"/>
      <c r="FZ1773"/>
      <c r="GA1773"/>
      <c r="GB1773"/>
      <c r="GC1773"/>
      <c r="GD1773"/>
      <c r="GE1773"/>
      <c r="GF1773"/>
      <c r="GG1773"/>
      <c r="GH1773"/>
      <c r="GI1773"/>
      <c r="GJ1773"/>
      <c r="GK1773"/>
      <c r="GL1773"/>
      <c r="GM1773"/>
      <c r="GN1773"/>
      <c r="GO1773"/>
    </row>
    <row r="1774" spans="107:197">
      <c r="DC1774"/>
      <c r="FH1774"/>
      <c r="FI1774"/>
      <c r="FJ1774"/>
      <c r="FK1774"/>
      <c r="FL1774"/>
      <c r="FM1774"/>
      <c r="FN1774"/>
      <c r="FO1774"/>
      <c r="FP1774"/>
      <c r="FQ1774"/>
      <c r="FR1774"/>
      <c r="FS1774"/>
      <c r="FT1774"/>
      <c r="FU1774"/>
      <c r="FV1774"/>
      <c r="FW1774"/>
      <c r="FX1774"/>
      <c r="FY1774"/>
      <c r="FZ1774"/>
      <c r="GA1774"/>
      <c r="GB1774"/>
      <c r="GC1774"/>
      <c r="GD1774"/>
      <c r="GE1774"/>
      <c r="GF1774"/>
      <c r="GG1774"/>
      <c r="GH1774"/>
      <c r="GI1774"/>
      <c r="GJ1774"/>
      <c r="GK1774"/>
      <c r="GL1774"/>
      <c r="GM1774"/>
      <c r="GN1774"/>
      <c r="GO1774"/>
    </row>
    <row r="1775" spans="107:197">
      <c r="DC1775"/>
      <c r="FH1775"/>
      <c r="FI1775"/>
      <c r="FJ1775"/>
      <c r="FK1775"/>
      <c r="FL1775"/>
      <c r="FM1775"/>
      <c r="FN1775"/>
      <c r="FO1775"/>
      <c r="FP1775"/>
      <c r="FQ1775"/>
      <c r="FR1775"/>
      <c r="FS1775"/>
      <c r="FT1775"/>
      <c r="FU1775"/>
      <c r="FV1775"/>
      <c r="FW1775"/>
      <c r="FX1775"/>
      <c r="FY1775"/>
      <c r="FZ1775"/>
      <c r="GA1775"/>
      <c r="GB1775"/>
      <c r="GC1775"/>
      <c r="GD1775"/>
      <c r="GE1775"/>
      <c r="GF1775"/>
      <c r="GG1775"/>
      <c r="GH1775"/>
      <c r="GI1775"/>
      <c r="GJ1775"/>
      <c r="GK1775"/>
      <c r="GL1775"/>
      <c r="GM1775"/>
      <c r="GN1775"/>
      <c r="GO1775"/>
    </row>
    <row r="1776" spans="107:197">
      <c r="DC1776"/>
      <c r="FH1776"/>
      <c r="FI1776"/>
      <c r="FJ1776"/>
      <c r="FK1776"/>
      <c r="FL1776"/>
      <c r="FM1776"/>
      <c r="FN1776"/>
      <c r="FO1776"/>
      <c r="FP1776"/>
      <c r="FQ1776"/>
      <c r="FR1776"/>
      <c r="FS1776"/>
      <c r="FT1776"/>
      <c r="FU1776"/>
      <c r="FV1776"/>
      <c r="FW1776"/>
      <c r="FX1776"/>
      <c r="FY1776"/>
      <c r="FZ1776"/>
      <c r="GA1776"/>
      <c r="GB1776"/>
      <c r="GC1776"/>
      <c r="GD1776"/>
      <c r="GE1776"/>
      <c r="GF1776"/>
      <c r="GG1776"/>
      <c r="GH1776"/>
      <c r="GI1776"/>
      <c r="GJ1776"/>
      <c r="GK1776"/>
      <c r="GL1776"/>
      <c r="GM1776"/>
      <c r="GN1776"/>
      <c r="GO1776"/>
    </row>
    <row r="1777" spans="107:197">
      <c r="DC1777"/>
      <c r="FH1777"/>
      <c r="FI1777"/>
      <c r="FJ1777"/>
      <c r="FK1777"/>
      <c r="FL1777"/>
      <c r="FM1777"/>
      <c r="FN1777"/>
      <c r="FO1777"/>
      <c r="FP1777"/>
      <c r="FQ1777"/>
      <c r="FR1777"/>
      <c r="FS1777"/>
      <c r="FT1777"/>
      <c r="FU1777"/>
      <c r="FV1777"/>
      <c r="FW1777"/>
      <c r="FX1777"/>
      <c r="FY1777"/>
      <c r="FZ1777"/>
      <c r="GA1777"/>
      <c r="GB1777"/>
      <c r="GC1777"/>
      <c r="GD1777"/>
      <c r="GE1777"/>
      <c r="GF1777"/>
      <c r="GG1777"/>
      <c r="GH1777"/>
      <c r="GI1777"/>
      <c r="GJ1777"/>
      <c r="GK1777"/>
      <c r="GL1777"/>
      <c r="GM1777"/>
      <c r="GN1777"/>
      <c r="GO1777"/>
    </row>
    <row r="1778" spans="107:197">
      <c r="DC1778"/>
      <c r="FH1778"/>
      <c r="FI1778"/>
      <c r="FJ1778"/>
      <c r="FK1778"/>
      <c r="FL1778"/>
      <c r="FM1778"/>
      <c r="FN1778"/>
      <c r="FO1778"/>
      <c r="FP1778"/>
      <c r="FQ1778"/>
      <c r="FR1778"/>
      <c r="FS1778"/>
      <c r="FT1778"/>
      <c r="FU1778"/>
      <c r="FV1778"/>
      <c r="FW1778"/>
      <c r="FX1778"/>
      <c r="FY1778"/>
      <c r="FZ1778"/>
      <c r="GA1778"/>
      <c r="GB1778"/>
      <c r="GC1778"/>
      <c r="GD1778"/>
      <c r="GE1778"/>
      <c r="GF1778"/>
      <c r="GG1778"/>
      <c r="GH1778"/>
      <c r="GI1778"/>
      <c r="GJ1778"/>
      <c r="GK1778"/>
      <c r="GL1778"/>
      <c r="GM1778"/>
      <c r="GN1778"/>
      <c r="GO1778"/>
    </row>
    <row r="1779" spans="107:197">
      <c r="DC1779"/>
      <c r="FH1779"/>
      <c r="FI1779"/>
      <c r="FJ1779"/>
      <c r="FK1779"/>
      <c r="FL1779"/>
      <c r="FM1779"/>
      <c r="FN1779"/>
      <c r="FO1779"/>
      <c r="FP1779"/>
      <c r="FQ1779"/>
      <c r="FR1779"/>
      <c r="FS1779"/>
      <c r="FT1779"/>
      <c r="FU1779"/>
      <c r="FV1779"/>
      <c r="FW1779"/>
      <c r="FX1779"/>
      <c r="FY1779"/>
      <c r="FZ1779"/>
      <c r="GA1779"/>
      <c r="GB1779"/>
      <c r="GC1779"/>
      <c r="GD1779"/>
      <c r="GE1779"/>
      <c r="GF1779"/>
      <c r="GG1779"/>
      <c r="GH1779"/>
      <c r="GI1779"/>
      <c r="GJ1779"/>
      <c r="GK1779"/>
      <c r="GL1779"/>
      <c r="GM1779"/>
      <c r="GN1779"/>
      <c r="GO1779"/>
    </row>
    <row r="1780" spans="107:197">
      <c r="DC1780"/>
      <c r="FH1780"/>
      <c r="FI1780"/>
      <c r="FJ1780"/>
      <c r="FK1780"/>
      <c r="FL1780"/>
      <c r="FM1780"/>
      <c r="FN1780"/>
      <c r="FO1780"/>
      <c r="FP1780"/>
      <c r="FQ1780"/>
      <c r="FR1780"/>
      <c r="FS1780"/>
      <c r="FT1780"/>
      <c r="FU1780"/>
      <c r="FV1780"/>
      <c r="FW1780"/>
      <c r="FX1780"/>
      <c r="FY1780"/>
      <c r="FZ1780"/>
      <c r="GA1780"/>
      <c r="GB1780"/>
      <c r="GC1780"/>
      <c r="GD1780"/>
      <c r="GE1780"/>
      <c r="GF1780"/>
      <c r="GG1780"/>
      <c r="GH1780"/>
      <c r="GI1780"/>
      <c r="GJ1780"/>
      <c r="GK1780"/>
      <c r="GL1780"/>
      <c r="GM1780"/>
      <c r="GN1780"/>
      <c r="GO1780"/>
    </row>
    <row r="1781" spans="107:197">
      <c r="DC1781"/>
      <c r="FH1781"/>
      <c r="FI1781"/>
      <c r="FJ1781"/>
      <c r="FK1781"/>
      <c r="FL1781"/>
      <c r="FM1781"/>
      <c r="FN1781"/>
      <c r="FO1781"/>
      <c r="FP1781"/>
      <c r="FQ1781"/>
      <c r="FR1781"/>
      <c r="FS1781"/>
      <c r="FT1781"/>
      <c r="FU1781"/>
      <c r="FV1781"/>
      <c r="FW1781"/>
      <c r="FX1781"/>
      <c r="FY1781"/>
      <c r="FZ1781"/>
      <c r="GA1781"/>
      <c r="GB1781"/>
      <c r="GC1781"/>
      <c r="GD1781"/>
      <c r="GE1781"/>
      <c r="GF1781"/>
      <c r="GG1781"/>
      <c r="GH1781"/>
      <c r="GI1781"/>
      <c r="GJ1781"/>
      <c r="GK1781"/>
      <c r="GL1781"/>
      <c r="GM1781"/>
      <c r="GN1781"/>
      <c r="GO1781"/>
    </row>
    <row r="1782" spans="107:197">
      <c r="DC1782"/>
      <c r="FH1782"/>
      <c r="FI1782"/>
      <c r="FJ1782"/>
      <c r="FK1782"/>
      <c r="FL1782"/>
      <c r="FM1782"/>
      <c r="FN1782"/>
      <c r="FO1782"/>
      <c r="FP1782"/>
      <c r="FQ1782"/>
      <c r="FR1782"/>
      <c r="FS1782"/>
      <c r="FT1782"/>
      <c r="FU1782"/>
      <c r="FV1782"/>
      <c r="FW1782"/>
      <c r="FX1782"/>
      <c r="FY1782"/>
      <c r="FZ1782"/>
      <c r="GA1782"/>
      <c r="GB1782"/>
      <c r="GC1782"/>
      <c r="GD1782"/>
      <c r="GE1782"/>
      <c r="GF1782"/>
      <c r="GG1782"/>
      <c r="GH1782"/>
      <c r="GI1782"/>
      <c r="GJ1782"/>
      <c r="GK1782"/>
      <c r="GL1782"/>
      <c r="GM1782"/>
      <c r="GN1782"/>
      <c r="GO1782"/>
    </row>
    <row r="1783" spans="107:197">
      <c r="DC1783"/>
      <c r="FH1783"/>
      <c r="FI1783"/>
      <c r="FJ1783"/>
      <c r="FK1783"/>
      <c r="FL1783"/>
      <c r="FM1783"/>
      <c r="FN1783"/>
      <c r="FO1783"/>
      <c r="FP1783"/>
      <c r="FQ1783"/>
      <c r="FR1783"/>
      <c r="FS1783"/>
      <c r="FT1783"/>
      <c r="FU1783"/>
      <c r="FV1783"/>
      <c r="FW1783"/>
      <c r="FX1783"/>
      <c r="FY1783"/>
      <c r="FZ1783"/>
      <c r="GA1783"/>
      <c r="GB1783"/>
      <c r="GC1783"/>
      <c r="GD1783"/>
      <c r="GE1783"/>
      <c r="GF1783"/>
      <c r="GG1783"/>
      <c r="GH1783"/>
      <c r="GI1783"/>
      <c r="GJ1783"/>
      <c r="GK1783"/>
      <c r="GL1783"/>
      <c r="GM1783"/>
      <c r="GN1783"/>
      <c r="GO1783"/>
    </row>
    <row r="1784" spans="107:197">
      <c r="DC1784"/>
      <c r="FH1784"/>
      <c r="FI1784"/>
      <c r="FJ1784"/>
      <c r="FK1784"/>
      <c r="FL1784"/>
      <c r="FM1784"/>
      <c r="FN1784"/>
      <c r="FO1784"/>
      <c r="FP1784"/>
      <c r="FQ1784"/>
      <c r="FR1784"/>
      <c r="FS1784"/>
      <c r="FT1784"/>
      <c r="FU1784"/>
      <c r="FV1784"/>
      <c r="FW1784"/>
      <c r="FX1784"/>
      <c r="FY1784"/>
      <c r="FZ1784"/>
      <c r="GA1784"/>
      <c r="GB1784"/>
      <c r="GC1784"/>
      <c r="GD1784"/>
      <c r="GE1784"/>
      <c r="GF1784"/>
      <c r="GG1784"/>
      <c r="GH1784"/>
      <c r="GI1784"/>
      <c r="GJ1784"/>
      <c r="GK1784"/>
      <c r="GL1784"/>
      <c r="GM1784"/>
      <c r="GN1784"/>
      <c r="GO1784"/>
    </row>
    <row r="1785" spans="107:197">
      <c r="DC1785"/>
      <c r="FH1785"/>
      <c r="FI1785"/>
      <c r="FJ1785"/>
      <c r="FK1785"/>
      <c r="FL1785"/>
      <c r="FM1785"/>
      <c r="FN1785"/>
      <c r="FO1785"/>
      <c r="FP1785"/>
      <c r="FQ1785"/>
      <c r="FR1785"/>
      <c r="FS1785"/>
      <c r="FT1785"/>
      <c r="FU1785"/>
      <c r="FV1785"/>
      <c r="FW1785"/>
      <c r="FX1785"/>
      <c r="FY1785"/>
      <c r="FZ1785"/>
      <c r="GA1785"/>
      <c r="GB1785"/>
      <c r="GC1785"/>
      <c r="GD1785"/>
      <c r="GE1785"/>
      <c r="GF1785"/>
      <c r="GG1785"/>
      <c r="GH1785"/>
      <c r="GI1785"/>
      <c r="GJ1785"/>
      <c r="GK1785"/>
      <c r="GL1785"/>
      <c r="GM1785"/>
      <c r="GN1785"/>
      <c r="GO1785"/>
    </row>
    <row r="1786" spans="107:197">
      <c r="DC1786"/>
      <c r="FH1786"/>
      <c r="FI1786"/>
      <c r="FJ1786"/>
      <c r="FK1786"/>
      <c r="FL1786"/>
      <c r="FM1786"/>
      <c r="FN1786"/>
      <c r="FO1786"/>
      <c r="FP1786"/>
      <c r="FQ1786"/>
      <c r="FR1786"/>
      <c r="FS1786"/>
      <c r="FT1786"/>
      <c r="FU1786"/>
      <c r="FV1786"/>
      <c r="FW1786"/>
      <c r="FX1786"/>
      <c r="FY1786"/>
      <c r="FZ1786"/>
      <c r="GA1786"/>
      <c r="GB1786"/>
      <c r="GC1786"/>
      <c r="GD1786"/>
      <c r="GE1786"/>
      <c r="GF1786"/>
      <c r="GG1786"/>
      <c r="GH1786"/>
      <c r="GI1786"/>
      <c r="GJ1786"/>
      <c r="GK1786"/>
      <c r="GL1786"/>
      <c r="GM1786"/>
      <c r="GN1786"/>
      <c r="GO1786"/>
    </row>
    <row r="1787" spans="107:197">
      <c r="DC1787"/>
      <c r="FH1787"/>
      <c r="FI1787"/>
      <c r="FJ1787"/>
      <c r="FK1787"/>
      <c r="FL1787"/>
      <c r="FM1787"/>
      <c r="FN1787"/>
      <c r="FO1787"/>
      <c r="FP1787"/>
      <c r="FQ1787"/>
      <c r="FR1787"/>
      <c r="FS1787"/>
      <c r="FT1787"/>
      <c r="FU1787"/>
      <c r="FV1787"/>
      <c r="FW1787"/>
      <c r="FX1787"/>
      <c r="FY1787"/>
      <c r="FZ1787"/>
      <c r="GA1787"/>
      <c r="GB1787"/>
      <c r="GC1787"/>
      <c r="GD1787"/>
      <c r="GE1787"/>
      <c r="GF1787"/>
      <c r="GG1787"/>
      <c r="GH1787"/>
      <c r="GI1787"/>
      <c r="GJ1787"/>
      <c r="GK1787"/>
      <c r="GL1787"/>
      <c r="GM1787"/>
      <c r="GN1787"/>
      <c r="GO1787"/>
    </row>
    <row r="1788" spans="107:197">
      <c r="DC1788"/>
      <c r="FH1788"/>
      <c r="FI1788"/>
      <c r="FJ1788"/>
      <c r="FK1788"/>
      <c r="FL1788"/>
      <c r="FM1788"/>
      <c r="FN1788"/>
      <c r="FO1788"/>
      <c r="FP1788"/>
      <c r="FQ1788"/>
      <c r="FR1788"/>
      <c r="FS1788"/>
      <c r="FT1788"/>
      <c r="FU1788"/>
      <c r="FV1788"/>
      <c r="FW1788"/>
      <c r="FX1788"/>
      <c r="FY1788"/>
      <c r="FZ1788"/>
      <c r="GA1788"/>
      <c r="GB1788"/>
      <c r="GC1788"/>
      <c r="GD1788"/>
      <c r="GE1788"/>
      <c r="GF1788"/>
      <c r="GG1788"/>
      <c r="GH1788"/>
      <c r="GI1788"/>
      <c r="GJ1788"/>
      <c r="GK1788"/>
      <c r="GL1788"/>
      <c r="GM1788"/>
      <c r="GN1788"/>
      <c r="GO1788"/>
    </row>
    <row r="1789" spans="107:197">
      <c r="DC1789"/>
      <c r="FH1789"/>
      <c r="FI1789"/>
      <c r="FJ1789"/>
      <c r="FK1789"/>
      <c r="FL1789"/>
      <c r="FM1789"/>
      <c r="FN1789"/>
      <c r="FO1789"/>
      <c r="FP1789"/>
      <c r="FQ1789"/>
      <c r="FR1789"/>
      <c r="FS1789"/>
      <c r="FT1789"/>
      <c r="FU1789"/>
      <c r="FV1789"/>
      <c r="FW1789"/>
      <c r="FX1789"/>
      <c r="FY1789"/>
      <c r="FZ1789"/>
      <c r="GA1789"/>
      <c r="GB1789"/>
      <c r="GC1789"/>
      <c r="GD1789"/>
      <c r="GE1789"/>
      <c r="GF1789"/>
      <c r="GG1789"/>
      <c r="GH1789"/>
      <c r="GI1789"/>
      <c r="GJ1789"/>
      <c r="GK1789"/>
      <c r="GL1789"/>
      <c r="GM1789"/>
      <c r="GN1789"/>
      <c r="GO1789"/>
    </row>
    <row r="1790" spans="107:197">
      <c r="DC1790"/>
      <c r="FH1790"/>
      <c r="FI1790"/>
      <c r="FJ1790"/>
      <c r="FK1790"/>
      <c r="FL1790"/>
      <c r="FM1790"/>
      <c r="FN1790"/>
      <c r="FO1790"/>
      <c r="FP1790"/>
      <c r="FQ1790"/>
      <c r="FR1790"/>
      <c r="FS1790"/>
      <c r="FT1790"/>
      <c r="FU1790"/>
      <c r="FV1790"/>
      <c r="FW1790"/>
      <c r="FX1790"/>
      <c r="FY1790"/>
      <c r="FZ1790"/>
      <c r="GA1790"/>
      <c r="GB1790"/>
      <c r="GC1790"/>
      <c r="GD1790"/>
      <c r="GE1790"/>
      <c r="GF1790"/>
      <c r="GG1790"/>
      <c r="GH1790"/>
      <c r="GI1790"/>
      <c r="GJ1790"/>
      <c r="GK1790"/>
      <c r="GL1790"/>
      <c r="GM1790"/>
      <c r="GN1790"/>
      <c r="GO1790"/>
    </row>
    <row r="1791" spans="107:197">
      <c r="DC1791"/>
      <c r="FH1791"/>
      <c r="FI1791"/>
      <c r="FJ1791"/>
      <c r="FK1791"/>
      <c r="FL1791"/>
      <c r="FM1791"/>
      <c r="FN1791"/>
      <c r="FO1791"/>
      <c r="FP1791"/>
      <c r="FQ1791"/>
      <c r="FR1791"/>
      <c r="FS1791"/>
      <c r="FT1791"/>
      <c r="FU1791"/>
      <c r="FV1791"/>
      <c r="FW1791"/>
      <c r="FX1791"/>
      <c r="FY1791"/>
      <c r="FZ1791"/>
      <c r="GA1791"/>
      <c r="GB1791"/>
      <c r="GC1791"/>
      <c r="GD1791"/>
      <c r="GE1791"/>
      <c r="GF1791"/>
      <c r="GG1791"/>
      <c r="GH1791"/>
      <c r="GI1791"/>
      <c r="GJ1791"/>
      <c r="GK1791"/>
      <c r="GL1791"/>
      <c r="GM1791"/>
      <c r="GN1791"/>
      <c r="GO1791"/>
    </row>
    <row r="1792" spans="107:197">
      <c r="DC1792"/>
      <c r="FH1792"/>
      <c r="FI1792"/>
      <c r="FJ1792"/>
      <c r="FK1792"/>
      <c r="FL1792"/>
      <c r="FM1792"/>
      <c r="FN1792"/>
      <c r="FO1792"/>
      <c r="FP1792"/>
      <c r="FQ1792"/>
      <c r="FR1792"/>
      <c r="FS1792"/>
      <c r="FT1792"/>
      <c r="FU1792"/>
      <c r="FV1792"/>
      <c r="FW1792"/>
      <c r="FX1792"/>
      <c r="FY1792"/>
      <c r="FZ1792"/>
      <c r="GA1792"/>
      <c r="GB1792"/>
      <c r="GC1792"/>
      <c r="GD1792"/>
      <c r="GE1792"/>
      <c r="GF1792"/>
      <c r="GG1792"/>
      <c r="GH1792"/>
      <c r="GI1792"/>
      <c r="GJ1792"/>
      <c r="GK1792"/>
      <c r="GL1792"/>
      <c r="GM1792"/>
      <c r="GN1792"/>
      <c r="GO1792"/>
    </row>
    <row r="1793" spans="107:197">
      <c r="DC1793"/>
      <c r="FH1793"/>
      <c r="FI1793"/>
      <c r="FJ1793"/>
      <c r="FK1793"/>
      <c r="FL1793"/>
      <c r="FM1793"/>
      <c r="FN1793"/>
      <c r="FO1793"/>
      <c r="FP1793"/>
      <c r="FQ1793"/>
      <c r="FR1793"/>
      <c r="FS1793"/>
      <c r="FT1793"/>
      <c r="FU1793"/>
      <c r="FV1793"/>
      <c r="FW1793"/>
      <c r="FX1793"/>
      <c r="FY1793"/>
      <c r="FZ1793"/>
      <c r="GA1793"/>
      <c r="GB1793"/>
      <c r="GC1793"/>
      <c r="GD1793"/>
      <c r="GE1793"/>
      <c r="GF1793"/>
      <c r="GG1793"/>
      <c r="GH1793"/>
      <c r="GI1793"/>
      <c r="GJ1793"/>
      <c r="GK1793"/>
      <c r="GL1793"/>
      <c r="GM1793"/>
      <c r="GN1793"/>
      <c r="GO1793"/>
    </row>
    <row r="1794" spans="107:197">
      <c r="DC1794"/>
      <c r="FH1794"/>
      <c r="FI1794"/>
      <c r="FJ1794"/>
      <c r="FK1794"/>
      <c r="FL1794"/>
      <c r="FM1794"/>
      <c r="FN1794"/>
      <c r="FO1794"/>
      <c r="FP1794"/>
      <c r="FQ1794"/>
      <c r="FR1794"/>
      <c r="FS1794"/>
      <c r="FT1794"/>
      <c r="FU1794"/>
      <c r="FV1794"/>
      <c r="FW1794"/>
      <c r="FX1794"/>
      <c r="FY1794"/>
      <c r="FZ1794"/>
      <c r="GA1794"/>
      <c r="GB1794"/>
      <c r="GC1794"/>
      <c r="GD1794"/>
      <c r="GE1794"/>
      <c r="GF1794"/>
      <c r="GG1794"/>
      <c r="GH1794"/>
      <c r="GI1794"/>
      <c r="GJ1794"/>
      <c r="GK1794"/>
      <c r="GL1794"/>
      <c r="GM1794"/>
      <c r="GN1794"/>
      <c r="GO1794"/>
    </row>
    <row r="1795" spans="107:197">
      <c r="DC1795"/>
      <c r="FH1795"/>
      <c r="FI1795"/>
      <c r="FJ1795"/>
      <c r="FK1795"/>
      <c r="FL1795"/>
      <c r="FM1795"/>
      <c r="FN1795"/>
      <c r="FO1795"/>
      <c r="FP1795"/>
      <c r="FQ1795"/>
      <c r="FR1795"/>
      <c r="FS1795"/>
      <c r="FT1795"/>
      <c r="FU1795"/>
      <c r="FV1795"/>
      <c r="FW1795"/>
      <c r="FX1795"/>
      <c r="FY1795"/>
      <c r="FZ1795"/>
      <c r="GA1795"/>
      <c r="GB1795"/>
      <c r="GC1795"/>
      <c r="GD1795"/>
      <c r="GE1795"/>
      <c r="GF1795"/>
      <c r="GG1795"/>
      <c r="GH1795"/>
      <c r="GI1795"/>
      <c r="GJ1795"/>
      <c r="GK1795"/>
      <c r="GL1795"/>
      <c r="GM1795"/>
      <c r="GN1795"/>
      <c r="GO1795"/>
    </row>
    <row r="1796" spans="107:197">
      <c r="DC1796"/>
      <c r="FH1796"/>
      <c r="FI1796"/>
      <c r="FJ1796"/>
      <c r="FK1796"/>
      <c r="FL1796"/>
      <c r="FM1796"/>
      <c r="FN1796"/>
      <c r="FO1796"/>
      <c r="FP1796"/>
      <c r="FQ1796"/>
      <c r="FR1796"/>
      <c r="FS1796"/>
      <c r="FT1796"/>
      <c r="FU1796"/>
      <c r="FV1796"/>
      <c r="FW1796"/>
      <c r="FX1796"/>
      <c r="FY1796"/>
      <c r="FZ1796"/>
      <c r="GA1796"/>
      <c r="GB1796"/>
      <c r="GC1796"/>
      <c r="GD1796"/>
      <c r="GE1796"/>
      <c r="GF1796"/>
      <c r="GG1796"/>
      <c r="GH1796"/>
      <c r="GI1796"/>
      <c r="GJ1796"/>
      <c r="GK1796"/>
      <c r="GL1796"/>
      <c r="GM1796"/>
      <c r="GN1796"/>
      <c r="GO1796"/>
    </row>
    <row r="1797" spans="107:197">
      <c r="DC1797"/>
      <c r="FH1797"/>
      <c r="FI1797"/>
      <c r="FJ1797"/>
      <c r="FK1797"/>
      <c r="FL1797"/>
      <c r="FM1797"/>
      <c r="FN1797"/>
      <c r="FO1797"/>
      <c r="FP1797"/>
      <c r="FQ1797"/>
      <c r="FR1797"/>
      <c r="FS1797"/>
      <c r="FT1797"/>
      <c r="FU1797"/>
      <c r="FV1797"/>
      <c r="FW1797"/>
      <c r="FX1797"/>
      <c r="FY1797"/>
      <c r="FZ1797"/>
      <c r="GA1797"/>
      <c r="GB1797"/>
      <c r="GC1797"/>
      <c r="GD1797"/>
      <c r="GE1797"/>
      <c r="GF1797"/>
      <c r="GG1797"/>
      <c r="GH1797"/>
      <c r="GI1797"/>
      <c r="GJ1797"/>
      <c r="GK1797"/>
      <c r="GL1797"/>
      <c r="GM1797"/>
      <c r="GN1797"/>
      <c r="GO1797"/>
    </row>
    <row r="1798" spans="107:197">
      <c r="DC1798"/>
      <c r="FH1798"/>
      <c r="FI1798"/>
      <c r="FJ1798"/>
      <c r="FK1798"/>
      <c r="FL1798"/>
      <c r="FM1798"/>
      <c r="FN1798"/>
      <c r="FO1798"/>
      <c r="FP1798"/>
      <c r="FQ1798"/>
      <c r="FR1798"/>
      <c r="FS1798"/>
      <c r="FT1798"/>
      <c r="FU1798"/>
      <c r="FV1798"/>
      <c r="FW1798"/>
      <c r="FX1798"/>
      <c r="FY1798"/>
      <c r="FZ1798"/>
      <c r="GA1798"/>
      <c r="GB1798"/>
      <c r="GC1798"/>
      <c r="GD1798"/>
      <c r="GE1798"/>
      <c r="GF1798"/>
      <c r="GG1798"/>
      <c r="GH1798"/>
      <c r="GI1798"/>
      <c r="GJ1798"/>
      <c r="GK1798"/>
      <c r="GL1798"/>
      <c r="GM1798"/>
      <c r="GN1798"/>
      <c r="GO1798"/>
    </row>
    <row r="1799" spans="107:197">
      <c r="DC1799"/>
      <c r="FH1799"/>
      <c r="FI1799"/>
      <c r="FJ1799"/>
      <c r="FK1799"/>
      <c r="FL1799"/>
      <c r="FM1799"/>
      <c r="FN1799"/>
      <c r="FO1799"/>
      <c r="FP1799"/>
      <c r="FQ1799"/>
      <c r="FR1799"/>
      <c r="FS1799"/>
      <c r="FT1799"/>
      <c r="FU1799"/>
      <c r="FV1799"/>
      <c r="FW1799"/>
      <c r="FX1799"/>
      <c r="FY1799"/>
      <c r="FZ1799"/>
      <c r="GA1799"/>
      <c r="GB1799"/>
      <c r="GC1799"/>
      <c r="GD1799"/>
      <c r="GE1799"/>
      <c r="GF1799"/>
      <c r="GG1799"/>
      <c r="GH1799"/>
      <c r="GI1799"/>
      <c r="GJ1799"/>
      <c r="GK1799"/>
      <c r="GL1799"/>
      <c r="GM1799"/>
      <c r="GN1799"/>
      <c r="GO1799"/>
    </row>
    <row r="1800" spans="107:197">
      <c r="DC1800"/>
      <c r="FH1800"/>
      <c r="FI1800"/>
      <c r="FJ1800"/>
      <c r="FK1800"/>
      <c r="FL1800"/>
      <c r="FM1800"/>
      <c r="FN1800"/>
      <c r="FO1800"/>
      <c r="FP1800"/>
      <c r="FQ1800"/>
      <c r="FR1800"/>
      <c r="FS1800"/>
      <c r="FT1800"/>
      <c r="FU1800"/>
      <c r="FV1800"/>
      <c r="FW1800"/>
      <c r="FX1800"/>
      <c r="FY1800"/>
      <c r="FZ1800"/>
      <c r="GA1800"/>
      <c r="GB1800"/>
      <c r="GC1800"/>
      <c r="GD1800"/>
      <c r="GE1800"/>
      <c r="GF1800"/>
      <c r="GG1800"/>
      <c r="GH1800"/>
      <c r="GI1800"/>
      <c r="GJ1800"/>
      <c r="GK1800"/>
      <c r="GL1800"/>
      <c r="GM1800"/>
      <c r="GN1800"/>
      <c r="GO1800"/>
    </row>
    <row r="1801" spans="107:197">
      <c r="DC1801"/>
      <c r="FH1801"/>
      <c r="FI1801"/>
      <c r="FJ1801"/>
      <c r="FK1801"/>
      <c r="FL1801"/>
      <c r="FM1801"/>
      <c r="FN1801"/>
      <c r="FO1801"/>
      <c r="FP1801"/>
      <c r="FQ1801"/>
      <c r="FR1801"/>
      <c r="FS1801"/>
      <c r="FT1801"/>
      <c r="FU1801"/>
      <c r="FV1801"/>
      <c r="FW1801"/>
      <c r="FX1801"/>
      <c r="FY1801"/>
      <c r="FZ1801"/>
      <c r="GA1801"/>
      <c r="GB1801"/>
      <c r="GC1801"/>
      <c r="GD1801"/>
      <c r="GE1801"/>
      <c r="GF1801"/>
      <c r="GG1801"/>
      <c r="GH1801"/>
      <c r="GI1801"/>
      <c r="GJ1801"/>
      <c r="GK1801"/>
      <c r="GL1801"/>
      <c r="GM1801"/>
      <c r="GN1801"/>
      <c r="GO1801"/>
    </row>
    <row r="1802" spans="107:197">
      <c r="DC1802"/>
      <c r="FH1802"/>
      <c r="FI1802"/>
      <c r="FJ1802"/>
      <c r="FK1802"/>
      <c r="FL1802"/>
      <c r="FM1802"/>
      <c r="FN1802"/>
      <c r="FO1802"/>
      <c r="FP1802"/>
      <c r="FQ1802"/>
      <c r="FR1802"/>
      <c r="FS1802"/>
      <c r="FT1802"/>
      <c r="FU1802"/>
      <c r="FV1802"/>
      <c r="FW1802"/>
      <c r="FX1802"/>
      <c r="FY1802"/>
      <c r="FZ1802"/>
      <c r="GA1802"/>
      <c r="GB1802"/>
      <c r="GC1802"/>
      <c r="GD1802"/>
      <c r="GE1802"/>
      <c r="GF1802"/>
      <c r="GG1802"/>
      <c r="GH1802"/>
      <c r="GI1802"/>
      <c r="GJ1802"/>
      <c r="GK1802"/>
      <c r="GL1802"/>
      <c r="GM1802"/>
      <c r="GN1802"/>
      <c r="GO1802"/>
    </row>
    <row r="1803" spans="107:197">
      <c r="DC1803"/>
      <c r="FH1803"/>
      <c r="FI1803"/>
      <c r="FJ1803"/>
      <c r="FK1803"/>
      <c r="FL1803"/>
      <c r="FM1803"/>
      <c r="FN1803"/>
      <c r="FO1803"/>
      <c r="FP1803"/>
      <c r="FQ1803"/>
      <c r="FR1803"/>
      <c r="FS1803"/>
      <c r="FT1803"/>
      <c r="FU1803"/>
      <c r="FV1803"/>
      <c r="FW1803"/>
      <c r="FX1803"/>
      <c r="FY1803"/>
      <c r="FZ1803"/>
      <c r="GA1803"/>
      <c r="GB1803"/>
      <c r="GC1803"/>
      <c r="GD1803"/>
      <c r="GE1803"/>
      <c r="GF1803"/>
      <c r="GG1803"/>
      <c r="GH1803"/>
      <c r="GI1803"/>
      <c r="GJ1803"/>
      <c r="GK1803"/>
      <c r="GL1803"/>
      <c r="GM1803"/>
      <c r="GN1803"/>
      <c r="GO1803"/>
    </row>
    <row r="1804" spans="107:197">
      <c r="DC1804"/>
      <c r="FH1804"/>
      <c r="FI1804"/>
      <c r="FJ1804"/>
      <c r="FK1804"/>
      <c r="FL1804"/>
      <c r="FM1804"/>
      <c r="FN1804"/>
      <c r="FO1804"/>
      <c r="FP1804"/>
      <c r="FQ1804"/>
      <c r="FR1804"/>
      <c r="FS1804"/>
      <c r="FT1804"/>
      <c r="FU1804"/>
      <c r="FV1804"/>
      <c r="FW1804"/>
      <c r="FX1804"/>
      <c r="FY1804"/>
      <c r="FZ1804"/>
      <c r="GA1804"/>
      <c r="GB1804"/>
      <c r="GC1804"/>
      <c r="GD1804"/>
      <c r="GE1804"/>
      <c r="GF1804"/>
      <c r="GG1804"/>
      <c r="GH1804"/>
      <c r="GI1804"/>
      <c r="GJ1804"/>
      <c r="GK1804"/>
      <c r="GL1804"/>
      <c r="GM1804"/>
      <c r="GN1804"/>
      <c r="GO1804"/>
    </row>
    <row r="1805" spans="107:197">
      <c r="DC1805"/>
      <c r="FH1805"/>
      <c r="FI1805"/>
      <c r="FJ1805"/>
      <c r="FK1805"/>
      <c r="FL1805"/>
      <c r="FM1805"/>
      <c r="FN1805"/>
      <c r="FO1805"/>
      <c r="FP1805"/>
      <c r="FQ1805"/>
      <c r="FR1805"/>
      <c r="FS1805"/>
      <c r="FT1805"/>
      <c r="FU1805"/>
      <c r="FV1805"/>
      <c r="FW1805"/>
      <c r="FX1805"/>
      <c r="FY1805"/>
      <c r="FZ1805"/>
      <c r="GA1805"/>
      <c r="GB1805"/>
      <c r="GC1805"/>
      <c r="GD1805"/>
      <c r="GE1805"/>
      <c r="GF1805"/>
      <c r="GG1805"/>
      <c r="GH1805"/>
      <c r="GI1805"/>
      <c r="GJ1805"/>
      <c r="GK1805"/>
      <c r="GL1805"/>
      <c r="GM1805"/>
      <c r="GN1805"/>
      <c r="GO1805"/>
    </row>
    <row r="1806" spans="107:197">
      <c r="DC1806"/>
      <c r="FH1806"/>
      <c r="FI1806"/>
      <c r="FJ1806"/>
      <c r="FK1806"/>
      <c r="FL1806"/>
      <c r="FM1806"/>
      <c r="FN1806"/>
      <c r="FO1806"/>
      <c r="FP1806"/>
      <c r="FQ1806"/>
      <c r="FR1806"/>
      <c r="FS1806"/>
      <c r="FT1806"/>
      <c r="FU1806"/>
      <c r="FV1806"/>
      <c r="FW1806"/>
      <c r="FX1806"/>
      <c r="FY1806"/>
      <c r="FZ1806"/>
      <c r="GA1806"/>
      <c r="GB1806"/>
      <c r="GC1806"/>
      <c r="GD1806"/>
      <c r="GE1806"/>
      <c r="GF1806"/>
      <c r="GG1806"/>
      <c r="GH1806"/>
      <c r="GI1806"/>
      <c r="GJ1806"/>
      <c r="GK1806"/>
      <c r="GL1806"/>
      <c r="GM1806"/>
      <c r="GN1806"/>
      <c r="GO1806"/>
    </row>
    <row r="1807" spans="107:197">
      <c r="DC1807"/>
      <c r="FH1807"/>
      <c r="FI1807"/>
      <c r="FJ1807"/>
      <c r="FK1807"/>
      <c r="FL1807"/>
      <c r="FM1807"/>
      <c r="FN1807"/>
      <c r="FO1807"/>
      <c r="FP1807"/>
      <c r="FQ1807"/>
      <c r="FR1807"/>
      <c r="FS1807"/>
      <c r="FT1807"/>
      <c r="FU1807"/>
      <c r="FV1807"/>
      <c r="FW1807"/>
      <c r="FX1807"/>
      <c r="FY1807"/>
      <c r="FZ1807"/>
      <c r="GA1807"/>
      <c r="GB1807"/>
      <c r="GC1807"/>
      <c r="GD1807"/>
      <c r="GE1807"/>
      <c r="GF1807"/>
      <c r="GG1807"/>
      <c r="GH1807"/>
      <c r="GI1807"/>
      <c r="GJ1807"/>
      <c r="GK1807"/>
      <c r="GL1807"/>
      <c r="GM1807"/>
      <c r="GN1807"/>
      <c r="GO1807"/>
    </row>
    <row r="1808" spans="107:197">
      <c r="DC1808"/>
      <c r="FH1808"/>
      <c r="FI1808"/>
      <c r="FJ1808"/>
      <c r="FK1808"/>
      <c r="FL1808"/>
      <c r="FM1808"/>
      <c r="FN1808"/>
      <c r="FO1808"/>
      <c r="FP1808"/>
      <c r="FQ1808"/>
      <c r="FR1808"/>
      <c r="FS1808"/>
      <c r="FT1808"/>
      <c r="FU1808"/>
      <c r="FV1808"/>
      <c r="FW1808"/>
      <c r="FX1808"/>
      <c r="FY1808"/>
      <c r="FZ1808"/>
      <c r="GA1808"/>
      <c r="GB1808"/>
      <c r="GC1808"/>
      <c r="GD1808"/>
      <c r="GE1808"/>
      <c r="GF1808"/>
      <c r="GG1808"/>
      <c r="GH1808"/>
      <c r="GI1808"/>
      <c r="GJ1808"/>
      <c r="GK1808"/>
      <c r="GL1808"/>
      <c r="GM1808"/>
      <c r="GN1808"/>
      <c r="GO1808"/>
    </row>
    <row r="1809" spans="107:197">
      <c r="DC1809"/>
      <c r="FH1809"/>
      <c r="FI1809"/>
      <c r="FJ1809"/>
      <c r="FK1809"/>
      <c r="FL1809"/>
      <c r="FM1809"/>
      <c r="FN1809"/>
      <c r="FO1809"/>
      <c r="FP1809"/>
      <c r="FQ1809"/>
      <c r="FR1809"/>
      <c r="FS1809"/>
      <c r="FT1809"/>
      <c r="FU1809"/>
      <c r="FV1809"/>
      <c r="FW1809"/>
      <c r="FX1809"/>
      <c r="FY1809"/>
      <c r="FZ1809"/>
      <c r="GA1809"/>
      <c r="GB1809"/>
      <c r="GC1809"/>
      <c r="GD1809"/>
      <c r="GE1809"/>
      <c r="GF1809"/>
      <c r="GG1809"/>
      <c r="GH1809"/>
      <c r="GI1809"/>
      <c r="GJ1809"/>
      <c r="GK1809"/>
      <c r="GL1809"/>
      <c r="GM1809"/>
      <c r="GN1809"/>
      <c r="GO1809"/>
    </row>
    <row r="1810" spans="107:197">
      <c r="DC1810"/>
      <c r="FH1810"/>
      <c r="FI1810"/>
      <c r="FJ1810"/>
      <c r="FK1810"/>
      <c r="FL1810"/>
      <c r="FM1810"/>
      <c r="FN1810"/>
      <c r="FO1810"/>
      <c r="FP1810"/>
      <c r="FQ1810"/>
      <c r="FR1810"/>
      <c r="FS1810"/>
      <c r="FT1810"/>
      <c r="FU1810"/>
      <c r="FV1810"/>
      <c r="FW1810"/>
      <c r="FX1810"/>
      <c r="FY1810"/>
      <c r="FZ1810"/>
      <c r="GA1810"/>
      <c r="GB1810"/>
      <c r="GC1810"/>
      <c r="GD1810"/>
      <c r="GE1810"/>
      <c r="GF1810"/>
      <c r="GG1810"/>
      <c r="GH1810"/>
      <c r="GI1810"/>
      <c r="GJ1810"/>
      <c r="GK1810"/>
      <c r="GL1810"/>
      <c r="GM1810"/>
      <c r="GN1810"/>
      <c r="GO1810"/>
    </row>
    <row r="1811" spans="107:197">
      <c r="DC1811"/>
      <c r="FH1811"/>
      <c r="FI1811"/>
      <c r="FJ1811"/>
      <c r="FK1811"/>
      <c r="FL1811"/>
      <c r="FM1811"/>
      <c r="FN1811"/>
      <c r="FO1811"/>
      <c r="FP1811"/>
      <c r="FQ1811"/>
      <c r="FR1811"/>
      <c r="FS1811"/>
      <c r="FT1811"/>
      <c r="FU1811"/>
      <c r="FV1811"/>
      <c r="FW1811"/>
      <c r="FX1811"/>
      <c r="FY1811"/>
      <c r="FZ1811"/>
      <c r="GA1811"/>
      <c r="GB1811"/>
      <c r="GC1811"/>
      <c r="GD1811"/>
      <c r="GE1811"/>
      <c r="GF1811"/>
      <c r="GG1811"/>
      <c r="GH1811"/>
      <c r="GI1811"/>
      <c r="GJ1811"/>
      <c r="GK1811"/>
      <c r="GL1811"/>
      <c r="GM1811"/>
      <c r="GN1811"/>
      <c r="GO1811"/>
    </row>
    <row r="1812" spans="107:197">
      <c r="DC1812"/>
      <c r="FH1812"/>
      <c r="FI1812"/>
      <c r="FJ1812"/>
      <c r="FK1812"/>
      <c r="FL1812"/>
      <c r="FM1812"/>
      <c r="FN1812"/>
      <c r="FO1812"/>
      <c r="FP1812"/>
      <c r="FQ1812"/>
      <c r="FR1812"/>
      <c r="FS1812"/>
      <c r="FT1812"/>
      <c r="FU1812"/>
      <c r="FV1812"/>
      <c r="FW1812"/>
      <c r="FX1812"/>
      <c r="FY1812"/>
      <c r="FZ1812"/>
      <c r="GA1812"/>
      <c r="GB1812"/>
      <c r="GC1812"/>
      <c r="GD1812"/>
      <c r="GE1812"/>
      <c r="GF1812"/>
      <c r="GG1812"/>
      <c r="GH1812"/>
      <c r="GI1812"/>
      <c r="GJ1812"/>
      <c r="GK1812"/>
      <c r="GL1812"/>
      <c r="GM1812"/>
      <c r="GN1812"/>
      <c r="GO1812"/>
    </row>
    <row r="1813" spans="107:197">
      <c r="DC1813"/>
      <c r="FH1813"/>
      <c r="FI1813"/>
      <c r="FJ1813"/>
      <c r="FK1813"/>
      <c r="FL1813"/>
      <c r="FM1813"/>
      <c r="FN1813"/>
      <c r="FO1813"/>
      <c r="FP1813"/>
      <c r="FQ1813"/>
      <c r="FR1813"/>
      <c r="FS1813"/>
      <c r="FT1813"/>
      <c r="FU1813"/>
      <c r="FV1813"/>
      <c r="FW1813"/>
      <c r="FX1813"/>
      <c r="FY1813"/>
      <c r="FZ1813"/>
      <c r="GA1813"/>
      <c r="GB1813"/>
      <c r="GC1813"/>
      <c r="GD1813"/>
      <c r="GE1813"/>
      <c r="GF1813"/>
      <c r="GG1813"/>
      <c r="GH1813"/>
      <c r="GI1813"/>
      <c r="GJ1813"/>
      <c r="GK1813"/>
      <c r="GL1813"/>
      <c r="GM1813"/>
      <c r="GN1813"/>
      <c r="GO1813"/>
    </row>
    <row r="1814" spans="107:197">
      <c r="DC1814"/>
      <c r="FH1814"/>
      <c r="FI1814"/>
      <c r="FJ1814"/>
      <c r="FK1814"/>
      <c r="FL1814"/>
      <c r="FM1814"/>
      <c r="FN1814"/>
      <c r="FO1814"/>
      <c r="FP1814"/>
      <c r="FQ1814"/>
      <c r="FR1814"/>
      <c r="FS1814"/>
      <c r="FT1814"/>
      <c r="FU1814"/>
      <c r="FV1814"/>
      <c r="FW1814"/>
      <c r="FX1814"/>
      <c r="FY1814"/>
      <c r="FZ1814"/>
      <c r="GA1814"/>
      <c r="GB1814"/>
      <c r="GC1814"/>
      <c r="GD1814"/>
      <c r="GE1814"/>
      <c r="GF1814"/>
      <c r="GG1814"/>
      <c r="GH1814"/>
      <c r="GI1814"/>
      <c r="GJ1814"/>
      <c r="GK1814"/>
      <c r="GL1814"/>
      <c r="GM1814"/>
      <c r="GN1814"/>
      <c r="GO1814"/>
    </row>
    <row r="1815" spans="107:197">
      <c r="DC1815"/>
      <c r="FH1815"/>
      <c r="FI1815"/>
      <c r="FJ1815"/>
      <c r="FK1815"/>
      <c r="FL1815"/>
      <c r="FM1815"/>
      <c r="FN1815"/>
      <c r="FO1815"/>
      <c r="FP1815"/>
      <c r="FQ1815"/>
      <c r="FR1815"/>
      <c r="FS1815"/>
      <c r="FT1815"/>
      <c r="FU1815"/>
      <c r="FV1815"/>
      <c r="FW1815"/>
      <c r="FX1815"/>
      <c r="FY1815"/>
      <c r="FZ1815"/>
      <c r="GA1815"/>
      <c r="GB1815"/>
      <c r="GC1815"/>
      <c r="GD1815"/>
      <c r="GE1815"/>
      <c r="GF1815"/>
      <c r="GG1815"/>
      <c r="GH1815"/>
      <c r="GI1815"/>
      <c r="GJ1815"/>
      <c r="GK1815"/>
      <c r="GL1815"/>
      <c r="GM1815"/>
      <c r="GN1815"/>
      <c r="GO1815"/>
    </row>
    <row r="1816" spans="107:197">
      <c r="DC1816"/>
      <c r="FH1816"/>
      <c r="FI1816"/>
      <c r="FJ1816"/>
      <c r="FK1816"/>
      <c r="FL1816"/>
      <c r="FM1816"/>
      <c r="FN1816"/>
      <c r="FO1816"/>
      <c r="FP1816"/>
      <c r="FQ1816"/>
      <c r="FR1816"/>
      <c r="FS1816"/>
      <c r="FT1816"/>
      <c r="FU1816"/>
      <c r="FV1816"/>
      <c r="FW1816"/>
      <c r="FX1816"/>
      <c r="FY1816"/>
      <c r="FZ1816"/>
      <c r="GA1816"/>
      <c r="GB1816"/>
      <c r="GC1816"/>
      <c r="GD1816"/>
      <c r="GE1816"/>
      <c r="GF1816"/>
      <c r="GG1816"/>
      <c r="GH1816"/>
      <c r="GI1816"/>
      <c r="GJ1816"/>
      <c r="GK1816"/>
      <c r="GL1816"/>
      <c r="GM1816"/>
      <c r="GN1816"/>
      <c r="GO1816"/>
    </row>
    <row r="1817" spans="107:197">
      <c r="DC1817"/>
      <c r="FH1817"/>
      <c r="FI1817"/>
      <c r="FJ1817"/>
      <c r="FK1817"/>
      <c r="FL1817"/>
      <c r="FM1817"/>
      <c r="FN1817"/>
      <c r="FO1817"/>
      <c r="FP1817"/>
      <c r="FQ1817"/>
      <c r="FR1817"/>
      <c r="FS1817"/>
      <c r="FT1817"/>
      <c r="FU1817"/>
      <c r="FV1817"/>
      <c r="FW1817"/>
      <c r="FX1817"/>
      <c r="FY1817"/>
      <c r="FZ1817"/>
      <c r="GA1817"/>
      <c r="GB1817"/>
      <c r="GC1817"/>
      <c r="GD1817"/>
      <c r="GE1817"/>
      <c r="GF1817"/>
      <c r="GG1817"/>
      <c r="GH1817"/>
      <c r="GI1817"/>
      <c r="GJ1817"/>
      <c r="GK1817"/>
      <c r="GL1817"/>
      <c r="GM1817"/>
      <c r="GN1817"/>
      <c r="GO1817"/>
    </row>
    <row r="1818" spans="107:197">
      <c r="DC1818"/>
      <c r="FH1818"/>
      <c r="FI1818"/>
      <c r="FJ1818"/>
      <c r="FK1818"/>
      <c r="FL1818"/>
      <c r="FM1818"/>
      <c r="FN1818"/>
      <c r="FO1818"/>
      <c r="FP1818"/>
      <c r="FQ1818"/>
      <c r="FR1818"/>
      <c r="FS1818"/>
      <c r="FT1818"/>
      <c r="FU1818"/>
      <c r="FV1818"/>
      <c r="FW1818"/>
      <c r="FX1818"/>
      <c r="FY1818"/>
      <c r="FZ1818"/>
      <c r="GA1818"/>
      <c r="GB1818"/>
      <c r="GC1818"/>
      <c r="GD1818"/>
      <c r="GE1818"/>
      <c r="GF1818"/>
      <c r="GG1818"/>
      <c r="GH1818"/>
      <c r="GI1818"/>
      <c r="GJ1818"/>
      <c r="GK1818"/>
      <c r="GL1818"/>
      <c r="GM1818"/>
      <c r="GN1818"/>
      <c r="GO1818"/>
    </row>
    <row r="1819" spans="107:197">
      <c r="DC1819"/>
      <c r="FH1819"/>
      <c r="FI1819"/>
      <c r="FJ1819"/>
      <c r="FK1819"/>
      <c r="FL1819"/>
      <c r="FM1819"/>
      <c r="FN1819"/>
      <c r="FO1819"/>
      <c r="FP1819"/>
      <c r="FQ1819"/>
      <c r="FR1819"/>
      <c r="FS1819"/>
      <c r="FT1819"/>
      <c r="FU1819"/>
      <c r="FV1819"/>
      <c r="FW1819"/>
      <c r="FX1819"/>
      <c r="FY1819"/>
      <c r="FZ1819"/>
      <c r="GA1819"/>
      <c r="GB1819"/>
      <c r="GC1819"/>
      <c r="GD1819"/>
      <c r="GE1819"/>
      <c r="GF1819"/>
      <c r="GG1819"/>
      <c r="GH1819"/>
      <c r="GI1819"/>
      <c r="GJ1819"/>
      <c r="GK1819"/>
      <c r="GL1819"/>
      <c r="GM1819"/>
      <c r="GN1819"/>
      <c r="GO1819"/>
    </row>
    <row r="1820" spans="107:197">
      <c r="DC1820"/>
      <c r="FH1820"/>
      <c r="FI1820"/>
      <c r="FJ1820"/>
      <c r="FK1820"/>
      <c r="FL1820"/>
      <c r="FM1820"/>
      <c r="FN1820"/>
      <c r="FO1820"/>
      <c r="FP1820"/>
      <c r="FQ1820"/>
      <c r="FR1820"/>
      <c r="FS1820"/>
      <c r="FT1820"/>
      <c r="FU1820"/>
      <c r="FV1820"/>
      <c r="FW1820"/>
      <c r="FX1820"/>
      <c r="FY1820"/>
      <c r="FZ1820"/>
      <c r="GA1820"/>
      <c r="GB1820"/>
      <c r="GC1820"/>
      <c r="GD1820"/>
      <c r="GE1820"/>
      <c r="GF1820"/>
      <c r="GG1820"/>
      <c r="GH1820"/>
      <c r="GI1820"/>
      <c r="GJ1820"/>
      <c r="GK1820"/>
      <c r="GL1820"/>
      <c r="GM1820"/>
      <c r="GN1820"/>
      <c r="GO1820"/>
    </row>
    <row r="1821" spans="107:197">
      <c r="DC1821"/>
      <c r="FH1821"/>
      <c r="FI1821"/>
      <c r="FJ1821"/>
      <c r="FK1821"/>
      <c r="FL1821"/>
      <c r="FM1821"/>
      <c r="FN1821"/>
      <c r="FO1821"/>
      <c r="FP1821"/>
      <c r="FQ1821"/>
      <c r="FR1821"/>
      <c r="FS1821"/>
      <c r="FT1821"/>
      <c r="FU1821"/>
      <c r="FV1821"/>
      <c r="FW1821"/>
      <c r="FX1821"/>
      <c r="FY1821"/>
      <c r="FZ1821"/>
      <c r="GA1821"/>
      <c r="GB1821"/>
      <c r="GC1821"/>
      <c r="GD1821"/>
      <c r="GE1821"/>
      <c r="GF1821"/>
      <c r="GG1821"/>
      <c r="GH1821"/>
      <c r="GI1821"/>
      <c r="GJ1821"/>
      <c r="GK1821"/>
      <c r="GL1821"/>
      <c r="GM1821"/>
      <c r="GN1821"/>
      <c r="GO1821"/>
    </row>
    <row r="1822" spans="107:197">
      <c r="DC1822"/>
      <c r="FH1822"/>
      <c r="FI1822"/>
      <c r="FJ1822"/>
      <c r="FK1822"/>
      <c r="FL1822"/>
      <c r="FM1822"/>
      <c r="FN1822"/>
      <c r="FO1822"/>
      <c r="FP1822"/>
      <c r="FQ1822"/>
      <c r="FR1822"/>
      <c r="FS1822"/>
      <c r="FT1822"/>
      <c r="FU1822"/>
      <c r="FV1822"/>
      <c r="FW1822"/>
      <c r="FX1822"/>
      <c r="FY1822"/>
      <c r="FZ1822"/>
      <c r="GA1822"/>
      <c r="GB1822"/>
      <c r="GC1822"/>
      <c r="GD1822"/>
      <c r="GE1822"/>
      <c r="GF1822"/>
      <c r="GG1822"/>
      <c r="GH1822"/>
      <c r="GI1822"/>
      <c r="GJ1822"/>
      <c r="GK1822"/>
      <c r="GL1822"/>
      <c r="GM1822"/>
      <c r="GN1822"/>
      <c r="GO1822"/>
    </row>
    <row r="1823" spans="107:197">
      <c r="DC1823"/>
      <c r="FH1823"/>
      <c r="FI1823"/>
      <c r="FJ1823"/>
      <c r="FK1823"/>
      <c r="FL1823"/>
      <c r="FM1823"/>
      <c r="FN1823"/>
      <c r="FO1823"/>
      <c r="FP1823"/>
      <c r="FQ1823"/>
      <c r="FR1823"/>
      <c r="FS1823"/>
      <c r="FT1823"/>
      <c r="FU1823"/>
      <c r="FV1823"/>
      <c r="FW1823"/>
      <c r="FX1823"/>
      <c r="FY1823"/>
      <c r="FZ1823"/>
      <c r="GA1823"/>
      <c r="GB1823"/>
      <c r="GC1823"/>
      <c r="GD1823"/>
      <c r="GE1823"/>
      <c r="GF1823"/>
      <c r="GG1823"/>
      <c r="GH1823"/>
      <c r="GI1823"/>
      <c r="GJ1823"/>
      <c r="GK1823"/>
      <c r="GL1823"/>
      <c r="GM1823"/>
      <c r="GN1823"/>
      <c r="GO1823"/>
    </row>
    <row r="1824" spans="107:197">
      <c r="DC1824"/>
      <c r="FH1824"/>
      <c r="FI1824"/>
      <c r="FJ1824"/>
      <c r="FK1824"/>
      <c r="FL1824"/>
      <c r="FM1824"/>
      <c r="FN1824"/>
      <c r="FO1824"/>
      <c r="FP1824"/>
      <c r="FQ1824"/>
      <c r="FR1824"/>
      <c r="FS1824"/>
      <c r="FT1824"/>
      <c r="FU1824"/>
      <c r="FV1824"/>
      <c r="FW1824"/>
      <c r="FX1824"/>
      <c r="FY1824"/>
      <c r="FZ1824"/>
      <c r="GA1824"/>
      <c r="GB1824"/>
      <c r="GC1824"/>
      <c r="GD1824"/>
      <c r="GE1824"/>
      <c r="GF1824"/>
      <c r="GG1824"/>
      <c r="GH1824"/>
      <c r="GI1824"/>
      <c r="GJ1824"/>
      <c r="GK1824"/>
      <c r="GL1824"/>
      <c r="GM1824"/>
      <c r="GN1824"/>
      <c r="GO1824"/>
    </row>
    <row r="1825" spans="107:197">
      <c r="DC1825"/>
      <c r="FH1825"/>
      <c r="FI1825"/>
      <c r="FJ1825"/>
      <c r="FK1825"/>
      <c r="FL1825"/>
      <c r="FM1825"/>
      <c r="FN1825"/>
      <c r="FO1825"/>
      <c r="FP1825"/>
      <c r="FQ1825"/>
      <c r="FR1825"/>
      <c r="FS1825"/>
      <c r="FT1825"/>
      <c r="FU1825"/>
      <c r="FV1825"/>
      <c r="FW1825"/>
      <c r="FX1825"/>
      <c r="FY1825"/>
      <c r="FZ1825"/>
      <c r="GA1825"/>
      <c r="GB1825"/>
      <c r="GC1825"/>
      <c r="GD1825"/>
      <c r="GE1825"/>
      <c r="GF1825"/>
      <c r="GG1825"/>
      <c r="GH1825"/>
      <c r="GI1825"/>
      <c r="GJ1825"/>
      <c r="GK1825"/>
      <c r="GL1825"/>
      <c r="GM1825"/>
      <c r="GN1825"/>
      <c r="GO1825"/>
    </row>
    <row r="1826" spans="107:197">
      <c r="DC1826"/>
      <c r="FH1826"/>
      <c r="FI1826"/>
      <c r="FJ1826"/>
      <c r="FK1826"/>
      <c r="FL1826"/>
      <c r="FM1826"/>
      <c r="FN1826"/>
      <c r="FO1826"/>
      <c r="FP1826"/>
      <c r="FQ1826"/>
      <c r="FR1826"/>
      <c r="FS1826"/>
      <c r="FT1826"/>
      <c r="FU1826"/>
      <c r="FV1826"/>
      <c r="FW1826"/>
      <c r="FX1826"/>
      <c r="FY1826"/>
      <c r="FZ1826"/>
      <c r="GA1826"/>
      <c r="GB1826"/>
      <c r="GC1826"/>
      <c r="GD1826"/>
      <c r="GE1826"/>
      <c r="GF1826"/>
      <c r="GG1826"/>
      <c r="GH1826"/>
      <c r="GI1826"/>
      <c r="GJ1826"/>
      <c r="GK1826"/>
      <c r="GL1826"/>
      <c r="GM1826"/>
      <c r="GN1826"/>
      <c r="GO1826"/>
    </row>
    <row r="1827" spans="107:197">
      <c r="DC1827"/>
      <c r="FH1827"/>
      <c r="FI1827"/>
      <c r="FJ1827"/>
      <c r="FK1827"/>
      <c r="FL1827"/>
      <c r="FM1827"/>
      <c r="FN1827"/>
      <c r="FO1827"/>
      <c r="FP1827"/>
      <c r="FQ1827"/>
      <c r="FR1827"/>
      <c r="FS1827"/>
      <c r="FT1827"/>
      <c r="FU1827"/>
      <c r="FV1827"/>
      <c r="FW1827"/>
      <c r="FX1827"/>
      <c r="FY1827"/>
      <c r="FZ1827"/>
      <c r="GA1827"/>
      <c r="GB1827"/>
      <c r="GC1827"/>
      <c r="GD1827"/>
      <c r="GE1827"/>
      <c r="GF1827"/>
      <c r="GG1827"/>
      <c r="GH1827"/>
      <c r="GI1827"/>
      <c r="GJ1827"/>
      <c r="GK1827"/>
      <c r="GL1827"/>
      <c r="GM1827"/>
      <c r="GN1827"/>
      <c r="GO1827"/>
    </row>
    <row r="1828" spans="107:197">
      <c r="DC1828"/>
      <c r="FH1828"/>
      <c r="FI1828"/>
      <c r="FJ1828"/>
      <c r="FK1828"/>
      <c r="FL1828"/>
      <c r="FM1828"/>
      <c r="FN1828"/>
      <c r="FO1828"/>
      <c r="FP1828"/>
      <c r="FQ1828"/>
      <c r="FR1828"/>
      <c r="FS1828"/>
      <c r="FT1828"/>
      <c r="FU1828"/>
      <c r="FV1828"/>
      <c r="FW1828"/>
      <c r="FX1828"/>
      <c r="FY1828"/>
      <c r="FZ1828"/>
      <c r="GA1828"/>
      <c r="GB1828"/>
      <c r="GC1828"/>
      <c r="GD1828"/>
      <c r="GE1828"/>
      <c r="GF1828"/>
      <c r="GG1828"/>
      <c r="GH1828"/>
      <c r="GI1828"/>
      <c r="GJ1828"/>
      <c r="GK1828"/>
      <c r="GL1828"/>
      <c r="GM1828"/>
      <c r="GN1828"/>
      <c r="GO1828"/>
    </row>
    <row r="1829" spans="107:197">
      <c r="DC1829"/>
      <c r="FH1829"/>
      <c r="FI1829"/>
      <c r="FJ1829"/>
      <c r="FK1829"/>
      <c r="FL1829"/>
      <c r="FM1829"/>
      <c r="FN1829"/>
      <c r="FO1829"/>
      <c r="FP1829"/>
      <c r="FQ1829"/>
      <c r="FR1829"/>
      <c r="FS1829"/>
      <c r="FT1829"/>
      <c r="FU1829"/>
      <c r="FV1829"/>
      <c r="FW1829"/>
      <c r="FX1829"/>
      <c r="FY1829"/>
      <c r="FZ1829"/>
      <c r="GA1829"/>
      <c r="GB1829"/>
      <c r="GC1829"/>
      <c r="GD1829"/>
      <c r="GE1829"/>
      <c r="GF1829"/>
      <c r="GG1829"/>
      <c r="GH1829"/>
      <c r="GI1829"/>
      <c r="GJ1829"/>
      <c r="GK1829"/>
      <c r="GL1829"/>
      <c r="GM1829"/>
      <c r="GN1829"/>
      <c r="GO1829"/>
    </row>
    <row r="1830" spans="107:197">
      <c r="DC1830"/>
      <c r="FH1830"/>
      <c r="FI1830"/>
      <c r="FJ1830"/>
      <c r="FK1830"/>
      <c r="FL1830"/>
      <c r="FM1830"/>
      <c r="FN1830"/>
      <c r="FO1830"/>
      <c r="FP1830"/>
      <c r="FQ1830"/>
      <c r="FR1830"/>
      <c r="FS1830"/>
      <c r="FT1830"/>
      <c r="FU1830"/>
      <c r="FV1830"/>
      <c r="FW1830"/>
      <c r="FX1830"/>
      <c r="FY1830"/>
      <c r="FZ1830"/>
      <c r="GA1830"/>
      <c r="GB1830"/>
      <c r="GC1830"/>
      <c r="GD1830"/>
      <c r="GE1830"/>
      <c r="GF1830"/>
      <c r="GG1830"/>
      <c r="GH1830"/>
      <c r="GI1830"/>
      <c r="GJ1830"/>
      <c r="GK1830"/>
      <c r="GL1830"/>
      <c r="GM1830"/>
      <c r="GN1830"/>
      <c r="GO1830"/>
    </row>
    <row r="1831" spans="107:197">
      <c r="DC1831"/>
      <c r="FH1831"/>
      <c r="FI1831"/>
      <c r="FJ1831"/>
      <c r="FK1831"/>
      <c r="FL1831"/>
      <c r="FM1831"/>
      <c r="FN1831"/>
      <c r="FO1831"/>
      <c r="FP1831"/>
      <c r="FQ1831"/>
      <c r="FR1831"/>
      <c r="FS1831"/>
      <c r="FT1831"/>
      <c r="FU1831"/>
      <c r="FV1831"/>
      <c r="FW1831"/>
      <c r="FX1831"/>
      <c r="FY1831"/>
      <c r="FZ1831"/>
      <c r="GA1831"/>
      <c r="GB1831"/>
      <c r="GC1831"/>
      <c r="GD1831"/>
      <c r="GE1831"/>
      <c r="GF1831"/>
      <c r="GG1831"/>
      <c r="GH1831"/>
      <c r="GI1831"/>
      <c r="GJ1831"/>
      <c r="GK1831"/>
      <c r="GL1831"/>
      <c r="GM1831"/>
      <c r="GN1831"/>
      <c r="GO1831"/>
    </row>
    <row r="1832" spans="107:197">
      <c r="DC1832"/>
      <c r="FH1832"/>
      <c r="FI1832"/>
      <c r="FJ1832"/>
      <c r="FK1832"/>
      <c r="FL1832"/>
      <c r="FM1832"/>
      <c r="FN1832"/>
      <c r="FO1832"/>
      <c r="FP1832"/>
      <c r="FQ1832"/>
      <c r="FR1832"/>
      <c r="FS1832"/>
      <c r="FT1832"/>
      <c r="FU1832"/>
      <c r="FV1832"/>
      <c r="FW1832"/>
      <c r="FX1832"/>
      <c r="FY1832"/>
      <c r="FZ1832"/>
      <c r="GA1832"/>
      <c r="GB1832"/>
      <c r="GC1832"/>
      <c r="GD1832"/>
      <c r="GE1832"/>
      <c r="GF1832"/>
      <c r="GG1832"/>
      <c r="GH1832"/>
      <c r="GI1832"/>
      <c r="GJ1832"/>
      <c r="GK1832"/>
      <c r="GL1832"/>
      <c r="GM1832"/>
      <c r="GN1832"/>
      <c r="GO1832"/>
    </row>
    <row r="1833" spans="107:197">
      <c r="DC1833"/>
      <c r="FH1833"/>
      <c r="FI1833"/>
      <c r="FJ1833"/>
      <c r="FK1833"/>
      <c r="FL1833"/>
      <c r="FM1833"/>
      <c r="FN1833"/>
      <c r="FO1833"/>
      <c r="FP1833"/>
      <c r="FQ1833"/>
      <c r="FR1833"/>
      <c r="FS1833"/>
      <c r="FT1833"/>
      <c r="FU1833"/>
      <c r="FV1833"/>
      <c r="FW1833"/>
      <c r="FX1833"/>
      <c r="FY1833"/>
      <c r="FZ1833"/>
      <c r="GA1833"/>
      <c r="GB1833"/>
      <c r="GC1833"/>
      <c r="GD1833"/>
      <c r="GE1833"/>
      <c r="GF1833"/>
      <c r="GG1833"/>
      <c r="GH1833"/>
      <c r="GI1833"/>
      <c r="GJ1833"/>
      <c r="GK1833"/>
      <c r="GL1833"/>
      <c r="GM1833"/>
      <c r="GN1833"/>
      <c r="GO1833"/>
    </row>
    <row r="1834" spans="107:197">
      <c r="DC1834"/>
      <c r="FH1834"/>
      <c r="FI1834"/>
      <c r="FJ1834"/>
      <c r="FK1834"/>
      <c r="FL1834"/>
      <c r="FM1834"/>
      <c r="FN1834"/>
      <c r="FO1834"/>
      <c r="FP1834"/>
      <c r="FQ1834"/>
      <c r="FR1834"/>
      <c r="FS1834"/>
      <c r="FT1834"/>
      <c r="FU1834"/>
      <c r="FV1834"/>
      <c r="FW1834"/>
      <c r="FX1834"/>
      <c r="FY1834"/>
      <c r="FZ1834"/>
      <c r="GA1834"/>
      <c r="GB1834"/>
      <c r="GC1834"/>
      <c r="GD1834"/>
      <c r="GE1834"/>
      <c r="GF1834"/>
      <c r="GG1834"/>
      <c r="GH1834"/>
      <c r="GI1834"/>
      <c r="GJ1834"/>
      <c r="GK1834"/>
      <c r="GL1834"/>
      <c r="GM1834"/>
      <c r="GN1834"/>
      <c r="GO1834"/>
    </row>
    <row r="1835" spans="107:197">
      <c r="DC1835"/>
      <c r="FH1835"/>
      <c r="FI1835"/>
      <c r="FJ1835"/>
      <c r="FK1835"/>
      <c r="FL1835"/>
      <c r="FM1835"/>
      <c r="FN1835"/>
      <c r="FO1835"/>
      <c r="FP1835"/>
      <c r="FQ1835"/>
      <c r="FR1835"/>
      <c r="FS1835"/>
      <c r="FT1835"/>
      <c r="FU1835"/>
      <c r="FV1835"/>
      <c r="FW1835"/>
      <c r="FX1835"/>
      <c r="FY1835"/>
      <c r="FZ1835"/>
      <c r="GA1835"/>
      <c r="GB1835"/>
      <c r="GC1835"/>
      <c r="GD1835"/>
      <c r="GE1835"/>
      <c r="GF1835"/>
      <c r="GG1835"/>
      <c r="GH1835"/>
      <c r="GI1835"/>
      <c r="GJ1835"/>
      <c r="GK1835"/>
      <c r="GL1835"/>
      <c r="GM1835"/>
      <c r="GN1835"/>
      <c r="GO1835"/>
    </row>
    <row r="1836" spans="107:197">
      <c r="DC1836"/>
      <c r="FH1836"/>
      <c r="FI1836"/>
      <c r="FJ1836"/>
      <c r="FK1836"/>
      <c r="FL1836"/>
      <c r="FM1836"/>
      <c r="FN1836"/>
      <c r="FO1836"/>
      <c r="FP1836"/>
      <c r="FQ1836"/>
      <c r="FR1836"/>
      <c r="FS1836"/>
      <c r="FT1836"/>
      <c r="FU1836"/>
      <c r="FV1836"/>
      <c r="FW1836"/>
      <c r="FX1836"/>
      <c r="FY1836"/>
      <c r="FZ1836"/>
      <c r="GA1836"/>
      <c r="GB1836"/>
      <c r="GC1836"/>
      <c r="GD1836"/>
      <c r="GE1836"/>
      <c r="GF1836"/>
      <c r="GG1836"/>
      <c r="GH1836"/>
      <c r="GI1836"/>
      <c r="GJ1836"/>
      <c r="GK1836"/>
      <c r="GL1836"/>
      <c r="GM1836"/>
      <c r="GN1836"/>
      <c r="GO1836"/>
    </row>
    <row r="1837" spans="107:197">
      <c r="DC1837"/>
      <c r="FH1837"/>
      <c r="FI1837"/>
      <c r="FJ1837"/>
      <c r="FK1837"/>
      <c r="FL1837"/>
      <c r="FM1837"/>
      <c r="FN1837"/>
      <c r="FO1837"/>
      <c r="FP1837"/>
      <c r="FQ1837"/>
      <c r="FR1837"/>
      <c r="FS1837"/>
      <c r="FT1837"/>
      <c r="FU1837"/>
      <c r="FV1837"/>
      <c r="FW1837"/>
      <c r="FX1837"/>
      <c r="FY1837"/>
      <c r="FZ1837"/>
      <c r="GA1837"/>
      <c r="GB1837"/>
      <c r="GC1837"/>
      <c r="GD1837"/>
      <c r="GE1837"/>
      <c r="GF1837"/>
      <c r="GG1837"/>
      <c r="GH1837"/>
      <c r="GI1837"/>
      <c r="GJ1837"/>
      <c r="GK1837"/>
      <c r="GL1837"/>
      <c r="GM1837"/>
      <c r="GN1837"/>
      <c r="GO1837"/>
    </row>
    <row r="1838" spans="107:197">
      <c r="DC1838"/>
      <c r="FH1838"/>
      <c r="FI1838"/>
      <c r="FJ1838"/>
      <c r="FK1838"/>
      <c r="FL1838"/>
      <c r="FM1838"/>
      <c r="FN1838"/>
      <c r="FO1838"/>
      <c r="FP1838"/>
      <c r="FQ1838"/>
      <c r="FR1838"/>
      <c r="FS1838"/>
      <c r="FT1838"/>
      <c r="FU1838"/>
      <c r="FV1838"/>
      <c r="FW1838"/>
      <c r="FX1838"/>
      <c r="FY1838"/>
      <c r="FZ1838"/>
      <c r="GA1838"/>
      <c r="GB1838"/>
      <c r="GC1838"/>
      <c r="GD1838"/>
      <c r="GE1838"/>
      <c r="GF1838"/>
      <c r="GG1838"/>
      <c r="GH1838"/>
      <c r="GI1838"/>
      <c r="GJ1838"/>
      <c r="GK1838"/>
      <c r="GL1838"/>
      <c r="GM1838"/>
      <c r="GN1838"/>
      <c r="GO1838"/>
    </row>
    <row r="1839" spans="107:197">
      <c r="DC1839"/>
      <c r="FH1839"/>
      <c r="FI1839"/>
      <c r="FJ1839"/>
      <c r="FK1839"/>
      <c r="FL1839"/>
      <c r="FM1839"/>
      <c r="FN1839"/>
      <c r="FO1839"/>
      <c r="FP1839"/>
      <c r="FQ1839"/>
      <c r="FR1839"/>
      <c r="FS1839"/>
      <c r="FT1839"/>
      <c r="FU1839"/>
      <c r="FV1839"/>
      <c r="FW1839"/>
      <c r="FX1839"/>
      <c r="FY1839"/>
      <c r="FZ1839"/>
      <c r="GA1839"/>
      <c r="GB1839"/>
      <c r="GC1839"/>
      <c r="GD1839"/>
      <c r="GE1839"/>
      <c r="GF1839"/>
      <c r="GG1839"/>
      <c r="GH1839"/>
      <c r="GI1839"/>
      <c r="GJ1839"/>
      <c r="GK1839"/>
      <c r="GL1839"/>
      <c r="GM1839"/>
      <c r="GN1839"/>
      <c r="GO1839"/>
    </row>
    <row r="1840" spans="107:197">
      <c r="DC1840"/>
      <c r="FH1840"/>
      <c r="FI1840"/>
      <c r="FJ1840"/>
      <c r="FK1840"/>
      <c r="FL1840"/>
      <c r="FM1840"/>
      <c r="FN1840"/>
      <c r="FO1840"/>
      <c r="FP1840"/>
      <c r="FQ1840"/>
      <c r="FR1840"/>
      <c r="FS1840"/>
      <c r="FT1840"/>
      <c r="FU1840"/>
      <c r="FV1840"/>
      <c r="FW1840"/>
      <c r="FX1840"/>
      <c r="FY1840"/>
      <c r="FZ1840"/>
      <c r="GA1840"/>
      <c r="GB1840"/>
      <c r="GC1840"/>
      <c r="GD1840"/>
      <c r="GE1840"/>
      <c r="GF1840"/>
      <c r="GG1840"/>
      <c r="GH1840"/>
      <c r="GI1840"/>
      <c r="GJ1840"/>
      <c r="GK1840"/>
      <c r="GL1840"/>
      <c r="GM1840"/>
      <c r="GN1840"/>
      <c r="GO1840"/>
    </row>
    <row r="1841" spans="107:197">
      <c r="DC1841"/>
      <c r="FH1841"/>
      <c r="FI1841"/>
      <c r="FJ1841"/>
      <c r="FK1841"/>
      <c r="FL1841"/>
      <c r="FM1841"/>
      <c r="FN1841"/>
      <c r="FO1841"/>
      <c r="FP1841"/>
      <c r="FQ1841"/>
      <c r="FR1841"/>
      <c r="FS1841"/>
      <c r="FT1841"/>
      <c r="FU1841"/>
      <c r="FV1841"/>
      <c r="FW1841"/>
      <c r="FX1841"/>
      <c r="FY1841"/>
      <c r="FZ1841"/>
      <c r="GA1841"/>
      <c r="GB1841"/>
      <c r="GC1841"/>
      <c r="GD1841"/>
      <c r="GE1841"/>
      <c r="GF1841"/>
      <c r="GG1841"/>
      <c r="GH1841"/>
      <c r="GI1841"/>
      <c r="GJ1841"/>
      <c r="GK1841"/>
      <c r="GL1841"/>
      <c r="GM1841"/>
      <c r="GN1841"/>
      <c r="GO1841"/>
    </row>
    <row r="1842" spans="107:197">
      <c r="DC1842"/>
      <c r="FH1842"/>
      <c r="FI1842"/>
      <c r="FJ1842"/>
      <c r="FK1842"/>
      <c r="FL1842"/>
      <c r="FM1842"/>
      <c r="FN1842"/>
      <c r="FO1842"/>
      <c r="FP1842"/>
      <c r="FQ1842"/>
      <c r="FR1842"/>
      <c r="FS1842"/>
      <c r="FT1842"/>
      <c r="FU1842"/>
      <c r="FV1842"/>
      <c r="FW1842"/>
      <c r="FX1842"/>
      <c r="FY1842"/>
      <c r="FZ1842"/>
      <c r="GA1842"/>
      <c r="GB1842"/>
      <c r="GC1842"/>
      <c r="GD1842"/>
      <c r="GE1842"/>
      <c r="GF1842"/>
      <c r="GG1842"/>
      <c r="GH1842"/>
      <c r="GI1842"/>
      <c r="GJ1842"/>
      <c r="GK1842"/>
      <c r="GL1842"/>
      <c r="GM1842"/>
      <c r="GN1842"/>
      <c r="GO1842"/>
    </row>
    <row r="1843" spans="107:197">
      <c r="DC1843"/>
      <c r="FH1843"/>
      <c r="FI1843"/>
      <c r="FJ1843"/>
      <c r="FK1843"/>
      <c r="FL1843"/>
      <c r="FM1843"/>
      <c r="FN1843"/>
      <c r="FO1843"/>
      <c r="FP1843"/>
      <c r="FQ1843"/>
      <c r="FR1843"/>
      <c r="FS1843"/>
      <c r="FT1843"/>
      <c r="FU1843"/>
      <c r="FV1843"/>
      <c r="FW1843"/>
      <c r="FX1843"/>
      <c r="FY1843"/>
      <c r="FZ1843"/>
      <c r="GA1843"/>
      <c r="GB1843"/>
      <c r="GC1843"/>
      <c r="GD1843"/>
      <c r="GE1843"/>
      <c r="GF1843"/>
      <c r="GG1843"/>
      <c r="GH1843"/>
      <c r="GI1843"/>
      <c r="GJ1843"/>
      <c r="GK1843"/>
      <c r="GL1843"/>
      <c r="GM1843"/>
      <c r="GN1843"/>
      <c r="GO1843"/>
    </row>
    <row r="1844" spans="107:197">
      <c r="DC1844"/>
      <c r="FH1844"/>
      <c r="FI1844"/>
      <c r="FJ1844"/>
      <c r="FK1844"/>
      <c r="FL1844"/>
      <c r="FM1844"/>
      <c r="FN1844"/>
      <c r="FO1844"/>
      <c r="FP1844"/>
      <c r="FQ1844"/>
      <c r="FR1844"/>
      <c r="FS1844"/>
      <c r="FT1844"/>
      <c r="FU1844"/>
      <c r="FV1844"/>
      <c r="FW1844"/>
      <c r="FX1844"/>
      <c r="FY1844"/>
      <c r="FZ1844"/>
      <c r="GA1844"/>
      <c r="GB1844"/>
      <c r="GC1844"/>
      <c r="GD1844"/>
      <c r="GE1844"/>
      <c r="GF1844"/>
      <c r="GG1844"/>
      <c r="GH1844"/>
      <c r="GI1844"/>
      <c r="GJ1844"/>
      <c r="GK1844"/>
      <c r="GL1844"/>
      <c r="GM1844"/>
      <c r="GN1844"/>
      <c r="GO1844"/>
    </row>
    <row r="1845" spans="107:197">
      <c r="DC1845"/>
      <c r="FH1845"/>
      <c r="FI1845"/>
      <c r="FJ1845"/>
      <c r="FK1845"/>
      <c r="FL1845"/>
      <c r="FM1845"/>
      <c r="FN1845"/>
      <c r="FO1845"/>
      <c r="FP1845"/>
      <c r="FQ1845"/>
      <c r="FR1845"/>
      <c r="FS1845"/>
      <c r="FT1845"/>
      <c r="FU1845"/>
      <c r="FV1845"/>
      <c r="FW1845"/>
      <c r="FX1845"/>
      <c r="FY1845"/>
      <c r="FZ1845"/>
      <c r="GA1845"/>
      <c r="GB1845"/>
      <c r="GC1845"/>
      <c r="GD1845"/>
      <c r="GE1845"/>
      <c r="GF1845"/>
      <c r="GG1845"/>
      <c r="GH1845"/>
      <c r="GI1845"/>
      <c r="GJ1845"/>
      <c r="GK1845"/>
      <c r="GL1845"/>
      <c r="GM1845"/>
      <c r="GN1845"/>
      <c r="GO1845"/>
    </row>
    <row r="1846" spans="107:197">
      <c r="DC1846"/>
      <c r="FH1846"/>
      <c r="FI1846"/>
      <c r="FJ1846"/>
      <c r="FK1846"/>
      <c r="FL1846"/>
      <c r="FM1846"/>
      <c r="FN1846"/>
      <c r="FO1846"/>
      <c r="FP1846"/>
      <c r="FQ1846"/>
      <c r="FR1846"/>
      <c r="FS1846"/>
      <c r="FT1846"/>
      <c r="FU1846"/>
      <c r="FV1846"/>
      <c r="FW1846"/>
      <c r="FX1846"/>
      <c r="FY1846"/>
      <c r="FZ1846"/>
      <c r="GA1846"/>
      <c r="GB1846"/>
      <c r="GC1846"/>
      <c r="GD1846"/>
      <c r="GE1846"/>
      <c r="GF1846"/>
      <c r="GG1846"/>
      <c r="GH1846"/>
      <c r="GI1846"/>
      <c r="GJ1846"/>
      <c r="GK1846"/>
      <c r="GL1846"/>
      <c r="GM1846"/>
      <c r="GN1846"/>
      <c r="GO1846"/>
    </row>
    <row r="1847" spans="107:197">
      <c r="DC1847"/>
      <c r="FH1847"/>
      <c r="FI1847"/>
      <c r="FJ1847"/>
      <c r="FK1847"/>
      <c r="FL1847"/>
      <c r="FM1847"/>
      <c r="FN1847"/>
      <c r="FO1847"/>
      <c r="FP1847"/>
      <c r="FQ1847"/>
      <c r="FR1847"/>
      <c r="FS1847"/>
      <c r="FT1847"/>
      <c r="FU1847"/>
      <c r="FV1847"/>
      <c r="FW1847"/>
      <c r="FX1847"/>
      <c r="FY1847"/>
      <c r="FZ1847"/>
      <c r="GA1847"/>
      <c r="GB1847"/>
      <c r="GC1847"/>
      <c r="GD1847"/>
      <c r="GE1847"/>
      <c r="GF1847"/>
      <c r="GG1847"/>
      <c r="GH1847"/>
      <c r="GI1847"/>
      <c r="GJ1847"/>
      <c r="GK1847"/>
      <c r="GL1847"/>
      <c r="GM1847"/>
      <c r="GN1847"/>
      <c r="GO1847"/>
    </row>
    <row r="1848" spans="107:197">
      <c r="DC1848"/>
      <c r="FH1848"/>
      <c r="FI1848"/>
      <c r="FJ1848"/>
      <c r="FK1848"/>
      <c r="FL1848"/>
      <c r="FM1848"/>
      <c r="FN1848"/>
      <c r="FO1848"/>
      <c r="FP1848"/>
      <c r="FQ1848"/>
      <c r="FR1848"/>
      <c r="FS1848"/>
      <c r="FT1848"/>
      <c r="FU1848"/>
      <c r="FV1848"/>
      <c r="FW1848"/>
      <c r="FX1848"/>
      <c r="FY1848"/>
      <c r="FZ1848"/>
      <c r="GA1848"/>
      <c r="GB1848"/>
      <c r="GC1848"/>
      <c r="GD1848"/>
      <c r="GE1848"/>
      <c r="GF1848"/>
      <c r="GG1848"/>
      <c r="GH1848"/>
      <c r="GI1848"/>
      <c r="GJ1848"/>
      <c r="GK1848"/>
      <c r="GL1848"/>
      <c r="GM1848"/>
      <c r="GN1848"/>
      <c r="GO1848"/>
    </row>
    <row r="1849" spans="107:197">
      <c r="DC1849"/>
      <c r="FH1849"/>
      <c r="FI1849"/>
      <c r="FJ1849"/>
      <c r="FK1849"/>
      <c r="FL1849"/>
      <c r="FM1849"/>
      <c r="FN1849"/>
      <c r="FO1849"/>
      <c r="FP1849"/>
      <c r="FQ1849"/>
      <c r="FR1849"/>
      <c r="FS1849"/>
      <c r="FT1849"/>
      <c r="FU1849"/>
      <c r="FV1849"/>
      <c r="FW1849"/>
      <c r="FX1849"/>
      <c r="FY1849"/>
      <c r="FZ1849"/>
      <c r="GA1849"/>
      <c r="GB1849"/>
      <c r="GC1849"/>
      <c r="GD1849"/>
      <c r="GE1849"/>
      <c r="GF1849"/>
      <c r="GG1849"/>
      <c r="GH1849"/>
      <c r="GI1849"/>
      <c r="GJ1849"/>
      <c r="GK1849"/>
      <c r="GL1849"/>
      <c r="GM1849"/>
      <c r="GN1849"/>
      <c r="GO1849"/>
    </row>
    <row r="1850" spans="107:197">
      <c r="DC1850"/>
      <c r="FH1850"/>
      <c r="FI1850"/>
      <c r="FJ1850"/>
      <c r="FK1850"/>
      <c r="FL1850"/>
      <c r="FM1850"/>
      <c r="FN1850"/>
      <c r="FO1850"/>
      <c r="FP1850"/>
      <c r="FQ1850"/>
      <c r="FR1850"/>
      <c r="FS1850"/>
      <c r="FT1850"/>
      <c r="FU1850"/>
      <c r="FV1850"/>
      <c r="FW1850"/>
      <c r="FX1850"/>
      <c r="FY1850"/>
      <c r="FZ1850"/>
      <c r="GA1850"/>
      <c r="GB1850"/>
      <c r="GC1850"/>
      <c r="GD1850"/>
      <c r="GE1850"/>
      <c r="GF1850"/>
      <c r="GG1850"/>
      <c r="GH1850"/>
      <c r="GI1850"/>
      <c r="GJ1850"/>
      <c r="GK1850"/>
      <c r="GL1850"/>
      <c r="GM1850"/>
      <c r="GN1850"/>
      <c r="GO1850"/>
    </row>
    <row r="1851" spans="107:197">
      <c r="DC1851"/>
      <c r="FH1851"/>
      <c r="FI1851"/>
      <c r="FJ1851"/>
      <c r="FK1851"/>
      <c r="FL1851"/>
      <c r="FM1851"/>
      <c r="FN1851"/>
      <c r="FO1851"/>
      <c r="FP1851"/>
      <c r="FQ1851"/>
      <c r="FR1851"/>
      <c r="FS1851"/>
      <c r="FT1851"/>
      <c r="FU1851"/>
      <c r="FV1851"/>
      <c r="FW1851"/>
      <c r="FX1851"/>
      <c r="FY1851"/>
      <c r="FZ1851"/>
      <c r="GA1851"/>
      <c r="GB1851"/>
      <c r="GC1851"/>
      <c r="GD1851"/>
      <c r="GE1851"/>
      <c r="GF1851"/>
      <c r="GG1851"/>
      <c r="GH1851"/>
      <c r="GI1851"/>
      <c r="GJ1851"/>
      <c r="GK1851"/>
      <c r="GL1851"/>
      <c r="GM1851"/>
      <c r="GN1851"/>
      <c r="GO1851"/>
    </row>
    <row r="1852" spans="107:197">
      <c r="DC1852"/>
      <c r="FH1852"/>
      <c r="FI1852"/>
      <c r="FJ1852"/>
      <c r="FK1852"/>
      <c r="FL1852"/>
      <c r="FM1852"/>
      <c r="FN1852"/>
      <c r="FO1852"/>
      <c r="FP1852"/>
      <c r="FQ1852"/>
      <c r="FR1852"/>
      <c r="FS1852"/>
      <c r="FT1852"/>
      <c r="FU1852"/>
      <c r="FV1852"/>
      <c r="FW1852"/>
      <c r="FX1852"/>
      <c r="FY1852"/>
      <c r="FZ1852"/>
      <c r="GA1852"/>
      <c r="GB1852"/>
      <c r="GC1852"/>
      <c r="GD1852"/>
      <c r="GE1852"/>
      <c r="GF1852"/>
      <c r="GG1852"/>
      <c r="GH1852"/>
      <c r="GI1852"/>
      <c r="GJ1852"/>
      <c r="GK1852"/>
      <c r="GL1852"/>
      <c r="GM1852"/>
      <c r="GN1852"/>
      <c r="GO1852"/>
    </row>
    <row r="1853" spans="107:197">
      <c r="DC1853"/>
      <c r="FH1853"/>
      <c r="FI1853"/>
      <c r="FJ1853"/>
      <c r="FK1853"/>
      <c r="FL1853"/>
      <c r="FM1853"/>
      <c r="FN1853"/>
      <c r="FO1853"/>
      <c r="FP1853"/>
      <c r="FQ1853"/>
      <c r="FR1853"/>
      <c r="FS1853"/>
      <c r="FT1853"/>
      <c r="FU1853"/>
      <c r="FV1853"/>
      <c r="FW1853"/>
      <c r="FX1853"/>
      <c r="FY1853"/>
      <c r="FZ1853"/>
      <c r="GA1853"/>
      <c r="GB1853"/>
      <c r="GC1853"/>
      <c r="GD1853"/>
      <c r="GE1853"/>
      <c r="GF1853"/>
      <c r="GG1853"/>
      <c r="GH1853"/>
      <c r="GI1853"/>
      <c r="GJ1853"/>
      <c r="GK1853"/>
      <c r="GL1853"/>
      <c r="GM1853"/>
      <c r="GN1853"/>
      <c r="GO1853"/>
    </row>
    <row r="1854" spans="107:197">
      <c r="DC1854"/>
      <c r="FH1854"/>
      <c r="FI1854"/>
      <c r="FJ1854"/>
      <c r="FK1854"/>
      <c r="FL1854"/>
      <c r="FM1854"/>
      <c r="FN1854"/>
      <c r="FO1854"/>
      <c r="FP1854"/>
      <c r="FQ1854"/>
      <c r="FR1854"/>
      <c r="FS1854"/>
      <c r="FT1854"/>
      <c r="FU1854"/>
      <c r="FV1854"/>
      <c r="FW1854"/>
      <c r="FX1854"/>
      <c r="FY1854"/>
      <c r="FZ1854"/>
      <c r="GA1854"/>
      <c r="GB1854"/>
      <c r="GC1854"/>
      <c r="GD1854"/>
      <c r="GE1854"/>
      <c r="GF1854"/>
      <c r="GG1854"/>
      <c r="GH1854"/>
      <c r="GI1854"/>
      <c r="GJ1854"/>
      <c r="GK1854"/>
      <c r="GL1854"/>
      <c r="GM1854"/>
      <c r="GN1854"/>
      <c r="GO1854"/>
    </row>
    <row r="1855" spans="107:197">
      <c r="DC1855"/>
      <c r="FH1855"/>
      <c r="FI1855"/>
      <c r="FJ1855"/>
      <c r="FK1855"/>
      <c r="FL1855"/>
      <c r="FM1855"/>
      <c r="FN1855"/>
      <c r="FO1855"/>
      <c r="FP1855"/>
      <c r="FQ1855"/>
      <c r="FR1855"/>
      <c r="FS1855"/>
      <c r="FT1855"/>
      <c r="FU1855"/>
      <c r="FV1855"/>
      <c r="FW1855"/>
      <c r="FX1855"/>
      <c r="FY1855"/>
      <c r="FZ1855"/>
      <c r="GA1855"/>
      <c r="GB1855"/>
      <c r="GC1855"/>
      <c r="GD1855"/>
      <c r="GE1855"/>
      <c r="GF1855"/>
      <c r="GG1855"/>
      <c r="GH1855"/>
      <c r="GI1855"/>
      <c r="GJ1855"/>
      <c r="GK1855"/>
      <c r="GL1855"/>
      <c r="GM1855"/>
      <c r="GN1855"/>
      <c r="GO1855"/>
    </row>
    <row r="1856" spans="107:197">
      <c r="DC1856"/>
      <c r="FH1856"/>
      <c r="FI1856"/>
      <c r="FJ1856"/>
      <c r="FK1856"/>
      <c r="FL1856"/>
      <c r="FM1856"/>
      <c r="FN1856"/>
      <c r="FO1856"/>
      <c r="FP1856"/>
      <c r="FQ1856"/>
      <c r="FR1856"/>
      <c r="FS1856"/>
      <c r="FT1856"/>
      <c r="FU1856"/>
      <c r="FV1856"/>
      <c r="FW1856"/>
      <c r="FX1856"/>
      <c r="FY1856"/>
      <c r="FZ1856"/>
      <c r="GA1856"/>
      <c r="GB1856"/>
      <c r="GC1856"/>
      <c r="GD1856"/>
      <c r="GE1856"/>
      <c r="GF1856"/>
      <c r="GG1856"/>
      <c r="GH1856"/>
      <c r="GI1856"/>
      <c r="GJ1856"/>
      <c r="GK1856"/>
      <c r="GL1856"/>
      <c r="GM1856"/>
      <c r="GN1856"/>
      <c r="GO1856"/>
    </row>
    <row r="1857" spans="107:197">
      <c r="DC1857"/>
      <c r="FH1857"/>
      <c r="FI1857"/>
      <c r="FJ1857"/>
      <c r="FK1857"/>
      <c r="FL1857"/>
      <c r="FM1857"/>
      <c r="FN1857"/>
      <c r="FO1857"/>
      <c r="FP1857"/>
      <c r="FQ1857"/>
      <c r="FR1857"/>
      <c r="FS1857"/>
      <c r="FT1857"/>
      <c r="FU1857"/>
      <c r="FV1857"/>
      <c r="FW1857"/>
      <c r="FX1857"/>
      <c r="FY1857"/>
      <c r="FZ1857"/>
      <c r="GA1857"/>
      <c r="GB1857"/>
      <c r="GC1857"/>
      <c r="GD1857"/>
      <c r="GE1857"/>
      <c r="GF1857"/>
      <c r="GG1857"/>
      <c r="GH1857"/>
      <c r="GI1857"/>
      <c r="GJ1857"/>
      <c r="GK1857"/>
      <c r="GL1857"/>
      <c r="GM1857"/>
      <c r="GN1857"/>
      <c r="GO1857"/>
    </row>
    <row r="1858" spans="107:197">
      <c r="DC1858"/>
      <c r="FH1858"/>
      <c r="FI1858"/>
      <c r="FJ1858"/>
      <c r="FK1858"/>
      <c r="FL1858"/>
      <c r="FM1858"/>
      <c r="FN1858"/>
      <c r="FO1858"/>
      <c r="FP1858"/>
      <c r="FQ1858"/>
      <c r="FR1858"/>
      <c r="FS1858"/>
      <c r="FT1858"/>
      <c r="FU1858"/>
      <c r="FV1858"/>
      <c r="FW1858"/>
      <c r="FX1858"/>
      <c r="FY1858"/>
      <c r="FZ1858"/>
      <c r="GA1858"/>
      <c r="GB1858"/>
      <c r="GC1858"/>
      <c r="GD1858"/>
      <c r="GE1858"/>
      <c r="GF1858"/>
      <c r="GG1858"/>
      <c r="GH1858"/>
      <c r="GI1858"/>
      <c r="GJ1858"/>
      <c r="GK1858"/>
      <c r="GL1858"/>
      <c r="GM1858"/>
      <c r="GN1858"/>
      <c r="GO1858"/>
    </row>
    <row r="1859" spans="107:197">
      <c r="DC1859"/>
      <c r="FH1859"/>
      <c r="FI1859"/>
      <c r="FJ1859"/>
      <c r="FK1859"/>
      <c r="FL1859"/>
      <c r="FM1859"/>
      <c r="FN1859"/>
      <c r="FO1859"/>
      <c r="FP1859"/>
      <c r="FQ1859"/>
      <c r="FR1859"/>
      <c r="FS1859"/>
      <c r="FT1859"/>
      <c r="FU1859"/>
      <c r="FV1859"/>
      <c r="FW1859"/>
      <c r="FX1859"/>
      <c r="FY1859"/>
      <c r="FZ1859"/>
      <c r="GA1859"/>
      <c r="GB1859"/>
      <c r="GC1859"/>
      <c r="GD1859"/>
      <c r="GE1859"/>
      <c r="GF1859"/>
      <c r="GG1859"/>
      <c r="GH1859"/>
      <c r="GI1859"/>
      <c r="GJ1859"/>
      <c r="GK1859"/>
      <c r="GL1859"/>
      <c r="GM1859"/>
      <c r="GN1859"/>
      <c r="GO1859"/>
    </row>
    <row r="1860" spans="107:197">
      <c r="DC1860"/>
      <c r="FH1860"/>
      <c r="FI1860"/>
      <c r="FJ1860"/>
      <c r="FK1860"/>
      <c r="FL1860"/>
      <c r="FM1860"/>
      <c r="FN1860"/>
      <c r="FO1860"/>
      <c r="FP1860"/>
      <c r="FQ1860"/>
      <c r="FR1860"/>
      <c r="FS1860"/>
      <c r="FT1860"/>
      <c r="FU1860"/>
      <c r="FV1860"/>
      <c r="FW1860"/>
      <c r="FX1860"/>
      <c r="FY1860"/>
      <c r="FZ1860"/>
      <c r="GA1860"/>
      <c r="GB1860"/>
      <c r="GC1860"/>
      <c r="GD1860"/>
      <c r="GE1860"/>
      <c r="GF1860"/>
      <c r="GG1860"/>
      <c r="GH1860"/>
      <c r="GI1860"/>
      <c r="GJ1860"/>
      <c r="GK1860"/>
      <c r="GL1860"/>
      <c r="GM1860"/>
      <c r="GN1860"/>
      <c r="GO1860"/>
    </row>
    <row r="1861" spans="107:197">
      <c r="DC1861"/>
      <c r="FH1861"/>
      <c r="FI1861"/>
      <c r="FJ1861"/>
      <c r="FK1861"/>
      <c r="FL1861"/>
      <c r="FM1861"/>
      <c r="FN1861"/>
      <c r="FO1861"/>
      <c r="FP1861"/>
      <c r="FQ1861"/>
      <c r="FR1861"/>
      <c r="FS1861"/>
      <c r="FT1861"/>
      <c r="FU1861"/>
      <c r="FV1861"/>
      <c r="FW1861"/>
      <c r="FX1861"/>
      <c r="FY1861"/>
      <c r="FZ1861"/>
      <c r="GA1861"/>
      <c r="GB1861"/>
      <c r="GC1861"/>
      <c r="GD1861"/>
      <c r="GE1861"/>
      <c r="GF1861"/>
      <c r="GG1861"/>
      <c r="GH1861"/>
      <c r="GI1861"/>
      <c r="GJ1861"/>
      <c r="GK1861"/>
      <c r="GL1861"/>
      <c r="GM1861"/>
      <c r="GN1861"/>
      <c r="GO1861"/>
    </row>
    <row r="1862" spans="107:197">
      <c r="DC1862"/>
      <c r="FH1862"/>
      <c r="FI1862"/>
      <c r="FJ1862"/>
      <c r="FK1862"/>
      <c r="FL1862"/>
      <c r="FM1862"/>
      <c r="FN1862"/>
      <c r="FO1862"/>
      <c r="FP1862"/>
      <c r="FQ1862"/>
      <c r="FR1862"/>
      <c r="FS1862"/>
      <c r="FT1862"/>
      <c r="FU1862"/>
      <c r="FV1862"/>
      <c r="FW1862"/>
      <c r="FX1862"/>
      <c r="FY1862"/>
      <c r="FZ1862"/>
      <c r="GA1862"/>
      <c r="GB1862"/>
      <c r="GC1862"/>
      <c r="GD1862"/>
      <c r="GE1862"/>
      <c r="GF1862"/>
      <c r="GG1862"/>
      <c r="GH1862"/>
      <c r="GI1862"/>
      <c r="GJ1862"/>
      <c r="GK1862"/>
      <c r="GL1862"/>
      <c r="GM1862"/>
      <c r="GN1862"/>
      <c r="GO1862"/>
    </row>
    <row r="1863" spans="107:197">
      <c r="DC1863"/>
      <c r="FH1863"/>
      <c r="FI1863"/>
      <c r="FJ1863"/>
      <c r="FK1863"/>
      <c r="FL1863"/>
      <c r="FM1863"/>
      <c r="FN1863"/>
      <c r="FO1863"/>
      <c r="FP1863"/>
      <c r="FQ1863"/>
      <c r="FR1863"/>
      <c r="FS1863"/>
      <c r="FT1863"/>
      <c r="FU1863"/>
      <c r="FV1863"/>
      <c r="FW1863"/>
      <c r="FX1863"/>
      <c r="FY1863"/>
      <c r="FZ1863"/>
      <c r="GA1863"/>
      <c r="GB1863"/>
      <c r="GC1863"/>
      <c r="GD1863"/>
      <c r="GE1863"/>
      <c r="GF1863"/>
      <c r="GG1863"/>
      <c r="GH1863"/>
      <c r="GI1863"/>
      <c r="GJ1863"/>
      <c r="GK1863"/>
      <c r="GL1863"/>
      <c r="GM1863"/>
      <c r="GN1863"/>
      <c r="GO1863"/>
    </row>
    <row r="1864" spans="107:197">
      <c r="DC1864"/>
      <c r="FH1864"/>
      <c r="FI1864"/>
      <c r="FJ1864"/>
      <c r="FK1864"/>
      <c r="FL1864"/>
      <c r="FM1864"/>
      <c r="FN1864"/>
      <c r="FO1864"/>
      <c r="FP1864"/>
      <c r="FQ1864"/>
      <c r="FR1864"/>
      <c r="FS1864"/>
      <c r="FT1864"/>
      <c r="FU1864"/>
      <c r="FV1864"/>
      <c r="FW1864"/>
      <c r="FX1864"/>
      <c r="FY1864"/>
      <c r="FZ1864"/>
      <c r="GA1864"/>
      <c r="GB1864"/>
      <c r="GC1864"/>
      <c r="GD1864"/>
      <c r="GE1864"/>
      <c r="GF1864"/>
      <c r="GG1864"/>
      <c r="GH1864"/>
      <c r="GI1864"/>
      <c r="GJ1864"/>
      <c r="GK1864"/>
      <c r="GL1864"/>
      <c r="GM1864"/>
      <c r="GN1864"/>
      <c r="GO1864"/>
    </row>
    <row r="1865" spans="107:197">
      <c r="DC1865"/>
      <c r="FH1865"/>
      <c r="FI1865"/>
      <c r="FJ1865"/>
      <c r="FK1865"/>
      <c r="FL1865"/>
      <c r="FM1865"/>
      <c r="FN1865"/>
      <c r="FO1865"/>
      <c r="FP1865"/>
      <c r="FQ1865"/>
      <c r="FR1865"/>
      <c r="FS1865"/>
      <c r="FT1865"/>
      <c r="FU1865"/>
      <c r="FV1865"/>
      <c r="FW1865"/>
      <c r="FX1865"/>
      <c r="FY1865"/>
      <c r="FZ1865"/>
      <c r="GA1865"/>
      <c r="GB1865"/>
      <c r="GC1865"/>
      <c r="GD1865"/>
      <c r="GE1865"/>
      <c r="GF1865"/>
      <c r="GG1865"/>
      <c r="GH1865"/>
      <c r="GI1865"/>
      <c r="GJ1865"/>
      <c r="GK1865"/>
      <c r="GL1865"/>
      <c r="GM1865"/>
      <c r="GN1865"/>
      <c r="GO1865"/>
    </row>
    <row r="1866" spans="107:197">
      <c r="DC1866"/>
      <c r="FH1866"/>
      <c r="FI1866"/>
      <c r="FJ1866"/>
      <c r="FK1866"/>
      <c r="FL1866"/>
      <c r="FM1866"/>
      <c r="FN1866"/>
      <c r="FO1866"/>
      <c r="FP1866"/>
      <c r="FQ1866"/>
      <c r="FR1866"/>
      <c r="FS1866"/>
      <c r="FT1866"/>
      <c r="FU1866"/>
      <c r="FV1866"/>
      <c r="FW1866"/>
      <c r="FX1866"/>
      <c r="FY1866"/>
      <c r="FZ1866"/>
      <c r="GA1866"/>
      <c r="GB1866"/>
      <c r="GC1866"/>
      <c r="GD1866"/>
      <c r="GE1866"/>
      <c r="GF1866"/>
      <c r="GG1866"/>
      <c r="GH1866"/>
      <c r="GI1866"/>
      <c r="GJ1866"/>
      <c r="GK1866"/>
      <c r="GL1866"/>
      <c r="GM1866"/>
      <c r="GN1866"/>
      <c r="GO1866"/>
    </row>
    <row r="1867" spans="107:197">
      <c r="DC1867"/>
      <c r="FH1867"/>
      <c r="FI1867"/>
      <c r="FJ1867"/>
      <c r="FK1867"/>
      <c r="FL1867"/>
      <c r="FM1867"/>
      <c r="FN1867"/>
      <c r="FO1867"/>
      <c r="FP1867"/>
      <c r="FQ1867"/>
      <c r="FR1867"/>
      <c r="FS1867"/>
      <c r="FT1867"/>
      <c r="FU1867"/>
      <c r="FV1867"/>
      <c r="FW1867"/>
      <c r="FX1867"/>
      <c r="FY1867"/>
      <c r="FZ1867"/>
      <c r="GA1867"/>
      <c r="GB1867"/>
      <c r="GC1867"/>
      <c r="GD1867"/>
      <c r="GE1867"/>
      <c r="GF1867"/>
      <c r="GG1867"/>
      <c r="GH1867"/>
      <c r="GI1867"/>
      <c r="GJ1867"/>
      <c r="GK1867"/>
      <c r="GL1867"/>
      <c r="GM1867"/>
      <c r="GN1867"/>
      <c r="GO1867"/>
    </row>
    <row r="1868" spans="107:197">
      <c r="DC1868"/>
      <c r="FH1868"/>
      <c r="FI1868"/>
      <c r="FJ1868"/>
      <c r="FK1868"/>
      <c r="FL1868"/>
      <c r="FM1868"/>
      <c r="FN1868"/>
      <c r="FO1868"/>
      <c r="FP1868"/>
      <c r="FQ1868"/>
      <c r="FR1868"/>
      <c r="FS1868"/>
      <c r="FT1868"/>
      <c r="FU1868"/>
      <c r="FV1868"/>
      <c r="FW1868"/>
      <c r="FX1868"/>
      <c r="FY1868"/>
      <c r="FZ1868"/>
      <c r="GA1868"/>
      <c r="GB1868"/>
      <c r="GC1868"/>
      <c r="GD1868"/>
      <c r="GE1868"/>
      <c r="GF1868"/>
      <c r="GG1868"/>
      <c r="GH1868"/>
      <c r="GI1868"/>
      <c r="GJ1868"/>
      <c r="GK1868"/>
      <c r="GL1868"/>
      <c r="GM1868"/>
      <c r="GN1868"/>
      <c r="GO1868"/>
    </row>
    <row r="1869" spans="107:197">
      <c r="DC1869"/>
      <c r="FH1869"/>
      <c r="FI1869"/>
      <c r="FJ1869"/>
      <c r="FK1869"/>
      <c r="FL1869"/>
      <c r="FM1869"/>
      <c r="FN1869"/>
      <c r="FO1869"/>
      <c r="FP1869"/>
      <c r="FQ1869"/>
      <c r="FR1869"/>
      <c r="FS1869"/>
      <c r="FT1869"/>
      <c r="FU1869"/>
      <c r="FV1869"/>
      <c r="FW1869"/>
      <c r="FX1869"/>
      <c r="FY1869"/>
      <c r="FZ1869"/>
      <c r="GA1869"/>
      <c r="GB1869"/>
      <c r="GC1869"/>
      <c r="GD1869"/>
      <c r="GE1869"/>
      <c r="GF1869"/>
      <c r="GG1869"/>
      <c r="GH1869"/>
      <c r="GI1869"/>
      <c r="GJ1869"/>
      <c r="GK1869"/>
      <c r="GL1869"/>
      <c r="GM1869"/>
      <c r="GN1869"/>
      <c r="GO1869"/>
    </row>
    <row r="1870" spans="107:197">
      <c r="DC1870"/>
      <c r="FH1870"/>
      <c r="FI1870"/>
      <c r="FJ1870"/>
      <c r="FK1870"/>
      <c r="FL1870"/>
      <c r="FM1870"/>
      <c r="FN1870"/>
      <c r="FO1870"/>
      <c r="FP1870"/>
      <c r="FQ1870"/>
      <c r="FR1870"/>
      <c r="FS1870"/>
      <c r="FT1870"/>
      <c r="FU1870"/>
      <c r="FV1870"/>
      <c r="FW1870"/>
      <c r="FX1870"/>
      <c r="FY1870"/>
      <c r="FZ1870"/>
      <c r="GA1870"/>
      <c r="GB1870"/>
      <c r="GC1870"/>
      <c r="GD1870"/>
      <c r="GE1870"/>
      <c r="GF1870"/>
      <c r="GG1870"/>
      <c r="GH1870"/>
      <c r="GI1870"/>
      <c r="GJ1870"/>
      <c r="GK1870"/>
      <c r="GL1870"/>
      <c r="GM1870"/>
      <c r="GN1870"/>
      <c r="GO1870"/>
    </row>
    <row r="1871" spans="107:197">
      <c r="DC1871"/>
      <c r="FH1871"/>
      <c r="FI1871"/>
      <c r="FJ1871"/>
      <c r="FK1871"/>
      <c r="FL1871"/>
      <c r="FM1871"/>
      <c r="FN1871"/>
      <c r="FO1871"/>
      <c r="FP1871"/>
      <c r="FQ1871"/>
      <c r="FR1871"/>
      <c r="FS1871"/>
      <c r="FT1871"/>
      <c r="FU1871"/>
      <c r="FV1871"/>
      <c r="FW1871"/>
      <c r="FX1871"/>
      <c r="FY1871"/>
      <c r="FZ1871"/>
      <c r="GA1871"/>
      <c r="GB1871"/>
      <c r="GC1871"/>
      <c r="GD1871"/>
      <c r="GE1871"/>
      <c r="GF1871"/>
      <c r="GG1871"/>
      <c r="GH1871"/>
      <c r="GI1871"/>
      <c r="GJ1871"/>
      <c r="GK1871"/>
      <c r="GL1871"/>
      <c r="GM1871"/>
      <c r="GN1871"/>
      <c r="GO1871"/>
    </row>
    <row r="1872" spans="107:197">
      <c r="DC1872"/>
      <c r="FH1872"/>
      <c r="FI1872"/>
      <c r="FJ1872"/>
      <c r="FK1872"/>
      <c r="FL1872"/>
      <c r="FM1872"/>
      <c r="FN1872"/>
      <c r="FO1872"/>
      <c r="FP1872"/>
      <c r="FQ1872"/>
      <c r="FR1872"/>
      <c r="FS1872"/>
      <c r="FT1872"/>
      <c r="FU1872"/>
      <c r="FV1872"/>
      <c r="FW1872"/>
      <c r="FX1872"/>
      <c r="FY1872"/>
      <c r="FZ1872"/>
      <c r="GA1872"/>
      <c r="GB1872"/>
      <c r="GC1872"/>
      <c r="GD1872"/>
      <c r="GE1872"/>
      <c r="GF1872"/>
      <c r="GG1872"/>
      <c r="GH1872"/>
      <c r="GI1872"/>
      <c r="GJ1872"/>
      <c r="GK1872"/>
      <c r="GL1872"/>
      <c r="GM1872"/>
      <c r="GN1872"/>
      <c r="GO1872"/>
    </row>
    <row r="1873" spans="107:197">
      <c r="DC1873"/>
      <c r="FH1873"/>
      <c r="FI1873"/>
      <c r="FJ1873"/>
      <c r="FK1873"/>
      <c r="FL1873"/>
      <c r="FM1873"/>
      <c r="FN1873"/>
      <c r="FO1873"/>
      <c r="FP1873"/>
      <c r="FQ1873"/>
      <c r="FR1873"/>
      <c r="FS1873"/>
      <c r="FT1873"/>
      <c r="FU1873"/>
      <c r="FV1873"/>
      <c r="FW1873"/>
      <c r="FX1873"/>
      <c r="FY1873"/>
      <c r="FZ1873"/>
      <c r="GA1873"/>
      <c r="GB1873"/>
      <c r="GC1873"/>
      <c r="GD1873"/>
      <c r="GE1873"/>
      <c r="GF1873"/>
      <c r="GG1873"/>
      <c r="GH1873"/>
      <c r="GI1873"/>
      <c r="GJ1873"/>
      <c r="GK1873"/>
      <c r="GL1873"/>
      <c r="GM1873"/>
      <c r="GN1873"/>
      <c r="GO1873"/>
    </row>
    <row r="1874" spans="107:197">
      <c r="DC1874"/>
      <c r="FH1874"/>
      <c r="FI1874"/>
      <c r="FJ1874"/>
      <c r="FK1874"/>
      <c r="FL1874"/>
      <c r="FM1874"/>
      <c r="FN1874"/>
      <c r="FO1874"/>
      <c r="FP1874"/>
      <c r="FQ1874"/>
      <c r="FR1874"/>
      <c r="FS1874"/>
      <c r="FT1874"/>
      <c r="FU1874"/>
      <c r="FV1874"/>
      <c r="FW1874"/>
      <c r="FX1874"/>
      <c r="FY1874"/>
      <c r="FZ1874"/>
      <c r="GA1874"/>
      <c r="GB1874"/>
      <c r="GC1874"/>
      <c r="GD1874"/>
      <c r="GE1874"/>
      <c r="GF1874"/>
      <c r="GG1874"/>
      <c r="GH1874"/>
      <c r="GI1874"/>
      <c r="GJ1874"/>
      <c r="GK1874"/>
      <c r="GL1874"/>
      <c r="GM1874"/>
      <c r="GN1874"/>
      <c r="GO1874"/>
    </row>
    <row r="1875" spans="107:197">
      <c r="DC1875"/>
      <c r="FH1875"/>
      <c r="FI1875"/>
      <c r="FJ1875"/>
      <c r="FK1875"/>
      <c r="FL1875"/>
      <c r="FM1875"/>
      <c r="FN1875"/>
      <c r="FO1875"/>
      <c r="FP1875"/>
      <c r="FQ1875"/>
      <c r="FR1875"/>
      <c r="FS1875"/>
      <c r="FT1875"/>
      <c r="FU1875"/>
      <c r="FV1875"/>
      <c r="FW1875"/>
      <c r="FX1875"/>
      <c r="FY1875"/>
      <c r="FZ1875"/>
      <c r="GA1875"/>
      <c r="GB1875"/>
      <c r="GC1875"/>
      <c r="GD1875"/>
      <c r="GE1875"/>
      <c r="GF1875"/>
      <c r="GG1875"/>
      <c r="GH1875"/>
      <c r="GI1875"/>
      <c r="GJ1875"/>
      <c r="GK1875"/>
      <c r="GL1875"/>
      <c r="GM1875"/>
      <c r="GN1875"/>
      <c r="GO1875"/>
    </row>
    <row r="1876" spans="107:197">
      <c r="DC1876"/>
      <c r="FH1876"/>
      <c r="FI1876"/>
      <c r="FJ1876"/>
      <c r="FK1876"/>
      <c r="FL1876"/>
      <c r="FM1876"/>
      <c r="FN1876"/>
      <c r="FO1876"/>
      <c r="FP1876"/>
      <c r="FQ1876"/>
      <c r="FR1876"/>
      <c r="FS1876"/>
      <c r="FT1876"/>
      <c r="FU1876"/>
      <c r="FV1876"/>
      <c r="FW1876"/>
      <c r="FX1876"/>
      <c r="FY1876"/>
      <c r="FZ1876"/>
      <c r="GA1876"/>
      <c r="GB1876"/>
      <c r="GC1876"/>
      <c r="GD1876"/>
      <c r="GE1876"/>
      <c r="GF1876"/>
      <c r="GG1876"/>
      <c r="GH1876"/>
      <c r="GI1876"/>
      <c r="GJ1876"/>
      <c r="GK1876"/>
      <c r="GL1876"/>
      <c r="GM1876"/>
      <c r="GN1876"/>
      <c r="GO1876"/>
    </row>
    <row r="1877" spans="107:197">
      <c r="DC1877"/>
      <c r="FH1877"/>
      <c r="FI1877"/>
      <c r="FJ1877"/>
      <c r="FK1877"/>
      <c r="FL1877"/>
      <c r="FM1877"/>
      <c r="FN1877"/>
      <c r="FO1877"/>
      <c r="FP1877"/>
      <c r="FQ1877"/>
      <c r="FR1877"/>
      <c r="FS1877"/>
      <c r="FT1877"/>
      <c r="FU1877"/>
      <c r="FV1877"/>
      <c r="FW1877"/>
      <c r="FX1877"/>
      <c r="FY1877"/>
      <c r="FZ1877"/>
      <c r="GA1877"/>
      <c r="GB1877"/>
      <c r="GC1877"/>
      <c r="GD1877"/>
      <c r="GE1877"/>
      <c r="GF1877"/>
      <c r="GG1877"/>
      <c r="GH1877"/>
      <c r="GI1877"/>
      <c r="GJ1877"/>
      <c r="GK1877"/>
      <c r="GL1877"/>
      <c r="GM1877"/>
      <c r="GN1877"/>
      <c r="GO1877"/>
    </row>
    <row r="1878" spans="107:197">
      <c r="DC1878"/>
      <c r="FH1878"/>
      <c r="FI1878"/>
      <c r="FJ1878"/>
      <c r="FK1878"/>
      <c r="FL1878"/>
      <c r="FM1878"/>
      <c r="FN1878"/>
      <c r="FO1878"/>
      <c r="FP1878"/>
      <c r="FQ1878"/>
      <c r="FR1878"/>
      <c r="FS1878"/>
      <c r="FT1878"/>
      <c r="FU1878"/>
      <c r="FV1878"/>
      <c r="FW1878"/>
      <c r="FX1878"/>
      <c r="FY1878"/>
      <c r="FZ1878"/>
      <c r="GA1878"/>
      <c r="GB1878"/>
      <c r="GC1878"/>
      <c r="GD1878"/>
      <c r="GE1878"/>
      <c r="GF1878"/>
      <c r="GG1878"/>
      <c r="GH1878"/>
      <c r="GI1878"/>
      <c r="GJ1878"/>
      <c r="GK1878"/>
      <c r="GL1878"/>
      <c r="GM1878"/>
      <c r="GN1878"/>
      <c r="GO1878"/>
    </row>
    <row r="1879" spans="107:197">
      <c r="DC1879"/>
      <c r="FH1879"/>
      <c r="FI1879"/>
      <c r="FJ1879"/>
      <c r="FK1879"/>
      <c r="FL1879"/>
      <c r="FM1879"/>
      <c r="FN1879"/>
      <c r="FO1879"/>
      <c r="FP1879"/>
      <c r="FQ1879"/>
      <c r="FR1879"/>
      <c r="FS1879"/>
      <c r="FT1879"/>
      <c r="FU1879"/>
      <c r="FV1879"/>
      <c r="FW1879"/>
      <c r="FX1879"/>
      <c r="FY1879"/>
      <c r="FZ1879"/>
      <c r="GA1879"/>
      <c r="GB1879"/>
      <c r="GC1879"/>
      <c r="GD1879"/>
      <c r="GE1879"/>
      <c r="GF1879"/>
      <c r="GG1879"/>
      <c r="GH1879"/>
      <c r="GI1879"/>
      <c r="GJ1879"/>
      <c r="GK1879"/>
      <c r="GL1879"/>
      <c r="GM1879"/>
      <c r="GN1879"/>
      <c r="GO1879"/>
    </row>
    <row r="1880" spans="107:197">
      <c r="DC1880"/>
      <c r="FH1880"/>
      <c r="FI1880"/>
      <c r="FJ1880"/>
      <c r="FK1880"/>
      <c r="FL1880"/>
      <c r="FM1880"/>
      <c r="FN1880"/>
      <c r="FO1880"/>
      <c r="FP1880"/>
      <c r="FQ1880"/>
      <c r="FR1880"/>
      <c r="FS1880"/>
      <c r="FT1880"/>
      <c r="FU1880"/>
      <c r="FV1880"/>
      <c r="FW1880"/>
      <c r="FX1880"/>
      <c r="FY1880"/>
      <c r="FZ1880"/>
      <c r="GA1880"/>
      <c r="GB1880"/>
      <c r="GC1880"/>
      <c r="GD1880"/>
      <c r="GE1880"/>
      <c r="GF1880"/>
      <c r="GG1880"/>
      <c r="GH1880"/>
      <c r="GI1880"/>
      <c r="GJ1880"/>
      <c r="GK1880"/>
      <c r="GL1880"/>
      <c r="GM1880"/>
      <c r="GN1880"/>
      <c r="GO1880"/>
    </row>
    <row r="1881" spans="107:197">
      <c r="DC1881"/>
      <c r="FH1881"/>
      <c r="FI1881"/>
      <c r="FJ1881"/>
      <c r="FK1881"/>
      <c r="FL1881"/>
      <c r="FM1881"/>
      <c r="FN1881"/>
      <c r="FO1881"/>
      <c r="FP1881"/>
      <c r="FQ1881"/>
      <c r="FR1881"/>
      <c r="FS1881"/>
      <c r="FT1881"/>
      <c r="FU1881"/>
      <c r="FV1881"/>
      <c r="FW1881"/>
      <c r="FX1881"/>
      <c r="FY1881"/>
      <c r="FZ1881"/>
      <c r="GA1881"/>
      <c r="GB1881"/>
      <c r="GC1881"/>
      <c r="GD1881"/>
      <c r="GE1881"/>
      <c r="GF1881"/>
      <c r="GG1881"/>
      <c r="GH1881"/>
      <c r="GI1881"/>
      <c r="GJ1881"/>
      <c r="GK1881"/>
      <c r="GL1881"/>
      <c r="GM1881"/>
      <c r="GN1881"/>
      <c r="GO1881"/>
    </row>
    <row r="1882" spans="107:197">
      <c r="DC1882"/>
      <c r="FH1882"/>
      <c r="FI1882"/>
      <c r="FJ1882"/>
      <c r="FK1882"/>
      <c r="FL1882"/>
      <c r="FM1882"/>
      <c r="FN1882"/>
      <c r="FO1882"/>
      <c r="FP1882"/>
      <c r="FQ1882"/>
      <c r="FR1882"/>
      <c r="FS1882"/>
      <c r="FT1882"/>
      <c r="FU1882"/>
      <c r="FV1882"/>
      <c r="FW1882"/>
      <c r="FX1882"/>
      <c r="FY1882"/>
      <c r="FZ1882"/>
      <c r="GA1882"/>
      <c r="GB1882"/>
      <c r="GC1882"/>
      <c r="GD1882"/>
      <c r="GE1882"/>
      <c r="GF1882"/>
      <c r="GG1882"/>
      <c r="GH1882"/>
      <c r="GI1882"/>
      <c r="GJ1882"/>
      <c r="GK1882"/>
      <c r="GL1882"/>
      <c r="GM1882"/>
      <c r="GN1882"/>
      <c r="GO1882"/>
    </row>
    <row r="1883" spans="107:197">
      <c r="DC1883"/>
      <c r="FH1883"/>
      <c r="FI1883"/>
      <c r="FJ1883"/>
      <c r="FK1883"/>
      <c r="FL1883"/>
      <c r="FM1883"/>
      <c r="FN1883"/>
      <c r="FO1883"/>
      <c r="FP1883"/>
      <c r="FQ1883"/>
      <c r="FR1883"/>
      <c r="FS1883"/>
      <c r="FT1883"/>
      <c r="FU1883"/>
      <c r="FV1883"/>
      <c r="FW1883"/>
      <c r="FX1883"/>
      <c r="FY1883"/>
      <c r="FZ1883"/>
      <c r="GA1883"/>
      <c r="GB1883"/>
      <c r="GC1883"/>
      <c r="GD1883"/>
      <c r="GE1883"/>
      <c r="GF1883"/>
      <c r="GG1883"/>
      <c r="GH1883"/>
      <c r="GI1883"/>
      <c r="GJ1883"/>
      <c r="GK1883"/>
      <c r="GL1883"/>
      <c r="GM1883"/>
      <c r="GN1883"/>
      <c r="GO1883"/>
    </row>
    <row r="1884" spans="107:197">
      <c r="DC1884"/>
      <c r="FH1884"/>
      <c r="FI1884"/>
      <c r="FJ1884"/>
      <c r="FK1884"/>
      <c r="FL1884"/>
      <c r="FM1884"/>
      <c r="FN1884"/>
      <c r="FO1884"/>
      <c r="FP1884"/>
      <c r="FQ1884"/>
      <c r="FR1884"/>
      <c r="FS1884"/>
      <c r="FT1884"/>
      <c r="FU1884"/>
      <c r="FV1884"/>
      <c r="FW1884"/>
      <c r="FX1884"/>
      <c r="FY1884"/>
      <c r="FZ1884"/>
      <c r="GA1884"/>
      <c r="GB1884"/>
      <c r="GC1884"/>
      <c r="GD1884"/>
      <c r="GE1884"/>
      <c r="GF1884"/>
      <c r="GG1884"/>
      <c r="GH1884"/>
      <c r="GI1884"/>
      <c r="GJ1884"/>
      <c r="GK1884"/>
      <c r="GL1884"/>
      <c r="GM1884"/>
      <c r="GN1884"/>
      <c r="GO1884"/>
    </row>
    <row r="1885" spans="107:197">
      <c r="DC1885"/>
      <c r="FH1885"/>
      <c r="FI1885"/>
      <c r="FJ1885"/>
      <c r="FK1885"/>
      <c r="FL1885"/>
      <c r="FM1885"/>
      <c r="FN1885"/>
      <c r="FO1885"/>
      <c r="FP1885"/>
      <c r="FQ1885"/>
      <c r="FR1885"/>
      <c r="FS1885"/>
      <c r="FT1885"/>
      <c r="FU1885"/>
      <c r="FV1885"/>
      <c r="FW1885"/>
      <c r="FX1885"/>
      <c r="FY1885"/>
      <c r="FZ1885"/>
      <c r="GA1885"/>
      <c r="GB1885"/>
      <c r="GC1885"/>
      <c r="GD1885"/>
      <c r="GE1885"/>
      <c r="GF1885"/>
      <c r="GG1885"/>
      <c r="GH1885"/>
      <c r="GI1885"/>
      <c r="GJ1885"/>
      <c r="GK1885"/>
      <c r="GL1885"/>
      <c r="GM1885"/>
      <c r="GN1885"/>
      <c r="GO1885"/>
    </row>
    <row r="1886" spans="107:197">
      <c r="DC1886"/>
      <c r="FH1886"/>
      <c r="FI1886"/>
      <c r="FJ1886"/>
      <c r="FK1886"/>
      <c r="FL1886"/>
      <c r="FM1886"/>
      <c r="FN1886"/>
      <c r="FO1886"/>
      <c r="FP1886"/>
      <c r="FQ1886"/>
      <c r="FR1886"/>
      <c r="FS1886"/>
      <c r="FT1886"/>
      <c r="FU1886"/>
      <c r="FV1886"/>
      <c r="FW1886"/>
      <c r="FX1886"/>
      <c r="FY1886"/>
      <c r="FZ1886"/>
      <c r="GA1886"/>
      <c r="GB1886"/>
      <c r="GC1886"/>
      <c r="GD1886"/>
      <c r="GE1886"/>
      <c r="GF1886"/>
      <c r="GG1886"/>
      <c r="GH1886"/>
      <c r="GI1886"/>
      <c r="GJ1886"/>
      <c r="GK1886"/>
      <c r="GL1886"/>
      <c r="GM1886"/>
      <c r="GN1886"/>
      <c r="GO1886"/>
    </row>
    <row r="1887" spans="107:197">
      <c r="DC1887"/>
      <c r="FH1887"/>
      <c r="FI1887"/>
      <c r="FJ1887"/>
      <c r="FK1887"/>
      <c r="FL1887"/>
      <c r="FM1887"/>
      <c r="FN1887"/>
      <c r="FO1887"/>
      <c r="FP1887"/>
      <c r="FQ1887"/>
      <c r="FR1887"/>
      <c r="FS1887"/>
      <c r="FT1887"/>
      <c r="FU1887"/>
      <c r="FV1887"/>
      <c r="FW1887"/>
      <c r="FX1887"/>
      <c r="FY1887"/>
      <c r="FZ1887"/>
      <c r="GA1887"/>
      <c r="GB1887"/>
      <c r="GC1887"/>
      <c r="GD1887"/>
      <c r="GE1887"/>
      <c r="GF1887"/>
      <c r="GG1887"/>
      <c r="GH1887"/>
      <c r="GI1887"/>
      <c r="GJ1887"/>
      <c r="GK1887"/>
      <c r="GL1887"/>
      <c r="GM1887"/>
      <c r="GN1887"/>
      <c r="GO1887"/>
    </row>
    <row r="1888" spans="107:197">
      <c r="DC1888"/>
      <c r="FH1888"/>
      <c r="FI1888"/>
      <c r="FJ1888"/>
      <c r="FK1888"/>
      <c r="FL1888"/>
      <c r="FM1888"/>
      <c r="FN1888"/>
      <c r="FO1888"/>
      <c r="FP1888"/>
      <c r="FQ1888"/>
      <c r="FR1888"/>
      <c r="FS1888"/>
      <c r="FT1888"/>
      <c r="FU1888"/>
      <c r="FV1888"/>
      <c r="FW1888"/>
      <c r="FX1888"/>
      <c r="FY1888"/>
      <c r="FZ1888"/>
      <c r="GA1888"/>
      <c r="GB1888"/>
      <c r="GC1888"/>
      <c r="GD1888"/>
      <c r="GE1888"/>
      <c r="GF1888"/>
      <c r="GG1888"/>
      <c r="GH1888"/>
      <c r="GI1888"/>
      <c r="GJ1888"/>
      <c r="GK1888"/>
      <c r="GL1888"/>
      <c r="GM1888"/>
      <c r="GN1888"/>
      <c r="GO1888"/>
    </row>
    <row r="1889" spans="107:197">
      <c r="DC1889"/>
      <c r="FH1889"/>
      <c r="FI1889"/>
      <c r="FJ1889"/>
      <c r="FK1889"/>
      <c r="FL1889"/>
      <c r="FM1889"/>
      <c r="FN1889"/>
      <c r="FO1889"/>
      <c r="FP1889"/>
      <c r="FQ1889"/>
      <c r="FR1889"/>
      <c r="FS1889"/>
      <c r="FT1889"/>
      <c r="FU1889"/>
      <c r="FV1889"/>
      <c r="FW1889"/>
      <c r="FX1889"/>
      <c r="FY1889"/>
      <c r="FZ1889"/>
      <c r="GA1889"/>
      <c r="GB1889"/>
      <c r="GC1889"/>
      <c r="GD1889"/>
      <c r="GE1889"/>
      <c r="GF1889"/>
      <c r="GG1889"/>
      <c r="GH1889"/>
      <c r="GI1889"/>
      <c r="GJ1889"/>
      <c r="GK1889"/>
      <c r="GL1889"/>
      <c r="GM1889"/>
      <c r="GN1889"/>
      <c r="GO1889"/>
    </row>
    <row r="1890" spans="107:197">
      <c r="DC1890"/>
      <c r="FH1890"/>
      <c r="FI1890"/>
      <c r="FJ1890"/>
      <c r="FK1890"/>
      <c r="FL1890"/>
      <c r="FM1890"/>
      <c r="FN1890"/>
      <c r="FO1890"/>
      <c r="FP1890"/>
      <c r="FQ1890"/>
      <c r="FR1890"/>
      <c r="FS1890"/>
      <c r="FT1890"/>
      <c r="FU1890"/>
      <c r="FV1890"/>
      <c r="FW1890"/>
      <c r="FX1890"/>
      <c r="FY1890"/>
      <c r="FZ1890"/>
      <c r="GA1890"/>
      <c r="GB1890"/>
      <c r="GC1890"/>
      <c r="GD1890"/>
      <c r="GE1890"/>
      <c r="GF1890"/>
      <c r="GG1890"/>
      <c r="GH1890"/>
      <c r="GI1890"/>
      <c r="GJ1890"/>
      <c r="GK1890"/>
      <c r="GL1890"/>
      <c r="GM1890"/>
      <c r="GN1890"/>
      <c r="GO1890"/>
    </row>
    <row r="1891" spans="107:197">
      <c r="DC1891"/>
      <c r="FH1891"/>
      <c r="FI1891"/>
      <c r="FJ1891"/>
      <c r="FK1891"/>
      <c r="FL1891"/>
      <c r="FM1891"/>
      <c r="FN1891"/>
      <c r="FO1891"/>
      <c r="FP1891"/>
      <c r="FQ1891"/>
      <c r="FR1891"/>
      <c r="FS1891"/>
      <c r="FT1891"/>
      <c r="FU1891"/>
      <c r="FV1891"/>
      <c r="FW1891"/>
      <c r="FX1891"/>
      <c r="FY1891"/>
      <c r="FZ1891"/>
      <c r="GA1891"/>
      <c r="GB1891"/>
      <c r="GC1891"/>
      <c r="GD1891"/>
      <c r="GE1891"/>
      <c r="GF1891"/>
      <c r="GG1891"/>
      <c r="GH1891"/>
      <c r="GI1891"/>
      <c r="GJ1891"/>
      <c r="GK1891"/>
      <c r="GL1891"/>
      <c r="GM1891"/>
      <c r="GN1891"/>
      <c r="GO1891"/>
    </row>
    <row r="1892" spans="107:197">
      <c r="DC1892"/>
      <c r="FH1892"/>
      <c r="FI1892"/>
      <c r="FJ1892"/>
      <c r="FK1892"/>
      <c r="FL1892"/>
      <c r="FM1892"/>
      <c r="FN1892"/>
      <c r="FO1892"/>
      <c r="FP1892"/>
      <c r="FQ1892"/>
      <c r="FR1892"/>
      <c r="FS1892"/>
      <c r="FT1892"/>
      <c r="FU1892"/>
      <c r="FV1892"/>
      <c r="FW1892"/>
      <c r="FX1892"/>
      <c r="FY1892"/>
      <c r="FZ1892"/>
      <c r="GA1892"/>
      <c r="GB1892"/>
      <c r="GC1892"/>
      <c r="GD1892"/>
      <c r="GE1892"/>
      <c r="GF1892"/>
      <c r="GG1892"/>
      <c r="GH1892"/>
      <c r="GI1892"/>
      <c r="GJ1892"/>
      <c r="GK1892"/>
      <c r="GL1892"/>
      <c r="GM1892"/>
      <c r="GN1892"/>
      <c r="GO1892"/>
    </row>
    <row r="1893" spans="107:197">
      <c r="DC1893"/>
      <c r="FH1893"/>
      <c r="FI1893"/>
      <c r="FJ1893"/>
      <c r="FK1893"/>
      <c r="FL1893"/>
      <c r="FM1893"/>
      <c r="FN1893"/>
      <c r="FO1893"/>
      <c r="FP1893"/>
      <c r="FQ1893"/>
      <c r="FR1893"/>
      <c r="FS1893"/>
      <c r="FT1893"/>
      <c r="FU1893"/>
      <c r="FV1893"/>
      <c r="FW1893"/>
      <c r="FX1893"/>
      <c r="FY1893"/>
      <c r="FZ1893"/>
      <c r="GA1893"/>
      <c r="GB1893"/>
      <c r="GC1893"/>
      <c r="GD1893"/>
      <c r="GE1893"/>
      <c r="GF1893"/>
      <c r="GG1893"/>
      <c r="GH1893"/>
      <c r="GI1893"/>
      <c r="GJ1893"/>
      <c r="GK1893"/>
      <c r="GL1893"/>
      <c r="GM1893"/>
      <c r="GN1893"/>
      <c r="GO1893"/>
    </row>
    <row r="1894" spans="107:197">
      <c r="DC1894"/>
      <c r="FH1894"/>
      <c r="FI1894"/>
      <c r="FJ1894"/>
      <c r="FK1894"/>
      <c r="FL1894"/>
      <c r="FM1894"/>
      <c r="FN1894"/>
      <c r="FO1894"/>
      <c r="FP1894"/>
      <c r="FQ1894"/>
      <c r="FR1894"/>
      <c r="FS1894"/>
      <c r="FT1894"/>
      <c r="FU1894"/>
      <c r="FV1894"/>
      <c r="FW1894"/>
      <c r="FX1894"/>
      <c r="FY1894"/>
      <c r="FZ1894"/>
      <c r="GA1894"/>
      <c r="GB1894"/>
      <c r="GC1894"/>
      <c r="GD1894"/>
      <c r="GE1894"/>
      <c r="GF1894"/>
      <c r="GG1894"/>
      <c r="GH1894"/>
      <c r="GI1894"/>
      <c r="GJ1894"/>
      <c r="GK1894"/>
      <c r="GL1894"/>
      <c r="GM1894"/>
      <c r="GN1894"/>
      <c r="GO1894"/>
    </row>
    <row r="1895" spans="107:197">
      <c r="DC1895"/>
      <c r="FH1895"/>
      <c r="FI1895"/>
      <c r="FJ1895"/>
      <c r="FK1895"/>
      <c r="FL1895"/>
      <c r="FM1895"/>
      <c r="FN1895"/>
      <c r="FO1895"/>
      <c r="FP1895"/>
      <c r="FQ1895"/>
      <c r="FR1895"/>
      <c r="FS1895"/>
      <c r="FT1895"/>
      <c r="FU1895"/>
      <c r="FV1895"/>
      <c r="FW1895"/>
      <c r="FX1895"/>
      <c r="FY1895"/>
      <c r="FZ1895"/>
      <c r="GA1895"/>
      <c r="GB1895"/>
      <c r="GC1895"/>
      <c r="GD1895"/>
      <c r="GE1895"/>
      <c r="GF1895"/>
      <c r="GG1895"/>
      <c r="GH1895"/>
      <c r="GI1895"/>
      <c r="GJ1895"/>
      <c r="GK1895"/>
      <c r="GL1895"/>
      <c r="GM1895"/>
      <c r="GN1895"/>
      <c r="GO1895"/>
    </row>
    <row r="1896" spans="107:197">
      <c r="DC1896"/>
      <c r="FH1896"/>
      <c r="FI1896"/>
      <c r="FJ1896"/>
      <c r="FK1896"/>
      <c r="FL1896"/>
      <c r="FM1896"/>
      <c r="FN1896"/>
      <c r="FO1896"/>
      <c r="FP1896"/>
      <c r="FQ1896"/>
      <c r="FR1896"/>
      <c r="FS1896"/>
      <c r="FT1896"/>
      <c r="FU1896"/>
      <c r="FV1896"/>
      <c r="FW1896"/>
      <c r="FX1896"/>
      <c r="FY1896"/>
      <c r="FZ1896"/>
      <c r="GA1896"/>
      <c r="GB1896"/>
      <c r="GC1896"/>
      <c r="GD1896"/>
      <c r="GE1896"/>
      <c r="GF1896"/>
      <c r="GG1896"/>
      <c r="GH1896"/>
      <c r="GI1896"/>
      <c r="GJ1896"/>
      <c r="GK1896"/>
      <c r="GL1896"/>
      <c r="GM1896"/>
      <c r="GN1896"/>
      <c r="GO1896"/>
    </row>
    <row r="1897" spans="107:197">
      <c r="DC1897"/>
      <c r="FH1897"/>
      <c r="FI1897"/>
      <c r="FJ1897"/>
      <c r="FK1897"/>
      <c r="FL1897"/>
      <c r="FM1897"/>
      <c r="FN1897"/>
      <c r="FO1897"/>
      <c r="FP1897"/>
      <c r="FQ1897"/>
      <c r="FR1897"/>
      <c r="FS1897"/>
      <c r="FT1897"/>
      <c r="FU1897"/>
      <c r="FV1897"/>
      <c r="FW1897"/>
      <c r="FX1897"/>
      <c r="FY1897"/>
      <c r="FZ1897"/>
      <c r="GA1897"/>
      <c r="GB1897"/>
      <c r="GC1897"/>
      <c r="GD1897"/>
      <c r="GE1897"/>
      <c r="GF1897"/>
      <c r="GG1897"/>
      <c r="GH1897"/>
      <c r="GI1897"/>
      <c r="GJ1897"/>
      <c r="GK1897"/>
      <c r="GL1897"/>
      <c r="GM1897"/>
      <c r="GN1897"/>
      <c r="GO1897"/>
    </row>
    <row r="1898" spans="107:197">
      <c r="DC1898"/>
      <c r="FH1898"/>
      <c r="FI1898"/>
      <c r="FJ1898"/>
      <c r="FK1898"/>
      <c r="FL1898"/>
      <c r="FM1898"/>
      <c r="FN1898"/>
      <c r="FO1898"/>
      <c r="FP1898"/>
      <c r="FQ1898"/>
      <c r="FR1898"/>
      <c r="FS1898"/>
      <c r="FT1898"/>
      <c r="FU1898"/>
      <c r="FV1898"/>
      <c r="FW1898"/>
      <c r="FX1898"/>
      <c r="FY1898"/>
      <c r="FZ1898"/>
      <c r="GA1898"/>
      <c r="GB1898"/>
      <c r="GC1898"/>
      <c r="GD1898"/>
      <c r="GE1898"/>
      <c r="GF1898"/>
      <c r="GG1898"/>
      <c r="GH1898"/>
      <c r="GI1898"/>
      <c r="GJ1898"/>
      <c r="GK1898"/>
      <c r="GL1898"/>
      <c r="GM1898"/>
      <c r="GN1898"/>
      <c r="GO1898"/>
    </row>
    <row r="1899" spans="107:197">
      <c r="DC1899"/>
      <c r="FH1899"/>
      <c r="FI1899"/>
      <c r="FJ1899"/>
      <c r="FK1899"/>
      <c r="FL1899"/>
      <c r="FM1899"/>
      <c r="FN1899"/>
      <c r="FO1899"/>
      <c r="FP1899"/>
      <c r="FQ1899"/>
      <c r="FR1899"/>
      <c r="FS1899"/>
      <c r="FT1899"/>
      <c r="FU1899"/>
      <c r="FV1899"/>
      <c r="FW1899"/>
      <c r="FX1899"/>
      <c r="FY1899"/>
      <c r="FZ1899"/>
      <c r="GA1899"/>
      <c r="GB1899"/>
      <c r="GC1899"/>
      <c r="GD1899"/>
      <c r="GE1899"/>
      <c r="GF1899"/>
      <c r="GG1899"/>
      <c r="GH1899"/>
      <c r="GI1899"/>
      <c r="GJ1899"/>
      <c r="GK1899"/>
      <c r="GL1899"/>
      <c r="GM1899"/>
      <c r="GN1899"/>
      <c r="GO1899"/>
    </row>
    <row r="1900" spans="107:197">
      <c r="DC1900"/>
      <c r="FH1900"/>
      <c r="FI1900"/>
      <c r="FJ1900"/>
      <c r="FK1900"/>
      <c r="FL1900"/>
      <c r="FM1900"/>
      <c r="FN1900"/>
      <c r="FO1900"/>
      <c r="FP1900"/>
      <c r="FQ1900"/>
      <c r="FR1900"/>
      <c r="FS1900"/>
      <c r="FT1900"/>
      <c r="FU1900"/>
      <c r="FV1900"/>
      <c r="FW1900"/>
      <c r="FX1900"/>
      <c r="FY1900"/>
      <c r="FZ1900"/>
      <c r="GA1900"/>
      <c r="GB1900"/>
      <c r="GC1900"/>
      <c r="GD1900"/>
      <c r="GE1900"/>
      <c r="GF1900"/>
      <c r="GG1900"/>
      <c r="GH1900"/>
      <c r="GI1900"/>
      <c r="GJ1900"/>
      <c r="GK1900"/>
      <c r="GL1900"/>
      <c r="GM1900"/>
      <c r="GN1900"/>
      <c r="GO1900"/>
    </row>
    <row r="1901" spans="107:197">
      <c r="DC1901"/>
      <c r="FH1901"/>
      <c r="FI1901"/>
      <c r="FJ1901"/>
      <c r="FK1901"/>
      <c r="FL1901"/>
      <c r="FM1901"/>
      <c r="FN1901"/>
      <c r="FO1901"/>
      <c r="FP1901"/>
      <c r="FQ1901"/>
      <c r="FR1901"/>
      <c r="FS1901"/>
      <c r="FT1901"/>
      <c r="FU1901"/>
      <c r="FV1901"/>
      <c r="FW1901"/>
      <c r="FX1901"/>
      <c r="FY1901"/>
      <c r="FZ1901"/>
      <c r="GA1901"/>
      <c r="GB1901"/>
      <c r="GC1901"/>
      <c r="GD1901"/>
      <c r="GE1901"/>
      <c r="GF1901"/>
      <c r="GG1901"/>
      <c r="GH1901"/>
      <c r="GI1901"/>
      <c r="GJ1901"/>
      <c r="GK1901"/>
      <c r="GL1901"/>
      <c r="GM1901"/>
      <c r="GN1901"/>
      <c r="GO1901"/>
    </row>
    <row r="1902" spans="107:197">
      <c r="DC1902"/>
      <c r="FH1902"/>
      <c r="FI1902"/>
      <c r="FJ1902"/>
      <c r="FK1902"/>
      <c r="FL1902"/>
      <c r="FM1902"/>
      <c r="FN1902"/>
      <c r="FO1902"/>
      <c r="FP1902"/>
      <c r="FQ1902"/>
      <c r="FR1902"/>
      <c r="FS1902"/>
      <c r="FT1902"/>
      <c r="FU1902"/>
      <c r="FV1902"/>
      <c r="FW1902"/>
      <c r="FX1902"/>
      <c r="FY1902"/>
      <c r="FZ1902"/>
      <c r="GA1902"/>
      <c r="GB1902"/>
      <c r="GC1902"/>
      <c r="GD1902"/>
      <c r="GE1902"/>
      <c r="GF1902"/>
      <c r="GG1902"/>
      <c r="GH1902"/>
      <c r="GI1902"/>
      <c r="GJ1902"/>
      <c r="GK1902"/>
      <c r="GL1902"/>
      <c r="GM1902"/>
      <c r="GN1902"/>
      <c r="GO1902"/>
    </row>
    <row r="1903" spans="107:197">
      <c r="DC1903"/>
      <c r="FH1903"/>
      <c r="FI1903"/>
      <c r="FJ1903"/>
      <c r="FK1903"/>
      <c r="FL1903"/>
      <c r="FM1903"/>
      <c r="FN1903"/>
      <c r="FO1903"/>
      <c r="FP1903"/>
      <c r="FQ1903"/>
      <c r="FR1903"/>
      <c r="FS1903"/>
      <c r="FT1903"/>
      <c r="FU1903"/>
      <c r="FV1903"/>
      <c r="FW1903"/>
      <c r="FX1903"/>
      <c r="FY1903"/>
      <c r="FZ1903"/>
      <c r="GA1903"/>
      <c r="GB1903"/>
      <c r="GC1903"/>
      <c r="GD1903"/>
      <c r="GE1903"/>
      <c r="GF1903"/>
      <c r="GG1903"/>
      <c r="GH1903"/>
      <c r="GI1903"/>
      <c r="GJ1903"/>
      <c r="GK1903"/>
      <c r="GL1903"/>
      <c r="GM1903"/>
      <c r="GN1903"/>
      <c r="GO1903"/>
    </row>
    <row r="1904" spans="107:197">
      <c r="DC1904"/>
      <c r="FH1904"/>
      <c r="FI1904"/>
      <c r="FJ1904"/>
      <c r="FK1904"/>
      <c r="FL1904"/>
      <c r="FM1904"/>
      <c r="FN1904"/>
      <c r="FO1904"/>
      <c r="FP1904"/>
      <c r="FQ1904"/>
      <c r="FR1904"/>
      <c r="FS1904"/>
      <c r="FT1904"/>
      <c r="FU1904"/>
      <c r="FV1904"/>
      <c r="FW1904"/>
      <c r="FX1904"/>
      <c r="FY1904"/>
      <c r="FZ1904"/>
      <c r="GA1904"/>
      <c r="GB1904"/>
      <c r="GC1904"/>
      <c r="GD1904"/>
      <c r="GE1904"/>
      <c r="GF1904"/>
      <c r="GG1904"/>
      <c r="GH1904"/>
      <c r="GI1904"/>
      <c r="GJ1904"/>
      <c r="GK1904"/>
      <c r="GL1904"/>
      <c r="GM1904"/>
      <c r="GN1904"/>
      <c r="GO1904"/>
    </row>
    <row r="1905" spans="107:197">
      <c r="DC1905"/>
      <c r="FH1905"/>
      <c r="FI1905"/>
      <c r="FJ1905"/>
      <c r="FK1905"/>
      <c r="FL1905"/>
      <c r="FM1905"/>
      <c r="FN1905"/>
      <c r="FO1905"/>
      <c r="FP1905"/>
      <c r="FQ1905"/>
      <c r="FR1905"/>
      <c r="FS1905"/>
      <c r="FT1905"/>
      <c r="FU1905"/>
      <c r="FV1905"/>
      <c r="FW1905"/>
      <c r="FX1905"/>
      <c r="FY1905"/>
      <c r="FZ1905"/>
      <c r="GA1905"/>
      <c r="GB1905"/>
      <c r="GC1905"/>
      <c r="GD1905"/>
      <c r="GE1905"/>
      <c r="GF1905"/>
      <c r="GG1905"/>
      <c r="GH1905"/>
      <c r="GI1905"/>
      <c r="GJ1905"/>
      <c r="GK1905"/>
      <c r="GL1905"/>
      <c r="GM1905"/>
      <c r="GN1905"/>
      <c r="GO1905"/>
    </row>
    <row r="1906" spans="107:197">
      <c r="DC1906"/>
      <c r="FH1906"/>
      <c r="FI1906"/>
      <c r="FJ1906"/>
      <c r="FK1906"/>
      <c r="FL1906"/>
      <c r="FM1906"/>
      <c r="FN1906"/>
      <c r="FO1906"/>
      <c r="FP1906"/>
      <c r="FQ1906"/>
      <c r="FR1906"/>
      <c r="FS1906"/>
      <c r="FT1906"/>
      <c r="FU1906"/>
      <c r="FV1906"/>
      <c r="FW1906"/>
      <c r="FX1906"/>
      <c r="FY1906"/>
      <c r="FZ1906"/>
      <c r="GA1906"/>
      <c r="GB1906"/>
      <c r="GC1906"/>
      <c r="GD1906"/>
      <c r="GE1906"/>
      <c r="GF1906"/>
      <c r="GG1906"/>
      <c r="GH1906"/>
      <c r="GI1906"/>
      <c r="GJ1906"/>
      <c r="GK1906"/>
      <c r="GL1906"/>
      <c r="GM1906"/>
      <c r="GN1906"/>
      <c r="GO1906"/>
    </row>
    <row r="1907" spans="107:197">
      <c r="DC1907"/>
      <c r="FH1907"/>
      <c r="FI1907"/>
      <c r="FJ1907"/>
      <c r="FK1907"/>
      <c r="FL1907"/>
      <c r="FM1907"/>
      <c r="FN1907"/>
      <c r="FO1907"/>
      <c r="FP1907"/>
      <c r="FQ1907"/>
      <c r="FR1907"/>
      <c r="FS1907"/>
      <c r="FT1907"/>
      <c r="FU1907"/>
      <c r="FV1907"/>
      <c r="FW1907"/>
      <c r="FX1907"/>
      <c r="FY1907"/>
      <c r="FZ1907"/>
      <c r="GA1907"/>
      <c r="GB1907"/>
      <c r="GC1907"/>
      <c r="GD1907"/>
      <c r="GE1907"/>
      <c r="GF1907"/>
      <c r="GG1907"/>
      <c r="GH1907"/>
      <c r="GI1907"/>
      <c r="GJ1907"/>
      <c r="GK1907"/>
      <c r="GL1907"/>
      <c r="GM1907"/>
      <c r="GN1907"/>
      <c r="GO1907"/>
    </row>
    <row r="1908" spans="107:197">
      <c r="DC1908"/>
      <c r="FH1908"/>
      <c r="FI1908"/>
      <c r="FJ1908"/>
      <c r="FK1908"/>
      <c r="FL1908"/>
      <c r="FM1908"/>
      <c r="FN1908"/>
      <c r="FO1908"/>
      <c r="FP1908"/>
      <c r="FQ1908"/>
      <c r="FR1908"/>
      <c r="FS1908"/>
      <c r="FT1908"/>
      <c r="FU1908"/>
      <c r="FV1908"/>
      <c r="FW1908"/>
      <c r="FX1908"/>
      <c r="FY1908"/>
      <c r="FZ1908"/>
      <c r="GA1908"/>
      <c r="GB1908"/>
      <c r="GC1908"/>
      <c r="GD1908"/>
      <c r="GE1908"/>
      <c r="GF1908"/>
      <c r="GG1908"/>
      <c r="GH1908"/>
      <c r="GI1908"/>
      <c r="GJ1908"/>
      <c r="GK1908"/>
      <c r="GL1908"/>
      <c r="GM1908"/>
      <c r="GN1908"/>
      <c r="GO1908"/>
    </row>
    <row r="1909" spans="107:197">
      <c r="DC1909"/>
      <c r="FH1909"/>
      <c r="FI1909"/>
      <c r="FJ1909"/>
      <c r="FK1909"/>
      <c r="FL1909"/>
      <c r="FM1909"/>
      <c r="FN1909"/>
      <c r="FO1909"/>
      <c r="FP1909"/>
      <c r="FQ1909"/>
      <c r="FR1909"/>
      <c r="FS1909"/>
      <c r="FT1909"/>
      <c r="FU1909"/>
      <c r="FV1909"/>
      <c r="FW1909"/>
      <c r="FX1909"/>
      <c r="FY1909"/>
      <c r="FZ1909"/>
      <c r="GA1909"/>
      <c r="GB1909"/>
      <c r="GC1909"/>
      <c r="GD1909"/>
      <c r="GE1909"/>
      <c r="GF1909"/>
      <c r="GG1909"/>
      <c r="GH1909"/>
      <c r="GI1909"/>
      <c r="GJ1909"/>
      <c r="GK1909"/>
      <c r="GL1909"/>
      <c r="GM1909"/>
      <c r="GN1909"/>
      <c r="GO1909"/>
    </row>
    <row r="1910" spans="107:197">
      <c r="DC1910"/>
      <c r="FH1910"/>
      <c r="FI1910"/>
      <c r="FJ1910"/>
      <c r="FK1910"/>
      <c r="FL1910"/>
      <c r="FM1910"/>
      <c r="FN1910"/>
      <c r="FO1910"/>
      <c r="FP1910"/>
      <c r="FQ1910"/>
      <c r="FR1910"/>
      <c r="FS1910"/>
      <c r="FT1910"/>
      <c r="FU1910"/>
      <c r="FV1910"/>
      <c r="FW1910"/>
      <c r="FX1910"/>
      <c r="FY1910"/>
      <c r="FZ1910"/>
      <c r="GA1910"/>
      <c r="GB1910"/>
      <c r="GC1910"/>
      <c r="GD1910"/>
      <c r="GE1910"/>
      <c r="GF1910"/>
      <c r="GG1910"/>
      <c r="GH1910"/>
      <c r="GI1910"/>
      <c r="GJ1910"/>
      <c r="GK1910"/>
      <c r="GL1910"/>
      <c r="GM1910"/>
      <c r="GN1910"/>
      <c r="GO1910"/>
    </row>
    <row r="1911" spans="107:197">
      <c r="DC1911"/>
      <c r="FH1911"/>
      <c r="FI1911"/>
      <c r="FJ1911"/>
      <c r="FK1911"/>
      <c r="FL1911"/>
      <c r="FM1911"/>
      <c r="FN1911"/>
      <c r="FO1911"/>
      <c r="FP1911"/>
      <c r="FQ1911"/>
      <c r="FR1911"/>
      <c r="FS1911"/>
      <c r="FT1911"/>
      <c r="FU1911"/>
      <c r="FV1911"/>
      <c r="FW1911"/>
      <c r="FX1911"/>
      <c r="FY1911"/>
      <c r="FZ1911"/>
      <c r="GA1911"/>
      <c r="GB1911"/>
      <c r="GC1911"/>
      <c r="GD1911"/>
      <c r="GE1911"/>
      <c r="GF1911"/>
      <c r="GG1911"/>
      <c r="GH1911"/>
      <c r="GI1911"/>
      <c r="GJ1911"/>
      <c r="GK1911"/>
      <c r="GL1911"/>
      <c r="GM1911"/>
      <c r="GN1911"/>
      <c r="GO1911"/>
    </row>
    <row r="1912" spans="107:197">
      <c r="DC1912"/>
      <c r="FH1912"/>
      <c r="FI1912"/>
      <c r="FJ1912"/>
      <c r="FK1912"/>
      <c r="FL1912"/>
      <c r="FM1912"/>
      <c r="FN1912"/>
      <c r="FO1912"/>
      <c r="FP1912"/>
      <c r="FQ1912"/>
      <c r="FR1912"/>
      <c r="FS1912"/>
      <c r="FT1912"/>
      <c r="FU1912"/>
      <c r="FV1912"/>
      <c r="FW1912"/>
      <c r="FX1912"/>
      <c r="FY1912"/>
      <c r="FZ1912"/>
      <c r="GA1912"/>
      <c r="GB1912"/>
      <c r="GC1912"/>
      <c r="GD1912"/>
      <c r="GE1912"/>
      <c r="GF1912"/>
      <c r="GG1912"/>
      <c r="GH1912"/>
      <c r="GI1912"/>
      <c r="GJ1912"/>
      <c r="GK1912"/>
      <c r="GL1912"/>
      <c r="GM1912"/>
      <c r="GN1912"/>
      <c r="GO1912"/>
    </row>
    <row r="1913" spans="107:197">
      <c r="DC1913"/>
      <c r="FH1913"/>
      <c r="FI1913"/>
      <c r="FJ1913"/>
      <c r="FK1913"/>
      <c r="FL1913"/>
      <c r="FM1913"/>
      <c r="FN1913"/>
      <c r="FO1913"/>
      <c r="FP1913"/>
      <c r="FQ1913"/>
      <c r="FR1913"/>
      <c r="FS1913"/>
      <c r="FT1913"/>
      <c r="FU1913"/>
      <c r="FV1913"/>
      <c r="FW1913"/>
      <c r="FX1913"/>
      <c r="FY1913"/>
      <c r="FZ1913"/>
      <c r="GA1913"/>
      <c r="GB1913"/>
      <c r="GC1913"/>
      <c r="GD1913"/>
      <c r="GE1913"/>
      <c r="GF1913"/>
      <c r="GG1913"/>
      <c r="GH1913"/>
      <c r="GI1913"/>
      <c r="GJ1913"/>
      <c r="GK1913"/>
      <c r="GL1913"/>
      <c r="GM1913"/>
      <c r="GN1913"/>
      <c r="GO1913"/>
    </row>
    <row r="1914" spans="107:197">
      <c r="DC1914"/>
      <c r="FH1914"/>
      <c r="FI1914"/>
      <c r="FJ1914"/>
      <c r="FK1914"/>
      <c r="FL1914"/>
      <c r="FM1914"/>
      <c r="FN1914"/>
      <c r="FO1914"/>
      <c r="FP1914"/>
      <c r="FQ1914"/>
      <c r="FR1914"/>
      <c r="FS1914"/>
      <c r="FT1914"/>
      <c r="FU1914"/>
      <c r="FV1914"/>
      <c r="FW1914"/>
      <c r="FX1914"/>
      <c r="FY1914"/>
      <c r="FZ1914"/>
      <c r="GA1914"/>
      <c r="GB1914"/>
      <c r="GC1914"/>
      <c r="GD1914"/>
      <c r="GE1914"/>
      <c r="GF1914"/>
      <c r="GG1914"/>
      <c r="GH1914"/>
      <c r="GI1914"/>
      <c r="GJ1914"/>
      <c r="GK1914"/>
      <c r="GL1914"/>
      <c r="GM1914"/>
      <c r="GN1914"/>
      <c r="GO1914"/>
    </row>
    <row r="1915" spans="107:197">
      <c r="DC1915"/>
      <c r="FH1915"/>
      <c r="FI1915"/>
      <c r="FJ1915"/>
      <c r="FK1915"/>
      <c r="FL1915"/>
      <c r="FM1915"/>
      <c r="FN1915"/>
      <c r="FO1915"/>
      <c r="FP1915"/>
      <c r="FQ1915"/>
      <c r="FR1915"/>
      <c r="FS1915"/>
      <c r="FT1915"/>
      <c r="FU1915"/>
      <c r="FV1915"/>
      <c r="FW1915"/>
      <c r="FX1915"/>
      <c r="FY1915"/>
      <c r="FZ1915"/>
      <c r="GA1915"/>
      <c r="GB1915"/>
      <c r="GC1915"/>
      <c r="GD1915"/>
      <c r="GE1915"/>
      <c r="GF1915"/>
      <c r="GG1915"/>
      <c r="GH1915"/>
      <c r="GI1915"/>
      <c r="GJ1915"/>
      <c r="GK1915"/>
      <c r="GL1915"/>
      <c r="GM1915"/>
      <c r="GN1915"/>
      <c r="GO1915"/>
    </row>
    <row r="1916" spans="107:197">
      <c r="DC1916"/>
      <c r="FH1916"/>
      <c r="FI1916"/>
      <c r="FJ1916"/>
      <c r="FK1916"/>
      <c r="FL1916"/>
      <c r="FM1916"/>
      <c r="FN1916"/>
      <c r="FO1916"/>
      <c r="FP1916"/>
      <c r="FQ1916"/>
      <c r="FR1916"/>
      <c r="FS1916"/>
      <c r="FT1916"/>
      <c r="FU1916"/>
      <c r="FV1916"/>
      <c r="FW1916"/>
      <c r="FX1916"/>
      <c r="FY1916"/>
      <c r="FZ1916"/>
      <c r="GA1916"/>
      <c r="GB1916"/>
      <c r="GC1916"/>
      <c r="GD1916"/>
      <c r="GE1916"/>
      <c r="GF1916"/>
      <c r="GG1916"/>
      <c r="GH1916"/>
      <c r="GI1916"/>
      <c r="GJ1916"/>
      <c r="GK1916"/>
      <c r="GL1916"/>
      <c r="GM1916"/>
      <c r="GN1916"/>
      <c r="GO1916"/>
    </row>
    <row r="1917" spans="107:197">
      <c r="DC1917"/>
      <c r="FH1917"/>
      <c r="FI1917"/>
      <c r="FJ1917"/>
      <c r="FK1917"/>
      <c r="FL1917"/>
      <c r="FM1917"/>
      <c r="FN1917"/>
      <c r="FO1917"/>
      <c r="FP1917"/>
      <c r="FQ1917"/>
      <c r="FR1917"/>
      <c r="FS1917"/>
      <c r="FT1917"/>
      <c r="FU1917"/>
      <c r="FV1917"/>
      <c r="FW1917"/>
      <c r="FX1917"/>
      <c r="FY1917"/>
      <c r="FZ1917"/>
      <c r="GA1917"/>
      <c r="GB1917"/>
      <c r="GC1917"/>
      <c r="GD1917"/>
      <c r="GE1917"/>
      <c r="GF1917"/>
      <c r="GG1917"/>
      <c r="GH1917"/>
      <c r="GI1917"/>
      <c r="GJ1917"/>
      <c r="GK1917"/>
      <c r="GL1917"/>
      <c r="GM1917"/>
      <c r="GN1917"/>
      <c r="GO1917"/>
    </row>
    <row r="1918" spans="107:197">
      <c r="DC1918"/>
      <c r="FH1918"/>
      <c r="FI1918"/>
      <c r="FJ1918"/>
      <c r="FK1918"/>
      <c r="FL1918"/>
      <c r="FM1918"/>
      <c r="FN1918"/>
      <c r="FO1918"/>
      <c r="FP1918"/>
      <c r="FQ1918"/>
      <c r="FR1918"/>
      <c r="FS1918"/>
      <c r="FT1918"/>
      <c r="FU1918"/>
      <c r="FV1918"/>
      <c r="FW1918"/>
      <c r="FX1918"/>
      <c r="FY1918"/>
      <c r="FZ1918"/>
      <c r="GA1918"/>
      <c r="GB1918"/>
      <c r="GC1918"/>
      <c r="GD1918"/>
      <c r="GE1918"/>
      <c r="GF1918"/>
      <c r="GG1918"/>
      <c r="GH1918"/>
      <c r="GI1918"/>
      <c r="GJ1918"/>
      <c r="GK1918"/>
      <c r="GL1918"/>
      <c r="GM1918"/>
      <c r="GN1918"/>
      <c r="GO1918"/>
    </row>
    <row r="1919" spans="107:197">
      <c r="DC1919"/>
      <c r="FH1919"/>
      <c r="FI1919"/>
      <c r="FJ1919"/>
      <c r="FK1919"/>
      <c r="FL1919"/>
      <c r="FM1919"/>
      <c r="FN1919"/>
      <c r="FO1919"/>
      <c r="FP1919"/>
      <c r="FQ1919"/>
      <c r="FR1919"/>
      <c r="FS1919"/>
      <c r="FT1919"/>
      <c r="FU1919"/>
      <c r="FV1919"/>
      <c r="FW1919"/>
      <c r="FX1919"/>
      <c r="FY1919"/>
      <c r="FZ1919"/>
      <c r="GA1919"/>
      <c r="GB1919"/>
      <c r="GC1919"/>
      <c r="GD1919"/>
      <c r="GE1919"/>
      <c r="GF1919"/>
      <c r="GG1919"/>
      <c r="GH1919"/>
      <c r="GI1919"/>
      <c r="GJ1919"/>
      <c r="GK1919"/>
      <c r="GL1919"/>
      <c r="GM1919"/>
      <c r="GN1919"/>
      <c r="GO1919"/>
    </row>
    <row r="1920" spans="107:197">
      <c r="DC1920"/>
      <c r="FH1920"/>
      <c r="FI1920"/>
      <c r="FJ1920"/>
      <c r="FK1920"/>
      <c r="FL1920"/>
      <c r="FM1920"/>
      <c r="FN1920"/>
      <c r="FO1920"/>
      <c r="FP1920"/>
      <c r="FQ1920"/>
      <c r="FR1920"/>
      <c r="FS1920"/>
      <c r="FT1920"/>
      <c r="FU1920"/>
      <c r="FV1920"/>
      <c r="FW1920"/>
      <c r="FX1920"/>
      <c r="FY1920"/>
      <c r="FZ1920"/>
      <c r="GA1920"/>
      <c r="GB1920"/>
      <c r="GC1920"/>
      <c r="GD1920"/>
      <c r="GE1920"/>
      <c r="GF1920"/>
      <c r="GG1920"/>
      <c r="GH1920"/>
      <c r="GI1920"/>
      <c r="GJ1920"/>
      <c r="GK1920"/>
      <c r="GL1920"/>
      <c r="GM1920"/>
      <c r="GN1920"/>
      <c r="GO1920"/>
    </row>
    <row r="1921" spans="107:197">
      <c r="DC1921"/>
      <c r="FH1921"/>
      <c r="FI1921"/>
      <c r="FJ1921"/>
      <c r="FK1921"/>
      <c r="FL1921"/>
      <c r="FM1921"/>
      <c r="FN1921"/>
      <c r="FO1921"/>
      <c r="FP1921"/>
      <c r="FQ1921"/>
      <c r="FR1921"/>
      <c r="FS1921"/>
      <c r="FT1921"/>
      <c r="FU1921"/>
      <c r="FV1921"/>
      <c r="FW1921"/>
      <c r="FX1921"/>
      <c r="FY1921"/>
      <c r="FZ1921"/>
      <c r="GA1921"/>
      <c r="GB1921"/>
      <c r="GC1921"/>
      <c r="GD1921"/>
      <c r="GE1921"/>
      <c r="GF1921"/>
      <c r="GG1921"/>
      <c r="GH1921"/>
      <c r="GI1921"/>
      <c r="GJ1921"/>
      <c r="GK1921"/>
      <c r="GL1921"/>
      <c r="GM1921"/>
      <c r="GN1921"/>
      <c r="GO1921"/>
    </row>
    <row r="1922" spans="107:197">
      <c r="DC1922"/>
      <c r="FH1922"/>
      <c r="FI1922"/>
      <c r="FJ1922"/>
      <c r="FK1922"/>
      <c r="FL1922"/>
      <c r="FM1922"/>
      <c r="FN1922"/>
      <c r="FO1922"/>
      <c r="FP1922"/>
      <c r="FQ1922"/>
      <c r="FR1922"/>
      <c r="FS1922"/>
      <c r="FT1922"/>
      <c r="FU1922"/>
      <c r="FV1922"/>
      <c r="FW1922"/>
      <c r="FX1922"/>
      <c r="FY1922"/>
      <c r="FZ1922"/>
      <c r="GA1922"/>
      <c r="GB1922"/>
      <c r="GC1922"/>
      <c r="GD1922"/>
      <c r="GE1922"/>
      <c r="GF1922"/>
      <c r="GG1922"/>
      <c r="GH1922"/>
      <c r="GI1922"/>
      <c r="GJ1922"/>
      <c r="GK1922"/>
      <c r="GL1922"/>
      <c r="GM1922"/>
      <c r="GN1922"/>
      <c r="GO1922"/>
    </row>
    <row r="1923" spans="107:197">
      <c r="DC1923"/>
      <c r="FH1923"/>
      <c r="FI1923"/>
      <c r="FJ1923"/>
      <c r="FK1923"/>
      <c r="FL1923"/>
      <c r="FM1923"/>
      <c r="FN1923"/>
      <c r="FO1923"/>
      <c r="FP1923"/>
      <c r="FQ1923"/>
      <c r="FR1923"/>
      <c r="FS1923"/>
      <c r="FT1923"/>
      <c r="FU1923"/>
      <c r="FV1923"/>
      <c r="FW1923"/>
      <c r="FX1923"/>
      <c r="FY1923"/>
      <c r="FZ1923"/>
      <c r="GA1923"/>
      <c r="GB1923"/>
      <c r="GC1923"/>
      <c r="GD1923"/>
      <c r="GE1923"/>
      <c r="GF1923"/>
      <c r="GG1923"/>
      <c r="GH1923"/>
      <c r="GI1923"/>
      <c r="GJ1923"/>
      <c r="GK1923"/>
      <c r="GL1923"/>
      <c r="GM1923"/>
      <c r="GN1923"/>
      <c r="GO1923"/>
    </row>
    <row r="1924" spans="107:197">
      <c r="DC1924"/>
      <c r="FH1924"/>
      <c r="FI1924"/>
      <c r="FJ1924"/>
      <c r="FK1924"/>
      <c r="FL1924"/>
      <c r="FM1924"/>
      <c r="FN1924"/>
      <c r="FO1924"/>
      <c r="FP1924"/>
      <c r="FQ1924"/>
      <c r="FR1924"/>
      <c r="FS1924"/>
      <c r="FT1924"/>
      <c r="FU1924"/>
      <c r="FV1924"/>
      <c r="FW1924"/>
      <c r="FX1924"/>
      <c r="FY1924"/>
      <c r="FZ1924"/>
      <c r="GA1924"/>
      <c r="GB1924"/>
      <c r="GC1924"/>
      <c r="GD1924"/>
      <c r="GE1924"/>
      <c r="GF1924"/>
      <c r="GG1924"/>
      <c r="GH1924"/>
      <c r="GI1924"/>
      <c r="GJ1924"/>
      <c r="GK1924"/>
      <c r="GL1924"/>
      <c r="GM1924"/>
      <c r="GN1924"/>
      <c r="GO1924"/>
    </row>
    <row r="1925" spans="107:197">
      <c r="DC1925"/>
      <c r="FH1925"/>
      <c r="FI1925"/>
      <c r="FJ1925"/>
      <c r="FK1925"/>
      <c r="FL1925"/>
      <c r="FM1925"/>
      <c r="FN1925"/>
      <c r="FO1925"/>
      <c r="FP1925"/>
      <c r="FQ1925"/>
      <c r="FR1925"/>
      <c r="FS1925"/>
      <c r="FT1925"/>
      <c r="FU1925"/>
      <c r="FV1925"/>
      <c r="FW1925"/>
      <c r="FX1925"/>
      <c r="FY1925"/>
      <c r="FZ1925"/>
      <c r="GA1925"/>
      <c r="GB1925"/>
      <c r="GC1925"/>
      <c r="GD1925"/>
      <c r="GE1925"/>
      <c r="GF1925"/>
      <c r="GG1925"/>
      <c r="GH1925"/>
      <c r="GI1925"/>
      <c r="GJ1925"/>
      <c r="GK1925"/>
      <c r="GL1925"/>
      <c r="GM1925"/>
      <c r="GN1925"/>
      <c r="GO1925"/>
    </row>
    <row r="1926" spans="107:197">
      <c r="DC1926"/>
      <c r="FH1926"/>
      <c r="FI1926"/>
      <c r="FJ1926"/>
      <c r="FK1926"/>
      <c r="FL1926"/>
      <c r="FM1926"/>
      <c r="FN1926"/>
      <c r="FO1926"/>
      <c r="FP1926"/>
      <c r="FQ1926"/>
      <c r="FR1926"/>
      <c r="FS1926"/>
      <c r="FT1926"/>
      <c r="FU1926"/>
      <c r="FV1926"/>
      <c r="FW1926"/>
      <c r="FX1926"/>
      <c r="FY1926"/>
      <c r="FZ1926"/>
      <c r="GA1926"/>
      <c r="GB1926"/>
      <c r="GC1926"/>
      <c r="GD1926"/>
      <c r="GE1926"/>
      <c r="GF1926"/>
      <c r="GG1926"/>
      <c r="GH1926"/>
      <c r="GI1926"/>
      <c r="GJ1926"/>
      <c r="GK1926"/>
      <c r="GL1926"/>
      <c r="GM1926"/>
      <c r="GN1926"/>
      <c r="GO1926"/>
    </row>
    <row r="1927" spans="107:197">
      <c r="DC1927"/>
      <c r="FH1927"/>
      <c r="FI1927"/>
      <c r="FJ1927"/>
      <c r="FK1927"/>
      <c r="FL1927"/>
      <c r="FM1927"/>
      <c r="FN1927"/>
      <c r="FO1927"/>
      <c r="FP1927"/>
      <c r="FQ1927"/>
      <c r="FR1927"/>
      <c r="FS1927"/>
      <c r="FT1927"/>
      <c r="FU1927"/>
      <c r="FV1927"/>
      <c r="FW1927"/>
      <c r="FX1927"/>
      <c r="FY1927"/>
      <c r="FZ1927"/>
      <c r="GA1927"/>
      <c r="GB1927"/>
      <c r="GC1927"/>
      <c r="GD1927"/>
      <c r="GE1927"/>
      <c r="GF1927"/>
      <c r="GG1927"/>
      <c r="GH1927"/>
      <c r="GI1927"/>
      <c r="GJ1927"/>
      <c r="GK1927"/>
      <c r="GL1927"/>
      <c r="GM1927"/>
      <c r="GN1927"/>
      <c r="GO1927"/>
    </row>
    <row r="1928" spans="107:197">
      <c r="DC1928"/>
      <c r="FH1928"/>
      <c r="FI1928"/>
      <c r="FJ1928"/>
      <c r="FK1928"/>
      <c r="FL1928"/>
      <c r="FM1928"/>
      <c r="FN1928"/>
      <c r="FO1928"/>
      <c r="FP1928"/>
      <c r="FQ1928"/>
      <c r="FR1928"/>
      <c r="FS1928"/>
      <c r="FT1928"/>
      <c r="FU1928"/>
      <c r="FV1928"/>
      <c r="FW1928"/>
      <c r="FX1928"/>
      <c r="FY1928"/>
      <c r="FZ1928"/>
      <c r="GA1928"/>
      <c r="GB1928"/>
      <c r="GC1928"/>
      <c r="GD1928"/>
      <c r="GE1928"/>
      <c r="GF1928"/>
      <c r="GG1928"/>
      <c r="GH1928"/>
      <c r="GI1928"/>
      <c r="GJ1928"/>
      <c r="GK1928"/>
      <c r="GL1928"/>
      <c r="GM1928"/>
      <c r="GN1928"/>
      <c r="GO1928"/>
    </row>
    <row r="1929" spans="107:197">
      <c r="DC1929"/>
      <c r="FH1929"/>
      <c r="FI1929"/>
      <c r="FJ1929"/>
      <c r="FK1929"/>
      <c r="FL1929"/>
      <c r="FM1929"/>
      <c r="FN1929"/>
      <c r="FO1929"/>
      <c r="FP1929"/>
      <c r="FQ1929"/>
      <c r="FR1929"/>
      <c r="FS1929"/>
      <c r="FT1929"/>
      <c r="FU1929"/>
      <c r="FV1929"/>
      <c r="FW1929"/>
      <c r="FX1929"/>
      <c r="FY1929"/>
      <c r="FZ1929"/>
      <c r="GA1929"/>
      <c r="GB1929"/>
      <c r="GC1929"/>
      <c r="GD1929"/>
      <c r="GE1929"/>
      <c r="GF1929"/>
      <c r="GG1929"/>
      <c r="GH1929"/>
      <c r="GI1929"/>
      <c r="GJ1929"/>
      <c r="GK1929"/>
      <c r="GL1929"/>
      <c r="GM1929"/>
      <c r="GN1929"/>
      <c r="GO1929"/>
    </row>
    <row r="1930" spans="107:197">
      <c r="DC1930"/>
      <c r="FH1930"/>
      <c r="FI1930"/>
      <c r="FJ1930"/>
      <c r="FK1930"/>
      <c r="FL1930"/>
      <c r="FM1930"/>
      <c r="FN1930"/>
      <c r="FO1930"/>
      <c r="FP1930"/>
      <c r="FQ1930"/>
      <c r="FR1930"/>
      <c r="FS1930"/>
      <c r="FT1930"/>
      <c r="FU1930"/>
      <c r="FV1930"/>
      <c r="FW1930"/>
      <c r="FX1930"/>
      <c r="FY1930"/>
      <c r="FZ1930"/>
      <c r="GA1930"/>
      <c r="GB1930"/>
      <c r="GC1930"/>
      <c r="GD1930"/>
      <c r="GE1930"/>
      <c r="GF1930"/>
      <c r="GG1930"/>
      <c r="GH1930"/>
      <c r="GI1930"/>
      <c r="GJ1930"/>
      <c r="GK1930"/>
      <c r="GL1930"/>
      <c r="GM1930"/>
      <c r="GN1930"/>
      <c r="GO1930"/>
    </row>
    <row r="1931" spans="107:197">
      <c r="DC1931"/>
      <c r="FH1931"/>
      <c r="FI1931"/>
      <c r="FJ1931"/>
      <c r="FK1931"/>
      <c r="FL1931"/>
      <c r="FM1931"/>
      <c r="FN1931"/>
      <c r="FO1931"/>
      <c r="FP1931"/>
      <c r="FQ1931"/>
      <c r="FR1931"/>
      <c r="FS1931"/>
      <c r="FT1931"/>
      <c r="FU1931"/>
      <c r="FV1931"/>
      <c r="FW1931"/>
      <c r="FX1931"/>
      <c r="FY1931"/>
      <c r="FZ1931"/>
      <c r="GA1931"/>
      <c r="GB1931"/>
      <c r="GC1931"/>
      <c r="GD1931"/>
      <c r="GE1931"/>
      <c r="GF1931"/>
      <c r="GG1931"/>
      <c r="GH1931"/>
      <c r="GI1931"/>
      <c r="GJ1931"/>
      <c r="GK1931"/>
      <c r="GL1931"/>
      <c r="GM1931"/>
      <c r="GN1931"/>
      <c r="GO1931"/>
    </row>
    <row r="1932" spans="107:197">
      <c r="DC1932"/>
      <c r="FH1932"/>
      <c r="FI1932"/>
      <c r="FJ1932"/>
      <c r="FK1932"/>
      <c r="FL1932"/>
      <c r="FM1932"/>
      <c r="FN1932"/>
      <c r="FO1932"/>
      <c r="FP1932"/>
      <c r="FQ1932"/>
      <c r="FR1932"/>
      <c r="FS1932"/>
      <c r="FT1932"/>
      <c r="FU1932"/>
      <c r="FV1932"/>
      <c r="FW1932"/>
      <c r="FX1932"/>
      <c r="FY1932"/>
      <c r="FZ1932"/>
      <c r="GA1932"/>
      <c r="GB1932"/>
      <c r="GC1932"/>
      <c r="GD1932"/>
      <c r="GE1932"/>
      <c r="GF1932"/>
      <c r="GG1932"/>
      <c r="GH1932"/>
      <c r="GI1932"/>
      <c r="GJ1932"/>
      <c r="GK1932"/>
      <c r="GL1932"/>
      <c r="GM1932"/>
      <c r="GN1932"/>
      <c r="GO1932"/>
    </row>
    <row r="1933" spans="107:197">
      <c r="DC1933"/>
      <c r="FH1933"/>
      <c r="FI1933"/>
      <c r="FJ1933"/>
      <c r="FK1933"/>
      <c r="FL1933"/>
      <c r="FM1933"/>
      <c r="FN1933"/>
      <c r="FO1933"/>
      <c r="FP1933"/>
      <c r="FQ1933"/>
      <c r="FR1933"/>
      <c r="FS1933"/>
      <c r="FT1933"/>
      <c r="FU1933"/>
      <c r="FV1933"/>
      <c r="FW1933"/>
      <c r="FX1933"/>
      <c r="FY1933"/>
      <c r="FZ1933"/>
      <c r="GA1933"/>
      <c r="GB1933"/>
      <c r="GC1933"/>
      <c r="GD1933"/>
      <c r="GE1933"/>
      <c r="GF1933"/>
      <c r="GG1933"/>
      <c r="GH1933"/>
      <c r="GI1933"/>
      <c r="GJ1933"/>
      <c r="GK1933"/>
      <c r="GL1933"/>
      <c r="GM1933"/>
      <c r="GN1933"/>
      <c r="GO1933"/>
    </row>
    <row r="1934" spans="107:197">
      <c r="DC1934"/>
      <c r="FH1934"/>
      <c r="FI1934"/>
      <c r="FJ1934"/>
      <c r="FK1934"/>
      <c r="FL1934"/>
      <c r="FM1934"/>
      <c r="FN1934"/>
      <c r="FO1934"/>
      <c r="FP1934"/>
      <c r="FQ1934"/>
      <c r="FR1934"/>
      <c r="FS1934"/>
      <c r="FT1934"/>
      <c r="FU1934"/>
      <c r="FV1934"/>
      <c r="FW1934"/>
      <c r="FX1934"/>
      <c r="FY1934"/>
      <c r="FZ1934"/>
      <c r="GA1934"/>
      <c r="GB1934"/>
      <c r="GC1934"/>
      <c r="GD1934"/>
      <c r="GE1934"/>
      <c r="GF1934"/>
      <c r="GG1934"/>
      <c r="GH1934"/>
      <c r="GI1934"/>
      <c r="GJ1934"/>
      <c r="GK1934"/>
      <c r="GL1934"/>
      <c r="GM1934"/>
      <c r="GN1934"/>
      <c r="GO1934"/>
    </row>
    <row r="1935" spans="107:197">
      <c r="DC1935"/>
      <c r="FH1935"/>
      <c r="FI1935"/>
      <c r="FJ1935"/>
      <c r="FK1935"/>
      <c r="FL1935"/>
      <c r="FM1935"/>
      <c r="FN1935"/>
      <c r="FO1935"/>
      <c r="FP1935"/>
      <c r="FQ1935"/>
      <c r="FR1935"/>
      <c r="FS1935"/>
      <c r="FT1935"/>
      <c r="FU1935"/>
      <c r="FV1935"/>
      <c r="FW1935"/>
      <c r="FX1935"/>
      <c r="FY1935"/>
      <c r="FZ1935"/>
      <c r="GA1935"/>
      <c r="GB1935"/>
      <c r="GC1935"/>
      <c r="GD1935"/>
      <c r="GE1935"/>
      <c r="GF1935"/>
      <c r="GG1935"/>
      <c r="GH1935"/>
      <c r="GI1935"/>
      <c r="GJ1935"/>
      <c r="GK1935"/>
      <c r="GL1935"/>
      <c r="GM1935"/>
      <c r="GN1935"/>
      <c r="GO1935"/>
    </row>
    <row r="1936" spans="107:197">
      <c r="DC1936"/>
      <c r="FH1936"/>
      <c r="FI1936"/>
      <c r="FJ1936"/>
      <c r="FK1936"/>
      <c r="FL1936"/>
      <c r="FM1936"/>
      <c r="FN1936"/>
      <c r="FO1936"/>
      <c r="FP1936"/>
      <c r="FQ1936"/>
      <c r="FR1936"/>
      <c r="FS1936"/>
      <c r="FT1936"/>
      <c r="FU1936"/>
      <c r="FV1936"/>
      <c r="FW1936"/>
      <c r="FX1936"/>
      <c r="FY1936"/>
      <c r="FZ1936"/>
      <c r="GA1936"/>
      <c r="GB1936"/>
      <c r="GC1936"/>
      <c r="GD1936"/>
      <c r="GE1936"/>
      <c r="GF1936"/>
      <c r="GG1936"/>
      <c r="GH1936"/>
      <c r="GI1936"/>
      <c r="GJ1936"/>
      <c r="GK1936"/>
      <c r="GL1936"/>
      <c r="GM1936"/>
      <c r="GN1936"/>
      <c r="GO1936"/>
    </row>
    <row r="1937" spans="107:197">
      <c r="DC1937"/>
      <c r="FH1937"/>
      <c r="FI1937"/>
      <c r="FJ1937"/>
      <c r="FK1937"/>
      <c r="FL1937"/>
      <c r="FM1937"/>
      <c r="FN1937"/>
      <c r="FO1937"/>
      <c r="FP1937"/>
      <c r="FQ1937"/>
      <c r="FR1937"/>
      <c r="FS1937"/>
      <c r="FT1937"/>
      <c r="FU1937"/>
      <c r="FV1937"/>
      <c r="FW1937"/>
      <c r="FX1937"/>
      <c r="FY1937"/>
      <c r="FZ1937"/>
      <c r="GA1937"/>
      <c r="GB1937"/>
      <c r="GC1937"/>
      <c r="GD1937"/>
      <c r="GE1937"/>
      <c r="GF1937"/>
      <c r="GG1937"/>
      <c r="GH1937"/>
      <c r="GI1937"/>
      <c r="GJ1937"/>
      <c r="GK1937"/>
      <c r="GL1937"/>
      <c r="GM1937"/>
      <c r="GN1937"/>
      <c r="GO1937"/>
    </row>
    <row r="1938" spans="107:197">
      <c r="DC1938"/>
      <c r="FH1938"/>
      <c r="FI1938"/>
      <c r="FJ1938"/>
      <c r="FK1938"/>
      <c r="FL1938"/>
      <c r="FM1938"/>
      <c r="FN1938"/>
      <c r="FO1938"/>
      <c r="FP1938"/>
      <c r="FQ1938"/>
      <c r="FR1938"/>
      <c r="FS1938"/>
      <c r="FT1938"/>
      <c r="FU1938"/>
      <c r="FV1938"/>
      <c r="FW1938"/>
      <c r="FX1938"/>
      <c r="FY1938"/>
      <c r="FZ1938"/>
      <c r="GA1938"/>
      <c r="GB1938"/>
      <c r="GC1938"/>
      <c r="GD1938"/>
      <c r="GE1938"/>
      <c r="GF1938"/>
      <c r="GG1938"/>
      <c r="GH1938"/>
      <c r="GI1938"/>
      <c r="GJ1938"/>
      <c r="GK1938"/>
      <c r="GL1938"/>
      <c r="GM1938"/>
      <c r="GN1938"/>
      <c r="GO1938"/>
    </row>
    <row r="1939" spans="107:197">
      <c r="DC1939"/>
      <c r="FH1939"/>
      <c r="FI1939"/>
      <c r="FJ1939"/>
      <c r="FK1939"/>
      <c r="FL1939"/>
      <c r="FM1939"/>
      <c r="FN1939"/>
      <c r="FO1939"/>
      <c r="FP1939"/>
      <c r="FQ1939"/>
      <c r="FR1939"/>
      <c r="FS1939"/>
      <c r="FT1939"/>
      <c r="FU1939"/>
      <c r="FV1939"/>
      <c r="FW1939"/>
      <c r="FX1939"/>
      <c r="FY1939"/>
      <c r="FZ1939"/>
      <c r="GA1939"/>
      <c r="GB1939"/>
      <c r="GC1939"/>
      <c r="GD1939"/>
      <c r="GE1939"/>
      <c r="GF1939"/>
      <c r="GG1939"/>
      <c r="GH1939"/>
      <c r="GI1939"/>
      <c r="GJ1939"/>
      <c r="GK1939"/>
      <c r="GL1939"/>
      <c r="GM1939"/>
      <c r="GN1939"/>
      <c r="GO1939"/>
    </row>
    <row r="1940" spans="107:197">
      <c r="DC1940"/>
      <c r="FH1940"/>
      <c r="FI1940"/>
      <c r="FJ1940"/>
      <c r="FK1940"/>
      <c r="FL1940"/>
      <c r="FM1940"/>
      <c r="FN1940"/>
      <c r="FO1940"/>
      <c r="FP1940"/>
      <c r="FQ1940"/>
      <c r="FR1940"/>
      <c r="FS1940"/>
      <c r="FT1940"/>
      <c r="FU1940"/>
      <c r="FV1940"/>
      <c r="FW1940"/>
      <c r="FX1940"/>
      <c r="FY1940"/>
      <c r="FZ1940"/>
      <c r="GA1940"/>
      <c r="GB1940"/>
      <c r="GC1940"/>
      <c r="GD1940"/>
      <c r="GE1940"/>
      <c r="GF1940"/>
      <c r="GG1940"/>
      <c r="GH1940"/>
      <c r="GI1940"/>
      <c r="GJ1940"/>
      <c r="GK1940"/>
      <c r="GL1940"/>
      <c r="GM1940"/>
      <c r="GN1940"/>
      <c r="GO1940"/>
    </row>
    <row r="1941" spans="107:197">
      <c r="DC1941"/>
      <c r="FH1941"/>
      <c r="FI1941"/>
      <c r="FJ1941"/>
      <c r="FK1941"/>
      <c r="FL1941"/>
      <c r="FM1941"/>
      <c r="FN1941"/>
      <c r="FO1941"/>
      <c r="FP1941"/>
      <c r="FQ1941"/>
      <c r="FR1941"/>
      <c r="FS1941"/>
      <c r="FT1941"/>
      <c r="FU1941"/>
      <c r="FV1941"/>
      <c r="FW1941"/>
      <c r="FX1941"/>
      <c r="FY1941"/>
      <c r="FZ1941"/>
      <c r="GA1941"/>
      <c r="GB1941"/>
      <c r="GC1941"/>
      <c r="GD1941"/>
      <c r="GE1941"/>
      <c r="GF1941"/>
      <c r="GG1941"/>
      <c r="GH1941"/>
      <c r="GI1941"/>
      <c r="GJ1941"/>
      <c r="GK1941"/>
      <c r="GL1941"/>
      <c r="GM1941"/>
      <c r="GN1941"/>
      <c r="GO1941"/>
    </row>
    <row r="1942" spans="107:197">
      <c r="DC1942"/>
      <c r="FH1942"/>
      <c r="FI1942"/>
      <c r="FJ1942"/>
      <c r="FK1942"/>
      <c r="FL1942"/>
      <c r="FM1942"/>
      <c r="FN1942"/>
      <c r="FO1942"/>
      <c r="FP1942"/>
      <c r="FQ1942"/>
      <c r="FR1942"/>
      <c r="FS1942"/>
      <c r="FT1942"/>
      <c r="FU1942"/>
      <c r="FV1942"/>
      <c r="FW1942"/>
      <c r="FX1942"/>
      <c r="FY1942"/>
      <c r="FZ1942"/>
      <c r="GA1942"/>
      <c r="GB1942"/>
      <c r="GC1942"/>
      <c r="GD1942"/>
      <c r="GE1942"/>
      <c r="GF1942"/>
      <c r="GG1942"/>
      <c r="GH1942"/>
      <c r="GI1942"/>
      <c r="GJ1942"/>
      <c r="GK1942"/>
      <c r="GL1942"/>
      <c r="GM1942"/>
      <c r="GN1942"/>
      <c r="GO1942"/>
    </row>
    <row r="1943" spans="107:197">
      <c r="DC1943"/>
      <c r="FH1943"/>
      <c r="FI1943"/>
      <c r="FJ1943"/>
      <c r="FK1943"/>
      <c r="FL1943"/>
      <c r="FM1943"/>
      <c r="FN1943"/>
      <c r="FO1943"/>
      <c r="FP1943"/>
      <c r="FQ1943"/>
      <c r="FR1943"/>
      <c r="FS1943"/>
      <c r="FT1943"/>
      <c r="FU1943"/>
      <c r="FV1943"/>
      <c r="FW1943"/>
      <c r="FX1943"/>
      <c r="FY1943"/>
      <c r="FZ1943"/>
      <c r="GA1943"/>
      <c r="GB1943"/>
      <c r="GC1943"/>
      <c r="GD1943"/>
      <c r="GE1943"/>
      <c r="GF1943"/>
      <c r="GG1943"/>
      <c r="GH1943"/>
      <c r="GI1943"/>
      <c r="GJ1943"/>
      <c r="GK1943"/>
      <c r="GL1943"/>
      <c r="GM1943"/>
      <c r="GN1943"/>
      <c r="GO1943"/>
    </row>
    <row r="1944" spans="107:197">
      <c r="DC1944"/>
      <c r="FH1944"/>
      <c r="FI1944"/>
      <c r="FJ1944"/>
      <c r="FK1944"/>
      <c r="FL1944"/>
      <c r="FM1944"/>
      <c r="FN1944"/>
      <c r="FO1944"/>
      <c r="FP1944"/>
      <c r="FQ1944"/>
      <c r="FR1944"/>
      <c r="FS1944"/>
      <c r="FT1944"/>
      <c r="FU1944"/>
      <c r="FV1944"/>
      <c r="FW1944"/>
      <c r="FX1944"/>
      <c r="FY1944"/>
      <c r="FZ1944"/>
      <c r="GA1944"/>
      <c r="GB1944"/>
      <c r="GC1944"/>
      <c r="GD1944"/>
      <c r="GE1944"/>
      <c r="GF1944"/>
      <c r="GG1944"/>
      <c r="GH1944"/>
      <c r="GI1944"/>
      <c r="GJ1944"/>
      <c r="GK1944"/>
      <c r="GL1944"/>
      <c r="GM1944"/>
      <c r="GN1944"/>
      <c r="GO1944"/>
    </row>
    <row r="1945" spans="107:197">
      <c r="DC1945"/>
      <c r="FH1945"/>
      <c r="FI1945"/>
      <c r="FJ1945"/>
      <c r="FK1945"/>
      <c r="FL1945"/>
      <c r="FM1945"/>
      <c r="FN1945"/>
      <c r="FO1945"/>
      <c r="FP1945"/>
      <c r="FQ1945"/>
      <c r="FR1945"/>
      <c r="FS1945"/>
      <c r="FT1945"/>
      <c r="FU1945"/>
      <c r="FV1945"/>
      <c r="FW1945"/>
      <c r="FX1945"/>
      <c r="FY1945"/>
      <c r="FZ1945"/>
      <c r="GA1945"/>
      <c r="GB1945"/>
      <c r="GC1945"/>
      <c r="GD1945"/>
      <c r="GE1945"/>
      <c r="GF1945"/>
      <c r="GG1945"/>
      <c r="GH1945"/>
      <c r="GI1945"/>
      <c r="GJ1945"/>
      <c r="GK1945"/>
      <c r="GL1945"/>
      <c r="GM1945"/>
      <c r="GN1945"/>
      <c r="GO1945"/>
    </row>
    <row r="1946" spans="107:197">
      <c r="DC1946"/>
      <c r="FH1946"/>
      <c r="FI1946"/>
      <c r="FJ1946"/>
      <c r="FK1946"/>
      <c r="FL1946"/>
      <c r="FM1946"/>
      <c r="FN1946"/>
      <c r="FO1946"/>
      <c r="FP1946"/>
      <c r="FQ1946"/>
      <c r="FR1946"/>
      <c r="FS1946"/>
      <c r="FT1946"/>
      <c r="FU1946"/>
      <c r="FV1946"/>
      <c r="FW1946"/>
      <c r="FX1946"/>
      <c r="FY1946"/>
      <c r="FZ1946"/>
      <c r="GA1946"/>
      <c r="GB1946"/>
      <c r="GC1946"/>
      <c r="GD1946"/>
      <c r="GE1946"/>
      <c r="GF1946"/>
      <c r="GG1946"/>
      <c r="GH1946"/>
      <c r="GI1946"/>
      <c r="GJ1946"/>
      <c r="GK1946"/>
      <c r="GL1946"/>
      <c r="GM1946"/>
      <c r="GN1946"/>
      <c r="GO1946"/>
    </row>
    <row r="1947" spans="107:197">
      <c r="DC1947"/>
      <c r="FH1947"/>
      <c r="FI1947"/>
      <c r="FJ1947"/>
      <c r="FK1947"/>
      <c r="FL1947"/>
      <c r="FM1947"/>
      <c r="FN1947"/>
      <c r="FO1947"/>
      <c r="FP1947"/>
      <c r="FQ1947"/>
      <c r="FR1947"/>
      <c r="FS1947"/>
      <c r="FT1947"/>
      <c r="FU1947"/>
      <c r="FV1947"/>
      <c r="FW1947"/>
      <c r="FX1947"/>
      <c r="FY1947"/>
      <c r="FZ1947"/>
      <c r="GA1947"/>
      <c r="GB1947"/>
      <c r="GC1947"/>
      <c r="GD1947"/>
      <c r="GE1947"/>
      <c r="GF1947"/>
      <c r="GG1947"/>
      <c r="GH1947"/>
      <c r="GI1947"/>
      <c r="GJ1947"/>
      <c r="GK1947"/>
      <c r="GL1947"/>
      <c r="GM1947"/>
      <c r="GN1947"/>
      <c r="GO1947"/>
    </row>
    <row r="1948" spans="107:197">
      <c r="DC1948"/>
      <c r="FH1948"/>
      <c r="FI1948"/>
      <c r="FJ1948"/>
      <c r="FK1948"/>
      <c r="FL1948"/>
      <c r="FM1948"/>
      <c r="FN1948"/>
      <c r="FO1948"/>
      <c r="FP1948"/>
      <c r="FQ1948"/>
      <c r="FR1948"/>
      <c r="FS1948"/>
      <c r="FT1948"/>
      <c r="FU1948"/>
      <c r="FV1948"/>
      <c r="FW1948"/>
      <c r="FX1948"/>
      <c r="FY1948"/>
      <c r="FZ1948"/>
      <c r="GA1948"/>
      <c r="GB1948"/>
      <c r="GC1948"/>
      <c r="GD1948"/>
      <c r="GE1948"/>
      <c r="GF1948"/>
      <c r="GG1948"/>
      <c r="GH1948"/>
      <c r="GI1948"/>
      <c r="GJ1948"/>
      <c r="GK1948"/>
      <c r="GL1948"/>
      <c r="GM1948"/>
      <c r="GN1948"/>
      <c r="GO1948"/>
    </row>
    <row r="1949" spans="107:197">
      <c r="DC1949"/>
      <c r="FH1949"/>
      <c r="FI1949"/>
      <c r="FJ1949"/>
      <c r="FK1949"/>
      <c r="FL1949"/>
      <c r="FM1949"/>
      <c r="FN1949"/>
      <c r="FO1949"/>
      <c r="FP1949"/>
      <c r="FQ1949"/>
      <c r="FR1949"/>
      <c r="FS1949"/>
      <c r="FT1949"/>
      <c r="FU1949"/>
      <c r="FV1949"/>
      <c r="FW1949"/>
      <c r="FX1949"/>
      <c r="FY1949"/>
      <c r="FZ1949"/>
      <c r="GA1949"/>
      <c r="GB1949"/>
      <c r="GC1949"/>
      <c r="GD1949"/>
      <c r="GE1949"/>
      <c r="GF1949"/>
      <c r="GG1949"/>
      <c r="GH1949"/>
      <c r="GI1949"/>
      <c r="GJ1949"/>
      <c r="GK1949"/>
      <c r="GL1949"/>
      <c r="GM1949"/>
      <c r="GN1949"/>
      <c r="GO1949"/>
    </row>
    <row r="1950" spans="107:197">
      <c r="DC1950"/>
      <c r="FH1950"/>
      <c r="FI1950"/>
      <c r="FJ1950"/>
      <c r="FK1950"/>
      <c r="FL1950"/>
      <c r="FM1950"/>
      <c r="FN1950"/>
      <c r="FO1950"/>
      <c r="FP1950"/>
      <c r="FQ1950"/>
      <c r="FR1950"/>
      <c r="FS1950"/>
      <c r="FT1950"/>
      <c r="FU1950"/>
      <c r="FV1950"/>
      <c r="FW1950"/>
      <c r="FX1950"/>
      <c r="FY1950"/>
      <c r="FZ1950"/>
      <c r="GA1950"/>
      <c r="GB1950"/>
      <c r="GC1950"/>
      <c r="GD1950"/>
      <c r="GE1950"/>
      <c r="GF1950"/>
      <c r="GG1950"/>
      <c r="GH1950"/>
      <c r="GI1950"/>
      <c r="GJ1950"/>
      <c r="GK1950"/>
      <c r="GL1950"/>
      <c r="GM1950"/>
      <c r="GN1950"/>
      <c r="GO1950"/>
    </row>
    <row r="1951" spans="107:197">
      <c r="DC1951"/>
      <c r="FH1951"/>
      <c r="FI1951"/>
      <c r="FJ1951"/>
      <c r="FK1951"/>
      <c r="FL1951"/>
      <c r="FM1951"/>
      <c r="FN1951"/>
      <c r="FO1951"/>
      <c r="FP1951"/>
      <c r="FQ1951"/>
      <c r="FR1951"/>
      <c r="FS1951"/>
      <c r="FT1951"/>
      <c r="FU1951"/>
      <c r="FV1951"/>
      <c r="FW1951"/>
      <c r="FX1951"/>
      <c r="FY1951"/>
      <c r="FZ1951"/>
      <c r="GA1951"/>
      <c r="GB1951"/>
      <c r="GC1951"/>
      <c r="GD1951"/>
      <c r="GE1951"/>
      <c r="GF1951"/>
      <c r="GG1951"/>
      <c r="GH1951"/>
      <c r="GI1951"/>
      <c r="GJ1951"/>
      <c r="GK1951"/>
      <c r="GL1951"/>
      <c r="GM1951"/>
      <c r="GN1951"/>
      <c r="GO1951"/>
    </row>
    <row r="1952" spans="107:197">
      <c r="DC1952"/>
      <c r="FH1952"/>
      <c r="FI1952"/>
      <c r="FJ1952"/>
      <c r="FK1952"/>
      <c r="FL1952"/>
      <c r="FM1952"/>
      <c r="FN1952"/>
      <c r="FO1952"/>
      <c r="FP1952"/>
      <c r="FQ1952"/>
      <c r="FR1952"/>
      <c r="FS1952"/>
      <c r="FT1952"/>
      <c r="FU1952"/>
      <c r="FV1952"/>
      <c r="FW1952"/>
      <c r="FX1952"/>
      <c r="FY1952"/>
      <c r="FZ1952"/>
      <c r="GA1952"/>
      <c r="GB1952"/>
      <c r="GC1952"/>
      <c r="GD1952"/>
      <c r="GE1952"/>
      <c r="GF1952"/>
      <c r="GG1952"/>
      <c r="GH1952"/>
      <c r="GI1952"/>
      <c r="GJ1952"/>
      <c r="GK1952"/>
      <c r="GL1952"/>
      <c r="GM1952"/>
      <c r="GN1952"/>
      <c r="GO1952"/>
    </row>
    <row r="1953" spans="107:197">
      <c r="DC1953"/>
      <c r="FH1953"/>
      <c r="FI1953"/>
      <c r="FJ1953"/>
      <c r="FK1953"/>
      <c r="FL1953"/>
      <c r="FM1953"/>
      <c r="FN1953"/>
      <c r="FO1953"/>
      <c r="FP1953"/>
      <c r="FQ1953"/>
      <c r="FR1953"/>
      <c r="FS1953"/>
      <c r="FT1953"/>
      <c r="FU1953"/>
      <c r="FV1953"/>
      <c r="FW1953"/>
      <c r="FX1953"/>
      <c r="FY1953"/>
      <c r="FZ1953"/>
      <c r="GA1953"/>
      <c r="GB1953"/>
      <c r="GC1953"/>
      <c r="GD1953"/>
      <c r="GE1953"/>
      <c r="GF1953"/>
      <c r="GG1953"/>
      <c r="GH1953"/>
      <c r="GI1953"/>
      <c r="GJ1953"/>
      <c r="GK1953"/>
      <c r="GL1953"/>
      <c r="GM1953"/>
      <c r="GN1953"/>
      <c r="GO1953"/>
    </row>
    <row r="1954" spans="107:197">
      <c r="DC1954"/>
      <c r="FH1954"/>
      <c r="FI1954"/>
      <c r="FJ1954"/>
      <c r="FK1954"/>
      <c r="FL1954"/>
      <c r="FM1954"/>
      <c r="FN1954"/>
      <c r="FO1954"/>
      <c r="FP1954"/>
      <c r="FQ1954"/>
      <c r="FR1954"/>
      <c r="FS1954"/>
      <c r="FT1954"/>
      <c r="FU1954"/>
      <c r="FV1954"/>
      <c r="FW1954"/>
      <c r="FX1954"/>
      <c r="FY1954"/>
      <c r="FZ1954"/>
      <c r="GA1954"/>
      <c r="GB1954"/>
      <c r="GC1954"/>
      <c r="GD1954"/>
      <c r="GE1954"/>
      <c r="GF1954"/>
      <c r="GG1954"/>
      <c r="GH1954"/>
      <c r="GI1954"/>
      <c r="GJ1954"/>
      <c r="GK1954"/>
      <c r="GL1954"/>
      <c r="GM1954"/>
      <c r="GN1954"/>
      <c r="GO1954"/>
    </row>
    <row r="1955" spans="107:197">
      <c r="DC1955"/>
      <c r="FH1955"/>
      <c r="FI1955"/>
      <c r="FJ1955"/>
      <c r="FK1955"/>
      <c r="FL1955"/>
      <c r="FM1955"/>
      <c r="FN1955"/>
      <c r="FO1955"/>
      <c r="FP1955"/>
      <c r="FQ1955"/>
      <c r="FR1955"/>
      <c r="FS1955"/>
      <c r="FT1955"/>
      <c r="FU1955"/>
      <c r="FV1955"/>
      <c r="FW1955"/>
      <c r="FX1955"/>
      <c r="FY1955"/>
      <c r="FZ1955"/>
      <c r="GA1955"/>
      <c r="GB1955"/>
      <c r="GC1955"/>
      <c r="GD1955"/>
      <c r="GE1955"/>
      <c r="GF1955"/>
      <c r="GG1955"/>
      <c r="GH1955"/>
      <c r="GI1955"/>
      <c r="GJ1955"/>
      <c r="GK1955"/>
      <c r="GL1955"/>
      <c r="GM1955"/>
      <c r="GN1955"/>
      <c r="GO1955"/>
    </row>
    <row r="1956" spans="107:197">
      <c r="DC1956"/>
      <c r="FH1956"/>
      <c r="FI1956"/>
      <c r="FJ1956"/>
      <c r="FK1956"/>
      <c r="FL1956"/>
      <c r="FM1956"/>
      <c r="FN1956"/>
      <c r="FO1956"/>
      <c r="FP1956"/>
      <c r="FQ1956"/>
      <c r="FR1956"/>
      <c r="FS1956"/>
      <c r="FT1956"/>
      <c r="FU1956"/>
      <c r="FV1956"/>
      <c r="FW1956"/>
      <c r="FX1956"/>
      <c r="FY1956"/>
      <c r="FZ1956"/>
      <c r="GA1956"/>
      <c r="GB1956"/>
      <c r="GC1956"/>
      <c r="GD1956"/>
      <c r="GE1956"/>
      <c r="GF1956"/>
      <c r="GG1956"/>
      <c r="GH1956"/>
      <c r="GI1956"/>
      <c r="GJ1956"/>
      <c r="GK1956"/>
      <c r="GL1956"/>
      <c r="GM1956"/>
      <c r="GN1956"/>
      <c r="GO1956"/>
    </row>
    <row r="1957" spans="107:197">
      <c r="DC1957"/>
      <c r="FH1957"/>
      <c r="FI1957"/>
      <c r="FJ1957"/>
      <c r="FK1957"/>
      <c r="FL1957"/>
      <c r="FM1957"/>
      <c r="FN1957"/>
      <c r="FO1957"/>
      <c r="FP1957"/>
      <c r="FQ1957"/>
      <c r="FR1957"/>
      <c r="FS1957"/>
      <c r="FT1957"/>
      <c r="FU1957"/>
      <c r="FV1957"/>
      <c r="FW1957"/>
      <c r="FX1957"/>
      <c r="FY1957"/>
      <c r="FZ1957"/>
      <c r="GA1957"/>
      <c r="GB1957"/>
      <c r="GC1957"/>
      <c r="GD1957"/>
      <c r="GE1957"/>
      <c r="GF1957"/>
      <c r="GG1957"/>
      <c r="GH1957"/>
      <c r="GI1957"/>
      <c r="GJ1957"/>
      <c r="GK1957"/>
      <c r="GL1957"/>
      <c r="GM1957"/>
      <c r="GN1957"/>
      <c r="GO1957"/>
    </row>
    <row r="1958" spans="107:197">
      <c r="DC1958"/>
      <c r="FH1958"/>
      <c r="FI1958"/>
      <c r="FJ1958"/>
      <c r="FK1958"/>
      <c r="FL1958"/>
      <c r="FM1958"/>
      <c r="FN1958"/>
      <c r="FO1958"/>
      <c r="FP1958"/>
      <c r="FQ1958"/>
      <c r="FR1958"/>
      <c r="FS1958"/>
      <c r="FT1958"/>
      <c r="FU1958"/>
      <c r="FV1958"/>
      <c r="FW1958"/>
      <c r="FX1958"/>
      <c r="FY1958"/>
      <c r="FZ1958"/>
      <c r="GA1958"/>
      <c r="GB1958"/>
      <c r="GC1958"/>
      <c r="GD1958"/>
      <c r="GE1958"/>
      <c r="GF1958"/>
      <c r="GG1958"/>
      <c r="GH1958"/>
      <c r="GI1958"/>
      <c r="GJ1958"/>
      <c r="GK1958"/>
      <c r="GL1958"/>
      <c r="GM1958"/>
      <c r="GN1958"/>
      <c r="GO1958"/>
    </row>
    <row r="1959" spans="107:197">
      <c r="DC1959"/>
      <c r="FH1959"/>
      <c r="FI1959"/>
      <c r="FJ1959"/>
      <c r="FK1959"/>
      <c r="FL1959"/>
      <c r="FM1959"/>
      <c r="FN1959"/>
      <c r="FO1959"/>
      <c r="FP1959"/>
      <c r="FQ1959"/>
      <c r="FR1959"/>
      <c r="FS1959"/>
      <c r="FT1959"/>
      <c r="FU1959"/>
      <c r="FV1959"/>
      <c r="FW1959"/>
      <c r="FX1959"/>
      <c r="FY1959"/>
      <c r="FZ1959"/>
      <c r="GA1959"/>
      <c r="GB1959"/>
      <c r="GC1959"/>
      <c r="GD1959"/>
      <c r="GE1959"/>
      <c r="GF1959"/>
      <c r="GG1959"/>
      <c r="GH1959"/>
      <c r="GI1959"/>
      <c r="GJ1959"/>
      <c r="GK1959"/>
      <c r="GL1959"/>
      <c r="GM1959"/>
      <c r="GN1959"/>
      <c r="GO1959"/>
    </row>
    <row r="1960" spans="107:197">
      <c r="DC1960"/>
      <c r="FH1960"/>
      <c r="FI1960"/>
      <c r="FJ1960"/>
      <c r="FK1960"/>
      <c r="FL1960"/>
      <c r="FM1960"/>
      <c r="FN1960"/>
      <c r="FO1960"/>
      <c r="FP1960"/>
      <c r="FQ1960"/>
      <c r="FR1960"/>
      <c r="FS1960"/>
      <c r="FT1960"/>
      <c r="FU1960"/>
      <c r="FV1960"/>
      <c r="FW1960"/>
      <c r="FX1960"/>
      <c r="FY1960"/>
      <c r="FZ1960"/>
      <c r="GA1960"/>
      <c r="GB1960"/>
      <c r="GC1960"/>
      <c r="GD1960"/>
      <c r="GE1960"/>
      <c r="GF1960"/>
      <c r="GG1960"/>
      <c r="GH1960"/>
      <c r="GI1960"/>
      <c r="GJ1960"/>
      <c r="GK1960"/>
      <c r="GL1960"/>
      <c r="GM1960"/>
      <c r="GN1960"/>
      <c r="GO1960"/>
    </row>
    <row r="1961" spans="107:197">
      <c r="DC1961"/>
      <c r="FH1961"/>
      <c r="FI1961"/>
      <c r="FJ1961"/>
      <c r="FK1961"/>
      <c r="FL1961"/>
      <c r="FM1961"/>
      <c r="FN1961"/>
      <c r="FO1961"/>
      <c r="FP1961"/>
      <c r="FQ1961"/>
      <c r="FR1961"/>
      <c r="FS1961"/>
      <c r="FT1961"/>
      <c r="FU1961"/>
      <c r="FV1961"/>
      <c r="FW1961"/>
      <c r="FX1961"/>
      <c r="FY1961"/>
      <c r="FZ1961"/>
      <c r="GA1961"/>
      <c r="GB1961"/>
      <c r="GC1961"/>
      <c r="GD1961"/>
      <c r="GE1961"/>
      <c r="GF1961"/>
      <c r="GG1961"/>
      <c r="GH1961"/>
      <c r="GI1961"/>
      <c r="GJ1961"/>
      <c r="GK1961"/>
      <c r="GL1961"/>
      <c r="GM1961"/>
      <c r="GN1961"/>
      <c r="GO1961"/>
    </row>
    <row r="1962" spans="107:197">
      <c r="DC1962"/>
      <c r="FH1962"/>
      <c r="FI1962"/>
      <c r="FJ1962"/>
      <c r="FK1962"/>
      <c r="FL1962"/>
      <c r="FM1962"/>
      <c r="FN1962"/>
      <c r="FO1962"/>
      <c r="FP1962"/>
      <c r="FQ1962"/>
      <c r="FR1962"/>
      <c r="FS1962"/>
      <c r="FT1962"/>
      <c r="FU1962"/>
      <c r="FV1962"/>
      <c r="FW1962"/>
      <c r="FX1962"/>
      <c r="FY1962"/>
      <c r="FZ1962"/>
      <c r="GA1962"/>
      <c r="GB1962"/>
      <c r="GC1962"/>
      <c r="GD1962"/>
      <c r="GE1962"/>
      <c r="GF1962"/>
      <c r="GG1962"/>
      <c r="GH1962"/>
      <c r="GI1962"/>
      <c r="GJ1962"/>
      <c r="GK1962"/>
      <c r="GL1962"/>
      <c r="GM1962"/>
      <c r="GN1962"/>
      <c r="GO1962"/>
    </row>
    <row r="1963" spans="107:197">
      <c r="DC1963"/>
      <c r="FH1963"/>
      <c r="FI1963"/>
      <c r="FJ1963"/>
      <c r="FK1963"/>
      <c r="FL1963"/>
      <c r="FM1963"/>
      <c r="FN1963"/>
      <c r="FO1963"/>
      <c r="FP1963"/>
      <c r="FQ1963"/>
      <c r="FR1963"/>
      <c r="FS1963"/>
      <c r="FT1963"/>
      <c r="FU1963"/>
      <c r="FV1963"/>
      <c r="FW1963"/>
      <c r="FX1963"/>
      <c r="FY1963"/>
      <c r="FZ1963"/>
      <c r="GA1963"/>
      <c r="GB1963"/>
      <c r="GC1963"/>
      <c r="GD1963"/>
      <c r="GE1963"/>
      <c r="GF1963"/>
      <c r="GG1963"/>
      <c r="GH1963"/>
      <c r="GI1963"/>
      <c r="GJ1963"/>
      <c r="GK1963"/>
      <c r="GL1963"/>
      <c r="GM1963"/>
      <c r="GN1963"/>
      <c r="GO1963"/>
    </row>
    <row r="1964" spans="107:197">
      <c r="DC1964"/>
      <c r="FH1964"/>
      <c r="FI1964"/>
      <c r="FJ1964"/>
      <c r="FK1964"/>
      <c r="FL1964"/>
      <c r="FM1964"/>
      <c r="FN1964"/>
      <c r="FO1964"/>
      <c r="FP1964"/>
      <c r="FQ1964"/>
      <c r="FR1964"/>
      <c r="FS1964"/>
      <c r="FT1964"/>
      <c r="FU1964"/>
      <c r="FV1964"/>
      <c r="FW1964"/>
      <c r="FX1964"/>
      <c r="FY1964"/>
      <c r="FZ1964"/>
      <c r="GA1964"/>
      <c r="GB1964"/>
      <c r="GC1964"/>
      <c r="GD1964"/>
      <c r="GE1964"/>
      <c r="GF1964"/>
      <c r="GG1964"/>
      <c r="GH1964"/>
      <c r="GI1964"/>
      <c r="GJ1964"/>
      <c r="GK1964"/>
      <c r="GL1964"/>
      <c r="GM1964"/>
      <c r="GN1964"/>
      <c r="GO1964"/>
    </row>
    <row r="1965" spans="107:197">
      <c r="DC1965"/>
      <c r="FH1965"/>
      <c r="FI1965"/>
      <c r="FJ1965"/>
      <c r="FK1965"/>
      <c r="FL1965"/>
      <c r="FM1965"/>
      <c r="FN1965"/>
      <c r="FO1965"/>
      <c r="FP1965"/>
      <c r="FQ1965"/>
      <c r="FR1965"/>
      <c r="FS1965"/>
      <c r="FT1965"/>
      <c r="FU1965"/>
      <c r="FV1965"/>
      <c r="FW1965"/>
      <c r="FX1965"/>
      <c r="FY1965"/>
      <c r="FZ1965"/>
      <c r="GA1965"/>
      <c r="GB1965"/>
      <c r="GC1965"/>
      <c r="GD1965"/>
      <c r="GE1965"/>
      <c r="GF1965"/>
      <c r="GG1965"/>
      <c r="GH1965"/>
      <c r="GI1965"/>
      <c r="GJ1965"/>
      <c r="GK1965"/>
      <c r="GL1965"/>
      <c r="GM1965"/>
      <c r="GN1965"/>
      <c r="GO1965"/>
    </row>
    <row r="1966" spans="107:197">
      <c r="DC1966"/>
      <c r="FH1966"/>
      <c r="FI1966"/>
      <c r="FJ1966"/>
      <c r="FK1966"/>
      <c r="FL1966"/>
      <c r="FM1966"/>
      <c r="FN1966"/>
      <c r="FO1966"/>
      <c r="FP1966"/>
      <c r="FQ1966"/>
      <c r="FR1966"/>
      <c r="FS1966"/>
      <c r="FT1966"/>
      <c r="FU1966"/>
      <c r="FV1966"/>
      <c r="FW1966"/>
      <c r="FX1966"/>
      <c r="FY1966"/>
      <c r="FZ1966"/>
      <c r="GA1966"/>
      <c r="GB1966"/>
      <c r="GC1966"/>
      <c r="GD1966"/>
      <c r="GE1966"/>
      <c r="GF1966"/>
      <c r="GG1966"/>
      <c r="GH1966"/>
      <c r="GI1966"/>
      <c r="GJ1966"/>
      <c r="GK1966"/>
      <c r="GL1966"/>
      <c r="GM1966"/>
      <c r="GN1966"/>
      <c r="GO1966"/>
    </row>
    <row r="1967" spans="107:197">
      <c r="DC1967"/>
      <c r="FH1967"/>
      <c r="FI1967"/>
      <c r="FJ1967"/>
      <c r="FK1967"/>
      <c r="FL1967"/>
      <c r="FM1967"/>
      <c r="FN1967"/>
      <c r="FO1967"/>
      <c r="FP1967"/>
      <c r="FQ1967"/>
      <c r="FR1967"/>
      <c r="FS1967"/>
      <c r="FT1967"/>
      <c r="FU1967"/>
      <c r="FV1967"/>
      <c r="FW1967"/>
      <c r="FX1967"/>
      <c r="FY1967"/>
      <c r="FZ1967"/>
      <c r="GA1967"/>
      <c r="GB1967"/>
      <c r="GC1967"/>
      <c r="GD1967"/>
      <c r="GE1967"/>
      <c r="GF1967"/>
      <c r="GG1967"/>
      <c r="GH1967"/>
      <c r="GI1967"/>
      <c r="GJ1967"/>
      <c r="GK1967"/>
      <c r="GL1967"/>
      <c r="GM1967"/>
      <c r="GN1967"/>
      <c r="GO1967"/>
    </row>
    <row r="1968" spans="107:197">
      <c r="DC1968"/>
      <c r="FH1968"/>
      <c r="FI1968"/>
      <c r="FJ1968"/>
      <c r="FK1968"/>
      <c r="FL1968"/>
      <c r="FM1968"/>
      <c r="FN1968"/>
      <c r="FO1968"/>
      <c r="FP1968"/>
      <c r="FQ1968"/>
      <c r="FR1968"/>
      <c r="FS1968"/>
      <c r="FT1968"/>
      <c r="FU1968"/>
      <c r="FV1968"/>
      <c r="FW1968"/>
      <c r="FX1968"/>
      <c r="FY1968"/>
      <c r="FZ1968"/>
      <c r="GA1968"/>
      <c r="GB1968"/>
      <c r="GC1968"/>
      <c r="GD1968"/>
      <c r="GE1968"/>
      <c r="GF1968"/>
      <c r="GG1968"/>
      <c r="GH1968"/>
      <c r="GI1968"/>
      <c r="GJ1968"/>
      <c r="GK1968"/>
      <c r="GL1968"/>
      <c r="GM1968"/>
      <c r="GN1968"/>
      <c r="GO1968"/>
    </row>
    <row r="1969" spans="107:197">
      <c r="DC1969"/>
      <c r="FH1969"/>
      <c r="FI1969"/>
      <c r="FJ1969"/>
      <c r="FK1969"/>
      <c r="FL1969"/>
      <c r="FM1969"/>
      <c r="FN1969"/>
      <c r="FO1969"/>
      <c r="FP1969"/>
      <c r="FQ1969"/>
      <c r="FR1969"/>
      <c r="FS1969"/>
      <c r="FT1969"/>
      <c r="FU1969"/>
      <c r="FV1969"/>
      <c r="FW1969"/>
      <c r="FX1969"/>
      <c r="FY1969"/>
      <c r="FZ1969"/>
      <c r="GA1969"/>
      <c r="GB1969"/>
      <c r="GC1969"/>
      <c r="GD1969"/>
      <c r="GE1969"/>
      <c r="GF1969"/>
      <c r="GG1969"/>
      <c r="GH1969"/>
      <c r="GI1969"/>
      <c r="GJ1969"/>
      <c r="GK1969"/>
      <c r="GL1969"/>
      <c r="GM1969"/>
      <c r="GN1969"/>
      <c r="GO1969"/>
    </row>
    <row r="1970" spans="107:197">
      <c r="DC1970"/>
      <c r="FH1970"/>
      <c r="FI1970"/>
      <c r="FJ1970"/>
      <c r="FK1970"/>
      <c r="FL1970"/>
      <c r="FM1970"/>
      <c r="FN1970"/>
      <c r="FO1970"/>
      <c r="FP1970"/>
      <c r="FQ1970"/>
      <c r="FR1970"/>
      <c r="FS1970"/>
      <c r="FT1970"/>
      <c r="FU1970"/>
      <c r="FV1970"/>
      <c r="FW1970"/>
      <c r="FX1970"/>
      <c r="FY1970"/>
      <c r="FZ1970"/>
      <c r="GA1970"/>
      <c r="GB1970"/>
      <c r="GC1970"/>
      <c r="GD1970"/>
      <c r="GE1970"/>
      <c r="GF1970"/>
      <c r="GG1970"/>
      <c r="GH1970"/>
      <c r="GI1970"/>
      <c r="GJ1970"/>
      <c r="GK1970"/>
      <c r="GL1970"/>
      <c r="GM1970"/>
      <c r="GN1970"/>
      <c r="GO1970"/>
    </row>
    <row r="1971" spans="107:197">
      <c r="DC1971"/>
      <c r="FH1971"/>
      <c r="FI1971"/>
      <c r="FJ1971"/>
      <c r="FK1971"/>
      <c r="FL1971"/>
      <c r="FM1971"/>
      <c r="FN1971"/>
      <c r="FO1971"/>
      <c r="FP1971"/>
      <c r="FQ1971"/>
      <c r="FR1971"/>
      <c r="FS1971"/>
      <c r="FT1971"/>
      <c r="FU1971"/>
      <c r="FV1971"/>
      <c r="FW1971"/>
      <c r="FX1971"/>
      <c r="FY1971"/>
      <c r="FZ1971"/>
      <c r="GA1971"/>
      <c r="GB1971"/>
      <c r="GC1971"/>
      <c r="GD1971"/>
      <c r="GE1971"/>
      <c r="GF1971"/>
      <c r="GG1971"/>
      <c r="GH1971"/>
      <c r="GI1971"/>
      <c r="GJ1971"/>
      <c r="GK1971"/>
      <c r="GL1971"/>
      <c r="GM1971"/>
      <c r="GN1971"/>
      <c r="GO1971"/>
    </row>
    <row r="1972" spans="107:197">
      <c r="DC1972"/>
      <c r="FH1972"/>
      <c r="FI1972"/>
      <c r="FJ1972"/>
      <c r="FK1972"/>
      <c r="FL1972"/>
      <c r="FM1972"/>
      <c r="FN1972"/>
      <c r="FO1972"/>
      <c r="FP1972"/>
      <c r="FQ1972"/>
      <c r="FR1972"/>
      <c r="FS1972"/>
      <c r="FT1972"/>
      <c r="FU1972"/>
      <c r="FV1972"/>
      <c r="FW1972"/>
      <c r="FX1972"/>
      <c r="FY1972"/>
      <c r="FZ1972"/>
      <c r="GA1972"/>
      <c r="GB1972"/>
      <c r="GC1972"/>
      <c r="GD1972"/>
      <c r="GE1972"/>
      <c r="GF1972"/>
      <c r="GG1972"/>
      <c r="GH1972"/>
      <c r="GI1972"/>
      <c r="GJ1972"/>
      <c r="GK1972"/>
      <c r="GL1972"/>
      <c r="GM1972"/>
      <c r="GN1972"/>
      <c r="GO1972"/>
    </row>
    <row r="1973" spans="107:197">
      <c r="DC1973"/>
      <c r="FH1973"/>
      <c r="FI1973"/>
      <c r="FJ1973"/>
      <c r="FK1973"/>
      <c r="FL1973"/>
      <c r="FM1973"/>
      <c r="FN1973"/>
      <c r="FO1973"/>
      <c r="FP1973"/>
      <c r="FQ1973"/>
      <c r="FR1973"/>
      <c r="FS1973"/>
      <c r="FT1973"/>
      <c r="FU1973"/>
      <c r="FV1973"/>
      <c r="FW1973"/>
      <c r="FX1973"/>
      <c r="FY1973"/>
      <c r="FZ1973"/>
      <c r="GA1973"/>
      <c r="GB1973"/>
      <c r="GC1973"/>
      <c r="GD1973"/>
      <c r="GE1973"/>
      <c r="GF1973"/>
      <c r="GG1973"/>
      <c r="GH1973"/>
      <c r="GI1973"/>
      <c r="GJ1973"/>
      <c r="GK1973"/>
      <c r="GL1973"/>
      <c r="GM1973"/>
      <c r="GN1973"/>
      <c r="GO1973"/>
    </row>
    <row r="1974" spans="107:197">
      <c r="DC1974"/>
      <c r="FH1974"/>
      <c r="FI1974"/>
      <c r="FJ1974"/>
      <c r="FK1974"/>
      <c r="FL1974"/>
      <c r="FM1974"/>
      <c r="FN1974"/>
      <c r="FO1974"/>
      <c r="FP1974"/>
      <c r="FQ1974"/>
      <c r="FR1974"/>
      <c r="FS1974"/>
      <c r="FT1974"/>
      <c r="FU1974"/>
      <c r="FV1974"/>
      <c r="FW1974"/>
      <c r="FX1974"/>
      <c r="FY1974"/>
      <c r="FZ1974"/>
      <c r="GA1974"/>
      <c r="GB1974"/>
      <c r="GC1974"/>
      <c r="GD1974"/>
      <c r="GE1974"/>
      <c r="GF1974"/>
      <c r="GG1974"/>
      <c r="GH1974"/>
      <c r="GI1974"/>
      <c r="GJ1974"/>
      <c r="GK1974"/>
      <c r="GL1974"/>
      <c r="GM1974"/>
      <c r="GN1974"/>
      <c r="GO1974"/>
    </row>
    <row r="1975" spans="107:197">
      <c r="DC1975"/>
      <c r="FH1975"/>
      <c r="FI1975"/>
      <c r="FJ1975"/>
      <c r="FK1975"/>
      <c r="FL1975"/>
      <c r="FM1975"/>
      <c r="FN1975"/>
      <c r="FO1975"/>
      <c r="FP1975"/>
      <c r="FQ1975"/>
      <c r="FR1975"/>
      <c r="FS1975"/>
      <c r="FT1975"/>
      <c r="FU1975"/>
      <c r="FV1975"/>
      <c r="FW1975"/>
      <c r="FX1975"/>
      <c r="FY1975"/>
      <c r="FZ1975"/>
      <c r="GA1975"/>
      <c r="GB1975"/>
      <c r="GC1975"/>
      <c r="GD1975"/>
      <c r="GE1975"/>
      <c r="GF1975"/>
      <c r="GG1975"/>
      <c r="GH1975"/>
      <c r="GI1975"/>
      <c r="GJ1975"/>
      <c r="GK1975"/>
      <c r="GL1975"/>
      <c r="GM1975"/>
      <c r="GN1975"/>
      <c r="GO1975"/>
    </row>
    <row r="1976" spans="107:197">
      <c r="DC1976"/>
      <c r="FH1976"/>
      <c r="FI1976"/>
      <c r="FJ1976"/>
      <c r="FK1976"/>
      <c r="FL1976"/>
      <c r="FM1976"/>
      <c r="FN1976"/>
      <c r="FO1976"/>
      <c r="FP1976"/>
      <c r="FQ1976"/>
      <c r="FR1976"/>
      <c r="FS1976"/>
      <c r="FT1976"/>
      <c r="FU1976"/>
      <c r="FV1976"/>
      <c r="FW1976"/>
      <c r="FX1976"/>
      <c r="FY1976"/>
      <c r="FZ1976"/>
      <c r="GA1976"/>
      <c r="GB1976"/>
      <c r="GC1976"/>
      <c r="GD1976"/>
      <c r="GE1976"/>
      <c r="GF1976"/>
      <c r="GG1976"/>
      <c r="GH1976"/>
      <c r="GI1976"/>
      <c r="GJ1976"/>
      <c r="GK1976"/>
      <c r="GL1976"/>
      <c r="GM1976"/>
      <c r="GN1976"/>
      <c r="GO1976"/>
    </row>
    <row r="1977" spans="107:197">
      <c r="DC1977"/>
      <c r="FH1977"/>
      <c r="FI1977"/>
      <c r="FJ1977"/>
      <c r="FK1977"/>
      <c r="FL1977"/>
      <c r="FM1977"/>
      <c r="FN1977"/>
      <c r="FO1977"/>
      <c r="FP1977"/>
      <c r="FQ1977"/>
      <c r="FR1977"/>
      <c r="FS1977"/>
      <c r="FT1977"/>
      <c r="FU1977"/>
      <c r="FV1977"/>
      <c r="FW1977"/>
      <c r="FX1977"/>
      <c r="FY1977"/>
      <c r="FZ1977"/>
      <c r="GA1977"/>
      <c r="GB1977"/>
      <c r="GC1977"/>
      <c r="GD1977"/>
      <c r="GE1977"/>
      <c r="GF1977"/>
      <c r="GG1977"/>
      <c r="GH1977"/>
      <c r="GI1977"/>
      <c r="GJ1977"/>
      <c r="GK1977"/>
      <c r="GL1977"/>
      <c r="GM1977"/>
      <c r="GN1977"/>
      <c r="GO1977"/>
    </row>
    <row r="1978" spans="107:197">
      <c r="DC1978"/>
      <c r="FH1978"/>
      <c r="FI1978"/>
      <c r="FJ1978"/>
      <c r="FK1978"/>
      <c r="FL1978"/>
      <c r="FM1978"/>
      <c r="FN1978"/>
      <c r="FO1978"/>
      <c r="FP1978"/>
      <c r="FQ1978"/>
      <c r="FR1978"/>
      <c r="FS1978"/>
      <c r="FT1978"/>
      <c r="FU1978"/>
      <c r="FV1978"/>
      <c r="FW1978"/>
      <c r="FX1978"/>
      <c r="FY1978"/>
      <c r="FZ1978"/>
      <c r="GA1978"/>
      <c r="GB1978"/>
      <c r="GC1978"/>
      <c r="GD1978"/>
      <c r="GE1978"/>
      <c r="GF1978"/>
      <c r="GG1978"/>
      <c r="GH1978"/>
      <c r="GI1978"/>
      <c r="GJ1978"/>
      <c r="GK1978"/>
      <c r="GL1978"/>
      <c r="GM1978"/>
      <c r="GN1978"/>
      <c r="GO1978"/>
    </row>
    <row r="1979" spans="107:197">
      <c r="DC1979"/>
      <c r="FH1979"/>
      <c r="FI1979"/>
      <c r="FJ1979"/>
      <c r="FK1979"/>
      <c r="FL1979"/>
      <c r="FM1979"/>
      <c r="FN1979"/>
      <c r="FO1979"/>
      <c r="FP1979"/>
      <c r="FQ1979"/>
      <c r="FR1979"/>
      <c r="FS1979"/>
      <c r="FT1979"/>
      <c r="FU1979"/>
      <c r="FV1979"/>
      <c r="FW1979"/>
      <c r="FX1979"/>
      <c r="FY1979"/>
      <c r="FZ1979"/>
      <c r="GA1979"/>
      <c r="GB1979"/>
      <c r="GC1979"/>
      <c r="GD1979"/>
      <c r="GE1979"/>
      <c r="GF1979"/>
      <c r="GG1979"/>
      <c r="GH1979"/>
      <c r="GI1979"/>
      <c r="GJ1979"/>
      <c r="GK1979"/>
      <c r="GL1979"/>
      <c r="GM1979"/>
      <c r="GN1979"/>
      <c r="GO1979"/>
    </row>
    <row r="1980" spans="107:197">
      <c r="DC1980"/>
      <c r="FH1980"/>
      <c r="FI1980"/>
      <c r="FJ1980"/>
      <c r="FK1980"/>
      <c r="FL1980"/>
      <c r="FM1980"/>
      <c r="FN1980"/>
      <c r="FO1980"/>
      <c r="FP1980"/>
      <c r="FQ1980"/>
      <c r="FR1980"/>
      <c r="FS1980"/>
      <c r="FT1980"/>
      <c r="FU1980"/>
      <c r="FV1980"/>
      <c r="FW1980"/>
      <c r="FX1980"/>
      <c r="FY1980"/>
      <c r="FZ1980"/>
      <c r="GA1980"/>
      <c r="GB1980"/>
      <c r="GC1980"/>
      <c r="GD1980"/>
      <c r="GE1980"/>
      <c r="GF1980"/>
      <c r="GG1980"/>
      <c r="GH1980"/>
      <c r="GI1980"/>
      <c r="GJ1980"/>
      <c r="GK1980"/>
      <c r="GL1980"/>
      <c r="GM1980"/>
      <c r="GN1980"/>
      <c r="GO1980"/>
    </row>
    <row r="1981" spans="107:197">
      <c r="DC1981"/>
      <c r="FH1981"/>
      <c r="FI1981"/>
      <c r="FJ1981"/>
      <c r="FK1981"/>
      <c r="FL1981"/>
      <c r="FM1981"/>
      <c r="FN1981"/>
      <c r="FO1981"/>
      <c r="FP1981"/>
      <c r="FQ1981"/>
      <c r="FR1981"/>
      <c r="FS1981"/>
      <c r="FT1981"/>
      <c r="FU1981"/>
      <c r="FV1981"/>
      <c r="FW1981"/>
      <c r="FX1981"/>
      <c r="FY1981"/>
      <c r="FZ1981"/>
      <c r="GA1981"/>
      <c r="GB1981"/>
      <c r="GC1981"/>
      <c r="GD1981"/>
      <c r="GE1981"/>
      <c r="GF1981"/>
      <c r="GG1981"/>
      <c r="GH1981"/>
      <c r="GI1981"/>
      <c r="GJ1981"/>
      <c r="GK1981"/>
      <c r="GL1981"/>
      <c r="GM1981"/>
      <c r="GN1981"/>
      <c r="GO1981"/>
    </row>
    <row r="1982" spans="107:197">
      <c r="DC1982"/>
      <c r="FH1982"/>
      <c r="FI1982"/>
      <c r="FJ1982"/>
      <c r="FK1982"/>
      <c r="FL1982"/>
      <c r="FM1982"/>
      <c r="FN1982"/>
      <c r="FO1982"/>
      <c r="FP1982"/>
      <c r="FQ1982"/>
      <c r="FR1982"/>
      <c r="FS1982"/>
      <c r="FT1982"/>
      <c r="FU1982"/>
      <c r="FV1982"/>
      <c r="FW1982"/>
      <c r="FX1982"/>
      <c r="FY1982"/>
      <c r="FZ1982"/>
      <c r="GA1982"/>
      <c r="GB1982"/>
      <c r="GC1982"/>
      <c r="GD1982"/>
      <c r="GE1982"/>
      <c r="GF1982"/>
      <c r="GG1982"/>
      <c r="GH1982"/>
      <c r="GI1982"/>
      <c r="GJ1982"/>
      <c r="GK1982"/>
      <c r="GL1982"/>
      <c r="GM1982"/>
      <c r="GN1982"/>
      <c r="GO1982"/>
    </row>
    <row r="1983" spans="107:197">
      <c r="DC1983"/>
      <c r="FH1983"/>
      <c r="FI1983"/>
      <c r="FJ1983"/>
      <c r="FK1983"/>
      <c r="FL1983"/>
      <c r="FM1983"/>
      <c r="FN1983"/>
      <c r="FO1983"/>
      <c r="FP1983"/>
      <c r="FQ1983"/>
      <c r="FR1983"/>
      <c r="FS1983"/>
      <c r="FT1983"/>
      <c r="FU1983"/>
      <c r="FV1983"/>
      <c r="FW1983"/>
      <c r="FX1983"/>
      <c r="FY1983"/>
      <c r="FZ1983"/>
      <c r="GA1983"/>
      <c r="GB1983"/>
      <c r="GC1983"/>
      <c r="GD1983"/>
      <c r="GE1983"/>
      <c r="GF1983"/>
      <c r="GG1983"/>
      <c r="GH1983"/>
      <c r="GI1983"/>
      <c r="GJ1983"/>
      <c r="GK1983"/>
      <c r="GL1983"/>
      <c r="GM1983"/>
      <c r="GN1983"/>
      <c r="GO1983"/>
    </row>
    <row r="1984" spans="107:197">
      <c r="DC1984"/>
      <c r="FH1984"/>
      <c r="FI1984"/>
      <c r="FJ1984"/>
      <c r="FK1984"/>
      <c r="FL1984"/>
      <c r="FM1984"/>
      <c r="FN1984"/>
      <c r="FO1984"/>
      <c r="FP1984"/>
      <c r="FQ1984"/>
      <c r="FR1984"/>
      <c r="FS1984"/>
      <c r="FT1984"/>
      <c r="FU1984"/>
      <c r="FV1984"/>
      <c r="FW1984"/>
      <c r="FX1984"/>
      <c r="FY1984"/>
      <c r="FZ1984"/>
      <c r="GA1984"/>
      <c r="GB1984"/>
      <c r="GC1984"/>
      <c r="GD1984"/>
      <c r="GE1984"/>
      <c r="GF1984"/>
      <c r="GG1984"/>
      <c r="GH1984"/>
      <c r="GI1984"/>
      <c r="GJ1984"/>
      <c r="GK1984"/>
      <c r="GL1984"/>
      <c r="GM1984"/>
      <c r="GN1984"/>
      <c r="GO1984"/>
    </row>
    <row r="1985" spans="107:197">
      <c r="DC1985"/>
      <c r="FH1985"/>
      <c r="FI1985"/>
      <c r="FJ1985"/>
      <c r="FK1985"/>
      <c r="FL1985"/>
      <c r="FM1985"/>
      <c r="FN1985"/>
      <c r="FO1985"/>
      <c r="FP1985"/>
      <c r="FQ1985"/>
      <c r="FR1985"/>
      <c r="FS1985"/>
      <c r="FT1985"/>
      <c r="FU1985"/>
      <c r="FV1985"/>
      <c r="FW1985"/>
      <c r="FX1985"/>
      <c r="FY1985"/>
      <c r="FZ1985"/>
      <c r="GA1985"/>
      <c r="GB1985"/>
      <c r="GC1985"/>
      <c r="GD1985"/>
      <c r="GE1985"/>
      <c r="GF1985"/>
      <c r="GG1985"/>
      <c r="GH1985"/>
      <c r="GI1985"/>
      <c r="GJ1985"/>
      <c r="GK1985"/>
      <c r="GL1985"/>
      <c r="GM1985"/>
      <c r="GN1985"/>
      <c r="GO1985"/>
    </row>
    <row r="1986" spans="107:197">
      <c r="DC1986"/>
      <c r="FH1986"/>
      <c r="FI1986"/>
      <c r="FJ1986"/>
      <c r="FK1986"/>
      <c r="FL1986"/>
      <c r="FM1986"/>
      <c r="FN1986"/>
      <c r="FO1986"/>
      <c r="FP1986"/>
      <c r="FQ1986"/>
      <c r="FR1986"/>
      <c r="FS1986"/>
      <c r="FT1986"/>
      <c r="FU1986"/>
      <c r="FV1986"/>
      <c r="FW1986"/>
      <c r="FX1986"/>
      <c r="FY1986"/>
      <c r="FZ1986"/>
      <c r="GA1986"/>
      <c r="GB1986"/>
      <c r="GC1986"/>
      <c r="GD1986"/>
      <c r="GE1986"/>
      <c r="GF1986"/>
      <c r="GG1986"/>
      <c r="GH1986"/>
      <c r="GI1986"/>
      <c r="GJ1986"/>
      <c r="GK1986"/>
      <c r="GL1986"/>
      <c r="GM1986"/>
      <c r="GN1986"/>
      <c r="GO1986"/>
    </row>
    <row r="1987" spans="107:197">
      <c r="DC1987"/>
      <c r="FH1987"/>
      <c r="FI1987"/>
      <c r="FJ1987"/>
      <c r="FK1987"/>
      <c r="FL1987"/>
      <c r="FM1987"/>
      <c r="FN1987"/>
      <c r="FO1987"/>
      <c r="FP1987"/>
      <c r="FQ1987"/>
      <c r="FR1987"/>
      <c r="FS1987"/>
      <c r="FT1987"/>
      <c r="FU1987"/>
      <c r="FV1987"/>
      <c r="FW1987"/>
      <c r="FX1987"/>
      <c r="FY1987"/>
      <c r="FZ1987"/>
      <c r="GA1987"/>
      <c r="GB1987"/>
      <c r="GC1987"/>
      <c r="GD1987"/>
      <c r="GE1987"/>
      <c r="GF1987"/>
      <c r="GG1987"/>
      <c r="GH1987"/>
      <c r="GI1987"/>
      <c r="GJ1987"/>
      <c r="GK1987"/>
      <c r="GL1987"/>
      <c r="GM1987"/>
      <c r="GN1987"/>
      <c r="GO1987"/>
    </row>
    <row r="1988" spans="107:197">
      <c r="DC1988"/>
      <c r="FH1988"/>
      <c r="FI1988"/>
      <c r="FJ1988"/>
      <c r="FK1988"/>
      <c r="FL1988"/>
      <c r="FM1988"/>
      <c r="FN1988"/>
      <c r="FO1988"/>
      <c r="FP1988"/>
      <c r="FQ1988"/>
      <c r="FR1988"/>
      <c r="FS1988"/>
      <c r="FT1988"/>
      <c r="FU1988"/>
      <c r="FV1988"/>
      <c r="FW1988"/>
      <c r="FX1988"/>
      <c r="FY1988"/>
      <c r="FZ1988"/>
      <c r="GA1988"/>
      <c r="GB1988"/>
      <c r="GC1988"/>
      <c r="GD1988"/>
      <c r="GE1988"/>
      <c r="GF1988"/>
      <c r="GG1988"/>
      <c r="GH1988"/>
      <c r="GI1988"/>
      <c r="GJ1988"/>
      <c r="GK1988"/>
      <c r="GL1988"/>
      <c r="GM1988"/>
      <c r="GN1988"/>
      <c r="GO1988"/>
    </row>
    <row r="1989" spans="107:197">
      <c r="DC1989"/>
      <c r="FH1989"/>
      <c r="FI1989"/>
      <c r="FJ1989"/>
      <c r="FK1989"/>
      <c r="FL1989"/>
      <c r="FM1989"/>
      <c r="FN1989"/>
      <c r="FO1989"/>
      <c r="FP1989"/>
      <c r="FQ1989"/>
      <c r="FR1989"/>
      <c r="FS1989"/>
      <c r="FT1989"/>
      <c r="FU1989"/>
      <c r="FV1989"/>
      <c r="FW1989"/>
      <c r="FX1989"/>
      <c r="FY1989"/>
      <c r="FZ1989"/>
      <c r="GA1989"/>
      <c r="GB1989"/>
      <c r="GC1989"/>
      <c r="GD1989"/>
      <c r="GE1989"/>
      <c r="GF1989"/>
      <c r="GG1989"/>
      <c r="GH1989"/>
      <c r="GI1989"/>
      <c r="GJ1989"/>
      <c r="GK1989"/>
      <c r="GL1989"/>
      <c r="GM1989"/>
      <c r="GN1989"/>
      <c r="GO1989"/>
    </row>
    <row r="1990" spans="107:197">
      <c r="DC1990"/>
      <c r="FH1990"/>
      <c r="FI1990"/>
      <c r="FJ1990"/>
      <c r="FK1990"/>
      <c r="FL1990"/>
      <c r="FM1990"/>
      <c r="FN1990"/>
      <c r="FO1990"/>
      <c r="FP1990"/>
      <c r="FQ1990"/>
      <c r="FR1990"/>
      <c r="FS1990"/>
      <c r="FT1990"/>
      <c r="FU1990"/>
      <c r="FV1990"/>
      <c r="FW1990"/>
      <c r="FX1990"/>
      <c r="FY1990"/>
      <c r="FZ1990"/>
      <c r="GA1990"/>
      <c r="GB1990"/>
      <c r="GC1990"/>
      <c r="GD1990"/>
      <c r="GE1990"/>
      <c r="GF1990"/>
      <c r="GG1990"/>
      <c r="GH1990"/>
      <c r="GI1990"/>
      <c r="GJ1990"/>
      <c r="GK1990"/>
      <c r="GL1990"/>
      <c r="GM1990"/>
      <c r="GN1990"/>
      <c r="GO1990"/>
    </row>
    <row r="1991" spans="107:197">
      <c r="DC1991"/>
      <c r="FH1991"/>
      <c r="FI1991"/>
      <c r="FJ1991"/>
      <c r="FK1991"/>
      <c r="FL1991"/>
      <c r="FM1991"/>
      <c r="FN1991"/>
      <c r="FO1991"/>
      <c r="FP1991"/>
      <c r="FQ1991"/>
      <c r="FR1991"/>
      <c r="FS1991"/>
      <c r="FT1991"/>
      <c r="FU1991"/>
      <c r="FV1991"/>
      <c r="FW1991"/>
      <c r="FX1991"/>
      <c r="FY1991"/>
      <c r="FZ1991"/>
      <c r="GA1991"/>
      <c r="GB1991"/>
      <c r="GC1991"/>
      <c r="GD1991"/>
      <c r="GE1991"/>
      <c r="GF1991"/>
      <c r="GG1991"/>
      <c r="GH1991"/>
      <c r="GI1991"/>
      <c r="GJ1991"/>
      <c r="GK1991"/>
      <c r="GL1991"/>
      <c r="GM1991"/>
      <c r="GN1991"/>
      <c r="GO1991"/>
    </row>
    <row r="1992" spans="107:197">
      <c r="DC1992"/>
      <c r="FH1992"/>
      <c r="FI1992"/>
      <c r="FJ1992"/>
      <c r="FK1992"/>
      <c r="FL1992"/>
      <c r="FM1992"/>
      <c r="FN1992"/>
      <c r="FO1992"/>
      <c r="FP1992"/>
      <c r="FQ1992"/>
      <c r="FR1992"/>
      <c r="FS1992"/>
      <c r="FT1992"/>
      <c r="FU1992"/>
      <c r="FV1992"/>
      <c r="FW1992"/>
      <c r="FX1992"/>
      <c r="FY1992"/>
      <c r="FZ1992"/>
      <c r="GA1992"/>
      <c r="GB1992"/>
      <c r="GC1992"/>
      <c r="GD1992"/>
      <c r="GE1992"/>
      <c r="GF1992"/>
      <c r="GG1992"/>
      <c r="GH1992"/>
      <c r="GI1992"/>
      <c r="GJ1992"/>
      <c r="GK1992"/>
      <c r="GL1992"/>
      <c r="GM1992"/>
      <c r="GN1992"/>
      <c r="GO1992"/>
    </row>
    <row r="1993" spans="107:197">
      <c r="DC1993"/>
      <c r="FH1993"/>
      <c r="FI1993"/>
      <c r="FJ1993"/>
      <c r="FK1993"/>
      <c r="FL1993"/>
      <c r="FM1993"/>
      <c r="FN1993"/>
      <c r="FO1993"/>
      <c r="FP1993"/>
      <c r="FQ1993"/>
      <c r="FR1993"/>
      <c r="FS1993"/>
      <c r="FT1993"/>
      <c r="FU1993"/>
      <c r="FV1993"/>
      <c r="FW1993"/>
      <c r="FX1993"/>
      <c r="FY1993"/>
      <c r="FZ1993"/>
      <c r="GA1993"/>
      <c r="GB1993"/>
      <c r="GC1993"/>
      <c r="GD1993"/>
      <c r="GE1993"/>
      <c r="GF1993"/>
      <c r="GG1993"/>
      <c r="GH1993"/>
      <c r="GI1993"/>
      <c r="GJ1993"/>
      <c r="GK1993"/>
      <c r="GL1993"/>
      <c r="GM1993"/>
      <c r="GN1993"/>
      <c r="GO1993"/>
    </row>
    <row r="1994" spans="107:197">
      <c r="DC1994"/>
      <c r="FH1994"/>
      <c r="FI1994"/>
      <c r="FJ1994"/>
      <c r="FK1994"/>
      <c r="FL1994"/>
      <c r="FM1994"/>
      <c r="FN1994"/>
      <c r="FO1994"/>
      <c r="FP1994"/>
      <c r="FQ1994"/>
      <c r="FR1994"/>
      <c r="FS1994"/>
      <c r="FT1994"/>
      <c r="FU1994"/>
      <c r="FV1994"/>
      <c r="FW1994"/>
      <c r="FX1994"/>
      <c r="FY1994"/>
      <c r="FZ1994"/>
      <c r="GA1994"/>
      <c r="GB1994"/>
      <c r="GC1994"/>
      <c r="GD1994"/>
      <c r="GE1994"/>
      <c r="GF1994"/>
      <c r="GG1994"/>
      <c r="GH1994"/>
      <c r="GI1994"/>
      <c r="GJ1994"/>
      <c r="GK1994"/>
      <c r="GL1994"/>
      <c r="GM1994"/>
      <c r="GN1994"/>
      <c r="GO1994"/>
    </row>
    <row r="1995" spans="107:197">
      <c r="DC1995"/>
      <c r="FH1995"/>
      <c r="FI1995"/>
      <c r="FJ1995"/>
      <c r="FK1995"/>
      <c r="FL1995"/>
      <c r="FM1995"/>
      <c r="FN1995"/>
      <c r="FO1995"/>
      <c r="FP1995"/>
      <c r="FQ1995"/>
      <c r="FR1995"/>
      <c r="FS1995"/>
      <c r="FT1995"/>
      <c r="FU1995"/>
      <c r="FV1995"/>
      <c r="FW1995"/>
      <c r="FX1995"/>
      <c r="FY1995"/>
      <c r="FZ1995"/>
      <c r="GA1995"/>
      <c r="GB1995"/>
      <c r="GC1995"/>
      <c r="GD1995"/>
      <c r="GE1995"/>
      <c r="GF1995"/>
      <c r="GG1995"/>
      <c r="GH1995"/>
      <c r="GI1995"/>
      <c r="GJ1995"/>
      <c r="GK1995"/>
      <c r="GL1995"/>
      <c r="GM1995"/>
      <c r="GN1995"/>
      <c r="GO1995"/>
    </row>
    <row r="1996" spans="107:197">
      <c r="DC1996"/>
      <c r="FH1996"/>
      <c r="FI1996"/>
      <c r="FJ1996"/>
      <c r="FK1996"/>
      <c r="FL1996"/>
      <c r="FM1996"/>
      <c r="FN1996"/>
      <c r="FO1996"/>
      <c r="FP1996"/>
      <c r="FQ1996"/>
      <c r="FR1996"/>
      <c r="FS1996"/>
      <c r="FT1996"/>
      <c r="FU1996"/>
      <c r="FV1996"/>
      <c r="FW1996"/>
      <c r="FX1996"/>
      <c r="FY1996"/>
      <c r="FZ1996"/>
      <c r="GA1996"/>
      <c r="GB1996"/>
      <c r="GC1996"/>
      <c r="GD1996"/>
      <c r="GE1996"/>
      <c r="GF1996"/>
      <c r="GG1996"/>
      <c r="GH1996"/>
      <c r="GI1996"/>
      <c r="GJ1996"/>
      <c r="GK1996"/>
      <c r="GL1996"/>
      <c r="GM1996"/>
      <c r="GN1996"/>
      <c r="GO1996"/>
    </row>
    <row r="1997" spans="107:197">
      <c r="DC1997"/>
      <c r="FH1997"/>
      <c r="FI1997"/>
      <c r="FJ1997"/>
      <c r="FK1997"/>
      <c r="FL1997"/>
      <c r="FM1997"/>
      <c r="FN1997"/>
      <c r="FO1997"/>
      <c r="FP1997"/>
      <c r="FQ1997"/>
      <c r="FR1997"/>
      <c r="FS1997"/>
      <c r="FT1997"/>
      <c r="FU1997"/>
      <c r="FV1997"/>
      <c r="FW1997"/>
      <c r="FX1997"/>
      <c r="FY1997"/>
      <c r="FZ1997"/>
      <c r="GA1997"/>
      <c r="GB1997"/>
      <c r="GC1997"/>
      <c r="GD1997"/>
      <c r="GE1997"/>
      <c r="GF1997"/>
      <c r="GG1997"/>
      <c r="GH1997"/>
      <c r="GI1997"/>
      <c r="GJ1997"/>
      <c r="GK1997"/>
      <c r="GL1997"/>
      <c r="GM1997"/>
      <c r="GN1997"/>
      <c r="GO1997"/>
    </row>
    <row r="1998" spans="107:197">
      <c r="DC1998"/>
      <c r="FH1998"/>
      <c r="FI1998"/>
      <c r="FJ1998"/>
      <c r="FK1998"/>
      <c r="FL1998"/>
      <c r="FM1998"/>
      <c r="FN1998"/>
      <c r="FO1998"/>
      <c r="FP1998"/>
      <c r="FQ1998"/>
      <c r="FR1998"/>
      <c r="FS1998"/>
      <c r="FT1998"/>
      <c r="FU1998"/>
      <c r="FV1998"/>
      <c r="FW1998"/>
      <c r="FX1998"/>
      <c r="FY1998"/>
      <c r="FZ1998"/>
      <c r="GA1998"/>
      <c r="GB1998"/>
      <c r="GC1998"/>
      <c r="GD1998"/>
      <c r="GE1998"/>
      <c r="GF1998"/>
      <c r="GG1998"/>
      <c r="GH1998"/>
      <c r="GI1998"/>
      <c r="GJ1998"/>
      <c r="GK1998"/>
      <c r="GL1998"/>
      <c r="GM1998"/>
      <c r="GN1998"/>
      <c r="GO1998"/>
    </row>
    <row r="1999" spans="107:197">
      <c r="DC1999"/>
      <c r="FH1999"/>
      <c r="FI1999"/>
      <c r="FJ1999"/>
      <c r="FK1999"/>
      <c r="FL1999"/>
      <c r="FM1999"/>
      <c r="FN1999"/>
      <c r="FO1999"/>
      <c r="FP1999"/>
      <c r="FQ1999"/>
      <c r="FR1999"/>
      <c r="FS1999"/>
      <c r="FT1999"/>
      <c r="FU1999"/>
      <c r="FV1999"/>
      <c r="FW1999"/>
      <c r="FX1999"/>
      <c r="FY1999"/>
      <c r="FZ1999"/>
      <c r="GA1999"/>
      <c r="GB1999"/>
      <c r="GC1999"/>
      <c r="GD1999"/>
      <c r="GE1999"/>
      <c r="GF1999"/>
      <c r="GG1999"/>
      <c r="GH1999"/>
      <c r="GI1999"/>
      <c r="GJ1999"/>
      <c r="GK1999"/>
      <c r="GL1999"/>
      <c r="GM1999"/>
      <c r="GN1999"/>
      <c r="GO1999"/>
    </row>
    <row r="2000" spans="107:197">
      <c r="DC2000"/>
      <c r="FH2000"/>
      <c r="FI2000"/>
      <c r="FJ2000"/>
      <c r="FK2000"/>
      <c r="FL2000"/>
      <c r="FM2000"/>
      <c r="FN2000"/>
      <c r="FO2000"/>
      <c r="FP2000"/>
      <c r="FQ2000"/>
      <c r="FR2000"/>
      <c r="FS2000"/>
      <c r="FT2000"/>
      <c r="FU2000"/>
      <c r="FV2000"/>
      <c r="FW2000"/>
      <c r="FX2000"/>
      <c r="FY2000"/>
      <c r="FZ2000"/>
      <c r="GA2000"/>
      <c r="GB2000"/>
      <c r="GC2000"/>
      <c r="GD2000"/>
      <c r="GE2000"/>
      <c r="GF2000"/>
      <c r="GG2000"/>
      <c r="GH2000"/>
      <c r="GI2000"/>
      <c r="GJ2000"/>
      <c r="GK2000"/>
      <c r="GL2000"/>
      <c r="GM2000"/>
      <c r="GN2000"/>
      <c r="GO2000"/>
    </row>
    <row r="2001" spans="107:197">
      <c r="DC2001"/>
      <c r="FH2001"/>
      <c r="FI2001"/>
      <c r="FJ2001"/>
      <c r="FK2001"/>
      <c r="FL2001"/>
      <c r="FM2001"/>
      <c r="FN2001"/>
      <c r="FO2001"/>
      <c r="FP2001"/>
      <c r="FQ2001"/>
      <c r="FR2001"/>
      <c r="FS2001"/>
      <c r="FT2001"/>
      <c r="FU2001"/>
      <c r="FV2001"/>
      <c r="FW2001"/>
      <c r="FX2001"/>
      <c r="FY2001"/>
      <c r="FZ2001"/>
      <c r="GA2001"/>
      <c r="GB2001"/>
      <c r="GC2001"/>
      <c r="GD2001"/>
      <c r="GE2001"/>
      <c r="GF2001"/>
      <c r="GG2001"/>
      <c r="GH2001"/>
      <c r="GI2001"/>
      <c r="GJ2001"/>
      <c r="GK2001"/>
      <c r="GL2001"/>
      <c r="GM2001"/>
      <c r="GN2001"/>
      <c r="GO2001"/>
    </row>
    <row r="2002" spans="107:197">
      <c r="DC2002"/>
      <c r="FH2002"/>
      <c r="FI2002"/>
      <c r="FJ2002"/>
      <c r="FK2002"/>
      <c r="FL2002"/>
      <c r="FM2002"/>
      <c r="FN2002"/>
      <c r="FO2002"/>
      <c r="FP2002"/>
      <c r="FQ2002"/>
      <c r="FR2002"/>
      <c r="FS2002"/>
      <c r="FT2002"/>
      <c r="FU2002"/>
      <c r="FV2002"/>
      <c r="FW2002"/>
      <c r="FX2002"/>
      <c r="FY2002"/>
      <c r="FZ2002"/>
      <c r="GA2002"/>
      <c r="GB2002"/>
      <c r="GC2002"/>
      <c r="GD2002"/>
      <c r="GE2002"/>
      <c r="GF2002"/>
      <c r="GG2002"/>
      <c r="GH2002"/>
      <c r="GI2002"/>
      <c r="GJ2002"/>
      <c r="GK2002"/>
      <c r="GL2002"/>
      <c r="GM2002"/>
      <c r="GN2002"/>
      <c r="GO2002"/>
    </row>
    <row r="2003" spans="107:197">
      <c r="DC2003"/>
      <c r="FH2003"/>
      <c r="FI2003"/>
      <c r="FJ2003"/>
      <c r="FK2003"/>
      <c r="FL2003"/>
      <c r="FM2003"/>
      <c r="FN2003"/>
      <c r="FO2003"/>
      <c r="FP2003"/>
      <c r="FQ2003"/>
      <c r="FR2003"/>
      <c r="FS2003"/>
      <c r="FT2003"/>
      <c r="FU2003"/>
      <c r="FV2003"/>
      <c r="FW2003"/>
      <c r="FX2003"/>
      <c r="FY2003"/>
      <c r="FZ2003"/>
      <c r="GA2003"/>
      <c r="GB2003"/>
      <c r="GC2003"/>
      <c r="GD2003"/>
      <c r="GE2003"/>
      <c r="GF2003"/>
      <c r="GG2003"/>
      <c r="GH2003"/>
      <c r="GI2003"/>
      <c r="GJ2003"/>
      <c r="GK2003"/>
      <c r="GL2003"/>
      <c r="GM2003"/>
      <c r="GN2003"/>
      <c r="GO2003"/>
    </row>
    <row r="2004" spans="107:197">
      <c r="DC2004"/>
      <c r="FH2004"/>
      <c r="FI2004"/>
      <c r="FJ2004"/>
      <c r="FK2004"/>
      <c r="FL2004"/>
      <c r="FM2004"/>
      <c r="FN2004"/>
      <c r="FO2004"/>
      <c r="FP2004"/>
      <c r="FQ2004"/>
      <c r="FR2004"/>
      <c r="FS2004"/>
      <c r="FT2004"/>
      <c r="FU2004"/>
      <c r="FV2004"/>
      <c r="FW2004"/>
      <c r="FX2004"/>
      <c r="FY2004"/>
      <c r="FZ2004"/>
      <c r="GA2004"/>
      <c r="GB2004"/>
      <c r="GC2004"/>
      <c r="GD2004"/>
      <c r="GE2004"/>
      <c r="GF2004"/>
      <c r="GG2004"/>
      <c r="GH2004"/>
      <c r="GI2004"/>
      <c r="GJ2004"/>
      <c r="GK2004"/>
      <c r="GL2004"/>
      <c r="GM2004"/>
      <c r="GN2004"/>
      <c r="GO2004"/>
    </row>
    <row r="2005" spans="107:197">
      <c r="DC2005"/>
      <c r="FH2005"/>
      <c r="FI2005"/>
      <c r="FJ2005"/>
      <c r="FK2005"/>
      <c r="FL2005"/>
      <c r="FM2005"/>
      <c r="FN2005"/>
      <c r="FO2005"/>
      <c r="FP2005"/>
      <c r="FQ2005"/>
      <c r="FR2005"/>
      <c r="FS2005"/>
      <c r="FT2005"/>
      <c r="FU2005"/>
      <c r="FV2005"/>
      <c r="FW2005"/>
      <c r="FX2005"/>
      <c r="FY2005"/>
      <c r="FZ2005"/>
      <c r="GA2005"/>
      <c r="GB2005"/>
      <c r="GC2005"/>
      <c r="GD2005"/>
      <c r="GE2005"/>
      <c r="GF2005"/>
      <c r="GG2005"/>
      <c r="GH2005"/>
      <c r="GI2005"/>
      <c r="GJ2005"/>
      <c r="GK2005"/>
      <c r="GL2005"/>
      <c r="GM2005"/>
      <c r="GN2005"/>
      <c r="GO2005"/>
    </row>
    <row r="2006" spans="107:197">
      <c r="DC2006"/>
      <c r="FH2006"/>
      <c r="FI2006"/>
      <c r="FJ2006"/>
      <c r="FK2006"/>
      <c r="FL2006"/>
      <c r="FM2006"/>
      <c r="FN2006"/>
      <c r="FO2006"/>
      <c r="FP2006"/>
      <c r="FQ2006"/>
      <c r="FR2006"/>
      <c r="FS2006"/>
      <c r="FT2006"/>
      <c r="FU2006"/>
      <c r="FV2006"/>
      <c r="FW2006"/>
      <c r="FX2006"/>
      <c r="FY2006"/>
      <c r="FZ2006"/>
      <c r="GA2006"/>
      <c r="GB2006"/>
      <c r="GC2006"/>
      <c r="GD2006"/>
      <c r="GE2006"/>
      <c r="GF2006"/>
      <c r="GG2006"/>
      <c r="GH2006"/>
      <c r="GI2006"/>
      <c r="GJ2006"/>
      <c r="GK2006"/>
      <c r="GL2006"/>
      <c r="GM2006"/>
      <c r="GN2006"/>
      <c r="GO2006"/>
    </row>
    <row r="2007" spans="107:197">
      <c r="DC2007"/>
      <c r="FH2007"/>
      <c r="FI2007"/>
      <c r="FJ2007"/>
      <c r="FK2007"/>
      <c r="FL2007"/>
      <c r="FM2007"/>
      <c r="FN2007"/>
      <c r="FO2007"/>
      <c r="FP2007"/>
      <c r="FQ2007"/>
      <c r="FR2007"/>
      <c r="FS2007"/>
      <c r="FT2007"/>
      <c r="FU2007"/>
      <c r="FV2007"/>
      <c r="FW2007"/>
      <c r="FX2007"/>
      <c r="FY2007"/>
      <c r="FZ2007"/>
      <c r="GA2007"/>
      <c r="GB2007"/>
      <c r="GC2007"/>
      <c r="GD2007"/>
      <c r="GE2007"/>
      <c r="GF2007"/>
      <c r="GG2007"/>
      <c r="GH2007"/>
      <c r="GI2007"/>
      <c r="GJ2007"/>
      <c r="GK2007"/>
      <c r="GL2007"/>
      <c r="GM2007"/>
      <c r="GN2007"/>
      <c r="GO2007"/>
    </row>
    <row r="2008" spans="107:197">
      <c r="DC2008"/>
      <c r="FH2008"/>
      <c r="FI2008"/>
      <c r="FJ2008"/>
      <c r="FK2008"/>
      <c r="FL2008"/>
      <c r="FM2008"/>
      <c r="FN2008"/>
      <c r="FO2008"/>
      <c r="FP2008"/>
      <c r="FQ2008"/>
      <c r="FR2008"/>
      <c r="FS2008"/>
      <c r="FT2008"/>
      <c r="FU2008"/>
      <c r="FV2008"/>
      <c r="FW2008"/>
      <c r="FX2008"/>
      <c r="FY2008"/>
      <c r="FZ2008"/>
      <c r="GA2008"/>
      <c r="GB2008"/>
      <c r="GC2008"/>
      <c r="GD2008"/>
      <c r="GE2008"/>
      <c r="GF2008"/>
      <c r="GG2008"/>
      <c r="GH2008"/>
      <c r="GI2008"/>
      <c r="GJ2008"/>
      <c r="GK2008"/>
      <c r="GL2008"/>
      <c r="GM2008"/>
      <c r="GN2008"/>
      <c r="GO2008"/>
    </row>
    <row r="2009" spans="107:197">
      <c r="DC2009"/>
      <c r="FH2009"/>
      <c r="FI2009"/>
      <c r="FJ2009"/>
      <c r="FK2009"/>
      <c r="FL2009"/>
      <c r="FM2009"/>
      <c r="FN2009"/>
      <c r="FO2009"/>
      <c r="FP2009"/>
      <c r="FQ2009"/>
      <c r="FR2009"/>
      <c r="FS2009"/>
      <c r="FT2009"/>
      <c r="FU2009"/>
      <c r="FV2009"/>
      <c r="FW2009"/>
      <c r="FX2009"/>
      <c r="FY2009"/>
      <c r="FZ2009"/>
      <c r="GA2009"/>
      <c r="GB2009"/>
      <c r="GC2009"/>
      <c r="GD2009"/>
      <c r="GE2009"/>
      <c r="GF2009"/>
      <c r="GG2009"/>
      <c r="GH2009"/>
      <c r="GI2009"/>
      <c r="GJ2009"/>
      <c r="GK2009"/>
      <c r="GL2009"/>
      <c r="GM2009"/>
      <c r="GN2009"/>
      <c r="GO2009"/>
    </row>
    <row r="2010" spans="107:197">
      <c r="DC2010"/>
      <c r="FH2010"/>
      <c r="FI2010"/>
      <c r="FJ2010"/>
      <c r="FK2010"/>
      <c r="FL2010"/>
      <c r="FM2010"/>
      <c r="FN2010"/>
      <c r="FO2010"/>
      <c r="FP2010"/>
      <c r="FQ2010"/>
      <c r="FR2010"/>
      <c r="FS2010"/>
      <c r="FT2010"/>
      <c r="FU2010"/>
      <c r="FV2010"/>
      <c r="FW2010"/>
      <c r="FX2010"/>
      <c r="FY2010"/>
      <c r="FZ2010"/>
      <c r="GA2010"/>
      <c r="GB2010"/>
      <c r="GC2010"/>
      <c r="GD2010"/>
      <c r="GE2010"/>
      <c r="GF2010"/>
      <c r="GG2010"/>
      <c r="GH2010"/>
      <c r="GI2010"/>
      <c r="GJ2010"/>
      <c r="GK2010"/>
      <c r="GL2010"/>
      <c r="GM2010"/>
      <c r="GN2010"/>
      <c r="GO2010"/>
    </row>
    <row r="2011" spans="107:197">
      <c r="DC2011"/>
      <c r="FH2011"/>
      <c r="FI2011"/>
      <c r="FJ2011"/>
      <c r="FK2011"/>
      <c r="FL2011"/>
      <c r="FM2011"/>
      <c r="FN2011"/>
      <c r="FO2011"/>
      <c r="FP2011"/>
      <c r="FQ2011"/>
      <c r="FR2011"/>
      <c r="FS2011"/>
      <c r="FT2011"/>
      <c r="FU2011"/>
      <c r="FV2011"/>
      <c r="FW2011"/>
      <c r="FX2011"/>
      <c r="FY2011"/>
      <c r="FZ2011"/>
      <c r="GA2011"/>
      <c r="GB2011"/>
      <c r="GC2011"/>
      <c r="GD2011"/>
      <c r="GE2011"/>
      <c r="GF2011"/>
      <c r="GG2011"/>
      <c r="GH2011"/>
      <c r="GI2011"/>
      <c r="GJ2011"/>
      <c r="GK2011"/>
      <c r="GL2011"/>
      <c r="GM2011"/>
      <c r="GN2011"/>
      <c r="GO2011"/>
    </row>
    <row r="2012" spans="107:197">
      <c r="DC2012"/>
      <c r="FH2012"/>
      <c r="FI2012"/>
      <c r="FJ2012"/>
      <c r="FK2012"/>
      <c r="FL2012"/>
      <c r="FM2012"/>
      <c r="FN2012"/>
      <c r="FO2012"/>
      <c r="FP2012"/>
      <c r="FQ2012"/>
      <c r="FR2012"/>
      <c r="FS2012"/>
      <c r="FT2012"/>
      <c r="FU2012"/>
      <c r="FV2012"/>
      <c r="FW2012"/>
      <c r="FX2012"/>
      <c r="FY2012"/>
      <c r="FZ2012"/>
      <c r="GA2012"/>
      <c r="GB2012"/>
      <c r="GC2012"/>
      <c r="GD2012"/>
      <c r="GE2012"/>
      <c r="GF2012"/>
      <c r="GG2012"/>
      <c r="GH2012"/>
      <c r="GI2012"/>
      <c r="GJ2012"/>
      <c r="GK2012"/>
      <c r="GL2012"/>
      <c r="GM2012"/>
      <c r="GN2012"/>
      <c r="GO2012"/>
    </row>
    <row r="2013" spans="107:197">
      <c r="DC2013"/>
      <c r="FH2013"/>
      <c r="FI2013"/>
      <c r="FJ2013"/>
      <c r="FK2013"/>
      <c r="FL2013"/>
      <c r="FM2013"/>
      <c r="FN2013"/>
      <c r="FO2013"/>
      <c r="FP2013"/>
      <c r="FQ2013"/>
      <c r="FR2013"/>
      <c r="FS2013"/>
      <c r="FT2013"/>
      <c r="FU2013"/>
      <c r="FV2013"/>
      <c r="FW2013"/>
      <c r="FX2013"/>
      <c r="FY2013"/>
      <c r="FZ2013"/>
      <c r="GA2013"/>
      <c r="GB2013"/>
      <c r="GC2013"/>
      <c r="GD2013"/>
      <c r="GE2013"/>
      <c r="GF2013"/>
      <c r="GG2013"/>
      <c r="GH2013"/>
      <c r="GI2013"/>
      <c r="GJ2013"/>
      <c r="GK2013"/>
      <c r="GL2013"/>
      <c r="GM2013"/>
      <c r="GN2013"/>
      <c r="GO2013"/>
    </row>
    <row r="2014" spans="107:197">
      <c r="DC2014"/>
      <c r="FH2014"/>
      <c r="FI2014"/>
      <c r="FJ2014"/>
      <c r="FK2014"/>
      <c r="FL2014"/>
      <c r="FM2014"/>
      <c r="FN2014"/>
      <c r="FO2014"/>
      <c r="FP2014"/>
      <c r="FQ2014"/>
      <c r="FR2014"/>
      <c r="FS2014"/>
      <c r="FT2014"/>
      <c r="FU2014"/>
      <c r="FV2014"/>
      <c r="FW2014"/>
      <c r="FX2014"/>
      <c r="FY2014"/>
      <c r="FZ2014"/>
      <c r="GA2014"/>
      <c r="GB2014"/>
      <c r="GC2014"/>
      <c r="GD2014"/>
      <c r="GE2014"/>
      <c r="GF2014"/>
      <c r="GG2014"/>
      <c r="GH2014"/>
      <c r="GI2014"/>
      <c r="GJ2014"/>
      <c r="GK2014"/>
      <c r="GL2014"/>
      <c r="GM2014"/>
      <c r="GN2014"/>
      <c r="GO2014"/>
    </row>
    <row r="2015" spans="107:197">
      <c r="DC2015"/>
      <c r="FH2015"/>
      <c r="FI2015"/>
      <c r="FJ2015"/>
      <c r="FK2015"/>
      <c r="FL2015"/>
      <c r="FM2015"/>
      <c r="FN2015"/>
      <c r="FO2015"/>
      <c r="FP2015"/>
      <c r="FQ2015"/>
      <c r="FR2015"/>
      <c r="FS2015"/>
      <c r="FT2015"/>
      <c r="FU2015"/>
      <c r="FV2015"/>
      <c r="FW2015"/>
      <c r="FX2015"/>
      <c r="FY2015"/>
      <c r="FZ2015"/>
      <c r="GA2015"/>
      <c r="GB2015"/>
      <c r="GC2015"/>
      <c r="GD2015"/>
      <c r="GE2015"/>
      <c r="GF2015"/>
      <c r="GG2015"/>
      <c r="GH2015"/>
      <c r="GI2015"/>
      <c r="GJ2015"/>
      <c r="GK2015"/>
      <c r="GL2015"/>
      <c r="GM2015"/>
      <c r="GN2015"/>
      <c r="GO2015"/>
    </row>
    <row r="2016" spans="107:197">
      <c r="DC2016"/>
      <c r="FH2016"/>
      <c r="FI2016"/>
      <c r="FJ2016"/>
      <c r="FK2016"/>
      <c r="FL2016"/>
      <c r="FM2016"/>
      <c r="FN2016"/>
      <c r="FO2016"/>
      <c r="FP2016"/>
      <c r="FQ2016"/>
      <c r="FR2016"/>
      <c r="FS2016"/>
      <c r="FT2016"/>
      <c r="FU2016"/>
      <c r="FV2016"/>
      <c r="FW2016"/>
      <c r="FX2016"/>
      <c r="FY2016"/>
      <c r="FZ2016"/>
      <c r="GA2016"/>
      <c r="GB2016"/>
      <c r="GC2016"/>
      <c r="GD2016"/>
      <c r="GE2016"/>
      <c r="GF2016"/>
      <c r="GG2016"/>
      <c r="GH2016"/>
      <c r="GI2016"/>
      <c r="GJ2016"/>
      <c r="GK2016"/>
      <c r="GL2016"/>
      <c r="GM2016"/>
      <c r="GN2016"/>
      <c r="GO2016"/>
    </row>
    <row r="2017" spans="107:197">
      <c r="DC2017"/>
      <c r="FH2017"/>
      <c r="FI2017"/>
      <c r="FJ2017"/>
      <c r="FK2017"/>
      <c r="FL2017"/>
      <c r="FM2017"/>
      <c r="FN2017"/>
      <c r="FO2017"/>
      <c r="FP2017"/>
      <c r="FQ2017"/>
      <c r="FR2017"/>
      <c r="FS2017"/>
      <c r="FT2017"/>
      <c r="FU2017"/>
      <c r="FV2017"/>
      <c r="FW2017"/>
      <c r="FX2017"/>
      <c r="FY2017"/>
      <c r="FZ2017"/>
      <c r="GA2017"/>
      <c r="GB2017"/>
      <c r="GC2017"/>
      <c r="GD2017"/>
      <c r="GE2017"/>
      <c r="GF2017"/>
      <c r="GG2017"/>
      <c r="GH2017"/>
      <c r="GI2017"/>
      <c r="GJ2017"/>
      <c r="GK2017"/>
      <c r="GL2017"/>
      <c r="GM2017"/>
      <c r="GN2017"/>
      <c r="GO2017"/>
    </row>
    <row r="2018" spans="107:197">
      <c r="DC2018"/>
      <c r="FH2018"/>
      <c r="FI2018"/>
      <c r="FJ2018"/>
      <c r="FK2018"/>
      <c r="FL2018"/>
      <c r="FM2018"/>
      <c r="FN2018"/>
      <c r="FO2018"/>
      <c r="FP2018"/>
      <c r="FQ2018"/>
      <c r="FR2018"/>
      <c r="FS2018"/>
      <c r="FT2018"/>
      <c r="FU2018"/>
      <c r="FV2018"/>
      <c r="FW2018"/>
      <c r="FX2018"/>
      <c r="FY2018"/>
      <c r="FZ2018"/>
      <c r="GA2018"/>
      <c r="GB2018"/>
      <c r="GC2018"/>
      <c r="GD2018"/>
      <c r="GE2018"/>
      <c r="GF2018"/>
      <c r="GG2018"/>
      <c r="GH2018"/>
      <c r="GI2018"/>
      <c r="GJ2018"/>
      <c r="GK2018"/>
      <c r="GL2018"/>
      <c r="GM2018"/>
      <c r="GN2018"/>
      <c r="GO2018"/>
    </row>
    <row r="2019" spans="107:197">
      <c r="DC2019"/>
      <c r="FH2019"/>
      <c r="FI2019"/>
      <c r="FJ2019"/>
      <c r="FK2019"/>
      <c r="FL2019"/>
      <c r="FM2019"/>
      <c r="FN2019"/>
      <c r="FO2019"/>
      <c r="FP2019"/>
      <c r="FQ2019"/>
      <c r="FR2019"/>
      <c r="FS2019"/>
      <c r="FT2019"/>
      <c r="FU2019"/>
      <c r="FV2019"/>
      <c r="FW2019"/>
      <c r="FX2019"/>
      <c r="FY2019"/>
      <c r="FZ2019"/>
      <c r="GA2019"/>
      <c r="GB2019"/>
      <c r="GC2019"/>
      <c r="GD2019"/>
      <c r="GE2019"/>
      <c r="GF2019"/>
      <c r="GG2019"/>
      <c r="GH2019"/>
      <c r="GI2019"/>
      <c r="GJ2019"/>
      <c r="GK2019"/>
      <c r="GL2019"/>
      <c r="GM2019"/>
      <c r="GN2019"/>
      <c r="GO2019"/>
    </row>
    <row r="2020" spans="107:197">
      <c r="DC2020"/>
      <c r="FH2020"/>
      <c r="FI2020"/>
      <c r="FJ2020"/>
      <c r="FK2020"/>
      <c r="FL2020"/>
      <c r="FM2020"/>
      <c r="FN2020"/>
      <c r="FO2020"/>
      <c r="FP2020"/>
      <c r="FQ2020"/>
      <c r="FR2020"/>
      <c r="FS2020"/>
      <c r="FT2020"/>
      <c r="FU2020"/>
      <c r="FV2020"/>
      <c r="FW2020"/>
      <c r="FX2020"/>
      <c r="FY2020"/>
      <c r="FZ2020"/>
      <c r="GA2020"/>
      <c r="GB2020"/>
      <c r="GC2020"/>
      <c r="GD2020"/>
      <c r="GE2020"/>
      <c r="GF2020"/>
      <c r="GG2020"/>
      <c r="GH2020"/>
      <c r="GI2020"/>
      <c r="GJ2020"/>
      <c r="GK2020"/>
      <c r="GL2020"/>
      <c r="GM2020"/>
      <c r="GN2020"/>
      <c r="GO2020"/>
    </row>
    <row r="2021" spans="107:197">
      <c r="DC2021"/>
      <c r="FH2021"/>
      <c r="FI2021"/>
      <c r="FJ2021"/>
      <c r="FK2021"/>
      <c r="FL2021"/>
      <c r="FM2021"/>
      <c r="FN2021"/>
      <c r="FO2021"/>
      <c r="FP2021"/>
      <c r="FQ2021"/>
      <c r="FR2021"/>
      <c r="FS2021"/>
      <c r="FT2021"/>
      <c r="FU2021"/>
      <c r="FV2021"/>
      <c r="FW2021"/>
      <c r="FX2021"/>
      <c r="FY2021"/>
      <c r="FZ2021"/>
      <c r="GA2021"/>
      <c r="GB2021"/>
      <c r="GC2021"/>
      <c r="GD2021"/>
      <c r="GE2021"/>
      <c r="GF2021"/>
      <c r="GG2021"/>
      <c r="GH2021"/>
      <c r="GI2021"/>
      <c r="GJ2021"/>
      <c r="GK2021"/>
      <c r="GL2021"/>
      <c r="GM2021"/>
      <c r="GN2021"/>
      <c r="GO2021"/>
    </row>
    <row r="2022" spans="107:197">
      <c r="DC2022"/>
      <c r="FH2022"/>
      <c r="FI2022"/>
      <c r="FJ2022"/>
      <c r="FK2022"/>
      <c r="FL2022"/>
      <c r="FM2022"/>
      <c r="FN2022"/>
      <c r="FO2022"/>
      <c r="FP2022"/>
      <c r="FQ2022"/>
      <c r="FR2022"/>
      <c r="FS2022"/>
      <c r="FT2022"/>
      <c r="FU2022"/>
      <c r="FV2022"/>
      <c r="FW2022"/>
      <c r="FX2022"/>
      <c r="FY2022"/>
      <c r="FZ2022"/>
      <c r="GA2022"/>
      <c r="GB2022"/>
      <c r="GC2022"/>
      <c r="GD2022"/>
      <c r="GE2022"/>
      <c r="GF2022"/>
      <c r="GG2022"/>
      <c r="GH2022"/>
      <c r="GI2022"/>
      <c r="GJ2022"/>
      <c r="GK2022"/>
      <c r="GL2022"/>
      <c r="GM2022"/>
      <c r="GN2022"/>
      <c r="GO2022"/>
    </row>
    <row r="2023" spans="107:197">
      <c r="DC2023"/>
      <c r="FH2023"/>
      <c r="FI2023"/>
      <c r="FJ2023"/>
      <c r="FK2023"/>
      <c r="FL2023"/>
      <c r="FM2023"/>
      <c r="FN2023"/>
      <c r="FO2023"/>
      <c r="FP2023"/>
      <c r="FQ2023"/>
      <c r="FR2023"/>
      <c r="FS2023"/>
      <c r="FT2023"/>
      <c r="FU2023"/>
      <c r="FV2023"/>
      <c r="FW2023"/>
      <c r="FX2023"/>
      <c r="FY2023"/>
      <c r="FZ2023"/>
      <c r="GA2023"/>
      <c r="GB2023"/>
      <c r="GC2023"/>
      <c r="GD2023"/>
      <c r="GE2023"/>
      <c r="GF2023"/>
      <c r="GG2023"/>
      <c r="GH2023"/>
      <c r="GI2023"/>
      <c r="GJ2023"/>
      <c r="GK2023"/>
      <c r="GL2023"/>
      <c r="GM2023"/>
      <c r="GN2023"/>
      <c r="GO2023"/>
    </row>
    <row r="2024" spans="107:197">
      <c r="DC2024"/>
      <c r="FH2024"/>
      <c r="FI2024"/>
      <c r="FJ2024"/>
      <c r="FK2024"/>
      <c r="FL2024"/>
      <c r="FM2024"/>
      <c r="FN2024"/>
      <c r="FO2024"/>
      <c r="FP2024"/>
      <c r="FQ2024"/>
      <c r="FR2024"/>
      <c r="FS2024"/>
      <c r="FT2024"/>
      <c r="FU2024"/>
      <c r="FV2024"/>
      <c r="FW2024"/>
      <c r="FX2024"/>
      <c r="FY2024"/>
      <c r="FZ2024"/>
      <c r="GA2024"/>
      <c r="GB2024"/>
      <c r="GC2024"/>
      <c r="GD2024"/>
      <c r="GE2024"/>
      <c r="GF2024"/>
      <c r="GG2024"/>
      <c r="GH2024"/>
      <c r="GI2024"/>
      <c r="GJ2024"/>
      <c r="GK2024"/>
      <c r="GL2024"/>
      <c r="GM2024"/>
      <c r="GN2024"/>
      <c r="GO2024"/>
    </row>
    <row r="2025" spans="107:197">
      <c r="DC2025"/>
      <c r="FH2025"/>
      <c r="FI2025"/>
      <c r="FJ2025"/>
      <c r="FK2025"/>
      <c r="FL2025"/>
      <c r="FM2025"/>
      <c r="FN2025"/>
      <c r="FO2025"/>
      <c r="FP2025"/>
      <c r="FQ2025"/>
      <c r="FR2025"/>
      <c r="FS2025"/>
      <c r="FT2025"/>
      <c r="FU2025"/>
      <c r="FV2025"/>
      <c r="FW2025"/>
      <c r="FX2025"/>
      <c r="FY2025"/>
      <c r="FZ2025"/>
      <c r="GA2025"/>
      <c r="GB2025"/>
      <c r="GC2025"/>
      <c r="GD2025"/>
      <c r="GE2025"/>
      <c r="GF2025"/>
      <c r="GG2025"/>
      <c r="GH2025"/>
      <c r="GI2025"/>
      <c r="GJ2025"/>
      <c r="GK2025"/>
      <c r="GL2025"/>
      <c r="GM2025"/>
      <c r="GN2025"/>
      <c r="GO2025"/>
    </row>
    <row r="2026" spans="107:197">
      <c r="DC2026"/>
      <c r="FH2026"/>
      <c r="FI2026"/>
      <c r="FJ2026"/>
      <c r="FK2026"/>
      <c r="FL2026"/>
      <c r="FM2026"/>
      <c r="FN2026"/>
      <c r="FO2026"/>
      <c r="FP2026"/>
      <c r="FQ2026"/>
      <c r="FR2026"/>
      <c r="FS2026"/>
      <c r="FT2026"/>
      <c r="FU2026"/>
      <c r="FV2026"/>
      <c r="FW2026"/>
      <c r="FX2026"/>
      <c r="FY2026"/>
      <c r="FZ2026"/>
      <c r="GA2026"/>
      <c r="GB2026"/>
      <c r="GC2026"/>
      <c r="GD2026"/>
      <c r="GE2026"/>
      <c r="GF2026"/>
      <c r="GG2026"/>
      <c r="GH2026"/>
      <c r="GI2026"/>
      <c r="GJ2026"/>
      <c r="GK2026"/>
      <c r="GL2026"/>
      <c r="GM2026"/>
      <c r="GN2026"/>
      <c r="GO2026"/>
    </row>
    <row r="2027" spans="107:197">
      <c r="DC2027"/>
      <c r="FH2027"/>
      <c r="FI2027"/>
      <c r="FJ2027"/>
      <c r="FK2027"/>
      <c r="FL2027"/>
      <c r="FM2027"/>
      <c r="FN2027"/>
      <c r="FO2027"/>
      <c r="FP2027"/>
      <c r="FQ2027"/>
      <c r="FR2027"/>
      <c r="FS2027"/>
      <c r="FT2027"/>
      <c r="FU2027"/>
      <c r="FV2027"/>
      <c r="FW2027"/>
      <c r="FX2027"/>
      <c r="FY2027"/>
      <c r="FZ2027"/>
      <c r="GA2027"/>
      <c r="GB2027"/>
      <c r="GC2027"/>
      <c r="GD2027"/>
      <c r="GE2027"/>
      <c r="GF2027"/>
      <c r="GG2027"/>
      <c r="GH2027"/>
      <c r="GI2027"/>
      <c r="GJ2027"/>
      <c r="GK2027"/>
      <c r="GL2027"/>
      <c r="GM2027"/>
      <c r="GN2027"/>
      <c r="GO2027"/>
    </row>
    <row r="2028" spans="107:197">
      <c r="DC2028"/>
      <c r="FH2028"/>
      <c r="FI2028"/>
      <c r="FJ2028"/>
      <c r="FK2028"/>
      <c r="FL2028"/>
      <c r="FM2028"/>
      <c r="FN2028"/>
      <c r="FO2028"/>
      <c r="FP2028"/>
      <c r="FQ2028"/>
      <c r="FR2028"/>
      <c r="FS2028"/>
      <c r="FT2028"/>
      <c r="FU2028"/>
      <c r="FV2028"/>
      <c r="FW2028"/>
      <c r="FX2028"/>
      <c r="FY2028"/>
      <c r="FZ2028"/>
      <c r="GA2028"/>
      <c r="GB2028"/>
      <c r="GC2028"/>
      <c r="GD2028"/>
      <c r="GE2028"/>
      <c r="GF2028"/>
      <c r="GG2028"/>
      <c r="GH2028"/>
      <c r="GI2028"/>
      <c r="GJ2028"/>
      <c r="GK2028"/>
      <c r="GL2028"/>
      <c r="GM2028"/>
      <c r="GN2028"/>
      <c r="GO2028"/>
    </row>
    <row r="2029" spans="107:197">
      <c r="DC2029"/>
      <c r="FH2029"/>
      <c r="FI2029"/>
      <c r="FJ2029"/>
      <c r="FK2029"/>
      <c r="FL2029"/>
      <c r="FM2029"/>
      <c r="FN2029"/>
      <c r="FO2029"/>
      <c r="FP2029"/>
      <c r="FQ2029"/>
      <c r="FR2029"/>
      <c r="FS2029"/>
      <c r="FT2029"/>
      <c r="FU2029"/>
      <c r="FV2029"/>
      <c r="FW2029"/>
      <c r="FX2029"/>
      <c r="FY2029"/>
      <c r="FZ2029"/>
      <c r="GA2029"/>
      <c r="GB2029"/>
      <c r="GC2029"/>
      <c r="GD2029"/>
      <c r="GE2029"/>
      <c r="GF2029"/>
      <c r="GG2029"/>
      <c r="GH2029"/>
      <c r="GI2029"/>
      <c r="GJ2029"/>
      <c r="GK2029"/>
      <c r="GL2029"/>
      <c r="GM2029"/>
      <c r="GN2029"/>
      <c r="GO2029"/>
    </row>
    <row r="2030" spans="107:197">
      <c r="DC2030"/>
      <c r="FH2030"/>
      <c r="FI2030"/>
      <c r="FJ2030"/>
      <c r="FK2030"/>
      <c r="FL2030"/>
      <c r="FM2030"/>
      <c r="FN2030"/>
      <c r="FO2030"/>
      <c r="FP2030"/>
      <c r="FQ2030"/>
      <c r="FR2030"/>
      <c r="FS2030"/>
      <c r="FT2030"/>
      <c r="FU2030"/>
      <c r="FV2030"/>
      <c r="FW2030"/>
      <c r="FX2030"/>
      <c r="FY2030"/>
      <c r="FZ2030"/>
      <c r="GA2030"/>
      <c r="GB2030"/>
      <c r="GC2030"/>
      <c r="GD2030"/>
      <c r="GE2030"/>
      <c r="GF2030"/>
      <c r="GG2030"/>
      <c r="GH2030"/>
      <c r="GI2030"/>
      <c r="GJ2030"/>
      <c r="GK2030"/>
      <c r="GL2030"/>
      <c r="GM2030"/>
      <c r="GN2030"/>
      <c r="GO2030"/>
    </row>
    <row r="2031" spans="107:197">
      <c r="DC2031"/>
      <c r="FH2031"/>
      <c r="FI2031"/>
      <c r="FJ2031"/>
      <c r="FK2031"/>
      <c r="FL2031"/>
      <c r="FM2031"/>
      <c r="FN2031"/>
      <c r="FO2031"/>
      <c r="FP2031"/>
      <c r="FQ2031"/>
      <c r="FR2031"/>
      <c r="FS2031"/>
      <c r="FT2031"/>
      <c r="FU2031"/>
      <c r="FV2031"/>
      <c r="FW2031"/>
      <c r="FX2031"/>
      <c r="FY2031"/>
      <c r="FZ2031"/>
      <c r="GA2031"/>
      <c r="GB2031"/>
      <c r="GC2031"/>
      <c r="GD2031"/>
      <c r="GE2031"/>
      <c r="GF2031"/>
      <c r="GG2031"/>
      <c r="GH2031"/>
      <c r="GI2031"/>
      <c r="GJ2031"/>
      <c r="GK2031"/>
      <c r="GL2031"/>
      <c r="GM2031"/>
      <c r="GN2031"/>
      <c r="GO2031"/>
    </row>
    <row r="2032" spans="107:197">
      <c r="DC2032"/>
      <c r="FH2032"/>
      <c r="FI2032"/>
      <c r="FJ2032"/>
      <c r="FK2032"/>
      <c r="FL2032"/>
      <c r="FM2032"/>
      <c r="FN2032"/>
      <c r="FO2032"/>
      <c r="FP2032"/>
      <c r="FQ2032"/>
      <c r="FR2032"/>
      <c r="FS2032"/>
      <c r="FT2032"/>
      <c r="FU2032"/>
      <c r="FV2032"/>
      <c r="FW2032"/>
      <c r="FX2032"/>
      <c r="FY2032"/>
      <c r="FZ2032"/>
      <c r="GA2032"/>
      <c r="GB2032"/>
      <c r="GC2032"/>
      <c r="GD2032"/>
      <c r="GE2032"/>
      <c r="GF2032"/>
      <c r="GG2032"/>
      <c r="GH2032"/>
      <c r="GI2032"/>
      <c r="GJ2032"/>
      <c r="GK2032"/>
      <c r="GL2032"/>
      <c r="GM2032"/>
      <c r="GN2032"/>
      <c r="GO2032"/>
    </row>
    <row r="2033" spans="107:197">
      <c r="DC2033"/>
      <c r="FH2033"/>
      <c r="FI2033"/>
      <c r="FJ2033"/>
      <c r="FK2033"/>
      <c r="FL2033"/>
      <c r="FM2033"/>
      <c r="FN2033"/>
      <c r="FO2033"/>
      <c r="FP2033"/>
      <c r="FQ2033"/>
      <c r="FR2033"/>
      <c r="FS2033"/>
      <c r="FT2033"/>
      <c r="FU2033"/>
      <c r="FV2033"/>
      <c r="FW2033"/>
      <c r="FX2033"/>
      <c r="FY2033"/>
      <c r="FZ2033"/>
      <c r="GA2033"/>
      <c r="GB2033"/>
      <c r="GC2033"/>
      <c r="GD2033"/>
      <c r="GE2033"/>
      <c r="GF2033"/>
      <c r="GG2033"/>
      <c r="GH2033"/>
      <c r="GI2033"/>
      <c r="GJ2033"/>
      <c r="GK2033"/>
      <c r="GL2033"/>
      <c r="GM2033"/>
      <c r="GN2033"/>
      <c r="GO2033"/>
    </row>
    <row r="2034" spans="107:197">
      <c r="DC2034"/>
      <c r="FH2034"/>
      <c r="FI2034"/>
      <c r="FJ2034"/>
      <c r="FK2034"/>
      <c r="FL2034"/>
      <c r="FM2034"/>
      <c r="FN2034"/>
      <c r="FO2034"/>
      <c r="FP2034"/>
      <c r="FQ2034"/>
      <c r="FR2034"/>
      <c r="FS2034"/>
      <c r="FT2034"/>
      <c r="FU2034"/>
      <c r="FV2034"/>
      <c r="FW2034"/>
      <c r="FX2034"/>
      <c r="FY2034"/>
      <c r="FZ2034"/>
      <c r="GA2034"/>
      <c r="GB2034"/>
      <c r="GC2034"/>
      <c r="GD2034"/>
      <c r="GE2034"/>
      <c r="GF2034"/>
      <c r="GG2034"/>
      <c r="GH2034"/>
      <c r="GI2034"/>
      <c r="GJ2034"/>
      <c r="GK2034"/>
      <c r="GL2034"/>
      <c r="GM2034"/>
      <c r="GN2034"/>
      <c r="GO2034"/>
    </row>
    <row r="2035" spans="107:197">
      <c r="DC2035"/>
      <c r="FH2035"/>
      <c r="FI2035"/>
      <c r="FJ2035"/>
      <c r="FK2035"/>
      <c r="FL2035"/>
      <c r="FM2035"/>
      <c r="FN2035"/>
      <c r="FO2035"/>
      <c r="FP2035"/>
      <c r="FQ2035"/>
      <c r="FR2035"/>
      <c r="FS2035"/>
      <c r="FT2035"/>
      <c r="FU2035"/>
      <c r="FV2035"/>
      <c r="FW2035"/>
      <c r="FX2035"/>
      <c r="FY2035"/>
      <c r="FZ2035"/>
      <c r="GA2035"/>
      <c r="GB2035"/>
      <c r="GC2035"/>
      <c r="GD2035"/>
      <c r="GE2035"/>
      <c r="GF2035"/>
      <c r="GG2035"/>
      <c r="GH2035"/>
      <c r="GI2035"/>
      <c r="GJ2035"/>
      <c r="GK2035"/>
      <c r="GL2035"/>
      <c r="GM2035"/>
      <c r="GN2035"/>
      <c r="GO2035"/>
    </row>
    <row r="2036" spans="107:197">
      <c r="DC2036"/>
      <c r="FH2036"/>
      <c r="FI2036"/>
      <c r="FJ2036"/>
      <c r="FK2036"/>
      <c r="FL2036"/>
      <c r="FM2036"/>
      <c r="FN2036"/>
      <c r="FO2036"/>
      <c r="FP2036"/>
      <c r="FQ2036"/>
      <c r="FR2036"/>
      <c r="FS2036"/>
      <c r="FT2036"/>
      <c r="FU2036"/>
      <c r="FV2036"/>
      <c r="FW2036"/>
      <c r="FX2036"/>
      <c r="FY2036"/>
      <c r="FZ2036"/>
      <c r="GA2036"/>
      <c r="GB2036"/>
      <c r="GC2036"/>
      <c r="GD2036"/>
      <c r="GE2036"/>
      <c r="GF2036"/>
      <c r="GG2036"/>
      <c r="GH2036"/>
      <c r="GI2036"/>
      <c r="GJ2036"/>
      <c r="GK2036"/>
      <c r="GL2036"/>
      <c r="GM2036"/>
      <c r="GN2036"/>
      <c r="GO2036"/>
    </row>
    <row r="2037" spans="107:197">
      <c r="DC2037"/>
      <c r="FH2037"/>
      <c r="FI2037"/>
      <c r="FJ2037"/>
      <c r="FK2037"/>
      <c r="FL2037"/>
      <c r="FM2037"/>
      <c r="FN2037"/>
      <c r="FO2037"/>
      <c r="FP2037"/>
      <c r="FQ2037"/>
      <c r="FR2037"/>
      <c r="FS2037"/>
      <c r="FT2037"/>
      <c r="FU2037"/>
      <c r="FV2037"/>
      <c r="FW2037"/>
      <c r="FX2037"/>
      <c r="FY2037"/>
      <c r="FZ2037"/>
      <c r="GA2037"/>
      <c r="GB2037"/>
      <c r="GC2037"/>
      <c r="GD2037"/>
      <c r="GE2037"/>
      <c r="GF2037"/>
      <c r="GG2037"/>
      <c r="GH2037"/>
      <c r="GI2037"/>
      <c r="GJ2037"/>
      <c r="GK2037"/>
      <c r="GL2037"/>
      <c r="GM2037"/>
      <c r="GN2037"/>
      <c r="GO2037"/>
    </row>
    <row r="2038" spans="107:197">
      <c r="DC2038"/>
      <c r="FH2038"/>
      <c r="FI2038"/>
      <c r="FJ2038"/>
      <c r="FK2038"/>
      <c r="FL2038"/>
      <c r="FM2038"/>
      <c r="FN2038"/>
      <c r="FO2038"/>
      <c r="FP2038"/>
      <c r="FQ2038"/>
      <c r="FR2038"/>
      <c r="FS2038"/>
      <c r="FT2038"/>
      <c r="FU2038"/>
      <c r="FV2038"/>
      <c r="FW2038"/>
      <c r="FX2038"/>
      <c r="FY2038"/>
      <c r="FZ2038"/>
      <c r="GA2038"/>
      <c r="GB2038"/>
      <c r="GC2038"/>
      <c r="GD2038"/>
      <c r="GE2038"/>
      <c r="GF2038"/>
      <c r="GG2038"/>
      <c r="GH2038"/>
      <c r="GI2038"/>
      <c r="GJ2038"/>
      <c r="GK2038"/>
      <c r="GL2038"/>
      <c r="GM2038"/>
      <c r="GN2038"/>
      <c r="GO2038"/>
    </row>
    <row r="2039" spans="107:197">
      <c r="DC2039"/>
      <c r="FH2039"/>
      <c r="FI2039"/>
      <c r="FJ2039"/>
      <c r="FK2039"/>
      <c r="FL2039"/>
      <c r="FM2039"/>
      <c r="FN2039"/>
      <c r="FO2039"/>
      <c r="FP2039"/>
      <c r="FQ2039"/>
      <c r="FR2039"/>
      <c r="FS2039"/>
      <c r="FT2039"/>
      <c r="FU2039"/>
      <c r="FV2039"/>
      <c r="FW2039"/>
      <c r="FX2039"/>
      <c r="FY2039"/>
      <c r="FZ2039"/>
      <c r="GA2039"/>
      <c r="GB2039"/>
      <c r="GC2039"/>
      <c r="GD2039"/>
      <c r="GE2039"/>
      <c r="GF2039"/>
      <c r="GG2039"/>
      <c r="GH2039"/>
      <c r="GI2039"/>
      <c r="GJ2039"/>
      <c r="GK2039"/>
      <c r="GL2039"/>
      <c r="GM2039"/>
      <c r="GN2039"/>
      <c r="GO2039"/>
    </row>
    <row r="2040" spans="107:197">
      <c r="DC2040"/>
      <c r="FH2040"/>
      <c r="FI2040"/>
      <c r="FJ2040"/>
      <c r="FK2040"/>
      <c r="FL2040"/>
      <c r="FM2040"/>
      <c r="FN2040"/>
      <c r="FO2040"/>
      <c r="FP2040"/>
      <c r="FQ2040"/>
      <c r="FR2040"/>
      <c r="FS2040"/>
      <c r="FT2040"/>
      <c r="FU2040"/>
      <c r="FV2040"/>
      <c r="FW2040"/>
      <c r="FX2040"/>
      <c r="FY2040"/>
      <c r="FZ2040"/>
      <c r="GA2040"/>
      <c r="GB2040"/>
      <c r="GC2040"/>
      <c r="GD2040"/>
      <c r="GE2040"/>
      <c r="GF2040"/>
      <c r="GG2040"/>
      <c r="GH2040"/>
      <c r="GI2040"/>
      <c r="GJ2040"/>
      <c r="GK2040"/>
      <c r="GL2040"/>
      <c r="GM2040"/>
      <c r="GN2040"/>
      <c r="GO2040"/>
    </row>
    <row r="2041" spans="107:197">
      <c r="DC2041"/>
      <c r="FH2041"/>
      <c r="FI2041"/>
      <c r="FJ2041"/>
      <c r="FK2041"/>
      <c r="FL2041"/>
      <c r="FM2041"/>
      <c r="FN2041"/>
      <c r="FO2041"/>
      <c r="FP2041"/>
      <c r="FQ2041"/>
      <c r="FR2041"/>
      <c r="FS2041"/>
      <c r="FT2041"/>
      <c r="FU2041"/>
      <c r="FV2041"/>
      <c r="FW2041"/>
      <c r="FX2041"/>
      <c r="FY2041"/>
      <c r="FZ2041"/>
      <c r="GA2041"/>
      <c r="GB2041"/>
      <c r="GC2041"/>
      <c r="GD2041"/>
      <c r="GE2041"/>
      <c r="GF2041"/>
      <c r="GG2041"/>
      <c r="GH2041"/>
      <c r="GI2041"/>
      <c r="GJ2041"/>
      <c r="GK2041"/>
      <c r="GL2041"/>
      <c r="GM2041"/>
      <c r="GN2041"/>
      <c r="GO2041"/>
    </row>
    <row r="2042" spans="107:197">
      <c r="DC2042"/>
      <c r="FH2042"/>
      <c r="FI2042"/>
      <c r="FJ2042"/>
      <c r="FK2042"/>
      <c r="FL2042"/>
      <c r="FM2042"/>
      <c r="FN2042"/>
      <c r="FO2042"/>
      <c r="FP2042"/>
      <c r="FQ2042"/>
      <c r="FR2042"/>
      <c r="FS2042"/>
      <c r="FT2042"/>
      <c r="FU2042"/>
      <c r="FV2042"/>
      <c r="FW2042"/>
      <c r="FX2042"/>
      <c r="FY2042"/>
      <c r="FZ2042"/>
      <c r="GA2042"/>
      <c r="GB2042"/>
      <c r="GC2042"/>
      <c r="GD2042"/>
      <c r="GE2042"/>
      <c r="GF2042"/>
      <c r="GG2042"/>
      <c r="GH2042"/>
      <c r="GI2042"/>
      <c r="GJ2042"/>
      <c r="GK2042"/>
      <c r="GL2042"/>
      <c r="GM2042"/>
      <c r="GN2042"/>
      <c r="GO2042"/>
    </row>
    <row r="2043" spans="107:197">
      <c r="DC2043"/>
      <c r="FH2043"/>
      <c r="FI2043"/>
      <c r="FJ2043"/>
      <c r="FK2043"/>
      <c r="FL2043"/>
      <c r="FM2043"/>
      <c r="FN2043"/>
      <c r="FO2043"/>
      <c r="FP2043"/>
      <c r="FQ2043"/>
      <c r="FR2043"/>
      <c r="FS2043"/>
      <c r="FT2043"/>
      <c r="FU2043"/>
      <c r="FV2043"/>
      <c r="FW2043"/>
      <c r="FX2043"/>
      <c r="FY2043"/>
      <c r="FZ2043"/>
      <c r="GA2043"/>
      <c r="GB2043"/>
      <c r="GC2043"/>
      <c r="GD2043"/>
      <c r="GE2043"/>
      <c r="GF2043"/>
      <c r="GG2043"/>
      <c r="GH2043"/>
      <c r="GI2043"/>
      <c r="GJ2043"/>
      <c r="GK2043"/>
      <c r="GL2043"/>
      <c r="GM2043"/>
      <c r="GN2043"/>
      <c r="GO2043"/>
    </row>
    <row r="2044" spans="107:197">
      <c r="DC2044"/>
      <c r="FH2044"/>
      <c r="FI2044"/>
      <c r="FJ2044"/>
      <c r="FK2044"/>
      <c r="FL2044"/>
      <c r="FM2044"/>
      <c r="FN2044"/>
      <c r="FO2044"/>
      <c r="FP2044"/>
      <c r="FQ2044"/>
      <c r="FR2044"/>
      <c r="FS2044"/>
      <c r="FT2044"/>
      <c r="FU2044"/>
      <c r="FV2044"/>
      <c r="FW2044"/>
      <c r="FX2044"/>
      <c r="FY2044"/>
      <c r="FZ2044"/>
      <c r="GA2044"/>
      <c r="GB2044"/>
      <c r="GC2044"/>
      <c r="GD2044"/>
      <c r="GE2044"/>
      <c r="GF2044"/>
      <c r="GG2044"/>
      <c r="GH2044"/>
      <c r="GI2044"/>
      <c r="GJ2044"/>
      <c r="GK2044"/>
      <c r="GL2044"/>
      <c r="GM2044"/>
      <c r="GN2044"/>
      <c r="GO2044"/>
    </row>
    <row r="2045" spans="107:197">
      <c r="DC2045"/>
      <c r="FH2045"/>
      <c r="FI2045"/>
      <c r="FJ2045"/>
      <c r="FK2045"/>
      <c r="FL2045"/>
      <c r="FM2045"/>
      <c r="FN2045"/>
      <c r="FO2045"/>
      <c r="FP2045"/>
      <c r="FQ2045"/>
      <c r="FR2045"/>
      <c r="FS2045"/>
      <c r="FT2045"/>
      <c r="FU2045"/>
      <c r="FV2045"/>
      <c r="FW2045"/>
      <c r="FX2045"/>
      <c r="FY2045"/>
      <c r="FZ2045"/>
      <c r="GA2045"/>
      <c r="GB2045"/>
      <c r="GC2045"/>
      <c r="GD2045"/>
      <c r="GE2045"/>
      <c r="GF2045"/>
      <c r="GG2045"/>
      <c r="GH2045"/>
      <c r="GI2045"/>
      <c r="GJ2045"/>
      <c r="GK2045"/>
      <c r="GL2045"/>
      <c r="GM2045"/>
      <c r="GN2045"/>
      <c r="GO2045"/>
    </row>
    <row r="2046" spans="107:197">
      <c r="DC2046"/>
      <c r="FH2046"/>
      <c r="FI2046"/>
      <c r="FJ2046"/>
      <c r="FK2046"/>
      <c r="FL2046"/>
      <c r="FM2046"/>
      <c r="FN2046"/>
      <c r="FO2046"/>
      <c r="FP2046"/>
      <c r="FQ2046"/>
      <c r="FR2046"/>
      <c r="FS2046"/>
      <c r="FT2046"/>
      <c r="FU2046"/>
      <c r="FV2046"/>
      <c r="FW2046"/>
      <c r="FX2046"/>
      <c r="FY2046"/>
      <c r="FZ2046"/>
      <c r="GA2046"/>
      <c r="GB2046"/>
      <c r="GC2046"/>
      <c r="GD2046"/>
      <c r="GE2046"/>
      <c r="GF2046"/>
      <c r="GG2046"/>
      <c r="GH2046"/>
      <c r="GI2046"/>
      <c r="GJ2046"/>
      <c r="GK2046"/>
      <c r="GL2046"/>
      <c r="GM2046"/>
      <c r="GN2046"/>
      <c r="GO2046"/>
    </row>
    <row r="2047" spans="107:197">
      <c r="DC2047"/>
      <c r="FH2047"/>
      <c r="FI2047"/>
      <c r="FJ2047"/>
      <c r="FK2047"/>
      <c r="FL2047"/>
      <c r="FM2047"/>
      <c r="FN2047"/>
      <c r="FO2047"/>
      <c r="FP2047"/>
      <c r="FQ2047"/>
      <c r="FR2047"/>
      <c r="FS2047"/>
      <c r="FT2047"/>
      <c r="FU2047"/>
      <c r="FV2047"/>
      <c r="FW2047"/>
      <c r="FX2047"/>
      <c r="FY2047"/>
      <c r="FZ2047"/>
      <c r="GA2047"/>
      <c r="GB2047"/>
      <c r="GC2047"/>
      <c r="GD2047"/>
      <c r="GE2047"/>
      <c r="GF2047"/>
      <c r="GG2047"/>
      <c r="GH2047"/>
      <c r="GI2047"/>
      <c r="GJ2047"/>
      <c r="GK2047"/>
      <c r="GL2047"/>
      <c r="GM2047"/>
      <c r="GN2047"/>
      <c r="GO2047"/>
    </row>
    <row r="2048" spans="107:197">
      <c r="DC2048"/>
      <c r="FH2048"/>
      <c r="FI2048"/>
      <c r="FJ2048"/>
      <c r="FK2048"/>
      <c r="FL2048"/>
      <c r="FM2048"/>
      <c r="FN2048"/>
      <c r="FO2048"/>
      <c r="FP2048"/>
      <c r="FQ2048"/>
      <c r="FR2048"/>
      <c r="FS2048"/>
      <c r="FT2048"/>
      <c r="FU2048"/>
      <c r="FV2048"/>
      <c r="FW2048"/>
      <c r="FX2048"/>
      <c r="FY2048"/>
      <c r="FZ2048"/>
      <c r="GA2048"/>
      <c r="GB2048"/>
      <c r="GC2048"/>
      <c r="GD2048"/>
      <c r="GE2048"/>
      <c r="GF2048"/>
      <c r="GG2048"/>
      <c r="GH2048"/>
      <c r="GI2048"/>
      <c r="GJ2048"/>
      <c r="GK2048"/>
      <c r="GL2048"/>
      <c r="GM2048"/>
      <c r="GN2048"/>
      <c r="GO2048"/>
    </row>
    <row r="2049" spans="107:197">
      <c r="DC2049"/>
      <c r="FH2049"/>
      <c r="FI2049"/>
      <c r="FJ2049"/>
      <c r="FK2049"/>
      <c r="FL2049"/>
      <c r="FM2049"/>
      <c r="FN2049"/>
      <c r="FO2049"/>
      <c r="FP2049"/>
      <c r="FQ2049"/>
      <c r="FR2049"/>
      <c r="FS2049"/>
      <c r="FT2049"/>
      <c r="FU2049"/>
      <c r="FV2049"/>
      <c r="FW2049"/>
      <c r="FX2049"/>
      <c r="FY2049"/>
      <c r="FZ2049"/>
      <c r="GA2049"/>
      <c r="GB2049"/>
      <c r="GC2049"/>
      <c r="GD2049"/>
      <c r="GE2049"/>
      <c r="GF2049"/>
      <c r="GG2049"/>
      <c r="GH2049"/>
      <c r="GI2049"/>
      <c r="GJ2049"/>
      <c r="GK2049"/>
      <c r="GL2049"/>
      <c r="GM2049"/>
      <c r="GN2049"/>
      <c r="GO2049"/>
    </row>
    <row r="2050" spans="107:197">
      <c r="DC2050"/>
      <c r="FH2050"/>
      <c r="FI2050"/>
      <c r="FJ2050"/>
      <c r="FK2050"/>
      <c r="FL2050"/>
      <c r="FM2050"/>
      <c r="FN2050"/>
      <c r="FO2050"/>
      <c r="FP2050"/>
      <c r="FQ2050"/>
      <c r="FR2050"/>
      <c r="FS2050"/>
      <c r="FT2050"/>
      <c r="FU2050"/>
      <c r="FV2050"/>
      <c r="FW2050"/>
      <c r="FX2050"/>
      <c r="FY2050"/>
      <c r="FZ2050"/>
      <c r="GA2050"/>
      <c r="GB2050"/>
      <c r="GC2050"/>
      <c r="GD2050"/>
      <c r="GE2050"/>
      <c r="GF2050"/>
      <c r="GG2050"/>
      <c r="GH2050"/>
      <c r="GI2050"/>
      <c r="GJ2050"/>
      <c r="GK2050"/>
      <c r="GL2050"/>
      <c r="GM2050"/>
      <c r="GN2050"/>
      <c r="GO2050"/>
    </row>
    <row r="2051" spans="107:197">
      <c r="DC2051"/>
      <c r="FH2051"/>
      <c r="FI2051"/>
      <c r="FJ2051"/>
      <c r="FK2051"/>
      <c r="FL2051"/>
      <c r="FM2051"/>
      <c r="FN2051"/>
      <c r="FO2051"/>
      <c r="FP2051"/>
      <c r="FQ2051"/>
      <c r="FR2051"/>
      <c r="FS2051"/>
      <c r="FT2051"/>
      <c r="FU2051"/>
      <c r="FV2051"/>
      <c r="FW2051"/>
      <c r="FX2051"/>
      <c r="FY2051"/>
      <c r="FZ2051"/>
      <c r="GA2051"/>
      <c r="GB2051"/>
      <c r="GC2051"/>
      <c r="GD2051"/>
      <c r="GE2051"/>
      <c r="GF2051"/>
      <c r="GG2051"/>
      <c r="GH2051"/>
      <c r="GI2051"/>
      <c r="GJ2051"/>
      <c r="GK2051"/>
      <c r="GL2051"/>
      <c r="GM2051"/>
      <c r="GN2051"/>
      <c r="GO2051"/>
    </row>
    <row r="2052" spans="107:197">
      <c r="DC2052"/>
      <c r="FH2052"/>
      <c r="FI2052"/>
      <c r="FJ2052"/>
      <c r="FK2052"/>
      <c r="FL2052"/>
      <c r="FM2052"/>
      <c r="FN2052"/>
      <c r="FO2052"/>
      <c r="FP2052"/>
      <c r="FQ2052"/>
      <c r="FR2052"/>
      <c r="FS2052"/>
      <c r="FT2052"/>
      <c r="FU2052"/>
      <c r="FV2052"/>
      <c r="FW2052"/>
      <c r="FX2052"/>
      <c r="FY2052"/>
      <c r="FZ2052"/>
      <c r="GA2052"/>
      <c r="GB2052"/>
      <c r="GC2052"/>
      <c r="GD2052"/>
      <c r="GE2052"/>
      <c r="GF2052"/>
      <c r="GG2052"/>
      <c r="GH2052"/>
      <c r="GI2052"/>
      <c r="GJ2052"/>
      <c r="GK2052"/>
      <c r="GL2052"/>
      <c r="GM2052"/>
      <c r="GN2052"/>
      <c r="GO2052"/>
    </row>
    <row r="2053" spans="107:197">
      <c r="DC2053"/>
      <c r="FH2053"/>
      <c r="FI2053"/>
      <c r="FJ2053"/>
      <c r="FK2053"/>
      <c r="FL2053"/>
      <c r="FM2053"/>
      <c r="FN2053"/>
      <c r="FO2053"/>
      <c r="FP2053"/>
      <c r="FQ2053"/>
      <c r="FR2053"/>
      <c r="FS2053"/>
      <c r="FT2053"/>
      <c r="FU2053"/>
      <c r="FV2053"/>
      <c r="FW2053"/>
      <c r="FX2053"/>
      <c r="FY2053"/>
      <c r="FZ2053"/>
      <c r="GA2053"/>
      <c r="GB2053"/>
      <c r="GC2053"/>
      <c r="GD2053"/>
      <c r="GE2053"/>
      <c r="GF2053"/>
      <c r="GG2053"/>
      <c r="GH2053"/>
      <c r="GI2053"/>
      <c r="GJ2053"/>
      <c r="GK2053"/>
      <c r="GL2053"/>
      <c r="GM2053"/>
      <c r="GN2053"/>
      <c r="GO2053"/>
    </row>
    <row r="2054" spans="107:197">
      <c r="DC2054"/>
      <c r="FH2054"/>
      <c r="FI2054"/>
      <c r="FJ2054"/>
      <c r="FK2054"/>
      <c r="FL2054"/>
      <c r="FM2054"/>
      <c r="FN2054"/>
      <c r="FO2054"/>
      <c r="FP2054"/>
      <c r="FQ2054"/>
      <c r="FR2054"/>
      <c r="FS2054"/>
      <c r="FT2054"/>
      <c r="FU2054"/>
      <c r="FV2054"/>
      <c r="FW2054"/>
      <c r="FX2054"/>
      <c r="FY2054"/>
      <c r="FZ2054"/>
      <c r="GA2054"/>
      <c r="GB2054"/>
      <c r="GC2054"/>
      <c r="GD2054"/>
      <c r="GE2054"/>
      <c r="GF2054"/>
      <c r="GG2054"/>
      <c r="GH2054"/>
      <c r="GI2054"/>
      <c r="GJ2054"/>
      <c r="GK2054"/>
      <c r="GL2054"/>
      <c r="GM2054"/>
      <c r="GN2054"/>
      <c r="GO2054"/>
    </row>
    <row r="2055" spans="107:197">
      <c r="DC2055"/>
      <c r="FH2055"/>
      <c r="FI2055"/>
      <c r="FJ2055"/>
      <c r="FK2055"/>
      <c r="FL2055"/>
      <c r="FM2055"/>
      <c r="FN2055"/>
      <c r="FO2055"/>
      <c r="FP2055"/>
      <c r="FQ2055"/>
      <c r="FR2055"/>
      <c r="FS2055"/>
      <c r="FT2055"/>
      <c r="FU2055"/>
      <c r="FV2055"/>
      <c r="FW2055"/>
      <c r="FX2055"/>
      <c r="FY2055"/>
      <c r="FZ2055"/>
      <c r="GA2055"/>
      <c r="GB2055"/>
      <c r="GC2055"/>
      <c r="GD2055"/>
      <c r="GE2055"/>
      <c r="GF2055"/>
      <c r="GG2055"/>
      <c r="GH2055"/>
      <c r="GI2055"/>
      <c r="GJ2055"/>
      <c r="GK2055"/>
      <c r="GL2055"/>
      <c r="GM2055"/>
      <c r="GN2055"/>
      <c r="GO2055"/>
    </row>
    <row r="2056" spans="107:197">
      <c r="DC2056"/>
      <c r="FH2056"/>
      <c r="FI2056"/>
      <c r="FJ2056"/>
      <c r="FK2056"/>
      <c r="FL2056"/>
      <c r="FM2056"/>
      <c r="FN2056"/>
      <c r="FO2056"/>
      <c r="FP2056"/>
      <c r="FQ2056"/>
      <c r="FR2056"/>
      <c r="FS2056"/>
      <c r="FT2056"/>
      <c r="FU2056"/>
      <c r="FV2056"/>
      <c r="FW2056"/>
      <c r="FX2056"/>
      <c r="FY2056"/>
      <c r="FZ2056"/>
      <c r="GA2056"/>
      <c r="GB2056"/>
      <c r="GC2056"/>
      <c r="GD2056"/>
      <c r="GE2056"/>
      <c r="GF2056"/>
      <c r="GG2056"/>
      <c r="GH2056"/>
      <c r="GI2056"/>
      <c r="GJ2056"/>
      <c r="GK2056"/>
      <c r="GL2056"/>
      <c r="GM2056"/>
      <c r="GN2056"/>
      <c r="GO2056"/>
    </row>
    <row r="2057" spans="107:197">
      <c r="DC2057"/>
      <c r="FH2057"/>
      <c r="FI2057"/>
      <c r="FJ2057"/>
      <c r="FK2057"/>
      <c r="FL2057"/>
      <c r="FM2057"/>
      <c r="FN2057"/>
      <c r="FO2057"/>
      <c r="FP2057"/>
      <c r="FQ2057"/>
      <c r="FR2057"/>
      <c r="FS2057"/>
      <c r="FT2057"/>
      <c r="FU2057"/>
      <c r="FV2057"/>
      <c r="FW2057"/>
      <c r="FX2057"/>
      <c r="FY2057"/>
      <c r="FZ2057"/>
      <c r="GA2057"/>
      <c r="GB2057"/>
      <c r="GC2057"/>
      <c r="GD2057"/>
      <c r="GE2057"/>
      <c r="GF2057"/>
      <c r="GG2057"/>
      <c r="GH2057"/>
      <c r="GI2057"/>
      <c r="GJ2057"/>
      <c r="GK2057"/>
      <c r="GL2057"/>
      <c r="GM2057"/>
      <c r="GN2057"/>
      <c r="GO2057"/>
    </row>
    <row r="2058" spans="107:197">
      <c r="DC2058"/>
      <c r="FH2058"/>
      <c r="FI2058"/>
      <c r="FJ2058"/>
      <c r="FK2058"/>
      <c r="FL2058"/>
      <c r="FM2058"/>
      <c r="FN2058"/>
      <c r="FO2058"/>
      <c r="FP2058"/>
      <c r="FQ2058"/>
      <c r="FR2058"/>
      <c r="FS2058"/>
      <c r="FT2058"/>
      <c r="FU2058"/>
      <c r="FV2058"/>
      <c r="FW2058"/>
      <c r="FX2058"/>
      <c r="FY2058"/>
      <c r="FZ2058"/>
      <c r="GA2058"/>
      <c r="GB2058"/>
      <c r="GC2058"/>
      <c r="GD2058"/>
      <c r="GE2058"/>
      <c r="GF2058"/>
      <c r="GG2058"/>
      <c r="GH2058"/>
      <c r="GI2058"/>
      <c r="GJ2058"/>
      <c r="GK2058"/>
      <c r="GL2058"/>
      <c r="GM2058"/>
      <c r="GN2058"/>
      <c r="GO2058"/>
    </row>
    <row r="2059" spans="107:197">
      <c r="DC2059"/>
      <c r="FH2059"/>
      <c r="FI2059"/>
      <c r="FJ2059"/>
      <c r="FK2059"/>
      <c r="FL2059"/>
      <c r="FM2059"/>
      <c r="FN2059"/>
      <c r="FO2059"/>
      <c r="FP2059"/>
      <c r="FQ2059"/>
      <c r="FR2059"/>
      <c r="FS2059"/>
      <c r="FT2059"/>
      <c r="FU2059"/>
      <c r="FV2059"/>
      <c r="FW2059"/>
      <c r="FX2059"/>
      <c r="FY2059"/>
      <c r="FZ2059"/>
      <c r="GA2059"/>
      <c r="GB2059"/>
      <c r="GC2059"/>
      <c r="GD2059"/>
      <c r="GE2059"/>
      <c r="GF2059"/>
      <c r="GG2059"/>
      <c r="GH2059"/>
      <c r="GI2059"/>
      <c r="GJ2059"/>
      <c r="GK2059"/>
      <c r="GL2059"/>
      <c r="GM2059"/>
      <c r="GN2059"/>
      <c r="GO2059"/>
    </row>
    <row r="2060" spans="107:197">
      <c r="DC2060"/>
      <c r="FH2060"/>
      <c r="FI2060"/>
      <c r="FJ2060"/>
      <c r="FK2060"/>
      <c r="FL2060"/>
      <c r="FM2060"/>
      <c r="FN2060"/>
      <c r="FO2060"/>
      <c r="FP2060"/>
      <c r="FQ2060"/>
      <c r="FR2060"/>
      <c r="FS2060"/>
      <c r="FT2060"/>
      <c r="FU2060"/>
      <c r="FV2060"/>
      <c r="FW2060"/>
      <c r="FX2060"/>
      <c r="FY2060"/>
      <c r="FZ2060"/>
      <c r="GA2060"/>
      <c r="GB2060"/>
      <c r="GC2060"/>
      <c r="GD2060"/>
      <c r="GE2060"/>
      <c r="GF2060"/>
      <c r="GG2060"/>
      <c r="GH2060"/>
      <c r="GI2060"/>
      <c r="GJ2060"/>
      <c r="GK2060"/>
      <c r="GL2060"/>
      <c r="GM2060"/>
      <c r="GN2060"/>
      <c r="GO2060"/>
    </row>
    <row r="2061" spans="107:197">
      <c r="DC2061"/>
      <c r="FH2061"/>
      <c r="FI2061"/>
      <c r="FJ2061"/>
      <c r="FK2061"/>
      <c r="FL2061"/>
      <c r="FM2061"/>
      <c r="FN2061"/>
      <c r="FO2061"/>
      <c r="FP2061"/>
      <c r="FQ2061"/>
      <c r="FR2061"/>
      <c r="FS2061"/>
      <c r="FT2061"/>
      <c r="FU2061"/>
      <c r="FV2061"/>
      <c r="FW2061"/>
      <c r="FX2061"/>
      <c r="FY2061"/>
      <c r="FZ2061"/>
      <c r="GA2061"/>
      <c r="GB2061"/>
      <c r="GC2061"/>
      <c r="GD2061"/>
      <c r="GE2061"/>
      <c r="GF2061"/>
      <c r="GG2061"/>
      <c r="GH2061"/>
      <c r="GI2061"/>
      <c r="GJ2061"/>
      <c r="GK2061"/>
      <c r="GL2061"/>
      <c r="GM2061"/>
      <c r="GN2061"/>
      <c r="GO2061"/>
    </row>
    <row r="2062" spans="107:197">
      <c r="DC2062"/>
      <c r="FH2062"/>
      <c r="FI2062"/>
      <c r="FJ2062"/>
      <c r="FK2062"/>
      <c r="FL2062"/>
      <c r="FM2062"/>
      <c r="FN2062"/>
      <c r="FO2062"/>
      <c r="FP2062"/>
      <c r="FQ2062"/>
      <c r="FR2062"/>
      <c r="FS2062"/>
      <c r="FT2062"/>
      <c r="FU2062"/>
      <c r="FV2062"/>
      <c r="FW2062"/>
      <c r="FX2062"/>
      <c r="FY2062"/>
      <c r="FZ2062"/>
      <c r="GA2062"/>
      <c r="GB2062"/>
      <c r="GC2062"/>
      <c r="GD2062"/>
      <c r="GE2062"/>
      <c r="GF2062"/>
      <c r="GG2062"/>
      <c r="GH2062"/>
      <c r="GI2062"/>
      <c r="GJ2062"/>
      <c r="GK2062"/>
      <c r="GL2062"/>
      <c r="GM2062"/>
      <c r="GN2062"/>
      <c r="GO2062"/>
    </row>
    <row r="2063" spans="107:197">
      <c r="DC2063"/>
      <c r="FH2063"/>
      <c r="FI2063"/>
      <c r="FJ2063"/>
      <c r="FK2063"/>
      <c r="FL2063"/>
      <c r="FM2063"/>
      <c r="FN2063"/>
      <c r="FO2063"/>
      <c r="FP2063"/>
      <c r="FQ2063"/>
      <c r="FR2063"/>
      <c r="FS2063"/>
      <c r="FT2063"/>
      <c r="FU2063"/>
      <c r="FV2063"/>
      <c r="FW2063"/>
      <c r="FX2063"/>
      <c r="FY2063"/>
      <c r="FZ2063"/>
      <c r="GA2063"/>
      <c r="GB2063"/>
      <c r="GC2063"/>
      <c r="GD2063"/>
      <c r="GE2063"/>
      <c r="GF2063"/>
      <c r="GG2063"/>
      <c r="GH2063"/>
      <c r="GI2063"/>
      <c r="GJ2063"/>
      <c r="GK2063"/>
      <c r="GL2063"/>
      <c r="GM2063"/>
      <c r="GN2063"/>
      <c r="GO2063"/>
    </row>
    <row r="2064" spans="107:197">
      <c r="DC2064"/>
      <c r="FH2064"/>
      <c r="FI2064"/>
      <c r="FJ2064"/>
      <c r="FK2064"/>
      <c r="FL2064"/>
      <c r="FM2064"/>
      <c r="FN2064"/>
      <c r="FO2064"/>
      <c r="FP2064"/>
      <c r="FQ2064"/>
      <c r="FR2064"/>
      <c r="FS2064"/>
      <c r="FT2064"/>
      <c r="FU2064"/>
      <c r="FV2064"/>
      <c r="FW2064"/>
      <c r="FX2064"/>
      <c r="FY2064"/>
      <c r="FZ2064"/>
      <c r="GA2064"/>
      <c r="GB2064"/>
      <c r="GC2064"/>
      <c r="GD2064"/>
      <c r="GE2064"/>
      <c r="GF2064"/>
      <c r="GG2064"/>
      <c r="GH2064"/>
      <c r="GI2064"/>
      <c r="GJ2064"/>
      <c r="GK2064"/>
      <c r="GL2064"/>
      <c r="GM2064"/>
      <c r="GN2064"/>
      <c r="GO2064"/>
    </row>
    <row r="2065" spans="107:197">
      <c r="DC2065"/>
      <c r="FH2065"/>
      <c r="FI2065"/>
      <c r="FJ2065"/>
      <c r="FK2065"/>
      <c r="FL2065"/>
      <c r="FM2065"/>
      <c r="FN2065"/>
      <c r="FO2065"/>
      <c r="FP2065"/>
      <c r="FQ2065"/>
      <c r="FR2065"/>
      <c r="FS2065"/>
      <c r="FT2065"/>
      <c r="FU2065"/>
      <c r="FV2065"/>
      <c r="FW2065"/>
      <c r="FX2065"/>
      <c r="FY2065"/>
      <c r="FZ2065"/>
      <c r="GA2065"/>
      <c r="GB2065"/>
      <c r="GC2065"/>
      <c r="GD2065"/>
      <c r="GE2065"/>
      <c r="GF2065"/>
      <c r="GG2065"/>
      <c r="GH2065"/>
      <c r="GI2065"/>
      <c r="GJ2065"/>
      <c r="GK2065"/>
      <c r="GL2065"/>
      <c r="GM2065"/>
      <c r="GN2065"/>
      <c r="GO2065"/>
    </row>
    <row r="2066" spans="107:197">
      <c r="DC2066"/>
      <c r="FH2066"/>
      <c r="FI2066"/>
      <c r="FJ2066"/>
      <c r="FK2066"/>
      <c r="FL2066"/>
      <c r="FM2066"/>
      <c r="FN2066"/>
      <c r="FO2066"/>
      <c r="FP2066"/>
      <c r="FQ2066"/>
      <c r="FR2066"/>
      <c r="FS2066"/>
      <c r="FT2066"/>
      <c r="FU2066"/>
      <c r="FV2066"/>
      <c r="FW2066"/>
      <c r="FX2066"/>
      <c r="FY2066"/>
      <c r="FZ2066"/>
      <c r="GA2066"/>
      <c r="GB2066"/>
      <c r="GC2066"/>
      <c r="GD2066"/>
      <c r="GE2066"/>
      <c r="GF2066"/>
      <c r="GG2066"/>
      <c r="GH2066"/>
      <c r="GI2066"/>
      <c r="GJ2066"/>
      <c r="GK2066"/>
      <c r="GL2066"/>
      <c r="GM2066"/>
      <c r="GN2066"/>
      <c r="GO2066"/>
    </row>
    <row r="2067" spans="107:197">
      <c r="DC2067"/>
      <c r="FH2067"/>
      <c r="FI2067"/>
      <c r="FJ2067"/>
      <c r="FK2067"/>
      <c r="FL2067"/>
      <c r="FM2067"/>
      <c r="FN2067"/>
      <c r="FO2067"/>
      <c r="FP2067"/>
      <c r="FQ2067"/>
      <c r="FR2067"/>
      <c r="FS2067"/>
      <c r="FT2067"/>
      <c r="FU2067"/>
      <c r="FV2067"/>
      <c r="FW2067"/>
      <c r="FX2067"/>
      <c r="FY2067"/>
      <c r="FZ2067"/>
      <c r="GA2067"/>
      <c r="GB2067"/>
      <c r="GC2067"/>
      <c r="GD2067"/>
      <c r="GE2067"/>
      <c r="GF2067"/>
      <c r="GG2067"/>
      <c r="GH2067"/>
      <c r="GI2067"/>
      <c r="GJ2067"/>
      <c r="GK2067"/>
      <c r="GL2067"/>
      <c r="GM2067"/>
      <c r="GN2067"/>
      <c r="GO2067"/>
    </row>
    <row r="2068" spans="107:197">
      <c r="DC2068"/>
      <c r="FH2068"/>
      <c r="FI2068"/>
      <c r="FJ2068"/>
      <c r="FK2068"/>
      <c r="FL2068"/>
      <c r="FM2068"/>
      <c r="FN2068"/>
      <c r="FO2068"/>
      <c r="FP2068"/>
      <c r="FQ2068"/>
      <c r="FR2068"/>
      <c r="FS2068"/>
      <c r="FT2068"/>
      <c r="FU2068"/>
      <c r="FV2068"/>
      <c r="FW2068"/>
      <c r="FX2068"/>
      <c r="FY2068"/>
      <c r="FZ2068"/>
      <c r="GA2068"/>
      <c r="GB2068"/>
      <c r="GC2068"/>
      <c r="GD2068"/>
      <c r="GE2068"/>
      <c r="GF2068"/>
      <c r="GG2068"/>
      <c r="GH2068"/>
      <c r="GI2068"/>
      <c r="GJ2068"/>
      <c r="GK2068"/>
      <c r="GL2068"/>
      <c r="GM2068"/>
      <c r="GN2068"/>
      <c r="GO2068"/>
    </row>
    <row r="2069" spans="107:197">
      <c r="DC2069"/>
      <c r="FH2069"/>
      <c r="FI2069"/>
      <c r="FJ2069"/>
      <c r="FK2069"/>
      <c r="FL2069"/>
      <c r="FM2069"/>
      <c r="FN2069"/>
      <c r="FO2069"/>
      <c r="FP2069"/>
      <c r="FQ2069"/>
      <c r="FR2069"/>
      <c r="FS2069"/>
      <c r="FT2069"/>
      <c r="FU2069"/>
      <c r="FV2069"/>
      <c r="FW2069"/>
      <c r="FX2069"/>
      <c r="FY2069"/>
      <c r="FZ2069"/>
      <c r="GA2069"/>
      <c r="GB2069"/>
      <c r="GC2069"/>
      <c r="GD2069"/>
      <c r="GE2069"/>
      <c r="GF2069"/>
      <c r="GG2069"/>
      <c r="GH2069"/>
      <c r="GI2069"/>
      <c r="GJ2069"/>
      <c r="GK2069"/>
      <c r="GL2069"/>
      <c r="GM2069"/>
      <c r="GN2069"/>
      <c r="GO2069"/>
    </row>
    <row r="2070" spans="107:197">
      <c r="DC2070"/>
      <c r="FH2070"/>
      <c r="FI2070"/>
      <c r="FJ2070"/>
      <c r="FK2070"/>
      <c r="FL2070"/>
      <c r="FM2070"/>
      <c r="FN2070"/>
      <c r="FO2070"/>
      <c r="FP2070"/>
      <c r="FQ2070"/>
      <c r="FR2070"/>
      <c r="FS2070"/>
      <c r="FT2070"/>
      <c r="FU2070"/>
      <c r="FV2070"/>
      <c r="FW2070"/>
      <c r="FX2070"/>
      <c r="FY2070"/>
      <c r="FZ2070"/>
      <c r="GA2070"/>
      <c r="GB2070"/>
      <c r="GC2070"/>
      <c r="GD2070"/>
      <c r="GE2070"/>
      <c r="GF2070"/>
      <c r="GG2070"/>
      <c r="GH2070"/>
      <c r="GI2070"/>
      <c r="GJ2070"/>
      <c r="GK2070"/>
      <c r="GL2070"/>
      <c r="GM2070"/>
      <c r="GN2070"/>
      <c r="GO2070"/>
    </row>
    <row r="2071" spans="107:197">
      <c r="DC2071"/>
      <c r="FH2071"/>
      <c r="FI2071"/>
      <c r="FJ2071"/>
      <c r="FK2071"/>
      <c r="FL2071"/>
      <c r="FM2071"/>
      <c r="FN2071"/>
      <c r="FO2071"/>
      <c r="FP2071"/>
      <c r="FQ2071"/>
      <c r="FR2071"/>
      <c r="FS2071"/>
      <c r="FT2071"/>
      <c r="FU2071"/>
      <c r="FV2071"/>
      <c r="FW2071"/>
      <c r="FX2071"/>
      <c r="FY2071"/>
      <c r="FZ2071"/>
      <c r="GA2071"/>
      <c r="GB2071"/>
      <c r="GC2071"/>
      <c r="GD2071"/>
      <c r="GE2071"/>
      <c r="GF2071"/>
      <c r="GG2071"/>
      <c r="GH2071"/>
      <c r="GI2071"/>
      <c r="GJ2071"/>
      <c r="GK2071"/>
      <c r="GL2071"/>
      <c r="GM2071"/>
      <c r="GN2071"/>
      <c r="GO2071"/>
    </row>
    <row r="2072" spans="107:197">
      <c r="DC2072"/>
      <c r="FH2072"/>
      <c r="FI2072"/>
      <c r="FJ2072"/>
      <c r="FK2072"/>
      <c r="FL2072"/>
      <c r="FM2072"/>
      <c r="FN2072"/>
      <c r="FO2072"/>
      <c r="FP2072"/>
      <c r="FQ2072"/>
      <c r="FR2072"/>
      <c r="FS2072"/>
      <c r="FT2072"/>
      <c r="FU2072"/>
      <c r="FV2072"/>
      <c r="FW2072"/>
      <c r="FX2072"/>
      <c r="FY2072"/>
      <c r="FZ2072"/>
      <c r="GA2072"/>
      <c r="GB2072"/>
      <c r="GC2072"/>
      <c r="GD2072"/>
      <c r="GE2072"/>
      <c r="GF2072"/>
      <c r="GG2072"/>
      <c r="GH2072"/>
      <c r="GI2072"/>
      <c r="GJ2072"/>
      <c r="GK2072"/>
      <c r="GL2072"/>
      <c r="GM2072"/>
      <c r="GN2072"/>
      <c r="GO2072"/>
    </row>
    <row r="2073" spans="107:197">
      <c r="DC2073"/>
      <c r="FH2073"/>
      <c r="FI2073"/>
      <c r="FJ2073"/>
      <c r="FK2073"/>
      <c r="FL2073"/>
      <c r="FM2073"/>
      <c r="FN2073"/>
      <c r="FO2073"/>
      <c r="FP2073"/>
      <c r="FQ2073"/>
      <c r="FR2073"/>
      <c r="FS2073"/>
      <c r="FT2073"/>
      <c r="FU2073"/>
      <c r="FV2073"/>
      <c r="FW2073"/>
      <c r="FX2073"/>
      <c r="FY2073"/>
      <c r="FZ2073"/>
      <c r="GA2073"/>
      <c r="GB2073"/>
      <c r="GC2073"/>
      <c r="GD2073"/>
      <c r="GE2073"/>
      <c r="GF2073"/>
      <c r="GG2073"/>
      <c r="GH2073"/>
      <c r="GI2073"/>
      <c r="GJ2073"/>
      <c r="GK2073"/>
      <c r="GL2073"/>
      <c r="GM2073"/>
      <c r="GN2073"/>
      <c r="GO2073"/>
    </row>
    <row r="2074" spans="107:197">
      <c r="DC2074"/>
      <c r="FH2074"/>
      <c r="FI2074"/>
      <c r="FJ2074"/>
      <c r="FK2074"/>
      <c r="FL2074"/>
      <c r="FM2074"/>
      <c r="FN2074"/>
      <c r="FO2074"/>
      <c r="FP2074"/>
      <c r="FQ2074"/>
      <c r="FR2074"/>
      <c r="FS2074"/>
      <c r="FT2074"/>
      <c r="FU2074"/>
      <c r="FV2074"/>
      <c r="FW2074"/>
      <c r="FX2074"/>
      <c r="FY2074"/>
      <c r="FZ2074"/>
      <c r="GA2074"/>
      <c r="GB2074"/>
      <c r="GC2074"/>
      <c r="GD2074"/>
      <c r="GE2074"/>
      <c r="GF2074"/>
      <c r="GG2074"/>
      <c r="GH2074"/>
      <c r="GI2074"/>
      <c r="GJ2074"/>
      <c r="GK2074"/>
      <c r="GL2074"/>
      <c r="GM2074"/>
      <c r="GN2074"/>
      <c r="GO2074"/>
    </row>
    <row r="2075" spans="107:197">
      <c r="DC2075"/>
      <c r="FH2075"/>
      <c r="FI2075"/>
      <c r="FJ2075"/>
      <c r="FK2075"/>
      <c r="FL2075"/>
      <c r="FM2075"/>
      <c r="FN2075"/>
      <c r="FO2075"/>
      <c r="FP2075"/>
      <c r="FQ2075"/>
      <c r="FR2075"/>
      <c r="FS2075"/>
      <c r="FT2075"/>
      <c r="FU2075"/>
      <c r="FV2075"/>
      <c r="FW2075"/>
      <c r="FX2075"/>
      <c r="FY2075"/>
      <c r="FZ2075"/>
      <c r="GA2075"/>
      <c r="GB2075"/>
      <c r="GC2075"/>
      <c r="GD2075"/>
      <c r="GE2075"/>
      <c r="GF2075"/>
      <c r="GG2075"/>
      <c r="GH2075"/>
      <c r="GI2075"/>
      <c r="GJ2075"/>
      <c r="GK2075"/>
      <c r="GL2075"/>
      <c r="GM2075"/>
      <c r="GN2075"/>
      <c r="GO2075"/>
    </row>
    <row r="2076" spans="107:197">
      <c r="DC2076"/>
      <c r="FH2076"/>
      <c r="FI2076"/>
      <c r="FJ2076"/>
      <c r="FK2076"/>
      <c r="FL2076"/>
      <c r="FM2076"/>
      <c r="FN2076"/>
      <c r="FO2076"/>
      <c r="FP2076"/>
      <c r="FQ2076"/>
      <c r="FR2076"/>
      <c r="FS2076"/>
      <c r="FT2076"/>
      <c r="FU2076"/>
      <c r="FV2076"/>
      <c r="FW2076"/>
      <c r="FX2076"/>
      <c r="FY2076"/>
      <c r="FZ2076"/>
      <c r="GA2076"/>
      <c r="GB2076"/>
      <c r="GC2076"/>
      <c r="GD2076"/>
      <c r="GE2076"/>
      <c r="GF2076"/>
      <c r="GG2076"/>
      <c r="GH2076"/>
      <c r="GI2076"/>
      <c r="GJ2076"/>
      <c r="GK2076"/>
      <c r="GL2076"/>
      <c r="GM2076"/>
      <c r="GN2076"/>
      <c r="GO2076"/>
    </row>
    <row r="2077" spans="107:197">
      <c r="DC2077"/>
      <c r="FH2077"/>
      <c r="FI2077"/>
      <c r="FJ2077"/>
      <c r="FK2077"/>
      <c r="FL2077"/>
      <c r="FM2077"/>
      <c r="FN2077"/>
      <c r="FO2077"/>
      <c r="FP2077"/>
      <c r="FQ2077"/>
      <c r="FR2077"/>
      <c r="FS2077"/>
      <c r="FT2077"/>
      <c r="FU2077"/>
      <c r="FV2077"/>
      <c r="FW2077"/>
      <c r="FX2077"/>
      <c r="FY2077"/>
      <c r="FZ2077"/>
      <c r="GA2077"/>
      <c r="GB2077"/>
      <c r="GC2077"/>
      <c r="GD2077"/>
      <c r="GE2077"/>
      <c r="GF2077"/>
      <c r="GG2077"/>
      <c r="GH2077"/>
      <c r="GI2077"/>
      <c r="GJ2077"/>
      <c r="GK2077"/>
      <c r="GL2077"/>
      <c r="GM2077"/>
      <c r="GN2077"/>
      <c r="GO2077"/>
    </row>
    <row r="2078" spans="107:197">
      <c r="DC2078"/>
      <c r="FH2078"/>
      <c r="FI2078"/>
      <c r="FJ2078"/>
      <c r="FK2078"/>
      <c r="FL2078"/>
      <c r="FM2078"/>
      <c r="FN2078"/>
      <c r="FO2078"/>
      <c r="FP2078"/>
      <c r="FQ2078"/>
      <c r="FR2078"/>
      <c r="FS2078"/>
      <c r="FT2078"/>
      <c r="FU2078"/>
      <c r="FV2078"/>
      <c r="FW2078"/>
      <c r="FX2078"/>
      <c r="FY2078"/>
      <c r="FZ2078"/>
      <c r="GA2078"/>
      <c r="GB2078"/>
      <c r="GC2078"/>
      <c r="GD2078"/>
      <c r="GE2078"/>
      <c r="GF2078"/>
      <c r="GG2078"/>
      <c r="GH2078"/>
      <c r="GI2078"/>
      <c r="GJ2078"/>
      <c r="GK2078"/>
      <c r="GL2078"/>
      <c r="GM2078"/>
      <c r="GN2078"/>
      <c r="GO2078"/>
    </row>
    <row r="2079" spans="107:197">
      <c r="DC2079"/>
      <c r="FH2079"/>
      <c r="FI2079"/>
      <c r="FJ2079"/>
      <c r="FK2079"/>
      <c r="FL2079"/>
      <c r="FM2079"/>
      <c r="FN2079"/>
      <c r="FO2079"/>
      <c r="FP2079"/>
      <c r="FQ2079"/>
      <c r="FR2079"/>
      <c r="FS2079"/>
      <c r="FT2079"/>
      <c r="FU2079"/>
      <c r="FV2079"/>
      <c r="FW2079"/>
      <c r="FX2079"/>
      <c r="FY2079"/>
      <c r="FZ2079"/>
      <c r="GA2079"/>
      <c r="GB2079"/>
      <c r="GC2079"/>
      <c r="GD2079"/>
      <c r="GE2079"/>
      <c r="GF2079"/>
      <c r="GG2079"/>
      <c r="GH2079"/>
      <c r="GI2079"/>
      <c r="GJ2079"/>
      <c r="GK2079"/>
      <c r="GL2079"/>
      <c r="GM2079"/>
      <c r="GN2079"/>
      <c r="GO2079"/>
    </row>
    <row r="2080" spans="107:197">
      <c r="DC2080"/>
      <c r="FH2080"/>
      <c r="FI2080"/>
      <c r="FJ2080"/>
      <c r="FK2080"/>
      <c r="FL2080"/>
      <c r="FM2080"/>
      <c r="FN2080"/>
      <c r="FO2080"/>
      <c r="FP2080"/>
      <c r="FQ2080"/>
      <c r="FR2080"/>
      <c r="FS2080"/>
      <c r="FT2080"/>
      <c r="FU2080"/>
      <c r="FV2080"/>
      <c r="FW2080"/>
      <c r="FX2080"/>
      <c r="FY2080"/>
      <c r="FZ2080"/>
      <c r="GA2080"/>
      <c r="GB2080"/>
      <c r="GC2080"/>
      <c r="GD2080"/>
      <c r="GE2080"/>
      <c r="GF2080"/>
      <c r="GG2080"/>
      <c r="GH2080"/>
      <c r="GI2080"/>
      <c r="GJ2080"/>
      <c r="GK2080"/>
      <c r="GL2080"/>
      <c r="GM2080"/>
      <c r="GN2080"/>
      <c r="GO2080"/>
    </row>
    <row r="2081" spans="107:197">
      <c r="DC2081"/>
      <c r="FH2081"/>
      <c r="FI2081"/>
      <c r="FJ2081"/>
      <c r="FK2081"/>
      <c r="FL2081"/>
      <c r="FM2081"/>
      <c r="FN2081"/>
      <c r="FO2081"/>
      <c r="FP2081"/>
      <c r="FQ2081"/>
      <c r="FR2081"/>
      <c r="FS2081"/>
      <c r="FT2081"/>
      <c r="FU2081"/>
      <c r="FV2081"/>
      <c r="FW2081"/>
      <c r="FX2081"/>
      <c r="FY2081"/>
      <c r="FZ2081"/>
      <c r="GA2081"/>
      <c r="GB2081"/>
      <c r="GC2081"/>
      <c r="GD2081"/>
      <c r="GE2081"/>
      <c r="GF2081"/>
      <c r="GG2081"/>
      <c r="GH2081"/>
      <c r="GI2081"/>
      <c r="GJ2081"/>
      <c r="GK2081"/>
      <c r="GL2081"/>
      <c r="GM2081"/>
      <c r="GN2081"/>
      <c r="GO2081"/>
    </row>
    <row r="2082" spans="107:197">
      <c r="DC2082"/>
      <c r="FH2082"/>
      <c r="FI2082"/>
      <c r="FJ2082"/>
      <c r="FK2082"/>
      <c r="FL2082"/>
      <c r="FM2082"/>
      <c r="FN2082"/>
      <c r="FO2082"/>
      <c r="FP2082"/>
      <c r="FQ2082"/>
      <c r="FR2082"/>
      <c r="FS2082"/>
      <c r="FT2082"/>
      <c r="FU2082"/>
      <c r="FV2082"/>
      <c r="FW2082"/>
      <c r="FX2082"/>
      <c r="FY2082"/>
      <c r="FZ2082"/>
      <c r="GA2082"/>
      <c r="GB2082"/>
      <c r="GC2082"/>
      <c r="GD2082"/>
      <c r="GE2082"/>
      <c r="GF2082"/>
      <c r="GG2082"/>
      <c r="GH2082"/>
      <c r="GI2082"/>
      <c r="GJ2082"/>
      <c r="GK2082"/>
      <c r="GL2082"/>
      <c r="GM2082"/>
      <c r="GN2082"/>
      <c r="GO2082"/>
    </row>
    <row r="2083" spans="107:197">
      <c r="DC2083"/>
      <c r="FH2083"/>
      <c r="FI2083"/>
      <c r="FJ2083"/>
      <c r="FK2083"/>
      <c r="FL2083"/>
      <c r="FM2083"/>
      <c r="FN2083"/>
      <c r="FO2083"/>
      <c r="FP2083"/>
      <c r="FQ2083"/>
      <c r="FR2083"/>
      <c r="FS2083"/>
      <c r="FT2083"/>
      <c r="FU2083"/>
      <c r="FV2083"/>
      <c r="FW2083"/>
      <c r="FX2083"/>
      <c r="FY2083"/>
      <c r="FZ2083"/>
      <c r="GA2083"/>
      <c r="GB2083"/>
      <c r="GC2083"/>
      <c r="GD2083"/>
      <c r="GE2083"/>
      <c r="GF2083"/>
      <c r="GG2083"/>
      <c r="GH2083"/>
      <c r="GI2083"/>
      <c r="GJ2083"/>
      <c r="GK2083"/>
      <c r="GL2083"/>
      <c r="GM2083"/>
      <c r="GN2083"/>
      <c r="GO2083"/>
    </row>
    <row r="2084" spans="107:197">
      <c r="DC2084"/>
      <c r="FH2084"/>
      <c r="FI2084"/>
      <c r="FJ2084"/>
      <c r="FK2084"/>
      <c r="FL2084"/>
      <c r="FM2084"/>
      <c r="FN2084"/>
      <c r="FO2084"/>
      <c r="FP2084"/>
      <c r="FQ2084"/>
      <c r="FR2084"/>
      <c r="FS2084"/>
      <c r="FT2084"/>
      <c r="FU2084"/>
      <c r="FV2084"/>
      <c r="FW2084"/>
      <c r="FX2084"/>
      <c r="FY2084"/>
      <c r="FZ2084"/>
      <c r="GA2084"/>
      <c r="GB2084"/>
      <c r="GC2084"/>
      <c r="GD2084"/>
      <c r="GE2084"/>
      <c r="GF2084"/>
      <c r="GG2084"/>
      <c r="GH2084"/>
      <c r="GI2084"/>
      <c r="GJ2084"/>
      <c r="GK2084"/>
      <c r="GL2084"/>
      <c r="GM2084"/>
      <c r="GN2084"/>
      <c r="GO2084"/>
    </row>
    <row r="2085" spans="107:197">
      <c r="DC2085"/>
      <c r="FH2085"/>
      <c r="FI2085"/>
      <c r="FJ2085"/>
      <c r="FK2085"/>
      <c r="FL2085"/>
      <c r="FM2085"/>
      <c r="FN2085"/>
      <c r="FO2085"/>
      <c r="FP2085"/>
      <c r="FQ2085"/>
      <c r="FR2085"/>
      <c r="FS2085"/>
      <c r="FT2085"/>
      <c r="FU2085"/>
      <c r="FV2085"/>
      <c r="FW2085"/>
      <c r="FX2085"/>
      <c r="FY2085"/>
      <c r="FZ2085"/>
      <c r="GA2085"/>
      <c r="GB2085"/>
      <c r="GC2085"/>
      <c r="GD2085"/>
      <c r="GE2085"/>
      <c r="GF2085"/>
      <c r="GG2085"/>
      <c r="GH2085"/>
      <c r="GI2085"/>
      <c r="GJ2085"/>
      <c r="GK2085"/>
      <c r="GL2085"/>
      <c r="GM2085"/>
      <c r="GN2085"/>
      <c r="GO2085"/>
    </row>
    <row r="2086" spans="107:197">
      <c r="DC2086"/>
      <c r="FH2086"/>
      <c r="FI2086"/>
      <c r="FJ2086"/>
      <c r="FK2086"/>
      <c r="FL2086"/>
      <c r="FM2086"/>
      <c r="FN2086"/>
      <c r="FO2086"/>
      <c r="FP2086"/>
      <c r="FQ2086"/>
      <c r="FR2086"/>
      <c r="FS2086"/>
      <c r="FT2086"/>
      <c r="FU2086"/>
      <c r="FV2086"/>
      <c r="FW2086"/>
      <c r="FX2086"/>
      <c r="FY2086"/>
      <c r="FZ2086"/>
      <c r="GA2086"/>
      <c r="GB2086"/>
      <c r="GC2086"/>
      <c r="GD2086"/>
      <c r="GE2086"/>
      <c r="GF2086"/>
      <c r="GG2086"/>
      <c r="GH2086"/>
      <c r="GI2086"/>
      <c r="GJ2086"/>
      <c r="GK2086"/>
      <c r="GL2086"/>
      <c r="GM2086"/>
      <c r="GN2086"/>
      <c r="GO2086"/>
    </row>
    <row r="2087" spans="107:197">
      <c r="DC2087"/>
      <c r="FH2087"/>
      <c r="FI2087"/>
      <c r="FJ2087"/>
      <c r="FK2087"/>
      <c r="FL2087"/>
      <c r="FM2087"/>
      <c r="FN2087"/>
      <c r="FO2087"/>
      <c r="FP2087"/>
      <c r="FQ2087"/>
      <c r="FR2087"/>
      <c r="FS2087"/>
      <c r="FT2087"/>
      <c r="FU2087"/>
      <c r="FV2087"/>
      <c r="FW2087"/>
      <c r="FX2087"/>
      <c r="FY2087"/>
      <c r="FZ2087"/>
      <c r="GA2087"/>
      <c r="GB2087"/>
      <c r="GC2087"/>
      <c r="GD2087"/>
      <c r="GE2087"/>
      <c r="GF2087"/>
      <c r="GG2087"/>
      <c r="GH2087"/>
      <c r="GI2087"/>
      <c r="GJ2087"/>
      <c r="GK2087"/>
      <c r="GL2087"/>
      <c r="GM2087"/>
      <c r="GN2087"/>
      <c r="GO2087"/>
    </row>
    <row r="2088" spans="107:197">
      <c r="DC2088"/>
      <c r="FH2088"/>
      <c r="FI2088"/>
      <c r="FJ2088"/>
      <c r="FK2088"/>
      <c r="FL2088"/>
      <c r="FM2088"/>
      <c r="FN2088"/>
      <c r="FO2088"/>
      <c r="FP2088"/>
      <c r="FQ2088"/>
      <c r="FR2088"/>
      <c r="FS2088"/>
      <c r="FT2088"/>
      <c r="FU2088"/>
      <c r="FV2088"/>
      <c r="FW2088"/>
      <c r="FX2088"/>
      <c r="FY2088"/>
      <c r="FZ2088"/>
      <c r="GA2088"/>
      <c r="GB2088"/>
      <c r="GC2088"/>
      <c r="GD2088"/>
      <c r="GE2088"/>
      <c r="GF2088"/>
      <c r="GG2088"/>
      <c r="GH2088"/>
      <c r="GI2088"/>
      <c r="GJ2088"/>
      <c r="GK2088"/>
      <c r="GL2088"/>
      <c r="GM2088"/>
      <c r="GN2088"/>
      <c r="GO2088"/>
    </row>
    <row r="2089" spans="107:197">
      <c r="DC2089"/>
      <c r="FH2089"/>
      <c r="FI2089"/>
      <c r="FJ2089"/>
      <c r="FK2089"/>
      <c r="FL2089"/>
      <c r="FM2089"/>
      <c r="FN2089"/>
      <c r="FO2089"/>
      <c r="FP2089"/>
      <c r="FQ2089"/>
      <c r="FR2089"/>
      <c r="FS2089"/>
      <c r="FT2089"/>
      <c r="FU2089"/>
      <c r="FV2089"/>
      <c r="FW2089"/>
      <c r="FX2089"/>
      <c r="FY2089"/>
      <c r="FZ2089"/>
      <c r="GA2089"/>
      <c r="GB2089"/>
      <c r="GC2089"/>
      <c r="GD2089"/>
      <c r="GE2089"/>
      <c r="GF2089"/>
      <c r="GG2089"/>
      <c r="GH2089"/>
      <c r="GI2089"/>
      <c r="GJ2089"/>
      <c r="GK2089"/>
      <c r="GL2089"/>
      <c r="GM2089"/>
      <c r="GN2089"/>
      <c r="GO2089"/>
    </row>
    <row r="2090" spans="107:197">
      <c r="DC2090"/>
      <c r="FH2090"/>
      <c r="FI2090"/>
      <c r="FJ2090"/>
      <c r="FK2090"/>
      <c r="FL2090"/>
      <c r="FM2090"/>
      <c r="FN2090"/>
      <c r="FO2090"/>
      <c r="FP2090"/>
      <c r="FQ2090"/>
      <c r="FR2090"/>
      <c r="FS2090"/>
      <c r="FT2090"/>
      <c r="FU2090"/>
      <c r="FV2090"/>
      <c r="FW2090"/>
      <c r="FX2090"/>
      <c r="FY2090"/>
      <c r="FZ2090"/>
      <c r="GA2090"/>
      <c r="GB2090"/>
      <c r="GC2090"/>
      <c r="GD2090"/>
      <c r="GE2090"/>
      <c r="GF2090"/>
      <c r="GG2090"/>
      <c r="GH2090"/>
      <c r="GI2090"/>
      <c r="GJ2090"/>
      <c r="GK2090"/>
      <c r="GL2090"/>
      <c r="GM2090"/>
      <c r="GN2090"/>
      <c r="GO2090"/>
    </row>
    <row r="2091" spans="107:197">
      <c r="DC2091"/>
      <c r="FH2091"/>
      <c r="FI2091"/>
      <c r="FJ2091"/>
      <c r="FK2091"/>
      <c r="FL2091"/>
      <c r="FM2091"/>
      <c r="FN2091"/>
      <c r="FO2091"/>
      <c r="FP2091"/>
      <c r="FQ2091"/>
      <c r="FR2091"/>
      <c r="FS2091"/>
      <c r="FT2091"/>
      <c r="FU2091"/>
      <c r="FV2091"/>
      <c r="FW2091"/>
      <c r="FX2091"/>
      <c r="FY2091"/>
      <c r="FZ2091"/>
      <c r="GA2091"/>
      <c r="GB2091"/>
      <c r="GC2091"/>
      <c r="GD2091"/>
      <c r="GE2091"/>
      <c r="GF2091"/>
      <c r="GG2091"/>
      <c r="GH2091"/>
      <c r="GI2091"/>
      <c r="GJ2091"/>
      <c r="GK2091"/>
      <c r="GL2091"/>
      <c r="GM2091"/>
      <c r="GN2091"/>
      <c r="GO2091"/>
    </row>
    <row r="2092" spans="107:197">
      <c r="DC2092"/>
      <c r="FH2092"/>
      <c r="FI2092"/>
      <c r="FJ2092"/>
      <c r="FK2092"/>
      <c r="FL2092"/>
      <c r="FM2092"/>
      <c r="FN2092"/>
      <c r="FO2092"/>
      <c r="FP2092"/>
      <c r="FQ2092"/>
      <c r="FR2092"/>
      <c r="FS2092"/>
      <c r="FT2092"/>
      <c r="FU2092"/>
      <c r="FV2092"/>
      <c r="FW2092"/>
      <c r="FX2092"/>
      <c r="FY2092"/>
      <c r="FZ2092"/>
      <c r="GA2092"/>
      <c r="GB2092"/>
      <c r="GC2092"/>
      <c r="GD2092"/>
      <c r="GE2092"/>
      <c r="GF2092"/>
      <c r="GG2092"/>
      <c r="GH2092"/>
      <c r="GI2092"/>
      <c r="GJ2092"/>
      <c r="GK2092"/>
      <c r="GL2092"/>
      <c r="GM2092"/>
      <c r="GN2092"/>
      <c r="GO2092"/>
    </row>
    <row r="2093" spans="107:197">
      <c r="DC2093"/>
      <c r="FH2093"/>
      <c r="FI2093"/>
      <c r="FJ2093"/>
      <c r="FK2093"/>
      <c r="FL2093"/>
      <c r="FM2093"/>
      <c r="FN2093"/>
      <c r="FO2093"/>
      <c r="FP2093"/>
      <c r="FQ2093"/>
      <c r="FR2093"/>
      <c r="FS2093"/>
      <c r="FT2093"/>
      <c r="FU2093"/>
      <c r="FV2093"/>
      <c r="FW2093"/>
      <c r="FX2093"/>
      <c r="FY2093"/>
      <c r="FZ2093"/>
      <c r="GA2093"/>
      <c r="GB2093"/>
      <c r="GC2093"/>
      <c r="GD2093"/>
      <c r="GE2093"/>
      <c r="GF2093"/>
      <c r="GG2093"/>
      <c r="GH2093"/>
      <c r="GI2093"/>
      <c r="GJ2093"/>
      <c r="GK2093"/>
      <c r="GL2093"/>
      <c r="GM2093"/>
      <c r="GN2093"/>
      <c r="GO2093"/>
    </row>
    <row r="2094" spans="107:197">
      <c r="DC2094"/>
      <c r="FH2094"/>
      <c r="FI2094"/>
      <c r="FJ2094"/>
      <c r="FK2094"/>
      <c r="FL2094"/>
      <c r="FM2094"/>
      <c r="FN2094"/>
      <c r="FO2094"/>
      <c r="FP2094"/>
      <c r="FQ2094"/>
      <c r="FR2094"/>
      <c r="FS2094"/>
      <c r="FT2094"/>
      <c r="FU2094"/>
      <c r="FV2094"/>
      <c r="FW2094"/>
      <c r="FX2094"/>
      <c r="FY2094"/>
      <c r="FZ2094"/>
      <c r="GA2094"/>
      <c r="GB2094"/>
      <c r="GC2094"/>
      <c r="GD2094"/>
      <c r="GE2094"/>
      <c r="GF2094"/>
      <c r="GG2094"/>
      <c r="GH2094"/>
      <c r="GI2094"/>
      <c r="GJ2094"/>
      <c r="GK2094"/>
      <c r="GL2094"/>
      <c r="GM2094"/>
      <c r="GN2094"/>
      <c r="GO2094"/>
    </row>
    <row r="2095" spans="107:197">
      <c r="DC2095"/>
      <c r="FH2095"/>
      <c r="FI2095"/>
      <c r="FJ2095"/>
      <c r="FK2095"/>
      <c r="FL2095"/>
      <c r="FM2095"/>
      <c r="FN2095"/>
      <c r="FO2095"/>
      <c r="FP2095"/>
      <c r="FQ2095"/>
      <c r="FR2095"/>
      <c r="FS2095"/>
      <c r="FT2095"/>
      <c r="FU2095"/>
      <c r="FV2095"/>
      <c r="FW2095"/>
      <c r="FX2095"/>
      <c r="FY2095"/>
      <c r="FZ2095"/>
      <c r="GA2095"/>
      <c r="GB2095"/>
      <c r="GC2095"/>
      <c r="GD2095"/>
      <c r="GE2095"/>
      <c r="GF2095"/>
      <c r="GG2095"/>
      <c r="GH2095"/>
      <c r="GI2095"/>
      <c r="GJ2095"/>
      <c r="GK2095"/>
      <c r="GL2095"/>
      <c r="GM2095"/>
      <c r="GN2095"/>
      <c r="GO2095"/>
    </row>
    <row r="2096" spans="107:197">
      <c r="DC2096"/>
      <c r="FH2096"/>
      <c r="FI2096"/>
      <c r="FJ2096"/>
      <c r="FK2096"/>
      <c r="FL2096"/>
      <c r="FM2096"/>
      <c r="FN2096"/>
      <c r="FO2096"/>
      <c r="FP2096"/>
      <c r="FQ2096"/>
      <c r="FR2096"/>
      <c r="FS2096"/>
      <c r="FT2096"/>
      <c r="FU2096"/>
      <c r="FV2096"/>
      <c r="FW2096"/>
      <c r="FX2096"/>
      <c r="FY2096"/>
      <c r="FZ2096"/>
      <c r="GA2096"/>
      <c r="GB2096"/>
      <c r="GC2096"/>
      <c r="GD2096"/>
      <c r="GE2096"/>
      <c r="GF2096"/>
      <c r="GG2096"/>
      <c r="GH2096"/>
      <c r="GI2096"/>
      <c r="GJ2096"/>
      <c r="GK2096"/>
      <c r="GL2096"/>
      <c r="GM2096"/>
      <c r="GN2096"/>
      <c r="GO2096"/>
    </row>
    <row r="2097" spans="107:197">
      <c r="DC2097"/>
      <c r="FH2097"/>
      <c r="FI2097"/>
      <c r="FJ2097"/>
      <c r="FK2097"/>
      <c r="FL2097"/>
      <c r="FM2097"/>
      <c r="FN2097"/>
      <c r="FO2097"/>
      <c r="FP2097"/>
      <c r="FQ2097"/>
      <c r="FR2097"/>
      <c r="FS2097"/>
      <c r="FT2097"/>
      <c r="FU2097"/>
      <c r="FV2097"/>
      <c r="FW2097"/>
      <c r="FX2097"/>
      <c r="FY2097"/>
      <c r="FZ2097"/>
      <c r="GA2097"/>
      <c r="GB2097"/>
      <c r="GC2097"/>
      <c r="GD2097"/>
      <c r="GE2097"/>
      <c r="GF2097"/>
      <c r="GG2097"/>
      <c r="GH2097"/>
      <c r="GI2097"/>
      <c r="GJ2097"/>
      <c r="GK2097"/>
      <c r="GL2097"/>
      <c r="GM2097"/>
      <c r="GN2097"/>
      <c r="GO2097"/>
    </row>
    <row r="2098" spans="107:197">
      <c r="DC2098"/>
      <c r="FH2098"/>
      <c r="FI2098"/>
      <c r="FJ2098"/>
      <c r="FK2098"/>
      <c r="FL2098"/>
      <c r="FM2098"/>
      <c r="FN2098"/>
      <c r="FO2098"/>
      <c r="FP2098"/>
      <c r="FQ2098"/>
      <c r="FR2098"/>
      <c r="FS2098"/>
      <c r="FT2098"/>
      <c r="FU2098"/>
      <c r="FV2098"/>
      <c r="FW2098"/>
      <c r="FX2098"/>
      <c r="FY2098"/>
      <c r="FZ2098"/>
      <c r="GA2098"/>
      <c r="GB2098"/>
      <c r="GC2098"/>
      <c r="GD2098"/>
      <c r="GE2098"/>
      <c r="GF2098"/>
      <c r="GG2098"/>
      <c r="GH2098"/>
      <c r="GI2098"/>
      <c r="GJ2098"/>
      <c r="GK2098"/>
      <c r="GL2098"/>
      <c r="GM2098"/>
      <c r="GN2098"/>
      <c r="GO2098"/>
    </row>
    <row r="2099" spans="107:197">
      <c r="DC2099"/>
      <c r="FH2099"/>
      <c r="FI2099"/>
      <c r="FJ2099"/>
      <c r="FK2099"/>
      <c r="FL2099"/>
      <c r="FM2099"/>
      <c r="FN2099"/>
      <c r="FO2099"/>
      <c r="FP2099"/>
      <c r="FQ2099"/>
      <c r="FR2099"/>
      <c r="FS2099"/>
      <c r="FT2099"/>
      <c r="FU2099"/>
      <c r="FV2099"/>
      <c r="FW2099"/>
      <c r="FX2099"/>
      <c r="FY2099"/>
      <c r="FZ2099"/>
      <c r="GA2099"/>
      <c r="GB2099"/>
      <c r="GC2099"/>
      <c r="GD2099"/>
      <c r="GE2099"/>
      <c r="GF2099"/>
      <c r="GG2099"/>
      <c r="GH2099"/>
      <c r="GI2099"/>
      <c r="GJ2099"/>
      <c r="GK2099"/>
      <c r="GL2099"/>
      <c r="GM2099"/>
      <c r="GN2099"/>
      <c r="GO2099"/>
    </row>
    <row r="2100" spans="107:197">
      <c r="DC2100"/>
      <c r="FH2100"/>
      <c r="FI2100"/>
      <c r="FJ2100"/>
      <c r="FK2100"/>
      <c r="FL2100"/>
      <c r="FM2100"/>
      <c r="FN2100"/>
      <c r="FO2100"/>
      <c r="FP2100"/>
      <c r="FQ2100"/>
      <c r="FR2100"/>
      <c r="FS2100"/>
      <c r="FT2100"/>
      <c r="FU2100"/>
      <c r="FV2100"/>
      <c r="FW2100"/>
      <c r="FX2100"/>
      <c r="FY2100"/>
      <c r="FZ2100"/>
      <c r="GA2100"/>
      <c r="GB2100"/>
      <c r="GC2100"/>
      <c r="GD2100"/>
      <c r="GE2100"/>
      <c r="GF2100"/>
      <c r="GG2100"/>
      <c r="GH2100"/>
      <c r="GI2100"/>
      <c r="GJ2100"/>
      <c r="GK2100"/>
      <c r="GL2100"/>
      <c r="GM2100"/>
      <c r="GN2100"/>
      <c r="GO2100"/>
    </row>
    <row r="2101" spans="107:197">
      <c r="DC2101"/>
      <c r="FH2101"/>
      <c r="FI2101"/>
      <c r="FJ2101"/>
      <c r="FK2101"/>
      <c r="FL2101"/>
      <c r="FM2101"/>
      <c r="FN2101"/>
      <c r="FO2101"/>
      <c r="FP2101"/>
      <c r="FQ2101"/>
      <c r="FR2101"/>
      <c r="FS2101"/>
      <c r="FT2101"/>
      <c r="FU2101"/>
      <c r="FV2101"/>
      <c r="FW2101"/>
      <c r="FX2101"/>
      <c r="FY2101"/>
      <c r="FZ2101"/>
      <c r="GA2101"/>
      <c r="GB2101"/>
      <c r="GC2101"/>
      <c r="GD2101"/>
      <c r="GE2101"/>
      <c r="GF2101"/>
      <c r="GG2101"/>
      <c r="GH2101"/>
      <c r="GI2101"/>
      <c r="GJ2101"/>
      <c r="GK2101"/>
      <c r="GL2101"/>
      <c r="GM2101"/>
      <c r="GN2101"/>
      <c r="GO2101"/>
    </row>
    <row r="2102" spans="107:197">
      <c r="DC2102"/>
      <c r="FH2102"/>
      <c r="FI2102"/>
      <c r="FJ2102"/>
      <c r="FK2102"/>
      <c r="FL2102"/>
      <c r="FM2102"/>
      <c r="FN2102"/>
      <c r="FO2102"/>
      <c r="FP2102"/>
      <c r="FQ2102"/>
      <c r="FR2102"/>
      <c r="FS2102"/>
      <c r="FT2102"/>
      <c r="FU2102"/>
      <c r="FV2102"/>
      <c r="FW2102"/>
      <c r="FX2102"/>
      <c r="FY2102"/>
      <c r="FZ2102"/>
      <c r="GA2102"/>
      <c r="GB2102"/>
      <c r="GC2102"/>
      <c r="GD2102"/>
      <c r="GE2102"/>
      <c r="GF2102"/>
      <c r="GG2102"/>
      <c r="GH2102"/>
      <c r="GI2102"/>
      <c r="GJ2102"/>
      <c r="GK2102"/>
      <c r="GL2102"/>
      <c r="GM2102"/>
      <c r="GN2102"/>
      <c r="GO2102"/>
    </row>
    <row r="2103" spans="107:197">
      <c r="DC2103"/>
      <c r="FH2103"/>
      <c r="FI2103"/>
      <c r="FJ2103"/>
      <c r="FK2103"/>
      <c r="FL2103"/>
      <c r="FM2103"/>
      <c r="FN2103"/>
      <c r="FO2103"/>
      <c r="FP2103"/>
      <c r="FQ2103"/>
      <c r="FR2103"/>
      <c r="FS2103"/>
      <c r="FT2103"/>
      <c r="FU2103"/>
      <c r="FV2103"/>
      <c r="FW2103"/>
      <c r="FX2103"/>
      <c r="FY2103"/>
      <c r="FZ2103"/>
      <c r="GA2103"/>
      <c r="GB2103"/>
      <c r="GC2103"/>
      <c r="GD2103"/>
      <c r="GE2103"/>
      <c r="GF2103"/>
      <c r="GG2103"/>
      <c r="GH2103"/>
      <c r="GI2103"/>
      <c r="GJ2103"/>
      <c r="GK2103"/>
      <c r="GL2103"/>
      <c r="GM2103"/>
      <c r="GN2103"/>
      <c r="GO2103"/>
    </row>
    <row r="2104" spans="107:197">
      <c r="DC2104"/>
      <c r="FH2104"/>
      <c r="FI2104"/>
      <c r="FJ2104"/>
      <c r="FK2104"/>
      <c r="FL2104"/>
      <c r="FM2104"/>
      <c r="FN2104"/>
      <c r="FO2104"/>
      <c r="FP2104"/>
      <c r="FQ2104"/>
      <c r="FR2104"/>
      <c r="FS2104"/>
      <c r="FT2104"/>
      <c r="FU2104"/>
      <c r="FV2104"/>
      <c r="FW2104"/>
      <c r="FX2104"/>
      <c r="FY2104"/>
      <c r="FZ2104"/>
      <c r="GA2104"/>
      <c r="GB2104"/>
      <c r="GC2104"/>
      <c r="GD2104"/>
      <c r="GE2104"/>
      <c r="GF2104"/>
      <c r="GG2104"/>
      <c r="GH2104"/>
      <c r="GI2104"/>
      <c r="GJ2104"/>
      <c r="GK2104"/>
      <c r="GL2104"/>
      <c r="GM2104"/>
      <c r="GN2104"/>
      <c r="GO2104"/>
    </row>
    <row r="2105" spans="107:197">
      <c r="DC2105"/>
      <c r="FH2105"/>
      <c r="FI2105"/>
      <c r="FJ2105"/>
      <c r="FK2105"/>
      <c r="FL2105"/>
      <c r="FM2105"/>
      <c r="FN2105"/>
      <c r="FO2105"/>
      <c r="FP2105"/>
      <c r="FQ2105"/>
      <c r="FR2105"/>
      <c r="FS2105"/>
      <c r="FT2105"/>
      <c r="FU2105"/>
      <c r="FV2105"/>
      <c r="FW2105"/>
      <c r="FX2105"/>
      <c r="FY2105"/>
      <c r="FZ2105"/>
      <c r="GA2105"/>
      <c r="GB2105"/>
      <c r="GC2105"/>
      <c r="GD2105"/>
      <c r="GE2105"/>
      <c r="GF2105"/>
      <c r="GG2105"/>
      <c r="GH2105"/>
      <c r="GI2105"/>
      <c r="GJ2105"/>
      <c r="GK2105"/>
      <c r="GL2105"/>
      <c r="GM2105"/>
      <c r="GN2105"/>
      <c r="GO2105"/>
    </row>
    <row r="2106" spans="107:197">
      <c r="DC2106"/>
      <c r="FH2106"/>
      <c r="FI2106"/>
      <c r="FJ2106"/>
      <c r="FK2106"/>
      <c r="FL2106"/>
      <c r="FM2106"/>
      <c r="FN2106"/>
      <c r="FO2106"/>
      <c r="FP2106"/>
      <c r="FQ2106"/>
      <c r="FR2106"/>
      <c r="FS2106"/>
      <c r="FT2106"/>
      <c r="FU2106"/>
      <c r="FV2106"/>
      <c r="FW2106"/>
      <c r="FX2106"/>
      <c r="FY2106"/>
      <c r="FZ2106"/>
      <c r="GA2106"/>
      <c r="GB2106"/>
      <c r="GC2106"/>
      <c r="GD2106"/>
      <c r="GE2106"/>
      <c r="GF2106"/>
      <c r="GG2106"/>
      <c r="GH2106"/>
      <c r="GI2106"/>
      <c r="GJ2106"/>
      <c r="GK2106"/>
      <c r="GL2106"/>
      <c r="GM2106"/>
      <c r="GN2106"/>
      <c r="GO2106"/>
    </row>
    <row r="2107" spans="107:197">
      <c r="DC2107"/>
      <c r="FH2107"/>
      <c r="FI2107"/>
      <c r="FJ2107"/>
      <c r="FK2107"/>
      <c r="FL2107"/>
      <c r="FM2107"/>
      <c r="FN2107"/>
      <c r="FO2107"/>
      <c r="FP2107"/>
      <c r="FQ2107"/>
      <c r="FR2107"/>
      <c r="FS2107"/>
      <c r="FT2107"/>
      <c r="FU2107"/>
      <c r="FV2107"/>
      <c r="FW2107"/>
      <c r="FX2107"/>
      <c r="FY2107"/>
      <c r="FZ2107"/>
      <c r="GA2107"/>
      <c r="GB2107"/>
      <c r="GC2107"/>
      <c r="GD2107"/>
      <c r="GE2107"/>
      <c r="GF2107"/>
      <c r="GG2107"/>
      <c r="GH2107"/>
      <c r="GI2107"/>
      <c r="GJ2107"/>
      <c r="GK2107"/>
      <c r="GL2107"/>
      <c r="GM2107"/>
      <c r="GN2107"/>
      <c r="GO2107"/>
    </row>
    <row r="2108" spans="107:197">
      <c r="DC2108"/>
      <c r="FH2108"/>
      <c r="FI2108"/>
      <c r="FJ2108"/>
      <c r="FK2108"/>
      <c r="FL2108"/>
      <c r="FM2108"/>
      <c r="FN2108"/>
      <c r="FO2108"/>
      <c r="FP2108"/>
      <c r="FQ2108"/>
      <c r="FR2108"/>
      <c r="FS2108"/>
      <c r="FT2108"/>
      <c r="FU2108"/>
      <c r="FV2108"/>
      <c r="FW2108"/>
      <c r="FX2108"/>
      <c r="FY2108"/>
      <c r="FZ2108"/>
      <c r="GA2108"/>
      <c r="GB2108"/>
      <c r="GC2108"/>
      <c r="GD2108"/>
      <c r="GE2108"/>
      <c r="GF2108"/>
      <c r="GG2108"/>
      <c r="GH2108"/>
      <c r="GI2108"/>
      <c r="GJ2108"/>
      <c r="GK2108"/>
      <c r="GL2108"/>
      <c r="GM2108"/>
      <c r="GN2108"/>
      <c r="GO2108"/>
    </row>
    <row r="2109" spans="107:197">
      <c r="DC2109"/>
      <c r="FH2109"/>
      <c r="FI2109"/>
      <c r="FJ2109"/>
      <c r="FK2109"/>
      <c r="FL2109"/>
      <c r="FM2109"/>
      <c r="FN2109"/>
      <c r="FO2109"/>
      <c r="FP2109"/>
      <c r="FQ2109"/>
      <c r="FR2109"/>
      <c r="FS2109"/>
      <c r="FT2109"/>
      <c r="FU2109"/>
      <c r="FV2109"/>
      <c r="FW2109"/>
      <c r="FX2109"/>
      <c r="FY2109"/>
      <c r="FZ2109"/>
      <c r="GA2109"/>
      <c r="GB2109"/>
      <c r="GC2109"/>
      <c r="GD2109"/>
      <c r="GE2109"/>
      <c r="GF2109"/>
      <c r="GG2109"/>
      <c r="GH2109"/>
      <c r="GI2109"/>
      <c r="GJ2109"/>
      <c r="GK2109"/>
      <c r="GL2109"/>
      <c r="GM2109"/>
      <c r="GN2109"/>
      <c r="GO2109"/>
    </row>
    <row r="2110" spans="107:197">
      <c r="DC2110"/>
      <c r="FH2110"/>
      <c r="FI2110"/>
      <c r="FJ2110"/>
      <c r="FK2110"/>
      <c r="FL2110"/>
      <c r="FM2110"/>
      <c r="FN2110"/>
      <c r="FO2110"/>
      <c r="FP2110"/>
      <c r="FQ2110"/>
      <c r="FR2110"/>
      <c r="FS2110"/>
      <c r="FT2110"/>
      <c r="FU2110"/>
      <c r="FV2110"/>
      <c r="FW2110"/>
      <c r="FX2110"/>
      <c r="FY2110"/>
      <c r="FZ2110"/>
      <c r="GA2110"/>
      <c r="GB2110"/>
      <c r="GC2110"/>
      <c r="GD2110"/>
      <c r="GE2110"/>
      <c r="GF2110"/>
      <c r="GG2110"/>
      <c r="GH2110"/>
      <c r="GI2110"/>
      <c r="GJ2110"/>
      <c r="GK2110"/>
      <c r="GL2110"/>
      <c r="GM2110"/>
      <c r="GN2110"/>
      <c r="GO2110"/>
    </row>
    <row r="2111" spans="107:197">
      <c r="DC2111"/>
      <c r="FH2111"/>
      <c r="FI2111"/>
      <c r="FJ2111"/>
      <c r="FK2111"/>
      <c r="FL2111"/>
      <c r="FM2111"/>
      <c r="FN2111"/>
      <c r="FO2111"/>
      <c r="FP2111"/>
      <c r="FQ2111"/>
      <c r="FR2111"/>
      <c r="FS2111"/>
      <c r="FT2111"/>
      <c r="FU2111"/>
      <c r="FV2111"/>
      <c r="FW2111"/>
      <c r="FX2111"/>
      <c r="FY2111"/>
      <c r="FZ2111"/>
      <c r="GA2111"/>
      <c r="GB2111"/>
      <c r="GC2111"/>
      <c r="GD2111"/>
      <c r="GE2111"/>
      <c r="GF2111"/>
      <c r="GG2111"/>
      <c r="GH2111"/>
      <c r="GI2111"/>
      <c r="GJ2111"/>
      <c r="GK2111"/>
      <c r="GL2111"/>
      <c r="GM2111"/>
      <c r="GN2111"/>
      <c r="GO2111"/>
    </row>
    <row r="2112" spans="107:197">
      <c r="DC2112"/>
      <c r="FH2112"/>
      <c r="FI2112"/>
      <c r="FJ2112"/>
      <c r="FK2112"/>
      <c r="FL2112"/>
      <c r="FM2112"/>
      <c r="FN2112"/>
      <c r="FO2112"/>
      <c r="FP2112"/>
      <c r="FQ2112"/>
      <c r="FR2112"/>
      <c r="FS2112"/>
      <c r="FT2112"/>
      <c r="FU2112"/>
      <c r="FV2112"/>
      <c r="FW2112"/>
      <c r="FX2112"/>
      <c r="FY2112"/>
      <c r="FZ2112"/>
      <c r="GA2112"/>
      <c r="GB2112"/>
      <c r="GC2112"/>
      <c r="GD2112"/>
      <c r="GE2112"/>
      <c r="GF2112"/>
      <c r="GG2112"/>
      <c r="GH2112"/>
      <c r="GI2112"/>
      <c r="GJ2112"/>
      <c r="GK2112"/>
      <c r="GL2112"/>
      <c r="GM2112"/>
      <c r="GN2112"/>
      <c r="GO2112"/>
    </row>
    <row r="2113" spans="107:197">
      <c r="DC2113"/>
      <c r="FH2113"/>
      <c r="FI2113"/>
      <c r="FJ2113"/>
      <c r="FK2113"/>
      <c r="FL2113"/>
      <c r="FM2113"/>
      <c r="FN2113"/>
      <c r="FO2113"/>
      <c r="FP2113"/>
      <c r="FQ2113"/>
      <c r="FR2113"/>
      <c r="FS2113"/>
      <c r="FT2113"/>
      <c r="FU2113"/>
      <c r="FV2113"/>
      <c r="FW2113"/>
      <c r="FX2113"/>
      <c r="FY2113"/>
      <c r="FZ2113"/>
      <c r="GA2113"/>
      <c r="GB2113"/>
      <c r="GC2113"/>
      <c r="GD2113"/>
      <c r="GE2113"/>
      <c r="GF2113"/>
      <c r="GG2113"/>
      <c r="GH2113"/>
      <c r="GI2113"/>
      <c r="GJ2113"/>
      <c r="GK2113"/>
      <c r="GL2113"/>
      <c r="GM2113"/>
      <c r="GN2113"/>
      <c r="GO2113"/>
    </row>
    <row r="2114" spans="107:197">
      <c r="DC2114"/>
      <c r="FH2114"/>
      <c r="FI2114"/>
      <c r="FJ2114"/>
      <c r="FK2114"/>
      <c r="FL2114"/>
      <c r="FM2114"/>
      <c r="FN2114"/>
      <c r="FO2114"/>
      <c r="FP2114"/>
      <c r="FQ2114"/>
      <c r="FR2114"/>
      <c r="FS2114"/>
      <c r="FT2114"/>
      <c r="FU2114"/>
      <c r="FV2114"/>
      <c r="FW2114"/>
      <c r="FX2114"/>
      <c r="FY2114"/>
      <c r="FZ2114"/>
      <c r="GA2114"/>
      <c r="GB2114"/>
      <c r="GC2114"/>
      <c r="GD2114"/>
      <c r="GE2114"/>
      <c r="GF2114"/>
      <c r="GG2114"/>
      <c r="GH2114"/>
      <c r="GI2114"/>
      <c r="GJ2114"/>
      <c r="GK2114"/>
      <c r="GL2114"/>
      <c r="GM2114"/>
      <c r="GN2114"/>
      <c r="GO2114"/>
    </row>
    <row r="2115" spans="107:197">
      <c r="DC2115"/>
      <c r="FH2115"/>
      <c r="FI2115"/>
      <c r="FJ2115"/>
      <c r="FK2115"/>
      <c r="FL2115"/>
      <c r="FM2115"/>
      <c r="FN2115"/>
      <c r="FO2115"/>
      <c r="FP2115"/>
      <c r="FQ2115"/>
      <c r="FR2115"/>
      <c r="FS2115"/>
      <c r="FT2115"/>
      <c r="FU2115"/>
      <c r="FV2115"/>
      <c r="FW2115"/>
      <c r="FX2115"/>
      <c r="FY2115"/>
      <c r="FZ2115"/>
      <c r="GA2115"/>
      <c r="GB2115"/>
      <c r="GC2115"/>
      <c r="GD2115"/>
      <c r="GE2115"/>
      <c r="GF2115"/>
      <c r="GG2115"/>
      <c r="GH2115"/>
      <c r="GI2115"/>
      <c r="GJ2115"/>
      <c r="GK2115"/>
      <c r="GL2115"/>
      <c r="GM2115"/>
      <c r="GN2115"/>
      <c r="GO2115"/>
    </row>
    <row r="2116" spans="107:197">
      <c r="DC2116"/>
      <c r="FH2116"/>
      <c r="FI2116"/>
      <c r="FJ2116"/>
      <c r="FK2116"/>
      <c r="FL2116"/>
      <c r="FM2116"/>
      <c r="FN2116"/>
      <c r="FO2116"/>
      <c r="FP2116"/>
      <c r="FQ2116"/>
      <c r="FR2116"/>
      <c r="FS2116"/>
      <c r="FT2116"/>
      <c r="FU2116"/>
      <c r="FV2116"/>
      <c r="FW2116"/>
      <c r="FX2116"/>
      <c r="FY2116"/>
      <c r="FZ2116"/>
      <c r="GA2116"/>
      <c r="GB2116"/>
      <c r="GC2116"/>
      <c r="GD2116"/>
      <c r="GE2116"/>
      <c r="GF2116"/>
      <c r="GG2116"/>
      <c r="GH2116"/>
      <c r="GI2116"/>
      <c r="GJ2116"/>
      <c r="GK2116"/>
      <c r="GL2116"/>
      <c r="GM2116"/>
      <c r="GN2116"/>
      <c r="GO2116"/>
    </row>
    <row r="2117" spans="107:197">
      <c r="DC2117"/>
      <c r="FH2117"/>
      <c r="FI2117"/>
      <c r="FJ2117"/>
      <c r="FK2117"/>
      <c r="FL2117"/>
      <c r="FM2117"/>
      <c r="FN2117"/>
      <c r="FO2117"/>
      <c r="FP2117"/>
      <c r="FQ2117"/>
      <c r="FR2117"/>
      <c r="FS2117"/>
      <c r="FT2117"/>
      <c r="FU2117"/>
      <c r="FV2117"/>
      <c r="FW2117"/>
      <c r="FX2117"/>
      <c r="FY2117"/>
      <c r="FZ2117"/>
      <c r="GA2117"/>
      <c r="GB2117"/>
      <c r="GC2117"/>
      <c r="GD2117"/>
      <c r="GE2117"/>
      <c r="GF2117"/>
      <c r="GG2117"/>
      <c r="GH2117"/>
      <c r="GI2117"/>
      <c r="GJ2117"/>
      <c r="GK2117"/>
      <c r="GL2117"/>
      <c r="GM2117"/>
      <c r="GN2117"/>
      <c r="GO2117"/>
    </row>
    <row r="2118" spans="107:197">
      <c r="DC2118"/>
      <c r="FH2118"/>
      <c r="FI2118"/>
      <c r="FJ2118"/>
      <c r="FK2118"/>
      <c r="FL2118"/>
      <c r="FM2118"/>
      <c r="FN2118"/>
      <c r="FO2118"/>
      <c r="FP2118"/>
      <c r="FQ2118"/>
      <c r="FR2118"/>
      <c r="FS2118"/>
      <c r="FT2118"/>
      <c r="FU2118"/>
      <c r="FV2118"/>
      <c r="FW2118"/>
      <c r="FX2118"/>
      <c r="FY2118"/>
      <c r="FZ2118"/>
      <c r="GA2118"/>
      <c r="GB2118"/>
      <c r="GC2118"/>
      <c r="GD2118"/>
      <c r="GE2118"/>
      <c r="GF2118"/>
      <c r="GG2118"/>
      <c r="GH2118"/>
      <c r="GI2118"/>
      <c r="GJ2118"/>
      <c r="GK2118"/>
      <c r="GL2118"/>
      <c r="GM2118"/>
      <c r="GN2118"/>
      <c r="GO2118"/>
    </row>
    <row r="2119" spans="107:197">
      <c r="DC2119"/>
      <c r="FH2119"/>
      <c r="FI2119"/>
      <c r="FJ2119"/>
      <c r="FK2119"/>
      <c r="FL2119"/>
      <c r="FM2119"/>
      <c r="FN2119"/>
      <c r="FO2119"/>
      <c r="FP2119"/>
      <c r="FQ2119"/>
      <c r="FR2119"/>
      <c r="FS2119"/>
      <c r="FT2119"/>
      <c r="FU2119"/>
      <c r="FV2119"/>
      <c r="FW2119"/>
      <c r="FX2119"/>
      <c r="FY2119"/>
      <c r="FZ2119"/>
      <c r="GA2119"/>
      <c r="GB2119"/>
      <c r="GC2119"/>
      <c r="GD2119"/>
      <c r="GE2119"/>
      <c r="GF2119"/>
      <c r="GG2119"/>
      <c r="GH2119"/>
      <c r="GI2119"/>
      <c r="GJ2119"/>
      <c r="GK2119"/>
      <c r="GL2119"/>
      <c r="GM2119"/>
      <c r="GN2119"/>
      <c r="GO2119"/>
    </row>
    <row r="2120" spans="107:197">
      <c r="DC2120"/>
      <c r="FH2120"/>
      <c r="FI2120"/>
      <c r="FJ2120"/>
      <c r="FK2120"/>
      <c r="FL2120"/>
      <c r="FM2120"/>
      <c r="FN2120"/>
      <c r="FO2120"/>
      <c r="FP2120"/>
      <c r="FQ2120"/>
      <c r="FR2120"/>
      <c r="FS2120"/>
      <c r="FT2120"/>
      <c r="FU2120"/>
      <c r="FV2120"/>
      <c r="FW2120"/>
      <c r="FX2120"/>
      <c r="FY2120"/>
      <c r="FZ2120"/>
      <c r="GA2120"/>
      <c r="GB2120"/>
      <c r="GC2120"/>
      <c r="GD2120"/>
      <c r="GE2120"/>
      <c r="GF2120"/>
      <c r="GG2120"/>
      <c r="GH2120"/>
      <c r="GI2120"/>
      <c r="GJ2120"/>
      <c r="GK2120"/>
      <c r="GL2120"/>
      <c r="GM2120"/>
      <c r="GN2120"/>
      <c r="GO2120"/>
    </row>
    <row r="2121" spans="107:197">
      <c r="DC2121"/>
      <c r="FH2121"/>
      <c r="FI2121"/>
      <c r="FJ2121"/>
      <c r="FK2121"/>
      <c r="FL2121"/>
      <c r="FM2121"/>
      <c r="FN2121"/>
      <c r="FO2121"/>
      <c r="FP2121"/>
      <c r="FQ2121"/>
      <c r="FR2121"/>
      <c r="FS2121"/>
      <c r="FT2121"/>
      <c r="FU2121"/>
      <c r="FV2121"/>
      <c r="FW2121"/>
      <c r="FX2121"/>
      <c r="FY2121"/>
      <c r="FZ2121"/>
      <c r="GA2121"/>
      <c r="GB2121"/>
      <c r="GC2121"/>
      <c r="GD2121"/>
      <c r="GE2121"/>
      <c r="GF2121"/>
      <c r="GG2121"/>
      <c r="GH2121"/>
      <c r="GI2121"/>
      <c r="GJ2121"/>
      <c r="GK2121"/>
      <c r="GL2121"/>
      <c r="GM2121"/>
      <c r="GN2121"/>
      <c r="GO2121"/>
    </row>
    <row r="2122" spans="107:197">
      <c r="DC2122"/>
      <c r="FH2122"/>
      <c r="FI2122"/>
      <c r="FJ2122"/>
      <c r="FK2122"/>
      <c r="FL2122"/>
      <c r="FM2122"/>
      <c r="FN2122"/>
      <c r="FO2122"/>
      <c r="FP2122"/>
      <c r="FQ2122"/>
      <c r="FR2122"/>
      <c r="FS2122"/>
      <c r="FT2122"/>
      <c r="FU2122"/>
      <c r="FV2122"/>
      <c r="FW2122"/>
      <c r="FX2122"/>
      <c r="FY2122"/>
      <c r="FZ2122"/>
      <c r="GA2122"/>
      <c r="GB2122"/>
      <c r="GC2122"/>
      <c r="GD2122"/>
      <c r="GE2122"/>
      <c r="GF2122"/>
      <c r="GG2122"/>
      <c r="GH2122"/>
      <c r="GI2122"/>
      <c r="GJ2122"/>
      <c r="GK2122"/>
      <c r="GL2122"/>
      <c r="GM2122"/>
      <c r="GN2122"/>
      <c r="GO2122"/>
    </row>
    <row r="2123" spans="107:197">
      <c r="DC2123"/>
      <c r="FH2123"/>
      <c r="FI2123"/>
      <c r="FJ2123"/>
      <c r="FK2123"/>
      <c r="FL2123"/>
      <c r="FM2123"/>
      <c r="FN2123"/>
      <c r="FO2123"/>
      <c r="FP2123"/>
      <c r="FQ2123"/>
      <c r="FR2123"/>
      <c r="FS2123"/>
      <c r="FT2123"/>
      <c r="FU2123"/>
      <c r="FV2123"/>
      <c r="FW2123"/>
      <c r="FX2123"/>
      <c r="FY2123"/>
      <c r="FZ2123"/>
      <c r="GA2123"/>
      <c r="GB2123"/>
      <c r="GC2123"/>
      <c r="GD2123"/>
      <c r="GE2123"/>
      <c r="GF2123"/>
      <c r="GG2123"/>
      <c r="GH2123"/>
      <c r="GI2123"/>
      <c r="GJ2123"/>
      <c r="GK2123"/>
      <c r="GL2123"/>
      <c r="GM2123"/>
      <c r="GN2123"/>
      <c r="GO2123"/>
    </row>
    <row r="2124" spans="107:197">
      <c r="DC2124"/>
      <c r="FH2124"/>
      <c r="FI2124"/>
      <c r="FJ2124"/>
      <c r="FK2124"/>
      <c r="FL2124"/>
      <c r="FM2124"/>
      <c r="FN2124"/>
      <c r="FO2124"/>
      <c r="FP2124"/>
      <c r="FQ2124"/>
      <c r="FR2124"/>
      <c r="FS2124"/>
      <c r="FT2124"/>
      <c r="FU2124"/>
      <c r="FV2124"/>
      <c r="FW2124"/>
      <c r="FX2124"/>
      <c r="FY2124"/>
      <c r="FZ2124"/>
      <c r="GA2124"/>
      <c r="GB2124"/>
      <c r="GC2124"/>
      <c r="GD2124"/>
      <c r="GE2124"/>
      <c r="GF2124"/>
      <c r="GG2124"/>
      <c r="GH2124"/>
      <c r="GI2124"/>
      <c r="GJ2124"/>
      <c r="GK2124"/>
      <c r="GL2124"/>
      <c r="GM2124"/>
      <c r="GN2124"/>
      <c r="GO2124"/>
    </row>
    <row r="2125" spans="107:197">
      <c r="DC2125"/>
      <c r="FH2125"/>
      <c r="FI2125"/>
      <c r="FJ2125"/>
      <c r="FK2125"/>
      <c r="FL2125"/>
      <c r="FM2125"/>
      <c r="FN2125"/>
      <c r="FO2125"/>
      <c r="FP2125"/>
      <c r="FQ2125"/>
      <c r="FR2125"/>
      <c r="FS2125"/>
      <c r="FT2125"/>
      <c r="FU2125"/>
      <c r="FV2125"/>
      <c r="FW2125"/>
      <c r="FX2125"/>
      <c r="FY2125"/>
      <c r="FZ2125"/>
      <c r="GA2125"/>
      <c r="GB2125"/>
      <c r="GC2125"/>
      <c r="GD2125"/>
      <c r="GE2125"/>
      <c r="GF2125"/>
      <c r="GG2125"/>
      <c r="GH2125"/>
      <c r="GI2125"/>
      <c r="GJ2125"/>
      <c r="GK2125"/>
      <c r="GL2125"/>
      <c r="GM2125"/>
      <c r="GN2125"/>
      <c r="GO2125"/>
    </row>
    <row r="2126" spans="107:197">
      <c r="DC2126"/>
      <c r="FH2126"/>
      <c r="FI2126"/>
      <c r="FJ2126"/>
      <c r="FK2126"/>
      <c r="FL2126"/>
      <c r="FM2126"/>
      <c r="FN2126"/>
      <c r="FO2126"/>
      <c r="FP2126"/>
      <c r="FQ2126"/>
      <c r="FR2126"/>
      <c r="FS2126"/>
      <c r="FT2126"/>
      <c r="FU2126"/>
      <c r="FV2126"/>
      <c r="FW2126"/>
      <c r="FX2126"/>
      <c r="FY2126"/>
      <c r="FZ2126"/>
      <c r="GA2126"/>
      <c r="GB2126"/>
      <c r="GC2126"/>
      <c r="GD2126"/>
      <c r="GE2126"/>
      <c r="GF2126"/>
      <c r="GG2126"/>
      <c r="GH2126"/>
      <c r="GI2126"/>
      <c r="GJ2126"/>
      <c r="GK2126"/>
      <c r="GL2126"/>
      <c r="GM2126"/>
      <c r="GN2126"/>
      <c r="GO2126"/>
    </row>
    <row r="2127" spans="107:197">
      <c r="DC2127"/>
      <c r="FH2127"/>
      <c r="FI2127"/>
      <c r="FJ2127"/>
      <c r="FK2127"/>
      <c r="FL2127"/>
      <c r="FM2127"/>
      <c r="FN2127"/>
      <c r="FO2127"/>
      <c r="FP2127"/>
      <c r="FQ2127"/>
      <c r="FR2127"/>
      <c r="FS2127"/>
      <c r="FT2127"/>
      <c r="FU2127"/>
      <c r="FV2127"/>
      <c r="FW2127"/>
      <c r="FX2127"/>
      <c r="FY2127"/>
      <c r="FZ2127"/>
      <c r="GA2127"/>
      <c r="GB2127"/>
      <c r="GC2127"/>
      <c r="GD2127"/>
      <c r="GE2127"/>
      <c r="GF2127"/>
      <c r="GG2127"/>
      <c r="GH2127"/>
      <c r="GI2127"/>
      <c r="GJ2127"/>
      <c r="GK2127"/>
      <c r="GL2127"/>
      <c r="GM2127"/>
      <c r="GN2127"/>
      <c r="GO2127"/>
    </row>
    <row r="2128" spans="107:197">
      <c r="DC2128"/>
      <c r="FH2128"/>
      <c r="FI2128"/>
      <c r="FJ2128"/>
      <c r="FK2128"/>
      <c r="FL2128"/>
      <c r="FM2128"/>
      <c r="FN2128"/>
      <c r="FO2128"/>
      <c r="FP2128"/>
      <c r="FQ2128"/>
      <c r="FR2128"/>
      <c r="FS2128"/>
      <c r="FT2128"/>
      <c r="FU2128"/>
      <c r="FV2128"/>
      <c r="FW2128"/>
      <c r="FX2128"/>
      <c r="FY2128"/>
      <c r="FZ2128"/>
      <c r="GA2128"/>
      <c r="GB2128"/>
      <c r="GC2128"/>
      <c r="GD2128"/>
      <c r="GE2128"/>
      <c r="GF2128"/>
      <c r="GG2128"/>
      <c r="GH2128"/>
      <c r="GI2128"/>
      <c r="GJ2128"/>
      <c r="GK2128"/>
      <c r="GL2128"/>
      <c r="GM2128"/>
      <c r="GN2128"/>
      <c r="GO2128"/>
    </row>
    <row r="2129" spans="107:197">
      <c r="DC2129"/>
      <c r="FH2129"/>
      <c r="FI2129"/>
      <c r="FJ2129"/>
      <c r="FK2129"/>
      <c r="FL2129"/>
      <c r="FM2129"/>
      <c r="FN2129"/>
      <c r="FO2129"/>
      <c r="FP2129"/>
      <c r="FQ2129"/>
      <c r="FR2129"/>
      <c r="FS2129"/>
      <c r="FT2129"/>
      <c r="FU2129"/>
      <c r="FV2129"/>
      <c r="FW2129"/>
      <c r="FX2129"/>
      <c r="FY2129"/>
      <c r="FZ2129"/>
      <c r="GA2129"/>
      <c r="GB2129"/>
      <c r="GC2129"/>
      <c r="GD2129"/>
      <c r="GE2129"/>
      <c r="GF2129"/>
      <c r="GG2129"/>
      <c r="GH2129"/>
      <c r="GI2129"/>
      <c r="GJ2129"/>
      <c r="GK2129"/>
      <c r="GL2129"/>
      <c r="GM2129"/>
      <c r="GN2129"/>
      <c r="GO2129"/>
    </row>
    <row r="2130" spans="107:197">
      <c r="DC2130"/>
      <c r="FH2130"/>
      <c r="FI2130"/>
      <c r="FJ2130"/>
      <c r="FK2130"/>
      <c r="FL2130"/>
      <c r="FM2130"/>
      <c r="FN2130"/>
      <c r="FO2130"/>
      <c r="FP2130"/>
      <c r="FQ2130"/>
      <c r="FR2130"/>
      <c r="FS2130"/>
      <c r="FT2130"/>
      <c r="FU2130"/>
      <c r="FV2130"/>
      <c r="FW2130"/>
      <c r="FX2130"/>
      <c r="FY2130"/>
      <c r="FZ2130"/>
      <c r="GA2130"/>
      <c r="GB2130"/>
      <c r="GC2130"/>
      <c r="GD2130"/>
      <c r="GE2130"/>
      <c r="GF2130"/>
      <c r="GG2130"/>
      <c r="GH2130"/>
      <c r="GI2130"/>
      <c r="GJ2130"/>
      <c r="GK2130"/>
      <c r="GL2130"/>
      <c r="GM2130"/>
      <c r="GN2130"/>
      <c r="GO2130"/>
    </row>
    <row r="2131" spans="107:197">
      <c r="DC2131"/>
      <c r="FH2131"/>
      <c r="FI2131"/>
      <c r="FJ2131"/>
      <c r="FK2131"/>
      <c r="FL2131"/>
      <c r="FM2131"/>
      <c r="FN2131"/>
      <c r="FO2131"/>
      <c r="FP2131"/>
      <c r="FQ2131"/>
      <c r="FR2131"/>
      <c r="FS2131"/>
      <c r="FT2131"/>
      <c r="FU2131"/>
      <c r="FV2131"/>
      <c r="FW2131"/>
      <c r="FX2131"/>
      <c r="FY2131"/>
      <c r="FZ2131"/>
      <c r="GA2131"/>
      <c r="GB2131"/>
      <c r="GC2131"/>
      <c r="GD2131"/>
      <c r="GE2131"/>
      <c r="GF2131"/>
      <c r="GG2131"/>
      <c r="GH2131"/>
      <c r="GI2131"/>
      <c r="GJ2131"/>
      <c r="GK2131"/>
      <c r="GL2131"/>
      <c r="GM2131"/>
      <c r="GN2131"/>
      <c r="GO2131"/>
    </row>
    <row r="2132" spans="107:197">
      <c r="DC2132"/>
      <c r="FH2132"/>
      <c r="FI2132"/>
      <c r="FJ2132"/>
      <c r="FK2132"/>
      <c r="FL2132"/>
      <c r="FM2132"/>
      <c r="FN2132"/>
      <c r="FO2132"/>
      <c r="FP2132"/>
      <c r="FQ2132"/>
      <c r="FR2132"/>
      <c r="FS2132"/>
      <c r="FT2132"/>
      <c r="FU2132"/>
      <c r="FV2132"/>
      <c r="FW2132"/>
      <c r="FX2132"/>
      <c r="FY2132"/>
      <c r="FZ2132"/>
      <c r="GA2132"/>
      <c r="GB2132"/>
      <c r="GC2132"/>
      <c r="GD2132"/>
      <c r="GE2132"/>
      <c r="GF2132"/>
      <c r="GG2132"/>
      <c r="GH2132"/>
      <c r="GI2132"/>
      <c r="GJ2132"/>
      <c r="GK2132"/>
      <c r="GL2132"/>
      <c r="GM2132"/>
      <c r="GN2132"/>
      <c r="GO2132"/>
    </row>
    <row r="2133" spans="107:197">
      <c r="DC2133"/>
      <c r="FH2133"/>
      <c r="FI2133"/>
      <c r="FJ2133"/>
      <c r="FK2133"/>
      <c r="FL2133"/>
      <c r="FM2133"/>
      <c r="FN2133"/>
      <c r="FO2133"/>
      <c r="FP2133"/>
      <c r="FQ2133"/>
      <c r="FR2133"/>
      <c r="FS2133"/>
      <c r="FT2133"/>
      <c r="FU2133"/>
      <c r="FV2133"/>
      <c r="FW2133"/>
      <c r="FX2133"/>
      <c r="FY2133"/>
      <c r="FZ2133"/>
      <c r="GA2133"/>
      <c r="GB2133"/>
      <c r="GC2133"/>
      <c r="GD2133"/>
      <c r="GE2133"/>
      <c r="GF2133"/>
      <c r="GG2133"/>
      <c r="GH2133"/>
      <c r="GI2133"/>
      <c r="GJ2133"/>
      <c r="GK2133"/>
      <c r="GL2133"/>
      <c r="GM2133"/>
      <c r="GN2133"/>
      <c r="GO2133"/>
    </row>
    <row r="2134" spans="107:197">
      <c r="DC2134"/>
      <c r="FH2134"/>
      <c r="FI2134"/>
      <c r="FJ2134"/>
      <c r="FK2134"/>
      <c r="FL2134"/>
      <c r="FM2134"/>
      <c r="FN2134"/>
      <c r="FO2134"/>
      <c r="FP2134"/>
      <c r="FQ2134"/>
      <c r="FR2134"/>
      <c r="FS2134"/>
      <c r="FT2134"/>
      <c r="FU2134"/>
      <c r="FV2134"/>
      <c r="FW2134"/>
      <c r="FX2134"/>
      <c r="FY2134"/>
      <c r="FZ2134"/>
      <c r="GA2134"/>
      <c r="GB2134"/>
      <c r="GC2134"/>
      <c r="GD2134"/>
      <c r="GE2134"/>
      <c r="GF2134"/>
      <c r="GG2134"/>
      <c r="GH2134"/>
      <c r="GI2134"/>
      <c r="GJ2134"/>
      <c r="GK2134"/>
      <c r="GL2134"/>
      <c r="GM2134"/>
      <c r="GN2134"/>
      <c r="GO2134"/>
    </row>
    <row r="2135" spans="107:197">
      <c r="DC2135"/>
      <c r="FH2135"/>
      <c r="FI2135"/>
      <c r="FJ2135"/>
      <c r="FK2135"/>
      <c r="FL2135"/>
      <c r="FM2135"/>
      <c r="FN2135"/>
      <c r="FO2135"/>
      <c r="FP2135"/>
      <c r="FQ2135"/>
      <c r="FR2135"/>
      <c r="FS2135"/>
      <c r="FT2135"/>
      <c r="FU2135"/>
      <c r="FV2135"/>
      <c r="FW2135"/>
      <c r="FX2135"/>
      <c r="FY2135"/>
      <c r="FZ2135"/>
      <c r="GA2135"/>
      <c r="GB2135"/>
      <c r="GC2135"/>
      <c r="GD2135"/>
      <c r="GE2135"/>
      <c r="GF2135"/>
      <c r="GG2135"/>
      <c r="GH2135"/>
      <c r="GI2135"/>
      <c r="GJ2135"/>
      <c r="GK2135"/>
      <c r="GL2135"/>
      <c r="GM2135"/>
      <c r="GN2135"/>
      <c r="GO2135"/>
    </row>
    <row r="2136" spans="107:197">
      <c r="DC2136"/>
      <c r="FH2136"/>
      <c r="FI2136"/>
      <c r="FJ2136"/>
      <c r="FK2136"/>
      <c r="FL2136"/>
      <c r="FM2136"/>
      <c r="FN2136"/>
      <c r="FO2136"/>
      <c r="FP2136"/>
      <c r="FQ2136"/>
      <c r="FR2136"/>
      <c r="FS2136"/>
      <c r="FT2136"/>
      <c r="FU2136"/>
      <c r="FV2136"/>
      <c r="FW2136"/>
      <c r="FX2136"/>
      <c r="FY2136"/>
      <c r="FZ2136"/>
      <c r="GA2136"/>
      <c r="GB2136"/>
      <c r="GC2136"/>
      <c r="GD2136"/>
      <c r="GE2136"/>
      <c r="GF2136"/>
      <c r="GG2136"/>
      <c r="GH2136"/>
      <c r="GI2136"/>
      <c r="GJ2136"/>
      <c r="GK2136"/>
      <c r="GL2136"/>
      <c r="GM2136"/>
      <c r="GN2136"/>
      <c r="GO2136"/>
    </row>
    <row r="2137" spans="107:197">
      <c r="DC2137"/>
      <c r="FH2137"/>
      <c r="FI2137"/>
      <c r="FJ2137"/>
      <c r="FK2137"/>
      <c r="FL2137"/>
      <c r="FM2137"/>
      <c r="FN2137"/>
      <c r="FO2137"/>
      <c r="FP2137"/>
      <c r="FQ2137"/>
      <c r="FR2137"/>
      <c r="FS2137"/>
      <c r="FT2137"/>
      <c r="FU2137"/>
      <c r="FV2137"/>
      <c r="FW2137"/>
      <c r="FX2137"/>
      <c r="FY2137"/>
      <c r="FZ2137"/>
      <c r="GA2137"/>
      <c r="GB2137"/>
      <c r="GC2137"/>
      <c r="GD2137"/>
      <c r="GE2137"/>
      <c r="GF2137"/>
      <c r="GG2137"/>
      <c r="GH2137"/>
      <c r="GI2137"/>
      <c r="GJ2137"/>
      <c r="GK2137"/>
      <c r="GL2137"/>
      <c r="GM2137"/>
      <c r="GN2137"/>
      <c r="GO2137"/>
    </row>
    <row r="2138" spans="107:197">
      <c r="DC2138"/>
      <c r="FH2138"/>
      <c r="FI2138"/>
      <c r="FJ2138"/>
      <c r="FK2138"/>
      <c r="FL2138"/>
      <c r="FM2138"/>
      <c r="FN2138"/>
      <c r="FO2138"/>
      <c r="FP2138"/>
      <c r="FQ2138"/>
      <c r="FR2138"/>
      <c r="FS2138"/>
      <c r="FT2138"/>
      <c r="FU2138"/>
      <c r="FV2138"/>
      <c r="FW2138"/>
      <c r="FX2138"/>
      <c r="FY2138"/>
      <c r="FZ2138"/>
      <c r="GA2138"/>
      <c r="GB2138"/>
      <c r="GC2138"/>
      <c r="GD2138"/>
      <c r="GE2138"/>
      <c r="GF2138"/>
      <c r="GG2138"/>
      <c r="GH2138"/>
      <c r="GI2138"/>
      <c r="GJ2138"/>
      <c r="GK2138"/>
      <c r="GL2138"/>
      <c r="GM2138"/>
      <c r="GN2138"/>
      <c r="GO2138"/>
    </row>
    <row r="2139" spans="107:197">
      <c r="DC2139"/>
      <c r="FH2139"/>
      <c r="FI2139"/>
      <c r="FJ2139"/>
      <c r="FK2139"/>
      <c r="FL2139"/>
      <c r="FM2139"/>
      <c r="FN2139"/>
      <c r="FO2139"/>
      <c r="FP2139"/>
      <c r="FQ2139"/>
      <c r="FR2139"/>
      <c r="FS2139"/>
      <c r="FT2139"/>
      <c r="FU2139"/>
      <c r="FV2139"/>
      <c r="FW2139"/>
      <c r="FX2139"/>
      <c r="FY2139"/>
      <c r="FZ2139"/>
      <c r="GA2139"/>
      <c r="GB2139"/>
      <c r="GC2139"/>
      <c r="GD2139"/>
      <c r="GE2139"/>
      <c r="GF2139"/>
      <c r="GG2139"/>
      <c r="GH2139"/>
      <c r="GI2139"/>
      <c r="GJ2139"/>
      <c r="GK2139"/>
      <c r="GL2139"/>
      <c r="GM2139"/>
      <c r="GN2139"/>
      <c r="GO2139"/>
    </row>
    <row r="2140" spans="107:197">
      <c r="DC2140"/>
      <c r="FH2140"/>
      <c r="FI2140"/>
      <c r="FJ2140"/>
      <c r="FK2140"/>
      <c r="FL2140"/>
      <c r="FM2140"/>
      <c r="FN2140"/>
      <c r="FO2140"/>
      <c r="FP2140"/>
      <c r="FQ2140"/>
      <c r="FR2140"/>
      <c r="FS2140"/>
      <c r="FT2140"/>
      <c r="FU2140"/>
      <c r="FV2140"/>
      <c r="FW2140"/>
      <c r="FX2140"/>
      <c r="FY2140"/>
      <c r="FZ2140"/>
      <c r="GA2140"/>
      <c r="GB2140"/>
      <c r="GC2140"/>
      <c r="GD2140"/>
      <c r="GE2140"/>
      <c r="GF2140"/>
      <c r="GG2140"/>
      <c r="GH2140"/>
      <c r="GI2140"/>
      <c r="GJ2140"/>
      <c r="GK2140"/>
      <c r="GL2140"/>
      <c r="GM2140"/>
      <c r="GN2140"/>
      <c r="GO2140"/>
    </row>
    <row r="2141" spans="107:197">
      <c r="DC2141"/>
      <c r="FH2141"/>
      <c r="FI2141"/>
      <c r="FJ2141"/>
      <c r="FK2141"/>
      <c r="FL2141"/>
      <c r="FM2141"/>
      <c r="FN2141"/>
      <c r="FO2141"/>
      <c r="FP2141"/>
      <c r="FQ2141"/>
      <c r="FR2141"/>
      <c r="FS2141"/>
      <c r="FT2141"/>
      <c r="FU2141"/>
      <c r="FV2141"/>
      <c r="FW2141"/>
      <c r="FX2141"/>
      <c r="FY2141"/>
      <c r="FZ2141"/>
      <c r="GA2141"/>
      <c r="GB2141"/>
      <c r="GC2141"/>
      <c r="GD2141"/>
      <c r="GE2141"/>
      <c r="GF2141"/>
      <c r="GG2141"/>
      <c r="GH2141"/>
      <c r="GI2141"/>
      <c r="GJ2141"/>
      <c r="GK2141"/>
      <c r="GL2141"/>
      <c r="GM2141"/>
      <c r="GN2141"/>
      <c r="GO2141"/>
    </row>
    <row r="2142" spans="107:197">
      <c r="DC2142"/>
      <c r="FH2142"/>
      <c r="FI2142"/>
      <c r="FJ2142"/>
      <c r="FK2142"/>
      <c r="FL2142"/>
      <c r="FM2142"/>
      <c r="FN2142"/>
      <c r="FO2142"/>
      <c r="FP2142"/>
      <c r="FQ2142"/>
      <c r="FR2142"/>
      <c r="FS2142"/>
      <c r="FT2142"/>
      <c r="FU2142"/>
      <c r="FV2142"/>
      <c r="FW2142"/>
      <c r="FX2142"/>
      <c r="FY2142"/>
      <c r="FZ2142"/>
      <c r="GA2142"/>
      <c r="GB2142"/>
      <c r="GC2142"/>
      <c r="GD2142"/>
      <c r="GE2142"/>
      <c r="GF2142"/>
      <c r="GG2142"/>
      <c r="GH2142"/>
      <c r="GI2142"/>
      <c r="GJ2142"/>
      <c r="GK2142"/>
      <c r="GL2142"/>
      <c r="GM2142"/>
      <c r="GN2142"/>
      <c r="GO2142"/>
    </row>
    <row r="2143" spans="107:197">
      <c r="DC2143"/>
      <c r="FH2143"/>
      <c r="FI2143"/>
      <c r="FJ2143"/>
      <c r="FK2143"/>
      <c r="FL2143"/>
      <c r="FM2143"/>
      <c r="FN2143"/>
      <c r="FO2143"/>
      <c r="FP2143"/>
      <c r="FQ2143"/>
      <c r="FR2143"/>
      <c r="FS2143"/>
      <c r="FT2143"/>
      <c r="FU2143"/>
      <c r="FV2143"/>
      <c r="FW2143"/>
      <c r="FX2143"/>
      <c r="FY2143"/>
      <c r="FZ2143"/>
      <c r="GA2143"/>
      <c r="GB2143"/>
      <c r="GC2143"/>
      <c r="GD2143"/>
      <c r="GE2143"/>
      <c r="GF2143"/>
      <c r="GG2143"/>
      <c r="GH2143"/>
      <c r="GI2143"/>
      <c r="GJ2143"/>
      <c r="GK2143"/>
      <c r="GL2143"/>
      <c r="GM2143"/>
      <c r="GN2143"/>
      <c r="GO2143"/>
    </row>
    <row r="2144" spans="107:197">
      <c r="DC2144"/>
      <c r="FH2144"/>
      <c r="FI2144"/>
      <c r="FJ2144"/>
      <c r="FK2144"/>
      <c r="FL2144"/>
      <c r="FM2144"/>
      <c r="FN2144"/>
      <c r="FO2144"/>
      <c r="FP2144"/>
      <c r="FQ2144"/>
      <c r="FR2144"/>
      <c r="FS2144"/>
      <c r="FT2144"/>
      <c r="FU2144"/>
      <c r="FV2144"/>
      <c r="FW2144"/>
      <c r="FX2144"/>
      <c r="FY2144"/>
      <c r="FZ2144"/>
      <c r="GA2144"/>
      <c r="GB2144"/>
      <c r="GC2144"/>
      <c r="GD2144"/>
      <c r="GE2144"/>
      <c r="GF2144"/>
      <c r="GG2144"/>
      <c r="GH2144"/>
      <c r="GI2144"/>
      <c r="GJ2144"/>
      <c r="GK2144"/>
      <c r="GL2144"/>
      <c r="GM2144"/>
      <c r="GN2144"/>
      <c r="GO2144"/>
    </row>
    <row r="2145" spans="107:197">
      <c r="DC2145"/>
      <c r="FH2145"/>
      <c r="FI2145"/>
      <c r="FJ2145"/>
      <c r="FK2145"/>
      <c r="FL2145"/>
      <c r="FM2145"/>
      <c r="FN2145"/>
      <c r="FO2145"/>
      <c r="FP2145"/>
      <c r="FQ2145"/>
      <c r="FR2145"/>
      <c r="FS2145"/>
      <c r="FT2145"/>
      <c r="FU2145"/>
      <c r="FV2145"/>
      <c r="FW2145"/>
      <c r="FX2145"/>
      <c r="FY2145"/>
      <c r="FZ2145"/>
      <c r="GA2145"/>
      <c r="GB2145"/>
      <c r="GC2145"/>
      <c r="GD2145"/>
      <c r="GE2145"/>
      <c r="GF2145"/>
      <c r="GG2145"/>
      <c r="GH2145"/>
      <c r="GI2145"/>
      <c r="GJ2145"/>
      <c r="GK2145"/>
      <c r="GL2145"/>
      <c r="GM2145"/>
      <c r="GN2145"/>
      <c r="GO2145"/>
    </row>
    <row r="2146" spans="107:197">
      <c r="DC2146"/>
      <c r="FH2146"/>
      <c r="FI2146"/>
      <c r="FJ2146"/>
      <c r="FK2146"/>
      <c r="FL2146"/>
      <c r="FM2146"/>
      <c r="FN2146"/>
      <c r="FO2146"/>
      <c r="FP2146"/>
      <c r="FQ2146"/>
      <c r="FR2146"/>
      <c r="FS2146"/>
      <c r="FT2146"/>
      <c r="FU2146"/>
      <c r="FV2146"/>
      <c r="FW2146"/>
      <c r="FX2146"/>
      <c r="FY2146"/>
      <c r="FZ2146"/>
      <c r="GA2146"/>
      <c r="GB2146"/>
      <c r="GC2146"/>
      <c r="GD2146"/>
      <c r="GE2146"/>
      <c r="GF2146"/>
      <c r="GG2146"/>
      <c r="GH2146"/>
      <c r="GI2146"/>
      <c r="GJ2146"/>
      <c r="GK2146"/>
      <c r="GL2146"/>
      <c r="GM2146"/>
      <c r="GN2146"/>
      <c r="GO2146"/>
    </row>
    <row r="2147" spans="107:197">
      <c r="DC2147"/>
      <c r="FH2147"/>
      <c r="FI2147"/>
      <c r="FJ2147"/>
      <c r="FK2147"/>
      <c r="FL2147"/>
      <c r="FM2147"/>
      <c r="FN2147"/>
      <c r="FO2147"/>
      <c r="FP2147"/>
      <c r="FQ2147"/>
      <c r="FR2147"/>
      <c r="FS2147"/>
      <c r="FT2147"/>
      <c r="FU2147"/>
      <c r="FV2147"/>
      <c r="FW2147"/>
      <c r="FX2147"/>
      <c r="FY2147"/>
      <c r="FZ2147"/>
      <c r="GA2147"/>
      <c r="GB2147"/>
      <c r="GC2147"/>
      <c r="GD2147"/>
      <c r="GE2147"/>
      <c r="GF2147"/>
      <c r="GG2147"/>
      <c r="GH2147"/>
      <c r="GI2147"/>
      <c r="GJ2147"/>
      <c r="GK2147"/>
      <c r="GL2147"/>
      <c r="GM2147"/>
      <c r="GN2147"/>
      <c r="GO2147"/>
    </row>
    <row r="2148" spans="107:197">
      <c r="DC2148"/>
      <c r="FH2148"/>
      <c r="FI2148"/>
      <c r="FJ2148"/>
      <c r="FK2148"/>
      <c r="FL2148"/>
      <c r="FM2148"/>
      <c r="FN2148"/>
      <c r="FO2148"/>
      <c r="FP2148"/>
      <c r="FQ2148"/>
      <c r="FR2148"/>
      <c r="FS2148"/>
      <c r="FT2148"/>
      <c r="FU2148"/>
      <c r="FV2148"/>
      <c r="FW2148"/>
      <c r="FX2148"/>
      <c r="FY2148"/>
      <c r="FZ2148"/>
      <c r="GA2148"/>
      <c r="GB2148"/>
      <c r="GC2148"/>
      <c r="GD2148"/>
      <c r="GE2148"/>
      <c r="GF2148"/>
      <c r="GG2148"/>
      <c r="GH2148"/>
      <c r="GI2148"/>
      <c r="GJ2148"/>
      <c r="GK2148"/>
      <c r="GL2148"/>
      <c r="GM2148"/>
      <c r="GN2148"/>
      <c r="GO2148"/>
    </row>
    <row r="2149" spans="107:197">
      <c r="DC2149"/>
      <c r="FH2149"/>
      <c r="FI2149"/>
      <c r="FJ2149"/>
      <c r="FK2149"/>
      <c r="FL2149"/>
      <c r="FM2149"/>
      <c r="FN2149"/>
      <c r="FO2149"/>
      <c r="FP2149"/>
      <c r="FQ2149"/>
      <c r="FR2149"/>
      <c r="FS2149"/>
      <c r="FT2149"/>
      <c r="FU2149"/>
      <c r="FV2149"/>
      <c r="FW2149"/>
      <c r="FX2149"/>
      <c r="FY2149"/>
      <c r="FZ2149"/>
      <c r="GA2149"/>
      <c r="GB2149"/>
      <c r="GC2149"/>
      <c r="GD2149"/>
      <c r="GE2149"/>
      <c r="GF2149"/>
      <c r="GG2149"/>
      <c r="GH2149"/>
      <c r="GI2149"/>
      <c r="GJ2149"/>
      <c r="GK2149"/>
      <c r="GL2149"/>
      <c r="GM2149"/>
      <c r="GN2149"/>
      <c r="GO2149"/>
    </row>
    <row r="2150" spans="107:197">
      <c r="DC2150"/>
      <c r="FH2150"/>
      <c r="FI2150"/>
      <c r="FJ2150"/>
      <c r="FK2150"/>
      <c r="FL2150"/>
      <c r="FM2150"/>
      <c r="FN2150"/>
      <c r="FO2150"/>
      <c r="FP2150"/>
      <c r="FQ2150"/>
      <c r="FR2150"/>
      <c r="FS2150"/>
      <c r="FT2150"/>
      <c r="FU2150"/>
      <c r="FV2150"/>
      <c r="FW2150"/>
      <c r="FX2150"/>
      <c r="FY2150"/>
      <c r="FZ2150"/>
      <c r="GA2150"/>
      <c r="GB2150"/>
      <c r="GC2150"/>
      <c r="GD2150"/>
      <c r="GE2150"/>
      <c r="GF2150"/>
      <c r="GG2150"/>
      <c r="GH2150"/>
      <c r="GI2150"/>
      <c r="GJ2150"/>
      <c r="GK2150"/>
      <c r="GL2150"/>
      <c r="GM2150"/>
      <c r="GN2150"/>
      <c r="GO2150"/>
    </row>
    <row r="2151" spans="107:197">
      <c r="DC2151"/>
      <c r="FH2151"/>
      <c r="FI2151"/>
      <c r="FJ2151"/>
      <c r="FK2151"/>
      <c r="FL2151"/>
      <c r="FM2151"/>
      <c r="FN2151"/>
      <c r="FO2151"/>
      <c r="FP2151"/>
      <c r="FQ2151"/>
      <c r="FR2151"/>
      <c r="FS2151"/>
      <c r="FT2151"/>
      <c r="FU2151"/>
      <c r="FV2151"/>
      <c r="FW2151"/>
      <c r="FX2151"/>
      <c r="FY2151"/>
      <c r="FZ2151"/>
      <c r="GA2151"/>
      <c r="GB2151"/>
      <c r="GC2151"/>
      <c r="GD2151"/>
      <c r="GE2151"/>
      <c r="GF2151"/>
      <c r="GG2151"/>
      <c r="GH2151"/>
      <c r="GI2151"/>
      <c r="GJ2151"/>
      <c r="GK2151"/>
      <c r="GL2151"/>
      <c r="GM2151"/>
      <c r="GN2151"/>
      <c r="GO2151"/>
    </row>
    <row r="2152" spans="107:197">
      <c r="DC2152"/>
      <c r="FH2152"/>
      <c r="FI2152"/>
      <c r="FJ2152"/>
      <c r="FK2152"/>
      <c r="FL2152"/>
      <c r="FM2152"/>
      <c r="FN2152"/>
      <c r="FO2152"/>
      <c r="FP2152"/>
      <c r="FQ2152"/>
      <c r="FR2152"/>
      <c r="FS2152"/>
      <c r="FT2152"/>
      <c r="FU2152"/>
      <c r="FV2152"/>
      <c r="FW2152"/>
      <c r="FX2152"/>
      <c r="FY2152"/>
      <c r="FZ2152"/>
      <c r="GA2152"/>
      <c r="GB2152"/>
      <c r="GC2152"/>
      <c r="GD2152"/>
      <c r="GE2152"/>
      <c r="GF2152"/>
      <c r="GG2152"/>
      <c r="GH2152"/>
      <c r="GI2152"/>
      <c r="GJ2152"/>
      <c r="GK2152"/>
      <c r="GL2152"/>
      <c r="GM2152"/>
      <c r="GN2152"/>
      <c r="GO2152"/>
    </row>
    <row r="2153" spans="107:197">
      <c r="DC2153"/>
      <c r="FH2153"/>
      <c r="FI2153"/>
      <c r="FJ2153"/>
      <c r="FK2153"/>
      <c r="FL2153"/>
      <c r="FM2153"/>
      <c r="FN2153"/>
      <c r="FO2153"/>
      <c r="FP2153"/>
      <c r="FQ2153"/>
      <c r="FR2153"/>
      <c r="FS2153"/>
      <c r="FT2153"/>
      <c r="FU2153"/>
      <c r="FV2153"/>
      <c r="FW2153"/>
      <c r="FX2153"/>
      <c r="FY2153"/>
      <c r="FZ2153"/>
      <c r="GA2153"/>
      <c r="GB2153"/>
      <c r="GC2153"/>
      <c r="GD2153"/>
      <c r="GE2153"/>
      <c r="GF2153"/>
      <c r="GG2153"/>
      <c r="GH2153"/>
      <c r="GI2153"/>
      <c r="GJ2153"/>
      <c r="GK2153"/>
      <c r="GL2153"/>
      <c r="GM2153"/>
      <c r="GN2153"/>
      <c r="GO2153"/>
    </row>
    <row r="2154" spans="107:197">
      <c r="DC2154"/>
      <c r="FH2154"/>
      <c r="FI2154"/>
      <c r="FJ2154"/>
      <c r="FK2154"/>
      <c r="FL2154"/>
      <c r="FM2154"/>
      <c r="FN2154"/>
      <c r="FO2154"/>
      <c r="FP2154"/>
      <c r="FQ2154"/>
      <c r="FR2154"/>
      <c r="FS2154"/>
      <c r="FT2154"/>
      <c r="FU2154"/>
      <c r="FV2154"/>
      <c r="FW2154"/>
      <c r="FX2154"/>
      <c r="FY2154"/>
      <c r="FZ2154"/>
      <c r="GA2154"/>
      <c r="GB2154"/>
      <c r="GC2154"/>
      <c r="GD2154"/>
      <c r="GE2154"/>
      <c r="GF2154"/>
      <c r="GG2154"/>
      <c r="GH2154"/>
      <c r="GI2154"/>
      <c r="GJ2154"/>
      <c r="GK2154"/>
      <c r="GL2154"/>
      <c r="GM2154"/>
      <c r="GN2154"/>
      <c r="GO2154"/>
    </row>
    <row r="2155" spans="107:197">
      <c r="DC2155"/>
      <c r="FH2155"/>
      <c r="FI2155"/>
      <c r="FJ2155"/>
      <c r="FK2155"/>
      <c r="FL2155"/>
      <c r="FM2155"/>
      <c r="FN2155"/>
      <c r="FO2155"/>
      <c r="FP2155"/>
      <c r="FQ2155"/>
      <c r="FR2155"/>
      <c r="FS2155"/>
      <c r="FT2155"/>
      <c r="FU2155"/>
      <c r="FV2155"/>
      <c r="FW2155"/>
      <c r="FX2155"/>
      <c r="FY2155"/>
      <c r="FZ2155"/>
      <c r="GA2155"/>
      <c r="GB2155"/>
      <c r="GC2155"/>
      <c r="GD2155"/>
      <c r="GE2155"/>
      <c r="GF2155"/>
      <c r="GG2155"/>
      <c r="GH2155"/>
      <c r="GI2155"/>
      <c r="GJ2155"/>
      <c r="GK2155"/>
      <c r="GL2155"/>
      <c r="GM2155"/>
      <c r="GN2155"/>
      <c r="GO2155"/>
    </row>
    <row r="2156" spans="107:197">
      <c r="DC2156"/>
      <c r="FH2156"/>
      <c r="FI2156"/>
      <c r="FJ2156"/>
      <c r="FK2156"/>
      <c r="FL2156"/>
      <c r="FM2156"/>
      <c r="FN2156"/>
      <c r="FO2156"/>
      <c r="FP2156"/>
      <c r="FQ2156"/>
      <c r="FR2156"/>
      <c r="FS2156"/>
      <c r="FT2156"/>
      <c r="FU2156"/>
      <c r="FV2156"/>
      <c r="FW2156"/>
      <c r="FX2156"/>
      <c r="FY2156"/>
      <c r="FZ2156"/>
      <c r="GA2156"/>
      <c r="GB2156"/>
      <c r="GC2156"/>
      <c r="GD2156"/>
      <c r="GE2156"/>
      <c r="GF2156"/>
      <c r="GG2156"/>
      <c r="GH2156"/>
      <c r="GI2156"/>
      <c r="GJ2156"/>
      <c r="GK2156"/>
      <c r="GL2156"/>
      <c r="GM2156"/>
      <c r="GN2156"/>
      <c r="GO2156"/>
    </row>
    <row r="2157" spans="107:197">
      <c r="DC2157"/>
      <c r="FH2157"/>
      <c r="FI2157"/>
      <c r="FJ2157"/>
      <c r="FK2157"/>
      <c r="FL2157"/>
      <c r="FM2157"/>
      <c r="FN2157"/>
      <c r="FO2157"/>
      <c r="FP2157"/>
      <c r="FQ2157"/>
      <c r="FR2157"/>
      <c r="FS2157"/>
      <c r="FT2157"/>
      <c r="FU2157"/>
      <c r="FV2157"/>
      <c r="FW2157"/>
      <c r="FX2157"/>
      <c r="FY2157"/>
      <c r="FZ2157"/>
      <c r="GA2157"/>
      <c r="GB2157"/>
      <c r="GC2157"/>
      <c r="GD2157"/>
      <c r="GE2157"/>
      <c r="GF2157"/>
      <c r="GG2157"/>
      <c r="GH2157"/>
      <c r="GI2157"/>
      <c r="GJ2157"/>
      <c r="GK2157"/>
      <c r="GL2157"/>
      <c r="GM2157"/>
      <c r="GN2157"/>
      <c r="GO2157"/>
    </row>
    <row r="2158" spans="107:197">
      <c r="DC2158"/>
      <c r="FH2158"/>
      <c r="FI2158"/>
      <c r="FJ2158"/>
      <c r="FK2158"/>
      <c r="FL2158"/>
      <c r="FM2158"/>
      <c r="FN2158"/>
      <c r="FO2158"/>
      <c r="FP2158"/>
      <c r="FQ2158"/>
      <c r="FR2158"/>
      <c r="FS2158"/>
      <c r="FT2158"/>
      <c r="FU2158"/>
      <c r="FV2158"/>
      <c r="FW2158"/>
      <c r="FX2158"/>
      <c r="FY2158"/>
      <c r="FZ2158"/>
      <c r="GA2158"/>
      <c r="GB2158"/>
      <c r="GC2158"/>
      <c r="GD2158"/>
      <c r="GE2158"/>
      <c r="GF2158"/>
      <c r="GG2158"/>
      <c r="GH2158"/>
      <c r="GI2158"/>
      <c r="GJ2158"/>
      <c r="GK2158"/>
      <c r="GL2158"/>
      <c r="GM2158"/>
      <c r="GN2158"/>
      <c r="GO2158"/>
    </row>
    <row r="2159" spans="107:197">
      <c r="DC2159"/>
      <c r="FH2159"/>
      <c r="FI2159"/>
      <c r="FJ2159"/>
      <c r="FK2159"/>
      <c r="FL2159"/>
      <c r="FM2159"/>
      <c r="FN2159"/>
      <c r="FO2159"/>
      <c r="FP2159"/>
      <c r="FQ2159"/>
      <c r="FR2159"/>
      <c r="FS2159"/>
      <c r="FT2159"/>
      <c r="FU2159"/>
      <c r="FV2159"/>
      <c r="FW2159"/>
      <c r="FX2159"/>
      <c r="FY2159"/>
      <c r="FZ2159"/>
      <c r="GA2159"/>
      <c r="GB2159"/>
      <c r="GC2159"/>
      <c r="GD2159"/>
      <c r="GE2159"/>
      <c r="GF2159"/>
      <c r="GG2159"/>
      <c r="GH2159"/>
      <c r="GI2159"/>
      <c r="GJ2159"/>
      <c r="GK2159"/>
      <c r="GL2159"/>
      <c r="GM2159"/>
      <c r="GN2159"/>
      <c r="GO2159"/>
    </row>
    <row r="2160" spans="107:197">
      <c r="DC2160"/>
      <c r="FH2160"/>
      <c r="FI2160"/>
      <c r="FJ2160"/>
      <c r="FK2160"/>
      <c r="FL2160"/>
      <c r="FM2160"/>
      <c r="FN2160"/>
      <c r="FO2160"/>
      <c r="FP2160"/>
      <c r="FQ2160"/>
      <c r="FR2160"/>
      <c r="FS2160"/>
      <c r="FT2160"/>
      <c r="FU2160"/>
      <c r="FV2160"/>
      <c r="FW2160"/>
      <c r="FX2160"/>
      <c r="FY2160"/>
      <c r="FZ2160"/>
      <c r="GA2160"/>
      <c r="GB2160"/>
      <c r="GC2160"/>
      <c r="GD2160"/>
      <c r="GE2160"/>
      <c r="GF2160"/>
      <c r="GG2160"/>
      <c r="GH2160"/>
      <c r="GI2160"/>
      <c r="GJ2160"/>
      <c r="GK2160"/>
      <c r="GL2160"/>
      <c r="GM2160"/>
      <c r="GN2160"/>
      <c r="GO2160"/>
    </row>
    <row r="2161" spans="107:197">
      <c r="DC2161"/>
      <c r="FH2161"/>
      <c r="FI2161"/>
      <c r="FJ2161"/>
      <c r="FK2161"/>
      <c r="FL2161"/>
      <c r="FM2161"/>
      <c r="FN2161"/>
      <c r="FO2161"/>
      <c r="FP2161"/>
      <c r="FQ2161"/>
      <c r="FR2161"/>
      <c r="FS2161"/>
      <c r="FT2161"/>
      <c r="FU2161"/>
      <c r="FV2161"/>
      <c r="FW2161"/>
      <c r="FX2161"/>
      <c r="FY2161"/>
      <c r="FZ2161"/>
      <c r="GA2161"/>
      <c r="GB2161"/>
      <c r="GC2161"/>
      <c r="GD2161"/>
      <c r="GE2161"/>
      <c r="GF2161"/>
      <c r="GG2161"/>
      <c r="GH2161"/>
      <c r="GI2161"/>
      <c r="GJ2161"/>
      <c r="GK2161"/>
      <c r="GL2161"/>
      <c r="GM2161"/>
      <c r="GN2161"/>
      <c r="GO2161"/>
    </row>
    <row r="2162" spans="107:197">
      <c r="DC2162"/>
      <c r="FH2162"/>
      <c r="FI2162"/>
      <c r="FJ2162"/>
      <c r="FK2162"/>
      <c r="FL2162"/>
      <c r="FM2162"/>
      <c r="FN2162"/>
      <c r="FO2162"/>
      <c r="FP2162"/>
      <c r="FQ2162"/>
      <c r="FR2162"/>
      <c r="FS2162"/>
      <c r="FT2162"/>
      <c r="FU2162"/>
      <c r="FV2162"/>
      <c r="FW2162"/>
      <c r="FX2162"/>
      <c r="FY2162"/>
      <c r="FZ2162"/>
      <c r="GA2162"/>
      <c r="GB2162"/>
      <c r="GC2162"/>
      <c r="GD2162"/>
      <c r="GE2162"/>
      <c r="GF2162"/>
      <c r="GG2162"/>
      <c r="GH2162"/>
      <c r="GI2162"/>
      <c r="GJ2162"/>
      <c r="GK2162"/>
      <c r="GL2162"/>
      <c r="GM2162"/>
      <c r="GN2162"/>
      <c r="GO2162"/>
    </row>
    <row r="2163" spans="107:197">
      <c r="DC2163"/>
      <c r="FH2163"/>
      <c r="FI2163"/>
      <c r="FJ2163"/>
      <c r="FK2163"/>
      <c r="FL2163"/>
      <c r="FM2163"/>
      <c r="FN2163"/>
      <c r="FO2163"/>
      <c r="FP2163"/>
      <c r="FQ2163"/>
      <c r="FR2163"/>
      <c r="FS2163"/>
      <c r="FT2163"/>
      <c r="FU2163"/>
      <c r="FV2163"/>
      <c r="FW2163"/>
      <c r="FX2163"/>
      <c r="FY2163"/>
      <c r="FZ2163"/>
      <c r="GA2163"/>
      <c r="GB2163"/>
      <c r="GC2163"/>
      <c r="GD2163"/>
      <c r="GE2163"/>
      <c r="GF2163"/>
      <c r="GG2163"/>
      <c r="GH2163"/>
      <c r="GI2163"/>
      <c r="GJ2163"/>
      <c r="GK2163"/>
      <c r="GL2163"/>
      <c r="GM2163"/>
      <c r="GN2163"/>
      <c r="GO2163"/>
    </row>
    <row r="2164" spans="107:197">
      <c r="DC2164"/>
      <c r="FH2164"/>
      <c r="FI2164"/>
      <c r="FJ2164"/>
      <c r="FK2164"/>
      <c r="FL2164"/>
      <c r="FM2164"/>
      <c r="FN2164"/>
      <c r="FO2164"/>
      <c r="FP2164"/>
      <c r="FQ2164"/>
      <c r="FR2164"/>
      <c r="FS2164"/>
      <c r="FT2164"/>
      <c r="FU2164"/>
      <c r="FV2164"/>
      <c r="FW2164"/>
      <c r="FX2164"/>
      <c r="FY2164"/>
      <c r="FZ2164"/>
      <c r="GA2164"/>
      <c r="GB2164"/>
      <c r="GC2164"/>
      <c r="GD2164"/>
      <c r="GE2164"/>
      <c r="GF2164"/>
      <c r="GG2164"/>
      <c r="GH2164"/>
      <c r="GI2164"/>
      <c r="GJ2164"/>
      <c r="GK2164"/>
      <c r="GL2164"/>
      <c r="GM2164"/>
      <c r="GN2164"/>
      <c r="GO2164"/>
    </row>
    <row r="2165" spans="107:197">
      <c r="DC2165"/>
      <c r="FH2165"/>
      <c r="FI2165"/>
      <c r="FJ2165"/>
      <c r="FK2165"/>
      <c r="FL2165"/>
      <c r="FM2165"/>
      <c r="FN2165"/>
      <c r="FO2165"/>
      <c r="FP2165"/>
      <c r="FQ2165"/>
      <c r="FR2165"/>
      <c r="FS2165"/>
      <c r="FT2165"/>
      <c r="FU2165"/>
      <c r="FV2165"/>
      <c r="FW2165"/>
      <c r="FX2165"/>
      <c r="FY2165"/>
      <c r="FZ2165"/>
      <c r="GA2165"/>
      <c r="GB2165"/>
      <c r="GC2165"/>
      <c r="GD2165"/>
      <c r="GE2165"/>
      <c r="GF2165"/>
      <c r="GG2165"/>
      <c r="GH2165"/>
      <c r="GI2165"/>
      <c r="GJ2165"/>
      <c r="GK2165"/>
      <c r="GL2165"/>
      <c r="GM2165"/>
      <c r="GN2165"/>
      <c r="GO2165"/>
    </row>
    <row r="2166" spans="107:197">
      <c r="DC2166"/>
      <c r="FH2166"/>
      <c r="FI2166"/>
      <c r="FJ2166"/>
      <c r="FK2166"/>
      <c r="FL2166"/>
      <c r="FM2166"/>
      <c r="FN2166"/>
      <c r="FO2166"/>
      <c r="FP2166"/>
      <c r="FQ2166"/>
      <c r="FR2166"/>
      <c r="FS2166"/>
      <c r="FT2166"/>
      <c r="FU2166"/>
      <c r="FV2166"/>
      <c r="FW2166"/>
      <c r="FX2166"/>
      <c r="FY2166"/>
      <c r="FZ2166"/>
      <c r="GA2166"/>
      <c r="GB2166"/>
      <c r="GC2166"/>
      <c r="GD2166"/>
      <c r="GE2166"/>
      <c r="GF2166"/>
      <c r="GG2166"/>
      <c r="GH2166"/>
      <c r="GI2166"/>
      <c r="GJ2166"/>
      <c r="GK2166"/>
      <c r="GL2166"/>
      <c r="GM2166"/>
      <c r="GN2166"/>
      <c r="GO2166"/>
    </row>
    <row r="2167" spans="107:197">
      <c r="DC2167"/>
      <c r="FH2167"/>
      <c r="FI2167"/>
      <c r="FJ2167"/>
      <c r="FK2167"/>
      <c r="FL2167"/>
      <c r="FM2167"/>
      <c r="FN2167"/>
      <c r="FO2167"/>
      <c r="FP2167"/>
      <c r="FQ2167"/>
      <c r="FR2167"/>
      <c r="FS2167"/>
      <c r="FT2167"/>
      <c r="FU2167"/>
      <c r="FV2167"/>
      <c r="FW2167"/>
      <c r="FX2167"/>
      <c r="FY2167"/>
      <c r="FZ2167"/>
      <c r="GA2167"/>
      <c r="GB2167"/>
      <c r="GC2167"/>
      <c r="GD2167"/>
      <c r="GE2167"/>
      <c r="GF2167"/>
      <c r="GG2167"/>
      <c r="GH2167"/>
      <c r="GI2167"/>
      <c r="GJ2167"/>
      <c r="GK2167"/>
      <c r="GL2167"/>
      <c r="GM2167"/>
      <c r="GN2167"/>
      <c r="GO2167"/>
    </row>
    <row r="2168" spans="107:197">
      <c r="DC2168"/>
      <c r="FH2168"/>
      <c r="FI2168"/>
      <c r="FJ2168"/>
      <c r="FK2168"/>
      <c r="FL2168"/>
      <c r="FM2168"/>
      <c r="FN2168"/>
      <c r="FO2168"/>
      <c r="FP2168"/>
      <c r="FQ2168"/>
      <c r="FR2168"/>
      <c r="FS2168"/>
      <c r="FT2168"/>
      <c r="FU2168"/>
      <c r="FV2168"/>
      <c r="FW2168"/>
      <c r="FX2168"/>
      <c r="FY2168"/>
      <c r="FZ2168"/>
      <c r="GA2168"/>
      <c r="GB2168"/>
      <c r="GC2168"/>
      <c r="GD2168"/>
      <c r="GE2168"/>
      <c r="GF2168"/>
      <c r="GG2168"/>
      <c r="GH2168"/>
      <c r="GI2168"/>
      <c r="GJ2168"/>
      <c r="GK2168"/>
      <c r="GL2168"/>
      <c r="GM2168"/>
      <c r="GN2168"/>
      <c r="GO2168"/>
    </row>
    <row r="2169" spans="107:197">
      <c r="DC2169"/>
      <c r="FH2169"/>
      <c r="FI2169"/>
      <c r="FJ2169"/>
      <c r="FK2169"/>
      <c r="FL2169"/>
      <c r="FM2169"/>
      <c r="FN2169"/>
      <c r="FO2169"/>
      <c r="FP2169"/>
      <c r="FQ2169"/>
      <c r="FR2169"/>
      <c r="FS2169"/>
      <c r="FT2169"/>
      <c r="FU2169"/>
      <c r="FV2169"/>
      <c r="FW2169"/>
      <c r="FX2169"/>
      <c r="FY2169"/>
      <c r="FZ2169"/>
      <c r="GA2169"/>
      <c r="GB2169"/>
      <c r="GC2169"/>
      <c r="GD2169"/>
      <c r="GE2169"/>
      <c r="GF2169"/>
      <c r="GG2169"/>
      <c r="GH2169"/>
      <c r="GI2169"/>
      <c r="GJ2169"/>
      <c r="GK2169"/>
      <c r="GL2169"/>
      <c r="GM2169"/>
      <c r="GN2169"/>
      <c r="GO2169"/>
    </row>
    <row r="2170" spans="107:197">
      <c r="DC2170"/>
      <c r="FH2170"/>
      <c r="FI2170"/>
      <c r="FJ2170"/>
      <c r="FK2170"/>
      <c r="FL2170"/>
      <c r="FM2170"/>
      <c r="FN2170"/>
      <c r="FO2170"/>
      <c r="FP2170"/>
      <c r="FQ2170"/>
      <c r="FR2170"/>
      <c r="FS2170"/>
      <c r="FT2170"/>
      <c r="FU2170"/>
      <c r="FV2170"/>
      <c r="FW2170"/>
      <c r="FX2170"/>
      <c r="FY2170"/>
      <c r="FZ2170"/>
      <c r="GA2170"/>
      <c r="GB2170"/>
      <c r="GC2170"/>
      <c r="GD2170"/>
      <c r="GE2170"/>
      <c r="GF2170"/>
      <c r="GG2170"/>
      <c r="GH2170"/>
      <c r="GI2170"/>
      <c r="GJ2170"/>
      <c r="GK2170"/>
      <c r="GL2170"/>
      <c r="GM2170"/>
      <c r="GN2170"/>
      <c r="GO2170"/>
    </row>
    <row r="2171" spans="107:197">
      <c r="DC2171"/>
      <c r="FH2171"/>
      <c r="FI2171"/>
      <c r="FJ2171"/>
      <c r="FK2171"/>
      <c r="FL2171"/>
      <c r="FM2171"/>
      <c r="FN2171"/>
      <c r="FO2171"/>
      <c r="FP2171"/>
      <c r="FQ2171"/>
      <c r="FR2171"/>
      <c r="FS2171"/>
      <c r="FT2171"/>
      <c r="FU2171"/>
      <c r="FV2171"/>
      <c r="FW2171"/>
      <c r="FX2171"/>
      <c r="FY2171"/>
      <c r="FZ2171"/>
      <c r="GA2171"/>
      <c r="GB2171"/>
      <c r="GC2171"/>
      <c r="GD2171"/>
      <c r="GE2171"/>
      <c r="GF2171"/>
      <c r="GG2171"/>
      <c r="GH2171"/>
      <c r="GI2171"/>
      <c r="GJ2171"/>
      <c r="GK2171"/>
      <c r="GL2171"/>
      <c r="GM2171"/>
      <c r="GN2171"/>
      <c r="GO2171"/>
    </row>
    <row r="2172" spans="107:197">
      <c r="DC2172"/>
      <c r="FH2172"/>
      <c r="FI2172"/>
      <c r="FJ2172"/>
      <c r="FK2172"/>
      <c r="FL2172"/>
      <c r="FM2172"/>
      <c r="FN2172"/>
      <c r="FO2172"/>
      <c r="FP2172"/>
      <c r="FQ2172"/>
      <c r="FR2172"/>
      <c r="FS2172"/>
      <c r="FT2172"/>
      <c r="FU2172"/>
      <c r="FV2172"/>
      <c r="FW2172"/>
      <c r="FX2172"/>
      <c r="FY2172"/>
      <c r="FZ2172"/>
      <c r="GA2172"/>
      <c r="GB2172"/>
      <c r="GC2172"/>
      <c r="GD2172"/>
      <c r="GE2172"/>
      <c r="GF2172"/>
      <c r="GG2172"/>
      <c r="GH2172"/>
      <c r="GI2172"/>
      <c r="GJ2172"/>
      <c r="GK2172"/>
      <c r="GL2172"/>
      <c r="GM2172"/>
      <c r="GN2172"/>
      <c r="GO2172"/>
    </row>
    <row r="2173" spans="107:197">
      <c r="DC2173"/>
      <c r="FH2173"/>
      <c r="FI2173"/>
      <c r="FJ2173"/>
      <c r="FK2173"/>
      <c r="FL2173"/>
      <c r="FM2173"/>
      <c r="FN2173"/>
      <c r="FO2173"/>
      <c r="FP2173"/>
      <c r="FQ2173"/>
      <c r="FR2173"/>
      <c r="FS2173"/>
      <c r="FT2173"/>
      <c r="FU2173"/>
      <c r="FV2173"/>
      <c r="FW2173"/>
      <c r="FX2173"/>
      <c r="FY2173"/>
      <c r="FZ2173"/>
      <c r="GA2173"/>
      <c r="GB2173"/>
      <c r="GC2173"/>
      <c r="GD2173"/>
      <c r="GE2173"/>
      <c r="GF2173"/>
      <c r="GG2173"/>
      <c r="GH2173"/>
      <c r="GI2173"/>
      <c r="GJ2173"/>
      <c r="GK2173"/>
      <c r="GL2173"/>
      <c r="GM2173"/>
      <c r="GN2173"/>
      <c r="GO2173"/>
    </row>
    <row r="2174" spans="107:197">
      <c r="DC2174"/>
      <c r="FH2174"/>
      <c r="FI2174"/>
      <c r="FJ2174"/>
      <c r="FK2174"/>
      <c r="FL2174"/>
      <c r="FM2174"/>
      <c r="FN2174"/>
      <c r="FO2174"/>
      <c r="FP2174"/>
      <c r="FQ2174"/>
      <c r="FR2174"/>
      <c r="FS2174"/>
      <c r="FT2174"/>
      <c r="FU2174"/>
      <c r="FV2174"/>
      <c r="FW2174"/>
      <c r="FX2174"/>
      <c r="FY2174"/>
      <c r="FZ2174"/>
      <c r="GA2174"/>
      <c r="GB2174"/>
      <c r="GC2174"/>
      <c r="GD2174"/>
      <c r="GE2174"/>
      <c r="GF2174"/>
      <c r="GG2174"/>
      <c r="GH2174"/>
      <c r="GI2174"/>
      <c r="GJ2174"/>
      <c r="GK2174"/>
      <c r="GL2174"/>
      <c r="GM2174"/>
      <c r="GN2174"/>
      <c r="GO2174"/>
    </row>
    <row r="2175" spans="107:197">
      <c r="DC2175"/>
      <c r="FH2175"/>
      <c r="FI2175"/>
      <c r="FJ2175"/>
      <c r="FK2175"/>
      <c r="FL2175"/>
      <c r="FM2175"/>
      <c r="FN2175"/>
      <c r="FO2175"/>
      <c r="FP2175"/>
      <c r="FQ2175"/>
      <c r="FR2175"/>
      <c r="FS2175"/>
      <c r="FT2175"/>
      <c r="FU2175"/>
      <c r="FV2175"/>
      <c r="FW2175"/>
      <c r="FX2175"/>
      <c r="FY2175"/>
      <c r="FZ2175"/>
      <c r="GA2175"/>
      <c r="GB2175"/>
      <c r="GC2175"/>
      <c r="GD2175"/>
      <c r="GE2175"/>
      <c r="GF2175"/>
      <c r="GG2175"/>
      <c r="GH2175"/>
      <c r="GI2175"/>
      <c r="GJ2175"/>
      <c r="GK2175"/>
      <c r="GL2175"/>
      <c r="GM2175"/>
      <c r="GN2175"/>
      <c r="GO2175"/>
    </row>
    <row r="2176" spans="107:197">
      <c r="DC2176"/>
      <c r="FH2176"/>
      <c r="FI2176"/>
      <c r="FJ2176"/>
      <c r="FK2176"/>
      <c r="FL2176"/>
      <c r="FM2176"/>
      <c r="FN2176"/>
      <c r="FO2176"/>
      <c r="FP2176"/>
      <c r="FQ2176"/>
      <c r="FR2176"/>
      <c r="FS2176"/>
      <c r="FT2176"/>
      <c r="FU2176"/>
      <c r="FV2176"/>
      <c r="FW2176"/>
      <c r="FX2176"/>
      <c r="FY2176"/>
      <c r="FZ2176"/>
      <c r="GA2176"/>
      <c r="GB2176"/>
      <c r="GC2176"/>
      <c r="GD2176"/>
      <c r="GE2176"/>
      <c r="GF2176"/>
      <c r="GG2176"/>
      <c r="GH2176"/>
      <c r="GI2176"/>
      <c r="GJ2176"/>
      <c r="GK2176"/>
      <c r="GL2176"/>
      <c r="GM2176"/>
      <c r="GN2176"/>
      <c r="GO2176"/>
    </row>
    <row r="2177" spans="107:197">
      <c r="DC2177"/>
      <c r="FH2177"/>
      <c r="FI2177"/>
      <c r="FJ2177"/>
      <c r="FK2177"/>
      <c r="FL2177"/>
      <c r="FM2177"/>
      <c r="FN2177"/>
      <c r="FO2177"/>
      <c r="FP2177"/>
      <c r="FQ2177"/>
      <c r="FR2177"/>
      <c r="FS2177"/>
      <c r="FT2177"/>
      <c r="FU2177"/>
      <c r="FV2177"/>
      <c r="FW2177"/>
      <c r="FX2177"/>
      <c r="FY2177"/>
      <c r="FZ2177"/>
      <c r="GA2177"/>
      <c r="GB2177"/>
      <c r="GC2177"/>
      <c r="GD2177"/>
      <c r="GE2177"/>
      <c r="GF2177"/>
      <c r="GG2177"/>
      <c r="GH2177"/>
      <c r="GI2177"/>
      <c r="GJ2177"/>
      <c r="GK2177"/>
      <c r="GL2177"/>
      <c r="GM2177"/>
      <c r="GN2177"/>
      <c r="GO2177"/>
    </row>
    <row r="2178" spans="107:197">
      <c r="DC2178"/>
      <c r="FH2178"/>
      <c r="FI2178"/>
      <c r="FJ2178"/>
      <c r="FK2178"/>
      <c r="FL2178"/>
      <c r="FM2178"/>
      <c r="FN2178"/>
      <c r="FO2178"/>
      <c r="FP2178"/>
      <c r="FQ2178"/>
      <c r="FR2178"/>
      <c r="FS2178"/>
      <c r="FT2178"/>
      <c r="FU2178"/>
      <c r="FV2178"/>
      <c r="FW2178"/>
      <c r="FX2178"/>
      <c r="FY2178"/>
      <c r="FZ2178"/>
      <c r="GA2178"/>
      <c r="GB2178"/>
      <c r="GC2178"/>
      <c r="GD2178"/>
      <c r="GE2178"/>
      <c r="GF2178"/>
      <c r="GG2178"/>
      <c r="GH2178"/>
      <c r="GI2178"/>
      <c r="GJ2178"/>
      <c r="GK2178"/>
      <c r="GL2178"/>
      <c r="GM2178"/>
      <c r="GN2178"/>
      <c r="GO2178"/>
    </row>
    <row r="2179" spans="107:197">
      <c r="DC2179"/>
      <c r="FH2179"/>
      <c r="FI2179"/>
      <c r="FJ2179"/>
      <c r="FK2179"/>
      <c r="FL2179"/>
      <c r="FM2179"/>
      <c r="FN2179"/>
      <c r="FO2179"/>
      <c r="FP2179"/>
      <c r="FQ2179"/>
      <c r="FR2179"/>
      <c r="FS2179"/>
      <c r="FT2179"/>
      <c r="FU2179"/>
      <c r="FV2179"/>
      <c r="FW2179"/>
      <c r="FX2179"/>
      <c r="FY2179"/>
      <c r="FZ2179"/>
      <c r="GA2179"/>
      <c r="GB2179"/>
      <c r="GC2179"/>
      <c r="GD2179"/>
      <c r="GE2179"/>
      <c r="GF2179"/>
      <c r="GG2179"/>
      <c r="GH2179"/>
      <c r="GI2179"/>
      <c r="GJ2179"/>
      <c r="GK2179"/>
      <c r="GL2179"/>
      <c r="GM2179"/>
      <c r="GN2179"/>
      <c r="GO2179"/>
    </row>
    <row r="2180" spans="107:197">
      <c r="DC2180"/>
      <c r="FH2180"/>
      <c r="FI2180"/>
      <c r="FJ2180"/>
      <c r="FK2180"/>
      <c r="FL2180"/>
      <c r="FM2180"/>
      <c r="FN2180"/>
      <c r="FO2180"/>
      <c r="FP2180"/>
      <c r="FQ2180"/>
      <c r="FR2180"/>
      <c r="FS2180"/>
      <c r="FT2180"/>
      <c r="FU2180"/>
      <c r="FV2180"/>
      <c r="FW2180"/>
      <c r="FX2180"/>
      <c r="FY2180"/>
      <c r="FZ2180"/>
      <c r="GA2180"/>
      <c r="GB2180"/>
      <c r="GC2180"/>
      <c r="GD2180"/>
      <c r="GE2180"/>
      <c r="GF2180"/>
      <c r="GG2180"/>
      <c r="GH2180"/>
      <c r="GI2180"/>
      <c r="GJ2180"/>
      <c r="GK2180"/>
      <c r="GL2180"/>
      <c r="GM2180"/>
      <c r="GN2180"/>
      <c r="GO2180"/>
    </row>
    <row r="2181" spans="107:197">
      <c r="DC2181"/>
      <c r="FH2181"/>
      <c r="FI2181"/>
      <c r="FJ2181"/>
      <c r="FK2181"/>
      <c r="FL2181"/>
      <c r="FM2181"/>
      <c r="FN2181"/>
      <c r="FO2181"/>
      <c r="FP2181"/>
      <c r="FQ2181"/>
      <c r="FR2181"/>
      <c r="FS2181"/>
      <c r="FT2181"/>
      <c r="FU2181"/>
      <c r="FV2181"/>
      <c r="FW2181"/>
      <c r="FX2181"/>
      <c r="FY2181"/>
      <c r="FZ2181"/>
      <c r="GA2181"/>
      <c r="GB2181"/>
      <c r="GC2181"/>
      <c r="GD2181"/>
      <c r="GE2181"/>
      <c r="GF2181"/>
      <c r="GG2181"/>
      <c r="GH2181"/>
      <c r="GI2181"/>
      <c r="GJ2181"/>
      <c r="GK2181"/>
      <c r="GL2181"/>
      <c r="GM2181"/>
      <c r="GN2181"/>
      <c r="GO2181"/>
    </row>
    <row r="2182" spans="107:197">
      <c r="DC2182"/>
      <c r="FH2182"/>
      <c r="FI2182"/>
      <c r="FJ2182"/>
      <c r="FK2182"/>
      <c r="FL2182"/>
      <c r="FM2182"/>
      <c r="FN2182"/>
      <c r="FO2182"/>
      <c r="FP2182"/>
      <c r="FQ2182"/>
      <c r="FR2182"/>
      <c r="FS2182"/>
      <c r="FT2182"/>
      <c r="FU2182"/>
      <c r="FV2182"/>
      <c r="FW2182"/>
      <c r="FX2182"/>
      <c r="FY2182"/>
      <c r="FZ2182"/>
      <c r="GA2182"/>
      <c r="GB2182"/>
      <c r="GC2182"/>
      <c r="GD2182"/>
      <c r="GE2182"/>
      <c r="GF2182"/>
      <c r="GG2182"/>
      <c r="GH2182"/>
      <c r="GI2182"/>
      <c r="GJ2182"/>
      <c r="GK2182"/>
      <c r="GL2182"/>
      <c r="GM2182"/>
      <c r="GN2182"/>
      <c r="GO2182"/>
    </row>
    <row r="2183" spans="107:197">
      <c r="DC2183"/>
      <c r="FH2183"/>
      <c r="FI2183"/>
      <c r="FJ2183"/>
      <c r="FK2183"/>
      <c r="FL2183"/>
      <c r="FM2183"/>
      <c r="FN2183"/>
      <c r="FO2183"/>
      <c r="FP2183"/>
      <c r="FQ2183"/>
      <c r="FR2183"/>
      <c r="FS2183"/>
      <c r="FT2183"/>
      <c r="FU2183"/>
      <c r="FV2183"/>
      <c r="FW2183"/>
      <c r="FX2183"/>
      <c r="FY2183"/>
      <c r="FZ2183"/>
      <c r="GA2183"/>
      <c r="GB2183"/>
      <c r="GC2183"/>
      <c r="GD2183"/>
      <c r="GE2183"/>
      <c r="GF2183"/>
      <c r="GG2183"/>
      <c r="GH2183"/>
      <c r="GI2183"/>
      <c r="GJ2183"/>
      <c r="GK2183"/>
      <c r="GL2183"/>
      <c r="GM2183"/>
      <c r="GN2183"/>
      <c r="GO2183"/>
    </row>
    <row r="2184" spans="107:197">
      <c r="DC2184"/>
      <c r="FH2184"/>
      <c r="FI2184"/>
      <c r="FJ2184"/>
      <c r="FK2184"/>
      <c r="FL2184"/>
      <c r="FM2184"/>
      <c r="FN2184"/>
      <c r="FO2184"/>
      <c r="FP2184"/>
      <c r="FQ2184"/>
      <c r="FR2184"/>
      <c r="FS2184"/>
      <c r="FT2184"/>
      <c r="FU2184"/>
      <c r="FV2184"/>
      <c r="FW2184"/>
      <c r="FX2184"/>
      <c r="FY2184"/>
      <c r="FZ2184"/>
      <c r="GA2184"/>
      <c r="GB2184"/>
      <c r="GC2184"/>
      <c r="GD2184"/>
      <c r="GE2184"/>
      <c r="GF2184"/>
      <c r="GG2184"/>
      <c r="GH2184"/>
      <c r="GI2184"/>
      <c r="GJ2184"/>
      <c r="GK2184"/>
      <c r="GL2184"/>
      <c r="GM2184"/>
      <c r="GN2184"/>
      <c r="GO2184"/>
    </row>
    <row r="2185" spans="107:197">
      <c r="DC2185"/>
      <c r="FH2185"/>
      <c r="FI2185"/>
      <c r="FJ2185"/>
      <c r="FK2185"/>
      <c r="FL2185"/>
      <c r="FM2185"/>
      <c r="FN2185"/>
      <c r="FO2185"/>
      <c r="FP2185"/>
      <c r="FQ2185"/>
      <c r="FR2185"/>
      <c r="FS2185"/>
      <c r="FT2185"/>
      <c r="FU2185"/>
      <c r="FV2185"/>
      <c r="FW2185"/>
      <c r="FX2185"/>
      <c r="FY2185"/>
      <c r="FZ2185"/>
      <c r="GA2185"/>
      <c r="GB2185"/>
      <c r="GC2185"/>
      <c r="GD2185"/>
      <c r="GE2185"/>
      <c r="GF2185"/>
      <c r="GG2185"/>
      <c r="GH2185"/>
      <c r="GI2185"/>
      <c r="GJ2185"/>
      <c r="GK2185"/>
      <c r="GL2185"/>
      <c r="GM2185"/>
      <c r="GN2185"/>
      <c r="GO2185"/>
    </row>
    <row r="2186" spans="107:197">
      <c r="DC2186"/>
      <c r="FH2186"/>
      <c r="FI2186"/>
      <c r="FJ2186"/>
      <c r="FK2186"/>
      <c r="FL2186"/>
      <c r="FM2186"/>
      <c r="FN2186"/>
      <c r="FO2186"/>
      <c r="FP2186"/>
      <c r="FQ2186"/>
      <c r="FR2186"/>
      <c r="FS2186"/>
      <c r="FT2186"/>
      <c r="FU2186"/>
      <c r="FV2186"/>
      <c r="FW2186"/>
      <c r="FX2186"/>
      <c r="FY2186"/>
      <c r="FZ2186"/>
      <c r="GA2186"/>
      <c r="GB2186"/>
      <c r="GC2186"/>
      <c r="GD2186"/>
      <c r="GE2186"/>
      <c r="GF2186"/>
      <c r="GG2186"/>
      <c r="GH2186"/>
      <c r="GI2186"/>
      <c r="GJ2186"/>
      <c r="GK2186"/>
      <c r="GL2186"/>
      <c r="GM2186"/>
      <c r="GN2186"/>
      <c r="GO2186"/>
    </row>
    <row r="2187" spans="107:197">
      <c r="DC2187"/>
      <c r="FH2187"/>
      <c r="FI2187"/>
      <c r="FJ2187"/>
      <c r="FK2187"/>
      <c r="FL2187"/>
      <c r="FM2187"/>
      <c r="FN2187"/>
      <c r="FO2187"/>
      <c r="FP2187"/>
      <c r="FQ2187"/>
      <c r="FR2187"/>
      <c r="FS2187"/>
      <c r="FT2187"/>
      <c r="FU2187"/>
      <c r="FV2187"/>
      <c r="FW2187"/>
      <c r="FX2187"/>
      <c r="FY2187"/>
      <c r="FZ2187"/>
      <c r="GA2187"/>
      <c r="GB2187"/>
      <c r="GC2187"/>
      <c r="GD2187"/>
      <c r="GE2187"/>
      <c r="GF2187"/>
      <c r="GG2187"/>
      <c r="GH2187"/>
      <c r="GI2187"/>
      <c r="GJ2187"/>
      <c r="GK2187"/>
      <c r="GL2187"/>
      <c r="GM2187"/>
      <c r="GN2187"/>
      <c r="GO2187"/>
    </row>
    <row r="2188" spans="107:197">
      <c r="DC2188"/>
      <c r="FH2188"/>
      <c r="FI2188"/>
      <c r="FJ2188"/>
      <c r="FK2188"/>
      <c r="FL2188"/>
      <c r="FM2188"/>
      <c r="FN2188"/>
      <c r="FO2188"/>
      <c r="FP2188"/>
      <c r="FQ2188"/>
      <c r="FR2188"/>
      <c r="FS2188"/>
      <c r="FT2188"/>
      <c r="FU2188"/>
      <c r="FV2188"/>
      <c r="FW2188"/>
      <c r="FX2188"/>
      <c r="FY2188"/>
      <c r="FZ2188"/>
      <c r="GA2188"/>
      <c r="GB2188"/>
      <c r="GC2188"/>
      <c r="GD2188"/>
      <c r="GE2188"/>
      <c r="GF2188"/>
      <c r="GG2188"/>
      <c r="GH2188"/>
      <c r="GI2188"/>
      <c r="GJ2188"/>
      <c r="GK2188"/>
      <c r="GL2188"/>
      <c r="GM2188"/>
      <c r="GN2188"/>
      <c r="GO2188"/>
    </row>
    <row r="2189" spans="107:197">
      <c r="DC2189"/>
      <c r="FH2189"/>
      <c r="FI2189"/>
      <c r="FJ2189"/>
      <c r="FK2189"/>
      <c r="FL2189"/>
      <c r="FM2189"/>
      <c r="FN2189"/>
      <c r="FO2189"/>
      <c r="FP2189"/>
      <c r="FQ2189"/>
      <c r="FR2189"/>
      <c r="FS2189"/>
      <c r="FT2189"/>
      <c r="FU2189"/>
      <c r="FV2189"/>
      <c r="FW2189"/>
      <c r="FX2189"/>
      <c r="FY2189"/>
      <c r="FZ2189"/>
      <c r="GA2189"/>
      <c r="GB2189"/>
      <c r="GC2189"/>
      <c r="GD2189"/>
      <c r="GE2189"/>
      <c r="GF2189"/>
      <c r="GG2189"/>
      <c r="GH2189"/>
      <c r="GI2189"/>
      <c r="GJ2189"/>
      <c r="GK2189"/>
      <c r="GL2189"/>
      <c r="GM2189"/>
      <c r="GN2189"/>
      <c r="GO2189"/>
    </row>
    <row r="2190" spans="107:197">
      <c r="DC2190"/>
      <c r="FH2190"/>
      <c r="FI2190"/>
      <c r="FJ2190"/>
      <c r="FK2190"/>
      <c r="FL2190"/>
      <c r="FM2190"/>
      <c r="FN2190"/>
      <c r="FO2190"/>
      <c r="FP2190"/>
      <c r="FQ2190"/>
      <c r="FR2190"/>
      <c r="FS2190"/>
      <c r="FT2190"/>
      <c r="FU2190"/>
      <c r="FV2190"/>
      <c r="FW2190"/>
      <c r="FX2190"/>
      <c r="FY2190"/>
      <c r="FZ2190"/>
      <c r="GA2190"/>
      <c r="GB2190"/>
      <c r="GC2190"/>
      <c r="GD2190"/>
      <c r="GE2190"/>
      <c r="GF2190"/>
      <c r="GG2190"/>
      <c r="GH2190"/>
      <c r="GI2190"/>
      <c r="GJ2190"/>
      <c r="GK2190"/>
      <c r="GL2190"/>
      <c r="GM2190"/>
      <c r="GN2190"/>
      <c r="GO2190"/>
    </row>
    <row r="2191" spans="107:197">
      <c r="DC2191"/>
      <c r="FH2191"/>
      <c r="FI2191"/>
      <c r="FJ2191"/>
      <c r="FK2191"/>
      <c r="FL2191"/>
      <c r="FM2191"/>
      <c r="FN2191"/>
      <c r="FO2191"/>
      <c r="FP2191"/>
      <c r="FQ2191"/>
      <c r="FR2191"/>
      <c r="FS2191"/>
      <c r="FT2191"/>
      <c r="FU2191"/>
      <c r="FV2191"/>
      <c r="FW2191"/>
      <c r="FX2191"/>
      <c r="FY2191"/>
      <c r="FZ2191"/>
      <c r="GA2191"/>
      <c r="GB2191"/>
      <c r="GC2191"/>
      <c r="GD2191"/>
      <c r="GE2191"/>
      <c r="GF2191"/>
      <c r="GG2191"/>
      <c r="GH2191"/>
      <c r="GI2191"/>
      <c r="GJ2191"/>
      <c r="GK2191"/>
      <c r="GL2191"/>
      <c r="GM2191"/>
      <c r="GN2191"/>
      <c r="GO2191"/>
    </row>
    <row r="2192" spans="107:197">
      <c r="DC2192"/>
      <c r="FH2192"/>
      <c r="FI2192"/>
      <c r="FJ2192"/>
      <c r="FK2192"/>
      <c r="FL2192"/>
      <c r="FM2192"/>
      <c r="FN2192"/>
      <c r="FO2192"/>
      <c r="FP2192"/>
      <c r="FQ2192"/>
      <c r="FR2192"/>
      <c r="FS2192"/>
      <c r="FT2192"/>
      <c r="FU2192"/>
      <c r="FV2192"/>
      <c r="FW2192"/>
      <c r="FX2192"/>
      <c r="FY2192"/>
      <c r="FZ2192"/>
      <c r="GA2192"/>
      <c r="GB2192"/>
      <c r="GC2192"/>
      <c r="GD2192"/>
      <c r="GE2192"/>
      <c r="GF2192"/>
      <c r="GG2192"/>
      <c r="GH2192"/>
      <c r="GI2192"/>
      <c r="GJ2192"/>
      <c r="GK2192"/>
      <c r="GL2192"/>
      <c r="GM2192"/>
      <c r="GN2192"/>
      <c r="GO2192"/>
    </row>
    <row r="2193" spans="107:197">
      <c r="DC2193"/>
      <c r="FH2193"/>
      <c r="FI2193"/>
      <c r="FJ2193"/>
      <c r="FK2193"/>
      <c r="FL2193"/>
      <c r="FM2193"/>
      <c r="FN2193"/>
      <c r="FO2193"/>
      <c r="FP2193"/>
      <c r="FQ2193"/>
      <c r="FR2193"/>
      <c r="FS2193"/>
      <c r="FT2193"/>
      <c r="FU2193"/>
      <c r="FV2193"/>
      <c r="FW2193"/>
      <c r="FX2193"/>
      <c r="FY2193"/>
      <c r="FZ2193"/>
      <c r="GA2193"/>
      <c r="GB2193"/>
      <c r="GC2193"/>
      <c r="GD2193"/>
      <c r="GE2193"/>
      <c r="GF2193"/>
      <c r="GG2193"/>
      <c r="GH2193"/>
      <c r="GI2193"/>
      <c r="GJ2193"/>
      <c r="GK2193"/>
      <c r="GL2193"/>
      <c r="GM2193"/>
      <c r="GN2193"/>
      <c r="GO2193"/>
    </row>
    <row r="2194" spans="107:197">
      <c r="DC2194"/>
      <c r="FH2194"/>
      <c r="FI2194"/>
      <c r="FJ2194"/>
      <c r="FK2194"/>
      <c r="FL2194"/>
      <c r="FM2194"/>
      <c r="FN2194"/>
      <c r="FO2194"/>
      <c r="FP2194"/>
      <c r="FQ2194"/>
      <c r="FR2194"/>
      <c r="FS2194"/>
      <c r="FT2194"/>
      <c r="FU2194"/>
      <c r="FV2194"/>
      <c r="FW2194"/>
      <c r="FX2194"/>
      <c r="FY2194"/>
      <c r="FZ2194"/>
      <c r="GA2194"/>
      <c r="GB2194"/>
      <c r="GC2194"/>
      <c r="GD2194"/>
      <c r="GE2194"/>
      <c r="GF2194"/>
      <c r="GG2194"/>
      <c r="GH2194"/>
      <c r="GI2194"/>
      <c r="GJ2194"/>
      <c r="GK2194"/>
      <c r="GL2194"/>
      <c r="GM2194"/>
      <c r="GN2194"/>
      <c r="GO2194"/>
    </row>
    <row r="2195" spans="107:197">
      <c r="DC2195"/>
      <c r="FH2195"/>
      <c r="FI2195"/>
      <c r="FJ2195"/>
      <c r="FK2195"/>
      <c r="FL2195"/>
      <c r="FM2195"/>
      <c r="FN2195"/>
      <c r="FO2195"/>
      <c r="FP2195"/>
      <c r="FQ2195"/>
      <c r="FR2195"/>
      <c r="FS2195"/>
      <c r="FT2195"/>
      <c r="FU2195"/>
      <c r="FV2195"/>
      <c r="FW2195"/>
      <c r="FX2195"/>
      <c r="FY2195"/>
      <c r="FZ2195"/>
      <c r="GA2195"/>
      <c r="GB2195"/>
      <c r="GC2195"/>
      <c r="GD2195"/>
      <c r="GE2195"/>
      <c r="GF2195"/>
      <c r="GG2195"/>
      <c r="GH2195"/>
      <c r="GI2195"/>
      <c r="GJ2195"/>
      <c r="GK2195"/>
      <c r="GL2195"/>
      <c r="GM2195"/>
      <c r="GN2195"/>
      <c r="GO2195"/>
    </row>
    <row r="2196" spans="107:197">
      <c r="DC2196"/>
      <c r="FH2196"/>
      <c r="FI2196"/>
      <c r="FJ2196"/>
      <c r="FK2196"/>
      <c r="FL2196"/>
      <c r="FM2196"/>
      <c r="FN2196"/>
      <c r="FO2196"/>
      <c r="FP2196"/>
      <c r="FQ2196"/>
      <c r="FR2196"/>
      <c r="FS2196"/>
      <c r="FT2196"/>
      <c r="FU2196"/>
      <c r="FV2196"/>
      <c r="FW2196"/>
      <c r="FX2196"/>
      <c r="FY2196"/>
      <c r="FZ2196"/>
      <c r="GA2196"/>
      <c r="GB2196"/>
      <c r="GC2196"/>
      <c r="GD2196"/>
      <c r="GE2196"/>
      <c r="GF2196"/>
      <c r="GG2196"/>
      <c r="GH2196"/>
      <c r="GI2196"/>
      <c r="GJ2196"/>
      <c r="GK2196"/>
      <c r="GL2196"/>
      <c r="GM2196"/>
      <c r="GN2196"/>
      <c r="GO2196"/>
    </row>
    <row r="2197" spans="107:197">
      <c r="DC2197"/>
      <c r="FH2197"/>
      <c r="FI2197"/>
      <c r="FJ2197"/>
      <c r="FK2197"/>
      <c r="FL2197"/>
      <c r="FM2197"/>
      <c r="FN2197"/>
      <c r="FO2197"/>
      <c r="FP2197"/>
      <c r="FQ2197"/>
      <c r="FR2197"/>
      <c r="FS2197"/>
      <c r="FT2197"/>
      <c r="FU2197"/>
      <c r="FV2197"/>
      <c r="FW2197"/>
      <c r="FX2197"/>
      <c r="FY2197"/>
      <c r="FZ2197"/>
      <c r="GA2197"/>
      <c r="GB2197"/>
      <c r="GC2197"/>
      <c r="GD2197"/>
      <c r="GE2197"/>
      <c r="GF2197"/>
      <c r="GG2197"/>
      <c r="GH2197"/>
      <c r="GI2197"/>
      <c r="GJ2197"/>
      <c r="GK2197"/>
      <c r="GL2197"/>
      <c r="GM2197"/>
      <c r="GN2197"/>
      <c r="GO2197"/>
    </row>
    <row r="2198" spans="107:197">
      <c r="DC2198"/>
      <c r="FH2198"/>
      <c r="FI2198"/>
      <c r="FJ2198"/>
      <c r="FK2198"/>
      <c r="FL2198"/>
      <c r="FM2198"/>
      <c r="FN2198"/>
      <c r="FO2198"/>
      <c r="FP2198"/>
      <c r="FQ2198"/>
      <c r="FR2198"/>
      <c r="FS2198"/>
      <c r="FT2198"/>
      <c r="FU2198"/>
      <c r="FV2198"/>
      <c r="FW2198"/>
      <c r="FX2198"/>
      <c r="FY2198"/>
      <c r="FZ2198"/>
      <c r="GA2198"/>
      <c r="GB2198"/>
      <c r="GC2198"/>
      <c r="GD2198"/>
      <c r="GE2198"/>
      <c r="GF2198"/>
      <c r="GG2198"/>
      <c r="GH2198"/>
      <c r="GI2198"/>
      <c r="GJ2198"/>
      <c r="GK2198"/>
      <c r="GL2198"/>
      <c r="GM2198"/>
      <c r="GN2198"/>
      <c r="GO2198"/>
    </row>
    <row r="2199" spans="107:197">
      <c r="DC2199"/>
      <c r="FH2199"/>
      <c r="FI2199"/>
      <c r="FJ2199"/>
      <c r="FK2199"/>
      <c r="FL2199"/>
      <c r="FM2199"/>
      <c r="FN2199"/>
      <c r="FO2199"/>
      <c r="FP2199"/>
      <c r="FQ2199"/>
      <c r="FR2199"/>
      <c r="FS2199"/>
      <c r="FT2199"/>
      <c r="FU2199"/>
      <c r="FV2199"/>
      <c r="FW2199"/>
      <c r="FX2199"/>
      <c r="FY2199"/>
      <c r="FZ2199"/>
      <c r="GA2199"/>
      <c r="GB2199"/>
      <c r="GC2199"/>
      <c r="GD2199"/>
      <c r="GE2199"/>
      <c r="GF2199"/>
      <c r="GG2199"/>
      <c r="GH2199"/>
      <c r="GI2199"/>
      <c r="GJ2199"/>
      <c r="GK2199"/>
      <c r="GL2199"/>
      <c r="GM2199"/>
      <c r="GN2199"/>
      <c r="GO2199"/>
    </row>
    <row r="2200" spans="107:197">
      <c r="DC2200"/>
      <c r="FH2200"/>
      <c r="FI2200"/>
      <c r="FJ2200"/>
      <c r="FK2200"/>
      <c r="FL2200"/>
      <c r="FM2200"/>
      <c r="FN2200"/>
      <c r="FO2200"/>
      <c r="FP2200"/>
      <c r="FQ2200"/>
      <c r="FR2200"/>
      <c r="FS2200"/>
      <c r="FT2200"/>
      <c r="FU2200"/>
      <c r="FV2200"/>
      <c r="FW2200"/>
      <c r="FX2200"/>
      <c r="FY2200"/>
      <c r="FZ2200"/>
      <c r="GA2200"/>
      <c r="GB2200"/>
      <c r="GC2200"/>
      <c r="GD2200"/>
      <c r="GE2200"/>
      <c r="GF2200"/>
      <c r="GG2200"/>
      <c r="GH2200"/>
      <c r="GI2200"/>
      <c r="GJ2200"/>
      <c r="GK2200"/>
      <c r="GL2200"/>
      <c r="GM2200"/>
      <c r="GN2200"/>
      <c r="GO2200"/>
    </row>
    <row r="2201" spans="107:197">
      <c r="DC2201"/>
      <c r="FH2201"/>
      <c r="FI2201"/>
      <c r="FJ2201"/>
      <c r="FK2201"/>
      <c r="FL2201"/>
      <c r="FM2201"/>
      <c r="FN2201"/>
      <c r="FO2201"/>
      <c r="FP2201"/>
      <c r="FQ2201"/>
      <c r="FR2201"/>
      <c r="FS2201"/>
      <c r="FT2201"/>
      <c r="FU2201"/>
      <c r="FV2201"/>
      <c r="FW2201"/>
      <c r="FX2201"/>
      <c r="FY2201"/>
      <c r="FZ2201"/>
      <c r="GA2201"/>
      <c r="GB2201"/>
      <c r="GC2201"/>
      <c r="GD2201"/>
      <c r="GE2201"/>
      <c r="GF2201"/>
      <c r="GG2201"/>
      <c r="GH2201"/>
      <c r="GI2201"/>
      <c r="GJ2201"/>
      <c r="GK2201"/>
      <c r="GL2201"/>
      <c r="GM2201"/>
      <c r="GN2201"/>
      <c r="GO2201"/>
    </row>
    <row r="2202" spans="107:197">
      <c r="DC2202"/>
      <c r="FH2202"/>
      <c r="FI2202"/>
      <c r="FJ2202"/>
      <c r="FK2202"/>
      <c r="FL2202"/>
      <c r="FM2202"/>
      <c r="FN2202"/>
      <c r="FO2202"/>
      <c r="FP2202"/>
      <c r="FQ2202"/>
      <c r="FR2202"/>
      <c r="FS2202"/>
      <c r="FT2202"/>
      <c r="FU2202"/>
      <c r="FV2202"/>
      <c r="FW2202"/>
      <c r="FX2202"/>
      <c r="FY2202"/>
      <c r="FZ2202"/>
      <c r="GA2202"/>
      <c r="GB2202"/>
      <c r="GC2202"/>
      <c r="GD2202"/>
      <c r="GE2202"/>
      <c r="GF2202"/>
      <c r="GG2202"/>
      <c r="GH2202"/>
      <c r="GI2202"/>
      <c r="GJ2202"/>
      <c r="GK2202"/>
      <c r="GL2202"/>
      <c r="GM2202"/>
      <c r="GN2202"/>
      <c r="GO2202"/>
    </row>
    <row r="2203" spans="107:197">
      <c r="DC2203"/>
      <c r="FH2203"/>
      <c r="FI2203"/>
      <c r="FJ2203"/>
      <c r="FK2203"/>
      <c r="FL2203"/>
      <c r="FM2203"/>
      <c r="FN2203"/>
      <c r="FO2203"/>
      <c r="FP2203"/>
      <c r="FQ2203"/>
      <c r="FR2203"/>
      <c r="FS2203"/>
      <c r="FT2203"/>
      <c r="FU2203"/>
      <c r="FV2203"/>
      <c r="FW2203"/>
      <c r="FX2203"/>
      <c r="FY2203"/>
      <c r="FZ2203"/>
      <c r="GA2203"/>
      <c r="GB2203"/>
      <c r="GC2203"/>
      <c r="GD2203"/>
      <c r="GE2203"/>
      <c r="GF2203"/>
      <c r="GG2203"/>
      <c r="GH2203"/>
      <c r="GI2203"/>
      <c r="GJ2203"/>
      <c r="GK2203"/>
      <c r="GL2203"/>
      <c r="GM2203"/>
      <c r="GN2203"/>
      <c r="GO2203"/>
    </row>
    <row r="2204" spans="107:197">
      <c r="DC2204"/>
      <c r="FH2204"/>
      <c r="FI2204"/>
      <c r="FJ2204"/>
      <c r="FK2204"/>
      <c r="FL2204"/>
      <c r="FM2204"/>
      <c r="FN2204"/>
      <c r="FO2204"/>
      <c r="FP2204"/>
      <c r="FQ2204"/>
      <c r="FR2204"/>
      <c r="FS2204"/>
      <c r="FT2204"/>
      <c r="FU2204"/>
      <c r="FV2204"/>
      <c r="FW2204"/>
      <c r="FX2204"/>
      <c r="FY2204"/>
      <c r="FZ2204"/>
      <c r="GA2204"/>
      <c r="GB2204"/>
      <c r="GC2204"/>
      <c r="GD2204"/>
      <c r="GE2204"/>
      <c r="GF2204"/>
      <c r="GG2204"/>
      <c r="GH2204"/>
      <c r="GI2204"/>
      <c r="GJ2204"/>
      <c r="GK2204"/>
      <c r="GL2204"/>
      <c r="GM2204"/>
      <c r="GN2204"/>
      <c r="GO2204"/>
    </row>
    <row r="2205" spans="107:197">
      <c r="DC2205"/>
      <c r="FH2205"/>
      <c r="FI2205"/>
      <c r="FJ2205"/>
      <c r="FK2205"/>
      <c r="FL2205"/>
      <c r="FM2205"/>
      <c r="FN2205"/>
      <c r="FO2205"/>
      <c r="FP2205"/>
      <c r="FQ2205"/>
      <c r="FR2205"/>
      <c r="FS2205"/>
      <c r="FT2205"/>
      <c r="FU2205"/>
      <c r="FV2205"/>
      <c r="FW2205"/>
      <c r="FX2205"/>
      <c r="FY2205"/>
      <c r="FZ2205"/>
      <c r="GA2205"/>
      <c r="GB2205"/>
      <c r="GC2205"/>
      <c r="GD2205"/>
      <c r="GE2205"/>
      <c r="GF2205"/>
      <c r="GG2205"/>
      <c r="GH2205"/>
      <c r="GI2205"/>
      <c r="GJ2205"/>
      <c r="GK2205"/>
      <c r="GL2205"/>
      <c r="GM2205"/>
      <c r="GN2205"/>
      <c r="GO2205"/>
    </row>
    <row r="2206" spans="107:197">
      <c r="DC2206"/>
      <c r="FH2206"/>
      <c r="FI2206"/>
      <c r="FJ2206"/>
      <c r="FK2206"/>
      <c r="FL2206"/>
      <c r="FM2206"/>
      <c r="FN2206"/>
      <c r="FO2206"/>
      <c r="FP2206"/>
      <c r="FQ2206"/>
      <c r="FR2206"/>
      <c r="FS2206"/>
      <c r="FT2206"/>
      <c r="FU2206"/>
      <c r="FV2206"/>
      <c r="FW2206"/>
      <c r="FX2206"/>
      <c r="FY2206"/>
      <c r="FZ2206"/>
      <c r="GA2206"/>
      <c r="GB2206"/>
      <c r="GC2206"/>
      <c r="GD2206"/>
      <c r="GE2206"/>
      <c r="GF2206"/>
      <c r="GG2206"/>
      <c r="GH2206"/>
      <c r="GI2206"/>
      <c r="GJ2206"/>
      <c r="GK2206"/>
      <c r="GL2206"/>
      <c r="GM2206"/>
      <c r="GN2206"/>
      <c r="GO2206"/>
    </row>
    <row r="2207" spans="107:197">
      <c r="DC2207"/>
      <c r="FH2207"/>
      <c r="FI2207"/>
      <c r="FJ2207"/>
      <c r="FK2207"/>
      <c r="FL2207"/>
      <c r="FM2207"/>
      <c r="FN2207"/>
      <c r="FO2207"/>
      <c r="FP2207"/>
      <c r="FQ2207"/>
      <c r="FR2207"/>
      <c r="FS2207"/>
      <c r="FT2207"/>
      <c r="FU2207"/>
      <c r="FV2207"/>
      <c r="FW2207"/>
      <c r="FX2207"/>
      <c r="FY2207"/>
      <c r="FZ2207"/>
      <c r="GA2207"/>
      <c r="GB2207"/>
      <c r="GC2207"/>
      <c r="GD2207"/>
      <c r="GE2207"/>
      <c r="GF2207"/>
      <c r="GG2207"/>
      <c r="GH2207"/>
      <c r="GI2207"/>
      <c r="GJ2207"/>
      <c r="GK2207"/>
      <c r="GL2207"/>
      <c r="GM2207"/>
      <c r="GN2207"/>
      <c r="GO2207"/>
    </row>
    <row r="2208" spans="107:197">
      <c r="DC2208"/>
      <c r="FH2208"/>
      <c r="FI2208"/>
      <c r="FJ2208"/>
      <c r="FK2208"/>
      <c r="FL2208"/>
      <c r="FM2208"/>
      <c r="FN2208"/>
      <c r="FO2208"/>
      <c r="FP2208"/>
      <c r="FQ2208"/>
      <c r="FR2208"/>
      <c r="FS2208"/>
      <c r="FT2208"/>
      <c r="FU2208"/>
      <c r="FV2208"/>
      <c r="FW2208"/>
      <c r="FX2208"/>
      <c r="FY2208"/>
      <c r="FZ2208"/>
      <c r="GA2208"/>
      <c r="GB2208"/>
      <c r="GC2208"/>
      <c r="GD2208"/>
      <c r="GE2208"/>
      <c r="GF2208"/>
      <c r="GG2208"/>
      <c r="GH2208"/>
      <c r="GI2208"/>
      <c r="GJ2208"/>
      <c r="GK2208"/>
      <c r="GL2208"/>
      <c r="GM2208"/>
      <c r="GN2208"/>
      <c r="GO2208"/>
    </row>
    <row r="2209" spans="107:197">
      <c r="DC2209"/>
      <c r="FH2209"/>
      <c r="FI2209"/>
      <c r="FJ2209"/>
      <c r="FK2209"/>
      <c r="FL2209"/>
      <c r="FM2209"/>
      <c r="FN2209"/>
      <c r="FO2209"/>
      <c r="FP2209"/>
      <c r="FQ2209"/>
      <c r="FR2209"/>
      <c r="FS2209"/>
      <c r="FT2209"/>
      <c r="FU2209"/>
      <c r="FV2209"/>
      <c r="FW2209"/>
      <c r="FX2209"/>
      <c r="FY2209"/>
      <c r="FZ2209"/>
      <c r="GA2209"/>
      <c r="GB2209"/>
      <c r="GC2209"/>
      <c r="GD2209"/>
      <c r="GE2209"/>
      <c r="GF2209"/>
      <c r="GG2209"/>
      <c r="GH2209"/>
      <c r="GI2209"/>
      <c r="GJ2209"/>
      <c r="GK2209"/>
      <c r="GL2209"/>
      <c r="GM2209"/>
      <c r="GN2209"/>
      <c r="GO2209"/>
    </row>
    <row r="2210" spans="107:197">
      <c r="DC2210"/>
      <c r="FH2210"/>
      <c r="FI2210"/>
      <c r="FJ2210"/>
      <c r="FK2210"/>
      <c r="FL2210"/>
      <c r="FM2210"/>
      <c r="FN2210"/>
      <c r="FO2210"/>
      <c r="FP2210"/>
      <c r="FQ2210"/>
      <c r="FR2210"/>
      <c r="FS2210"/>
      <c r="FT2210"/>
      <c r="FU2210"/>
      <c r="FV2210"/>
      <c r="FW2210"/>
      <c r="FX2210"/>
      <c r="FY2210"/>
      <c r="FZ2210"/>
      <c r="GA2210"/>
      <c r="GB2210"/>
      <c r="GC2210"/>
      <c r="GD2210"/>
      <c r="GE2210"/>
      <c r="GF2210"/>
      <c r="GG2210"/>
      <c r="GH2210"/>
      <c r="GI2210"/>
      <c r="GJ2210"/>
      <c r="GK2210"/>
      <c r="GL2210"/>
      <c r="GM2210"/>
      <c r="GN2210"/>
      <c r="GO2210"/>
    </row>
    <row r="2211" spans="107:197">
      <c r="DC2211"/>
      <c r="FH2211"/>
      <c r="FI2211"/>
      <c r="FJ2211"/>
      <c r="FK2211"/>
      <c r="FL2211"/>
      <c r="FM2211"/>
      <c r="FN2211"/>
      <c r="FO2211"/>
      <c r="FP2211"/>
      <c r="FQ2211"/>
      <c r="FR2211"/>
      <c r="FS2211"/>
      <c r="FT2211"/>
      <c r="FU2211"/>
      <c r="FV2211"/>
      <c r="FW2211"/>
      <c r="FX2211"/>
      <c r="FY2211"/>
      <c r="FZ2211"/>
      <c r="GA2211"/>
      <c r="GB2211"/>
      <c r="GC2211"/>
      <c r="GD2211"/>
      <c r="GE2211"/>
      <c r="GF2211"/>
      <c r="GG2211"/>
      <c r="GH2211"/>
      <c r="GI2211"/>
      <c r="GJ2211"/>
      <c r="GK2211"/>
      <c r="GL2211"/>
      <c r="GM2211"/>
      <c r="GN2211"/>
      <c r="GO2211"/>
    </row>
    <row r="2212" spans="107:197">
      <c r="DC2212"/>
      <c r="FH2212"/>
      <c r="FI2212"/>
      <c r="FJ2212"/>
      <c r="FK2212"/>
      <c r="FL2212"/>
      <c r="FM2212"/>
      <c r="FN2212"/>
      <c r="FO2212"/>
      <c r="FP2212"/>
      <c r="FQ2212"/>
      <c r="FR2212"/>
      <c r="FS2212"/>
      <c r="FT2212"/>
      <c r="FU2212"/>
      <c r="FV2212"/>
      <c r="FW2212"/>
      <c r="FX2212"/>
      <c r="FY2212"/>
      <c r="FZ2212"/>
      <c r="GA2212"/>
      <c r="GB2212"/>
      <c r="GC2212"/>
      <c r="GD2212"/>
      <c r="GE2212"/>
      <c r="GF2212"/>
      <c r="GG2212"/>
      <c r="GH2212"/>
      <c r="GI2212"/>
      <c r="GJ2212"/>
      <c r="GK2212"/>
      <c r="GL2212"/>
      <c r="GM2212"/>
      <c r="GN2212"/>
      <c r="GO2212"/>
    </row>
    <row r="2213" spans="107:197">
      <c r="DC2213"/>
      <c r="FH2213"/>
      <c r="FI2213"/>
      <c r="FJ2213"/>
      <c r="FK2213"/>
      <c r="FL2213"/>
      <c r="FM2213"/>
      <c r="FN2213"/>
      <c r="FO2213"/>
      <c r="FP2213"/>
      <c r="FQ2213"/>
      <c r="FR2213"/>
      <c r="FS2213"/>
      <c r="FT2213"/>
      <c r="FU2213"/>
      <c r="FV2213"/>
      <c r="FW2213"/>
      <c r="FX2213"/>
      <c r="FY2213"/>
      <c r="FZ2213"/>
      <c r="GA2213"/>
      <c r="GB2213"/>
      <c r="GC2213"/>
      <c r="GD2213"/>
      <c r="GE2213"/>
      <c r="GF2213"/>
      <c r="GG2213"/>
      <c r="GH2213"/>
      <c r="GI2213"/>
      <c r="GJ2213"/>
      <c r="GK2213"/>
      <c r="GL2213"/>
      <c r="GM2213"/>
      <c r="GN2213"/>
      <c r="GO2213"/>
    </row>
    <row r="2214" spans="107:197">
      <c r="DC2214"/>
      <c r="FH2214"/>
      <c r="FI2214"/>
      <c r="FJ2214"/>
      <c r="FK2214"/>
      <c r="FL2214"/>
      <c r="FM2214"/>
      <c r="FN2214"/>
      <c r="FO2214"/>
      <c r="FP2214"/>
      <c r="FQ2214"/>
      <c r="FR2214"/>
      <c r="FS2214"/>
      <c r="FT2214"/>
      <c r="FU2214"/>
      <c r="FV2214"/>
      <c r="FW2214"/>
      <c r="FX2214"/>
      <c r="FY2214"/>
      <c r="FZ2214"/>
      <c r="GA2214"/>
      <c r="GB2214"/>
      <c r="GC2214"/>
      <c r="GD2214"/>
      <c r="GE2214"/>
      <c r="GF2214"/>
      <c r="GG2214"/>
      <c r="GH2214"/>
      <c r="GI2214"/>
      <c r="GJ2214"/>
      <c r="GK2214"/>
      <c r="GL2214"/>
      <c r="GM2214"/>
      <c r="GN2214"/>
      <c r="GO2214"/>
    </row>
    <row r="2215" spans="107:197">
      <c r="DC2215"/>
      <c r="FH2215"/>
      <c r="FI2215"/>
      <c r="FJ2215"/>
      <c r="FK2215"/>
      <c r="FL2215"/>
      <c r="FM2215"/>
      <c r="FN2215"/>
      <c r="FO2215"/>
      <c r="FP2215"/>
      <c r="FQ2215"/>
      <c r="FR2215"/>
      <c r="FS2215"/>
      <c r="FT2215"/>
      <c r="FU2215"/>
      <c r="FV2215"/>
      <c r="FW2215"/>
      <c r="FX2215"/>
      <c r="FY2215"/>
      <c r="FZ2215"/>
      <c r="GA2215"/>
      <c r="GB2215"/>
      <c r="GC2215"/>
      <c r="GD2215"/>
      <c r="GE2215"/>
      <c r="GF2215"/>
      <c r="GG2215"/>
      <c r="GH2215"/>
      <c r="GI2215"/>
      <c r="GJ2215"/>
      <c r="GK2215"/>
      <c r="GL2215"/>
      <c r="GM2215"/>
      <c r="GN2215"/>
      <c r="GO2215"/>
    </row>
    <row r="2216" spans="107:197">
      <c r="DC2216"/>
      <c r="FH2216"/>
      <c r="FI2216"/>
      <c r="FJ2216"/>
      <c r="FK2216"/>
      <c r="FL2216"/>
      <c r="FM2216"/>
      <c r="FN2216"/>
      <c r="FO2216"/>
      <c r="FP2216"/>
      <c r="FQ2216"/>
      <c r="FR2216"/>
      <c r="FS2216"/>
      <c r="FT2216"/>
      <c r="FU2216"/>
      <c r="FV2216"/>
      <c r="FW2216"/>
      <c r="FX2216"/>
      <c r="FY2216"/>
      <c r="FZ2216"/>
      <c r="GA2216"/>
      <c r="GB2216"/>
      <c r="GC2216"/>
      <c r="GD2216"/>
      <c r="GE2216"/>
      <c r="GF2216"/>
      <c r="GG2216"/>
      <c r="GH2216"/>
      <c r="GI2216"/>
      <c r="GJ2216"/>
      <c r="GK2216"/>
      <c r="GL2216"/>
      <c r="GM2216"/>
      <c r="GN2216"/>
      <c r="GO2216"/>
    </row>
    <row r="2217" spans="107:197">
      <c r="DC2217"/>
      <c r="FH2217"/>
      <c r="FI2217"/>
      <c r="FJ2217"/>
      <c r="FK2217"/>
      <c r="FL2217"/>
      <c r="FM2217"/>
      <c r="FN2217"/>
      <c r="FO2217"/>
      <c r="FP2217"/>
      <c r="FQ2217"/>
      <c r="FR2217"/>
      <c r="FS2217"/>
      <c r="FT2217"/>
      <c r="FU2217"/>
      <c r="FV2217"/>
      <c r="FW2217"/>
      <c r="FX2217"/>
      <c r="FY2217"/>
      <c r="FZ2217"/>
      <c r="GA2217"/>
      <c r="GB2217"/>
      <c r="GC2217"/>
      <c r="GD2217"/>
      <c r="GE2217"/>
      <c r="GF2217"/>
      <c r="GG2217"/>
      <c r="GH2217"/>
      <c r="GI2217"/>
      <c r="GJ2217"/>
      <c r="GK2217"/>
      <c r="GL2217"/>
      <c r="GM2217"/>
      <c r="GN2217"/>
      <c r="GO2217"/>
    </row>
    <row r="2218" spans="107:197">
      <c r="DC2218"/>
      <c r="FH2218"/>
      <c r="FI2218"/>
      <c r="FJ2218"/>
      <c r="FK2218"/>
      <c r="FL2218"/>
      <c r="FM2218"/>
      <c r="FN2218"/>
      <c r="FO2218"/>
      <c r="FP2218"/>
      <c r="FQ2218"/>
      <c r="FR2218"/>
      <c r="FS2218"/>
      <c r="FT2218"/>
      <c r="FU2218"/>
      <c r="FV2218"/>
      <c r="FW2218"/>
      <c r="FX2218"/>
      <c r="FY2218"/>
      <c r="FZ2218"/>
      <c r="GA2218"/>
      <c r="GB2218"/>
      <c r="GC2218"/>
      <c r="GD2218"/>
      <c r="GE2218"/>
      <c r="GF2218"/>
      <c r="GG2218"/>
      <c r="GH2218"/>
      <c r="GI2218"/>
      <c r="GJ2218"/>
      <c r="GK2218"/>
      <c r="GL2218"/>
      <c r="GM2218"/>
      <c r="GN2218"/>
      <c r="GO2218"/>
    </row>
    <row r="2219" spans="107:197">
      <c r="DC2219"/>
      <c r="FH2219"/>
      <c r="FI2219"/>
      <c r="FJ2219"/>
      <c r="FK2219"/>
      <c r="FL2219"/>
      <c r="FM2219"/>
      <c r="FN2219"/>
      <c r="FO2219"/>
      <c r="FP2219"/>
      <c r="FQ2219"/>
      <c r="FR2219"/>
      <c r="FS2219"/>
      <c r="FT2219"/>
      <c r="FU2219"/>
      <c r="FV2219"/>
      <c r="FW2219"/>
      <c r="FX2219"/>
      <c r="FY2219"/>
      <c r="FZ2219"/>
      <c r="GA2219"/>
      <c r="GB2219"/>
      <c r="GC2219"/>
      <c r="GD2219"/>
      <c r="GE2219"/>
      <c r="GF2219"/>
      <c r="GG2219"/>
      <c r="GH2219"/>
      <c r="GI2219"/>
      <c r="GJ2219"/>
      <c r="GK2219"/>
      <c r="GL2219"/>
      <c r="GM2219"/>
      <c r="GN2219"/>
      <c r="GO2219"/>
    </row>
    <row r="2220" spans="107:197">
      <c r="DC2220"/>
      <c r="FH2220"/>
      <c r="FI2220"/>
      <c r="FJ2220"/>
      <c r="FK2220"/>
      <c r="FL2220"/>
      <c r="FM2220"/>
      <c r="FN2220"/>
      <c r="FO2220"/>
      <c r="FP2220"/>
      <c r="FQ2220"/>
      <c r="FR2220"/>
      <c r="FS2220"/>
      <c r="FT2220"/>
      <c r="FU2220"/>
      <c r="FV2220"/>
      <c r="FW2220"/>
      <c r="FX2220"/>
      <c r="FY2220"/>
      <c r="FZ2220"/>
      <c r="GA2220"/>
      <c r="GB2220"/>
      <c r="GC2220"/>
      <c r="GD2220"/>
      <c r="GE2220"/>
      <c r="GF2220"/>
      <c r="GG2220"/>
      <c r="GH2220"/>
      <c r="GI2220"/>
      <c r="GJ2220"/>
      <c r="GK2220"/>
      <c r="GL2220"/>
      <c r="GM2220"/>
      <c r="GN2220"/>
      <c r="GO2220"/>
    </row>
    <row r="2221" spans="107:197">
      <c r="DC2221"/>
      <c r="FH2221"/>
      <c r="FI2221"/>
      <c r="FJ2221"/>
      <c r="FK2221"/>
      <c r="FL2221"/>
      <c r="FM2221"/>
      <c r="FN2221"/>
      <c r="FO2221"/>
      <c r="FP2221"/>
      <c r="FQ2221"/>
      <c r="FR2221"/>
      <c r="FS2221"/>
      <c r="FT2221"/>
      <c r="FU2221"/>
      <c r="FV2221"/>
      <c r="FW2221"/>
      <c r="FX2221"/>
      <c r="FY2221"/>
      <c r="FZ2221"/>
      <c r="GA2221"/>
      <c r="GB2221"/>
      <c r="GC2221"/>
      <c r="GD2221"/>
      <c r="GE2221"/>
      <c r="GF2221"/>
      <c r="GG2221"/>
      <c r="GH2221"/>
      <c r="GI2221"/>
      <c r="GJ2221"/>
      <c r="GK2221"/>
      <c r="GL2221"/>
      <c r="GM2221"/>
      <c r="GN2221"/>
      <c r="GO2221"/>
    </row>
    <row r="2222" spans="107:197">
      <c r="DC2222"/>
      <c r="FH2222"/>
      <c r="FI2222"/>
      <c r="FJ2222"/>
      <c r="FK2222"/>
      <c r="FL2222"/>
      <c r="FM2222"/>
      <c r="FN2222"/>
      <c r="FO2222"/>
      <c r="FP2222"/>
      <c r="FQ2222"/>
      <c r="FR2222"/>
      <c r="FS2222"/>
      <c r="FT2222"/>
      <c r="FU2222"/>
      <c r="FV2222"/>
      <c r="FW2222"/>
      <c r="FX2222"/>
      <c r="FY2222"/>
      <c r="FZ2222"/>
      <c r="GA2222"/>
      <c r="GB2222"/>
      <c r="GC2222"/>
      <c r="GD2222"/>
      <c r="GE2222"/>
      <c r="GF2222"/>
      <c r="GG2222"/>
      <c r="GH2222"/>
      <c r="GI2222"/>
      <c r="GJ2222"/>
      <c r="GK2222"/>
      <c r="GL2222"/>
      <c r="GM2222"/>
      <c r="GN2222"/>
      <c r="GO2222"/>
    </row>
    <row r="2223" spans="107:197">
      <c r="DC2223"/>
      <c r="FH2223"/>
      <c r="FI2223"/>
      <c r="FJ2223"/>
      <c r="FK2223"/>
      <c r="FL2223"/>
      <c r="FM2223"/>
      <c r="FN2223"/>
      <c r="FO2223"/>
      <c r="FP2223"/>
      <c r="FQ2223"/>
      <c r="FR2223"/>
      <c r="FS2223"/>
      <c r="FT2223"/>
      <c r="FU2223"/>
      <c r="FV2223"/>
      <c r="FW2223"/>
      <c r="FX2223"/>
      <c r="FY2223"/>
      <c r="FZ2223"/>
      <c r="GA2223"/>
      <c r="GB2223"/>
      <c r="GC2223"/>
      <c r="GD2223"/>
      <c r="GE2223"/>
      <c r="GF2223"/>
      <c r="GG2223"/>
      <c r="GH2223"/>
      <c r="GI2223"/>
      <c r="GJ2223"/>
      <c r="GK2223"/>
      <c r="GL2223"/>
      <c r="GM2223"/>
      <c r="GN2223"/>
      <c r="GO2223"/>
    </row>
    <row r="2224" spans="107:197">
      <c r="DC2224"/>
      <c r="FH2224"/>
      <c r="FI2224"/>
      <c r="FJ2224"/>
      <c r="FK2224"/>
      <c r="FL2224"/>
      <c r="FM2224"/>
      <c r="FN2224"/>
      <c r="FO2224"/>
      <c r="FP2224"/>
      <c r="FQ2224"/>
      <c r="FR2224"/>
      <c r="FS2224"/>
      <c r="FT2224"/>
      <c r="FU2224"/>
      <c r="FV2224"/>
      <c r="FW2224"/>
      <c r="FX2224"/>
      <c r="FY2224"/>
      <c r="FZ2224"/>
      <c r="GA2224"/>
      <c r="GB2224"/>
      <c r="GC2224"/>
      <c r="GD2224"/>
      <c r="GE2224"/>
      <c r="GF2224"/>
      <c r="GG2224"/>
      <c r="GH2224"/>
      <c r="GI2224"/>
      <c r="GJ2224"/>
      <c r="GK2224"/>
      <c r="GL2224"/>
      <c r="GM2224"/>
      <c r="GN2224"/>
      <c r="GO2224"/>
    </row>
    <row r="2225" spans="107:197">
      <c r="DC2225"/>
      <c r="FH2225"/>
      <c r="FI2225"/>
      <c r="FJ2225"/>
      <c r="FK2225"/>
      <c r="FL2225"/>
      <c r="FM2225"/>
      <c r="FN2225"/>
      <c r="FO2225"/>
      <c r="FP2225"/>
      <c r="FQ2225"/>
      <c r="FR2225"/>
      <c r="FS2225"/>
      <c r="FT2225"/>
      <c r="FU2225"/>
      <c r="FV2225"/>
      <c r="FW2225"/>
      <c r="FX2225"/>
      <c r="FY2225"/>
      <c r="FZ2225"/>
      <c r="GA2225"/>
      <c r="GB2225"/>
      <c r="GC2225"/>
      <c r="GD2225"/>
      <c r="GE2225"/>
      <c r="GF2225"/>
      <c r="GG2225"/>
      <c r="GH2225"/>
      <c r="GI2225"/>
      <c r="GJ2225"/>
      <c r="GK2225"/>
      <c r="GL2225"/>
      <c r="GM2225"/>
      <c r="GN2225"/>
      <c r="GO2225"/>
    </row>
    <row r="2226" spans="107:197">
      <c r="DC2226"/>
      <c r="FH2226"/>
      <c r="FI2226"/>
      <c r="FJ2226"/>
      <c r="FK2226"/>
      <c r="FL2226"/>
      <c r="FM2226"/>
      <c r="FN2226"/>
      <c r="FO2226"/>
      <c r="FP2226"/>
      <c r="FQ2226"/>
      <c r="FR2226"/>
      <c r="FS2226"/>
      <c r="FT2226"/>
      <c r="FU2226"/>
      <c r="FV2226"/>
      <c r="FW2226"/>
      <c r="FX2226"/>
      <c r="FY2226"/>
      <c r="FZ2226"/>
      <c r="GA2226"/>
      <c r="GB2226"/>
      <c r="GC2226"/>
      <c r="GD2226"/>
      <c r="GE2226"/>
      <c r="GF2226"/>
      <c r="GG2226"/>
      <c r="GH2226"/>
      <c r="GI2226"/>
      <c r="GJ2226"/>
      <c r="GK2226"/>
      <c r="GL2226"/>
      <c r="GM2226"/>
      <c r="GN2226"/>
      <c r="GO2226"/>
    </row>
    <row r="2227" spans="107:197">
      <c r="DC2227"/>
      <c r="FH2227"/>
      <c r="FI2227"/>
      <c r="FJ2227"/>
      <c r="FK2227"/>
      <c r="FL2227"/>
      <c r="FM2227"/>
      <c r="FN2227"/>
      <c r="FO2227"/>
      <c r="FP2227"/>
      <c r="FQ2227"/>
      <c r="FR2227"/>
      <c r="FS2227"/>
      <c r="FT2227"/>
      <c r="FU2227"/>
      <c r="FV2227"/>
      <c r="FW2227"/>
      <c r="FX2227"/>
      <c r="FY2227"/>
      <c r="FZ2227"/>
      <c r="GA2227"/>
      <c r="GB2227"/>
      <c r="GC2227"/>
      <c r="GD2227"/>
      <c r="GE2227"/>
      <c r="GF2227"/>
      <c r="GG2227"/>
      <c r="GH2227"/>
      <c r="GI2227"/>
      <c r="GJ2227"/>
      <c r="GK2227"/>
      <c r="GL2227"/>
      <c r="GM2227"/>
      <c r="GN2227"/>
      <c r="GO2227"/>
    </row>
    <row r="2228" spans="107:197">
      <c r="DC2228"/>
      <c r="FH2228"/>
      <c r="FI2228"/>
      <c r="FJ2228"/>
      <c r="FK2228"/>
      <c r="FL2228"/>
      <c r="FM2228"/>
      <c r="FN2228"/>
      <c r="FO2228"/>
      <c r="FP2228"/>
      <c r="FQ2228"/>
      <c r="FR2228"/>
      <c r="FS2228"/>
      <c r="FT2228"/>
      <c r="FU2228"/>
      <c r="FV2228"/>
      <c r="FW2228"/>
      <c r="FX2228"/>
      <c r="FY2228"/>
      <c r="FZ2228"/>
      <c r="GA2228"/>
      <c r="GB2228"/>
      <c r="GC2228"/>
      <c r="GD2228"/>
      <c r="GE2228"/>
      <c r="GF2228"/>
      <c r="GG2228"/>
      <c r="GH2228"/>
      <c r="GI2228"/>
      <c r="GJ2228"/>
      <c r="GK2228"/>
      <c r="GL2228"/>
      <c r="GM2228"/>
      <c r="GN2228"/>
      <c r="GO2228"/>
    </row>
    <row r="2229" spans="107:197">
      <c r="DC2229"/>
      <c r="FH2229"/>
      <c r="FI2229"/>
      <c r="FJ2229"/>
      <c r="FK2229"/>
      <c r="FL2229"/>
      <c r="FM2229"/>
      <c r="FN2229"/>
      <c r="FO2229"/>
      <c r="FP2229"/>
      <c r="FQ2229"/>
      <c r="FR2229"/>
      <c r="FS2229"/>
      <c r="FT2229"/>
      <c r="FU2229"/>
      <c r="FV2229"/>
      <c r="FW2229"/>
      <c r="FX2229"/>
      <c r="FY2229"/>
      <c r="FZ2229"/>
      <c r="GA2229"/>
      <c r="GB2229"/>
      <c r="GC2229"/>
      <c r="GD2229"/>
      <c r="GE2229"/>
      <c r="GF2229"/>
      <c r="GG2229"/>
      <c r="GH2229"/>
      <c r="GI2229"/>
      <c r="GJ2229"/>
      <c r="GK2229"/>
      <c r="GL2229"/>
      <c r="GM2229"/>
      <c r="GN2229"/>
      <c r="GO2229"/>
    </row>
    <row r="2230" spans="107:197">
      <c r="DC2230"/>
      <c r="FH2230"/>
      <c r="FI2230"/>
      <c r="FJ2230"/>
      <c r="FK2230"/>
      <c r="FL2230"/>
      <c r="FM2230"/>
      <c r="FN2230"/>
      <c r="FO2230"/>
      <c r="FP2230"/>
      <c r="FQ2230"/>
      <c r="FR2230"/>
      <c r="FS2230"/>
      <c r="FT2230"/>
      <c r="FU2230"/>
      <c r="FV2230"/>
      <c r="FW2230"/>
      <c r="FX2230"/>
      <c r="FY2230"/>
      <c r="FZ2230"/>
      <c r="GA2230"/>
      <c r="GB2230"/>
      <c r="GC2230"/>
      <c r="GD2230"/>
      <c r="GE2230"/>
      <c r="GF2230"/>
      <c r="GG2230"/>
      <c r="GH2230"/>
      <c r="GI2230"/>
      <c r="GJ2230"/>
      <c r="GK2230"/>
      <c r="GL2230"/>
      <c r="GM2230"/>
      <c r="GN2230"/>
      <c r="GO2230"/>
    </row>
    <row r="2231" spans="107:197">
      <c r="DC2231"/>
      <c r="FH2231"/>
      <c r="FI2231"/>
      <c r="FJ2231"/>
      <c r="FK2231"/>
      <c r="FL2231"/>
      <c r="FM2231"/>
      <c r="FN2231"/>
      <c r="FO2231"/>
      <c r="FP2231"/>
      <c r="FQ2231"/>
      <c r="FR2231"/>
      <c r="FS2231"/>
      <c r="FT2231"/>
      <c r="FU2231"/>
      <c r="FV2231"/>
      <c r="FW2231"/>
      <c r="FX2231"/>
      <c r="FY2231"/>
      <c r="FZ2231"/>
      <c r="GA2231"/>
      <c r="GB2231"/>
      <c r="GC2231"/>
      <c r="GD2231"/>
      <c r="GE2231"/>
      <c r="GF2231"/>
      <c r="GG2231"/>
      <c r="GH2231"/>
      <c r="GI2231"/>
      <c r="GJ2231"/>
      <c r="GK2231"/>
      <c r="GL2231"/>
      <c r="GM2231"/>
      <c r="GN2231"/>
      <c r="GO2231"/>
    </row>
    <row r="2232" spans="107:197">
      <c r="DC2232"/>
      <c r="FH2232"/>
      <c r="FI2232"/>
      <c r="FJ2232"/>
      <c r="FK2232"/>
      <c r="FL2232"/>
      <c r="FM2232"/>
      <c r="FN2232"/>
      <c r="FO2232"/>
      <c r="FP2232"/>
      <c r="FQ2232"/>
      <c r="FR2232"/>
      <c r="FS2232"/>
      <c r="FT2232"/>
      <c r="FU2232"/>
      <c r="FV2232"/>
      <c r="FW2232"/>
      <c r="FX2232"/>
      <c r="FY2232"/>
      <c r="FZ2232"/>
      <c r="GA2232"/>
      <c r="GB2232"/>
      <c r="GC2232"/>
      <c r="GD2232"/>
      <c r="GE2232"/>
      <c r="GF2232"/>
      <c r="GG2232"/>
      <c r="GH2232"/>
      <c r="GI2232"/>
      <c r="GJ2232"/>
      <c r="GK2232"/>
      <c r="GL2232"/>
      <c r="GM2232"/>
      <c r="GN2232"/>
      <c r="GO2232"/>
    </row>
    <row r="2233" spans="107:197">
      <c r="DC2233"/>
      <c r="FH2233"/>
      <c r="FI2233"/>
      <c r="FJ2233"/>
      <c r="FK2233"/>
      <c r="FL2233"/>
      <c r="FM2233"/>
      <c r="FN2233"/>
      <c r="FO2233"/>
      <c r="FP2233"/>
      <c r="FQ2233"/>
      <c r="FR2233"/>
      <c r="FS2233"/>
      <c r="FT2233"/>
      <c r="FU2233"/>
      <c r="FV2233"/>
      <c r="FW2233"/>
      <c r="FX2233"/>
      <c r="FY2233"/>
      <c r="FZ2233"/>
      <c r="GA2233"/>
      <c r="GB2233"/>
      <c r="GC2233"/>
      <c r="GD2233"/>
      <c r="GE2233"/>
      <c r="GF2233"/>
      <c r="GG2233"/>
      <c r="GH2233"/>
      <c r="GI2233"/>
      <c r="GJ2233"/>
      <c r="GK2233"/>
      <c r="GL2233"/>
      <c r="GM2233"/>
      <c r="GN2233"/>
      <c r="GO2233"/>
    </row>
    <row r="2234" spans="107:197">
      <c r="DC2234"/>
      <c r="FH2234"/>
      <c r="FI2234"/>
      <c r="FJ2234"/>
      <c r="FK2234"/>
      <c r="FL2234"/>
      <c r="FM2234"/>
      <c r="FN2234"/>
      <c r="FO2234"/>
      <c r="FP2234"/>
      <c r="FQ2234"/>
      <c r="FR2234"/>
      <c r="FS2234"/>
      <c r="FT2234"/>
      <c r="FU2234"/>
      <c r="FV2234"/>
      <c r="FW2234"/>
      <c r="FX2234"/>
      <c r="FY2234"/>
      <c r="FZ2234"/>
      <c r="GA2234"/>
      <c r="GB2234"/>
      <c r="GC2234"/>
      <c r="GD2234"/>
      <c r="GE2234"/>
      <c r="GF2234"/>
      <c r="GG2234"/>
      <c r="GH2234"/>
      <c r="GI2234"/>
      <c r="GJ2234"/>
      <c r="GK2234"/>
      <c r="GL2234"/>
      <c r="GM2234"/>
      <c r="GN2234"/>
      <c r="GO2234"/>
    </row>
    <row r="2235" spans="107:197">
      <c r="DC2235"/>
      <c r="FH2235"/>
      <c r="FI2235"/>
      <c r="FJ2235"/>
      <c r="FK2235"/>
      <c r="FL2235"/>
      <c r="FM2235"/>
      <c r="FN2235"/>
      <c r="FO2235"/>
      <c r="FP2235"/>
      <c r="FQ2235"/>
      <c r="FR2235"/>
      <c r="FS2235"/>
      <c r="FT2235"/>
      <c r="FU2235"/>
      <c r="FV2235"/>
      <c r="FW2235"/>
      <c r="FX2235"/>
      <c r="FY2235"/>
      <c r="FZ2235"/>
      <c r="GA2235"/>
      <c r="GB2235"/>
      <c r="GC2235"/>
      <c r="GD2235"/>
      <c r="GE2235"/>
      <c r="GF2235"/>
      <c r="GG2235"/>
      <c r="GH2235"/>
      <c r="GI2235"/>
      <c r="GJ2235"/>
      <c r="GK2235"/>
      <c r="GL2235"/>
      <c r="GM2235"/>
      <c r="GN2235"/>
      <c r="GO2235"/>
    </row>
    <row r="2236" spans="107:197">
      <c r="DC2236"/>
      <c r="FH2236"/>
      <c r="FI2236"/>
      <c r="FJ2236"/>
      <c r="FK2236"/>
      <c r="FL2236"/>
      <c r="FM2236"/>
      <c r="FN2236"/>
      <c r="FO2236"/>
      <c r="FP2236"/>
      <c r="FQ2236"/>
      <c r="FR2236"/>
      <c r="FS2236"/>
      <c r="FT2236"/>
      <c r="FU2236"/>
      <c r="FV2236"/>
      <c r="FW2236"/>
      <c r="FX2236"/>
      <c r="FY2236"/>
      <c r="FZ2236"/>
      <c r="GA2236"/>
      <c r="GB2236"/>
      <c r="GC2236"/>
      <c r="GD2236"/>
      <c r="GE2236"/>
      <c r="GF2236"/>
      <c r="GG2236"/>
      <c r="GH2236"/>
      <c r="GI2236"/>
      <c r="GJ2236"/>
      <c r="GK2236"/>
      <c r="GL2236"/>
      <c r="GM2236"/>
      <c r="GN2236"/>
      <c r="GO2236"/>
    </row>
    <row r="2237" spans="107:197">
      <c r="DC2237"/>
      <c r="FH2237"/>
      <c r="FI2237"/>
      <c r="FJ2237"/>
      <c r="FK2237"/>
      <c r="FL2237"/>
      <c r="FM2237"/>
      <c r="FN2237"/>
      <c r="FO2237"/>
      <c r="FP2237"/>
      <c r="FQ2237"/>
      <c r="FR2237"/>
      <c r="FS2237"/>
      <c r="FT2237"/>
      <c r="FU2237"/>
      <c r="FV2237"/>
      <c r="FW2237"/>
      <c r="FX2237"/>
      <c r="FY2237"/>
      <c r="FZ2237"/>
      <c r="GA2237"/>
      <c r="GB2237"/>
      <c r="GC2237"/>
      <c r="GD2237"/>
      <c r="GE2237"/>
      <c r="GF2237"/>
      <c r="GG2237"/>
      <c r="GH2237"/>
      <c r="GI2237"/>
      <c r="GJ2237"/>
      <c r="GK2237"/>
      <c r="GL2237"/>
      <c r="GM2237"/>
      <c r="GN2237"/>
      <c r="GO2237"/>
    </row>
    <row r="2238" spans="107:197">
      <c r="DC2238"/>
      <c r="FH2238"/>
      <c r="FI2238"/>
      <c r="FJ2238"/>
      <c r="FK2238"/>
      <c r="FL2238"/>
      <c r="FM2238"/>
      <c r="FN2238"/>
      <c r="FO2238"/>
      <c r="FP2238"/>
      <c r="FQ2238"/>
      <c r="FR2238"/>
      <c r="FS2238"/>
      <c r="FT2238"/>
      <c r="FU2238"/>
      <c r="FV2238"/>
      <c r="FW2238"/>
      <c r="FX2238"/>
      <c r="FY2238"/>
      <c r="FZ2238"/>
      <c r="GA2238"/>
      <c r="GB2238"/>
      <c r="GC2238"/>
      <c r="GD2238"/>
      <c r="GE2238"/>
      <c r="GF2238"/>
      <c r="GG2238"/>
      <c r="GH2238"/>
      <c r="GI2238"/>
      <c r="GJ2238"/>
      <c r="GK2238"/>
      <c r="GL2238"/>
      <c r="GM2238"/>
      <c r="GN2238"/>
      <c r="GO2238"/>
    </row>
    <row r="2239" spans="107:197">
      <c r="DC2239"/>
      <c r="FH2239"/>
      <c r="FI2239"/>
      <c r="FJ2239"/>
      <c r="FK2239"/>
      <c r="FL2239"/>
      <c r="FM2239"/>
      <c r="FN2239"/>
      <c r="FO2239"/>
      <c r="FP2239"/>
      <c r="FQ2239"/>
      <c r="FR2239"/>
      <c r="FS2239"/>
      <c r="FT2239"/>
      <c r="FU2239"/>
      <c r="FV2239"/>
      <c r="FW2239"/>
      <c r="FX2239"/>
      <c r="FY2239"/>
      <c r="FZ2239"/>
      <c r="GA2239"/>
      <c r="GB2239"/>
      <c r="GC2239"/>
      <c r="GD2239"/>
      <c r="GE2239"/>
      <c r="GF2239"/>
      <c r="GG2239"/>
      <c r="GH2239"/>
      <c r="GI2239"/>
      <c r="GJ2239"/>
      <c r="GK2239"/>
      <c r="GL2239"/>
      <c r="GM2239"/>
      <c r="GN2239"/>
      <c r="GO2239"/>
    </row>
    <row r="2240" spans="107:197">
      <c r="DC2240"/>
      <c r="FH2240"/>
      <c r="FI2240"/>
      <c r="FJ2240"/>
      <c r="FK2240"/>
      <c r="FL2240"/>
      <c r="FM2240"/>
      <c r="FN2240"/>
      <c r="FO2240"/>
      <c r="FP2240"/>
      <c r="FQ2240"/>
      <c r="FR2240"/>
      <c r="FS2240"/>
      <c r="FT2240"/>
      <c r="FU2240"/>
      <c r="FV2240"/>
      <c r="FW2240"/>
      <c r="FX2240"/>
      <c r="FY2240"/>
      <c r="FZ2240"/>
      <c r="GA2240"/>
      <c r="GB2240"/>
      <c r="GC2240"/>
      <c r="GD2240"/>
      <c r="GE2240"/>
      <c r="GF2240"/>
      <c r="GG2240"/>
      <c r="GH2240"/>
      <c r="GI2240"/>
      <c r="GJ2240"/>
      <c r="GK2240"/>
      <c r="GL2240"/>
      <c r="GM2240"/>
      <c r="GN2240"/>
      <c r="GO2240"/>
    </row>
    <row r="2241" spans="107:197">
      <c r="DC2241"/>
      <c r="FH2241"/>
      <c r="FI2241"/>
      <c r="FJ2241"/>
      <c r="FK2241"/>
      <c r="FL2241"/>
      <c r="FM2241"/>
      <c r="FN2241"/>
      <c r="FO2241"/>
      <c r="FP2241"/>
      <c r="FQ2241"/>
      <c r="FR2241"/>
      <c r="FS2241"/>
      <c r="FT2241"/>
      <c r="FU2241"/>
      <c r="FV2241"/>
      <c r="FW2241"/>
      <c r="FX2241"/>
      <c r="FY2241"/>
      <c r="FZ2241"/>
      <c r="GA2241"/>
      <c r="GB2241"/>
      <c r="GC2241"/>
      <c r="GD2241"/>
      <c r="GE2241"/>
      <c r="GF2241"/>
      <c r="GG2241"/>
      <c r="GH2241"/>
      <c r="GI2241"/>
      <c r="GJ2241"/>
      <c r="GK2241"/>
      <c r="GL2241"/>
      <c r="GM2241"/>
      <c r="GN2241"/>
      <c r="GO2241"/>
    </row>
    <row r="2242" spans="107:197">
      <c r="DC2242"/>
      <c r="FH2242"/>
      <c r="FI2242"/>
      <c r="FJ2242"/>
      <c r="FK2242"/>
      <c r="FL2242"/>
      <c r="FM2242"/>
      <c r="FN2242"/>
      <c r="FO2242"/>
      <c r="FP2242"/>
      <c r="FQ2242"/>
      <c r="FR2242"/>
      <c r="FS2242"/>
      <c r="FT2242"/>
      <c r="FU2242"/>
      <c r="FV2242"/>
      <c r="FW2242"/>
      <c r="FX2242"/>
      <c r="FY2242"/>
      <c r="FZ2242"/>
      <c r="GA2242"/>
      <c r="GB2242"/>
      <c r="GC2242"/>
      <c r="GD2242"/>
      <c r="GE2242"/>
      <c r="GF2242"/>
      <c r="GG2242"/>
      <c r="GH2242"/>
      <c r="GI2242"/>
      <c r="GJ2242"/>
      <c r="GK2242"/>
      <c r="GL2242"/>
      <c r="GM2242"/>
      <c r="GN2242"/>
      <c r="GO2242"/>
    </row>
    <row r="2243" spans="107:197">
      <c r="DC2243"/>
      <c r="FH2243"/>
      <c r="FI2243"/>
      <c r="FJ2243"/>
      <c r="FK2243"/>
      <c r="FL2243"/>
      <c r="FM2243"/>
      <c r="FN2243"/>
      <c r="FO2243"/>
      <c r="FP2243"/>
      <c r="FQ2243"/>
      <c r="FR2243"/>
      <c r="FS2243"/>
      <c r="FT2243"/>
      <c r="FU2243"/>
      <c r="FV2243"/>
      <c r="FW2243"/>
      <c r="FX2243"/>
      <c r="FY2243"/>
      <c r="FZ2243"/>
      <c r="GA2243"/>
      <c r="GB2243"/>
      <c r="GC2243"/>
      <c r="GD2243"/>
      <c r="GE2243"/>
      <c r="GF2243"/>
      <c r="GG2243"/>
      <c r="GH2243"/>
      <c r="GI2243"/>
      <c r="GJ2243"/>
      <c r="GK2243"/>
      <c r="GL2243"/>
      <c r="GM2243"/>
      <c r="GN2243"/>
      <c r="GO2243"/>
    </row>
    <row r="2244" spans="107:197">
      <c r="DC2244"/>
      <c r="FH2244"/>
      <c r="FI2244"/>
      <c r="FJ2244"/>
      <c r="FK2244"/>
      <c r="FL2244"/>
      <c r="FM2244"/>
      <c r="FN2244"/>
      <c r="FO2244"/>
      <c r="FP2244"/>
      <c r="FQ2244"/>
      <c r="FR2244"/>
      <c r="FS2244"/>
      <c r="FT2244"/>
      <c r="FU2244"/>
      <c r="FV2244"/>
      <c r="FW2244"/>
      <c r="FX2244"/>
      <c r="FY2244"/>
      <c r="FZ2244"/>
      <c r="GA2244"/>
      <c r="GB2244"/>
      <c r="GC2244"/>
      <c r="GD2244"/>
      <c r="GE2244"/>
      <c r="GF2244"/>
      <c r="GG2244"/>
      <c r="GH2244"/>
      <c r="GI2244"/>
      <c r="GJ2244"/>
      <c r="GK2244"/>
      <c r="GL2244"/>
      <c r="GM2244"/>
      <c r="GN2244"/>
      <c r="GO2244"/>
    </row>
    <row r="2245" spans="107:197">
      <c r="DC2245"/>
      <c r="FH2245"/>
      <c r="FI2245"/>
      <c r="FJ2245"/>
      <c r="FK2245"/>
      <c r="FL2245"/>
      <c r="FM2245"/>
      <c r="FN2245"/>
      <c r="FO2245"/>
      <c r="FP2245"/>
      <c r="FQ2245"/>
      <c r="FR2245"/>
      <c r="FS2245"/>
      <c r="FT2245"/>
      <c r="FU2245"/>
      <c r="FV2245"/>
      <c r="FW2245"/>
      <c r="FX2245"/>
      <c r="FY2245"/>
      <c r="FZ2245"/>
      <c r="GA2245"/>
      <c r="GB2245"/>
      <c r="GC2245"/>
      <c r="GD2245"/>
      <c r="GE2245"/>
      <c r="GF2245"/>
      <c r="GG2245"/>
      <c r="GH2245"/>
      <c r="GI2245"/>
      <c r="GJ2245"/>
      <c r="GK2245"/>
      <c r="GL2245"/>
      <c r="GM2245"/>
      <c r="GN2245"/>
      <c r="GO2245"/>
    </row>
    <row r="2246" spans="107:197">
      <c r="DC2246"/>
      <c r="FH2246"/>
      <c r="FI2246"/>
      <c r="FJ2246"/>
      <c r="FK2246"/>
      <c r="FL2246"/>
      <c r="FM2246"/>
      <c r="FN2246"/>
      <c r="FO2246"/>
      <c r="FP2246"/>
      <c r="FQ2246"/>
      <c r="FR2246"/>
      <c r="FS2246"/>
      <c r="FT2246"/>
      <c r="FU2246"/>
      <c r="FV2246"/>
      <c r="FW2246"/>
      <c r="FX2246"/>
      <c r="FY2246"/>
      <c r="FZ2246"/>
      <c r="GA2246"/>
      <c r="GB2246"/>
      <c r="GC2246"/>
      <c r="GD2246"/>
      <c r="GE2246"/>
      <c r="GF2246"/>
      <c r="GG2246"/>
      <c r="GH2246"/>
      <c r="GI2246"/>
      <c r="GJ2246"/>
      <c r="GK2246"/>
      <c r="GL2246"/>
      <c r="GM2246"/>
      <c r="GN2246"/>
      <c r="GO2246"/>
    </row>
    <row r="2247" spans="107:197">
      <c r="DC2247"/>
      <c r="FH2247"/>
      <c r="FI2247"/>
      <c r="FJ2247"/>
      <c r="FK2247"/>
      <c r="FL2247"/>
      <c r="FM2247"/>
      <c r="FN2247"/>
      <c r="FO2247"/>
      <c r="FP2247"/>
      <c r="FQ2247"/>
      <c r="FR2247"/>
      <c r="FS2247"/>
      <c r="FT2247"/>
      <c r="FU2247"/>
      <c r="FV2247"/>
      <c r="FW2247"/>
      <c r="FX2247"/>
      <c r="FY2247"/>
      <c r="FZ2247"/>
      <c r="GA2247"/>
      <c r="GB2247"/>
      <c r="GC2247"/>
      <c r="GD2247"/>
      <c r="GE2247"/>
      <c r="GF2247"/>
      <c r="GG2247"/>
      <c r="GH2247"/>
      <c r="GI2247"/>
      <c r="GJ2247"/>
      <c r="GK2247"/>
      <c r="GL2247"/>
      <c r="GM2247"/>
      <c r="GN2247"/>
      <c r="GO2247"/>
    </row>
    <row r="2248" spans="107:197">
      <c r="DC2248"/>
      <c r="FH2248"/>
      <c r="FI2248"/>
      <c r="FJ2248"/>
      <c r="FK2248"/>
      <c r="FL2248"/>
      <c r="FM2248"/>
      <c r="FN2248"/>
      <c r="FO2248"/>
      <c r="FP2248"/>
      <c r="FQ2248"/>
      <c r="FR2248"/>
      <c r="FS2248"/>
      <c r="FT2248"/>
      <c r="FU2248"/>
      <c r="FV2248"/>
      <c r="FW2248"/>
      <c r="FX2248"/>
      <c r="FY2248"/>
      <c r="FZ2248"/>
      <c r="GA2248"/>
      <c r="GB2248"/>
      <c r="GC2248"/>
      <c r="GD2248"/>
      <c r="GE2248"/>
      <c r="GF2248"/>
      <c r="GG2248"/>
      <c r="GH2248"/>
      <c r="GI2248"/>
      <c r="GJ2248"/>
      <c r="GK2248"/>
      <c r="GL2248"/>
      <c r="GM2248"/>
      <c r="GN2248"/>
      <c r="GO2248"/>
    </row>
    <row r="2249" spans="107:197">
      <c r="DC2249"/>
      <c r="FH2249"/>
      <c r="FI2249"/>
      <c r="FJ2249"/>
      <c r="FK2249"/>
      <c r="FL2249"/>
      <c r="FM2249"/>
      <c r="FN2249"/>
      <c r="FO2249"/>
      <c r="FP2249"/>
      <c r="FQ2249"/>
      <c r="FR2249"/>
      <c r="FS2249"/>
      <c r="FT2249"/>
      <c r="FU2249"/>
      <c r="FV2249"/>
      <c r="FW2249"/>
      <c r="FX2249"/>
      <c r="FY2249"/>
      <c r="FZ2249"/>
      <c r="GA2249"/>
      <c r="GB2249"/>
      <c r="GC2249"/>
      <c r="GD2249"/>
      <c r="GE2249"/>
      <c r="GF2249"/>
      <c r="GG2249"/>
      <c r="GH2249"/>
      <c r="GI2249"/>
      <c r="GJ2249"/>
      <c r="GK2249"/>
      <c r="GL2249"/>
      <c r="GM2249"/>
      <c r="GN2249"/>
      <c r="GO2249"/>
    </row>
    <row r="2250" spans="107:197">
      <c r="DC2250"/>
      <c r="FH2250"/>
      <c r="FI2250"/>
      <c r="FJ2250"/>
      <c r="FK2250"/>
      <c r="FL2250"/>
      <c r="FM2250"/>
      <c r="FN2250"/>
      <c r="FO2250"/>
      <c r="FP2250"/>
      <c r="FQ2250"/>
      <c r="FR2250"/>
      <c r="FS2250"/>
      <c r="FT2250"/>
      <c r="FU2250"/>
      <c r="FV2250"/>
      <c r="FW2250"/>
      <c r="FX2250"/>
      <c r="FY2250"/>
      <c r="FZ2250"/>
      <c r="GA2250"/>
      <c r="GB2250"/>
      <c r="GC2250"/>
      <c r="GD2250"/>
      <c r="GE2250"/>
      <c r="GF2250"/>
      <c r="GG2250"/>
      <c r="GH2250"/>
      <c r="GI2250"/>
      <c r="GJ2250"/>
      <c r="GK2250"/>
      <c r="GL2250"/>
      <c r="GM2250"/>
      <c r="GN2250"/>
      <c r="GO2250"/>
    </row>
    <row r="2251" spans="107:197">
      <c r="DC2251"/>
      <c r="FH2251"/>
      <c r="FI2251"/>
      <c r="FJ2251"/>
      <c r="FK2251"/>
      <c r="FL2251"/>
      <c r="FM2251"/>
      <c r="FN2251"/>
      <c r="FO2251"/>
      <c r="FP2251"/>
      <c r="FQ2251"/>
      <c r="FR2251"/>
      <c r="FS2251"/>
      <c r="FT2251"/>
      <c r="FU2251"/>
      <c r="FV2251"/>
      <c r="FW2251"/>
      <c r="FX2251"/>
      <c r="FY2251"/>
      <c r="FZ2251"/>
      <c r="GA2251"/>
      <c r="GB2251"/>
      <c r="GC2251"/>
      <c r="GD2251"/>
      <c r="GE2251"/>
      <c r="GF2251"/>
      <c r="GG2251"/>
      <c r="GH2251"/>
      <c r="GI2251"/>
      <c r="GJ2251"/>
      <c r="GK2251"/>
      <c r="GL2251"/>
      <c r="GM2251"/>
      <c r="GN2251"/>
      <c r="GO2251"/>
    </row>
    <row r="2252" spans="107:197">
      <c r="DC2252"/>
      <c r="FH2252"/>
      <c r="FI2252"/>
      <c r="FJ2252"/>
      <c r="FK2252"/>
      <c r="FL2252"/>
      <c r="FM2252"/>
      <c r="FN2252"/>
      <c r="FO2252"/>
      <c r="FP2252"/>
      <c r="FQ2252"/>
      <c r="FR2252"/>
      <c r="FS2252"/>
      <c r="FT2252"/>
      <c r="FU2252"/>
      <c r="FV2252"/>
      <c r="FW2252"/>
      <c r="FX2252"/>
      <c r="FY2252"/>
      <c r="FZ2252"/>
      <c r="GA2252"/>
      <c r="GB2252"/>
      <c r="GC2252"/>
      <c r="GD2252"/>
      <c r="GE2252"/>
      <c r="GF2252"/>
      <c r="GG2252"/>
      <c r="GH2252"/>
      <c r="GI2252"/>
      <c r="GJ2252"/>
      <c r="GK2252"/>
      <c r="GL2252"/>
      <c r="GM2252"/>
      <c r="GN2252"/>
      <c r="GO2252"/>
    </row>
    <row r="2253" spans="107:197">
      <c r="DC2253"/>
      <c r="FH2253"/>
      <c r="FI2253"/>
      <c r="FJ2253"/>
      <c r="FK2253"/>
      <c r="FL2253"/>
      <c r="FM2253"/>
      <c r="FN2253"/>
      <c r="FO2253"/>
      <c r="FP2253"/>
      <c r="FQ2253"/>
      <c r="FR2253"/>
      <c r="FS2253"/>
      <c r="FT2253"/>
      <c r="FU2253"/>
      <c r="FV2253"/>
      <c r="FW2253"/>
      <c r="FX2253"/>
      <c r="FY2253"/>
      <c r="FZ2253"/>
      <c r="GA2253"/>
      <c r="GB2253"/>
      <c r="GC2253"/>
      <c r="GD2253"/>
      <c r="GE2253"/>
      <c r="GF2253"/>
      <c r="GG2253"/>
      <c r="GH2253"/>
      <c r="GI2253"/>
      <c r="GJ2253"/>
      <c r="GK2253"/>
      <c r="GL2253"/>
      <c r="GM2253"/>
      <c r="GN2253"/>
      <c r="GO2253"/>
    </row>
    <row r="2254" spans="107:197">
      <c r="DC2254"/>
      <c r="FH2254"/>
      <c r="FI2254"/>
      <c r="FJ2254"/>
      <c r="FK2254"/>
      <c r="FL2254"/>
      <c r="FM2254"/>
      <c r="FN2254"/>
      <c r="FO2254"/>
      <c r="FP2254"/>
      <c r="FQ2254"/>
      <c r="FR2254"/>
      <c r="FS2254"/>
      <c r="FT2254"/>
      <c r="FU2254"/>
      <c r="FV2254"/>
      <c r="FW2254"/>
      <c r="FX2254"/>
      <c r="FY2254"/>
      <c r="FZ2254"/>
      <c r="GA2254"/>
      <c r="GB2254"/>
      <c r="GC2254"/>
      <c r="GD2254"/>
      <c r="GE2254"/>
      <c r="GF2254"/>
      <c r="GG2254"/>
      <c r="GH2254"/>
      <c r="GI2254"/>
      <c r="GJ2254"/>
      <c r="GK2254"/>
      <c r="GL2254"/>
      <c r="GM2254"/>
      <c r="GN2254"/>
      <c r="GO2254"/>
    </row>
    <row r="2255" spans="107:197">
      <c r="DC2255"/>
      <c r="FH2255"/>
      <c r="FI2255"/>
      <c r="FJ2255"/>
      <c r="FK2255"/>
      <c r="FL2255"/>
      <c r="FM2255"/>
      <c r="FN2255"/>
      <c r="FO2255"/>
      <c r="FP2255"/>
      <c r="FQ2255"/>
      <c r="FR2255"/>
      <c r="FS2255"/>
      <c r="FT2255"/>
      <c r="FU2255"/>
      <c r="FV2255"/>
      <c r="FW2255"/>
      <c r="FX2255"/>
      <c r="FY2255"/>
      <c r="FZ2255"/>
      <c r="GA2255"/>
      <c r="GB2255"/>
      <c r="GC2255"/>
      <c r="GD2255"/>
      <c r="GE2255"/>
      <c r="GF2255"/>
      <c r="GG2255"/>
      <c r="GH2255"/>
      <c r="GI2255"/>
      <c r="GJ2255"/>
      <c r="GK2255"/>
      <c r="GL2255"/>
      <c r="GM2255"/>
      <c r="GN2255"/>
      <c r="GO2255"/>
    </row>
    <row r="2256" spans="107:197">
      <c r="DC2256"/>
      <c r="FH2256"/>
      <c r="FI2256"/>
      <c r="FJ2256"/>
      <c r="FK2256"/>
      <c r="FL2256"/>
      <c r="FM2256"/>
      <c r="FN2256"/>
      <c r="FO2256"/>
      <c r="FP2256"/>
      <c r="FQ2256"/>
      <c r="FR2256"/>
      <c r="FS2256"/>
      <c r="FT2256"/>
      <c r="FU2256"/>
      <c r="FV2256"/>
      <c r="FW2256"/>
      <c r="FX2256"/>
      <c r="FY2256"/>
      <c r="FZ2256"/>
      <c r="GA2256"/>
      <c r="GB2256"/>
      <c r="GC2256"/>
      <c r="GD2256"/>
      <c r="GE2256"/>
      <c r="GF2256"/>
      <c r="GG2256"/>
      <c r="GH2256"/>
      <c r="GI2256"/>
      <c r="GJ2256"/>
      <c r="GK2256"/>
      <c r="GL2256"/>
      <c r="GM2256"/>
      <c r="GN2256"/>
      <c r="GO2256"/>
    </row>
    <row r="2257" spans="107:197">
      <c r="DC2257"/>
      <c r="FH2257"/>
      <c r="FI2257"/>
      <c r="FJ2257"/>
      <c r="FK2257"/>
      <c r="FL2257"/>
      <c r="FM2257"/>
      <c r="FN2257"/>
      <c r="FO2257"/>
      <c r="FP2257"/>
      <c r="FQ2257"/>
      <c r="FR2257"/>
      <c r="FS2257"/>
      <c r="FT2257"/>
      <c r="FU2257"/>
      <c r="FV2257"/>
      <c r="FW2257"/>
      <c r="FX2257"/>
      <c r="FY2257"/>
      <c r="FZ2257"/>
      <c r="GA2257"/>
      <c r="GB2257"/>
      <c r="GC2257"/>
      <c r="GD2257"/>
      <c r="GE2257"/>
      <c r="GF2257"/>
      <c r="GG2257"/>
      <c r="GH2257"/>
      <c r="GI2257"/>
      <c r="GJ2257"/>
      <c r="GK2257"/>
      <c r="GL2257"/>
      <c r="GM2257"/>
      <c r="GN2257"/>
      <c r="GO2257"/>
    </row>
    <row r="2258" spans="107:197">
      <c r="DC2258"/>
      <c r="FH2258"/>
      <c r="FI2258"/>
      <c r="FJ2258"/>
      <c r="FK2258"/>
      <c r="FL2258"/>
      <c r="FM2258"/>
      <c r="FN2258"/>
      <c r="FO2258"/>
      <c r="FP2258"/>
      <c r="FQ2258"/>
      <c r="FR2258"/>
      <c r="FS2258"/>
      <c r="FT2258"/>
      <c r="FU2258"/>
      <c r="FV2258"/>
      <c r="FW2258"/>
      <c r="FX2258"/>
      <c r="FY2258"/>
      <c r="FZ2258"/>
      <c r="GA2258"/>
      <c r="GB2258"/>
      <c r="GC2258"/>
      <c r="GD2258"/>
      <c r="GE2258"/>
      <c r="GF2258"/>
      <c r="GG2258"/>
      <c r="GH2258"/>
      <c r="GI2258"/>
      <c r="GJ2258"/>
      <c r="GK2258"/>
      <c r="GL2258"/>
      <c r="GM2258"/>
      <c r="GN2258"/>
      <c r="GO2258"/>
    </row>
    <row r="2259" spans="107:197">
      <c r="DC2259"/>
      <c r="FH2259"/>
      <c r="FI2259"/>
      <c r="FJ2259"/>
      <c r="FK2259"/>
      <c r="FL2259"/>
      <c r="FM2259"/>
      <c r="FN2259"/>
      <c r="FO2259"/>
      <c r="FP2259"/>
      <c r="FQ2259"/>
      <c r="FR2259"/>
      <c r="FS2259"/>
      <c r="FT2259"/>
      <c r="FU2259"/>
      <c r="FV2259"/>
      <c r="FW2259"/>
      <c r="FX2259"/>
      <c r="FY2259"/>
      <c r="FZ2259"/>
      <c r="GA2259"/>
      <c r="GB2259"/>
      <c r="GC2259"/>
      <c r="GD2259"/>
      <c r="GE2259"/>
      <c r="GF2259"/>
      <c r="GG2259"/>
      <c r="GH2259"/>
      <c r="GI2259"/>
      <c r="GJ2259"/>
      <c r="GK2259"/>
      <c r="GL2259"/>
      <c r="GM2259"/>
      <c r="GN2259"/>
      <c r="GO2259"/>
    </row>
    <row r="2260" spans="107:197">
      <c r="DC2260"/>
      <c r="FH2260"/>
      <c r="FI2260"/>
      <c r="FJ2260"/>
      <c r="FK2260"/>
      <c r="FL2260"/>
      <c r="FM2260"/>
      <c r="FN2260"/>
      <c r="FO2260"/>
      <c r="FP2260"/>
      <c r="FQ2260"/>
      <c r="FR2260"/>
      <c r="FS2260"/>
      <c r="FT2260"/>
      <c r="FU2260"/>
      <c r="FV2260"/>
      <c r="FW2260"/>
      <c r="FX2260"/>
      <c r="FY2260"/>
      <c r="FZ2260"/>
      <c r="GA2260"/>
      <c r="GB2260"/>
      <c r="GC2260"/>
      <c r="GD2260"/>
      <c r="GE2260"/>
      <c r="GF2260"/>
      <c r="GG2260"/>
      <c r="GH2260"/>
      <c r="GI2260"/>
      <c r="GJ2260"/>
      <c r="GK2260"/>
      <c r="GL2260"/>
      <c r="GM2260"/>
      <c r="GN2260"/>
      <c r="GO2260"/>
    </row>
    <row r="2261" spans="107:197">
      <c r="DC2261"/>
      <c r="FH2261"/>
      <c r="FI2261"/>
      <c r="FJ2261"/>
      <c r="FK2261"/>
      <c r="FL2261"/>
      <c r="FM2261"/>
      <c r="FN2261"/>
      <c r="FO2261"/>
      <c r="FP2261"/>
      <c r="FQ2261"/>
      <c r="FR2261"/>
      <c r="FS2261"/>
      <c r="FT2261"/>
      <c r="FU2261"/>
      <c r="FV2261"/>
      <c r="FW2261"/>
      <c r="FX2261"/>
      <c r="FY2261"/>
      <c r="FZ2261"/>
      <c r="GA2261"/>
      <c r="GB2261"/>
      <c r="GC2261"/>
      <c r="GD2261"/>
      <c r="GE2261"/>
      <c r="GF2261"/>
      <c r="GG2261"/>
      <c r="GH2261"/>
      <c r="GI2261"/>
      <c r="GJ2261"/>
      <c r="GK2261"/>
      <c r="GL2261"/>
      <c r="GM2261"/>
      <c r="GN2261"/>
      <c r="GO2261"/>
    </row>
    <row r="2262" spans="107:197">
      <c r="DC2262"/>
      <c r="FH2262"/>
      <c r="FI2262"/>
      <c r="FJ2262"/>
      <c r="FK2262"/>
      <c r="FL2262"/>
      <c r="FM2262"/>
      <c r="FN2262"/>
      <c r="FO2262"/>
      <c r="FP2262"/>
      <c r="FQ2262"/>
      <c r="FR2262"/>
      <c r="FS2262"/>
      <c r="FT2262"/>
      <c r="FU2262"/>
      <c r="FV2262"/>
      <c r="FW2262"/>
      <c r="FX2262"/>
      <c r="FY2262"/>
      <c r="FZ2262"/>
      <c r="GA2262"/>
      <c r="GB2262"/>
      <c r="GC2262"/>
      <c r="GD2262"/>
      <c r="GE2262"/>
      <c r="GF2262"/>
      <c r="GG2262"/>
      <c r="GH2262"/>
      <c r="GI2262"/>
      <c r="GJ2262"/>
      <c r="GK2262"/>
      <c r="GL2262"/>
      <c r="GM2262"/>
      <c r="GN2262"/>
      <c r="GO2262"/>
    </row>
    <row r="2263" spans="107:197">
      <c r="DC2263"/>
      <c r="FH2263"/>
      <c r="FI2263"/>
      <c r="FJ2263"/>
      <c r="FK2263"/>
      <c r="FL2263"/>
      <c r="FM2263"/>
      <c r="FN2263"/>
      <c r="FO2263"/>
      <c r="FP2263"/>
      <c r="FQ2263"/>
      <c r="FR2263"/>
      <c r="FS2263"/>
      <c r="FT2263"/>
      <c r="FU2263"/>
      <c r="FV2263"/>
      <c r="FW2263"/>
      <c r="FX2263"/>
      <c r="FY2263"/>
      <c r="FZ2263"/>
      <c r="GA2263"/>
      <c r="GB2263"/>
      <c r="GC2263"/>
      <c r="GD2263"/>
      <c r="GE2263"/>
      <c r="GF2263"/>
      <c r="GG2263"/>
      <c r="GH2263"/>
      <c r="GI2263"/>
      <c r="GJ2263"/>
      <c r="GK2263"/>
      <c r="GL2263"/>
      <c r="GM2263"/>
      <c r="GN2263"/>
      <c r="GO2263"/>
    </row>
    <row r="2264" spans="107:197">
      <c r="DC2264"/>
      <c r="FH2264"/>
      <c r="FI2264"/>
      <c r="FJ2264"/>
      <c r="FK2264"/>
      <c r="FL2264"/>
      <c r="FM2264"/>
      <c r="FN2264"/>
      <c r="FO2264"/>
      <c r="FP2264"/>
      <c r="FQ2264"/>
      <c r="FR2264"/>
      <c r="FS2264"/>
      <c r="FT2264"/>
      <c r="FU2264"/>
      <c r="FV2264"/>
      <c r="FW2264"/>
      <c r="FX2264"/>
      <c r="FY2264"/>
      <c r="FZ2264"/>
      <c r="GA2264"/>
      <c r="GB2264"/>
      <c r="GC2264"/>
      <c r="GD2264"/>
      <c r="GE2264"/>
      <c r="GF2264"/>
      <c r="GG2264"/>
      <c r="GH2264"/>
      <c r="GI2264"/>
      <c r="GJ2264"/>
      <c r="GK2264"/>
      <c r="GL2264"/>
      <c r="GM2264"/>
      <c r="GN2264"/>
      <c r="GO2264"/>
    </row>
    <row r="2265" spans="107:197">
      <c r="DC2265"/>
      <c r="FH2265"/>
      <c r="FI2265"/>
      <c r="FJ2265"/>
      <c r="FK2265"/>
      <c r="FL2265"/>
      <c r="FM2265"/>
      <c r="FN2265"/>
      <c r="FO2265"/>
      <c r="FP2265"/>
      <c r="FQ2265"/>
      <c r="FR2265"/>
      <c r="FS2265"/>
      <c r="FT2265"/>
      <c r="FU2265"/>
      <c r="FV2265"/>
      <c r="FW2265"/>
      <c r="FX2265"/>
      <c r="FY2265"/>
      <c r="FZ2265"/>
      <c r="GA2265"/>
      <c r="GB2265"/>
      <c r="GC2265"/>
      <c r="GD2265"/>
      <c r="GE2265"/>
      <c r="GF2265"/>
      <c r="GG2265"/>
      <c r="GH2265"/>
      <c r="GI2265"/>
      <c r="GJ2265"/>
      <c r="GK2265"/>
      <c r="GL2265"/>
      <c r="GM2265"/>
      <c r="GN2265"/>
      <c r="GO2265"/>
    </row>
    <row r="2266" spans="107:197">
      <c r="DC2266"/>
      <c r="FH2266"/>
      <c r="FI2266"/>
      <c r="FJ2266"/>
      <c r="FK2266"/>
      <c r="FL2266"/>
      <c r="FM2266"/>
      <c r="FN2266"/>
      <c r="FO2266"/>
      <c r="FP2266"/>
      <c r="FQ2266"/>
      <c r="FR2266"/>
      <c r="FS2266"/>
      <c r="FT2266"/>
      <c r="FU2266"/>
      <c r="FV2266"/>
      <c r="FW2266"/>
      <c r="FX2266"/>
      <c r="FY2266"/>
      <c r="FZ2266"/>
      <c r="GA2266"/>
      <c r="GB2266"/>
      <c r="GC2266"/>
      <c r="GD2266"/>
      <c r="GE2266"/>
      <c r="GF2266"/>
      <c r="GG2266"/>
      <c r="GH2266"/>
      <c r="GI2266"/>
      <c r="GJ2266"/>
      <c r="GK2266"/>
      <c r="GL2266"/>
      <c r="GM2266"/>
      <c r="GN2266"/>
      <c r="GO2266"/>
    </row>
    <row r="2267" spans="107:197">
      <c r="DC2267"/>
      <c r="FH2267"/>
      <c r="FI2267"/>
      <c r="FJ2267"/>
      <c r="FK2267"/>
      <c r="FL2267"/>
      <c r="FM2267"/>
      <c r="FN2267"/>
      <c r="FO2267"/>
      <c r="FP2267"/>
      <c r="FQ2267"/>
      <c r="FR2267"/>
      <c r="FS2267"/>
      <c r="FT2267"/>
      <c r="FU2267"/>
      <c r="FV2267"/>
      <c r="FW2267"/>
      <c r="FX2267"/>
      <c r="FY2267"/>
      <c r="FZ2267"/>
      <c r="GA2267"/>
      <c r="GB2267"/>
      <c r="GC2267"/>
      <c r="GD2267"/>
      <c r="GE2267"/>
      <c r="GF2267"/>
      <c r="GG2267"/>
      <c r="GH2267"/>
      <c r="GI2267"/>
      <c r="GJ2267"/>
      <c r="GK2267"/>
      <c r="GL2267"/>
      <c r="GM2267"/>
      <c r="GN2267"/>
      <c r="GO2267"/>
    </row>
    <row r="2268" spans="107:197">
      <c r="DC2268"/>
      <c r="FH2268"/>
      <c r="FI2268"/>
      <c r="FJ2268"/>
      <c r="FK2268"/>
      <c r="FL2268"/>
      <c r="FM2268"/>
      <c r="FN2268"/>
      <c r="FO2268"/>
      <c r="FP2268"/>
      <c r="FQ2268"/>
      <c r="FR2268"/>
      <c r="FS2268"/>
      <c r="FT2268"/>
      <c r="FU2268"/>
      <c r="FV2268"/>
      <c r="FW2268"/>
      <c r="FX2268"/>
      <c r="FY2268"/>
      <c r="FZ2268"/>
      <c r="GA2268"/>
      <c r="GB2268"/>
      <c r="GC2268"/>
      <c r="GD2268"/>
      <c r="GE2268"/>
      <c r="GF2268"/>
      <c r="GG2268"/>
      <c r="GH2268"/>
      <c r="GI2268"/>
      <c r="GJ2268"/>
      <c r="GK2268"/>
      <c r="GL2268"/>
      <c r="GM2268"/>
      <c r="GN2268"/>
      <c r="GO2268"/>
    </row>
    <row r="2269" spans="107:197">
      <c r="DC2269"/>
      <c r="FH2269"/>
      <c r="FI2269"/>
      <c r="FJ2269"/>
      <c r="FK2269"/>
      <c r="FL2269"/>
      <c r="FM2269"/>
      <c r="FN2269"/>
      <c r="FO2269"/>
      <c r="FP2269"/>
      <c r="FQ2269"/>
      <c r="FR2269"/>
      <c r="FS2269"/>
      <c r="FT2269"/>
      <c r="FU2269"/>
      <c r="FV2269"/>
      <c r="FW2269"/>
      <c r="FX2269"/>
      <c r="FY2269"/>
      <c r="FZ2269"/>
      <c r="GA2269"/>
      <c r="GB2269"/>
      <c r="GC2269"/>
      <c r="GD2269"/>
      <c r="GE2269"/>
      <c r="GF2269"/>
      <c r="GG2269"/>
      <c r="GH2269"/>
      <c r="GI2269"/>
      <c r="GJ2269"/>
      <c r="GK2269"/>
      <c r="GL2269"/>
      <c r="GM2269"/>
      <c r="GN2269"/>
      <c r="GO2269"/>
    </row>
    <row r="2270" spans="107:197">
      <c r="DC2270"/>
      <c r="FH2270"/>
      <c r="FI2270"/>
      <c r="FJ2270"/>
      <c r="FK2270"/>
      <c r="FL2270"/>
      <c r="FM2270"/>
      <c r="FN2270"/>
      <c r="FO2270"/>
      <c r="FP2270"/>
      <c r="FQ2270"/>
      <c r="FR2270"/>
      <c r="FS2270"/>
      <c r="FT2270"/>
      <c r="FU2270"/>
      <c r="FV2270"/>
      <c r="FW2270"/>
      <c r="FX2270"/>
      <c r="FY2270"/>
      <c r="FZ2270"/>
      <c r="GA2270"/>
      <c r="GB2270"/>
      <c r="GC2270"/>
      <c r="GD2270"/>
      <c r="GE2270"/>
      <c r="GF2270"/>
      <c r="GG2270"/>
      <c r="GH2270"/>
      <c r="GI2270"/>
      <c r="GJ2270"/>
      <c r="GK2270"/>
      <c r="GL2270"/>
      <c r="GM2270"/>
      <c r="GN2270"/>
      <c r="GO2270"/>
    </row>
    <row r="2271" spans="107:197">
      <c r="DC2271"/>
      <c r="FH2271"/>
      <c r="FI2271"/>
      <c r="FJ2271"/>
      <c r="FK2271"/>
      <c r="FL2271"/>
      <c r="FM2271"/>
      <c r="FN2271"/>
      <c r="FO2271"/>
      <c r="FP2271"/>
      <c r="FQ2271"/>
      <c r="FR2271"/>
      <c r="FS2271"/>
      <c r="FT2271"/>
      <c r="FU2271"/>
      <c r="FV2271"/>
      <c r="FW2271"/>
      <c r="FX2271"/>
      <c r="FY2271"/>
      <c r="FZ2271"/>
      <c r="GA2271"/>
      <c r="GB2271"/>
      <c r="GC2271"/>
      <c r="GD2271"/>
      <c r="GE2271"/>
      <c r="GF2271"/>
      <c r="GG2271"/>
      <c r="GH2271"/>
      <c r="GI2271"/>
      <c r="GJ2271"/>
      <c r="GK2271"/>
      <c r="GL2271"/>
      <c r="GM2271"/>
      <c r="GN2271"/>
      <c r="GO2271"/>
    </row>
    <row r="2272" spans="107:197">
      <c r="DC2272"/>
      <c r="FH2272"/>
      <c r="FI2272"/>
      <c r="FJ2272"/>
      <c r="FK2272"/>
      <c r="FL2272"/>
      <c r="FM2272"/>
      <c r="FN2272"/>
      <c r="FO2272"/>
      <c r="FP2272"/>
      <c r="FQ2272"/>
      <c r="FR2272"/>
      <c r="FS2272"/>
      <c r="FT2272"/>
      <c r="FU2272"/>
      <c r="FV2272"/>
      <c r="FW2272"/>
      <c r="FX2272"/>
      <c r="FY2272"/>
      <c r="FZ2272"/>
      <c r="GA2272"/>
      <c r="GB2272"/>
      <c r="GC2272"/>
      <c r="GD2272"/>
      <c r="GE2272"/>
      <c r="GF2272"/>
      <c r="GG2272"/>
      <c r="GH2272"/>
      <c r="GI2272"/>
      <c r="GJ2272"/>
      <c r="GK2272"/>
      <c r="GL2272"/>
      <c r="GM2272"/>
      <c r="GN2272"/>
      <c r="GO2272"/>
    </row>
    <row r="2273" spans="107:197">
      <c r="DC2273"/>
      <c r="FH2273"/>
      <c r="FI2273"/>
      <c r="FJ2273"/>
      <c r="FK2273"/>
      <c r="FL2273"/>
      <c r="FM2273"/>
      <c r="FN2273"/>
      <c r="FO2273"/>
      <c r="FP2273"/>
      <c r="FQ2273"/>
      <c r="FR2273"/>
      <c r="FS2273"/>
      <c r="FT2273"/>
      <c r="FU2273"/>
      <c r="FV2273"/>
      <c r="FW2273"/>
      <c r="FX2273"/>
      <c r="FY2273"/>
      <c r="FZ2273"/>
      <c r="GA2273"/>
      <c r="GB2273"/>
      <c r="GC2273"/>
      <c r="GD2273"/>
      <c r="GE2273"/>
      <c r="GF2273"/>
      <c r="GG2273"/>
      <c r="GH2273"/>
      <c r="GI2273"/>
      <c r="GJ2273"/>
      <c r="GK2273"/>
      <c r="GL2273"/>
      <c r="GM2273"/>
      <c r="GN2273"/>
      <c r="GO2273"/>
    </row>
    <row r="2274" spans="107:197">
      <c r="DC2274"/>
      <c r="FH2274"/>
      <c r="FI2274"/>
      <c r="FJ2274"/>
      <c r="FK2274"/>
      <c r="FL2274"/>
      <c r="FM2274"/>
      <c r="FN2274"/>
      <c r="FO2274"/>
      <c r="FP2274"/>
      <c r="FQ2274"/>
      <c r="FR2274"/>
      <c r="FS2274"/>
      <c r="FT2274"/>
      <c r="FU2274"/>
      <c r="FV2274"/>
      <c r="FW2274"/>
      <c r="FX2274"/>
      <c r="FY2274"/>
      <c r="FZ2274"/>
      <c r="GA2274"/>
      <c r="GB2274"/>
      <c r="GC2274"/>
      <c r="GD2274"/>
      <c r="GE2274"/>
      <c r="GF2274"/>
      <c r="GG2274"/>
      <c r="GH2274"/>
      <c r="GI2274"/>
      <c r="GJ2274"/>
      <c r="GK2274"/>
      <c r="GL2274"/>
      <c r="GM2274"/>
      <c r="GN2274"/>
      <c r="GO2274"/>
    </row>
    <row r="2275" spans="107:197">
      <c r="DC2275"/>
      <c r="FH2275"/>
      <c r="FI2275"/>
      <c r="FJ2275"/>
      <c r="FK2275"/>
      <c r="FL2275"/>
      <c r="FM2275"/>
      <c r="FN2275"/>
      <c r="FO2275"/>
      <c r="FP2275"/>
      <c r="FQ2275"/>
      <c r="FR2275"/>
      <c r="FS2275"/>
      <c r="FT2275"/>
      <c r="FU2275"/>
      <c r="FV2275"/>
      <c r="FW2275"/>
      <c r="FX2275"/>
      <c r="FY2275"/>
      <c r="FZ2275"/>
      <c r="GA2275"/>
      <c r="GB2275"/>
      <c r="GC2275"/>
      <c r="GD2275"/>
      <c r="GE2275"/>
      <c r="GF2275"/>
      <c r="GG2275"/>
      <c r="GH2275"/>
      <c r="GI2275"/>
      <c r="GJ2275"/>
      <c r="GK2275"/>
      <c r="GL2275"/>
      <c r="GM2275"/>
      <c r="GN2275"/>
      <c r="GO2275"/>
    </row>
    <row r="2276" spans="107:197">
      <c r="DC2276"/>
      <c r="FH2276"/>
      <c r="FI2276"/>
      <c r="FJ2276"/>
      <c r="FK2276"/>
      <c r="FL2276"/>
      <c r="FM2276"/>
      <c r="FN2276"/>
      <c r="FO2276"/>
      <c r="FP2276"/>
      <c r="FQ2276"/>
      <c r="FR2276"/>
      <c r="FS2276"/>
      <c r="FT2276"/>
      <c r="FU2276"/>
      <c r="FV2276"/>
      <c r="FW2276"/>
      <c r="FX2276"/>
      <c r="FY2276"/>
      <c r="FZ2276"/>
      <c r="GA2276"/>
      <c r="GB2276"/>
      <c r="GC2276"/>
      <c r="GD2276"/>
      <c r="GE2276"/>
      <c r="GF2276"/>
      <c r="GG2276"/>
      <c r="GH2276"/>
      <c r="GI2276"/>
      <c r="GJ2276"/>
      <c r="GK2276"/>
      <c r="GL2276"/>
      <c r="GM2276"/>
      <c r="GN2276"/>
      <c r="GO2276"/>
    </row>
    <row r="2277" spans="107:197">
      <c r="DC2277"/>
      <c r="FH2277"/>
      <c r="FI2277"/>
      <c r="FJ2277"/>
      <c r="FK2277"/>
      <c r="FL2277"/>
      <c r="FM2277"/>
      <c r="FN2277"/>
      <c r="FO2277"/>
      <c r="FP2277"/>
      <c r="FQ2277"/>
      <c r="FR2277"/>
      <c r="FS2277"/>
      <c r="FT2277"/>
      <c r="FU2277"/>
      <c r="FV2277"/>
      <c r="FW2277"/>
      <c r="FX2277"/>
      <c r="FY2277"/>
      <c r="FZ2277"/>
      <c r="GA2277"/>
      <c r="GB2277"/>
      <c r="GC2277"/>
      <c r="GD2277"/>
      <c r="GE2277"/>
      <c r="GF2277"/>
      <c r="GG2277"/>
      <c r="GH2277"/>
      <c r="GI2277"/>
      <c r="GJ2277"/>
      <c r="GK2277"/>
      <c r="GL2277"/>
      <c r="GM2277"/>
      <c r="GN2277"/>
      <c r="GO2277"/>
    </row>
    <row r="2278" spans="107:197">
      <c r="DC2278"/>
      <c r="FH2278"/>
      <c r="FI2278"/>
      <c r="FJ2278"/>
      <c r="FK2278"/>
      <c r="FL2278"/>
      <c r="FM2278"/>
      <c r="FN2278"/>
      <c r="FO2278"/>
      <c r="FP2278"/>
      <c r="FQ2278"/>
      <c r="FR2278"/>
      <c r="FS2278"/>
      <c r="FT2278"/>
      <c r="FU2278"/>
      <c r="FV2278"/>
      <c r="FW2278"/>
      <c r="FX2278"/>
      <c r="FY2278"/>
      <c r="FZ2278"/>
      <c r="GA2278"/>
      <c r="GB2278"/>
      <c r="GC2278"/>
      <c r="GD2278"/>
      <c r="GE2278"/>
      <c r="GF2278"/>
      <c r="GG2278"/>
      <c r="GH2278"/>
      <c r="GI2278"/>
      <c r="GJ2278"/>
      <c r="GK2278"/>
      <c r="GL2278"/>
      <c r="GM2278"/>
      <c r="GN2278"/>
      <c r="GO2278"/>
    </row>
    <row r="2279" spans="107:197">
      <c r="DC2279"/>
      <c r="FH2279"/>
      <c r="FI2279"/>
      <c r="FJ2279"/>
      <c r="FK2279"/>
      <c r="FL2279"/>
      <c r="FM2279"/>
      <c r="FN2279"/>
      <c r="FO2279"/>
      <c r="FP2279"/>
      <c r="FQ2279"/>
      <c r="FR2279"/>
      <c r="FS2279"/>
      <c r="FT2279"/>
      <c r="FU2279"/>
      <c r="FV2279"/>
      <c r="FW2279"/>
      <c r="FX2279"/>
      <c r="FY2279"/>
      <c r="FZ2279"/>
      <c r="GA2279"/>
      <c r="GB2279"/>
      <c r="GC2279"/>
      <c r="GD2279"/>
      <c r="GE2279"/>
      <c r="GF2279"/>
      <c r="GG2279"/>
      <c r="GH2279"/>
      <c r="GI2279"/>
      <c r="GJ2279"/>
      <c r="GK2279"/>
      <c r="GL2279"/>
      <c r="GM2279"/>
      <c r="GN2279"/>
      <c r="GO2279"/>
    </row>
    <row r="2280" spans="107:197">
      <c r="DC2280"/>
      <c r="FH2280"/>
      <c r="FI2280"/>
      <c r="FJ2280"/>
      <c r="FK2280"/>
      <c r="FL2280"/>
      <c r="FM2280"/>
      <c r="FN2280"/>
      <c r="FO2280"/>
      <c r="FP2280"/>
      <c r="FQ2280"/>
      <c r="FR2280"/>
      <c r="FS2280"/>
      <c r="FT2280"/>
      <c r="FU2280"/>
      <c r="FV2280"/>
      <c r="FW2280"/>
      <c r="FX2280"/>
      <c r="FY2280"/>
      <c r="FZ2280"/>
      <c r="GA2280"/>
      <c r="GB2280"/>
      <c r="GC2280"/>
      <c r="GD2280"/>
      <c r="GE2280"/>
      <c r="GF2280"/>
      <c r="GG2280"/>
      <c r="GH2280"/>
      <c r="GI2280"/>
      <c r="GJ2280"/>
      <c r="GK2280"/>
      <c r="GL2280"/>
      <c r="GM2280"/>
      <c r="GN2280"/>
      <c r="GO2280"/>
    </row>
    <row r="2281" spans="107:197">
      <c r="DC2281"/>
      <c r="FH2281"/>
      <c r="FI2281"/>
      <c r="FJ2281"/>
      <c r="FK2281"/>
      <c r="FL2281"/>
      <c r="FM2281"/>
      <c r="FN2281"/>
      <c r="FO2281"/>
      <c r="FP2281"/>
      <c r="FQ2281"/>
      <c r="FR2281"/>
      <c r="FS2281"/>
      <c r="FT2281"/>
      <c r="FU2281"/>
      <c r="FV2281"/>
      <c r="FW2281"/>
      <c r="FX2281"/>
      <c r="FY2281"/>
      <c r="FZ2281"/>
      <c r="GA2281"/>
      <c r="GB2281"/>
      <c r="GC2281"/>
      <c r="GD2281"/>
      <c r="GE2281"/>
      <c r="GF2281"/>
      <c r="GG2281"/>
      <c r="GH2281"/>
      <c r="GI2281"/>
      <c r="GJ2281"/>
      <c r="GK2281"/>
      <c r="GL2281"/>
      <c r="GM2281"/>
      <c r="GN2281"/>
      <c r="GO2281"/>
    </row>
    <row r="2282" spans="107:197">
      <c r="DC2282"/>
      <c r="FH2282"/>
      <c r="FI2282"/>
      <c r="FJ2282"/>
      <c r="FK2282"/>
      <c r="FL2282"/>
      <c r="FM2282"/>
      <c r="FN2282"/>
      <c r="FO2282"/>
      <c r="FP2282"/>
      <c r="FQ2282"/>
      <c r="FR2282"/>
      <c r="FS2282"/>
      <c r="FT2282"/>
      <c r="FU2282"/>
      <c r="FV2282"/>
      <c r="FW2282"/>
      <c r="FX2282"/>
      <c r="FY2282"/>
      <c r="FZ2282"/>
      <c r="GA2282"/>
      <c r="GB2282"/>
      <c r="GC2282"/>
      <c r="GD2282"/>
      <c r="GE2282"/>
      <c r="GF2282"/>
      <c r="GG2282"/>
      <c r="GH2282"/>
      <c r="GI2282"/>
      <c r="GJ2282"/>
      <c r="GK2282"/>
      <c r="GL2282"/>
      <c r="GM2282"/>
      <c r="GN2282"/>
      <c r="GO2282"/>
    </row>
    <row r="2283" spans="107:197">
      <c r="DC2283"/>
      <c r="FH2283"/>
      <c r="FI2283"/>
      <c r="FJ2283"/>
      <c r="FK2283"/>
      <c r="FL2283"/>
      <c r="FM2283"/>
      <c r="FN2283"/>
      <c r="FO2283"/>
      <c r="FP2283"/>
      <c r="FQ2283"/>
      <c r="FR2283"/>
      <c r="FS2283"/>
      <c r="FT2283"/>
      <c r="FU2283"/>
      <c r="FV2283"/>
      <c r="FW2283"/>
      <c r="FX2283"/>
      <c r="FY2283"/>
      <c r="FZ2283"/>
      <c r="GA2283"/>
      <c r="GB2283"/>
      <c r="GC2283"/>
      <c r="GD2283"/>
      <c r="GE2283"/>
      <c r="GF2283"/>
      <c r="GG2283"/>
      <c r="GH2283"/>
      <c r="GI2283"/>
      <c r="GJ2283"/>
      <c r="GK2283"/>
      <c r="GL2283"/>
      <c r="GM2283"/>
      <c r="GN2283"/>
      <c r="GO2283"/>
    </row>
    <row r="2284" spans="107:197">
      <c r="DC2284"/>
      <c r="FH2284"/>
      <c r="FI2284"/>
      <c r="FJ2284"/>
      <c r="FK2284"/>
      <c r="FL2284"/>
      <c r="FM2284"/>
      <c r="FN2284"/>
      <c r="FO2284"/>
      <c r="FP2284"/>
      <c r="FQ2284"/>
      <c r="FR2284"/>
      <c r="FS2284"/>
      <c r="FT2284"/>
      <c r="FU2284"/>
      <c r="FV2284"/>
      <c r="FW2284"/>
      <c r="FX2284"/>
      <c r="FY2284"/>
      <c r="FZ2284"/>
      <c r="GA2284"/>
      <c r="GB2284"/>
      <c r="GC2284"/>
      <c r="GD2284"/>
      <c r="GE2284"/>
      <c r="GF2284"/>
      <c r="GG2284"/>
      <c r="GH2284"/>
      <c r="GI2284"/>
      <c r="GJ2284"/>
      <c r="GK2284"/>
      <c r="GL2284"/>
      <c r="GM2284"/>
      <c r="GN2284"/>
      <c r="GO2284"/>
    </row>
    <row r="2285" spans="107:197">
      <c r="DC2285"/>
      <c r="FH2285"/>
      <c r="FI2285"/>
      <c r="FJ2285"/>
      <c r="FK2285"/>
      <c r="FL2285"/>
      <c r="FM2285"/>
      <c r="FN2285"/>
      <c r="FO2285"/>
      <c r="FP2285"/>
      <c r="FQ2285"/>
      <c r="FR2285"/>
      <c r="FS2285"/>
      <c r="FT2285"/>
      <c r="FU2285"/>
      <c r="FV2285"/>
      <c r="FW2285"/>
      <c r="FX2285"/>
      <c r="FY2285"/>
      <c r="FZ2285"/>
      <c r="GA2285"/>
      <c r="GB2285"/>
      <c r="GC2285"/>
      <c r="GD2285"/>
      <c r="GE2285"/>
      <c r="GF2285"/>
      <c r="GG2285"/>
      <c r="GH2285"/>
      <c r="GI2285"/>
      <c r="GJ2285"/>
      <c r="GK2285"/>
      <c r="GL2285"/>
      <c r="GM2285"/>
      <c r="GN2285"/>
      <c r="GO2285"/>
    </row>
    <row r="2286" spans="107:197">
      <c r="DC2286"/>
      <c r="FH2286"/>
      <c r="FI2286"/>
      <c r="FJ2286"/>
      <c r="FK2286"/>
      <c r="FL2286"/>
      <c r="FM2286"/>
      <c r="FN2286"/>
      <c r="FO2286"/>
      <c r="FP2286"/>
      <c r="FQ2286"/>
      <c r="FR2286"/>
      <c r="FS2286"/>
      <c r="FT2286"/>
      <c r="FU2286"/>
      <c r="FV2286"/>
      <c r="FW2286"/>
      <c r="FX2286"/>
      <c r="FY2286"/>
      <c r="FZ2286"/>
      <c r="GA2286"/>
      <c r="GB2286"/>
      <c r="GC2286"/>
      <c r="GD2286"/>
      <c r="GE2286"/>
      <c r="GF2286"/>
      <c r="GG2286"/>
      <c r="GH2286"/>
      <c r="GI2286"/>
      <c r="GJ2286"/>
      <c r="GK2286"/>
      <c r="GL2286"/>
      <c r="GM2286"/>
      <c r="GN2286"/>
      <c r="GO2286"/>
    </row>
    <row r="2287" spans="107:197">
      <c r="DC2287"/>
      <c r="FH2287"/>
      <c r="FI2287"/>
      <c r="FJ2287"/>
      <c r="FK2287"/>
      <c r="FL2287"/>
      <c r="FM2287"/>
      <c r="FN2287"/>
      <c r="FO2287"/>
      <c r="FP2287"/>
      <c r="FQ2287"/>
      <c r="FR2287"/>
      <c r="FS2287"/>
      <c r="FT2287"/>
      <c r="FU2287"/>
      <c r="FV2287"/>
      <c r="FW2287"/>
      <c r="FX2287"/>
      <c r="FY2287"/>
      <c r="FZ2287"/>
      <c r="GA2287"/>
      <c r="GB2287"/>
      <c r="GC2287"/>
      <c r="GD2287"/>
      <c r="GE2287"/>
      <c r="GF2287"/>
      <c r="GG2287"/>
      <c r="GH2287"/>
      <c r="GI2287"/>
      <c r="GJ2287"/>
      <c r="GK2287"/>
      <c r="GL2287"/>
      <c r="GM2287"/>
      <c r="GN2287"/>
      <c r="GO2287"/>
    </row>
    <row r="2288" spans="107:197">
      <c r="DC2288"/>
      <c r="FH2288"/>
      <c r="FI2288"/>
      <c r="FJ2288"/>
      <c r="FK2288"/>
      <c r="FL2288"/>
      <c r="FM2288"/>
      <c r="FN2288"/>
      <c r="FO2288"/>
      <c r="FP2288"/>
      <c r="FQ2288"/>
      <c r="FR2288"/>
      <c r="FS2288"/>
      <c r="FT2288"/>
      <c r="FU2288"/>
      <c r="FV2288"/>
      <c r="FW2288"/>
      <c r="FX2288"/>
      <c r="FY2288"/>
      <c r="FZ2288"/>
      <c r="GA2288"/>
      <c r="GB2288"/>
      <c r="GC2288"/>
      <c r="GD2288"/>
      <c r="GE2288"/>
      <c r="GF2288"/>
      <c r="GG2288"/>
      <c r="GH2288"/>
      <c r="GI2288"/>
      <c r="GJ2288"/>
      <c r="GK2288"/>
      <c r="GL2288"/>
      <c r="GM2288"/>
      <c r="GN2288"/>
      <c r="GO2288"/>
    </row>
    <row r="2289" spans="107:197">
      <c r="DC2289"/>
      <c r="FH2289"/>
      <c r="FI2289"/>
      <c r="FJ2289"/>
      <c r="FK2289"/>
      <c r="FL2289"/>
      <c r="FM2289"/>
      <c r="FN2289"/>
      <c r="FO2289"/>
      <c r="FP2289"/>
      <c r="FQ2289"/>
      <c r="FR2289"/>
      <c r="FS2289"/>
      <c r="FT2289"/>
      <c r="FU2289"/>
      <c r="FV2289"/>
      <c r="FW2289"/>
      <c r="FX2289"/>
      <c r="FY2289"/>
      <c r="FZ2289"/>
      <c r="GA2289"/>
      <c r="GB2289"/>
      <c r="GC2289"/>
      <c r="GD2289"/>
      <c r="GE2289"/>
      <c r="GF2289"/>
      <c r="GG2289"/>
      <c r="GH2289"/>
      <c r="GI2289"/>
      <c r="GJ2289"/>
      <c r="GK2289"/>
      <c r="GL2289"/>
      <c r="GM2289"/>
      <c r="GN2289"/>
      <c r="GO2289"/>
    </row>
    <row r="2290" spans="107:197">
      <c r="DC2290"/>
      <c r="FH2290"/>
      <c r="FI2290"/>
      <c r="FJ2290"/>
      <c r="FK2290"/>
      <c r="FL2290"/>
      <c r="FM2290"/>
      <c r="FN2290"/>
      <c r="FO2290"/>
      <c r="FP2290"/>
      <c r="FQ2290"/>
      <c r="FR2290"/>
      <c r="FS2290"/>
      <c r="FT2290"/>
      <c r="FU2290"/>
      <c r="FV2290"/>
      <c r="FW2290"/>
      <c r="FX2290"/>
      <c r="FY2290"/>
      <c r="FZ2290"/>
      <c r="GA2290"/>
      <c r="GB2290"/>
      <c r="GC2290"/>
      <c r="GD2290"/>
      <c r="GE2290"/>
      <c r="GF2290"/>
      <c r="GG2290"/>
      <c r="GH2290"/>
      <c r="GI2290"/>
      <c r="GJ2290"/>
      <c r="GK2290"/>
      <c r="GL2290"/>
      <c r="GM2290"/>
      <c r="GN2290"/>
      <c r="GO2290"/>
    </row>
    <row r="2291" spans="107:197">
      <c r="DC2291"/>
      <c r="FH2291"/>
      <c r="FI2291"/>
      <c r="FJ2291"/>
      <c r="FK2291"/>
      <c r="FL2291"/>
      <c r="FM2291"/>
      <c r="FN2291"/>
      <c r="FO2291"/>
      <c r="FP2291"/>
      <c r="FQ2291"/>
      <c r="FR2291"/>
      <c r="FS2291"/>
      <c r="FT2291"/>
      <c r="FU2291"/>
      <c r="FV2291"/>
      <c r="FW2291"/>
      <c r="FX2291"/>
      <c r="FY2291"/>
      <c r="FZ2291"/>
      <c r="GA2291"/>
      <c r="GB2291"/>
      <c r="GC2291"/>
      <c r="GD2291"/>
      <c r="GE2291"/>
      <c r="GF2291"/>
      <c r="GG2291"/>
      <c r="GH2291"/>
      <c r="GI2291"/>
      <c r="GJ2291"/>
      <c r="GK2291"/>
      <c r="GL2291"/>
      <c r="GM2291"/>
      <c r="GN2291"/>
      <c r="GO2291"/>
    </row>
    <row r="2292" spans="107:197">
      <c r="DC2292"/>
      <c r="FH2292"/>
      <c r="FI2292"/>
      <c r="FJ2292"/>
      <c r="FK2292"/>
      <c r="FL2292"/>
      <c r="FM2292"/>
      <c r="FN2292"/>
      <c r="FO2292"/>
      <c r="FP2292"/>
      <c r="FQ2292"/>
      <c r="FR2292"/>
      <c r="FS2292"/>
      <c r="FT2292"/>
      <c r="FU2292"/>
      <c r="FV2292"/>
      <c r="FW2292"/>
      <c r="FX2292"/>
      <c r="FY2292"/>
      <c r="FZ2292"/>
      <c r="GA2292"/>
      <c r="GB2292"/>
      <c r="GC2292"/>
      <c r="GD2292"/>
      <c r="GE2292"/>
      <c r="GF2292"/>
      <c r="GG2292"/>
      <c r="GH2292"/>
      <c r="GI2292"/>
      <c r="GJ2292"/>
      <c r="GK2292"/>
      <c r="GL2292"/>
      <c r="GM2292"/>
      <c r="GN2292"/>
      <c r="GO2292"/>
    </row>
    <row r="2293" spans="107:197">
      <c r="DC2293"/>
      <c r="FH2293"/>
      <c r="FI2293"/>
      <c r="FJ2293"/>
      <c r="FK2293"/>
      <c r="FL2293"/>
      <c r="FM2293"/>
      <c r="FN2293"/>
      <c r="FO2293"/>
      <c r="FP2293"/>
      <c r="FQ2293"/>
      <c r="FR2293"/>
      <c r="FS2293"/>
      <c r="FT2293"/>
      <c r="FU2293"/>
      <c r="FV2293"/>
      <c r="FW2293"/>
      <c r="FX2293"/>
      <c r="FY2293"/>
      <c r="FZ2293"/>
      <c r="GA2293"/>
      <c r="GB2293"/>
      <c r="GC2293"/>
      <c r="GD2293"/>
      <c r="GE2293"/>
      <c r="GF2293"/>
      <c r="GG2293"/>
      <c r="GH2293"/>
      <c r="GI2293"/>
      <c r="GJ2293"/>
      <c r="GK2293"/>
      <c r="GL2293"/>
      <c r="GM2293"/>
      <c r="GN2293"/>
      <c r="GO2293"/>
    </row>
    <row r="2294" spans="107:197">
      <c r="DC2294"/>
      <c r="FH2294"/>
      <c r="FI2294"/>
      <c r="FJ2294"/>
      <c r="FK2294"/>
      <c r="FL2294"/>
      <c r="FM2294"/>
      <c r="FN2294"/>
      <c r="FO2294"/>
      <c r="FP2294"/>
      <c r="FQ2294"/>
      <c r="FR2294"/>
      <c r="FS2294"/>
      <c r="FT2294"/>
      <c r="FU2294"/>
      <c r="FV2294"/>
      <c r="FW2294"/>
      <c r="FX2294"/>
      <c r="FY2294"/>
      <c r="FZ2294"/>
      <c r="GA2294"/>
      <c r="GB2294"/>
      <c r="GC2294"/>
      <c r="GD2294"/>
      <c r="GE2294"/>
      <c r="GF2294"/>
      <c r="GG2294"/>
      <c r="GH2294"/>
      <c r="GI2294"/>
      <c r="GJ2294"/>
      <c r="GK2294"/>
      <c r="GL2294"/>
      <c r="GM2294"/>
      <c r="GN2294"/>
      <c r="GO2294"/>
    </row>
    <row r="2295" spans="107:197">
      <c r="DC2295"/>
      <c r="FH2295"/>
      <c r="FI2295"/>
      <c r="FJ2295"/>
      <c r="FK2295"/>
      <c r="FL2295"/>
      <c r="FM2295"/>
      <c r="FN2295"/>
      <c r="FO2295"/>
      <c r="FP2295"/>
      <c r="FQ2295"/>
      <c r="FR2295"/>
      <c r="FS2295"/>
      <c r="FT2295"/>
      <c r="FU2295"/>
      <c r="FV2295"/>
      <c r="FW2295"/>
      <c r="FX2295"/>
      <c r="FY2295"/>
      <c r="FZ2295"/>
      <c r="GA2295"/>
      <c r="GB2295"/>
      <c r="GC2295"/>
      <c r="GD2295"/>
      <c r="GE2295"/>
      <c r="GF2295"/>
      <c r="GG2295"/>
      <c r="GH2295"/>
      <c r="GI2295"/>
      <c r="GJ2295"/>
      <c r="GK2295"/>
      <c r="GL2295"/>
      <c r="GM2295"/>
      <c r="GN2295"/>
      <c r="GO2295"/>
    </row>
    <row r="2296" spans="107:197">
      <c r="DC2296"/>
      <c r="FH2296"/>
      <c r="FI2296"/>
      <c r="FJ2296"/>
      <c r="FK2296"/>
      <c r="FL2296"/>
      <c r="FM2296"/>
      <c r="FN2296"/>
      <c r="FO2296"/>
      <c r="FP2296"/>
      <c r="FQ2296"/>
      <c r="FR2296"/>
      <c r="FS2296"/>
      <c r="FT2296"/>
      <c r="FU2296"/>
      <c r="FV2296"/>
      <c r="FW2296"/>
      <c r="FX2296"/>
      <c r="FY2296"/>
      <c r="FZ2296"/>
      <c r="GA2296"/>
      <c r="GB2296"/>
      <c r="GC2296"/>
      <c r="GD2296"/>
      <c r="GE2296"/>
      <c r="GF2296"/>
      <c r="GG2296"/>
      <c r="GH2296"/>
      <c r="GI2296"/>
      <c r="GJ2296"/>
      <c r="GK2296"/>
      <c r="GL2296"/>
      <c r="GM2296"/>
      <c r="GN2296"/>
      <c r="GO2296"/>
    </row>
    <row r="2297" spans="107:197">
      <c r="DC2297"/>
      <c r="FH2297"/>
      <c r="FI2297"/>
      <c r="FJ2297"/>
      <c r="FK2297"/>
      <c r="FL2297"/>
      <c r="FM2297"/>
      <c r="FN2297"/>
      <c r="FO2297"/>
      <c r="FP2297"/>
      <c r="FQ2297"/>
      <c r="FR2297"/>
      <c r="FS2297"/>
      <c r="FT2297"/>
      <c r="FU2297"/>
      <c r="FV2297"/>
      <c r="FW2297"/>
      <c r="FX2297"/>
      <c r="FY2297"/>
      <c r="FZ2297"/>
      <c r="GA2297"/>
      <c r="GB2297"/>
      <c r="GC2297"/>
      <c r="GD2297"/>
      <c r="GE2297"/>
      <c r="GF2297"/>
      <c r="GG2297"/>
      <c r="GH2297"/>
      <c r="GI2297"/>
      <c r="GJ2297"/>
      <c r="GK2297"/>
      <c r="GL2297"/>
      <c r="GM2297"/>
      <c r="GN2297"/>
      <c r="GO2297"/>
    </row>
    <row r="2298" spans="107:197">
      <c r="DC2298"/>
      <c r="FH2298"/>
      <c r="FI2298"/>
      <c r="FJ2298"/>
      <c r="FK2298"/>
      <c r="FL2298"/>
      <c r="FM2298"/>
      <c r="FN2298"/>
      <c r="FO2298"/>
      <c r="FP2298"/>
      <c r="FQ2298"/>
      <c r="FR2298"/>
      <c r="FS2298"/>
      <c r="FT2298"/>
      <c r="FU2298"/>
      <c r="FV2298"/>
      <c r="FW2298"/>
      <c r="FX2298"/>
      <c r="FY2298"/>
      <c r="FZ2298"/>
      <c r="GA2298"/>
      <c r="GB2298"/>
      <c r="GC2298"/>
      <c r="GD2298"/>
      <c r="GE2298"/>
      <c r="GF2298"/>
      <c r="GG2298"/>
      <c r="GH2298"/>
      <c r="GI2298"/>
      <c r="GJ2298"/>
      <c r="GK2298"/>
      <c r="GL2298"/>
      <c r="GM2298"/>
      <c r="GN2298"/>
      <c r="GO2298"/>
    </row>
    <row r="2299" spans="107:197">
      <c r="DC2299"/>
      <c r="FH2299"/>
      <c r="FI2299"/>
      <c r="FJ2299"/>
      <c r="FK2299"/>
      <c r="FL2299"/>
      <c r="FM2299"/>
      <c r="FN2299"/>
      <c r="FO2299"/>
      <c r="FP2299"/>
      <c r="FQ2299"/>
      <c r="FR2299"/>
      <c r="FS2299"/>
      <c r="FT2299"/>
      <c r="FU2299"/>
      <c r="FV2299"/>
      <c r="FW2299"/>
      <c r="FX2299"/>
      <c r="FY2299"/>
      <c r="FZ2299"/>
      <c r="GA2299"/>
      <c r="GB2299"/>
      <c r="GC2299"/>
      <c r="GD2299"/>
      <c r="GE2299"/>
      <c r="GF2299"/>
      <c r="GG2299"/>
      <c r="GH2299"/>
      <c r="GI2299"/>
      <c r="GJ2299"/>
      <c r="GK2299"/>
      <c r="GL2299"/>
      <c r="GM2299"/>
      <c r="GN2299"/>
      <c r="GO2299"/>
    </row>
    <row r="2300" spans="107:197">
      <c r="DC2300"/>
      <c r="FH2300"/>
      <c r="FI2300"/>
      <c r="FJ2300"/>
      <c r="FK2300"/>
      <c r="FL2300"/>
      <c r="FM2300"/>
      <c r="FN2300"/>
      <c r="FO2300"/>
      <c r="FP2300"/>
      <c r="FQ2300"/>
      <c r="FR2300"/>
      <c r="FS2300"/>
      <c r="FT2300"/>
      <c r="FU2300"/>
      <c r="FV2300"/>
      <c r="FW2300"/>
      <c r="FX2300"/>
      <c r="FY2300"/>
      <c r="FZ2300"/>
      <c r="GA2300"/>
      <c r="GB2300"/>
      <c r="GC2300"/>
      <c r="GD2300"/>
      <c r="GE2300"/>
      <c r="GF2300"/>
      <c r="GG2300"/>
      <c r="GH2300"/>
      <c r="GI2300"/>
      <c r="GJ2300"/>
      <c r="GK2300"/>
      <c r="GL2300"/>
      <c r="GM2300"/>
      <c r="GN2300"/>
      <c r="GO2300"/>
    </row>
    <row r="2301" spans="107:197">
      <c r="DC2301"/>
      <c r="FH2301"/>
      <c r="FI2301"/>
      <c r="FJ2301"/>
      <c r="FK2301"/>
      <c r="FL2301"/>
      <c r="FM2301"/>
      <c r="FN2301"/>
      <c r="FO2301"/>
      <c r="FP2301"/>
      <c r="FQ2301"/>
      <c r="FR2301"/>
      <c r="FS2301"/>
      <c r="FT2301"/>
      <c r="FU2301"/>
      <c r="FV2301"/>
      <c r="FW2301"/>
      <c r="FX2301"/>
      <c r="FY2301"/>
      <c r="FZ2301"/>
      <c r="GA2301"/>
      <c r="GB2301"/>
      <c r="GC2301"/>
      <c r="GD2301"/>
      <c r="GE2301"/>
      <c r="GF2301"/>
      <c r="GG2301"/>
      <c r="GH2301"/>
      <c r="GI2301"/>
      <c r="GJ2301"/>
      <c r="GK2301"/>
      <c r="GL2301"/>
      <c r="GM2301"/>
      <c r="GN2301"/>
      <c r="GO2301"/>
    </row>
    <row r="2302" spans="107:197">
      <c r="DC2302"/>
      <c r="FH2302"/>
      <c r="FI2302"/>
      <c r="FJ2302"/>
      <c r="FK2302"/>
      <c r="FL2302"/>
      <c r="FM2302"/>
      <c r="FN2302"/>
      <c r="FO2302"/>
      <c r="FP2302"/>
      <c r="FQ2302"/>
      <c r="FR2302"/>
      <c r="FS2302"/>
      <c r="FT2302"/>
      <c r="FU2302"/>
      <c r="FV2302"/>
      <c r="FW2302"/>
      <c r="FX2302"/>
      <c r="FY2302"/>
      <c r="FZ2302"/>
      <c r="GA2302"/>
      <c r="GB2302"/>
      <c r="GC2302"/>
      <c r="GD2302"/>
      <c r="GE2302"/>
      <c r="GF2302"/>
      <c r="GG2302"/>
      <c r="GH2302"/>
      <c r="GI2302"/>
      <c r="GJ2302"/>
      <c r="GK2302"/>
      <c r="GL2302"/>
      <c r="GM2302"/>
      <c r="GN2302"/>
      <c r="GO2302"/>
    </row>
    <row r="2303" spans="107:197">
      <c r="DC2303"/>
      <c r="FH2303"/>
      <c r="FI2303"/>
      <c r="FJ2303"/>
      <c r="FK2303"/>
      <c r="FL2303"/>
      <c r="FM2303"/>
      <c r="FN2303"/>
      <c r="FO2303"/>
      <c r="FP2303"/>
      <c r="FQ2303"/>
      <c r="FR2303"/>
      <c r="FS2303"/>
      <c r="FT2303"/>
      <c r="FU2303"/>
      <c r="FV2303"/>
      <c r="FW2303"/>
      <c r="FX2303"/>
      <c r="FY2303"/>
      <c r="FZ2303"/>
      <c r="GA2303"/>
      <c r="GB2303"/>
      <c r="GC2303"/>
      <c r="GD2303"/>
      <c r="GE2303"/>
      <c r="GF2303"/>
      <c r="GG2303"/>
      <c r="GH2303"/>
      <c r="GI2303"/>
      <c r="GJ2303"/>
      <c r="GK2303"/>
      <c r="GL2303"/>
      <c r="GM2303"/>
      <c r="GN2303"/>
      <c r="GO2303"/>
    </row>
    <row r="2304" spans="107:197">
      <c r="DC2304"/>
      <c r="FH2304"/>
      <c r="FI2304"/>
      <c r="FJ2304"/>
      <c r="FK2304"/>
      <c r="FL2304"/>
      <c r="FM2304"/>
      <c r="FN2304"/>
      <c r="FO2304"/>
      <c r="FP2304"/>
      <c r="FQ2304"/>
      <c r="FR2304"/>
      <c r="FS2304"/>
      <c r="FT2304"/>
      <c r="FU2304"/>
      <c r="FV2304"/>
      <c r="FW2304"/>
      <c r="FX2304"/>
      <c r="FY2304"/>
      <c r="FZ2304"/>
      <c r="GA2304"/>
      <c r="GB2304"/>
      <c r="GC2304"/>
      <c r="GD2304"/>
      <c r="GE2304"/>
      <c r="GF2304"/>
      <c r="GG2304"/>
      <c r="GH2304"/>
      <c r="GI2304"/>
      <c r="GJ2304"/>
      <c r="GK2304"/>
      <c r="GL2304"/>
      <c r="GM2304"/>
      <c r="GN2304"/>
      <c r="GO2304"/>
    </row>
    <row r="2305" spans="107:197">
      <c r="DC2305"/>
      <c r="FH2305"/>
      <c r="FI2305"/>
      <c r="FJ2305"/>
      <c r="FK2305"/>
      <c r="FL2305"/>
      <c r="FM2305"/>
      <c r="FN2305"/>
      <c r="FO2305"/>
      <c r="FP2305"/>
      <c r="FQ2305"/>
      <c r="FR2305"/>
      <c r="FS2305"/>
      <c r="FT2305"/>
      <c r="FU2305"/>
      <c r="FV2305"/>
      <c r="FW2305"/>
      <c r="FX2305"/>
      <c r="FY2305"/>
      <c r="FZ2305"/>
      <c r="GA2305"/>
      <c r="GB2305"/>
      <c r="GC2305"/>
      <c r="GD2305"/>
      <c r="GE2305"/>
      <c r="GF2305"/>
      <c r="GG2305"/>
      <c r="GH2305"/>
      <c r="GI2305"/>
      <c r="GJ2305"/>
      <c r="GK2305"/>
      <c r="GL2305"/>
      <c r="GM2305"/>
      <c r="GN2305"/>
      <c r="GO2305"/>
    </row>
    <row r="2306" spans="107:197">
      <c r="DC2306"/>
      <c r="FH2306"/>
      <c r="FI2306"/>
      <c r="FJ2306"/>
      <c r="FK2306"/>
      <c r="FL2306"/>
      <c r="FM2306"/>
      <c r="FN2306"/>
      <c r="FO2306"/>
      <c r="FP2306"/>
      <c r="FQ2306"/>
      <c r="FR2306"/>
      <c r="FS2306"/>
      <c r="FT2306"/>
      <c r="FU2306"/>
      <c r="FV2306"/>
      <c r="FW2306"/>
      <c r="FX2306"/>
      <c r="FY2306"/>
      <c r="FZ2306"/>
      <c r="GA2306"/>
      <c r="GB2306"/>
      <c r="GC2306"/>
      <c r="GD2306"/>
      <c r="GE2306"/>
      <c r="GF2306"/>
      <c r="GG2306"/>
      <c r="GH2306"/>
      <c r="GI2306"/>
      <c r="GJ2306"/>
      <c r="GK2306"/>
      <c r="GL2306"/>
      <c r="GM2306"/>
      <c r="GN2306"/>
      <c r="GO2306"/>
    </row>
    <row r="2307" spans="107:197">
      <c r="DC2307"/>
      <c r="FH2307"/>
      <c r="FI2307"/>
      <c r="FJ2307"/>
      <c r="FK2307"/>
      <c r="FL2307"/>
      <c r="FM2307"/>
      <c r="FN2307"/>
      <c r="FO2307"/>
      <c r="FP2307"/>
      <c r="FQ2307"/>
      <c r="FR2307"/>
      <c r="FS2307"/>
      <c r="FT2307"/>
      <c r="FU2307"/>
      <c r="FV2307"/>
      <c r="FW2307"/>
      <c r="FX2307"/>
      <c r="FY2307"/>
      <c r="FZ2307"/>
      <c r="GA2307"/>
      <c r="GB2307"/>
      <c r="GC2307"/>
      <c r="GD2307"/>
      <c r="GE2307"/>
      <c r="GF2307"/>
      <c r="GG2307"/>
      <c r="GH2307"/>
      <c r="GI2307"/>
      <c r="GJ2307"/>
      <c r="GK2307"/>
      <c r="GL2307"/>
      <c r="GM2307"/>
      <c r="GN2307"/>
      <c r="GO2307"/>
    </row>
    <row r="2308" spans="107:197">
      <c r="DC2308"/>
      <c r="FH2308"/>
      <c r="FI2308"/>
      <c r="FJ2308"/>
      <c r="FK2308"/>
      <c r="FL2308"/>
      <c r="FM2308"/>
      <c r="FN2308"/>
      <c r="FO2308"/>
      <c r="FP2308"/>
      <c r="FQ2308"/>
      <c r="FR2308"/>
      <c r="FS2308"/>
      <c r="FT2308"/>
      <c r="FU2308"/>
      <c r="FV2308"/>
      <c r="FW2308"/>
      <c r="FX2308"/>
      <c r="FY2308"/>
      <c r="FZ2308"/>
      <c r="GA2308"/>
      <c r="GB2308"/>
      <c r="GC2308"/>
      <c r="GD2308"/>
      <c r="GE2308"/>
      <c r="GF2308"/>
      <c r="GG2308"/>
      <c r="GH2308"/>
      <c r="GI2308"/>
      <c r="GJ2308"/>
      <c r="GK2308"/>
      <c r="GL2308"/>
      <c r="GM2308"/>
      <c r="GN2308"/>
      <c r="GO2308"/>
    </row>
    <row r="2309" spans="107:197">
      <c r="DC2309"/>
      <c r="FH2309"/>
      <c r="FI2309"/>
      <c r="FJ2309"/>
      <c r="FK2309"/>
      <c r="FL2309"/>
      <c r="FM2309"/>
      <c r="FN2309"/>
      <c r="FO2309"/>
      <c r="FP2309"/>
      <c r="FQ2309"/>
      <c r="FR2309"/>
      <c r="FS2309"/>
      <c r="FT2309"/>
      <c r="FU2309"/>
      <c r="FV2309"/>
      <c r="FW2309"/>
      <c r="FX2309"/>
      <c r="FY2309"/>
      <c r="FZ2309"/>
      <c r="GA2309"/>
      <c r="GB2309"/>
      <c r="GC2309"/>
      <c r="GD2309"/>
      <c r="GE2309"/>
      <c r="GF2309"/>
      <c r="GG2309"/>
      <c r="GH2309"/>
      <c r="GI2309"/>
      <c r="GJ2309"/>
      <c r="GK2309"/>
      <c r="GL2309"/>
      <c r="GM2309"/>
      <c r="GN2309"/>
      <c r="GO2309"/>
    </row>
    <row r="2310" spans="107:197">
      <c r="DC2310"/>
      <c r="FH2310"/>
      <c r="FI2310"/>
      <c r="FJ2310"/>
      <c r="FK2310"/>
      <c r="FL2310"/>
      <c r="FM2310"/>
      <c r="FN2310"/>
      <c r="FO2310"/>
      <c r="FP2310"/>
      <c r="FQ2310"/>
      <c r="FR2310"/>
      <c r="FS2310"/>
      <c r="FT2310"/>
      <c r="FU2310"/>
      <c r="FV2310"/>
      <c r="FW2310"/>
      <c r="FX2310"/>
      <c r="FY2310"/>
      <c r="FZ2310"/>
      <c r="GA2310"/>
      <c r="GB2310"/>
      <c r="GC2310"/>
      <c r="GD2310"/>
      <c r="GE2310"/>
      <c r="GF2310"/>
      <c r="GG2310"/>
      <c r="GH2310"/>
      <c r="GI2310"/>
      <c r="GJ2310"/>
      <c r="GK2310"/>
      <c r="GL2310"/>
      <c r="GM2310"/>
      <c r="GN2310"/>
      <c r="GO2310"/>
    </row>
    <row r="2311" spans="107:197">
      <c r="DC2311"/>
      <c r="FH2311"/>
      <c r="FI2311"/>
      <c r="FJ2311"/>
      <c r="FK2311"/>
      <c r="FL2311"/>
      <c r="FM2311"/>
      <c r="FN2311"/>
      <c r="FO2311"/>
      <c r="FP2311"/>
      <c r="FQ2311"/>
      <c r="FR2311"/>
      <c r="FS2311"/>
      <c r="FT2311"/>
      <c r="FU2311"/>
      <c r="FV2311"/>
      <c r="FW2311"/>
      <c r="FX2311"/>
      <c r="FY2311"/>
      <c r="FZ2311"/>
      <c r="GA2311"/>
      <c r="GB2311"/>
      <c r="GC2311"/>
      <c r="GD2311"/>
      <c r="GE2311"/>
      <c r="GF2311"/>
      <c r="GG2311"/>
      <c r="GH2311"/>
      <c r="GI2311"/>
      <c r="GJ2311"/>
      <c r="GK2311"/>
      <c r="GL2311"/>
      <c r="GM2311"/>
      <c r="GN2311"/>
      <c r="GO2311"/>
    </row>
    <row r="2312" spans="107:197">
      <c r="DC2312"/>
      <c r="FH2312"/>
      <c r="FI2312"/>
      <c r="FJ2312"/>
      <c r="FK2312"/>
      <c r="FL2312"/>
      <c r="FM2312"/>
      <c r="FN2312"/>
      <c r="FO2312"/>
      <c r="FP2312"/>
      <c r="FQ2312"/>
      <c r="FR2312"/>
      <c r="FS2312"/>
      <c r="FT2312"/>
      <c r="FU2312"/>
      <c r="FV2312"/>
      <c r="FW2312"/>
      <c r="FX2312"/>
      <c r="FY2312"/>
      <c r="FZ2312"/>
      <c r="GA2312"/>
      <c r="GB2312"/>
      <c r="GC2312"/>
      <c r="GD2312"/>
      <c r="GE2312"/>
      <c r="GF2312"/>
      <c r="GG2312"/>
      <c r="GH2312"/>
      <c r="GI2312"/>
      <c r="GJ2312"/>
      <c r="GK2312"/>
      <c r="GL2312"/>
      <c r="GM2312"/>
      <c r="GN2312"/>
      <c r="GO2312"/>
    </row>
    <row r="2313" spans="107:197">
      <c r="DC2313"/>
      <c r="FH2313"/>
      <c r="FI2313"/>
      <c r="FJ2313"/>
      <c r="FK2313"/>
      <c r="FL2313"/>
      <c r="FM2313"/>
      <c r="FN2313"/>
      <c r="FO2313"/>
      <c r="FP2313"/>
      <c r="FQ2313"/>
      <c r="FR2313"/>
      <c r="FS2313"/>
      <c r="FT2313"/>
      <c r="FU2313"/>
      <c r="FV2313"/>
      <c r="FW2313"/>
      <c r="FX2313"/>
      <c r="FY2313"/>
      <c r="FZ2313"/>
      <c r="GA2313"/>
      <c r="GB2313"/>
      <c r="GC2313"/>
      <c r="GD2313"/>
      <c r="GE2313"/>
      <c r="GF2313"/>
      <c r="GG2313"/>
      <c r="GH2313"/>
      <c r="GI2313"/>
      <c r="GJ2313"/>
      <c r="GK2313"/>
      <c r="GL2313"/>
      <c r="GM2313"/>
      <c r="GN2313"/>
      <c r="GO2313"/>
    </row>
    <row r="2314" spans="107:197">
      <c r="DC2314"/>
      <c r="FH2314"/>
      <c r="FI2314"/>
      <c r="FJ2314"/>
      <c r="FK2314"/>
      <c r="FL2314"/>
      <c r="FM2314"/>
      <c r="FN2314"/>
      <c r="FO2314"/>
      <c r="FP2314"/>
      <c r="FQ2314"/>
      <c r="FR2314"/>
      <c r="FS2314"/>
      <c r="FT2314"/>
      <c r="FU2314"/>
      <c r="FV2314"/>
      <c r="FW2314"/>
      <c r="FX2314"/>
      <c r="FY2314"/>
      <c r="FZ2314"/>
      <c r="GA2314"/>
      <c r="GB2314"/>
      <c r="GC2314"/>
      <c r="GD2314"/>
      <c r="GE2314"/>
      <c r="GF2314"/>
      <c r="GG2314"/>
      <c r="GH2314"/>
      <c r="GI2314"/>
      <c r="GJ2314"/>
      <c r="GK2314"/>
      <c r="GL2314"/>
      <c r="GM2314"/>
      <c r="GN2314"/>
      <c r="GO2314"/>
    </row>
    <row r="2315" spans="107:197">
      <c r="DC2315"/>
      <c r="FH2315"/>
      <c r="FI2315"/>
      <c r="FJ2315"/>
      <c r="FK2315"/>
      <c r="FL2315"/>
      <c r="FM2315"/>
      <c r="FN2315"/>
      <c r="FO2315"/>
      <c r="FP2315"/>
      <c r="FQ2315"/>
      <c r="FR2315"/>
      <c r="FS2315"/>
      <c r="FT2315"/>
      <c r="FU2315"/>
      <c r="FV2315"/>
      <c r="FW2315"/>
      <c r="FX2315"/>
      <c r="FY2315"/>
      <c r="FZ2315"/>
      <c r="GA2315"/>
      <c r="GB2315"/>
      <c r="GC2315"/>
      <c r="GD2315"/>
      <c r="GE2315"/>
      <c r="GF2315"/>
      <c r="GG2315"/>
      <c r="GH2315"/>
      <c r="GI2315"/>
      <c r="GJ2315"/>
      <c r="GK2315"/>
      <c r="GL2315"/>
      <c r="GM2315"/>
      <c r="GN2315"/>
      <c r="GO2315"/>
    </row>
    <row r="2316" spans="107:197">
      <c r="DC2316"/>
      <c r="FH2316"/>
      <c r="FI2316"/>
      <c r="FJ2316"/>
      <c r="FK2316"/>
      <c r="FL2316"/>
      <c r="FM2316"/>
      <c r="FN2316"/>
      <c r="FO2316"/>
      <c r="FP2316"/>
      <c r="FQ2316"/>
      <c r="FR2316"/>
      <c r="FS2316"/>
      <c r="FT2316"/>
      <c r="FU2316"/>
      <c r="FV2316"/>
      <c r="FW2316"/>
      <c r="FX2316"/>
      <c r="FY2316"/>
      <c r="FZ2316"/>
      <c r="GA2316"/>
      <c r="GB2316"/>
      <c r="GC2316"/>
      <c r="GD2316"/>
      <c r="GE2316"/>
      <c r="GF2316"/>
      <c r="GG2316"/>
      <c r="GH2316"/>
      <c r="GI2316"/>
      <c r="GJ2316"/>
      <c r="GK2316"/>
      <c r="GL2316"/>
      <c r="GM2316"/>
      <c r="GN2316"/>
      <c r="GO2316"/>
    </row>
    <row r="2317" spans="107:197">
      <c r="DC2317"/>
      <c r="FH2317"/>
      <c r="FI2317"/>
      <c r="FJ2317"/>
      <c r="FK2317"/>
      <c r="FL2317"/>
      <c r="FM2317"/>
      <c r="FN2317"/>
      <c r="FO2317"/>
      <c r="FP2317"/>
      <c r="FQ2317"/>
      <c r="FR2317"/>
      <c r="FS2317"/>
      <c r="FT2317"/>
      <c r="FU2317"/>
      <c r="FV2317"/>
      <c r="FW2317"/>
      <c r="FX2317"/>
      <c r="FY2317"/>
      <c r="FZ2317"/>
      <c r="GA2317"/>
      <c r="GB2317"/>
      <c r="GC2317"/>
      <c r="GD2317"/>
      <c r="GE2317"/>
      <c r="GF2317"/>
      <c r="GG2317"/>
      <c r="GH2317"/>
      <c r="GI2317"/>
      <c r="GJ2317"/>
      <c r="GK2317"/>
      <c r="GL2317"/>
      <c r="GM2317"/>
      <c r="GN2317"/>
      <c r="GO2317"/>
    </row>
    <row r="2318" spans="107:197">
      <c r="DC2318"/>
      <c r="FH2318"/>
      <c r="FI2318"/>
      <c r="FJ2318"/>
      <c r="FK2318"/>
      <c r="FL2318"/>
      <c r="FM2318"/>
      <c r="FN2318"/>
      <c r="FO2318"/>
      <c r="FP2318"/>
      <c r="FQ2318"/>
      <c r="FR2318"/>
      <c r="FS2318"/>
      <c r="FT2318"/>
      <c r="FU2318"/>
      <c r="FV2318"/>
      <c r="FW2318"/>
      <c r="FX2318"/>
      <c r="FY2318"/>
      <c r="FZ2318"/>
      <c r="GA2318"/>
      <c r="GB2318"/>
      <c r="GC2318"/>
      <c r="GD2318"/>
      <c r="GE2318"/>
      <c r="GF2318"/>
      <c r="GG2318"/>
      <c r="GH2318"/>
      <c r="GI2318"/>
      <c r="GJ2318"/>
      <c r="GK2318"/>
      <c r="GL2318"/>
      <c r="GM2318"/>
      <c r="GN2318"/>
      <c r="GO2318"/>
    </row>
    <row r="2319" spans="107:197">
      <c r="DC2319"/>
      <c r="FH2319"/>
      <c r="FI2319"/>
      <c r="FJ2319"/>
      <c r="FK2319"/>
      <c r="FL2319"/>
      <c r="FM2319"/>
      <c r="FN2319"/>
      <c r="FO2319"/>
      <c r="FP2319"/>
      <c r="FQ2319"/>
      <c r="FR2319"/>
      <c r="FS2319"/>
      <c r="FT2319"/>
      <c r="FU2319"/>
      <c r="FV2319"/>
      <c r="FW2319"/>
      <c r="FX2319"/>
      <c r="FY2319"/>
      <c r="FZ2319"/>
      <c r="GA2319"/>
      <c r="GB2319"/>
      <c r="GC2319"/>
      <c r="GD2319"/>
      <c r="GE2319"/>
      <c r="GF2319"/>
      <c r="GG2319"/>
      <c r="GH2319"/>
      <c r="GI2319"/>
      <c r="GJ2319"/>
      <c r="GK2319"/>
      <c r="GL2319"/>
      <c r="GM2319"/>
      <c r="GN2319"/>
      <c r="GO2319"/>
    </row>
    <row r="2320" spans="107:197">
      <c r="DC2320"/>
      <c r="FH2320"/>
      <c r="FI2320"/>
      <c r="FJ2320"/>
      <c r="FK2320"/>
      <c r="FL2320"/>
      <c r="FM2320"/>
      <c r="FN2320"/>
      <c r="FO2320"/>
      <c r="FP2320"/>
      <c r="FQ2320"/>
      <c r="FR2320"/>
      <c r="FS2320"/>
      <c r="FT2320"/>
      <c r="FU2320"/>
      <c r="FV2320"/>
      <c r="FW2320"/>
      <c r="FX2320"/>
      <c r="FY2320"/>
      <c r="FZ2320"/>
      <c r="GA2320"/>
      <c r="GB2320"/>
      <c r="GC2320"/>
      <c r="GD2320"/>
      <c r="GE2320"/>
      <c r="GF2320"/>
      <c r="GG2320"/>
      <c r="GH2320"/>
      <c r="GI2320"/>
      <c r="GJ2320"/>
      <c r="GK2320"/>
      <c r="GL2320"/>
      <c r="GM2320"/>
      <c r="GN2320"/>
      <c r="GO2320"/>
    </row>
    <row r="2321" spans="107:197">
      <c r="DC2321"/>
      <c r="FH2321"/>
      <c r="FI2321"/>
      <c r="FJ2321"/>
      <c r="FK2321"/>
      <c r="FL2321"/>
      <c r="FM2321"/>
      <c r="FN2321"/>
      <c r="FO2321"/>
      <c r="FP2321"/>
      <c r="FQ2321"/>
      <c r="FR2321"/>
      <c r="FS2321"/>
      <c r="FT2321"/>
      <c r="FU2321"/>
      <c r="FV2321"/>
      <c r="FW2321"/>
      <c r="FX2321"/>
      <c r="FY2321"/>
      <c r="FZ2321"/>
      <c r="GA2321"/>
      <c r="GB2321"/>
      <c r="GC2321"/>
      <c r="GD2321"/>
      <c r="GE2321"/>
      <c r="GF2321"/>
      <c r="GG2321"/>
      <c r="GH2321"/>
      <c r="GI2321"/>
      <c r="GJ2321"/>
      <c r="GK2321"/>
      <c r="GL2321"/>
      <c r="GM2321"/>
      <c r="GN2321"/>
      <c r="GO2321"/>
    </row>
    <row r="2322" spans="107:197">
      <c r="DC2322"/>
      <c r="FH2322"/>
      <c r="FI2322"/>
      <c r="FJ2322"/>
      <c r="FK2322"/>
      <c r="FL2322"/>
      <c r="FM2322"/>
      <c r="FN2322"/>
      <c r="FO2322"/>
      <c r="FP2322"/>
      <c r="FQ2322"/>
      <c r="FR2322"/>
      <c r="FS2322"/>
      <c r="FT2322"/>
      <c r="FU2322"/>
      <c r="FV2322"/>
      <c r="FW2322"/>
      <c r="FX2322"/>
      <c r="FY2322"/>
      <c r="FZ2322"/>
      <c r="GA2322"/>
      <c r="GB2322"/>
      <c r="GC2322"/>
      <c r="GD2322"/>
      <c r="GE2322"/>
      <c r="GF2322"/>
      <c r="GG2322"/>
      <c r="GH2322"/>
      <c r="GI2322"/>
      <c r="GJ2322"/>
      <c r="GK2322"/>
      <c r="GL2322"/>
      <c r="GM2322"/>
      <c r="GN2322"/>
      <c r="GO2322"/>
    </row>
    <row r="2323" spans="107:197">
      <c r="DC2323"/>
      <c r="FH2323"/>
      <c r="FI2323"/>
      <c r="FJ2323"/>
      <c r="FK2323"/>
      <c r="FL2323"/>
      <c r="FM2323"/>
      <c r="FN2323"/>
      <c r="FO2323"/>
      <c r="FP2323"/>
      <c r="FQ2323"/>
      <c r="FR2323"/>
      <c r="FS2323"/>
      <c r="FT2323"/>
      <c r="FU2323"/>
      <c r="FV2323"/>
      <c r="FW2323"/>
      <c r="FX2323"/>
      <c r="FY2323"/>
      <c r="FZ2323"/>
      <c r="GA2323"/>
      <c r="GB2323"/>
      <c r="GC2323"/>
      <c r="GD2323"/>
      <c r="GE2323"/>
      <c r="GF2323"/>
      <c r="GG2323"/>
      <c r="GH2323"/>
      <c r="GI2323"/>
      <c r="GJ2323"/>
      <c r="GK2323"/>
      <c r="GL2323"/>
      <c r="GM2323"/>
      <c r="GN2323"/>
      <c r="GO2323"/>
    </row>
    <row r="2324" spans="107:197">
      <c r="DC2324"/>
      <c r="FH2324"/>
      <c r="FI2324"/>
      <c r="FJ2324"/>
      <c r="FK2324"/>
      <c r="FL2324"/>
      <c r="FM2324"/>
      <c r="FN2324"/>
      <c r="FO2324"/>
      <c r="FP2324"/>
      <c r="FQ2324"/>
      <c r="FR2324"/>
      <c r="FS2324"/>
      <c r="FT2324"/>
      <c r="FU2324"/>
      <c r="FV2324"/>
      <c r="FW2324"/>
      <c r="FX2324"/>
      <c r="FY2324"/>
      <c r="FZ2324"/>
      <c r="GA2324"/>
      <c r="GB2324"/>
      <c r="GC2324"/>
      <c r="GD2324"/>
      <c r="GE2324"/>
      <c r="GF2324"/>
      <c r="GG2324"/>
      <c r="GH2324"/>
      <c r="GI2324"/>
      <c r="GJ2324"/>
      <c r="GK2324"/>
      <c r="GL2324"/>
      <c r="GM2324"/>
      <c r="GN2324"/>
      <c r="GO2324"/>
    </row>
    <row r="2325" spans="107:197">
      <c r="DC2325"/>
      <c r="FH2325"/>
      <c r="FI2325"/>
      <c r="FJ2325"/>
      <c r="FK2325"/>
      <c r="FL2325"/>
      <c r="FM2325"/>
      <c r="FN2325"/>
      <c r="FO2325"/>
      <c r="FP2325"/>
      <c r="FQ2325"/>
      <c r="FR2325"/>
      <c r="FS2325"/>
      <c r="FT2325"/>
      <c r="FU2325"/>
      <c r="FV2325"/>
      <c r="FW2325"/>
      <c r="FX2325"/>
      <c r="FY2325"/>
      <c r="FZ2325"/>
      <c r="GA2325"/>
      <c r="GB2325"/>
      <c r="GC2325"/>
      <c r="GD2325"/>
      <c r="GE2325"/>
      <c r="GF2325"/>
      <c r="GG2325"/>
      <c r="GH2325"/>
      <c r="GI2325"/>
      <c r="GJ2325"/>
      <c r="GK2325"/>
      <c r="GL2325"/>
      <c r="GM2325"/>
      <c r="GN2325"/>
      <c r="GO2325"/>
    </row>
    <row r="2326" spans="107:197">
      <c r="DC2326"/>
      <c r="FH2326"/>
      <c r="FI2326"/>
      <c r="FJ2326"/>
      <c r="FK2326"/>
      <c r="FL2326"/>
      <c r="FM2326"/>
      <c r="FN2326"/>
      <c r="FO2326"/>
      <c r="FP2326"/>
      <c r="FQ2326"/>
      <c r="FR2326"/>
      <c r="FS2326"/>
      <c r="FT2326"/>
      <c r="FU2326"/>
      <c r="FV2326"/>
      <c r="FW2326"/>
      <c r="FX2326"/>
      <c r="FY2326"/>
      <c r="FZ2326"/>
      <c r="GA2326"/>
      <c r="GB2326"/>
      <c r="GC2326"/>
      <c r="GD2326"/>
      <c r="GE2326"/>
      <c r="GF2326"/>
      <c r="GG2326"/>
      <c r="GH2326"/>
      <c r="GI2326"/>
      <c r="GJ2326"/>
      <c r="GK2326"/>
      <c r="GL2326"/>
      <c r="GM2326"/>
      <c r="GN2326"/>
      <c r="GO2326"/>
    </row>
    <row r="2327" spans="107:197">
      <c r="DC2327"/>
      <c r="FH2327"/>
      <c r="FI2327"/>
      <c r="FJ2327"/>
      <c r="FK2327"/>
      <c r="FL2327"/>
      <c r="FM2327"/>
      <c r="FN2327"/>
      <c r="FO2327"/>
      <c r="FP2327"/>
      <c r="FQ2327"/>
      <c r="FR2327"/>
      <c r="FS2327"/>
      <c r="FT2327"/>
      <c r="FU2327"/>
      <c r="FV2327"/>
      <c r="FW2327"/>
      <c r="FX2327"/>
      <c r="FY2327"/>
      <c r="FZ2327"/>
      <c r="GA2327"/>
      <c r="GB2327"/>
      <c r="GC2327"/>
      <c r="GD2327"/>
      <c r="GE2327"/>
      <c r="GF2327"/>
      <c r="GG2327"/>
      <c r="GH2327"/>
      <c r="GI2327"/>
      <c r="GJ2327"/>
      <c r="GK2327"/>
      <c r="GL2327"/>
      <c r="GM2327"/>
      <c r="GN2327"/>
      <c r="GO2327"/>
    </row>
    <row r="2328" spans="107:197">
      <c r="DC2328"/>
      <c r="FH2328"/>
      <c r="FI2328"/>
      <c r="FJ2328"/>
      <c r="FK2328"/>
      <c r="FL2328"/>
      <c r="FM2328"/>
      <c r="FN2328"/>
      <c r="FO2328"/>
      <c r="FP2328"/>
      <c r="FQ2328"/>
      <c r="FR2328"/>
      <c r="FS2328"/>
      <c r="FT2328"/>
      <c r="FU2328"/>
      <c r="FV2328"/>
      <c r="FW2328"/>
      <c r="FX2328"/>
      <c r="FY2328"/>
      <c r="FZ2328"/>
      <c r="GA2328"/>
      <c r="GB2328"/>
      <c r="GC2328"/>
      <c r="GD2328"/>
      <c r="GE2328"/>
      <c r="GF2328"/>
      <c r="GG2328"/>
      <c r="GH2328"/>
      <c r="GI2328"/>
      <c r="GJ2328"/>
      <c r="GK2328"/>
      <c r="GL2328"/>
      <c r="GM2328"/>
      <c r="GN2328"/>
      <c r="GO2328"/>
    </row>
    <row r="2329" spans="107:197">
      <c r="DC2329"/>
      <c r="FH2329"/>
      <c r="FI2329"/>
      <c r="FJ2329"/>
      <c r="FK2329"/>
      <c r="FL2329"/>
      <c r="FM2329"/>
      <c r="FN2329"/>
      <c r="FO2329"/>
      <c r="FP2329"/>
      <c r="FQ2329"/>
      <c r="FR2329"/>
      <c r="FS2329"/>
      <c r="FT2329"/>
      <c r="FU2329"/>
      <c r="FV2329"/>
      <c r="FW2329"/>
      <c r="FX2329"/>
      <c r="FY2329"/>
      <c r="FZ2329"/>
      <c r="GA2329"/>
      <c r="GB2329"/>
      <c r="GC2329"/>
      <c r="GD2329"/>
      <c r="GE2329"/>
      <c r="GF2329"/>
      <c r="GG2329"/>
      <c r="GH2329"/>
      <c r="GI2329"/>
      <c r="GJ2329"/>
      <c r="GK2329"/>
      <c r="GL2329"/>
      <c r="GM2329"/>
      <c r="GN2329"/>
      <c r="GO2329"/>
    </row>
    <row r="2330" spans="107:197">
      <c r="DC2330"/>
      <c r="FH2330"/>
      <c r="FI2330"/>
      <c r="FJ2330"/>
      <c r="FK2330"/>
      <c r="FL2330"/>
      <c r="FM2330"/>
      <c r="FN2330"/>
      <c r="FO2330"/>
      <c r="FP2330"/>
      <c r="FQ2330"/>
      <c r="FR2330"/>
      <c r="FS2330"/>
      <c r="FT2330"/>
      <c r="FU2330"/>
      <c r="FV2330"/>
      <c r="FW2330"/>
      <c r="FX2330"/>
      <c r="FY2330"/>
      <c r="FZ2330"/>
      <c r="GA2330"/>
      <c r="GB2330"/>
      <c r="GC2330"/>
      <c r="GD2330"/>
      <c r="GE2330"/>
      <c r="GF2330"/>
      <c r="GG2330"/>
      <c r="GH2330"/>
      <c r="GI2330"/>
      <c r="GJ2330"/>
      <c r="GK2330"/>
      <c r="GL2330"/>
      <c r="GM2330"/>
      <c r="GN2330"/>
      <c r="GO2330"/>
    </row>
    <row r="2331" spans="107:197">
      <c r="DC2331"/>
      <c r="FH2331"/>
      <c r="FI2331"/>
      <c r="FJ2331"/>
      <c r="FK2331"/>
      <c r="FL2331"/>
      <c r="FM2331"/>
      <c r="FN2331"/>
      <c r="FO2331"/>
      <c r="FP2331"/>
      <c r="FQ2331"/>
      <c r="FR2331"/>
      <c r="FS2331"/>
      <c r="FT2331"/>
      <c r="FU2331"/>
      <c r="FV2331"/>
      <c r="FW2331"/>
      <c r="FX2331"/>
      <c r="FY2331"/>
      <c r="FZ2331"/>
      <c r="GA2331"/>
      <c r="GB2331"/>
      <c r="GC2331"/>
      <c r="GD2331"/>
      <c r="GE2331"/>
      <c r="GF2331"/>
      <c r="GG2331"/>
      <c r="GH2331"/>
      <c r="GI2331"/>
      <c r="GJ2331"/>
      <c r="GK2331"/>
      <c r="GL2331"/>
      <c r="GM2331"/>
      <c r="GN2331"/>
      <c r="GO2331"/>
    </row>
    <row r="2332" spans="107:197">
      <c r="DC2332"/>
      <c r="FH2332"/>
      <c r="FI2332"/>
      <c r="FJ2332"/>
      <c r="FK2332"/>
      <c r="FL2332"/>
      <c r="FM2332"/>
      <c r="FN2332"/>
      <c r="FO2332"/>
      <c r="FP2332"/>
      <c r="FQ2332"/>
      <c r="FR2332"/>
      <c r="FS2332"/>
      <c r="FT2332"/>
      <c r="FU2332"/>
      <c r="FV2332"/>
      <c r="FW2332"/>
      <c r="FX2332"/>
      <c r="FY2332"/>
      <c r="FZ2332"/>
      <c r="GA2332"/>
      <c r="GB2332"/>
      <c r="GC2332"/>
      <c r="GD2332"/>
      <c r="GE2332"/>
      <c r="GF2332"/>
      <c r="GG2332"/>
      <c r="GH2332"/>
      <c r="GI2332"/>
      <c r="GJ2332"/>
      <c r="GK2332"/>
      <c r="GL2332"/>
      <c r="GM2332"/>
      <c r="GN2332"/>
      <c r="GO2332"/>
    </row>
    <row r="2333" spans="107:197">
      <c r="DC2333"/>
      <c r="FH2333"/>
      <c r="FI2333"/>
      <c r="FJ2333"/>
      <c r="FK2333"/>
      <c r="FL2333"/>
      <c r="FM2333"/>
      <c r="FN2333"/>
      <c r="FO2333"/>
      <c r="FP2333"/>
      <c r="FQ2333"/>
      <c r="FR2333"/>
      <c r="FS2333"/>
      <c r="FT2333"/>
      <c r="FU2333"/>
      <c r="FV2333"/>
      <c r="FW2333"/>
      <c r="FX2333"/>
      <c r="FY2333"/>
      <c r="FZ2333"/>
      <c r="GA2333"/>
      <c r="GB2333"/>
      <c r="GC2333"/>
      <c r="GD2333"/>
      <c r="GE2333"/>
      <c r="GF2333"/>
      <c r="GG2333"/>
      <c r="GH2333"/>
      <c r="GI2333"/>
      <c r="GJ2333"/>
      <c r="GK2333"/>
      <c r="GL2333"/>
      <c r="GM2333"/>
      <c r="GN2333"/>
      <c r="GO2333"/>
    </row>
    <row r="2334" spans="107:197">
      <c r="DC2334"/>
      <c r="FH2334"/>
      <c r="FI2334"/>
      <c r="FJ2334"/>
      <c r="FK2334"/>
      <c r="FL2334"/>
      <c r="FM2334"/>
      <c r="FN2334"/>
      <c r="FO2334"/>
      <c r="FP2334"/>
      <c r="FQ2334"/>
      <c r="FR2334"/>
      <c r="FS2334"/>
      <c r="FT2334"/>
      <c r="FU2334"/>
      <c r="FV2334"/>
      <c r="FW2334"/>
      <c r="FX2334"/>
      <c r="FY2334"/>
      <c r="FZ2334"/>
      <c r="GA2334"/>
      <c r="GB2334"/>
      <c r="GC2334"/>
      <c r="GD2334"/>
      <c r="GE2334"/>
      <c r="GF2334"/>
      <c r="GG2334"/>
      <c r="GH2334"/>
      <c r="GI2334"/>
      <c r="GJ2334"/>
      <c r="GK2334"/>
      <c r="GL2334"/>
      <c r="GM2334"/>
      <c r="GN2334"/>
      <c r="GO2334"/>
    </row>
    <row r="2335" spans="107:197">
      <c r="DC2335"/>
      <c r="FH2335"/>
      <c r="FI2335"/>
      <c r="FJ2335"/>
      <c r="FK2335"/>
      <c r="FL2335"/>
      <c r="FM2335"/>
      <c r="FN2335"/>
      <c r="FO2335"/>
      <c r="FP2335"/>
      <c r="FQ2335"/>
      <c r="FR2335"/>
      <c r="FS2335"/>
      <c r="FT2335"/>
      <c r="FU2335"/>
      <c r="FV2335"/>
      <c r="FW2335"/>
      <c r="FX2335"/>
      <c r="FY2335"/>
      <c r="FZ2335"/>
      <c r="GA2335"/>
      <c r="GB2335"/>
      <c r="GC2335"/>
      <c r="GD2335"/>
      <c r="GE2335"/>
      <c r="GF2335"/>
      <c r="GG2335"/>
      <c r="GH2335"/>
      <c r="GI2335"/>
      <c r="GJ2335"/>
      <c r="GK2335"/>
      <c r="GL2335"/>
      <c r="GM2335"/>
      <c r="GN2335"/>
      <c r="GO2335"/>
    </row>
    <row r="2336" spans="107:197">
      <c r="DC2336"/>
      <c r="FH2336"/>
      <c r="FI2336"/>
      <c r="FJ2336"/>
      <c r="FK2336"/>
      <c r="FL2336"/>
      <c r="FM2336"/>
      <c r="FN2336"/>
      <c r="FO2336"/>
      <c r="FP2336"/>
      <c r="FQ2336"/>
      <c r="FR2336"/>
      <c r="FS2336"/>
      <c r="FT2336"/>
      <c r="FU2336"/>
      <c r="FV2336"/>
      <c r="FW2336"/>
      <c r="FX2336"/>
      <c r="FY2336"/>
      <c r="FZ2336"/>
      <c r="GA2336"/>
      <c r="GB2336"/>
      <c r="GC2336"/>
      <c r="GD2336"/>
      <c r="GE2336"/>
      <c r="GF2336"/>
      <c r="GG2336"/>
      <c r="GH2336"/>
      <c r="GI2336"/>
      <c r="GJ2336"/>
      <c r="GK2336"/>
      <c r="GL2336"/>
      <c r="GM2336"/>
      <c r="GN2336"/>
      <c r="GO2336"/>
    </row>
    <row r="2337" spans="107:197">
      <c r="DC2337"/>
      <c r="FH2337"/>
      <c r="FI2337"/>
      <c r="FJ2337"/>
      <c r="FK2337"/>
      <c r="FL2337"/>
      <c r="FM2337"/>
      <c r="FN2337"/>
      <c r="FO2337"/>
      <c r="FP2337"/>
      <c r="FQ2337"/>
      <c r="FR2337"/>
      <c r="FS2337"/>
      <c r="FT2337"/>
      <c r="FU2337"/>
      <c r="FV2337"/>
      <c r="FW2337"/>
      <c r="FX2337"/>
      <c r="FY2337"/>
      <c r="FZ2337"/>
      <c r="GA2337"/>
      <c r="GB2337"/>
      <c r="GC2337"/>
      <c r="GD2337"/>
      <c r="GE2337"/>
      <c r="GF2337"/>
      <c r="GG2337"/>
      <c r="GH2337"/>
      <c r="GI2337"/>
      <c r="GJ2337"/>
      <c r="GK2337"/>
      <c r="GL2337"/>
      <c r="GM2337"/>
      <c r="GN2337"/>
      <c r="GO2337"/>
    </row>
    <row r="2338" spans="107:197">
      <c r="DC2338"/>
      <c r="FH2338"/>
      <c r="FI2338"/>
      <c r="FJ2338"/>
      <c r="FK2338"/>
      <c r="FL2338"/>
      <c r="FM2338"/>
      <c r="FN2338"/>
      <c r="FO2338"/>
      <c r="FP2338"/>
      <c r="FQ2338"/>
      <c r="FR2338"/>
      <c r="FS2338"/>
      <c r="FT2338"/>
      <c r="FU2338"/>
      <c r="FV2338"/>
      <c r="FW2338"/>
      <c r="FX2338"/>
      <c r="FY2338"/>
      <c r="FZ2338"/>
      <c r="GA2338"/>
      <c r="GB2338"/>
      <c r="GC2338"/>
      <c r="GD2338"/>
      <c r="GE2338"/>
      <c r="GF2338"/>
      <c r="GG2338"/>
      <c r="GH2338"/>
      <c r="GI2338"/>
      <c r="GJ2338"/>
      <c r="GK2338"/>
      <c r="GL2338"/>
      <c r="GM2338"/>
      <c r="GN2338"/>
      <c r="GO2338"/>
    </row>
    <row r="2339" spans="107:197">
      <c r="DC2339"/>
      <c r="FH2339"/>
      <c r="FI2339"/>
      <c r="FJ2339"/>
      <c r="FK2339"/>
      <c r="FL2339"/>
      <c r="FM2339"/>
      <c r="FN2339"/>
      <c r="FO2339"/>
      <c r="FP2339"/>
      <c r="FQ2339"/>
      <c r="FR2339"/>
      <c r="FS2339"/>
      <c r="FT2339"/>
      <c r="FU2339"/>
      <c r="FV2339"/>
      <c r="FW2339"/>
      <c r="FX2339"/>
      <c r="FY2339"/>
      <c r="FZ2339"/>
      <c r="GA2339"/>
      <c r="GB2339"/>
      <c r="GC2339"/>
      <c r="GD2339"/>
      <c r="GE2339"/>
      <c r="GF2339"/>
      <c r="GG2339"/>
      <c r="GH2339"/>
      <c r="GI2339"/>
      <c r="GJ2339"/>
      <c r="GK2339"/>
      <c r="GL2339"/>
      <c r="GM2339"/>
      <c r="GN2339"/>
      <c r="GO2339"/>
    </row>
    <row r="2340" spans="107:197">
      <c r="DC2340"/>
      <c r="FH2340"/>
      <c r="FI2340"/>
      <c r="FJ2340"/>
      <c r="FK2340"/>
      <c r="FL2340"/>
      <c r="FM2340"/>
      <c r="FN2340"/>
      <c r="FO2340"/>
      <c r="FP2340"/>
      <c r="FQ2340"/>
      <c r="FR2340"/>
      <c r="FS2340"/>
      <c r="FT2340"/>
      <c r="FU2340"/>
      <c r="FV2340"/>
      <c r="FW2340"/>
      <c r="FX2340"/>
      <c r="FY2340"/>
      <c r="FZ2340"/>
      <c r="GA2340"/>
      <c r="GB2340"/>
      <c r="GC2340"/>
      <c r="GD2340"/>
      <c r="GE2340"/>
      <c r="GF2340"/>
      <c r="GG2340"/>
      <c r="GH2340"/>
      <c r="GI2340"/>
      <c r="GJ2340"/>
      <c r="GK2340"/>
      <c r="GL2340"/>
      <c r="GM2340"/>
      <c r="GN2340"/>
      <c r="GO2340"/>
    </row>
    <row r="2341" spans="107:197">
      <c r="DC2341"/>
      <c r="FH2341"/>
      <c r="FI2341"/>
      <c r="FJ2341"/>
      <c r="FK2341"/>
      <c r="FL2341"/>
      <c r="FM2341"/>
      <c r="FN2341"/>
      <c r="FO2341"/>
      <c r="FP2341"/>
      <c r="FQ2341"/>
      <c r="FR2341"/>
      <c r="FS2341"/>
      <c r="FT2341"/>
      <c r="FU2341"/>
      <c r="FV2341"/>
      <c r="FW2341"/>
      <c r="FX2341"/>
      <c r="FY2341"/>
      <c r="FZ2341"/>
      <c r="GA2341"/>
      <c r="GB2341"/>
      <c r="GC2341"/>
      <c r="GD2341"/>
      <c r="GE2341"/>
      <c r="GF2341"/>
      <c r="GG2341"/>
      <c r="GH2341"/>
      <c r="GI2341"/>
      <c r="GJ2341"/>
      <c r="GK2341"/>
      <c r="GL2341"/>
      <c r="GM2341"/>
      <c r="GN2341"/>
      <c r="GO2341"/>
    </row>
    <row r="2342" spans="107:197">
      <c r="DC2342"/>
      <c r="FH2342"/>
      <c r="FI2342"/>
      <c r="FJ2342"/>
      <c r="FK2342"/>
      <c r="FL2342"/>
      <c r="FM2342"/>
      <c r="FN2342"/>
      <c r="FO2342"/>
      <c r="FP2342"/>
      <c r="FQ2342"/>
      <c r="FR2342"/>
      <c r="FS2342"/>
      <c r="FT2342"/>
      <c r="FU2342"/>
      <c r="FV2342"/>
      <c r="FW2342"/>
      <c r="FX2342"/>
      <c r="FY2342"/>
      <c r="FZ2342"/>
      <c r="GA2342"/>
      <c r="GB2342"/>
      <c r="GC2342"/>
      <c r="GD2342"/>
      <c r="GE2342"/>
      <c r="GF2342"/>
      <c r="GG2342"/>
      <c r="GH2342"/>
      <c r="GI2342"/>
      <c r="GJ2342"/>
      <c r="GK2342"/>
      <c r="GL2342"/>
      <c r="GM2342"/>
      <c r="GN2342"/>
      <c r="GO2342"/>
    </row>
    <row r="2343" spans="107:197">
      <c r="DC2343"/>
      <c r="FH2343"/>
      <c r="FI2343"/>
      <c r="FJ2343"/>
      <c r="FK2343"/>
      <c r="FL2343"/>
      <c r="FM2343"/>
      <c r="FN2343"/>
      <c r="FO2343"/>
      <c r="FP2343"/>
      <c r="FQ2343"/>
      <c r="FR2343"/>
      <c r="FS2343"/>
      <c r="FT2343"/>
      <c r="FU2343"/>
      <c r="FV2343"/>
      <c r="FW2343"/>
      <c r="FX2343"/>
      <c r="FY2343"/>
      <c r="FZ2343"/>
      <c r="GA2343"/>
      <c r="GB2343"/>
      <c r="GC2343"/>
      <c r="GD2343"/>
      <c r="GE2343"/>
      <c r="GF2343"/>
      <c r="GG2343"/>
      <c r="GH2343"/>
      <c r="GI2343"/>
      <c r="GJ2343"/>
      <c r="GK2343"/>
      <c r="GL2343"/>
      <c r="GM2343"/>
      <c r="GN2343"/>
      <c r="GO2343"/>
    </row>
    <row r="2344" spans="107:197">
      <c r="DC2344"/>
      <c r="FH2344"/>
      <c r="FI2344"/>
      <c r="FJ2344"/>
      <c r="FK2344"/>
      <c r="FL2344"/>
      <c r="FM2344"/>
      <c r="FN2344"/>
      <c r="FO2344"/>
      <c r="FP2344"/>
      <c r="FQ2344"/>
      <c r="FR2344"/>
      <c r="FS2344"/>
      <c r="FT2344"/>
      <c r="FU2344"/>
      <c r="FV2344"/>
      <c r="FW2344"/>
      <c r="FX2344"/>
      <c r="FY2344"/>
      <c r="FZ2344"/>
      <c r="GA2344"/>
      <c r="GB2344"/>
      <c r="GC2344"/>
      <c r="GD2344"/>
      <c r="GE2344"/>
      <c r="GF2344"/>
      <c r="GG2344"/>
      <c r="GH2344"/>
      <c r="GI2344"/>
      <c r="GJ2344"/>
      <c r="GK2344"/>
      <c r="GL2344"/>
      <c r="GM2344"/>
      <c r="GN2344"/>
      <c r="GO2344"/>
    </row>
    <row r="2345" spans="107:197">
      <c r="DC2345"/>
      <c r="FH2345"/>
      <c r="FI2345"/>
      <c r="FJ2345"/>
      <c r="FK2345"/>
      <c r="FL2345"/>
      <c r="FM2345"/>
      <c r="FN2345"/>
      <c r="FO2345"/>
      <c r="FP2345"/>
      <c r="FQ2345"/>
      <c r="FR2345"/>
      <c r="FS2345"/>
      <c r="FT2345"/>
      <c r="FU2345"/>
      <c r="FV2345"/>
      <c r="FW2345"/>
      <c r="FX2345"/>
      <c r="FY2345"/>
      <c r="FZ2345"/>
      <c r="GA2345"/>
      <c r="GB2345"/>
      <c r="GC2345"/>
      <c r="GD2345"/>
      <c r="GE2345"/>
      <c r="GF2345"/>
      <c r="GG2345"/>
      <c r="GH2345"/>
      <c r="GI2345"/>
      <c r="GJ2345"/>
      <c r="GK2345"/>
      <c r="GL2345"/>
      <c r="GM2345"/>
      <c r="GN2345"/>
      <c r="GO2345"/>
    </row>
    <row r="2346" spans="107:197">
      <c r="DC2346"/>
      <c r="FH2346"/>
      <c r="FI2346"/>
      <c r="FJ2346"/>
      <c r="FK2346"/>
      <c r="FL2346"/>
      <c r="FM2346"/>
      <c r="FN2346"/>
      <c r="FO2346"/>
      <c r="FP2346"/>
      <c r="FQ2346"/>
      <c r="FR2346"/>
      <c r="FS2346"/>
      <c r="FT2346"/>
      <c r="FU2346"/>
      <c r="FV2346"/>
      <c r="FW2346"/>
      <c r="FX2346"/>
      <c r="FY2346"/>
      <c r="FZ2346"/>
      <c r="GA2346"/>
      <c r="GB2346"/>
      <c r="GC2346"/>
      <c r="GD2346"/>
      <c r="GE2346"/>
      <c r="GF2346"/>
      <c r="GG2346"/>
      <c r="GH2346"/>
      <c r="GI2346"/>
      <c r="GJ2346"/>
      <c r="GK2346"/>
      <c r="GL2346"/>
      <c r="GM2346"/>
      <c r="GN2346"/>
      <c r="GO2346"/>
    </row>
    <row r="2347" spans="107:197">
      <c r="DC2347"/>
      <c r="FH2347"/>
      <c r="FI2347"/>
      <c r="FJ2347"/>
      <c r="FK2347"/>
      <c r="FL2347"/>
      <c r="FM2347"/>
      <c r="FN2347"/>
      <c r="FO2347"/>
      <c r="FP2347"/>
      <c r="FQ2347"/>
      <c r="FR2347"/>
      <c r="FS2347"/>
      <c r="FT2347"/>
      <c r="FU2347"/>
      <c r="FV2347"/>
      <c r="FW2347"/>
      <c r="FX2347"/>
      <c r="FY2347"/>
      <c r="FZ2347"/>
      <c r="GA2347"/>
      <c r="GB2347"/>
      <c r="GC2347"/>
      <c r="GD2347"/>
      <c r="GE2347"/>
      <c r="GF2347"/>
      <c r="GG2347"/>
      <c r="GH2347"/>
      <c r="GI2347"/>
      <c r="GJ2347"/>
      <c r="GK2347"/>
      <c r="GL2347"/>
      <c r="GM2347"/>
      <c r="GN2347"/>
      <c r="GO2347"/>
    </row>
    <row r="2348" spans="107:197">
      <c r="DC2348"/>
      <c r="FH2348"/>
      <c r="FI2348"/>
      <c r="FJ2348"/>
      <c r="FK2348"/>
      <c r="FL2348"/>
      <c r="FM2348"/>
      <c r="FN2348"/>
      <c r="FO2348"/>
      <c r="FP2348"/>
      <c r="FQ2348"/>
      <c r="FR2348"/>
      <c r="FS2348"/>
      <c r="FT2348"/>
      <c r="FU2348"/>
      <c r="FV2348"/>
      <c r="FW2348"/>
      <c r="FX2348"/>
      <c r="FY2348"/>
      <c r="FZ2348"/>
      <c r="GA2348"/>
      <c r="GB2348"/>
      <c r="GC2348"/>
      <c r="GD2348"/>
      <c r="GE2348"/>
      <c r="GF2348"/>
      <c r="GG2348"/>
      <c r="GH2348"/>
      <c r="GI2348"/>
      <c r="GJ2348"/>
      <c r="GK2348"/>
      <c r="GL2348"/>
      <c r="GM2348"/>
      <c r="GN2348"/>
      <c r="GO2348"/>
    </row>
    <row r="2349" spans="107:197">
      <c r="DC2349"/>
      <c r="FH2349"/>
      <c r="FI2349"/>
      <c r="FJ2349"/>
      <c r="FK2349"/>
      <c r="FL2349"/>
      <c r="FM2349"/>
      <c r="FN2349"/>
      <c r="FO2349"/>
      <c r="FP2349"/>
      <c r="FQ2349"/>
      <c r="FR2349"/>
      <c r="FS2349"/>
      <c r="FT2349"/>
      <c r="FU2349"/>
      <c r="FV2349"/>
      <c r="FW2349"/>
      <c r="FX2349"/>
      <c r="FY2349"/>
      <c r="FZ2349"/>
      <c r="GA2349"/>
      <c r="GB2349"/>
      <c r="GC2349"/>
      <c r="GD2349"/>
      <c r="GE2349"/>
      <c r="GF2349"/>
      <c r="GG2349"/>
      <c r="GH2349"/>
      <c r="GI2349"/>
      <c r="GJ2349"/>
      <c r="GK2349"/>
      <c r="GL2349"/>
      <c r="GM2349"/>
      <c r="GN2349"/>
      <c r="GO2349"/>
    </row>
    <row r="2350" spans="107:197">
      <c r="DC2350"/>
      <c r="FH2350"/>
      <c r="FI2350"/>
      <c r="FJ2350"/>
      <c r="FK2350"/>
      <c r="FL2350"/>
      <c r="FM2350"/>
      <c r="FN2350"/>
      <c r="FO2350"/>
      <c r="FP2350"/>
      <c r="FQ2350"/>
      <c r="FR2350"/>
      <c r="FS2350"/>
      <c r="FT2350"/>
      <c r="FU2350"/>
      <c r="FV2350"/>
      <c r="FW2350"/>
      <c r="FX2350"/>
      <c r="FY2350"/>
      <c r="FZ2350"/>
      <c r="GA2350"/>
      <c r="GB2350"/>
      <c r="GC2350"/>
      <c r="GD2350"/>
      <c r="GE2350"/>
      <c r="GF2350"/>
      <c r="GG2350"/>
      <c r="GH2350"/>
      <c r="GI2350"/>
      <c r="GJ2350"/>
      <c r="GK2350"/>
      <c r="GL2350"/>
      <c r="GM2350"/>
      <c r="GN2350"/>
      <c r="GO2350"/>
    </row>
    <row r="2351" spans="107:197">
      <c r="DC2351"/>
      <c r="FH2351"/>
      <c r="FI2351"/>
      <c r="FJ2351"/>
      <c r="FK2351"/>
      <c r="FL2351"/>
      <c r="FM2351"/>
      <c r="FN2351"/>
      <c r="FO2351"/>
      <c r="FP2351"/>
      <c r="FQ2351"/>
      <c r="FR2351"/>
      <c r="FS2351"/>
      <c r="FT2351"/>
      <c r="FU2351"/>
      <c r="FV2351"/>
      <c r="FW2351"/>
      <c r="FX2351"/>
      <c r="FY2351"/>
      <c r="FZ2351"/>
      <c r="GA2351"/>
      <c r="GB2351"/>
      <c r="GC2351"/>
      <c r="GD2351"/>
      <c r="GE2351"/>
      <c r="GF2351"/>
      <c r="GG2351"/>
      <c r="GH2351"/>
      <c r="GI2351"/>
      <c r="GJ2351"/>
      <c r="GK2351"/>
      <c r="GL2351"/>
      <c r="GM2351"/>
      <c r="GN2351"/>
      <c r="GO2351"/>
    </row>
    <row r="2352" spans="107:197">
      <c r="DC2352"/>
      <c r="FH2352"/>
      <c r="FI2352"/>
      <c r="FJ2352"/>
      <c r="FK2352"/>
      <c r="FL2352"/>
      <c r="FM2352"/>
      <c r="FN2352"/>
      <c r="FO2352"/>
      <c r="FP2352"/>
      <c r="FQ2352"/>
      <c r="FR2352"/>
      <c r="FS2352"/>
      <c r="FT2352"/>
      <c r="FU2352"/>
      <c r="FV2352"/>
      <c r="FW2352"/>
      <c r="FX2352"/>
      <c r="FY2352"/>
      <c r="FZ2352"/>
      <c r="GA2352"/>
      <c r="GB2352"/>
      <c r="GC2352"/>
      <c r="GD2352"/>
      <c r="GE2352"/>
      <c r="GF2352"/>
      <c r="GG2352"/>
      <c r="GH2352"/>
      <c r="GI2352"/>
      <c r="GJ2352"/>
      <c r="GK2352"/>
      <c r="GL2352"/>
      <c r="GM2352"/>
      <c r="GN2352"/>
      <c r="GO2352"/>
    </row>
    <row r="2353" spans="107:197">
      <c r="DC2353"/>
      <c r="FH2353"/>
      <c r="FI2353"/>
      <c r="FJ2353"/>
      <c r="FK2353"/>
      <c r="FL2353"/>
      <c r="FM2353"/>
      <c r="FN2353"/>
      <c r="FO2353"/>
      <c r="FP2353"/>
      <c r="FQ2353"/>
      <c r="FR2353"/>
      <c r="FS2353"/>
      <c r="FT2353"/>
      <c r="FU2353"/>
      <c r="FV2353"/>
      <c r="FW2353"/>
      <c r="FX2353"/>
      <c r="FY2353"/>
      <c r="FZ2353"/>
      <c r="GA2353"/>
      <c r="GB2353"/>
      <c r="GC2353"/>
      <c r="GD2353"/>
      <c r="GE2353"/>
      <c r="GF2353"/>
      <c r="GG2353"/>
      <c r="GH2353"/>
      <c r="GI2353"/>
      <c r="GJ2353"/>
      <c r="GK2353"/>
      <c r="GL2353"/>
      <c r="GM2353"/>
      <c r="GN2353"/>
      <c r="GO2353"/>
    </row>
    <row r="2354" spans="107:197">
      <c r="DC2354"/>
      <c r="FH2354"/>
      <c r="FI2354"/>
      <c r="FJ2354"/>
      <c r="FK2354"/>
      <c r="FL2354"/>
      <c r="FM2354"/>
      <c r="FN2354"/>
      <c r="FO2354"/>
      <c r="FP2354"/>
      <c r="FQ2354"/>
      <c r="FR2354"/>
      <c r="FS2354"/>
      <c r="FT2354"/>
      <c r="FU2354"/>
      <c r="FV2354"/>
      <c r="FW2354"/>
      <c r="FX2354"/>
      <c r="FY2354"/>
      <c r="FZ2354"/>
      <c r="GA2354"/>
      <c r="GB2354"/>
      <c r="GC2354"/>
      <c r="GD2354"/>
      <c r="GE2354"/>
      <c r="GF2354"/>
      <c r="GG2354"/>
      <c r="GH2354"/>
      <c r="GI2354"/>
      <c r="GJ2354"/>
      <c r="GK2354"/>
      <c r="GL2354"/>
      <c r="GM2354"/>
      <c r="GN2354"/>
      <c r="GO2354"/>
    </row>
    <row r="2355" spans="107:197">
      <c r="DC2355"/>
      <c r="FH2355"/>
      <c r="FI2355"/>
      <c r="FJ2355"/>
      <c r="FK2355"/>
      <c r="FL2355"/>
      <c r="FM2355"/>
      <c r="FN2355"/>
      <c r="FO2355"/>
      <c r="FP2355"/>
      <c r="FQ2355"/>
      <c r="FR2355"/>
      <c r="FS2355"/>
      <c r="FT2355"/>
      <c r="FU2355"/>
      <c r="FV2355"/>
      <c r="FW2355"/>
      <c r="FX2355"/>
      <c r="FY2355"/>
      <c r="FZ2355"/>
      <c r="GA2355"/>
      <c r="GB2355"/>
      <c r="GC2355"/>
      <c r="GD2355"/>
      <c r="GE2355"/>
      <c r="GF2355"/>
      <c r="GG2355"/>
      <c r="GH2355"/>
      <c r="GI2355"/>
      <c r="GJ2355"/>
      <c r="GK2355"/>
      <c r="GL2355"/>
      <c r="GM2355"/>
      <c r="GN2355"/>
      <c r="GO2355"/>
    </row>
    <row r="2356" spans="107:197">
      <c r="DC2356"/>
      <c r="FH2356"/>
      <c r="FI2356"/>
      <c r="FJ2356"/>
      <c r="FK2356"/>
      <c r="FL2356"/>
      <c r="FM2356"/>
      <c r="FN2356"/>
      <c r="FO2356"/>
      <c r="FP2356"/>
      <c r="FQ2356"/>
      <c r="FR2356"/>
      <c r="FS2356"/>
      <c r="FT2356"/>
      <c r="FU2356"/>
      <c r="FV2356"/>
      <c r="FW2356"/>
      <c r="FX2356"/>
      <c r="FY2356"/>
      <c r="FZ2356"/>
      <c r="GA2356"/>
      <c r="GB2356"/>
      <c r="GC2356"/>
      <c r="GD2356"/>
      <c r="GE2356"/>
      <c r="GF2356"/>
      <c r="GG2356"/>
      <c r="GH2356"/>
      <c r="GI2356"/>
      <c r="GJ2356"/>
      <c r="GK2356"/>
      <c r="GL2356"/>
      <c r="GM2356"/>
      <c r="GN2356"/>
      <c r="GO2356"/>
    </row>
    <row r="2357" spans="107:197">
      <c r="DC2357"/>
      <c r="FH2357"/>
      <c r="FI2357"/>
      <c r="FJ2357"/>
      <c r="FK2357"/>
      <c r="FL2357"/>
      <c r="FM2357"/>
      <c r="FN2357"/>
      <c r="FO2357"/>
      <c r="FP2357"/>
      <c r="FQ2357"/>
      <c r="FR2357"/>
      <c r="FS2357"/>
      <c r="FT2357"/>
      <c r="FU2357"/>
      <c r="FV2357"/>
      <c r="FW2357"/>
      <c r="FX2357"/>
      <c r="FY2357"/>
      <c r="FZ2357"/>
      <c r="GA2357"/>
      <c r="GB2357"/>
      <c r="GC2357"/>
      <c r="GD2357"/>
      <c r="GE2357"/>
      <c r="GF2357"/>
      <c r="GG2357"/>
      <c r="GH2357"/>
      <c r="GI2357"/>
      <c r="GJ2357"/>
      <c r="GK2357"/>
      <c r="GL2357"/>
      <c r="GM2357"/>
      <c r="GN2357"/>
      <c r="GO2357"/>
    </row>
    <row r="2358" spans="107:197">
      <c r="DC2358"/>
      <c r="FH2358"/>
      <c r="FI2358"/>
      <c r="FJ2358"/>
      <c r="FK2358"/>
      <c r="FL2358"/>
      <c r="FM2358"/>
      <c r="FN2358"/>
      <c r="FO2358"/>
      <c r="FP2358"/>
      <c r="FQ2358"/>
      <c r="FR2358"/>
      <c r="FS2358"/>
      <c r="FT2358"/>
      <c r="FU2358"/>
      <c r="FV2358"/>
      <c r="FW2358"/>
      <c r="FX2358"/>
      <c r="FY2358"/>
      <c r="FZ2358"/>
      <c r="GA2358"/>
      <c r="GB2358"/>
      <c r="GC2358"/>
      <c r="GD2358"/>
      <c r="GE2358"/>
      <c r="GF2358"/>
      <c r="GG2358"/>
      <c r="GH2358"/>
      <c r="GI2358"/>
      <c r="GJ2358"/>
      <c r="GK2358"/>
      <c r="GL2358"/>
      <c r="GM2358"/>
      <c r="GN2358"/>
      <c r="GO2358"/>
    </row>
    <row r="2359" spans="107:197">
      <c r="DC2359"/>
      <c r="FH2359"/>
      <c r="FI2359"/>
      <c r="FJ2359"/>
      <c r="FK2359"/>
      <c r="FL2359"/>
      <c r="FM2359"/>
      <c r="FN2359"/>
      <c r="FO2359"/>
      <c r="FP2359"/>
      <c r="FQ2359"/>
      <c r="FR2359"/>
      <c r="FS2359"/>
      <c r="FT2359"/>
      <c r="FU2359"/>
      <c r="FV2359"/>
      <c r="FW2359"/>
      <c r="FX2359"/>
      <c r="FY2359"/>
      <c r="FZ2359"/>
      <c r="GA2359"/>
      <c r="GB2359"/>
      <c r="GC2359"/>
      <c r="GD2359"/>
      <c r="GE2359"/>
      <c r="GF2359"/>
      <c r="GG2359"/>
      <c r="GH2359"/>
      <c r="GI2359"/>
      <c r="GJ2359"/>
      <c r="GK2359"/>
      <c r="GL2359"/>
      <c r="GM2359"/>
      <c r="GN2359"/>
      <c r="GO2359"/>
    </row>
    <row r="2360" spans="107:197">
      <c r="DC2360"/>
      <c r="FH2360"/>
      <c r="FI2360"/>
      <c r="FJ2360"/>
      <c r="FK2360"/>
      <c r="FL2360"/>
      <c r="FM2360"/>
      <c r="FN2360"/>
      <c r="FO2360"/>
      <c r="FP2360"/>
      <c r="FQ2360"/>
      <c r="FR2360"/>
      <c r="FS2360"/>
      <c r="FT2360"/>
      <c r="FU2360"/>
      <c r="FV2360"/>
      <c r="FW2360"/>
      <c r="FX2360"/>
      <c r="FY2360"/>
      <c r="FZ2360"/>
      <c r="GA2360"/>
      <c r="GB2360"/>
      <c r="GC2360"/>
      <c r="GD2360"/>
      <c r="GE2360"/>
      <c r="GF2360"/>
      <c r="GG2360"/>
      <c r="GH2360"/>
      <c r="GI2360"/>
      <c r="GJ2360"/>
      <c r="GK2360"/>
      <c r="GL2360"/>
      <c r="GM2360"/>
      <c r="GN2360"/>
      <c r="GO2360"/>
    </row>
    <row r="2361" spans="107:197">
      <c r="DC2361"/>
      <c r="FH2361"/>
      <c r="FI2361"/>
      <c r="FJ2361"/>
      <c r="FK2361"/>
      <c r="FL2361"/>
      <c r="FM2361"/>
      <c r="FN2361"/>
      <c r="FO2361"/>
      <c r="FP2361"/>
      <c r="FQ2361"/>
      <c r="FR2361"/>
      <c r="FS2361"/>
      <c r="FT2361"/>
      <c r="FU2361"/>
      <c r="FV2361"/>
      <c r="FW2361"/>
      <c r="FX2361"/>
      <c r="FY2361"/>
      <c r="FZ2361"/>
      <c r="GA2361"/>
      <c r="GB2361"/>
      <c r="GC2361"/>
      <c r="GD2361"/>
      <c r="GE2361"/>
      <c r="GF2361"/>
      <c r="GG2361"/>
      <c r="GH2361"/>
      <c r="GI2361"/>
      <c r="GJ2361"/>
      <c r="GK2361"/>
      <c r="GL2361"/>
      <c r="GM2361"/>
      <c r="GN2361"/>
      <c r="GO2361"/>
    </row>
    <row r="2362" spans="107:197">
      <c r="DC2362"/>
      <c r="FH2362"/>
      <c r="FI2362"/>
      <c r="FJ2362"/>
      <c r="FK2362"/>
      <c r="FL2362"/>
      <c r="FM2362"/>
      <c r="FN2362"/>
      <c r="FO2362"/>
      <c r="FP2362"/>
      <c r="FQ2362"/>
      <c r="FR2362"/>
      <c r="FS2362"/>
      <c r="FT2362"/>
      <c r="FU2362"/>
      <c r="FV2362"/>
      <c r="FW2362"/>
      <c r="FX2362"/>
      <c r="FY2362"/>
      <c r="FZ2362"/>
      <c r="GA2362"/>
      <c r="GB2362"/>
      <c r="GC2362"/>
      <c r="GD2362"/>
      <c r="GE2362"/>
      <c r="GF2362"/>
      <c r="GG2362"/>
      <c r="GH2362"/>
      <c r="GI2362"/>
      <c r="GJ2362"/>
      <c r="GK2362"/>
      <c r="GL2362"/>
      <c r="GM2362"/>
      <c r="GN2362"/>
      <c r="GO2362"/>
    </row>
    <row r="2363" spans="107:197">
      <c r="DC2363"/>
      <c r="FH2363"/>
      <c r="FI2363"/>
      <c r="FJ2363"/>
      <c r="FK2363"/>
      <c r="FL2363"/>
      <c r="FM2363"/>
      <c r="FN2363"/>
      <c r="FO2363"/>
      <c r="FP2363"/>
      <c r="FQ2363"/>
      <c r="FR2363"/>
      <c r="FS2363"/>
      <c r="FT2363"/>
      <c r="FU2363"/>
      <c r="FV2363"/>
      <c r="FW2363"/>
      <c r="FX2363"/>
      <c r="FY2363"/>
      <c r="FZ2363"/>
      <c r="GA2363"/>
      <c r="GB2363"/>
      <c r="GC2363"/>
      <c r="GD2363"/>
      <c r="GE2363"/>
      <c r="GF2363"/>
      <c r="GG2363"/>
      <c r="GH2363"/>
      <c r="GI2363"/>
      <c r="GJ2363"/>
      <c r="GK2363"/>
      <c r="GL2363"/>
      <c r="GM2363"/>
      <c r="GN2363"/>
      <c r="GO2363"/>
    </row>
    <row r="2364" spans="107:197">
      <c r="DC2364"/>
      <c r="FH2364"/>
      <c r="FI2364"/>
      <c r="FJ2364"/>
      <c r="FK2364"/>
      <c r="FL2364"/>
      <c r="FM2364"/>
      <c r="FN2364"/>
      <c r="FO2364"/>
      <c r="FP2364"/>
      <c r="FQ2364"/>
      <c r="FR2364"/>
      <c r="FS2364"/>
      <c r="FT2364"/>
      <c r="FU2364"/>
      <c r="FV2364"/>
      <c r="FW2364"/>
      <c r="FX2364"/>
      <c r="FY2364"/>
      <c r="FZ2364"/>
      <c r="GA2364"/>
      <c r="GB2364"/>
      <c r="GC2364"/>
      <c r="GD2364"/>
      <c r="GE2364"/>
      <c r="GF2364"/>
      <c r="GG2364"/>
      <c r="GH2364"/>
      <c r="GI2364"/>
      <c r="GJ2364"/>
      <c r="GK2364"/>
      <c r="GL2364"/>
      <c r="GM2364"/>
      <c r="GN2364"/>
      <c r="GO2364"/>
    </row>
    <row r="2365" spans="107:197">
      <c r="DC2365"/>
      <c r="FH2365"/>
      <c r="FI2365"/>
      <c r="FJ2365"/>
      <c r="FK2365"/>
      <c r="FL2365"/>
      <c r="FM2365"/>
      <c r="FN2365"/>
      <c r="FO2365"/>
      <c r="FP2365"/>
      <c r="FQ2365"/>
      <c r="FR2365"/>
      <c r="FS2365"/>
      <c r="FT2365"/>
      <c r="FU2365"/>
      <c r="FV2365"/>
      <c r="FW2365"/>
      <c r="FX2365"/>
      <c r="FY2365"/>
      <c r="FZ2365"/>
      <c r="GA2365"/>
      <c r="GB2365"/>
      <c r="GC2365"/>
      <c r="GD2365"/>
      <c r="GE2365"/>
      <c r="GF2365"/>
      <c r="GG2365"/>
      <c r="GH2365"/>
      <c r="GI2365"/>
      <c r="GJ2365"/>
      <c r="GK2365"/>
      <c r="GL2365"/>
      <c r="GM2365"/>
      <c r="GN2365"/>
      <c r="GO2365"/>
    </row>
    <row r="2366" spans="107:197">
      <c r="DC2366"/>
      <c r="FH2366"/>
      <c r="FI2366"/>
      <c r="FJ2366"/>
      <c r="FK2366"/>
      <c r="FL2366"/>
      <c r="FM2366"/>
      <c r="FN2366"/>
      <c r="FO2366"/>
      <c r="FP2366"/>
      <c r="FQ2366"/>
      <c r="FR2366"/>
      <c r="FS2366"/>
      <c r="FT2366"/>
      <c r="FU2366"/>
      <c r="FV2366"/>
      <c r="FW2366"/>
      <c r="FX2366"/>
      <c r="FY2366"/>
      <c r="FZ2366"/>
      <c r="GA2366"/>
      <c r="GB2366"/>
      <c r="GC2366"/>
      <c r="GD2366"/>
      <c r="GE2366"/>
      <c r="GF2366"/>
      <c r="GG2366"/>
      <c r="GH2366"/>
      <c r="GI2366"/>
      <c r="GJ2366"/>
      <c r="GK2366"/>
      <c r="GL2366"/>
      <c r="GM2366"/>
      <c r="GN2366"/>
      <c r="GO2366"/>
    </row>
    <row r="2367" spans="107:197">
      <c r="DC2367"/>
      <c r="FH2367"/>
      <c r="FI2367"/>
      <c r="FJ2367"/>
      <c r="FK2367"/>
      <c r="FL2367"/>
      <c r="FM2367"/>
      <c r="FN2367"/>
      <c r="FO2367"/>
      <c r="FP2367"/>
      <c r="FQ2367"/>
      <c r="FR2367"/>
      <c r="FS2367"/>
      <c r="FT2367"/>
      <c r="FU2367"/>
      <c r="FV2367"/>
      <c r="FW2367"/>
      <c r="FX2367"/>
      <c r="FY2367"/>
      <c r="FZ2367"/>
      <c r="GA2367"/>
      <c r="GB2367"/>
      <c r="GC2367"/>
      <c r="GD2367"/>
      <c r="GE2367"/>
      <c r="GF2367"/>
      <c r="GG2367"/>
      <c r="GH2367"/>
      <c r="GI2367"/>
      <c r="GJ2367"/>
      <c r="GK2367"/>
      <c r="GL2367"/>
      <c r="GM2367"/>
      <c r="GN2367"/>
      <c r="GO2367"/>
    </row>
    <row r="2368" spans="107:197">
      <c r="DC2368"/>
      <c r="FH2368"/>
      <c r="FI2368"/>
      <c r="FJ2368"/>
      <c r="FK2368"/>
      <c r="FL2368"/>
      <c r="FM2368"/>
      <c r="FN2368"/>
      <c r="FO2368"/>
      <c r="FP2368"/>
      <c r="FQ2368"/>
      <c r="FR2368"/>
      <c r="FS2368"/>
      <c r="FT2368"/>
      <c r="FU2368"/>
      <c r="FV2368"/>
      <c r="FW2368"/>
      <c r="FX2368"/>
      <c r="FY2368"/>
      <c r="FZ2368"/>
      <c r="GA2368"/>
      <c r="GB2368"/>
      <c r="GC2368"/>
      <c r="GD2368"/>
      <c r="GE2368"/>
      <c r="GF2368"/>
      <c r="GG2368"/>
      <c r="GH2368"/>
      <c r="GI2368"/>
      <c r="GJ2368"/>
      <c r="GK2368"/>
      <c r="GL2368"/>
      <c r="GM2368"/>
      <c r="GN2368"/>
      <c r="GO2368"/>
    </row>
    <row r="2369" spans="107:197">
      <c r="DC2369"/>
      <c r="FH2369"/>
      <c r="FI2369"/>
      <c r="FJ2369"/>
      <c r="FK2369"/>
      <c r="FL2369"/>
      <c r="FM2369"/>
      <c r="FN2369"/>
      <c r="FO2369"/>
      <c r="FP2369"/>
      <c r="FQ2369"/>
      <c r="FR2369"/>
      <c r="FS2369"/>
      <c r="FT2369"/>
      <c r="FU2369"/>
      <c r="FV2369"/>
      <c r="FW2369"/>
      <c r="FX2369"/>
      <c r="FY2369"/>
      <c r="FZ2369"/>
      <c r="GA2369"/>
      <c r="GB2369"/>
      <c r="GC2369"/>
      <c r="GD2369"/>
      <c r="GE2369"/>
      <c r="GF2369"/>
      <c r="GG2369"/>
      <c r="GH2369"/>
      <c r="GI2369"/>
      <c r="GJ2369"/>
      <c r="GK2369"/>
      <c r="GL2369"/>
      <c r="GM2369"/>
      <c r="GN2369"/>
      <c r="GO2369"/>
    </row>
    <row r="2370" spans="107:197">
      <c r="DC2370"/>
      <c r="FH2370"/>
      <c r="FI2370"/>
      <c r="FJ2370"/>
      <c r="FK2370"/>
      <c r="FL2370"/>
      <c r="FM2370"/>
      <c r="FN2370"/>
      <c r="FO2370"/>
      <c r="FP2370"/>
      <c r="FQ2370"/>
      <c r="FR2370"/>
      <c r="FS2370"/>
      <c r="FT2370"/>
      <c r="FU2370"/>
      <c r="FV2370"/>
      <c r="FW2370"/>
      <c r="FX2370"/>
      <c r="FY2370"/>
      <c r="FZ2370"/>
      <c r="GA2370"/>
      <c r="GB2370"/>
      <c r="GC2370"/>
      <c r="GD2370"/>
      <c r="GE2370"/>
      <c r="GF2370"/>
      <c r="GG2370"/>
      <c r="GH2370"/>
      <c r="GI2370"/>
      <c r="GJ2370"/>
      <c r="GK2370"/>
      <c r="GL2370"/>
      <c r="GM2370"/>
      <c r="GN2370"/>
      <c r="GO2370"/>
    </row>
    <row r="2371" spans="107:197">
      <c r="DC2371"/>
      <c r="FH2371"/>
      <c r="FI2371"/>
      <c r="FJ2371"/>
      <c r="FK2371"/>
      <c r="FL2371"/>
      <c r="FM2371"/>
      <c r="FN2371"/>
      <c r="FO2371"/>
      <c r="FP2371"/>
      <c r="FQ2371"/>
      <c r="FR2371"/>
      <c r="FS2371"/>
      <c r="FT2371"/>
      <c r="FU2371"/>
      <c r="FV2371"/>
      <c r="FW2371"/>
      <c r="FX2371"/>
      <c r="FY2371"/>
      <c r="FZ2371"/>
      <c r="GA2371"/>
      <c r="GB2371"/>
      <c r="GC2371"/>
      <c r="GD2371"/>
      <c r="GE2371"/>
      <c r="GF2371"/>
      <c r="GG2371"/>
      <c r="GH2371"/>
      <c r="GI2371"/>
      <c r="GJ2371"/>
      <c r="GK2371"/>
      <c r="GL2371"/>
      <c r="GM2371"/>
      <c r="GN2371"/>
      <c r="GO2371"/>
    </row>
    <row r="2372" spans="107:197">
      <c r="DC2372"/>
      <c r="FH2372"/>
      <c r="FI2372"/>
      <c r="FJ2372"/>
      <c r="FK2372"/>
      <c r="FL2372"/>
      <c r="FM2372"/>
      <c r="FN2372"/>
      <c r="FO2372"/>
      <c r="FP2372"/>
      <c r="FQ2372"/>
      <c r="FR2372"/>
      <c r="FS2372"/>
      <c r="FT2372"/>
      <c r="FU2372"/>
      <c r="FV2372"/>
      <c r="FW2372"/>
      <c r="FX2372"/>
      <c r="FY2372"/>
      <c r="FZ2372"/>
      <c r="GA2372"/>
      <c r="GB2372"/>
      <c r="GC2372"/>
      <c r="GD2372"/>
      <c r="GE2372"/>
      <c r="GF2372"/>
      <c r="GG2372"/>
      <c r="GH2372"/>
      <c r="GI2372"/>
      <c r="GJ2372"/>
      <c r="GK2372"/>
      <c r="GL2372"/>
      <c r="GM2372"/>
      <c r="GN2372"/>
      <c r="GO2372"/>
    </row>
    <row r="2373" spans="107:197">
      <c r="DC2373"/>
      <c r="FH2373"/>
      <c r="FI2373"/>
      <c r="FJ2373"/>
      <c r="FK2373"/>
      <c r="FL2373"/>
      <c r="FM2373"/>
      <c r="FN2373"/>
      <c r="FO2373"/>
      <c r="FP2373"/>
      <c r="FQ2373"/>
      <c r="FR2373"/>
      <c r="FS2373"/>
      <c r="FT2373"/>
      <c r="FU2373"/>
      <c r="FV2373"/>
      <c r="FW2373"/>
      <c r="FX2373"/>
      <c r="FY2373"/>
      <c r="FZ2373"/>
      <c r="GA2373"/>
      <c r="GB2373"/>
      <c r="GC2373"/>
      <c r="GD2373"/>
      <c r="GE2373"/>
      <c r="GF2373"/>
      <c r="GG2373"/>
      <c r="GH2373"/>
      <c r="GI2373"/>
      <c r="GJ2373"/>
      <c r="GK2373"/>
      <c r="GL2373"/>
      <c r="GM2373"/>
      <c r="GN2373"/>
      <c r="GO2373"/>
    </row>
    <row r="2374" spans="107:197">
      <c r="DC2374"/>
      <c r="FH2374"/>
      <c r="FI2374"/>
      <c r="FJ2374"/>
      <c r="FK2374"/>
      <c r="FL2374"/>
      <c r="FM2374"/>
      <c r="FN2374"/>
      <c r="FO2374"/>
      <c r="FP2374"/>
      <c r="FQ2374"/>
      <c r="FR2374"/>
      <c r="FS2374"/>
      <c r="FT2374"/>
      <c r="FU2374"/>
      <c r="FV2374"/>
      <c r="FW2374"/>
      <c r="FX2374"/>
      <c r="FY2374"/>
      <c r="FZ2374"/>
      <c r="GA2374"/>
      <c r="GB2374"/>
      <c r="GC2374"/>
      <c r="GD2374"/>
      <c r="GE2374"/>
      <c r="GF2374"/>
      <c r="GG2374"/>
      <c r="GH2374"/>
      <c r="GI2374"/>
      <c r="GJ2374"/>
      <c r="GK2374"/>
      <c r="GL2374"/>
      <c r="GM2374"/>
      <c r="GN2374"/>
      <c r="GO2374"/>
    </row>
    <row r="2375" spans="107:197">
      <c r="DC2375"/>
      <c r="FH2375"/>
      <c r="FI2375"/>
      <c r="FJ2375"/>
      <c r="FK2375"/>
      <c r="FL2375"/>
      <c r="FM2375"/>
      <c r="FN2375"/>
      <c r="FO2375"/>
      <c r="FP2375"/>
      <c r="FQ2375"/>
      <c r="FR2375"/>
      <c r="FS2375"/>
      <c r="FT2375"/>
      <c r="FU2375"/>
      <c r="FV2375"/>
      <c r="FW2375"/>
      <c r="FX2375"/>
      <c r="FY2375"/>
      <c r="FZ2375"/>
      <c r="GA2375"/>
      <c r="GB2375"/>
      <c r="GC2375"/>
      <c r="GD2375"/>
      <c r="GE2375"/>
      <c r="GF2375"/>
      <c r="GG2375"/>
      <c r="GH2375"/>
      <c r="GI2375"/>
      <c r="GJ2375"/>
      <c r="GK2375"/>
      <c r="GL2375"/>
      <c r="GM2375"/>
      <c r="GN2375"/>
      <c r="GO2375"/>
    </row>
    <row r="2376" spans="107:197">
      <c r="DC2376"/>
      <c r="FH2376"/>
      <c r="FI2376"/>
      <c r="FJ2376"/>
      <c r="FK2376"/>
      <c r="FL2376"/>
      <c r="FM2376"/>
      <c r="FN2376"/>
      <c r="FO2376"/>
      <c r="FP2376"/>
      <c r="FQ2376"/>
      <c r="FR2376"/>
      <c r="FS2376"/>
      <c r="FT2376"/>
      <c r="FU2376"/>
      <c r="FV2376"/>
      <c r="FW2376"/>
      <c r="FX2376"/>
      <c r="FY2376"/>
      <c r="FZ2376"/>
      <c r="GA2376"/>
      <c r="GB2376"/>
      <c r="GC2376"/>
      <c r="GD2376"/>
      <c r="GE2376"/>
      <c r="GF2376"/>
      <c r="GG2376"/>
      <c r="GH2376"/>
      <c r="GI2376"/>
      <c r="GJ2376"/>
      <c r="GK2376"/>
      <c r="GL2376"/>
      <c r="GM2376"/>
      <c r="GN2376"/>
      <c r="GO2376"/>
    </row>
    <row r="2377" spans="107:197">
      <c r="DC2377"/>
      <c r="FH2377"/>
      <c r="FI2377"/>
      <c r="FJ2377"/>
      <c r="FK2377"/>
      <c r="FL2377"/>
      <c r="FM2377"/>
      <c r="FN2377"/>
      <c r="FO2377"/>
      <c r="FP2377"/>
      <c r="FQ2377"/>
      <c r="FR2377"/>
      <c r="FS2377"/>
      <c r="FT2377"/>
      <c r="FU2377"/>
      <c r="FV2377"/>
      <c r="FW2377"/>
      <c r="FX2377"/>
      <c r="FY2377"/>
      <c r="FZ2377"/>
      <c r="GA2377"/>
      <c r="GB2377"/>
      <c r="GC2377"/>
      <c r="GD2377"/>
      <c r="GE2377"/>
      <c r="GF2377"/>
      <c r="GG2377"/>
      <c r="GH2377"/>
      <c r="GI2377"/>
      <c r="GJ2377"/>
      <c r="GK2377"/>
      <c r="GL2377"/>
      <c r="GM2377"/>
      <c r="GN2377"/>
      <c r="GO2377"/>
    </row>
    <row r="2378" spans="107:197">
      <c r="DC2378"/>
      <c r="FH2378"/>
      <c r="FI2378"/>
      <c r="FJ2378"/>
      <c r="FK2378"/>
      <c r="FL2378"/>
      <c r="FM2378"/>
      <c r="FN2378"/>
      <c r="FO2378"/>
      <c r="FP2378"/>
      <c r="FQ2378"/>
      <c r="FR2378"/>
      <c r="FS2378"/>
      <c r="FT2378"/>
      <c r="FU2378"/>
      <c r="FV2378"/>
      <c r="FW2378"/>
      <c r="FX2378"/>
      <c r="FY2378"/>
      <c r="FZ2378"/>
      <c r="GA2378"/>
      <c r="GB2378"/>
      <c r="GC2378"/>
      <c r="GD2378"/>
      <c r="GE2378"/>
      <c r="GF2378"/>
      <c r="GG2378"/>
      <c r="GH2378"/>
      <c r="GI2378"/>
      <c r="GJ2378"/>
      <c r="GK2378"/>
      <c r="GL2378"/>
      <c r="GM2378"/>
      <c r="GN2378"/>
      <c r="GO2378"/>
    </row>
    <row r="2379" spans="107:197">
      <c r="DC2379"/>
      <c r="FH2379"/>
      <c r="FI2379"/>
      <c r="FJ2379"/>
      <c r="FK2379"/>
      <c r="FL2379"/>
      <c r="FM2379"/>
      <c r="FN2379"/>
      <c r="FO2379"/>
      <c r="FP2379"/>
      <c r="FQ2379"/>
      <c r="FR2379"/>
      <c r="FS2379"/>
      <c r="FT2379"/>
      <c r="FU2379"/>
      <c r="FV2379"/>
      <c r="FW2379"/>
      <c r="FX2379"/>
      <c r="FY2379"/>
      <c r="FZ2379"/>
      <c r="GA2379"/>
      <c r="GB2379"/>
      <c r="GC2379"/>
      <c r="GD2379"/>
      <c r="GE2379"/>
      <c r="GF2379"/>
      <c r="GG2379"/>
      <c r="GH2379"/>
      <c r="GI2379"/>
      <c r="GJ2379"/>
      <c r="GK2379"/>
      <c r="GL2379"/>
      <c r="GM2379"/>
      <c r="GN2379"/>
      <c r="GO2379"/>
    </row>
    <row r="2380" spans="107:197">
      <c r="DC2380"/>
      <c r="FH2380"/>
      <c r="FI2380"/>
      <c r="FJ2380"/>
      <c r="FK2380"/>
      <c r="FL2380"/>
      <c r="FM2380"/>
      <c r="FN2380"/>
      <c r="FO2380"/>
      <c r="FP2380"/>
      <c r="FQ2380"/>
      <c r="FR2380"/>
      <c r="FS2380"/>
      <c r="FT2380"/>
      <c r="FU2380"/>
      <c r="FV2380"/>
      <c r="FW2380"/>
      <c r="FX2380"/>
      <c r="FY2380"/>
      <c r="FZ2380"/>
      <c r="GA2380"/>
      <c r="GB2380"/>
      <c r="GC2380"/>
      <c r="GD2380"/>
      <c r="GE2380"/>
      <c r="GF2380"/>
      <c r="GG2380"/>
      <c r="GH2380"/>
      <c r="GI2380"/>
      <c r="GJ2380"/>
      <c r="GK2380"/>
      <c r="GL2380"/>
      <c r="GM2380"/>
      <c r="GN2380"/>
      <c r="GO2380"/>
    </row>
    <row r="2381" spans="107:197">
      <c r="DC2381"/>
      <c r="FH2381"/>
      <c r="FI2381"/>
      <c r="FJ2381"/>
      <c r="FK2381"/>
      <c r="FL2381"/>
      <c r="FM2381"/>
      <c r="FN2381"/>
      <c r="FO2381"/>
      <c r="FP2381"/>
      <c r="FQ2381"/>
      <c r="FR2381"/>
      <c r="FS2381"/>
      <c r="FT2381"/>
      <c r="FU2381"/>
      <c r="FV2381"/>
      <c r="FW2381"/>
      <c r="FX2381"/>
      <c r="FY2381"/>
      <c r="FZ2381"/>
      <c r="GA2381"/>
      <c r="GB2381"/>
      <c r="GC2381"/>
      <c r="GD2381"/>
      <c r="GE2381"/>
      <c r="GF2381"/>
      <c r="GG2381"/>
      <c r="GH2381"/>
      <c r="GI2381"/>
      <c r="GJ2381"/>
      <c r="GK2381"/>
      <c r="GL2381"/>
      <c r="GM2381"/>
      <c r="GN2381"/>
      <c r="GO2381"/>
    </row>
    <row r="2382" spans="107:197">
      <c r="DC2382"/>
      <c r="FH2382"/>
      <c r="FI2382"/>
      <c r="FJ2382"/>
      <c r="FK2382"/>
      <c r="FL2382"/>
      <c r="FM2382"/>
      <c r="FN2382"/>
      <c r="FO2382"/>
      <c r="FP2382"/>
      <c r="FQ2382"/>
      <c r="FR2382"/>
      <c r="FS2382"/>
      <c r="FT2382"/>
      <c r="FU2382"/>
      <c r="FV2382"/>
      <c r="FW2382"/>
      <c r="FX2382"/>
      <c r="FY2382"/>
      <c r="FZ2382"/>
      <c r="GA2382"/>
      <c r="GB2382"/>
      <c r="GC2382"/>
      <c r="GD2382"/>
      <c r="GE2382"/>
      <c r="GF2382"/>
      <c r="GG2382"/>
      <c r="GH2382"/>
      <c r="GI2382"/>
      <c r="GJ2382"/>
      <c r="GK2382"/>
      <c r="GL2382"/>
      <c r="GM2382"/>
      <c r="GN2382"/>
      <c r="GO2382"/>
    </row>
    <row r="2383" spans="107:197">
      <c r="DC2383"/>
      <c r="FH2383"/>
      <c r="FI2383"/>
      <c r="FJ2383"/>
      <c r="FK2383"/>
      <c r="FL2383"/>
      <c r="FM2383"/>
      <c r="FN2383"/>
      <c r="FO2383"/>
      <c r="FP2383"/>
      <c r="FQ2383"/>
      <c r="FR2383"/>
      <c r="FS2383"/>
      <c r="FT2383"/>
      <c r="FU2383"/>
      <c r="FV2383"/>
      <c r="FW2383"/>
      <c r="FX2383"/>
      <c r="FY2383"/>
      <c r="FZ2383"/>
      <c r="GA2383"/>
      <c r="GB2383"/>
      <c r="GC2383"/>
      <c r="GD2383"/>
      <c r="GE2383"/>
      <c r="GF2383"/>
      <c r="GG2383"/>
      <c r="GH2383"/>
      <c r="GI2383"/>
      <c r="GJ2383"/>
      <c r="GK2383"/>
      <c r="GL2383"/>
      <c r="GM2383"/>
      <c r="GN2383"/>
      <c r="GO2383"/>
    </row>
    <row r="2384" spans="107:197">
      <c r="DC2384"/>
      <c r="FH2384"/>
      <c r="FI2384"/>
      <c r="FJ2384"/>
      <c r="FK2384"/>
      <c r="FL2384"/>
      <c r="FM2384"/>
      <c r="FN2384"/>
      <c r="FO2384"/>
      <c r="FP2384"/>
      <c r="FQ2384"/>
      <c r="FR2384"/>
      <c r="FS2384"/>
      <c r="FT2384"/>
      <c r="FU2384"/>
      <c r="FV2384"/>
      <c r="FW2384"/>
      <c r="FX2384"/>
      <c r="FY2384"/>
      <c r="FZ2384"/>
      <c r="GA2384"/>
      <c r="GB2384"/>
      <c r="GC2384"/>
      <c r="GD2384"/>
      <c r="GE2384"/>
      <c r="GF2384"/>
      <c r="GG2384"/>
      <c r="GH2384"/>
      <c r="GI2384"/>
      <c r="GJ2384"/>
      <c r="GK2384"/>
      <c r="GL2384"/>
      <c r="GM2384"/>
      <c r="GN2384"/>
      <c r="GO2384"/>
    </row>
    <row r="2385" spans="107:197">
      <c r="DC2385"/>
      <c r="FH2385"/>
      <c r="FI2385"/>
      <c r="FJ2385"/>
      <c r="FK2385"/>
      <c r="FL2385"/>
      <c r="FM2385"/>
      <c r="FN2385"/>
      <c r="FO2385"/>
      <c r="FP2385"/>
      <c r="FQ2385"/>
      <c r="FR2385"/>
      <c r="FS2385"/>
      <c r="FT2385"/>
      <c r="FU2385"/>
      <c r="FV2385"/>
      <c r="FW2385"/>
      <c r="FX2385"/>
      <c r="FY2385"/>
      <c r="FZ2385"/>
      <c r="GA2385"/>
      <c r="GB2385"/>
      <c r="GC2385"/>
      <c r="GD2385"/>
      <c r="GE2385"/>
      <c r="GF2385"/>
      <c r="GG2385"/>
      <c r="GH2385"/>
      <c r="GI2385"/>
      <c r="GJ2385"/>
      <c r="GK2385"/>
      <c r="GL2385"/>
      <c r="GM2385"/>
      <c r="GN2385"/>
      <c r="GO2385"/>
    </row>
    <row r="2386" spans="107:197">
      <c r="DC2386"/>
      <c r="FH2386"/>
      <c r="FI2386"/>
      <c r="FJ2386"/>
      <c r="FK2386"/>
      <c r="FL2386"/>
      <c r="FM2386"/>
      <c r="FN2386"/>
      <c r="FO2386"/>
      <c r="FP2386"/>
      <c r="FQ2386"/>
      <c r="FR2386"/>
      <c r="FS2386"/>
      <c r="FT2386"/>
      <c r="FU2386"/>
      <c r="FV2386"/>
      <c r="FW2386"/>
      <c r="FX2386"/>
      <c r="FY2386"/>
      <c r="FZ2386"/>
      <c r="GA2386"/>
      <c r="GB2386"/>
      <c r="GC2386"/>
      <c r="GD2386"/>
      <c r="GE2386"/>
      <c r="GF2386"/>
      <c r="GG2386"/>
      <c r="GH2386"/>
      <c r="GI2386"/>
      <c r="GJ2386"/>
      <c r="GK2386"/>
      <c r="GL2386"/>
      <c r="GM2386"/>
      <c r="GN2386"/>
      <c r="GO2386"/>
    </row>
    <row r="2387" spans="107:197">
      <c r="DC2387"/>
      <c r="FH2387"/>
      <c r="FI2387"/>
      <c r="FJ2387"/>
      <c r="FK2387"/>
      <c r="FL2387"/>
      <c r="FM2387"/>
      <c r="FN2387"/>
      <c r="FO2387"/>
      <c r="FP2387"/>
      <c r="FQ2387"/>
      <c r="FR2387"/>
      <c r="FS2387"/>
      <c r="FT2387"/>
      <c r="FU2387"/>
      <c r="FV2387"/>
      <c r="FW2387"/>
      <c r="FX2387"/>
      <c r="FY2387"/>
      <c r="FZ2387"/>
      <c r="GA2387"/>
      <c r="GB2387"/>
      <c r="GC2387"/>
      <c r="GD2387"/>
      <c r="GE2387"/>
      <c r="GF2387"/>
      <c r="GG2387"/>
      <c r="GH2387"/>
      <c r="GI2387"/>
      <c r="GJ2387"/>
      <c r="GK2387"/>
      <c r="GL2387"/>
      <c r="GM2387"/>
      <c r="GN2387"/>
      <c r="GO2387"/>
    </row>
    <row r="2388" spans="107:197">
      <c r="DC2388"/>
      <c r="FH2388"/>
      <c r="FI2388"/>
      <c r="FJ2388"/>
      <c r="FK2388"/>
      <c r="FL2388"/>
      <c r="FM2388"/>
      <c r="FN2388"/>
      <c r="FO2388"/>
      <c r="FP2388"/>
      <c r="FQ2388"/>
      <c r="FR2388"/>
      <c r="FS2388"/>
      <c r="FT2388"/>
      <c r="FU2388"/>
      <c r="FV2388"/>
      <c r="FW2388"/>
      <c r="FX2388"/>
      <c r="FY2388"/>
      <c r="FZ2388"/>
      <c r="GA2388"/>
      <c r="GB2388"/>
      <c r="GC2388"/>
      <c r="GD2388"/>
      <c r="GE2388"/>
      <c r="GF2388"/>
      <c r="GG2388"/>
      <c r="GH2388"/>
      <c r="GI2388"/>
      <c r="GJ2388"/>
      <c r="GK2388"/>
      <c r="GL2388"/>
      <c r="GM2388"/>
      <c r="GN2388"/>
      <c r="GO2388"/>
    </row>
    <row r="2389" spans="107:197">
      <c r="DC2389"/>
      <c r="FH2389"/>
      <c r="FI2389"/>
      <c r="FJ2389"/>
      <c r="FK2389"/>
      <c r="FL2389"/>
      <c r="FM2389"/>
      <c r="FN2389"/>
      <c r="FO2389"/>
      <c r="FP2389"/>
      <c r="FQ2389"/>
      <c r="FR2389"/>
      <c r="FS2389"/>
      <c r="FT2389"/>
      <c r="FU2389"/>
      <c r="FV2389"/>
      <c r="FW2389"/>
      <c r="FX2389"/>
      <c r="FY2389"/>
      <c r="FZ2389"/>
      <c r="GA2389"/>
      <c r="GB2389"/>
      <c r="GC2389"/>
      <c r="GD2389"/>
      <c r="GE2389"/>
      <c r="GF2389"/>
      <c r="GG2389"/>
      <c r="GH2389"/>
      <c r="GI2389"/>
      <c r="GJ2389"/>
      <c r="GK2389"/>
      <c r="GL2389"/>
      <c r="GM2389"/>
      <c r="GN2389"/>
      <c r="GO2389"/>
    </row>
    <row r="2390" spans="107:197">
      <c r="DC2390"/>
      <c r="FH2390"/>
      <c r="FI2390"/>
      <c r="FJ2390"/>
      <c r="FK2390"/>
      <c r="FL2390"/>
      <c r="FM2390"/>
      <c r="FN2390"/>
      <c r="FO2390"/>
      <c r="FP2390"/>
      <c r="FQ2390"/>
      <c r="FR2390"/>
      <c r="FS2390"/>
      <c r="FT2390"/>
      <c r="FU2390"/>
      <c r="FV2390"/>
      <c r="FW2390"/>
      <c r="FX2390"/>
      <c r="FY2390"/>
      <c r="FZ2390"/>
      <c r="GA2390"/>
      <c r="GB2390"/>
      <c r="GC2390"/>
      <c r="GD2390"/>
      <c r="GE2390"/>
      <c r="GF2390"/>
      <c r="GG2390"/>
      <c r="GH2390"/>
      <c r="GI2390"/>
      <c r="GJ2390"/>
      <c r="GK2390"/>
      <c r="GL2390"/>
      <c r="GM2390"/>
      <c r="GN2390"/>
      <c r="GO2390"/>
    </row>
    <row r="2391" spans="107:197">
      <c r="DC2391"/>
      <c r="FH2391"/>
      <c r="FI2391"/>
      <c r="FJ2391"/>
      <c r="FK2391"/>
      <c r="FL2391"/>
      <c r="FM2391"/>
      <c r="FN2391"/>
      <c r="FO2391"/>
      <c r="FP2391"/>
      <c r="FQ2391"/>
      <c r="FR2391"/>
      <c r="FS2391"/>
      <c r="FT2391"/>
      <c r="FU2391"/>
      <c r="FV2391"/>
      <c r="FW2391"/>
      <c r="FX2391"/>
      <c r="FY2391"/>
      <c r="FZ2391"/>
      <c r="GA2391"/>
      <c r="GB2391"/>
      <c r="GC2391"/>
      <c r="GD2391"/>
      <c r="GE2391"/>
      <c r="GF2391"/>
      <c r="GG2391"/>
      <c r="GH2391"/>
      <c r="GI2391"/>
      <c r="GJ2391"/>
      <c r="GK2391"/>
      <c r="GL2391"/>
      <c r="GM2391"/>
      <c r="GN2391"/>
      <c r="GO2391"/>
    </row>
    <row r="2392" spans="107:197">
      <c r="DC2392"/>
      <c r="FH2392"/>
      <c r="FI2392"/>
      <c r="FJ2392"/>
      <c r="FK2392"/>
      <c r="FL2392"/>
      <c r="FM2392"/>
      <c r="FN2392"/>
      <c r="FO2392"/>
      <c r="FP2392"/>
      <c r="FQ2392"/>
      <c r="FR2392"/>
      <c r="FS2392"/>
      <c r="FT2392"/>
      <c r="FU2392"/>
      <c r="FV2392"/>
      <c r="FW2392"/>
      <c r="FX2392"/>
      <c r="FY2392"/>
      <c r="FZ2392"/>
      <c r="GA2392"/>
      <c r="GB2392"/>
      <c r="GC2392"/>
      <c r="GD2392"/>
      <c r="GE2392"/>
      <c r="GF2392"/>
      <c r="GG2392"/>
      <c r="GH2392"/>
      <c r="GI2392"/>
      <c r="GJ2392"/>
      <c r="GK2392"/>
      <c r="GL2392"/>
      <c r="GM2392"/>
      <c r="GN2392"/>
      <c r="GO2392"/>
    </row>
    <row r="2393" spans="107:197">
      <c r="DC2393"/>
      <c r="FH2393"/>
      <c r="FI2393"/>
      <c r="FJ2393"/>
      <c r="FK2393"/>
      <c r="FL2393"/>
      <c r="FM2393"/>
      <c r="FN2393"/>
      <c r="FO2393"/>
      <c r="FP2393"/>
      <c r="FQ2393"/>
      <c r="FR2393"/>
      <c r="FS2393"/>
      <c r="FT2393"/>
      <c r="FU2393"/>
      <c r="FV2393"/>
      <c r="FW2393"/>
      <c r="FX2393"/>
      <c r="FY2393"/>
      <c r="FZ2393"/>
      <c r="GA2393"/>
      <c r="GB2393"/>
      <c r="GC2393"/>
      <c r="GD2393"/>
      <c r="GE2393"/>
      <c r="GF2393"/>
      <c r="GG2393"/>
      <c r="GH2393"/>
      <c r="GI2393"/>
      <c r="GJ2393"/>
      <c r="GK2393"/>
      <c r="GL2393"/>
      <c r="GM2393"/>
      <c r="GN2393"/>
      <c r="GO2393"/>
    </row>
    <row r="2394" spans="107:197">
      <c r="DC2394"/>
      <c r="FH2394"/>
      <c r="FI2394"/>
      <c r="FJ2394"/>
      <c r="FK2394"/>
      <c r="FL2394"/>
      <c r="FM2394"/>
      <c r="FN2394"/>
      <c r="FO2394"/>
      <c r="FP2394"/>
      <c r="FQ2394"/>
      <c r="FR2394"/>
      <c r="FS2394"/>
      <c r="FT2394"/>
      <c r="FU2394"/>
      <c r="FV2394"/>
      <c r="FW2394"/>
      <c r="FX2394"/>
      <c r="FY2394"/>
      <c r="FZ2394"/>
      <c r="GA2394"/>
      <c r="GB2394"/>
      <c r="GC2394"/>
      <c r="GD2394"/>
      <c r="GE2394"/>
      <c r="GF2394"/>
      <c r="GG2394"/>
      <c r="GH2394"/>
      <c r="GI2394"/>
      <c r="GJ2394"/>
      <c r="GK2394"/>
      <c r="GL2394"/>
      <c r="GM2394"/>
      <c r="GN2394"/>
      <c r="GO2394"/>
    </row>
    <row r="2395" spans="107:197">
      <c r="DC2395"/>
      <c r="FH2395"/>
      <c r="FI2395"/>
      <c r="FJ2395"/>
      <c r="FK2395"/>
      <c r="FL2395"/>
      <c r="FM2395"/>
      <c r="FN2395"/>
      <c r="FO2395"/>
      <c r="FP2395"/>
      <c r="FQ2395"/>
      <c r="FR2395"/>
      <c r="FS2395"/>
      <c r="FT2395"/>
      <c r="FU2395"/>
      <c r="FV2395"/>
      <c r="FW2395"/>
      <c r="FX2395"/>
      <c r="FY2395"/>
      <c r="FZ2395"/>
      <c r="GA2395"/>
      <c r="GB2395"/>
      <c r="GC2395"/>
      <c r="GD2395"/>
      <c r="GE2395"/>
      <c r="GF2395"/>
      <c r="GG2395"/>
      <c r="GH2395"/>
      <c r="GI2395"/>
      <c r="GJ2395"/>
      <c r="GK2395"/>
      <c r="GL2395"/>
      <c r="GM2395"/>
      <c r="GN2395"/>
      <c r="GO2395"/>
    </row>
    <row r="2396" spans="107:197">
      <c r="DC2396"/>
      <c r="FH2396"/>
      <c r="FI2396"/>
      <c r="FJ2396"/>
      <c r="FK2396"/>
      <c r="FL2396"/>
      <c r="FM2396"/>
      <c r="FN2396"/>
      <c r="FO2396"/>
      <c r="FP2396"/>
      <c r="FQ2396"/>
      <c r="FR2396"/>
      <c r="FS2396"/>
      <c r="FT2396"/>
      <c r="FU2396"/>
      <c r="FV2396"/>
      <c r="FW2396"/>
      <c r="FX2396"/>
      <c r="FY2396"/>
      <c r="FZ2396"/>
      <c r="GA2396"/>
      <c r="GB2396"/>
      <c r="GC2396"/>
      <c r="GD2396"/>
      <c r="GE2396"/>
      <c r="GF2396"/>
      <c r="GG2396"/>
      <c r="GH2396"/>
      <c r="GI2396"/>
      <c r="GJ2396"/>
      <c r="GK2396"/>
      <c r="GL2396"/>
      <c r="GM2396"/>
      <c r="GN2396"/>
      <c r="GO2396"/>
    </row>
    <row r="2397" spans="107:197">
      <c r="DC2397"/>
      <c r="FH2397"/>
      <c r="FI2397"/>
      <c r="FJ2397"/>
      <c r="FK2397"/>
      <c r="FL2397"/>
      <c r="FM2397"/>
      <c r="FN2397"/>
      <c r="FO2397"/>
      <c r="FP2397"/>
      <c r="FQ2397"/>
      <c r="FR2397"/>
      <c r="FS2397"/>
      <c r="FT2397"/>
      <c r="FU2397"/>
      <c r="FV2397"/>
      <c r="FW2397"/>
      <c r="FX2397"/>
      <c r="FY2397"/>
      <c r="FZ2397"/>
      <c r="GA2397"/>
      <c r="GB2397"/>
      <c r="GC2397"/>
      <c r="GD2397"/>
      <c r="GE2397"/>
      <c r="GF2397"/>
      <c r="GG2397"/>
      <c r="GH2397"/>
      <c r="GI2397"/>
      <c r="GJ2397"/>
      <c r="GK2397"/>
      <c r="GL2397"/>
      <c r="GM2397"/>
      <c r="GN2397"/>
      <c r="GO2397"/>
    </row>
    <row r="2398" spans="107:197">
      <c r="DC2398"/>
      <c r="FH2398"/>
      <c r="FI2398"/>
      <c r="FJ2398"/>
      <c r="FK2398"/>
      <c r="FL2398"/>
      <c r="FM2398"/>
      <c r="FN2398"/>
      <c r="FO2398"/>
      <c r="FP2398"/>
      <c r="FQ2398"/>
      <c r="FR2398"/>
      <c r="FS2398"/>
      <c r="FT2398"/>
      <c r="FU2398"/>
      <c r="FV2398"/>
      <c r="FW2398"/>
      <c r="FX2398"/>
      <c r="FY2398"/>
      <c r="FZ2398"/>
      <c r="GA2398"/>
      <c r="GB2398"/>
      <c r="GC2398"/>
      <c r="GD2398"/>
      <c r="GE2398"/>
      <c r="GF2398"/>
      <c r="GG2398"/>
      <c r="GH2398"/>
      <c r="GI2398"/>
      <c r="GJ2398"/>
      <c r="GK2398"/>
      <c r="GL2398"/>
      <c r="GM2398"/>
      <c r="GN2398"/>
      <c r="GO2398"/>
    </row>
    <row r="2399" spans="107:197">
      <c r="DC2399"/>
      <c r="FH2399"/>
      <c r="FI2399"/>
      <c r="FJ2399"/>
      <c r="FK2399"/>
      <c r="FL2399"/>
      <c r="FM2399"/>
      <c r="FN2399"/>
      <c r="FO2399"/>
      <c r="FP2399"/>
      <c r="FQ2399"/>
      <c r="FR2399"/>
      <c r="FS2399"/>
      <c r="FT2399"/>
      <c r="FU2399"/>
      <c r="FV2399"/>
      <c r="FW2399"/>
      <c r="FX2399"/>
      <c r="FY2399"/>
      <c r="FZ2399"/>
      <c r="GA2399"/>
      <c r="GB2399"/>
      <c r="GC2399"/>
      <c r="GD2399"/>
      <c r="GE2399"/>
      <c r="GF2399"/>
      <c r="GG2399"/>
      <c r="GH2399"/>
      <c r="GI2399"/>
      <c r="GJ2399"/>
      <c r="GK2399"/>
      <c r="GL2399"/>
      <c r="GM2399"/>
      <c r="GN2399"/>
      <c r="GO2399"/>
    </row>
    <row r="2400" spans="107:197">
      <c r="DC2400"/>
      <c r="FH2400"/>
      <c r="FI2400"/>
      <c r="FJ2400"/>
      <c r="FK2400"/>
      <c r="FL2400"/>
      <c r="FM2400"/>
      <c r="FN2400"/>
      <c r="FO2400"/>
      <c r="FP2400"/>
      <c r="FQ2400"/>
      <c r="FR2400"/>
      <c r="FS2400"/>
      <c r="FT2400"/>
      <c r="FU2400"/>
      <c r="FV2400"/>
      <c r="FW2400"/>
      <c r="FX2400"/>
      <c r="FY2400"/>
      <c r="FZ2400"/>
      <c r="GA2400"/>
      <c r="GB2400"/>
      <c r="GC2400"/>
      <c r="GD2400"/>
      <c r="GE2400"/>
      <c r="GF2400"/>
      <c r="GG2400"/>
      <c r="GH2400"/>
      <c r="GI2400"/>
      <c r="GJ2400"/>
      <c r="GK2400"/>
      <c r="GL2400"/>
      <c r="GM2400"/>
      <c r="GN2400"/>
      <c r="GO2400"/>
    </row>
    <row r="2401" spans="107:197">
      <c r="DC2401"/>
      <c r="FH2401"/>
      <c r="FI2401"/>
      <c r="FJ2401"/>
      <c r="FK2401"/>
      <c r="FL2401"/>
      <c r="FM2401"/>
      <c r="FN2401"/>
      <c r="FO2401"/>
      <c r="FP2401"/>
      <c r="FQ2401"/>
      <c r="FR2401"/>
      <c r="FS2401"/>
      <c r="FT2401"/>
      <c r="FU2401"/>
      <c r="FV2401"/>
      <c r="FW2401"/>
      <c r="FX2401"/>
      <c r="FY2401"/>
      <c r="FZ2401"/>
      <c r="GA2401"/>
      <c r="GB2401"/>
      <c r="GC2401"/>
      <c r="GD2401"/>
      <c r="GE2401"/>
      <c r="GF2401"/>
      <c r="GG2401"/>
      <c r="GH2401"/>
      <c r="GI2401"/>
      <c r="GJ2401"/>
      <c r="GK2401"/>
      <c r="GL2401"/>
      <c r="GM2401"/>
      <c r="GN2401"/>
      <c r="GO2401"/>
    </row>
    <row r="2402" spans="107:197">
      <c r="DC2402"/>
      <c r="FH2402"/>
      <c r="FI2402"/>
      <c r="FJ2402"/>
      <c r="FK2402"/>
      <c r="FL2402"/>
      <c r="FM2402"/>
      <c r="FN2402"/>
      <c r="FO2402"/>
      <c r="FP2402"/>
      <c r="FQ2402"/>
      <c r="FR2402"/>
      <c r="FS2402"/>
      <c r="FT2402"/>
      <c r="FU2402"/>
      <c r="FV2402"/>
      <c r="FW2402"/>
      <c r="FX2402"/>
      <c r="FY2402"/>
      <c r="FZ2402"/>
      <c r="GA2402"/>
      <c r="GB2402"/>
      <c r="GC2402"/>
      <c r="GD2402"/>
      <c r="GE2402"/>
      <c r="GF2402"/>
      <c r="GG2402"/>
      <c r="GH2402"/>
      <c r="GI2402"/>
      <c r="GJ2402"/>
      <c r="GK2402"/>
      <c r="GL2402"/>
      <c r="GM2402"/>
      <c r="GN2402"/>
      <c r="GO2402"/>
    </row>
    <row r="2403" spans="107:197">
      <c r="DC2403"/>
      <c r="FH2403"/>
      <c r="FI2403"/>
      <c r="FJ2403"/>
      <c r="FK2403"/>
      <c r="FL2403"/>
      <c r="FM2403"/>
      <c r="FN2403"/>
      <c r="FO2403"/>
      <c r="FP2403"/>
      <c r="FQ2403"/>
      <c r="FR2403"/>
      <c r="FS2403"/>
      <c r="FT2403"/>
      <c r="FU2403"/>
      <c r="FV2403"/>
      <c r="FW2403"/>
      <c r="FX2403"/>
      <c r="FY2403"/>
      <c r="FZ2403"/>
      <c r="GA2403"/>
      <c r="GB2403"/>
      <c r="GC2403"/>
      <c r="GD2403"/>
      <c r="GE2403"/>
      <c r="GF2403"/>
      <c r="GG2403"/>
      <c r="GH2403"/>
      <c r="GI2403"/>
      <c r="GJ2403"/>
      <c r="GK2403"/>
      <c r="GL2403"/>
      <c r="GM2403"/>
      <c r="GN2403"/>
      <c r="GO2403"/>
    </row>
    <row r="2404" spans="107:197">
      <c r="DC2404"/>
      <c r="FH2404"/>
      <c r="FI2404"/>
      <c r="FJ2404"/>
      <c r="FK2404"/>
      <c r="FL2404"/>
      <c r="FM2404"/>
      <c r="FN2404"/>
      <c r="FO2404"/>
      <c r="FP2404"/>
      <c r="FQ2404"/>
      <c r="FR2404"/>
      <c r="FS2404"/>
      <c r="FT2404"/>
      <c r="FU2404"/>
      <c r="FV2404"/>
      <c r="FW2404"/>
      <c r="FX2404"/>
      <c r="FY2404"/>
      <c r="FZ2404"/>
      <c r="GA2404"/>
      <c r="GB2404"/>
      <c r="GC2404"/>
      <c r="GD2404"/>
      <c r="GE2404"/>
      <c r="GF2404"/>
      <c r="GG2404"/>
      <c r="GH2404"/>
      <c r="GI2404"/>
      <c r="GJ2404"/>
      <c r="GK2404"/>
      <c r="GL2404"/>
      <c r="GM2404"/>
      <c r="GN2404"/>
      <c r="GO2404"/>
    </row>
    <row r="2405" spans="107:197">
      <c r="DC2405"/>
      <c r="FH2405"/>
      <c r="FI2405"/>
      <c r="FJ2405"/>
      <c r="FK2405"/>
      <c r="FL2405"/>
      <c r="FM2405"/>
      <c r="FN2405"/>
      <c r="FO2405"/>
      <c r="FP2405"/>
      <c r="FQ2405"/>
      <c r="FR2405"/>
      <c r="FS2405"/>
      <c r="FT2405"/>
      <c r="FU2405"/>
      <c r="FV2405"/>
      <c r="FW2405"/>
      <c r="FX2405"/>
      <c r="FY2405"/>
      <c r="FZ2405"/>
      <c r="GA2405"/>
      <c r="GB2405"/>
      <c r="GC2405"/>
      <c r="GD2405"/>
      <c r="GE2405"/>
      <c r="GF2405"/>
      <c r="GG2405"/>
      <c r="GH2405"/>
      <c r="GI2405"/>
      <c r="GJ2405"/>
      <c r="GK2405"/>
      <c r="GL2405"/>
      <c r="GM2405"/>
      <c r="GN2405"/>
      <c r="GO2405"/>
    </row>
    <row r="2406" spans="107:197">
      <c r="DC2406"/>
      <c r="FH2406"/>
      <c r="FI2406"/>
      <c r="FJ2406"/>
      <c r="FK2406"/>
      <c r="FL2406"/>
      <c r="FM2406"/>
      <c r="FN2406"/>
      <c r="FO2406"/>
      <c r="FP2406"/>
      <c r="FQ2406"/>
      <c r="FR2406"/>
      <c r="FS2406"/>
      <c r="FT2406"/>
      <c r="FU2406"/>
      <c r="FV2406"/>
      <c r="FW2406"/>
      <c r="FX2406"/>
      <c r="FY2406"/>
      <c r="FZ2406"/>
      <c r="GA2406"/>
      <c r="GB2406"/>
      <c r="GC2406"/>
      <c r="GD2406"/>
      <c r="GE2406"/>
      <c r="GF2406"/>
      <c r="GG2406"/>
      <c r="GH2406"/>
      <c r="GI2406"/>
      <c r="GJ2406"/>
      <c r="GK2406"/>
      <c r="GL2406"/>
      <c r="GM2406"/>
      <c r="GN2406"/>
      <c r="GO2406"/>
    </row>
    <row r="2407" spans="107:197">
      <c r="DC2407"/>
      <c r="FH2407"/>
      <c r="FI2407"/>
      <c r="FJ2407"/>
      <c r="FK2407"/>
      <c r="FL2407"/>
      <c r="FM2407"/>
      <c r="FN2407"/>
      <c r="FO2407"/>
      <c r="FP2407"/>
      <c r="FQ2407"/>
      <c r="FR2407"/>
      <c r="FS2407"/>
      <c r="FT2407"/>
      <c r="FU2407"/>
      <c r="FV2407"/>
      <c r="FW2407"/>
      <c r="FX2407"/>
      <c r="FY2407"/>
      <c r="FZ2407"/>
      <c r="GA2407"/>
      <c r="GB2407"/>
      <c r="GC2407"/>
      <c r="GD2407"/>
      <c r="GE2407"/>
      <c r="GF2407"/>
      <c r="GG2407"/>
      <c r="GH2407"/>
      <c r="GI2407"/>
      <c r="GJ2407"/>
      <c r="GK2407"/>
      <c r="GL2407"/>
      <c r="GM2407"/>
      <c r="GN2407"/>
      <c r="GO2407"/>
    </row>
    <row r="2408" spans="107:197">
      <c r="DC2408"/>
      <c r="FH2408"/>
      <c r="FI2408"/>
      <c r="FJ2408"/>
      <c r="FK2408"/>
      <c r="FL2408"/>
      <c r="FM2408"/>
      <c r="FN2408"/>
      <c r="FO2408"/>
      <c r="FP2408"/>
      <c r="FQ2408"/>
      <c r="FR2408"/>
      <c r="FS2408"/>
      <c r="FT2408"/>
      <c r="FU2408"/>
      <c r="FV2408"/>
      <c r="FW2408"/>
      <c r="FX2408"/>
      <c r="FY2408"/>
      <c r="FZ2408"/>
      <c r="GA2408"/>
      <c r="GB2408"/>
      <c r="GC2408"/>
      <c r="GD2408"/>
      <c r="GE2408"/>
      <c r="GF2408"/>
      <c r="GG2408"/>
      <c r="GH2408"/>
      <c r="GI2408"/>
      <c r="GJ2408"/>
      <c r="GK2408"/>
      <c r="GL2408"/>
      <c r="GM2408"/>
      <c r="GN2408"/>
      <c r="GO2408"/>
    </row>
    <row r="2409" spans="107:197">
      <c r="DC2409"/>
      <c r="FH2409"/>
      <c r="FI2409"/>
      <c r="FJ2409"/>
      <c r="FK2409"/>
      <c r="FL2409"/>
      <c r="FM2409"/>
      <c r="FN2409"/>
      <c r="FO2409"/>
      <c r="FP2409"/>
      <c r="FQ2409"/>
      <c r="FR2409"/>
      <c r="FS2409"/>
      <c r="FT2409"/>
      <c r="FU2409"/>
      <c r="FV2409"/>
      <c r="FW2409"/>
      <c r="FX2409"/>
      <c r="FY2409"/>
      <c r="FZ2409"/>
      <c r="GA2409"/>
      <c r="GB2409"/>
      <c r="GC2409"/>
      <c r="GD2409"/>
      <c r="GE2409"/>
      <c r="GF2409"/>
      <c r="GG2409"/>
      <c r="GH2409"/>
      <c r="GI2409"/>
      <c r="GJ2409"/>
      <c r="GK2409"/>
      <c r="GL2409"/>
      <c r="GM2409"/>
      <c r="GN2409"/>
      <c r="GO2409"/>
    </row>
    <row r="2410" spans="107:197">
      <c r="DC2410"/>
      <c r="FH2410"/>
      <c r="FI2410"/>
      <c r="FJ2410"/>
      <c r="FK2410"/>
      <c r="FL2410"/>
      <c r="FM2410"/>
      <c r="FN2410"/>
      <c r="FO2410"/>
      <c r="FP2410"/>
      <c r="FQ2410"/>
      <c r="FR2410"/>
      <c r="FS2410"/>
      <c r="FT2410"/>
      <c r="FU2410"/>
      <c r="FV2410"/>
      <c r="FW2410"/>
      <c r="FX2410"/>
      <c r="FY2410"/>
      <c r="FZ2410"/>
      <c r="GA2410"/>
      <c r="GB2410"/>
      <c r="GC2410"/>
      <c r="GD2410"/>
      <c r="GE2410"/>
      <c r="GF2410"/>
      <c r="GG2410"/>
      <c r="GH2410"/>
      <c r="GI2410"/>
      <c r="GJ2410"/>
      <c r="GK2410"/>
      <c r="GL2410"/>
      <c r="GM2410"/>
      <c r="GN2410"/>
      <c r="GO2410"/>
    </row>
    <row r="2411" spans="107:197">
      <c r="DC2411"/>
      <c r="FH2411"/>
      <c r="FI2411"/>
      <c r="FJ2411"/>
      <c r="FK2411"/>
      <c r="FL2411"/>
      <c r="FM2411"/>
      <c r="FN2411"/>
      <c r="FO2411"/>
      <c r="FP2411"/>
      <c r="FQ2411"/>
      <c r="FR2411"/>
      <c r="FS2411"/>
      <c r="FT2411"/>
      <c r="FU2411"/>
      <c r="FV2411"/>
      <c r="FW2411"/>
      <c r="FX2411"/>
      <c r="FY2411"/>
      <c r="FZ2411"/>
      <c r="GA2411"/>
      <c r="GB2411"/>
      <c r="GC2411"/>
      <c r="GD2411"/>
      <c r="GE2411"/>
      <c r="GF2411"/>
      <c r="GG2411"/>
      <c r="GH2411"/>
      <c r="GI2411"/>
      <c r="GJ2411"/>
      <c r="GK2411"/>
      <c r="GL2411"/>
      <c r="GM2411"/>
      <c r="GN2411"/>
      <c r="GO2411"/>
    </row>
    <row r="2412" spans="107:197">
      <c r="DC2412"/>
      <c r="FH2412"/>
      <c r="FI2412"/>
      <c r="FJ2412"/>
      <c r="FK2412"/>
      <c r="FL2412"/>
      <c r="FM2412"/>
      <c r="FN2412"/>
      <c r="FO2412"/>
      <c r="FP2412"/>
      <c r="FQ2412"/>
      <c r="FR2412"/>
      <c r="FS2412"/>
      <c r="FT2412"/>
      <c r="FU2412"/>
      <c r="FV2412"/>
      <c r="FW2412"/>
      <c r="FX2412"/>
      <c r="FY2412"/>
      <c r="FZ2412"/>
      <c r="GA2412"/>
      <c r="GB2412"/>
      <c r="GC2412"/>
      <c r="GD2412"/>
      <c r="GE2412"/>
      <c r="GF2412"/>
      <c r="GG2412"/>
      <c r="GH2412"/>
      <c r="GI2412"/>
      <c r="GJ2412"/>
      <c r="GK2412"/>
      <c r="GL2412"/>
      <c r="GM2412"/>
      <c r="GN2412"/>
      <c r="GO2412"/>
    </row>
    <row r="2413" spans="107:197">
      <c r="DC2413"/>
      <c r="FH2413"/>
      <c r="FI2413"/>
      <c r="FJ2413"/>
      <c r="FK2413"/>
      <c r="FL2413"/>
      <c r="FM2413"/>
      <c r="FN2413"/>
      <c r="FO2413"/>
      <c r="FP2413"/>
      <c r="FQ2413"/>
      <c r="FR2413"/>
      <c r="FS2413"/>
      <c r="FT2413"/>
      <c r="FU2413"/>
      <c r="FV2413"/>
      <c r="FW2413"/>
      <c r="FX2413"/>
      <c r="FY2413"/>
      <c r="FZ2413"/>
      <c r="GA2413"/>
      <c r="GB2413"/>
      <c r="GC2413"/>
      <c r="GD2413"/>
      <c r="GE2413"/>
      <c r="GF2413"/>
      <c r="GG2413"/>
      <c r="GH2413"/>
      <c r="GI2413"/>
      <c r="GJ2413"/>
      <c r="GK2413"/>
      <c r="GL2413"/>
      <c r="GM2413"/>
      <c r="GN2413"/>
      <c r="GO2413"/>
    </row>
    <row r="2414" spans="107:197">
      <c r="DC2414"/>
      <c r="FH2414"/>
      <c r="FI2414"/>
      <c r="FJ2414"/>
      <c r="FK2414"/>
      <c r="FL2414"/>
      <c r="FM2414"/>
      <c r="FN2414"/>
      <c r="FO2414"/>
      <c r="FP2414"/>
      <c r="FQ2414"/>
      <c r="FR2414"/>
      <c r="FS2414"/>
      <c r="FT2414"/>
      <c r="FU2414"/>
      <c r="FV2414"/>
      <c r="FW2414"/>
      <c r="FX2414"/>
      <c r="FY2414"/>
      <c r="FZ2414"/>
      <c r="GA2414"/>
      <c r="GB2414"/>
      <c r="GC2414"/>
      <c r="GD2414"/>
      <c r="GE2414"/>
      <c r="GF2414"/>
      <c r="GG2414"/>
      <c r="GH2414"/>
      <c r="GI2414"/>
      <c r="GJ2414"/>
      <c r="GK2414"/>
      <c r="GL2414"/>
      <c r="GM2414"/>
      <c r="GN2414"/>
      <c r="GO2414"/>
    </row>
    <row r="2415" spans="107:197">
      <c r="DC2415"/>
      <c r="FH2415"/>
      <c r="FI2415"/>
      <c r="FJ2415"/>
      <c r="FK2415"/>
      <c r="FL2415"/>
      <c r="FM2415"/>
      <c r="FN2415"/>
      <c r="FO2415"/>
      <c r="FP2415"/>
      <c r="FQ2415"/>
      <c r="FR2415"/>
      <c r="FS2415"/>
      <c r="FT2415"/>
      <c r="FU2415"/>
      <c r="FV2415"/>
      <c r="FW2415"/>
      <c r="FX2415"/>
      <c r="FY2415"/>
      <c r="FZ2415"/>
      <c r="GA2415"/>
      <c r="GB2415"/>
      <c r="GC2415"/>
      <c r="GD2415"/>
      <c r="GE2415"/>
      <c r="GF2415"/>
      <c r="GG2415"/>
      <c r="GH2415"/>
      <c r="GI2415"/>
      <c r="GJ2415"/>
      <c r="GK2415"/>
      <c r="GL2415"/>
      <c r="GM2415"/>
      <c r="GN2415"/>
      <c r="GO2415"/>
    </row>
    <row r="2416" spans="107:197">
      <c r="DC2416"/>
      <c r="FH2416"/>
      <c r="FI2416"/>
      <c r="FJ2416"/>
      <c r="FK2416"/>
      <c r="FL2416"/>
      <c r="FM2416"/>
      <c r="FN2416"/>
      <c r="FO2416"/>
      <c r="FP2416"/>
      <c r="FQ2416"/>
      <c r="FR2416"/>
      <c r="FS2416"/>
      <c r="FT2416"/>
      <c r="FU2416"/>
      <c r="FV2416"/>
      <c r="FW2416"/>
      <c r="FX2416"/>
      <c r="FY2416"/>
      <c r="FZ2416"/>
      <c r="GA2416"/>
      <c r="GB2416"/>
      <c r="GC2416"/>
      <c r="GD2416"/>
      <c r="GE2416"/>
      <c r="GF2416"/>
      <c r="GG2416"/>
      <c r="GH2416"/>
      <c r="GI2416"/>
      <c r="GJ2416"/>
      <c r="GK2416"/>
      <c r="GL2416"/>
      <c r="GM2416"/>
      <c r="GN2416"/>
      <c r="GO2416"/>
    </row>
    <row r="2417" spans="107:197">
      <c r="DC2417"/>
      <c r="FH2417"/>
      <c r="FI2417"/>
      <c r="FJ2417"/>
      <c r="FK2417"/>
      <c r="FL2417"/>
      <c r="FM2417"/>
      <c r="FN2417"/>
      <c r="FO2417"/>
      <c r="FP2417"/>
      <c r="FQ2417"/>
      <c r="FR2417"/>
      <c r="FS2417"/>
      <c r="FT2417"/>
      <c r="FU2417"/>
      <c r="FV2417"/>
      <c r="FW2417"/>
      <c r="FX2417"/>
      <c r="FY2417"/>
      <c r="FZ2417"/>
      <c r="GA2417"/>
      <c r="GB2417"/>
      <c r="GC2417"/>
      <c r="GD2417"/>
      <c r="GE2417"/>
      <c r="GF2417"/>
      <c r="GG2417"/>
      <c r="GH2417"/>
      <c r="GI2417"/>
      <c r="GJ2417"/>
      <c r="GK2417"/>
      <c r="GL2417"/>
      <c r="GM2417"/>
      <c r="GN2417"/>
      <c r="GO2417"/>
    </row>
    <row r="2418" spans="107:197">
      <c r="DC2418"/>
      <c r="FH2418"/>
      <c r="FI2418"/>
      <c r="FJ2418"/>
      <c r="FK2418"/>
      <c r="FL2418"/>
      <c r="FM2418"/>
      <c r="FN2418"/>
      <c r="FO2418"/>
      <c r="FP2418"/>
      <c r="FQ2418"/>
      <c r="FR2418"/>
      <c r="FS2418"/>
      <c r="FT2418"/>
      <c r="FU2418"/>
      <c r="FV2418"/>
      <c r="FW2418"/>
      <c r="FX2418"/>
      <c r="FY2418"/>
      <c r="FZ2418"/>
      <c r="GA2418"/>
      <c r="GB2418"/>
      <c r="GC2418"/>
      <c r="GD2418"/>
      <c r="GE2418"/>
      <c r="GF2418"/>
      <c r="GG2418"/>
      <c r="GH2418"/>
      <c r="GI2418"/>
      <c r="GJ2418"/>
      <c r="GK2418"/>
      <c r="GL2418"/>
      <c r="GM2418"/>
      <c r="GN2418"/>
      <c r="GO2418"/>
    </row>
    <row r="2419" spans="107:197">
      <c r="DC2419"/>
      <c r="FH2419"/>
      <c r="FI2419"/>
      <c r="FJ2419"/>
      <c r="FK2419"/>
      <c r="FL2419"/>
      <c r="FM2419"/>
      <c r="FN2419"/>
      <c r="FO2419"/>
      <c r="FP2419"/>
      <c r="FQ2419"/>
      <c r="FR2419"/>
      <c r="FS2419"/>
      <c r="FT2419"/>
      <c r="FU2419"/>
      <c r="FV2419"/>
      <c r="FW2419"/>
      <c r="FX2419"/>
      <c r="FY2419"/>
      <c r="FZ2419"/>
      <c r="GA2419"/>
      <c r="GB2419"/>
      <c r="GC2419"/>
      <c r="GD2419"/>
      <c r="GE2419"/>
      <c r="GF2419"/>
      <c r="GG2419"/>
      <c r="GH2419"/>
      <c r="GI2419"/>
      <c r="GJ2419"/>
      <c r="GK2419"/>
      <c r="GL2419"/>
      <c r="GM2419"/>
      <c r="GN2419"/>
      <c r="GO2419"/>
    </row>
    <row r="2420" spans="107:197">
      <c r="DC2420"/>
      <c r="FH2420"/>
      <c r="FI2420"/>
      <c r="FJ2420"/>
      <c r="FK2420"/>
      <c r="FL2420"/>
      <c r="FM2420"/>
      <c r="FN2420"/>
      <c r="FO2420"/>
      <c r="FP2420"/>
      <c r="FQ2420"/>
      <c r="FR2420"/>
      <c r="FS2420"/>
      <c r="FT2420"/>
      <c r="FU2420"/>
      <c r="FV2420"/>
      <c r="FW2420"/>
      <c r="FX2420"/>
      <c r="FY2420"/>
      <c r="FZ2420"/>
      <c r="GA2420"/>
      <c r="GB2420"/>
      <c r="GC2420"/>
      <c r="GD2420"/>
      <c r="GE2420"/>
      <c r="GF2420"/>
      <c r="GG2420"/>
      <c r="GH2420"/>
      <c r="GI2420"/>
      <c r="GJ2420"/>
      <c r="GK2420"/>
      <c r="GL2420"/>
      <c r="GM2420"/>
      <c r="GN2420"/>
      <c r="GO2420"/>
    </row>
    <row r="2421" spans="107:197">
      <c r="DC2421"/>
      <c r="FH2421"/>
      <c r="FI2421"/>
      <c r="FJ2421"/>
      <c r="FK2421"/>
      <c r="FL2421"/>
      <c r="FM2421"/>
      <c r="FN2421"/>
      <c r="FO2421"/>
      <c r="FP2421"/>
      <c r="FQ2421"/>
      <c r="FR2421"/>
      <c r="FS2421"/>
      <c r="FT2421"/>
      <c r="FU2421"/>
      <c r="FV2421"/>
      <c r="FW2421"/>
      <c r="FX2421"/>
      <c r="FY2421"/>
      <c r="FZ2421"/>
      <c r="GA2421"/>
      <c r="GB2421"/>
      <c r="GC2421"/>
      <c r="GD2421"/>
      <c r="GE2421"/>
      <c r="GF2421"/>
      <c r="GG2421"/>
      <c r="GH2421"/>
      <c r="GI2421"/>
      <c r="GJ2421"/>
      <c r="GK2421"/>
      <c r="GL2421"/>
      <c r="GM2421"/>
      <c r="GN2421"/>
      <c r="GO2421"/>
    </row>
    <row r="2422" spans="107:197">
      <c r="DC2422"/>
      <c r="FH2422"/>
      <c r="FI2422"/>
      <c r="FJ2422"/>
      <c r="FK2422"/>
      <c r="FL2422"/>
      <c r="FM2422"/>
      <c r="FN2422"/>
      <c r="FO2422"/>
      <c r="FP2422"/>
      <c r="FQ2422"/>
      <c r="FR2422"/>
      <c r="FS2422"/>
      <c r="FT2422"/>
      <c r="FU2422"/>
      <c r="FV2422"/>
      <c r="FW2422"/>
      <c r="FX2422"/>
      <c r="FY2422"/>
      <c r="FZ2422"/>
      <c r="GA2422"/>
      <c r="GB2422"/>
      <c r="GC2422"/>
      <c r="GD2422"/>
      <c r="GE2422"/>
      <c r="GF2422"/>
      <c r="GG2422"/>
      <c r="GH2422"/>
      <c r="GI2422"/>
      <c r="GJ2422"/>
      <c r="GK2422"/>
      <c r="GL2422"/>
      <c r="GM2422"/>
      <c r="GN2422"/>
      <c r="GO2422"/>
    </row>
    <row r="2423" spans="107:197">
      <c r="DC2423"/>
      <c r="FH2423"/>
      <c r="FI2423"/>
      <c r="FJ2423"/>
      <c r="FK2423"/>
      <c r="FL2423"/>
      <c r="FM2423"/>
      <c r="FN2423"/>
      <c r="FO2423"/>
      <c r="FP2423"/>
      <c r="FQ2423"/>
      <c r="FR2423"/>
      <c r="FS2423"/>
      <c r="FT2423"/>
      <c r="FU2423"/>
      <c r="FV2423"/>
      <c r="FW2423"/>
      <c r="FX2423"/>
      <c r="FY2423"/>
      <c r="FZ2423"/>
      <c r="GA2423"/>
      <c r="GB2423"/>
      <c r="GC2423"/>
      <c r="GD2423"/>
      <c r="GE2423"/>
      <c r="GF2423"/>
      <c r="GG2423"/>
      <c r="GH2423"/>
      <c r="GI2423"/>
      <c r="GJ2423"/>
      <c r="GK2423"/>
      <c r="GL2423"/>
      <c r="GM2423"/>
      <c r="GN2423"/>
      <c r="GO2423"/>
    </row>
    <row r="2424" spans="107:197">
      <c r="DC2424"/>
      <c r="FH2424"/>
      <c r="FI2424"/>
      <c r="FJ2424"/>
      <c r="FK2424"/>
      <c r="FL2424"/>
      <c r="FM2424"/>
      <c r="FN2424"/>
      <c r="FO2424"/>
      <c r="FP2424"/>
      <c r="FQ2424"/>
      <c r="FR2424"/>
      <c r="FS2424"/>
      <c r="FT2424"/>
      <c r="FU2424"/>
      <c r="FV2424"/>
      <c r="FW2424"/>
      <c r="FX2424"/>
      <c r="FY2424"/>
      <c r="FZ2424"/>
      <c r="GA2424"/>
      <c r="GB2424"/>
      <c r="GC2424"/>
      <c r="GD2424"/>
      <c r="GE2424"/>
      <c r="GF2424"/>
      <c r="GG2424"/>
      <c r="GH2424"/>
      <c r="GI2424"/>
      <c r="GJ2424"/>
      <c r="GK2424"/>
      <c r="GL2424"/>
      <c r="GM2424"/>
      <c r="GN2424"/>
      <c r="GO2424"/>
    </row>
    <row r="2425" spans="107:197">
      <c r="DC2425"/>
      <c r="FH2425"/>
      <c r="FI2425"/>
      <c r="FJ2425"/>
      <c r="FK2425"/>
      <c r="FL2425"/>
      <c r="FM2425"/>
      <c r="FN2425"/>
      <c r="FO2425"/>
      <c r="FP2425"/>
      <c r="FQ2425"/>
      <c r="FR2425"/>
      <c r="FS2425"/>
      <c r="FT2425"/>
      <c r="FU2425"/>
      <c r="FV2425"/>
      <c r="FW2425"/>
      <c r="FX2425"/>
      <c r="FY2425"/>
      <c r="FZ2425"/>
      <c r="GA2425"/>
      <c r="GB2425"/>
      <c r="GC2425"/>
      <c r="GD2425"/>
      <c r="GE2425"/>
      <c r="GF2425"/>
      <c r="GG2425"/>
      <c r="GH2425"/>
      <c r="GI2425"/>
      <c r="GJ2425"/>
      <c r="GK2425"/>
      <c r="GL2425"/>
      <c r="GM2425"/>
      <c r="GN2425"/>
      <c r="GO2425"/>
    </row>
    <row r="2426" spans="107:197">
      <c r="DC2426"/>
      <c r="FH2426"/>
      <c r="FI2426"/>
      <c r="FJ2426"/>
      <c r="FK2426"/>
      <c r="FL2426"/>
      <c r="FM2426"/>
      <c r="FN2426"/>
      <c r="FO2426"/>
      <c r="FP2426"/>
      <c r="FQ2426"/>
      <c r="FR2426"/>
      <c r="FS2426"/>
      <c r="FT2426"/>
      <c r="FU2426"/>
      <c r="FV2426"/>
      <c r="FW2426"/>
      <c r="FX2426"/>
      <c r="FY2426"/>
      <c r="FZ2426"/>
      <c r="GA2426"/>
      <c r="GB2426"/>
      <c r="GC2426"/>
      <c r="GD2426"/>
      <c r="GE2426"/>
      <c r="GF2426"/>
      <c r="GG2426"/>
      <c r="GH2426"/>
      <c r="GI2426"/>
      <c r="GJ2426"/>
      <c r="GK2426"/>
      <c r="GL2426"/>
      <c r="GM2426"/>
      <c r="GN2426"/>
      <c r="GO2426"/>
    </row>
    <row r="2427" spans="107:197">
      <c r="DC2427"/>
      <c r="FH2427"/>
      <c r="FI2427"/>
      <c r="FJ2427"/>
      <c r="FK2427"/>
      <c r="FL2427"/>
      <c r="FM2427"/>
      <c r="FN2427"/>
      <c r="FO2427"/>
      <c r="FP2427"/>
      <c r="FQ2427"/>
      <c r="FR2427"/>
      <c r="FS2427"/>
      <c r="FT2427"/>
      <c r="FU2427"/>
      <c r="FV2427"/>
      <c r="FW2427"/>
      <c r="FX2427"/>
      <c r="FY2427"/>
      <c r="FZ2427"/>
      <c r="GA2427"/>
      <c r="GB2427"/>
      <c r="GC2427"/>
      <c r="GD2427"/>
      <c r="GE2427"/>
      <c r="GF2427"/>
      <c r="GG2427"/>
      <c r="GH2427"/>
      <c r="GI2427"/>
      <c r="GJ2427"/>
      <c r="GK2427"/>
      <c r="GL2427"/>
      <c r="GM2427"/>
      <c r="GN2427"/>
      <c r="GO2427"/>
    </row>
    <row r="2428" spans="107:197">
      <c r="DC2428"/>
      <c r="FH2428"/>
      <c r="FI2428"/>
      <c r="FJ2428"/>
      <c r="FK2428"/>
      <c r="FL2428"/>
      <c r="FM2428"/>
      <c r="FN2428"/>
      <c r="FO2428"/>
      <c r="FP2428"/>
      <c r="FQ2428"/>
      <c r="FR2428"/>
      <c r="FS2428"/>
      <c r="FT2428"/>
      <c r="FU2428"/>
      <c r="FV2428"/>
      <c r="FW2428"/>
      <c r="FX2428"/>
      <c r="FY2428"/>
      <c r="FZ2428"/>
      <c r="GA2428"/>
      <c r="GB2428"/>
      <c r="GC2428"/>
      <c r="GD2428"/>
      <c r="GE2428"/>
      <c r="GF2428"/>
      <c r="GG2428"/>
      <c r="GH2428"/>
      <c r="GI2428"/>
      <c r="GJ2428"/>
      <c r="GK2428"/>
      <c r="GL2428"/>
      <c r="GM2428"/>
      <c r="GN2428"/>
      <c r="GO2428"/>
    </row>
    <row r="2429" spans="107:197">
      <c r="DC2429"/>
      <c r="FH2429"/>
      <c r="FI2429"/>
      <c r="FJ2429"/>
      <c r="FK2429"/>
      <c r="FL2429"/>
      <c r="FM2429"/>
      <c r="FN2429"/>
      <c r="FO2429"/>
      <c r="FP2429"/>
      <c r="FQ2429"/>
      <c r="FR2429"/>
      <c r="FS2429"/>
      <c r="FT2429"/>
      <c r="FU2429"/>
      <c r="FV2429"/>
      <c r="FW2429"/>
      <c r="FX2429"/>
      <c r="FY2429"/>
      <c r="FZ2429"/>
      <c r="GA2429"/>
      <c r="GB2429"/>
      <c r="GC2429"/>
      <c r="GD2429"/>
      <c r="GE2429"/>
      <c r="GF2429"/>
      <c r="GG2429"/>
      <c r="GH2429"/>
      <c r="GI2429"/>
      <c r="GJ2429"/>
      <c r="GK2429"/>
      <c r="GL2429"/>
      <c r="GM2429"/>
      <c r="GN2429"/>
      <c r="GO2429"/>
    </row>
    <row r="2430" spans="107:197">
      <c r="DC2430"/>
      <c r="FH2430"/>
      <c r="FI2430"/>
      <c r="FJ2430"/>
      <c r="FK2430"/>
      <c r="FL2430"/>
      <c r="FM2430"/>
      <c r="FN2430"/>
      <c r="FO2430"/>
      <c r="FP2430"/>
      <c r="FQ2430"/>
      <c r="FR2430"/>
      <c r="FS2430"/>
      <c r="FT2430"/>
      <c r="FU2430"/>
      <c r="FV2430"/>
      <c r="FW2430"/>
      <c r="FX2430"/>
      <c r="FY2430"/>
      <c r="FZ2430"/>
      <c r="GA2430"/>
      <c r="GB2430"/>
      <c r="GC2430"/>
      <c r="GD2430"/>
      <c r="GE2430"/>
      <c r="GF2430"/>
      <c r="GG2430"/>
      <c r="GH2430"/>
      <c r="GI2430"/>
      <c r="GJ2430"/>
      <c r="GK2430"/>
      <c r="GL2430"/>
      <c r="GM2430"/>
      <c r="GN2430"/>
      <c r="GO2430"/>
    </row>
    <row r="2431" spans="107:197">
      <c r="DC2431"/>
      <c r="FH2431"/>
      <c r="FI2431"/>
      <c r="FJ2431"/>
      <c r="FK2431"/>
      <c r="FL2431"/>
      <c r="FM2431"/>
      <c r="FN2431"/>
      <c r="FO2431"/>
      <c r="FP2431"/>
      <c r="FQ2431"/>
      <c r="FR2431"/>
      <c r="FS2431"/>
      <c r="FT2431"/>
      <c r="FU2431"/>
      <c r="FV2431"/>
      <c r="FW2431"/>
      <c r="FX2431"/>
      <c r="FY2431"/>
      <c r="FZ2431"/>
      <c r="GA2431"/>
      <c r="GB2431"/>
      <c r="GC2431"/>
      <c r="GD2431"/>
      <c r="GE2431"/>
      <c r="GF2431"/>
      <c r="GG2431"/>
      <c r="GH2431"/>
      <c r="GI2431"/>
      <c r="GJ2431"/>
      <c r="GK2431"/>
      <c r="GL2431"/>
      <c r="GM2431"/>
      <c r="GN2431"/>
      <c r="GO2431"/>
    </row>
    <row r="2432" spans="107:197">
      <c r="DC2432"/>
      <c r="FH2432"/>
      <c r="FI2432"/>
      <c r="FJ2432"/>
      <c r="FK2432"/>
      <c r="FL2432"/>
      <c r="FM2432"/>
      <c r="FN2432"/>
      <c r="FO2432"/>
      <c r="FP2432"/>
      <c r="FQ2432"/>
      <c r="FR2432"/>
      <c r="FS2432"/>
      <c r="FT2432"/>
      <c r="FU2432"/>
      <c r="FV2432"/>
      <c r="FW2432"/>
      <c r="FX2432"/>
      <c r="FY2432"/>
      <c r="FZ2432"/>
      <c r="GA2432"/>
      <c r="GB2432"/>
      <c r="GC2432"/>
      <c r="GD2432"/>
      <c r="GE2432"/>
      <c r="GF2432"/>
      <c r="GG2432"/>
      <c r="GH2432"/>
      <c r="GI2432"/>
      <c r="GJ2432"/>
      <c r="GK2432"/>
      <c r="GL2432"/>
      <c r="GM2432"/>
      <c r="GN2432"/>
      <c r="GO2432"/>
    </row>
    <row r="2433" spans="107:197">
      <c r="DC2433"/>
      <c r="FH2433"/>
      <c r="FI2433"/>
      <c r="FJ2433"/>
      <c r="FK2433"/>
      <c r="FL2433"/>
      <c r="FM2433"/>
      <c r="FN2433"/>
      <c r="FO2433"/>
      <c r="FP2433"/>
      <c r="FQ2433"/>
      <c r="FR2433"/>
      <c r="FS2433"/>
      <c r="FT2433"/>
      <c r="FU2433"/>
      <c r="FV2433"/>
      <c r="FW2433"/>
      <c r="FX2433"/>
      <c r="FY2433"/>
      <c r="FZ2433"/>
      <c r="GA2433"/>
      <c r="GB2433"/>
      <c r="GC2433"/>
      <c r="GD2433"/>
      <c r="GE2433"/>
      <c r="GF2433"/>
      <c r="GG2433"/>
      <c r="GH2433"/>
      <c r="GI2433"/>
      <c r="GJ2433"/>
      <c r="GK2433"/>
      <c r="GL2433"/>
      <c r="GM2433"/>
      <c r="GN2433"/>
      <c r="GO2433"/>
    </row>
    <row r="2434" spans="107:197">
      <c r="DC2434"/>
      <c r="FH2434"/>
      <c r="FI2434"/>
      <c r="FJ2434"/>
      <c r="FK2434"/>
      <c r="FL2434"/>
      <c r="FM2434"/>
      <c r="FN2434"/>
      <c r="FO2434"/>
      <c r="FP2434"/>
      <c r="FQ2434"/>
      <c r="FR2434"/>
      <c r="FS2434"/>
      <c r="FT2434"/>
      <c r="FU2434"/>
      <c r="FV2434"/>
      <c r="FW2434"/>
      <c r="FX2434"/>
      <c r="FY2434"/>
      <c r="FZ2434"/>
      <c r="GA2434"/>
      <c r="GB2434"/>
      <c r="GC2434"/>
      <c r="GD2434"/>
      <c r="GE2434"/>
      <c r="GF2434"/>
      <c r="GG2434"/>
      <c r="GH2434"/>
      <c r="GI2434"/>
      <c r="GJ2434"/>
      <c r="GK2434"/>
      <c r="GL2434"/>
      <c r="GM2434"/>
      <c r="GN2434"/>
      <c r="GO2434"/>
    </row>
    <row r="2435" spans="107:197">
      <c r="DC2435"/>
      <c r="FH2435"/>
      <c r="FI2435"/>
      <c r="FJ2435"/>
      <c r="FK2435"/>
      <c r="FL2435"/>
      <c r="FM2435"/>
      <c r="FN2435"/>
      <c r="FO2435"/>
      <c r="FP2435"/>
      <c r="FQ2435"/>
      <c r="FR2435"/>
      <c r="FS2435"/>
      <c r="FT2435"/>
      <c r="FU2435"/>
      <c r="FV2435"/>
      <c r="FW2435"/>
      <c r="FX2435"/>
      <c r="FY2435"/>
      <c r="FZ2435"/>
      <c r="GA2435"/>
      <c r="GB2435"/>
      <c r="GC2435"/>
      <c r="GD2435"/>
      <c r="GE2435"/>
      <c r="GF2435"/>
      <c r="GG2435"/>
      <c r="GH2435"/>
      <c r="GI2435"/>
      <c r="GJ2435"/>
      <c r="GK2435"/>
      <c r="GL2435"/>
      <c r="GM2435"/>
      <c r="GN2435"/>
      <c r="GO2435"/>
    </row>
    <row r="2436" spans="107:197">
      <c r="DC2436"/>
      <c r="FH2436"/>
      <c r="FI2436"/>
      <c r="FJ2436"/>
      <c r="FK2436"/>
      <c r="FL2436"/>
      <c r="FM2436"/>
      <c r="FN2436"/>
      <c r="FO2436"/>
      <c r="FP2436"/>
      <c r="FQ2436"/>
      <c r="FR2436"/>
      <c r="FS2436"/>
      <c r="FT2436"/>
      <c r="FU2436"/>
      <c r="FV2436"/>
      <c r="FW2436"/>
      <c r="FX2436"/>
      <c r="FY2436"/>
      <c r="FZ2436"/>
      <c r="GA2436"/>
      <c r="GB2436"/>
      <c r="GC2436"/>
      <c r="GD2436"/>
      <c r="GE2436"/>
      <c r="GF2436"/>
      <c r="GG2436"/>
      <c r="GH2436"/>
      <c r="GI2436"/>
      <c r="GJ2436"/>
      <c r="GK2436"/>
      <c r="GL2436"/>
      <c r="GM2436"/>
      <c r="GN2436"/>
      <c r="GO2436"/>
    </row>
    <row r="2437" spans="107:197">
      <c r="DC2437"/>
      <c r="FH2437"/>
      <c r="FI2437"/>
      <c r="FJ2437"/>
      <c r="FK2437"/>
      <c r="FL2437"/>
      <c r="FM2437"/>
      <c r="FN2437"/>
      <c r="FO2437"/>
      <c r="FP2437"/>
      <c r="FQ2437"/>
      <c r="FR2437"/>
      <c r="FS2437"/>
      <c r="FT2437"/>
      <c r="FU2437"/>
      <c r="FV2437"/>
      <c r="FW2437"/>
      <c r="FX2437"/>
      <c r="FY2437"/>
      <c r="FZ2437"/>
      <c r="GA2437"/>
      <c r="GB2437"/>
      <c r="GC2437"/>
      <c r="GD2437"/>
      <c r="GE2437"/>
      <c r="GF2437"/>
      <c r="GG2437"/>
      <c r="GH2437"/>
      <c r="GI2437"/>
      <c r="GJ2437"/>
      <c r="GK2437"/>
      <c r="GL2437"/>
      <c r="GM2437"/>
      <c r="GN2437"/>
      <c r="GO2437"/>
    </row>
    <row r="2438" spans="107:197">
      <c r="DC2438"/>
      <c r="FH2438"/>
      <c r="FI2438"/>
      <c r="FJ2438"/>
      <c r="FK2438"/>
      <c r="FL2438"/>
      <c r="FM2438"/>
      <c r="FN2438"/>
      <c r="FO2438"/>
      <c r="FP2438"/>
      <c r="FQ2438"/>
      <c r="FR2438"/>
      <c r="FS2438"/>
      <c r="FT2438"/>
      <c r="FU2438"/>
      <c r="FV2438"/>
      <c r="FW2438"/>
      <c r="FX2438"/>
      <c r="FY2438"/>
      <c r="FZ2438"/>
      <c r="GA2438"/>
      <c r="GB2438"/>
      <c r="GC2438"/>
      <c r="GD2438"/>
      <c r="GE2438"/>
      <c r="GF2438"/>
      <c r="GG2438"/>
      <c r="GH2438"/>
      <c r="GI2438"/>
      <c r="GJ2438"/>
      <c r="GK2438"/>
      <c r="GL2438"/>
      <c r="GM2438"/>
      <c r="GN2438"/>
      <c r="GO2438"/>
    </row>
    <row r="2439" spans="107:197">
      <c r="DC2439"/>
      <c r="FH2439"/>
      <c r="FI2439"/>
      <c r="FJ2439"/>
      <c r="FK2439"/>
      <c r="FL2439"/>
      <c r="FM2439"/>
      <c r="FN2439"/>
      <c r="FO2439"/>
      <c r="FP2439"/>
      <c r="FQ2439"/>
      <c r="FR2439"/>
      <c r="FS2439"/>
      <c r="FT2439"/>
      <c r="FU2439"/>
      <c r="FV2439"/>
      <c r="FW2439"/>
      <c r="FX2439"/>
      <c r="FY2439"/>
      <c r="FZ2439"/>
      <c r="GA2439"/>
      <c r="GB2439"/>
      <c r="GC2439"/>
      <c r="GD2439"/>
      <c r="GE2439"/>
      <c r="GF2439"/>
      <c r="GG2439"/>
      <c r="GH2439"/>
      <c r="GI2439"/>
      <c r="GJ2439"/>
      <c r="GK2439"/>
      <c r="GL2439"/>
      <c r="GM2439"/>
      <c r="GN2439"/>
      <c r="GO2439"/>
    </row>
    <row r="2440" spans="107:197">
      <c r="DC2440"/>
      <c r="FH2440"/>
      <c r="FI2440"/>
      <c r="FJ2440"/>
      <c r="FK2440"/>
      <c r="FL2440"/>
      <c r="FM2440"/>
      <c r="FN2440"/>
      <c r="FO2440"/>
      <c r="FP2440"/>
      <c r="FQ2440"/>
      <c r="FR2440"/>
      <c r="FS2440"/>
      <c r="FT2440"/>
      <c r="FU2440"/>
      <c r="FV2440"/>
      <c r="FW2440"/>
      <c r="FX2440"/>
      <c r="FY2440"/>
      <c r="FZ2440"/>
      <c r="GA2440"/>
      <c r="GB2440"/>
      <c r="GC2440"/>
      <c r="GD2440"/>
      <c r="GE2440"/>
      <c r="GF2440"/>
      <c r="GG2440"/>
      <c r="GH2440"/>
      <c r="GI2440"/>
      <c r="GJ2440"/>
      <c r="GK2440"/>
      <c r="GL2440"/>
      <c r="GM2440"/>
      <c r="GN2440"/>
      <c r="GO2440"/>
    </row>
    <row r="2441" spans="107:197">
      <c r="DC2441"/>
      <c r="FH2441"/>
      <c r="FI2441"/>
      <c r="FJ2441"/>
      <c r="FK2441"/>
      <c r="FL2441"/>
      <c r="FM2441"/>
      <c r="FN2441"/>
      <c r="FO2441"/>
      <c r="FP2441"/>
      <c r="FQ2441"/>
      <c r="FR2441"/>
      <c r="FS2441"/>
      <c r="FT2441"/>
      <c r="FU2441"/>
      <c r="FV2441"/>
      <c r="FW2441"/>
      <c r="FX2441"/>
      <c r="FY2441"/>
      <c r="FZ2441"/>
      <c r="GA2441"/>
      <c r="GB2441"/>
      <c r="GC2441"/>
      <c r="GD2441"/>
      <c r="GE2441"/>
      <c r="GF2441"/>
      <c r="GG2441"/>
      <c r="GH2441"/>
      <c r="GI2441"/>
      <c r="GJ2441"/>
      <c r="GK2441"/>
      <c r="GL2441"/>
      <c r="GM2441"/>
      <c r="GN2441"/>
      <c r="GO2441"/>
    </row>
    <row r="2442" spans="107:197">
      <c r="DC2442"/>
      <c r="FH2442"/>
      <c r="FI2442"/>
      <c r="FJ2442"/>
      <c r="FK2442"/>
      <c r="FL2442"/>
      <c r="FM2442"/>
      <c r="FN2442"/>
      <c r="FO2442"/>
      <c r="FP2442"/>
      <c r="FQ2442"/>
      <c r="FR2442"/>
      <c r="FS2442"/>
      <c r="FT2442"/>
      <c r="FU2442"/>
      <c r="FV2442"/>
      <c r="FW2442"/>
      <c r="FX2442"/>
      <c r="FY2442"/>
      <c r="FZ2442"/>
      <c r="GA2442"/>
      <c r="GB2442"/>
      <c r="GC2442"/>
      <c r="GD2442"/>
      <c r="GE2442"/>
      <c r="GF2442"/>
      <c r="GG2442"/>
      <c r="GH2442"/>
      <c r="GI2442"/>
      <c r="GJ2442"/>
      <c r="GK2442"/>
      <c r="GL2442"/>
      <c r="GM2442"/>
      <c r="GN2442"/>
      <c r="GO2442"/>
    </row>
    <row r="2443" spans="107:197">
      <c r="DC2443"/>
      <c r="FH2443"/>
      <c r="FI2443"/>
      <c r="FJ2443"/>
      <c r="FK2443"/>
      <c r="FL2443"/>
      <c r="FM2443"/>
      <c r="FN2443"/>
      <c r="FO2443"/>
      <c r="FP2443"/>
      <c r="FQ2443"/>
      <c r="FR2443"/>
      <c r="FS2443"/>
      <c r="FT2443"/>
      <c r="FU2443"/>
      <c r="FV2443"/>
      <c r="FW2443"/>
      <c r="FX2443"/>
      <c r="FY2443"/>
      <c r="FZ2443"/>
      <c r="GA2443"/>
      <c r="GB2443"/>
      <c r="GC2443"/>
      <c r="GD2443"/>
      <c r="GE2443"/>
      <c r="GF2443"/>
      <c r="GG2443"/>
      <c r="GH2443"/>
      <c r="GI2443"/>
      <c r="GJ2443"/>
      <c r="GK2443"/>
      <c r="GL2443"/>
      <c r="GM2443"/>
      <c r="GN2443"/>
      <c r="GO2443"/>
    </row>
    <row r="2444" spans="107:197">
      <c r="DC2444"/>
      <c r="FH2444"/>
      <c r="FI2444"/>
      <c r="FJ2444"/>
      <c r="FK2444"/>
      <c r="FL2444"/>
      <c r="FM2444"/>
      <c r="FN2444"/>
      <c r="FO2444"/>
      <c r="FP2444"/>
      <c r="FQ2444"/>
      <c r="FR2444"/>
      <c r="FS2444"/>
      <c r="FT2444"/>
      <c r="FU2444"/>
      <c r="FV2444"/>
      <c r="FW2444"/>
      <c r="FX2444"/>
      <c r="FY2444"/>
      <c r="FZ2444"/>
      <c r="GA2444"/>
      <c r="GB2444"/>
      <c r="GC2444"/>
      <c r="GD2444"/>
      <c r="GE2444"/>
      <c r="GF2444"/>
      <c r="GG2444"/>
      <c r="GH2444"/>
      <c r="GI2444"/>
      <c r="GJ2444"/>
      <c r="GK2444"/>
      <c r="GL2444"/>
      <c r="GM2444"/>
      <c r="GN2444"/>
      <c r="GO2444"/>
    </row>
    <row r="2445" spans="107:197">
      <c r="DC2445"/>
      <c r="FH2445"/>
      <c r="FI2445"/>
      <c r="FJ2445"/>
      <c r="FK2445"/>
      <c r="FL2445"/>
      <c r="FM2445"/>
      <c r="FN2445"/>
      <c r="FO2445"/>
      <c r="FP2445"/>
      <c r="FQ2445"/>
      <c r="FR2445"/>
      <c r="FS2445"/>
      <c r="FT2445"/>
      <c r="FU2445"/>
      <c r="FV2445"/>
      <c r="FW2445"/>
      <c r="FX2445"/>
      <c r="FY2445"/>
      <c r="FZ2445"/>
      <c r="GA2445"/>
      <c r="GB2445"/>
      <c r="GC2445"/>
      <c r="GD2445"/>
      <c r="GE2445"/>
      <c r="GF2445"/>
      <c r="GG2445"/>
      <c r="GH2445"/>
      <c r="GI2445"/>
      <c r="GJ2445"/>
      <c r="GK2445"/>
      <c r="GL2445"/>
      <c r="GM2445"/>
      <c r="GN2445"/>
      <c r="GO2445"/>
    </row>
    <row r="2446" spans="107:197">
      <c r="DC2446"/>
      <c r="FH2446"/>
      <c r="FI2446"/>
      <c r="FJ2446"/>
      <c r="FK2446"/>
      <c r="FL2446"/>
      <c r="FM2446"/>
      <c r="FN2446"/>
      <c r="FO2446"/>
      <c r="FP2446"/>
      <c r="FQ2446"/>
      <c r="FR2446"/>
      <c r="FS2446"/>
      <c r="FT2446"/>
      <c r="FU2446"/>
      <c r="FV2446"/>
      <c r="FW2446"/>
      <c r="FX2446"/>
      <c r="FY2446"/>
      <c r="FZ2446"/>
      <c r="GA2446"/>
      <c r="GB2446"/>
      <c r="GC2446"/>
      <c r="GD2446"/>
      <c r="GE2446"/>
      <c r="GF2446"/>
      <c r="GG2446"/>
      <c r="GH2446"/>
      <c r="GI2446"/>
      <c r="GJ2446"/>
      <c r="GK2446"/>
      <c r="GL2446"/>
      <c r="GM2446"/>
      <c r="GN2446"/>
      <c r="GO2446"/>
    </row>
    <row r="2447" spans="107:197">
      <c r="DC2447"/>
      <c r="FH2447"/>
      <c r="FI2447"/>
      <c r="FJ2447"/>
      <c r="FK2447"/>
      <c r="FL2447"/>
      <c r="FM2447"/>
      <c r="FN2447"/>
      <c r="FO2447"/>
      <c r="FP2447"/>
      <c r="FQ2447"/>
      <c r="FR2447"/>
      <c r="FS2447"/>
      <c r="FT2447"/>
      <c r="FU2447"/>
      <c r="FV2447"/>
      <c r="FW2447"/>
      <c r="FX2447"/>
      <c r="FY2447"/>
      <c r="FZ2447"/>
      <c r="GA2447"/>
      <c r="GB2447"/>
      <c r="GC2447"/>
      <c r="GD2447"/>
      <c r="GE2447"/>
      <c r="GF2447"/>
      <c r="GG2447"/>
      <c r="GH2447"/>
      <c r="GI2447"/>
      <c r="GJ2447"/>
      <c r="GK2447"/>
      <c r="GL2447"/>
      <c r="GM2447"/>
      <c r="GN2447"/>
      <c r="GO2447"/>
    </row>
    <row r="2448" spans="107:197">
      <c r="DC2448"/>
      <c r="FH2448"/>
      <c r="FI2448"/>
      <c r="FJ2448"/>
      <c r="FK2448"/>
      <c r="FL2448"/>
      <c r="FM2448"/>
      <c r="FN2448"/>
      <c r="FO2448"/>
      <c r="FP2448"/>
      <c r="FQ2448"/>
      <c r="FR2448"/>
      <c r="FS2448"/>
      <c r="FT2448"/>
      <c r="FU2448"/>
      <c r="FV2448"/>
      <c r="FW2448"/>
      <c r="FX2448"/>
      <c r="FY2448"/>
      <c r="FZ2448"/>
      <c r="GA2448"/>
      <c r="GB2448"/>
      <c r="GC2448"/>
      <c r="GD2448"/>
      <c r="GE2448"/>
      <c r="GF2448"/>
      <c r="GG2448"/>
      <c r="GH2448"/>
      <c r="GI2448"/>
      <c r="GJ2448"/>
      <c r="GK2448"/>
      <c r="GL2448"/>
      <c r="GM2448"/>
      <c r="GN2448"/>
      <c r="GO2448"/>
    </row>
    <row r="2449" spans="107:197">
      <c r="DC2449"/>
      <c r="FH2449"/>
      <c r="FI2449"/>
      <c r="FJ2449"/>
      <c r="FK2449"/>
      <c r="FL2449"/>
      <c r="FM2449"/>
      <c r="FN2449"/>
      <c r="FO2449"/>
      <c r="FP2449"/>
      <c r="FQ2449"/>
      <c r="FR2449"/>
      <c r="FS2449"/>
      <c r="FT2449"/>
      <c r="FU2449"/>
      <c r="FV2449"/>
      <c r="FW2449"/>
      <c r="FX2449"/>
      <c r="FY2449"/>
      <c r="FZ2449"/>
      <c r="GA2449"/>
      <c r="GB2449"/>
      <c r="GC2449"/>
      <c r="GD2449"/>
      <c r="GE2449"/>
      <c r="GF2449"/>
      <c r="GG2449"/>
      <c r="GH2449"/>
      <c r="GI2449"/>
      <c r="GJ2449"/>
      <c r="GK2449"/>
      <c r="GL2449"/>
      <c r="GM2449"/>
      <c r="GN2449"/>
      <c r="GO2449"/>
    </row>
    <row r="2450" spans="107:197">
      <c r="DC2450"/>
      <c r="FH2450"/>
      <c r="FI2450"/>
      <c r="FJ2450"/>
      <c r="FK2450"/>
      <c r="FL2450"/>
      <c r="FM2450"/>
      <c r="FN2450"/>
      <c r="FO2450"/>
      <c r="FP2450"/>
      <c r="FQ2450"/>
      <c r="FR2450"/>
      <c r="FS2450"/>
      <c r="FT2450"/>
      <c r="FU2450"/>
      <c r="FV2450"/>
      <c r="FW2450"/>
      <c r="FX2450"/>
      <c r="FY2450"/>
      <c r="FZ2450"/>
      <c r="GA2450"/>
      <c r="GB2450"/>
      <c r="GC2450"/>
      <c r="GD2450"/>
      <c r="GE2450"/>
      <c r="GF2450"/>
      <c r="GG2450"/>
      <c r="GH2450"/>
      <c r="GI2450"/>
      <c r="GJ2450"/>
      <c r="GK2450"/>
      <c r="GL2450"/>
      <c r="GM2450"/>
      <c r="GN2450"/>
      <c r="GO2450"/>
    </row>
    <row r="2451" spans="107:197">
      <c r="DC2451"/>
      <c r="FH2451"/>
      <c r="FI2451"/>
      <c r="FJ2451"/>
      <c r="FK2451"/>
      <c r="FL2451"/>
      <c r="FM2451"/>
      <c r="FN2451"/>
      <c r="FO2451"/>
      <c r="FP2451"/>
      <c r="FQ2451"/>
      <c r="FR2451"/>
      <c r="FS2451"/>
      <c r="FT2451"/>
      <c r="FU2451"/>
      <c r="FV2451"/>
      <c r="FW2451"/>
      <c r="FX2451"/>
      <c r="FY2451"/>
      <c r="FZ2451"/>
      <c r="GA2451"/>
      <c r="GB2451"/>
      <c r="GC2451"/>
      <c r="GD2451"/>
      <c r="GE2451"/>
      <c r="GF2451"/>
      <c r="GG2451"/>
      <c r="GH2451"/>
      <c r="GI2451"/>
      <c r="GJ2451"/>
      <c r="GK2451"/>
      <c r="GL2451"/>
      <c r="GM2451"/>
      <c r="GN2451"/>
      <c r="GO2451"/>
    </row>
    <row r="2452" spans="107:197">
      <c r="DC2452"/>
      <c r="FH2452"/>
      <c r="FI2452"/>
      <c r="FJ2452"/>
      <c r="FK2452"/>
      <c r="FL2452"/>
      <c r="FM2452"/>
      <c r="FN2452"/>
      <c r="FO2452"/>
      <c r="FP2452"/>
      <c r="FQ2452"/>
      <c r="FR2452"/>
      <c r="FS2452"/>
      <c r="FT2452"/>
      <c r="FU2452"/>
      <c r="FV2452"/>
      <c r="FW2452"/>
      <c r="FX2452"/>
      <c r="FY2452"/>
      <c r="FZ2452"/>
      <c r="GA2452"/>
      <c r="GB2452"/>
      <c r="GC2452"/>
      <c r="GD2452"/>
      <c r="GE2452"/>
      <c r="GF2452"/>
      <c r="GG2452"/>
      <c r="GH2452"/>
      <c r="GI2452"/>
      <c r="GJ2452"/>
      <c r="GK2452"/>
      <c r="GL2452"/>
      <c r="GM2452"/>
      <c r="GN2452"/>
      <c r="GO2452"/>
    </row>
    <row r="2453" spans="107:197">
      <c r="DC2453"/>
      <c r="FH2453"/>
      <c r="FI2453"/>
      <c r="FJ2453"/>
      <c r="FK2453"/>
      <c r="FL2453"/>
      <c r="FM2453"/>
      <c r="FN2453"/>
      <c r="FO2453"/>
      <c r="FP2453"/>
      <c r="FQ2453"/>
      <c r="FR2453"/>
      <c r="FS2453"/>
      <c r="FT2453"/>
      <c r="FU2453"/>
      <c r="FV2453"/>
      <c r="FW2453"/>
      <c r="FX2453"/>
      <c r="FY2453"/>
      <c r="FZ2453"/>
      <c r="GA2453"/>
      <c r="GB2453"/>
      <c r="GC2453"/>
      <c r="GD2453"/>
      <c r="GE2453"/>
      <c r="GF2453"/>
      <c r="GG2453"/>
      <c r="GH2453"/>
      <c r="GI2453"/>
      <c r="GJ2453"/>
      <c r="GK2453"/>
      <c r="GL2453"/>
      <c r="GM2453"/>
      <c r="GN2453"/>
      <c r="GO2453"/>
    </row>
    <row r="2454" spans="107:197">
      <c r="DC2454"/>
      <c r="FH2454"/>
      <c r="FI2454"/>
      <c r="FJ2454"/>
      <c r="FK2454"/>
      <c r="FL2454"/>
      <c r="FM2454"/>
      <c r="FN2454"/>
      <c r="FO2454"/>
      <c r="FP2454"/>
      <c r="FQ2454"/>
      <c r="FR2454"/>
      <c r="FS2454"/>
      <c r="FT2454"/>
      <c r="FU2454"/>
      <c r="FV2454"/>
      <c r="FW2454"/>
      <c r="FX2454"/>
      <c r="FY2454"/>
      <c r="FZ2454"/>
      <c r="GA2454"/>
      <c r="GB2454"/>
      <c r="GC2454"/>
      <c r="GD2454"/>
      <c r="GE2454"/>
      <c r="GF2454"/>
      <c r="GG2454"/>
      <c r="GH2454"/>
      <c r="GI2454"/>
      <c r="GJ2454"/>
      <c r="GK2454"/>
      <c r="GL2454"/>
      <c r="GM2454"/>
      <c r="GN2454"/>
      <c r="GO2454"/>
    </row>
    <row r="2455" spans="107:197">
      <c r="DC2455"/>
      <c r="FH2455"/>
      <c r="FI2455"/>
      <c r="FJ2455"/>
      <c r="FK2455"/>
      <c r="FL2455"/>
      <c r="FM2455"/>
      <c r="FN2455"/>
      <c r="FO2455"/>
      <c r="FP2455"/>
      <c r="FQ2455"/>
      <c r="FR2455"/>
      <c r="FS2455"/>
      <c r="FT2455"/>
      <c r="FU2455"/>
      <c r="FV2455"/>
      <c r="FW2455"/>
      <c r="FX2455"/>
      <c r="FY2455"/>
      <c r="FZ2455"/>
      <c r="GA2455"/>
      <c r="GB2455"/>
      <c r="GC2455"/>
      <c r="GD2455"/>
      <c r="GE2455"/>
      <c r="GF2455"/>
      <c r="GG2455"/>
      <c r="GH2455"/>
      <c r="GI2455"/>
      <c r="GJ2455"/>
      <c r="GK2455"/>
      <c r="GL2455"/>
      <c r="GM2455"/>
      <c r="GN2455"/>
      <c r="GO2455"/>
    </row>
    <row r="2456" spans="107:197">
      <c r="DC2456"/>
      <c r="FH2456"/>
      <c r="FI2456"/>
      <c r="FJ2456"/>
      <c r="FK2456"/>
      <c r="FL2456"/>
      <c r="FM2456"/>
      <c r="FN2456"/>
      <c r="FO2456"/>
      <c r="FP2456"/>
      <c r="FQ2456"/>
      <c r="FR2456"/>
      <c r="FS2456"/>
      <c r="FT2456"/>
      <c r="FU2456"/>
      <c r="FV2456"/>
      <c r="FW2456"/>
      <c r="FX2456"/>
      <c r="FY2456"/>
      <c r="FZ2456"/>
      <c r="GA2456"/>
      <c r="GB2456"/>
      <c r="GC2456"/>
      <c r="GD2456"/>
      <c r="GE2456"/>
      <c r="GF2456"/>
      <c r="GG2456"/>
      <c r="GH2456"/>
      <c r="GI2456"/>
      <c r="GJ2456"/>
      <c r="GK2456"/>
      <c r="GL2456"/>
      <c r="GM2456"/>
      <c r="GN2456"/>
      <c r="GO2456"/>
    </row>
    <row r="2457" spans="107:197">
      <c r="DC2457"/>
      <c r="FH2457"/>
      <c r="FI2457"/>
      <c r="FJ2457"/>
      <c r="FK2457"/>
      <c r="FL2457"/>
      <c r="FM2457"/>
      <c r="FN2457"/>
      <c r="FO2457"/>
      <c r="FP2457"/>
      <c r="FQ2457"/>
      <c r="FR2457"/>
      <c r="FS2457"/>
      <c r="FT2457"/>
      <c r="FU2457"/>
      <c r="FV2457"/>
      <c r="FW2457"/>
      <c r="FX2457"/>
      <c r="FY2457"/>
      <c r="FZ2457"/>
      <c r="GA2457"/>
      <c r="GB2457"/>
      <c r="GC2457"/>
      <c r="GD2457"/>
      <c r="GE2457"/>
      <c r="GF2457"/>
      <c r="GG2457"/>
      <c r="GH2457"/>
      <c r="GI2457"/>
      <c r="GJ2457"/>
      <c r="GK2457"/>
      <c r="GL2457"/>
      <c r="GM2457"/>
      <c r="GN2457"/>
      <c r="GO2457"/>
    </row>
    <row r="2458" spans="107:197">
      <c r="DC2458"/>
      <c r="FH2458"/>
      <c r="FI2458"/>
      <c r="FJ2458"/>
      <c r="FK2458"/>
      <c r="FL2458"/>
      <c r="FM2458"/>
      <c r="FN2458"/>
      <c r="FO2458"/>
      <c r="FP2458"/>
      <c r="FQ2458"/>
      <c r="FR2458"/>
      <c r="FS2458"/>
      <c r="FT2458"/>
      <c r="FU2458"/>
      <c r="FV2458"/>
      <c r="FW2458"/>
      <c r="FX2458"/>
      <c r="FY2458"/>
      <c r="FZ2458"/>
      <c r="GA2458"/>
      <c r="GB2458"/>
      <c r="GC2458"/>
      <c r="GD2458"/>
      <c r="GE2458"/>
      <c r="GF2458"/>
      <c r="GG2458"/>
      <c r="GH2458"/>
      <c r="GI2458"/>
      <c r="GJ2458"/>
      <c r="GK2458"/>
      <c r="GL2458"/>
      <c r="GM2458"/>
      <c r="GN2458"/>
      <c r="GO2458"/>
    </row>
    <row r="2459" spans="107:197">
      <c r="DC2459"/>
      <c r="FH2459"/>
      <c r="FI2459"/>
      <c r="FJ2459"/>
      <c r="FK2459"/>
      <c r="FL2459"/>
      <c r="FM2459"/>
      <c r="FN2459"/>
      <c r="FO2459"/>
      <c r="FP2459"/>
      <c r="FQ2459"/>
      <c r="FR2459"/>
      <c r="FS2459"/>
      <c r="FT2459"/>
      <c r="FU2459"/>
      <c r="FV2459"/>
      <c r="FW2459"/>
      <c r="FX2459"/>
      <c r="FY2459"/>
      <c r="FZ2459"/>
      <c r="GA2459"/>
      <c r="GB2459"/>
      <c r="GC2459"/>
      <c r="GD2459"/>
      <c r="GE2459"/>
      <c r="GF2459"/>
      <c r="GG2459"/>
      <c r="GH2459"/>
      <c r="GI2459"/>
      <c r="GJ2459"/>
      <c r="GK2459"/>
      <c r="GL2459"/>
      <c r="GM2459"/>
      <c r="GN2459"/>
      <c r="GO2459"/>
    </row>
    <row r="2460" spans="107:197">
      <c r="DC2460"/>
      <c r="FH2460"/>
      <c r="FI2460"/>
      <c r="FJ2460"/>
      <c r="FK2460"/>
      <c r="FL2460"/>
      <c r="FM2460"/>
      <c r="FN2460"/>
      <c r="FO2460"/>
      <c r="FP2460"/>
      <c r="FQ2460"/>
      <c r="FR2460"/>
      <c r="FS2460"/>
      <c r="FT2460"/>
      <c r="FU2460"/>
      <c r="FV2460"/>
      <c r="FW2460"/>
      <c r="FX2460"/>
      <c r="FY2460"/>
      <c r="FZ2460"/>
      <c r="GA2460"/>
      <c r="GB2460"/>
      <c r="GC2460"/>
      <c r="GD2460"/>
      <c r="GE2460"/>
      <c r="GF2460"/>
      <c r="GG2460"/>
      <c r="GH2460"/>
      <c r="GI2460"/>
      <c r="GJ2460"/>
      <c r="GK2460"/>
      <c r="GL2460"/>
      <c r="GM2460"/>
      <c r="GN2460"/>
      <c r="GO2460"/>
    </row>
    <row r="2461" spans="107:197">
      <c r="DC2461"/>
      <c r="FH2461"/>
      <c r="FI2461"/>
      <c r="FJ2461"/>
      <c r="FK2461"/>
      <c r="FL2461"/>
      <c r="FM2461"/>
      <c r="FN2461"/>
      <c r="FO2461"/>
      <c r="FP2461"/>
      <c r="FQ2461"/>
      <c r="FR2461"/>
      <c r="FS2461"/>
      <c r="FT2461"/>
      <c r="FU2461"/>
      <c r="FV2461"/>
      <c r="FW2461"/>
      <c r="FX2461"/>
      <c r="FY2461"/>
      <c r="FZ2461"/>
      <c r="GA2461"/>
      <c r="GB2461"/>
      <c r="GC2461"/>
      <c r="GD2461"/>
      <c r="GE2461"/>
      <c r="GF2461"/>
      <c r="GG2461"/>
      <c r="GH2461"/>
      <c r="GI2461"/>
      <c r="GJ2461"/>
      <c r="GK2461"/>
      <c r="GL2461"/>
      <c r="GM2461"/>
      <c r="GN2461"/>
      <c r="GO2461"/>
    </row>
    <row r="2462" spans="107:197">
      <c r="DC2462"/>
      <c r="FH2462"/>
      <c r="FI2462"/>
      <c r="FJ2462"/>
      <c r="FK2462"/>
      <c r="FL2462"/>
      <c r="FM2462"/>
      <c r="FN2462"/>
      <c r="FO2462"/>
      <c r="FP2462"/>
      <c r="FQ2462"/>
      <c r="FR2462"/>
      <c r="FS2462"/>
      <c r="FT2462"/>
      <c r="FU2462"/>
      <c r="FV2462"/>
      <c r="FW2462"/>
      <c r="FX2462"/>
      <c r="FY2462"/>
      <c r="FZ2462"/>
      <c r="GA2462"/>
      <c r="GB2462"/>
      <c r="GC2462"/>
      <c r="GD2462"/>
      <c r="GE2462"/>
      <c r="GF2462"/>
      <c r="GG2462"/>
      <c r="GH2462"/>
      <c r="GI2462"/>
      <c r="GJ2462"/>
      <c r="GK2462"/>
      <c r="GL2462"/>
      <c r="GM2462"/>
      <c r="GN2462"/>
      <c r="GO2462"/>
    </row>
    <row r="2463" spans="107:197">
      <c r="DC2463"/>
      <c r="FH2463"/>
      <c r="FI2463"/>
      <c r="FJ2463"/>
      <c r="FK2463"/>
      <c r="FL2463"/>
      <c r="FM2463"/>
      <c r="FN2463"/>
      <c r="FO2463"/>
      <c r="FP2463"/>
      <c r="FQ2463"/>
      <c r="FR2463"/>
      <c r="FS2463"/>
      <c r="FT2463"/>
      <c r="FU2463"/>
      <c r="FV2463"/>
      <c r="FW2463"/>
      <c r="FX2463"/>
      <c r="FY2463"/>
      <c r="FZ2463"/>
      <c r="GA2463"/>
      <c r="GB2463"/>
      <c r="GC2463"/>
      <c r="GD2463"/>
      <c r="GE2463"/>
      <c r="GF2463"/>
      <c r="GG2463"/>
      <c r="GH2463"/>
      <c r="GI2463"/>
      <c r="GJ2463"/>
      <c r="GK2463"/>
      <c r="GL2463"/>
      <c r="GM2463"/>
      <c r="GN2463"/>
      <c r="GO2463"/>
    </row>
    <row r="2464" spans="107:197">
      <c r="DC2464"/>
      <c r="FH2464"/>
      <c r="FI2464"/>
      <c r="FJ2464"/>
      <c r="FK2464"/>
      <c r="FL2464"/>
      <c r="FM2464"/>
      <c r="FN2464"/>
      <c r="FO2464"/>
      <c r="FP2464"/>
      <c r="FQ2464"/>
      <c r="FR2464"/>
      <c r="FS2464"/>
      <c r="FT2464"/>
      <c r="FU2464"/>
      <c r="FV2464"/>
      <c r="FW2464"/>
      <c r="FX2464"/>
      <c r="FY2464"/>
      <c r="FZ2464"/>
      <c r="GA2464"/>
      <c r="GB2464"/>
      <c r="GC2464"/>
      <c r="GD2464"/>
      <c r="GE2464"/>
      <c r="GF2464"/>
      <c r="GG2464"/>
      <c r="GH2464"/>
      <c r="GI2464"/>
      <c r="GJ2464"/>
      <c r="GK2464"/>
      <c r="GL2464"/>
      <c r="GM2464"/>
      <c r="GN2464"/>
      <c r="GO2464"/>
    </row>
    <row r="2465" spans="107:197">
      <c r="DC2465"/>
      <c r="FH2465"/>
      <c r="FI2465"/>
      <c r="FJ2465"/>
      <c r="FK2465"/>
      <c r="FL2465"/>
      <c r="FM2465"/>
      <c r="FN2465"/>
      <c r="FO2465"/>
      <c r="FP2465"/>
      <c r="FQ2465"/>
      <c r="FR2465"/>
      <c r="FS2465"/>
      <c r="FT2465"/>
      <c r="FU2465"/>
      <c r="FV2465"/>
      <c r="FW2465"/>
      <c r="FX2465"/>
      <c r="FY2465"/>
      <c r="FZ2465"/>
      <c r="GA2465"/>
      <c r="GB2465"/>
      <c r="GC2465"/>
      <c r="GD2465"/>
      <c r="GE2465"/>
      <c r="GF2465"/>
      <c r="GG2465"/>
      <c r="GH2465"/>
      <c r="GI2465"/>
      <c r="GJ2465"/>
      <c r="GK2465"/>
      <c r="GL2465"/>
      <c r="GM2465"/>
      <c r="GN2465"/>
      <c r="GO2465"/>
    </row>
    <row r="2466" spans="107:197">
      <c r="DC2466"/>
      <c r="FH2466"/>
      <c r="FI2466"/>
      <c r="FJ2466"/>
      <c r="FK2466"/>
      <c r="FL2466"/>
      <c r="FM2466"/>
      <c r="FN2466"/>
      <c r="FO2466"/>
      <c r="FP2466"/>
      <c r="FQ2466"/>
      <c r="FR2466"/>
      <c r="FS2466"/>
      <c r="FT2466"/>
      <c r="FU2466"/>
      <c r="FV2466"/>
      <c r="FW2466"/>
      <c r="FX2466"/>
      <c r="FY2466"/>
      <c r="FZ2466"/>
      <c r="GA2466"/>
      <c r="GB2466"/>
      <c r="GC2466"/>
      <c r="GD2466"/>
      <c r="GE2466"/>
      <c r="GF2466"/>
      <c r="GG2466"/>
      <c r="GH2466"/>
      <c r="GI2466"/>
      <c r="GJ2466"/>
      <c r="GK2466"/>
      <c r="GL2466"/>
      <c r="GM2466"/>
      <c r="GN2466"/>
      <c r="GO2466"/>
    </row>
    <row r="2467" spans="107:197">
      <c r="DC2467"/>
      <c r="FH2467"/>
      <c r="FI2467"/>
      <c r="FJ2467"/>
      <c r="FK2467"/>
      <c r="FL2467"/>
      <c r="FM2467"/>
      <c r="FN2467"/>
      <c r="FO2467"/>
      <c r="FP2467"/>
      <c r="FQ2467"/>
      <c r="FR2467"/>
      <c r="FS2467"/>
      <c r="FT2467"/>
      <c r="FU2467"/>
      <c r="FV2467"/>
      <c r="FW2467"/>
      <c r="FX2467"/>
      <c r="FY2467"/>
      <c r="FZ2467"/>
      <c r="GA2467"/>
      <c r="GB2467"/>
      <c r="GC2467"/>
      <c r="GD2467"/>
      <c r="GE2467"/>
      <c r="GF2467"/>
      <c r="GG2467"/>
      <c r="GH2467"/>
      <c r="GI2467"/>
      <c r="GJ2467"/>
      <c r="GK2467"/>
      <c r="GL2467"/>
      <c r="GM2467"/>
      <c r="GN2467"/>
      <c r="GO2467"/>
    </row>
    <row r="2468" spans="107:197">
      <c r="DC2468"/>
      <c r="FH2468"/>
      <c r="FI2468"/>
      <c r="FJ2468"/>
      <c r="FK2468"/>
      <c r="FL2468"/>
      <c r="FM2468"/>
      <c r="FN2468"/>
      <c r="FO2468"/>
      <c r="FP2468"/>
      <c r="FQ2468"/>
      <c r="FR2468"/>
      <c r="FS2468"/>
      <c r="FT2468"/>
      <c r="FU2468"/>
      <c r="FV2468"/>
      <c r="FW2468"/>
      <c r="FX2468"/>
      <c r="FY2468"/>
      <c r="FZ2468"/>
      <c r="GA2468"/>
      <c r="GB2468"/>
      <c r="GC2468"/>
      <c r="GD2468"/>
      <c r="GE2468"/>
      <c r="GF2468"/>
      <c r="GG2468"/>
      <c r="GH2468"/>
      <c r="GI2468"/>
      <c r="GJ2468"/>
      <c r="GK2468"/>
      <c r="GL2468"/>
      <c r="GM2468"/>
      <c r="GN2468"/>
      <c r="GO2468"/>
    </row>
    <row r="2469" spans="107:197">
      <c r="DC2469"/>
      <c r="FH2469"/>
      <c r="FI2469"/>
      <c r="FJ2469"/>
      <c r="FK2469"/>
      <c r="FL2469"/>
      <c r="FM2469"/>
      <c r="FN2469"/>
      <c r="FO2469"/>
      <c r="FP2469"/>
      <c r="FQ2469"/>
      <c r="FR2469"/>
      <c r="FS2469"/>
      <c r="FT2469"/>
      <c r="FU2469"/>
      <c r="FV2469"/>
      <c r="FW2469"/>
      <c r="FX2469"/>
      <c r="FY2469"/>
      <c r="FZ2469"/>
      <c r="GA2469"/>
      <c r="GB2469"/>
      <c r="GC2469"/>
      <c r="GD2469"/>
      <c r="GE2469"/>
      <c r="GF2469"/>
      <c r="GG2469"/>
      <c r="GH2469"/>
      <c r="GI2469"/>
      <c r="GJ2469"/>
      <c r="GK2469"/>
      <c r="GL2469"/>
      <c r="GM2469"/>
      <c r="GN2469"/>
      <c r="GO2469"/>
    </row>
    <row r="2470" spans="107:197">
      <c r="DC2470"/>
      <c r="FH2470"/>
      <c r="FI2470"/>
      <c r="FJ2470"/>
      <c r="FK2470"/>
      <c r="FL2470"/>
      <c r="FM2470"/>
      <c r="FN2470"/>
      <c r="FO2470"/>
      <c r="FP2470"/>
      <c r="FQ2470"/>
      <c r="FR2470"/>
      <c r="FS2470"/>
      <c r="FT2470"/>
      <c r="FU2470"/>
      <c r="FV2470"/>
      <c r="FW2470"/>
      <c r="FX2470"/>
      <c r="FY2470"/>
      <c r="FZ2470"/>
      <c r="GA2470"/>
      <c r="GB2470"/>
      <c r="GC2470"/>
      <c r="GD2470"/>
      <c r="GE2470"/>
      <c r="GF2470"/>
      <c r="GG2470"/>
      <c r="GH2470"/>
      <c r="GI2470"/>
      <c r="GJ2470"/>
      <c r="GK2470"/>
      <c r="GL2470"/>
      <c r="GM2470"/>
      <c r="GN2470"/>
      <c r="GO2470"/>
    </row>
    <row r="2471" spans="107:197">
      <c r="DC2471"/>
      <c r="FH2471"/>
      <c r="FI2471"/>
      <c r="FJ2471"/>
      <c r="FK2471"/>
      <c r="FL2471"/>
      <c r="FM2471"/>
      <c r="FN2471"/>
      <c r="FO2471"/>
      <c r="FP2471"/>
      <c r="FQ2471"/>
      <c r="FR2471"/>
      <c r="FS2471"/>
      <c r="FT2471"/>
      <c r="FU2471"/>
      <c r="FV2471"/>
      <c r="FW2471"/>
      <c r="FX2471"/>
      <c r="FY2471"/>
      <c r="FZ2471"/>
      <c r="GA2471"/>
      <c r="GB2471"/>
      <c r="GC2471"/>
      <c r="GD2471"/>
      <c r="GE2471"/>
      <c r="GF2471"/>
      <c r="GG2471"/>
      <c r="GH2471"/>
      <c r="GI2471"/>
      <c r="GJ2471"/>
      <c r="GK2471"/>
      <c r="GL2471"/>
      <c r="GM2471"/>
      <c r="GN2471"/>
      <c r="GO2471"/>
    </row>
    <row r="2472" spans="107:197">
      <c r="DC2472"/>
      <c r="FH2472"/>
      <c r="FI2472"/>
      <c r="FJ2472"/>
      <c r="FK2472"/>
      <c r="FL2472"/>
      <c r="FM2472"/>
      <c r="FN2472"/>
      <c r="FO2472"/>
      <c r="FP2472"/>
      <c r="FQ2472"/>
      <c r="FR2472"/>
      <c r="FS2472"/>
      <c r="FT2472"/>
      <c r="FU2472"/>
      <c r="FV2472"/>
      <c r="FW2472"/>
      <c r="FX2472"/>
      <c r="FY2472"/>
      <c r="FZ2472"/>
      <c r="GA2472"/>
      <c r="GB2472"/>
      <c r="GC2472"/>
      <c r="GD2472"/>
      <c r="GE2472"/>
      <c r="GF2472"/>
      <c r="GG2472"/>
      <c r="GH2472"/>
      <c r="GI2472"/>
      <c r="GJ2472"/>
      <c r="GK2472"/>
      <c r="GL2472"/>
      <c r="GM2472"/>
      <c r="GN2472"/>
      <c r="GO2472"/>
    </row>
    <row r="2473" spans="107:197">
      <c r="DC2473"/>
      <c r="FH2473"/>
      <c r="FI2473"/>
      <c r="FJ2473"/>
      <c r="FK2473"/>
      <c r="FL2473"/>
      <c r="FM2473"/>
      <c r="FN2473"/>
      <c r="FO2473"/>
      <c r="FP2473"/>
      <c r="FQ2473"/>
      <c r="FR2473"/>
      <c r="FS2473"/>
      <c r="FT2473"/>
      <c r="FU2473"/>
      <c r="FV2473"/>
      <c r="FW2473"/>
      <c r="FX2473"/>
      <c r="FY2473"/>
      <c r="FZ2473"/>
      <c r="GA2473"/>
      <c r="GB2473"/>
      <c r="GC2473"/>
      <c r="GD2473"/>
      <c r="GE2473"/>
      <c r="GF2473"/>
      <c r="GG2473"/>
      <c r="GH2473"/>
      <c r="GI2473"/>
      <c r="GJ2473"/>
      <c r="GK2473"/>
      <c r="GL2473"/>
      <c r="GM2473"/>
      <c r="GN2473"/>
      <c r="GO2473"/>
    </row>
    <row r="2474" spans="107:197">
      <c r="DC2474"/>
      <c r="FH2474"/>
      <c r="FI2474"/>
      <c r="FJ2474"/>
      <c r="FK2474"/>
      <c r="FL2474"/>
      <c r="FM2474"/>
      <c r="FN2474"/>
      <c r="FO2474"/>
      <c r="FP2474"/>
      <c r="FQ2474"/>
      <c r="FR2474"/>
      <c r="FS2474"/>
      <c r="FT2474"/>
      <c r="FU2474"/>
      <c r="FV2474"/>
      <c r="FW2474"/>
      <c r="FX2474"/>
      <c r="FY2474"/>
      <c r="FZ2474"/>
      <c r="GA2474"/>
      <c r="GB2474"/>
      <c r="GC2474"/>
      <c r="GD2474"/>
      <c r="GE2474"/>
      <c r="GF2474"/>
      <c r="GG2474"/>
      <c r="GH2474"/>
      <c r="GI2474"/>
      <c r="GJ2474"/>
      <c r="GK2474"/>
      <c r="GL2474"/>
      <c r="GM2474"/>
      <c r="GN2474"/>
      <c r="GO2474"/>
    </row>
    <row r="2475" spans="107:197">
      <c r="DC2475"/>
      <c r="FH2475"/>
      <c r="FI2475"/>
      <c r="FJ2475"/>
      <c r="FK2475"/>
      <c r="FL2475"/>
      <c r="FM2475"/>
      <c r="FN2475"/>
      <c r="FO2475"/>
      <c r="FP2475"/>
      <c r="FQ2475"/>
      <c r="FR2475"/>
      <c r="FS2475"/>
      <c r="FT2475"/>
      <c r="FU2475"/>
      <c r="FV2475"/>
      <c r="FW2475"/>
      <c r="FX2475"/>
      <c r="FY2475"/>
      <c r="FZ2475"/>
      <c r="GA2475"/>
      <c r="GB2475"/>
      <c r="GC2475"/>
      <c r="GD2475"/>
      <c r="GE2475"/>
      <c r="GF2475"/>
      <c r="GG2475"/>
      <c r="GH2475"/>
      <c r="GI2475"/>
      <c r="GJ2475"/>
      <c r="GK2475"/>
      <c r="GL2475"/>
      <c r="GM2475"/>
      <c r="GN2475"/>
      <c r="GO2475"/>
    </row>
    <row r="2476" spans="107:197">
      <c r="DC2476"/>
      <c r="FH2476"/>
      <c r="FI2476"/>
      <c r="FJ2476"/>
      <c r="FK2476"/>
      <c r="FL2476"/>
      <c r="FM2476"/>
      <c r="FN2476"/>
      <c r="FO2476"/>
      <c r="FP2476"/>
      <c r="FQ2476"/>
      <c r="FR2476"/>
      <c r="FS2476"/>
      <c r="FT2476"/>
      <c r="FU2476"/>
      <c r="FV2476"/>
      <c r="FW2476"/>
      <c r="FX2476"/>
      <c r="FY2476"/>
      <c r="FZ2476"/>
      <c r="GA2476"/>
      <c r="GB2476"/>
      <c r="GC2476"/>
      <c r="GD2476"/>
      <c r="GE2476"/>
      <c r="GF2476"/>
      <c r="GG2476"/>
      <c r="GH2476"/>
      <c r="GI2476"/>
      <c r="GJ2476"/>
      <c r="GK2476"/>
      <c r="GL2476"/>
      <c r="GM2476"/>
      <c r="GN2476"/>
      <c r="GO2476"/>
    </row>
    <row r="2477" spans="107:197">
      <c r="DC2477"/>
      <c r="FH2477"/>
      <c r="FI2477"/>
      <c r="FJ2477"/>
      <c r="FK2477"/>
      <c r="FL2477"/>
      <c r="FM2477"/>
      <c r="FN2477"/>
      <c r="FO2477"/>
      <c r="FP2477"/>
      <c r="FQ2477"/>
      <c r="FR2477"/>
      <c r="FS2477"/>
      <c r="FT2477"/>
      <c r="FU2477"/>
      <c r="FV2477"/>
      <c r="FW2477"/>
      <c r="FX2477"/>
      <c r="FY2477"/>
      <c r="FZ2477"/>
      <c r="GA2477"/>
      <c r="GB2477"/>
      <c r="GC2477"/>
      <c r="GD2477"/>
      <c r="GE2477"/>
      <c r="GF2477"/>
      <c r="GG2477"/>
      <c r="GH2477"/>
      <c r="GI2477"/>
      <c r="GJ2477"/>
      <c r="GK2477"/>
      <c r="GL2477"/>
      <c r="GM2477"/>
      <c r="GN2477"/>
      <c r="GO2477"/>
    </row>
    <row r="2478" spans="107:197">
      <c r="DC2478"/>
      <c r="FH2478"/>
      <c r="FI2478"/>
      <c r="FJ2478"/>
      <c r="FK2478"/>
      <c r="FL2478"/>
      <c r="FM2478"/>
      <c r="FN2478"/>
      <c r="FO2478"/>
      <c r="FP2478"/>
      <c r="FQ2478"/>
      <c r="FR2478"/>
      <c r="FS2478"/>
      <c r="FT2478"/>
      <c r="FU2478"/>
      <c r="FV2478"/>
      <c r="FW2478"/>
      <c r="FX2478"/>
      <c r="FY2478"/>
      <c r="FZ2478"/>
      <c r="GA2478"/>
      <c r="GB2478"/>
      <c r="GC2478"/>
      <c r="GD2478"/>
      <c r="GE2478"/>
      <c r="GF2478"/>
      <c r="GG2478"/>
      <c r="GH2478"/>
      <c r="GI2478"/>
      <c r="GJ2478"/>
      <c r="GK2478"/>
      <c r="GL2478"/>
      <c r="GM2478"/>
      <c r="GN2478"/>
      <c r="GO2478"/>
    </row>
    <row r="2479" spans="107:197">
      <c r="DC2479"/>
      <c r="FH2479"/>
      <c r="FI2479"/>
      <c r="FJ2479"/>
      <c r="FK2479"/>
      <c r="FL2479"/>
      <c r="FM2479"/>
      <c r="FN2479"/>
      <c r="FO2479"/>
      <c r="FP2479"/>
      <c r="FQ2479"/>
      <c r="FR2479"/>
      <c r="FS2479"/>
      <c r="FT2479"/>
      <c r="FU2479"/>
      <c r="FV2479"/>
      <c r="FW2479"/>
      <c r="FX2479"/>
      <c r="FY2479"/>
      <c r="FZ2479"/>
      <c r="GA2479"/>
      <c r="GB2479"/>
      <c r="GC2479"/>
      <c r="GD2479"/>
      <c r="GE2479"/>
      <c r="GF2479"/>
      <c r="GG2479"/>
      <c r="GH2479"/>
      <c r="GI2479"/>
      <c r="GJ2479"/>
      <c r="GK2479"/>
      <c r="GL2479"/>
      <c r="GM2479"/>
      <c r="GN2479"/>
      <c r="GO2479"/>
    </row>
    <row r="2480" spans="107:197">
      <c r="DC2480"/>
      <c r="FH2480"/>
      <c r="FI2480"/>
      <c r="FJ2480"/>
      <c r="FK2480"/>
      <c r="FL2480"/>
      <c r="FM2480"/>
      <c r="FN2480"/>
      <c r="FO2480"/>
      <c r="FP2480"/>
      <c r="FQ2480"/>
      <c r="FR2480"/>
      <c r="FS2480"/>
      <c r="FT2480"/>
      <c r="FU2480"/>
      <c r="FV2480"/>
      <c r="FW2480"/>
      <c r="FX2480"/>
      <c r="FY2480"/>
      <c r="FZ2480"/>
      <c r="GA2480"/>
      <c r="GB2480"/>
      <c r="GC2480"/>
      <c r="GD2480"/>
      <c r="GE2480"/>
      <c r="GF2480"/>
      <c r="GG2480"/>
      <c r="GH2480"/>
      <c r="GI2480"/>
      <c r="GJ2480"/>
      <c r="GK2480"/>
      <c r="GL2480"/>
      <c r="GM2480"/>
      <c r="GN2480"/>
      <c r="GO2480"/>
    </row>
    <row r="2481" spans="107:197">
      <c r="DC2481"/>
      <c r="FH2481"/>
      <c r="FI2481"/>
      <c r="FJ2481"/>
      <c r="FK2481"/>
      <c r="FL2481"/>
      <c r="FM2481"/>
      <c r="FN2481"/>
      <c r="FO2481"/>
      <c r="FP2481"/>
      <c r="FQ2481"/>
      <c r="FR2481"/>
      <c r="FS2481"/>
      <c r="FT2481"/>
      <c r="FU2481"/>
      <c r="FV2481"/>
      <c r="FW2481"/>
      <c r="FX2481"/>
      <c r="FY2481"/>
      <c r="FZ2481"/>
      <c r="GA2481"/>
      <c r="GB2481"/>
      <c r="GC2481"/>
      <c r="GD2481"/>
      <c r="GE2481"/>
      <c r="GF2481"/>
      <c r="GG2481"/>
      <c r="GH2481"/>
      <c r="GI2481"/>
      <c r="GJ2481"/>
      <c r="GK2481"/>
      <c r="GL2481"/>
      <c r="GM2481"/>
      <c r="GN2481"/>
      <c r="GO2481"/>
    </row>
    <row r="2482" spans="107:197">
      <c r="DC2482"/>
      <c r="FH2482"/>
      <c r="FI2482"/>
      <c r="FJ2482"/>
      <c r="FK2482"/>
      <c r="FL2482"/>
      <c r="FM2482"/>
      <c r="FN2482"/>
      <c r="FO2482"/>
      <c r="FP2482"/>
      <c r="FQ2482"/>
      <c r="FR2482"/>
      <c r="FS2482"/>
      <c r="FT2482"/>
      <c r="FU2482"/>
      <c r="FV2482"/>
      <c r="FW2482"/>
      <c r="FX2482"/>
      <c r="FY2482"/>
      <c r="FZ2482"/>
      <c r="GA2482"/>
      <c r="GB2482"/>
      <c r="GC2482"/>
      <c r="GD2482"/>
      <c r="GE2482"/>
      <c r="GF2482"/>
      <c r="GG2482"/>
      <c r="GH2482"/>
      <c r="GI2482"/>
      <c r="GJ2482"/>
      <c r="GK2482"/>
      <c r="GL2482"/>
      <c r="GM2482"/>
      <c r="GN2482"/>
      <c r="GO2482"/>
    </row>
    <row r="2483" spans="107:197">
      <c r="DC2483"/>
      <c r="FH2483"/>
      <c r="FI2483"/>
      <c r="FJ2483"/>
      <c r="FK2483"/>
      <c r="FL2483"/>
      <c r="FM2483"/>
      <c r="FN2483"/>
      <c r="FO2483"/>
      <c r="FP2483"/>
      <c r="FQ2483"/>
      <c r="FR2483"/>
      <c r="FS2483"/>
      <c r="FT2483"/>
      <c r="FU2483"/>
      <c r="FV2483"/>
      <c r="FW2483"/>
      <c r="FX2483"/>
      <c r="FY2483"/>
      <c r="FZ2483"/>
      <c r="GA2483"/>
      <c r="GB2483"/>
      <c r="GC2483"/>
      <c r="GD2483"/>
      <c r="GE2483"/>
      <c r="GF2483"/>
      <c r="GG2483"/>
      <c r="GH2483"/>
      <c r="GI2483"/>
      <c r="GJ2483"/>
      <c r="GK2483"/>
      <c r="GL2483"/>
      <c r="GM2483"/>
      <c r="GN2483"/>
      <c r="GO2483"/>
    </row>
    <row r="2484" spans="107:197">
      <c r="DC2484"/>
      <c r="FH2484"/>
      <c r="FI2484"/>
      <c r="FJ2484"/>
      <c r="FK2484"/>
      <c r="FL2484"/>
      <c r="FM2484"/>
      <c r="FN2484"/>
      <c r="FO2484"/>
      <c r="FP2484"/>
      <c r="FQ2484"/>
      <c r="FR2484"/>
      <c r="FS2484"/>
      <c r="FT2484"/>
      <c r="FU2484"/>
      <c r="FV2484"/>
      <c r="FW2484"/>
      <c r="FX2484"/>
      <c r="FY2484"/>
      <c r="FZ2484"/>
      <c r="GA2484"/>
      <c r="GB2484"/>
      <c r="GC2484"/>
      <c r="GD2484"/>
      <c r="GE2484"/>
      <c r="GF2484"/>
      <c r="GG2484"/>
      <c r="GH2484"/>
      <c r="GI2484"/>
      <c r="GJ2484"/>
      <c r="GK2484"/>
      <c r="GL2484"/>
      <c r="GM2484"/>
      <c r="GN2484"/>
      <c r="GO2484"/>
    </row>
    <row r="2485" spans="107:197">
      <c r="DC2485"/>
      <c r="FH2485"/>
      <c r="FI2485"/>
      <c r="FJ2485"/>
      <c r="FK2485"/>
      <c r="FL2485"/>
      <c r="FM2485"/>
      <c r="FN2485"/>
      <c r="FO2485"/>
      <c r="FP2485"/>
      <c r="FQ2485"/>
      <c r="FR2485"/>
      <c r="FS2485"/>
      <c r="FT2485"/>
      <c r="FU2485"/>
      <c r="FV2485"/>
      <c r="FW2485"/>
      <c r="FX2485"/>
      <c r="FY2485"/>
      <c r="FZ2485"/>
      <c r="GA2485"/>
      <c r="GB2485"/>
      <c r="GC2485"/>
      <c r="GD2485"/>
      <c r="GE2485"/>
      <c r="GF2485"/>
      <c r="GG2485"/>
      <c r="GH2485"/>
      <c r="GI2485"/>
      <c r="GJ2485"/>
      <c r="GK2485"/>
      <c r="GL2485"/>
      <c r="GM2485"/>
      <c r="GN2485"/>
      <c r="GO2485"/>
    </row>
    <row r="2486" spans="107:197">
      <c r="DC2486"/>
      <c r="FH2486"/>
      <c r="FI2486"/>
      <c r="FJ2486"/>
      <c r="FK2486"/>
      <c r="FL2486"/>
      <c r="FM2486"/>
      <c r="FN2486"/>
      <c r="FO2486"/>
      <c r="FP2486"/>
      <c r="FQ2486"/>
      <c r="FR2486"/>
      <c r="FS2486"/>
      <c r="FT2486"/>
      <c r="FU2486"/>
      <c r="FV2486"/>
      <c r="FW2486"/>
      <c r="FX2486"/>
      <c r="FY2486"/>
      <c r="FZ2486"/>
      <c r="GA2486"/>
      <c r="GB2486"/>
      <c r="GC2486"/>
      <c r="GD2486"/>
      <c r="GE2486"/>
      <c r="GF2486"/>
      <c r="GG2486"/>
      <c r="GH2486"/>
      <c r="GI2486"/>
      <c r="GJ2486"/>
      <c r="GK2486"/>
      <c r="GL2486"/>
      <c r="GM2486"/>
      <c r="GN2486"/>
      <c r="GO2486"/>
    </row>
    <row r="2487" spans="107:197">
      <c r="DC2487"/>
      <c r="FH2487"/>
      <c r="FI2487"/>
      <c r="FJ2487"/>
      <c r="FK2487"/>
      <c r="FL2487"/>
      <c r="FM2487"/>
      <c r="FN2487"/>
      <c r="FO2487"/>
      <c r="FP2487"/>
      <c r="FQ2487"/>
      <c r="FR2487"/>
      <c r="FS2487"/>
      <c r="FT2487"/>
      <c r="FU2487"/>
      <c r="FV2487"/>
      <c r="FW2487"/>
      <c r="FX2487"/>
      <c r="FY2487"/>
      <c r="FZ2487"/>
      <c r="GA2487"/>
      <c r="GB2487"/>
      <c r="GC2487"/>
      <c r="GD2487"/>
      <c r="GE2487"/>
      <c r="GF2487"/>
      <c r="GG2487"/>
      <c r="GH2487"/>
      <c r="GI2487"/>
      <c r="GJ2487"/>
      <c r="GK2487"/>
      <c r="GL2487"/>
      <c r="GM2487"/>
      <c r="GN2487"/>
      <c r="GO2487"/>
    </row>
    <row r="2488" spans="107:197">
      <c r="DC2488"/>
      <c r="FH2488"/>
      <c r="FI2488"/>
      <c r="FJ2488"/>
      <c r="FK2488"/>
      <c r="FL2488"/>
      <c r="FM2488"/>
      <c r="FN2488"/>
      <c r="FO2488"/>
      <c r="FP2488"/>
      <c r="FQ2488"/>
      <c r="FR2488"/>
      <c r="FS2488"/>
      <c r="FT2488"/>
      <c r="FU2488"/>
      <c r="FV2488"/>
      <c r="FW2488"/>
      <c r="FX2488"/>
      <c r="FY2488"/>
      <c r="FZ2488"/>
      <c r="GA2488"/>
      <c r="GB2488"/>
      <c r="GC2488"/>
      <c r="GD2488"/>
      <c r="GE2488"/>
      <c r="GF2488"/>
      <c r="GG2488"/>
      <c r="GH2488"/>
      <c r="GI2488"/>
      <c r="GJ2488"/>
      <c r="GK2488"/>
      <c r="GL2488"/>
      <c r="GM2488"/>
      <c r="GN2488"/>
      <c r="GO2488"/>
    </row>
    <row r="2489" spans="107:197">
      <c r="DC2489"/>
      <c r="FH2489"/>
      <c r="FI2489"/>
      <c r="FJ2489"/>
      <c r="FK2489"/>
      <c r="FL2489"/>
      <c r="FM2489"/>
      <c r="FN2489"/>
      <c r="FO2489"/>
      <c r="FP2489"/>
      <c r="FQ2489"/>
      <c r="FR2489"/>
      <c r="FS2489"/>
      <c r="FT2489"/>
      <c r="FU2489"/>
      <c r="FV2489"/>
      <c r="FW2489"/>
      <c r="FX2489"/>
      <c r="FY2489"/>
      <c r="FZ2489"/>
      <c r="GA2489"/>
      <c r="GB2489"/>
      <c r="GC2489"/>
      <c r="GD2489"/>
      <c r="GE2489"/>
      <c r="GF2489"/>
      <c r="GG2489"/>
      <c r="GH2489"/>
      <c r="GI2489"/>
      <c r="GJ2489"/>
      <c r="GK2489"/>
      <c r="GL2489"/>
      <c r="GM2489"/>
      <c r="GN2489"/>
      <c r="GO2489"/>
    </row>
    <row r="2490" spans="107:197">
      <c r="DC2490"/>
      <c r="FH2490"/>
      <c r="FI2490"/>
      <c r="FJ2490"/>
      <c r="FK2490"/>
      <c r="FL2490"/>
      <c r="FM2490"/>
      <c r="FN2490"/>
      <c r="FO2490"/>
      <c r="FP2490"/>
      <c r="FQ2490"/>
      <c r="FR2490"/>
      <c r="FS2490"/>
      <c r="FT2490"/>
      <c r="FU2490"/>
      <c r="FV2490"/>
      <c r="FW2490"/>
      <c r="FX2490"/>
      <c r="FY2490"/>
      <c r="FZ2490"/>
      <c r="GA2490"/>
      <c r="GB2490"/>
      <c r="GC2490"/>
      <c r="GD2490"/>
      <c r="GE2490"/>
      <c r="GF2490"/>
      <c r="GG2490"/>
      <c r="GH2490"/>
      <c r="GI2490"/>
      <c r="GJ2490"/>
      <c r="GK2490"/>
      <c r="GL2490"/>
      <c r="GM2490"/>
      <c r="GN2490"/>
      <c r="GO2490"/>
    </row>
    <row r="2491" spans="107:197">
      <c r="DC2491"/>
      <c r="FH2491"/>
      <c r="FI2491"/>
      <c r="FJ2491"/>
      <c r="FK2491"/>
      <c r="FL2491"/>
      <c r="FM2491"/>
      <c r="FN2491"/>
      <c r="FO2491"/>
      <c r="FP2491"/>
      <c r="FQ2491"/>
      <c r="FR2491"/>
      <c r="FS2491"/>
      <c r="FT2491"/>
      <c r="FU2491"/>
      <c r="FV2491"/>
      <c r="FW2491"/>
      <c r="FX2491"/>
      <c r="FY2491"/>
      <c r="FZ2491"/>
      <c r="GA2491"/>
      <c r="GB2491"/>
      <c r="GC2491"/>
      <c r="GD2491"/>
      <c r="GE2491"/>
      <c r="GF2491"/>
      <c r="GG2491"/>
      <c r="GH2491"/>
      <c r="GI2491"/>
      <c r="GJ2491"/>
      <c r="GK2491"/>
      <c r="GL2491"/>
      <c r="GM2491"/>
      <c r="GN2491"/>
      <c r="GO2491"/>
    </row>
    <row r="2492" spans="107:197">
      <c r="DC2492"/>
      <c r="FH2492"/>
      <c r="FI2492"/>
      <c r="FJ2492"/>
      <c r="FK2492"/>
      <c r="FL2492"/>
      <c r="FM2492"/>
      <c r="FN2492"/>
      <c r="FO2492"/>
      <c r="FP2492"/>
      <c r="FQ2492"/>
      <c r="FR2492"/>
      <c r="FS2492"/>
      <c r="FT2492"/>
      <c r="FU2492"/>
      <c r="FV2492"/>
      <c r="FW2492"/>
      <c r="FX2492"/>
      <c r="FY2492"/>
      <c r="FZ2492"/>
      <c r="GA2492"/>
      <c r="GB2492"/>
      <c r="GC2492"/>
      <c r="GD2492"/>
      <c r="GE2492"/>
      <c r="GF2492"/>
      <c r="GG2492"/>
      <c r="GH2492"/>
      <c r="GI2492"/>
      <c r="GJ2492"/>
      <c r="GK2492"/>
      <c r="GL2492"/>
      <c r="GM2492"/>
      <c r="GN2492"/>
      <c r="GO2492"/>
    </row>
    <row r="2493" spans="107:197">
      <c r="DC2493"/>
      <c r="FH2493"/>
      <c r="FI2493"/>
      <c r="FJ2493"/>
      <c r="FK2493"/>
      <c r="FL2493"/>
      <c r="FM2493"/>
      <c r="FN2493"/>
      <c r="FO2493"/>
      <c r="FP2493"/>
      <c r="FQ2493"/>
      <c r="FR2493"/>
      <c r="FS2493"/>
      <c r="FT2493"/>
      <c r="FU2493"/>
      <c r="FV2493"/>
      <c r="FW2493"/>
      <c r="FX2493"/>
      <c r="FY2493"/>
      <c r="FZ2493"/>
      <c r="GA2493"/>
      <c r="GB2493"/>
      <c r="GC2493"/>
      <c r="GD2493"/>
      <c r="GE2493"/>
      <c r="GF2493"/>
      <c r="GG2493"/>
      <c r="GH2493"/>
      <c r="GI2493"/>
      <c r="GJ2493"/>
      <c r="GK2493"/>
      <c r="GL2493"/>
      <c r="GM2493"/>
      <c r="GN2493"/>
      <c r="GO2493"/>
    </row>
    <row r="2494" spans="107:197">
      <c r="DC2494"/>
      <c r="FH2494"/>
      <c r="FI2494"/>
      <c r="FJ2494"/>
      <c r="FK2494"/>
      <c r="FL2494"/>
      <c r="FM2494"/>
      <c r="FN2494"/>
      <c r="FO2494"/>
      <c r="FP2494"/>
      <c r="FQ2494"/>
      <c r="FR2494"/>
      <c r="FS2494"/>
      <c r="FT2494"/>
      <c r="FU2494"/>
      <c r="FV2494"/>
      <c r="FW2494"/>
      <c r="FX2494"/>
      <c r="FY2494"/>
      <c r="FZ2494"/>
      <c r="GA2494"/>
      <c r="GB2494"/>
      <c r="GC2494"/>
      <c r="GD2494"/>
      <c r="GE2494"/>
      <c r="GF2494"/>
      <c r="GG2494"/>
      <c r="GH2494"/>
      <c r="GI2494"/>
      <c r="GJ2494"/>
      <c r="GK2494"/>
      <c r="GL2494"/>
      <c r="GM2494"/>
      <c r="GN2494"/>
      <c r="GO2494"/>
    </row>
    <row r="2495" spans="107:197">
      <c r="DC2495"/>
      <c r="FH2495"/>
      <c r="FI2495"/>
      <c r="FJ2495"/>
      <c r="FK2495"/>
      <c r="FL2495"/>
      <c r="FM2495"/>
      <c r="FN2495"/>
      <c r="FO2495"/>
      <c r="FP2495"/>
      <c r="FQ2495"/>
      <c r="FR2495"/>
      <c r="FS2495"/>
      <c r="FT2495"/>
      <c r="FU2495"/>
      <c r="FV2495"/>
      <c r="FW2495"/>
      <c r="FX2495"/>
      <c r="FY2495"/>
      <c r="FZ2495"/>
      <c r="GA2495"/>
      <c r="GB2495"/>
      <c r="GC2495"/>
      <c r="GD2495"/>
      <c r="GE2495"/>
      <c r="GF2495"/>
      <c r="GG2495"/>
      <c r="GH2495"/>
      <c r="GI2495"/>
      <c r="GJ2495"/>
      <c r="GK2495"/>
      <c r="GL2495"/>
      <c r="GM2495"/>
      <c r="GN2495"/>
      <c r="GO2495"/>
    </row>
    <row r="2496" spans="107:197">
      <c r="DC2496"/>
      <c r="FH2496"/>
      <c r="FI2496"/>
      <c r="FJ2496"/>
      <c r="FK2496"/>
      <c r="FL2496"/>
      <c r="FM2496"/>
      <c r="FN2496"/>
      <c r="FO2496"/>
      <c r="FP2496"/>
      <c r="FQ2496"/>
      <c r="FR2496"/>
      <c r="FS2496"/>
      <c r="FT2496"/>
      <c r="FU2496"/>
      <c r="FV2496"/>
      <c r="FW2496"/>
      <c r="FX2496"/>
      <c r="FY2496"/>
      <c r="FZ2496"/>
      <c r="GA2496"/>
      <c r="GB2496"/>
      <c r="GC2496"/>
      <c r="GD2496"/>
      <c r="GE2496"/>
      <c r="GF2496"/>
      <c r="GG2496"/>
      <c r="GH2496"/>
      <c r="GI2496"/>
      <c r="GJ2496"/>
      <c r="GK2496"/>
      <c r="GL2496"/>
      <c r="GM2496"/>
      <c r="GN2496"/>
      <c r="GO2496"/>
    </row>
    <row r="2497" spans="107:197">
      <c r="DC2497"/>
      <c r="FH2497"/>
      <c r="FI2497"/>
      <c r="FJ2497"/>
      <c r="FK2497"/>
      <c r="FL2497"/>
      <c r="FM2497"/>
      <c r="FN2497"/>
      <c r="FO2497"/>
      <c r="FP2497"/>
      <c r="FQ2497"/>
      <c r="FR2497"/>
      <c r="FS2497"/>
      <c r="FT2497"/>
      <c r="FU2497"/>
      <c r="FV2497"/>
      <c r="FW2497"/>
      <c r="FX2497"/>
      <c r="FY2497"/>
      <c r="FZ2497"/>
      <c r="GA2497"/>
      <c r="GB2497"/>
      <c r="GC2497"/>
      <c r="GD2497"/>
      <c r="GE2497"/>
      <c r="GF2497"/>
      <c r="GG2497"/>
      <c r="GH2497"/>
      <c r="GI2497"/>
      <c r="GJ2497"/>
      <c r="GK2497"/>
      <c r="GL2497"/>
      <c r="GM2497"/>
      <c r="GN2497"/>
      <c r="GO2497"/>
    </row>
    <row r="2498" spans="107:197">
      <c r="DC2498"/>
      <c r="FH2498"/>
      <c r="FI2498"/>
      <c r="FJ2498"/>
      <c r="FK2498"/>
      <c r="FL2498"/>
      <c r="FM2498"/>
      <c r="FN2498"/>
      <c r="FO2498"/>
      <c r="FP2498"/>
      <c r="FQ2498"/>
      <c r="FR2498"/>
      <c r="FS2498"/>
      <c r="FT2498"/>
      <c r="FU2498"/>
      <c r="FV2498"/>
      <c r="FW2498"/>
      <c r="FX2498"/>
      <c r="FY2498"/>
      <c r="FZ2498"/>
      <c r="GA2498"/>
      <c r="GB2498"/>
      <c r="GC2498"/>
      <c r="GD2498"/>
      <c r="GE2498"/>
      <c r="GF2498"/>
      <c r="GG2498"/>
      <c r="GH2498"/>
      <c r="GI2498"/>
      <c r="GJ2498"/>
      <c r="GK2498"/>
      <c r="GL2498"/>
      <c r="GM2498"/>
      <c r="GN2498"/>
      <c r="GO2498"/>
    </row>
    <row r="2499" spans="107:197">
      <c r="DC2499"/>
      <c r="FH2499"/>
      <c r="FI2499"/>
      <c r="FJ2499"/>
      <c r="FK2499"/>
      <c r="FL2499"/>
      <c r="FM2499"/>
      <c r="FN2499"/>
      <c r="FO2499"/>
      <c r="FP2499"/>
      <c r="FQ2499"/>
      <c r="FR2499"/>
      <c r="FS2499"/>
      <c r="FT2499"/>
      <c r="FU2499"/>
      <c r="FV2499"/>
      <c r="FW2499"/>
      <c r="FX2499"/>
      <c r="FY2499"/>
      <c r="FZ2499"/>
      <c r="GA2499"/>
      <c r="GB2499"/>
      <c r="GC2499"/>
      <c r="GD2499"/>
      <c r="GE2499"/>
      <c r="GF2499"/>
      <c r="GG2499"/>
      <c r="GH2499"/>
      <c r="GI2499"/>
      <c r="GJ2499"/>
      <c r="GK2499"/>
      <c r="GL2499"/>
      <c r="GM2499"/>
      <c r="GN2499"/>
      <c r="GO2499"/>
    </row>
    <row r="2500" spans="107:197">
      <c r="DC2500"/>
      <c r="FH2500"/>
      <c r="FI2500"/>
      <c r="FJ2500"/>
      <c r="FK2500"/>
      <c r="FL2500"/>
      <c r="FM2500"/>
      <c r="FN2500"/>
      <c r="FO2500"/>
      <c r="FP2500"/>
      <c r="FQ2500"/>
      <c r="FR2500"/>
      <c r="FS2500"/>
      <c r="FT2500"/>
      <c r="FU2500"/>
      <c r="FV2500"/>
      <c r="FW2500"/>
      <c r="FX2500"/>
      <c r="FY2500"/>
      <c r="FZ2500"/>
      <c r="GA2500"/>
      <c r="GB2500"/>
      <c r="GC2500"/>
      <c r="GD2500"/>
      <c r="GE2500"/>
      <c r="GF2500"/>
      <c r="GG2500"/>
      <c r="GH2500"/>
      <c r="GI2500"/>
      <c r="GJ2500"/>
      <c r="GK2500"/>
      <c r="GL2500"/>
      <c r="GM2500"/>
      <c r="GN2500"/>
      <c r="GO2500"/>
    </row>
    <row r="2501" spans="107:197">
      <c r="DC2501"/>
      <c r="FH2501"/>
      <c r="FI2501"/>
      <c r="FJ2501"/>
      <c r="FK2501"/>
      <c r="FL2501"/>
      <c r="FM2501"/>
      <c r="FN2501"/>
      <c r="FO2501"/>
      <c r="FP2501"/>
      <c r="FQ2501"/>
      <c r="FR2501"/>
      <c r="FS2501"/>
      <c r="FT2501"/>
      <c r="FU2501"/>
      <c r="FV2501"/>
      <c r="FW2501"/>
      <c r="FX2501"/>
      <c r="FY2501"/>
      <c r="FZ2501"/>
      <c r="GA2501"/>
      <c r="GB2501"/>
      <c r="GC2501"/>
      <c r="GD2501"/>
      <c r="GE2501"/>
      <c r="GF2501"/>
      <c r="GG2501"/>
      <c r="GH2501"/>
      <c r="GI2501"/>
      <c r="GJ2501"/>
      <c r="GK2501"/>
      <c r="GL2501"/>
      <c r="GM2501"/>
      <c r="GN2501"/>
      <c r="GO2501"/>
    </row>
    <row r="2502" spans="107:197">
      <c r="DC2502"/>
      <c r="FH2502"/>
      <c r="FI2502"/>
      <c r="FJ2502"/>
      <c r="FK2502"/>
      <c r="FL2502"/>
      <c r="FM2502"/>
      <c r="FN2502"/>
      <c r="FO2502"/>
      <c r="FP2502"/>
      <c r="FQ2502"/>
      <c r="FR2502"/>
      <c r="FS2502"/>
      <c r="FT2502"/>
      <c r="FU2502"/>
      <c r="FV2502"/>
      <c r="FW2502"/>
      <c r="FX2502"/>
      <c r="FY2502"/>
      <c r="FZ2502"/>
      <c r="GA2502"/>
      <c r="GB2502"/>
      <c r="GC2502"/>
      <c r="GD2502"/>
      <c r="GE2502"/>
      <c r="GF2502"/>
      <c r="GG2502"/>
      <c r="GH2502"/>
      <c r="GI2502"/>
      <c r="GJ2502"/>
      <c r="GK2502"/>
      <c r="GL2502"/>
      <c r="GM2502"/>
      <c r="GN2502"/>
      <c r="GO2502"/>
    </row>
    <row r="2503" spans="107:197">
      <c r="DC2503"/>
      <c r="FH2503"/>
      <c r="FI2503"/>
      <c r="FJ2503"/>
      <c r="FK2503"/>
      <c r="FL2503"/>
      <c r="FM2503"/>
      <c r="FN2503"/>
      <c r="FO2503"/>
      <c r="FP2503"/>
      <c r="FQ2503"/>
      <c r="FR2503"/>
      <c r="FS2503"/>
      <c r="FT2503"/>
      <c r="FU2503"/>
      <c r="FV2503"/>
      <c r="FW2503"/>
      <c r="FX2503"/>
      <c r="FY2503"/>
      <c r="FZ2503"/>
      <c r="GA2503"/>
      <c r="GB2503"/>
      <c r="GC2503"/>
      <c r="GD2503"/>
      <c r="GE2503"/>
      <c r="GF2503"/>
      <c r="GG2503"/>
      <c r="GH2503"/>
      <c r="GI2503"/>
      <c r="GJ2503"/>
      <c r="GK2503"/>
      <c r="GL2503"/>
      <c r="GM2503"/>
      <c r="GN2503"/>
      <c r="GO2503"/>
    </row>
    <row r="2504" spans="107:197">
      <c r="DC2504"/>
      <c r="FH2504"/>
      <c r="FI2504"/>
      <c r="FJ2504"/>
      <c r="FK2504"/>
      <c r="FL2504"/>
      <c r="FM2504"/>
      <c r="FN2504"/>
      <c r="FO2504"/>
      <c r="FP2504"/>
      <c r="FQ2504"/>
      <c r="FR2504"/>
      <c r="FS2504"/>
      <c r="FT2504"/>
      <c r="FU2504"/>
      <c r="FV2504"/>
      <c r="FW2504"/>
      <c r="FX2504"/>
      <c r="FY2504"/>
      <c r="FZ2504"/>
      <c r="GA2504"/>
      <c r="GB2504"/>
      <c r="GC2504"/>
      <c r="GD2504"/>
      <c r="GE2504"/>
      <c r="GF2504"/>
      <c r="GG2504"/>
      <c r="GH2504"/>
      <c r="GI2504"/>
      <c r="GJ2504"/>
      <c r="GK2504"/>
      <c r="GL2504"/>
      <c r="GM2504"/>
      <c r="GN2504"/>
      <c r="GO2504"/>
    </row>
    <row r="2505" spans="107:197">
      <c r="DC2505"/>
      <c r="FH2505"/>
      <c r="FI2505"/>
      <c r="FJ2505"/>
      <c r="FK2505"/>
      <c r="FL2505"/>
      <c r="FM2505"/>
      <c r="FN2505"/>
      <c r="FO2505"/>
      <c r="FP2505"/>
      <c r="FQ2505"/>
      <c r="FR2505"/>
      <c r="FS2505"/>
      <c r="FT2505"/>
      <c r="FU2505"/>
      <c r="FV2505"/>
      <c r="FW2505"/>
      <c r="FX2505"/>
      <c r="FY2505"/>
      <c r="FZ2505"/>
      <c r="GA2505"/>
      <c r="GB2505"/>
      <c r="GC2505"/>
      <c r="GD2505"/>
      <c r="GE2505"/>
      <c r="GF2505"/>
      <c r="GG2505"/>
      <c r="GH2505"/>
      <c r="GI2505"/>
      <c r="GJ2505"/>
      <c r="GK2505"/>
      <c r="GL2505"/>
      <c r="GM2505"/>
      <c r="GN2505"/>
      <c r="GO2505"/>
    </row>
    <row r="2506" spans="107:197">
      <c r="DC2506"/>
      <c r="FH2506"/>
      <c r="FI2506"/>
      <c r="FJ2506"/>
      <c r="FK2506"/>
      <c r="FL2506"/>
      <c r="FM2506"/>
      <c r="FN2506"/>
      <c r="FO2506"/>
      <c r="FP2506"/>
      <c r="FQ2506"/>
      <c r="FR2506"/>
      <c r="FS2506"/>
      <c r="FT2506"/>
      <c r="FU2506"/>
      <c r="FV2506"/>
      <c r="FW2506"/>
      <c r="FX2506"/>
      <c r="FY2506"/>
      <c r="FZ2506"/>
      <c r="GA2506"/>
      <c r="GB2506"/>
      <c r="GC2506"/>
      <c r="GD2506"/>
      <c r="GE2506"/>
      <c r="GF2506"/>
      <c r="GG2506"/>
      <c r="GH2506"/>
      <c r="GI2506"/>
      <c r="GJ2506"/>
      <c r="GK2506"/>
      <c r="GL2506"/>
      <c r="GM2506"/>
      <c r="GN2506"/>
      <c r="GO2506"/>
    </row>
    <row r="2507" spans="107:197">
      <c r="DC2507"/>
      <c r="FH2507"/>
      <c r="FI2507"/>
      <c r="FJ2507"/>
      <c r="FK2507"/>
      <c r="FL2507"/>
      <c r="FM2507"/>
      <c r="FN2507"/>
      <c r="FO2507"/>
      <c r="FP2507"/>
      <c r="FQ2507"/>
      <c r="FR2507"/>
      <c r="FS2507"/>
      <c r="FT2507"/>
      <c r="FU2507"/>
      <c r="FV2507"/>
      <c r="FW2507"/>
      <c r="FX2507"/>
      <c r="FY2507"/>
      <c r="FZ2507"/>
      <c r="GA2507"/>
      <c r="GB2507"/>
      <c r="GC2507"/>
      <c r="GD2507"/>
      <c r="GE2507"/>
      <c r="GF2507"/>
      <c r="GG2507"/>
      <c r="GH2507"/>
      <c r="GI2507"/>
      <c r="GJ2507"/>
      <c r="GK2507"/>
      <c r="GL2507"/>
      <c r="GM2507"/>
      <c r="GN2507"/>
      <c r="GO2507"/>
    </row>
    <row r="2508" spans="107:197">
      <c r="DC2508"/>
      <c r="FH2508"/>
      <c r="FI2508"/>
      <c r="FJ2508"/>
      <c r="FK2508"/>
      <c r="FL2508"/>
      <c r="FM2508"/>
      <c r="FN2508"/>
      <c r="FO2508"/>
      <c r="FP2508"/>
      <c r="FQ2508"/>
      <c r="FR2508"/>
      <c r="FS2508"/>
      <c r="FT2508"/>
      <c r="FU2508"/>
      <c r="FV2508"/>
      <c r="FW2508"/>
      <c r="FX2508"/>
      <c r="FY2508"/>
      <c r="FZ2508"/>
      <c r="GA2508"/>
      <c r="GB2508"/>
      <c r="GC2508"/>
      <c r="GD2508"/>
      <c r="GE2508"/>
      <c r="GF2508"/>
      <c r="GG2508"/>
      <c r="GH2508"/>
      <c r="GI2508"/>
      <c r="GJ2508"/>
      <c r="GK2508"/>
      <c r="GL2508"/>
      <c r="GM2508"/>
      <c r="GN2508"/>
      <c r="GO2508"/>
    </row>
    <row r="2509" spans="107:197">
      <c r="DC2509"/>
      <c r="FH2509"/>
      <c r="FI2509"/>
      <c r="FJ2509"/>
      <c r="FK2509"/>
      <c r="FL2509"/>
      <c r="FM2509"/>
      <c r="FN2509"/>
      <c r="FO2509"/>
      <c r="FP2509"/>
      <c r="FQ2509"/>
      <c r="FR2509"/>
      <c r="FS2509"/>
      <c r="FT2509"/>
      <c r="FU2509"/>
      <c r="FV2509"/>
      <c r="FW2509"/>
      <c r="FX2509"/>
      <c r="FY2509"/>
      <c r="FZ2509"/>
      <c r="GA2509"/>
      <c r="GB2509"/>
      <c r="GC2509"/>
      <c r="GD2509"/>
      <c r="GE2509"/>
      <c r="GF2509"/>
      <c r="GG2509"/>
      <c r="GH2509"/>
      <c r="GI2509"/>
      <c r="GJ2509"/>
      <c r="GK2509"/>
      <c r="GL2509"/>
      <c r="GM2509"/>
      <c r="GN2509"/>
      <c r="GO2509"/>
    </row>
    <row r="2510" spans="107:197">
      <c r="DC2510"/>
      <c r="FH2510"/>
      <c r="FI2510"/>
      <c r="FJ2510"/>
      <c r="FK2510"/>
      <c r="FL2510"/>
      <c r="FM2510"/>
      <c r="FN2510"/>
      <c r="FO2510"/>
      <c r="FP2510"/>
      <c r="FQ2510"/>
      <c r="FR2510"/>
      <c r="FS2510"/>
      <c r="FT2510"/>
      <c r="FU2510"/>
      <c r="FV2510"/>
      <c r="FW2510"/>
      <c r="FX2510"/>
      <c r="FY2510"/>
      <c r="FZ2510"/>
      <c r="GA2510"/>
      <c r="GB2510"/>
      <c r="GC2510"/>
      <c r="GD2510"/>
      <c r="GE2510"/>
      <c r="GF2510"/>
      <c r="GG2510"/>
      <c r="GH2510"/>
      <c r="GI2510"/>
      <c r="GJ2510"/>
      <c r="GK2510"/>
      <c r="GL2510"/>
      <c r="GM2510"/>
      <c r="GN2510"/>
      <c r="GO2510"/>
    </row>
    <row r="2511" spans="107:197">
      <c r="DC2511"/>
      <c r="FH2511"/>
      <c r="FI2511"/>
      <c r="FJ2511"/>
      <c r="FK2511"/>
      <c r="FL2511"/>
      <c r="FM2511"/>
      <c r="FN2511"/>
      <c r="FO2511"/>
      <c r="FP2511"/>
      <c r="FQ2511"/>
      <c r="FR2511"/>
      <c r="FS2511"/>
      <c r="FT2511"/>
      <c r="FU2511"/>
      <c r="FV2511"/>
      <c r="FW2511"/>
      <c r="FX2511"/>
      <c r="FY2511"/>
      <c r="FZ2511"/>
      <c r="GA2511"/>
      <c r="GB2511"/>
      <c r="GC2511"/>
      <c r="GD2511"/>
      <c r="GE2511"/>
      <c r="GF2511"/>
      <c r="GG2511"/>
      <c r="GH2511"/>
      <c r="GI2511"/>
      <c r="GJ2511"/>
      <c r="GK2511"/>
      <c r="GL2511"/>
      <c r="GM2511"/>
      <c r="GN2511"/>
      <c r="GO2511"/>
    </row>
    <row r="2512" spans="107:197">
      <c r="DC2512"/>
      <c r="FH2512"/>
      <c r="FI2512"/>
      <c r="FJ2512"/>
      <c r="FK2512"/>
      <c r="FL2512"/>
      <c r="FM2512"/>
      <c r="FN2512"/>
      <c r="FO2512"/>
      <c r="FP2512"/>
      <c r="FQ2512"/>
      <c r="FR2512"/>
      <c r="FS2512"/>
      <c r="FT2512"/>
      <c r="FU2512"/>
      <c r="FV2512"/>
      <c r="FW2512"/>
      <c r="FX2512"/>
      <c r="FY2512"/>
      <c r="FZ2512"/>
      <c r="GA2512"/>
      <c r="GB2512"/>
      <c r="GC2512"/>
      <c r="GD2512"/>
      <c r="GE2512"/>
      <c r="GF2512"/>
      <c r="GG2512"/>
      <c r="GH2512"/>
      <c r="GI2512"/>
      <c r="GJ2512"/>
      <c r="GK2512"/>
      <c r="GL2512"/>
      <c r="GM2512"/>
      <c r="GN2512"/>
      <c r="GO2512"/>
    </row>
    <row r="2513" spans="107:197">
      <c r="DC2513"/>
      <c r="FH2513"/>
      <c r="FI2513"/>
      <c r="FJ2513"/>
      <c r="FK2513"/>
      <c r="FL2513"/>
      <c r="FM2513"/>
      <c r="FN2513"/>
      <c r="FO2513"/>
      <c r="FP2513"/>
      <c r="FQ2513"/>
      <c r="FR2513"/>
      <c r="FS2513"/>
      <c r="FT2513"/>
      <c r="FU2513"/>
      <c r="FV2513"/>
      <c r="FW2513"/>
      <c r="FX2513"/>
      <c r="FY2513"/>
      <c r="FZ2513"/>
      <c r="GA2513"/>
      <c r="GB2513"/>
      <c r="GC2513"/>
      <c r="GD2513"/>
      <c r="GE2513"/>
      <c r="GF2513"/>
      <c r="GG2513"/>
      <c r="GH2513"/>
      <c r="GI2513"/>
      <c r="GJ2513"/>
      <c r="GK2513"/>
      <c r="GL2513"/>
      <c r="GM2513"/>
      <c r="GN2513"/>
      <c r="GO2513"/>
    </row>
    <row r="2514" spans="107:197">
      <c r="DC2514"/>
      <c r="FH2514"/>
      <c r="FI2514"/>
      <c r="FJ2514"/>
      <c r="FK2514"/>
      <c r="FL2514"/>
      <c r="FM2514"/>
      <c r="FN2514"/>
      <c r="FO2514"/>
      <c r="FP2514"/>
      <c r="FQ2514"/>
      <c r="FR2514"/>
      <c r="FS2514"/>
      <c r="FT2514"/>
      <c r="FU2514"/>
      <c r="FV2514"/>
      <c r="FW2514"/>
      <c r="FX2514"/>
      <c r="FY2514"/>
      <c r="FZ2514"/>
      <c r="GA2514"/>
      <c r="GB2514"/>
      <c r="GC2514"/>
      <c r="GD2514"/>
      <c r="GE2514"/>
      <c r="GF2514"/>
      <c r="GG2514"/>
      <c r="GH2514"/>
      <c r="GI2514"/>
      <c r="GJ2514"/>
      <c r="GK2514"/>
      <c r="GL2514"/>
      <c r="GM2514"/>
      <c r="GN2514"/>
      <c r="GO2514"/>
    </row>
    <row r="2515" spans="107:197">
      <c r="DC2515"/>
      <c r="FH2515"/>
      <c r="FI2515"/>
      <c r="FJ2515"/>
      <c r="FK2515"/>
      <c r="FL2515"/>
      <c r="FM2515"/>
      <c r="FN2515"/>
      <c r="FO2515"/>
      <c r="FP2515"/>
      <c r="FQ2515"/>
      <c r="FR2515"/>
      <c r="FS2515"/>
      <c r="FT2515"/>
      <c r="FU2515"/>
      <c r="FV2515"/>
      <c r="FW2515"/>
      <c r="FX2515"/>
      <c r="FY2515"/>
      <c r="FZ2515"/>
      <c r="GA2515"/>
      <c r="GB2515"/>
      <c r="GC2515"/>
      <c r="GD2515"/>
      <c r="GE2515"/>
      <c r="GF2515"/>
      <c r="GG2515"/>
      <c r="GH2515"/>
      <c r="GI2515"/>
      <c r="GJ2515"/>
      <c r="GK2515"/>
      <c r="GL2515"/>
      <c r="GM2515"/>
      <c r="GN2515"/>
      <c r="GO2515"/>
    </row>
    <row r="2516" spans="107:197">
      <c r="DC2516"/>
      <c r="FH2516"/>
      <c r="FI2516"/>
      <c r="FJ2516"/>
      <c r="FK2516"/>
      <c r="FL2516"/>
      <c r="FM2516"/>
      <c r="FN2516"/>
      <c r="FO2516"/>
      <c r="FP2516"/>
      <c r="FQ2516"/>
      <c r="FR2516"/>
      <c r="FS2516"/>
      <c r="FT2516"/>
      <c r="FU2516"/>
      <c r="FV2516"/>
      <c r="FW2516"/>
      <c r="FX2516"/>
      <c r="FY2516"/>
      <c r="FZ2516"/>
      <c r="GA2516"/>
      <c r="GB2516"/>
      <c r="GC2516"/>
      <c r="GD2516"/>
      <c r="GE2516"/>
      <c r="GF2516"/>
      <c r="GG2516"/>
      <c r="GH2516"/>
      <c r="GI2516"/>
      <c r="GJ2516"/>
      <c r="GK2516"/>
      <c r="GL2516"/>
      <c r="GM2516"/>
      <c r="GN2516"/>
      <c r="GO2516"/>
    </row>
    <row r="2517" spans="107:197">
      <c r="DC2517"/>
      <c r="FH2517"/>
      <c r="FI2517"/>
      <c r="FJ2517"/>
      <c r="FK2517"/>
      <c r="FL2517"/>
      <c r="FM2517"/>
      <c r="FN2517"/>
      <c r="FO2517"/>
      <c r="FP2517"/>
      <c r="FQ2517"/>
      <c r="FR2517"/>
      <c r="FS2517"/>
      <c r="FT2517"/>
      <c r="FU2517"/>
      <c r="FV2517"/>
      <c r="FW2517"/>
      <c r="FX2517"/>
      <c r="FY2517"/>
      <c r="FZ2517"/>
      <c r="GA2517"/>
      <c r="GB2517"/>
      <c r="GC2517"/>
      <c r="GD2517"/>
      <c r="GE2517"/>
      <c r="GF2517"/>
      <c r="GG2517"/>
      <c r="GH2517"/>
      <c r="GI2517"/>
      <c r="GJ2517"/>
      <c r="GK2517"/>
      <c r="GL2517"/>
      <c r="GM2517"/>
      <c r="GN2517"/>
      <c r="GO2517"/>
    </row>
    <row r="2518" spans="107:197">
      <c r="DC2518"/>
      <c r="FH2518"/>
      <c r="FI2518"/>
      <c r="FJ2518"/>
      <c r="FK2518"/>
      <c r="FL2518"/>
      <c r="FM2518"/>
      <c r="FN2518"/>
      <c r="FO2518"/>
      <c r="FP2518"/>
      <c r="FQ2518"/>
      <c r="FR2518"/>
      <c r="FS2518"/>
      <c r="FT2518"/>
      <c r="FU2518"/>
      <c r="FV2518"/>
      <c r="FW2518"/>
      <c r="FX2518"/>
      <c r="FY2518"/>
      <c r="FZ2518"/>
      <c r="GA2518"/>
      <c r="GB2518"/>
      <c r="GC2518"/>
      <c r="GD2518"/>
      <c r="GE2518"/>
      <c r="GF2518"/>
      <c r="GG2518"/>
      <c r="GH2518"/>
      <c r="GI2518"/>
      <c r="GJ2518"/>
      <c r="GK2518"/>
      <c r="GL2518"/>
      <c r="GM2518"/>
      <c r="GN2518"/>
      <c r="GO2518"/>
    </row>
    <row r="2519" spans="107:197">
      <c r="DC2519"/>
      <c r="FH2519"/>
      <c r="FI2519"/>
      <c r="FJ2519"/>
      <c r="FK2519"/>
      <c r="FL2519"/>
      <c r="FM2519"/>
      <c r="FN2519"/>
      <c r="FO2519"/>
      <c r="FP2519"/>
      <c r="FQ2519"/>
      <c r="FR2519"/>
      <c r="FS2519"/>
      <c r="FT2519"/>
      <c r="FU2519"/>
      <c r="FV2519"/>
      <c r="FW2519"/>
      <c r="FX2519"/>
      <c r="FY2519"/>
      <c r="FZ2519"/>
      <c r="GA2519"/>
      <c r="GB2519"/>
      <c r="GC2519"/>
      <c r="GD2519"/>
      <c r="GE2519"/>
      <c r="GF2519"/>
      <c r="GG2519"/>
      <c r="GH2519"/>
      <c r="GI2519"/>
      <c r="GJ2519"/>
      <c r="GK2519"/>
      <c r="GL2519"/>
      <c r="GM2519"/>
      <c r="GN2519"/>
      <c r="GO2519"/>
    </row>
    <row r="2520" spans="107:197">
      <c r="DC2520"/>
      <c r="FH2520"/>
      <c r="FI2520"/>
      <c r="FJ2520"/>
      <c r="FK2520"/>
      <c r="FL2520"/>
      <c r="FM2520"/>
      <c r="FN2520"/>
      <c r="FO2520"/>
      <c r="FP2520"/>
      <c r="FQ2520"/>
      <c r="FR2520"/>
      <c r="FS2520"/>
      <c r="FT2520"/>
      <c r="FU2520"/>
      <c r="FV2520"/>
      <c r="FW2520"/>
      <c r="FX2520"/>
      <c r="FY2520"/>
      <c r="FZ2520"/>
      <c r="GA2520"/>
      <c r="GB2520"/>
      <c r="GC2520"/>
      <c r="GD2520"/>
      <c r="GE2520"/>
      <c r="GF2520"/>
      <c r="GG2520"/>
      <c r="GH2520"/>
      <c r="GI2520"/>
      <c r="GJ2520"/>
      <c r="GK2520"/>
      <c r="GL2520"/>
      <c r="GM2520"/>
      <c r="GN2520"/>
      <c r="GO2520"/>
    </row>
    <row r="2521" spans="107:197">
      <c r="DC2521"/>
      <c r="FH2521"/>
      <c r="FI2521"/>
      <c r="FJ2521"/>
      <c r="FK2521"/>
      <c r="FL2521"/>
      <c r="FM2521"/>
      <c r="FN2521"/>
      <c r="FO2521"/>
      <c r="FP2521"/>
      <c r="FQ2521"/>
      <c r="FR2521"/>
      <c r="FS2521"/>
      <c r="FT2521"/>
      <c r="FU2521"/>
      <c r="FV2521"/>
      <c r="FW2521"/>
      <c r="FX2521"/>
      <c r="FY2521"/>
      <c r="FZ2521"/>
      <c r="GA2521"/>
      <c r="GB2521"/>
      <c r="GC2521"/>
      <c r="GD2521"/>
      <c r="GE2521"/>
      <c r="GF2521"/>
      <c r="GG2521"/>
      <c r="GH2521"/>
      <c r="GI2521"/>
      <c r="GJ2521"/>
      <c r="GK2521"/>
      <c r="GL2521"/>
      <c r="GM2521"/>
      <c r="GN2521"/>
      <c r="GO2521"/>
    </row>
    <row r="2522" spans="107:197">
      <c r="DC2522"/>
      <c r="FH2522"/>
      <c r="FI2522"/>
      <c r="FJ2522"/>
      <c r="FK2522"/>
      <c r="FL2522"/>
      <c r="FM2522"/>
      <c r="FN2522"/>
      <c r="FO2522"/>
      <c r="FP2522"/>
      <c r="FQ2522"/>
      <c r="FR2522"/>
      <c r="FS2522"/>
      <c r="FT2522"/>
      <c r="FU2522"/>
      <c r="FV2522"/>
      <c r="FW2522"/>
      <c r="FX2522"/>
      <c r="FY2522"/>
      <c r="FZ2522"/>
      <c r="GA2522"/>
      <c r="GB2522"/>
      <c r="GC2522"/>
      <c r="GD2522"/>
      <c r="GE2522"/>
      <c r="GF2522"/>
      <c r="GG2522"/>
      <c r="GH2522"/>
      <c r="GI2522"/>
      <c r="GJ2522"/>
      <c r="GK2522"/>
      <c r="GL2522"/>
      <c r="GM2522"/>
      <c r="GN2522"/>
      <c r="GO2522"/>
    </row>
    <row r="2523" spans="107:197">
      <c r="DC2523"/>
      <c r="FH2523"/>
      <c r="FI2523"/>
      <c r="FJ2523"/>
      <c r="FK2523"/>
      <c r="FL2523"/>
      <c r="FM2523"/>
      <c r="FN2523"/>
      <c r="FO2523"/>
      <c r="FP2523"/>
      <c r="FQ2523"/>
      <c r="FR2523"/>
      <c r="FS2523"/>
      <c r="FT2523"/>
      <c r="FU2523"/>
      <c r="FV2523"/>
      <c r="FW2523"/>
      <c r="FX2523"/>
      <c r="FY2523"/>
      <c r="FZ2523"/>
      <c r="GA2523"/>
      <c r="GB2523"/>
      <c r="GC2523"/>
      <c r="GD2523"/>
      <c r="GE2523"/>
      <c r="GF2523"/>
      <c r="GG2523"/>
      <c r="GH2523"/>
      <c r="GI2523"/>
      <c r="GJ2523"/>
      <c r="GK2523"/>
      <c r="GL2523"/>
      <c r="GM2523"/>
      <c r="GN2523"/>
      <c r="GO2523"/>
    </row>
    <row r="2524" spans="107:197">
      <c r="DC2524"/>
      <c r="FH2524"/>
      <c r="FI2524"/>
      <c r="FJ2524"/>
      <c r="FK2524"/>
      <c r="FL2524"/>
      <c r="FM2524"/>
      <c r="FN2524"/>
      <c r="FO2524"/>
      <c r="FP2524"/>
      <c r="FQ2524"/>
      <c r="FR2524"/>
      <c r="FS2524"/>
      <c r="FT2524"/>
      <c r="FU2524"/>
      <c r="FV2524"/>
      <c r="FW2524"/>
      <c r="FX2524"/>
      <c r="FY2524"/>
      <c r="FZ2524"/>
      <c r="GA2524"/>
      <c r="GB2524"/>
      <c r="GC2524"/>
      <c r="GD2524"/>
      <c r="GE2524"/>
      <c r="GF2524"/>
      <c r="GG2524"/>
      <c r="GH2524"/>
      <c r="GI2524"/>
      <c r="GJ2524"/>
      <c r="GK2524"/>
      <c r="GL2524"/>
      <c r="GM2524"/>
      <c r="GN2524"/>
      <c r="GO2524"/>
    </row>
    <row r="2525" spans="107:197">
      <c r="DC2525"/>
      <c r="FH2525"/>
      <c r="FI2525"/>
      <c r="FJ2525"/>
      <c r="FK2525"/>
      <c r="FL2525"/>
      <c r="FM2525"/>
      <c r="FN2525"/>
      <c r="FO2525"/>
      <c r="FP2525"/>
      <c r="FQ2525"/>
      <c r="FR2525"/>
      <c r="FS2525"/>
      <c r="FT2525"/>
      <c r="FU2525"/>
      <c r="FV2525"/>
      <c r="FW2525"/>
      <c r="FX2525"/>
      <c r="FY2525"/>
      <c r="FZ2525"/>
      <c r="GA2525"/>
      <c r="GB2525"/>
      <c r="GC2525"/>
      <c r="GD2525"/>
      <c r="GE2525"/>
      <c r="GF2525"/>
      <c r="GG2525"/>
      <c r="GH2525"/>
      <c r="GI2525"/>
      <c r="GJ2525"/>
      <c r="GK2525"/>
      <c r="GL2525"/>
      <c r="GM2525"/>
      <c r="GN2525"/>
      <c r="GO2525"/>
    </row>
    <row r="2526" spans="107:197">
      <c r="DC2526"/>
      <c r="FH2526"/>
      <c r="FI2526"/>
      <c r="FJ2526"/>
      <c r="FK2526"/>
      <c r="FL2526"/>
      <c r="FM2526"/>
      <c r="FN2526"/>
      <c r="FO2526"/>
      <c r="FP2526"/>
      <c r="FQ2526"/>
      <c r="FR2526"/>
      <c r="FS2526"/>
      <c r="FT2526"/>
      <c r="FU2526"/>
      <c r="FV2526"/>
      <c r="FW2526"/>
      <c r="FX2526"/>
      <c r="FY2526"/>
      <c r="FZ2526"/>
      <c r="GA2526"/>
      <c r="GB2526"/>
      <c r="GC2526"/>
      <c r="GD2526"/>
      <c r="GE2526"/>
      <c r="GF2526"/>
      <c r="GG2526"/>
      <c r="GH2526"/>
      <c r="GI2526"/>
      <c r="GJ2526"/>
      <c r="GK2526"/>
      <c r="GL2526"/>
      <c r="GM2526"/>
      <c r="GN2526"/>
      <c r="GO2526"/>
    </row>
    <row r="2527" spans="107:197">
      <c r="DC2527"/>
      <c r="FH2527"/>
      <c r="FI2527"/>
      <c r="FJ2527"/>
      <c r="FK2527"/>
      <c r="FL2527"/>
      <c r="FM2527"/>
      <c r="FN2527"/>
      <c r="FO2527"/>
      <c r="FP2527"/>
      <c r="FQ2527"/>
      <c r="FR2527"/>
      <c r="FS2527"/>
      <c r="FT2527"/>
      <c r="FU2527"/>
      <c r="FV2527"/>
      <c r="FW2527"/>
      <c r="FX2527"/>
      <c r="FY2527"/>
      <c r="FZ2527"/>
      <c r="GA2527"/>
      <c r="GB2527"/>
      <c r="GC2527"/>
      <c r="GD2527"/>
      <c r="GE2527"/>
      <c r="GF2527"/>
      <c r="GG2527"/>
      <c r="GH2527"/>
      <c r="GI2527"/>
      <c r="GJ2527"/>
      <c r="GK2527"/>
      <c r="GL2527"/>
      <c r="GM2527"/>
      <c r="GN2527"/>
      <c r="GO2527"/>
    </row>
    <row r="2528" spans="107:197">
      <c r="DC2528"/>
      <c r="FH2528"/>
      <c r="FI2528"/>
      <c r="FJ2528"/>
      <c r="FK2528"/>
      <c r="FL2528"/>
      <c r="FM2528"/>
      <c r="FN2528"/>
      <c r="FO2528"/>
      <c r="FP2528"/>
      <c r="FQ2528"/>
      <c r="FR2528"/>
      <c r="FS2528"/>
      <c r="FT2528"/>
      <c r="FU2528"/>
      <c r="FV2528"/>
      <c r="FW2528"/>
      <c r="FX2528"/>
      <c r="FY2528"/>
      <c r="FZ2528"/>
      <c r="GA2528"/>
      <c r="GB2528"/>
      <c r="GC2528"/>
      <c r="GD2528"/>
      <c r="GE2528"/>
      <c r="GF2528"/>
      <c r="GG2528"/>
      <c r="GH2528"/>
      <c r="GI2528"/>
      <c r="GJ2528"/>
      <c r="GK2528"/>
      <c r="GL2528"/>
      <c r="GM2528"/>
      <c r="GN2528"/>
      <c r="GO2528"/>
    </row>
    <row r="2529" spans="107:197">
      <c r="DC2529"/>
      <c r="FH2529"/>
      <c r="FI2529"/>
      <c r="FJ2529"/>
      <c r="FK2529"/>
      <c r="FL2529"/>
      <c r="FM2529"/>
      <c r="FN2529"/>
      <c r="FO2529"/>
      <c r="FP2529"/>
      <c r="FQ2529"/>
      <c r="FR2529"/>
      <c r="FS2529"/>
      <c r="FT2529"/>
      <c r="FU2529"/>
      <c r="FV2529"/>
      <c r="FW2529"/>
      <c r="FX2529"/>
      <c r="FY2529"/>
      <c r="FZ2529"/>
      <c r="GA2529"/>
      <c r="GB2529"/>
      <c r="GC2529"/>
      <c r="GD2529"/>
      <c r="GE2529"/>
      <c r="GF2529"/>
      <c r="GG2529"/>
      <c r="GH2529"/>
      <c r="GI2529"/>
      <c r="GJ2529"/>
      <c r="GK2529"/>
      <c r="GL2529"/>
      <c r="GM2529"/>
      <c r="GN2529"/>
      <c r="GO2529"/>
    </row>
    <row r="2530" spans="107:197">
      <c r="DC2530"/>
      <c r="FH2530"/>
      <c r="FI2530"/>
      <c r="FJ2530"/>
      <c r="FK2530"/>
      <c r="FL2530"/>
      <c r="FM2530"/>
      <c r="FN2530"/>
      <c r="FO2530"/>
      <c r="FP2530"/>
      <c r="FQ2530"/>
      <c r="FR2530"/>
      <c r="FS2530"/>
      <c r="FT2530"/>
      <c r="FU2530"/>
      <c r="FV2530"/>
      <c r="FW2530"/>
      <c r="FX2530"/>
      <c r="FY2530"/>
      <c r="FZ2530"/>
      <c r="GA2530"/>
      <c r="GB2530"/>
      <c r="GC2530"/>
      <c r="GD2530"/>
      <c r="GE2530"/>
      <c r="GF2530"/>
      <c r="GG2530"/>
      <c r="GH2530"/>
      <c r="GI2530"/>
      <c r="GJ2530"/>
      <c r="GK2530"/>
      <c r="GL2530"/>
      <c r="GM2530"/>
      <c r="GN2530"/>
      <c r="GO2530"/>
    </row>
    <row r="2531" spans="107:197">
      <c r="DC2531"/>
      <c r="FH2531"/>
      <c r="FI2531"/>
      <c r="FJ2531"/>
      <c r="FK2531"/>
      <c r="FL2531"/>
      <c r="FM2531"/>
      <c r="FN2531"/>
      <c r="FO2531"/>
      <c r="FP2531"/>
      <c r="FQ2531"/>
      <c r="FR2531"/>
      <c r="FS2531"/>
      <c r="FT2531"/>
      <c r="FU2531"/>
      <c r="FV2531"/>
      <c r="FW2531"/>
      <c r="FX2531"/>
      <c r="FY2531"/>
      <c r="FZ2531"/>
      <c r="GA2531"/>
      <c r="GB2531"/>
      <c r="GC2531"/>
      <c r="GD2531"/>
      <c r="GE2531"/>
      <c r="GF2531"/>
      <c r="GG2531"/>
      <c r="GH2531"/>
      <c r="GI2531"/>
      <c r="GJ2531"/>
      <c r="GK2531"/>
      <c r="GL2531"/>
      <c r="GM2531"/>
      <c r="GN2531"/>
      <c r="GO2531"/>
    </row>
    <row r="2532" spans="107:197">
      <c r="DC2532"/>
      <c r="FH2532"/>
      <c r="FI2532"/>
      <c r="FJ2532"/>
      <c r="FK2532"/>
      <c r="FL2532"/>
      <c r="FM2532"/>
      <c r="FN2532"/>
      <c r="FO2532"/>
      <c r="FP2532"/>
      <c r="FQ2532"/>
      <c r="FR2532"/>
      <c r="FS2532"/>
      <c r="FT2532"/>
      <c r="FU2532"/>
      <c r="FV2532"/>
      <c r="FW2532"/>
      <c r="FX2532"/>
      <c r="FY2532"/>
      <c r="FZ2532"/>
      <c r="GA2532"/>
      <c r="GB2532"/>
      <c r="GC2532"/>
      <c r="GD2532"/>
      <c r="GE2532"/>
      <c r="GF2532"/>
      <c r="GG2532"/>
      <c r="GH2532"/>
      <c r="GI2532"/>
      <c r="GJ2532"/>
      <c r="GK2532"/>
      <c r="GL2532"/>
      <c r="GM2532"/>
      <c r="GN2532"/>
      <c r="GO2532"/>
    </row>
    <row r="2533" spans="107:197">
      <c r="DC2533"/>
      <c r="FH2533"/>
      <c r="FI2533"/>
      <c r="FJ2533"/>
      <c r="FK2533"/>
      <c r="FL2533"/>
      <c r="FM2533"/>
      <c r="FN2533"/>
      <c r="FO2533"/>
      <c r="FP2533"/>
      <c r="FQ2533"/>
      <c r="FR2533"/>
      <c r="FS2533"/>
      <c r="FT2533"/>
      <c r="FU2533"/>
      <c r="FV2533"/>
      <c r="FW2533"/>
      <c r="FX2533"/>
      <c r="FY2533"/>
      <c r="FZ2533"/>
      <c r="GA2533"/>
      <c r="GB2533"/>
      <c r="GC2533"/>
      <c r="GD2533"/>
      <c r="GE2533"/>
      <c r="GF2533"/>
      <c r="GG2533"/>
      <c r="GH2533"/>
      <c r="GI2533"/>
      <c r="GJ2533"/>
      <c r="GK2533"/>
      <c r="GL2533"/>
      <c r="GM2533"/>
      <c r="GN2533"/>
      <c r="GO2533"/>
    </row>
    <row r="2534" spans="107:197">
      <c r="DC2534"/>
      <c r="FH2534"/>
      <c r="FI2534"/>
      <c r="FJ2534"/>
      <c r="FK2534"/>
      <c r="FL2534"/>
      <c r="FM2534"/>
      <c r="FN2534"/>
      <c r="FO2534"/>
      <c r="FP2534"/>
      <c r="FQ2534"/>
      <c r="FR2534"/>
      <c r="FS2534"/>
      <c r="FT2534"/>
      <c r="FU2534"/>
      <c r="FV2534"/>
      <c r="FW2534"/>
      <c r="FX2534"/>
      <c r="FY2534"/>
      <c r="FZ2534"/>
      <c r="GA2534"/>
      <c r="GB2534"/>
      <c r="GC2534"/>
      <c r="GD2534"/>
      <c r="GE2534"/>
      <c r="GF2534"/>
      <c r="GG2534"/>
      <c r="GH2534"/>
      <c r="GI2534"/>
      <c r="GJ2534"/>
      <c r="GK2534"/>
      <c r="GL2534"/>
      <c r="GM2534"/>
      <c r="GN2534"/>
      <c r="GO2534"/>
    </row>
    <row r="2535" spans="107:197">
      <c r="DC2535"/>
      <c r="FH2535"/>
      <c r="FI2535"/>
      <c r="FJ2535"/>
      <c r="FK2535"/>
      <c r="FL2535"/>
      <c r="FM2535"/>
      <c r="FN2535"/>
      <c r="FO2535"/>
      <c r="FP2535"/>
      <c r="FQ2535"/>
      <c r="FR2535"/>
      <c r="FS2535"/>
      <c r="FT2535"/>
      <c r="FU2535"/>
      <c r="FV2535"/>
      <c r="FW2535"/>
      <c r="FX2535"/>
      <c r="FY2535"/>
      <c r="FZ2535"/>
      <c r="GA2535"/>
      <c r="GB2535"/>
      <c r="GC2535"/>
      <c r="GD2535"/>
      <c r="GE2535"/>
      <c r="GF2535"/>
      <c r="GG2535"/>
      <c r="GH2535"/>
      <c r="GI2535"/>
      <c r="GJ2535"/>
      <c r="GK2535"/>
      <c r="GL2535"/>
      <c r="GM2535"/>
      <c r="GN2535"/>
      <c r="GO2535"/>
    </row>
    <row r="2536" spans="107:197">
      <c r="DC2536"/>
      <c r="FH2536"/>
      <c r="FI2536"/>
      <c r="FJ2536"/>
      <c r="FK2536"/>
      <c r="FL2536"/>
      <c r="FM2536"/>
      <c r="FN2536"/>
      <c r="FO2536"/>
      <c r="FP2536"/>
      <c r="FQ2536"/>
      <c r="FR2536"/>
      <c r="FS2536"/>
      <c r="FT2536"/>
      <c r="FU2536"/>
      <c r="FV2536"/>
      <c r="FW2536"/>
      <c r="FX2536"/>
      <c r="FY2536"/>
      <c r="FZ2536"/>
      <c r="GA2536"/>
      <c r="GB2536"/>
      <c r="GC2536"/>
      <c r="GD2536"/>
      <c r="GE2536"/>
      <c r="GF2536"/>
      <c r="GG2536"/>
      <c r="GH2536"/>
      <c r="GI2536"/>
      <c r="GJ2536"/>
      <c r="GK2536"/>
      <c r="GL2536"/>
      <c r="GM2536"/>
      <c r="GN2536"/>
      <c r="GO2536"/>
    </row>
    <row r="2537" spans="107:197">
      <c r="DC2537"/>
      <c r="FH2537"/>
      <c r="FI2537"/>
      <c r="FJ2537"/>
      <c r="FK2537"/>
      <c r="FL2537"/>
      <c r="FM2537"/>
      <c r="FN2537"/>
      <c r="FO2537"/>
      <c r="FP2537"/>
      <c r="FQ2537"/>
      <c r="FR2537"/>
      <c r="FS2537"/>
      <c r="FT2537"/>
      <c r="FU2537"/>
      <c r="FV2537"/>
      <c r="FW2537"/>
      <c r="FX2537"/>
      <c r="FY2537"/>
      <c r="FZ2537"/>
      <c r="GA2537"/>
      <c r="GB2537"/>
      <c r="GC2537"/>
      <c r="GD2537"/>
      <c r="GE2537"/>
      <c r="GF2537"/>
      <c r="GG2537"/>
      <c r="GH2537"/>
      <c r="GI2537"/>
      <c r="GJ2537"/>
      <c r="GK2537"/>
      <c r="GL2537"/>
      <c r="GM2537"/>
      <c r="GN2537"/>
      <c r="GO2537"/>
    </row>
    <row r="2538" spans="107:197">
      <c r="DC2538"/>
      <c r="FH2538"/>
      <c r="FI2538"/>
      <c r="FJ2538"/>
      <c r="FK2538"/>
      <c r="FL2538"/>
      <c r="FM2538"/>
      <c r="FN2538"/>
      <c r="FO2538"/>
      <c r="FP2538"/>
      <c r="FQ2538"/>
      <c r="FR2538"/>
      <c r="FS2538"/>
      <c r="FT2538"/>
      <c r="FU2538"/>
      <c r="FV2538"/>
      <c r="FW2538"/>
      <c r="FX2538"/>
      <c r="FY2538"/>
      <c r="FZ2538"/>
      <c r="GA2538"/>
      <c r="GB2538"/>
      <c r="GC2538"/>
      <c r="GD2538"/>
      <c r="GE2538"/>
      <c r="GF2538"/>
      <c r="GG2538"/>
      <c r="GH2538"/>
      <c r="GI2538"/>
      <c r="GJ2538"/>
      <c r="GK2538"/>
      <c r="GL2538"/>
      <c r="GM2538"/>
      <c r="GN2538"/>
      <c r="GO2538"/>
    </row>
    <row r="2539" spans="107:197">
      <c r="DC2539"/>
      <c r="FH2539"/>
      <c r="FI2539"/>
      <c r="FJ2539"/>
      <c r="FK2539"/>
      <c r="FL2539"/>
      <c r="FM2539"/>
      <c r="FN2539"/>
      <c r="FO2539"/>
      <c r="FP2539"/>
      <c r="FQ2539"/>
      <c r="FR2539"/>
      <c r="FS2539"/>
      <c r="FT2539"/>
      <c r="FU2539"/>
      <c r="FV2539"/>
      <c r="FW2539"/>
      <c r="FX2539"/>
      <c r="FY2539"/>
      <c r="FZ2539"/>
      <c r="GA2539"/>
      <c r="GB2539"/>
      <c r="GC2539"/>
      <c r="GD2539"/>
      <c r="GE2539"/>
      <c r="GF2539"/>
      <c r="GG2539"/>
      <c r="GH2539"/>
      <c r="GI2539"/>
      <c r="GJ2539"/>
      <c r="GK2539"/>
      <c r="GL2539"/>
      <c r="GM2539"/>
      <c r="GN2539"/>
      <c r="GO2539"/>
    </row>
    <row r="2540" spans="107:197">
      <c r="DC2540"/>
      <c r="FH2540"/>
      <c r="FI2540"/>
      <c r="FJ2540"/>
      <c r="FK2540"/>
      <c r="FL2540"/>
      <c r="FM2540"/>
      <c r="FN2540"/>
      <c r="FO2540"/>
      <c r="FP2540"/>
      <c r="FQ2540"/>
      <c r="FR2540"/>
      <c r="FS2540"/>
      <c r="FT2540"/>
      <c r="FU2540"/>
      <c r="FV2540"/>
      <c r="FW2540"/>
      <c r="FX2540"/>
      <c r="FY2540"/>
      <c r="FZ2540"/>
      <c r="GA2540"/>
      <c r="GB2540"/>
      <c r="GC2540"/>
      <c r="GD2540"/>
      <c r="GE2540"/>
      <c r="GF2540"/>
      <c r="GG2540"/>
      <c r="GH2540"/>
      <c r="GI2540"/>
      <c r="GJ2540"/>
      <c r="GK2540"/>
      <c r="GL2540"/>
      <c r="GM2540"/>
      <c r="GN2540"/>
      <c r="GO2540"/>
    </row>
    <row r="2541" spans="107:197">
      <c r="DC2541"/>
      <c r="FH2541"/>
      <c r="FI2541"/>
      <c r="FJ2541"/>
      <c r="FK2541"/>
      <c r="FL2541"/>
      <c r="FM2541"/>
      <c r="FN2541"/>
      <c r="FO2541"/>
      <c r="FP2541"/>
      <c r="FQ2541"/>
      <c r="FR2541"/>
      <c r="FS2541"/>
      <c r="FT2541"/>
      <c r="FU2541"/>
      <c r="FV2541"/>
      <c r="FW2541"/>
      <c r="FX2541"/>
      <c r="FY2541"/>
      <c r="FZ2541"/>
      <c r="GA2541"/>
      <c r="GB2541"/>
      <c r="GC2541"/>
      <c r="GD2541"/>
      <c r="GE2541"/>
      <c r="GF2541"/>
      <c r="GG2541"/>
      <c r="GH2541"/>
      <c r="GI2541"/>
      <c r="GJ2541"/>
      <c r="GK2541"/>
      <c r="GL2541"/>
      <c r="GM2541"/>
      <c r="GN2541"/>
      <c r="GO2541"/>
    </row>
    <row r="2542" spans="107:197">
      <c r="DC2542"/>
      <c r="FH2542"/>
      <c r="FI2542"/>
      <c r="FJ2542"/>
      <c r="FK2542"/>
      <c r="FL2542"/>
      <c r="FM2542"/>
      <c r="FN2542"/>
      <c r="FO2542"/>
      <c r="FP2542"/>
      <c r="FQ2542"/>
      <c r="FR2542"/>
      <c r="FS2542"/>
      <c r="FT2542"/>
      <c r="FU2542"/>
      <c r="FV2542"/>
      <c r="FW2542"/>
      <c r="FX2542"/>
      <c r="FY2542"/>
      <c r="FZ2542"/>
      <c r="GA2542"/>
      <c r="GB2542"/>
      <c r="GC2542"/>
      <c r="GD2542"/>
      <c r="GE2542"/>
      <c r="GF2542"/>
      <c r="GG2542"/>
      <c r="GH2542"/>
      <c r="GI2542"/>
      <c r="GJ2542"/>
      <c r="GK2542"/>
      <c r="GL2542"/>
      <c r="GM2542"/>
      <c r="GN2542"/>
      <c r="GO2542"/>
    </row>
    <row r="2543" spans="107:197">
      <c r="DC2543"/>
      <c r="FH2543"/>
      <c r="FI2543"/>
      <c r="FJ2543"/>
      <c r="FK2543"/>
      <c r="FL2543"/>
      <c r="FM2543"/>
      <c r="FN2543"/>
      <c r="FO2543"/>
      <c r="FP2543"/>
      <c r="FQ2543"/>
      <c r="FR2543"/>
      <c r="FS2543"/>
      <c r="FT2543"/>
      <c r="FU2543"/>
      <c r="FV2543"/>
      <c r="FW2543"/>
      <c r="FX2543"/>
      <c r="FY2543"/>
      <c r="FZ2543"/>
      <c r="GA2543"/>
      <c r="GB2543"/>
      <c r="GC2543"/>
      <c r="GD2543"/>
      <c r="GE2543"/>
      <c r="GF2543"/>
      <c r="GG2543"/>
      <c r="GH2543"/>
      <c r="GI2543"/>
      <c r="GJ2543"/>
      <c r="GK2543"/>
      <c r="GL2543"/>
      <c r="GM2543"/>
      <c r="GN2543"/>
      <c r="GO2543"/>
    </row>
    <row r="2544" spans="107:197">
      <c r="DC2544"/>
      <c r="FH2544"/>
      <c r="FI2544"/>
      <c r="FJ2544"/>
      <c r="FK2544"/>
      <c r="FL2544"/>
      <c r="FM2544"/>
      <c r="FN2544"/>
      <c r="FO2544"/>
      <c r="FP2544"/>
      <c r="FQ2544"/>
      <c r="FR2544"/>
      <c r="FS2544"/>
      <c r="FT2544"/>
      <c r="FU2544"/>
      <c r="FV2544"/>
      <c r="FW2544"/>
      <c r="FX2544"/>
      <c r="FY2544"/>
      <c r="FZ2544"/>
      <c r="GA2544"/>
      <c r="GB2544"/>
      <c r="GC2544"/>
      <c r="GD2544"/>
      <c r="GE2544"/>
      <c r="GF2544"/>
      <c r="GG2544"/>
      <c r="GH2544"/>
      <c r="GI2544"/>
      <c r="GJ2544"/>
      <c r="GK2544"/>
      <c r="GL2544"/>
      <c r="GM2544"/>
      <c r="GN2544"/>
      <c r="GO2544"/>
    </row>
    <row r="2545" spans="107:197">
      <c r="DC2545"/>
      <c r="FH2545"/>
      <c r="FI2545"/>
      <c r="FJ2545"/>
      <c r="FK2545"/>
      <c r="FL2545"/>
      <c r="FM2545"/>
      <c r="FN2545"/>
      <c r="FO2545"/>
      <c r="FP2545"/>
      <c r="FQ2545"/>
      <c r="FR2545"/>
      <c r="FS2545"/>
      <c r="FT2545"/>
      <c r="FU2545"/>
      <c r="FV2545"/>
      <c r="FW2545"/>
      <c r="FX2545"/>
      <c r="FY2545"/>
      <c r="FZ2545"/>
      <c r="GA2545"/>
      <c r="GB2545"/>
      <c r="GC2545"/>
      <c r="GD2545"/>
      <c r="GE2545"/>
      <c r="GF2545"/>
      <c r="GG2545"/>
      <c r="GH2545"/>
      <c r="GI2545"/>
      <c r="GJ2545"/>
      <c r="GK2545"/>
      <c r="GL2545"/>
      <c r="GM2545"/>
      <c r="GN2545"/>
      <c r="GO2545"/>
    </row>
    <row r="2546" spans="107:197">
      <c r="DC2546"/>
      <c r="FH2546"/>
      <c r="FI2546"/>
      <c r="FJ2546"/>
      <c r="FK2546"/>
      <c r="FL2546"/>
      <c r="FM2546"/>
      <c r="FN2546"/>
      <c r="FO2546"/>
      <c r="FP2546"/>
      <c r="FQ2546"/>
      <c r="FR2546"/>
      <c r="FS2546"/>
      <c r="FT2546"/>
      <c r="FU2546"/>
      <c r="FV2546"/>
      <c r="FW2546"/>
      <c r="FX2546"/>
      <c r="FY2546"/>
      <c r="FZ2546"/>
      <c r="GA2546"/>
      <c r="GB2546"/>
      <c r="GC2546"/>
      <c r="GD2546"/>
      <c r="GE2546"/>
      <c r="GF2546"/>
      <c r="GG2546"/>
      <c r="GH2546"/>
      <c r="GI2546"/>
      <c r="GJ2546"/>
      <c r="GK2546"/>
      <c r="GL2546"/>
      <c r="GM2546"/>
      <c r="GN2546"/>
      <c r="GO2546"/>
    </row>
    <row r="2547" spans="107:197">
      <c r="DC2547"/>
      <c r="FH2547"/>
      <c r="FI2547"/>
      <c r="FJ2547"/>
      <c r="FK2547"/>
      <c r="FL2547"/>
      <c r="FM2547"/>
      <c r="FN2547"/>
      <c r="FO2547"/>
      <c r="FP2547"/>
      <c r="FQ2547"/>
      <c r="FR2547"/>
      <c r="FS2547"/>
      <c r="FT2547"/>
      <c r="FU2547"/>
      <c r="FV2547"/>
      <c r="FW2547"/>
      <c r="FX2547"/>
      <c r="FY2547"/>
      <c r="FZ2547"/>
      <c r="GA2547"/>
      <c r="GB2547"/>
      <c r="GC2547"/>
      <c r="GD2547"/>
      <c r="GE2547"/>
      <c r="GF2547"/>
      <c r="GG2547"/>
      <c r="GH2547"/>
      <c r="GI2547"/>
      <c r="GJ2547"/>
      <c r="GK2547"/>
      <c r="GL2547"/>
      <c r="GM2547"/>
      <c r="GN2547"/>
      <c r="GO2547"/>
    </row>
    <row r="2548" spans="107:197">
      <c r="DC2548"/>
      <c r="FH2548"/>
      <c r="FI2548"/>
      <c r="FJ2548"/>
      <c r="FK2548"/>
      <c r="FL2548"/>
      <c r="FM2548"/>
      <c r="FN2548"/>
      <c r="FO2548"/>
      <c r="FP2548"/>
      <c r="FQ2548"/>
      <c r="FR2548"/>
      <c r="FS2548"/>
      <c r="FT2548"/>
      <c r="FU2548"/>
      <c r="FV2548"/>
      <c r="FW2548"/>
      <c r="FX2548"/>
      <c r="FY2548"/>
      <c r="FZ2548"/>
      <c r="GA2548"/>
      <c r="GB2548"/>
      <c r="GC2548"/>
      <c r="GD2548"/>
      <c r="GE2548"/>
      <c r="GF2548"/>
      <c r="GG2548"/>
      <c r="GH2548"/>
      <c r="GI2548"/>
      <c r="GJ2548"/>
      <c r="GK2548"/>
      <c r="GL2548"/>
      <c r="GM2548"/>
      <c r="GN2548"/>
      <c r="GO2548"/>
    </row>
    <row r="2549" spans="107:197">
      <c r="DC2549"/>
      <c r="FH2549"/>
      <c r="FI2549"/>
      <c r="FJ2549"/>
      <c r="FK2549"/>
      <c r="FL2549"/>
      <c r="FM2549"/>
      <c r="FN2549"/>
      <c r="FO2549"/>
      <c r="FP2549"/>
      <c r="FQ2549"/>
      <c r="FR2549"/>
      <c r="FS2549"/>
      <c r="FT2549"/>
      <c r="FU2549"/>
      <c r="FV2549"/>
      <c r="FW2549"/>
      <c r="FX2549"/>
      <c r="FY2549"/>
      <c r="FZ2549"/>
      <c r="GA2549"/>
      <c r="GB2549"/>
      <c r="GC2549"/>
      <c r="GD2549"/>
      <c r="GE2549"/>
      <c r="GF2549"/>
      <c r="GG2549"/>
      <c r="GH2549"/>
      <c r="GI2549"/>
      <c r="GJ2549"/>
      <c r="GK2549"/>
      <c r="GL2549"/>
      <c r="GM2549"/>
      <c r="GN2549"/>
      <c r="GO2549"/>
    </row>
    <row r="2550" spans="107:197">
      <c r="DC2550"/>
      <c r="FH2550"/>
      <c r="FI2550"/>
      <c r="FJ2550"/>
      <c r="FK2550"/>
      <c r="FL2550"/>
      <c r="FM2550"/>
      <c r="FN2550"/>
      <c r="FO2550"/>
      <c r="FP2550"/>
      <c r="FQ2550"/>
      <c r="FR2550"/>
      <c r="FS2550"/>
      <c r="FT2550"/>
      <c r="FU2550"/>
      <c r="FV2550"/>
      <c r="FW2550"/>
      <c r="FX2550"/>
      <c r="FY2550"/>
      <c r="FZ2550"/>
      <c r="GA2550"/>
      <c r="GB2550"/>
      <c r="GC2550"/>
      <c r="GD2550"/>
      <c r="GE2550"/>
      <c r="GF2550"/>
      <c r="GG2550"/>
      <c r="GH2550"/>
      <c r="GI2550"/>
      <c r="GJ2550"/>
      <c r="GK2550"/>
      <c r="GL2550"/>
      <c r="GM2550"/>
      <c r="GN2550"/>
      <c r="GO2550"/>
    </row>
    <row r="2551" spans="107:197">
      <c r="DC2551"/>
      <c r="FH2551"/>
      <c r="FI2551"/>
      <c r="FJ2551"/>
      <c r="FK2551"/>
      <c r="FL2551"/>
      <c r="FM2551"/>
      <c r="FN2551"/>
      <c r="FO2551"/>
      <c r="FP2551"/>
      <c r="FQ2551"/>
      <c r="FR2551"/>
      <c r="FS2551"/>
      <c r="FT2551"/>
      <c r="FU2551"/>
      <c r="FV2551"/>
      <c r="FW2551"/>
      <c r="FX2551"/>
      <c r="FY2551"/>
      <c r="FZ2551"/>
      <c r="GA2551"/>
      <c r="GB2551"/>
      <c r="GC2551"/>
      <c r="GD2551"/>
      <c r="GE2551"/>
      <c r="GF2551"/>
      <c r="GG2551"/>
      <c r="GH2551"/>
      <c r="GI2551"/>
      <c r="GJ2551"/>
      <c r="GK2551"/>
      <c r="GL2551"/>
      <c r="GM2551"/>
      <c r="GN2551"/>
      <c r="GO2551"/>
    </row>
    <row r="2552" spans="107:197">
      <c r="DC2552"/>
      <c r="FH2552"/>
      <c r="FI2552"/>
      <c r="FJ2552"/>
      <c r="FK2552"/>
      <c r="FL2552"/>
      <c r="FM2552"/>
      <c r="FN2552"/>
      <c r="FO2552"/>
      <c r="FP2552"/>
      <c r="FQ2552"/>
      <c r="FR2552"/>
      <c r="FS2552"/>
      <c r="FT2552"/>
      <c r="FU2552"/>
      <c r="FV2552"/>
      <c r="FW2552"/>
      <c r="FX2552"/>
      <c r="FY2552"/>
      <c r="FZ2552"/>
      <c r="GA2552"/>
      <c r="GB2552"/>
      <c r="GC2552"/>
      <c r="GD2552"/>
      <c r="GE2552"/>
      <c r="GF2552"/>
      <c r="GG2552"/>
      <c r="GH2552"/>
      <c r="GI2552"/>
      <c r="GJ2552"/>
      <c r="GK2552"/>
      <c r="GL2552"/>
      <c r="GM2552"/>
      <c r="GN2552"/>
      <c r="GO2552"/>
    </row>
    <row r="2553" spans="107:197">
      <c r="DC2553"/>
      <c r="FH2553"/>
      <c r="FI2553"/>
      <c r="FJ2553"/>
      <c r="FK2553"/>
      <c r="FL2553"/>
      <c r="FM2553"/>
      <c r="FN2553"/>
      <c r="FO2553"/>
      <c r="FP2553"/>
      <c r="FQ2553"/>
      <c r="FR2553"/>
      <c r="FS2553"/>
      <c r="FT2553"/>
      <c r="FU2553"/>
      <c r="FV2553"/>
      <c r="FW2553"/>
      <c r="FX2553"/>
      <c r="FY2553"/>
      <c r="FZ2553"/>
      <c r="GA2553"/>
      <c r="GB2553"/>
      <c r="GC2553"/>
      <c r="GD2553"/>
      <c r="GE2553"/>
      <c r="GF2553"/>
      <c r="GG2553"/>
      <c r="GH2553"/>
      <c r="GI2553"/>
      <c r="GJ2553"/>
      <c r="GK2553"/>
      <c r="GL2553"/>
      <c r="GM2553"/>
      <c r="GN2553"/>
      <c r="GO2553"/>
    </row>
    <row r="2554" spans="107:197">
      <c r="DC2554"/>
      <c r="FH2554"/>
      <c r="FI2554"/>
      <c r="FJ2554"/>
      <c r="FK2554"/>
      <c r="FL2554"/>
      <c r="FM2554"/>
      <c r="FN2554"/>
      <c r="FO2554"/>
      <c r="FP2554"/>
      <c r="FQ2554"/>
      <c r="FR2554"/>
      <c r="FS2554"/>
      <c r="FT2554"/>
      <c r="FU2554"/>
      <c r="FV2554"/>
      <c r="FW2554"/>
      <c r="FX2554"/>
      <c r="FY2554"/>
      <c r="FZ2554"/>
      <c r="GA2554"/>
      <c r="GB2554"/>
      <c r="GC2554"/>
      <c r="GD2554"/>
      <c r="GE2554"/>
      <c r="GF2554"/>
      <c r="GG2554"/>
      <c r="GH2554"/>
      <c r="GI2554"/>
      <c r="GJ2554"/>
      <c r="GK2554"/>
      <c r="GL2554"/>
      <c r="GM2554"/>
      <c r="GN2554"/>
      <c r="GO2554"/>
    </row>
    <row r="2555" spans="107:197">
      <c r="DC2555"/>
      <c r="FH2555"/>
      <c r="FI2555"/>
      <c r="FJ2555"/>
      <c r="FK2555"/>
      <c r="FL2555"/>
      <c r="FM2555"/>
      <c r="FN2555"/>
      <c r="FO2555"/>
      <c r="FP2555"/>
      <c r="FQ2555"/>
      <c r="FR2555"/>
      <c r="FS2555"/>
      <c r="FT2555"/>
      <c r="FU2555"/>
      <c r="FV2555"/>
      <c r="FW2555"/>
      <c r="FX2555"/>
      <c r="FY2555"/>
      <c r="FZ2555"/>
      <c r="GA2555"/>
      <c r="GB2555"/>
      <c r="GC2555"/>
      <c r="GD2555"/>
      <c r="GE2555"/>
      <c r="GF2555"/>
      <c r="GG2555"/>
      <c r="GH2555"/>
      <c r="GI2555"/>
      <c r="GJ2555"/>
      <c r="GK2555"/>
      <c r="GL2555"/>
      <c r="GM2555"/>
      <c r="GN2555"/>
      <c r="GO2555"/>
    </row>
    <row r="2556" spans="107:197">
      <c r="DC2556"/>
      <c r="FH2556"/>
      <c r="FI2556"/>
      <c r="FJ2556"/>
      <c r="FK2556"/>
      <c r="FL2556"/>
      <c r="FM2556"/>
      <c r="FN2556"/>
      <c r="FO2556"/>
      <c r="FP2556"/>
      <c r="FQ2556"/>
      <c r="FR2556"/>
      <c r="FS2556"/>
      <c r="FT2556"/>
      <c r="FU2556"/>
      <c r="FV2556"/>
      <c r="FW2556"/>
      <c r="FX2556"/>
      <c r="FY2556"/>
      <c r="FZ2556"/>
      <c r="GA2556"/>
      <c r="GB2556"/>
      <c r="GC2556"/>
      <c r="GD2556"/>
      <c r="GE2556"/>
      <c r="GF2556"/>
      <c r="GG2556"/>
      <c r="GH2556"/>
      <c r="GI2556"/>
      <c r="GJ2556"/>
      <c r="GK2556"/>
      <c r="GL2556"/>
      <c r="GM2556"/>
      <c r="GN2556"/>
      <c r="GO2556"/>
    </row>
    <row r="2557" spans="107:197">
      <c r="DC2557"/>
      <c r="FH2557"/>
      <c r="FI2557"/>
      <c r="FJ2557"/>
      <c r="FK2557"/>
      <c r="FL2557"/>
      <c r="FM2557"/>
      <c r="FN2557"/>
      <c r="FO2557"/>
      <c r="FP2557"/>
      <c r="FQ2557"/>
      <c r="FR2557"/>
      <c r="FS2557"/>
      <c r="FT2557"/>
      <c r="FU2557"/>
      <c r="FV2557"/>
      <c r="FW2557"/>
      <c r="FX2557"/>
      <c r="FY2557"/>
      <c r="FZ2557"/>
      <c r="GA2557"/>
      <c r="GB2557"/>
      <c r="GC2557"/>
      <c r="GD2557"/>
      <c r="GE2557"/>
      <c r="GF2557"/>
      <c r="GG2557"/>
      <c r="GH2557"/>
      <c r="GI2557"/>
      <c r="GJ2557"/>
      <c r="GK2557"/>
      <c r="GL2557"/>
      <c r="GM2557"/>
      <c r="GN2557"/>
      <c r="GO2557"/>
    </row>
    <row r="2558" spans="107:197">
      <c r="DC2558"/>
      <c r="FH2558"/>
      <c r="FI2558"/>
      <c r="FJ2558"/>
      <c r="FK2558"/>
      <c r="FL2558"/>
      <c r="FM2558"/>
      <c r="FN2558"/>
      <c r="FO2558"/>
      <c r="FP2558"/>
      <c r="FQ2558"/>
      <c r="FR2558"/>
      <c r="FS2558"/>
      <c r="FT2558"/>
      <c r="FU2558"/>
      <c r="FV2558"/>
      <c r="FW2558"/>
      <c r="FX2558"/>
      <c r="FY2558"/>
      <c r="FZ2558"/>
      <c r="GA2558"/>
      <c r="GB2558"/>
      <c r="GC2558"/>
      <c r="GD2558"/>
      <c r="GE2558"/>
      <c r="GF2558"/>
      <c r="GG2558"/>
      <c r="GH2558"/>
      <c r="GI2558"/>
      <c r="GJ2558"/>
      <c r="GK2558"/>
      <c r="GL2558"/>
      <c r="GM2558"/>
      <c r="GN2558"/>
      <c r="GO2558"/>
    </row>
    <row r="2559" spans="107:197">
      <c r="DC2559"/>
      <c r="FH2559"/>
      <c r="FI2559"/>
      <c r="FJ2559"/>
      <c r="FK2559"/>
      <c r="FL2559"/>
      <c r="FM2559"/>
      <c r="FN2559"/>
      <c r="FO2559"/>
      <c r="FP2559"/>
      <c r="FQ2559"/>
      <c r="FR2559"/>
      <c r="FS2559"/>
      <c r="FT2559"/>
      <c r="FU2559"/>
      <c r="FV2559"/>
      <c r="FW2559"/>
      <c r="FX2559"/>
      <c r="FY2559"/>
      <c r="FZ2559"/>
      <c r="GA2559"/>
      <c r="GB2559"/>
      <c r="GC2559"/>
      <c r="GD2559"/>
      <c r="GE2559"/>
      <c r="GF2559"/>
      <c r="GG2559"/>
      <c r="GH2559"/>
      <c r="GI2559"/>
      <c r="GJ2559"/>
      <c r="GK2559"/>
      <c r="GL2559"/>
      <c r="GM2559"/>
      <c r="GN2559"/>
      <c r="GO2559"/>
    </row>
    <row r="2560" spans="107:197">
      <c r="DC2560"/>
      <c r="FH2560"/>
      <c r="FI2560"/>
      <c r="FJ2560"/>
      <c r="FK2560"/>
      <c r="FL2560"/>
      <c r="FM2560"/>
      <c r="FN2560"/>
      <c r="FO2560"/>
      <c r="FP2560"/>
      <c r="FQ2560"/>
      <c r="FR2560"/>
      <c r="FS2560"/>
      <c r="FT2560"/>
      <c r="FU2560"/>
      <c r="FV2560"/>
      <c r="FW2560"/>
      <c r="FX2560"/>
      <c r="FY2560"/>
      <c r="FZ2560"/>
      <c r="GA2560"/>
      <c r="GB2560"/>
      <c r="GC2560"/>
      <c r="GD2560"/>
      <c r="GE2560"/>
      <c r="GF2560"/>
      <c r="GG2560"/>
      <c r="GH2560"/>
      <c r="GI2560"/>
      <c r="GJ2560"/>
      <c r="GK2560"/>
      <c r="GL2560"/>
      <c r="GM2560"/>
      <c r="GN2560"/>
      <c r="GO2560"/>
    </row>
    <row r="2561" spans="107:197">
      <c r="DC2561"/>
      <c r="FH2561"/>
      <c r="FI2561"/>
      <c r="FJ2561"/>
      <c r="FK2561"/>
      <c r="FL2561"/>
      <c r="FM2561"/>
      <c r="FN2561"/>
      <c r="FO2561"/>
      <c r="FP2561"/>
      <c r="FQ2561"/>
      <c r="FR2561"/>
      <c r="FS2561"/>
      <c r="FT2561"/>
      <c r="FU2561"/>
      <c r="FV2561"/>
      <c r="FW2561"/>
      <c r="FX2561"/>
      <c r="FY2561"/>
      <c r="FZ2561"/>
      <c r="GA2561"/>
      <c r="GB2561"/>
      <c r="GC2561"/>
      <c r="GD2561"/>
      <c r="GE2561"/>
      <c r="GF2561"/>
      <c r="GG2561"/>
      <c r="GH2561"/>
      <c r="GI2561"/>
      <c r="GJ2561"/>
      <c r="GK2561"/>
      <c r="GL2561"/>
      <c r="GM2561"/>
      <c r="GN2561"/>
      <c r="GO2561"/>
    </row>
    <row r="2562" spans="107:197">
      <c r="DC2562"/>
      <c r="FH2562"/>
      <c r="FI2562"/>
      <c r="FJ2562"/>
      <c r="FK2562"/>
      <c r="FL2562"/>
      <c r="FM2562"/>
      <c r="FN2562"/>
      <c r="FO2562"/>
      <c r="FP2562"/>
      <c r="FQ2562"/>
      <c r="FR2562"/>
      <c r="FS2562"/>
      <c r="FT2562"/>
      <c r="FU2562"/>
      <c r="FV2562"/>
      <c r="FW2562"/>
      <c r="FX2562"/>
      <c r="FY2562"/>
      <c r="FZ2562"/>
      <c r="GA2562"/>
      <c r="GB2562"/>
      <c r="GC2562"/>
      <c r="GD2562"/>
      <c r="GE2562"/>
      <c r="GF2562"/>
      <c r="GG2562"/>
      <c r="GH2562"/>
      <c r="GI2562"/>
      <c r="GJ2562"/>
      <c r="GK2562"/>
      <c r="GL2562"/>
      <c r="GM2562"/>
      <c r="GN2562"/>
      <c r="GO2562"/>
    </row>
    <row r="2563" spans="107:197">
      <c r="DC2563"/>
      <c r="FH2563"/>
      <c r="FI2563"/>
      <c r="FJ2563"/>
      <c r="FK2563"/>
      <c r="FL2563"/>
      <c r="FM2563"/>
      <c r="FN2563"/>
      <c r="FO2563"/>
      <c r="FP2563"/>
      <c r="FQ2563"/>
      <c r="FR2563"/>
      <c r="FS2563"/>
      <c r="FT2563"/>
      <c r="FU2563"/>
      <c r="FV2563"/>
      <c r="FW2563"/>
      <c r="FX2563"/>
      <c r="FY2563"/>
      <c r="FZ2563"/>
      <c r="GA2563"/>
      <c r="GB2563"/>
      <c r="GC2563"/>
      <c r="GD2563"/>
      <c r="GE2563"/>
      <c r="GF2563"/>
      <c r="GG2563"/>
      <c r="GH2563"/>
      <c r="GI2563"/>
      <c r="GJ2563"/>
      <c r="GK2563"/>
      <c r="GL2563"/>
      <c r="GM2563"/>
      <c r="GN2563"/>
      <c r="GO2563"/>
    </row>
    <row r="2564" spans="107:197">
      <c r="DC2564"/>
      <c r="FH2564"/>
      <c r="FI2564"/>
      <c r="FJ2564"/>
      <c r="FK2564"/>
      <c r="FL2564"/>
      <c r="FM2564"/>
      <c r="FN2564"/>
      <c r="FO2564"/>
      <c r="FP2564"/>
      <c r="FQ2564"/>
      <c r="FR2564"/>
      <c r="FS2564"/>
      <c r="FT2564"/>
      <c r="FU2564"/>
      <c r="FV2564"/>
      <c r="FW2564"/>
      <c r="FX2564"/>
      <c r="FY2564"/>
      <c r="FZ2564"/>
      <c r="GA2564"/>
      <c r="GB2564"/>
      <c r="GC2564"/>
      <c r="GD2564"/>
      <c r="GE2564"/>
      <c r="GF2564"/>
      <c r="GG2564"/>
      <c r="GH2564"/>
      <c r="GI2564"/>
      <c r="GJ2564"/>
      <c r="GK2564"/>
      <c r="GL2564"/>
      <c r="GM2564"/>
      <c r="GN2564"/>
      <c r="GO2564"/>
    </row>
    <row r="2565" spans="107:197">
      <c r="DC2565"/>
      <c r="FH2565"/>
      <c r="FI2565"/>
      <c r="FJ2565"/>
      <c r="FK2565"/>
      <c r="FL2565"/>
      <c r="FM2565"/>
      <c r="FN2565"/>
      <c r="FO2565"/>
      <c r="FP2565"/>
      <c r="FQ2565"/>
      <c r="FR2565"/>
      <c r="FS2565"/>
      <c r="FT2565"/>
      <c r="FU2565"/>
      <c r="FV2565"/>
      <c r="FW2565"/>
      <c r="FX2565"/>
      <c r="FY2565"/>
      <c r="FZ2565"/>
      <c r="GA2565"/>
      <c r="GB2565"/>
      <c r="GC2565"/>
      <c r="GD2565"/>
      <c r="GE2565"/>
      <c r="GF2565"/>
      <c r="GG2565"/>
      <c r="GH2565"/>
      <c r="GI2565"/>
      <c r="GJ2565"/>
      <c r="GK2565"/>
      <c r="GL2565"/>
      <c r="GM2565"/>
      <c r="GN2565"/>
      <c r="GO2565"/>
    </row>
    <row r="2566" spans="107:197">
      <c r="DC2566"/>
      <c r="FH2566"/>
      <c r="FI2566"/>
      <c r="FJ2566"/>
      <c r="FK2566"/>
      <c r="FL2566"/>
      <c r="FM2566"/>
      <c r="FN2566"/>
      <c r="FO2566"/>
      <c r="FP2566"/>
      <c r="FQ2566"/>
      <c r="FR2566"/>
      <c r="FS2566"/>
      <c r="FT2566"/>
      <c r="FU2566"/>
      <c r="FV2566"/>
      <c r="FW2566"/>
      <c r="FX2566"/>
      <c r="FY2566"/>
      <c r="FZ2566"/>
      <c r="GA2566"/>
      <c r="GB2566"/>
      <c r="GC2566"/>
      <c r="GD2566"/>
      <c r="GE2566"/>
      <c r="GF2566"/>
      <c r="GG2566"/>
      <c r="GH2566"/>
      <c r="GI2566"/>
      <c r="GJ2566"/>
      <c r="GK2566"/>
      <c r="GL2566"/>
      <c r="GM2566"/>
      <c r="GN2566"/>
      <c r="GO2566"/>
    </row>
    <row r="2567" spans="107:197">
      <c r="DC2567"/>
      <c r="FH2567"/>
      <c r="FI2567"/>
      <c r="FJ2567"/>
      <c r="FK2567"/>
      <c r="FL2567"/>
      <c r="FM2567"/>
      <c r="FN2567"/>
      <c r="FO2567"/>
      <c r="FP2567"/>
      <c r="FQ2567"/>
      <c r="FR2567"/>
      <c r="FS2567"/>
      <c r="FT2567"/>
      <c r="FU2567"/>
      <c r="FV2567"/>
      <c r="FW2567"/>
      <c r="FX2567"/>
      <c r="FY2567"/>
      <c r="FZ2567"/>
      <c r="GA2567"/>
      <c r="GB2567"/>
      <c r="GC2567"/>
      <c r="GD2567"/>
      <c r="GE2567"/>
      <c r="GF2567"/>
      <c r="GG2567"/>
      <c r="GH2567"/>
      <c r="GI2567"/>
      <c r="GJ2567"/>
      <c r="GK2567"/>
      <c r="GL2567"/>
      <c r="GM2567"/>
      <c r="GN2567"/>
      <c r="GO2567"/>
    </row>
    <row r="2568" spans="107:197">
      <c r="DC2568"/>
      <c r="FH2568"/>
      <c r="FI2568"/>
      <c r="FJ2568"/>
      <c r="FK2568"/>
      <c r="FL2568"/>
      <c r="FM2568"/>
      <c r="FN2568"/>
      <c r="FO2568"/>
      <c r="FP2568"/>
      <c r="FQ2568"/>
      <c r="FR2568"/>
      <c r="FS2568"/>
      <c r="FT2568"/>
      <c r="FU2568"/>
      <c r="FV2568"/>
      <c r="FW2568"/>
      <c r="FX2568"/>
      <c r="FY2568"/>
      <c r="FZ2568"/>
      <c r="GA2568"/>
      <c r="GB2568"/>
      <c r="GC2568"/>
      <c r="GD2568"/>
      <c r="GE2568"/>
      <c r="GF2568"/>
      <c r="GG2568"/>
      <c r="GH2568"/>
      <c r="GI2568"/>
      <c r="GJ2568"/>
      <c r="GK2568"/>
      <c r="GL2568"/>
      <c r="GM2568"/>
      <c r="GN2568"/>
      <c r="GO2568"/>
    </row>
    <row r="2569" spans="107:197">
      <c r="DC2569"/>
      <c r="FH2569"/>
      <c r="FI2569"/>
      <c r="FJ2569"/>
      <c r="FK2569"/>
      <c r="FL2569"/>
      <c r="FM2569"/>
      <c r="FN2569"/>
      <c r="FO2569"/>
      <c r="FP2569"/>
      <c r="FQ2569"/>
      <c r="FR2569"/>
      <c r="FS2569"/>
      <c r="FT2569"/>
      <c r="FU2569"/>
      <c r="FV2569"/>
      <c r="FW2569"/>
      <c r="FX2569"/>
      <c r="FY2569"/>
      <c r="FZ2569"/>
      <c r="GA2569"/>
      <c r="GB2569"/>
      <c r="GC2569"/>
      <c r="GD2569"/>
      <c r="GE2569"/>
      <c r="GF2569"/>
      <c r="GG2569"/>
      <c r="GH2569"/>
      <c r="GI2569"/>
      <c r="GJ2569"/>
      <c r="GK2569"/>
      <c r="GL2569"/>
      <c r="GM2569"/>
      <c r="GN2569"/>
      <c r="GO2569"/>
    </row>
    <row r="2570" spans="107:197">
      <c r="DC2570"/>
      <c r="FH2570"/>
      <c r="FI2570"/>
      <c r="FJ2570"/>
      <c r="FK2570"/>
      <c r="FL2570"/>
      <c r="FM2570"/>
      <c r="FN2570"/>
      <c r="FO2570"/>
      <c r="FP2570"/>
      <c r="FQ2570"/>
      <c r="FR2570"/>
      <c r="FS2570"/>
      <c r="FT2570"/>
      <c r="FU2570"/>
      <c r="FV2570"/>
      <c r="FW2570"/>
      <c r="FX2570"/>
      <c r="FY2570"/>
      <c r="FZ2570"/>
      <c r="GA2570"/>
      <c r="GB2570"/>
      <c r="GC2570"/>
      <c r="GD2570"/>
      <c r="GE2570"/>
      <c r="GF2570"/>
      <c r="GG2570"/>
      <c r="GH2570"/>
      <c r="GI2570"/>
      <c r="GJ2570"/>
      <c r="GK2570"/>
      <c r="GL2570"/>
      <c r="GM2570"/>
      <c r="GN2570"/>
      <c r="GO2570"/>
    </row>
    <row r="2571" spans="107:197">
      <c r="DC2571"/>
      <c r="FH2571"/>
      <c r="FI2571"/>
      <c r="FJ2571"/>
      <c r="FK2571"/>
      <c r="FL2571"/>
      <c r="FM2571"/>
      <c r="FN2571"/>
      <c r="FO2571"/>
      <c r="FP2571"/>
      <c r="FQ2571"/>
      <c r="FR2571"/>
      <c r="FS2571"/>
      <c r="FT2571"/>
      <c r="FU2571"/>
      <c r="FV2571"/>
      <c r="FW2571"/>
      <c r="FX2571"/>
      <c r="FY2571"/>
      <c r="FZ2571"/>
      <c r="GA2571"/>
      <c r="GB2571"/>
      <c r="GC2571"/>
      <c r="GD2571"/>
      <c r="GE2571"/>
      <c r="GF2571"/>
      <c r="GG2571"/>
      <c r="GH2571"/>
      <c r="GI2571"/>
      <c r="GJ2571"/>
      <c r="GK2571"/>
      <c r="GL2571"/>
      <c r="GM2571"/>
      <c r="GN2571"/>
      <c r="GO2571"/>
    </row>
    <row r="2572" spans="107:197">
      <c r="DC2572"/>
      <c r="FH2572"/>
      <c r="FI2572"/>
      <c r="FJ2572"/>
      <c r="FK2572"/>
      <c r="FL2572"/>
      <c r="FM2572"/>
      <c r="FN2572"/>
      <c r="FO2572"/>
      <c r="FP2572"/>
      <c r="FQ2572"/>
      <c r="FR2572"/>
      <c r="FS2572"/>
      <c r="FT2572"/>
      <c r="FU2572"/>
      <c r="FV2572"/>
      <c r="FW2572"/>
      <c r="FX2572"/>
      <c r="FY2572"/>
      <c r="FZ2572"/>
      <c r="GA2572"/>
      <c r="GB2572"/>
      <c r="GC2572"/>
      <c r="GD2572"/>
      <c r="GE2572"/>
      <c r="GF2572"/>
      <c r="GG2572"/>
      <c r="GH2572"/>
      <c r="GI2572"/>
      <c r="GJ2572"/>
      <c r="GK2572"/>
      <c r="GL2572"/>
      <c r="GM2572"/>
      <c r="GN2572"/>
      <c r="GO2572"/>
    </row>
    <row r="2573" spans="107:197">
      <c r="DC2573"/>
      <c r="FH2573"/>
      <c r="FI2573"/>
      <c r="FJ2573"/>
      <c r="FK2573"/>
      <c r="FL2573"/>
      <c r="FM2573"/>
      <c r="FN2573"/>
      <c r="FO2573"/>
      <c r="FP2573"/>
      <c r="FQ2573"/>
      <c r="FR2573"/>
      <c r="FS2573"/>
      <c r="FT2573"/>
      <c r="FU2573"/>
      <c r="FV2573"/>
      <c r="FW2573"/>
      <c r="FX2573"/>
      <c r="FY2573"/>
      <c r="FZ2573"/>
      <c r="GA2573"/>
      <c r="GB2573"/>
      <c r="GC2573"/>
      <c r="GD2573"/>
      <c r="GE2573"/>
      <c r="GF2573"/>
      <c r="GG2573"/>
      <c r="GH2573"/>
      <c r="GI2573"/>
      <c r="GJ2573"/>
      <c r="GK2573"/>
      <c r="GL2573"/>
      <c r="GM2573"/>
      <c r="GN2573"/>
      <c r="GO2573"/>
    </row>
    <row r="2574" spans="107:197">
      <c r="DC2574"/>
      <c r="FH2574"/>
      <c r="FI2574"/>
      <c r="FJ2574"/>
      <c r="FK2574"/>
      <c r="FL2574"/>
      <c r="FM2574"/>
      <c r="FN2574"/>
      <c r="FO2574"/>
      <c r="FP2574"/>
      <c r="FQ2574"/>
      <c r="FR2574"/>
      <c r="FS2574"/>
      <c r="FT2574"/>
      <c r="FU2574"/>
      <c r="FV2574"/>
      <c r="FW2574"/>
      <c r="FX2574"/>
      <c r="FY2574"/>
      <c r="FZ2574"/>
      <c r="GA2574"/>
      <c r="GB2574"/>
      <c r="GC2574"/>
      <c r="GD2574"/>
      <c r="GE2574"/>
      <c r="GF2574"/>
      <c r="GG2574"/>
      <c r="GH2574"/>
      <c r="GI2574"/>
      <c r="GJ2574"/>
      <c r="GK2574"/>
      <c r="GL2574"/>
      <c r="GM2574"/>
      <c r="GN2574"/>
      <c r="GO2574"/>
    </row>
    <row r="2575" spans="107:197">
      <c r="DC2575"/>
      <c r="FH2575"/>
      <c r="FI2575"/>
      <c r="FJ2575"/>
      <c r="FK2575"/>
      <c r="FL2575"/>
      <c r="FM2575"/>
      <c r="FN2575"/>
      <c r="FO2575"/>
      <c r="FP2575"/>
      <c r="FQ2575"/>
      <c r="FR2575"/>
      <c r="FS2575"/>
      <c r="FT2575"/>
      <c r="FU2575"/>
      <c r="FV2575"/>
      <c r="FW2575"/>
      <c r="FX2575"/>
      <c r="FY2575"/>
      <c r="FZ2575"/>
      <c r="GA2575"/>
      <c r="GB2575"/>
      <c r="GC2575"/>
      <c r="GD2575"/>
      <c r="GE2575"/>
      <c r="GF2575"/>
      <c r="GG2575"/>
      <c r="GH2575"/>
      <c r="GI2575"/>
      <c r="GJ2575"/>
      <c r="GK2575"/>
      <c r="GL2575"/>
      <c r="GM2575"/>
      <c r="GN2575"/>
      <c r="GO2575"/>
    </row>
    <row r="2576" spans="107:197">
      <c r="DC2576"/>
      <c r="FH2576"/>
      <c r="FI2576"/>
      <c r="FJ2576"/>
      <c r="FK2576"/>
      <c r="FL2576"/>
      <c r="FM2576"/>
      <c r="FN2576"/>
      <c r="FO2576"/>
      <c r="FP2576"/>
      <c r="FQ2576"/>
      <c r="FR2576"/>
      <c r="FS2576"/>
      <c r="FT2576"/>
      <c r="FU2576"/>
      <c r="FV2576"/>
      <c r="FW2576"/>
      <c r="FX2576"/>
      <c r="FY2576"/>
      <c r="FZ2576"/>
      <c r="GA2576"/>
      <c r="GB2576"/>
      <c r="GC2576"/>
      <c r="GD2576"/>
      <c r="GE2576"/>
      <c r="GF2576"/>
      <c r="GG2576"/>
      <c r="GH2576"/>
      <c r="GI2576"/>
      <c r="GJ2576"/>
      <c r="GK2576"/>
      <c r="GL2576"/>
      <c r="GM2576"/>
      <c r="GN2576"/>
      <c r="GO2576"/>
    </row>
    <row r="2577" spans="107:197">
      <c r="DC2577"/>
      <c r="FH2577"/>
      <c r="FI2577"/>
      <c r="FJ2577"/>
      <c r="FK2577"/>
      <c r="FL2577"/>
      <c r="FM2577"/>
      <c r="FN2577"/>
      <c r="FO2577"/>
      <c r="FP2577"/>
      <c r="FQ2577"/>
      <c r="FR2577"/>
      <c r="FS2577"/>
      <c r="FT2577"/>
      <c r="FU2577"/>
      <c r="FV2577"/>
      <c r="FW2577"/>
      <c r="FX2577"/>
      <c r="FY2577"/>
      <c r="FZ2577"/>
      <c r="GA2577"/>
      <c r="GB2577"/>
      <c r="GC2577"/>
      <c r="GD2577"/>
      <c r="GE2577"/>
      <c r="GF2577"/>
      <c r="GG2577"/>
      <c r="GH2577"/>
      <c r="GI2577"/>
      <c r="GJ2577"/>
      <c r="GK2577"/>
      <c r="GL2577"/>
      <c r="GM2577"/>
      <c r="GN2577"/>
      <c r="GO2577"/>
    </row>
    <row r="2578" spans="107:197">
      <c r="DC2578"/>
      <c r="FH2578"/>
      <c r="FI2578"/>
      <c r="FJ2578"/>
      <c r="FK2578"/>
      <c r="FL2578"/>
      <c r="FM2578"/>
      <c r="FN2578"/>
      <c r="FO2578"/>
      <c r="FP2578"/>
      <c r="FQ2578"/>
      <c r="FR2578"/>
      <c r="FS2578"/>
      <c r="FT2578"/>
      <c r="FU2578"/>
      <c r="FV2578"/>
      <c r="FW2578"/>
      <c r="FX2578"/>
      <c r="FY2578"/>
      <c r="FZ2578"/>
      <c r="GA2578"/>
      <c r="GB2578"/>
      <c r="GC2578"/>
      <c r="GD2578"/>
      <c r="GE2578"/>
      <c r="GF2578"/>
      <c r="GG2578"/>
      <c r="GH2578"/>
      <c r="GI2578"/>
      <c r="GJ2578"/>
      <c r="GK2578"/>
      <c r="GL2578"/>
      <c r="GM2578"/>
      <c r="GN2578"/>
      <c r="GO2578"/>
    </row>
    <row r="2579" spans="107:197">
      <c r="DC2579"/>
      <c r="FH2579"/>
      <c r="FI2579"/>
      <c r="FJ2579"/>
      <c r="FK2579"/>
      <c r="FL2579"/>
      <c r="FM2579"/>
      <c r="FN2579"/>
      <c r="FO2579"/>
      <c r="FP2579"/>
      <c r="FQ2579"/>
      <c r="FR2579"/>
      <c r="FS2579"/>
      <c r="FT2579"/>
      <c r="FU2579"/>
      <c r="FV2579"/>
      <c r="FW2579"/>
      <c r="FX2579"/>
      <c r="FY2579"/>
      <c r="FZ2579"/>
      <c r="GA2579"/>
      <c r="GB2579"/>
      <c r="GC2579"/>
      <c r="GD2579"/>
      <c r="GE2579"/>
      <c r="GF2579"/>
      <c r="GG2579"/>
      <c r="GH2579"/>
      <c r="GI2579"/>
      <c r="GJ2579"/>
      <c r="GK2579"/>
      <c r="GL2579"/>
      <c r="GM2579"/>
      <c r="GN2579"/>
      <c r="GO2579"/>
    </row>
    <row r="2580" spans="107:197">
      <c r="DC2580"/>
      <c r="FH2580"/>
      <c r="FI2580"/>
      <c r="FJ2580"/>
      <c r="FK2580"/>
      <c r="FL2580"/>
      <c r="FM2580"/>
      <c r="FN2580"/>
      <c r="FO2580"/>
      <c r="FP2580"/>
      <c r="FQ2580"/>
      <c r="FR2580"/>
      <c r="FS2580"/>
      <c r="FT2580"/>
      <c r="FU2580"/>
      <c r="FV2580"/>
      <c r="FW2580"/>
      <c r="FX2580"/>
      <c r="FY2580"/>
      <c r="FZ2580"/>
      <c r="GA2580"/>
      <c r="GB2580"/>
      <c r="GC2580"/>
      <c r="GD2580"/>
      <c r="GE2580"/>
      <c r="GF2580"/>
      <c r="GG2580"/>
      <c r="GH2580"/>
      <c r="GI2580"/>
      <c r="GJ2580"/>
      <c r="GK2580"/>
      <c r="GL2580"/>
      <c r="GM2580"/>
      <c r="GN2580"/>
      <c r="GO2580"/>
    </row>
    <row r="2581" spans="107:197">
      <c r="DC2581"/>
      <c r="FH2581"/>
      <c r="FI2581"/>
      <c r="FJ2581"/>
      <c r="FK2581"/>
      <c r="FL2581"/>
      <c r="FM2581"/>
      <c r="FN2581"/>
      <c r="FO2581"/>
      <c r="FP2581"/>
      <c r="FQ2581"/>
      <c r="FR2581"/>
      <c r="FS2581"/>
      <c r="FT2581"/>
      <c r="FU2581"/>
      <c r="FV2581"/>
      <c r="FW2581"/>
      <c r="FX2581"/>
      <c r="FY2581"/>
      <c r="FZ2581"/>
      <c r="GA2581"/>
      <c r="GB2581"/>
      <c r="GC2581"/>
      <c r="GD2581"/>
      <c r="GE2581"/>
      <c r="GF2581"/>
      <c r="GG2581"/>
      <c r="GH2581"/>
      <c r="GI2581"/>
      <c r="GJ2581"/>
      <c r="GK2581"/>
      <c r="GL2581"/>
      <c r="GM2581"/>
      <c r="GN2581"/>
      <c r="GO2581"/>
    </row>
    <row r="2582" spans="107:197">
      <c r="DC2582"/>
      <c r="FH2582"/>
      <c r="FI2582"/>
      <c r="FJ2582"/>
      <c r="FK2582"/>
      <c r="FL2582"/>
      <c r="FM2582"/>
      <c r="FN2582"/>
      <c r="FO2582"/>
      <c r="FP2582"/>
      <c r="FQ2582"/>
      <c r="FR2582"/>
      <c r="FS2582"/>
      <c r="FT2582"/>
      <c r="FU2582"/>
      <c r="FV2582"/>
      <c r="FW2582"/>
      <c r="FX2582"/>
      <c r="FY2582"/>
      <c r="FZ2582"/>
      <c r="GA2582"/>
      <c r="GB2582"/>
      <c r="GC2582"/>
      <c r="GD2582"/>
      <c r="GE2582"/>
      <c r="GF2582"/>
      <c r="GG2582"/>
      <c r="GH2582"/>
      <c r="GI2582"/>
      <c r="GJ2582"/>
      <c r="GK2582"/>
      <c r="GL2582"/>
      <c r="GM2582"/>
      <c r="GN2582"/>
      <c r="GO2582"/>
    </row>
    <row r="2583" spans="107:197">
      <c r="DC2583"/>
      <c r="FH2583"/>
      <c r="FI2583"/>
      <c r="FJ2583"/>
      <c r="FK2583"/>
      <c r="FL2583"/>
      <c r="FM2583"/>
      <c r="FN2583"/>
      <c r="FO2583"/>
      <c r="FP2583"/>
      <c r="FQ2583"/>
      <c r="FR2583"/>
      <c r="FS2583"/>
      <c r="FT2583"/>
      <c r="FU2583"/>
      <c r="FV2583"/>
      <c r="FW2583"/>
      <c r="FX2583"/>
      <c r="FY2583"/>
      <c r="FZ2583"/>
      <c r="GA2583"/>
      <c r="GB2583"/>
      <c r="GC2583"/>
      <c r="GD2583"/>
      <c r="GE2583"/>
      <c r="GF2583"/>
      <c r="GG2583"/>
      <c r="GH2583"/>
      <c r="GI2583"/>
      <c r="GJ2583"/>
      <c r="GK2583"/>
      <c r="GL2583"/>
      <c r="GM2583"/>
      <c r="GN2583"/>
      <c r="GO2583"/>
    </row>
    <row r="2584" spans="107:197">
      <c r="DC2584"/>
      <c r="FH2584"/>
      <c r="FI2584"/>
      <c r="FJ2584"/>
      <c r="FK2584"/>
      <c r="FL2584"/>
      <c r="FM2584"/>
      <c r="FN2584"/>
      <c r="FO2584"/>
      <c r="FP2584"/>
      <c r="FQ2584"/>
      <c r="FR2584"/>
      <c r="FS2584"/>
      <c r="FT2584"/>
      <c r="FU2584"/>
      <c r="FV2584"/>
      <c r="FW2584"/>
      <c r="FX2584"/>
      <c r="FY2584"/>
      <c r="FZ2584"/>
      <c r="GA2584"/>
      <c r="GB2584"/>
      <c r="GC2584"/>
      <c r="GD2584"/>
      <c r="GE2584"/>
      <c r="GF2584"/>
      <c r="GG2584"/>
      <c r="GH2584"/>
      <c r="GI2584"/>
      <c r="GJ2584"/>
      <c r="GK2584"/>
      <c r="GL2584"/>
      <c r="GM2584"/>
      <c r="GN2584"/>
      <c r="GO2584"/>
    </row>
    <row r="2585" spans="107:197">
      <c r="DC2585"/>
      <c r="FH2585"/>
      <c r="FI2585"/>
      <c r="FJ2585"/>
      <c r="FK2585"/>
      <c r="FL2585"/>
      <c r="FM2585"/>
      <c r="FN2585"/>
      <c r="FO2585"/>
      <c r="FP2585"/>
      <c r="FQ2585"/>
      <c r="FR2585"/>
      <c r="FS2585"/>
      <c r="FT2585"/>
      <c r="FU2585"/>
      <c r="FV2585"/>
      <c r="FW2585"/>
      <c r="FX2585"/>
      <c r="FY2585"/>
      <c r="FZ2585"/>
      <c r="GA2585"/>
      <c r="GB2585"/>
      <c r="GC2585"/>
      <c r="GD2585"/>
      <c r="GE2585"/>
      <c r="GF2585"/>
      <c r="GG2585"/>
      <c r="GH2585"/>
      <c r="GI2585"/>
      <c r="GJ2585"/>
      <c r="GK2585"/>
      <c r="GL2585"/>
      <c r="GM2585"/>
      <c r="GN2585"/>
      <c r="GO2585"/>
    </row>
    <row r="2586" spans="107:197">
      <c r="DC2586"/>
      <c r="FH2586"/>
      <c r="FI2586"/>
      <c r="FJ2586"/>
      <c r="FK2586"/>
      <c r="FL2586"/>
      <c r="FM2586"/>
      <c r="FN2586"/>
      <c r="FO2586"/>
      <c r="FP2586"/>
      <c r="FQ2586"/>
      <c r="FR2586"/>
      <c r="FS2586"/>
      <c r="FT2586"/>
      <c r="FU2586"/>
      <c r="FV2586"/>
      <c r="FW2586"/>
      <c r="FX2586"/>
      <c r="FY2586"/>
      <c r="FZ2586"/>
      <c r="GA2586"/>
      <c r="GB2586"/>
      <c r="GC2586"/>
      <c r="GD2586"/>
      <c r="GE2586"/>
      <c r="GF2586"/>
      <c r="GG2586"/>
      <c r="GH2586"/>
      <c r="GI2586"/>
      <c r="GJ2586"/>
      <c r="GK2586"/>
      <c r="GL2586"/>
      <c r="GM2586"/>
      <c r="GN2586"/>
      <c r="GO2586"/>
    </row>
    <row r="2587" spans="107:197">
      <c r="DC2587"/>
      <c r="FH2587"/>
      <c r="FI2587"/>
      <c r="FJ2587"/>
      <c r="FK2587"/>
      <c r="FL2587"/>
      <c r="FM2587"/>
      <c r="FN2587"/>
      <c r="FO2587"/>
      <c r="FP2587"/>
      <c r="FQ2587"/>
      <c r="FR2587"/>
      <c r="FS2587"/>
      <c r="FT2587"/>
      <c r="FU2587"/>
      <c r="FV2587"/>
      <c r="FW2587"/>
      <c r="FX2587"/>
      <c r="FY2587"/>
      <c r="FZ2587"/>
      <c r="GA2587"/>
      <c r="GB2587"/>
      <c r="GC2587"/>
      <c r="GD2587"/>
      <c r="GE2587"/>
      <c r="GF2587"/>
      <c r="GG2587"/>
      <c r="GH2587"/>
      <c r="GI2587"/>
      <c r="GJ2587"/>
      <c r="GK2587"/>
      <c r="GL2587"/>
      <c r="GM2587"/>
      <c r="GN2587"/>
      <c r="GO2587"/>
    </row>
    <row r="2588" spans="107:197">
      <c r="DC2588"/>
      <c r="FH2588"/>
      <c r="FI2588"/>
      <c r="FJ2588"/>
      <c r="FK2588"/>
      <c r="FL2588"/>
      <c r="FM2588"/>
      <c r="FN2588"/>
      <c r="FO2588"/>
      <c r="FP2588"/>
      <c r="FQ2588"/>
      <c r="FR2588"/>
      <c r="FS2588"/>
      <c r="FT2588"/>
      <c r="FU2588"/>
      <c r="FV2588"/>
      <c r="FW2588"/>
      <c r="FX2588"/>
      <c r="FY2588"/>
      <c r="FZ2588"/>
      <c r="GA2588"/>
      <c r="GB2588"/>
      <c r="GC2588"/>
      <c r="GD2588"/>
      <c r="GE2588"/>
      <c r="GF2588"/>
      <c r="GG2588"/>
      <c r="GH2588"/>
      <c r="GI2588"/>
      <c r="GJ2588"/>
      <c r="GK2588"/>
      <c r="GL2588"/>
      <c r="GM2588"/>
      <c r="GN2588"/>
      <c r="GO2588"/>
    </row>
    <row r="2589" spans="107:197">
      <c r="DC2589"/>
      <c r="FH2589"/>
      <c r="FI2589"/>
      <c r="FJ2589"/>
      <c r="FK2589"/>
      <c r="FL2589"/>
      <c r="FM2589"/>
      <c r="FN2589"/>
      <c r="FO2589"/>
      <c r="FP2589"/>
      <c r="FQ2589"/>
      <c r="FR2589"/>
      <c r="FS2589"/>
      <c r="FT2589"/>
      <c r="FU2589"/>
      <c r="FV2589"/>
      <c r="FW2589"/>
      <c r="FX2589"/>
      <c r="FY2589"/>
      <c r="FZ2589"/>
      <c r="GA2589"/>
      <c r="GB2589"/>
      <c r="GC2589"/>
      <c r="GD2589"/>
      <c r="GE2589"/>
      <c r="GF2589"/>
      <c r="GG2589"/>
      <c r="GH2589"/>
      <c r="GI2589"/>
      <c r="GJ2589"/>
      <c r="GK2589"/>
      <c r="GL2589"/>
      <c r="GM2589"/>
      <c r="GN2589"/>
      <c r="GO2589"/>
    </row>
    <row r="2590" spans="107:197">
      <c r="DC2590"/>
      <c r="FH2590"/>
      <c r="FI2590"/>
      <c r="FJ2590"/>
      <c r="FK2590"/>
      <c r="FL2590"/>
      <c r="FM2590"/>
      <c r="FN2590"/>
      <c r="FO2590"/>
      <c r="FP2590"/>
      <c r="FQ2590"/>
      <c r="FR2590"/>
      <c r="FS2590"/>
      <c r="FT2590"/>
      <c r="FU2590"/>
      <c r="FV2590"/>
      <c r="FW2590"/>
      <c r="FX2590"/>
      <c r="FY2590"/>
      <c r="FZ2590"/>
      <c r="GA2590"/>
      <c r="GB2590"/>
      <c r="GC2590"/>
      <c r="GD2590"/>
      <c r="GE2590"/>
      <c r="GF2590"/>
      <c r="GG2590"/>
      <c r="GH2590"/>
      <c r="GI2590"/>
      <c r="GJ2590"/>
      <c r="GK2590"/>
      <c r="GL2590"/>
      <c r="GM2590"/>
      <c r="GN2590"/>
      <c r="GO2590"/>
    </row>
    <row r="2591" spans="107:197">
      <c r="DC2591"/>
      <c r="FH2591"/>
      <c r="FI2591"/>
      <c r="FJ2591"/>
      <c r="FK2591"/>
      <c r="FL2591"/>
      <c r="FM2591"/>
      <c r="FN2591"/>
      <c r="FO2591"/>
      <c r="FP2591"/>
      <c r="FQ2591"/>
      <c r="FR2591"/>
      <c r="FS2591"/>
      <c r="FT2591"/>
      <c r="FU2591"/>
      <c r="FV2591"/>
      <c r="FW2591"/>
      <c r="FX2591"/>
      <c r="FY2591"/>
      <c r="FZ2591"/>
      <c r="GA2591"/>
      <c r="GB2591"/>
      <c r="GC2591"/>
      <c r="GD2591"/>
      <c r="GE2591"/>
      <c r="GF2591"/>
      <c r="GG2591"/>
      <c r="GH2591"/>
      <c r="GI2591"/>
      <c r="GJ2591"/>
      <c r="GK2591"/>
      <c r="GL2591"/>
      <c r="GM2591"/>
      <c r="GN2591"/>
      <c r="GO2591"/>
    </row>
    <row r="2592" spans="107:197">
      <c r="DC2592"/>
      <c r="FH2592"/>
      <c r="FI2592"/>
      <c r="FJ2592"/>
      <c r="FK2592"/>
      <c r="FL2592"/>
      <c r="FM2592"/>
      <c r="FN2592"/>
      <c r="FO2592"/>
      <c r="FP2592"/>
      <c r="FQ2592"/>
      <c r="FR2592"/>
      <c r="FS2592"/>
      <c r="FT2592"/>
      <c r="FU2592"/>
      <c r="FV2592"/>
      <c r="FW2592"/>
      <c r="FX2592"/>
      <c r="FY2592"/>
      <c r="FZ2592"/>
      <c r="GA2592"/>
      <c r="GB2592"/>
      <c r="GC2592"/>
      <c r="GD2592"/>
      <c r="GE2592"/>
      <c r="GF2592"/>
      <c r="GG2592"/>
      <c r="GH2592"/>
      <c r="GI2592"/>
      <c r="GJ2592"/>
      <c r="GK2592"/>
      <c r="GL2592"/>
      <c r="GM2592"/>
      <c r="GN2592"/>
      <c r="GO2592"/>
    </row>
    <row r="2593" spans="107:197">
      <c r="DC2593"/>
      <c r="FH2593"/>
      <c r="FI2593"/>
      <c r="FJ2593"/>
      <c r="FK2593"/>
      <c r="FL2593"/>
      <c r="FM2593"/>
      <c r="FN2593"/>
      <c r="FO2593"/>
      <c r="FP2593"/>
      <c r="FQ2593"/>
      <c r="FR2593"/>
      <c r="FS2593"/>
      <c r="FT2593"/>
      <c r="FU2593"/>
      <c r="FV2593"/>
      <c r="FW2593"/>
      <c r="FX2593"/>
      <c r="FY2593"/>
      <c r="FZ2593"/>
      <c r="GA2593"/>
      <c r="GB2593"/>
      <c r="GC2593"/>
      <c r="GD2593"/>
      <c r="GE2593"/>
      <c r="GF2593"/>
      <c r="GG2593"/>
      <c r="GH2593"/>
      <c r="GI2593"/>
      <c r="GJ2593"/>
      <c r="GK2593"/>
      <c r="GL2593"/>
      <c r="GM2593"/>
      <c r="GN2593"/>
      <c r="GO2593"/>
    </row>
    <row r="2594" spans="107:197">
      <c r="DC2594"/>
      <c r="FH2594"/>
      <c r="FI2594"/>
      <c r="FJ2594"/>
      <c r="FK2594"/>
      <c r="FL2594"/>
      <c r="FM2594"/>
      <c r="FN2594"/>
      <c r="FO2594"/>
      <c r="FP2594"/>
      <c r="FQ2594"/>
      <c r="FR2594"/>
      <c r="FS2594"/>
      <c r="FT2594"/>
      <c r="FU2594"/>
      <c r="FV2594"/>
      <c r="FW2594"/>
      <c r="FX2594"/>
      <c r="FY2594"/>
      <c r="FZ2594"/>
      <c r="GA2594"/>
      <c r="GB2594"/>
      <c r="GC2594"/>
      <c r="GD2594"/>
      <c r="GE2594"/>
      <c r="GF2594"/>
      <c r="GG2594"/>
      <c r="GH2594"/>
      <c r="GI2594"/>
      <c r="GJ2594"/>
      <c r="GK2594"/>
      <c r="GL2594"/>
      <c r="GM2594"/>
      <c r="GN2594"/>
      <c r="GO2594"/>
    </row>
    <row r="2595" spans="107:197">
      <c r="DC2595"/>
      <c r="FH2595"/>
      <c r="FI2595"/>
      <c r="FJ2595"/>
      <c r="FK2595"/>
      <c r="FL2595"/>
      <c r="FM2595"/>
      <c r="FN2595"/>
      <c r="FO2595"/>
      <c r="FP2595"/>
      <c r="FQ2595"/>
      <c r="FR2595"/>
      <c r="FS2595"/>
      <c r="FT2595"/>
      <c r="FU2595"/>
      <c r="FV2595"/>
      <c r="FW2595"/>
      <c r="FX2595"/>
      <c r="FY2595"/>
      <c r="FZ2595"/>
      <c r="GA2595"/>
      <c r="GB2595"/>
      <c r="GC2595"/>
      <c r="GD2595"/>
      <c r="GE2595"/>
      <c r="GF2595"/>
      <c r="GG2595"/>
      <c r="GH2595"/>
      <c r="GI2595"/>
      <c r="GJ2595"/>
      <c r="GK2595"/>
      <c r="GL2595"/>
      <c r="GM2595"/>
      <c r="GN2595"/>
      <c r="GO2595"/>
    </row>
    <row r="2596" spans="107:197">
      <c r="DC2596"/>
      <c r="FH2596"/>
      <c r="FI2596"/>
      <c r="FJ2596"/>
      <c r="FK2596"/>
      <c r="FL2596"/>
      <c r="FM2596"/>
      <c r="FN2596"/>
      <c r="FO2596"/>
      <c r="FP2596"/>
      <c r="FQ2596"/>
      <c r="FR2596"/>
      <c r="FS2596"/>
      <c r="FT2596"/>
      <c r="FU2596"/>
      <c r="FV2596"/>
      <c r="FW2596"/>
      <c r="FX2596"/>
      <c r="FY2596"/>
      <c r="FZ2596"/>
      <c r="GA2596"/>
      <c r="GB2596"/>
      <c r="GC2596"/>
      <c r="GD2596"/>
      <c r="GE2596"/>
      <c r="GF2596"/>
      <c r="GG2596"/>
      <c r="GH2596"/>
      <c r="GI2596"/>
      <c r="GJ2596"/>
      <c r="GK2596"/>
      <c r="GL2596"/>
      <c r="GM2596"/>
      <c r="GN2596"/>
      <c r="GO2596"/>
    </row>
    <row r="2597" spans="107:197">
      <c r="DC2597"/>
      <c r="FH2597"/>
      <c r="FI2597"/>
      <c r="FJ2597"/>
      <c r="FK2597"/>
      <c r="FL2597"/>
      <c r="FM2597"/>
      <c r="FN2597"/>
      <c r="FO2597"/>
      <c r="FP2597"/>
      <c r="FQ2597"/>
      <c r="FR2597"/>
      <c r="FS2597"/>
      <c r="FT2597"/>
      <c r="FU2597"/>
      <c r="FV2597"/>
      <c r="FW2597"/>
      <c r="FX2597"/>
      <c r="FY2597"/>
      <c r="FZ2597"/>
      <c r="GA2597"/>
      <c r="GB2597"/>
      <c r="GC2597"/>
      <c r="GD2597"/>
      <c r="GE2597"/>
      <c r="GF2597"/>
      <c r="GG2597"/>
      <c r="GH2597"/>
      <c r="GI2597"/>
      <c r="GJ2597"/>
      <c r="GK2597"/>
      <c r="GL2597"/>
      <c r="GM2597"/>
      <c r="GN2597"/>
      <c r="GO2597"/>
    </row>
    <row r="2598" spans="107:197">
      <c r="DC2598"/>
      <c r="FH2598"/>
      <c r="FI2598"/>
      <c r="FJ2598"/>
      <c r="FK2598"/>
      <c r="FL2598"/>
      <c r="FM2598"/>
      <c r="FN2598"/>
      <c r="FO2598"/>
      <c r="FP2598"/>
      <c r="FQ2598"/>
      <c r="FR2598"/>
      <c r="FS2598"/>
      <c r="FT2598"/>
      <c r="FU2598"/>
      <c r="FV2598"/>
      <c r="FW2598"/>
      <c r="FX2598"/>
      <c r="FY2598"/>
      <c r="FZ2598"/>
      <c r="GA2598"/>
      <c r="GB2598"/>
      <c r="GC2598"/>
      <c r="GD2598"/>
      <c r="GE2598"/>
      <c r="GF2598"/>
      <c r="GG2598"/>
      <c r="GH2598"/>
      <c r="GI2598"/>
      <c r="GJ2598"/>
      <c r="GK2598"/>
      <c r="GL2598"/>
      <c r="GM2598"/>
      <c r="GN2598"/>
      <c r="GO2598"/>
    </row>
    <row r="2599" spans="107:197">
      <c r="DC2599"/>
      <c r="FH2599"/>
      <c r="FI2599"/>
      <c r="FJ2599"/>
      <c r="FK2599"/>
      <c r="FL2599"/>
      <c r="FM2599"/>
      <c r="FN2599"/>
      <c r="FO2599"/>
      <c r="FP2599"/>
      <c r="FQ2599"/>
      <c r="FR2599"/>
      <c r="FS2599"/>
      <c r="FT2599"/>
      <c r="FU2599"/>
      <c r="FV2599"/>
      <c r="FW2599"/>
      <c r="FX2599"/>
      <c r="FY2599"/>
      <c r="FZ2599"/>
      <c r="GA2599"/>
      <c r="GB2599"/>
      <c r="GC2599"/>
      <c r="GD2599"/>
      <c r="GE2599"/>
      <c r="GF2599"/>
      <c r="GG2599"/>
      <c r="GH2599"/>
      <c r="GI2599"/>
      <c r="GJ2599"/>
      <c r="GK2599"/>
      <c r="GL2599"/>
      <c r="GM2599"/>
      <c r="GN2599"/>
      <c r="GO2599"/>
    </row>
    <row r="2600" spans="107:197">
      <c r="DC2600"/>
      <c r="FH2600"/>
      <c r="FI2600"/>
      <c r="FJ2600"/>
      <c r="FK2600"/>
      <c r="FL2600"/>
      <c r="FM2600"/>
      <c r="FN2600"/>
      <c r="FO2600"/>
      <c r="FP2600"/>
      <c r="FQ2600"/>
      <c r="FR2600"/>
      <c r="FS2600"/>
      <c r="FT2600"/>
      <c r="FU2600"/>
      <c r="FV2600"/>
      <c r="FW2600"/>
      <c r="FX2600"/>
      <c r="FY2600"/>
      <c r="FZ2600"/>
      <c r="GA2600"/>
      <c r="GB2600"/>
      <c r="GC2600"/>
      <c r="GD2600"/>
      <c r="GE2600"/>
      <c r="GF2600"/>
      <c r="GG2600"/>
      <c r="GH2600"/>
      <c r="GI2600"/>
      <c r="GJ2600"/>
      <c r="GK2600"/>
      <c r="GL2600"/>
      <c r="GM2600"/>
      <c r="GN2600"/>
      <c r="GO2600"/>
    </row>
    <row r="2601" spans="107:197">
      <c r="DC2601"/>
      <c r="FH2601"/>
      <c r="FI2601"/>
      <c r="FJ2601"/>
      <c r="FK2601"/>
      <c r="FL2601"/>
      <c r="FM2601"/>
      <c r="FN2601"/>
      <c r="FO2601"/>
      <c r="FP2601"/>
      <c r="FQ2601"/>
      <c r="FR2601"/>
      <c r="FS2601"/>
      <c r="FT2601"/>
      <c r="FU2601"/>
      <c r="FV2601"/>
      <c r="FW2601"/>
      <c r="FX2601"/>
      <c r="FY2601"/>
      <c r="FZ2601"/>
      <c r="GA2601"/>
      <c r="GB2601"/>
      <c r="GC2601"/>
      <c r="GD2601"/>
      <c r="GE2601"/>
      <c r="GF2601"/>
      <c r="GG2601"/>
      <c r="GH2601"/>
      <c r="GI2601"/>
      <c r="GJ2601"/>
      <c r="GK2601"/>
      <c r="GL2601"/>
      <c r="GM2601"/>
      <c r="GN2601"/>
      <c r="GO2601"/>
    </row>
    <row r="2602" spans="107:197">
      <c r="DC2602"/>
      <c r="FH2602"/>
      <c r="FI2602"/>
      <c r="FJ2602"/>
      <c r="FK2602"/>
      <c r="FL2602"/>
      <c r="FM2602"/>
      <c r="FN2602"/>
      <c r="FO2602"/>
      <c r="FP2602"/>
      <c r="FQ2602"/>
      <c r="FR2602"/>
      <c r="FS2602"/>
      <c r="FT2602"/>
      <c r="FU2602"/>
      <c r="FV2602"/>
      <c r="FW2602"/>
      <c r="FX2602"/>
      <c r="FY2602"/>
      <c r="FZ2602"/>
      <c r="GA2602"/>
      <c r="GB2602"/>
      <c r="GC2602"/>
      <c r="GD2602"/>
      <c r="GE2602"/>
      <c r="GF2602"/>
      <c r="GG2602"/>
      <c r="GH2602"/>
      <c r="GI2602"/>
      <c r="GJ2602"/>
      <c r="GK2602"/>
      <c r="GL2602"/>
      <c r="GM2602"/>
      <c r="GN2602"/>
      <c r="GO2602"/>
    </row>
    <row r="2603" spans="107:197">
      <c r="DC2603"/>
      <c r="FH2603"/>
      <c r="FI2603"/>
      <c r="FJ2603"/>
      <c r="FK2603"/>
      <c r="FL2603"/>
      <c r="FM2603"/>
      <c r="FN2603"/>
      <c r="FO2603"/>
      <c r="FP2603"/>
      <c r="FQ2603"/>
      <c r="FR2603"/>
      <c r="FS2603"/>
      <c r="FT2603"/>
      <c r="FU2603"/>
      <c r="FV2603"/>
      <c r="FW2603"/>
      <c r="FX2603"/>
      <c r="FY2603"/>
      <c r="FZ2603"/>
      <c r="GA2603"/>
      <c r="GB2603"/>
      <c r="GC2603"/>
      <c r="GD2603"/>
      <c r="GE2603"/>
      <c r="GF2603"/>
      <c r="GG2603"/>
      <c r="GH2603"/>
      <c r="GI2603"/>
      <c r="GJ2603"/>
      <c r="GK2603"/>
      <c r="GL2603"/>
      <c r="GM2603"/>
      <c r="GN2603"/>
      <c r="GO2603"/>
    </row>
    <row r="2604" spans="107:197">
      <c r="DC2604"/>
      <c r="FH2604"/>
      <c r="FI2604"/>
      <c r="FJ2604"/>
      <c r="FK2604"/>
      <c r="FL2604"/>
      <c r="FM2604"/>
      <c r="FN2604"/>
      <c r="FO2604"/>
      <c r="FP2604"/>
      <c r="FQ2604"/>
      <c r="FR2604"/>
      <c r="FS2604"/>
      <c r="FT2604"/>
      <c r="FU2604"/>
      <c r="FV2604"/>
      <c r="FW2604"/>
      <c r="FX2604"/>
      <c r="FY2604"/>
      <c r="FZ2604"/>
      <c r="GA2604"/>
      <c r="GB2604"/>
      <c r="GC2604"/>
      <c r="GD2604"/>
      <c r="GE2604"/>
      <c r="GF2604"/>
      <c r="GG2604"/>
      <c r="GH2604"/>
      <c r="GI2604"/>
      <c r="GJ2604"/>
      <c r="GK2604"/>
      <c r="GL2604"/>
      <c r="GM2604"/>
      <c r="GN2604"/>
      <c r="GO2604"/>
    </row>
    <row r="2605" spans="107:197">
      <c r="DC2605"/>
      <c r="FH2605"/>
      <c r="FI2605"/>
      <c r="FJ2605"/>
      <c r="FK2605"/>
      <c r="FL2605"/>
      <c r="FM2605"/>
      <c r="FN2605"/>
      <c r="FO2605"/>
      <c r="FP2605"/>
      <c r="FQ2605"/>
      <c r="FR2605"/>
      <c r="FS2605"/>
      <c r="FT2605"/>
      <c r="FU2605"/>
      <c r="FV2605"/>
      <c r="FW2605"/>
      <c r="FX2605"/>
      <c r="FY2605"/>
      <c r="FZ2605"/>
      <c r="GA2605"/>
      <c r="GB2605"/>
      <c r="GC2605"/>
      <c r="GD2605"/>
      <c r="GE2605"/>
      <c r="GF2605"/>
      <c r="GG2605"/>
      <c r="GH2605"/>
      <c r="GI2605"/>
      <c r="GJ2605"/>
      <c r="GK2605"/>
      <c r="GL2605"/>
      <c r="GM2605"/>
      <c r="GN2605"/>
      <c r="GO2605"/>
    </row>
    <row r="2606" spans="107:197">
      <c r="DC2606"/>
      <c r="FH2606"/>
      <c r="FI2606"/>
      <c r="FJ2606"/>
      <c r="FK2606"/>
      <c r="FL2606"/>
      <c r="FM2606"/>
      <c r="FN2606"/>
      <c r="FO2606"/>
      <c r="FP2606"/>
      <c r="FQ2606"/>
      <c r="FR2606"/>
      <c r="FS2606"/>
      <c r="FT2606"/>
      <c r="FU2606"/>
      <c r="FV2606"/>
      <c r="FW2606"/>
      <c r="FX2606"/>
      <c r="FY2606"/>
      <c r="FZ2606"/>
      <c r="GA2606"/>
      <c r="GB2606"/>
      <c r="GC2606"/>
      <c r="GD2606"/>
      <c r="GE2606"/>
      <c r="GF2606"/>
      <c r="GG2606"/>
      <c r="GH2606"/>
      <c r="GI2606"/>
      <c r="GJ2606"/>
      <c r="GK2606"/>
      <c r="GL2606"/>
      <c r="GM2606"/>
      <c r="GN2606"/>
      <c r="GO2606"/>
    </row>
    <row r="2607" spans="107:197">
      <c r="DC2607"/>
      <c r="FH2607"/>
      <c r="FI2607"/>
      <c r="FJ2607"/>
      <c r="FK2607"/>
      <c r="FL2607"/>
      <c r="FM2607"/>
      <c r="FN2607"/>
      <c r="FO2607"/>
      <c r="FP2607"/>
      <c r="FQ2607"/>
      <c r="FR2607"/>
      <c r="FS2607"/>
      <c r="FT2607"/>
      <c r="FU2607"/>
      <c r="FV2607"/>
      <c r="FW2607"/>
      <c r="FX2607"/>
      <c r="FY2607"/>
      <c r="FZ2607"/>
      <c r="GA2607"/>
      <c r="GB2607"/>
      <c r="GC2607"/>
      <c r="GD2607"/>
      <c r="GE2607"/>
      <c r="GF2607"/>
      <c r="GG2607"/>
      <c r="GH2607"/>
      <c r="GI2607"/>
      <c r="GJ2607"/>
      <c r="GK2607"/>
      <c r="GL2607"/>
      <c r="GM2607"/>
      <c r="GN2607"/>
      <c r="GO2607"/>
    </row>
    <row r="2608" spans="107:197">
      <c r="DC2608"/>
      <c r="FH2608"/>
      <c r="FI2608"/>
      <c r="FJ2608"/>
      <c r="FK2608"/>
      <c r="FL2608"/>
      <c r="FM2608"/>
      <c r="FN2608"/>
      <c r="FO2608"/>
      <c r="FP2608"/>
      <c r="FQ2608"/>
      <c r="FR2608"/>
      <c r="FS2608"/>
      <c r="FT2608"/>
      <c r="FU2608"/>
      <c r="FV2608"/>
      <c r="FW2608"/>
      <c r="FX2608"/>
      <c r="FY2608"/>
      <c r="FZ2608"/>
      <c r="GA2608"/>
      <c r="GB2608"/>
      <c r="GC2608"/>
      <c r="GD2608"/>
      <c r="GE2608"/>
      <c r="GF2608"/>
      <c r="GG2608"/>
      <c r="GH2608"/>
      <c r="GI2608"/>
      <c r="GJ2608"/>
      <c r="GK2608"/>
      <c r="GL2608"/>
      <c r="GM2608"/>
      <c r="GN2608"/>
      <c r="GO2608"/>
    </row>
    <row r="2609" spans="107:197">
      <c r="DC2609"/>
      <c r="FH2609"/>
      <c r="FI2609"/>
      <c r="FJ2609"/>
      <c r="FK2609"/>
      <c r="FL2609"/>
      <c r="FM2609"/>
      <c r="FN2609"/>
      <c r="FO2609"/>
      <c r="FP2609"/>
      <c r="FQ2609"/>
      <c r="FR2609"/>
      <c r="FS2609"/>
      <c r="FT2609"/>
      <c r="FU2609"/>
      <c r="FV2609"/>
      <c r="FW2609"/>
      <c r="FX2609"/>
      <c r="FY2609"/>
      <c r="FZ2609"/>
      <c r="GA2609"/>
      <c r="GB2609"/>
      <c r="GC2609"/>
      <c r="GD2609"/>
      <c r="GE2609"/>
      <c r="GF2609"/>
      <c r="GG2609"/>
      <c r="GH2609"/>
      <c r="GI2609"/>
      <c r="GJ2609"/>
      <c r="GK2609"/>
      <c r="GL2609"/>
      <c r="GM2609"/>
      <c r="GN2609"/>
      <c r="GO2609"/>
    </row>
    <row r="2610" spans="107:197">
      <c r="DC2610"/>
      <c r="FH2610"/>
      <c r="FI2610"/>
      <c r="FJ2610"/>
      <c r="FK2610"/>
      <c r="FL2610"/>
      <c r="FM2610"/>
      <c r="FN2610"/>
      <c r="FO2610"/>
      <c r="FP2610"/>
      <c r="FQ2610"/>
      <c r="FR2610"/>
      <c r="FS2610"/>
      <c r="FT2610"/>
      <c r="FU2610"/>
      <c r="FV2610"/>
      <c r="FW2610"/>
      <c r="FX2610"/>
      <c r="FY2610"/>
      <c r="FZ2610"/>
      <c r="GA2610"/>
      <c r="GB2610"/>
      <c r="GC2610"/>
      <c r="GD2610"/>
      <c r="GE2610"/>
      <c r="GF2610"/>
      <c r="GG2610"/>
      <c r="GH2610"/>
      <c r="GI2610"/>
      <c r="GJ2610"/>
      <c r="GK2610"/>
      <c r="GL2610"/>
      <c r="GM2610"/>
      <c r="GN2610"/>
      <c r="GO2610"/>
    </row>
    <row r="2611" spans="107:197">
      <c r="DC2611"/>
      <c r="FH2611"/>
      <c r="FI2611"/>
      <c r="FJ2611"/>
      <c r="FK2611"/>
      <c r="FL2611"/>
      <c r="FM2611"/>
      <c r="FN2611"/>
      <c r="FO2611"/>
      <c r="FP2611"/>
      <c r="FQ2611"/>
      <c r="FR2611"/>
      <c r="FS2611"/>
      <c r="FT2611"/>
      <c r="FU2611"/>
      <c r="FV2611"/>
      <c r="FW2611"/>
      <c r="FX2611"/>
      <c r="FY2611"/>
      <c r="FZ2611"/>
      <c r="GA2611"/>
      <c r="GB2611"/>
      <c r="GC2611"/>
      <c r="GD2611"/>
      <c r="GE2611"/>
      <c r="GF2611"/>
      <c r="GG2611"/>
      <c r="GH2611"/>
      <c r="GI2611"/>
      <c r="GJ2611"/>
      <c r="GK2611"/>
      <c r="GL2611"/>
      <c r="GM2611"/>
      <c r="GN2611"/>
      <c r="GO2611"/>
    </row>
    <row r="2612" spans="107:197">
      <c r="DC2612"/>
      <c r="FH2612"/>
      <c r="FI2612"/>
      <c r="FJ2612"/>
      <c r="FK2612"/>
      <c r="FL2612"/>
      <c r="FM2612"/>
      <c r="FN2612"/>
      <c r="FO2612"/>
      <c r="FP2612"/>
      <c r="FQ2612"/>
      <c r="FR2612"/>
      <c r="FS2612"/>
      <c r="FT2612"/>
      <c r="FU2612"/>
      <c r="FV2612"/>
      <c r="FW2612"/>
      <c r="FX2612"/>
      <c r="FY2612"/>
      <c r="FZ2612"/>
      <c r="GA2612"/>
      <c r="GB2612"/>
      <c r="GC2612"/>
      <c r="GD2612"/>
      <c r="GE2612"/>
      <c r="GF2612"/>
      <c r="GG2612"/>
      <c r="GH2612"/>
      <c r="GI2612"/>
      <c r="GJ2612"/>
      <c r="GK2612"/>
      <c r="GL2612"/>
      <c r="GM2612"/>
      <c r="GN2612"/>
      <c r="GO2612"/>
    </row>
    <row r="2613" spans="107:197">
      <c r="DC2613"/>
      <c r="FH2613"/>
      <c r="FI2613"/>
      <c r="FJ2613"/>
      <c r="FK2613"/>
      <c r="FL2613"/>
      <c r="FM2613"/>
      <c r="FN2613"/>
      <c r="FO2613"/>
      <c r="FP2613"/>
      <c r="FQ2613"/>
      <c r="FR2613"/>
      <c r="FS2613"/>
      <c r="FT2613"/>
      <c r="FU2613"/>
      <c r="FV2613"/>
      <c r="FW2613"/>
      <c r="FX2613"/>
      <c r="FY2613"/>
      <c r="FZ2613"/>
      <c r="GA2613"/>
      <c r="GB2613"/>
      <c r="GC2613"/>
      <c r="GD2613"/>
      <c r="GE2613"/>
      <c r="GF2613"/>
      <c r="GG2613"/>
      <c r="GH2613"/>
      <c r="GI2613"/>
      <c r="GJ2613"/>
      <c r="GK2613"/>
      <c r="GL2613"/>
      <c r="GM2613"/>
      <c r="GN2613"/>
      <c r="GO2613"/>
    </row>
    <row r="2614" spans="107:197">
      <c r="DC2614"/>
      <c r="FH2614"/>
      <c r="FI2614"/>
      <c r="FJ2614"/>
      <c r="FK2614"/>
      <c r="FL2614"/>
      <c r="FM2614"/>
      <c r="FN2614"/>
      <c r="FO2614"/>
      <c r="FP2614"/>
      <c r="FQ2614"/>
      <c r="FR2614"/>
      <c r="FS2614"/>
      <c r="FT2614"/>
      <c r="FU2614"/>
      <c r="FV2614"/>
      <c r="FW2614"/>
      <c r="FX2614"/>
      <c r="FY2614"/>
      <c r="FZ2614"/>
      <c r="GA2614"/>
      <c r="GB2614"/>
      <c r="GC2614"/>
      <c r="GD2614"/>
      <c r="GE2614"/>
      <c r="GF2614"/>
      <c r="GG2614"/>
      <c r="GH2614"/>
      <c r="GI2614"/>
      <c r="GJ2614"/>
      <c r="GK2614"/>
      <c r="GL2614"/>
      <c r="GM2614"/>
      <c r="GN2614"/>
      <c r="GO2614"/>
    </row>
    <row r="2615" spans="107:197">
      <c r="DC2615"/>
      <c r="FH2615"/>
      <c r="FI2615"/>
      <c r="FJ2615"/>
      <c r="FK2615"/>
      <c r="FL2615"/>
      <c r="FM2615"/>
      <c r="FN2615"/>
      <c r="FO2615"/>
      <c r="FP2615"/>
      <c r="FQ2615"/>
      <c r="FR2615"/>
      <c r="FS2615"/>
      <c r="FT2615"/>
      <c r="FU2615"/>
      <c r="FV2615"/>
      <c r="FW2615"/>
      <c r="FX2615"/>
      <c r="FY2615"/>
      <c r="FZ2615"/>
      <c r="GA2615"/>
      <c r="GB2615"/>
      <c r="GC2615"/>
      <c r="GD2615"/>
      <c r="GE2615"/>
      <c r="GF2615"/>
      <c r="GG2615"/>
      <c r="GH2615"/>
      <c r="GI2615"/>
      <c r="GJ2615"/>
      <c r="GK2615"/>
      <c r="GL2615"/>
      <c r="GM2615"/>
      <c r="GN2615"/>
      <c r="GO2615"/>
    </row>
    <row r="2616" spans="107:197">
      <c r="DC2616"/>
      <c r="FH2616"/>
      <c r="FI2616"/>
      <c r="FJ2616"/>
      <c r="FK2616"/>
      <c r="FL2616"/>
      <c r="FM2616"/>
      <c r="FN2616"/>
      <c r="FO2616"/>
      <c r="FP2616"/>
      <c r="FQ2616"/>
      <c r="FR2616"/>
      <c r="FS2616"/>
      <c r="FT2616"/>
      <c r="FU2616"/>
      <c r="FV2616"/>
      <c r="FW2616"/>
      <c r="FX2616"/>
      <c r="FY2616"/>
      <c r="FZ2616"/>
      <c r="GA2616"/>
      <c r="GB2616"/>
      <c r="GC2616"/>
      <c r="GD2616"/>
      <c r="GE2616"/>
      <c r="GF2616"/>
      <c r="GG2616"/>
      <c r="GH2616"/>
      <c r="GI2616"/>
      <c r="GJ2616"/>
      <c r="GK2616"/>
      <c r="GL2616"/>
      <c r="GM2616"/>
      <c r="GN2616"/>
      <c r="GO2616"/>
    </row>
    <row r="2617" spans="107:197">
      <c r="DC2617"/>
      <c r="FH2617"/>
      <c r="FI2617"/>
      <c r="FJ2617"/>
      <c r="FK2617"/>
      <c r="FL2617"/>
      <c r="FM2617"/>
      <c r="FN2617"/>
      <c r="FO2617"/>
      <c r="FP2617"/>
      <c r="FQ2617"/>
      <c r="FR2617"/>
      <c r="FS2617"/>
      <c r="FT2617"/>
      <c r="FU2617"/>
      <c r="FV2617"/>
      <c r="FW2617"/>
      <c r="FX2617"/>
      <c r="FY2617"/>
      <c r="FZ2617"/>
      <c r="GA2617"/>
      <c r="GB2617"/>
      <c r="GC2617"/>
      <c r="GD2617"/>
      <c r="GE2617"/>
      <c r="GF2617"/>
      <c r="GG2617"/>
      <c r="GH2617"/>
      <c r="GI2617"/>
      <c r="GJ2617"/>
      <c r="GK2617"/>
      <c r="GL2617"/>
      <c r="GM2617"/>
      <c r="GN2617"/>
      <c r="GO2617"/>
    </row>
    <row r="2618" spans="107:197">
      <c r="DC2618"/>
      <c r="FH2618"/>
      <c r="FI2618"/>
      <c r="FJ2618"/>
      <c r="FK2618"/>
      <c r="FL2618"/>
      <c r="FM2618"/>
      <c r="FN2618"/>
      <c r="FO2618"/>
      <c r="FP2618"/>
      <c r="FQ2618"/>
      <c r="FR2618"/>
      <c r="FS2618"/>
      <c r="FT2618"/>
      <c r="FU2618"/>
      <c r="FV2618"/>
      <c r="FW2618"/>
      <c r="FX2618"/>
      <c r="FY2618"/>
      <c r="FZ2618"/>
      <c r="GA2618"/>
      <c r="GB2618"/>
      <c r="GC2618"/>
      <c r="GD2618"/>
      <c r="GE2618"/>
      <c r="GF2618"/>
      <c r="GG2618"/>
      <c r="GH2618"/>
      <c r="GI2618"/>
      <c r="GJ2618"/>
      <c r="GK2618"/>
      <c r="GL2618"/>
      <c r="GM2618"/>
      <c r="GN2618"/>
      <c r="GO2618"/>
    </row>
    <row r="2619" spans="107:197">
      <c r="DC2619"/>
      <c r="FH2619"/>
      <c r="FI2619"/>
      <c r="FJ2619"/>
      <c r="FK2619"/>
      <c r="FL2619"/>
      <c r="FM2619"/>
      <c r="FN2619"/>
      <c r="FO2619"/>
      <c r="FP2619"/>
      <c r="FQ2619"/>
      <c r="FR2619"/>
      <c r="FS2619"/>
      <c r="FT2619"/>
      <c r="FU2619"/>
      <c r="FV2619"/>
      <c r="FW2619"/>
      <c r="FX2619"/>
      <c r="FY2619"/>
      <c r="FZ2619"/>
      <c r="GA2619"/>
      <c r="GB2619"/>
      <c r="GC2619"/>
      <c r="GD2619"/>
      <c r="GE2619"/>
      <c r="GF2619"/>
      <c r="GG2619"/>
      <c r="GH2619"/>
      <c r="GI2619"/>
      <c r="GJ2619"/>
      <c r="GK2619"/>
      <c r="GL2619"/>
      <c r="GM2619"/>
      <c r="GN2619"/>
      <c r="GO2619"/>
    </row>
    <row r="2620" spans="107:197">
      <c r="DC2620"/>
      <c r="FH2620"/>
      <c r="FI2620"/>
      <c r="FJ2620"/>
      <c r="FK2620"/>
      <c r="FL2620"/>
      <c r="FM2620"/>
      <c r="FN2620"/>
      <c r="FO2620"/>
      <c r="FP2620"/>
      <c r="FQ2620"/>
      <c r="FR2620"/>
      <c r="FS2620"/>
      <c r="FT2620"/>
      <c r="FU2620"/>
      <c r="FV2620"/>
      <c r="FW2620"/>
      <c r="FX2620"/>
      <c r="FY2620"/>
      <c r="FZ2620"/>
      <c r="GA2620"/>
      <c r="GB2620"/>
      <c r="GC2620"/>
      <c r="GD2620"/>
      <c r="GE2620"/>
      <c r="GF2620"/>
      <c r="GG2620"/>
      <c r="GH2620"/>
      <c r="GI2620"/>
      <c r="GJ2620"/>
      <c r="GK2620"/>
      <c r="GL2620"/>
      <c r="GM2620"/>
      <c r="GN2620"/>
      <c r="GO2620"/>
    </row>
    <row r="2621" spans="107:197">
      <c r="DC2621"/>
      <c r="FH2621"/>
      <c r="FI2621"/>
      <c r="FJ2621"/>
      <c r="FK2621"/>
      <c r="FL2621"/>
      <c r="FM2621"/>
      <c r="FN2621"/>
      <c r="FO2621"/>
      <c r="FP2621"/>
      <c r="FQ2621"/>
      <c r="FR2621"/>
      <c r="FS2621"/>
      <c r="FT2621"/>
      <c r="FU2621"/>
      <c r="FV2621"/>
      <c r="FW2621"/>
      <c r="FX2621"/>
      <c r="FY2621"/>
      <c r="FZ2621"/>
      <c r="GA2621"/>
      <c r="GB2621"/>
      <c r="GC2621"/>
      <c r="GD2621"/>
      <c r="GE2621"/>
      <c r="GF2621"/>
      <c r="GG2621"/>
      <c r="GH2621"/>
      <c r="GI2621"/>
      <c r="GJ2621"/>
      <c r="GK2621"/>
      <c r="GL2621"/>
      <c r="GM2621"/>
      <c r="GN2621"/>
      <c r="GO2621"/>
    </row>
    <row r="2622" spans="107:197">
      <c r="DC2622"/>
      <c r="FH2622"/>
      <c r="FI2622"/>
      <c r="FJ2622"/>
      <c r="FK2622"/>
      <c r="FL2622"/>
      <c r="FM2622"/>
      <c r="FN2622"/>
      <c r="FO2622"/>
      <c r="FP2622"/>
      <c r="FQ2622"/>
      <c r="FR2622"/>
      <c r="FS2622"/>
      <c r="FT2622"/>
      <c r="FU2622"/>
      <c r="FV2622"/>
      <c r="FW2622"/>
      <c r="FX2622"/>
      <c r="FY2622"/>
      <c r="FZ2622"/>
      <c r="GA2622"/>
      <c r="GB2622"/>
      <c r="GC2622"/>
      <c r="GD2622"/>
      <c r="GE2622"/>
      <c r="GF2622"/>
      <c r="GG2622"/>
      <c r="GH2622"/>
      <c r="GI2622"/>
      <c r="GJ2622"/>
      <c r="GK2622"/>
      <c r="GL2622"/>
      <c r="GM2622"/>
      <c r="GN2622"/>
      <c r="GO2622"/>
    </row>
    <row r="2623" spans="107:197">
      <c r="DC2623"/>
      <c r="FH2623"/>
      <c r="FI2623"/>
      <c r="FJ2623"/>
      <c r="FK2623"/>
      <c r="FL2623"/>
      <c r="FM2623"/>
      <c r="FN2623"/>
      <c r="FO2623"/>
      <c r="FP2623"/>
      <c r="FQ2623"/>
      <c r="FR2623"/>
      <c r="FS2623"/>
      <c r="FT2623"/>
      <c r="FU2623"/>
      <c r="FV2623"/>
      <c r="FW2623"/>
      <c r="FX2623"/>
      <c r="FY2623"/>
      <c r="FZ2623"/>
      <c r="GA2623"/>
      <c r="GB2623"/>
      <c r="GC2623"/>
      <c r="GD2623"/>
      <c r="GE2623"/>
      <c r="GF2623"/>
      <c r="GG2623"/>
      <c r="GH2623"/>
      <c r="GI2623"/>
      <c r="GJ2623"/>
      <c r="GK2623"/>
      <c r="GL2623"/>
      <c r="GM2623"/>
      <c r="GN2623"/>
      <c r="GO2623"/>
    </row>
    <row r="2624" spans="107:197">
      <c r="DC2624"/>
      <c r="FH2624"/>
      <c r="FI2624"/>
      <c r="FJ2624"/>
      <c r="FK2624"/>
      <c r="FL2624"/>
      <c r="FM2624"/>
      <c r="FN2624"/>
      <c r="FO2624"/>
      <c r="FP2624"/>
      <c r="FQ2624"/>
      <c r="FR2624"/>
      <c r="FS2624"/>
      <c r="FT2624"/>
      <c r="FU2624"/>
      <c r="FV2624"/>
      <c r="FW2624"/>
      <c r="FX2624"/>
      <c r="FY2624"/>
      <c r="FZ2624"/>
      <c r="GA2624"/>
      <c r="GB2624"/>
      <c r="GC2624"/>
      <c r="GD2624"/>
      <c r="GE2624"/>
      <c r="GF2624"/>
      <c r="GG2624"/>
      <c r="GH2624"/>
      <c r="GI2624"/>
      <c r="GJ2624"/>
      <c r="GK2624"/>
      <c r="GL2624"/>
      <c r="GM2624"/>
      <c r="GN2624"/>
      <c r="GO2624"/>
    </row>
    <row r="2625" spans="107:197">
      <c r="DC2625"/>
      <c r="FH2625"/>
      <c r="FI2625"/>
      <c r="FJ2625"/>
      <c r="FK2625"/>
      <c r="FL2625"/>
      <c r="FM2625"/>
      <c r="FN2625"/>
      <c r="FO2625"/>
      <c r="FP2625"/>
      <c r="FQ2625"/>
      <c r="FR2625"/>
      <c r="FS2625"/>
      <c r="FT2625"/>
      <c r="FU2625"/>
      <c r="FV2625"/>
      <c r="FW2625"/>
      <c r="FX2625"/>
      <c r="FY2625"/>
      <c r="FZ2625"/>
      <c r="GA2625"/>
      <c r="GB2625"/>
      <c r="GC2625"/>
      <c r="GD2625"/>
      <c r="GE2625"/>
      <c r="GF2625"/>
      <c r="GG2625"/>
      <c r="GH2625"/>
      <c r="GI2625"/>
      <c r="GJ2625"/>
      <c r="GK2625"/>
      <c r="GL2625"/>
      <c r="GM2625"/>
      <c r="GN2625"/>
      <c r="GO2625"/>
    </row>
    <row r="2626" spans="107:197">
      <c r="DC2626"/>
      <c r="FH2626"/>
      <c r="FI2626"/>
      <c r="FJ2626"/>
      <c r="FK2626"/>
      <c r="FL2626"/>
      <c r="FM2626"/>
      <c r="FN2626"/>
      <c r="FO2626"/>
      <c r="FP2626"/>
      <c r="FQ2626"/>
      <c r="FR2626"/>
      <c r="FS2626"/>
      <c r="FT2626"/>
      <c r="FU2626"/>
      <c r="FV2626"/>
      <c r="FW2626"/>
      <c r="FX2626"/>
      <c r="FY2626"/>
      <c r="FZ2626"/>
      <c r="GA2626"/>
      <c r="GB2626"/>
      <c r="GC2626"/>
      <c r="GD2626"/>
      <c r="GE2626"/>
      <c r="GF2626"/>
      <c r="GG2626"/>
      <c r="GH2626"/>
      <c r="GI2626"/>
      <c r="GJ2626"/>
      <c r="GK2626"/>
      <c r="GL2626"/>
      <c r="GM2626"/>
      <c r="GN2626"/>
      <c r="GO2626"/>
    </row>
    <row r="2627" spans="107:197">
      <c r="DC2627"/>
      <c r="FH2627"/>
      <c r="FI2627"/>
      <c r="FJ2627"/>
      <c r="FK2627"/>
      <c r="FL2627"/>
      <c r="FM2627"/>
      <c r="FN2627"/>
      <c r="FO2627"/>
      <c r="FP2627"/>
      <c r="FQ2627"/>
      <c r="FR2627"/>
      <c r="FS2627"/>
      <c r="FT2627"/>
      <c r="FU2627"/>
      <c r="FV2627"/>
      <c r="FW2627"/>
      <c r="FX2627"/>
      <c r="FY2627"/>
      <c r="FZ2627"/>
      <c r="GA2627"/>
      <c r="GB2627"/>
      <c r="GC2627"/>
      <c r="GD2627"/>
      <c r="GE2627"/>
      <c r="GF2627"/>
      <c r="GG2627"/>
      <c r="GH2627"/>
      <c r="GI2627"/>
      <c r="GJ2627"/>
      <c r="GK2627"/>
      <c r="GL2627"/>
      <c r="GM2627"/>
      <c r="GN2627"/>
      <c r="GO2627"/>
    </row>
    <row r="2628" spans="107:197">
      <c r="DC2628"/>
      <c r="FH2628"/>
      <c r="FI2628"/>
      <c r="FJ2628"/>
      <c r="FK2628"/>
      <c r="FL2628"/>
      <c r="FM2628"/>
      <c r="FN2628"/>
      <c r="FO2628"/>
      <c r="FP2628"/>
      <c r="FQ2628"/>
      <c r="FR2628"/>
      <c r="FS2628"/>
      <c r="FT2628"/>
      <c r="FU2628"/>
      <c r="FV2628"/>
      <c r="FW2628"/>
      <c r="FX2628"/>
      <c r="FY2628"/>
      <c r="FZ2628"/>
      <c r="GA2628"/>
      <c r="GB2628"/>
      <c r="GC2628"/>
      <c r="GD2628"/>
      <c r="GE2628"/>
      <c r="GF2628"/>
      <c r="GG2628"/>
      <c r="GH2628"/>
      <c r="GI2628"/>
      <c r="GJ2628"/>
      <c r="GK2628"/>
      <c r="GL2628"/>
      <c r="GM2628"/>
      <c r="GN2628"/>
      <c r="GO2628"/>
    </row>
    <row r="2629" spans="107:197">
      <c r="DC2629"/>
      <c r="FH2629"/>
      <c r="FI2629"/>
      <c r="FJ2629"/>
      <c r="FK2629"/>
      <c r="FL2629"/>
      <c r="FM2629"/>
      <c r="FN2629"/>
      <c r="FO2629"/>
      <c r="FP2629"/>
      <c r="FQ2629"/>
      <c r="FR2629"/>
      <c r="FS2629"/>
      <c r="FT2629"/>
      <c r="FU2629"/>
      <c r="FV2629"/>
      <c r="FW2629"/>
      <c r="FX2629"/>
      <c r="FY2629"/>
      <c r="FZ2629"/>
      <c r="GA2629"/>
      <c r="GB2629"/>
      <c r="GC2629"/>
      <c r="GD2629"/>
      <c r="GE2629"/>
      <c r="GF2629"/>
      <c r="GG2629"/>
      <c r="GH2629"/>
      <c r="GI2629"/>
      <c r="GJ2629"/>
      <c r="GK2629"/>
      <c r="GL2629"/>
      <c r="GM2629"/>
      <c r="GN2629"/>
      <c r="GO2629"/>
    </row>
    <row r="2630" spans="107:197">
      <c r="DC2630"/>
      <c r="FH2630"/>
      <c r="FI2630"/>
      <c r="FJ2630"/>
      <c r="FK2630"/>
      <c r="FL2630"/>
      <c r="FM2630"/>
      <c r="FN2630"/>
      <c r="FO2630"/>
      <c r="FP2630"/>
      <c r="FQ2630"/>
      <c r="FR2630"/>
      <c r="FS2630"/>
      <c r="FT2630"/>
      <c r="FU2630"/>
      <c r="FV2630"/>
      <c r="FW2630"/>
      <c r="FX2630"/>
      <c r="FY2630"/>
      <c r="FZ2630"/>
      <c r="GA2630"/>
      <c r="GB2630"/>
      <c r="GC2630"/>
      <c r="GD2630"/>
      <c r="GE2630"/>
      <c r="GF2630"/>
      <c r="GG2630"/>
      <c r="GH2630"/>
      <c r="GI2630"/>
      <c r="GJ2630"/>
      <c r="GK2630"/>
      <c r="GL2630"/>
      <c r="GM2630"/>
      <c r="GN2630"/>
      <c r="GO2630"/>
    </row>
    <row r="2631" spans="107:197">
      <c r="DC2631"/>
      <c r="FH2631"/>
      <c r="FI2631"/>
      <c r="FJ2631"/>
      <c r="FK2631"/>
      <c r="FL2631"/>
      <c r="FM2631"/>
      <c r="FN2631"/>
      <c r="FO2631"/>
      <c r="FP2631"/>
      <c r="FQ2631"/>
      <c r="FR2631"/>
      <c r="FS2631"/>
      <c r="FT2631"/>
      <c r="FU2631"/>
      <c r="FV2631"/>
      <c r="FW2631"/>
      <c r="FX2631"/>
      <c r="FY2631"/>
      <c r="FZ2631"/>
      <c r="GA2631"/>
      <c r="GB2631"/>
      <c r="GC2631"/>
      <c r="GD2631"/>
      <c r="GE2631"/>
      <c r="GF2631"/>
      <c r="GG2631"/>
      <c r="GH2631"/>
      <c r="GI2631"/>
      <c r="GJ2631"/>
      <c r="GK2631"/>
      <c r="GL2631"/>
      <c r="GM2631"/>
      <c r="GN2631"/>
      <c r="GO2631"/>
    </row>
    <row r="2632" spans="107:197">
      <c r="DC2632"/>
      <c r="FH2632"/>
      <c r="FI2632"/>
      <c r="FJ2632"/>
      <c r="FK2632"/>
      <c r="FL2632"/>
      <c r="FM2632"/>
      <c r="FN2632"/>
      <c r="FO2632"/>
      <c r="FP2632"/>
      <c r="FQ2632"/>
      <c r="FR2632"/>
      <c r="FS2632"/>
      <c r="FT2632"/>
      <c r="FU2632"/>
      <c r="FV2632"/>
      <c r="FW2632"/>
      <c r="FX2632"/>
      <c r="FY2632"/>
      <c r="FZ2632"/>
      <c r="GA2632"/>
      <c r="GB2632"/>
      <c r="GC2632"/>
      <c r="GD2632"/>
      <c r="GE2632"/>
      <c r="GF2632"/>
      <c r="GG2632"/>
      <c r="GH2632"/>
      <c r="GI2632"/>
      <c r="GJ2632"/>
      <c r="GK2632"/>
      <c r="GL2632"/>
      <c r="GM2632"/>
      <c r="GN2632"/>
      <c r="GO2632"/>
    </row>
    <row r="2633" spans="107:197">
      <c r="DC2633"/>
      <c r="FH2633"/>
      <c r="FI2633"/>
      <c r="FJ2633"/>
      <c r="FK2633"/>
      <c r="FL2633"/>
      <c r="FM2633"/>
      <c r="FN2633"/>
      <c r="FO2633"/>
      <c r="FP2633"/>
      <c r="FQ2633"/>
      <c r="FR2633"/>
      <c r="FS2633"/>
      <c r="FT2633"/>
      <c r="FU2633"/>
      <c r="FV2633"/>
      <c r="FW2633"/>
      <c r="FX2633"/>
      <c r="FY2633"/>
      <c r="FZ2633"/>
      <c r="GA2633"/>
      <c r="GB2633"/>
      <c r="GC2633"/>
      <c r="GD2633"/>
      <c r="GE2633"/>
      <c r="GF2633"/>
      <c r="GG2633"/>
      <c r="GH2633"/>
      <c r="GI2633"/>
      <c r="GJ2633"/>
      <c r="GK2633"/>
      <c r="GL2633"/>
      <c r="GM2633"/>
      <c r="GN2633"/>
      <c r="GO2633"/>
    </row>
    <row r="2634" spans="107:197">
      <c r="DC2634"/>
      <c r="FH2634"/>
      <c r="FI2634"/>
      <c r="FJ2634"/>
      <c r="FK2634"/>
      <c r="FL2634"/>
      <c r="FM2634"/>
      <c r="FN2634"/>
      <c r="FO2634"/>
      <c r="FP2634"/>
      <c r="FQ2634"/>
      <c r="FR2634"/>
      <c r="FS2634"/>
      <c r="FT2634"/>
      <c r="FU2634"/>
      <c r="FV2634"/>
      <c r="FW2634"/>
      <c r="FX2634"/>
      <c r="FY2634"/>
      <c r="FZ2634"/>
      <c r="GA2634"/>
      <c r="GB2634"/>
      <c r="GC2634"/>
      <c r="GD2634"/>
      <c r="GE2634"/>
      <c r="GF2634"/>
      <c r="GG2634"/>
      <c r="GH2634"/>
      <c r="GI2634"/>
      <c r="GJ2634"/>
      <c r="GK2634"/>
      <c r="GL2634"/>
      <c r="GM2634"/>
      <c r="GN2634"/>
      <c r="GO2634"/>
    </row>
    <row r="2635" spans="107:197">
      <c r="DC2635"/>
      <c r="FH2635"/>
      <c r="FI2635"/>
      <c r="FJ2635"/>
      <c r="FK2635"/>
      <c r="FL2635"/>
      <c r="FM2635"/>
      <c r="FN2635"/>
      <c r="FO2635"/>
      <c r="FP2635"/>
      <c r="FQ2635"/>
      <c r="FR2635"/>
      <c r="FS2635"/>
      <c r="FT2635"/>
      <c r="FU2635"/>
      <c r="FV2635"/>
      <c r="FW2635"/>
      <c r="FX2635"/>
      <c r="FY2635"/>
      <c r="FZ2635"/>
      <c r="GA2635"/>
      <c r="GB2635"/>
      <c r="GC2635"/>
      <c r="GD2635"/>
      <c r="GE2635"/>
      <c r="GF2635"/>
      <c r="GG2635"/>
      <c r="GH2635"/>
      <c r="GI2635"/>
      <c r="GJ2635"/>
      <c r="GK2635"/>
      <c r="GL2635"/>
      <c r="GM2635"/>
      <c r="GN2635"/>
      <c r="GO2635"/>
    </row>
    <row r="2636" spans="107:197">
      <c r="DC2636"/>
      <c r="FH2636"/>
      <c r="FI2636"/>
      <c r="FJ2636"/>
      <c r="FK2636"/>
      <c r="FL2636"/>
      <c r="FM2636"/>
      <c r="FN2636"/>
      <c r="FO2636"/>
      <c r="FP2636"/>
      <c r="FQ2636"/>
      <c r="FR2636"/>
      <c r="FS2636"/>
      <c r="FT2636"/>
      <c r="FU2636"/>
      <c r="FV2636"/>
      <c r="FW2636"/>
      <c r="FX2636"/>
      <c r="FY2636"/>
      <c r="FZ2636"/>
      <c r="GA2636"/>
      <c r="GB2636"/>
      <c r="GC2636"/>
      <c r="GD2636"/>
      <c r="GE2636"/>
      <c r="GF2636"/>
      <c r="GG2636"/>
      <c r="GH2636"/>
      <c r="GI2636"/>
      <c r="GJ2636"/>
      <c r="GK2636"/>
      <c r="GL2636"/>
      <c r="GM2636"/>
      <c r="GN2636"/>
      <c r="GO2636"/>
    </row>
    <row r="2637" spans="107:197">
      <c r="DC2637"/>
      <c r="FH2637"/>
      <c r="FI2637"/>
      <c r="FJ2637"/>
      <c r="FK2637"/>
      <c r="FL2637"/>
      <c r="FM2637"/>
      <c r="FN2637"/>
      <c r="FO2637"/>
      <c r="FP2637"/>
      <c r="FQ2637"/>
      <c r="FR2637"/>
      <c r="FS2637"/>
      <c r="FT2637"/>
      <c r="FU2637"/>
      <c r="FV2637"/>
      <c r="FW2637"/>
      <c r="FX2637"/>
      <c r="FY2637"/>
      <c r="FZ2637"/>
      <c r="GA2637"/>
      <c r="GB2637"/>
      <c r="GC2637"/>
      <c r="GD2637"/>
      <c r="GE2637"/>
      <c r="GF2637"/>
      <c r="GG2637"/>
      <c r="GH2637"/>
      <c r="GI2637"/>
      <c r="GJ2637"/>
      <c r="GK2637"/>
      <c r="GL2637"/>
      <c r="GM2637"/>
      <c r="GN2637"/>
      <c r="GO2637"/>
    </row>
    <row r="2638" spans="107:197">
      <c r="DC2638"/>
      <c r="FH2638"/>
      <c r="FI2638"/>
      <c r="FJ2638"/>
      <c r="FK2638"/>
      <c r="FL2638"/>
      <c r="FM2638"/>
      <c r="FN2638"/>
      <c r="FO2638"/>
      <c r="FP2638"/>
      <c r="FQ2638"/>
      <c r="FR2638"/>
      <c r="FS2638"/>
      <c r="FT2638"/>
      <c r="FU2638"/>
      <c r="FV2638"/>
      <c r="FW2638"/>
      <c r="FX2638"/>
      <c r="FY2638"/>
      <c r="FZ2638"/>
      <c r="GA2638"/>
      <c r="GB2638"/>
      <c r="GC2638"/>
      <c r="GD2638"/>
      <c r="GE2638"/>
      <c r="GF2638"/>
      <c r="GG2638"/>
      <c r="GH2638"/>
      <c r="GI2638"/>
      <c r="GJ2638"/>
      <c r="GK2638"/>
      <c r="GL2638"/>
      <c r="GM2638"/>
      <c r="GN2638"/>
      <c r="GO2638"/>
    </row>
    <row r="2639" spans="107:197">
      <c r="DC2639"/>
      <c r="FH2639"/>
      <c r="FI2639"/>
      <c r="FJ2639"/>
      <c r="FK2639"/>
      <c r="FL2639"/>
      <c r="FM2639"/>
      <c r="FN2639"/>
      <c r="FO2639"/>
      <c r="FP2639"/>
      <c r="FQ2639"/>
      <c r="FR2639"/>
      <c r="FS2639"/>
      <c r="FT2639"/>
      <c r="FU2639"/>
      <c r="FV2639"/>
      <c r="FW2639"/>
      <c r="FX2639"/>
      <c r="FY2639"/>
      <c r="FZ2639"/>
      <c r="GA2639"/>
      <c r="GB2639"/>
      <c r="GC2639"/>
      <c r="GD2639"/>
      <c r="GE2639"/>
      <c r="GF2639"/>
      <c r="GG2639"/>
      <c r="GH2639"/>
      <c r="GI2639"/>
      <c r="GJ2639"/>
      <c r="GK2639"/>
      <c r="GL2639"/>
      <c r="GM2639"/>
      <c r="GN2639"/>
      <c r="GO2639"/>
    </row>
    <row r="2640" spans="107:197">
      <c r="DC2640"/>
      <c r="FH2640"/>
      <c r="FI2640"/>
      <c r="FJ2640"/>
      <c r="FK2640"/>
      <c r="FL2640"/>
      <c r="FM2640"/>
      <c r="FN2640"/>
      <c r="FO2640"/>
      <c r="FP2640"/>
      <c r="FQ2640"/>
      <c r="FR2640"/>
      <c r="FS2640"/>
      <c r="FT2640"/>
      <c r="FU2640"/>
      <c r="FV2640"/>
      <c r="FW2640"/>
      <c r="FX2640"/>
      <c r="FY2640"/>
      <c r="FZ2640"/>
      <c r="GA2640"/>
      <c r="GB2640"/>
      <c r="GC2640"/>
      <c r="GD2640"/>
      <c r="GE2640"/>
      <c r="GF2640"/>
      <c r="GG2640"/>
      <c r="GH2640"/>
      <c r="GI2640"/>
      <c r="GJ2640"/>
      <c r="GK2640"/>
      <c r="GL2640"/>
      <c r="GM2640"/>
      <c r="GN2640"/>
      <c r="GO2640"/>
    </row>
    <row r="2641" spans="107:197">
      <c r="DC2641"/>
      <c r="FH2641"/>
      <c r="FI2641"/>
      <c r="FJ2641"/>
      <c r="FK2641"/>
      <c r="FL2641"/>
      <c r="FM2641"/>
      <c r="FN2641"/>
      <c r="FO2641"/>
      <c r="FP2641"/>
      <c r="FQ2641"/>
      <c r="FR2641"/>
      <c r="FS2641"/>
      <c r="FT2641"/>
      <c r="FU2641"/>
      <c r="FV2641"/>
      <c r="FW2641"/>
      <c r="FX2641"/>
      <c r="FY2641"/>
      <c r="FZ2641"/>
      <c r="GA2641"/>
      <c r="GB2641"/>
      <c r="GC2641"/>
      <c r="GD2641"/>
      <c r="GE2641"/>
      <c r="GF2641"/>
      <c r="GG2641"/>
      <c r="GH2641"/>
      <c r="GI2641"/>
      <c r="GJ2641"/>
      <c r="GK2641"/>
      <c r="GL2641"/>
      <c r="GM2641"/>
      <c r="GN2641"/>
      <c r="GO2641"/>
    </row>
    <row r="2642" spans="107:197">
      <c r="DC2642"/>
      <c r="FH2642"/>
      <c r="FI2642"/>
      <c r="FJ2642"/>
      <c r="FK2642"/>
      <c r="FL2642"/>
      <c r="FM2642"/>
      <c r="FN2642"/>
      <c r="FO2642"/>
      <c r="FP2642"/>
      <c r="FQ2642"/>
      <c r="FR2642"/>
      <c r="FS2642"/>
      <c r="FT2642"/>
      <c r="FU2642"/>
      <c r="FV2642"/>
      <c r="FW2642"/>
      <c r="FX2642"/>
      <c r="FY2642"/>
      <c r="FZ2642"/>
      <c r="GA2642"/>
      <c r="GB2642"/>
      <c r="GC2642"/>
      <c r="GD2642"/>
      <c r="GE2642"/>
      <c r="GF2642"/>
      <c r="GG2642"/>
      <c r="GH2642"/>
      <c r="GI2642"/>
      <c r="GJ2642"/>
      <c r="GK2642"/>
      <c r="GL2642"/>
      <c r="GM2642"/>
      <c r="GN2642"/>
      <c r="GO2642"/>
    </row>
    <row r="2643" spans="107:197">
      <c r="DC2643"/>
      <c r="FH2643"/>
      <c r="FI2643"/>
      <c r="FJ2643"/>
      <c r="FK2643"/>
      <c r="FL2643"/>
      <c r="FM2643"/>
      <c r="FN2643"/>
      <c r="FO2643"/>
      <c r="FP2643"/>
      <c r="FQ2643"/>
      <c r="FR2643"/>
      <c r="FS2643"/>
      <c r="FT2643"/>
      <c r="FU2643"/>
      <c r="FV2643"/>
      <c r="FW2643"/>
      <c r="FX2643"/>
      <c r="FY2643"/>
      <c r="FZ2643"/>
      <c r="GA2643"/>
      <c r="GB2643"/>
      <c r="GC2643"/>
      <c r="GD2643"/>
      <c r="GE2643"/>
      <c r="GF2643"/>
      <c r="GG2643"/>
      <c r="GH2643"/>
      <c r="GI2643"/>
      <c r="GJ2643"/>
      <c r="GK2643"/>
      <c r="GL2643"/>
      <c r="GM2643"/>
      <c r="GN2643"/>
      <c r="GO2643"/>
    </row>
    <row r="2644" spans="107:197">
      <c r="DC2644"/>
      <c r="FH2644"/>
      <c r="FI2644"/>
      <c r="FJ2644"/>
      <c r="FK2644"/>
      <c r="FL2644"/>
      <c r="FM2644"/>
      <c r="FN2644"/>
      <c r="FO2644"/>
      <c r="FP2644"/>
      <c r="FQ2644"/>
      <c r="FR2644"/>
      <c r="FS2644"/>
      <c r="FT2644"/>
      <c r="FU2644"/>
      <c r="FV2644"/>
      <c r="FW2644"/>
      <c r="FX2644"/>
      <c r="FY2644"/>
      <c r="FZ2644"/>
      <c r="GA2644"/>
      <c r="GB2644"/>
      <c r="GC2644"/>
      <c r="GD2644"/>
      <c r="GE2644"/>
      <c r="GF2644"/>
      <c r="GG2644"/>
      <c r="GH2644"/>
      <c r="GI2644"/>
      <c r="GJ2644"/>
      <c r="GK2644"/>
      <c r="GL2644"/>
      <c r="GM2644"/>
      <c r="GN2644"/>
      <c r="GO2644"/>
    </row>
    <row r="2645" spans="107:197">
      <c r="DC2645"/>
      <c r="FH2645"/>
      <c r="FI2645"/>
      <c r="FJ2645"/>
      <c r="FK2645"/>
      <c r="FL2645"/>
      <c r="FM2645"/>
      <c r="FN2645"/>
      <c r="FO2645"/>
      <c r="FP2645"/>
      <c r="FQ2645"/>
      <c r="FR2645"/>
      <c r="FS2645"/>
      <c r="FT2645"/>
      <c r="FU2645"/>
      <c r="FV2645"/>
      <c r="FW2645"/>
      <c r="FX2645"/>
      <c r="FY2645"/>
      <c r="FZ2645"/>
      <c r="GA2645"/>
      <c r="GB2645"/>
      <c r="GC2645"/>
      <c r="GD2645"/>
      <c r="GE2645"/>
      <c r="GF2645"/>
      <c r="GG2645"/>
      <c r="GH2645"/>
      <c r="GI2645"/>
      <c r="GJ2645"/>
      <c r="GK2645"/>
      <c r="GL2645"/>
      <c r="GM2645"/>
      <c r="GN2645"/>
      <c r="GO2645"/>
    </row>
    <row r="2646" spans="107:197">
      <c r="DC2646"/>
      <c r="FH2646"/>
      <c r="FI2646"/>
      <c r="FJ2646"/>
      <c r="FK2646"/>
      <c r="FL2646"/>
      <c r="FM2646"/>
      <c r="FN2646"/>
      <c r="FO2646"/>
      <c r="FP2646"/>
      <c r="FQ2646"/>
      <c r="FR2646"/>
      <c r="FS2646"/>
      <c r="FT2646"/>
      <c r="FU2646"/>
      <c r="FV2646"/>
      <c r="FW2646"/>
      <c r="FX2646"/>
      <c r="FY2646"/>
      <c r="FZ2646"/>
      <c r="GA2646"/>
      <c r="GB2646"/>
      <c r="GC2646"/>
      <c r="GD2646"/>
      <c r="GE2646"/>
      <c r="GF2646"/>
      <c r="GG2646"/>
      <c r="GH2646"/>
      <c r="GI2646"/>
      <c r="GJ2646"/>
      <c r="GK2646"/>
      <c r="GL2646"/>
      <c r="GM2646"/>
      <c r="GN2646"/>
      <c r="GO2646"/>
    </row>
    <row r="2647" spans="107:197">
      <c r="DC2647"/>
      <c r="FH2647"/>
      <c r="FI2647"/>
      <c r="FJ2647"/>
      <c r="FK2647"/>
      <c r="FL2647"/>
      <c r="FM2647"/>
      <c r="FN2647"/>
      <c r="FO2647"/>
      <c r="FP2647"/>
      <c r="FQ2647"/>
      <c r="FR2647"/>
      <c r="FS2647"/>
      <c r="FT2647"/>
      <c r="FU2647"/>
      <c r="FV2647"/>
      <c r="FW2647"/>
      <c r="FX2647"/>
      <c r="FY2647"/>
      <c r="FZ2647"/>
      <c r="GA2647"/>
      <c r="GB2647"/>
      <c r="GC2647"/>
      <c r="GD2647"/>
      <c r="GE2647"/>
      <c r="GF2647"/>
      <c r="GG2647"/>
      <c r="GH2647"/>
      <c r="GI2647"/>
      <c r="GJ2647"/>
      <c r="GK2647"/>
      <c r="GL2647"/>
      <c r="GM2647"/>
      <c r="GN2647"/>
      <c r="GO2647"/>
    </row>
    <row r="2648" spans="107:197">
      <c r="DC2648"/>
      <c r="FH2648"/>
      <c r="FI2648"/>
      <c r="FJ2648"/>
      <c r="FK2648"/>
      <c r="FL2648"/>
      <c r="FM2648"/>
      <c r="FN2648"/>
      <c r="FO2648"/>
      <c r="FP2648"/>
      <c r="FQ2648"/>
      <c r="FR2648"/>
      <c r="FS2648"/>
      <c r="FT2648"/>
      <c r="FU2648"/>
      <c r="FV2648"/>
      <c r="FW2648"/>
      <c r="FX2648"/>
      <c r="FY2648"/>
      <c r="FZ2648"/>
      <c r="GA2648"/>
      <c r="GB2648"/>
      <c r="GC2648"/>
      <c r="GD2648"/>
      <c r="GE2648"/>
      <c r="GF2648"/>
      <c r="GG2648"/>
      <c r="GH2648"/>
      <c r="GI2648"/>
      <c r="GJ2648"/>
      <c r="GK2648"/>
      <c r="GL2648"/>
      <c r="GM2648"/>
      <c r="GN2648"/>
      <c r="GO2648"/>
    </row>
    <row r="2649" spans="107:197">
      <c r="DC2649"/>
      <c r="FH2649"/>
      <c r="FI2649"/>
      <c r="FJ2649"/>
      <c r="FK2649"/>
      <c r="FL2649"/>
      <c r="FM2649"/>
      <c r="FN2649"/>
      <c r="FO2649"/>
      <c r="FP2649"/>
      <c r="FQ2649"/>
      <c r="FR2649"/>
      <c r="FS2649"/>
      <c r="FT2649"/>
      <c r="FU2649"/>
      <c r="FV2649"/>
      <c r="FW2649"/>
      <c r="FX2649"/>
      <c r="FY2649"/>
      <c r="FZ2649"/>
      <c r="GA2649"/>
      <c r="GB2649"/>
      <c r="GC2649"/>
      <c r="GD2649"/>
      <c r="GE2649"/>
      <c r="GF2649"/>
      <c r="GG2649"/>
      <c r="GH2649"/>
      <c r="GI2649"/>
      <c r="GJ2649"/>
      <c r="GK2649"/>
      <c r="GL2649"/>
      <c r="GM2649"/>
      <c r="GN2649"/>
      <c r="GO2649"/>
    </row>
    <row r="2650" spans="107:197">
      <c r="DC2650"/>
      <c r="FH2650"/>
      <c r="FI2650"/>
      <c r="FJ2650"/>
      <c r="FK2650"/>
      <c r="FL2650"/>
      <c r="FM2650"/>
      <c r="FN2650"/>
      <c r="FO2650"/>
      <c r="FP2650"/>
      <c r="FQ2650"/>
      <c r="FR2650"/>
      <c r="FS2650"/>
      <c r="FT2650"/>
      <c r="FU2650"/>
      <c r="FV2650"/>
      <c r="FW2650"/>
      <c r="FX2650"/>
      <c r="FY2650"/>
      <c r="FZ2650"/>
      <c r="GA2650"/>
      <c r="GB2650"/>
      <c r="GC2650"/>
      <c r="GD2650"/>
      <c r="GE2650"/>
      <c r="GF2650"/>
      <c r="GG2650"/>
      <c r="GH2650"/>
      <c r="GI2650"/>
      <c r="GJ2650"/>
      <c r="GK2650"/>
      <c r="GL2650"/>
      <c r="GM2650"/>
      <c r="GN2650"/>
      <c r="GO2650"/>
    </row>
    <row r="2651" spans="107:197">
      <c r="DC2651"/>
      <c r="FH2651"/>
      <c r="FI2651"/>
      <c r="FJ2651"/>
      <c r="FK2651"/>
      <c r="FL2651"/>
      <c r="FM2651"/>
      <c r="FN2651"/>
      <c r="FO2651"/>
      <c r="FP2651"/>
      <c r="FQ2651"/>
      <c r="FR2651"/>
      <c r="FS2651"/>
      <c r="FT2651"/>
      <c r="FU2651"/>
      <c r="FV2651"/>
      <c r="FW2651"/>
      <c r="FX2651"/>
      <c r="FY2651"/>
      <c r="FZ2651"/>
      <c r="GA2651"/>
      <c r="GB2651"/>
      <c r="GC2651"/>
      <c r="GD2651"/>
      <c r="GE2651"/>
      <c r="GF2651"/>
      <c r="GG2651"/>
      <c r="GH2651"/>
      <c r="GI2651"/>
      <c r="GJ2651"/>
      <c r="GK2651"/>
      <c r="GL2651"/>
      <c r="GM2651"/>
      <c r="GN2651"/>
      <c r="GO2651"/>
    </row>
    <row r="2652" spans="107:197">
      <c r="DC2652"/>
      <c r="FH2652"/>
      <c r="FI2652"/>
      <c r="FJ2652"/>
      <c r="FK2652"/>
      <c r="FL2652"/>
      <c r="FM2652"/>
      <c r="FN2652"/>
      <c r="FO2652"/>
      <c r="FP2652"/>
      <c r="FQ2652"/>
      <c r="FR2652"/>
      <c r="FS2652"/>
      <c r="FT2652"/>
      <c r="FU2652"/>
      <c r="FV2652"/>
      <c r="FW2652"/>
      <c r="FX2652"/>
      <c r="FY2652"/>
      <c r="FZ2652"/>
      <c r="GA2652"/>
      <c r="GB2652"/>
      <c r="GC2652"/>
      <c r="GD2652"/>
      <c r="GE2652"/>
      <c r="GF2652"/>
      <c r="GG2652"/>
      <c r="GH2652"/>
      <c r="GI2652"/>
      <c r="GJ2652"/>
      <c r="GK2652"/>
      <c r="GL2652"/>
      <c r="GM2652"/>
      <c r="GN2652"/>
      <c r="GO2652"/>
    </row>
    <row r="2653" spans="107:197">
      <c r="DC2653"/>
      <c r="FH2653"/>
      <c r="FI2653"/>
      <c r="FJ2653"/>
      <c r="FK2653"/>
      <c r="FL2653"/>
      <c r="FM2653"/>
      <c r="FN2653"/>
      <c r="FO2653"/>
      <c r="FP2653"/>
      <c r="FQ2653"/>
      <c r="FR2653"/>
      <c r="FS2653"/>
      <c r="FT2653"/>
      <c r="FU2653"/>
      <c r="FV2653"/>
      <c r="FW2653"/>
      <c r="FX2653"/>
      <c r="FY2653"/>
      <c r="FZ2653"/>
      <c r="GA2653"/>
      <c r="GB2653"/>
      <c r="GC2653"/>
      <c r="GD2653"/>
      <c r="GE2653"/>
      <c r="GF2653"/>
      <c r="GG2653"/>
      <c r="GH2653"/>
      <c r="GI2653"/>
      <c r="GJ2653"/>
      <c r="GK2653"/>
      <c r="GL2653"/>
      <c r="GM2653"/>
      <c r="GN2653"/>
      <c r="GO2653"/>
    </row>
    <row r="2654" spans="107:197">
      <c r="DC2654"/>
      <c r="FH2654"/>
      <c r="FI2654"/>
      <c r="FJ2654"/>
      <c r="FK2654"/>
      <c r="FL2654"/>
      <c r="FM2654"/>
      <c r="FN2654"/>
      <c r="FO2654"/>
      <c r="FP2654"/>
      <c r="FQ2654"/>
      <c r="FR2654"/>
      <c r="FS2654"/>
      <c r="FT2654"/>
      <c r="FU2654"/>
      <c r="FV2654"/>
      <c r="FW2654"/>
      <c r="FX2654"/>
      <c r="FY2654"/>
      <c r="FZ2654"/>
      <c r="GA2654"/>
      <c r="GB2654"/>
      <c r="GC2654"/>
      <c r="GD2654"/>
      <c r="GE2654"/>
      <c r="GF2654"/>
      <c r="GG2654"/>
      <c r="GH2654"/>
      <c r="GI2654"/>
      <c r="GJ2654"/>
      <c r="GK2654"/>
      <c r="GL2654"/>
      <c r="GM2654"/>
      <c r="GN2654"/>
      <c r="GO2654"/>
    </row>
    <row r="2655" spans="107:197">
      <c r="DC2655"/>
      <c r="FH2655"/>
      <c r="FI2655"/>
      <c r="FJ2655"/>
      <c r="FK2655"/>
      <c r="FL2655"/>
      <c r="FM2655"/>
      <c r="FN2655"/>
      <c r="FO2655"/>
      <c r="FP2655"/>
      <c r="FQ2655"/>
      <c r="FR2655"/>
      <c r="FS2655"/>
      <c r="FT2655"/>
      <c r="FU2655"/>
      <c r="FV2655"/>
      <c r="FW2655"/>
      <c r="FX2655"/>
      <c r="FY2655"/>
      <c r="FZ2655"/>
      <c r="GA2655"/>
      <c r="GB2655"/>
      <c r="GC2655"/>
      <c r="GD2655"/>
      <c r="GE2655"/>
      <c r="GF2655"/>
      <c r="GG2655"/>
      <c r="GH2655"/>
      <c r="GI2655"/>
      <c r="GJ2655"/>
      <c r="GK2655"/>
      <c r="GL2655"/>
      <c r="GM2655"/>
      <c r="GN2655"/>
      <c r="GO2655"/>
    </row>
    <row r="2656" spans="107:197">
      <c r="DC2656"/>
      <c r="FH2656"/>
      <c r="FI2656"/>
      <c r="FJ2656"/>
      <c r="FK2656"/>
      <c r="FL2656"/>
      <c r="FM2656"/>
      <c r="FN2656"/>
      <c r="FO2656"/>
      <c r="FP2656"/>
      <c r="FQ2656"/>
      <c r="FR2656"/>
      <c r="FS2656"/>
      <c r="FT2656"/>
      <c r="FU2656"/>
      <c r="FV2656"/>
      <c r="FW2656"/>
      <c r="FX2656"/>
      <c r="FY2656"/>
      <c r="FZ2656"/>
      <c r="GA2656"/>
      <c r="GB2656"/>
      <c r="GC2656"/>
      <c r="GD2656"/>
      <c r="GE2656"/>
      <c r="GF2656"/>
      <c r="GG2656"/>
      <c r="GH2656"/>
      <c r="GI2656"/>
      <c r="GJ2656"/>
      <c r="GK2656"/>
      <c r="GL2656"/>
      <c r="GM2656"/>
      <c r="GN2656"/>
      <c r="GO2656"/>
    </row>
    <row r="2657" spans="107:197">
      <c r="DC2657"/>
      <c r="FH2657"/>
      <c r="FI2657"/>
      <c r="FJ2657"/>
      <c r="FK2657"/>
      <c r="FL2657"/>
      <c r="FM2657"/>
      <c r="FN2657"/>
      <c r="FO2657"/>
      <c r="FP2657"/>
      <c r="FQ2657"/>
      <c r="FR2657"/>
      <c r="FS2657"/>
      <c r="FT2657"/>
      <c r="FU2657"/>
      <c r="FV2657"/>
      <c r="FW2657"/>
      <c r="FX2657"/>
      <c r="FY2657"/>
      <c r="FZ2657"/>
      <c r="GA2657"/>
      <c r="GB2657"/>
      <c r="GC2657"/>
      <c r="GD2657"/>
      <c r="GE2657"/>
      <c r="GF2657"/>
      <c r="GG2657"/>
      <c r="GH2657"/>
      <c r="GI2657"/>
      <c r="GJ2657"/>
      <c r="GK2657"/>
      <c r="GL2657"/>
      <c r="GM2657"/>
      <c r="GN2657"/>
      <c r="GO2657"/>
    </row>
    <row r="2658" spans="107:197">
      <c r="DC2658"/>
      <c r="FH2658"/>
      <c r="FI2658"/>
      <c r="FJ2658"/>
      <c r="FK2658"/>
      <c r="FL2658"/>
      <c r="FM2658"/>
      <c r="FN2658"/>
      <c r="FO2658"/>
      <c r="FP2658"/>
      <c r="FQ2658"/>
      <c r="FR2658"/>
      <c r="FS2658"/>
      <c r="FT2658"/>
      <c r="FU2658"/>
      <c r="FV2658"/>
      <c r="FW2658"/>
      <c r="FX2658"/>
      <c r="FY2658"/>
      <c r="FZ2658"/>
      <c r="GA2658"/>
      <c r="GB2658"/>
      <c r="GC2658"/>
      <c r="GD2658"/>
      <c r="GE2658"/>
      <c r="GF2658"/>
      <c r="GG2658"/>
      <c r="GH2658"/>
      <c r="GI2658"/>
      <c r="GJ2658"/>
      <c r="GK2658"/>
      <c r="GL2658"/>
      <c r="GM2658"/>
      <c r="GN2658"/>
      <c r="GO2658"/>
    </row>
    <row r="2659" spans="107:197">
      <c r="DC2659"/>
      <c r="FH2659"/>
      <c r="FI2659"/>
      <c r="FJ2659"/>
      <c r="FK2659"/>
      <c r="FL2659"/>
      <c r="FM2659"/>
      <c r="FN2659"/>
      <c r="FO2659"/>
      <c r="FP2659"/>
      <c r="FQ2659"/>
      <c r="FR2659"/>
      <c r="FS2659"/>
      <c r="FT2659"/>
      <c r="FU2659"/>
      <c r="FV2659"/>
      <c r="FW2659"/>
      <c r="FX2659"/>
      <c r="FY2659"/>
      <c r="FZ2659"/>
      <c r="GA2659"/>
      <c r="GB2659"/>
      <c r="GC2659"/>
      <c r="GD2659"/>
      <c r="GE2659"/>
      <c r="GF2659"/>
      <c r="GG2659"/>
      <c r="GH2659"/>
      <c r="GI2659"/>
      <c r="GJ2659"/>
      <c r="GK2659"/>
      <c r="GL2659"/>
      <c r="GM2659"/>
      <c r="GN2659"/>
      <c r="GO2659"/>
    </row>
    <row r="2660" spans="107:197">
      <c r="DC2660"/>
      <c r="FH2660"/>
      <c r="FI2660"/>
      <c r="FJ2660"/>
      <c r="FK2660"/>
      <c r="FL2660"/>
      <c r="FM2660"/>
      <c r="FN2660"/>
      <c r="FO2660"/>
      <c r="FP2660"/>
      <c r="FQ2660"/>
      <c r="FR2660"/>
      <c r="FS2660"/>
      <c r="FT2660"/>
      <c r="FU2660"/>
      <c r="FV2660"/>
      <c r="FW2660"/>
      <c r="FX2660"/>
      <c r="FY2660"/>
      <c r="FZ2660"/>
      <c r="GA2660"/>
      <c r="GB2660"/>
      <c r="GC2660"/>
      <c r="GD2660"/>
      <c r="GE2660"/>
      <c r="GF2660"/>
      <c r="GG2660"/>
      <c r="GH2660"/>
      <c r="GI2660"/>
      <c r="GJ2660"/>
      <c r="GK2660"/>
      <c r="GL2660"/>
      <c r="GM2660"/>
      <c r="GN2660"/>
      <c r="GO2660"/>
    </row>
    <row r="2661" spans="107:197">
      <c r="DC2661"/>
      <c r="FH2661"/>
      <c r="FI2661"/>
      <c r="FJ2661"/>
      <c r="FK2661"/>
      <c r="FL2661"/>
      <c r="FM2661"/>
      <c r="FN2661"/>
      <c r="FO2661"/>
      <c r="FP2661"/>
      <c r="FQ2661"/>
      <c r="FR2661"/>
      <c r="FS2661"/>
      <c r="FT2661"/>
      <c r="FU2661"/>
      <c r="FV2661"/>
      <c r="FW2661"/>
      <c r="FX2661"/>
      <c r="FY2661"/>
      <c r="FZ2661"/>
      <c r="GA2661"/>
      <c r="GB2661"/>
      <c r="GC2661"/>
      <c r="GD2661"/>
      <c r="GE2661"/>
      <c r="GF2661"/>
      <c r="GG2661"/>
      <c r="GH2661"/>
      <c r="GI2661"/>
      <c r="GJ2661"/>
      <c r="GK2661"/>
      <c r="GL2661"/>
      <c r="GM2661"/>
      <c r="GN2661"/>
      <c r="GO2661"/>
    </row>
    <row r="2662" spans="107:197">
      <c r="DC2662"/>
      <c r="FH2662"/>
      <c r="FI2662"/>
      <c r="FJ2662"/>
      <c r="FK2662"/>
      <c r="FL2662"/>
      <c r="FM2662"/>
      <c r="FN2662"/>
      <c r="FO2662"/>
      <c r="FP2662"/>
      <c r="FQ2662"/>
      <c r="FR2662"/>
      <c r="FS2662"/>
      <c r="FT2662"/>
      <c r="FU2662"/>
      <c r="FV2662"/>
      <c r="FW2662"/>
      <c r="FX2662"/>
      <c r="FY2662"/>
      <c r="FZ2662"/>
      <c r="GA2662"/>
      <c r="GB2662"/>
      <c r="GC2662"/>
      <c r="GD2662"/>
      <c r="GE2662"/>
      <c r="GF2662"/>
      <c r="GG2662"/>
      <c r="GH2662"/>
      <c r="GI2662"/>
      <c r="GJ2662"/>
      <c r="GK2662"/>
      <c r="GL2662"/>
      <c r="GM2662"/>
      <c r="GN2662"/>
      <c r="GO2662"/>
    </row>
    <row r="2663" spans="107:197">
      <c r="DC2663"/>
      <c r="FH2663"/>
      <c r="FI2663"/>
      <c r="FJ2663"/>
      <c r="FK2663"/>
      <c r="FL2663"/>
      <c r="FM2663"/>
      <c r="FN2663"/>
      <c r="FO2663"/>
      <c r="FP2663"/>
      <c r="FQ2663"/>
      <c r="FR2663"/>
      <c r="FS2663"/>
      <c r="FT2663"/>
      <c r="FU2663"/>
      <c r="FV2663"/>
      <c r="FW2663"/>
      <c r="FX2663"/>
      <c r="FY2663"/>
      <c r="FZ2663"/>
      <c r="GA2663"/>
      <c r="GB2663"/>
      <c r="GC2663"/>
      <c r="GD2663"/>
      <c r="GE2663"/>
      <c r="GF2663"/>
      <c r="GG2663"/>
      <c r="GH2663"/>
      <c r="GI2663"/>
      <c r="GJ2663"/>
      <c r="GK2663"/>
      <c r="GL2663"/>
      <c r="GM2663"/>
      <c r="GN2663"/>
      <c r="GO2663"/>
    </row>
    <row r="2664" spans="107:197">
      <c r="DC2664"/>
      <c r="FH2664"/>
      <c r="FI2664"/>
      <c r="FJ2664"/>
      <c r="FK2664"/>
      <c r="FL2664"/>
      <c r="FM2664"/>
      <c r="FN2664"/>
      <c r="FO2664"/>
      <c r="FP2664"/>
      <c r="FQ2664"/>
      <c r="FR2664"/>
      <c r="FS2664"/>
      <c r="FT2664"/>
      <c r="FU2664"/>
      <c r="FV2664"/>
      <c r="FW2664"/>
      <c r="FX2664"/>
      <c r="FY2664"/>
      <c r="FZ2664"/>
      <c r="GA2664"/>
      <c r="GB2664"/>
      <c r="GC2664"/>
      <c r="GD2664"/>
      <c r="GE2664"/>
      <c r="GF2664"/>
      <c r="GG2664"/>
      <c r="GH2664"/>
      <c r="GI2664"/>
      <c r="GJ2664"/>
      <c r="GK2664"/>
      <c r="GL2664"/>
      <c r="GM2664"/>
      <c r="GN2664"/>
      <c r="GO2664"/>
    </row>
    <row r="2665" spans="107:197">
      <c r="DC2665"/>
      <c r="FH2665"/>
      <c r="FI2665"/>
      <c r="FJ2665"/>
      <c r="FK2665"/>
      <c r="FL2665"/>
      <c r="FM2665"/>
      <c r="FN2665"/>
      <c r="FO2665"/>
      <c r="FP2665"/>
      <c r="FQ2665"/>
      <c r="FR2665"/>
      <c r="FS2665"/>
      <c r="FT2665"/>
      <c r="FU2665"/>
      <c r="FV2665"/>
      <c r="FW2665"/>
      <c r="FX2665"/>
      <c r="FY2665"/>
      <c r="FZ2665"/>
      <c r="GA2665"/>
      <c r="GB2665"/>
      <c r="GC2665"/>
      <c r="GD2665"/>
      <c r="GE2665"/>
      <c r="GF2665"/>
      <c r="GG2665"/>
      <c r="GH2665"/>
      <c r="GI2665"/>
      <c r="GJ2665"/>
      <c r="GK2665"/>
      <c r="GL2665"/>
      <c r="GM2665"/>
      <c r="GN2665"/>
      <c r="GO2665"/>
    </row>
    <row r="2666" spans="107:197">
      <c r="DC2666"/>
      <c r="FH2666"/>
      <c r="FI2666"/>
      <c r="FJ2666"/>
      <c r="FK2666"/>
      <c r="FL2666"/>
      <c r="FM2666"/>
      <c r="FN2666"/>
      <c r="FO2666"/>
      <c r="FP2666"/>
      <c r="FQ2666"/>
      <c r="FR2666"/>
      <c r="FS2666"/>
      <c r="FT2666"/>
      <c r="FU2666"/>
      <c r="FV2666"/>
      <c r="FW2666"/>
      <c r="FX2666"/>
      <c r="FY2666"/>
      <c r="FZ2666"/>
      <c r="GA2666"/>
      <c r="GB2666"/>
      <c r="GC2666"/>
      <c r="GD2666"/>
      <c r="GE2666"/>
      <c r="GF2666"/>
      <c r="GG2666"/>
      <c r="GH2666"/>
      <c r="GI2666"/>
      <c r="GJ2666"/>
      <c r="GK2666"/>
      <c r="GL2666"/>
      <c r="GM2666"/>
      <c r="GN2666"/>
      <c r="GO2666"/>
    </row>
    <row r="2667" spans="107:197">
      <c r="DC2667"/>
      <c r="FH2667"/>
      <c r="FI2667"/>
      <c r="FJ2667"/>
      <c r="FK2667"/>
      <c r="FL2667"/>
      <c r="FM2667"/>
      <c r="FN2667"/>
      <c r="FO2667"/>
      <c r="FP2667"/>
      <c r="FQ2667"/>
      <c r="FR2667"/>
      <c r="FS2667"/>
      <c r="FT2667"/>
      <c r="FU2667"/>
      <c r="FV2667"/>
      <c r="FW2667"/>
      <c r="FX2667"/>
      <c r="FY2667"/>
      <c r="FZ2667"/>
      <c r="GA2667"/>
      <c r="GB2667"/>
      <c r="GC2667"/>
      <c r="GD2667"/>
      <c r="GE2667"/>
      <c r="GF2667"/>
      <c r="GG2667"/>
      <c r="GH2667"/>
      <c r="GI2667"/>
      <c r="GJ2667"/>
      <c r="GK2667"/>
      <c r="GL2667"/>
      <c r="GM2667"/>
      <c r="GN2667"/>
      <c r="GO2667"/>
    </row>
    <row r="2668" spans="107:197">
      <c r="DC2668"/>
      <c r="FH2668"/>
      <c r="FI2668"/>
      <c r="FJ2668"/>
      <c r="FK2668"/>
      <c r="FL2668"/>
      <c r="FM2668"/>
      <c r="FN2668"/>
      <c r="FO2668"/>
      <c r="FP2668"/>
      <c r="FQ2668"/>
      <c r="FR2668"/>
      <c r="FS2668"/>
      <c r="FT2668"/>
      <c r="FU2668"/>
      <c r="FV2668"/>
      <c r="FW2668"/>
      <c r="FX2668"/>
      <c r="FY2668"/>
      <c r="FZ2668"/>
      <c r="GA2668"/>
      <c r="GB2668"/>
      <c r="GC2668"/>
      <c r="GD2668"/>
      <c r="GE2668"/>
      <c r="GF2668"/>
      <c r="GG2668"/>
      <c r="GH2668"/>
      <c r="GI2668"/>
      <c r="GJ2668"/>
      <c r="GK2668"/>
      <c r="GL2668"/>
      <c r="GM2668"/>
      <c r="GN2668"/>
      <c r="GO2668"/>
    </row>
    <row r="2669" spans="107:197">
      <c r="DC2669"/>
      <c r="FH2669"/>
      <c r="FI2669"/>
      <c r="FJ2669"/>
      <c r="FK2669"/>
      <c r="FL2669"/>
      <c r="FM2669"/>
      <c r="FN2669"/>
      <c r="FO2669"/>
      <c r="FP2669"/>
      <c r="FQ2669"/>
      <c r="FR2669"/>
      <c r="FS2669"/>
      <c r="FT2669"/>
      <c r="FU2669"/>
      <c r="FV2669"/>
      <c r="FW2669"/>
      <c r="FX2669"/>
      <c r="FY2669"/>
      <c r="FZ2669"/>
      <c r="GA2669"/>
      <c r="GB2669"/>
      <c r="GC2669"/>
      <c r="GD2669"/>
      <c r="GE2669"/>
      <c r="GF2669"/>
      <c r="GG2669"/>
      <c r="GH2669"/>
      <c r="GI2669"/>
      <c r="GJ2669"/>
      <c r="GK2669"/>
      <c r="GL2669"/>
      <c r="GM2669"/>
      <c r="GN2669"/>
      <c r="GO2669"/>
    </row>
    <row r="2670" spans="107:197">
      <c r="DC2670"/>
      <c r="FH2670"/>
      <c r="FI2670"/>
      <c r="FJ2670"/>
      <c r="FK2670"/>
      <c r="FL2670"/>
      <c r="FM2670"/>
      <c r="FN2670"/>
      <c r="FO2670"/>
      <c r="FP2670"/>
      <c r="FQ2670"/>
      <c r="FR2670"/>
      <c r="FS2670"/>
      <c r="FT2670"/>
      <c r="FU2670"/>
      <c r="FV2670"/>
      <c r="FW2670"/>
      <c r="FX2670"/>
      <c r="FY2670"/>
      <c r="FZ2670"/>
      <c r="GA2670"/>
      <c r="GB2670"/>
      <c r="GC2670"/>
      <c r="GD2670"/>
      <c r="GE2670"/>
      <c r="GF2670"/>
      <c r="GG2670"/>
      <c r="GH2670"/>
      <c r="GI2670"/>
      <c r="GJ2670"/>
      <c r="GK2670"/>
      <c r="GL2670"/>
      <c r="GM2670"/>
      <c r="GN2670"/>
      <c r="GO2670"/>
    </row>
    <row r="2671" spans="107:197">
      <c r="DC2671"/>
      <c r="FH2671"/>
      <c r="FI2671"/>
      <c r="FJ2671"/>
      <c r="FK2671"/>
      <c r="FL2671"/>
      <c r="FM2671"/>
      <c r="FN2671"/>
      <c r="FO2671"/>
      <c r="FP2671"/>
      <c r="FQ2671"/>
      <c r="FR2671"/>
      <c r="FS2671"/>
      <c r="FT2671"/>
      <c r="FU2671"/>
      <c r="FV2671"/>
      <c r="FW2671"/>
      <c r="FX2671"/>
      <c r="FY2671"/>
      <c r="FZ2671"/>
      <c r="GA2671"/>
      <c r="GB2671"/>
      <c r="GC2671"/>
      <c r="GD2671"/>
      <c r="GE2671"/>
      <c r="GF2671"/>
      <c r="GG2671"/>
      <c r="GH2671"/>
      <c r="GI2671"/>
      <c r="GJ2671"/>
      <c r="GK2671"/>
      <c r="GL2671"/>
      <c r="GM2671"/>
      <c r="GN2671"/>
      <c r="GO2671"/>
    </row>
    <row r="2672" spans="107:197">
      <c r="DC2672"/>
      <c r="FH2672"/>
      <c r="FI2672"/>
      <c r="FJ2672"/>
      <c r="FK2672"/>
      <c r="FL2672"/>
      <c r="FM2672"/>
      <c r="FN2672"/>
      <c r="FO2672"/>
      <c r="FP2672"/>
      <c r="FQ2672"/>
      <c r="FR2672"/>
      <c r="FS2672"/>
      <c r="FT2672"/>
      <c r="FU2672"/>
      <c r="FV2672"/>
      <c r="FW2672"/>
      <c r="FX2672"/>
      <c r="FY2672"/>
      <c r="FZ2672"/>
      <c r="GA2672"/>
      <c r="GB2672"/>
      <c r="GC2672"/>
      <c r="GD2672"/>
      <c r="GE2672"/>
      <c r="GF2672"/>
      <c r="GG2672"/>
      <c r="GH2672"/>
      <c r="GI2672"/>
      <c r="GJ2672"/>
      <c r="GK2672"/>
      <c r="GL2672"/>
      <c r="GM2672"/>
      <c r="GN2672"/>
      <c r="GO2672"/>
    </row>
    <row r="2673" spans="107:197">
      <c r="DC2673"/>
      <c r="FH2673"/>
      <c r="FI2673"/>
      <c r="FJ2673"/>
      <c r="FK2673"/>
      <c r="FL2673"/>
      <c r="FM2673"/>
      <c r="FN2673"/>
      <c r="FO2673"/>
      <c r="FP2673"/>
      <c r="FQ2673"/>
      <c r="FR2673"/>
      <c r="FS2673"/>
      <c r="FT2673"/>
      <c r="FU2673"/>
      <c r="FV2673"/>
      <c r="FW2673"/>
      <c r="FX2673"/>
      <c r="FY2673"/>
      <c r="FZ2673"/>
      <c r="GA2673"/>
      <c r="GB2673"/>
      <c r="GC2673"/>
      <c r="GD2673"/>
      <c r="GE2673"/>
      <c r="GF2673"/>
      <c r="GG2673"/>
      <c r="GH2673"/>
      <c r="GI2673"/>
      <c r="GJ2673"/>
      <c r="GK2673"/>
      <c r="GL2673"/>
      <c r="GM2673"/>
      <c r="GN2673"/>
      <c r="GO2673"/>
    </row>
    <row r="2674" spans="107:197">
      <c r="DC2674"/>
      <c r="FH2674"/>
      <c r="FI2674"/>
      <c r="FJ2674"/>
      <c r="FK2674"/>
      <c r="FL2674"/>
      <c r="FM2674"/>
      <c r="FN2674"/>
      <c r="FO2674"/>
      <c r="FP2674"/>
      <c r="FQ2674"/>
      <c r="FR2674"/>
      <c r="FS2674"/>
      <c r="FT2674"/>
      <c r="FU2674"/>
      <c r="FV2674"/>
      <c r="FW2674"/>
      <c r="FX2674"/>
      <c r="FY2674"/>
      <c r="FZ2674"/>
      <c r="GA2674"/>
      <c r="GB2674"/>
      <c r="GC2674"/>
      <c r="GD2674"/>
      <c r="GE2674"/>
      <c r="GF2674"/>
      <c r="GG2674"/>
      <c r="GH2674"/>
      <c r="GI2674"/>
      <c r="GJ2674"/>
      <c r="GK2674"/>
      <c r="GL2674"/>
      <c r="GM2674"/>
      <c r="GN2674"/>
      <c r="GO2674"/>
    </row>
    <row r="2675" spans="107:197">
      <c r="DC2675"/>
      <c r="FH2675"/>
      <c r="FI2675"/>
      <c r="FJ2675"/>
      <c r="FK2675"/>
      <c r="FL2675"/>
      <c r="FM2675"/>
      <c r="FN2675"/>
      <c r="FO2675"/>
      <c r="FP2675"/>
      <c r="FQ2675"/>
      <c r="FR2675"/>
      <c r="FS2675"/>
      <c r="FT2675"/>
      <c r="FU2675"/>
      <c r="FV2675"/>
      <c r="FW2675"/>
      <c r="FX2675"/>
      <c r="FY2675"/>
      <c r="FZ2675"/>
      <c r="GA2675"/>
      <c r="GB2675"/>
      <c r="GC2675"/>
      <c r="GD2675"/>
      <c r="GE2675"/>
      <c r="GF2675"/>
      <c r="GG2675"/>
      <c r="GH2675"/>
      <c r="GI2675"/>
      <c r="GJ2675"/>
      <c r="GK2675"/>
      <c r="GL2675"/>
      <c r="GM2675"/>
      <c r="GN2675"/>
      <c r="GO2675"/>
    </row>
    <row r="2676" spans="107:197">
      <c r="DC2676"/>
      <c r="FH2676"/>
      <c r="FI2676"/>
      <c r="FJ2676"/>
      <c r="FK2676"/>
      <c r="FL2676"/>
      <c r="FM2676"/>
      <c r="FN2676"/>
      <c r="FO2676"/>
      <c r="FP2676"/>
      <c r="FQ2676"/>
      <c r="FR2676"/>
      <c r="FS2676"/>
      <c r="FT2676"/>
      <c r="FU2676"/>
      <c r="FV2676"/>
      <c r="FW2676"/>
      <c r="FX2676"/>
      <c r="FY2676"/>
      <c r="FZ2676"/>
      <c r="GA2676"/>
      <c r="GB2676"/>
      <c r="GC2676"/>
      <c r="GD2676"/>
      <c r="GE2676"/>
      <c r="GF2676"/>
      <c r="GG2676"/>
      <c r="GH2676"/>
      <c r="GI2676"/>
      <c r="GJ2676"/>
      <c r="GK2676"/>
      <c r="GL2676"/>
      <c r="GM2676"/>
      <c r="GN2676"/>
      <c r="GO2676"/>
    </row>
    <row r="2677" spans="107:197">
      <c r="DC2677"/>
      <c r="FH2677"/>
      <c r="FI2677"/>
      <c r="FJ2677"/>
      <c r="FK2677"/>
      <c r="FL2677"/>
      <c r="FM2677"/>
      <c r="FN2677"/>
      <c r="FO2677"/>
      <c r="FP2677"/>
      <c r="FQ2677"/>
      <c r="FR2677"/>
      <c r="FS2677"/>
      <c r="FT2677"/>
      <c r="FU2677"/>
      <c r="FV2677"/>
      <c r="FW2677"/>
      <c r="FX2677"/>
      <c r="FY2677"/>
      <c r="FZ2677"/>
      <c r="GA2677"/>
      <c r="GB2677"/>
      <c r="GC2677"/>
      <c r="GD2677"/>
      <c r="GE2677"/>
      <c r="GF2677"/>
      <c r="GG2677"/>
      <c r="GH2677"/>
      <c r="GI2677"/>
      <c r="GJ2677"/>
      <c r="GK2677"/>
      <c r="GL2677"/>
      <c r="GM2677"/>
      <c r="GN2677"/>
      <c r="GO2677"/>
    </row>
    <row r="2678" spans="107:197">
      <c r="DC2678"/>
      <c r="FH2678"/>
      <c r="FI2678"/>
      <c r="FJ2678"/>
      <c r="FK2678"/>
      <c r="FL2678"/>
      <c r="FM2678"/>
      <c r="FN2678"/>
      <c r="FO2678"/>
      <c r="FP2678"/>
      <c r="FQ2678"/>
      <c r="FR2678"/>
      <c r="FS2678"/>
      <c r="FT2678"/>
      <c r="FU2678"/>
      <c r="FV2678"/>
      <c r="FW2678"/>
      <c r="FX2678"/>
      <c r="FY2678"/>
      <c r="FZ2678"/>
      <c r="GA2678"/>
      <c r="GB2678"/>
      <c r="GC2678"/>
      <c r="GD2678"/>
      <c r="GE2678"/>
      <c r="GF2678"/>
      <c r="GG2678"/>
      <c r="GH2678"/>
      <c r="GI2678"/>
      <c r="GJ2678"/>
      <c r="GK2678"/>
      <c r="GL2678"/>
      <c r="GM2678"/>
      <c r="GN2678"/>
      <c r="GO2678"/>
    </row>
    <row r="2679" spans="107:197">
      <c r="DC2679"/>
      <c r="FH2679"/>
      <c r="FI2679"/>
      <c r="FJ2679"/>
      <c r="FK2679"/>
      <c r="FL2679"/>
      <c r="FM2679"/>
      <c r="FN2679"/>
      <c r="FO2679"/>
      <c r="FP2679"/>
      <c r="FQ2679"/>
      <c r="FR2679"/>
      <c r="FS2679"/>
      <c r="FT2679"/>
      <c r="FU2679"/>
      <c r="FV2679"/>
      <c r="FW2679"/>
      <c r="FX2679"/>
      <c r="FY2679"/>
      <c r="FZ2679"/>
      <c r="GA2679"/>
      <c r="GB2679"/>
      <c r="GC2679"/>
      <c r="GD2679"/>
      <c r="GE2679"/>
      <c r="GF2679"/>
      <c r="GG2679"/>
      <c r="GH2679"/>
      <c r="GI2679"/>
      <c r="GJ2679"/>
      <c r="GK2679"/>
      <c r="GL2679"/>
      <c r="GM2679"/>
      <c r="GN2679"/>
      <c r="GO2679"/>
    </row>
    <row r="2680" spans="107:197">
      <c r="DC2680"/>
      <c r="FH2680"/>
      <c r="FI2680"/>
      <c r="FJ2680"/>
      <c r="FK2680"/>
      <c r="FL2680"/>
      <c r="FM2680"/>
      <c r="FN2680"/>
      <c r="FO2680"/>
      <c r="FP2680"/>
      <c r="FQ2680"/>
      <c r="FR2680"/>
      <c r="FS2680"/>
      <c r="FT2680"/>
      <c r="FU2680"/>
      <c r="FV2680"/>
      <c r="FW2680"/>
      <c r="FX2680"/>
      <c r="FY2680"/>
      <c r="FZ2680"/>
      <c r="GA2680"/>
      <c r="GB2680"/>
      <c r="GC2680"/>
      <c r="GD2680"/>
      <c r="GE2680"/>
      <c r="GF2680"/>
      <c r="GG2680"/>
      <c r="GH2680"/>
      <c r="GI2680"/>
      <c r="GJ2680"/>
      <c r="GK2680"/>
      <c r="GL2680"/>
      <c r="GM2680"/>
      <c r="GN2680"/>
      <c r="GO2680"/>
    </row>
    <row r="2681" spans="107:197">
      <c r="DC2681"/>
      <c r="FH2681"/>
      <c r="FI2681"/>
      <c r="FJ2681"/>
      <c r="FK2681"/>
      <c r="FL2681"/>
      <c r="FM2681"/>
      <c r="FN2681"/>
      <c r="FO2681"/>
      <c r="FP2681"/>
      <c r="FQ2681"/>
      <c r="FR2681"/>
      <c r="FS2681"/>
      <c r="FT2681"/>
      <c r="FU2681"/>
      <c r="FV2681"/>
      <c r="FW2681"/>
      <c r="FX2681"/>
      <c r="FY2681"/>
      <c r="FZ2681"/>
      <c r="GA2681"/>
      <c r="GB2681"/>
      <c r="GC2681"/>
      <c r="GD2681"/>
      <c r="GE2681"/>
      <c r="GF2681"/>
      <c r="GG2681"/>
      <c r="GH2681"/>
      <c r="GI2681"/>
      <c r="GJ2681"/>
      <c r="GK2681"/>
      <c r="GL2681"/>
      <c r="GM2681"/>
      <c r="GN2681"/>
      <c r="GO2681"/>
    </row>
    <row r="2682" spans="107:197">
      <c r="DC2682"/>
      <c r="FH2682"/>
      <c r="FI2682"/>
      <c r="FJ2682"/>
      <c r="FK2682"/>
      <c r="FL2682"/>
      <c r="FM2682"/>
      <c r="FN2682"/>
      <c r="FO2682"/>
      <c r="FP2682"/>
      <c r="FQ2682"/>
      <c r="FR2682"/>
      <c r="FS2682"/>
      <c r="FT2682"/>
      <c r="FU2682"/>
      <c r="FV2682"/>
      <c r="FW2682"/>
      <c r="FX2682"/>
      <c r="FY2682"/>
      <c r="FZ2682"/>
      <c r="GA2682"/>
      <c r="GB2682"/>
      <c r="GC2682"/>
      <c r="GD2682"/>
      <c r="GE2682"/>
      <c r="GF2682"/>
      <c r="GG2682"/>
      <c r="GH2682"/>
      <c r="GI2682"/>
      <c r="GJ2682"/>
      <c r="GK2682"/>
      <c r="GL2682"/>
      <c r="GM2682"/>
      <c r="GN2682"/>
      <c r="GO2682"/>
    </row>
    <row r="2683" spans="107:197">
      <c r="DC2683"/>
      <c r="FH2683"/>
      <c r="FI2683"/>
      <c r="FJ2683"/>
      <c r="FK2683"/>
      <c r="FL2683"/>
      <c r="FM2683"/>
      <c r="FN2683"/>
      <c r="FO2683"/>
      <c r="FP2683"/>
      <c r="FQ2683"/>
      <c r="FR2683"/>
      <c r="FS2683"/>
      <c r="FT2683"/>
      <c r="FU2683"/>
      <c r="FV2683"/>
      <c r="FW2683"/>
      <c r="FX2683"/>
      <c r="FY2683"/>
      <c r="FZ2683"/>
      <c r="GA2683"/>
      <c r="GB2683"/>
      <c r="GC2683"/>
      <c r="GD2683"/>
      <c r="GE2683"/>
      <c r="GF2683"/>
      <c r="GG2683"/>
      <c r="GH2683"/>
      <c r="GI2683"/>
      <c r="GJ2683"/>
      <c r="GK2683"/>
      <c r="GL2683"/>
      <c r="GM2683"/>
      <c r="GN2683"/>
      <c r="GO2683"/>
    </row>
    <row r="2684" spans="107:197">
      <c r="DC2684"/>
      <c r="FH2684"/>
      <c r="FI2684"/>
      <c r="FJ2684"/>
      <c r="FK2684"/>
      <c r="FL2684"/>
      <c r="FM2684"/>
      <c r="FN2684"/>
      <c r="FO2684"/>
      <c r="FP2684"/>
      <c r="FQ2684"/>
      <c r="FR2684"/>
      <c r="FS2684"/>
      <c r="FT2684"/>
      <c r="FU2684"/>
      <c r="FV2684"/>
      <c r="FW2684"/>
      <c r="FX2684"/>
      <c r="FY2684"/>
      <c r="FZ2684"/>
      <c r="GA2684"/>
      <c r="GB2684"/>
      <c r="GC2684"/>
      <c r="GD2684"/>
      <c r="GE2684"/>
      <c r="GF2684"/>
      <c r="GG2684"/>
      <c r="GH2684"/>
      <c r="GI2684"/>
      <c r="GJ2684"/>
      <c r="GK2684"/>
      <c r="GL2684"/>
      <c r="GM2684"/>
      <c r="GN2684"/>
      <c r="GO2684"/>
    </row>
    <row r="2685" spans="107:197">
      <c r="DC2685"/>
      <c r="FH2685"/>
      <c r="FI2685"/>
      <c r="FJ2685"/>
      <c r="FK2685"/>
      <c r="FL2685"/>
      <c r="FM2685"/>
      <c r="FN2685"/>
      <c r="FO2685"/>
      <c r="FP2685"/>
      <c r="FQ2685"/>
      <c r="FR2685"/>
      <c r="FS2685"/>
      <c r="FT2685"/>
      <c r="FU2685"/>
      <c r="FV2685"/>
      <c r="FW2685"/>
      <c r="FX2685"/>
      <c r="FY2685"/>
      <c r="FZ2685"/>
      <c r="GA2685"/>
      <c r="GB2685"/>
      <c r="GC2685"/>
      <c r="GD2685"/>
      <c r="GE2685"/>
      <c r="GF2685"/>
      <c r="GG2685"/>
      <c r="GH2685"/>
      <c r="GI2685"/>
      <c r="GJ2685"/>
      <c r="GK2685"/>
      <c r="GL2685"/>
      <c r="GM2685"/>
      <c r="GN2685"/>
      <c r="GO2685"/>
    </row>
    <row r="2686" spans="107:197">
      <c r="DC2686"/>
      <c r="FH2686"/>
      <c r="FI2686"/>
      <c r="FJ2686"/>
      <c r="FK2686"/>
      <c r="FL2686"/>
      <c r="FM2686"/>
      <c r="FN2686"/>
      <c r="FO2686"/>
      <c r="FP2686"/>
      <c r="FQ2686"/>
      <c r="FR2686"/>
      <c r="FS2686"/>
      <c r="FT2686"/>
      <c r="FU2686"/>
      <c r="FV2686"/>
      <c r="FW2686"/>
      <c r="FX2686"/>
      <c r="FY2686"/>
      <c r="FZ2686"/>
      <c r="GA2686"/>
      <c r="GB2686"/>
      <c r="GC2686"/>
      <c r="GD2686"/>
      <c r="GE2686"/>
      <c r="GF2686"/>
      <c r="GG2686"/>
      <c r="GH2686"/>
      <c r="GI2686"/>
      <c r="GJ2686"/>
      <c r="GK2686"/>
      <c r="GL2686"/>
      <c r="GM2686"/>
      <c r="GN2686"/>
      <c r="GO2686"/>
    </row>
    <row r="2687" spans="107:197">
      <c r="DC2687"/>
      <c r="FH2687"/>
      <c r="FI2687"/>
      <c r="FJ2687"/>
      <c r="FK2687"/>
      <c r="FL2687"/>
      <c r="FM2687"/>
      <c r="FN2687"/>
      <c r="FO2687"/>
      <c r="FP2687"/>
      <c r="FQ2687"/>
      <c r="FR2687"/>
      <c r="FS2687"/>
      <c r="FT2687"/>
      <c r="FU2687"/>
      <c r="FV2687"/>
      <c r="FW2687"/>
      <c r="FX2687"/>
      <c r="FY2687"/>
      <c r="FZ2687"/>
      <c r="GA2687"/>
      <c r="GB2687"/>
      <c r="GC2687"/>
      <c r="GD2687"/>
      <c r="GE2687"/>
      <c r="GF2687"/>
      <c r="GG2687"/>
      <c r="GH2687"/>
      <c r="GI2687"/>
      <c r="GJ2687"/>
      <c r="GK2687"/>
      <c r="GL2687"/>
      <c r="GM2687"/>
      <c r="GN2687"/>
      <c r="GO2687"/>
    </row>
    <row r="2688" spans="107:197">
      <c r="DC2688"/>
      <c r="FH2688"/>
      <c r="FI2688"/>
      <c r="FJ2688"/>
      <c r="FK2688"/>
      <c r="FL2688"/>
      <c r="FM2688"/>
      <c r="FN2688"/>
      <c r="FO2688"/>
      <c r="FP2688"/>
      <c r="FQ2688"/>
      <c r="FR2688"/>
      <c r="FS2688"/>
      <c r="FT2688"/>
      <c r="FU2688"/>
      <c r="FV2688"/>
      <c r="FW2688"/>
      <c r="FX2688"/>
      <c r="FY2688"/>
      <c r="FZ2688"/>
      <c r="GA2688"/>
      <c r="GB2688"/>
      <c r="GC2688"/>
      <c r="GD2688"/>
      <c r="GE2688"/>
      <c r="GF2688"/>
      <c r="GG2688"/>
      <c r="GH2688"/>
      <c r="GI2688"/>
      <c r="GJ2688"/>
      <c r="GK2688"/>
      <c r="GL2688"/>
      <c r="GM2688"/>
      <c r="GN2688"/>
      <c r="GO2688"/>
    </row>
    <row r="2689" spans="107:197">
      <c r="DC2689"/>
      <c r="FH2689"/>
      <c r="FI2689"/>
      <c r="FJ2689"/>
      <c r="FK2689"/>
      <c r="FL2689"/>
      <c r="FM2689"/>
      <c r="FN2689"/>
      <c r="FO2689"/>
      <c r="FP2689"/>
      <c r="FQ2689"/>
      <c r="FR2689"/>
      <c r="FS2689"/>
      <c r="FT2689"/>
      <c r="FU2689"/>
      <c r="FV2689"/>
      <c r="FW2689"/>
      <c r="FX2689"/>
      <c r="FY2689"/>
      <c r="FZ2689"/>
      <c r="GA2689"/>
      <c r="GB2689"/>
      <c r="GC2689"/>
      <c r="GD2689"/>
      <c r="GE2689"/>
      <c r="GF2689"/>
      <c r="GG2689"/>
      <c r="GH2689"/>
      <c r="GI2689"/>
      <c r="GJ2689"/>
      <c r="GK2689"/>
      <c r="GL2689"/>
      <c r="GM2689"/>
      <c r="GN2689"/>
      <c r="GO2689"/>
    </row>
    <row r="2690" spans="107:197">
      <c r="DC2690"/>
      <c r="FH2690"/>
      <c r="FI2690"/>
      <c r="FJ2690"/>
      <c r="FK2690"/>
      <c r="FL2690"/>
      <c r="FM2690"/>
      <c r="FN2690"/>
      <c r="FO2690"/>
      <c r="FP2690"/>
      <c r="FQ2690"/>
      <c r="FR2690"/>
      <c r="FS2690"/>
      <c r="FT2690"/>
      <c r="FU2690"/>
      <c r="FV2690"/>
      <c r="FW2690"/>
      <c r="FX2690"/>
      <c r="FY2690"/>
      <c r="FZ2690"/>
      <c r="GA2690"/>
      <c r="GB2690"/>
      <c r="GC2690"/>
      <c r="GD2690"/>
      <c r="GE2690"/>
      <c r="GF2690"/>
      <c r="GG2690"/>
      <c r="GH2690"/>
      <c r="GI2690"/>
      <c r="GJ2690"/>
      <c r="GK2690"/>
      <c r="GL2690"/>
      <c r="GM2690"/>
      <c r="GN2690"/>
      <c r="GO2690"/>
    </row>
    <row r="2691" spans="107:197">
      <c r="DC2691"/>
      <c r="FH2691"/>
      <c r="FI2691"/>
      <c r="FJ2691"/>
      <c r="FK2691"/>
      <c r="FL2691"/>
      <c r="FM2691"/>
      <c r="FN2691"/>
      <c r="FO2691"/>
      <c r="FP2691"/>
      <c r="FQ2691"/>
      <c r="FR2691"/>
      <c r="FS2691"/>
      <c r="FT2691"/>
      <c r="FU2691"/>
      <c r="FV2691"/>
      <c r="FW2691"/>
      <c r="FX2691"/>
      <c r="FY2691"/>
      <c r="FZ2691"/>
      <c r="GA2691"/>
      <c r="GB2691"/>
      <c r="GC2691"/>
      <c r="GD2691"/>
      <c r="GE2691"/>
      <c r="GF2691"/>
      <c r="GG2691"/>
      <c r="GH2691"/>
      <c r="GI2691"/>
      <c r="GJ2691"/>
      <c r="GK2691"/>
      <c r="GL2691"/>
      <c r="GM2691"/>
      <c r="GN2691"/>
      <c r="GO2691"/>
    </row>
    <row r="2692" spans="107:197">
      <c r="DC2692"/>
      <c r="FH2692"/>
      <c r="FI2692"/>
      <c r="FJ2692"/>
      <c r="FK2692"/>
      <c r="FL2692"/>
      <c r="FM2692"/>
      <c r="FN2692"/>
      <c r="FO2692"/>
      <c r="FP2692"/>
      <c r="FQ2692"/>
      <c r="FR2692"/>
      <c r="FS2692"/>
      <c r="FT2692"/>
      <c r="FU2692"/>
      <c r="FV2692"/>
      <c r="FW2692"/>
      <c r="FX2692"/>
      <c r="FY2692"/>
      <c r="FZ2692"/>
      <c r="GA2692"/>
      <c r="GB2692"/>
      <c r="GC2692"/>
      <c r="GD2692"/>
      <c r="GE2692"/>
      <c r="GF2692"/>
      <c r="GG2692"/>
      <c r="GH2692"/>
      <c r="GI2692"/>
      <c r="GJ2692"/>
      <c r="GK2692"/>
      <c r="GL2692"/>
      <c r="GM2692"/>
      <c r="GN2692"/>
      <c r="GO2692"/>
    </row>
    <row r="2693" spans="107:197">
      <c r="DC2693"/>
      <c r="FH2693"/>
      <c r="FI2693"/>
      <c r="FJ2693"/>
      <c r="FK2693"/>
      <c r="FL2693"/>
      <c r="FM2693"/>
      <c r="FN2693"/>
      <c r="FO2693"/>
      <c r="FP2693"/>
      <c r="FQ2693"/>
      <c r="FR2693"/>
      <c r="FS2693"/>
      <c r="FT2693"/>
      <c r="FU2693"/>
      <c r="FV2693"/>
      <c r="FW2693"/>
      <c r="FX2693"/>
      <c r="FY2693"/>
      <c r="FZ2693"/>
      <c r="GA2693"/>
      <c r="GB2693"/>
      <c r="GC2693"/>
      <c r="GD2693"/>
      <c r="GE2693"/>
      <c r="GF2693"/>
      <c r="GG2693"/>
      <c r="GH2693"/>
      <c r="GI2693"/>
      <c r="GJ2693"/>
      <c r="GK2693"/>
      <c r="GL2693"/>
      <c r="GM2693"/>
      <c r="GN2693"/>
      <c r="GO2693"/>
    </row>
    <row r="2694" spans="107:197">
      <c r="DC2694"/>
      <c r="FH2694"/>
      <c r="FI2694"/>
      <c r="FJ2694"/>
      <c r="FK2694"/>
      <c r="FL2694"/>
      <c r="FM2694"/>
      <c r="FN2694"/>
      <c r="FO2694"/>
      <c r="FP2694"/>
      <c r="FQ2694"/>
      <c r="FR2694"/>
      <c r="FS2694"/>
      <c r="FT2694"/>
      <c r="FU2694"/>
      <c r="FV2694"/>
      <c r="FW2694"/>
      <c r="FX2694"/>
      <c r="FY2694"/>
      <c r="FZ2694"/>
      <c r="GA2694"/>
      <c r="GB2694"/>
      <c r="GC2694"/>
      <c r="GD2694"/>
      <c r="GE2694"/>
      <c r="GF2694"/>
      <c r="GG2694"/>
      <c r="GH2694"/>
      <c r="GI2694"/>
      <c r="GJ2694"/>
      <c r="GK2694"/>
      <c r="GL2694"/>
      <c r="GM2694"/>
      <c r="GN2694"/>
      <c r="GO2694"/>
    </row>
    <row r="2695" spans="107:197">
      <c r="DC2695"/>
      <c r="FH2695"/>
      <c r="FI2695"/>
      <c r="FJ2695"/>
      <c r="FK2695"/>
      <c r="FL2695"/>
      <c r="FM2695"/>
      <c r="FN2695"/>
      <c r="FO2695"/>
      <c r="FP2695"/>
      <c r="FQ2695"/>
      <c r="FR2695"/>
      <c r="FS2695"/>
      <c r="FT2695"/>
      <c r="FU2695"/>
      <c r="FV2695"/>
      <c r="FW2695"/>
      <c r="FX2695"/>
      <c r="FY2695"/>
      <c r="FZ2695"/>
      <c r="GA2695"/>
      <c r="GB2695"/>
      <c r="GC2695"/>
      <c r="GD2695"/>
      <c r="GE2695"/>
      <c r="GF2695"/>
      <c r="GG2695"/>
      <c r="GH2695"/>
      <c r="GI2695"/>
      <c r="GJ2695"/>
      <c r="GK2695"/>
      <c r="GL2695"/>
      <c r="GM2695"/>
      <c r="GN2695"/>
      <c r="GO2695"/>
    </row>
    <row r="2696" spans="107:197">
      <c r="DC2696"/>
      <c r="FH2696"/>
      <c r="FI2696"/>
      <c r="FJ2696"/>
      <c r="FK2696"/>
      <c r="FL2696"/>
      <c r="FM2696"/>
      <c r="FN2696"/>
      <c r="FO2696"/>
      <c r="FP2696"/>
      <c r="FQ2696"/>
      <c r="FR2696"/>
      <c r="FS2696"/>
      <c r="FT2696"/>
      <c r="FU2696"/>
      <c r="FV2696"/>
      <c r="FW2696"/>
      <c r="FX2696"/>
      <c r="FY2696"/>
      <c r="FZ2696"/>
      <c r="GA2696"/>
      <c r="GB2696"/>
      <c r="GC2696"/>
      <c r="GD2696"/>
      <c r="GE2696"/>
      <c r="GF2696"/>
      <c r="GG2696"/>
      <c r="GH2696"/>
      <c r="GI2696"/>
      <c r="GJ2696"/>
      <c r="GK2696"/>
      <c r="GL2696"/>
      <c r="GM2696"/>
      <c r="GN2696"/>
      <c r="GO2696"/>
    </row>
    <row r="2697" spans="107:197">
      <c r="DC2697"/>
      <c r="FH2697"/>
      <c r="FI2697"/>
      <c r="FJ2697"/>
      <c r="FK2697"/>
      <c r="FL2697"/>
      <c r="FM2697"/>
      <c r="FN2697"/>
      <c r="FO2697"/>
      <c r="FP2697"/>
      <c r="FQ2697"/>
      <c r="FR2697"/>
      <c r="FS2697"/>
      <c r="FT2697"/>
      <c r="FU2697"/>
      <c r="FV2697"/>
      <c r="FW2697"/>
      <c r="FX2697"/>
      <c r="FY2697"/>
      <c r="FZ2697"/>
      <c r="GA2697"/>
      <c r="GB2697"/>
      <c r="GC2697"/>
      <c r="GD2697"/>
      <c r="GE2697"/>
      <c r="GF2697"/>
      <c r="GG2697"/>
      <c r="GH2697"/>
      <c r="GI2697"/>
      <c r="GJ2697"/>
      <c r="GK2697"/>
      <c r="GL2697"/>
      <c r="GM2697"/>
      <c r="GN2697"/>
      <c r="GO2697"/>
    </row>
    <row r="2698" spans="107:197">
      <c r="DC2698"/>
      <c r="FH2698"/>
      <c r="FI2698"/>
      <c r="FJ2698"/>
      <c r="FK2698"/>
      <c r="FL2698"/>
      <c r="FM2698"/>
      <c r="FN2698"/>
      <c r="FO2698"/>
      <c r="FP2698"/>
      <c r="FQ2698"/>
      <c r="FR2698"/>
      <c r="FS2698"/>
      <c r="FT2698"/>
      <c r="FU2698"/>
      <c r="FV2698"/>
      <c r="FW2698"/>
      <c r="FX2698"/>
      <c r="FY2698"/>
      <c r="FZ2698"/>
      <c r="GA2698"/>
      <c r="GB2698"/>
      <c r="GC2698"/>
      <c r="GD2698"/>
      <c r="GE2698"/>
      <c r="GF2698"/>
      <c r="GG2698"/>
      <c r="GH2698"/>
      <c r="GI2698"/>
      <c r="GJ2698"/>
      <c r="GK2698"/>
      <c r="GL2698"/>
      <c r="GM2698"/>
      <c r="GN2698"/>
      <c r="GO2698"/>
    </row>
    <row r="2699" spans="107:197">
      <c r="DC2699"/>
      <c r="FH2699"/>
      <c r="FI2699"/>
      <c r="FJ2699"/>
      <c r="FK2699"/>
      <c r="FL2699"/>
      <c r="FM2699"/>
      <c r="FN2699"/>
      <c r="FO2699"/>
      <c r="FP2699"/>
      <c r="FQ2699"/>
      <c r="FR2699"/>
      <c r="FS2699"/>
      <c r="FT2699"/>
      <c r="FU2699"/>
      <c r="FV2699"/>
      <c r="FW2699"/>
      <c r="FX2699"/>
      <c r="FY2699"/>
      <c r="FZ2699"/>
      <c r="GA2699"/>
      <c r="GB2699"/>
      <c r="GC2699"/>
      <c r="GD2699"/>
      <c r="GE2699"/>
      <c r="GF2699"/>
      <c r="GG2699"/>
      <c r="GH2699"/>
      <c r="GI2699"/>
      <c r="GJ2699"/>
      <c r="GK2699"/>
      <c r="GL2699"/>
      <c r="GM2699"/>
      <c r="GN2699"/>
      <c r="GO2699"/>
    </row>
    <row r="2700" spans="107:197">
      <c r="DC2700"/>
      <c r="FH2700"/>
      <c r="FI2700"/>
      <c r="FJ2700"/>
      <c r="FK2700"/>
      <c r="FL2700"/>
      <c r="FM2700"/>
      <c r="FN2700"/>
      <c r="FO2700"/>
      <c r="FP2700"/>
      <c r="FQ2700"/>
      <c r="FR2700"/>
      <c r="FS2700"/>
      <c r="FT2700"/>
      <c r="FU2700"/>
      <c r="FV2700"/>
      <c r="FW2700"/>
      <c r="FX2700"/>
      <c r="FY2700"/>
      <c r="FZ2700"/>
      <c r="GA2700"/>
      <c r="GB2700"/>
      <c r="GC2700"/>
      <c r="GD2700"/>
      <c r="GE2700"/>
      <c r="GF2700"/>
      <c r="GG2700"/>
      <c r="GH2700"/>
      <c r="GI2700"/>
      <c r="GJ2700"/>
      <c r="GK2700"/>
      <c r="GL2700"/>
      <c r="GM2700"/>
      <c r="GN2700"/>
      <c r="GO2700"/>
    </row>
    <row r="2701" spans="107:197">
      <c r="DC2701"/>
      <c r="FH2701"/>
      <c r="FI2701"/>
      <c r="FJ2701"/>
      <c r="FK2701"/>
      <c r="FL2701"/>
      <c r="FM2701"/>
      <c r="FN2701"/>
      <c r="FO2701"/>
      <c r="FP2701"/>
      <c r="FQ2701"/>
      <c r="FR2701"/>
      <c r="FS2701"/>
      <c r="FT2701"/>
      <c r="FU2701"/>
      <c r="FV2701"/>
      <c r="FW2701"/>
      <c r="FX2701"/>
      <c r="FY2701"/>
      <c r="FZ2701"/>
      <c r="GA2701"/>
      <c r="GB2701"/>
      <c r="GC2701"/>
      <c r="GD2701"/>
      <c r="GE2701"/>
      <c r="GF2701"/>
      <c r="GG2701"/>
      <c r="GH2701"/>
      <c r="GI2701"/>
      <c r="GJ2701"/>
      <c r="GK2701"/>
      <c r="GL2701"/>
      <c r="GM2701"/>
      <c r="GN2701"/>
      <c r="GO2701"/>
    </row>
    <row r="2702" spans="107:197">
      <c r="DC2702"/>
      <c r="FH2702"/>
      <c r="FI2702"/>
      <c r="FJ2702"/>
      <c r="FK2702"/>
      <c r="FL2702"/>
      <c r="FM2702"/>
      <c r="FN2702"/>
      <c r="FO2702"/>
      <c r="FP2702"/>
      <c r="FQ2702"/>
      <c r="FR2702"/>
      <c r="FS2702"/>
      <c r="FT2702"/>
      <c r="FU2702"/>
      <c r="FV2702"/>
      <c r="FW2702"/>
      <c r="FX2702"/>
      <c r="FY2702"/>
      <c r="FZ2702"/>
      <c r="GA2702"/>
      <c r="GB2702"/>
      <c r="GC2702"/>
      <c r="GD2702"/>
      <c r="GE2702"/>
      <c r="GF2702"/>
      <c r="GG2702"/>
      <c r="GH2702"/>
      <c r="GI2702"/>
      <c r="GJ2702"/>
      <c r="GK2702"/>
      <c r="GL2702"/>
      <c r="GM2702"/>
      <c r="GN2702"/>
      <c r="GO2702"/>
    </row>
    <row r="2703" spans="107:197">
      <c r="DC2703"/>
      <c r="FH2703"/>
      <c r="FI2703"/>
      <c r="FJ2703"/>
      <c r="FK2703"/>
      <c r="FL2703"/>
      <c r="FM2703"/>
      <c r="FN2703"/>
      <c r="FO2703"/>
      <c r="FP2703"/>
      <c r="FQ2703"/>
      <c r="FR2703"/>
      <c r="FS2703"/>
      <c r="FT2703"/>
      <c r="FU2703"/>
      <c r="FV2703"/>
      <c r="FW2703"/>
      <c r="FX2703"/>
      <c r="FY2703"/>
      <c r="FZ2703"/>
      <c r="GA2703"/>
      <c r="GB2703"/>
      <c r="GC2703"/>
      <c r="GD2703"/>
      <c r="GE2703"/>
      <c r="GF2703"/>
      <c r="GG2703"/>
      <c r="GH2703"/>
      <c r="GI2703"/>
      <c r="GJ2703"/>
      <c r="GK2703"/>
      <c r="GL2703"/>
      <c r="GM2703"/>
      <c r="GN2703"/>
      <c r="GO2703"/>
    </row>
    <row r="2704" spans="107:197">
      <c r="DC2704"/>
      <c r="FH2704"/>
      <c r="FI2704"/>
      <c r="FJ2704"/>
      <c r="FK2704"/>
      <c r="FL2704"/>
      <c r="FM2704"/>
      <c r="FN2704"/>
      <c r="FO2704"/>
      <c r="FP2704"/>
      <c r="FQ2704"/>
      <c r="FR2704"/>
      <c r="FS2704"/>
      <c r="FT2704"/>
      <c r="FU2704"/>
      <c r="FV2704"/>
      <c r="FW2704"/>
      <c r="FX2704"/>
      <c r="FY2704"/>
      <c r="FZ2704"/>
      <c r="GA2704"/>
      <c r="GB2704"/>
      <c r="GC2704"/>
      <c r="GD2704"/>
      <c r="GE2704"/>
      <c r="GF2704"/>
      <c r="GG2704"/>
      <c r="GH2704"/>
      <c r="GI2704"/>
      <c r="GJ2704"/>
      <c r="GK2704"/>
      <c r="GL2704"/>
      <c r="GM2704"/>
      <c r="GN2704"/>
      <c r="GO2704"/>
    </row>
    <row r="2705" spans="107:197">
      <c r="DC2705"/>
      <c r="FH2705"/>
      <c r="FI2705"/>
      <c r="FJ2705"/>
      <c r="FK2705"/>
      <c r="FL2705"/>
      <c r="FM2705"/>
      <c r="FN2705"/>
      <c r="FO2705"/>
      <c r="FP2705"/>
      <c r="FQ2705"/>
      <c r="FR2705"/>
      <c r="FS2705"/>
      <c r="FT2705"/>
      <c r="FU2705"/>
      <c r="FV2705"/>
      <c r="FW2705"/>
      <c r="FX2705"/>
      <c r="FY2705"/>
      <c r="FZ2705"/>
      <c r="GA2705"/>
      <c r="GB2705"/>
      <c r="GC2705"/>
      <c r="GD2705"/>
      <c r="GE2705"/>
      <c r="GF2705"/>
      <c r="GG2705"/>
      <c r="GH2705"/>
      <c r="GI2705"/>
      <c r="GJ2705"/>
      <c r="GK2705"/>
      <c r="GL2705"/>
      <c r="GM2705"/>
      <c r="GN2705"/>
      <c r="GO2705"/>
    </row>
    <row r="2706" spans="107:197">
      <c r="DC2706"/>
      <c r="FH2706"/>
      <c r="FI2706"/>
      <c r="FJ2706"/>
      <c r="FK2706"/>
      <c r="FL2706"/>
      <c r="FM2706"/>
      <c r="FN2706"/>
      <c r="FO2706"/>
      <c r="FP2706"/>
      <c r="FQ2706"/>
      <c r="FR2706"/>
      <c r="FS2706"/>
      <c r="FT2706"/>
      <c r="FU2706"/>
      <c r="FV2706"/>
      <c r="FW2706"/>
      <c r="FX2706"/>
      <c r="FY2706"/>
      <c r="FZ2706"/>
      <c r="GA2706"/>
      <c r="GB2706"/>
      <c r="GC2706"/>
      <c r="GD2706"/>
      <c r="GE2706"/>
      <c r="GF2706"/>
      <c r="GG2706"/>
      <c r="GH2706"/>
      <c r="GI2706"/>
      <c r="GJ2706"/>
      <c r="GK2706"/>
      <c r="GL2706"/>
      <c r="GM2706"/>
      <c r="GN2706"/>
      <c r="GO2706"/>
    </row>
    <row r="2707" spans="107:197">
      <c r="DC2707"/>
      <c r="FH2707"/>
      <c r="FI2707"/>
      <c r="FJ2707"/>
      <c r="FK2707"/>
      <c r="FL2707"/>
      <c r="FM2707"/>
      <c r="FN2707"/>
      <c r="FO2707"/>
      <c r="FP2707"/>
      <c r="FQ2707"/>
      <c r="FR2707"/>
      <c r="FS2707"/>
      <c r="FT2707"/>
      <c r="FU2707"/>
      <c r="FV2707"/>
      <c r="FW2707"/>
      <c r="FX2707"/>
      <c r="FY2707"/>
      <c r="FZ2707"/>
      <c r="GA2707"/>
      <c r="GB2707"/>
      <c r="GC2707"/>
      <c r="GD2707"/>
      <c r="GE2707"/>
      <c r="GF2707"/>
      <c r="GG2707"/>
      <c r="GH2707"/>
      <c r="GI2707"/>
      <c r="GJ2707"/>
      <c r="GK2707"/>
      <c r="GL2707"/>
      <c r="GM2707"/>
      <c r="GN2707"/>
      <c r="GO2707"/>
    </row>
    <row r="2708" spans="107:197">
      <c r="DC2708"/>
      <c r="FH2708"/>
      <c r="FI2708"/>
      <c r="FJ2708"/>
      <c r="FK2708"/>
      <c r="FL2708"/>
      <c r="FM2708"/>
      <c r="FN2708"/>
      <c r="FO2708"/>
      <c r="FP2708"/>
      <c r="FQ2708"/>
      <c r="FR2708"/>
      <c r="FS2708"/>
      <c r="FT2708"/>
      <c r="FU2708"/>
      <c r="FV2708"/>
      <c r="FW2708"/>
      <c r="FX2708"/>
      <c r="FY2708"/>
      <c r="FZ2708"/>
      <c r="GA2708"/>
      <c r="GB2708"/>
      <c r="GC2708"/>
      <c r="GD2708"/>
      <c r="GE2708"/>
      <c r="GF2708"/>
      <c r="GG2708"/>
      <c r="GH2708"/>
      <c r="GI2708"/>
      <c r="GJ2708"/>
      <c r="GK2708"/>
      <c r="GL2708"/>
      <c r="GM2708"/>
      <c r="GN2708"/>
      <c r="GO2708"/>
    </row>
    <row r="2709" spans="107:197">
      <c r="DC2709"/>
      <c r="FH2709"/>
      <c r="FI2709"/>
      <c r="FJ2709"/>
      <c r="FK2709"/>
      <c r="FL2709"/>
      <c r="FM2709"/>
      <c r="FN2709"/>
      <c r="FO2709"/>
      <c r="FP2709"/>
      <c r="FQ2709"/>
      <c r="FR2709"/>
      <c r="FS2709"/>
      <c r="FT2709"/>
      <c r="FU2709"/>
      <c r="FV2709"/>
      <c r="FW2709"/>
      <c r="FX2709"/>
      <c r="FY2709"/>
      <c r="FZ2709"/>
      <c r="GA2709"/>
      <c r="GB2709"/>
      <c r="GC2709"/>
      <c r="GD2709"/>
      <c r="GE2709"/>
      <c r="GF2709"/>
      <c r="GG2709"/>
      <c r="GH2709"/>
      <c r="GI2709"/>
      <c r="GJ2709"/>
      <c r="GK2709"/>
      <c r="GL2709"/>
      <c r="GM2709"/>
      <c r="GN2709"/>
      <c r="GO2709"/>
    </row>
    <row r="2710" spans="107:197">
      <c r="DC2710"/>
      <c r="FH2710"/>
      <c r="FI2710"/>
      <c r="FJ2710"/>
      <c r="FK2710"/>
      <c r="FL2710"/>
      <c r="FM2710"/>
      <c r="FN2710"/>
      <c r="FO2710"/>
      <c r="FP2710"/>
      <c r="FQ2710"/>
      <c r="FR2710"/>
      <c r="FS2710"/>
      <c r="FT2710"/>
      <c r="FU2710"/>
      <c r="FV2710"/>
      <c r="FW2710"/>
      <c r="FX2710"/>
      <c r="FY2710"/>
      <c r="FZ2710"/>
      <c r="GA2710"/>
      <c r="GB2710"/>
      <c r="GC2710"/>
      <c r="GD2710"/>
      <c r="GE2710"/>
      <c r="GF2710"/>
      <c r="GG2710"/>
      <c r="GH2710"/>
      <c r="GI2710"/>
      <c r="GJ2710"/>
      <c r="GK2710"/>
      <c r="GL2710"/>
      <c r="GM2710"/>
      <c r="GN2710"/>
      <c r="GO2710"/>
    </row>
    <row r="2711" spans="107:197">
      <c r="DC2711"/>
      <c r="FH2711"/>
      <c r="FI2711"/>
      <c r="FJ2711"/>
      <c r="FK2711"/>
      <c r="FL2711"/>
      <c r="FM2711"/>
      <c r="FN2711"/>
      <c r="FO2711"/>
      <c r="FP2711"/>
      <c r="FQ2711"/>
      <c r="FR2711"/>
      <c r="FS2711"/>
      <c r="FT2711"/>
      <c r="FU2711"/>
      <c r="FV2711"/>
      <c r="FW2711"/>
      <c r="FX2711"/>
      <c r="FY2711"/>
      <c r="FZ2711"/>
      <c r="GA2711"/>
      <c r="GB2711"/>
      <c r="GC2711"/>
      <c r="GD2711"/>
      <c r="GE2711"/>
      <c r="GF2711"/>
      <c r="GG2711"/>
      <c r="GH2711"/>
      <c r="GI2711"/>
      <c r="GJ2711"/>
      <c r="GK2711"/>
      <c r="GL2711"/>
      <c r="GM2711"/>
      <c r="GN2711"/>
      <c r="GO2711"/>
    </row>
    <row r="2712" spans="107:197">
      <c r="DC2712"/>
      <c r="FH2712"/>
      <c r="FI2712"/>
      <c r="FJ2712"/>
      <c r="FK2712"/>
      <c r="FL2712"/>
      <c r="FM2712"/>
      <c r="FN2712"/>
      <c r="FO2712"/>
      <c r="FP2712"/>
      <c r="FQ2712"/>
      <c r="FR2712"/>
      <c r="FS2712"/>
      <c r="FT2712"/>
      <c r="FU2712"/>
      <c r="FV2712"/>
      <c r="FW2712"/>
      <c r="FX2712"/>
      <c r="FY2712"/>
      <c r="FZ2712"/>
      <c r="GA2712"/>
      <c r="GB2712"/>
      <c r="GC2712"/>
      <c r="GD2712"/>
      <c r="GE2712"/>
      <c r="GF2712"/>
      <c r="GG2712"/>
      <c r="GH2712"/>
      <c r="GI2712"/>
      <c r="GJ2712"/>
      <c r="GK2712"/>
      <c r="GL2712"/>
      <c r="GM2712"/>
      <c r="GN2712"/>
      <c r="GO2712"/>
    </row>
    <row r="2713" spans="107:197">
      <c r="DC2713"/>
      <c r="FH2713"/>
      <c r="FI2713"/>
      <c r="FJ2713"/>
      <c r="FK2713"/>
      <c r="FL2713"/>
      <c r="FM2713"/>
      <c r="FN2713"/>
      <c r="FO2713"/>
      <c r="FP2713"/>
      <c r="FQ2713"/>
      <c r="FR2713"/>
      <c r="FS2713"/>
      <c r="FT2713"/>
      <c r="FU2713"/>
      <c r="FV2713"/>
      <c r="FW2713"/>
      <c r="FX2713"/>
      <c r="FY2713"/>
      <c r="FZ2713"/>
      <c r="GA2713"/>
      <c r="GB2713"/>
      <c r="GC2713"/>
      <c r="GD2713"/>
      <c r="GE2713"/>
      <c r="GF2713"/>
      <c r="GG2713"/>
      <c r="GH2713"/>
      <c r="GI2713"/>
      <c r="GJ2713"/>
      <c r="GK2713"/>
      <c r="GL2713"/>
      <c r="GM2713"/>
      <c r="GN2713"/>
      <c r="GO2713"/>
    </row>
    <row r="2714" spans="107:197">
      <c r="DC2714"/>
      <c r="FH2714"/>
      <c r="FI2714"/>
      <c r="FJ2714"/>
      <c r="FK2714"/>
      <c r="FL2714"/>
      <c r="FM2714"/>
      <c r="FN2714"/>
      <c r="FO2714"/>
      <c r="FP2714"/>
      <c r="FQ2714"/>
      <c r="FR2714"/>
      <c r="FS2714"/>
      <c r="FT2714"/>
      <c r="FU2714"/>
      <c r="FV2714"/>
      <c r="FW2714"/>
      <c r="FX2714"/>
      <c r="FY2714"/>
      <c r="FZ2714"/>
      <c r="GA2714"/>
      <c r="GB2714"/>
      <c r="GC2714"/>
      <c r="GD2714"/>
      <c r="GE2714"/>
      <c r="GF2714"/>
      <c r="GG2714"/>
      <c r="GH2714"/>
      <c r="GI2714"/>
      <c r="GJ2714"/>
      <c r="GK2714"/>
      <c r="GL2714"/>
      <c r="GM2714"/>
      <c r="GN2714"/>
      <c r="GO2714"/>
    </row>
    <row r="2715" spans="107:197">
      <c r="DC2715"/>
      <c r="FH2715"/>
      <c r="FI2715"/>
      <c r="FJ2715"/>
      <c r="FK2715"/>
      <c r="FL2715"/>
      <c r="FM2715"/>
      <c r="FN2715"/>
      <c r="FO2715"/>
      <c r="FP2715"/>
      <c r="FQ2715"/>
      <c r="FR2715"/>
      <c r="FS2715"/>
      <c r="FT2715"/>
      <c r="FU2715"/>
      <c r="FV2715"/>
      <c r="FW2715"/>
      <c r="FX2715"/>
      <c r="FY2715"/>
      <c r="FZ2715"/>
      <c r="GA2715"/>
      <c r="GB2715"/>
      <c r="GC2715"/>
      <c r="GD2715"/>
      <c r="GE2715"/>
      <c r="GF2715"/>
      <c r="GG2715"/>
      <c r="GH2715"/>
      <c r="GI2715"/>
      <c r="GJ2715"/>
      <c r="GK2715"/>
      <c r="GL2715"/>
      <c r="GM2715"/>
      <c r="GN2715"/>
      <c r="GO2715"/>
    </row>
    <row r="2716" spans="107:197">
      <c r="DC2716"/>
      <c r="FH2716"/>
      <c r="FI2716"/>
      <c r="FJ2716"/>
      <c r="FK2716"/>
      <c r="FL2716"/>
      <c r="FM2716"/>
      <c r="FN2716"/>
      <c r="FO2716"/>
      <c r="FP2716"/>
      <c r="FQ2716"/>
      <c r="FR2716"/>
      <c r="FS2716"/>
      <c r="FT2716"/>
      <c r="FU2716"/>
      <c r="FV2716"/>
      <c r="FW2716"/>
      <c r="FX2716"/>
      <c r="FY2716"/>
      <c r="FZ2716"/>
      <c r="GA2716"/>
      <c r="GB2716"/>
      <c r="GC2716"/>
      <c r="GD2716"/>
      <c r="GE2716"/>
      <c r="GF2716"/>
      <c r="GG2716"/>
      <c r="GH2716"/>
      <c r="GI2716"/>
      <c r="GJ2716"/>
      <c r="GK2716"/>
      <c r="GL2716"/>
      <c r="GM2716"/>
      <c r="GN2716"/>
      <c r="GO2716"/>
    </row>
    <row r="2717" spans="107:197">
      <c r="DC2717"/>
      <c r="FH2717"/>
      <c r="FI2717"/>
      <c r="FJ2717"/>
      <c r="FK2717"/>
      <c r="FL2717"/>
      <c r="FM2717"/>
      <c r="FN2717"/>
      <c r="FO2717"/>
      <c r="FP2717"/>
      <c r="FQ2717"/>
      <c r="FR2717"/>
      <c r="FS2717"/>
      <c r="FT2717"/>
      <c r="FU2717"/>
      <c r="FV2717"/>
      <c r="FW2717"/>
      <c r="FX2717"/>
      <c r="FY2717"/>
      <c r="FZ2717"/>
      <c r="GA2717"/>
      <c r="GB2717"/>
      <c r="GC2717"/>
      <c r="GD2717"/>
      <c r="GE2717"/>
      <c r="GF2717"/>
      <c r="GG2717"/>
      <c r="GH2717"/>
      <c r="GI2717"/>
      <c r="GJ2717"/>
      <c r="GK2717"/>
      <c r="GL2717"/>
      <c r="GM2717"/>
      <c r="GN2717"/>
      <c r="GO2717"/>
    </row>
    <row r="2718" spans="107:197">
      <c r="DC2718"/>
      <c r="FH2718"/>
      <c r="FI2718"/>
      <c r="FJ2718"/>
      <c r="FK2718"/>
      <c r="FL2718"/>
      <c r="FM2718"/>
      <c r="FN2718"/>
      <c r="FO2718"/>
      <c r="FP2718"/>
      <c r="FQ2718"/>
      <c r="FR2718"/>
      <c r="FS2718"/>
      <c r="FT2718"/>
      <c r="FU2718"/>
      <c r="FV2718"/>
      <c r="FW2718"/>
      <c r="FX2718"/>
      <c r="FY2718"/>
      <c r="FZ2718"/>
      <c r="GA2718"/>
      <c r="GB2718"/>
      <c r="GC2718"/>
      <c r="GD2718"/>
      <c r="GE2718"/>
      <c r="GF2718"/>
      <c r="GG2718"/>
      <c r="GH2718"/>
      <c r="GI2718"/>
      <c r="GJ2718"/>
      <c r="GK2718"/>
      <c r="GL2718"/>
      <c r="GM2718"/>
      <c r="GN2718"/>
      <c r="GO2718"/>
    </row>
    <row r="2719" spans="107:197">
      <c r="DC2719"/>
      <c r="FH2719"/>
      <c r="FI2719"/>
      <c r="FJ2719"/>
      <c r="FK2719"/>
      <c r="FL2719"/>
      <c r="FM2719"/>
      <c r="FN2719"/>
      <c r="FO2719"/>
      <c r="FP2719"/>
      <c r="FQ2719"/>
      <c r="FR2719"/>
      <c r="FS2719"/>
      <c r="FT2719"/>
      <c r="FU2719"/>
      <c r="FV2719"/>
      <c r="FW2719"/>
      <c r="FX2719"/>
      <c r="FY2719"/>
      <c r="FZ2719"/>
      <c r="GA2719"/>
      <c r="GB2719"/>
      <c r="GC2719"/>
      <c r="GD2719"/>
      <c r="GE2719"/>
      <c r="GF2719"/>
      <c r="GG2719"/>
      <c r="GH2719"/>
      <c r="GI2719"/>
      <c r="GJ2719"/>
      <c r="GK2719"/>
      <c r="GL2719"/>
      <c r="GM2719"/>
      <c r="GN2719"/>
      <c r="GO2719"/>
    </row>
    <row r="2720" spans="107:197">
      <c r="DC2720"/>
      <c r="FH2720"/>
      <c r="FI2720"/>
      <c r="FJ2720"/>
      <c r="FK2720"/>
      <c r="FL2720"/>
      <c r="FM2720"/>
      <c r="FN2720"/>
      <c r="FO2720"/>
      <c r="FP2720"/>
      <c r="FQ2720"/>
      <c r="FR2720"/>
      <c r="FS2720"/>
      <c r="FT2720"/>
      <c r="FU2720"/>
      <c r="FV2720"/>
      <c r="FW2720"/>
      <c r="FX2720"/>
      <c r="FY2720"/>
      <c r="FZ2720"/>
      <c r="GA2720"/>
      <c r="GB2720"/>
      <c r="GC2720"/>
      <c r="GD2720"/>
      <c r="GE2720"/>
      <c r="GF2720"/>
      <c r="GG2720"/>
      <c r="GH2720"/>
      <c r="GI2720"/>
      <c r="GJ2720"/>
      <c r="GK2720"/>
      <c r="GL2720"/>
      <c r="GM2720"/>
      <c r="GN2720"/>
      <c r="GO2720"/>
    </row>
    <row r="2721" spans="107:197">
      <c r="DC2721"/>
      <c r="FH2721"/>
      <c r="FI2721"/>
      <c r="FJ2721"/>
      <c r="FK2721"/>
      <c r="FL2721"/>
      <c r="FM2721"/>
      <c r="FN2721"/>
      <c r="FO2721"/>
      <c r="FP2721"/>
      <c r="FQ2721"/>
      <c r="FR2721"/>
      <c r="FS2721"/>
      <c r="FT2721"/>
      <c r="FU2721"/>
      <c r="FV2721"/>
      <c r="FW2721"/>
      <c r="FX2721"/>
      <c r="FY2721"/>
      <c r="FZ2721"/>
      <c r="GA2721"/>
      <c r="GB2721"/>
      <c r="GC2721"/>
      <c r="GD2721"/>
      <c r="GE2721"/>
      <c r="GF2721"/>
      <c r="GG2721"/>
      <c r="GH2721"/>
      <c r="GI2721"/>
      <c r="GJ2721"/>
      <c r="GK2721"/>
      <c r="GL2721"/>
      <c r="GM2721"/>
      <c r="GN2721"/>
      <c r="GO2721"/>
    </row>
    <row r="2722" spans="107:197">
      <c r="DC2722"/>
      <c r="FH2722"/>
      <c r="FI2722"/>
      <c r="FJ2722"/>
      <c r="FK2722"/>
      <c r="FL2722"/>
      <c r="FM2722"/>
      <c r="FN2722"/>
      <c r="FO2722"/>
      <c r="FP2722"/>
      <c r="FQ2722"/>
      <c r="FR2722"/>
      <c r="FS2722"/>
      <c r="FT2722"/>
      <c r="FU2722"/>
      <c r="FV2722"/>
      <c r="FW2722"/>
      <c r="FX2722"/>
      <c r="FY2722"/>
      <c r="FZ2722"/>
      <c r="GA2722"/>
      <c r="GB2722"/>
      <c r="GC2722"/>
      <c r="GD2722"/>
      <c r="GE2722"/>
      <c r="GF2722"/>
      <c r="GG2722"/>
      <c r="GH2722"/>
      <c r="GI2722"/>
      <c r="GJ2722"/>
      <c r="GK2722"/>
      <c r="GL2722"/>
      <c r="GM2722"/>
      <c r="GN2722"/>
      <c r="GO2722"/>
    </row>
    <row r="2723" spans="107:197">
      <c r="DC2723"/>
      <c r="FH2723"/>
      <c r="FI2723"/>
      <c r="FJ2723"/>
      <c r="FK2723"/>
      <c r="FL2723"/>
      <c r="FM2723"/>
      <c r="FN2723"/>
      <c r="FO2723"/>
      <c r="FP2723"/>
      <c r="FQ2723"/>
      <c r="FR2723"/>
      <c r="FS2723"/>
      <c r="FT2723"/>
      <c r="FU2723"/>
      <c r="FV2723"/>
      <c r="FW2723"/>
      <c r="FX2723"/>
      <c r="FY2723"/>
      <c r="FZ2723"/>
      <c r="GA2723"/>
      <c r="GB2723"/>
      <c r="GC2723"/>
      <c r="GD2723"/>
      <c r="GE2723"/>
      <c r="GF2723"/>
      <c r="GG2723"/>
      <c r="GH2723"/>
      <c r="GI2723"/>
      <c r="GJ2723"/>
      <c r="GK2723"/>
      <c r="GL2723"/>
      <c r="GM2723"/>
      <c r="GN2723"/>
      <c r="GO2723"/>
    </row>
    <row r="2724" spans="107:197">
      <c r="DC2724"/>
      <c r="FH2724"/>
      <c r="FI2724"/>
      <c r="FJ2724"/>
      <c r="FK2724"/>
      <c r="FL2724"/>
      <c r="FM2724"/>
      <c r="FN2724"/>
      <c r="FO2724"/>
      <c r="FP2724"/>
      <c r="FQ2724"/>
      <c r="FR2724"/>
      <c r="FS2724"/>
      <c r="FT2724"/>
      <c r="FU2724"/>
      <c r="FV2724"/>
      <c r="FW2724"/>
      <c r="FX2724"/>
      <c r="FY2724"/>
      <c r="FZ2724"/>
      <c r="GA2724"/>
      <c r="GB2724"/>
      <c r="GC2724"/>
      <c r="GD2724"/>
      <c r="GE2724"/>
      <c r="GF2724"/>
      <c r="GG2724"/>
      <c r="GH2724"/>
      <c r="GI2724"/>
      <c r="GJ2724"/>
      <c r="GK2724"/>
      <c r="GL2724"/>
      <c r="GM2724"/>
      <c r="GN2724"/>
      <c r="GO2724"/>
    </row>
    <row r="2725" spans="107:197">
      <c r="DC2725"/>
      <c r="FH2725"/>
      <c r="FI2725"/>
      <c r="FJ2725"/>
      <c r="FK2725"/>
      <c r="FL2725"/>
      <c r="FM2725"/>
      <c r="FN2725"/>
      <c r="FO2725"/>
      <c r="FP2725"/>
      <c r="FQ2725"/>
      <c r="FR2725"/>
      <c r="FS2725"/>
      <c r="FT2725"/>
      <c r="FU2725"/>
      <c r="FV2725"/>
      <c r="FW2725"/>
      <c r="FX2725"/>
      <c r="FY2725"/>
      <c r="FZ2725"/>
      <c r="GA2725"/>
      <c r="GB2725"/>
      <c r="GC2725"/>
      <c r="GD2725"/>
      <c r="GE2725"/>
      <c r="GF2725"/>
      <c r="GG2725"/>
      <c r="GH2725"/>
      <c r="GI2725"/>
      <c r="GJ2725"/>
      <c r="GK2725"/>
      <c r="GL2725"/>
      <c r="GM2725"/>
      <c r="GN2725"/>
      <c r="GO2725"/>
    </row>
    <row r="2726" spans="107:197">
      <c r="DC2726"/>
      <c r="FH2726"/>
      <c r="FI2726"/>
      <c r="FJ2726"/>
      <c r="FK2726"/>
      <c r="FL2726"/>
      <c r="FM2726"/>
      <c r="FN2726"/>
      <c r="FO2726"/>
      <c r="FP2726"/>
      <c r="FQ2726"/>
      <c r="FR2726"/>
      <c r="FS2726"/>
      <c r="FT2726"/>
      <c r="FU2726"/>
      <c r="FV2726"/>
      <c r="FW2726"/>
      <c r="FX2726"/>
      <c r="FY2726"/>
      <c r="FZ2726"/>
      <c r="GA2726"/>
      <c r="GB2726"/>
      <c r="GC2726"/>
      <c r="GD2726"/>
      <c r="GE2726"/>
      <c r="GF2726"/>
      <c r="GG2726"/>
      <c r="GH2726"/>
      <c r="GI2726"/>
      <c r="GJ2726"/>
      <c r="GK2726"/>
      <c r="GL2726"/>
      <c r="GM2726"/>
      <c r="GN2726"/>
      <c r="GO2726"/>
    </row>
    <row r="2727" spans="107:197">
      <c r="DC2727"/>
      <c r="FH2727"/>
      <c r="FI2727"/>
      <c r="FJ2727"/>
      <c r="FK2727"/>
      <c r="FL2727"/>
      <c r="FM2727"/>
      <c r="FN2727"/>
      <c r="FO2727"/>
      <c r="FP2727"/>
      <c r="FQ2727"/>
      <c r="FR2727"/>
      <c r="FS2727"/>
      <c r="FT2727"/>
      <c r="FU2727"/>
      <c r="FV2727"/>
      <c r="FW2727"/>
      <c r="FX2727"/>
      <c r="FY2727"/>
      <c r="FZ2727"/>
      <c r="GA2727"/>
      <c r="GB2727"/>
      <c r="GC2727"/>
      <c r="GD2727"/>
      <c r="GE2727"/>
      <c r="GF2727"/>
      <c r="GG2727"/>
      <c r="GH2727"/>
      <c r="GI2727"/>
      <c r="GJ2727"/>
      <c r="GK2727"/>
      <c r="GL2727"/>
      <c r="GM2727"/>
      <c r="GN2727"/>
      <c r="GO2727"/>
    </row>
    <row r="2728" spans="107:197">
      <c r="DC2728"/>
      <c r="FH2728"/>
      <c r="FI2728"/>
      <c r="FJ2728"/>
      <c r="FK2728"/>
      <c r="FL2728"/>
      <c r="FM2728"/>
      <c r="FN2728"/>
      <c r="FO2728"/>
      <c r="FP2728"/>
      <c r="FQ2728"/>
      <c r="FR2728"/>
      <c r="FS2728"/>
      <c r="FT2728"/>
      <c r="FU2728"/>
      <c r="FV2728"/>
      <c r="FW2728"/>
      <c r="FX2728"/>
      <c r="FY2728"/>
      <c r="FZ2728"/>
      <c r="GA2728"/>
      <c r="GB2728"/>
      <c r="GC2728"/>
      <c r="GD2728"/>
      <c r="GE2728"/>
      <c r="GF2728"/>
      <c r="GG2728"/>
      <c r="GH2728"/>
      <c r="GI2728"/>
      <c r="GJ2728"/>
      <c r="GK2728"/>
      <c r="GL2728"/>
      <c r="GM2728"/>
      <c r="GN2728"/>
      <c r="GO2728"/>
    </row>
    <row r="2729" spans="107:197">
      <c r="DC2729"/>
      <c r="FH2729"/>
      <c r="FI2729"/>
      <c r="FJ2729"/>
      <c r="FK2729"/>
      <c r="FL2729"/>
      <c r="FM2729"/>
      <c r="FN2729"/>
      <c r="FO2729"/>
      <c r="FP2729"/>
      <c r="FQ2729"/>
      <c r="FR2729"/>
      <c r="FS2729"/>
      <c r="FT2729"/>
      <c r="FU2729"/>
      <c r="FV2729"/>
      <c r="FW2729"/>
      <c r="FX2729"/>
      <c r="FY2729"/>
      <c r="FZ2729"/>
      <c r="GA2729"/>
      <c r="GB2729"/>
      <c r="GC2729"/>
      <c r="GD2729"/>
      <c r="GE2729"/>
      <c r="GF2729"/>
      <c r="GG2729"/>
      <c r="GH2729"/>
      <c r="GI2729"/>
      <c r="GJ2729"/>
      <c r="GK2729"/>
      <c r="GL2729"/>
      <c r="GM2729"/>
      <c r="GN2729"/>
      <c r="GO2729"/>
    </row>
    <row r="2730" spans="107:197">
      <c r="DC2730"/>
      <c r="FH2730"/>
      <c r="FI2730"/>
      <c r="FJ2730"/>
      <c r="FK2730"/>
      <c r="FL2730"/>
      <c r="FM2730"/>
      <c r="FN2730"/>
      <c r="FO2730"/>
      <c r="FP2730"/>
      <c r="FQ2730"/>
      <c r="FR2730"/>
      <c r="FS2730"/>
      <c r="FT2730"/>
      <c r="FU2730"/>
      <c r="FV2730"/>
      <c r="FW2730"/>
      <c r="FX2730"/>
      <c r="FY2730"/>
      <c r="FZ2730"/>
      <c r="GA2730"/>
      <c r="GB2730"/>
      <c r="GC2730"/>
      <c r="GD2730"/>
      <c r="GE2730"/>
      <c r="GF2730"/>
      <c r="GG2730"/>
      <c r="GH2730"/>
      <c r="GI2730"/>
      <c r="GJ2730"/>
      <c r="GK2730"/>
      <c r="GL2730"/>
      <c r="GM2730"/>
      <c r="GN2730"/>
      <c r="GO2730"/>
    </row>
    <row r="2731" spans="107:197">
      <c r="DC2731"/>
      <c r="FH2731"/>
      <c r="FI2731"/>
      <c r="FJ2731"/>
      <c r="FK2731"/>
      <c r="FL2731"/>
      <c r="FM2731"/>
      <c r="FN2731"/>
      <c r="FO2731"/>
      <c r="FP2731"/>
      <c r="FQ2731"/>
      <c r="FR2731"/>
      <c r="FS2731"/>
      <c r="FT2731"/>
      <c r="FU2731"/>
      <c r="FV2731"/>
      <c r="FW2731"/>
      <c r="FX2731"/>
      <c r="FY2731"/>
      <c r="FZ2731"/>
      <c r="GA2731"/>
      <c r="GB2731"/>
      <c r="GC2731"/>
      <c r="GD2731"/>
      <c r="GE2731"/>
      <c r="GF2731"/>
      <c r="GG2731"/>
      <c r="GH2731"/>
      <c r="GI2731"/>
      <c r="GJ2731"/>
      <c r="GK2731"/>
      <c r="GL2731"/>
      <c r="GM2731"/>
      <c r="GN2731"/>
      <c r="GO2731"/>
    </row>
    <row r="2732" spans="107:197">
      <c r="DC2732"/>
      <c r="FH2732"/>
      <c r="FI2732"/>
      <c r="FJ2732"/>
      <c r="FK2732"/>
      <c r="FL2732"/>
      <c r="FM2732"/>
      <c r="FN2732"/>
      <c r="FO2732"/>
      <c r="FP2732"/>
      <c r="FQ2732"/>
      <c r="FR2732"/>
      <c r="FS2732"/>
      <c r="FT2732"/>
      <c r="FU2732"/>
      <c r="FV2732"/>
      <c r="FW2732"/>
      <c r="FX2732"/>
      <c r="FY2732"/>
      <c r="FZ2732"/>
      <c r="GA2732"/>
      <c r="GB2732"/>
      <c r="GC2732"/>
      <c r="GD2732"/>
      <c r="GE2732"/>
      <c r="GF2732"/>
      <c r="GG2732"/>
      <c r="GH2732"/>
      <c r="GI2732"/>
      <c r="GJ2732"/>
      <c r="GK2732"/>
      <c r="GL2732"/>
      <c r="GM2732"/>
      <c r="GN2732"/>
      <c r="GO2732"/>
    </row>
    <row r="2733" spans="107:197">
      <c r="DC2733"/>
      <c r="FH2733"/>
      <c r="FI2733"/>
      <c r="FJ2733"/>
      <c r="FK2733"/>
      <c r="FL2733"/>
      <c r="FM2733"/>
      <c r="FN2733"/>
      <c r="FO2733"/>
      <c r="FP2733"/>
      <c r="FQ2733"/>
      <c r="FR2733"/>
      <c r="FS2733"/>
      <c r="FT2733"/>
      <c r="FU2733"/>
      <c r="FV2733"/>
      <c r="FW2733"/>
      <c r="FX2733"/>
      <c r="FY2733"/>
      <c r="FZ2733"/>
      <c r="GA2733"/>
      <c r="GB2733"/>
      <c r="GC2733"/>
      <c r="GD2733"/>
      <c r="GE2733"/>
      <c r="GF2733"/>
      <c r="GG2733"/>
      <c r="GH2733"/>
      <c r="GI2733"/>
      <c r="GJ2733"/>
      <c r="GK2733"/>
      <c r="GL2733"/>
      <c r="GM2733"/>
      <c r="GN2733"/>
      <c r="GO2733"/>
    </row>
    <row r="2734" spans="107:197">
      <c r="DC2734"/>
      <c r="FH2734"/>
      <c r="FI2734"/>
      <c r="FJ2734"/>
      <c r="FK2734"/>
      <c r="FL2734"/>
      <c r="FM2734"/>
      <c r="FN2734"/>
      <c r="FO2734"/>
      <c r="FP2734"/>
      <c r="FQ2734"/>
      <c r="FR2734"/>
      <c r="FS2734"/>
      <c r="FT2734"/>
      <c r="FU2734"/>
      <c r="FV2734"/>
      <c r="FW2734"/>
      <c r="FX2734"/>
      <c r="FY2734"/>
      <c r="FZ2734"/>
      <c r="GA2734"/>
      <c r="GB2734"/>
      <c r="GC2734"/>
      <c r="GD2734"/>
      <c r="GE2734"/>
      <c r="GF2734"/>
      <c r="GG2734"/>
      <c r="GH2734"/>
      <c r="GI2734"/>
      <c r="GJ2734"/>
      <c r="GK2734"/>
      <c r="GL2734"/>
      <c r="GM2734"/>
      <c r="GN2734"/>
      <c r="GO2734"/>
    </row>
    <row r="2735" spans="107:197">
      <c r="DC2735"/>
      <c r="FH2735"/>
      <c r="FI2735"/>
      <c r="FJ2735"/>
      <c r="FK2735"/>
      <c r="FL2735"/>
      <c r="FM2735"/>
      <c r="FN2735"/>
      <c r="FO2735"/>
      <c r="FP2735"/>
      <c r="FQ2735"/>
      <c r="FR2735"/>
      <c r="FS2735"/>
      <c r="FT2735"/>
      <c r="FU2735"/>
      <c r="FV2735"/>
      <c r="FW2735"/>
      <c r="FX2735"/>
      <c r="FY2735"/>
      <c r="FZ2735"/>
      <c r="GA2735"/>
      <c r="GB2735"/>
      <c r="GC2735"/>
      <c r="GD2735"/>
      <c r="GE2735"/>
      <c r="GF2735"/>
      <c r="GG2735"/>
      <c r="GH2735"/>
      <c r="GI2735"/>
      <c r="GJ2735"/>
      <c r="GK2735"/>
      <c r="GL2735"/>
      <c r="GM2735"/>
      <c r="GN2735"/>
      <c r="GO2735"/>
    </row>
    <row r="2736" spans="107:197">
      <c r="DC2736"/>
      <c r="FH2736"/>
      <c r="FI2736"/>
      <c r="FJ2736"/>
      <c r="FK2736"/>
      <c r="FL2736"/>
      <c r="FM2736"/>
      <c r="FN2736"/>
      <c r="FO2736"/>
      <c r="FP2736"/>
      <c r="FQ2736"/>
      <c r="FR2736"/>
      <c r="FS2736"/>
      <c r="FT2736"/>
      <c r="FU2736"/>
      <c r="FV2736"/>
      <c r="FW2736"/>
      <c r="FX2736"/>
      <c r="FY2736"/>
      <c r="FZ2736"/>
      <c r="GA2736"/>
      <c r="GB2736"/>
      <c r="GC2736"/>
      <c r="GD2736"/>
      <c r="GE2736"/>
      <c r="GF2736"/>
      <c r="GG2736"/>
      <c r="GH2736"/>
      <c r="GI2736"/>
      <c r="GJ2736"/>
      <c r="GK2736"/>
      <c r="GL2736"/>
      <c r="GM2736"/>
      <c r="GN2736"/>
      <c r="GO2736"/>
    </row>
    <row r="2737" spans="107:197">
      <c r="DC2737"/>
      <c r="FH2737"/>
      <c r="FI2737"/>
      <c r="FJ2737"/>
      <c r="FK2737"/>
      <c r="FL2737"/>
      <c r="FM2737"/>
      <c r="FN2737"/>
      <c r="FO2737"/>
      <c r="FP2737"/>
      <c r="FQ2737"/>
      <c r="FR2737"/>
      <c r="FS2737"/>
      <c r="FT2737"/>
      <c r="FU2737"/>
      <c r="FV2737"/>
      <c r="FW2737"/>
      <c r="FX2737"/>
      <c r="FY2737"/>
      <c r="FZ2737"/>
      <c r="GA2737"/>
      <c r="GB2737"/>
      <c r="GC2737"/>
      <c r="GD2737"/>
      <c r="GE2737"/>
      <c r="GF2737"/>
      <c r="GG2737"/>
      <c r="GH2737"/>
      <c r="GI2737"/>
      <c r="GJ2737"/>
      <c r="GK2737"/>
      <c r="GL2737"/>
      <c r="GM2737"/>
      <c r="GN2737"/>
      <c r="GO2737"/>
    </row>
    <row r="2738" spans="107:197">
      <c r="DC2738"/>
      <c r="FH2738"/>
      <c r="FI2738"/>
      <c r="FJ2738"/>
      <c r="FK2738"/>
      <c r="FL2738"/>
      <c r="FM2738"/>
      <c r="FN2738"/>
      <c r="FO2738"/>
      <c r="FP2738"/>
      <c r="FQ2738"/>
      <c r="FR2738"/>
      <c r="FS2738"/>
      <c r="FT2738"/>
      <c r="FU2738"/>
      <c r="FV2738"/>
      <c r="FW2738"/>
      <c r="FX2738"/>
      <c r="FY2738"/>
      <c r="FZ2738"/>
      <c r="GA2738"/>
      <c r="GB2738"/>
      <c r="GC2738"/>
      <c r="GD2738"/>
      <c r="GE2738"/>
      <c r="GF2738"/>
      <c r="GG2738"/>
      <c r="GH2738"/>
      <c r="GI2738"/>
      <c r="GJ2738"/>
      <c r="GK2738"/>
      <c r="GL2738"/>
      <c r="GM2738"/>
      <c r="GN2738"/>
      <c r="GO2738"/>
    </row>
    <row r="2739" spans="107:197">
      <c r="DC2739"/>
      <c r="FH2739"/>
      <c r="FI2739"/>
      <c r="FJ2739"/>
      <c r="FK2739"/>
      <c r="FL2739"/>
      <c r="FM2739"/>
      <c r="FN2739"/>
      <c r="FO2739"/>
      <c r="FP2739"/>
      <c r="FQ2739"/>
      <c r="FR2739"/>
      <c r="FS2739"/>
      <c r="FT2739"/>
      <c r="FU2739"/>
      <c r="FV2739"/>
      <c r="FW2739"/>
      <c r="FX2739"/>
      <c r="FY2739"/>
      <c r="FZ2739"/>
      <c r="GA2739"/>
      <c r="GB2739"/>
      <c r="GC2739"/>
      <c r="GD2739"/>
      <c r="GE2739"/>
      <c r="GF2739"/>
      <c r="GG2739"/>
      <c r="GH2739"/>
      <c r="GI2739"/>
      <c r="GJ2739"/>
      <c r="GK2739"/>
      <c r="GL2739"/>
      <c r="GM2739"/>
      <c r="GN2739"/>
      <c r="GO2739"/>
    </row>
    <row r="2740" spans="107:197">
      <c r="DC2740"/>
      <c r="FH2740"/>
      <c r="FI2740"/>
      <c r="FJ2740"/>
      <c r="FK2740"/>
      <c r="FL2740"/>
      <c r="FM2740"/>
      <c r="FN2740"/>
      <c r="FO2740"/>
      <c r="FP2740"/>
      <c r="FQ2740"/>
      <c r="FR2740"/>
      <c r="FS2740"/>
      <c r="FT2740"/>
      <c r="FU2740"/>
      <c r="FV2740"/>
      <c r="FW2740"/>
      <c r="FX2740"/>
      <c r="FY2740"/>
      <c r="FZ2740"/>
      <c r="GA2740"/>
      <c r="GB2740"/>
      <c r="GC2740"/>
      <c r="GD2740"/>
      <c r="GE2740"/>
      <c r="GF2740"/>
      <c r="GG2740"/>
      <c r="GH2740"/>
      <c r="GI2740"/>
      <c r="GJ2740"/>
      <c r="GK2740"/>
      <c r="GL2740"/>
      <c r="GM2740"/>
      <c r="GN2740"/>
      <c r="GO2740"/>
    </row>
    <row r="2741" spans="107:197">
      <c r="DC2741"/>
      <c r="FH2741"/>
      <c r="FI2741"/>
      <c r="FJ2741"/>
      <c r="FK2741"/>
      <c r="FL2741"/>
      <c r="FM2741"/>
      <c r="FN2741"/>
      <c r="FO2741"/>
      <c r="FP2741"/>
      <c r="FQ2741"/>
      <c r="FR2741"/>
      <c r="FS2741"/>
      <c r="FT2741"/>
      <c r="FU2741"/>
      <c r="FV2741"/>
      <c r="FW2741"/>
      <c r="FX2741"/>
      <c r="FY2741"/>
      <c r="FZ2741"/>
      <c r="GA2741"/>
      <c r="GB2741"/>
      <c r="GC2741"/>
      <c r="GD2741"/>
      <c r="GE2741"/>
      <c r="GF2741"/>
      <c r="GG2741"/>
      <c r="GH2741"/>
      <c r="GI2741"/>
      <c r="GJ2741"/>
      <c r="GK2741"/>
      <c r="GL2741"/>
      <c r="GM2741"/>
      <c r="GN2741"/>
      <c r="GO2741"/>
    </row>
    <row r="2742" spans="107:197">
      <c r="DC2742"/>
      <c r="FH2742"/>
      <c r="FI2742"/>
      <c r="FJ2742"/>
      <c r="FK2742"/>
      <c r="FL2742"/>
      <c r="FM2742"/>
      <c r="FN2742"/>
      <c r="FO2742"/>
      <c r="FP2742"/>
      <c r="FQ2742"/>
      <c r="FR2742"/>
      <c r="FS2742"/>
      <c r="FT2742"/>
      <c r="FU2742"/>
      <c r="FV2742"/>
      <c r="FW2742"/>
      <c r="FX2742"/>
      <c r="FY2742"/>
      <c r="FZ2742"/>
      <c r="GA2742"/>
      <c r="GB2742"/>
      <c r="GC2742"/>
      <c r="GD2742"/>
      <c r="GE2742"/>
      <c r="GF2742"/>
      <c r="GG2742"/>
      <c r="GH2742"/>
      <c r="GI2742"/>
      <c r="GJ2742"/>
      <c r="GK2742"/>
      <c r="GL2742"/>
      <c r="GM2742"/>
      <c r="GN2742"/>
      <c r="GO2742"/>
    </row>
    <row r="2743" spans="107:197">
      <c r="DC2743"/>
      <c r="FH2743"/>
      <c r="FI2743"/>
      <c r="FJ2743"/>
      <c r="FK2743"/>
      <c r="FL2743"/>
      <c r="FM2743"/>
      <c r="FN2743"/>
      <c r="FO2743"/>
      <c r="FP2743"/>
      <c r="FQ2743"/>
      <c r="FR2743"/>
      <c r="FS2743"/>
      <c r="FT2743"/>
      <c r="FU2743"/>
      <c r="FV2743"/>
      <c r="FW2743"/>
      <c r="FX2743"/>
      <c r="FY2743"/>
      <c r="FZ2743"/>
      <c r="GA2743"/>
      <c r="GB2743"/>
      <c r="GC2743"/>
      <c r="GD2743"/>
      <c r="GE2743"/>
      <c r="GF2743"/>
      <c r="GG2743"/>
      <c r="GH2743"/>
      <c r="GI2743"/>
      <c r="GJ2743"/>
      <c r="GK2743"/>
      <c r="GL2743"/>
      <c r="GM2743"/>
      <c r="GN2743"/>
      <c r="GO2743"/>
    </row>
    <row r="2744" spans="107:197">
      <c r="DC2744"/>
      <c r="FH2744"/>
      <c r="FI2744"/>
      <c r="FJ2744"/>
      <c r="FK2744"/>
      <c r="FL2744"/>
      <c r="FM2744"/>
      <c r="FN2744"/>
      <c r="FO2744"/>
      <c r="FP2744"/>
      <c r="FQ2744"/>
      <c r="FR2744"/>
      <c r="FS2744"/>
      <c r="FT2744"/>
      <c r="FU2744"/>
      <c r="FV2744"/>
      <c r="FW2744"/>
      <c r="FX2744"/>
      <c r="FY2744"/>
      <c r="FZ2744"/>
      <c r="GA2744"/>
      <c r="GB2744"/>
      <c r="GC2744"/>
      <c r="GD2744"/>
      <c r="GE2744"/>
      <c r="GF2744"/>
      <c r="GG2744"/>
      <c r="GH2744"/>
      <c r="GI2744"/>
      <c r="GJ2744"/>
      <c r="GK2744"/>
      <c r="GL2744"/>
      <c r="GM2744"/>
      <c r="GN2744"/>
      <c r="GO2744"/>
    </row>
    <row r="2745" spans="107:197">
      <c r="DC2745"/>
      <c r="FH2745"/>
      <c r="FI2745"/>
      <c r="FJ2745"/>
      <c r="FK2745"/>
      <c r="FL2745"/>
      <c r="FM2745"/>
      <c r="FN2745"/>
      <c r="FO2745"/>
      <c r="FP2745"/>
      <c r="FQ2745"/>
      <c r="FR2745"/>
      <c r="FS2745"/>
      <c r="FT2745"/>
      <c r="FU2745"/>
      <c r="FV2745"/>
      <c r="FW2745"/>
      <c r="FX2745"/>
      <c r="FY2745"/>
      <c r="FZ2745"/>
      <c r="GA2745"/>
      <c r="GB2745"/>
      <c r="GC2745"/>
      <c r="GD2745"/>
      <c r="GE2745"/>
      <c r="GF2745"/>
      <c r="GG2745"/>
      <c r="GH2745"/>
      <c r="GI2745"/>
      <c r="GJ2745"/>
      <c r="GK2745"/>
      <c r="GL2745"/>
      <c r="GM2745"/>
      <c r="GN2745"/>
      <c r="GO2745"/>
    </row>
    <row r="2746" spans="107:197">
      <c r="DC2746"/>
      <c r="FH2746"/>
      <c r="FI2746"/>
      <c r="FJ2746"/>
      <c r="FK2746"/>
      <c r="FL2746"/>
      <c r="FM2746"/>
      <c r="FN2746"/>
      <c r="FO2746"/>
      <c r="FP2746"/>
      <c r="FQ2746"/>
      <c r="FR2746"/>
      <c r="FS2746"/>
      <c r="FT2746"/>
      <c r="FU2746"/>
      <c r="FV2746"/>
      <c r="FW2746"/>
      <c r="FX2746"/>
      <c r="FY2746"/>
      <c r="FZ2746"/>
      <c r="GA2746"/>
      <c r="GB2746"/>
      <c r="GC2746"/>
      <c r="GD2746"/>
      <c r="GE2746"/>
      <c r="GF2746"/>
      <c r="GG2746"/>
      <c r="GH2746"/>
      <c r="GI2746"/>
      <c r="GJ2746"/>
      <c r="GK2746"/>
      <c r="GL2746"/>
      <c r="GM2746"/>
      <c r="GN2746"/>
      <c r="GO2746"/>
    </row>
    <row r="2747" spans="107:197">
      <c r="DC2747"/>
      <c r="FH2747"/>
      <c r="FI2747"/>
      <c r="FJ2747"/>
      <c r="FK2747"/>
      <c r="FL2747"/>
      <c r="FM2747"/>
      <c r="FN2747"/>
      <c r="FO2747"/>
      <c r="FP2747"/>
      <c r="FQ2747"/>
      <c r="FR2747"/>
      <c r="FS2747"/>
      <c r="FT2747"/>
      <c r="FU2747"/>
      <c r="FV2747"/>
      <c r="FW2747"/>
      <c r="FX2747"/>
      <c r="FY2747"/>
      <c r="FZ2747"/>
      <c r="GA2747"/>
      <c r="GB2747"/>
      <c r="GC2747"/>
      <c r="GD2747"/>
      <c r="GE2747"/>
      <c r="GF2747"/>
      <c r="GG2747"/>
      <c r="GH2747"/>
      <c r="GI2747"/>
      <c r="GJ2747"/>
      <c r="GK2747"/>
      <c r="GL2747"/>
      <c r="GM2747"/>
      <c r="GN2747"/>
      <c r="GO2747"/>
    </row>
    <row r="2748" spans="107:197">
      <c r="DC2748"/>
      <c r="FH2748"/>
      <c r="FI2748"/>
      <c r="FJ2748"/>
      <c r="FK2748"/>
      <c r="FL2748"/>
      <c r="FM2748"/>
      <c r="FN2748"/>
      <c r="FO2748"/>
      <c r="FP2748"/>
      <c r="FQ2748"/>
      <c r="FR2748"/>
      <c r="FS2748"/>
      <c r="FT2748"/>
      <c r="FU2748"/>
      <c r="FV2748"/>
      <c r="FW2748"/>
      <c r="FX2748"/>
      <c r="FY2748"/>
      <c r="FZ2748"/>
      <c r="GA2748"/>
      <c r="GB2748"/>
      <c r="GC2748"/>
      <c r="GD2748"/>
      <c r="GE2748"/>
      <c r="GF2748"/>
      <c r="GG2748"/>
      <c r="GH2748"/>
      <c r="GI2748"/>
      <c r="GJ2748"/>
      <c r="GK2748"/>
      <c r="GL2748"/>
      <c r="GM2748"/>
      <c r="GN2748"/>
      <c r="GO2748"/>
    </row>
    <row r="2749" spans="107:197">
      <c r="DC2749"/>
      <c r="FH2749"/>
      <c r="FI2749"/>
      <c r="FJ2749"/>
      <c r="FK2749"/>
      <c r="FL2749"/>
      <c r="FM2749"/>
      <c r="FN2749"/>
      <c r="FO2749"/>
      <c r="FP2749"/>
      <c r="FQ2749"/>
      <c r="FR2749"/>
      <c r="FS2749"/>
      <c r="FT2749"/>
      <c r="FU2749"/>
      <c r="FV2749"/>
      <c r="FW2749"/>
      <c r="FX2749"/>
      <c r="FY2749"/>
      <c r="FZ2749"/>
      <c r="GA2749"/>
      <c r="GB2749"/>
      <c r="GC2749"/>
      <c r="GD2749"/>
      <c r="GE2749"/>
      <c r="GF2749"/>
      <c r="GG2749"/>
      <c r="GH2749"/>
      <c r="GI2749"/>
      <c r="GJ2749"/>
      <c r="GK2749"/>
      <c r="GL2749"/>
      <c r="GM2749"/>
      <c r="GN2749"/>
      <c r="GO2749"/>
    </row>
    <row r="2750" spans="107:197">
      <c r="DC2750"/>
      <c r="FH2750"/>
      <c r="FI2750"/>
      <c r="FJ2750"/>
      <c r="FK2750"/>
      <c r="FL2750"/>
      <c r="FM2750"/>
      <c r="FN2750"/>
      <c r="FO2750"/>
      <c r="FP2750"/>
      <c r="FQ2750"/>
      <c r="FR2750"/>
      <c r="FS2750"/>
      <c r="FT2750"/>
      <c r="FU2750"/>
      <c r="FV2750"/>
      <c r="FW2750"/>
      <c r="FX2750"/>
      <c r="FY2750"/>
      <c r="FZ2750"/>
      <c r="GA2750"/>
      <c r="GB2750"/>
      <c r="GC2750"/>
      <c r="GD2750"/>
      <c r="GE2750"/>
      <c r="GF2750"/>
      <c r="GG2750"/>
      <c r="GH2750"/>
      <c r="GI2750"/>
      <c r="GJ2750"/>
      <c r="GK2750"/>
      <c r="GL2750"/>
      <c r="GM2750"/>
      <c r="GN2750"/>
      <c r="GO2750"/>
    </row>
    <row r="2751" spans="107:197">
      <c r="DC2751"/>
      <c r="FH2751"/>
      <c r="FI2751"/>
      <c r="FJ2751"/>
      <c r="FK2751"/>
      <c r="FL2751"/>
      <c r="FM2751"/>
      <c r="FN2751"/>
      <c r="FO2751"/>
      <c r="FP2751"/>
      <c r="FQ2751"/>
      <c r="FR2751"/>
      <c r="FS2751"/>
      <c r="FT2751"/>
      <c r="FU2751"/>
      <c r="FV2751"/>
      <c r="FW2751"/>
      <c r="FX2751"/>
      <c r="FY2751"/>
      <c r="FZ2751"/>
      <c r="GA2751"/>
      <c r="GB2751"/>
      <c r="GC2751"/>
      <c r="GD2751"/>
      <c r="GE2751"/>
      <c r="GF2751"/>
      <c r="GG2751"/>
      <c r="GH2751"/>
      <c r="GI2751"/>
      <c r="GJ2751"/>
      <c r="GK2751"/>
      <c r="GL2751"/>
      <c r="GM2751"/>
      <c r="GN2751"/>
      <c r="GO2751"/>
    </row>
    <row r="2752" spans="107:197">
      <c r="DC2752"/>
      <c r="FH2752"/>
      <c r="FI2752"/>
      <c r="FJ2752"/>
      <c r="FK2752"/>
      <c r="FL2752"/>
      <c r="FM2752"/>
      <c r="FN2752"/>
      <c r="FO2752"/>
      <c r="FP2752"/>
      <c r="FQ2752"/>
      <c r="FR2752"/>
      <c r="FS2752"/>
      <c r="FT2752"/>
      <c r="FU2752"/>
      <c r="FV2752"/>
      <c r="FW2752"/>
      <c r="FX2752"/>
      <c r="FY2752"/>
      <c r="FZ2752"/>
      <c r="GA2752"/>
      <c r="GB2752"/>
      <c r="GC2752"/>
      <c r="GD2752"/>
      <c r="GE2752"/>
      <c r="GF2752"/>
      <c r="GG2752"/>
      <c r="GH2752"/>
      <c r="GI2752"/>
      <c r="GJ2752"/>
      <c r="GK2752"/>
      <c r="GL2752"/>
      <c r="GM2752"/>
      <c r="GN2752"/>
      <c r="GO2752"/>
    </row>
    <row r="2753" spans="107:197">
      <c r="DC2753"/>
      <c r="FH2753"/>
      <c r="FI2753"/>
      <c r="FJ2753"/>
      <c r="FK2753"/>
      <c r="FL2753"/>
      <c r="FM2753"/>
      <c r="FN2753"/>
      <c r="FO2753"/>
      <c r="FP2753"/>
      <c r="FQ2753"/>
      <c r="FR2753"/>
      <c r="FS2753"/>
      <c r="FT2753"/>
      <c r="FU2753"/>
      <c r="FV2753"/>
      <c r="FW2753"/>
      <c r="FX2753"/>
      <c r="FY2753"/>
      <c r="FZ2753"/>
      <c r="GA2753"/>
      <c r="GB2753"/>
      <c r="GC2753"/>
      <c r="GD2753"/>
      <c r="GE2753"/>
      <c r="GF2753"/>
      <c r="GG2753"/>
      <c r="GH2753"/>
      <c r="GI2753"/>
      <c r="GJ2753"/>
      <c r="GK2753"/>
      <c r="GL2753"/>
      <c r="GM2753"/>
      <c r="GN2753"/>
      <c r="GO2753"/>
    </row>
    <row r="2754" spans="107:197">
      <c r="DC2754"/>
      <c r="FH2754"/>
      <c r="FI2754"/>
      <c r="FJ2754"/>
      <c r="FK2754"/>
      <c r="FL2754"/>
      <c r="FM2754"/>
      <c r="FN2754"/>
      <c r="FO2754"/>
      <c r="FP2754"/>
      <c r="FQ2754"/>
      <c r="FR2754"/>
      <c r="FS2754"/>
      <c r="FT2754"/>
      <c r="FU2754"/>
      <c r="FV2754"/>
      <c r="FW2754"/>
      <c r="FX2754"/>
      <c r="FY2754"/>
      <c r="FZ2754"/>
      <c r="GA2754"/>
      <c r="GB2754"/>
      <c r="GC2754"/>
      <c r="GD2754"/>
      <c r="GE2754"/>
      <c r="GF2754"/>
      <c r="GG2754"/>
      <c r="GH2754"/>
      <c r="GI2754"/>
      <c r="GJ2754"/>
      <c r="GK2754"/>
      <c r="GL2754"/>
      <c r="GM2754"/>
      <c r="GN2754"/>
      <c r="GO2754"/>
    </row>
    <row r="2755" spans="107:197">
      <c r="DC2755"/>
      <c r="FH2755"/>
      <c r="FI2755"/>
      <c r="FJ2755"/>
      <c r="FK2755"/>
      <c r="FL2755"/>
      <c r="FM2755"/>
      <c r="FN2755"/>
      <c r="FO2755"/>
      <c r="FP2755"/>
      <c r="FQ2755"/>
      <c r="FR2755"/>
      <c r="FS2755"/>
      <c r="FT2755"/>
      <c r="FU2755"/>
      <c r="FV2755"/>
      <c r="FW2755"/>
      <c r="FX2755"/>
      <c r="FY2755"/>
      <c r="FZ2755"/>
      <c r="GA2755"/>
      <c r="GB2755"/>
      <c r="GC2755"/>
      <c r="GD2755"/>
      <c r="GE2755"/>
      <c r="GF2755"/>
      <c r="GG2755"/>
      <c r="GH2755"/>
      <c r="GI2755"/>
      <c r="GJ2755"/>
      <c r="GK2755"/>
      <c r="GL2755"/>
      <c r="GM2755"/>
      <c r="GN2755"/>
      <c r="GO2755"/>
    </row>
    <row r="2756" spans="107:197">
      <c r="DC2756"/>
      <c r="FH2756"/>
      <c r="FI2756"/>
      <c r="FJ2756"/>
      <c r="FK2756"/>
      <c r="FL2756"/>
      <c r="FM2756"/>
      <c r="FN2756"/>
      <c r="FO2756"/>
      <c r="FP2756"/>
      <c r="FQ2756"/>
      <c r="FR2756"/>
      <c r="FS2756"/>
      <c r="FT2756"/>
      <c r="FU2756"/>
      <c r="FV2756"/>
      <c r="FW2756"/>
      <c r="FX2756"/>
      <c r="FY2756"/>
      <c r="FZ2756"/>
      <c r="GA2756"/>
      <c r="GB2756"/>
      <c r="GC2756"/>
      <c r="GD2756"/>
      <c r="GE2756"/>
      <c r="GF2756"/>
      <c r="GG2756"/>
      <c r="GH2756"/>
      <c r="GI2756"/>
      <c r="GJ2756"/>
      <c r="GK2756"/>
      <c r="GL2756"/>
      <c r="GM2756"/>
      <c r="GN2756"/>
      <c r="GO2756"/>
    </row>
    <row r="2757" spans="107:197">
      <c r="DC2757"/>
      <c r="FH2757"/>
      <c r="FI2757"/>
      <c r="FJ2757"/>
      <c r="FK2757"/>
      <c r="FL2757"/>
      <c r="FM2757"/>
      <c r="FN2757"/>
      <c r="FO2757"/>
      <c r="FP2757"/>
      <c r="FQ2757"/>
      <c r="FR2757"/>
      <c r="FS2757"/>
      <c r="FT2757"/>
      <c r="FU2757"/>
      <c r="FV2757"/>
      <c r="FW2757"/>
      <c r="FX2757"/>
      <c r="FY2757"/>
      <c r="FZ2757"/>
      <c r="GA2757"/>
      <c r="GB2757"/>
      <c r="GC2757"/>
      <c r="GD2757"/>
      <c r="GE2757"/>
      <c r="GF2757"/>
      <c r="GG2757"/>
      <c r="GH2757"/>
      <c r="GI2757"/>
      <c r="GJ2757"/>
      <c r="GK2757"/>
      <c r="GL2757"/>
      <c r="GM2757"/>
      <c r="GN2757"/>
      <c r="GO2757"/>
    </row>
    <row r="2758" spans="107:197">
      <c r="DC2758"/>
      <c r="FH2758"/>
      <c r="FI2758"/>
      <c r="FJ2758"/>
      <c r="FK2758"/>
      <c r="FL2758"/>
      <c r="FM2758"/>
      <c r="FN2758"/>
      <c r="FO2758"/>
      <c r="FP2758"/>
      <c r="FQ2758"/>
      <c r="FR2758"/>
      <c r="FS2758"/>
      <c r="FT2758"/>
      <c r="FU2758"/>
      <c r="FV2758"/>
      <c r="FW2758"/>
      <c r="FX2758"/>
      <c r="FY2758"/>
      <c r="FZ2758"/>
      <c r="GA2758"/>
      <c r="GB2758"/>
      <c r="GC2758"/>
      <c r="GD2758"/>
      <c r="GE2758"/>
      <c r="GF2758"/>
      <c r="GG2758"/>
      <c r="GH2758"/>
      <c r="GI2758"/>
      <c r="GJ2758"/>
      <c r="GK2758"/>
      <c r="GL2758"/>
      <c r="GM2758"/>
      <c r="GN2758"/>
      <c r="GO2758"/>
    </row>
    <row r="2759" spans="107:197">
      <c r="DC2759"/>
      <c r="FH2759"/>
      <c r="FI2759"/>
      <c r="FJ2759"/>
      <c r="FK2759"/>
      <c r="FL2759"/>
      <c r="FM2759"/>
      <c r="FN2759"/>
      <c r="FO2759"/>
      <c r="FP2759"/>
      <c r="FQ2759"/>
      <c r="FR2759"/>
      <c r="FS2759"/>
      <c r="FT2759"/>
      <c r="FU2759"/>
      <c r="FV2759"/>
      <c r="FW2759"/>
      <c r="FX2759"/>
      <c r="FY2759"/>
      <c r="FZ2759"/>
      <c r="GA2759"/>
      <c r="GB2759"/>
      <c r="GC2759"/>
      <c r="GD2759"/>
      <c r="GE2759"/>
      <c r="GF2759"/>
      <c r="GG2759"/>
      <c r="GH2759"/>
      <c r="GI2759"/>
      <c r="GJ2759"/>
      <c r="GK2759"/>
      <c r="GL2759"/>
      <c r="GM2759"/>
      <c r="GN2759"/>
      <c r="GO2759"/>
    </row>
    <row r="2760" spans="107:197">
      <c r="DC2760"/>
      <c r="FH2760"/>
      <c r="FI2760"/>
      <c r="FJ2760"/>
      <c r="FK2760"/>
      <c r="FL2760"/>
      <c r="FM2760"/>
      <c r="FN2760"/>
      <c r="FO2760"/>
      <c r="FP2760"/>
      <c r="FQ2760"/>
      <c r="FR2760"/>
      <c r="FS2760"/>
      <c r="FT2760"/>
      <c r="FU2760"/>
      <c r="FV2760"/>
      <c r="FW2760"/>
      <c r="FX2760"/>
      <c r="FY2760"/>
      <c r="FZ2760"/>
      <c r="GA2760"/>
      <c r="GB2760"/>
      <c r="GC2760"/>
      <c r="GD2760"/>
      <c r="GE2760"/>
      <c r="GF2760"/>
      <c r="GG2760"/>
      <c r="GH2760"/>
      <c r="GI2760"/>
      <c r="GJ2760"/>
      <c r="GK2760"/>
      <c r="GL2760"/>
      <c r="GM2760"/>
      <c r="GN2760"/>
      <c r="GO2760"/>
    </row>
    <row r="2761" spans="107:197">
      <c r="DC2761"/>
      <c r="FH2761"/>
      <c r="FI2761"/>
      <c r="FJ2761"/>
      <c r="FK2761"/>
      <c r="FL2761"/>
      <c r="FM2761"/>
      <c r="FN2761"/>
      <c r="FO2761"/>
      <c r="FP2761"/>
      <c r="FQ2761"/>
      <c r="FR2761"/>
      <c r="FS2761"/>
      <c r="FT2761"/>
      <c r="FU2761"/>
      <c r="FV2761"/>
      <c r="FW2761"/>
      <c r="FX2761"/>
      <c r="FY2761"/>
      <c r="FZ2761"/>
      <c r="GA2761"/>
      <c r="GB2761"/>
      <c r="GC2761"/>
      <c r="GD2761"/>
      <c r="GE2761"/>
      <c r="GF2761"/>
      <c r="GG2761"/>
      <c r="GH2761"/>
      <c r="GI2761"/>
      <c r="GJ2761"/>
      <c r="GK2761"/>
      <c r="GL2761"/>
      <c r="GM2761"/>
      <c r="GN2761"/>
      <c r="GO2761"/>
    </row>
    <row r="2762" spans="107:197">
      <c r="DC2762"/>
      <c r="FH2762"/>
      <c r="FI2762"/>
      <c r="FJ2762"/>
      <c r="FK2762"/>
      <c r="FL2762"/>
      <c r="FM2762"/>
      <c r="FN2762"/>
      <c r="FO2762"/>
      <c r="FP2762"/>
      <c r="FQ2762"/>
      <c r="FR2762"/>
      <c r="FS2762"/>
      <c r="FT2762"/>
      <c r="FU2762"/>
      <c r="FV2762"/>
      <c r="FW2762"/>
      <c r="FX2762"/>
      <c r="FY2762"/>
      <c r="FZ2762"/>
      <c r="GA2762"/>
      <c r="GB2762"/>
      <c r="GC2762"/>
      <c r="GD2762"/>
      <c r="GE2762"/>
      <c r="GF2762"/>
      <c r="GG2762"/>
      <c r="GH2762"/>
      <c r="GI2762"/>
      <c r="GJ2762"/>
      <c r="GK2762"/>
      <c r="GL2762"/>
      <c r="GM2762"/>
      <c r="GN2762"/>
      <c r="GO2762"/>
    </row>
    <row r="2763" spans="107:197">
      <c r="DC2763"/>
      <c r="FH2763"/>
      <c r="FI2763"/>
      <c r="FJ2763"/>
      <c r="FK2763"/>
      <c r="FL2763"/>
      <c r="FM2763"/>
      <c r="FN2763"/>
      <c r="FO2763"/>
      <c r="FP2763"/>
      <c r="FQ2763"/>
      <c r="FR2763"/>
      <c r="FS2763"/>
      <c r="FT2763"/>
      <c r="FU2763"/>
      <c r="FV2763"/>
      <c r="FW2763"/>
      <c r="FX2763"/>
      <c r="FY2763"/>
      <c r="FZ2763"/>
      <c r="GA2763"/>
      <c r="GB2763"/>
      <c r="GC2763"/>
      <c r="GD2763"/>
      <c r="GE2763"/>
      <c r="GF2763"/>
      <c r="GG2763"/>
      <c r="GH2763"/>
      <c r="GI2763"/>
      <c r="GJ2763"/>
      <c r="GK2763"/>
      <c r="GL2763"/>
      <c r="GM2763"/>
      <c r="GN2763"/>
      <c r="GO2763"/>
    </row>
    <row r="2764" spans="107:197">
      <c r="DC2764"/>
      <c r="FH2764"/>
      <c r="FI2764"/>
      <c r="FJ2764"/>
      <c r="FK2764"/>
      <c r="FL2764"/>
      <c r="FM2764"/>
      <c r="FN2764"/>
      <c r="FO2764"/>
      <c r="FP2764"/>
      <c r="FQ2764"/>
      <c r="FR2764"/>
      <c r="FS2764"/>
      <c r="FT2764"/>
      <c r="FU2764"/>
      <c r="FV2764"/>
      <c r="FW2764"/>
      <c r="FX2764"/>
      <c r="FY2764"/>
      <c r="FZ2764"/>
      <c r="GA2764"/>
      <c r="GB2764"/>
      <c r="GC2764"/>
      <c r="GD2764"/>
      <c r="GE2764"/>
      <c r="GF2764"/>
      <c r="GG2764"/>
      <c r="GH2764"/>
      <c r="GI2764"/>
      <c r="GJ2764"/>
      <c r="GK2764"/>
      <c r="GL2764"/>
      <c r="GM2764"/>
      <c r="GN2764"/>
      <c r="GO2764"/>
    </row>
    <row r="2765" spans="107:197">
      <c r="DC2765"/>
      <c r="FH2765"/>
      <c r="FI2765"/>
      <c r="FJ2765"/>
      <c r="FK2765"/>
      <c r="FL2765"/>
      <c r="FM2765"/>
      <c r="FN2765"/>
      <c r="FO2765"/>
      <c r="FP2765"/>
      <c r="FQ2765"/>
      <c r="FR2765"/>
      <c r="FS2765"/>
      <c r="FT2765"/>
      <c r="FU2765"/>
      <c r="FV2765"/>
      <c r="FW2765"/>
      <c r="FX2765"/>
      <c r="FY2765"/>
      <c r="FZ2765"/>
      <c r="GA2765"/>
      <c r="GB2765"/>
      <c r="GC2765"/>
      <c r="GD2765"/>
      <c r="GE2765"/>
      <c r="GF2765"/>
      <c r="GG2765"/>
      <c r="GH2765"/>
      <c r="GI2765"/>
      <c r="GJ2765"/>
      <c r="GK2765"/>
      <c r="GL2765"/>
      <c r="GM2765"/>
      <c r="GN2765"/>
      <c r="GO2765"/>
    </row>
    <row r="2766" spans="107:197">
      <c r="DC2766"/>
      <c r="FH2766"/>
      <c r="FI2766"/>
      <c r="FJ2766"/>
      <c r="FK2766"/>
      <c r="FL2766"/>
      <c r="FM2766"/>
      <c r="FN2766"/>
      <c r="FO2766"/>
      <c r="FP2766"/>
      <c r="FQ2766"/>
      <c r="FR2766"/>
      <c r="FS2766"/>
      <c r="FT2766"/>
      <c r="FU2766"/>
      <c r="FV2766"/>
      <c r="FW2766"/>
      <c r="FX2766"/>
      <c r="FY2766"/>
      <c r="FZ2766"/>
      <c r="GA2766"/>
      <c r="GB2766"/>
      <c r="GC2766"/>
      <c r="GD2766"/>
      <c r="GE2766"/>
      <c r="GF2766"/>
      <c r="GG2766"/>
      <c r="GH2766"/>
      <c r="GI2766"/>
      <c r="GJ2766"/>
      <c r="GK2766"/>
      <c r="GL2766"/>
      <c r="GM2766"/>
      <c r="GN2766"/>
      <c r="GO2766"/>
    </row>
    <row r="2767" spans="107:197">
      <c r="DC2767"/>
      <c r="FH2767"/>
      <c r="FI2767"/>
      <c r="FJ2767"/>
      <c r="FK2767"/>
      <c r="FL2767"/>
      <c r="FM2767"/>
      <c r="FN2767"/>
      <c r="FO2767"/>
      <c r="FP2767"/>
      <c r="FQ2767"/>
      <c r="FR2767"/>
      <c r="FS2767"/>
      <c r="FT2767"/>
      <c r="FU2767"/>
      <c r="FV2767"/>
      <c r="FW2767"/>
      <c r="FX2767"/>
      <c r="FY2767"/>
      <c r="FZ2767"/>
      <c r="GA2767"/>
      <c r="GB2767"/>
      <c r="GC2767"/>
      <c r="GD2767"/>
      <c r="GE2767"/>
      <c r="GF2767"/>
      <c r="GG2767"/>
      <c r="GH2767"/>
      <c r="GI2767"/>
      <c r="GJ2767"/>
      <c r="GK2767"/>
      <c r="GL2767"/>
      <c r="GM2767"/>
      <c r="GN2767"/>
      <c r="GO2767"/>
    </row>
    <row r="2768" spans="107:197">
      <c r="DC2768"/>
      <c r="FH2768"/>
      <c r="FI2768"/>
      <c r="FJ2768"/>
      <c r="FK2768"/>
      <c r="FL2768"/>
      <c r="FM2768"/>
      <c r="FN2768"/>
      <c r="FO2768"/>
      <c r="FP2768"/>
      <c r="FQ2768"/>
      <c r="FR2768"/>
      <c r="FS2768"/>
      <c r="FT2768"/>
      <c r="FU2768"/>
      <c r="FV2768"/>
      <c r="FW2768"/>
      <c r="FX2768"/>
      <c r="FY2768"/>
      <c r="FZ2768"/>
      <c r="GA2768"/>
      <c r="GB2768"/>
      <c r="GC2768"/>
      <c r="GD2768"/>
      <c r="GE2768"/>
      <c r="GF2768"/>
      <c r="GG2768"/>
      <c r="GH2768"/>
      <c r="GI2768"/>
      <c r="GJ2768"/>
      <c r="GK2768"/>
      <c r="GL2768"/>
      <c r="GM2768"/>
      <c r="GN2768"/>
      <c r="GO2768"/>
    </row>
    <row r="2769" spans="107:197">
      <c r="DC2769"/>
      <c r="FH2769"/>
      <c r="FI2769"/>
      <c r="FJ2769"/>
      <c r="FK2769"/>
      <c r="FL2769"/>
      <c r="FM2769"/>
      <c r="FN2769"/>
      <c r="FO2769"/>
      <c r="FP2769"/>
      <c r="FQ2769"/>
      <c r="FR2769"/>
      <c r="FS2769"/>
      <c r="FT2769"/>
      <c r="FU2769"/>
      <c r="FV2769"/>
      <c r="FW2769"/>
      <c r="FX2769"/>
      <c r="FY2769"/>
      <c r="FZ2769"/>
      <c r="GA2769"/>
      <c r="GB2769"/>
      <c r="GC2769"/>
      <c r="GD2769"/>
      <c r="GE2769"/>
      <c r="GF2769"/>
      <c r="GG2769"/>
      <c r="GH2769"/>
      <c r="GI2769"/>
      <c r="GJ2769"/>
      <c r="GK2769"/>
      <c r="GL2769"/>
      <c r="GM2769"/>
      <c r="GN2769"/>
      <c r="GO2769"/>
    </row>
    <row r="2770" spans="107:197">
      <c r="DC2770"/>
      <c r="FH2770"/>
      <c r="FI2770"/>
      <c r="FJ2770"/>
      <c r="FK2770"/>
      <c r="FL2770"/>
      <c r="FM2770"/>
      <c r="FN2770"/>
      <c r="FO2770"/>
      <c r="FP2770"/>
      <c r="FQ2770"/>
      <c r="FR2770"/>
      <c r="FS2770"/>
      <c r="FT2770"/>
      <c r="FU2770"/>
      <c r="FV2770"/>
      <c r="FW2770"/>
      <c r="FX2770"/>
      <c r="FY2770"/>
      <c r="FZ2770"/>
      <c r="GA2770"/>
      <c r="GB2770"/>
      <c r="GC2770"/>
      <c r="GD2770"/>
      <c r="GE2770"/>
      <c r="GF2770"/>
      <c r="GG2770"/>
      <c r="GH2770"/>
      <c r="GI2770"/>
      <c r="GJ2770"/>
      <c r="GK2770"/>
      <c r="GL2770"/>
      <c r="GM2770"/>
      <c r="GN2770"/>
      <c r="GO2770"/>
    </row>
    <row r="2771" spans="107:197">
      <c r="DC2771"/>
      <c r="FH2771"/>
      <c r="FI2771"/>
      <c r="FJ2771"/>
      <c r="FK2771"/>
      <c r="FL2771"/>
      <c r="FM2771"/>
      <c r="FN2771"/>
      <c r="FO2771"/>
      <c r="FP2771"/>
      <c r="FQ2771"/>
      <c r="FR2771"/>
      <c r="FS2771"/>
      <c r="FT2771"/>
      <c r="FU2771"/>
      <c r="FV2771"/>
      <c r="FW2771"/>
      <c r="FX2771"/>
      <c r="FY2771"/>
      <c r="FZ2771"/>
      <c r="GA2771"/>
      <c r="GB2771"/>
      <c r="GC2771"/>
      <c r="GD2771"/>
      <c r="GE2771"/>
      <c r="GF2771"/>
      <c r="GG2771"/>
      <c r="GH2771"/>
      <c r="GI2771"/>
      <c r="GJ2771"/>
      <c r="GK2771"/>
      <c r="GL2771"/>
      <c r="GM2771"/>
      <c r="GN2771"/>
      <c r="GO2771"/>
    </row>
    <row r="2772" spans="107:197">
      <c r="DC2772"/>
      <c r="FH2772"/>
      <c r="FI2772"/>
      <c r="FJ2772"/>
      <c r="FK2772"/>
      <c r="FL2772"/>
      <c r="FM2772"/>
      <c r="FN2772"/>
      <c r="FO2772"/>
      <c r="FP2772"/>
      <c r="FQ2772"/>
      <c r="FR2772"/>
      <c r="FS2772"/>
      <c r="FT2772"/>
      <c r="FU2772"/>
      <c r="FV2772"/>
      <c r="FW2772"/>
      <c r="FX2772"/>
      <c r="FY2772"/>
      <c r="FZ2772"/>
      <c r="GA2772"/>
      <c r="GB2772"/>
      <c r="GC2772"/>
      <c r="GD2772"/>
      <c r="GE2772"/>
      <c r="GF2772"/>
      <c r="GG2772"/>
      <c r="GH2772"/>
      <c r="GI2772"/>
      <c r="GJ2772"/>
      <c r="GK2772"/>
      <c r="GL2772"/>
      <c r="GM2772"/>
      <c r="GN2772"/>
      <c r="GO2772"/>
    </row>
    <row r="2773" spans="107:197">
      <c r="DC2773"/>
      <c r="FH2773"/>
      <c r="FI2773"/>
      <c r="FJ2773"/>
      <c r="FK2773"/>
      <c r="FL2773"/>
      <c r="FM2773"/>
      <c r="FN2773"/>
      <c r="FO2773"/>
      <c r="FP2773"/>
      <c r="FQ2773"/>
      <c r="FR2773"/>
      <c r="FS2773"/>
      <c r="FT2773"/>
      <c r="FU2773"/>
      <c r="FV2773"/>
      <c r="FW2773"/>
      <c r="FX2773"/>
      <c r="FY2773"/>
      <c r="FZ2773"/>
      <c r="GA2773"/>
      <c r="GB2773"/>
      <c r="GC2773"/>
      <c r="GD2773"/>
      <c r="GE2773"/>
      <c r="GF2773"/>
      <c r="GG2773"/>
      <c r="GH2773"/>
      <c r="GI2773"/>
      <c r="GJ2773"/>
      <c r="GK2773"/>
      <c r="GL2773"/>
      <c r="GM2773"/>
      <c r="GN2773"/>
      <c r="GO2773"/>
    </row>
    <row r="2774" spans="107:197">
      <c r="DC2774"/>
      <c r="FH2774"/>
      <c r="FI2774"/>
      <c r="FJ2774"/>
      <c r="FK2774"/>
      <c r="FL2774"/>
      <c r="FM2774"/>
      <c r="FN2774"/>
      <c r="FO2774"/>
      <c r="FP2774"/>
      <c r="FQ2774"/>
      <c r="FR2774"/>
      <c r="FS2774"/>
      <c r="FT2774"/>
      <c r="FU2774"/>
      <c r="FV2774"/>
      <c r="FW2774"/>
      <c r="FX2774"/>
      <c r="FY2774"/>
      <c r="FZ2774"/>
      <c r="GA2774"/>
      <c r="GB2774"/>
      <c r="GC2774"/>
      <c r="GD2774"/>
      <c r="GE2774"/>
      <c r="GF2774"/>
      <c r="GG2774"/>
      <c r="GH2774"/>
      <c r="GI2774"/>
      <c r="GJ2774"/>
      <c r="GK2774"/>
      <c r="GL2774"/>
      <c r="GM2774"/>
      <c r="GN2774"/>
      <c r="GO2774"/>
    </row>
    <row r="2775" spans="107:197">
      <c r="DC2775"/>
      <c r="FH2775"/>
      <c r="FI2775"/>
      <c r="FJ2775"/>
      <c r="FK2775"/>
      <c r="FL2775"/>
      <c r="FM2775"/>
      <c r="FN2775"/>
      <c r="FO2775"/>
      <c r="FP2775"/>
      <c r="FQ2775"/>
      <c r="FR2775"/>
      <c r="FS2775"/>
      <c r="FT2775"/>
      <c r="FU2775"/>
      <c r="FV2775"/>
      <c r="FW2775"/>
      <c r="FX2775"/>
      <c r="FY2775"/>
      <c r="FZ2775"/>
      <c r="GA2775"/>
      <c r="GB2775"/>
      <c r="GC2775"/>
      <c r="GD2775"/>
      <c r="GE2775"/>
      <c r="GF2775"/>
      <c r="GG2775"/>
      <c r="GH2775"/>
      <c r="GI2775"/>
      <c r="GJ2775"/>
      <c r="GK2775"/>
      <c r="GL2775"/>
      <c r="GM2775"/>
      <c r="GN2775"/>
      <c r="GO2775"/>
    </row>
    <row r="2776" spans="107:197">
      <c r="DC2776"/>
      <c r="FH2776"/>
      <c r="FI2776"/>
      <c r="FJ2776"/>
      <c r="FK2776"/>
      <c r="FL2776"/>
      <c r="FM2776"/>
      <c r="FN2776"/>
      <c r="FO2776"/>
      <c r="FP2776"/>
      <c r="FQ2776"/>
      <c r="FR2776"/>
      <c r="FS2776"/>
      <c r="FT2776"/>
      <c r="FU2776"/>
      <c r="FV2776"/>
      <c r="FW2776"/>
      <c r="FX2776"/>
      <c r="FY2776"/>
      <c r="FZ2776"/>
      <c r="GA2776"/>
      <c r="GB2776"/>
      <c r="GC2776"/>
      <c r="GD2776"/>
      <c r="GE2776"/>
      <c r="GF2776"/>
      <c r="GG2776"/>
      <c r="GH2776"/>
      <c r="GI2776"/>
      <c r="GJ2776"/>
      <c r="GK2776"/>
      <c r="GL2776"/>
      <c r="GM2776"/>
      <c r="GN2776"/>
      <c r="GO2776"/>
    </row>
    <row r="2777" spans="107:197">
      <c r="DC2777"/>
      <c r="FH2777"/>
      <c r="FI2777"/>
      <c r="FJ2777"/>
      <c r="FK2777"/>
      <c r="FL2777"/>
      <c r="FM2777"/>
      <c r="FN2777"/>
      <c r="FO2777"/>
      <c r="FP2777"/>
      <c r="FQ2777"/>
      <c r="FR2777"/>
      <c r="FS2777"/>
      <c r="FT2777"/>
      <c r="FU2777"/>
      <c r="FV2777"/>
      <c r="FW2777"/>
      <c r="FX2777"/>
      <c r="FY2777"/>
      <c r="FZ2777"/>
      <c r="GA2777"/>
      <c r="GB2777"/>
      <c r="GC2777"/>
      <c r="GD2777"/>
      <c r="GE2777"/>
      <c r="GF2777"/>
      <c r="GG2777"/>
      <c r="GH2777"/>
      <c r="GI2777"/>
      <c r="GJ2777"/>
      <c r="GK2777"/>
      <c r="GL2777"/>
      <c r="GM2777"/>
      <c r="GN2777"/>
      <c r="GO2777"/>
    </row>
    <row r="2778" spans="107:197">
      <c r="DC2778"/>
      <c r="FH2778"/>
      <c r="FI2778"/>
      <c r="FJ2778"/>
      <c r="FK2778"/>
      <c r="FL2778"/>
      <c r="FM2778"/>
      <c r="FN2778"/>
      <c r="FO2778"/>
      <c r="FP2778"/>
      <c r="FQ2778"/>
      <c r="FR2778"/>
      <c r="FS2778"/>
      <c r="FT2778"/>
      <c r="FU2778"/>
      <c r="FV2778"/>
      <c r="FW2778"/>
      <c r="FX2778"/>
      <c r="FY2778"/>
      <c r="FZ2778"/>
      <c r="GA2778"/>
      <c r="GB2778"/>
      <c r="GC2778"/>
      <c r="GD2778"/>
      <c r="GE2778"/>
      <c r="GF2778"/>
      <c r="GG2778"/>
      <c r="GH2778"/>
      <c r="GI2778"/>
      <c r="GJ2778"/>
      <c r="GK2778"/>
      <c r="GL2778"/>
      <c r="GM2778"/>
      <c r="GN2778"/>
      <c r="GO2778"/>
    </row>
    <row r="2779" spans="107:197">
      <c r="DC2779"/>
      <c r="FH2779"/>
      <c r="FI2779"/>
      <c r="FJ2779"/>
      <c r="FK2779"/>
      <c r="FL2779"/>
      <c r="FM2779"/>
      <c r="FN2779"/>
      <c r="FO2779"/>
      <c r="FP2779"/>
      <c r="FQ2779"/>
      <c r="FR2779"/>
      <c r="FS2779"/>
      <c r="FT2779"/>
      <c r="FU2779"/>
      <c r="FV2779"/>
      <c r="FW2779"/>
      <c r="FX2779"/>
      <c r="FY2779"/>
      <c r="FZ2779"/>
      <c r="GA2779"/>
      <c r="GB2779"/>
      <c r="GC2779"/>
      <c r="GD2779"/>
      <c r="GE2779"/>
      <c r="GF2779"/>
      <c r="GG2779"/>
      <c r="GH2779"/>
      <c r="GI2779"/>
      <c r="GJ2779"/>
      <c r="GK2779"/>
      <c r="GL2779"/>
      <c r="GM2779"/>
      <c r="GN2779"/>
      <c r="GO2779"/>
    </row>
    <row r="2780" spans="107:197">
      <c r="DC2780"/>
      <c r="FH2780"/>
      <c r="FI2780"/>
      <c r="FJ2780"/>
      <c r="FK2780"/>
      <c r="FL2780"/>
      <c r="FM2780"/>
      <c r="FN2780"/>
      <c r="FO2780"/>
      <c r="FP2780"/>
      <c r="FQ2780"/>
      <c r="FR2780"/>
      <c r="FS2780"/>
      <c r="FT2780"/>
      <c r="FU2780"/>
      <c r="FV2780"/>
      <c r="FW2780"/>
      <c r="FX2780"/>
      <c r="FY2780"/>
      <c r="FZ2780"/>
      <c r="GA2780"/>
      <c r="GB2780"/>
      <c r="GC2780"/>
      <c r="GD2780"/>
      <c r="GE2780"/>
      <c r="GF2780"/>
      <c r="GG2780"/>
      <c r="GH2780"/>
      <c r="GI2780"/>
      <c r="GJ2780"/>
      <c r="GK2780"/>
      <c r="GL2780"/>
      <c r="GM2780"/>
      <c r="GN2780"/>
      <c r="GO2780"/>
    </row>
    <row r="2781" spans="107:197">
      <c r="DC2781"/>
      <c r="FH2781"/>
      <c r="FI2781"/>
      <c r="FJ2781"/>
      <c r="FK2781"/>
      <c r="FL2781"/>
      <c r="FM2781"/>
      <c r="FN2781"/>
      <c r="FO2781"/>
      <c r="FP2781"/>
      <c r="FQ2781"/>
      <c r="FR2781"/>
      <c r="FS2781"/>
      <c r="FT2781"/>
      <c r="FU2781"/>
      <c r="FV2781"/>
      <c r="FW2781"/>
      <c r="FX2781"/>
      <c r="FY2781"/>
      <c r="FZ2781"/>
      <c r="GA2781"/>
      <c r="GB2781"/>
      <c r="GC2781"/>
      <c r="GD2781"/>
      <c r="GE2781"/>
      <c r="GF2781"/>
      <c r="GG2781"/>
      <c r="GH2781"/>
      <c r="GI2781"/>
      <c r="GJ2781"/>
      <c r="GK2781"/>
      <c r="GL2781"/>
      <c r="GM2781"/>
      <c r="GN2781"/>
      <c r="GO2781"/>
    </row>
    <row r="2782" spans="107:197">
      <c r="DC2782"/>
      <c r="FH2782"/>
      <c r="FI2782"/>
      <c r="FJ2782"/>
      <c r="FK2782"/>
      <c r="FL2782"/>
      <c r="FM2782"/>
      <c r="FN2782"/>
      <c r="FO2782"/>
      <c r="FP2782"/>
      <c r="FQ2782"/>
      <c r="FR2782"/>
      <c r="FS2782"/>
      <c r="FT2782"/>
      <c r="FU2782"/>
      <c r="FV2782"/>
      <c r="FW2782"/>
      <c r="FX2782"/>
      <c r="FY2782"/>
      <c r="FZ2782"/>
      <c r="GA2782"/>
      <c r="GB2782"/>
      <c r="GC2782"/>
      <c r="GD2782"/>
      <c r="GE2782"/>
      <c r="GF2782"/>
      <c r="GG2782"/>
      <c r="GH2782"/>
      <c r="GI2782"/>
      <c r="GJ2782"/>
      <c r="GK2782"/>
      <c r="GL2782"/>
      <c r="GM2782"/>
      <c r="GN2782"/>
      <c r="GO2782"/>
    </row>
    <row r="2783" spans="107:197">
      <c r="DC2783"/>
      <c r="FH2783"/>
      <c r="FI2783"/>
      <c r="FJ2783"/>
      <c r="FK2783"/>
      <c r="FL2783"/>
      <c r="FM2783"/>
      <c r="FN2783"/>
      <c r="FO2783"/>
      <c r="FP2783"/>
      <c r="FQ2783"/>
      <c r="FR2783"/>
      <c r="FS2783"/>
      <c r="FT2783"/>
      <c r="FU2783"/>
      <c r="FV2783"/>
      <c r="FW2783"/>
      <c r="FX2783"/>
      <c r="FY2783"/>
      <c r="FZ2783"/>
      <c r="GA2783"/>
      <c r="GB2783"/>
      <c r="GC2783"/>
      <c r="GD2783"/>
      <c r="GE2783"/>
      <c r="GF2783"/>
      <c r="GG2783"/>
      <c r="GH2783"/>
      <c r="GI2783"/>
      <c r="GJ2783"/>
      <c r="GK2783"/>
      <c r="GL2783"/>
      <c r="GM2783"/>
      <c r="GN2783"/>
      <c r="GO2783"/>
    </row>
    <row r="2784" spans="107:197">
      <c r="DC2784"/>
      <c r="FH2784"/>
      <c r="FI2784"/>
      <c r="FJ2784"/>
      <c r="FK2784"/>
      <c r="FL2784"/>
      <c r="FM2784"/>
      <c r="FN2784"/>
      <c r="FO2784"/>
      <c r="FP2784"/>
      <c r="FQ2784"/>
      <c r="FR2784"/>
      <c r="FS2784"/>
      <c r="FT2784"/>
      <c r="FU2784"/>
      <c r="FV2784"/>
      <c r="FW2784"/>
      <c r="FX2784"/>
      <c r="FY2784"/>
      <c r="FZ2784"/>
      <c r="GA2784"/>
      <c r="GB2784"/>
      <c r="GC2784"/>
      <c r="GD2784"/>
      <c r="GE2784"/>
      <c r="GF2784"/>
      <c r="GG2784"/>
      <c r="GH2784"/>
      <c r="GI2784"/>
      <c r="GJ2784"/>
      <c r="GK2784"/>
      <c r="GL2784"/>
      <c r="GM2784"/>
      <c r="GN2784"/>
      <c r="GO2784"/>
    </row>
    <row r="2785" spans="107:197">
      <c r="DC2785"/>
      <c r="FH2785"/>
      <c r="FI2785"/>
      <c r="FJ2785"/>
      <c r="FK2785"/>
      <c r="FL2785"/>
      <c r="FM2785"/>
      <c r="FN2785"/>
      <c r="FO2785"/>
      <c r="FP2785"/>
      <c r="FQ2785"/>
      <c r="FR2785"/>
      <c r="FS2785"/>
      <c r="FT2785"/>
      <c r="FU2785"/>
      <c r="FV2785"/>
      <c r="FW2785"/>
      <c r="FX2785"/>
      <c r="FY2785"/>
      <c r="FZ2785"/>
      <c r="GA2785"/>
      <c r="GB2785"/>
      <c r="GC2785"/>
      <c r="GD2785"/>
      <c r="GE2785"/>
      <c r="GF2785"/>
      <c r="GG2785"/>
      <c r="GH2785"/>
      <c r="GI2785"/>
      <c r="GJ2785"/>
      <c r="GK2785"/>
      <c r="GL2785"/>
      <c r="GM2785"/>
      <c r="GN2785"/>
      <c r="GO2785"/>
    </row>
    <row r="2786" spans="107:197">
      <c r="DC2786"/>
      <c r="FH2786"/>
      <c r="FI2786"/>
      <c r="FJ2786"/>
      <c r="FK2786"/>
      <c r="FL2786"/>
      <c r="FM2786"/>
      <c r="FN2786"/>
      <c r="FO2786"/>
      <c r="FP2786"/>
      <c r="FQ2786"/>
      <c r="FR2786"/>
      <c r="FS2786"/>
      <c r="FT2786"/>
      <c r="FU2786"/>
      <c r="FV2786"/>
      <c r="FW2786"/>
      <c r="FX2786"/>
      <c r="FY2786"/>
      <c r="FZ2786"/>
      <c r="GA2786"/>
      <c r="GB2786"/>
      <c r="GC2786"/>
      <c r="GD2786"/>
      <c r="GE2786"/>
      <c r="GF2786"/>
      <c r="GG2786"/>
      <c r="GH2786"/>
      <c r="GI2786"/>
      <c r="GJ2786"/>
      <c r="GK2786"/>
      <c r="GL2786"/>
      <c r="GM2786"/>
      <c r="GN2786"/>
      <c r="GO2786"/>
    </row>
    <row r="2787" spans="107:197">
      <c r="DC2787"/>
      <c r="FH2787"/>
      <c r="FI2787"/>
      <c r="FJ2787"/>
      <c r="FK2787"/>
      <c r="FL2787"/>
      <c r="FM2787"/>
      <c r="FN2787"/>
      <c r="FO2787"/>
      <c r="FP2787"/>
      <c r="FQ2787"/>
      <c r="FR2787"/>
      <c r="FS2787"/>
      <c r="FT2787"/>
      <c r="FU2787"/>
      <c r="FV2787"/>
      <c r="FW2787"/>
      <c r="FX2787"/>
      <c r="FY2787"/>
      <c r="FZ2787"/>
      <c r="GA2787"/>
      <c r="GB2787"/>
      <c r="GC2787"/>
      <c r="GD2787"/>
      <c r="GE2787"/>
      <c r="GF2787"/>
      <c r="GG2787"/>
      <c r="GH2787"/>
      <c r="GI2787"/>
      <c r="GJ2787"/>
      <c r="GK2787"/>
      <c r="GL2787"/>
      <c r="GM2787"/>
      <c r="GN2787"/>
      <c r="GO2787"/>
    </row>
    <row r="2788" spans="107:197">
      <c r="DC2788"/>
      <c r="FH2788"/>
      <c r="FI2788"/>
      <c r="FJ2788"/>
      <c r="FK2788"/>
      <c r="FL2788"/>
      <c r="FM2788"/>
      <c r="FN2788"/>
      <c r="FO2788"/>
      <c r="FP2788"/>
      <c r="FQ2788"/>
      <c r="FR2788"/>
      <c r="FS2788"/>
      <c r="FT2788"/>
      <c r="FU2788"/>
      <c r="FV2788"/>
      <c r="FW2788"/>
      <c r="FX2788"/>
      <c r="FY2788"/>
      <c r="FZ2788"/>
      <c r="GA2788"/>
      <c r="GB2788"/>
      <c r="GC2788"/>
      <c r="GD2788"/>
      <c r="GE2788"/>
      <c r="GF2788"/>
      <c r="GG2788"/>
      <c r="GH2788"/>
      <c r="GI2788"/>
      <c r="GJ2788"/>
      <c r="GK2788"/>
      <c r="GL2788"/>
      <c r="GM2788"/>
      <c r="GN2788"/>
      <c r="GO2788"/>
    </row>
    <row r="2789" spans="107:197">
      <c r="DC2789"/>
      <c r="FH2789"/>
      <c r="FI2789"/>
      <c r="FJ2789"/>
      <c r="FK2789"/>
      <c r="FL2789"/>
      <c r="FM2789"/>
      <c r="FN2789"/>
      <c r="FO2789"/>
      <c r="FP2789"/>
      <c r="FQ2789"/>
      <c r="FR2789"/>
      <c r="FS2789"/>
      <c r="FT2789"/>
      <c r="FU2789"/>
      <c r="FV2789"/>
      <c r="FW2789"/>
      <c r="FX2789"/>
      <c r="FY2789"/>
      <c r="FZ2789"/>
      <c r="GA2789"/>
      <c r="GB2789"/>
      <c r="GC2789"/>
      <c r="GD2789"/>
      <c r="GE2789"/>
      <c r="GF2789"/>
      <c r="GG2789"/>
      <c r="GH2789"/>
      <c r="GI2789"/>
      <c r="GJ2789"/>
      <c r="GK2789"/>
      <c r="GL2789"/>
      <c r="GM2789"/>
      <c r="GN2789"/>
      <c r="GO2789"/>
    </row>
    <row r="2790" spans="107:197">
      <c r="DC2790"/>
      <c r="FH2790"/>
      <c r="FI2790"/>
      <c r="FJ2790"/>
      <c r="FK2790"/>
      <c r="FL2790"/>
      <c r="FM2790"/>
      <c r="FN2790"/>
      <c r="FO2790"/>
      <c r="FP2790"/>
      <c r="FQ2790"/>
      <c r="FR2790"/>
      <c r="FS2790"/>
      <c r="FT2790"/>
      <c r="FU2790"/>
      <c r="FV2790"/>
      <c r="FW2790"/>
      <c r="FX2790"/>
      <c r="FY2790"/>
      <c r="FZ2790"/>
      <c r="GA2790"/>
      <c r="GB2790"/>
      <c r="GC2790"/>
      <c r="GD2790"/>
      <c r="GE2790"/>
      <c r="GF2790"/>
      <c r="GG2790"/>
      <c r="GH2790"/>
      <c r="GI2790"/>
      <c r="GJ2790"/>
      <c r="GK2790"/>
      <c r="GL2790"/>
      <c r="GM2790"/>
      <c r="GN2790"/>
      <c r="GO2790"/>
    </row>
    <row r="2791" spans="107:197">
      <c r="DC2791"/>
      <c r="FH2791"/>
      <c r="FI2791"/>
      <c r="FJ2791"/>
      <c r="FK2791"/>
      <c r="FL2791"/>
      <c r="FM2791"/>
      <c r="FN2791"/>
      <c r="FO2791"/>
      <c r="FP2791"/>
      <c r="FQ2791"/>
      <c r="FR2791"/>
      <c r="FS2791"/>
      <c r="FT2791"/>
      <c r="FU2791"/>
      <c r="FV2791"/>
      <c r="FW2791"/>
      <c r="FX2791"/>
      <c r="FY2791"/>
      <c r="FZ2791"/>
      <c r="GA2791"/>
      <c r="GB2791"/>
      <c r="GC2791"/>
      <c r="GD2791"/>
      <c r="GE2791"/>
      <c r="GF2791"/>
      <c r="GG2791"/>
      <c r="GH2791"/>
      <c r="GI2791"/>
      <c r="GJ2791"/>
      <c r="GK2791"/>
      <c r="GL2791"/>
      <c r="GM2791"/>
      <c r="GN2791"/>
      <c r="GO2791"/>
    </row>
    <row r="2792" spans="107:197">
      <c r="DC2792"/>
      <c r="FH2792"/>
      <c r="FI2792"/>
      <c r="FJ2792"/>
      <c r="FK2792"/>
      <c r="FL2792"/>
      <c r="FM2792"/>
      <c r="FN2792"/>
      <c r="FO2792"/>
      <c r="FP2792"/>
      <c r="FQ2792"/>
      <c r="FR2792"/>
      <c r="FS2792"/>
      <c r="FT2792"/>
      <c r="FU2792"/>
      <c r="FV2792"/>
      <c r="FW2792"/>
      <c r="FX2792"/>
      <c r="FY2792"/>
      <c r="FZ2792"/>
      <c r="GA2792"/>
      <c r="GB2792"/>
      <c r="GC2792"/>
      <c r="GD2792"/>
      <c r="GE2792"/>
      <c r="GF2792"/>
      <c r="GG2792"/>
      <c r="GH2792"/>
      <c r="GI2792"/>
      <c r="GJ2792"/>
      <c r="GK2792"/>
      <c r="GL2792"/>
      <c r="GM2792"/>
      <c r="GN2792"/>
      <c r="GO2792"/>
    </row>
    <row r="2793" spans="107:197">
      <c r="DC2793"/>
      <c r="FH2793"/>
      <c r="FI2793"/>
      <c r="FJ2793"/>
      <c r="FK2793"/>
      <c r="FL2793"/>
      <c r="FM2793"/>
      <c r="FN2793"/>
      <c r="FO2793"/>
      <c r="FP2793"/>
      <c r="FQ2793"/>
      <c r="FR2793"/>
      <c r="FS2793"/>
      <c r="FT2793"/>
      <c r="FU2793"/>
      <c r="FV2793"/>
      <c r="FW2793"/>
      <c r="FX2793"/>
      <c r="FY2793"/>
      <c r="FZ2793"/>
      <c r="GA2793"/>
      <c r="GB2793"/>
      <c r="GC2793"/>
      <c r="GD2793"/>
      <c r="GE2793"/>
      <c r="GF2793"/>
      <c r="GG2793"/>
      <c r="GH2793"/>
      <c r="GI2793"/>
      <c r="GJ2793"/>
      <c r="GK2793"/>
      <c r="GL2793"/>
      <c r="GM2793"/>
      <c r="GN2793"/>
      <c r="GO2793"/>
    </row>
    <row r="2794" spans="107:197">
      <c r="DC2794"/>
      <c r="FH2794"/>
      <c r="FI2794"/>
      <c r="FJ2794"/>
      <c r="FK2794"/>
      <c r="FL2794"/>
      <c r="FM2794"/>
      <c r="FN2794"/>
      <c r="FO2794"/>
      <c r="FP2794"/>
      <c r="FQ2794"/>
      <c r="FR2794"/>
      <c r="FS2794"/>
      <c r="FT2794"/>
      <c r="FU2794"/>
      <c r="FV2794"/>
      <c r="FW2794"/>
      <c r="FX2794"/>
      <c r="FY2794"/>
      <c r="FZ2794"/>
      <c r="GA2794"/>
      <c r="GB2794"/>
      <c r="GC2794"/>
      <c r="GD2794"/>
      <c r="GE2794"/>
      <c r="GF2794"/>
      <c r="GG2794"/>
      <c r="GH2794"/>
      <c r="GI2794"/>
      <c r="GJ2794"/>
      <c r="GK2794"/>
      <c r="GL2794"/>
      <c r="GM2794"/>
      <c r="GN2794"/>
      <c r="GO2794"/>
    </row>
    <row r="2795" spans="107:197">
      <c r="DC2795"/>
      <c r="FH2795"/>
      <c r="FI2795"/>
      <c r="FJ2795"/>
      <c r="FK2795"/>
      <c r="FL2795"/>
      <c r="FM2795"/>
      <c r="FN2795"/>
      <c r="FO2795"/>
      <c r="FP2795"/>
      <c r="FQ2795"/>
      <c r="FR2795"/>
      <c r="FS2795"/>
      <c r="FT2795"/>
      <c r="FU2795"/>
      <c r="FV2795"/>
      <c r="FW2795"/>
      <c r="FX2795"/>
      <c r="FY2795"/>
      <c r="FZ2795"/>
      <c r="GA2795"/>
      <c r="GB2795"/>
      <c r="GC2795"/>
      <c r="GD2795"/>
      <c r="GE2795"/>
      <c r="GF2795"/>
      <c r="GG2795"/>
      <c r="GH2795"/>
      <c r="GI2795"/>
      <c r="GJ2795"/>
      <c r="GK2795"/>
      <c r="GL2795"/>
      <c r="GM2795"/>
      <c r="GN2795"/>
      <c r="GO2795"/>
    </row>
    <row r="2796" spans="107:197">
      <c r="DC2796"/>
      <c r="FH2796"/>
      <c r="FI2796"/>
      <c r="FJ2796"/>
      <c r="FK2796"/>
      <c r="FL2796"/>
      <c r="FM2796"/>
      <c r="FN2796"/>
      <c r="FO2796"/>
      <c r="FP2796"/>
      <c r="FQ2796"/>
      <c r="FR2796"/>
      <c r="FS2796"/>
      <c r="FT2796"/>
      <c r="FU2796"/>
      <c r="FV2796"/>
      <c r="FW2796"/>
      <c r="FX2796"/>
      <c r="FY2796"/>
      <c r="FZ2796"/>
      <c r="GA2796"/>
      <c r="GB2796"/>
      <c r="GC2796"/>
      <c r="GD2796"/>
      <c r="GE2796"/>
      <c r="GF2796"/>
      <c r="GG2796"/>
      <c r="GH2796"/>
      <c r="GI2796"/>
      <c r="GJ2796"/>
      <c r="GK2796"/>
      <c r="GL2796"/>
      <c r="GM2796"/>
      <c r="GN2796"/>
      <c r="GO2796"/>
    </row>
    <row r="2797" spans="107:197">
      <c r="DC2797"/>
      <c r="FH2797"/>
      <c r="FI2797"/>
      <c r="FJ2797"/>
      <c r="FK2797"/>
      <c r="FL2797"/>
      <c r="FM2797"/>
      <c r="FN2797"/>
      <c r="FO2797"/>
      <c r="FP2797"/>
      <c r="FQ2797"/>
      <c r="FR2797"/>
      <c r="FS2797"/>
      <c r="FT2797"/>
      <c r="FU2797"/>
      <c r="FV2797"/>
      <c r="FW2797"/>
      <c r="FX2797"/>
      <c r="FY2797"/>
      <c r="FZ2797"/>
      <c r="GA2797"/>
      <c r="GB2797"/>
      <c r="GC2797"/>
      <c r="GD2797"/>
      <c r="GE2797"/>
      <c r="GF2797"/>
      <c r="GG2797"/>
      <c r="GH2797"/>
      <c r="GI2797"/>
      <c r="GJ2797"/>
      <c r="GK2797"/>
      <c r="GL2797"/>
      <c r="GM2797"/>
      <c r="GN2797"/>
      <c r="GO2797"/>
    </row>
    <row r="2798" spans="107:197">
      <c r="DC2798"/>
      <c r="FH2798"/>
      <c r="FI2798"/>
      <c r="FJ2798"/>
      <c r="FK2798"/>
      <c r="FL2798"/>
      <c r="FM2798"/>
      <c r="FN2798"/>
      <c r="FO2798"/>
      <c r="FP2798"/>
      <c r="FQ2798"/>
      <c r="FR2798"/>
      <c r="FS2798"/>
      <c r="FT2798"/>
      <c r="FU2798"/>
      <c r="FV2798"/>
      <c r="FW2798"/>
      <c r="FX2798"/>
      <c r="FY2798"/>
      <c r="FZ2798"/>
      <c r="GA2798"/>
      <c r="GB2798"/>
      <c r="GC2798"/>
      <c r="GD2798"/>
      <c r="GE2798"/>
      <c r="GF2798"/>
      <c r="GG2798"/>
      <c r="GH2798"/>
      <c r="GI2798"/>
      <c r="GJ2798"/>
      <c r="GK2798"/>
      <c r="GL2798"/>
      <c r="GM2798"/>
      <c r="GN2798"/>
      <c r="GO2798"/>
    </row>
    <row r="2799" spans="107:197">
      <c r="DC2799"/>
      <c r="FH2799"/>
      <c r="FI2799"/>
      <c r="FJ2799"/>
      <c r="FK2799"/>
      <c r="FL2799"/>
      <c r="FM2799"/>
      <c r="FN2799"/>
      <c r="FO2799"/>
      <c r="FP2799"/>
      <c r="FQ2799"/>
      <c r="FR2799"/>
      <c r="FS2799"/>
      <c r="FT2799"/>
      <c r="FU2799"/>
      <c r="FV2799"/>
      <c r="FW2799"/>
      <c r="FX2799"/>
      <c r="FY2799"/>
      <c r="FZ2799"/>
      <c r="GA2799"/>
      <c r="GB2799"/>
      <c r="GC2799"/>
      <c r="GD2799"/>
      <c r="GE2799"/>
      <c r="GF2799"/>
      <c r="GG2799"/>
      <c r="GH2799"/>
      <c r="GI2799"/>
      <c r="GJ2799"/>
      <c r="GK2799"/>
      <c r="GL2799"/>
      <c r="GM2799"/>
      <c r="GN2799"/>
      <c r="GO2799"/>
    </row>
    <row r="2800" spans="107:197">
      <c r="DC2800"/>
      <c r="FH2800"/>
      <c r="FI2800"/>
      <c r="FJ2800"/>
      <c r="FK2800"/>
      <c r="FL2800"/>
      <c r="FM2800"/>
      <c r="FN2800"/>
      <c r="FO2800"/>
      <c r="FP2800"/>
      <c r="FQ2800"/>
      <c r="FR2800"/>
      <c r="FS2800"/>
      <c r="FT2800"/>
      <c r="FU2800"/>
      <c r="FV2800"/>
      <c r="FW2800"/>
      <c r="FX2800"/>
      <c r="FY2800"/>
      <c r="FZ2800"/>
      <c r="GA2800"/>
      <c r="GB2800"/>
      <c r="GC2800"/>
      <c r="GD2800"/>
      <c r="GE2800"/>
      <c r="GF2800"/>
      <c r="GG2800"/>
      <c r="GH2800"/>
      <c r="GI2800"/>
      <c r="GJ2800"/>
      <c r="GK2800"/>
      <c r="GL2800"/>
      <c r="GM2800"/>
      <c r="GN2800"/>
      <c r="GO2800"/>
    </row>
    <row r="2801" spans="107:197">
      <c r="DC2801"/>
      <c r="FH2801"/>
      <c r="FI2801"/>
      <c r="FJ2801"/>
      <c r="FK2801"/>
      <c r="FL2801"/>
      <c r="FM2801"/>
      <c r="FN2801"/>
      <c r="FO2801"/>
      <c r="FP2801"/>
      <c r="FQ2801"/>
      <c r="FR2801"/>
      <c r="FS2801"/>
      <c r="FT2801"/>
      <c r="FU2801"/>
      <c r="FV2801"/>
      <c r="FW2801"/>
      <c r="FX2801"/>
      <c r="FY2801"/>
      <c r="FZ2801"/>
      <c r="GA2801"/>
      <c r="GB2801"/>
      <c r="GC2801"/>
      <c r="GD2801"/>
      <c r="GE2801"/>
      <c r="GF2801"/>
      <c r="GG2801"/>
      <c r="GH2801"/>
      <c r="GI2801"/>
      <c r="GJ2801"/>
      <c r="GK2801"/>
      <c r="GL2801"/>
      <c r="GM2801"/>
      <c r="GN2801"/>
      <c r="GO2801"/>
    </row>
    <row r="2802" spans="107:197">
      <c r="DC2802"/>
      <c r="FH2802"/>
      <c r="FI2802"/>
      <c r="FJ2802"/>
      <c r="FK2802"/>
      <c r="FL2802"/>
      <c r="FM2802"/>
      <c r="FN2802"/>
      <c r="FO2802"/>
      <c r="FP2802"/>
      <c r="FQ2802"/>
      <c r="FR2802"/>
      <c r="FS2802"/>
      <c r="FT2802"/>
      <c r="FU2802"/>
      <c r="FV2802"/>
      <c r="FW2802"/>
      <c r="FX2802"/>
      <c r="FY2802"/>
      <c r="FZ2802"/>
      <c r="GA2802"/>
      <c r="GB2802"/>
      <c r="GC2802"/>
      <c r="GD2802"/>
      <c r="GE2802"/>
      <c r="GF2802"/>
      <c r="GG2802"/>
      <c r="GH2802"/>
      <c r="GI2802"/>
      <c r="GJ2802"/>
      <c r="GK2802"/>
      <c r="GL2802"/>
      <c r="GM2802"/>
      <c r="GN2802"/>
      <c r="GO2802"/>
    </row>
    <row r="2803" spans="107:197">
      <c r="DC2803"/>
      <c r="FH2803"/>
      <c r="FI2803"/>
      <c r="FJ2803"/>
      <c r="FK2803"/>
      <c r="FL2803"/>
      <c r="FM2803"/>
      <c r="FN2803"/>
      <c r="FO2803"/>
      <c r="FP2803"/>
      <c r="FQ2803"/>
      <c r="FR2803"/>
      <c r="FS2803"/>
      <c r="FT2803"/>
      <c r="FU2803"/>
      <c r="FV2803"/>
      <c r="FW2803"/>
      <c r="FX2803"/>
      <c r="FY2803"/>
      <c r="FZ2803"/>
      <c r="GA2803"/>
      <c r="GB2803"/>
      <c r="GC2803"/>
      <c r="GD2803"/>
      <c r="GE2803"/>
      <c r="GF2803"/>
      <c r="GG2803"/>
      <c r="GH2803"/>
      <c r="GI2803"/>
      <c r="GJ2803"/>
      <c r="GK2803"/>
      <c r="GL2803"/>
      <c r="GM2803"/>
      <c r="GN2803"/>
      <c r="GO2803"/>
    </row>
    <row r="2804" spans="107:197">
      <c r="DC2804"/>
      <c r="FH2804"/>
      <c r="FI2804"/>
      <c r="FJ2804"/>
      <c r="FK2804"/>
      <c r="FL2804"/>
      <c r="FM2804"/>
      <c r="FN2804"/>
      <c r="FO2804"/>
      <c r="FP2804"/>
      <c r="FQ2804"/>
      <c r="FR2804"/>
      <c r="FS2804"/>
      <c r="FT2804"/>
      <c r="FU2804"/>
      <c r="FV2804"/>
      <c r="FW2804"/>
      <c r="FX2804"/>
      <c r="FY2804"/>
      <c r="FZ2804"/>
      <c r="GA2804"/>
      <c r="GB2804"/>
      <c r="GC2804"/>
      <c r="GD2804"/>
      <c r="GE2804"/>
      <c r="GF2804"/>
      <c r="GG2804"/>
      <c r="GH2804"/>
      <c r="GI2804"/>
      <c r="GJ2804"/>
      <c r="GK2804"/>
      <c r="GL2804"/>
      <c r="GM2804"/>
      <c r="GN2804"/>
      <c r="GO2804"/>
    </row>
    <row r="2805" spans="107:197">
      <c r="DC2805"/>
      <c r="FH2805"/>
      <c r="FI2805"/>
      <c r="FJ2805"/>
      <c r="FK2805"/>
      <c r="FL2805"/>
      <c r="FM2805"/>
      <c r="FN2805"/>
      <c r="FO2805"/>
      <c r="FP2805"/>
      <c r="FQ2805"/>
      <c r="FR2805"/>
      <c r="FS2805"/>
      <c r="FT2805"/>
      <c r="FU2805"/>
      <c r="FV2805"/>
      <c r="FW2805"/>
      <c r="FX2805"/>
      <c r="FY2805"/>
      <c r="FZ2805"/>
      <c r="GA2805"/>
      <c r="GB2805"/>
      <c r="GC2805"/>
      <c r="GD2805"/>
      <c r="GE2805"/>
      <c r="GF2805"/>
      <c r="GG2805"/>
      <c r="GH2805"/>
      <c r="GI2805"/>
      <c r="GJ2805"/>
      <c r="GK2805"/>
      <c r="GL2805"/>
      <c r="GM2805"/>
      <c r="GN2805"/>
      <c r="GO2805"/>
    </row>
    <row r="2806" spans="107:197">
      <c r="DC2806"/>
      <c r="FH2806"/>
      <c r="FI2806"/>
      <c r="FJ2806"/>
      <c r="FK2806"/>
      <c r="FL2806"/>
      <c r="FM2806"/>
      <c r="FN2806"/>
      <c r="FO2806"/>
      <c r="FP2806"/>
      <c r="FQ2806"/>
      <c r="FR2806"/>
      <c r="FS2806"/>
      <c r="FT2806"/>
      <c r="FU2806"/>
      <c r="FV2806"/>
      <c r="FW2806"/>
      <c r="FX2806"/>
      <c r="FY2806"/>
      <c r="FZ2806"/>
      <c r="GA2806"/>
      <c r="GB2806"/>
      <c r="GC2806"/>
      <c r="GD2806"/>
      <c r="GE2806"/>
      <c r="GF2806"/>
      <c r="GG2806"/>
      <c r="GH2806"/>
      <c r="GI2806"/>
      <c r="GJ2806"/>
      <c r="GK2806"/>
      <c r="GL2806"/>
      <c r="GM2806"/>
      <c r="GN2806"/>
      <c r="GO2806"/>
    </row>
    <row r="2807" spans="107:197">
      <c r="DC2807"/>
      <c r="FH2807"/>
      <c r="FI2807"/>
      <c r="FJ2807"/>
      <c r="FK2807"/>
      <c r="FL2807"/>
      <c r="FM2807"/>
      <c r="FN2807"/>
      <c r="FO2807"/>
      <c r="FP2807"/>
      <c r="FQ2807"/>
      <c r="FR2807"/>
      <c r="FS2807"/>
      <c r="FT2807"/>
      <c r="FU2807"/>
      <c r="FV2807"/>
      <c r="FW2807"/>
      <c r="FX2807"/>
      <c r="FY2807"/>
      <c r="FZ2807"/>
      <c r="GA2807"/>
      <c r="GB2807"/>
      <c r="GC2807"/>
      <c r="GD2807"/>
      <c r="GE2807"/>
      <c r="GF2807"/>
      <c r="GG2807"/>
      <c r="GH2807"/>
      <c r="GI2807"/>
      <c r="GJ2807"/>
      <c r="GK2807"/>
      <c r="GL2807"/>
      <c r="GM2807"/>
      <c r="GN2807"/>
      <c r="GO2807"/>
    </row>
    <row r="2808" spans="107:197">
      <c r="DC2808"/>
      <c r="FH2808"/>
      <c r="FI2808"/>
      <c r="FJ2808"/>
      <c r="FK2808"/>
      <c r="FL2808"/>
      <c r="FM2808"/>
      <c r="FN2808"/>
      <c r="FO2808"/>
      <c r="FP2808"/>
      <c r="FQ2808"/>
      <c r="FR2808"/>
      <c r="FS2808"/>
      <c r="FT2808"/>
      <c r="FU2808"/>
      <c r="FV2808"/>
      <c r="FW2808"/>
      <c r="FX2808"/>
      <c r="FY2808"/>
      <c r="FZ2808"/>
      <c r="GA2808"/>
      <c r="GB2808"/>
      <c r="GC2808"/>
      <c r="GD2808"/>
      <c r="GE2808"/>
      <c r="GF2808"/>
      <c r="GG2808"/>
      <c r="GH2808"/>
      <c r="GI2808"/>
      <c r="GJ2808"/>
      <c r="GK2808"/>
      <c r="GL2808"/>
      <c r="GM2808"/>
      <c r="GN2808"/>
      <c r="GO2808"/>
    </row>
    <row r="2809" spans="107:197">
      <c r="DC2809"/>
      <c r="FH2809"/>
      <c r="FI2809"/>
      <c r="FJ2809"/>
      <c r="FK2809"/>
      <c r="FL2809"/>
      <c r="FM2809"/>
      <c r="FN2809"/>
      <c r="FO2809"/>
      <c r="FP2809"/>
      <c r="FQ2809"/>
      <c r="FR2809"/>
      <c r="FS2809"/>
      <c r="FT2809"/>
      <c r="FU2809"/>
      <c r="FV2809"/>
      <c r="FW2809"/>
      <c r="FX2809"/>
      <c r="FY2809"/>
      <c r="FZ2809"/>
      <c r="GA2809"/>
      <c r="GB2809"/>
      <c r="GC2809"/>
      <c r="GD2809"/>
      <c r="GE2809"/>
      <c r="GF2809"/>
      <c r="GG2809"/>
      <c r="GH2809"/>
      <c r="GI2809"/>
      <c r="GJ2809"/>
      <c r="GK2809"/>
      <c r="GL2809"/>
      <c r="GM2809"/>
      <c r="GN2809"/>
      <c r="GO2809"/>
    </row>
    <row r="2810" spans="107:197">
      <c r="DC2810"/>
      <c r="FH2810"/>
      <c r="FI2810"/>
      <c r="FJ2810"/>
      <c r="FK2810"/>
      <c r="FL2810"/>
      <c r="FM2810"/>
      <c r="FN2810"/>
      <c r="FO2810"/>
      <c r="FP2810"/>
      <c r="FQ2810"/>
      <c r="FR2810"/>
      <c r="FS2810"/>
      <c r="FT2810"/>
      <c r="FU2810"/>
      <c r="FV2810"/>
      <c r="FW2810"/>
      <c r="FX2810"/>
      <c r="FY2810"/>
      <c r="FZ2810"/>
      <c r="GA2810"/>
      <c r="GB2810"/>
      <c r="GC2810"/>
      <c r="GD2810"/>
      <c r="GE2810"/>
      <c r="GF2810"/>
      <c r="GG2810"/>
      <c r="GH2810"/>
      <c r="GI2810"/>
      <c r="GJ2810"/>
      <c r="GK2810"/>
      <c r="GL2810"/>
      <c r="GM2810"/>
      <c r="GN2810"/>
      <c r="GO2810"/>
    </row>
    <row r="2811" spans="107:197">
      <c r="DC2811"/>
      <c r="FH2811"/>
      <c r="FI2811"/>
      <c r="FJ2811"/>
      <c r="FK2811"/>
      <c r="FL2811"/>
      <c r="FM2811"/>
      <c r="FN2811"/>
      <c r="FO2811"/>
      <c r="FP2811"/>
      <c r="FQ2811"/>
      <c r="FR2811"/>
      <c r="FS2811"/>
      <c r="FT2811"/>
      <c r="FU2811"/>
      <c r="FV2811"/>
      <c r="FW2811"/>
      <c r="FX2811"/>
      <c r="FY2811"/>
      <c r="FZ2811"/>
      <c r="GA2811"/>
      <c r="GB2811"/>
      <c r="GC2811"/>
      <c r="GD2811"/>
      <c r="GE2811"/>
      <c r="GF2811"/>
      <c r="GG2811"/>
      <c r="GH2811"/>
      <c r="GI2811"/>
      <c r="GJ2811"/>
      <c r="GK2811"/>
      <c r="GL2811"/>
      <c r="GM2811"/>
      <c r="GN2811"/>
      <c r="GO2811"/>
    </row>
    <row r="2812" spans="107:197">
      <c r="DC2812"/>
      <c r="FH2812"/>
      <c r="FI2812"/>
      <c r="FJ2812"/>
      <c r="FK2812"/>
      <c r="FL2812"/>
      <c r="FM2812"/>
      <c r="FN2812"/>
      <c r="FO2812"/>
      <c r="FP2812"/>
      <c r="FQ2812"/>
      <c r="FR2812"/>
      <c r="FS2812"/>
      <c r="FT2812"/>
      <c r="FU2812"/>
      <c r="FV2812"/>
      <c r="FW2812"/>
      <c r="FX2812"/>
      <c r="FY2812"/>
      <c r="FZ2812"/>
      <c r="GA2812"/>
      <c r="GB2812"/>
      <c r="GC2812"/>
      <c r="GD2812"/>
      <c r="GE2812"/>
      <c r="GF2812"/>
      <c r="GG2812"/>
      <c r="GH2812"/>
      <c r="GI2812"/>
      <c r="GJ2812"/>
      <c r="GK2812"/>
      <c r="GL2812"/>
      <c r="GM2812"/>
      <c r="GN2812"/>
      <c r="GO2812"/>
    </row>
    <row r="2813" spans="107:197">
      <c r="DC2813"/>
      <c r="FH2813"/>
      <c r="FI2813"/>
      <c r="FJ2813"/>
      <c r="FK2813"/>
      <c r="FL2813"/>
      <c r="FM2813"/>
      <c r="FN2813"/>
      <c r="FO2813"/>
      <c r="FP2813"/>
      <c r="FQ2813"/>
      <c r="FR2813"/>
      <c r="FS2813"/>
      <c r="FT2813"/>
      <c r="FU2813"/>
      <c r="FV2813"/>
      <c r="FW2813"/>
      <c r="FX2813"/>
      <c r="FY2813"/>
      <c r="FZ2813"/>
      <c r="GA2813"/>
      <c r="GB2813"/>
      <c r="GC2813"/>
      <c r="GD2813"/>
      <c r="GE2813"/>
      <c r="GF2813"/>
      <c r="GG2813"/>
      <c r="GH2813"/>
      <c r="GI2813"/>
      <c r="GJ2813"/>
      <c r="GK2813"/>
      <c r="GL2813"/>
      <c r="GM2813"/>
      <c r="GN2813"/>
      <c r="GO2813"/>
    </row>
    <row r="2814" spans="107:197">
      <c r="DC2814"/>
      <c r="FH2814"/>
      <c r="FI2814"/>
      <c r="FJ2814"/>
      <c r="FK2814"/>
      <c r="FL2814"/>
      <c r="FM2814"/>
      <c r="FN2814"/>
      <c r="FO2814"/>
      <c r="FP2814"/>
      <c r="FQ2814"/>
      <c r="FR2814"/>
      <c r="FS2814"/>
      <c r="FT2814"/>
      <c r="FU2814"/>
      <c r="FV2814"/>
      <c r="FW2814"/>
      <c r="FX2814"/>
      <c r="FY2814"/>
      <c r="FZ2814"/>
      <c r="GA2814"/>
      <c r="GB2814"/>
      <c r="GC2814"/>
      <c r="GD2814"/>
      <c r="GE2814"/>
      <c r="GF2814"/>
      <c r="GG2814"/>
      <c r="GH2814"/>
      <c r="GI2814"/>
      <c r="GJ2814"/>
      <c r="GK2814"/>
      <c r="GL2814"/>
      <c r="GM2814"/>
      <c r="GN2814"/>
      <c r="GO2814"/>
    </row>
    <row r="2815" spans="107:197">
      <c r="DC2815"/>
      <c r="FH2815"/>
      <c r="FI2815"/>
      <c r="FJ2815"/>
      <c r="FK2815"/>
      <c r="FL2815"/>
      <c r="FM2815"/>
      <c r="FN2815"/>
      <c r="FO2815"/>
      <c r="FP2815"/>
      <c r="FQ2815"/>
      <c r="FR2815"/>
      <c r="FS2815"/>
      <c r="FT2815"/>
      <c r="FU2815"/>
      <c r="FV2815"/>
      <c r="FW2815"/>
      <c r="FX2815"/>
      <c r="FY2815"/>
      <c r="FZ2815"/>
      <c r="GA2815"/>
      <c r="GB2815"/>
      <c r="GC2815"/>
      <c r="GD2815"/>
      <c r="GE2815"/>
      <c r="GF2815"/>
      <c r="GG2815"/>
      <c r="GH2815"/>
      <c r="GI2815"/>
      <c r="GJ2815"/>
      <c r="GK2815"/>
      <c r="GL2815"/>
      <c r="GM2815"/>
      <c r="GN2815"/>
      <c r="GO2815"/>
    </row>
    <row r="2816" spans="107:197">
      <c r="DC2816"/>
      <c r="FH2816"/>
      <c r="FI2816"/>
      <c r="FJ2816"/>
      <c r="FK2816"/>
      <c r="FL2816"/>
      <c r="FM2816"/>
      <c r="FN2816"/>
      <c r="FO2816"/>
      <c r="FP2816"/>
      <c r="FQ2816"/>
      <c r="FR2816"/>
      <c r="FS2816"/>
      <c r="FT2816"/>
      <c r="FU2816"/>
      <c r="FV2816"/>
      <c r="FW2816"/>
      <c r="FX2816"/>
      <c r="FY2816"/>
      <c r="FZ2816"/>
      <c r="GA2816"/>
      <c r="GB2816"/>
      <c r="GC2816"/>
      <c r="GD2816"/>
      <c r="GE2816"/>
      <c r="GF2816"/>
      <c r="GG2816"/>
      <c r="GH2816"/>
      <c r="GI2816"/>
      <c r="GJ2816"/>
      <c r="GK2816"/>
      <c r="GL2816"/>
      <c r="GM2816"/>
      <c r="GN2816"/>
      <c r="GO2816"/>
    </row>
    <row r="2817" spans="107:197">
      <c r="DC2817"/>
      <c r="FH2817"/>
      <c r="FI2817"/>
      <c r="FJ2817"/>
      <c r="FK2817"/>
      <c r="FL2817"/>
      <c r="FM2817"/>
      <c r="FN2817"/>
      <c r="FO2817"/>
      <c r="FP2817"/>
      <c r="FQ2817"/>
      <c r="FR2817"/>
      <c r="FS2817"/>
      <c r="FT2817"/>
      <c r="FU2817"/>
      <c r="FV2817"/>
      <c r="FW2817"/>
      <c r="FX2817"/>
      <c r="FY2817"/>
      <c r="FZ2817"/>
      <c r="GA2817"/>
      <c r="GB2817"/>
      <c r="GC2817"/>
      <c r="GD2817"/>
      <c r="GE2817"/>
      <c r="GF2817"/>
      <c r="GG2817"/>
      <c r="GH2817"/>
      <c r="GI2817"/>
      <c r="GJ2817"/>
      <c r="GK2817"/>
      <c r="GL2817"/>
      <c r="GM2817"/>
      <c r="GN2817"/>
      <c r="GO2817"/>
    </row>
    <row r="2818" spans="107:197">
      <c r="DC2818"/>
      <c r="FH2818"/>
      <c r="FI2818"/>
      <c r="FJ2818"/>
      <c r="FK2818"/>
      <c r="FL2818"/>
      <c r="FM2818"/>
      <c r="FN2818"/>
      <c r="FO2818"/>
      <c r="FP2818"/>
      <c r="FQ2818"/>
      <c r="FR2818"/>
      <c r="FS2818"/>
      <c r="FT2818"/>
      <c r="FU2818"/>
      <c r="FV2818"/>
      <c r="FW2818"/>
      <c r="FX2818"/>
      <c r="FY2818"/>
      <c r="FZ2818"/>
      <c r="GA2818"/>
      <c r="GB2818"/>
      <c r="GC2818"/>
      <c r="GD2818"/>
      <c r="GE2818"/>
      <c r="GF2818"/>
      <c r="GG2818"/>
      <c r="GH2818"/>
      <c r="GI2818"/>
      <c r="GJ2818"/>
      <c r="GK2818"/>
      <c r="GL2818"/>
      <c r="GM2818"/>
      <c r="GN2818"/>
      <c r="GO2818"/>
    </row>
    <row r="2819" spans="107:197">
      <c r="DC2819"/>
      <c r="FH2819"/>
      <c r="FI2819"/>
      <c r="FJ2819"/>
      <c r="FK2819"/>
      <c r="FL2819"/>
      <c r="FM2819"/>
      <c r="FN2819"/>
      <c r="FO2819"/>
      <c r="FP2819"/>
      <c r="FQ2819"/>
      <c r="FR2819"/>
      <c r="FS2819"/>
      <c r="FT2819"/>
      <c r="FU2819"/>
      <c r="FV2819"/>
      <c r="FW2819"/>
      <c r="FX2819"/>
      <c r="FY2819"/>
      <c r="FZ2819"/>
      <c r="GA2819"/>
      <c r="GB2819"/>
      <c r="GC2819"/>
      <c r="GD2819"/>
      <c r="GE2819"/>
      <c r="GF2819"/>
      <c r="GG2819"/>
      <c r="GH2819"/>
      <c r="GI2819"/>
      <c r="GJ2819"/>
      <c r="GK2819"/>
      <c r="GL2819"/>
      <c r="GM2819"/>
      <c r="GN2819"/>
      <c r="GO2819"/>
    </row>
    <row r="2820" spans="107:197">
      <c r="DC2820"/>
      <c r="FH2820"/>
      <c r="FI2820"/>
      <c r="FJ2820"/>
      <c r="FK2820"/>
      <c r="FL2820"/>
      <c r="FM2820"/>
      <c r="FN2820"/>
      <c r="FO2820"/>
      <c r="FP2820"/>
      <c r="FQ2820"/>
      <c r="FR2820"/>
      <c r="FS2820"/>
      <c r="FT2820"/>
      <c r="FU2820"/>
      <c r="FV2820"/>
      <c r="FW2820"/>
      <c r="FX2820"/>
      <c r="FY2820"/>
      <c r="FZ2820"/>
      <c r="GA2820"/>
      <c r="GB2820"/>
      <c r="GC2820"/>
      <c r="GD2820"/>
      <c r="GE2820"/>
      <c r="GF2820"/>
      <c r="GG2820"/>
      <c r="GH2820"/>
      <c r="GI2820"/>
      <c r="GJ2820"/>
      <c r="GK2820"/>
      <c r="GL2820"/>
      <c r="GM2820"/>
      <c r="GN2820"/>
      <c r="GO2820"/>
    </row>
    <row r="2821" spans="107:197">
      <c r="DC2821"/>
      <c r="FH2821"/>
      <c r="FI2821"/>
      <c r="FJ2821"/>
      <c r="FK2821"/>
      <c r="FL2821"/>
      <c r="FM2821"/>
      <c r="FN2821"/>
      <c r="FO2821"/>
      <c r="FP2821"/>
      <c r="FQ2821"/>
      <c r="FR2821"/>
      <c r="FS2821"/>
      <c r="FT2821"/>
      <c r="FU2821"/>
      <c r="FV2821"/>
      <c r="FW2821"/>
      <c r="FX2821"/>
      <c r="FY2821"/>
      <c r="FZ2821"/>
      <c r="GA2821"/>
      <c r="GB2821"/>
      <c r="GC2821"/>
      <c r="GD2821"/>
      <c r="GE2821"/>
      <c r="GF2821"/>
      <c r="GG2821"/>
      <c r="GH2821"/>
      <c r="GI2821"/>
      <c r="GJ2821"/>
      <c r="GK2821"/>
      <c r="GL2821"/>
      <c r="GM2821"/>
      <c r="GN2821"/>
      <c r="GO2821"/>
    </row>
    <row r="2822" spans="107:197">
      <c r="DC2822"/>
      <c r="FH2822"/>
      <c r="FI2822"/>
      <c r="FJ2822"/>
      <c r="FK2822"/>
      <c r="FL2822"/>
      <c r="FM2822"/>
      <c r="FN2822"/>
      <c r="FO2822"/>
      <c r="FP2822"/>
      <c r="FQ2822"/>
      <c r="FR2822"/>
      <c r="FS2822"/>
      <c r="FT2822"/>
      <c r="FU2822"/>
      <c r="FV2822"/>
      <c r="FW2822"/>
      <c r="FX2822"/>
      <c r="FY2822"/>
      <c r="FZ2822"/>
      <c r="GA2822"/>
      <c r="GB2822"/>
      <c r="GC2822"/>
      <c r="GD2822"/>
      <c r="GE2822"/>
      <c r="GF2822"/>
      <c r="GG2822"/>
      <c r="GH2822"/>
      <c r="GI2822"/>
      <c r="GJ2822"/>
      <c r="GK2822"/>
      <c r="GL2822"/>
      <c r="GM2822"/>
      <c r="GN2822"/>
      <c r="GO2822"/>
    </row>
    <row r="2823" spans="107:197">
      <c r="DC2823"/>
      <c r="FH2823"/>
      <c r="FI2823"/>
      <c r="FJ2823"/>
      <c r="FK2823"/>
      <c r="FL2823"/>
      <c r="FM2823"/>
      <c r="FN2823"/>
      <c r="FO2823"/>
      <c r="FP2823"/>
      <c r="FQ2823"/>
      <c r="FR2823"/>
      <c r="FS2823"/>
      <c r="FT2823"/>
      <c r="FU2823"/>
      <c r="FV2823"/>
      <c r="FW2823"/>
      <c r="FX2823"/>
      <c r="FY2823"/>
      <c r="FZ2823"/>
      <c r="GA2823"/>
      <c r="GB2823"/>
      <c r="GC2823"/>
      <c r="GD2823"/>
      <c r="GE2823"/>
      <c r="GF2823"/>
      <c r="GG2823"/>
      <c r="GH2823"/>
      <c r="GI2823"/>
      <c r="GJ2823"/>
      <c r="GK2823"/>
      <c r="GL2823"/>
      <c r="GM2823"/>
      <c r="GN2823"/>
      <c r="GO2823"/>
    </row>
    <row r="2824" spans="107:197">
      <c r="DC2824"/>
      <c r="FH2824"/>
      <c r="FI2824"/>
      <c r="FJ2824"/>
      <c r="FK2824"/>
      <c r="FL2824"/>
      <c r="FM2824"/>
      <c r="FN2824"/>
      <c r="FO2824"/>
      <c r="FP2824"/>
      <c r="FQ2824"/>
      <c r="FR2824"/>
      <c r="FS2824"/>
      <c r="FT2824"/>
      <c r="FU2824"/>
      <c r="FV2824"/>
      <c r="FW2824"/>
      <c r="FX2824"/>
      <c r="FY2824"/>
      <c r="FZ2824"/>
      <c r="GA2824"/>
      <c r="GB2824"/>
      <c r="GC2824"/>
      <c r="GD2824"/>
      <c r="GE2824"/>
      <c r="GF2824"/>
      <c r="GG2824"/>
      <c r="GH2824"/>
      <c r="GI2824"/>
      <c r="GJ2824"/>
      <c r="GK2824"/>
      <c r="GL2824"/>
      <c r="GM2824"/>
      <c r="GN2824"/>
      <c r="GO2824"/>
    </row>
    <row r="2825" spans="107:197">
      <c r="DC2825"/>
      <c r="FH2825"/>
      <c r="FI2825"/>
      <c r="FJ2825"/>
      <c r="FK2825"/>
      <c r="FL2825"/>
      <c r="FM2825"/>
      <c r="FN2825"/>
      <c r="FO2825"/>
      <c r="FP2825"/>
      <c r="FQ2825"/>
      <c r="FR2825"/>
      <c r="FS2825"/>
      <c r="FT2825"/>
      <c r="FU2825"/>
      <c r="FV2825"/>
      <c r="FW2825"/>
      <c r="FX2825"/>
      <c r="FY2825"/>
      <c r="FZ2825"/>
      <c r="GA2825"/>
      <c r="GB2825"/>
      <c r="GC2825"/>
      <c r="GD2825"/>
      <c r="GE2825"/>
      <c r="GF2825"/>
      <c r="GG2825"/>
      <c r="GH2825"/>
      <c r="GI2825"/>
      <c r="GJ2825"/>
      <c r="GK2825"/>
      <c r="GL2825"/>
      <c r="GM2825"/>
      <c r="GN2825"/>
      <c r="GO2825"/>
    </row>
    <row r="2826" spans="107:197">
      <c r="DC2826"/>
      <c r="FH2826"/>
      <c r="FI2826"/>
      <c r="FJ2826"/>
      <c r="FK2826"/>
      <c r="FL2826"/>
      <c r="FM2826"/>
      <c r="FN2826"/>
      <c r="FO2826"/>
      <c r="FP2826"/>
      <c r="FQ2826"/>
      <c r="FR2826"/>
      <c r="FS2826"/>
      <c r="FT2826"/>
      <c r="FU2826"/>
      <c r="FV2826"/>
      <c r="FW2826"/>
      <c r="FX2826"/>
      <c r="FY2826"/>
      <c r="FZ2826"/>
      <c r="GA2826"/>
      <c r="GB2826"/>
      <c r="GC2826"/>
      <c r="GD2826"/>
      <c r="GE2826"/>
      <c r="GF2826"/>
      <c r="GG2826"/>
      <c r="GH2826"/>
      <c r="GI2826"/>
      <c r="GJ2826"/>
      <c r="GK2826"/>
      <c r="GL2826"/>
      <c r="GM2826"/>
      <c r="GN2826"/>
      <c r="GO2826"/>
    </row>
    <row r="2827" spans="107:197">
      <c r="DC2827"/>
      <c r="FH2827"/>
      <c r="FI2827"/>
      <c r="FJ2827"/>
      <c r="FK2827"/>
      <c r="FL2827"/>
      <c r="FM2827"/>
      <c r="FN2827"/>
      <c r="FO2827"/>
      <c r="FP2827"/>
      <c r="FQ2827"/>
      <c r="FR2827"/>
      <c r="FS2827"/>
      <c r="FT2827"/>
      <c r="FU2827"/>
      <c r="FV2827"/>
      <c r="FW2827"/>
      <c r="FX2827"/>
      <c r="FY2827"/>
      <c r="FZ2827"/>
      <c r="GA2827"/>
      <c r="GB2827"/>
      <c r="GC2827"/>
      <c r="GD2827"/>
      <c r="GE2827"/>
      <c r="GF2827"/>
      <c r="GG2827"/>
      <c r="GH2827"/>
      <c r="GI2827"/>
      <c r="GJ2827"/>
      <c r="GK2827"/>
      <c r="GL2827"/>
      <c r="GM2827"/>
      <c r="GN2827"/>
      <c r="GO2827"/>
    </row>
    <row r="2828" spans="107:197">
      <c r="DC2828"/>
      <c r="FH2828"/>
      <c r="FI2828"/>
      <c r="FJ2828"/>
      <c r="FK2828"/>
      <c r="FL2828"/>
      <c r="FM2828"/>
      <c r="FN2828"/>
      <c r="FO2828"/>
      <c r="FP2828"/>
      <c r="FQ2828"/>
      <c r="FR2828"/>
      <c r="FS2828"/>
      <c r="FT2828"/>
      <c r="FU2828"/>
      <c r="FV2828"/>
      <c r="FW2828"/>
      <c r="FX2828"/>
      <c r="FY2828"/>
      <c r="FZ2828"/>
      <c r="GA2828"/>
      <c r="GB2828"/>
      <c r="GC2828"/>
      <c r="GD2828"/>
      <c r="GE2828"/>
      <c r="GF2828"/>
      <c r="GG2828"/>
      <c r="GH2828"/>
      <c r="GI2828"/>
      <c r="GJ2828"/>
      <c r="GK2828"/>
      <c r="GL2828"/>
      <c r="GM2828"/>
      <c r="GN2828"/>
      <c r="GO2828"/>
    </row>
    <row r="2829" spans="107:197">
      <c r="DC2829"/>
      <c r="FH2829"/>
      <c r="FI2829"/>
      <c r="FJ2829"/>
      <c r="FK2829"/>
      <c r="FL2829"/>
      <c r="FM2829"/>
      <c r="FN2829"/>
      <c r="FO2829"/>
      <c r="FP2829"/>
      <c r="FQ2829"/>
      <c r="FR2829"/>
      <c r="FS2829"/>
      <c r="FT2829"/>
      <c r="FU2829"/>
      <c r="FV2829"/>
      <c r="FW2829"/>
      <c r="FX2829"/>
      <c r="FY2829"/>
      <c r="FZ2829"/>
      <c r="GA2829"/>
      <c r="GB2829"/>
      <c r="GC2829"/>
      <c r="GD2829"/>
      <c r="GE2829"/>
      <c r="GF2829"/>
      <c r="GG2829"/>
      <c r="GH2829"/>
      <c r="GI2829"/>
      <c r="GJ2829"/>
      <c r="GK2829"/>
      <c r="GL2829"/>
      <c r="GM2829"/>
      <c r="GN2829"/>
      <c r="GO2829"/>
    </row>
    <row r="2830" spans="107:197">
      <c r="DC2830"/>
      <c r="FH2830"/>
      <c r="FI2830"/>
      <c r="FJ2830"/>
      <c r="FK2830"/>
      <c r="FL2830"/>
      <c r="FM2830"/>
      <c r="FN2830"/>
      <c r="FO2830"/>
      <c r="FP2830"/>
      <c r="FQ2830"/>
      <c r="FR2830"/>
      <c r="FS2830"/>
      <c r="FT2830"/>
      <c r="FU2830"/>
      <c r="FV2830"/>
      <c r="FW2830"/>
      <c r="FX2830"/>
      <c r="FY2830"/>
      <c r="FZ2830"/>
      <c r="GA2830"/>
      <c r="GB2830"/>
      <c r="GC2830"/>
      <c r="GD2830"/>
      <c r="GE2830"/>
      <c r="GF2830"/>
      <c r="GG2830"/>
      <c r="GH2830"/>
      <c r="GI2830"/>
      <c r="GJ2830"/>
      <c r="GK2830"/>
      <c r="GL2830"/>
      <c r="GM2830"/>
      <c r="GN2830"/>
      <c r="GO2830"/>
    </row>
    <row r="2831" spans="107:197">
      <c r="DC2831"/>
      <c r="FH2831"/>
      <c r="FI2831"/>
      <c r="FJ2831"/>
      <c r="FK2831"/>
      <c r="FL2831"/>
      <c r="FM2831"/>
      <c r="FN2831"/>
      <c r="FO2831"/>
      <c r="FP2831"/>
      <c r="FQ2831"/>
      <c r="FR2831"/>
      <c r="FS2831"/>
      <c r="FT2831"/>
      <c r="FU2831"/>
      <c r="FV2831"/>
      <c r="FW2831"/>
      <c r="FX2831"/>
      <c r="FY2831"/>
      <c r="FZ2831"/>
      <c r="GA2831"/>
      <c r="GB2831"/>
      <c r="GC2831"/>
      <c r="GD2831"/>
      <c r="GE2831"/>
      <c r="GF2831"/>
      <c r="GG2831"/>
      <c r="GH2831"/>
      <c r="GI2831"/>
      <c r="GJ2831"/>
      <c r="GK2831"/>
      <c r="GL2831"/>
      <c r="GM2831"/>
      <c r="GN2831"/>
      <c r="GO2831"/>
    </row>
    <row r="2832" spans="107:197">
      <c r="DC2832"/>
      <c r="FH2832"/>
      <c r="FI2832"/>
      <c r="FJ2832"/>
      <c r="FK2832"/>
      <c r="FL2832"/>
      <c r="FM2832"/>
      <c r="FN2832"/>
      <c r="FO2832"/>
      <c r="FP2832"/>
      <c r="FQ2832"/>
      <c r="FR2832"/>
      <c r="FS2832"/>
      <c r="FT2832"/>
      <c r="FU2832"/>
      <c r="FV2832"/>
      <c r="FW2832"/>
      <c r="FX2832"/>
      <c r="FY2832"/>
      <c r="FZ2832"/>
      <c r="GA2832"/>
      <c r="GB2832"/>
      <c r="GC2832"/>
      <c r="GD2832"/>
      <c r="GE2832"/>
      <c r="GF2832"/>
      <c r="GG2832"/>
      <c r="GH2832"/>
      <c r="GI2832"/>
      <c r="GJ2832"/>
      <c r="GK2832"/>
      <c r="GL2832"/>
      <c r="GM2832"/>
      <c r="GN2832"/>
      <c r="GO2832"/>
    </row>
    <row r="2833" spans="107:197">
      <c r="DC2833"/>
      <c r="FH2833"/>
      <c r="FI2833"/>
      <c r="FJ2833"/>
      <c r="FK2833"/>
      <c r="FL2833"/>
      <c r="FM2833"/>
      <c r="FN2833"/>
      <c r="FO2833"/>
      <c r="FP2833"/>
      <c r="FQ2833"/>
      <c r="FR2833"/>
      <c r="FS2833"/>
      <c r="FT2833"/>
      <c r="FU2833"/>
      <c r="FV2833"/>
      <c r="FW2833"/>
      <c r="FX2833"/>
      <c r="FY2833"/>
      <c r="FZ2833"/>
      <c r="GA2833"/>
      <c r="GB2833"/>
      <c r="GC2833"/>
      <c r="GD2833"/>
      <c r="GE2833"/>
      <c r="GF2833"/>
      <c r="GG2833"/>
      <c r="GH2833"/>
      <c r="GI2833"/>
      <c r="GJ2833"/>
      <c r="GK2833"/>
      <c r="GL2833"/>
      <c r="GM2833"/>
      <c r="GN2833"/>
      <c r="GO2833"/>
    </row>
    <row r="2834" spans="107:197">
      <c r="DC2834"/>
      <c r="FH2834"/>
      <c r="FI2834"/>
      <c r="FJ2834"/>
      <c r="FK2834"/>
      <c r="FL2834"/>
      <c r="FM2834"/>
      <c r="FN2834"/>
      <c r="FO2834"/>
      <c r="FP2834"/>
      <c r="FQ2834"/>
      <c r="FR2834"/>
      <c r="FS2834"/>
      <c r="FT2834"/>
      <c r="FU2834"/>
      <c r="FV2834"/>
      <c r="FW2834"/>
      <c r="FX2834"/>
      <c r="FY2834"/>
      <c r="FZ2834"/>
      <c r="GA2834"/>
      <c r="GB2834"/>
      <c r="GC2834"/>
      <c r="GD2834"/>
      <c r="GE2834"/>
      <c r="GF2834"/>
      <c r="GG2834"/>
      <c r="GH2834"/>
      <c r="GI2834"/>
      <c r="GJ2834"/>
      <c r="GK2834"/>
      <c r="GL2834"/>
      <c r="GM2834"/>
      <c r="GN2834"/>
      <c r="GO2834"/>
    </row>
    <row r="2835" spans="107:197">
      <c r="DC2835"/>
      <c r="FH2835"/>
      <c r="FI2835"/>
      <c r="FJ2835"/>
      <c r="FK2835"/>
      <c r="FL2835"/>
      <c r="FM2835"/>
      <c r="FN2835"/>
      <c r="FO2835"/>
      <c r="FP2835"/>
      <c r="FQ2835"/>
      <c r="FR2835"/>
      <c r="FS2835"/>
      <c r="FT2835"/>
      <c r="FU2835"/>
      <c r="FV2835"/>
      <c r="FW2835"/>
      <c r="FX2835"/>
      <c r="FY2835"/>
      <c r="FZ2835"/>
      <c r="GA2835"/>
      <c r="GB2835"/>
      <c r="GC2835"/>
      <c r="GD2835"/>
      <c r="GE2835"/>
      <c r="GF2835"/>
      <c r="GG2835"/>
      <c r="GH2835"/>
      <c r="GI2835"/>
      <c r="GJ2835"/>
      <c r="GK2835"/>
      <c r="GL2835"/>
      <c r="GM2835"/>
      <c r="GN2835"/>
      <c r="GO2835"/>
    </row>
    <row r="2836" spans="107:197">
      <c r="DC2836"/>
      <c r="FH2836"/>
      <c r="FI2836"/>
      <c r="FJ2836"/>
      <c r="FK2836"/>
      <c r="FL2836"/>
      <c r="FM2836"/>
      <c r="FN2836"/>
      <c r="FO2836"/>
      <c r="FP2836"/>
      <c r="FQ2836"/>
      <c r="FR2836"/>
      <c r="FS2836"/>
      <c r="FT2836"/>
      <c r="FU2836"/>
      <c r="FV2836"/>
      <c r="FW2836"/>
      <c r="FX2836"/>
      <c r="FY2836"/>
      <c r="FZ2836"/>
      <c r="GA2836"/>
      <c r="GB2836"/>
      <c r="GC2836"/>
      <c r="GD2836"/>
      <c r="GE2836"/>
      <c r="GF2836"/>
      <c r="GG2836"/>
      <c r="GH2836"/>
      <c r="GI2836"/>
      <c r="GJ2836"/>
      <c r="GK2836"/>
      <c r="GL2836"/>
      <c r="GM2836"/>
      <c r="GN2836"/>
      <c r="GO2836"/>
    </row>
    <row r="2837" spans="107:197">
      <c r="DC2837"/>
      <c r="FH2837"/>
      <c r="FI2837"/>
      <c r="FJ2837"/>
      <c r="FK2837"/>
      <c r="FL2837"/>
      <c r="FM2837"/>
      <c r="FN2837"/>
      <c r="FO2837"/>
      <c r="FP2837"/>
      <c r="FQ2837"/>
      <c r="FR2837"/>
      <c r="FS2837"/>
      <c r="FT2837"/>
      <c r="FU2837"/>
      <c r="FV2837"/>
      <c r="FW2837"/>
      <c r="FX2837"/>
      <c r="FY2837"/>
      <c r="FZ2837"/>
      <c r="GA2837"/>
      <c r="GB2837"/>
      <c r="GC2837"/>
      <c r="GD2837"/>
      <c r="GE2837"/>
      <c r="GF2837"/>
      <c r="GG2837"/>
      <c r="GH2837"/>
      <c r="GI2837"/>
      <c r="GJ2837"/>
      <c r="GK2837"/>
      <c r="GL2837"/>
      <c r="GM2837"/>
      <c r="GN2837"/>
      <c r="GO2837"/>
    </row>
    <row r="2838" spans="107:197">
      <c r="DC2838"/>
      <c r="FH2838"/>
      <c r="FI2838"/>
      <c r="FJ2838"/>
      <c r="FK2838"/>
      <c r="FL2838"/>
      <c r="FM2838"/>
      <c r="FN2838"/>
      <c r="FO2838"/>
      <c r="FP2838"/>
      <c r="FQ2838"/>
      <c r="FR2838"/>
      <c r="FS2838"/>
      <c r="FT2838"/>
      <c r="FU2838"/>
      <c r="FV2838"/>
      <c r="FW2838"/>
      <c r="FX2838"/>
      <c r="FY2838"/>
      <c r="FZ2838"/>
      <c r="GA2838"/>
      <c r="GB2838"/>
      <c r="GC2838"/>
      <c r="GD2838"/>
      <c r="GE2838"/>
      <c r="GF2838"/>
      <c r="GG2838"/>
      <c r="GH2838"/>
      <c r="GI2838"/>
      <c r="GJ2838"/>
      <c r="GK2838"/>
      <c r="GL2838"/>
      <c r="GM2838"/>
      <c r="GN2838"/>
      <c r="GO2838"/>
    </row>
    <row r="2839" spans="107:197">
      <c r="DC2839"/>
      <c r="FH2839"/>
      <c r="FI2839"/>
      <c r="FJ2839"/>
      <c r="FK2839"/>
      <c r="FL2839"/>
      <c r="FM2839"/>
      <c r="FN2839"/>
      <c r="FO2839"/>
      <c r="FP2839"/>
      <c r="FQ2839"/>
      <c r="FR2839"/>
      <c r="FS2839"/>
      <c r="FT2839"/>
      <c r="FU2839"/>
      <c r="FV2839"/>
      <c r="FW2839"/>
      <c r="FX2839"/>
      <c r="FY2839"/>
      <c r="FZ2839"/>
      <c r="GA2839"/>
      <c r="GB2839"/>
      <c r="GC2839"/>
      <c r="GD2839"/>
      <c r="GE2839"/>
      <c r="GF2839"/>
      <c r="GG2839"/>
      <c r="GH2839"/>
      <c r="GI2839"/>
      <c r="GJ2839"/>
      <c r="GK2839"/>
      <c r="GL2839"/>
      <c r="GM2839"/>
      <c r="GN2839"/>
      <c r="GO2839"/>
    </row>
    <row r="2840" spans="107:197">
      <c r="DC2840"/>
      <c r="FH2840"/>
      <c r="FI2840"/>
      <c r="FJ2840"/>
      <c r="FK2840"/>
      <c r="FL2840"/>
      <c r="FM2840"/>
      <c r="FN2840"/>
      <c r="FO2840"/>
      <c r="FP2840"/>
      <c r="FQ2840"/>
      <c r="FR2840"/>
      <c r="FS2840"/>
      <c r="FT2840"/>
      <c r="FU2840"/>
      <c r="FV2840"/>
      <c r="FW2840"/>
      <c r="FX2840"/>
      <c r="FY2840"/>
      <c r="FZ2840"/>
      <c r="GA2840"/>
      <c r="GB2840"/>
      <c r="GC2840"/>
      <c r="GD2840"/>
      <c r="GE2840"/>
      <c r="GF2840"/>
      <c r="GG2840"/>
      <c r="GH2840"/>
      <c r="GI2840"/>
      <c r="GJ2840"/>
      <c r="GK2840"/>
      <c r="GL2840"/>
      <c r="GM2840"/>
      <c r="GN2840"/>
      <c r="GO2840"/>
    </row>
    <row r="2841" spans="107:197">
      <c r="DC2841"/>
      <c r="FH2841"/>
      <c r="FI2841"/>
      <c r="FJ2841"/>
      <c r="FK2841"/>
      <c r="FL2841"/>
      <c r="FM2841"/>
      <c r="FN2841"/>
      <c r="FO2841"/>
      <c r="FP2841"/>
      <c r="FQ2841"/>
      <c r="FR2841"/>
      <c r="FS2841"/>
      <c r="FT2841"/>
      <c r="FU2841"/>
      <c r="FV2841"/>
      <c r="FW2841"/>
      <c r="FX2841"/>
      <c r="FY2841"/>
      <c r="FZ2841"/>
      <c r="GA2841"/>
      <c r="GB2841"/>
      <c r="GC2841"/>
      <c r="GD2841"/>
      <c r="GE2841"/>
      <c r="GF2841"/>
      <c r="GG2841"/>
      <c r="GH2841"/>
      <c r="GI2841"/>
      <c r="GJ2841"/>
      <c r="GK2841"/>
      <c r="GL2841"/>
      <c r="GM2841"/>
      <c r="GN2841"/>
      <c r="GO2841"/>
    </row>
    <row r="2842" spans="107:197">
      <c r="DC2842"/>
      <c r="FH2842"/>
      <c r="FI2842"/>
      <c r="FJ2842"/>
      <c r="FK2842"/>
      <c r="FL2842"/>
      <c r="FM2842"/>
      <c r="FN2842"/>
      <c r="FO2842"/>
      <c r="FP2842"/>
      <c r="FQ2842"/>
      <c r="FR2842"/>
      <c r="FS2842"/>
      <c r="FT2842"/>
      <c r="FU2842"/>
      <c r="FV2842"/>
      <c r="FW2842"/>
      <c r="FX2842"/>
      <c r="FY2842"/>
      <c r="FZ2842"/>
      <c r="GA2842"/>
      <c r="GB2842"/>
      <c r="GC2842"/>
      <c r="GD2842"/>
      <c r="GE2842"/>
      <c r="GF2842"/>
      <c r="GG2842"/>
      <c r="GH2842"/>
      <c r="GI2842"/>
      <c r="GJ2842"/>
      <c r="GK2842"/>
      <c r="GL2842"/>
      <c r="GM2842"/>
      <c r="GN2842"/>
      <c r="GO2842"/>
    </row>
    <row r="2843" spans="107:197">
      <c r="DC2843"/>
      <c r="FH2843"/>
      <c r="FI2843"/>
      <c r="FJ2843"/>
      <c r="FK2843"/>
      <c r="FL2843"/>
      <c r="FM2843"/>
      <c r="FN2843"/>
      <c r="FO2843"/>
      <c r="FP2843"/>
      <c r="FQ2843"/>
      <c r="FR2843"/>
      <c r="FS2843"/>
      <c r="FT2843"/>
      <c r="FU2843"/>
      <c r="FV2843"/>
      <c r="FW2843"/>
      <c r="FX2843"/>
      <c r="FY2843"/>
      <c r="FZ2843"/>
      <c r="GA2843"/>
      <c r="GB2843"/>
      <c r="GC2843"/>
      <c r="GD2843"/>
      <c r="GE2843"/>
      <c r="GF2843"/>
      <c r="GG2843"/>
      <c r="GH2843"/>
      <c r="GI2843"/>
      <c r="GJ2843"/>
      <c r="GK2843"/>
      <c r="GL2843"/>
      <c r="GM2843"/>
      <c r="GN2843"/>
      <c r="GO2843"/>
    </row>
    <row r="2844" spans="107:197">
      <c r="DC2844"/>
      <c r="FH2844"/>
      <c r="FI2844"/>
      <c r="FJ2844"/>
      <c r="FK2844"/>
      <c r="FL2844"/>
      <c r="FM2844"/>
      <c r="FN2844"/>
      <c r="FO2844"/>
      <c r="FP2844"/>
      <c r="FQ2844"/>
      <c r="FR2844"/>
      <c r="FS2844"/>
      <c r="FT2844"/>
      <c r="FU2844"/>
      <c r="FV2844"/>
      <c r="FW2844"/>
      <c r="FX2844"/>
      <c r="FY2844"/>
      <c r="FZ2844"/>
      <c r="GA2844"/>
      <c r="GB2844"/>
      <c r="GC2844"/>
      <c r="GD2844"/>
      <c r="GE2844"/>
      <c r="GF2844"/>
      <c r="GG2844"/>
      <c r="GH2844"/>
      <c r="GI2844"/>
      <c r="GJ2844"/>
      <c r="GK2844"/>
      <c r="GL2844"/>
      <c r="GM2844"/>
      <c r="GN2844"/>
      <c r="GO2844"/>
    </row>
    <row r="2845" spans="107:197">
      <c r="DC2845"/>
      <c r="FH2845"/>
      <c r="FI2845"/>
      <c r="FJ2845"/>
      <c r="FK2845"/>
      <c r="FL2845"/>
      <c r="FM2845"/>
      <c r="FN2845"/>
      <c r="FO2845"/>
      <c r="FP2845"/>
      <c r="FQ2845"/>
      <c r="FR2845"/>
      <c r="FS2845"/>
      <c r="FT2845"/>
      <c r="FU2845"/>
      <c r="FV2845"/>
      <c r="FW2845"/>
      <c r="FX2845"/>
      <c r="FY2845"/>
      <c r="FZ2845"/>
      <c r="GA2845"/>
      <c r="GB2845"/>
      <c r="GC2845"/>
      <c r="GD2845"/>
      <c r="GE2845"/>
      <c r="GF2845"/>
      <c r="GG2845"/>
      <c r="GH2845"/>
      <c r="GI2845"/>
      <c r="GJ2845"/>
      <c r="GK2845"/>
      <c r="GL2845"/>
      <c r="GM2845"/>
      <c r="GN2845"/>
      <c r="GO2845"/>
    </row>
    <row r="2846" spans="107:197">
      <c r="DC2846"/>
      <c r="FH2846"/>
      <c r="FI2846"/>
      <c r="FJ2846"/>
      <c r="FK2846"/>
      <c r="FL2846"/>
      <c r="FM2846"/>
      <c r="FN2846"/>
      <c r="FO2846"/>
      <c r="FP2846"/>
      <c r="FQ2846"/>
      <c r="FR2846"/>
      <c r="FS2846"/>
      <c r="FT2846"/>
      <c r="FU2846"/>
      <c r="FV2846"/>
      <c r="FW2846"/>
      <c r="FX2846"/>
      <c r="FY2846"/>
      <c r="FZ2846"/>
      <c r="GA2846"/>
      <c r="GB2846"/>
      <c r="GC2846"/>
      <c r="GD2846"/>
      <c r="GE2846"/>
      <c r="GF2846"/>
      <c r="GG2846"/>
      <c r="GH2846"/>
      <c r="GI2846"/>
      <c r="GJ2846"/>
      <c r="GK2846"/>
      <c r="GL2846"/>
      <c r="GM2846"/>
      <c r="GN2846"/>
      <c r="GO2846"/>
    </row>
    <row r="2847" spans="107:197">
      <c r="DC2847"/>
      <c r="FH2847"/>
      <c r="FI2847"/>
      <c r="FJ2847"/>
      <c r="FK2847"/>
      <c r="FL2847"/>
      <c r="FM2847"/>
      <c r="FN2847"/>
      <c r="FO2847"/>
      <c r="FP2847"/>
      <c r="FQ2847"/>
      <c r="FR2847"/>
      <c r="FS2847"/>
      <c r="FT2847"/>
      <c r="FU2847"/>
      <c r="FV2847"/>
      <c r="FW2847"/>
      <c r="FX2847"/>
      <c r="FY2847"/>
      <c r="FZ2847"/>
      <c r="GA2847"/>
      <c r="GB2847"/>
      <c r="GC2847"/>
      <c r="GD2847"/>
      <c r="GE2847"/>
      <c r="GF2847"/>
      <c r="GG2847"/>
      <c r="GH2847"/>
      <c r="GI2847"/>
      <c r="GJ2847"/>
      <c r="GK2847"/>
      <c r="GL2847"/>
      <c r="GM2847"/>
      <c r="GN2847"/>
      <c r="GO2847"/>
    </row>
    <row r="2848" spans="107:197">
      <c r="DC2848"/>
      <c r="FH2848"/>
      <c r="FI2848"/>
      <c r="FJ2848"/>
      <c r="FK2848"/>
      <c r="FL2848"/>
      <c r="FM2848"/>
      <c r="FN2848"/>
      <c r="FO2848"/>
      <c r="FP2848"/>
      <c r="FQ2848"/>
      <c r="FR2848"/>
      <c r="FS2848"/>
      <c r="FT2848"/>
      <c r="FU2848"/>
      <c r="FV2848"/>
      <c r="FW2848"/>
      <c r="FX2848"/>
      <c r="FY2848"/>
      <c r="FZ2848"/>
      <c r="GA2848"/>
      <c r="GB2848"/>
      <c r="GC2848"/>
      <c r="GD2848"/>
      <c r="GE2848"/>
      <c r="GF2848"/>
      <c r="GG2848"/>
      <c r="GH2848"/>
      <c r="GI2848"/>
      <c r="GJ2848"/>
      <c r="GK2848"/>
      <c r="GL2848"/>
      <c r="GM2848"/>
      <c r="GN2848"/>
      <c r="GO2848"/>
    </row>
    <row r="2849" spans="107:197">
      <c r="DC2849"/>
      <c r="FH2849"/>
      <c r="FI2849"/>
      <c r="FJ2849"/>
      <c r="FK2849"/>
      <c r="FL2849"/>
      <c r="FM2849"/>
      <c r="FN2849"/>
      <c r="FO2849"/>
      <c r="FP2849"/>
      <c r="FQ2849"/>
      <c r="FR2849"/>
      <c r="FS2849"/>
      <c r="FT2849"/>
      <c r="FU2849"/>
      <c r="FV2849"/>
      <c r="FW2849"/>
      <c r="FX2849"/>
      <c r="FY2849"/>
      <c r="FZ2849"/>
      <c r="GA2849"/>
      <c r="GB2849"/>
      <c r="GC2849"/>
      <c r="GD2849"/>
      <c r="GE2849"/>
      <c r="GF2849"/>
      <c r="GG2849"/>
      <c r="GH2849"/>
      <c r="GI2849"/>
      <c r="GJ2849"/>
      <c r="GK2849"/>
      <c r="GL2849"/>
      <c r="GM2849"/>
      <c r="GN2849"/>
      <c r="GO2849"/>
    </row>
    <row r="2850" spans="107:197">
      <c r="DC2850"/>
      <c r="FH2850"/>
      <c r="FI2850"/>
      <c r="FJ2850"/>
      <c r="FK2850"/>
      <c r="FL2850"/>
      <c r="FM2850"/>
      <c r="FN2850"/>
      <c r="FO2850"/>
      <c r="FP2850"/>
      <c r="FQ2850"/>
      <c r="FR2850"/>
      <c r="FS2850"/>
      <c r="FT2850"/>
      <c r="FU2850"/>
      <c r="FV2850"/>
      <c r="FW2850"/>
      <c r="FX2850"/>
      <c r="FY2850"/>
      <c r="FZ2850"/>
      <c r="GA2850"/>
      <c r="GB2850"/>
      <c r="GC2850"/>
      <c r="GD2850"/>
      <c r="GE2850"/>
      <c r="GF2850"/>
      <c r="GG2850"/>
      <c r="GH2850"/>
      <c r="GI2850"/>
      <c r="GJ2850"/>
      <c r="GK2850"/>
      <c r="GL2850"/>
      <c r="GM2850"/>
      <c r="GN2850"/>
      <c r="GO2850"/>
    </row>
    <row r="2851" spans="107:197">
      <c r="DC2851"/>
      <c r="FH2851"/>
      <c r="FI2851"/>
      <c r="FJ2851"/>
      <c r="FK2851"/>
      <c r="FL2851"/>
      <c r="FM2851"/>
      <c r="FN2851"/>
      <c r="FO2851"/>
      <c r="FP2851"/>
      <c r="FQ2851"/>
      <c r="FR2851"/>
      <c r="FS2851"/>
      <c r="FT2851"/>
      <c r="FU2851"/>
      <c r="FV2851"/>
      <c r="FW2851"/>
      <c r="FX2851"/>
      <c r="FY2851"/>
      <c r="FZ2851"/>
      <c r="GA2851"/>
      <c r="GB2851"/>
      <c r="GC2851"/>
      <c r="GD2851"/>
      <c r="GE2851"/>
      <c r="GF2851"/>
      <c r="GG2851"/>
      <c r="GH2851"/>
      <c r="GI2851"/>
      <c r="GJ2851"/>
      <c r="GK2851"/>
      <c r="GL2851"/>
      <c r="GM2851"/>
      <c r="GN2851"/>
      <c r="GO2851"/>
    </row>
    <row r="2852" spans="107:197">
      <c r="DC2852"/>
      <c r="FH2852"/>
      <c r="FI2852"/>
      <c r="FJ2852"/>
      <c r="FK2852"/>
      <c r="FL2852"/>
      <c r="FM2852"/>
      <c r="FN2852"/>
      <c r="FO2852"/>
      <c r="FP2852"/>
      <c r="FQ2852"/>
      <c r="FR2852"/>
      <c r="FS2852"/>
      <c r="FT2852"/>
      <c r="FU2852"/>
      <c r="FV2852"/>
      <c r="FW2852"/>
      <c r="FX2852"/>
      <c r="FY2852"/>
      <c r="FZ2852"/>
      <c r="GA2852"/>
      <c r="GB2852"/>
      <c r="GC2852"/>
      <c r="GD2852"/>
      <c r="GE2852"/>
      <c r="GF2852"/>
      <c r="GG2852"/>
      <c r="GH2852"/>
      <c r="GI2852"/>
      <c r="GJ2852"/>
      <c r="GK2852"/>
      <c r="GL2852"/>
      <c r="GM2852"/>
      <c r="GN2852"/>
      <c r="GO2852"/>
    </row>
    <row r="2853" spans="107:197">
      <c r="DC2853"/>
      <c r="FH2853"/>
      <c r="FI2853"/>
      <c r="FJ2853"/>
      <c r="FK2853"/>
      <c r="FL2853"/>
      <c r="FM2853"/>
      <c r="FN2853"/>
      <c r="FO2853"/>
      <c r="FP2853"/>
      <c r="FQ2853"/>
      <c r="FR2853"/>
      <c r="FS2853"/>
      <c r="FT2853"/>
      <c r="FU2853"/>
      <c r="FV2853"/>
      <c r="FW2853"/>
      <c r="FX2853"/>
      <c r="FY2853"/>
      <c r="FZ2853"/>
      <c r="GA2853"/>
      <c r="GB2853"/>
      <c r="GC2853"/>
      <c r="GD2853"/>
      <c r="GE2853"/>
      <c r="GF2853"/>
      <c r="GG2853"/>
      <c r="GH2853"/>
      <c r="GI2853"/>
      <c r="GJ2853"/>
      <c r="GK2853"/>
      <c r="GL2853"/>
      <c r="GM2853"/>
      <c r="GN2853"/>
      <c r="GO2853"/>
    </row>
    <row r="2854" spans="107:197">
      <c r="DC2854"/>
      <c r="FH2854"/>
      <c r="FI2854"/>
      <c r="FJ2854"/>
      <c r="FK2854"/>
      <c r="FL2854"/>
      <c r="FM2854"/>
      <c r="FN2854"/>
      <c r="FO2854"/>
      <c r="FP2854"/>
      <c r="FQ2854"/>
      <c r="FR2854"/>
      <c r="FS2854"/>
      <c r="FT2854"/>
      <c r="FU2854"/>
      <c r="FV2854"/>
      <c r="FW2854"/>
      <c r="FX2854"/>
      <c r="FY2854"/>
      <c r="FZ2854"/>
      <c r="GA2854"/>
      <c r="GB2854"/>
      <c r="GC2854"/>
      <c r="GD2854"/>
      <c r="GE2854"/>
      <c r="GF2854"/>
      <c r="GG2854"/>
      <c r="GH2854"/>
      <c r="GI2854"/>
      <c r="GJ2854"/>
      <c r="GK2854"/>
      <c r="GL2854"/>
      <c r="GM2854"/>
      <c r="GN2854"/>
      <c r="GO2854"/>
    </row>
    <row r="2855" spans="107:197">
      <c r="DC2855"/>
      <c r="FH2855"/>
      <c r="FI2855"/>
      <c r="FJ2855"/>
      <c r="FK2855"/>
      <c r="FL2855"/>
      <c r="FM2855"/>
      <c r="FN2855"/>
      <c r="FO2855"/>
      <c r="FP2855"/>
      <c r="FQ2855"/>
      <c r="FR2855"/>
      <c r="FS2855"/>
      <c r="FT2855"/>
      <c r="FU2855"/>
      <c r="FV2855"/>
      <c r="FW2855"/>
      <c r="FX2855"/>
      <c r="FY2855"/>
      <c r="FZ2855"/>
      <c r="GA2855"/>
      <c r="GB2855"/>
      <c r="GC2855"/>
      <c r="GD2855"/>
      <c r="GE2855"/>
      <c r="GF2855"/>
      <c r="GG2855"/>
      <c r="GH2855"/>
      <c r="GI2855"/>
      <c r="GJ2855"/>
      <c r="GK2855"/>
      <c r="GL2855"/>
      <c r="GM2855"/>
      <c r="GN2855"/>
      <c r="GO2855"/>
    </row>
    <row r="2856" spans="107:197">
      <c r="DC2856"/>
      <c r="FH2856"/>
      <c r="FI2856"/>
      <c r="FJ2856"/>
      <c r="FK2856"/>
      <c r="FL2856"/>
      <c r="FM2856"/>
      <c r="FN2856"/>
      <c r="FO2856"/>
      <c r="FP2856"/>
      <c r="FQ2856"/>
      <c r="FR2856"/>
      <c r="FS2856"/>
      <c r="FT2856"/>
      <c r="FU2856"/>
      <c r="FV2856"/>
      <c r="FW2856"/>
      <c r="FX2856"/>
      <c r="FY2856"/>
      <c r="FZ2856"/>
      <c r="GA2856"/>
      <c r="GB2856"/>
      <c r="GC2856"/>
      <c r="GD2856"/>
      <c r="GE2856"/>
      <c r="GF2856"/>
      <c r="GG2856"/>
      <c r="GH2856"/>
      <c r="GI2856"/>
      <c r="GJ2856"/>
      <c r="GK2856"/>
      <c r="GL2856"/>
      <c r="GM2856"/>
      <c r="GN2856"/>
      <c r="GO2856"/>
    </row>
    <row r="2857" spans="107:197">
      <c r="DC2857"/>
      <c r="FH2857"/>
      <c r="FI2857"/>
      <c r="FJ2857"/>
      <c r="FK2857"/>
      <c r="FL2857"/>
      <c r="FM2857"/>
      <c r="FN2857"/>
      <c r="FO2857"/>
      <c r="FP2857"/>
      <c r="FQ2857"/>
      <c r="FR2857"/>
      <c r="FS2857"/>
      <c r="FT2857"/>
      <c r="FU2857"/>
      <c r="FV2857"/>
      <c r="FW2857"/>
      <c r="FX2857"/>
      <c r="FY2857"/>
      <c r="FZ2857"/>
      <c r="GA2857"/>
      <c r="GB2857"/>
      <c r="GC2857"/>
      <c r="GD2857"/>
      <c r="GE2857"/>
      <c r="GF2857"/>
      <c r="GG2857"/>
      <c r="GH2857"/>
      <c r="GI2857"/>
      <c r="GJ2857"/>
      <c r="GK2857"/>
      <c r="GL2857"/>
      <c r="GM2857"/>
      <c r="GN2857"/>
      <c r="GO2857"/>
    </row>
    <row r="2858" spans="107:197">
      <c r="DC2858"/>
      <c r="FH2858"/>
      <c r="FI2858"/>
      <c r="FJ2858"/>
      <c r="FK2858"/>
      <c r="FL2858"/>
      <c r="FM2858"/>
      <c r="FN2858"/>
      <c r="FO2858"/>
      <c r="FP2858"/>
      <c r="FQ2858"/>
      <c r="FR2858"/>
      <c r="FS2858"/>
      <c r="FT2858"/>
      <c r="FU2858"/>
      <c r="FV2858"/>
      <c r="FW2858"/>
      <c r="FX2858"/>
      <c r="FY2858"/>
      <c r="FZ2858"/>
      <c r="GA2858"/>
      <c r="GB2858"/>
      <c r="GC2858"/>
      <c r="GD2858"/>
      <c r="GE2858"/>
      <c r="GF2858"/>
      <c r="GG2858"/>
      <c r="GH2858"/>
      <c r="GI2858"/>
      <c r="GJ2858"/>
      <c r="GK2858"/>
      <c r="GL2858"/>
      <c r="GM2858"/>
      <c r="GN2858"/>
      <c r="GO2858"/>
    </row>
    <row r="2859" spans="107:197">
      <c r="DC2859"/>
      <c r="FH2859"/>
      <c r="FI2859"/>
      <c r="FJ2859"/>
      <c r="FK2859"/>
      <c r="FL2859"/>
      <c r="FM2859"/>
      <c r="FN2859"/>
      <c r="FO2859"/>
      <c r="FP2859"/>
      <c r="FQ2859"/>
      <c r="FR2859"/>
      <c r="FS2859"/>
      <c r="FT2859"/>
      <c r="FU2859"/>
      <c r="FV2859"/>
      <c r="FW2859"/>
      <c r="FX2859"/>
      <c r="FY2859"/>
      <c r="FZ2859"/>
      <c r="GA2859"/>
      <c r="GB2859"/>
      <c r="GC2859"/>
      <c r="GD2859"/>
      <c r="GE2859"/>
      <c r="GF2859"/>
      <c r="GG2859"/>
      <c r="GH2859"/>
      <c r="GI2859"/>
      <c r="GJ2859"/>
      <c r="GK2859"/>
      <c r="GL2859"/>
      <c r="GM2859"/>
      <c r="GN2859"/>
      <c r="GO2859"/>
    </row>
    <row r="2860" spans="107:197">
      <c r="DC2860"/>
      <c r="FH2860"/>
      <c r="FI2860"/>
      <c r="FJ2860"/>
      <c r="FK2860"/>
      <c r="FL2860"/>
      <c r="FM2860"/>
      <c r="FN2860"/>
      <c r="FO2860"/>
      <c r="FP2860"/>
      <c r="FQ2860"/>
      <c r="FR2860"/>
      <c r="FS2860"/>
      <c r="FT2860"/>
      <c r="FU2860"/>
      <c r="FV2860"/>
      <c r="FW2860"/>
      <c r="FX2860"/>
      <c r="FY2860"/>
      <c r="FZ2860"/>
      <c r="GA2860"/>
      <c r="GB2860"/>
      <c r="GC2860"/>
      <c r="GD2860"/>
      <c r="GE2860"/>
      <c r="GF2860"/>
      <c r="GG2860"/>
      <c r="GH2860"/>
      <c r="GI2860"/>
      <c r="GJ2860"/>
      <c r="GK2860"/>
      <c r="GL2860"/>
      <c r="GM2860"/>
      <c r="GN2860"/>
      <c r="GO2860"/>
    </row>
    <row r="2861" spans="107:197">
      <c r="DC2861"/>
      <c r="FH2861"/>
      <c r="FI2861"/>
      <c r="FJ2861"/>
      <c r="FK2861"/>
      <c r="FL2861"/>
      <c r="FM2861"/>
      <c r="FN2861"/>
      <c r="FO2861"/>
      <c r="FP2861"/>
      <c r="FQ2861"/>
      <c r="FR2861"/>
      <c r="FS2861"/>
      <c r="FT2861"/>
      <c r="FU2861"/>
      <c r="FV2861"/>
      <c r="FW2861"/>
      <c r="FX2861"/>
      <c r="FY2861"/>
      <c r="FZ2861"/>
      <c r="GA2861"/>
      <c r="GB2861"/>
      <c r="GC2861"/>
      <c r="GD2861"/>
      <c r="GE2861"/>
      <c r="GF2861"/>
      <c r="GG2861"/>
      <c r="GH2861"/>
      <c r="GI2861"/>
      <c r="GJ2861"/>
      <c r="GK2861"/>
      <c r="GL2861"/>
      <c r="GM2861"/>
      <c r="GN2861"/>
      <c r="GO2861"/>
    </row>
    <row r="2862" spans="107:197">
      <c r="DC2862"/>
      <c r="FH2862"/>
      <c r="FI2862"/>
      <c r="FJ2862"/>
      <c r="FK2862"/>
      <c r="FL2862"/>
      <c r="FM2862"/>
      <c r="FN2862"/>
      <c r="FO2862"/>
      <c r="FP2862"/>
      <c r="FQ2862"/>
      <c r="FR2862"/>
      <c r="FS2862"/>
      <c r="FT2862"/>
      <c r="FU2862"/>
      <c r="FV2862"/>
      <c r="FW2862"/>
      <c r="FX2862"/>
      <c r="FY2862"/>
      <c r="FZ2862"/>
      <c r="GA2862"/>
      <c r="GB2862"/>
      <c r="GC2862"/>
      <c r="GD2862"/>
      <c r="GE2862"/>
      <c r="GF2862"/>
      <c r="GG2862"/>
      <c r="GH2862"/>
      <c r="GI2862"/>
      <c r="GJ2862"/>
      <c r="GK2862"/>
      <c r="GL2862"/>
      <c r="GM2862"/>
      <c r="GN2862"/>
      <c r="GO2862"/>
    </row>
    <row r="2863" spans="107:197">
      <c r="DC2863"/>
      <c r="FH2863"/>
      <c r="FI2863"/>
      <c r="FJ2863"/>
      <c r="FK2863"/>
      <c r="FL2863"/>
      <c r="FM2863"/>
      <c r="FN2863"/>
      <c r="FO2863"/>
      <c r="FP2863"/>
      <c r="FQ2863"/>
      <c r="FR2863"/>
      <c r="FS2863"/>
      <c r="FT2863"/>
      <c r="FU2863"/>
      <c r="FV2863"/>
      <c r="FW2863"/>
      <c r="FX2863"/>
      <c r="FY2863"/>
      <c r="FZ2863"/>
      <c r="GA2863"/>
      <c r="GB2863"/>
      <c r="GC2863"/>
      <c r="GD2863"/>
      <c r="GE2863"/>
      <c r="GF2863"/>
      <c r="GG2863"/>
      <c r="GH2863"/>
      <c r="GI2863"/>
      <c r="GJ2863"/>
      <c r="GK2863"/>
      <c r="GL2863"/>
      <c r="GM2863"/>
      <c r="GN2863"/>
      <c r="GO2863"/>
    </row>
    <row r="2864" spans="107:197">
      <c r="DC2864"/>
      <c r="FH2864"/>
      <c r="FI2864"/>
      <c r="FJ2864"/>
      <c r="FK2864"/>
      <c r="FL2864"/>
      <c r="FM2864"/>
      <c r="FN2864"/>
      <c r="FO2864"/>
      <c r="FP2864"/>
      <c r="FQ2864"/>
      <c r="FR2864"/>
      <c r="FS2864"/>
      <c r="FT2864"/>
      <c r="FU2864"/>
      <c r="FV2864"/>
      <c r="FW2864"/>
      <c r="FX2864"/>
      <c r="FY2864"/>
      <c r="FZ2864"/>
      <c r="GA2864"/>
      <c r="GB2864"/>
      <c r="GC2864"/>
      <c r="GD2864"/>
      <c r="GE2864"/>
      <c r="GF2864"/>
      <c r="GG2864"/>
      <c r="GH2864"/>
      <c r="GI2864"/>
      <c r="GJ2864"/>
      <c r="GK2864"/>
      <c r="GL2864"/>
      <c r="GM2864"/>
      <c r="GN2864"/>
      <c r="GO2864"/>
    </row>
    <row r="2865" spans="107:197">
      <c r="DC2865"/>
      <c r="FH2865"/>
      <c r="FI2865"/>
      <c r="FJ2865"/>
      <c r="FK2865"/>
      <c r="FL2865"/>
      <c r="FM2865"/>
      <c r="FN2865"/>
      <c r="FO2865"/>
      <c r="FP2865"/>
      <c r="FQ2865"/>
      <c r="FR2865"/>
      <c r="FS2865"/>
      <c r="FT2865"/>
      <c r="FU2865"/>
      <c r="FV2865"/>
      <c r="FW2865"/>
      <c r="FX2865"/>
      <c r="FY2865"/>
      <c r="FZ2865"/>
      <c r="GA2865"/>
      <c r="GB2865"/>
      <c r="GC2865"/>
      <c r="GD2865"/>
      <c r="GE2865"/>
      <c r="GF2865"/>
      <c r="GG2865"/>
      <c r="GH2865"/>
      <c r="GI2865"/>
      <c r="GJ2865"/>
      <c r="GK2865"/>
      <c r="GL2865"/>
      <c r="GM2865"/>
      <c r="GN2865"/>
      <c r="GO2865"/>
    </row>
    <row r="2866" spans="107:197">
      <c r="DC2866"/>
      <c r="FH2866"/>
      <c r="FI2866"/>
      <c r="FJ2866"/>
      <c r="FK2866"/>
      <c r="FL2866"/>
      <c r="FM2866"/>
      <c r="FN2866"/>
      <c r="FO2866"/>
      <c r="FP2866"/>
      <c r="FQ2866"/>
      <c r="FR2866"/>
      <c r="FS2866"/>
      <c r="FT2866"/>
      <c r="FU2866"/>
      <c r="FV2866"/>
      <c r="FW2866"/>
      <c r="FX2866"/>
      <c r="FY2866"/>
      <c r="FZ2866"/>
      <c r="GA2866"/>
      <c r="GB2866"/>
      <c r="GC2866"/>
      <c r="GD2866"/>
      <c r="GE2866"/>
      <c r="GF2866"/>
      <c r="GG2866"/>
      <c r="GH2866"/>
      <c r="GI2866"/>
      <c r="GJ2866"/>
      <c r="GK2866"/>
      <c r="GL2866"/>
      <c r="GM2866"/>
      <c r="GN2866"/>
      <c r="GO2866"/>
    </row>
    <row r="2867" spans="107:197">
      <c r="DC2867"/>
      <c r="FH2867"/>
      <c r="FI2867"/>
      <c r="FJ2867"/>
      <c r="FK2867"/>
      <c r="FL2867"/>
      <c r="FM2867"/>
      <c r="FN2867"/>
      <c r="FO2867"/>
      <c r="FP2867"/>
      <c r="FQ2867"/>
      <c r="FR2867"/>
      <c r="FS2867"/>
      <c r="FT2867"/>
      <c r="FU2867"/>
      <c r="FV2867"/>
      <c r="FW2867"/>
      <c r="FX2867"/>
      <c r="FY2867"/>
      <c r="FZ2867"/>
      <c r="GA2867"/>
      <c r="GB2867"/>
      <c r="GC2867"/>
      <c r="GD2867"/>
      <c r="GE2867"/>
      <c r="GF2867"/>
      <c r="GG2867"/>
      <c r="GH2867"/>
      <c r="GI2867"/>
      <c r="GJ2867"/>
      <c r="GK2867"/>
      <c r="GL2867"/>
      <c r="GM2867"/>
      <c r="GN2867"/>
      <c r="GO2867"/>
    </row>
    <row r="2868" spans="107:197">
      <c r="DC2868"/>
      <c r="FH2868"/>
      <c r="FI2868"/>
      <c r="FJ2868"/>
      <c r="FK2868"/>
      <c r="FL2868"/>
      <c r="FM2868"/>
      <c r="FN2868"/>
      <c r="FO2868"/>
      <c r="FP2868"/>
      <c r="FQ2868"/>
      <c r="FR2868"/>
      <c r="FS2868"/>
      <c r="FT2868"/>
      <c r="FU2868"/>
      <c r="FV2868"/>
      <c r="FW2868"/>
      <c r="FX2868"/>
      <c r="FY2868"/>
      <c r="FZ2868"/>
      <c r="GA2868"/>
      <c r="GB2868"/>
      <c r="GC2868"/>
      <c r="GD2868"/>
      <c r="GE2868"/>
      <c r="GF2868"/>
      <c r="GG2868"/>
      <c r="GH2868"/>
      <c r="GI2868"/>
      <c r="GJ2868"/>
      <c r="GK2868"/>
      <c r="GL2868"/>
      <c r="GM2868"/>
      <c r="GN2868"/>
      <c r="GO2868"/>
    </row>
    <row r="2869" spans="107:197">
      <c r="DC2869"/>
      <c r="FH2869"/>
      <c r="FI2869"/>
      <c r="FJ2869"/>
      <c r="FK2869"/>
      <c r="FL2869"/>
      <c r="FM2869"/>
      <c r="FN2869"/>
      <c r="FO2869"/>
      <c r="FP2869"/>
      <c r="FQ2869"/>
      <c r="FR2869"/>
      <c r="FS2869"/>
      <c r="FT2869"/>
      <c r="FU2869"/>
      <c r="FV2869"/>
      <c r="FW2869"/>
      <c r="FX2869"/>
      <c r="FY2869"/>
      <c r="FZ2869"/>
      <c r="GA2869"/>
      <c r="GB2869"/>
      <c r="GC2869"/>
      <c r="GD2869"/>
      <c r="GE2869"/>
      <c r="GF2869"/>
      <c r="GG2869"/>
      <c r="GH2869"/>
      <c r="GI2869"/>
      <c r="GJ2869"/>
      <c r="GK2869"/>
      <c r="GL2869"/>
      <c r="GM2869"/>
      <c r="GN2869"/>
      <c r="GO2869"/>
    </row>
    <row r="2870" spans="107:197">
      <c r="DC2870"/>
      <c r="FH2870"/>
      <c r="FI2870"/>
      <c r="FJ2870"/>
      <c r="FK2870"/>
      <c r="FL2870"/>
      <c r="FM2870"/>
      <c r="FN2870"/>
      <c r="FO2870"/>
      <c r="FP2870"/>
      <c r="FQ2870"/>
      <c r="FR2870"/>
      <c r="FS2870"/>
      <c r="FT2870"/>
      <c r="FU2870"/>
      <c r="FV2870"/>
      <c r="FW2870"/>
      <c r="FX2870"/>
      <c r="FY2870"/>
      <c r="FZ2870"/>
      <c r="GA2870"/>
      <c r="GB2870"/>
      <c r="GC2870"/>
      <c r="GD2870"/>
      <c r="GE2870"/>
      <c r="GF2870"/>
      <c r="GG2870"/>
      <c r="GH2870"/>
      <c r="GI2870"/>
      <c r="GJ2870"/>
      <c r="GK2870"/>
      <c r="GL2870"/>
      <c r="GM2870"/>
      <c r="GN2870"/>
      <c r="GO2870"/>
    </row>
    <row r="2871" spans="107:197">
      <c r="DC2871"/>
      <c r="FH2871"/>
      <c r="FI2871"/>
      <c r="FJ2871"/>
      <c r="FK2871"/>
      <c r="FL2871"/>
      <c r="FM2871"/>
      <c r="FN2871"/>
      <c r="FO2871"/>
      <c r="FP2871"/>
      <c r="FQ2871"/>
      <c r="FR2871"/>
      <c r="FS2871"/>
      <c r="FT2871"/>
      <c r="FU2871"/>
      <c r="FV2871"/>
      <c r="FW2871"/>
      <c r="FX2871"/>
      <c r="FY2871"/>
      <c r="FZ2871"/>
      <c r="GA2871"/>
      <c r="GB2871"/>
      <c r="GC2871"/>
      <c r="GD2871"/>
      <c r="GE2871"/>
      <c r="GF2871"/>
      <c r="GG2871"/>
      <c r="GH2871"/>
      <c r="GI2871"/>
      <c r="GJ2871"/>
      <c r="GK2871"/>
      <c r="GL2871"/>
      <c r="GM2871"/>
      <c r="GN2871"/>
      <c r="GO2871"/>
    </row>
    <row r="2872" spans="107:197">
      <c r="DC2872"/>
      <c r="FH2872"/>
      <c r="FI2872"/>
      <c r="FJ2872"/>
      <c r="FK2872"/>
      <c r="FL2872"/>
      <c r="FM2872"/>
      <c r="FN2872"/>
      <c r="FO2872"/>
      <c r="FP2872"/>
      <c r="FQ2872"/>
      <c r="FR2872"/>
      <c r="FS2872"/>
      <c r="FT2872"/>
      <c r="FU2872"/>
      <c r="FV2872"/>
      <c r="FW2872"/>
      <c r="FX2872"/>
      <c r="FY2872"/>
      <c r="FZ2872"/>
      <c r="GA2872"/>
      <c r="GB2872"/>
      <c r="GC2872"/>
      <c r="GD2872"/>
      <c r="GE2872"/>
      <c r="GF2872"/>
      <c r="GG2872"/>
      <c r="GH2872"/>
      <c r="GI2872"/>
      <c r="GJ2872"/>
      <c r="GK2872"/>
      <c r="GL2872"/>
      <c r="GM2872"/>
      <c r="GN2872"/>
      <c r="GO2872"/>
    </row>
    <row r="2873" spans="107:197">
      <c r="DC2873"/>
      <c r="FH2873"/>
      <c r="FI2873"/>
      <c r="FJ2873"/>
      <c r="FK2873"/>
      <c r="FL2873"/>
      <c r="FM2873"/>
      <c r="FN2873"/>
      <c r="FO2873"/>
      <c r="FP2873"/>
      <c r="FQ2873"/>
      <c r="FR2873"/>
      <c r="FS2873"/>
      <c r="FT2873"/>
      <c r="FU2873"/>
      <c r="FV2873"/>
      <c r="FW2873"/>
      <c r="FX2873"/>
      <c r="FY2873"/>
      <c r="FZ2873"/>
      <c r="GA2873"/>
      <c r="GB2873"/>
      <c r="GC2873"/>
      <c r="GD2873"/>
      <c r="GE2873"/>
      <c r="GF2873"/>
      <c r="GG2873"/>
      <c r="GH2873"/>
      <c r="GI2873"/>
      <c r="GJ2873"/>
      <c r="GK2873"/>
      <c r="GL2873"/>
      <c r="GM2873"/>
      <c r="GN2873"/>
      <c r="GO2873"/>
    </row>
    <row r="2874" spans="107:197">
      <c r="DC2874"/>
      <c r="FH2874"/>
      <c r="FI2874"/>
      <c r="FJ2874"/>
      <c r="FK2874"/>
      <c r="FL2874"/>
      <c r="FM2874"/>
      <c r="FN2874"/>
      <c r="FO2874"/>
      <c r="FP2874"/>
      <c r="FQ2874"/>
      <c r="FR2874"/>
      <c r="FS2874"/>
      <c r="FT2874"/>
      <c r="FU2874"/>
      <c r="FV2874"/>
      <c r="FW2874"/>
      <c r="FX2874"/>
      <c r="FY2874"/>
      <c r="FZ2874"/>
      <c r="GA2874"/>
      <c r="GB2874"/>
      <c r="GC2874"/>
      <c r="GD2874"/>
      <c r="GE2874"/>
      <c r="GF2874"/>
      <c r="GG2874"/>
      <c r="GH2874"/>
      <c r="GI2874"/>
      <c r="GJ2874"/>
      <c r="GK2874"/>
      <c r="GL2874"/>
      <c r="GM2874"/>
      <c r="GN2874"/>
      <c r="GO2874"/>
    </row>
    <row r="2875" spans="107:197">
      <c r="DC2875"/>
      <c r="FH2875"/>
      <c r="FI2875"/>
      <c r="FJ2875"/>
      <c r="FK2875"/>
      <c r="FL2875"/>
      <c r="FM2875"/>
      <c r="FN2875"/>
      <c r="FO2875"/>
      <c r="FP2875"/>
      <c r="FQ2875"/>
      <c r="FR2875"/>
      <c r="FS2875"/>
      <c r="FT2875"/>
      <c r="FU2875"/>
      <c r="FV2875"/>
      <c r="FW2875"/>
      <c r="FX2875"/>
      <c r="FY2875"/>
      <c r="FZ2875"/>
      <c r="GA2875"/>
      <c r="GB2875"/>
      <c r="GC2875"/>
      <c r="GD2875"/>
      <c r="GE2875"/>
      <c r="GF2875"/>
      <c r="GG2875"/>
      <c r="GH2875"/>
      <c r="GI2875"/>
      <c r="GJ2875"/>
      <c r="GK2875"/>
      <c r="GL2875"/>
      <c r="GM2875"/>
      <c r="GN2875"/>
      <c r="GO2875"/>
    </row>
    <row r="2876" spans="107:197">
      <c r="DC2876"/>
      <c r="FH2876"/>
      <c r="FI2876"/>
      <c r="FJ2876"/>
      <c r="FK2876"/>
      <c r="FL2876"/>
      <c r="FM2876"/>
      <c r="FN2876"/>
      <c r="FO2876"/>
      <c r="FP2876"/>
      <c r="FQ2876"/>
      <c r="FR2876"/>
      <c r="FS2876"/>
      <c r="FT2876"/>
      <c r="FU2876"/>
      <c r="FV2876"/>
      <c r="FW2876"/>
      <c r="FX2876"/>
      <c r="FY2876"/>
      <c r="FZ2876"/>
      <c r="GA2876"/>
      <c r="GB2876"/>
      <c r="GC2876"/>
      <c r="GD2876"/>
      <c r="GE2876"/>
      <c r="GF2876"/>
      <c r="GG2876"/>
      <c r="GH2876"/>
      <c r="GI2876"/>
      <c r="GJ2876"/>
      <c r="GK2876"/>
      <c r="GL2876"/>
      <c r="GM2876"/>
      <c r="GN2876"/>
      <c r="GO2876"/>
    </row>
    <row r="2877" spans="107:197">
      <c r="DC2877"/>
      <c r="FH2877"/>
      <c r="FI2877"/>
      <c r="FJ2877"/>
      <c r="FK2877"/>
      <c r="FL2877"/>
      <c r="FM2877"/>
      <c r="FN2877"/>
      <c r="FO2877"/>
      <c r="FP2877"/>
      <c r="FQ2877"/>
      <c r="FR2877"/>
      <c r="FS2877"/>
      <c r="FT2877"/>
      <c r="FU2877"/>
      <c r="FV2877"/>
      <c r="FW2877"/>
      <c r="FX2877"/>
      <c r="FY2877"/>
      <c r="FZ2877"/>
      <c r="GA2877"/>
      <c r="GB2877"/>
      <c r="GC2877"/>
      <c r="GD2877"/>
      <c r="GE2877"/>
      <c r="GF2877"/>
      <c r="GG2877"/>
      <c r="GH2877"/>
      <c r="GI2877"/>
      <c r="GJ2877"/>
      <c r="GK2877"/>
      <c r="GL2877"/>
      <c r="GM2877"/>
      <c r="GN2877"/>
      <c r="GO2877"/>
    </row>
    <row r="2878" spans="107:197">
      <c r="DC2878"/>
      <c r="FH2878"/>
      <c r="FI2878"/>
      <c r="FJ2878"/>
      <c r="FK2878"/>
      <c r="FL2878"/>
      <c r="FM2878"/>
      <c r="FN2878"/>
      <c r="FO2878"/>
      <c r="FP2878"/>
      <c r="FQ2878"/>
      <c r="FR2878"/>
      <c r="FS2878"/>
      <c r="FT2878"/>
      <c r="FU2878"/>
      <c r="FV2878"/>
      <c r="FW2878"/>
      <c r="FX2878"/>
      <c r="FY2878"/>
      <c r="FZ2878"/>
      <c r="GA2878"/>
      <c r="GB2878"/>
      <c r="GC2878"/>
      <c r="GD2878"/>
      <c r="GE2878"/>
      <c r="GF2878"/>
      <c r="GG2878"/>
      <c r="GH2878"/>
      <c r="GI2878"/>
      <c r="GJ2878"/>
      <c r="GK2878"/>
      <c r="GL2878"/>
      <c r="GM2878"/>
      <c r="GN2878"/>
      <c r="GO2878"/>
    </row>
    <row r="2879" spans="107:197">
      <c r="DC2879"/>
      <c r="FH2879"/>
      <c r="FI2879"/>
      <c r="FJ2879"/>
      <c r="FK2879"/>
      <c r="FL2879"/>
      <c r="FM2879"/>
      <c r="FN2879"/>
      <c r="FO2879"/>
      <c r="FP2879"/>
      <c r="FQ2879"/>
      <c r="FR2879"/>
      <c r="FS2879"/>
      <c r="FT2879"/>
      <c r="FU2879"/>
      <c r="FV2879"/>
      <c r="FW2879"/>
      <c r="FX2879"/>
      <c r="FY2879"/>
      <c r="FZ2879"/>
      <c r="GA2879"/>
      <c r="GB2879"/>
      <c r="GC2879"/>
      <c r="GD2879"/>
      <c r="GE2879"/>
      <c r="GF2879"/>
      <c r="GG2879"/>
      <c r="GH2879"/>
      <c r="GI2879"/>
      <c r="GJ2879"/>
      <c r="GK2879"/>
      <c r="GL2879"/>
      <c r="GM2879"/>
      <c r="GN2879"/>
      <c r="GO2879"/>
    </row>
    <row r="2880" spans="107:197">
      <c r="DC2880"/>
      <c r="FH2880"/>
      <c r="FI2880"/>
      <c r="FJ2880"/>
      <c r="FK2880"/>
      <c r="FL2880"/>
      <c r="FM2880"/>
      <c r="FN2880"/>
      <c r="FO2880"/>
      <c r="FP2880"/>
      <c r="FQ2880"/>
      <c r="FR2880"/>
      <c r="FS2880"/>
      <c r="FT2880"/>
      <c r="FU2880"/>
      <c r="FV2880"/>
      <c r="FW2880"/>
      <c r="FX2880"/>
      <c r="FY2880"/>
      <c r="FZ2880"/>
      <c r="GA2880"/>
      <c r="GB2880"/>
      <c r="GC2880"/>
      <c r="GD2880"/>
      <c r="GE2880"/>
      <c r="GF2880"/>
      <c r="GG2880"/>
      <c r="GH2880"/>
      <c r="GI2880"/>
      <c r="GJ2880"/>
      <c r="GK2880"/>
      <c r="GL2880"/>
      <c r="GM2880"/>
      <c r="GN2880"/>
      <c r="GO2880"/>
    </row>
    <row r="2881" spans="107:197">
      <c r="DC2881"/>
      <c r="FH2881"/>
      <c r="FI2881"/>
      <c r="FJ2881"/>
      <c r="FK2881"/>
      <c r="FL2881"/>
      <c r="FM2881"/>
      <c r="FN2881"/>
      <c r="FO2881"/>
      <c r="FP2881"/>
      <c r="FQ2881"/>
      <c r="FR2881"/>
      <c r="FS2881"/>
      <c r="FT2881"/>
      <c r="FU2881"/>
      <c r="FV2881"/>
      <c r="FW2881"/>
      <c r="FX2881"/>
      <c r="FY2881"/>
      <c r="FZ2881"/>
      <c r="GA2881"/>
      <c r="GB2881"/>
      <c r="GC2881"/>
      <c r="GD2881"/>
      <c r="GE2881"/>
      <c r="GF2881"/>
      <c r="GG2881"/>
      <c r="GH2881"/>
      <c r="GI2881"/>
      <c r="GJ2881"/>
      <c r="GK2881"/>
      <c r="GL2881"/>
      <c r="GM2881"/>
      <c r="GN2881"/>
      <c r="GO2881"/>
    </row>
    <row r="2882" spans="107:197">
      <c r="DC2882"/>
      <c r="FH2882"/>
      <c r="FI2882"/>
      <c r="FJ2882"/>
      <c r="FK2882"/>
      <c r="FL2882"/>
      <c r="FM2882"/>
      <c r="FN2882"/>
      <c r="FO2882"/>
      <c r="FP2882"/>
      <c r="FQ2882"/>
      <c r="FR2882"/>
      <c r="FS2882"/>
      <c r="FT2882"/>
      <c r="FU2882"/>
      <c r="FV2882"/>
      <c r="FW2882"/>
      <c r="FX2882"/>
      <c r="FY2882"/>
      <c r="FZ2882"/>
      <c r="GA2882"/>
      <c r="GB2882"/>
      <c r="GC2882"/>
      <c r="GD2882"/>
      <c r="GE2882"/>
      <c r="GF2882"/>
      <c r="GG2882"/>
      <c r="GH2882"/>
      <c r="GI2882"/>
      <c r="GJ2882"/>
      <c r="GK2882"/>
      <c r="GL2882"/>
      <c r="GM2882"/>
      <c r="GN2882"/>
      <c r="GO2882"/>
    </row>
    <row r="2883" spans="107:197">
      <c r="DC2883"/>
      <c r="FH2883"/>
      <c r="FI2883"/>
      <c r="FJ2883"/>
      <c r="FK2883"/>
      <c r="FL2883"/>
      <c r="FM2883"/>
      <c r="FN2883"/>
      <c r="FO2883"/>
      <c r="FP2883"/>
      <c r="FQ2883"/>
      <c r="FR2883"/>
      <c r="FS2883"/>
      <c r="FT2883"/>
      <c r="FU2883"/>
      <c r="FV2883"/>
      <c r="FW2883"/>
      <c r="FX2883"/>
      <c r="FY2883"/>
      <c r="FZ2883"/>
      <c r="GA2883"/>
      <c r="GB2883"/>
      <c r="GC2883"/>
      <c r="GD2883"/>
      <c r="GE2883"/>
      <c r="GF2883"/>
      <c r="GG2883"/>
      <c r="GH2883"/>
      <c r="GI2883"/>
      <c r="GJ2883"/>
      <c r="GK2883"/>
      <c r="GL2883"/>
      <c r="GM2883"/>
      <c r="GN2883"/>
      <c r="GO2883"/>
    </row>
    <row r="2884" spans="107:197">
      <c r="DC2884"/>
      <c r="FH2884"/>
      <c r="FI2884"/>
      <c r="FJ2884"/>
      <c r="FK2884"/>
      <c r="FL2884"/>
      <c r="FM2884"/>
      <c r="FN2884"/>
      <c r="FO2884"/>
      <c r="FP2884"/>
      <c r="FQ2884"/>
      <c r="FR2884"/>
      <c r="FS2884"/>
      <c r="FT2884"/>
      <c r="FU2884"/>
      <c r="FV2884"/>
      <c r="FW2884"/>
      <c r="FX2884"/>
      <c r="FY2884"/>
      <c r="FZ2884"/>
      <c r="GA2884"/>
      <c r="GB2884"/>
      <c r="GC2884"/>
      <c r="GD2884"/>
      <c r="GE2884"/>
      <c r="GF2884"/>
      <c r="GG2884"/>
      <c r="GH2884"/>
      <c r="GI2884"/>
      <c r="GJ2884"/>
      <c r="GK2884"/>
      <c r="GL2884"/>
      <c r="GM2884"/>
      <c r="GN2884"/>
      <c r="GO2884"/>
    </row>
    <row r="2885" spans="107:197">
      <c r="DC2885"/>
      <c r="FH2885"/>
      <c r="FI2885"/>
      <c r="FJ2885"/>
      <c r="FK2885"/>
      <c r="FL2885"/>
      <c r="FM2885"/>
      <c r="FN2885"/>
      <c r="FO2885"/>
      <c r="FP2885"/>
      <c r="FQ2885"/>
      <c r="FR2885"/>
      <c r="FS2885"/>
      <c r="FT2885"/>
      <c r="FU2885"/>
      <c r="FV2885"/>
      <c r="FW2885"/>
      <c r="FX2885"/>
      <c r="FY2885"/>
      <c r="FZ2885"/>
      <c r="GA2885"/>
      <c r="GB2885"/>
      <c r="GC2885"/>
      <c r="GD2885"/>
      <c r="GE2885"/>
      <c r="GF2885"/>
      <c r="GG2885"/>
      <c r="GH2885"/>
      <c r="GI2885"/>
      <c r="GJ2885"/>
      <c r="GK2885"/>
      <c r="GL2885"/>
      <c r="GM2885"/>
      <c r="GN2885"/>
      <c r="GO2885"/>
    </row>
    <row r="2886" spans="107:197">
      <c r="DC2886"/>
      <c r="FH2886"/>
      <c r="FI2886"/>
      <c r="FJ2886"/>
      <c r="FK2886"/>
      <c r="FL2886"/>
      <c r="FM2886"/>
      <c r="FN2886"/>
      <c r="FO2886"/>
      <c r="FP2886"/>
      <c r="FQ2886"/>
      <c r="FR2886"/>
      <c r="FS2886"/>
      <c r="FT2886"/>
      <c r="FU2886"/>
      <c r="FV2886"/>
      <c r="FW2886"/>
      <c r="FX2886"/>
      <c r="FY2886"/>
      <c r="FZ2886"/>
      <c r="GA2886"/>
      <c r="GB2886"/>
      <c r="GC2886"/>
      <c r="GD2886"/>
      <c r="GE2886"/>
      <c r="GF2886"/>
      <c r="GG2886"/>
      <c r="GH2886"/>
      <c r="GI2886"/>
      <c r="GJ2886"/>
      <c r="GK2886"/>
      <c r="GL2886"/>
      <c r="GM2886"/>
      <c r="GN2886"/>
      <c r="GO2886"/>
    </row>
    <row r="2887" spans="107:197">
      <c r="DC2887"/>
      <c r="FH2887"/>
      <c r="FI2887"/>
      <c r="FJ2887"/>
      <c r="FK2887"/>
      <c r="FL2887"/>
      <c r="FM2887"/>
      <c r="FN2887"/>
      <c r="FO2887"/>
      <c r="FP2887"/>
      <c r="FQ2887"/>
      <c r="FR2887"/>
      <c r="FS2887"/>
      <c r="FT2887"/>
      <c r="FU2887"/>
      <c r="FV2887"/>
      <c r="FW2887"/>
      <c r="FX2887"/>
      <c r="FY2887"/>
      <c r="FZ2887"/>
      <c r="GA2887"/>
      <c r="GB2887"/>
      <c r="GC2887"/>
      <c r="GD2887"/>
      <c r="GE2887"/>
      <c r="GF2887"/>
      <c r="GG2887"/>
      <c r="GH2887"/>
      <c r="GI2887"/>
      <c r="GJ2887"/>
      <c r="GK2887"/>
      <c r="GL2887"/>
      <c r="GM2887"/>
      <c r="GN2887"/>
      <c r="GO2887"/>
    </row>
    <row r="2888" spans="107:197">
      <c r="DC2888"/>
      <c r="FH2888"/>
      <c r="FI2888"/>
      <c r="FJ2888"/>
      <c r="FK2888"/>
      <c r="FL2888"/>
      <c r="FM2888"/>
      <c r="FN2888"/>
      <c r="FO2888"/>
      <c r="FP2888"/>
      <c r="FQ2888"/>
      <c r="FR2888"/>
      <c r="FS2888"/>
      <c r="FT2888"/>
      <c r="FU2888"/>
      <c r="FV2888"/>
      <c r="FW2888"/>
      <c r="FX2888"/>
      <c r="FY2888"/>
      <c r="FZ2888"/>
      <c r="GA2888"/>
      <c r="GB2888"/>
      <c r="GC2888"/>
      <c r="GD2888"/>
      <c r="GE2888"/>
      <c r="GF2888"/>
      <c r="GG2888"/>
      <c r="GH2888"/>
      <c r="GI2888"/>
      <c r="GJ2888"/>
      <c r="GK2888"/>
      <c r="GL2888"/>
      <c r="GM2888"/>
      <c r="GN2888"/>
      <c r="GO2888"/>
    </row>
    <row r="2889" spans="107:197">
      <c r="DC2889"/>
      <c r="FH2889"/>
      <c r="FI2889"/>
      <c r="FJ2889"/>
      <c r="FK2889"/>
      <c r="FL2889"/>
      <c r="FM2889"/>
      <c r="FN2889"/>
      <c r="FO2889"/>
      <c r="FP2889"/>
      <c r="FQ2889"/>
      <c r="FR2889"/>
      <c r="FS2889"/>
      <c r="FT2889"/>
      <c r="FU2889"/>
      <c r="FV2889"/>
      <c r="FW2889"/>
      <c r="FX2889"/>
      <c r="FY2889"/>
      <c r="FZ2889"/>
      <c r="GA2889"/>
      <c r="GB2889"/>
      <c r="GC2889"/>
      <c r="GD2889"/>
      <c r="GE2889"/>
      <c r="GF2889"/>
      <c r="GG2889"/>
      <c r="GH2889"/>
      <c r="GI2889"/>
      <c r="GJ2889"/>
      <c r="GK2889"/>
      <c r="GL2889"/>
      <c r="GM2889"/>
      <c r="GN2889"/>
      <c r="GO2889"/>
    </row>
    <row r="2890" spans="107:197">
      <c r="DC2890"/>
      <c r="FH2890"/>
      <c r="FI2890"/>
      <c r="FJ2890"/>
      <c r="FK2890"/>
      <c r="FL2890"/>
      <c r="FM2890"/>
      <c r="FN2890"/>
      <c r="FO2890"/>
      <c r="FP2890"/>
      <c r="FQ2890"/>
      <c r="FR2890"/>
      <c r="FS2890"/>
      <c r="FT2890"/>
      <c r="FU2890"/>
      <c r="FV2890"/>
      <c r="FW2890"/>
      <c r="FX2890"/>
      <c r="FY2890"/>
      <c r="FZ2890"/>
      <c r="GA2890"/>
      <c r="GB2890"/>
      <c r="GC2890"/>
      <c r="GD2890"/>
      <c r="GE2890"/>
      <c r="GF2890"/>
      <c r="GG2890"/>
      <c r="GH2890"/>
      <c r="GI2890"/>
      <c r="GJ2890"/>
      <c r="GK2890"/>
      <c r="GL2890"/>
      <c r="GM2890"/>
      <c r="GN2890"/>
      <c r="GO2890"/>
    </row>
    <row r="2891" spans="107:197">
      <c r="DC2891"/>
      <c r="FH2891"/>
      <c r="FI2891"/>
      <c r="FJ2891"/>
      <c r="FK2891"/>
      <c r="FL2891"/>
      <c r="FM2891"/>
      <c r="FN2891"/>
      <c r="FO2891"/>
      <c r="FP2891"/>
      <c r="FQ2891"/>
      <c r="FR2891"/>
      <c r="FS2891"/>
      <c r="FT2891"/>
      <c r="FU2891"/>
      <c r="FV2891"/>
      <c r="FW2891"/>
      <c r="FX2891"/>
      <c r="FY2891"/>
      <c r="FZ2891"/>
      <c r="GA2891"/>
      <c r="GB2891"/>
      <c r="GC2891"/>
      <c r="GD2891"/>
      <c r="GE2891"/>
      <c r="GF2891"/>
      <c r="GG2891"/>
      <c r="GH2891"/>
      <c r="GI2891"/>
      <c r="GJ2891"/>
      <c r="GK2891"/>
      <c r="GL2891"/>
      <c r="GM2891"/>
      <c r="GN2891"/>
      <c r="GO2891"/>
    </row>
    <row r="2892" spans="107:197">
      <c r="DC2892"/>
      <c r="FH2892"/>
      <c r="FI2892"/>
      <c r="FJ2892"/>
      <c r="FK2892"/>
      <c r="FL2892"/>
      <c r="FM2892"/>
      <c r="FN2892"/>
      <c r="FO2892"/>
      <c r="FP2892"/>
      <c r="FQ2892"/>
      <c r="FR2892"/>
      <c r="FS2892"/>
      <c r="FT2892"/>
      <c r="FU2892"/>
      <c r="FV2892"/>
      <c r="FW2892"/>
      <c r="FX2892"/>
      <c r="FY2892"/>
      <c r="FZ2892"/>
      <c r="GA2892"/>
      <c r="GB2892"/>
      <c r="GC2892"/>
      <c r="GD2892"/>
      <c r="GE2892"/>
      <c r="GF2892"/>
      <c r="GG2892"/>
      <c r="GH2892"/>
      <c r="GI2892"/>
      <c r="GJ2892"/>
      <c r="GK2892"/>
      <c r="GL2892"/>
      <c r="GM2892"/>
      <c r="GN2892"/>
      <c r="GO2892"/>
    </row>
    <row r="2893" spans="107:197">
      <c r="DC2893"/>
      <c r="FH2893"/>
      <c r="FI2893"/>
      <c r="FJ2893"/>
      <c r="FK2893"/>
      <c r="FL2893"/>
      <c r="FM2893"/>
      <c r="FN2893"/>
      <c r="FO2893"/>
      <c r="FP2893"/>
      <c r="FQ2893"/>
      <c r="FR2893"/>
      <c r="FS2893"/>
      <c r="FT2893"/>
      <c r="FU2893"/>
      <c r="FV2893"/>
      <c r="FW2893"/>
      <c r="FX2893"/>
      <c r="FY2893"/>
      <c r="FZ2893"/>
      <c r="GA2893"/>
      <c r="GB2893"/>
      <c r="GC2893"/>
      <c r="GD2893"/>
      <c r="GE2893"/>
      <c r="GF2893"/>
      <c r="GG2893"/>
      <c r="GH2893"/>
      <c r="GI2893"/>
      <c r="GJ2893"/>
      <c r="GK2893"/>
      <c r="GL2893"/>
      <c r="GM2893"/>
      <c r="GN2893"/>
      <c r="GO2893"/>
    </row>
    <row r="2894" spans="107:197">
      <c r="DC2894"/>
      <c r="FH2894"/>
      <c r="FI2894"/>
      <c r="FJ2894"/>
      <c r="FK2894"/>
      <c r="FL2894"/>
      <c r="FM2894"/>
      <c r="FN2894"/>
      <c r="FO2894"/>
      <c r="FP2894"/>
      <c r="FQ2894"/>
      <c r="FR2894"/>
      <c r="FS2894"/>
      <c r="FT2894"/>
      <c r="FU2894"/>
      <c r="FV2894"/>
      <c r="FW2894"/>
      <c r="FX2894"/>
      <c r="FY2894"/>
      <c r="FZ2894"/>
      <c r="GA2894"/>
      <c r="GB2894"/>
      <c r="GC2894"/>
      <c r="GD2894"/>
      <c r="GE2894"/>
      <c r="GF2894"/>
      <c r="GG2894"/>
      <c r="GH2894"/>
      <c r="GI2894"/>
      <c r="GJ2894"/>
      <c r="GK2894"/>
      <c r="GL2894"/>
      <c r="GM2894"/>
      <c r="GN2894"/>
      <c r="GO2894"/>
    </row>
    <row r="2895" spans="107:197">
      <c r="DC2895"/>
      <c r="FH2895"/>
      <c r="FI2895"/>
      <c r="FJ2895"/>
      <c r="FK2895"/>
      <c r="FL2895"/>
      <c r="FM2895"/>
      <c r="FN2895"/>
      <c r="FO2895"/>
      <c r="FP2895"/>
      <c r="FQ2895"/>
      <c r="FR2895"/>
      <c r="FS2895"/>
      <c r="FT2895"/>
      <c r="FU2895"/>
      <c r="FV2895"/>
      <c r="FW2895"/>
      <c r="FX2895"/>
      <c r="FY2895"/>
      <c r="FZ2895"/>
      <c r="GA2895"/>
      <c r="GB2895"/>
      <c r="GC2895"/>
      <c r="GD2895"/>
      <c r="GE2895"/>
      <c r="GF2895"/>
      <c r="GG2895"/>
      <c r="GH2895"/>
      <c r="GI2895"/>
      <c r="GJ2895"/>
      <c r="GK2895"/>
      <c r="GL2895"/>
      <c r="GM2895"/>
      <c r="GN2895"/>
      <c r="GO2895"/>
    </row>
    <row r="2896" spans="107:197">
      <c r="DC2896"/>
      <c r="FH2896"/>
      <c r="FI2896"/>
      <c r="FJ2896"/>
      <c r="FK2896"/>
      <c r="FL2896"/>
      <c r="FM2896"/>
      <c r="FN2896"/>
      <c r="FO2896"/>
      <c r="FP2896"/>
      <c r="FQ2896"/>
      <c r="FR2896"/>
      <c r="FS2896"/>
      <c r="FT2896"/>
      <c r="FU2896"/>
      <c r="FV2896"/>
      <c r="FW2896"/>
      <c r="FX2896"/>
      <c r="FY2896"/>
      <c r="FZ2896"/>
      <c r="GA2896"/>
      <c r="GB2896"/>
      <c r="GC2896"/>
      <c r="GD2896"/>
      <c r="GE2896"/>
      <c r="GF2896"/>
      <c r="GG2896"/>
      <c r="GH2896"/>
      <c r="GI2896"/>
      <c r="GJ2896"/>
      <c r="GK2896"/>
      <c r="GL2896"/>
      <c r="GM2896"/>
      <c r="GN2896"/>
      <c r="GO2896"/>
    </row>
    <row r="2897" spans="107:197">
      <c r="DC2897"/>
      <c r="FH2897"/>
      <c r="FI2897"/>
      <c r="FJ2897"/>
      <c r="FK2897"/>
      <c r="FL2897"/>
      <c r="FM2897"/>
      <c r="FN2897"/>
      <c r="FO2897"/>
      <c r="FP2897"/>
      <c r="FQ2897"/>
      <c r="FR2897"/>
      <c r="FS2897"/>
      <c r="FT2897"/>
      <c r="FU2897"/>
      <c r="FV2897"/>
      <c r="FW2897"/>
      <c r="FX2897"/>
      <c r="FY2897"/>
      <c r="FZ2897"/>
      <c r="GA2897"/>
      <c r="GB2897"/>
      <c r="GC2897"/>
      <c r="GD2897"/>
      <c r="GE2897"/>
      <c r="GF2897"/>
      <c r="GG2897"/>
      <c r="GH2897"/>
      <c r="GI2897"/>
      <c r="GJ2897"/>
      <c r="GK2897"/>
      <c r="GL2897"/>
      <c r="GM2897"/>
      <c r="GN2897"/>
      <c r="GO2897"/>
    </row>
    <row r="2898" spans="107:197">
      <c r="DC2898"/>
      <c r="FH2898"/>
      <c r="FI2898"/>
      <c r="FJ2898"/>
      <c r="FK2898"/>
      <c r="FL2898"/>
      <c r="FM2898"/>
      <c r="FN2898"/>
      <c r="FO2898"/>
      <c r="FP2898"/>
      <c r="FQ2898"/>
      <c r="FR2898"/>
      <c r="FS2898"/>
      <c r="FT2898"/>
      <c r="FU2898"/>
      <c r="FV2898"/>
      <c r="FW2898"/>
      <c r="FX2898"/>
      <c r="FY2898"/>
      <c r="FZ2898"/>
      <c r="GA2898"/>
      <c r="GB2898"/>
      <c r="GC2898"/>
      <c r="GD2898"/>
      <c r="GE2898"/>
      <c r="GF2898"/>
      <c r="GG2898"/>
      <c r="GH2898"/>
      <c r="GI2898"/>
      <c r="GJ2898"/>
      <c r="GK2898"/>
      <c r="GL2898"/>
      <c r="GM2898"/>
      <c r="GN2898"/>
      <c r="GO2898"/>
    </row>
    <row r="2899" spans="107:197">
      <c r="DC2899"/>
      <c r="FH2899"/>
      <c r="FI2899"/>
      <c r="FJ2899"/>
      <c r="FK2899"/>
      <c r="FL2899"/>
      <c r="FM2899"/>
      <c r="FN2899"/>
      <c r="FO2899"/>
      <c r="FP2899"/>
      <c r="FQ2899"/>
      <c r="FR2899"/>
      <c r="FS2899"/>
      <c r="FT2899"/>
      <c r="FU2899"/>
      <c r="FV2899"/>
      <c r="FW2899"/>
      <c r="FX2899"/>
      <c r="FY2899"/>
      <c r="FZ2899"/>
      <c r="GA2899"/>
      <c r="GB2899"/>
      <c r="GC2899"/>
      <c r="GD2899"/>
      <c r="GE2899"/>
      <c r="GF2899"/>
      <c r="GG2899"/>
      <c r="GH2899"/>
      <c r="GI2899"/>
      <c r="GJ2899"/>
      <c r="GK2899"/>
      <c r="GL2899"/>
      <c r="GM2899"/>
      <c r="GN2899"/>
      <c r="GO2899"/>
    </row>
    <row r="2900" spans="107:197">
      <c r="DC2900"/>
      <c r="FH2900"/>
      <c r="FI2900"/>
      <c r="FJ2900"/>
      <c r="FK2900"/>
      <c r="FL2900"/>
      <c r="FM2900"/>
      <c r="FN2900"/>
      <c r="FO2900"/>
      <c r="FP2900"/>
      <c r="FQ2900"/>
      <c r="FR2900"/>
      <c r="FS2900"/>
      <c r="FT2900"/>
      <c r="FU2900"/>
      <c r="FV2900"/>
      <c r="FW2900"/>
      <c r="FX2900"/>
      <c r="FY2900"/>
      <c r="FZ2900"/>
      <c r="GA2900"/>
      <c r="GB2900"/>
      <c r="GC2900"/>
      <c r="GD2900"/>
      <c r="GE2900"/>
      <c r="GF2900"/>
      <c r="GG2900"/>
      <c r="GH2900"/>
      <c r="GI2900"/>
      <c r="GJ2900"/>
      <c r="GK2900"/>
      <c r="GL2900"/>
      <c r="GM2900"/>
      <c r="GN2900"/>
      <c r="GO2900"/>
    </row>
    <row r="2901" spans="107:197">
      <c r="DC2901"/>
      <c r="FH2901"/>
      <c r="FI2901"/>
      <c r="FJ2901"/>
      <c r="FK2901"/>
      <c r="FL2901"/>
      <c r="FM2901"/>
      <c r="FN2901"/>
      <c r="FO2901"/>
      <c r="FP2901"/>
      <c r="FQ2901"/>
      <c r="FR2901"/>
      <c r="FS2901"/>
      <c r="FT2901"/>
      <c r="FU2901"/>
      <c r="FV2901"/>
      <c r="FW2901"/>
      <c r="FX2901"/>
      <c r="FY2901"/>
      <c r="FZ2901"/>
      <c r="GA2901"/>
      <c r="GB2901"/>
      <c r="GC2901"/>
      <c r="GD2901"/>
      <c r="GE2901"/>
      <c r="GF2901"/>
      <c r="GG2901"/>
      <c r="GH2901"/>
      <c r="GI2901"/>
      <c r="GJ2901"/>
      <c r="GK2901"/>
      <c r="GL2901"/>
      <c r="GM2901"/>
      <c r="GN2901"/>
      <c r="GO2901"/>
    </row>
    <row r="2902" spans="107:197">
      <c r="DC2902"/>
      <c r="FH2902"/>
      <c r="FI2902"/>
      <c r="FJ2902"/>
      <c r="FK2902"/>
      <c r="FL2902"/>
      <c r="FM2902"/>
      <c r="FN2902"/>
      <c r="FO2902"/>
      <c r="FP2902"/>
      <c r="FQ2902"/>
      <c r="FR2902"/>
      <c r="FS2902"/>
      <c r="FT2902"/>
      <c r="FU2902"/>
      <c r="FV2902"/>
      <c r="FW2902"/>
      <c r="FX2902"/>
      <c r="FY2902"/>
      <c r="FZ2902"/>
      <c r="GA2902"/>
      <c r="GB2902"/>
      <c r="GC2902"/>
      <c r="GD2902"/>
      <c r="GE2902"/>
      <c r="GF2902"/>
      <c r="GG2902"/>
      <c r="GH2902"/>
      <c r="GI2902"/>
      <c r="GJ2902"/>
      <c r="GK2902"/>
      <c r="GL2902"/>
      <c r="GM2902"/>
      <c r="GN2902"/>
      <c r="GO2902"/>
    </row>
    <row r="2903" spans="107:197">
      <c r="DC2903"/>
      <c r="FH2903"/>
      <c r="FI2903"/>
      <c r="FJ2903"/>
      <c r="FK2903"/>
      <c r="FL2903"/>
      <c r="FM2903"/>
      <c r="FN2903"/>
      <c r="FO2903"/>
      <c r="FP2903"/>
      <c r="FQ2903"/>
      <c r="FR2903"/>
      <c r="FS2903"/>
      <c r="FT2903"/>
      <c r="FU2903"/>
      <c r="FV2903"/>
      <c r="FW2903"/>
      <c r="FX2903"/>
      <c r="FY2903"/>
      <c r="FZ2903"/>
      <c r="GA2903"/>
      <c r="GB2903"/>
      <c r="GC2903"/>
      <c r="GD2903"/>
      <c r="GE2903"/>
      <c r="GF2903"/>
      <c r="GG2903"/>
      <c r="GH2903"/>
      <c r="GI2903"/>
      <c r="GJ2903"/>
      <c r="GK2903"/>
      <c r="GL2903"/>
      <c r="GM2903"/>
      <c r="GN2903"/>
      <c r="GO2903"/>
    </row>
    <row r="2904" spans="107:197">
      <c r="DC2904"/>
      <c r="FH2904"/>
      <c r="FI2904"/>
      <c r="FJ2904"/>
      <c r="FK2904"/>
      <c r="FL2904"/>
      <c r="FM2904"/>
      <c r="FN2904"/>
      <c r="FO2904"/>
      <c r="FP2904"/>
      <c r="FQ2904"/>
      <c r="FR2904"/>
      <c r="FS2904"/>
      <c r="FT2904"/>
      <c r="FU2904"/>
      <c r="FV2904"/>
      <c r="FW2904"/>
      <c r="FX2904"/>
      <c r="FY2904"/>
      <c r="FZ2904"/>
      <c r="GA2904"/>
      <c r="GB2904"/>
      <c r="GC2904"/>
      <c r="GD2904"/>
      <c r="GE2904"/>
      <c r="GF2904"/>
      <c r="GG2904"/>
      <c r="GH2904"/>
      <c r="GI2904"/>
      <c r="GJ2904"/>
      <c r="GK2904"/>
      <c r="GL2904"/>
      <c r="GM2904"/>
      <c r="GN2904"/>
      <c r="GO2904"/>
    </row>
    <row r="2905" spans="107:197">
      <c r="DC2905"/>
      <c r="FH2905"/>
      <c r="FI2905"/>
      <c r="FJ2905"/>
      <c r="FK2905"/>
      <c r="FL2905"/>
      <c r="FM2905"/>
      <c r="FN2905"/>
      <c r="FO2905"/>
      <c r="FP2905"/>
      <c r="FQ2905"/>
      <c r="FR2905"/>
      <c r="FS2905"/>
      <c r="FT2905"/>
      <c r="FU2905"/>
      <c r="FV2905"/>
      <c r="FW2905"/>
      <c r="FX2905"/>
      <c r="FY2905"/>
      <c r="FZ2905"/>
      <c r="GA2905"/>
      <c r="GB2905"/>
      <c r="GC2905"/>
      <c r="GD2905"/>
      <c r="GE2905"/>
      <c r="GF2905"/>
      <c r="GG2905"/>
      <c r="GH2905"/>
      <c r="GI2905"/>
      <c r="GJ2905"/>
      <c r="GK2905"/>
      <c r="GL2905"/>
      <c r="GM2905"/>
      <c r="GN2905"/>
      <c r="GO2905"/>
    </row>
    <row r="2906" spans="107:197">
      <c r="DC2906"/>
      <c r="FH2906"/>
      <c r="FI2906"/>
      <c r="FJ2906"/>
      <c r="FK2906"/>
      <c r="FL2906"/>
      <c r="FM2906"/>
      <c r="FN2906"/>
      <c r="FO2906"/>
      <c r="FP2906"/>
      <c r="FQ2906"/>
      <c r="FR2906"/>
      <c r="FS2906"/>
      <c r="FT2906"/>
      <c r="FU2906"/>
      <c r="FV2906"/>
      <c r="FW2906"/>
      <c r="FX2906"/>
      <c r="FY2906"/>
      <c r="FZ2906"/>
      <c r="GA2906"/>
      <c r="GB2906"/>
      <c r="GC2906"/>
      <c r="GD2906"/>
      <c r="GE2906"/>
      <c r="GF2906"/>
      <c r="GG2906"/>
      <c r="GH2906"/>
      <c r="GI2906"/>
      <c r="GJ2906"/>
      <c r="GK2906"/>
      <c r="GL2906"/>
      <c r="GM2906"/>
      <c r="GN2906"/>
      <c r="GO2906"/>
    </row>
    <row r="2907" spans="107:197">
      <c r="DC2907"/>
      <c r="FH2907"/>
      <c r="FI2907"/>
      <c r="FJ2907"/>
      <c r="FK2907"/>
      <c r="FL2907"/>
      <c r="FM2907"/>
      <c r="FN2907"/>
      <c r="FO2907"/>
      <c r="FP2907"/>
      <c r="FQ2907"/>
      <c r="FR2907"/>
      <c r="FS2907"/>
      <c r="FT2907"/>
      <c r="FU2907"/>
      <c r="FV2907"/>
      <c r="FW2907"/>
      <c r="FX2907"/>
      <c r="FY2907"/>
      <c r="FZ2907"/>
      <c r="GA2907"/>
      <c r="GB2907"/>
      <c r="GC2907"/>
      <c r="GD2907"/>
      <c r="GE2907"/>
      <c r="GF2907"/>
      <c r="GG2907"/>
      <c r="GH2907"/>
      <c r="GI2907"/>
      <c r="GJ2907"/>
      <c r="GK2907"/>
      <c r="GL2907"/>
      <c r="GM2907"/>
      <c r="GN2907"/>
      <c r="GO2907"/>
    </row>
    <row r="2908" spans="107:197">
      <c r="DC2908"/>
      <c r="FH2908"/>
      <c r="FI2908"/>
      <c r="FJ2908"/>
      <c r="FK2908"/>
      <c r="FL2908"/>
      <c r="FM2908"/>
      <c r="FN2908"/>
      <c r="FO2908"/>
      <c r="FP2908"/>
      <c r="FQ2908"/>
      <c r="FR2908"/>
      <c r="FS2908"/>
      <c r="FT2908"/>
      <c r="FU2908"/>
      <c r="FV2908"/>
      <c r="FW2908"/>
      <c r="FX2908"/>
      <c r="FY2908"/>
      <c r="FZ2908"/>
      <c r="GA2908"/>
      <c r="GB2908"/>
      <c r="GC2908"/>
      <c r="GD2908"/>
      <c r="GE2908"/>
      <c r="GF2908"/>
      <c r="GG2908"/>
      <c r="GH2908"/>
      <c r="GI2908"/>
      <c r="GJ2908"/>
      <c r="GK2908"/>
      <c r="GL2908"/>
      <c r="GM2908"/>
      <c r="GN2908"/>
      <c r="GO2908"/>
    </row>
    <row r="2909" spans="107:197">
      <c r="DC2909"/>
      <c r="FH2909"/>
      <c r="FI2909"/>
      <c r="FJ2909"/>
      <c r="FK2909"/>
      <c r="FL2909"/>
      <c r="FM2909"/>
      <c r="FN2909"/>
      <c r="FO2909"/>
      <c r="FP2909"/>
      <c r="FQ2909"/>
      <c r="FR2909"/>
      <c r="FS2909"/>
      <c r="FT2909"/>
      <c r="FU2909"/>
      <c r="FV2909"/>
      <c r="FW2909"/>
      <c r="FX2909"/>
      <c r="FY2909"/>
      <c r="FZ2909"/>
      <c r="GA2909"/>
      <c r="GB2909"/>
      <c r="GC2909"/>
      <c r="GD2909"/>
      <c r="GE2909"/>
      <c r="GF2909"/>
      <c r="GG2909"/>
      <c r="GH2909"/>
      <c r="GI2909"/>
      <c r="GJ2909"/>
      <c r="GK2909"/>
      <c r="GL2909"/>
      <c r="GM2909"/>
      <c r="GN2909"/>
      <c r="GO2909"/>
    </row>
    <row r="2910" spans="107:197">
      <c r="DC2910"/>
      <c r="FH2910"/>
      <c r="FI2910"/>
      <c r="FJ2910"/>
      <c r="FK2910"/>
      <c r="FL2910"/>
      <c r="FM2910"/>
      <c r="FN2910"/>
      <c r="FO2910"/>
      <c r="FP2910"/>
      <c r="FQ2910"/>
      <c r="FR2910"/>
      <c r="FS2910"/>
      <c r="FT2910"/>
      <c r="FU2910"/>
      <c r="FV2910"/>
      <c r="FW2910"/>
      <c r="FX2910"/>
      <c r="FY2910"/>
      <c r="FZ2910"/>
      <c r="GA2910"/>
      <c r="GB2910"/>
      <c r="GC2910"/>
      <c r="GD2910"/>
      <c r="GE2910"/>
      <c r="GF2910"/>
      <c r="GG2910"/>
      <c r="GH2910"/>
      <c r="GI2910"/>
      <c r="GJ2910"/>
      <c r="GK2910"/>
      <c r="GL2910"/>
      <c r="GM2910"/>
      <c r="GN2910"/>
      <c r="GO2910"/>
    </row>
    <row r="2911" spans="107:197">
      <c r="DC2911"/>
      <c r="FH2911"/>
      <c r="FI2911"/>
      <c r="FJ2911"/>
      <c r="FK2911"/>
      <c r="FL2911"/>
      <c r="FM2911"/>
      <c r="FN2911"/>
      <c r="FO2911"/>
      <c r="FP2911"/>
      <c r="FQ2911"/>
      <c r="FR2911"/>
      <c r="FS2911"/>
      <c r="FT2911"/>
      <c r="FU2911"/>
      <c r="FV2911"/>
      <c r="FW2911"/>
      <c r="FX2911"/>
      <c r="FY2911"/>
      <c r="FZ2911"/>
      <c r="GA2911"/>
      <c r="GB2911"/>
      <c r="GC2911"/>
      <c r="GD2911"/>
      <c r="GE2911"/>
      <c r="GF2911"/>
      <c r="GG2911"/>
      <c r="GH2911"/>
      <c r="GI2911"/>
      <c r="GJ2911"/>
      <c r="GK2911"/>
      <c r="GL2911"/>
      <c r="GM2911"/>
      <c r="GN2911"/>
      <c r="GO2911"/>
    </row>
    <row r="2912" spans="107:197">
      <c r="DC2912"/>
      <c r="FH2912"/>
      <c r="FI2912"/>
      <c r="FJ2912"/>
      <c r="FK2912"/>
      <c r="FL2912"/>
      <c r="FM2912"/>
      <c r="FN2912"/>
      <c r="FO2912"/>
      <c r="FP2912"/>
      <c r="FQ2912"/>
      <c r="FR2912"/>
      <c r="FS2912"/>
      <c r="FT2912"/>
      <c r="FU2912"/>
      <c r="FV2912"/>
      <c r="FW2912"/>
      <c r="FX2912"/>
      <c r="FY2912"/>
      <c r="FZ2912"/>
      <c r="GA2912"/>
      <c r="GB2912"/>
      <c r="GC2912"/>
      <c r="GD2912"/>
      <c r="GE2912"/>
      <c r="GF2912"/>
      <c r="GG2912"/>
      <c r="GH2912"/>
      <c r="GI2912"/>
      <c r="GJ2912"/>
      <c r="GK2912"/>
      <c r="GL2912"/>
      <c r="GM2912"/>
      <c r="GN2912"/>
      <c r="GO2912"/>
    </row>
    <row r="2913" spans="107:197">
      <c r="DC2913"/>
      <c r="FH2913"/>
      <c r="FI2913"/>
      <c r="FJ2913"/>
      <c r="FK2913"/>
      <c r="FL2913"/>
      <c r="FM2913"/>
      <c r="FN2913"/>
      <c r="FO2913"/>
      <c r="FP2913"/>
      <c r="FQ2913"/>
      <c r="FR2913"/>
      <c r="FS2913"/>
      <c r="FT2913"/>
      <c r="FU2913"/>
      <c r="FV2913"/>
      <c r="FW2913"/>
      <c r="FX2913"/>
      <c r="FY2913"/>
      <c r="FZ2913"/>
      <c r="GA2913"/>
      <c r="GB2913"/>
      <c r="GC2913"/>
      <c r="GD2913"/>
      <c r="GE2913"/>
      <c r="GF2913"/>
      <c r="GG2913"/>
      <c r="GH2913"/>
      <c r="GI2913"/>
      <c r="GJ2913"/>
      <c r="GK2913"/>
      <c r="GL2913"/>
      <c r="GM2913"/>
      <c r="GN2913"/>
      <c r="GO2913"/>
    </row>
    <row r="2914" spans="107:197">
      <c r="DC2914"/>
      <c r="FH2914"/>
      <c r="FI2914"/>
      <c r="FJ2914"/>
      <c r="FK2914"/>
      <c r="FL2914"/>
      <c r="FM2914"/>
      <c r="FN2914"/>
      <c r="FO2914"/>
      <c r="FP2914"/>
      <c r="FQ2914"/>
      <c r="FR2914"/>
      <c r="FS2914"/>
      <c r="FT2914"/>
      <c r="FU2914"/>
      <c r="FV2914"/>
      <c r="FW2914"/>
      <c r="FX2914"/>
      <c r="FY2914"/>
      <c r="FZ2914"/>
      <c r="GA2914"/>
      <c r="GB2914"/>
      <c r="GC2914"/>
      <c r="GD2914"/>
      <c r="GE2914"/>
      <c r="GF2914"/>
      <c r="GG2914"/>
      <c r="GH2914"/>
      <c r="GI2914"/>
      <c r="GJ2914"/>
      <c r="GK2914"/>
      <c r="GL2914"/>
      <c r="GM2914"/>
      <c r="GN2914"/>
      <c r="GO2914"/>
    </row>
    <row r="2915" spans="107:197">
      <c r="DC2915"/>
      <c r="FH2915"/>
      <c r="FI2915"/>
      <c r="FJ2915"/>
      <c r="FK2915"/>
      <c r="FL2915"/>
      <c r="FM2915"/>
      <c r="FN2915"/>
      <c r="FO2915"/>
      <c r="FP2915"/>
      <c r="FQ2915"/>
      <c r="FR2915"/>
      <c r="FS2915"/>
      <c r="FT2915"/>
      <c r="FU2915"/>
      <c r="FV2915"/>
      <c r="FW2915"/>
      <c r="FX2915"/>
      <c r="FY2915"/>
      <c r="FZ2915"/>
      <c r="GA2915"/>
      <c r="GB2915"/>
      <c r="GC2915"/>
      <c r="GD2915"/>
      <c r="GE2915"/>
      <c r="GF2915"/>
      <c r="GG2915"/>
      <c r="GH2915"/>
      <c r="GI2915"/>
      <c r="GJ2915"/>
      <c r="GK2915"/>
      <c r="GL2915"/>
      <c r="GM2915"/>
      <c r="GN2915"/>
      <c r="GO2915"/>
    </row>
    <row r="2916" spans="107:197">
      <c r="DC2916"/>
      <c r="FH2916"/>
      <c r="FI2916"/>
      <c r="FJ2916"/>
      <c r="FK2916"/>
      <c r="FL2916"/>
      <c r="FM2916"/>
      <c r="FN2916"/>
      <c r="FO2916"/>
      <c r="FP2916"/>
      <c r="FQ2916"/>
      <c r="FR2916"/>
      <c r="FS2916"/>
      <c r="FT2916"/>
      <c r="FU2916"/>
      <c r="FV2916"/>
      <c r="FW2916"/>
      <c r="FX2916"/>
      <c r="FY2916"/>
      <c r="FZ2916"/>
      <c r="GA2916"/>
      <c r="GB2916"/>
      <c r="GC2916"/>
      <c r="GD2916"/>
      <c r="GE2916"/>
      <c r="GF2916"/>
      <c r="GG2916"/>
      <c r="GH2916"/>
      <c r="GI2916"/>
      <c r="GJ2916"/>
      <c r="GK2916"/>
      <c r="GL2916"/>
      <c r="GM2916"/>
      <c r="GN2916"/>
      <c r="GO2916"/>
    </row>
    <row r="2917" spans="107:197">
      <c r="DC2917"/>
      <c r="FH2917"/>
      <c r="FI2917"/>
      <c r="FJ2917"/>
      <c r="FK2917"/>
      <c r="FL2917"/>
      <c r="FM2917"/>
      <c r="FN2917"/>
      <c r="FO2917"/>
      <c r="FP2917"/>
      <c r="FQ2917"/>
      <c r="FR2917"/>
      <c r="FS2917"/>
      <c r="FT2917"/>
      <c r="FU2917"/>
      <c r="FV2917"/>
      <c r="FW2917"/>
      <c r="FX2917"/>
      <c r="FY2917"/>
      <c r="FZ2917"/>
      <c r="GA2917"/>
      <c r="GB2917"/>
      <c r="GC2917"/>
      <c r="GD2917"/>
      <c r="GE2917"/>
      <c r="GF2917"/>
      <c r="GG2917"/>
      <c r="GH2917"/>
      <c r="GI2917"/>
      <c r="GJ2917"/>
      <c r="GK2917"/>
      <c r="GL2917"/>
      <c r="GM2917"/>
      <c r="GN2917"/>
      <c r="GO2917"/>
    </row>
    <row r="2918" spans="107:197">
      <c r="DC2918"/>
      <c r="FH2918"/>
      <c r="FI2918"/>
      <c r="FJ2918"/>
      <c r="FK2918"/>
      <c r="FL2918"/>
      <c r="FM2918"/>
      <c r="FN2918"/>
      <c r="FO2918"/>
      <c r="FP2918"/>
      <c r="FQ2918"/>
      <c r="FR2918"/>
      <c r="FS2918"/>
      <c r="FT2918"/>
      <c r="FU2918"/>
      <c r="FV2918"/>
      <c r="FW2918"/>
      <c r="FX2918"/>
      <c r="FY2918"/>
      <c r="FZ2918"/>
      <c r="GA2918"/>
      <c r="GB2918"/>
      <c r="GC2918"/>
      <c r="GD2918"/>
      <c r="GE2918"/>
      <c r="GF2918"/>
      <c r="GG2918"/>
      <c r="GH2918"/>
      <c r="GI2918"/>
      <c r="GJ2918"/>
      <c r="GK2918"/>
      <c r="GL2918"/>
      <c r="GM2918"/>
      <c r="GN2918"/>
      <c r="GO2918"/>
    </row>
    <row r="2919" spans="107:197">
      <c r="DC2919"/>
      <c r="FH2919"/>
      <c r="FI2919"/>
      <c r="FJ2919"/>
      <c r="FK2919"/>
      <c r="FL2919"/>
      <c r="FM2919"/>
      <c r="FN2919"/>
      <c r="FO2919"/>
      <c r="FP2919"/>
      <c r="FQ2919"/>
      <c r="FR2919"/>
      <c r="FS2919"/>
      <c r="FT2919"/>
      <c r="FU2919"/>
      <c r="FV2919"/>
      <c r="FW2919"/>
      <c r="FX2919"/>
      <c r="FY2919"/>
      <c r="FZ2919"/>
      <c r="GA2919"/>
      <c r="GB2919"/>
      <c r="GC2919"/>
      <c r="GD2919"/>
      <c r="GE2919"/>
      <c r="GF2919"/>
      <c r="GG2919"/>
      <c r="GH2919"/>
      <c r="GI2919"/>
      <c r="GJ2919"/>
      <c r="GK2919"/>
      <c r="GL2919"/>
      <c r="GM2919"/>
      <c r="GN2919"/>
      <c r="GO2919"/>
    </row>
    <row r="2920" spans="107:197">
      <c r="DC2920"/>
      <c r="FH2920"/>
      <c r="FI2920"/>
      <c r="FJ2920"/>
      <c r="FK2920"/>
      <c r="FL2920"/>
      <c r="FM2920"/>
      <c r="FN2920"/>
      <c r="FO2920"/>
      <c r="FP2920"/>
      <c r="FQ2920"/>
      <c r="FR2920"/>
      <c r="FS2920"/>
      <c r="FT2920"/>
      <c r="FU2920"/>
      <c r="FV2920"/>
      <c r="FW2920"/>
      <c r="FX2920"/>
      <c r="FY2920"/>
      <c r="FZ2920"/>
      <c r="GA2920"/>
      <c r="GB2920"/>
      <c r="GC2920"/>
      <c r="GD2920"/>
      <c r="GE2920"/>
      <c r="GF2920"/>
      <c r="GG2920"/>
      <c r="GH2920"/>
      <c r="GI2920"/>
      <c r="GJ2920"/>
      <c r="GK2920"/>
      <c r="GL2920"/>
      <c r="GM2920"/>
      <c r="GN2920"/>
      <c r="GO2920"/>
    </row>
    <row r="2921" spans="107:197">
      <c r="DC2921"/>
      <c r="FH2921"/>
      <c r="FI2921"/>
      <c r="FJ2921"/>
      <c r="FK2921"/>
      <c r="FL2921"/>
      <c r="FM2921"/>
      <c r="FN2921"/>
      <c r="FO2921"/>
      <c r="FP2921"/>
      <c r="FQ2921"/>
      <c r="FR2921"/>
      <c r="FS2921"/>
      <c r="FT2921"/>
      <c r="FU2921"/>
      <c r="FV2921"/>
      <c r="FW2921"/>
      <c r="FX2921"/>
      <c r="FY2921"/>
      <c r="FZ2921"/>
      <c r="GA2921"/>
      <c r="GB2921"/>
      <c r="GC2921"/>
      <c r="GD2921"/>
      <c r="GE2921"/>
      <c r="GF2921"/>
      <c r="GG2921"/>
      <c r="GH2921"/>
      <c r="GI2921"/>
      <c r="GJ2921"/>
      <c r="GK2921"/>
      <c r="GL2921"/>
      <c r="GM2921"/>
      <c r="GN2921"/>
      <c r="GO2921"/>
    </row>
    <row r="2922" spans="107:197">
      <c r="DC2922"/>
      <c r="FH2922"/>
      <c r="FI2922"/>
      <c r="FJ2922"/>
      <c r="FK2922"/>
      <c r="FL2922"/>
      <c r="FM2922"/>
      <c r="FN2922"/>
      <c r="FO2922"/>
      <c r="FP2922"/>
      <c r="FQ2922"/>
      <c r="FR2922"/>
      <c r="FS2922"/>
      <c r="FT2922"/>
      <c r="FU2922"/>
      <c r="FV2922"/>
      <c r="FW2922"/>
      <c r="FX2922"/>
      <c r="FY2922"/>
      <c r="FZ2922"/>
      <c r="GA2922"/>
      <c r="GB2922"/>
      <c r="GC2922"/>
      <c r="GD2922"/>
      <c r="GE2922"/>
      <c r="GF2922"/>
      <c r="GG2922"/>
      <c r="GH2922"/>
      <c r="GI2922"/>
      <c r="GJ2922"/>
      <c r="GK2922"/>
      <c r="GL2922"/>
      <c r="GM2922"/>
      <c r="GN2922"/>
      <c r="GO2922"/>
    </row>
    <row r="2923" spans="107:197">
      <c r="DC2923"/>
      <c r="FH2923"/>
      <c r="FI2923"/>
      <c r="FJ2923"/>
      <c r="FK2923"/>
      <c r="FL2923"/>
      <c r="FM2923"/>
      <c r="FN2923"/>
      <c r="FO2923"/>
      <c r="FP2923"/>
      <c r="FQ2923"/>
      <c r="FR2923"/>
      <c r="FS2923"/>
      <c r="FT2923"/>
      <c r="FU2923"/>
      <c r="FV2923"/>
      <c r="FW2923"/>
      <c r="FX2923"/>
      <c r="FY2923"/>
      <c r="FZ2923"/>
      <c r="GA2923"/>
      <c r="GB2923"/>
      <c r="GC2923"/>
      <c r="GD2923"/>
      <c r="GE2923"/>
      <c r="GF2923"/>
      <c r="GG2923"/>
      <c r="GH2923"/>
      <c r="GI2923"/>
      <c r="GJ2923"/>
      <c r="GK2923"/>
      <c r="GL2923"/>
      <c r="GM2923"/>
      <c r="GN2923"/>
      <c r="GO2923"/>
    </row>
    <row r="2924" spans="107:197">
      <c r="DC2924"/>
      <c r="FH2924"/>
      <c r="FI2924"/>
      <c r="FJ2924"/>
      <c r="FK2924"/>
      <c r="FL2924"/>
      <c r="FM2924"/>
      <c r="FN2924"/>
      <c r="FO2924"/>
      <c r="FP2924"/>
      <c r="FQ2924"/>
      <c r="FR2924"/>
      <c r="FS2924"/>
      <c r="FT2924"/>
      <c r="FU2924"/>
      <c r="FV2924"/>
      <c r="FW2924"/>
      <c r="FX2924"/>
      <c r="FY2924"/>
      <c r="FZ2924"/>
      <c r="GA2924"/>
      <c r="GB2924"/>
      <c r="GC2924"/>
      <c r="GD2924"/>
      <c r="GE2924"/>
      <c r="GF2924"/>
      <c r="GG2924"/>
      <c r="GH2924"/>
      <c r="GI2924"/>
      <c r="GJ2924"/>
      <c r="GK2924"/>
      <c r="GL2924"/>
      <c r="GM2924"/>
      <c r="GN2924"/>
      <c r="GO2924"/>
    </row>
    <row r="2925" spans="107:197">
      <c r="DC2925"/>
      <c r="FH2925"/>
      <c r="FI2925"/>
      <c r="FJ2925"/>
      <c r="FK2925"/>
      <c r="FL2925"/>
      <c r="FM2925"/>
      <c r="FN2925"/>
      <c r="FO2925"/>
      <c r="FP2925"/>
      <c r="FQ2925"/>
      <c r="FR2925"/>
      <c r="FS2925"/>
      <c r="FT2925"/>
      <c r="FU2925"/>
      <c r="FV2925"/>
      <c r="FW2925"/>
      <c r="FX2925"/>
      <c r="FY2925"/>
      <c r="FZ2925"/>
      <c r="GA2925"/>
      <c r="GB2925"/>
      <c r="GC2925"/>
      <c r="GD2925"/>
      <c r="GE2925"/>
      <c r="GF2925"/>
      <c r="GG2925"/>
      <c r="GH2925"/>
      <c r="GI2925"/>
      <c r="GJ2925"/>
      <c r="GK2925"/>
      <c r="GL2925"/>
      <c r="GM2925"/>
      <c r="GN2925"/>
      <c r="GO2925"/>
    </row>
    <row r="2926" spans="107:197">
      <c r="DC2926"/>
      <c r="FH2926"/>
      <c r="FI2926"/>
      <c r="FJ2926"/>
      <c r="FK2926"/>
      <c r="FL2926"/>
      <c r="FM2926"/>
      <c r="FN2926"/>
      <c r="FO2926"/>
      <c r="FP2926"/>
      <c r="FQ2926"/>
      <c r="FR2926"/>
      <c r="FS2926"/>
      <c r="FT2926"/>
      <c r="FU2926"/>
      <c r="FV2926"/>
      <c r="FW2926"/>
      <c r="FX2926"/>
      <c r="FY2926"/>
      <c r="FZ2926"/>
      <c r="GA2926"/>
      <c r="GB2926"/>
      <c r="GC2926"/>
      <c r="GD2926"/>
      <c r="GE2926"/>
      <c r="GF2926"/>
      <c r="GG2926"/>
      <c r="GH2926"/>
      <c r="GI2926"/>
      <c r="GJ2926"/>
      <c r="GK2926"/>
      <c r="GL2926"/>
      <c r="GM2926"/>
      <c r="GN2926"/>
      <c r="GO2926"/>
    </row>
    <row r="2927" spans="107:197">
      <c r="DC2927"/>
      <c r="FH2927"/>
      <c r="FI2927"/>
      <c r="FJ2927"/>
      <c r="FK2927"/>
      <c r="FL2927"/>
      <c r="FM2927"/>
      <c r="FN2927"/>
      <c r="FO2927"/>
      <c r="FP2927"/>
      <c r="FQ2927"/>
      <c r="FR2927"/>
      <c r="FS2927"/>
      <c r="FT2927"/>
      <c r="FU2927"/>
      <c r="FV2927"/>
      <c r="FW2927"/>
      <c r="FX2927"/>
      <c r="FY2927"/>
      <c r="FZ2927"/>
      <c r="GA2927"/>
      <c r="GB2927"/>
      <c r="GC2927"/>
      <c r="GD2927"/>
      <c r="GE2927"/>
      <c r="GF2927"/>
      <c r="GG2927"/>
      <c r="GH2927"/>
      <c r="GI2927"/>
      <c r="GJ2927"/>
      <c r="GK2927"/>
      <c r="GL2927"/>
      <c r="GM2927"/>
      <c r="GN2927"/>
      <c r="GO2927"/>
    </row>
    <row r="2928" spans="107:197">
      <c r="DC2928"/>
      <c r="FH2928"/>
      <c r="FI2928"/>
      <c r="FJ2928"/>
      <c r="FK2928"/>
      <c r="FL2928"/>
      <c r="FM2928"/>
      <c r="FN2928"/>
      <c r="FO2928"/>
      <c r="FP2928"/>
      <c r="FQ2928"/>
      <c r="FR2928"/>
      <c r="FS2928"/>
      <c r="FT2928"/>
      <c r="FU2928"/>
      <c r="FV2928"/>
      <c r="FW2928"/>
      <c r="FX2928"/>
      <c r="FY2928"/>
      <c r="FZ2928"/>
      <c r="GA2928"/>
      <c r="GB2928"/>
      <c r="GC2928"/>
      <c r="GD2928"/>
      <c r="GE2928"/>
      <c r="GF2928"/>
      <c r="GG2928"/>
      <c r="GH2928"/>
      <c r="GI2928"/>
      <c r="GJ2928"/>
      <c r="GK2928"/>
      <c r="GL2928"/>
      <c r="GM2928"/>
      <c r="GN2928"/>
      <c r="GO2928"/>
    </row>
    <row r="2929" spans="107:197">
      <c r="DC2929"/>
      <c r="FH2929"/>
      <c r="FI2929"/>
      <c r="FJ2929"/>
      <c r="FK2929"/>
      <c r="FL2929"/>
      <c r="FM2929"/>
      <c r="FN2929"/>
      <c r="FO2929"/>
      <c r="FP2929"/>
      <c r="FQ2929"/>
      <c r="FR2929"/>
      <c r="FS2929"/>
      <c r="FT2929"/>
      <c r="FU2929"/>
      <c r="FV2929"/>
      <c r="FW2929"/>
      <c r="FX2929"/>
      <c r="FY2929"/>
      <c r="FZ2929"/>
      <c r="GA2929"/>
      <c r="GB2929"/>
      <c r="GC2929"/>
      <c r="GD2929"/>
      <c r="GE2929"/>
      <c r="GF2929"/>
      <c r="GG2929"/>
      <c r="GH2929"/>
      <c r="GI2929"/>
      <c r="GJ2929"/>
      <c r="GK2929"/>
      <c r="GL2929"/>
      <c r="GM2929"/>
      <c r="GN2929"/>
      <c r="GO2929"/>
    </row>
    <row r="2930" spans="107:197">
      <c r="DC2930"/>
      <c r="FH2930"/>
      <c r="FI2930"/>
      <c r="FJ2930"/>
      <c r="FK2930"/>
      <c r="FL2930"/>
      <c r="FM2930"/>
      <c r="FN2930"/>
      <c r="FO2930"/>
      <c r="FP2930"/>
      <c r="FQ2930"/>
      <c r="FR2930"/>
      <c r="FS2930"/>
      <c r="FT2930"/>
      <c r="FU2930"/>
      <c r="FV2930"/>
      <c r="FW2930"/>
      <c r="FX2930"/>
      <c r="FY2930"/>
      <c r="FZ2930"/>
      <c r="GA2930"/>
      <c r="GB2930"/>
      <c r="GC2930"/>
      <c r="GD2930"/>
      <c r="GE2930"/>
      <c r="GF2930"/>
      <c r="GG2930"/>
      <c r="GH2930"/>
      <c r="GI2930"/>
      <c r="GJ2930"/>
      <c r="GK2930"/>
      <c r="GL2930"/>
      <c r="GM2930"/>
      <c r="GN2930"/>
      <c r="GO2930"/>
    </row>
    <row r="2931" spans="107:197">
      <c r="DC2931"/>
      <c r="FH2931"/>
      <c r="FI2931"/>
      <c r="FJ2931"/>
      <c r="FK2931"/>
      <c r="FL2931"/>
      <c r="FM2931"/>
      <c r="FN2931"/>
      <c r="FO2931"/>
      <c r="FP2931"/>
      <c r="FQ2931"/>
      <c r="FR2931"/>
      <c r="FS2931"/>
      <c r="FT2931"/>
      <c r="FU2931"/>
      <c r="FV2931"/>
      <c r="FW2931"/>
      <c r="FX2931"/>
      <c r="FY2931"/>
      <c r="FZ2931"/>
      <c r="GA2931"/>
      <c r="GB2931"/>
      <c r="GC2931"/>
      <c r="GD2931"/>
      <c r="GE2931"/>
      <c r="GF2931"/>
      <c r="GG2931"/>
      <c r="GH2931"/>
      <c r="GI2931"/>
      <c r="GJ2931"/>
      <c r="GK2931"/>
      <c r="GL2931"/>
      <c r="GM2931"/>
      <c r="GN2931"/>
      <c r="GO2931"/>
    </row>
    <row r="2932" spans="107:197">
      <c r="DC2932"/>
      <c r="FH2932"/>
      <c r="FI2932"/>
      <c r="FJ2932"/>
      <c r="FK2932"/>
      <c r="FL2932"/>
      <c r="FM2932"/>
      <c r="FN2932"/>
      <c r="FO2932"/>
      <c r="FP2932"/>
      <c r="FQ2932"/>
      <c r="FR2932"/>
      <c r="FS2932"/>
      <c r="FT2932"/>
      <c r="FU2932"/>
      <c r="FV2932"/>
      <c r="FW2932"/>
      <c r="FX2932"/>
      <c r="FY2932"/>
      <c r="FZ2932"/>
      <c r="GA2932"/>
      <c r="GB2932"/>
      <c r="GC2932"/>
      <c r="GD2932"/>
      <c r="GE2932"/>
      <c r="GF2932"/>
      <c r="GG2932"/>
      <c r="GH2932"/>
      <c r="GI2932"/>
      <c r="GJ2932"/>
      <c r="GK2932"/>
      <c r="GL2932"/>
      <c r="GM2932"/>
      <c r="GN2932"/>
      <c r="GO2932"/>
    </row>
    <row r="2933" spans="107:197">
      <c r="DC2933"/>
      <c r="FH2933"/>
      <c r="FI2933"/>
      <c r="FJ2933"/>
      <c r="FK2933"/>
      <c r="FL2933"/>
      <c r="FM2933"/>
      <c r="FN2933"/>
      <c r="FO2933"/>
      <c r="FP2933"/>
      <c r="FQ2933"/>
      <c r="FR2933"/>
      <c r="FS2933"/>
      <c r="FT2933"/>
      <c r="FU2933"/>
      <c r="FV2933"/>
      <c r="FW2933"/>
      <c r="FX2933"/>
      <c r="FY2933"/>
      <c r="FZ2933"/>
      <c r="GA2933"/>
      <c r="GB2933"/>
      <c r="GC2933"/>
      <c r="GD2933"/>
      <c r="GE2933"/>
      <c r="GF2933"/>
      <c r="GG2933"/>
      <c r="GH2933"/>
      <c r="GI2933"/>
      <c r="GJ2933"/>
      <c r="GK2933"/>
      <c r="GL2933"/>
      <c r="GM2933"/>
      <c r="GN2933"/>
      <c r="GO2933"/>
    </row>
    <row r="2934" spans="107:197">
      <c r="DC2934"/>
      <c r="FH2934"/>
      <c r="FI2934"/>
      <c r="FJ2934"/>
      <c r="FK2934"/>
      <c r="FL2934"/>
      <c r="FM2934"/>
      <c r="FN2934"/>
      <c r="FO2934"/>
      <c r="FP2934"/>
      <c r="FQ2934"/>
      <c r="FR2934"/>
      <c r="FS2934"/>
      <c r="FT2934"/>
      <c r="FU2934"/>
      <c r="FV2934"/>
      <c r="FW2934"/>
      <c r="FX2934"/>
      <c r="FY2934"/>
      <c r="FZ2934"/>
      <c r="GA2934"/>
      <c r="GB2934"/>
      <c r="GC2934"/>
      <c r="GD2934"/>
      <c r="GE2934"/>
      <c r="GF2934"/>
      <c r="GG2934"/>
      <c r="GH2934"/>
      <c r="GI2934"/>
      <c r="GJ2934"/>
      <c r="GK2934"/>
      <c r="GL2934"/>
      <c r="GM2934"/>
      <c r="GN2934"/>
      <c r="GO2934"/>
    </row>
    <row r="2935" spans="107:197">
      <c r="DC2935"/>
      <c r="FH2935"/>
      <c r="FI2935"/>
      <c r="FJ2935"/>
      <c r="FK2935"/>
      <c r="FL2935"/>
      <c r="FM2935"/>
      <c r="FN2935"/>
      <c r="FO2935"/>
      <c r="FP2935"/>
      <c r="FQ2935"/>
      <c r="FR2935"/>
      <c r="FS2935"/>
      <c r="FT2935"/>
      <c r="FU2935"/>
      <c r="FV2935"/>
      <c r="FW2935"/>
      <c r="FX2935"/>
      <c r="FY2935"/>
      <c r="FZ2935"/>
      <c r="GA2935"/>
      <c r="GB2935"/>
      <c r="GC2935"/>
      <c r="GD2935"/>
      <c r="GE2935"/>
      <c r="GF2935"/>
      <c r="GG2935"/>
      <c r="GH2935"/>
      <c r="GI2935"/>
      <c r="GJ2935"/>
      <c r="GK2935"/>
      <c r="GL2935"/>
      <c r="GM2935"/>
      <c r="GN2935"/>
      <c r="GO2935"/>
    </row>
    <row r="2936" spans="107:197">
      <c r="DC2936"/>
      <c r="FH2936"/>
      <c r="FI2936"/>
      <c r="FJ2936"/>
      <c r="FK2936"/>
      <c r="FL2936"/>
      <c r="FM2936"/>
      <c r="FN2936"/>
      <c r="FO2936"/>
      <c r="FP2936"/>
      <c r="FQ2936"/>
      <c r="FR2936"/>
      <c r="FS2936"/>
      <c r="FT2936"/>
      <c r="FU2936"/>
      <c r="FV2936"/>
      <c r="FW2936"/>
      <c r="FX2936"/>
      <c r="FY2936"/>
      <c r="FZ2936"/>
      <c r="GA2936"/>
      <c r="GB2936"/>
      <c r="GC2936"/>
      <c r="GD2936"/>
      <c r="GE2936"/>
      <c r="GF2936"/>
      <c r="GG2936"/>
      <c r="GH2936"/>
      <c r="GI2936"/>
      <c r="GJ2936"/>
      <c r="GK2936"/>
      <c r="GL2936"/>
      <c r="GM2936"/>
      <c r="GN2936"/>
      <c r="GO2936"/>
    </row>
    <row r="2937" spans="107:197">
      <c r="DC2937"/>
      <c r="FH2937"/>
      <c r="FI2937"/>
      <c r="FJ2937"/>
      <c r="FK2937"/>
      <c r="FL2937"/>
      <c r="FM2937"/>
      <c r="FN2937"/>
      <c r="FO2937"/>
      <c r="FP2937"/>
      <c r="FQ2937"/>
      <c r="FR2937"/>
      <c r="FS2937"/>
      <c r="FT2937"/>
      <c r="FU2937"/>
      <c r="FV2937"/>
      <c r="FW2937"/>
      <c r="FX2937"/>
      <c r="FY2937"/>
      <c r="FZ2937"/>
      <c r="GA2937"/>
      <c r="GB2937"/>
      <c r="GC2937"/>
      <c r="GD2937"/>
      <c r="GE2937"/>
      <c r="GF2937"/>
      <c r="GG2937"/>
      <c r="GH2937"/>
      <c r="GI2937"/>
      <c r="GJ2937"/>
      <c r="GK2937"/>
      <c r="GL2937"/>
      <c r="GM2937"/>
      <c r="GN2937"/>
      <c r="GO2937"/>
    </row>
    <row r="2938" spans="107:197">
      <c r="DC2938"/>
      <c r="FH2938"/>
      <c r="FI2938"/>
      <c r="FJ2938"/>
      <c r="FK2938"/>
      <c r="FL2938"/>
      <c r="FM2938"/>
      <c r="FN2938"/>
      <c r="FO2938"/>
      <c r="FP2938"/>
      <c r="FQ2938"/>
      <c r="FR2938"/>
      <c r="FS2938"/>
      <c r="FT2938"/>
      <c r="FU2938"/>
      <c r="FV2938"/>
      <c r="FW2938"/>
      <c r="FX2938"/>
      <c r="FY2938"/>
      <c r="FZ2938"/>
      <c r="GA2938"/>
      <c r="GB2938"/>
      <c r="GC2938"/>
      <c r="GD2938"/>
      <c r="GE2938"/>
      <c r="GF2938"/>
      <c r="GG2938"/>
      <c r="GH2938"/>
      <c r="GI2938"/>
      <c r="GJ2938"/>
      <c r="GK2938"/>
      <c r="GL2938"/>
      <c r="GM2938"/>
      <c r="GN2938"/>
      <c r="GO2938"/>
    </row>
    <row r="2939" spans="107:197">
      <c r="DC2939"/>
      <c r="FH2939"/>
      <c r="FI2939"/>
      <c r="FJ2939"/>
      <c r="FK2939"/>
      <c r="FL2939"/>
      <c r="FM2939"/>
      <c r="FN2939"/>
      <c r="FO2939"/>
      <c r="FP2939"/>
      <c r="FQ2939"/>
      <c r="FR2939"/>
      <c r="FS2939"/>
      <c r="FT2939"/>
      <c r="FU2939"/>
      <c r="FV2939"/>
      <c r="FW2939"/>
      <c r="FX2939"/>
      <c r="FY2939"/>
      <c r="FZ2939"/>
      <c r="GA2939"/>
      <c r="GB2939"/>
      <c r="GC2939"/>
      <c r="GD2939"/>
      <c r="GE2939"/>
      <c r="GF2939"/>
      <c r="GG2939"/>
      <c r="GH2939"/>
      <c r="GI2939"/>
      <c r="GJ2939"/>
      <c r="GK2939"/>
      <c r="GL2939"/>
      <c r="GM2939"/>
      <c r="GN2939"/>
      <c r="GO2939"/>
    </row>
    <row r="2940" spans="107:197">
      <c r="DC2940"/>
      <c r="FH2940"/>
      <c r="FI2940"/>
      <c r="FJ2940"/>
      <c r="FK2940"/>
      <c r="FL2940"/>
      <c r="FM2940"/>
      <c r="FN2940"/>
      <c r="FO2940"/>
      <c r="FP2940"/>
      <c r="FQ2940"/>
      <c r="FR2940"/>
      <c r="FS2940"/>
      <c r="FT2940"/>
      <c r="FU2940"/>
      <c r="FV2940"/>
      <c r="FW2940"/>
      <c r="FX2940"/>
      <c r="FY2940"/>
      <c r="FZ2940"/>
      <c r="GA2940"/>
      <c r="GB2940"/>
      <c r="GC2940"/>
      <c r="GD2940"/>
      <c r="GE2940"/>
      <c r="GF2940"/>
      <c r="GG2940"/>
      <c r="GH2940"/>
      <c r="GI2940"/>
      <c r="GJ2940"/>
      <c r="GK2940"/>
      <c r="GL2940"/>
      <c r="GM2940"/>
      <c r="GN2940"/>
      <c r="GO2940"/>
    </row>
    <row r="2941" spans="107:197">
      <c r="DC2941"/>
      <c r="FH2941"/>
      <c r="FI2941"/>
      <c r="FJ2941"/>
      <c r="FK2941"/>
      <c r="FL2941"/>
      <c r="FM2941"/>
      <c r="FN2941"/>
      <c r="FO2941"/>
      <c r="FP2941"/>
      <c r="FQ2941"/>
      <c r="FR2941"/>
      <c r="FS2941"/>
      <c r="FT2941"/>
      <c r="FU2941"/>
      <c r="FV2941"/>
      <c r="FW2941"/>
      <c r="FX2941"/>
      <c r="FY2941"/>
      <c r="FZ2941"/>
      <c r="GA2941"/>
      <c r="GB2941"/>
      <c r="GC2941"/>
      <c r="GD2941"/>
      <c r="GE2941"/>
      <c r="GF2941"/>
      <c r="GG2941"/>
      <c r="GH2941"/>
      <c r="GI2941"/>
      <c r="GJ2941"/>
      <c r="GK2941"/>
      <c r="GL2941"/>
      <c r="GM2941"/>
      <c r="GN2941"/>
      <c r="GO2941"/>
    </row>
    <row r="2942" spans="107:197">
      <c r="DC2942"/>
      <c r="FH2942"/>
      <c r="FI2942"/>
      <c r="FJ2942"/>
      <c r="FK2942"/>
      <c r="FL2942"/>
      <c r="FM2942"/>
      <c r="FN2942"/>
      <c r="FO2942"/>
      <c r="FP2942"/>
      <c r="FQ2942"/>
      <c r="FR2942"/>
      <c r="FS2942"/>
      <c r="FT2942"/>
      <c r="FU2942"/>
      <c r="FV2942"/>
      <c r="FW2942"/>
      <c r="FX2942"/>
      <c r="FY2942"/>
      <c r="FZ2942"/>
      <c r="GA2942"/>
      <c r="GB2942"/>
      <c r="GC2942"/>
      <c r="GD2942"/>
      <c r="GE2942"/>
      <c r="GF2942"/>
      <c r="GG2942"/>
      <c r="GH2942"/>
      <c r="GI2942"/>
      <c r="GJ2942"/>
      <c r="GK2942"/>
      <c r="GL2942"/>
      <c r="GM2942"/>
      <c r="GN2942"/>
      <c r="GO2942"/>
    </row>
    <row r="2943" spans="107:197">
      <c r="DC2943"/>
      <c r="FH2943"/>
      <c r="FI2943"/>
      <c r="FJ2943"/>
      <c r="FK2943"/>
      <c r="FL2943"/>
      <c r="FM2943"/>
      <c r="FN2943"/>
      <c r="FO2943"/>
      <c r="FP2943"/>
      <c r="FQ2943"/>
      <c r="FR2943"/>
      <c r="FS2943"/>
      <c r="FT2943"/>
      <c r="FU2943"/>
      <c r="FV2943"/>
      <c r="FW2943"/>
      <c r="FX2943"/>
      <c r="FY2943"/>
      <c r="FZ2943"/>
      <c r="GA2943"/>
      <c r="GB2943"/>
      <c r="GC2943"/>
      <c r="GD2943"/>
      <c r="GE2943"/>
      <c r="GF2943"/>
      <c r="GG2943"/>
      <c r="GH2943"/>
      <c r="GI2943"/>
      <c r="GJ2943"/>
      <c r="GK2943"/>
      <c r="GL2943"/>
      <c r="GM2943"/>
      <c r="GN2943"/>
      <c r="GO2943"/>
    </row>
    <row r="2944" spans="107:197">
      <c r="DC2944"/>
      <c r="FH2944"/>
      <c r="FI2944"/>
      <c r="FJ2944"/>
      <c r="FK2944"/>
      <c r="FL2944"/>
      <c r="FM2944"/>
      <c r="FN2944"/>
      <c r="FO2944"/>
      <c r="FP2944"/>
      <c r="FQ2944"/>
      <c r="FR2944"/>
      <c r="FS2944"/>
      <c r="FT2944"/>
      <c r="FU2944"/>
      <c r="FV2944"/>
      <c r="FW2944"/>
      <c r="FX2944"/>
      <c r="FY2944"/>
      <c r="FZ2944"/>
      <c r="GA2944"/>
      <c r="GB2944"/>
      <c r="GC2944"/>
      <c r="GD2944"/>
      <c r="GE2944"/>
      <c r="GF2944"/>
      <c r="GG2944"/>
      <c r="GH2944"/>
      <c r="GI2944"/>
      <c r="GJ2944"/>
      <c r="GK2944"/>
      <c r="GL2944"/>
      <c r="GM2944"/>
      <c r="GN2944"/>
      <c r="GO2944"/>
    </row>
    <row r="2945" spans="107:197">
      <c r="DC2945"/>
      <c r="FH2945"/>
      <c r="FI2945"/>
      <c r="FJ2945"/>
      <c r="FK2945"/>
      <c r="FL2945"/>
      <c r="FM2945"/>
      <c r="FN2945"/>
      <c r="FO2945"/>
      <c r="FP2945"/>
      <c r="FQ2945"/>
      <c r="FR2945"/>
      <c r="FS2945"/>
      <c r="FT2945"/>
      <c r="FU2945"/>
      <c r="FV2945"/>
      <c r="FW2945"/>
      <c r="FX2945"/>
      <c r="FY2945"/>
      <c r="FZ2945"/>
      <c r="GA2945"/>
      <c r="GB2945"/>
      <c r="GC2945"/>
      <c r="GD2945"/>
      <c r="GE2945"/>
      <c r="GF2945"/>
      <c r="GG2945"/>
      <c r="GH2945"/>
      <c r="GI2945"/>
      <c r="GJ2945"/>
      <c r="GK2945"/>
      <c r="GL2945"/>
      <c r="GM2945"/>
      <c r="GN2945"/>
      <c r="GO2945"/>
    </row>
    <row r="2946" spans="107:197">
      <c r="DC2946"/>
      <c r="FH2946"/>
      <c r="FI2946"/>
      <c r="FJ2946"/>
      <c r="FK2946"/>
      <c r="FL2946"/>
      <c r="FM2946"/>
      <c r="FN2946"/>
      <c r="FO2946"/>
      <c r="FP2946"/>
      <c r="FQ2946"/>
      <c r="FR2946"/>
      <c r="FS2946"/>
      <c r="FT2946"/>
      <c r="FU2946"/>
      <c r="FV2946"/>
      <c r="FW2946"/>
      <c r="FX2946"/>
      <c r="FY2946"/>
      <c r="FZ2946"/>
      <c r="GA2946"/>
      <c r="GB2946"/>
      <c r="GC2946"/>
      <c r="GD2946"/>
      <c r="GE2946"/>
      <c r="GF2946"/>
      <c r="GG2946"/>
      <c r="GH2946"/>
      <c r="GI2946"/>
      <c r="GJ2946"/>
      <c r="GK2946"/>
      <c r="GL2946"/>
      <c r="GM2946"/>
      <c r="GN2946"/>
      <c r="GO2946"/>
    </row>
    <row r="2947" spans="107:197">
      <c r="DC2947"/>
      <c r="FH2947"/>
      <c r="FI2947"/>
      <c r="FJ2947"/>
      <c r="FK2947"/>
      <c r="FL2947"/>
      <c r="FM2947"/>
      <c r="FN2947"/>
      <c r="FO2947"/>
      <c r="FP2947"/>
      <c r="FQ2947"/>
      <c r="FR2947"/>
      <c r="FS2947"/>
      <c r="FT2947"/>
      <c r="FU2947"/>
      <c r="FV2947"/>
      <c r="FW2947"/>
      <c r="FX2947"/>
      <c r="FY2947"/>
      <c r="FZ2947"/>
      <c r="GA2947"/>
      <c r="GB2947"/>
      <c r="GC2947"/>
      <c r="GD2947"/>
      <c r="GE2947"/>
      <c r="GF2947"/>
      <c r="GG2947"/>
      <c r="GH2947"/>
      <c r="GI2947"/>
      <c r="GJ2947"/>
      <c r="GK2947"/>
      <c r="GL2947"/>
      <c r="GM2947"/>
      <c r="GN2947"/>
      <c r="GO2947"/>
    </row>
    <row r="2948" spans="107:197">
      <c r="DC2948"/>
      <c r="FH2948"/>
      <c r="FI2948"/>
      <c r="FJ2948"/>
      <c r="FK2948"/>
      <c r="FL2948"/>
      <c r="FM2948"/>
      <c r="FN2948"/>
      <c r="FO2948"/>
      <c r="FP2948"/>
      <c r="FQ2948"/>
      <c r="FR2948"/>
      <c r="FS2948"/>
      <c r="FT2948"/>
      <c r="FU2948"/>
      <c r="FV2948"/>
      <c r="FW2948"/>
      <c r="FX2948"/>
      <c r="FY2948"/>
      <c r="FZ2948"/>
      <c r="GA2948"/>
      <c r="GB2948"/>
      <c r="GC2948"/>
      <c r="GD2948"/>
      <c r="GE2948"/>
      <c r="GF2948"/>
      <c r="GG2948"/>
      <c r="GH2948"/>
      <c r="GI2948"/>
      <c r="GJ2948"/>
      <c r="GK2948"/>
      <c r="GL2948"/>
      <c r="GM2948"/>
      <c r="GN2948"/>
      <c r="GO2948"/>
    </row>
    <row r="2949" spans="107:197">
      <c r="DC2949"/>
      <c r="FH2949"/>
      <c r="FI2949"/>
      <c r="FJ2949"/>
      <c r="FK2949"/>
      <c r="FL2949"/>
      <c r="FM2949"/>
      <c r="FN2949"/>
      <c r="FO2949"/>
      <c r="FP2949"/>
      <c r="FQ2949"/>
      <c r="FR2949"/>
      <c r="FS2949"/>
      <c r="FT2949"/>
      <c r="FU2949"/>
      <c r="FV2949"/>
      <c r="FW2949"/>
      <c r="FX2949"/>
      <c r="FY2949"/>
      <c r="FZ2949"/>
      <c r="GA2949"/>
      <c r="GB2949"/>
      <c r="GC2949"/>
      <c r="GD2949"/>
      <c r="GE2949"/>
      <c r="GF2949"/>
      <c r="GG2949"/>
      <c r="GH2949"/>
      <c r="GI2949"/>
      <c r="GJ2949"/>
      <c r="GK2949"/>
      <c r="GL2949"/>
      <c r="GM2949"/>
      <c r="GN2949"/>
      <c r="GO2949"/>
    </row>
    <row r="2950" spans="107:197">
      <c r="DC2950"/>
      <c r="FH2950"/>
      <c r="FI2950"/>
      <c r="FJ2950"/>
      <c r="FK2950"/>
      <c r="FL2950"/>
      <c r="FM2950"/>
      <c r="FN2950"/>
      <c r="FO2950"/>
      <c r="FP2950"/>
      <c r="FQ2950"/>
      <c r="FR2950"/>
      <c r="FS2950"/>
      <c r="FT2950"/>
      <c r="FU2950"/>
      <c r="FV2950"/>
      <c r="FW2950"/>
      <c r="FX2950"/>
      <c r="FY2950"/>
      <c r="FZ2950"/>
      <c r="GA2950"/>
      <c r="GB2950"/>
      <c r="GC2950"/>
      <c r="GD2950"/>
      <c r="GE2950"/>
      <c r="GF2950"/>
      <c r="GG2950"/>
      <c r="GH2950"/>
      <c r="GI2950"/>
      <c r="GJ2950"/>
      <c r="GK2950"/>
      <c r="GL2950"/>
      <c r="GM2950"/>
      <c r="GN2950"/>
      <c r="GO2950"/>
    </row>
    <row r="2951" spans="107:197">
      <c r="DC2951"/>
      <c r="FH2951"/>
      <c r="FI2951"/>
      <c r="FJ2951"/>
      <c r="FK2951"/>
      <c r="FL2951"/>
      <c r="FM2951"/>
      <c r="FN2951"/>
      <c r="FO2951"/>
      <c r="FP2951"/>
      <c r="FQ2951"/>
      <c r="FR2951"/>
      <c r="FS2951"/>
      <c r="FT2951"/>
      <c r="FU2951"/>
      <c r="FV2951"/>
      <c r="FW2951"/>
      <c r="FX2951"/>
      <c r="FY2951"/>
      <c r="FZ2951"/>
      <c r="GA2951"/>
      <c r="GB2951"/>
      <c r="GC2951"/>
      <c r="GD2951"/>
      <c r="GE2951"/>
      <c r="GF2951"/>
      <c r="GG2951"/>
      <c r="GH2951"/>
      <c r="GI2951"/>
      <c r="GJ2951"/>
      <c r="GK2951"/>
      <c r="GL2951"/>
      <c r="GM2951"/>
      <c r="GN2951"/>
      <c r="GO2951"/>
    </row>
    <row r="2952" spans="107:197">
      <c r="DC2952"/>
      <c r="FH2952"/>
      <c r="FI2952"/>
      <c r="FJ2952"/>
      <c r="FK2952"/>
      <c r="FL2952"/>
      <c r="FM2952"/>
      <c r="FN2952"/>
      <c r="FO2952"/>
      <c r="FP2952"/>
      <c r="FQ2952"/>
      <c r="FR2952"/>
      <c r="FS2952"/>
      <c r="FT2952"/>
      <c r="FU2952"/>
      <c r="FV2952"/>
      <c r="FW2952"/>
      <c r="FX2952"/>
      <c r="FY2952"/>
      <c r="FZ2952"/>
      <c r="GA2952"/>
      <c r="GB2952"/>
      <c r="GC2952"/>
      <c r="GD2952"/>
      <c r="GE2952"/>
      <c r="GF2952"/>
      <c r="GG2952"/>
      <c r="GH2952"/>
      <c r="GI2952"/>
      <c r="GJ2952"/>
      <c r="GK2952"/>
      <c r="GL2952"/>
      <c r="GM2952"/>
      <c r="GN2952"/>
      <c r="GO2952"/>
    </row>
    <row r="2953" spans="107:197">
      <c r="DC2953"/>
      <c r="FH2953"/>
      <c r="FI2953"/>
      <c r="FJ2953"/>
      <c r="FK2953"/>
      <c r="FL2953"/>
      <c r="FM2953"/>
      <c r="FN2953"/>
      <c r="FO2953"/>
      <c r="FP2953"/>
      <c r="FQ2953"/>
      <c r="FR2953"/>
      <c r="FS2953"/>
      <c r="FT2953"/>
      <c r="FU2953"/>
      <c r="FV2953"/>
      <c r="FW2953"/>
      <c r="FX2953"/>
      <c r="FY2953"/>
      <c r="FZ2953"/>
      <c r="GA2953"/>
      <c r="GB2953"/>
      <c r="GC2953"/>
      <c r="GD2953"/>
      <c r="GE2953"/>
      <c r="GF2953"/>
      <c r="GG2953"/>
      <c r="GH2953"/>
      <c r="GI2953"/>
      <c r="GJ2953"/>
      <c r="GK2953"/>
      <c r="GL2953"/>
      <c r="GM2953"/>
      <c r="GN2953"/>
      <c r="GO2953"/>
    </row>
    <row r="2954" spans="107:197">
      <c r="DC2954"/>
      <c r="FH2954"/>
      <c r="FI2954"/>
      <c r="FJ2954"/>
      <c r="FK2954"/>
      <c r="FL2954"/>
      <c r="FM2954"/>
      <c r="FN2954"/>
      <c r="FO2954"/>
      <c r="FP2954"/>
      <c r="FQ2954"/>
      <c r="FR2954"/>
      <c r="FS2954"/>
      <c r="FT2954"/>
      <c r="FU2954"/>
      <c r="FV2954"/>
      <c r="FW2954"/>
      <c r="FX2954"/>
      <c r="FY2954"/>
      <c r="FZ2954"/>
      <c r="GA2954"/>
      <c r="GB2954"/>
      <c r="GC2954"/>
      <c r="GD2954"/>
      <c r="GE2954"/>
      <c r="GF2954"/>
      <c r="GG2954"/>
      <c r="GH2954"/>
      <c r="GI2954"/>
      <c r="GJ2954"/>
      <c r="GK2954"/>
      <c r="GL2954"/>
      <c r="GM2954"/>
      <c r="GN2954"/>
      <c r="GO2954"/>
    </row>
    <row r="2955" spans="107:197">
      <c r="DC2955"/>
      <c r="FH2955"/>
      <c r="FI2955"/>
      <c r="FJ2955"/>
      <c r="FK2955"/>
      <c r="FL2955"/>
      <c r="FM2955"/>
      <c r="FN2955"/>
      <c r="FO2955"/>
      <c r="FP2955"/>
      <c r="FQ2955"/>
      <c r="FR2955"/>
      <c r="FS2955"/>
      <c r="FT2955"/>
      <c r="FU2955"/>
      <c r="FV2955"/>
      <c r="FW2955"/>
      <c r="FX2955"/>
      <c r="FY2955"/>
      <c r="FZ2955"/>
      <c r="GA2955"/>
      <c r="GB2955"/>
      <c r="GC2955"/>
      <c r="GD2955"/>
      <c r="GE2955"/>
      <c r="GF2955"/>
      <c r="GG2955"/>
      <c r="GH2955"/>
      <c r="GI2955"/>
      <c r="GJ2955"/>
      <c r="GK2955"/>
      <c r="GL2955"/>
      <c r="GM2955"/>
      <c r="GN2955"/>
      <c r="GO2955"/>
    </row>
    <row r="2956" spans="107:197">
      <c r="DC2956"/>
      <c r="FH2956"/>
      <c r="FI2956"/>
      <c r="FJ2956"/>
      <c r="FK2956"/>
      <c r="FL2956"/>
      <c r="FM2956"/>
      <c r="FN2956"/>
      <c r="FO2956"/>
      <c r="FP2956"/>
      <c r="FQ2956"/>
      <c r="FR2956"/>
      <c r="FS2956"/>
      <c r="FT2956"/>
      <c r="FU2956"/>
      <c r="FV2956"/>
      <c r="FW2956"/>
      <c r="FX2956"/>
      <c r="FY2956"/>
      <c r="FZ2956"/>
      <c r="GA2956"/>
      <c r="GB2956"/>
      <c r="GC2956"/>
      <c r="GD2956"/>
      <c r="GE2956"/>
      <c r="GF2956"/>
      <c r="GG2956"/>
      <c r="GH2956"/>
      <c r="GI2956"/>
      <c r="GJ2956"/>
      <c r="GK2956"/>
      <c r="GL2956"/>
      <c r="GM2956"/>
      <c r="GN2956"/>
      <c r="GO2956"/>
    </row>
    <row r="2957" spans="107:197">
      <c r="DC2957"/>
      <c r="FH2957"/>
      <c r="FI2957"/>
      <c r="FJ2957"/>
      <c r="FK2957"/>
      <c r="FL2957"/>
      <c r="FM2957"/>
      <c r="FN2957"/>
      <c r="FO2957"/>
      <c r="FP2957"/>
      <c r="FQ2957"/>
      <c r="FR2957"/>
      <c r="FS2957"/>
      <c r="FT2957"/>
      <c r="FU2957"/>
      <c r="FV2957"/>
      <c r="FW2957"/>
      <c r="FX2957"/>
      <c r="FY2957"/>
      <c r="FZ2957"/>
      <c r="GA2957"/>
      <c r="GB2957"/>
      <c r="GC2957"/>
      <c r="GD2957"/>
      <c r="GE2957"/>
      <c r="GF2957"/>
      <c r="GG2957"/>
      <c r="GH2957"/>
      <c r="GI2957"/>
      <c r="GJ2957"/>
      <c r="GK2957"/>
      <c r="GL2957"/>
      <c r="GM2957"/>
      <c r="GN2957"/>
      <c r="GO2957"/>
    </row>
    <row r="2958" spans="107:197">
      <c r="DC2958"/>
      <c r="FH2958"/>
      <c r="FI2958"/>
      <c r="FJ2958"/>
      <c r="FK2958"/>
      <c r="FL2958"/>
      <c r="FM2958"/>
      <c r="FN2958"/>
      <c r="FO2958"/>
      <c r="FP2958"/>
      <c r="FQ2958"/>
      <c r="FR2958"/>
      <c r="FS2958"/>
      <c r="FT2958"/>
      <c r="FU2958"/>
      <c r="FV2958"/>
      <c r="FW2958"/>
      <c r="FX2958"/>
      <c r="FY2958"/>
      <c r="FZ2958"/>
      <c r="GA2958"/>
      <c r="GB2958"/>
      <c r="GC2958"/>
      <c r="GD2958"/>
      <c r="GE2958"/>
      <c r="GF2958"/>
      <c r="GG2958"/>
      <c r="GH2958"/>
      <c r="GI2958"/>
      <c r="GJ2958"/>
      <c r="GK2958"/>
      <c r="GL2958"/>
      <c r="GM2958"/>
      <c r="GN2958"/>
      <c r="GO2958"/>
    </row>
    <row r="2959" spans="107:197">
      <c r="DC2959"/>
      <c r="FH2959"/>
      <c r="FI2959"/>
      <c r="FJ2959"/>
      <c r="FK2959"/>
      <c r="FL2959"/>
      <c r="FM2959"/>
      <c r="FN2959"/>
      <c r="FO2959"/>
      <c r="FP2959"/>
      <c r="FQ2959"/>
      <c r="FR2959"/>
      <c r="FS2959"/>
      <c r="FT2959"/>
      <c r="FU2959"/>
      <c r="FV2959"/>
      <c r="FW2959"/>
      <c r="FX2959"/>
      <c r="FY2959"/>
      <c r="FZ2959"/>
      <c r="GA2959"/>
      <c r="GB2959"/>
      <c r="GC2959"/>
      <c r="GD2959"/>
      <c r="GE2959"/>
      <c r="GF2959"/>
      <c r="GG2959"/>
      <c r="GH2959"/>
      <c r="GI2959"/>
      <c r="GJ2959"/>
      <c r="GK2959"/>
      <c r="GL2959"/>
      <c r="GM2959"/>
      <c r="GN2959"/>
      <c r="GO2959"/>
    </row>
    <row r="2960" spans="107:197">
      <c r="DC2960"/>
      <c r="FH2960"/>
      <c r="FI2960"/>
      <c r="FJ2960"/>
      <c r="FK2960"/>
      <c r="FL2960"/>
      <c r="FM2960"/>
      <c r="FN2960"/>
      <c r="FO2960"/>
      <c r="FP2960"/>
      <c r="FQ2960"/>
      <c r="FR2960"/>
      <c r="FS2960"/>
      <c r="FT2960"/>
      <c r="FU2960"/>
      <c r="FV2960"/>
      <c r="FW2960"/>
      <c r="FX2960"/>
      <c r="FY2960"/>
      <c r="FZ2960"/>
      <c r="GA2960"/>
      <c r="GB2960"/>
      <c r="GC2960"/>
      <c r="GD2960"/>
      <c r="GE2960"/>
      <c r="GF2960"/>
      <c r="GG2960"/>
      <c r="GH2960"/>
      <c r="GI2960"/>
      <c r="GJ2960"/>
      <c r="GK2960"/>
      <c r="GL2960"/>
      <c r="GM2960"/>
      <c r="GN2960"/>
      <c r="GO2960"/>
    </row>
    <row r="2961" spans="107:197">
      <c r="DC2961"/>
      <c r="FH2961"/>
      <c r="FI2961"/>
      <c r="FJ2961"/>
      <c r="FK2961"/>
      <c r="FL2961"/>
      <c r="FM2961"/>
      <c r="FN2961"/>
      <c r="FO2961"/>
      <c r="FP2961"/>
      <c r="FQ2961"/>
      <c r="FR2961"/>
      <c r="FS2961"/>
      <c r="FT2961"/>
      <c r="FU2961"/>
      <c r="FV2961"/>
      <c r="FW2961"/>
      <c r="FX2961"/>
      <c r="FY2961"/>
      <c r="FZ2961"/>
      <c r="GA2961"/>
      <c r="GB2961"/>
      <c r="GC2961"/>
      <c r="GD2961"/>
      <c r="GE2961"/>
      <c r="GF2961"/>
      <c r="GG2961"/>
      <c r="GH2961"/>
      <c r="GI2961"/>
      <c r="GJ2961"/>
      <c r="GK2961"/>
      <c r="GL2961"/>
      <c r="GM2961"/>
      <c r="GN2961"/>
      <c r="GO2961"/>
    </row>
    <row r="2962" spans="107:197">
      <c r="DC2962"/>
      <c r="FH2962"/>
      <c r="FI2962"/>
      <c r="FJ2962"/>
      <c r="FK2962"/>
      <c r="FL2962"/>
      <c r="FM2962"/>
      <c r="FN2962"/>
      <c r="FO2962"/>
      <c r="FP2962"/>
      <c r="FQ2962"/>
      <c r="FR2962"/>
      <c r="FS2962"/>
      <c r="FT2962"/>
      <c r="FU2962"/>
      <c r="FV2962"/>
      <c r="FW2962"/>
      <c r="FX2962"/>
      <c r="FY2962"/>
      <c r="FZ2962"/>
      <c r="GA2962"/>
      <c r="GB2962"/>
      <c r="GC2962"/>
      <c r="GD2962"/>
      <c r="GE2962"/>
      <c r="GF2962"/>
      <c r="GG2962"/>
      <c r="GH2962"/>
      <c r="GI2962"/>
      <c r="GJ2962"/>
      <c r="GK2962"/>
      <c r="GL2962"/>
      <c r="GM2962"/>
      <c r="GN2962"/>
      <c r="GO2962"/>
    </row>
    <row r="2963" spans="107:197">
      <c r="DC2963"/>
      <c r="FH2963"/>
      <c r="FI2963"/>
      <c r="FJ2963"/>
      <c r="FK2963"/>
      <c r="FL2963"/>
      <c r="FM2963"/>
      <c r="FN2963"/>
      <c r="FO2963"/>
      <c r="FP2963"/>
      <c r="FQ2963"/>
      <c r="FR2963"/>
      <c r="FS2963"/>
      <c r="FT2963"/>
      <c r="FU2963"/>
      <c r="FV2963"/>
      <c r="FW2963"/>
      <c r="FX2963"/>
      <c r="FY2963"/>
      <c r="FZ2963"/>
      <c r="GA2963"/>
      <c r="GB2963"/>
      <c r="GC2963"/>
      <c r="GD2963"/>
      <c r="GE2963"/>
      <c r="GF2963"/>
      <c r="GG2963"/>
      <c r="GH2963"/>
      <c r="GI2963"/>
      <c r="GJ2963"/>
      <c r="GK2963"/>
      <c r="GL2963"/>
      <c r="GM2963"/>
      <c r="GN2963"/>
      <c r="GO2963"/>
    </row>
    <row r="2964" spans="107:197">
      <c r="DC2964"/>
      <c r="FH2964"/>
      <c r="FI2964"/>
      <c r="FJ2964"/>
      <c r="FK2964"/>
      <c r="FL2964"/>
      <c r="FM2964"/>
      <c r="FN2964"/>
      <c r="FO2964"/>
      <c r="FP2964"/>
      <c r="FQ2964"/>
      <c r="FR2964"/>
      <c r="FS2964"/>
      <c r="FT2964"/>
      <c r="FU2964"/>
      <c r="FV2964"/>
      <c r="FW2964"/>
      <c r="FX2964"/>
      <c r="FY2964"/>
      <c r="FZ2964"/>
      <c r="GA2964"/>
      <c r="GB2964"/>
      <c r="GC2964"/>
      <c r="GD2964"/>
      <c r="GE2964"/>
      <c r="GF2964"/>
      <c r="GG2964"/>
      <c r="GH2964"/>
      <c r="GI2964"/>
      <c r="GJ2964"/>
      <c r="GK2964"/>
      <c r="GL2964"/>
      <c r="GM2964"/>
      <c r="GN2964"/>
      <c r="GO2964"/>
    </row>
    <row r="2965" spans="107:197">
      <c r="DC2965"/>
      <c r="FH2965"/>
      <c r="FI2965"/>
      <c r="FJ2965"/>
      <c r="FK2965"/>
      <c r="FL2965"/>
      <c r="FM2965"/>
      <c r="FN2965"/>
      <c r="FO2965"/>
      <c r="FP2965"/>
      <c r="FQ2965"/>
      <c r="FR2965"/>
      <c r="FS2965"/>
      <c r="FT2965"/>
      <c r="FU2965"/>
      <c r="FV2965"/>
      <c r="FW2965"/>
      <c r="FX2965"/>
      <c r="FY2965"/>
      <c r="FZ2965"/>
      <c r="GA2965"/>
      <c r="GB2965"/>
      <c r="GC2965"/>
      <c r="GD2965"/>
      <c r="GE2965"/>
      <c r="GF2965"/>
      <c r="GG2965"/>
      <c r="GH2965"/>
      <c r="GI2965"/>
      <c r="GJ2965"/>
      <c r="GK2965"/>
      <c r="GL2965"/>
      <c r="GM2965"/>
      <c r="GN2965"/>
      <c r="GO2965"/>
    </row>
    <row r="2966" spans="107:197">
      <c r="DC2966"/>
      <c r="FH2966"/>
      <c r="FI2966"/>
      <c r="FJ2966"/>
      <c r="FK2966"/>
      <c r="FL2966"/>
      <c r="FM2966"/>
      <c r="FN2966"/>
      <c r="FO2966"/>
      <c r="FP2966"/>
      <c r="FQ2966"/>
      <c r="FR2966"/>
      <c r="FS2966"/>
      <c r="FT2966"/>
      <c r="FU2966"/>
      <c r="FV2966"/>
      <c r="FW2966"/>
      <c r="FX2966"/>
      <c r="FY2966"/>
      <c r="FZ2966"/>
      <c r="GA2966"/>
      <c r="GB2966"/>
      <c r="GC2966"/>
      <c r="GD2966"/>
      <c r="GE2966"/>
      <c r="GF2966"/>
      <c r="GG2966"/>
      <c r="GH2966"/>
      <c r="GI2966"/>
      <c r="GJ2966"/>
      <c r="GK2966"/>
      <c r="GL2966"/>
      <c r="GM2966"/>
      <c r="GN2966"/>
      <c r="GO2966"/>
    </row>
    <row r="2967" spans="107:197">
      <c r="DC2967"/>
      <c r="FH2967"/>
      <c r="FI2967"/>
      <c r="FJ2967"/>
      <c r="FK2967"/>
      <c r="FL2967"/>
      <c r="FM2967"/>
      <c r="FN2967"/>
      <c r="FO2967"/>
      <c r="FP2967"/>
      <c r="FQ2967"/>
      <c r="FR2967"/>
      <c r="FS2967"/>
      <c r="FT2967"/>
      <c r="FU2967"/>
      <c r="FV2967"/>
      <c r="FW2967"/>
      <c r="FX2967"/>
      <c r="FY2967"/>
      <c r="FZ2967"/>
      <c r="GA2967"/>
      <c r="GB2967"/>
      <c r="GC2967"/>
      <c r="GD2967"/>
      <c r="GE2967"/>
      <c r="GF2967"/>
      <c r="GG2967"/>
      <c r="GH2967"/>
      <c r="GI2967"/>
      <c r="GJ2967"/>
      <c r="GK2967"/>
      <c r="GL2967"/>
      <c r="GM2967"/>
      <c r="GN2967"/>
      <c r="GO2967"/>
    </row>
    <row r="2968" spans="107:197">
      <c r="DC2968"/>
      <c r="FH2968"/>
      <c r="FI2968"/>
      <c r="FJ2968"/>
      <c r="FK2968"/>
      <c r="FL2968"/>
      <c r="FM2968"/>
      <c r="FN2968"/>
      <c r="FO2968"/>
      <c r="FP2968"/>
      <c r="FQ2968"/>
      <c r="FR2968"/>
      <c r="FS2968"/>
      <c r="FT2968"/>
      <c r="FU2968"/>
      <c r="FV2968"/>
      <c r="FW2968"/>
      <c r="FX2968"/>
      <c r="FY2968"/>
      <c r="FZ2968"/>
      <c r="GA2968"/>
      <c r="GB2968"/>
      <c r="GC2968"/>
      <c r="GD2968"/>
      <c r="GE2968"/>
      <c r="GF2968"/>
      <c r="GG2968"/>
      <c r="GH2968"/>
      <c r="GI2968"/>
      <c r="GJ2968"/>
      <c r="GK2968"/>
      <c r="GL2968"/>
      <c r="GM2968"/>
      <c r="GN2968"/>
      <c r="GO2968"/>
    </row>
    <row r="2969" spans="107:197">
      <c r="DC2969"/>
      <c r="FH2969"/>
      <c r="FI2969"/>
      <c r="FJ2969"/>
      <c r="FK2969"/>
      <c r="FL2969"/>
      <c r="FM2969"/>
      <c r="FN2969"/>
      <c r="FO2969"/>
      <c r="FP2969"/>
      <c r="FQ2969"/>
      <c r="FR2969"/>
      <c r="FS2969"/>
      <c r="FT2969"/>
      <c r="FU2969"/>
      <c r="FV2969"/>
      <c r="FW2969"/>
      <c r="FX2969"/>
      <c r="FY2969"/>
      <c r="FZ2969"/>
      <c r="GA2969"/>
      <c r="GB2969"/>
      <c r="GC2969"/>
      <c r="GD2969"/>
      <c r="GE2969"/>
      <c r="GF2969"/>
      <c r="GG2969"/>
      <c r="GH2969"/>
      <c r="GI2969"/>
      <c r="GJ2969"/>
      <c r="GK2969"/>
      <c r="GL2969"/>
      <c r="GM2969"/>
      <c r="GN2969"/>
      <c r="GO2969"/>
    </row>
    <row r="2970" spans="107:197">
      <c r="DC2970"/>
      <c r="FH2970"/>
      <c r="FI2970"/>
      <c r="FJ2970"/>
      <c r="FK2970"/>
      <c r="FL2970"/>
      <c r="FM2970"/>
      <c r="FN2970"/>
      <c r="FO2970"/>
      <c r="FP2970"/>
      <c r="FQ2970"/>
      <c r="FR2970"/>
      <c r="FS2970"/>
      <c r="FT2970"/>
      <c r="FU2970"/>
      <c r="FV2970"/>
      <c r="FW2970"/>
      <c r="FX2970"/>
      <c r="FY2970"/>
      <c r="FZ2970"/>
      <c r="GA2970"/>
      <c r="GB2970"/>
      <c r="GC2970"/>
      <c r="GD2970"/>
      <c r="GE2970"/>
      <c r="GF2970"/>
      <c r="GG2970"/>
      <c r="GH2970"/>
      <c r="GI2970"/>
      <c r="GJ2970"/>
      <c r="GK2970"/>
      <c r="GL2970"/>
      <c r="GM2970"/>
      <c r="GN2970"/>
      <c r="GO2970"/>
    </row>
    <row r="2971" spans="107:197">
      <c r="DC2971"/>
      <c r="FH2971"/>
      <c r="FI2971"/>
      <c r="FJ2971"/>
      <c r="FK2971"/>
      <c r="FL2971"/>
      <c r="FM2971"/>
      <c r="FN2971"/>
      <c r="FO2971"/>
      <c r="FP2971"/>
      <c r="FQ2971"/>
      <c r="FR2971"/>
      <c r="FS2971"/>
      <c r="FT2971"/>
      <c r="FU2971"/>
      <c r="FV2971"/>
      <c r="FW2971"/>
      <c r="FX2971"/>
      <c r="FY2971"/>
      <c r="FZ2971"/>
      <c r="GA2971"/>
      <c r="GB2971"/>
      <c r="GC2971"/>
      <c r="GD2971"/>
      <c r="GE2971"/>
      <c r="GF2971"/>
      <c r="GG2971"/>
      <c r="GH2971"/>
      <c r="GI2971"/>
      <c r="GJ2971"/>
      <c r="GK2971"/>
      <c r="GL2971"/>
      <c r="GM2971"/>
      <c r="GN2971"/>
      <c r="GO2971"/>
    </row>
    <row r="2972" spans="107:197">
      <c r="DC2972"/>
      <c r="FH2972"/>
      <c r="FI2972"/>
      <c r="FJ2972"/>
      <c r="FK2972"/>
      <c r="FL2972"/>
      <c r="FM2972"/>
      <c r="FN2972"/>
      <c r="FO2972"/>
      <c r="FP2972"/>
      <c r="FQ2972"/>
      <c r="FR2972"/>
      <c r="FS2972"/>
      <c r="FT2972"/>
      <c r="FU2972"/>
      <c r="FV2972"/>
      <c r="FW2972"/>
      <c r="FX2972"/>
      <c r="FY2972"/>
      <c r="FZ2972"/>
      <c r="GA2972"/>
      <c r="GB2972"/>
      <c r="GC2972"/>
      <c r="GD2972"/>
      <c r="GE2972"/>
      <c r="GF2972"/>
      <c r="GG2972"/>
      <c r="GH2972"/>
      <c r="GI2972"/>
      <c r="GJ2972"/>
      <c r="GK2972"/>
      <c r="GL2972"/>
      <c r="GM2972"/>
      <c r="GN2972"/>
      <c r="GO2972"/>
    </row>
    <row r="2973" spans="107:197">
      <c r="DC2973"/>
      <c r="FH2973"/>
      <c r="FI2973"/>
      <c r="FJ2973"/>
      <c r="FK2973"/>
      <c r="FL2973"/>
      <c r="FM2973"/>
      <c r="FN2973"/>
      <c r="FO2973"/>
      <c r="FP2973"/>
      <c r="FQ2973"/>
      <c r="FR2973"/>
      <c r="FS2973"/>
      <c r="FT2973"/>
      <c r="FU2973"/>
      <c r="FV2973"/>
      <c r="FW2973"/>
      <c r="FX2973"/>
      <c r="FY2973"/>
      <c r="FZ2973"/>
      <c r="GA2973"/>
      <c r="GB2973"/>
      <c r="GC2973"/>
      <c r="GD2973"/>
      <c r="GE2973"/>
      <c r="GF2973"/>
      <c r="GG2973"/>
      <c r="GH2973"/>
      <c r="GI2973"/>
      <c r="GJ2973"/>
      <c r="GK2973"/>
      <c r="GL2973"/>
      <c r="GM2973"/>
      <c r="GN2973"/>
      <c r="GO2973"/>
    </row>
    <row r="2974" spans="107:197">
      <c r="DC2974"/>
      <c r="FH2974"/>
      <c r="FI2974"/>
      <c r="FJ2974"/>
      <c r="FK2974"/>
      <c r="FL2974"/>
      <c r="FM2974"/>
      <c r="FN2974"/>
      <c r="FO2974"/>
      <c r="FP2974"/>
      <c r="FQ2974"/>
      <c r="FR2974"/>
      <c r="FS2974"/>
      <c r="FT2974"/>
      <c r="FU2974"/>
      <c r="FV2974"/>
      <c r="FW2974"/>
      <c r="FX2974"/>
      <c r="FY2974"/>
      <c r="FZ2974"/>
      <c r="GA2974"/>
      <c r="GB2974"/>
      <c r="GC2974"/>
      <c r="GD2974"/>
      <c r="GE2974"/>
      <c r="GF2974"/>
      <c r="GG2974"/>
      <c r="GH2974"/>
      <c r="GI2974"/>
      <c r="GJ2974"/>
      <c r="GK2974"/>
      <c r="GL2974"/>
      <c r="GM2974"/>
      <c r="GN2974"/>
      <c r="GO2974"/>
    </row>
    <row r="2975" spans="107:197">
      <c r="DC2975"/>
      <c r="FH2975"/>
      <c r="FI2975"/>
      <c r="FJ2975"/>
      <c r="FK2975"/>
      <c r="FL2975"/>
      <c r="FM2975"/>
      <c r="FN2975"/>
      <c r="FO2975"/>
      <c r="FP2975"/>
      <c r="FQ2975"/>
      <c r="FR2975"/>
      <c r="FS2975"/>
      <c r="FT2975"/>
      <c r="FU2975"/>
      <c r="FV2975"/>
      <c r="FW2975"/>
      <c r="FX2975"/>
      <c r="FY2975"/>
      <c r="FZ2975"/>
      <c r="GA2975"/>
      <c r="GB2975"/>
      <c r="GC2975"/>
      <c r="GD2975"/>
      <c r="GE2975"/>
      <c r="GF2975"/>
      <c r="GG2975"/>
      <c r="GH2975"/>
      <c r="GI2975"/>
      <c r="GJ2975"/>
      <c r="GK2975"/>
      <c r="GL2975"/>
      <c r="GM2975"/>
      <c r="GN2975"/>
      <c r="GO2975"/>
    </row>
    <row r="2976" spans="107:197">
      <c r="DC2976"/>
      <c r="FH2976"/>
      <c r="FI2976"/>
      <c r="FJ2976"/>
      <c r="FK2976"/>
      <c r="FL2976"/>
      <c r="FM2976"/>
      <c r="FN2976"/>
      <c r="FO2976"/>
      <c r="FP2976"/>
      <c r="FQ2976"/>
      <c r="FR2976"/>
      <c r="FS2976"/>
      <c r="FT2976"/>
      <c r="FU2976"/>
      <c r="FV2976"/>
      <c r="FW2976"/>
      <c r="FX2976"/>
      <c r="FY2976"/>
      <c r="FZ2976"/>
      <c r="GA2976"/>
      <c r="GB2976"/>
      <c r="GC2976"/>
      <c r="GD2976"/>
      <c r="GE2976"/>
      <c r="GF2976"/>
      <c r="GG2976"/>
      <c r="GH2976"/>
      <c r="GI2976"/>
      <c r="GJ2976"/>
      <c r="GK2976"/>
      <c r="GL2976"/>
      <c r="GM2976"/>
      <c r="GN2976"/>
      <c r="GO2976"/>
    </row>
    <row r="2977" spans="107:197">
      <c r="DC2977"/>
      <c r="FH2977"/>
      <c r="FI2977"/>
      <c r="FJ2977"/>
      <c r="FK2977"/>
      <c r="FL2977"/>
      <c r="FM2977"/>
      <c r="FN2977"/>
      <c r="FO2977"/>
      <c r="FP2977"/>
      <c r="FQ2977"/>
      <c r="FR2977"/>
      <c r="FS2977"/>
      <c r="FT2977"/>
      <c r="FU2977"/>
      <c r="FV2977"/>
      <c r="FW2977"/>
      <c r="FX2977"/>
      <c r="FY2977"/>
      <c r="FZ2977"/>
      <c r="GA2977"/>
      <c r="GB2977"/>
      <c r="GC2977"/>
      <c r="GD2977"/>
      <c r="GE2977"/>
      <c r="GF2977"/>
      <c r="GG2977"/>
      <c r="GH2977"/>
      <c r="GI2977"/>
      <c r="GJ2977"/>
      <c r="GK2977"/>
      <c r="GL2977"/>
      <c r="GM2977"/>
      <c r="GN2977"/>
      <c r="GO2977"/>
    </row>
    <row r="2978" spans="107:197">
      <c r="DC2978"/>
      <c r="FH2978"/>
      <c r="FI2978"/>
      <c r="FJ2978"/>
      <c r="FK2978"/>
      <c r="FL2978"/>
      <c r="FM2978"/>
      <c r="FN2978"/>
      <c r="FO2978"/>
      <c r="FP2978"/>
      <c r="FQ2978"/>
      <c r="FR2978"/>
      <c r="FS2978"/>
      <c r="FT2978"/>
      <c r="FU2978"/>
      <c r="FV2978"/>
      <c r="FW2978"/>
      <c r="FX2978"/>
      <c r="FY2978"/>
      <c r="FZ2978"/>
      <c r="GA2978"/>
      <c r="GB2978"/>
      <c r="GC2978"/>
      <c r="GD2978"/>
      <c r="GE2978"/>
      <c r="GF2978"/>
      <c r="GG2978"/>
      <c r="GH2978"/>
      <c r="GI2978"/>
      <c r="GJ2978"/>
      <c r="GK2978"/>
      <c r="GL2978"/>
      <c r="GM2978"/>
      <c r="GN2978"/>
      <c r="GO2978"/>
    </row>
    <row r="2979" spans="107:197">
      <c r="DC2979"/>
      <c r="FH2979"/>
      <c r="FI2979"/>
      <c r="FJ2979"/>
      <c r="FK2979"/>
      <c r="FL2979"/>
      <c r="FM2979"/>
      <c r="FN2979"/>
      <c r="FO2979"/>
      <c r="FP2979"/>
      <c r="FQ2979"/>
      <c r="FR2979"/>
      <c r="FS2979"/>
      <c r="FT2979"/>
      <c r="FU2979"/>
      <c r="FV2979"/>
      <c r="FW2979"/>
      <c r="FX2979"/>
      <c r="FY2979"/>
      <c r="FZ2979"/>
      <c r="GA2979"/>
      <c r="GB2979"/>
      <c r="GC2979"/>
      <c r="GD2979"/>
      <c r="GE2979"/>
      <c r="GF2979"/>
      <c r="GG2979"/>
      <c r="GH2979"/>
      <c r="GI2979"/>
      <c r="GJ2979"/>
      <c r="GK2979"/>
      <c r="GL2979"/>
      <c r="GM2979"/>
      <c r="GN2979"/>
      <c r="GO2979"/>
    </row>
    <row r="2980" spans="107:197">
      <c r="DC2980"/>
      <c r="FH2980"/>
      <c r="FI2980"/>
      <c r="FJ2980"/>
      <c r="FK2980"/>
      <c r="FL2980"/>
      <c r="FM2980"/>
      <c r="FN2980"/>
      <c r="FO2980"/>
      <c r="FP2980"/>
      <c r="FQ2980"/>
      <c r="FR2980"/>
      <c r="FS2980"/>
      <c r="FT2980"/>
      <c r="FU2980"/>
      <c r="FV2980"/>
      <c r="FW2980"/>
      <c r="FX2980"/>
      <c r="FY2980"/>
      <c r="FZ2980"/>
      <c r="GA2980"/>
      <c r="GB2980"/>
      <c r="GC2980"/>
      <c r="GD2980"/>
      <c r="GE2980"/>
      <c r="GF2980"/>
      <c r="GG2980"/>
      <c r="GH2980"/>
      <c r="GI2980"/>
      <c r="GJ2980"/>
      <c r="GK2980"/>
      <c r="GL2980"/>
      <c r="GM2980"/>
      <c r="GN2980"/>
      <c r="GO2980"/>
    </row>
    <row r="2981" spans="107:197">
      <c r="DC2981"/>
      <c r="FH2981"/>
      <c r="FI2981"/>
      <c r="FJ2981"/>
      <c r="FK2981"/>
      <c r="FL2981"/>
      <c r="FM2981"/>
      <c r="FN2981"/>
      <c r="FO2981"/>
      <c r="FP2981"/>
      <c r="FQ2981"/>
      <c r="FR2981"/>
      <c r="FS2981"/>
      <c r="FT2981"/>
      <c r="FU2981"/>
      <c r="FV2981"/>
      <c r="FW2981"/>
      <c r="FX2981"/>
      <c r="FY2981"/>
      <c r="FZ2981"/>
      <c r="GA2981"/>
      <c r="GB2981"/>
      <c r="GC2981"/>
      <c r="GD2981"/>
      <c r="GE2981"/>
      <c r="GF2981"/>
      <c r="GG2981"/>
      <c r="GH2981"/>
      <c r="GI2981"/>
      <c r="GJ2981"/>
      <c r="GK2981"/>
      <c r="GL2981"/>
      <c r="GM2981"/>
      <c r="GN2981"/>
      <c r="GO2981"/>
    </row>
    <row r="2982" spans="107:197">
      <c r="DC2982"/>
      <c r="FH2982"/>
      <c r="FI2982"/>
      <c r="FJ2982"/>
      <c r="FK2982"/>
      <c r="FL2982"/>
      <c r="FM2982"/>
      <c r="FN2982"/>
      <c r="FO2982"/>
      <c r="FP2982"/>
      <c r="FQ2982"/>
      <c r="FR2982"/>
      <c r="FS2982"/>
      <c r="FT2982"/>
      <c r="FU2982"/>
      <c r="FV2982"/>
      <c r="FW2982"/>
      <c r="FX2982"/>
      <c r="FY2982"/>
      <c r="FZ2982"/>
      <c r="GA2982"/>
      <c r="GB2982"/>
      <c r="GC2982"/>
      <c r="GD2982"/>
      <c r="GE2982"/>
      <c r="GF2982"/>
      <c r="GG2982"/>
      <c r="GH2982"/>
      <c r="GI2982"/>
      <c r="GJ2982"/>
      <c r="GK2982"/>
      <c r="GL2982"/>
      <c r="GM2982"/>
      <c r="GN2982"/>
      <c r="GO2982"/>
    </row>
    <row r="2983" spans="107:197">
      <c r="DC2983"/>
      <c r="FH2983"/>
      <c r="FI2983"/>
      <c r="FJ2983"/>
      <c r="FK2983"/>
      <c r="FL2983"/>
      <c r="FM2983"/>
      <c r="FN2983"/>
      <c r="FO2983"/>
      <c r="FP2983"/>
      <c r="FQ2983"/>
      <c r="FR2983"/>
      <c r="FS2983"/>
      <c r="FT2983"/>
      <c r="FU2983"/>
      <c r="FV2983"/>
      <c r="FW2983"/>
      <c r="FX2983"/>
      <c r="FY2983"/>
      <c r="FZ2983"/>
      <c r="GA2983"/>
      <c r="GB2983"/>
      <c r="GC2983"/>
      <c r="GD2983"/>
      <c r="GE2983"/>
      <c r="GF2983"/>
      <c r="GG2983"/>
      <c r="GH2983"/>
      <c r="GI2983"/>
      <c r="GJ2983"/>
      <c r="GK2983"/>
      <c r="GL2983"/>
      <c r="GM2983"/>
      <c r="GN2983"/>
      <c r="GO2983"/>
    </row>
    <row r="2984" spans="107:197">
      <c r="DC2984"/>
      <c r="FH2984"/>
      <c r="FI2984"/>
      <c r="FJ2984"/>
      <c r="FK2984"/>
      <c r="FL2984"/>
      <c r="FM2984"/>
      <c r="FN2984"/>
      <c r="FO2984"/>
      <c r="FP2984"/>
      <c r="FQ2984"/>
      <c r="FR2984"/>
      <c r="FS2984"/>
      <c r="FT2984"/>
      <c r="FU2984"/>
      <c r="FV2984"/>
      <c r="FW2984"/>
      <c r="FX2984"/>
      <c r="FY2984"/>
      <c r="FZ2984"/>
      <c r="GA2984"/>
      <c r="GB2984"/>
      <c r="GC2984"/>
      <c r="GD2984"/>
      <c r="GE2984"/>
      <c r="GF2984"/>
      <c r="GG2984"/>
      <c r="GH2984"/>
      <c r="GI2984"/>
      <c r="GJ2984"/>
      <c r="GK2984"/>
      <c r="GL2984"/>
      <c r="GM2984"/>
      <c r="GN2984"/>
      <c r="GO2984"/>
    </row>
    <row r="2985" spans="107:197">
      <c r="DC2985"/>
      <c r="FH2985"/>
      <c r="FI2985"/>
      <c r="FJ2985"/>
      <c r="FK2985"/>
      <c r="FL2985"/>
      <c r="FM2985"/>
      <c r="FN2985"/>
      <c r="FO2985"/>
      <c r="FP2985"/>
      <c r="FQ2985"/>
      <c r="FR2985"/>
      <c r="FS2985"/>
      <c r="FT2985"/>
      <c r="FU2985"/>
      <c r="FV2985"/>
      <c r="FW2985"/>
      <c r="FX2985"/>
      <c r="FY2985"/>
      <c r="FZ2985"/>
      <c r="GA2985"/>
      <c r="GB2985"/>
      <c r="GC2985"/>
      <c r="GD2985"/>
      <c r="GE2985"/>
      <c r="GF2985"/>
      <c r="GG2985"/>
      <c r="GH2985"/>
      <c r="GI2985"/>
      <c r="GJ2985"/>
      <c r="GK2985"/>
      <c r="GL2985"/>
      <c r="GM2985"/>
      <c r="GN2985"/>
      <c r="GO2985"/>
    </row>
    <row r="2986" spans="107:197">
      <c r="DC2986"/>
      <c r="FH2986"/>
      <c r="FI2986"/>
      <c r="FJ2986"/>
      <c r="FK2986"/>
      <c r="FL2986"/>
      <c r="FM2986"/>
      <c r="FN2986"/>
      <c r="FO2986"/>
      <c r="FP2986"/>
      <c r="FQ2986"/>
      <c r="FR2986"/>
      <c r="FS2986"/>
      <c r="FT2986"/>
      <c r="FU2986"/>
      <c r="FV2986"/>
      <c r="FW2986"/>
      <c r="FX2986"/>
      <c r="FY2986"/>
      <c r="FZ2986"/>
      <c r="GA2986"/>
      <c r="GB2986"/>
      <c r="GC2986"/>
      <c r="GD2986"/>
      <c r="GE2986"/>
      <c r="GF2986"/>
      <c r="GG2986"/>
      <c r="GH2986"/>
      <c r="GI2986"/>
      <c r="GJ2986"/>
      <c r="GK2986"/>
      <c r="GL2986"/>
      <c r="GM2986"/>
      <c r="GN2986"/>
      <c r="GO2986"/>
    </row>
    <row r="2987" spans="107:197">
      <c r="DC2987"/>
      <c r="FH2987"/>
      <c r="FI2987"/>
      <c r="FJ2987"/>
      <c r="FK2987"/>
      <c r="FL2987"/>
      <c r="FM2987"/>
      <c r="FN2987"/>
      <c r="FO2987"/>
      <c r="FP2987"/>
      <c r="FQ2987"/>
      <c r="FR2987"/>
      <c r="FS2987"/>
      <c r="FT2987"/>
      <c r="FU2987"/>
      <c r="FV2987"/>
      <c r="FW2987"/>
      <c r="FX2987"/>
      <c r="FY2987"/>
      <c r="FZ2987"/>
      <c r="GA2987"/>
      <c r="GB2987"/>
      <c r="GC2987"/>
      <c r="GD2987"/>
      <c r="GE2987"/>
      <c r="GF2987"/>
      <c r="GG2987"/>
      <c r="GH2987"/>
      <c r="GI2987"/>
      <c r="GJ2987"/>
      <c r="GK2987"/>
      <c r="GL2987"/>
      <c r="GM2987"/>
      <c r="GN2987"/>
      <c r="GO2987"/>
    </row>
    <row r="2988" spans="107:197">
      <c r="DC2988"/>
      <c r="FH2988"/>
      <c r="FI2988"/>
      <c r="FJ2988"/>
      <c r="FK2988"/>
      <c r="FL2988"/>
      <c r="FM2988"/>
      <c r="FN2988"/>
      <c r="FO2988"/>
      <c r="FP2988"/>
      <c r="FQ2988"/>
      <c r="FR2988"/>
      <c r="FS2988"/>
      <c r="FT2988"/>
      <c r="FU2988"/>
      <c r="FV2988"/>
      <c r="FW2988"/>
      <c r="FX2988"/>
      <c r="FY2988"/>
      <c r="FZ2988"/>
      <c r="GA2988"/>
      <c r="GB2988"/>
      <c r="GC2988"/>
      <c r="GD2988"/>
      <c r="GE2988"/>
      <c r="GF2988"/>
      <c r="GG2988"/>
      <c r="GH2988"/>
      <c r="GI2988"/>
      <c r="GJ2988"/>
      <c r="GK2988"/>
      <c r="GL2988"/>
      <c r="GM2988"/>
      <c r="GN2988"/>
      <c r="GO2988"/>
    </row>
    <row r="2989" spans="107:197">
      <c r="DC2989"/>
      <c r="FH2989"/>
      <c r="FI2989"/>
      <c r="FJ2989"/>
      <c r="FK2989"/>
      <c r="FL2989"/>
      <c r="FM2989"/>
      <c r="FN2989"/>
      <c r="FO2989"/>
      <c r="FP2989"/>
      <c r="FQ2989"/>
      <c r="FR2989"/>
      <c r="FS2989"/>
      <c r="FT2989"/>
      <c r="FU2989"/>
      <c r="FV2989"/>
      <c r="FW2989"/>
      <c r="FX2989"/>
      <c r="FY2989"/>
      <c r="FZ2989"/>
      <c r="GA2989"/>
      <c r="GB2989"/>
      <c r="GC2989"/>
      <c r="GD2989"/>
      <c r="GE2989"/>
      <c r="GF2989"/>
      <c r="GG2989"/>
      <c r="GH2989"/>
      <c r="GI2989"/>
      <c r="GJ2989"/>
      <c r="GK2989"/>
      <c r="GL2989"/>
      <c r="GM2989"/>
      <c r="GN2989"/>
      <c r="GO2989"/>
    </row>
    <row r="2990" spans="107:197">
      <c r="DC2990"/>
      <c r="FH2990"/>
      <c r="FI2990"/>
      <c r="FJ2990"/>
      <c r="FK2990"/>
      <c r="FL2990"/>
      <c r="FM2990"/>
      <c r="FN2990"/>
      <c r="FO2990"/>
      <c r="FP2990"/>
      <c r="FQ2990"/>
      <c r="FR2990"/>
      <c r="FS2990"/>
      <c r="FT2990"/>
      <c r="FU2990"/>
      <c r="FV2990"/>
      <c r="FW2990"/>
      <c r="FX2990"/>
      <c r="FY2990"/>
      <c r="FZ2990"/>
      <c r="GA2990"/>
      <c r="GB2990"/>
      <c r="GC2990"/>
      <c r="GD2990"/>
      <c r="GE2990"/>
      <c r="GF2990"/>
      <c r="GG2990"/>
      <c r="GH2990"/>
      <c r="GI2990"/>
      <c r="GJ2990"/>
      <c r="GK2990"/>
      <c r="GL2990"/>
      <c r="GM2990"/>
      <c r="GN2990"/>
      <c r="GO2990"/>
    </row>
    <row r="2991" spans="107:197">
      <c r="DC2991"/>
      <c r="FH2991"/>
      <c r="FI2991"/>
      <c r="FJ2991"/>
      <c r="FK2991"/>
      <c r="FL2991"/>
      <c r="FM2991"/>
      <c r="FN2991"/>
      <c r="FO2991"/>
      <c r="FP2991"/>
      <c r="FQ2991"/>
      <c r="FR2991"/>
      <c r="FS2991"/>
      <c r="FT2991"/>
      <c r="FU2991"/>
      <c r="FV2991"/>
      <c r="FW2991"/>
      <c r="FX2991"/>
      <c r="FY2991"/>
      <c r="FZ2991"/>
      <c r="GA2991"/>
      <c r="GB2991"/>
      <c r="GC2991"/>
      <c r="GD2991"/>
      <c r="GE2991"/>
      <c r="GF2991"/>
      <c r="GG2991"/>
      <c r="GH2991"/>
      <c r="GI2991"/>
      <c r="GJ2991"/>
      <c r="GK2991"/>
      <c r="GL2991"/>
      <c r="GM2991"/>
      <c r="GN2991"/>
      <c r="GO2991"/>
    </row>
    <row r="2992" spans="107:197">
      <c r="DC2992"/>
      <c r="FH2992"/>
      <c r="FI2992"/>
      <c r="FJ2992"/>
      <c r="FK2992"/>
      <c r="FL2992"/>
      <c r="FM2992"/>
      <c r="FN2992"/>
      <c r="FO2992"/>
      <c r="FP2992"/>
      <c r="FQ2992"/>
      <c r="FR2992"/>
      <c r="FS2992"/>
      <c r="FT2992"/>
      <c r="FU2992"/>
      <c r="FV2992"/>
      <c r="FW2992"/>
      <c r="FX2992"/>
      <c r="FY2992"/>
      <c r="FZ2992"/>
      <c r="GA2992"/>
      <c r="GB2992"/>
      <c r="GC2992"/>
      <c r="GD2992"/>
      <c r="GE2992"/>
      <c r="GF2992"/>
      <c r="GG2992"/>
      <c r="GH2992"/>
      <c r="GI2992"/>
      <c r="GJ2992"/>
      <c r="GK2992"/>
      <c r="GL2992"/>
      <c r="GM2992"/>
      <c r="GN2992"/>
      <c r="GO2992"/>
    </row>
    <row r="2993" spans="107:197">
      <c r="DC2993"/>
      <c r="FH2993"/>
      <c r="FI2993"/>
      <c r="FJ2993"/>
      <c r="FK2993"/>
      <c r="FL2993"/>
      <c r="FM2993"/>
      <c r="FN2993"/>
      <c r="FO2993"/>
      <c r="FP2993"/>
      <c r="FQ2993"/>
      <c r="FR2993"/>
      <c r="FS2993"/>
      <c r="FT2993"/>
      <c r="FU2993"/>
      <c r="FV2993"/>
      <c r="FW2993"/>
      <c r="FX2993"/>
      <c r="FY2993"/>
      <c r="FZ2993"/>
      <c r="GA2993"/>
      <c r="GB2993"/>
      <c r="GC2993"/>
      <c r="GD2993"/>
      <c r="GE2993"/>
      <c r="GF2993"/>
      <c r="GG2993"/>
      <c r="GH2993"/>
      <c r="GI2993"/>
      <c r="GJ2993"/>
      <c r="GK2993"/>
      <c r="GL2993"/>
      <c r="GM2993"/>
      <c r="GN2993"/>
      <c r="GO2993"/>
    </row>
    <row r="2994" spans="107:197">
      <c r="DC2994"/>
      <c r="FH2994"/>
      <c r="FI2994"/>
      <c r="FJ2994"/>
      <c r="FK2994"/>
      <c r="FL2994"/>
      <c r="FM2994"/>
      <c r="FN2994"/>
      <c r="FO2994"/>
      <c r="FP2994"/>
      <c r="FQ2994"/>
      <c r="FR2994"/>
      <c r="FS2994"/>
      <c r="FT2994"/>
      <c r="FU2994"/>
      <c r="FV2994"/>
      <c r="FW2994"/>
      <c r="FX2994"/>
      <c r="FY2994"/>
      <c r="FZ2994"/>
      <c r="GA2994"/>
      <c r="GB2994"/>
      <c r="GC2994"/>
      <c r="GD2994"/>
      <c r="GE2994"/>
      <c r="GF2994"/>
      <c r="GG2994"/>
      <c r="GH2994"/>
      <c r="GI2994"/>
      <c r="GJ2994"/>
      <c r="GK2994"/>
      <c r="GL2994"/>
      <c r="GM2994"/>
      <c r="GN2994"/>
      <c r="GO2994"/>
    </row>
    <row r="2995" spans="107:197">
      <c r="DC2995"/>
      <c r="FH2995"/>
      <c r="FI2995"/>
      <c r="FJ2995"/>
      <c r="FK2995"/>
      <c r="FL2995"/>
      <c r="FM2995"/>
      <c r="FN2995"/>
      <c r="FO2995"/>
      <c r="FP2995"/>
      <c r="FQ2995"/>
      <c r="FR2995"/>
      <c r="FS2995"/>
      <c r="FT2995"/>
      <c r="FU2995"/>
      <c r="FV2995"/>
      <c r="FW2995"/>
      <c r="FX2995"/>
      <c r="FY2995"/>
      <c r="FZ2995"/>
      <c r="GA2995"/>
      <c r="GB2995"/>
      <c r="GC2995"/>
      <c r="GD2995"/>
      <c r="GE2995"/>
      <c r="GF2995"/>
      <c r="GG2995"/>
      <c r="GH2995"/>
      <c r="GI2995"/>
      <c r="GJ2995"/>
      <c r="GK2995"/>
      <c r="GL2995"/>
      <c r="GM2995"/>
      <c r="GN2995"/>
      <c r="GO2995"/>
    </row>
    <row r="2996" spans="107:197">
      <c r="DC2996"/>
      <c r="FH2996"/>
      <c r="FI2996"/>
      <c r="FJ2996"/>
      <c r="FK2996"/>
      <c r="FL2996"/>
      <c r="FM2996"/>
      <c r="FN2996"/>
      <c r="FO2996"/>
      <c r="FP2996"/>
      <c r="FQ2996"/>
      <c r="FR2996"/>
      <c r="FS2996"/>
      <c r="FT2996"/>
      <c r="FU2996"/>
      <c r="FV2996"/>
      <c r="FW2996"/>
      <c r="FX2996"/>
      <c r="FY2996"/>
      <c r="FZ2996"/>
      <c r="GA2996"/>
      <c r="GB2996"/>
      <c r="GC2996"/>
      <c r="GD2996"/>
      <c r="GE2996"/>
      <c r="GF2996"/>
      <c r="GG2996"/>
      <c r="GH2996"/>
      <c r="GI2996"/>
      <c r="GJ2996"/>
      <c r="GK2996"/>
      <c r="GL2996"/>
      <c r="GM2996"/>
      <c r="GN2996"/>
      <c r="GO2996"/>
    </row>
    <row r="2997" spans="107:197">
      <c r="DC2997"/>
      <c r="FH2997"/>
      <c r="FI2997"/>
      <c r="FJ2997"/>
      <c r="FK2997"/>
      <c r="FL2997"/>
      <c r="FM2997"/>
      <c r="FN2997"/>
      <c r="FO2997"/>
      <c r="FP2997"/>
      <c r="FQ2997"/>
      <c r="FR2997"/>
      <c r="FS2997"/>
      <c r="FT2997"/>
      <c r="FU2997"/>
      <c r="FV2997"/>
      <c r="FW2997"/>
      <c r="FX2997"/>
      <c r="FY2997"/>
      <c r="FZ2997"/>
      <c r="GA2997"/>
      <c r="GB2997"/>
      <c r="GC2997"/>
      <c r="GD2997"/>
      <c r="GE2997"/>
      <c r="GF2997"/>
      <c r="GG2997"/>
      <c r="GH2997"/>
      <c r="GI2997"/>
      <c r="GJ2997"/>
      <c r="GK2997"/>
      <c r="GL2997"/>
      <c r="GM2997"/>
      <c r="GN2997"/>
      <c r="GO2997"/>
    </row>
    <row r="2998" spans="107:197">
      <c r="DC2998"/>
      <c r="FH2998"/>
      <c r="FI2998"/>
      <c r="FJ2998"/>
      <c r="FK2998"/>
      <c r="FL2998"/>
      <c r="FM2998"/>
      <c r="FN2998"/>
      <c r="FO2998"/>
      <c r="FP2998"/>
      <c r="FQ2998"/>
      <c r="FR2998"/>
      <c r="FS2998"/>
      <c r="FT2998"/>
      <c r="FU2998"/>
      <c r="FV2998"/>
      <c r="FW2998"/>
      <c r="FX2998"/>
      <c r="FY2998"/>
      <c r="FZ2998"/>
      <c r="GA2998"/>
      <c r="GB2998"/>
      <c r="GC2998"/>
      <c r="GD2998"/>
      <c r="GE2998"/>
      <c r="GF2998"/>
      <c r="GG2998"/>
      <c r="GH2998"/>
      <c r="GI2998"/>
      <c r="GJ2998"/>
      <c r="GK2998"/>
      <c r="GL2998"/>
      <c r="GM2998"/>
      <c r="GN2998"/>
      <c r="GO2998"/>
    </row>
    <row r="2999" spans="107:197">
      <c r="DC2999"/>
      <c r="FH2999"/>
      <c r="FI2999"/>
      <c r="FJ2999"/>
      <c r="FK2999"/>
      <c r="FL2999"/>
      <c r="FM2999"/>
      <c r="FN2999"/>
      <c r="FO2999"/>
      <c r="FP2999"/>
      <c r="FQ2999"/>
      <c r="FR2999"/>
      <c r="FS2999"/>
      <c r="FT2999"/>
      <c r="FU2999"/>
      <c r="FV2999"/>
      <c r="FW2999"/>
      <c r="FX2999"/>
      <c r="FY2999"/>
      <c r="FZ2999"/>
      <c r="GA2999"/>
      <c r="GB2999"/>
      <c r="GC2999"/>
      <c r="GD2999"/>
      <c r="GE2999"/>
      <c r="GF2999"/>
      <c r="GG2999"/>
      <c r="GH2999"/>
      <c r="GI2999"/>
      <c r="GJ2999"/>
      <c r="GK2999"/>
      <c r="GL2999"/>
      <c r="GM2999"/>
      <c r="GN2999"/>
      <c r="GO2999"/>
    </row>
    <row r="3000" spans="107:197">
      <c r="DC3000"/>
      <c r="FH3000"/>
      <c r="FI3000"/>
      <c r="FJ3000"/>
      <c r="FK3000"/>
      <c r="FL3000"/>
      <c r="FM3000"/>
      <c r="FN3000"/>
      <c r="FO3000"/>
      <c r="FP3000"/>
      <c r="FQ3000"/>
      <c r="FR3000"/>
      <c r="FS3000"/>
      <c r="FT3000"/>
      <c r="FU3000"/>
      <c r="FV3000"/>
      <c r="FW3000"/>
      <c r="FX3000"/>
      <c r="FY3000"/>
      <c r="FZ3000"/>
      <c r="GA3000"/>
      <c r="GB3000"/>
      <c r="GC3000"/>
      <c r="GD3000"/>
      <c r="GE3000"/>
      <c r="GF3000"/>
      <c r="GG3000"/>
      <c r="GH3000"/>
      <c r="GI3000"/>
      <c r="GJ3000"/>
      <c r="GK3000"/>
      <c r="GL3000"/>
      <c r="GM3000"/>
      <c r="GN3000"/>
      <c r="GO3000"/>
    </row>
    <row r="3001" spans="107:197">
      <c r="DC3001"/>
      <c r="FH3001"/>
      <c r="FI3001"/>
      <c r="FJ3001"/>
      <c r="FK3001"/>
      <c r="FL3001"/>
      <c r="FM3001"/>
      <c r="FN3001"/>
      <c r="FO3001"/>
      <c r="FP3001"/>
      <c r="FQ3001"/>
      <c r="FR3001"/>
      <c r="FS3001"/>
      <c r="FT3001"/>
      <c r="FU3001"/>
      <c r="FV3001"/>
      <c r="FW3001"/>
      <c r="FX3001"/>
      <c r="FY3001"/>
      <c r="FZ3001"/>
      <c r="GA3001"/>
      <c r="GB3001"/>
      <c r="GC3001"/>
      <c r="GD3001"/>
      <c r="GE3001"/>
      <c r="GF3001"/>
      <c r="GG3001"/>
      <c r="GH3001"/>
      <c r="GI3001"/>
      <c r="GJ3001"/>
      <c r="GK3001"/>
      <c r="GL3001"/>
      <c r="GM3001"/>
      <c r="GN3001"/>
      <c r="GO3001"/>
    </row>
    <row r="3002" spans="107:197">
      <c r="DC3002"/>
      <c r="FH3002"/>
      <c r="FI3002"/>
      <c r="FJ3002"/>
      <c r="FK3002"/>
      <c r="FL3002"/>
      <c r="FM3002"/>
      <c r="FN3002"/>
      <c r="FO3002"/>
      <c r="FP3002"/>
      <c r="FQ3002"/>
      <c r="FR3002"/>
      <c r="FS3002"/>
      <c r="FT3002"/>
      <c r="FU3002"/>
      <c r="FV3002"/>
      <c r="FW3002"/>
      <c r="FX3002"/>
      <c r="FY3002"/>
      <c r="FZ3002"/>
      <c r="GA3002"/>
      <c r="GB3002"/>
      <c r="GC3002"/>
      <c r="GD3002"/>
      <c r="GE3002"/>
      <c r="GF3002"/>
      <c r="GG3002"/>
      <c r="GH3002"/>
      <c r="GI3002"/>
      <c r="GJ3002"/>
      <c r="GK3002"/>
      <c r="GL3002"/>
      <c r="GM3002"/>
      <c r="GN3002"/>
      <c r="GO3002"/>
    </row>
    <row r="3003" spans="107:197">
      <c r="DC3003"/>
      <c r="FH3003"/>
      <c r="FI3003"/>
      <c r="FJ3003"/>
      <c r="FK3003"/>
      <c r="FL3003"/>
      <c r="FM3003"/>
      <c r="FN3003"/>
      <c r="FO3003"/>
      <c r="FP3003"/>
      <c r="FQ3003"/>
      <c r="FR3003"/>
      <c r="FS3003"/>
      <c r="FT3003"/>
      <c r="FU3003"/>
      <c r="FV3003"/>
      <c r="FW3003"/>
      <c r="FX3003"/>
      <c r="FY3003"/>
      <c r="FZ3003"/>
      <c r="GA3003"/>
      <c r="GB3003"/>
      <c r="GC3003"/>
      <c r="GD3003"/>
      <c r="GE3003"/>
      <c r="GF3003"/>
      <c r="GG3003"/>
      <c r="GH3003"/>
      <c r="GI3003"/>
      <c r="GJ3003"/>
      <c r="GK3003"/>
      <c r="GL3003"/>
      <c r="GM3003"/>
      <c r="GN3003"/>
      <c r="GO3003"/>
    </row>
    <row r="3004" spans="107:197">
      <c r="DC3004"/>
      <c r="FH3004"/>
      <c r="FI3004"/>
      <c r="FJ3004"/>
      <c r="FK3004"/>
      <c r="FL3004"/>
      <c r="FM3004"/>
      <c r="FN3004"/>
      <c r="FO3004"/>
      <c r="FP3004"/>
      <c r="FQ3004"/>
      <c r="FR3004"/>
      <c r="FS3004"/>
      <c r="FT3004"/>
      <c r="FU3004"/>
      <c r="FV3004"/>
      <c r="FW3004"/>
      <c r="FX3004"/>
      <c r="FY3004"/>
      <c r="FZ3004"/>
      <c r="GA3004"/>
      <c r="GB3004"/>
      <c r="GC3004"/>
      <c r="GD3004"/>
      <c r="GE3004"/>
      <c r="GF3004"/>
      <c r="GG3004"/>
      <c r="GH3004"/>
      <c r="GI3004"/>
      <c r="GJ3004"/>
      <c r="GK3004"/>
      <c r="GL3004"/>
      <c r="GM3004"/>
      <c r="GN3004"/>
      <c r="GO3004"/>
    </row>
    <row r="3005" spans="107:197">
      <c r="DC3005"/>
      <c r="FH3005"/>
      <c r="FI3005"/>
      <c r="FJ3005"/>
      <c r="FK3005"/>
      <c r="FL3005"/>
      <c r="FM3005"/>
      <c r="FN3005"/>
      <c r="FO3005"/>
      <c r="FP3005"/>
      <c r="FQ3005"/>
      <c r="FR3005"/>
      <c r="FS3005"/>
      <c r="FT3005"/>
      <c r="FU3005"/>
      <c r="FV3005"/>
      <c r="FW3005"/>
      <c r="FX3005"/>
      <c r="FY3005"/>
      <c r="FZ3005"/>
      <c r="GA3005"/>
      <c r="GB3005"/>
      <c r="GC3005"/>
      <c r="GD3005"/>
      <c r="GE3005"/>
      <c r="GF3005"/>
      <c r="GG3005"/>
      <c r="GH3005"/>
      <c r="GI3005"/>
      <c r="GJ3005"/>
      <c r="GK3005"/>
      <c r="GL3005"/>
      <c r="GM3005"/>
      <c r="GN3005"/>
      <c r="GO3005"/>
    </row>
    <row r="3006" spans="107:197">
      <c r="DC3006"/>
      <c r="FH3006"/>
      <c r="FI3006"/>
      <c r="FJ3006"/>
      <c r="FK3006"/>
      <c r="FL3006"/>
      <c r="FM3006"/>
      <c r="FN3006"/>
      <c r="FO3006"/>
      <c r="FP3006"/>
      <c r="FQ3006"/>
      <c r="FR3006"/>
      <c r="FS3006"/>
      <c r="FT3006"/>
      <c r="FU3006"/>
      <c r="FV3006"/>
      <c r="FW3006"/>
      <c r="FX3006"/>
      <c r="FY3006"/>
      <c r="FZ3006"/>
      <c r="GA3006"/>
      <c r="GB3006"/>
      <c r="GC3006"/>
      <c r="GD3006"/>
      <c r="GE3006"/>
      <c r="GF3006"/>
      <c r="GG3006"/>
      <c r="GH3006"/>
      <c r="GI3006"/>
      <c r="GJ3006"/>
      <c r="GK3006"/>
      <c r="GL3006"/>
      <c r="GM3006"/>
      <c r="GN3006"/>
      <c r="GO3006"/>
    </row>
    <row r="3007" spans="107:197">
      <c r="DC3007"/>
      <c r="FH3007"/>
      <c r="FI3007"/>
      <c r="FJ3007"/>
      <c r="FK3007"/>
      <c r="FL3007"/>
      <c r="FM3007"/>
      <c r="FN3007"/>
      <c r="FO3007"/>
      <c r="FP3007"/>
      <c r="FQ3007"/>
      <c r="FR3007"/>
      <c r="FS3007"/>
      <c r="FT3007"/>
      <c r="FU3007"/>
      <c r="FV3007"/>
      <c r="FW3007"/>
      <c r="FX3007"/>
      <c r="FY3007"/>
      <c r="FZ3007"/>
      <c r="GA3007"/>
      <c r="GB3007"/>
      <c r="GC3007"/>
      <c r="GD3007"/>
      <c r="GE3007"/>
      <c r="GF3007"/>
      <c r="GG3007"/>
      <c r="GH3007"/>
      <c r="GI3007"/>
      <c r="GJ3007"/>
      <c r="GK3007"/>
      <c r="GL3007"/>
      <c r="GM3007"/>
      <c r="GN3007"/>
      <c r="GO3007"/>
    </row>
    <row r="3008" spans="107:197">
      <c r="DC3008"/>
      <c r="FH3008"/>
      <c r="FI3008"/>
      <c r="FJ3008"/>
      <c r="FK3008"/>
      <c r="FL3008"/>
      <c r="FM3008"/>
      <c r="FN3008"/>
      <c r="FO3008"/>
      <c r="FP3008"/>
      <c r="FQ3008"/>
      <c r="FR3008"/>
      <c r="FS3008"/>
      <c r="FT3008"/>
      <c r="FU3008"/>
      <c r="FV3008"/>
      <c r="FW3008"/>
      <c r="FX3008"/>
      <c r="FY3008"/>
      <c r="FZ3008"/>
      <c r="GA3008"/>
      <c r="GB3008"/>
      <c r="GC3008"/>
      <c r="GD3008"/>
      <c r="GE3008"/>
      <c r="GF3008"/>
      <c r="GG3008"/>
      <c r="GH3008"/>
      <c r="GI3008"/>
      <c r="GJ3008"/>
      <c r="GK3008"/>
      <c r="GL3008"/>
      <c r="GM3008"/>
      <c r="GN3008"/>
      <c r="GO3008"/>
    </row>
    <row r="3009" spans="107:197">
      <c r="DC3009"/>
      <c r="FH3009"/>
      <c r="FI3009"/>
      <c r="FJ3009"/>
      <c r="FK3009"/>
      <c r="FL3009"/>
      <c r="FM3009"/>
      <c r="FN3009"/>
      <c r="FO3009"/>
      <c r="FP3009"/>
      <c r="FQ3009"/>
      <c r="FR3009"/>
      <c r="FS3009"/>
      <c r="FT3009"/>
      <c r="FU3009"/>
      <c r="FV3009"/>
      <c r="FW3009"/>
      <c r="FX3009"/>
      <c r="FY3009"/>
      <c r="FZ3009"/>
      <c r="GA3009"/>
      <c r="GB3009"/>
      <c r="GC3009"/>
      <c r="GD3009"/>
      <c r="GE3009"/>
      <c r="GF3009"/>
      <c r="GG3009"/>
      <c r="GH3009"/>
      <c r="GI3009"/>
      <c r="GJ3009"/>
      <c r="GK3009"/>
      <c r="GL3009"/>
      <c r="GM3009"/>
      <c r="GN3009"/>
      <c r="GO3009"/>
    </row>
    <row r="3010" spans="107:197">
      <c r="DC3010"/>
      <c r="FH3010"/>
      <c r="FI3010"/>
      <c r="FJ3010"/>
      <c r="FK3010"/>
      <c r="FL3010"/>
      <c r="FM3010"/>
      <c r="FN3010"/>
      <c r="FO3010"/>
      <c r="FP3010"/>
      <c r="FQ3010"/>
      <c r="FR3010"/>
      <c r="FS3010"/>
      <c r="FT3010"/>
      <c r="FU3010"/>
      <c r="FV3010"/>
      <c r="FW3010"/>
      <c r="FX3010"/>
      <c r="FY3010"/>
      <c r="FZ3010"/>
      <c r="GA3010"/>
      <c r="GB3010"/>
      <c r="GC3010"/>
      <c r="GD3010"/>
      <c r="GE3010"/>
      <c r="GF3010"/>
      <c r="GG3010"/>
      <c r="GH3010"/>
      <c r="GI3010"/>
      <c r="GJ3010"/>
      <c r="GK3010"/>
      <c r="GL3010"/>
      <c r="GM3010"/>
      <c r="GN3010"/>
      <c r="GO3010"/>
    </row>
    <row r="3011" spans="107:197">
      <c r="DC3011"/>
      <c r="FH3011"/>
      <c r="FI3011"/>
      <c r="FJ3011"/>
      <c r="FK3011"/>
      <c r="FL3011"/>
      <c r="FM3011"/>
      <c r="FN3011"/>
      <c r="FO3011"/>
      <c r="FP3011"/>
      <c r="FQ3011"/>
      <c r="FR3011"/>
      <c r="FS3011"/>
      <c r="FT3011"/>
      <c r="FU3011"/>
      <c r="FV3011"/>
      <c r="FW3011"/>
      <c r="FX3011"/>
      <c r="FY3011"/>
      <c r="FZ3011"/>
      <c r="GA3011"/>
      <c r="GB3011"/>
      <c r="GC3011"/>
      <c r="GD3011"/>
      <c r="GE3011"/>
      <c r="GF3011"/>
      <c r="GG3011"/>
      <c r="GH3011"/>
      <c r="GI3011"/>
      <c r="GJ3011"/>
      <c r="GK3011"/>
      <c r="GL3011"/>
      <c r="GM3011"/>
      <c r="GN3011"/>
      <c r="GO3011"/>
    </row>
    <row r="3012" spans="107:197">
      <c r="DC3012"/>
      <c r="FH3012"/>
      <c r="FI3012"/>
      <c r="FJ3012"/>
      <c r="FK3012"/>
      <c r="FL3012"/>
      <c r="FM3012"/>
      <c r="FN3012"/>
      <c r="FO3012"/>
      <c r="FP3012"/>
      <c r="FQ3012"/>
      <c r="FR3012"/>
      <c r="FS3012"/>
      <c r="FT3012"/>
      <c r="FU3012"/>
      <c r="FV3012"/>
      <c r="FW3012"/>
      <c r="FX3012"/>
      <c r="FY3012"/>
      <c r="FZ3012"/>
      <c r="GA3012"/>
      <c r="GB3012"/>
      <c r="GC3012"/>
      <c r="GD3012"/>
      <c r="GE3012"/>
      <c r="GF3012"/>
      <c r="GG3012"/>
      <c r="GH3012"/>
      <c r="GI3012"/>
      <c r="GJ3012"/>
      <c r="GK3012"/>
      <c r="GL3012"/>
      <c r="GM3012"/>
      <c r="GN3012"/>
      <c r="GO3012"/>
    </row>
    <row r="3013" spans="107:197">
      <c r="DC3013"/>
      <c r="FH3013"/>
      <c r="FI3013"/>
      <c r="FJ3013"/>
      <c r="FK3013"/>
      <c r="FL3013"/>
      <c r="FM3013"/>
      <c r="FN3013"/>
      <c r="FO3013"/>
      <c r="FP3013"/>
      <c r="FQ3013"/>
      <c r="FR3013"/>
      <c r="FS3013"/>
      <c r="FT3013"/>
      <c r="FU3013"/>
      <c r="FV3013"/>
      <c r="FW3013"/>
      <c r="FX3013"/>
      <c r="FY3013"/>
      <c r="FZ3013"/>
      <c r="GA3013"/>
      <c r="GB3013"/>
      <c r="GC3013"/>
      <c r="GD3013"/>
      <c r="GE3013"/>
      <c r="GF3013"/>
      <c r="GG3013"/>
      <c r="GH3013"/>
      <c r="GI3013"/>
      <c r="GJ3013"/>
      <c r="GK3013"/>
      <c r="GL3013"/>
      <c r="GM3013"/>
      <c r="GN3013"/>
      <c r="GO3013"/>
    </row>
    <row r="3014" spans="107:197">
      <c r="DC3014"/>
      <c r="FH3014"/>
      <c r="FI3014"/>
      <c r="FJ3014"/>
      <c r="FK3014"/>
      <c r="FL3014"/>
      <c r="FM3014"/>
      <c r="FN3014"/>
      <c r="FO3014"/>
      <c r="FP3014"/>
      <c r="FQ3014"/>
      <c r="FR3014"/>
      <c r="FS3014"/>
      <c r="FT3014"/>
      <c r="FU3014"/>
      <c r="FV3014"/>
      <c r="FW3014"/>
      <c r="FX3014"/>
      <c r="FY3014"/>
      <c r="FZ3014"/>
      <c r="GA3014"/>
      <c r="GB3014"/>
      <c r="GC3014"/>
      <c r="GD3014"/>
      <c r="GE3014"/>
      <c r="GF3014"/>
      <c r="GG3014"/>
      <c r="GH3014"/>
      <c r="GI3014"/>
      <c r="GJ3014"/>
      <c r="GK3014"/>
      <c r="GL3014"/>
      <c r="GM3014"/>
      <c r="GN3014"/>
      <c r="GO3014"/>
    </row>
    <row r="3015" spans="107:197">
      <c r="DC3015"/>
      <c r="FH3015"/>
      <c r="FI3015"/>
      <c r="FJ3015"/>
      <c r="FK3015"/>
      <c r="FL3015"/>
      <c r="FM3015"/>
      <c r="FN3015"/>
      <c r="FO3015"/>
      <c r="FP3015"/>
      <c r="FQ3015"/>
      <c r="FR3015"/>
      <c r="FS3015"/>
      <c r="FT3015"/>
      <c r="FU3015"/>
      <c r="FV3015"/>
      <c r="FW3015"/>
      <c r="FX3015"/>
      <c r="FY3015"/>
      <c r="FZ3015"/>
      <c r="GA3015"/>
      <c r="GB3015"/>
      <c r="GC3015"/>
      <c r="GD3015"/>
      <c r="GE3015"/>
      <c r="GF3015"/>
      <c r="GG3015"/>
      <c r="GH3015"/>
      <c r="GI3015"/>
      <c r="GJ3015"/>
      <c r="GK3015"/>
      <c r="GL3015"/>
      <c r="GM3015"/>
      <c r="GN3015"/>
      <c r="GO3015"/>
    </row>
    <row r="3016" spans="107:197">
      <c r="DC3016"/>
      <c r="FH3016"/>
      <c r="FI3016"/>
      <c r="FJ3016"/>
      <c r="FK3016"/>
      <c r="FL3016"/>
      <c r="FM3016"/>
      <c r="FN3016"/>
      <c r="FO3016"/>
      <c r="FP3016"/>
      <c r="FQ3016"/>
      <c r="FR3016"/>
      <c r="FS3016"/>
      <c r="FT3016"/>
      <c r="FU3016"/>
      <c r="FV3016"/>
      <c r="FW3016"/>
      <c r="FX3016"/>
      <c r="FY3016"/>
      <c r="FZ3016"/>
      <c r="GA3016"/>
      <c r="GB3016"/>
      <c r="GC3016"/>
      <c r="GD3016"/>
      <c r="GE3016"/>
      <c r="GF3016"/>
      <c r="GG3016"/>
      <c r="GH3016"/>
      <c r="GI3016"/>
      <c r="GJ3016"/>
      <c r="GK3016"/>
      <c r="GL3016"/>
      <c r="GM3016"/>
      <c r="GN3016"/>
      <c r="GO3016"/>
    </row>
    <row r="3017" spans="107:197">
      <c r="DC3017"/>
      <c r="FH3017"/>
      <c r="FI3017"/>
      <c r="FJ3017"/>
      <c r="FK3017"/>
      <c r="FL3017"/>
      <c r="FM3017"/>
      <c r="FN3017"/>
      <c r="FO3017"/>
      <c r="FP3017"/>
      <c r="FQ3017"/>
      <c r="FR3017"/>
      <c r="FS3017"/>
      <c r="FT3017"/>
      <c r="FU3017"/>
      <c r="FV3017"/>
      <c r="FW3017"/>
      <c r="FX3017"/>
      <c r="FY3017"/>
      <c r="FZ3017"/>
      <c r="GA3017"/>
      <c r="GB3017"/>
      <c r="GC3017"/>
      <c r="GD3017"/>
      <c r="GE3017"/>
      <c r="GF3017"/>
      <c r="GG3017"/>
      <c r="GH3017"/>
      <c r="GI3017"/>
      <c r="GJ3017"/>
      <c r="GK3017"/>
      <c r="GL3017"/>
      <c r="GM3017"/>
      <c r="GN3017"/>
      <c r="GO3017"/>
    </row>
    <row r="3018" spans="107:197">
      <c r="DC3018"/>
      <c r="FH3018"/>
      <c r="FI3018"/>
      <c r="FJ3018"/>
      <c r="FK3018"/>
      <c r="FL3018"/>
      <c r="FM3018"/>
      <c r="FN3018"/>
      <c r="FO3018"/>
      <c r="FP3018"/>
      <c r="FQ3018"/>
      <c r="FR3018"/>
      <c r="FS3018"/>
      <c r="FT3018"/>
      <c r="FU3018"/>
      <c r="FV3018"/>
      <c r="FW3018"/>
      <c r="FX3018"/>
      <c r="FY3018"/>
      <c r="FZ3018"/>
      <c r="GA3018"/>
      <c r="GB3018"/>
      <c r="GC3018"/>
      <c r="GD3018"/>
      <c r="GE3018"/>
      <c r="GF3018"/>
      <c r="GG3018"/>
      <c r="GH3018"/>
      <c r="GI3018"/>
      <c r="GJ3018"/>
      <c r="GK3018"/>
      <c r="GL3018"/>
      <c r="GM3018"/>
      <c r="GN3018"/>
      <c r="GO3018"/>
    </row>
    <row r="3019" spans="107:197">
      <c r="DC3019"/>
      <c r="FH3019"/>
      <c r="FI3019"/>
      <c r="FJ3019"/>
      <c r="FK3019"/>
      <c r="FL3019"/>
      <c r="FM3019"/>
      <c r="FN3019"/>
      <c r="FO3019"/>
      <c r="FP3019"/>
      <c r="FQ3019"/>
      <c r="FR3019"/>
      <c r="FS3019"/>
      <c r="FT3019"/>
      <c r="FU3019"/>
      <c r="FV3019"/>
      <c r="FW3019"/>
      <c r="FX3019"/>
      <c r="FY3019"/>
      <c r="FZ3019"/>
      <c r="GA3019"/>
      <c r="GB3019"/>
      <c r="GC3019"/>
      <c r="GD3019"/>
      <c r="GE3019"/>
      <c r="GF3019"/>
      <c r="GG3019"/>
      <c r="GH3019"/>
      <c r="GI3019"/>
      <c r="GJ3019"/>
      <c r="GK3019"/>
      <c r="GL3019"/>
      <c r="GM3019"/>
      <c r="GN3019"/>
      <c r="GO3019"/>
    </row>
    <row r="3020" spans="107:197">
      <c r="DC3020"/>
      <c r="FH3020"/>
      <c r="FI3020"/>
      <c r="FJ3020"/>
      <c r="FK3020"/>
      <c r="FL3020"/>
      <c r="FM3020"/>
      <c r="FN3020"/>
      <c r="FO3020"/>
      <c r="FP3020"/>
      <c r="FQ3020"/>
      <c r="FR3020"/>
      <c r="FS3020"/>
      <c r="FT3020"/>
      <c r="FU3020"/>
      <c r="FV3020"/>
      <c r="FW3020"/>
      <c r="FX3020"/>
      <c r="FY3020"/>
      <c r="FZ3020"/>
      <c r="GA3020"/>
      <c r="GB3020"/>
      <c r="GC3020"/>
      <c r="GD3020"/>
      <c r="GE3020"/>
      <c r="GF3020"/>
      <c r="GG3020"/>
      <c r="GH3020"/>
      <c r="GI3020"/>
      <c r="GJ3020"/>
      <c r="GK3020"/>
      <c r="GL3020"/>
      <c r="GM3020"/>
      <c r="GN3020"/>
      <c r="GO3020"/>
    </row>
    <row r="3021" spans="107:197">
      <c r="DC3021"/>
      <c r="FH3021"/>
      <c r="FI3021"/>
      <c r="FJ3021"/>
      <c r="FK3021"/>
      <c r="FL3021"/>
      <c r="FM3021"/>
      <c r="FN3021"/>
      <c r="FO3021"/>
      <c r="FP3021"/>
      <c r="FQ3021"/>
      <c r="FR3021"/>
      <c r="FS3021"/>
      <c r="FT3021"/>
      <c r="FU3021"/>
      <c r="FV3021"/>
      <c r="FW3021"/>
      <c r="FX3021"/>
      <c r="FY3021"/>
      <c r="FZ3021"/>
      <c r="GA3021"/>
      <c r="GB3021"/>
      <c r="GC3021"/>
      <c r="GD3021"/>
      <c r="GE3021"/>
      <c r="GF3021"/>
      <c r="GG3021"/>
      <c r="GH3021"/>
      <c r="GI3021"/>
      <c r="GJ3021"/>
      <c r="GK3021"/>
      <c r="GL3021"/>
      <c r="GM3021"/>
      <c r="GN3021"/>
      <c r="GO3021"/>
    </row>
    <row r="3022" spans="107:197">
      <c r="DC3022"/>
      <c r="FH3022"/>
      <c r="FI3022"/>
      <c r="FJ3022"/>
      <c r="FK3022"/>
      <c r="FL3022"/>
      <c r="FM3022"/>
      <c r="FN3022"/>
      <c r="FO3022"/>
      <c r="FP3022"/>
      <c r="FQ3022"/>
      <c r="FR3022"/>
      <c r="FS3022"/>
      <c r="FT3022"/>
      <c r="FU3022"/>
      <c r="FV3022"/>
      <c r="FW3022"/>
      <c r="FX3022"/>
      <c r="FY3022"/>
      <c r="FZ3022"/>
      <c r="GA3022"/>
      <c r="GB3022"/>
      <c r="GC3022"/>
      <c r="GD3022"/>
      <c r="GE3022"/>
      <c r="GF3022"/>
      <c r="GG3022"/>
      <c r="GH3022"/>
      <c r="GI3022"/>
      <c r="GJ3022"/>
      <c r="GK3022"/>
      <c r="GL3022"/>
      <c r="GM3022"/>
      <c r="GN3022"/>
      <c r="GO3022"/>
    </row>
    <row r="3023" spans="107:197">
      <c r="DC3023"/>
      <c r="FH3023"/>
      <c r="FI3023"/>
      <c r="FJ3023"/>
      <c r="FK3023"/>
      <c r="FL3023"/>
      <c r="FM3023"/>
      <c r="FN3023"/>
      <c r="FO3023"/>
      <c r="FP3023"/>
      <c r="FQ3023"/>
      <c r="FR3023"/>
      <c r="FS3023"/>
      <c r="FT3023"/>
      <c r="FU3023"/>
      <c r="FV3023"/>
      <c r="FW3023"/>
      <c r="FX3023"/>
      <c r="FY3023"/>
      <c r="FZ3023"/>
      <c r="GA3023"/>
      <c r="GB3023"/>
      <c r="GC3023"/>
      <c r="GD3023"/>
      <c r="GE3023"/>
      <c r="GF3023"/>
      <c r="GG3023"/>
      <c r="GH3023"/>
      <c r="GI3023"/>
      <c r="GJ3023"/>
      <c r="GK3023"/>
      <c r="GL3023"/>
      <c r="GM3023"/>
      <c r="GN3023"/>
      <c r="GO3023"/>
    </row>
    <row r="3024" spans="107:197">
      <c r="DC3024"/>
      <c r="FH3024"/>
      <c r="FI3024"/>
      <c r="FJ3024"/>
      <c r="FK3024"/>
      <c r="FL3024"/>
      <c r="FM3024"/>
      <c r="FN3024"/>
      <c r="FO3024"/>
      <c r="FP3024"/>
      <c r="FQ3024"/>
      <c r="FR3024"/>
      <c r="FS3024"/>
      <c r="FT3024"/>
      <c r="FU3024"/>
      <c r="FV3024"/>
      <c r="FW3024"/>
      <c r="FX3024"/>
      <c r="FY3024"/>
      <c r="FZ3024"/>
      <c r="GA3024"/>
      <c r="GB3024"/>
      <c r="GC3024"/>
      <c r="GD3024"/>
      <c r="GE3024"/>
      <c r="GF3024"/>
      <c r="GG3024"/>
      <c r="GH3024"/>
      <c r="GI3024"/>
      <c r="GJ3024"/>
      <c r="GK3024"/>
      <c r="GL3024"/>
      <c r="GM3024"/>
      <c r="GN3024"/>
      <c r="GO3024"/>
    </row>
    <row r="3025" spans="107:197">
      <c r="DC3025"/>
      <c r="FH3025"/>
      <c r="FI3025"/>
      <c r="FJ3025"/>
      <c r="FK3025"/>
      <c r="FL3025"/>
      <c r="FM3025"/>
      <c r="FN3025"/>
      <c r="FO3025"/>
      <c r="FP3025"/>
      <c r="FQ3025"/>
      <c r="FR3025"/>
      <c r="FS3025"/>
      <c r="FT3025"/>
      <c r="FU3025"/>
      <c r="FV3025"/>
      <c r="FW3025"/>
      <c r="FX3025"/>
      <c r="FY3025"/>
      <c r="FZ3025"/>
      <c r="GA3025"/>
      <c r="GB3025"/>
      <c r="GC3025"/>
      <c r="GD3025"/>
      <c r="GE3025"/>
      <c r="GF3025"/>
      <c r="GG3025"/>
      <c r="GH3025"/>
      <c r="GI3025"/>
      <c r="GJ3025"/>
      <c r="GK3025"/>
      <c r="GL3025"/>
      <c r="GM3025"/>
      <c r="GN3025"/>
      <c r="GO3025"/>
    </row>
    <row r="3026" spans="107:197">
      <c r="DC3026"/>
      <c r="FH3026"/>
      <c r="FI3026"/>
      <c r="FJ3026"/>
      <c r="FK3026"/>
      <c r="FL3026"/>
      <c r="FM3026"/>
      <c r="FN3026"/>
      <c r="FO3026"/>
      <c r="FP3026"/>
      <c r="FQ3026"/>
      <c r="FR3026"/>
      <c r="FS3026"/>
      <c r="FT3026"/>
      <c r="FU3026"/>
      <c r="FV3026"/>
      <c r="FW3026"/>
      <c r="FX3026"/>
      <c r="FY3026"/>
      <c r="FZ3026"/>
      <c r="GA3026"/>
      <c r="GB3026"/>
      <c r="GC3026"/>
      <c r="GD3026"/>
      <c r="GE3026"/>
      <c r="GF3026"/>
      <c r="GG3026"/>
      <c r="GH3026"/>
      <c r="GI3026"/>
      <c r="GJ3026"/>
      <c r="GK3026"/>
      <c r="GL3026"/>
      <c r="GM3026"/>
      <c r="GN3026"/>
      <c r="GO3026"/>
    </row>
    <row r="3027" spans="107:197">
      <c r="DC3027"/>
      <c r="FH3027"/>
      <c r="FI3027"/>
      <c r="FJ3027"/>
      <c r="FK3027"/>
      <c r="FL3027"/>
      <c r="FM3027"/>
      <c r="FN3027"/>
      <c r="FO3027"/>
      <c r="FP3027"/>
      <c r="FQ3027"/>
      <c r="FR3027"/>
      <c r="FS3027"/>
      <c r="FT3027"/>
      <c r="FU3027"/>
      <c r="FV3027"/>
      <c r="FW3027"/>
      <c r="FX3027"/>
      <c r="FY3027"/>
      <c r="FZ3027"/>
      <c r="GA3027"/>
      <c r="GB3027"/>
      <c r="GC3027"/>
      <c r="GD3027"/>
      <c r="GE3027"/>
      <c r="GF3027"/>
      <c r="GG3027"/>
      <c r="GH3027"/>
      <c r="GI3027"/>
      <c r="GJ3027"/>
      <c r="GK3027"/>
      <c r="GL3027"/>
      <c r="GM3027"/>
      <c r="GN3027"/>
      <c r="GO3027"/>
    </row>
    <row r="3028" spans="107:197">
      <c r="DC3028"/>
      <c r="FH3028"/>
      <c r="FI3028"/>
      <c r="FJ3028"/>
      <c r="FK3028"/>
      <c r="FL3028"/>
      <c r="FM3028"/>
      <c r="FN3028"/>
      <c r="FO3028"/>
      <c r="FP3028"/>
      <c r="FQ3028"/>
      <c r="FR3028"/>
      <c r="FS3028"/>
      <c r="FT3028"/>
      <c r="FU3028"/>
      <c r="FV3028"/>
      <c r="FW3028"/>
      <c r="FX3028"/>
      <c r="FY3028"/>
      <c r="FZ3028"/>
      <c r="GA3028"/>
      <c r="GB3028"/>
      <c r="GC3028"/>
      <c r="GD3028"/>
      <c r="GE3028"/>
      <c r="GF3028"/>
      <c r="GG3028"/>
      <c r="GH3028"/>
      <c r="GI3028"/>
      <c r="GJ3028"/>
      <c r="GK3028"/>
      <c r="GL3028"/>
      <c r="GM3028"/>
      <c r="GN3028"/>
      <c r="GO3028"/>
    </row>
    <row r="3029" spans="107:197">
      <c r="DC3029"/>
      <c r="FH3029"/>
      <c r="FI3029"/>
      <c r="FJ3029"/>
      <c r="FK3029"/>
      <c r="FL3029"/>
      <c r="FM3029"/>
      <c r="FN3029"/>
      <c r="FO3029"/>
      <c r="FP3029"/>
      <c r="FQ3029"/>
      <c r="FR3029"/>
      <c r="FS3029"/>
      <c r="FT3029"/>
      <c r="FU3029"/>
      <c r="FV3029"/>
      <c r="FW3029"/>
      <c r="FX3029"/>
      <c r="FY3029"/>
      <c r="FZ3029"/>
      <c r="GA3029"/>
      <c r="GB3029"/>
      <c r="GC3029"/>
      <c r="GD3029"/>
      <c r="GE3029"/>
      <c r="GF3029"/>
      <c r="GG3029"/>
      <c r="GH3029"/>
      <c r="GI3029"/>
      <c r="GJ3029"/>
      <c r="GK3029"/>
      <c r="GL3029"/>
      <c r="GM3029"/>
      <c r="GN3029"/>
      <c r="GO3029"/>
    </row>
    <row r="3030" spans="107:197">
      <c r="DC3030"/>
      <c r="FH3030"/>
      <c r="FI3030"/>
      <c r="FJ3030"/>
      <c r="FK3030"/>
      <c r="FL3030"/>
      <c r="FM3030"/>
      <c r="FN3030"/>
      <c r="FO3030"/>
      <c r="FP3030"/>
      <c r="FQ3030"/>
      <c r="FR3030"/>
      <c r="FS3030"/>
      <c r="FT3030"/>
      <c r="FU3030"/>
      <c r="FV3030"/>
      <c r="FW3030"/>
      <c r="FX3030"/>
      <c r="FY3030"/>
      <c r="FZ3030"/>
      <c r="GA3030"/>
      <c r="GB3030"/>
      <c r="GC3030"/>
      <c r="GD3030"/>
      <c r="GE3030"/>
      <c r="GF3030"/>
      <c r="GG3030"/>
      <c r="GH3030"/>
      <c r="GI3030"/>
      <c r="GJ3030"/>
      <c r="GK3030"/>
      <c r="GL3030"/>
      <c r="GM3030"/>
      <c r="GN3030"/>
      <c r="GO3030"/>
    </row>
    <row r="3031" spans="107:197">
      <c r="DC3031"/>
      <c r="FH3031"/>
      <c r="FI3031"/>
      <c r="FJ3031"/>
      <c r="FK3031"/>
      <c r="FL3031"/>
      <c r="FM3031"/>
      <c r="FN3031"/>
      <c r="FO3031"/>
      <c r="FP3031"/>
      <c r="FQ3031"/>
      <c r="FR3031"/>
      <c r="FS3031"/>
      <c r="FT3031"/>
      <c r="FU3031"/>
      <c r="FV3031"/>
      <c r="FW3031"/>
      <c r="FX3031"/>
      <c r="FY3031"/>
      <c r="FZ3031"/>
      <c r="GA3031"/>
      <c r="GB3031"/>
      <c r="GC3031"/>
      <c r="GD3031"/>
      <c r="GE3031"/>
      <c r="GF3031"/>
      <c r="GG3031"/>
      <c r="GH3031"/>
      <c r="GI3031"/>
      <c r="GJ3031"/>
      <c r="GK3031"/>
      <c r="GL3031"/>
      <c r="GM3031"/>
      <c r="GN3031"/>
      <c r="GO3031"/>
    </row>
    <row r="3032" spans="107:197">
      <c r="DC3032"/>
      <c r="FH3032"/>
      <c r="FI3032"/>
      <c r="FJ3032"/>
      <c r="FK3032"/>
      <c r="FL3032"/>
      <c r="FM3032"/>
      <c r="FN3032"/>
      <c r="FO3032"/>
      <c r="FP3032"/>
      <c r="FQ3032"/>
      <c r="FR3032"/>
      <c r="FS3032"/>
      <c r="FT3032"/>
      <c r="FU3032"/>
      <c r="FV3032"/>
      <c r="FW3032"/>
      <c r="FX3032"/>
      <c r="FY3032"/>
      <c r="FZ3032"/>
      <c r="GA3032"/>
      <c r="GB3032"/>
      <c r="GC3032"/>
      <c r="GD3032"/>
      <c r="GE3032"/>
      <c r="GF3032"/>
      <c r="GG3032"/>
      <c r="GH3032"/>
      <c r="GI3032"/>
      <c r="GJ3032"/>
      <c r="GK3032"/>
      <c r="GL3032"/>
      <c r="GM3032"/>
      <c r="GN3032"/>
      <c r="GO3032"/>
    </row>
    <row r="3033" spans="107:197">
      <c r="DC3033"/>
      <c r="FH3033"/>
      <c r="FI3033"/>
      <c r="FJ3033"/>
      <c r="FK3033"/>
      <c r="FL3033"/>
      <c r="FM3033"/>
      <c r="FN3033"/>
      <c r="FO3033"/>
      <c r="FP3033"/>
      <c r="FQ3033"/>
      <c r="FR3033"/>
      <c r="FS3033"/>
      <c r="FT3033"/>
      <c r="FU3033"/>
      <c r="FV3033"/>
      <c r="FW3033"/>
      <c r="FX3033"/>
      <c r="FY3033"/>
      <c r="FZ3033"/>
      <c r="GA3033"/>
      <c r="GB3033"/>
      <c r="GC3033"/>
      <c r="GD3033"/>
      <c r="GE3033"/>
      <c r="GF3033"/>
      <c r="GG3033"/>
      <c r="GH3033"/>
      <c r="GI3033"/>
      <c r="GJ3033"/>
      <c r="GK3033"/>
      <c r="GL3033"/>
      <c r="GM3033"/>
      <c r="GN3033"/>
      <c r="GO3033"/>
    </row>
    <row r="3034" spans="107:197">
      <c r="DC3034"/>
      <c r="FH3034"/>
      <c r="FI3034"/>
      <c r="FJ3034"/>
      <c r="FK3034"/>
      <c r="FL3034"/>
      <c r="FM3034"/>
      <c r="FN3034"/>
      <c r="FO3034"/>
      <c r="FP3034"/>
      <c r="FQ3034"/>
      <c r="FR3034"/>
      <c r="FS3034"/>
      <c r="FT3034"/>
      <c r="FU3034"/>
      <c r="FV3034"/>
      <c r="FW3034"/>
      <c r="FX3034"/>
      <c r="FY3034"/>
      <c r="FZ3034"/>
      <c r="GA3034"/>
      <c r="GB3034"/>
      <c r="GC3034"/>
      <c r="GD3034"/>
      <c r="GE3034"/>
      <c r="GF3034"/>
      <c r="GG3034"/>
      <c r="GH3034"/>
      <c r="GI3034"/>
      <c r="GJ3034"/>
      <c r="GK3034"/>
      <c r="GL3034"/>
      <c r="GM3034"/>
      <c r="GN3034"/>
      <c r="GO3034"/>
    </row>
    <row r="3035" spans="107:197">
      <c r="DC3035"/>
      <c r="FH3035"/>
      <c r="FI3035"/>
      <c r="FJ3035"/>
      <c r="FK3035"/>
      <c r="FL3035"/>
      <c r="FM3035"/>
      <c r="FN3035"/>
      <c r="FO3035"/>
      <c r="FP3035"/>
      <c r="FQ3035"/>
      <c r="FR3035"/>
      <c r="FS3035"/>
      <c r="FT3035"/>
      <c r="FU3035"/>
      <c r="FV3035"/>
      <c r="FW3035"/>
      <c r="FX3035"/>
      <c r="FY3035"/>
      <c r="FZ3035"/>
      <c r="GA3035"/>
      <c r="GB3035"/>
      <c r="GC3035"/>
      <c r="GD3035"/>
      <c r="GE3035"/>
      <c r="GF3035"/>
      <c r="GG3035"/>
      <c r="GH3035"/>
      <c r="GI3035"/>
      <c r="GJ3035"/>
      <c r="GK3035"/>
      <c r="GL3035"/>
      <c r="GM3035"/>
      <c r="GN3035"/>
      <c r="GO3035"/>
    </row>
    <row r="3036" spans="107:197">
      <c r="DC3036"/>
      <c r="FH3036"/>
      <c r="FI3036"/>
      <c r="FJ3036"/>
      <c r="FK3036"/>
      <c r="FL3036"/>
      <c r="FM3036"/>
      <c r="FN3036"/>
      <c r="FO3036"/>
      <c r="FP3036"/>
      <c r="FQ3036"/>
      <c r="FR3036"/>
      <c r="FS3036"/>
      <c r="FT3036"/>
      <c r="FU3036"/>
      <c r="FV3036"/>
      <c r="FW3036"/>
      <c r="FX3036"/>
      <c r="FY3036"/>
      <c r="FZ3036"/>
      <c r="GA3036"/>
      <c r="GB3036"/>
      <c r="GC3036"/>
      <c r="GD3036"/>
      <c r="GE3036"/>
      <c r="GF3036"/>
      <c r="GG3036"/>
      <c r="GH3036"/>
      <c r="GI3036"/>
      <c r="GJ3036"/>
      <c r="GK3036"/>
      <c r="GL3036"/>
      <c r="GM3036"/>
      <c r="GN3036"/>
      <c r="GO3036"/>
    </row>
    <row r="3037" spans="107:197">
      <c r="DC3037"/>
      <c r="FH3037"/>
      <c r="FI3037"/>
      <c r="FJ3037"/>
      <c r="FK3037"/>
      <c r="FL3037"/>
      <c r="FM3037"/>
      <c r="FN3037"/>
      <c r="FO3037"/>
      <c r="FP3037"/>
      <c r="FQ3037"/>
      <c r="FR3037"/>
      <c r="FS3037"/>
      <c r="FT3037"/>
      <c r="FU3037"/>
      <c r="FV3037"/>
      <c r="FW3037"/>
      <c r="FX3037"/>
      <c r="FY3037"/>
      <c r="FZ3037"/>
      <c r="GA3037"/>
      <c r="GB3037"/>
      <c r="GC3037"/>
      <c r="GD3037"/>
      <c r="GE3037"/>
      <c r="GF3037"/>
      <c r="GG3037"/>
      <c r="GH3037"/>
      <c r="GI3037"/>
      <c r="GJ3037"/>
      <c r="GK3037"/>
      <c r="GL3037"/>
      <c r="GM3037"/>
      <c r="GN3037"/>
      <c r="GO3037"/>
    </row>
    <row r="3038" spans="107:197">
      <c r="DC3038"/>
      <c r="FH3038"/>
      <c r="FI3038"/>
      <c r="FJ3038"/>
      <c r="FK3038"/>
      <c r="FL3038"/>
      <c r="FM3038"/>
      <c r="FN3038"/>
      <c r="FO3038"/>
      <c r="FP3038"/>
      <c r="FQ3038"/>
      <c r="FR3038"/>
      <c r="FS3038"/>
      <c r="FT3038"/>
      <c r="FU3038"/>
      <c r="FV3038"/>
      <c r="FW3038"/>
      <c r="FX3038"/>
      <c r="FY3038"/>
      <c r="FZ3038"/>
      <c r="GA3038"/>
      <c r="GB3038"/>
      <c r="GC3038"/>
      <c r="GD3038"/>
      <c r="GE3038"/>
      <c r="GF3038"/>
      <c r="GG3038"/>
      <c r="GH3038"/>
      <c r="GI3038"/>
      <c r="GJ3038"/>
      <c r="GK3038"/>
      <c r="GL3038"/>
      <c r="GM3038"/>
      <c r="GN3038"/>
      <c r="GO3038"/>
    </row>
    <row r="3039" spans="107:197">
      <c r="DC3039"/>
      <c r="FH3039"/>
      <c r="FI3039"/>
      <c r="FJ3039"/>
      <c r="FK3039"/>
      <c r="FL3039"/>
      <c r="FM3039"/>
      <c r="FN3039"/>
      <c r="FO3039"/>
      <c r="FP3039"/>
      <c r="FQ3039"/>
      <c r="FR3039"/>
      <c r="FS3039"/>
      <c r="FT3039"/>
      <c r="FU3039"/>
      <c r="FV3039"/>
      <c r="FW3039"/>
      <c r="FX3039"/>
      <c r="FY3039"/>
      <c r="FZ3039"/>
      <c r="GA3039"/>
      <c r="GB3039"/>
      <c r="GC3039"/>
      <c r="GD3039"/>
      <c r="GE3039"/>
      <c r="GF3039"/>
      <c r="GG3039"/>
      <c r="GH3039"/>
      <c r="GI3039"/>
      <c r="GJ3039"/>
      <c r="GK3039"/>
      <c r="GL3039"/>
      <c r="GM3039"/>
      <c r="GN3039"/>
      <c r="GO3039"/>
    </row>
    <row r="3040" spans="107:197">
      <c r="DC3040"/>
      <c r="FH3040"/>
      <c r="FI3040"/>
      <c r="FJ3040"/>
      <c r="FK3040"/>
      <c r="FL3040"/>
      <c r="FM3040"/>
      <c r="FN3040"/>
      <c r="FO3040"/>
      <c r="FP3040"/>
      <c r="FQ3040"/>
      <c r="FR3040"/>
      <c r="FS3040"/>
      <c r="FT3040"/>
      <c r="FU3040"/>
      <c r="FV3040"/>
      <c r="FW3040"/>
      <c r="FX3040"/>
      <c r="FY3040"/>
      <c r="FZ3040"/>
      <c r="GA3040"/>
      <c r="GB3040"/>
      <c r="GC3040"/>
      <c r="GD3040"/>
      <c r="GE3040"/>
      <c r="GF3040"/>
      <c r="GG3040"/>
      <c r="GH3040"/>
      <c r="GI3040"/>
      <c r="GJ3040"/>
      <c r="GK3040"/>
      <c r="GL3040"/>
      <c r="GM3040"/>
      <c r="GN3040"/>
      <c r="GO3040"/>
    </row>
    <row r="3041" spans="107:197">
      <c r="DC3041"/>
      <c r="FH3041"/>
      <c r="FI3041"/>
      <c r="FJ3041"/>
      <c r="FK3041"/>
      <c r="FL3041"/>
      <c r="FM3041"/>
      <c r="FN3041"/>
      <c r="FO3041"/>
      <c r="FP3041"/>
      <c r="FQ3041"/>
      <c r="FR3041"/>
      <c r="FS3041"/>
      <c r="FT3041"/>
      <c r="FU3041"/>
      <c r="FV3041"/>
      <c r="FW3041"/>
      <c r="FX3041"/>
      <c r="FY3041"/>
      <c r="FZ3041"/>
      <c r="GA3041"/>
      <c r="GB3041"/>
      <c r="GC3041"/>
      <c r="GD3041"/>
      <c r="GE3041"/>
      <c r="GF3041"/>
      <c r="GG3041"/>
      <c r="GH3041"/>
      <c r="GI3041"/>
      <c r="GJ3041"/>
      <c r="GK3041"/>
      <c r="GL3041"/>
      <c r="GM3041"/>
      <c r="GN3041"/>
      <c r="GO3041"/>
    </row>
    <row r="3042" spans="107:197">
      <c r="DC3042"/>
      <c r="FH3042"/>
      <c r="FI3042"/>
      <c r="FJ3042"/>
      <c r="FK3042"/>
      <c r="FL3042"/>
      <c r="FM3042"/>
      <c r="FN3042"/>
      <c r="FO3042"/>
      <c r="FP3042"/>
      <c r="FQ3042"/>
      <c r="FR3042"/>
      <c r="FS3042"/>
      <c r="FT3042"/>
      <c r="FU3042"/>
      <c r="FV3042"/>
      <c r="FW3042"/>
      <c r="FX3042"/>
      <c r="FY3042"/>
      <c r="FZ3042"/>
      <c r="GA3042"/>
      <c r="GB3042"/>
      <c r="GC3042"/>
      <c r="GD3042"/>
      <c r="GE3042"/>
      <c r="GF3042"/>
      <c r="GG3042"/>
      <c r="GH3042"/>
      <c r="GI3042"/>
      <c r="GJ3042"/>
      <c r="GK3042"/>
      <c r="GL3042"/>
      <c r="GM3042"/>
      <c r="GN3042"/>
      <c r="GO3042"/>
    </row>
    <row r="3043" spans="107:197">
      <c r="DC3043"/>
      <c r="FH3043"/>
      <c r="FI3043"/>
      <c r="FJ3043"/>
      <c r="FK3043"/>
      <c r="FL3043"/>
      <c r="FM3043"/>
      <c r="FN3043"/>
      <c r="FO3043"/>
      <c r="FP3043"/>
      <c r="FQ3043"/>
      <c r="FR3043"/>
      <c r="FS3043"/>
      <c r="FT3043"/>
      <c r="FU3043"/>
      <c r="FV3043"/>
      <c r="FW3043"/>
      <c r="FX3043"/>
      <c r="FY3043"/>
      <c r="FZ3043"/>
      <c r="GA3043"/>
      <c r="GB3043"/>
      <c r="GC3043"/>
      <c r="GD3043"/>
      <c r="GE3043"/>
      <c r="GF3043"/>
      <c r="GG3043"/>
      <c r="GH3043"/>
      <c r="GI3043"/>
      <c r="GJ3043"/>
      <c r="GK3043"/>
      <c r="GL3043"/>
      <c r="GM3043"/>
      <c r="GN3043"/>
      <c r="GO3043"/>
    </row>
    <row r="3044" spans="107:197">
      <c r="DC3044"/>
      <c r="FH3044"/>
      <c r="FI3044"/>
      <c r="FJ3044"/>
      <c r="FK3044"/>
      <c r="FL3044"/>
      <c r="FM3044"/>
      <c r="FN3044"/>
      <c r="FO3044"/>
      <c r="FP3044"/>
      <c r="FQ3044"/>
      <c r="FR3044"/>
      <c r="FS3044"/>
      <c r="FT3044"/>
      <c r="FU3044"/>
      <c r="FV3044"/>
      <c r="FW3044"/>
      <c r="FX3044"/>
      <c r="FY3044"/>
      <c r="FZ3044"/>
      <c r="GA3044"/>
      <c r="GB3044"/>
      <c r="GC3044"/>
      <c r="GD3044"/>
      <c r="GE3044"/>
      <c r="GF3044"/>
      <c r="GG3044"/>
      <c r="GH3044"/>
      <c r="GI3044"/>
      <c r="GJ3044"/>
      <c r="GK3044"/>
      <c r="GL3044"/>
      <c r="GM3044"/>
      <c r="GN3044"/>
      <c r="GO3044"/>
    </row>
    <row r="3045" spans="107:197">
      <c r="DC3045"/>
      <c r="FH3045"/>
      <c r="FI3045"/>
      <c r="FJ3045"/>
      <c r="FK3045"/>
      <c r="FL3045"/>
      <c r="FM3045"/>
      <c r="FN3045"/>
      <c r="FO3045"/>
      <c r="FP3045"/>
      <c r="FQ3045"/>
      <c r="FR3045"/>
      <c r="FS3045"/>
      <c r="FT3045"/>
      <c r="FU3045"/>
      <c r="FV3045"/>
      <c r="FW3045"/>
      <c r="FX3045"/>
      <c r="FY3045"/>
      <c r="FZ3045"/>
      <c r="GA3045"/>
      <c r="GB3045"/>
      <c r="GC3045"/>
      <c r="GD3045"/>
      <c r="GE3045"/>
      <c r="GF3045"/>
      <c r="GG3045"/>
      <c r="GH3045"/>
      <c r="GI3045"/>
      <c r="GJ3045"/>
      <c r="GK3045"/>
      <c r="GL3045"/>
      <c r="GM3045"/>
      <c r="GN3045"/>
      <c r="GO3045"/>
    </row>
    <row r="3046" spans="107:197">
      <c r="DC3046"/>
      <c r="FH3046"/>
      <c r="FI3046"/>
      <c r="FJ3046"/>
      <c r="FK3046"/>
      <c r="FL3046"/>
      <c r="FM3046"/>
      <c r="FN3046"/>
      <c r="FO3046"/>
      <c r="FP3046"/>
      <c r="FQ3046"/>
      <c r="FR3046"/>
      <c r="FS3046"/>
      <c r="FT3046"/>
      <c r="FU3046"/>
      <c r="FV3046"/>
      <c r="FW3046"/>
      <c r="FX3046"/>
      <c r="FY3046"/>
      <c r="FZ3046"/>
      <c r="GA3046"/>
      <c r="GB3046"/>
      <c r="GC3046"/>
      <c r="GD3046"/>
      <c r="GE3046"/>
      <c r="GF3046"/>
      <c r="GG3046"/>
      <c r="GH3046"/>
      <c r="GI3046"/>
      <c r="GJ3046"/>
      <c r="GK3046"/>
      <c r="GL3046"/>
      <c r="GM3046"/>
      <c r="GN3046"/>
      <c r="GO3046"/>
    </row>
    <row r="3047" spans="107:197">
      <c r="DC3047"/>
      <c r="FH3047"/>
      <c r="FI3047"/>
      <c r="FJ3047"/>
      <c r="FK3047"/>
      <c r="FL3047"/>
      <c r="FM3047"/>
      <c r="FN3047"/>
      <c r="FO3047"/>
      <c r="FP3047"/>
      <c r="FQ3047"/>
      <c r="FR3047"/>
      <c r="FS3047"/>
      <c r="FT3047"/>
      <c r="FU3047"/>
      <c r="FV3047"/>
      <c r="FW3047"/>
      <c r="FX3047"/>
      <c r="FY3047"/>
      <c r="FZ3047"/>
      <c r="GA3047"/>
      <c r="GB3047"/>
      <c r="GC3047"/>
      <c r="GD3047"/>
      <c r="GE3047"/>
      <c r="GF3047"/>
      <c r="GG3047"/>
      <c r="GH3047"/>
      <c r="GI3047"/>
      <c r="GJ3047"/>
      <c r="GK3047"/>
      <c r="GL3047"/>
      <c r="GM3047"/>
      <c r="GN3047"/>
      <c r="GO3047"/>
    </row>
    <row r="3048" spans="107:197">
      <c r="DC3048"/>
      <c r="FH3048"/>
      <c r="FI3048"/>
      <c r="FJ3048"/>
      <c r="FK3048"/>
      <c r="FL3048"/>
      <c r="FM3048"/>
      <c r="FN3048"/>
      <c r="FO3048"/>
      <c r="FP3048"/>
      <c r="FQ3048"/>
      <c r="FR3048"/>
      <c r="FS3048"/>
      <c r="FT3048"/>
      <c r="FU3048"/>
      <c r="FV3048"/>
      <c r="FW3048"/>
      <c r="FX3048"/>
      <c r="FY3048"/>
      <c r="FZ3048"/>
      <c r="GA3048"/>
      <c r="GB3048"/>
      <c r="GC3048"/>
      <c r="GD3048"/>
      <c r="GE3048"/>
      <c r="GF3048"/>
      <c r="GG3048"/>
      <c r="GH3048"/>
      <c r="GI3048"/>
      <c r="GJ3048"/>
      <c r="GK3048"/>
      <c r="GL3048"/>
      <c r="GM3048"/>
      <c r="GN3048"/>
      <c r="GO3048"/>
    </row>
    <row r="3049" spans="107:197">
      <c r="DC3049"/>
      <c r="FH3049"/>
      <c r="FI3049"/>
      <c r="FJ3049"/>
      <c r="FK3049"/>
      <c r="FL3049"/>
      <c r="FM3049"/>
      <c r="FN3049"/>
      <c r="FO3049"/>
      <c r="FP3049"/>
      <c r="FQ3049"/>
      <c r="FR3049"/>
      <c r="FS3049"/>
      <c r="FT3049"/>
      <c r="FU3049"/>
      <c r="FV3049"/>
      <c r="FW3049"/>
      <c r="FX3049"/>
      <c r="FY3049"/>
      <c r="FZ3049"/>
      <c r="GA3049"/>
      <c r="GB3049"/>
      <c r="GC3049"/>
      <c r="GD3049"/>
      <c r="GE3049"/>
      <c r="GF3049"/>
      <c r="GG3049"/>
      <c r="GH3049"/>
      <c r="GI3049"/>
      <c r="GJ3049"/>
      <c r="GK3049"/>
      <c r="GL3049"/>
      <c r="GM3049"/>
      <c r="GN3049"/>
      <c r="GO3049"/>
    </row>
    <row r="3050" spans="107:197">
      <c r="DC3050"/>
      <c r="FH3050"/>
      <c r="FI3050"/>
      <c r="FJ3050"/>
      <c r="FK3050"/>
      <c r="FL3050"/>
      <c r="FM3050"/>
      <c r="FN3050"/>
      <c r="FO3050"/>
      <c r="FP3050"/>
      <c r="FQ3050"/>
      <c r="FR3050"/>
      <c r="FS3050"/>
      <c r="FT3050"/>
      <c r="FU3050"/>
      <c r="FV3050"/>
      <c r="FW3050"/>
      <c r="FX3050"/>
      <c r="FY3050"/>
      <c r="FZ3050"/>
      <c r="GA3050"/>
      <c r="GB3050"/>
      <c r="GC3050"/>
      <c r="GD3050"/>
      <c r="GE3050"/>
      <c r="GF3050"/>
      <c r="GG3050"/>
      <c r="GH3050"/>
      <c r="GI3050"/>
      <c r="GJ3050"/>
      <c r="GK3050"/>
      <c r="GL3050"/>
      <c r="GM3050"/>
      <c r="GN3050"/>
      <c r="GO3050"/>
    </row>
    <row r="3051" spans="107:197">
      <c r="DC3051"/>
      <c r="FH3051"/>
      <c r="FI3051"/>
      <c r="FJ3051"/>
      <c r="FK3051"/>
      <c r="FL3051"/>
      <c r="FM3051"/>
      <c r="FN3051"/>
      <c r="FO3051"/>
      <c r="FP3051"/>
      <c r="FQ3051"/>
      <c r="FR3051"/>
      <c r="FS3051"/>
      <c r="FT3051"/>
      <c r="FU3051"/>
      <c r="FV3051"/>
      <c r="FW3051"/>
      <c r="FX3051"/>
      <c r="FY3051"/>
      <c r="FZ3051"/>
      <c r="GA3051"/>
      <c r="GB3051"/>
      <c r="GC3051"/>
      <c r="GD3051"/>
      <c r="GE3051"/>
      <c r="GF3051"/>
      <c r="GG3051"/>
      <c r="GH3051"/>
      <c r="GI3051"/>
      <c r="GJ3051"/>
      <c r="GK3051"/>
      <c r="GL3051"/>
      <c r="GM3051"/>
      <c r="GN3051"/>
      <c r="GO3051"/>
    </row>
    <row r="3052" spans="107:197">
      <c r="DC3052"/>
      <c r="FH3052"/>
      <c r="FI3052"/>
      <c r="FJ3052"/>
      <c r="FK3052"/>
      <c r="FL3052"/>
      <c r="FM3052"/>
      <c r="FN3052"/>
      <c r="FO3052"/>
      <c r="FP3052"/>
      <c r="FQ3052"/>
      <c r="FR3052"/>
      <c r="FS3052"/>
      <c r="FT3052"/>
      <c r="FU3052"/>
      <c r="FV3052"/>
      <c r="FW3052"/>
      <c r="FX3052"/>
      <c r="FY3052"/>
      <c r="FZ3052"/>
      <c r="GA3052"/>
      <c r="GB3052"/>
      <c r="GC3052"/>
      <c r="GD3052"/>
      <c r="GE3052"/>
      <c r="GF3052"/>
      <c r="GG3052"/>
      <c r="GH3052"/>
      <c r="GI3052"/>
      <c r="GJ3052"/>
      <c r="GK3052"/>
      <c r="GL3052"/>
      <c r="GM3052"/>
      <c r="GN3052"/>
      <c r="GO3052"/>
    </row>
    <row r="3053" spans="107:197">
      <c r="DC3053"/>
      <c r="FH3053"/>
      <c r="FI3053"/>
      <c r="FJ3053"/>
      <c r="FK3053"/>
      <c r="FL3053"/>
      <c r="FM3053"/>
      <c r="FN3053"/>
      <c r="FO3053"/>
      <c r="FP3053"/>
      <c r="FQ3053"/>
      <c r="FR3053"/>
      <c r="FS3053"/>
      <c r="FT3053"/>
      <c r="FU3053"/>
      <c r="FV3053"/>
      <c r="FW3053"/>
      <c r="FX3053"/>
      <c r="FY3053"/>
      <c r="FZ3053"/>
      <c r="GA3053"/>
      <c r="GB3053"/>
      <c r="GC3053"/>
      <c r="GD3053"/>
      <c r="GE3053"/>
      <c r="GF3053"/>
      <c r="GG3053"/>
      <c r="GH3053"/>
      <c r="GI3053"/>
      <c r="GJ3053"/>
      <c r="GK3053"/>
      <c r="GL3053"/>
      <c r="GM3053"/>
      <c r="GN3053"/>
      <c r="GO3053"/>
    </row>
    <row r="3054" spans="107:197">
      <c r="DC3054"/>
      <c r="FH3054"/>
      <c r="FI3054"/>
      <c r="FJ3054"/>
      <c r="FK3054"/>
      <c r="FL3054"/>
      <c r="FM3054"/>
      <c r="FN3054"/>
      <c r="FO3054"/>
      <c r="FP3054"/>
      <c r="FQ3054"/>
      <c r="FR3054"/>
      <c r="FS3054"/>
      <c r="FT3054"/>
      <c r="FU3054"/>
      <c r="FV3054"/>
      <c r="FW3054"/>
      <c r="FX3054"/>
      <c r="FY3054"/>
      <c r="FZ3054"/>
      <c r="GA3054"/>
      <c r="GB3054"/>
      <c r="GC3054"/>
      <c r="GD3054"/>
      <c r="GE3054"/>
      <c r="GF3054"/>
      <c r="GG3054"/>
      <c r="GH3054"/>
      <c r="GI3054"/>
      <c r="GJ3054"/>
      <c r="GK3054"/>
      <c r="GL3054"/>
      <c r="GM3054"/>
      <c r="GN3054"/>
      <c r="GO3054"/>
    </row>
    <row r="3055" spans="107:197">
      <c r="DC3055"/>
      <c r="FH3055"/>
      <c r="FI3055"/>
      <c r="FJ3055"/>
      <c r="FK3055"/>
      <c r="FL3055"/>
      <c r="FM3055"/>
      <c r="FN3055"/>
      <c r="FO3055"/>
      <c r="FP3055"/>
      <c r="FQ3055"/>
      <c r="FR3055"/>
      <c r="FS3055"/>
      <c r="FT3055"/>
      <c r="FU3055"/>
      <c r="FV3055"/>
      <c r="FW3055"/>
      <c r="FX3055"/>
      <c r="FY3055"/>
      <c r="FZ3055"/>
      <c r="GA3055"/>
      <c r="GB3055"/>
      <c r="GC3055"/>
      <c r="GD3055"/>
      <c r="GE3055"/>
      <c r="GF3055"/>
      <c r="GG3055"/>
      <c r="GH3055"/>
      <c r="GI3055"/>
      <c r="GJ3055"/>
      <c r="GK3055"/>
      <c r="GL3055"/>
      <c r="GM3055"/>
      <c r="GN3055"/>
      <c r="GO3055"/>
    </row>
    <row r="3056" spans="107:197">
      <c r="DC3056"/>
      <c r="FH3056"/>
      <c r="FI3056"/>
      <c r="FJ3056"/>
      <c r="FK3056"/>
      <c r="FL3056"/>
      <c r="FM3056"/>
      <c r="FN3056"/>
      <c r="FO3056"/>
      <c r="FP3056"/>
      <c r="FQ3056"/>
      <c r="FR3056"/>
      <c r="FS3056"/>
      <c r="FT3056"/>
      <c r="FU3056"/>
      <c r="FV3056"/>
      <c r="FW3056"/>
      <c r="FX3056"/>
      <c r="FY3056"/>
      <c r="FZ3056"/>
      <c r="GA3056"/>
      <c r="GB3056"/>
      <c r="GC3056"/>
      <c r="GD3056"/>
      <c r="GE3056"/>
      <c r="GF3056"/>
      <c r="GG3056"/>
      <c r="GH3056"/>
      <c r="GI3056"/>
      <c r="GJ3056"/>
      <c r="GK3056"/>
      <c r="GL3056"/>
      <c r="GM3056"/>
      <c r="GN3056"/>
      <c r="GO3056"/>
    </row>
    <row r="3057" spans="107:197">
      <c r="DC3057"/>
      <c r="FH3057"/>
      <c r="FI3057"/>
      <c r="FJ3057"/>
      <c r="FK3057"/>
      <c r="FL3057"/>
      <c r="FM3057"/>
      <c r="FN3057"/>
      <c r="FO3057"/>
      <c r="FP3057"/>
      <c r="FQ3057"/>
      <c r="FR3057"/>
      <c r="FS3057"/>
      <c r="FT3057"/>
      <c r="FU3057"/>
      <c r="FV3057"/>
      <c r="FW3057"/>
      <c r="FX3057"/>
      <c r="FY3057"/>
      <c r="FZ3057"/>
      <c r="GA3057"/>
      <c r="GB3057"/>
      <c r="GC3057"/>
      <c r="GD3057"/>
      <c r="GE3057"/>
      <c r="GF3057"/>
      <c r="GG3057"/>
      <c r="GH3057"/>
      <c r="GI3057"/>
      <c r="GJ3057"/>
      <c r="GK3057"/>
      <c r="GL3057"/>
      <c r="GM3057"/>
      <c r="GN3057"/>
      <c r="GO3057"/>
    </row>
    <row r="3058" spans="107:197">
      <c r="DC3058"/>
      <c r="FH3058"/>
      <c r="FI3058"/>
      <c r="FJ3058"/>
      <c r="FK3058"/>
      <c r="FL3058"/>
      <c r="FM3058"/>
      <c r="FN3058"/>
      <c r="FO3058"/>
      <c r="FP3058"/>
      <c r="FQ3058"/>
      <c r="FR3058"/>
      <c r="FS3058"/>
      <c r="FT3058"/>
      <c r="FU3058"/>
      <c r="FV3058"/>
      <c r="FW3058"/>
      <c r="FX3058"/>
      <c r="FY3058"/>
      <c r="FZ3058"/>
      <c r="GA3058"/>
      <c r="GB3058"/>
      <c r="GC3058"/>
      <c r="GD3058"/>
      <c r="GE3058"/>
      <c r="GF3058"/>
      <c r="GG3058"/>
      <c r="GH3058"/>
      <c r="GI3058"/>
      <c r="GJ3058"/>
      <c r="GK3058"/>
      <c r="GL3058"/>
      <c r="GM3058"/>
      <c r="GN3058"/>
      <c r="GO3058"/>
    </row>
    <row r="3059" spans="107:197">
      <c r="DC3059"/>
      <c r="FH3059"/>
      <c r="FI3059"/>
      <c r="FJ3059"/>
      <c r="FK3059"/>
      <c r="FL3059"/>
      <c r="FM3059"/>
      <c r="FN3059"/>
      <c r="FO3059"/>
      <c r="FP3059"/>
      <c r="FQ3059"/>
      <c r="FR3059"/>
      <c r="FS3059"/>
      <c r="FT3059"/>
      <c r="FU3059"/>
      <c r="FV3059"/>
      <c r="FW3059"/>
      <c r="FX3059"/>
      <c r="FY3059"/>
      <c r="FZ3059"/>
      <c r="GA3059"/>
      <c r="GB3059"/>
      <c r="GC3059"/>
      <c r="GD3059"/>
      <c r="GE3059"/>
      <c r="GF3059"/>
      <c r="GG3059"/>
      <c r="GH3059"/>
      <c r="GI3059"/>
      <c r="GJ3059"/>
      <c r="GK3059"/>
      <c r="GL3059"/>
      <c r="GM3059"/>
      <c r="GN3059"/>
      <c r="GO3059"/>
    </row>
    <row r="3060" spans="107:197">
      <c r="DC3060"/>
      <c r="FH3060"/>
      <c r="FI3060"/>
      <c r="FJ3060"/>
      <c r="FK3060"/>
      <c r="FL3060"/>
      <c r="FM3060"/>
      <c r="FN3060"/>
      <c r="FO3060"/>
      <c r="FP3060"/>
      <c r="FQ3060"/>
      <c r="FR3060"/>
      <c r="FS3060"/>
      <c r="FT3060"/>
      <c r="FU3060"/>
      <c r="FV3060"/>
      <c r="FW3060"/>
      <c r="FX3060"/>
      <c r="FY3060"/>
      <c r="FZ3060"/>
      <c r="GA3060"/>
      <c r="GB3060"/>
      <c r="GC3060"/>
      <c r="GD3060"/>
      <c r="GE3060"/>
      <c r="GF3060"/>
      <c r="GG3060"/>
      <c r="GH3060"/>
      <c r="GI3060"/>
      <c r="GJ3060"/>
      <c r="GK3060"/>
      <c r="GL3060"/>
      <c r="GM3060"/>
      <c r="GN3060"/>
      <c r="GO3060"/>
    </row>
    <row r="3061" spans="107:197">
      <c r="DC3061"/>
      <c r="FH3061"/>
      <c r="FI3061"/>
      <c r="FJ3061"/>
      <c r="FK3061"/>
      <c r="FL3061"/>
      <c r="FM3061"/>
      <c r="FN3061"/>
      <c r="FO3061"/>
      <c r="FP3061"/>
      <c r="FQ3061"/>
      <c r="FR3061"/>
      <c r="FS3061"/>
      <c r="FT3061"/>
      <c r="FU3061"/>
      <c r="FV3061"/>
      <c r="FW3061"/>
      <c r="FX3061"/>
      <c r="FY3061"/>
      <c r="FZ3061"/>
      <c r="GA3061"/>
      <c r="GB3061"/>
      <c r="GC3061"/>
      <c r="GD3061"/>
      <c r="GE3061"/>
      <c r="GF3061"/>
      <c r="GG3061"/>
      <c r="GH3061"/>
      <c r="GI3061"/>
      <c r="GJ3061"/>
      <c r="GK3061"/>
      <c r="GL3061"/>
      <c r="GM3061"/>
      <c r="GN3061"/>
      <c r="GO3061"/>
    </row>
    <row r="3062" spans="107:197">
      <c r="DC3062"/>
      <c r="FH3062"/>
      <c r="FI3062"/>
      <c r="FJ3062"/>
      <c r="FK3062"/>
      <c r="FL3062"/>
      <c r="FM3062"/>
      <c r="FN3062"/>
      <c r="FO3062"/>
      <c r="FP3062"/>
      <c r="FQ3062"/>
      <c r="FR3062"/>
      <c r="FS3062"/>
      <c r="FT3062"/>
      <c r="FU3062"/>
      <c r="FV3062"/>
      <c r="FW3062"/>
      <c r="FX3062"/>
      <c r="FY3062"/>
      <c r="FZ3062"/>
      <c r="GA3062"/>
      <c r="GB3062"/>
      <c r="GC3062"/>
      <c r="GD3062"/>
      <c r="GE3062"/>
      <c r="GF3062"/>
      <c r="GG3062"/>
      <c r="GH3062"/>
      <c r="GI3062"/>
      <c r="GJ3062"/>
      <c r="GK3062"/>
      <c r="GL3062"/>
      <c r="GM3062"/>
      <c r="GN3062"/>
      <c r="GO3062"/>
    </row>
    <row r="3063" spans="107:197">
      <c r="DC3063"/>
      <c r="FH3063"/>
      <c r="FI3063"/>
      <c r="FJ3063"/>
      <c r="FK3063"/>
      <c r="FL3063"/>
      <c r="FM3063"/>
      <c r="FN3063"/>
      <c r="FO3063"/>
      <c r="FP3063"/>
      <c r="FQ3063"/>
      <c r="FR3063"/>
      <c r="FS3063"/>
      <c r="FT3063"/>
      <c r="FU3063"/>
      <c r="FV3063"/>
      <c r="FW3063"/>
      <c r="FX3063"/>
      <c r="FY3063"/>
      <c r="FZ3063"/>
      <c r="GA3063"/>
      <c r="GB3063"/>
      <c r="GC3063"/>
      <c r="GD3063"/>
      <c r="GE3063"/>
      <c r="GF3063"/>
      <c r="GG3063"/>
      <c r="GH3063"/>
      <c r="GI3063"/>
      <c r="GJ3063"/>
      <c r="GK3063"/>
      <c r="GL3063"/>
      <c r="GM3063"/>
      <c r="GN3063"/>
      <c r="GO3063"/>
    </row>
    <row r="3064" spans="107:197">
      <c r="DC3064"/>
      <c r="FH3064"/>
      <c r="FI3064"/>
      <c r="FJ3064"/>
      <c r="FK3064"/>
      <c r="FL3064"/>
      <c r="FM3064"/>
      <c r="FN3064"/>
      <c r="FO3064"/>
      <c r="FP3064"/>
      <c r="FQ3064"/>
      <c r="FR3064"/>
      <c r="FS3064"/>
      <c r="FT3064"/>
      <c r="FU3064"/>
      <c r="FV3064"/>
      <c r="FW3064"/>
      <c r="FX3064"/>
      <c r="FY3064"/>
      <c r="FZ3064"/>
      <c r="GA3064"/>
      <c r="GB3064"/>
      <c r="GC3064"/>
      <c r="GD3064"/>
      <c r="GE3064"/>
      <c r="GF3064"/>
      <c r="GG3064"/>
      <c r="GH3064"/>
      <c r="GI3064"/>
      <c r="GJ3064"/>
      <c r="GK3064"/>
      <c r="GL3064"/>
      <c r="GM3064"/>
      <c r="GN3064"/>
      <c r="GO3064"/>
    </row>
    <row r="3065" spans="107:197">
      <c r="DC3065"/>
      <c r="FH3065"/>
      <c r="FI3065"/>
      <c r="FJ3065"/>
      <c r="FK3065"/>
      <c r="FL3065"/>
      <c r="FM3065"/>
      <c r="FN3065"/>
      <c r="FO3065"/>
      <c r="FP3065"/>
      <c r="FQ3065"/>
      <c r="FR3065"/>
      <c r="FS3065"/>
      <c r="FT3065"/>
      <c r="FU3065"/>
      <c r="FV3065"/>
      <c r="FW3065"/>
      <c r="FX3065"/>
      <c r="FY3065"/>
      <c r="FZ3065"/>
      <c r="GA3065"/>
      <c r="GB3065"/>
      <c r="GC3065"/>
      <c r="GD3065"/>
      <c r="GE3065"/>
      <c r="GF3065"/>
      <c r="GG3065"/>
      <c r="GH3065"/>
      <c r="GI3065"/>
      <c r="GJ3065"/>
      <c r="GK3065"/>
      <c r="GL3065"/>
      <c r="GM3065"/>
      <c r="GN3065"/>
      <c r="GO3065"/>
    </row>
    <row r="3066" spans="107:197">
      <c r="DC3066"/>
      <c r="FH3066"/>
      <c r="FI3066"/>
      <c r="FJ3066"/>
      <c r="FK3066"/>
      <c r="FL3066"/>
      <c r="FM3066"/>
      <c r="FN3066"/>
      <c r="FO3066"/>
      <c r="FP3066"/>
      <c r="FQ3066"/>
      <c r="FR3066"/>
      <c r="FS3066"/>
      <c r="FT3066"/>
      <c r="FU3066"/>
      <c r="FV3066"/>
      <c r="FW3066"/>
      <c r="FX3066"/>
      <c r="FY3066"/>
      <c r="FZ3066"/>
      <c r="GA3066"/>
      <c r="GB3066"/>
      <c r="GC3066"/>
      <c r="GD3066"/>
      <c r="GE3066"/>
      <c r="GF3066"/>
      <c r="GG3066"/>
      <c r="GH3066"/>
      <c r="GI3066"/>
      <c r="GJ3066"/>
      <c r="GK3066"/>
      <c r="GL3066"/>
      <c r="GM3066"/>
      <c r="GN3066"/>
      <c r="GO3066"/>
    </row>
    <row r="3067" spans="107:197">
      <c r="DC3067"/>
      <c r="FH3067"/>
      <c r="FI3067"/>
      <c r="FJ3067"/>
      <c r="FK3067"/>
      <c r="FL3067"/>
      <c r="FM3067"/>
      <c r="FN3067"/>
      <c r="FO3067"/>
      <c r="FP3067"/>
      <c r="FQ3067"/>
      <c r="FR3067"/>
      <c r="FS3067"/>
      <c r="FT3067"/>
      <c r="FU3067"/>
      <c r="FV3067"/>
      <c r="FW3067"/>
      <c r="FX3067"/>
      <c r="FY3067"/>
      <c r="FZ3067"/>
      <c r="GA3067"/>
      <c r="GB3067"/>
      <c r="GC3067"/>
      <c r="GD3067"/>
      <c r="GE3067"/>
      <c r="GF3067"/>
      <c r="GG3067"/>
      <c r="GH3067"/>
      <c r="GI3067"/>
      <c r="GJ3067"/>
      <c r="GK3067"/>
      <c r="GL3067"/>
      <c r="GM3067"/>
      <c r="GN3067"/>
      <c r="GO3067"/>
    </row>
    <row r="3068" spans="107:197">
      <c r="DC3068"/>
      <c r="FH3068"/>
      <c r="FI3068"/>
      <c r="FJ3068"/>
      <c r="FK3068"/>
      <c r="FL3068"/>
      <c r="FM3068"/>
      <c r="FN3068"/>
      <c r="FO3068"/>
      <c r="FP3068"/>
      <c r="FQ3068"/>
      <c r="FR3068"/>
      <c r="FS3068"/>
      <c r="FT3068"/>
      <c r="FU3068"/>
      <c r="FV3068"/>
      <c r="FW3068"/>
      <c r="FX3068"/>
      <c r="FY3068"/>
      <c r="FZ3068"/>
      <c r="GA3068"/>
      <c r="GB3068"/>
      <c r="GC3068"/>
      <c r="GD3068"/>
      <c r="GE3068"/>
      <c r="GF3068"/>
      <c r="GG3068"/>
      <c r="GH3068"/>
      <c r="GI3068"/>
      <c r="GJ3068"/>
      <c r="GK3068"/>
      <c r="GL3068"/>
      <c r="GM3068"/>
      <c r="GN3068"/>
      <c r="GO3068"/>
    </row>
    <row r="3069" spans="107:197">
      <c r="DC3069"/>
      <c r="FH3069"/>
      <c r="FI3069"/>
      <c r="FJ3069"/>
      <c r="FK3069"/>
      <c r="FL3069"/>
      <c r="FM3069"/>
      <c r="FN3069"/>
      <c r="FO3069"/>
      <c r="FP3069"/>
      <c r="FQ3069"/>
      <c r="FR3069"/>
      <c r="FS3069"/>
      <c r="FT3069"/>
      <c r="FU3069"/>
      <c r="FV3069"/>
      <c r="FW3069"/>
      <c r="FX3069"/>
      <c r="FY3069"/>
      <c r="FZ3069"/>
      <c r="GA3069"/>
      <c r="GB3069"/>
      <c r="GC3069"/>
      <c r="GD3069"/>
      <c r="GE3069"/>
      <c r="GF3069"/>
      <c r="GG3069"/>
      <c r="GH3069"/>
      <c r="GI3069"/>
      <c r="GJ3069"/>
      <c r="GK3069"/>
      <c r="GL3069"/>
      <c r="GM3069"/>
      <c r="GN3069"/>
      <c r="GO3069"/>
    </row>
    <row r="3070" spans="107:197">
      <c r="DC3070"/>
      <c r="FH3070"/>
      <c r="FI3070"/>
      <c r="FJ3070"/>
      <c r="FK3070"/>
      <c r="FL3070"/>
      <c r="FM3070"/>
      <c r="FN3070"/>
      <c r="FO3070"/>
      <c r="FP3070"/>
      <c r="FQ3070"/>
      <c r="FR3070"/>
      <c r="FS3070"/>
      <c r="FT3070"/>
      <c r="FU3070"/>
      <c r="FV3070"/>
      <c r="FW3070"/>
      <c r="FX3070"/>
      <c r="FY3070"/>
      <c r="FZ3070"/>
      <c r="GA3070"/>
      <c r="GB3070"/>
      <c r="GC3070"/>
      <c r="GD3070"/>
      <c r="GE3070"/>
      <c r="GF3070"/>
      <c r="GG3070"/>
      <c r="GH3070"/>
      <c r="GI3070"/>
      <c r="GJ3070"/>
      <c r="GK3070"/>
      <c r="GL3070"/>
      <c r="GM3070"/>
      <c r="GN3070"/>
      <c r="GO3070"/>
    </row>
    <row r="3071" spans="107:197">
      <c r="DC3071"/>
      <c r="FH3071"/>
      <c r="FI3071"/>
      <c r="FJ3071"/>
      <c r="FK3071"/>
      <c r="FL3071"/>
      <c r="FM3071"/>
      <c r="FN3071"/>
      <c r="FO3071"/>
      <c r="FP3071"/>
      <c r="FQ3071"/>
      <c r="FR3071"/>
      <c r="FS3071"/>
      <c r="FT3071"/>
      <c r="FU3071"/>
      <c r="FV3071"/>
      <c r="FW3071"/>
      <c r="FX3071"/>
      <c r="FY3071"/>
      <c r="FZ3071"/>
      <c r="GA3071"/>
      <c r="GB3071"/>
      <c r="GC3071"/>
      <c r="GD3071"/>
      <c r="GE3071"/>
      <c r="GF3071"/>
      <c r="GG3071"/>
      <c r="GH3071"/>
      <c r="GI3071"/>
      <c r="GJ3071"/>
      <c r="GK3071"/>
      <c r="GL3071"/>
      <c r="GM3071"/>
      <c r="GN3071"/>
      <c r="GO3071"/>
    </row>
    <row r="3072" spans="107:197">
      <c r="DC3072"/>
      <c r="FH3072"/>
      <c r="FI3072"/>
      <c r="FJ3072"/>
      <c r="FK3072"/>
      <c r="FL3072"/>
      <c r="FM3072"/>
      <c r="FN3072"/>
      <c r="FO3072"/>
      <c r="FP3072"/>
      <c r="FQ3072"/>
      <c r="FR3072"/>
      <c r="FS3072"/>
      <c r="FT3072"/>
      <c r="FU3072"/>
      <c r="FV3072"/>
      <c r="FW3072"/>
      <c r="FX3072"/>
      <c r="FY3072"/>
      <c r="FZ3072"/>
      <c r="GA3072"/>
      <c r="GB3072"/>
      <c r="GC3072"/>
      <c r="GD3072"/>
      <c r="GE3072"/>
      <c r="GF3072"/>
      <c r="GG3072"/>
      <c r="GH3072"/>
      <c r="GI3072"/>
      <c r="GJ3072"/>
      <c r="GK3072"/>
      <c r="GL3072"/>
      <c r="GM3072"/>
      <c r="GN3072"/>
      <c r="GO3072"/>
    </row>
    <row r="3073" spans="107:197">
      <c r="DC3073"/>
      <c r="FH3073"/>
      <c r="FI3073"/>
      <c r="FJ3073"/>
      <c r="FK3073"/>
      <c r="FL3073"/>
      <c r="FM3073"/>
      <c r="FN3073"/>
      <c r="FO3073"/>
      <c r="FP3073"/>
      <c r="FQ3073"/>
      <c r="FR3073"/>
      <c r="FS3073"/>
      <c r="FT3073"/>
      <c r="FU3073"/>
      <c r="FV3073"/>
      <c r="FW3073"/>
      <c r="FX3073"/>
      <c r="FY3073"/>
      <c r="FZ3073"/>
      <c r="GA3073"/>
      <c r="GB3073"/>
      <c r="GC3073"/>
      <c r="GD3073"/>
      <c r="GE3073"/>
      <c r="GF3073"/>
      <c r="GG3073"/>
      <c r="GH3073"/>
      <c r="GI3073"/>
      <c r="GJ3073"/>
      <c r="GK3073"/>
      <c r="GL3073"/>
      <c r="GM3073"/>
      <c r="GN3073"/>
      <c r="GO3073"/>
    </row>
    <row r="3074" spans="107:197">
      <c r="DC3074"/>
      <c r="FH3074"/>
      <c r="FI3074"/>
      <c r="FJ3074"/>
      <c r="FK3074"/>
      <c r="FL3074"/>
      <c r="FM3074"/>
      <c r="FN3074"/>
      <c r="FO3074"/>
      <c r="FP3074"/>
      <c r="FQ3074"/>
      <c r="FR3074"/>
      <c r="FS3074"/>
      <c r="FT3074"/>
      <c r="FU3074"/>
      <c r="FV3074"/>
      <c r="FW3074"/>
      <c r="FX3074"/>
      <c r="FY3074"/>
      <c r="FZ3074"/>
      <c r="GA3074"/>
      <c r="GB3074"/>
      <c r="GC3074"/>
      <c r="GD3074"/>
      <c r="GE3074"/>
      <c r="GF3074"/>
      <c r="GG3074"/>
      <c r="GH3074"/>
      <c r="GI3074"/>
      <c r="GJ3074"/>
      <c r="GK3074"/>
      <c r="GL3074"/>
      <c r="GM3074"/>
      <c r="GN3074"/>
      <c r="GO3074"/>
    </row>
    <row r="3075" spans="107:197">
      <c r="DC3075"/>
      <c r="FH3075"/>
      <c r="FI3075"/>
      <c r="FJ3075"/>
      <c r="FK3075"/>
      <c r="FL3075"/>
      <c r="FM3075"/>
      <c r="FN3075"/>
      <c r="FO3075"/>
      <c r="FP3075"/>
      <c r="FQ3075"/>
      <c r="FR3075"/>
      <c r="FS3075"/>
      <c r="FT3075"/>
      <c r="FU3075"/>
      <c r="FV3075"/>
      <c r="FW3075"/>
      <c r="FX3075"/>
      <c r="FY3075"/>
      <c r="FZ3075"/>
      <c r="GA3075"/>
      <c r="GB3075"/>
      <c r="GC3075"/>
      <c r="GD3075"/>
      <c r="GE3075"/>
      <c r="GF3075"/>
      <c r="GG3075"/>
      <c r="GH3075"/>
      <c r="GI3075"/>
      <c r="GJ3075"/>
      <c r="GK3075"/>
      <c r="GL3075"/>
      <c r="GM3075"/>
      <c r="GN3075"/>
      <c r="GO3075"/>
    </row>
    <row r="3076" spans="107:197">
      <c r="DC3076"/>
      <c r="FH3076"/>
      <c r="FI3076"/>
      <c r="FJ3076"/>
      <c r="FK3076"/>
      <c r="FL3076"/>
      <c r="FM3076"/>
      <c r="FN3076"/>
      <c r="FO3076"/>
      <c r="FP3076"/>
      <c r="FQ3076"/>
      <c r="FR3076"/>
      <c r="FS3076"/>
      <c r="FT3076"/>
      <c r="FU3076"/>
      <c r="FV3076"/>
      <c r="FW3076"/>
      <c r="FX3076"/>
      <c r="FY3076"/>
      <c r="FZ3076"/>
      <c r="GA3076"/>
      <c r="GB3076"/>
      <c r="GC3076"/>
      <c r="GD3076"/>
      <c r="GE3076"/>
      <c r="GF3076"/>
      <c r="GG3076"/>
      <c r="GH3076"/>
      <c r="GI3076"/>
      <c r="GJ3076"/>
      <c r="GK3076"/>
      <c r="GL3076"/>
      <c r="GM3076"/>
      <c r="GN3076"/>
      <c r="GO3076"/>
    </row>
    <row r="3077" spans="107:197">
      <c r="DC3077"/>
      <c r="FH3077"/>
      <c r="FI3077"/>
      <c r="FJ3077"/>
      <c r="FK3077"/>
      <c r="FL3077"/>
      <c r="FM3077"/>
      <c r="FN3077"/>
      <c r="FO3077"/>
      <c r="FP3077"/>
      <c r="FQ3077"/>
      <c r="FR3077"/>
      <c r="FS3077"/>
      <c r="FT3077"/>
      <c r="FU3077"/>
      <c r="FV3077"/>
      <c r="FW3077"/>
      <c r="FX3077"/>
      <c r="FY3077"/>
      <c r="FZ3077"/>
      <c r="GA3077"/>
      <c r="GB3077"/>
      <c r="GC3077"/>
      <c r="GD3077"/>
      <c r="GE3077"/>
      <c r="GF3077"/>
      <c r="GG3077"/>
      <c r="GH3077"/>
      <c r="GI3077"/>
      <c r="GJ3077"/>
      <c r="GK3077"/>
      <c r="GL3077"/>
      <c r="GM3077"/>
      <c r="GN3077"/>
      <c r="GO3077"/>
    </row>
    <row r="3078" spans="107:197">
      <c r="DC3078"/>
      <c r="FH3078"/>
      <c r="FI3078"/>
      <c r="FJ3078"/>
      <c r="FK3078"/>
      <c r="FL3078"/>
      <c r="FM3078"/>
      <c r="FN3078"/>
      <c r="FO3078"/>
      <c r="FP3078"/>
      <c r="FQ3078"/>
      <c r="FR3078"/>
      <c r="FS3078"/>
      <c r="FT3078"/>
      <c r="FU3078"/>
      <c r="FV3078"/>
      <c r="FW3078"/>
      <c r="FX3078"/>
      <c r="FY3078"/>
      <c r="FZ3078"/>
      <c r="GA3078"/>
      <c r="GB3078"/>
      <c r="GC3078"/>
      <c r="GD3078"/>
      <c r="GE3078"/>
      <c r="GF3078"/>
      <c r="GG3078"/>
      <c r="GH3078"/>
      <c r="GI3078"/>
      <c r="GJ3078"/>
      <c r="GK3078"/>
      <c r="GL3078"/>
      <c r="GM3078"/>
      <c r="GN3078"/>
      <c r="GO3078"/>
    </row>
    <row r="3079" spans="107:197">
      <c r="DC3079"/>
      <c r="FH3079"/>
      <c r="FI3079"/>
      <c r="FJ3079"/>
      <c r="FK3079"/>
      <c r="FL3079"/>
      <c r="FM3079"/>
      <c r="FN3079"/>
      <c r="FO3079"/>
      <c r="FP3079"/>
      <c r="FQ3079"/>
      <c r="FR3079"/>
      <c r="FS3079"/>
      <c r="FT3079"/>
      <c r="FU3079"/>
      <c r="FV3079"/>
      <c r="FW3079"/>
      <c r="FX3079"/>
      <c r="FY3079"/>
      <c r="FZ3079"/>
      <c r="GA3079"/>
      <c r="GB3079"/>
      <c r="GC3079"/>
      <c r="GD3079"/>
      <c r="GE3079"/>
      <c r="GF3079"/>
      <c r="GG3079"/>
      <c r="GH3079"/>
      <c r="GI3079"/>
      <c r="GJ3079"/>
      <c r="GK3079"/>
      <c r="GL3079"/>
      <c r="GM3079"/>
      <c r="GN3079"/>
      <c r="GO3079"/>
    </row>
    <row r="3080" spans="107:197">
      <c r="DC3080"/>
      <c r="FH3080"/>
      <c r="FI3080"/>
      <c r="FJ3080"/>
      <c r="FK3080"/>
      <c r="FL3080"/>
      <c r="FM3080"/>
      <c r="FN3080"/>
      <c r="FO3080"/>
      <c r="FP3080"/>
      <c r="FQ3080"/>
      <c r="FR3080"/>
      <c r="FS3080"/>
      <c r="FT3080"/>
      <c r="FU3080"/>
      <c r="FV3080"/>
      <c r="FW3080"/>
      <c r="FX3080"/>
      <c r="FY3080"/>
      <c r="FZ3080"/>
      <c r="GA3080"/>
      <c r="GB3080"/>
      <c r="GC3080"/>
      <c r="GD3080"/>
      <c r="GE3080"/>
      <c r="GF3080"/>
      <c r="GG3080"/>
      <c r="GH3080"/>
      <c r="GI3080"/>
      <c r="GJ3080"/>
      <c r="GK3080"/>
      <c r="GL3080"/>
      <c r="GM3080"/>
      <c r="GN3080"/>
      <c r="GO3080"/>
    </row>
    <row r="3081" spans="107:197">
      <c r="DC3081"/>
      <c r="FH3081"/>
      <c r="FI3081"/>
      <c r="FJ3081"/>
      <c r="FK3081"/>
      <c r="FL3081"/>
      <c r="FM3081"/>
      <c r="FN3081"/>
      <c r="FO3081"/>
      <c r="FP3081"/>
      <c r="FQ3081"/>
      <c r="FR3081"/>
      <c r="FS3081"/>
      <c r="FT3081"/>
      <c r="FU3081"/>
      <c r="FV3081"/>
      <c r="FW3081"/>
      <c r="FX3081"/>
      <c r="FY3081"/>
      <c r="FZ3081"/>
      <c r="GA3081"/>
      <c r="GB3081"/>
      <c r="GC3081"/>
      <c r="GD3081"/>
      <c r="GE3081"/>
      <c r="GF3081"/>
      <c r="GG3081"/>
      <c r="GH3081"/>
      <c r="GI3081"/>
      <c r="GJ3081"/>
      <c r="GK3081"/>
      <c r="GL3081"/>
      <c r="GM3081"/>
      <c r="GN3081"/>
      <c r="GO3081"/>
    </row>
    <row r="3082" spans="107:197">
      <c r="DC3082"/>
      <c r="FH3082"/>
      <c r="FI3082"/>
      <c r="FJ3082"/>
      <c r="FK3082"/>
      <c r="FL3082"/>
      <c r="FM3082"/>
      <c r="FN3082"/>
      <c r="FO3082"/>
      <c r="FP3082"/>
      <c r="FQ3082"/>
      <c r="FR3082"/>
      <c r="FS3082"/>
      <c r="FT3082"/>
      <c r="FU3082"/>
      <c r="FV3082"/>
      <c r="FW3082"/>
      <c r="FX3082"/>
      <c r="FY3082"/>
      <c r="FZ3082"/>
      <c r="GA3082"/>
      <c r="GB3082"/>
      <c r="GC3082"/>
      <c r="GD3082"/>
      <c r="GE3082"/>
      <c r="GF3082"/>
      <c r="GG3082"/>
      <c r="GH3082"/>
      <c r="GI3082"/>
      <c r="GJ3082"/>
      <c r="GK3082"/>
      <c r="GL3082"/>
      <c r="GM3082"/>
      <c r="GN3082"/>
      <c r="GO3082"/>
    </row>
    <row r="3083" spans="107:197">
      <c r="DC3083"/>
      <c r="FH3083"/>
      <c r="FI3083"/>
      <c r="FJ3083"/>
      <c r="FK3083"/>
      <c r="FL3083"/>
      <c r="FM3083"/>
      <c r="FN3083"/>
      <c r="FO3083"/>
      <c r="FP3083"/>
      <c r="FQ3083"/>
      <c r="FR3083"/>
      <c r="FS3083"/>
      <c r="FT3083"/>
      <c r="FU3083"/>
      <c r="FV3083"/>
      <c r="FW3083"/>
      <c r="FX3083"/>
      <c r="FY3083"/>
      <c r="FZ3083"/>
      <c r="GA3083"/>
      <c r="GB3083"/>
      <c r="GC3083"/>
      <c r="GD3083"/>
      <c r="GE3083"/>
      <c r="GF3083"/>
      <c r="GG3083"/>
      <c r="GH3083"/>
      <c r="GI3083"/>
      <c r="GJ3083"/>
      <c r="GK3083"/>
      <c r="GL3083"/>
      <c r="GM3083"/>
      <c r="GN3083"/>
      <c r="GO3083"/>
    </row>
    <row r="3084" spans="107:197">
      <c r="DC3084"/>
      <c r="FH3084"/>
      <c r="FI3084"/>
      <c r="FJ3084"/>
      <c r="FK3084"/>
      <c r="FL3084"/>
      <c r="FM3084"/>
      <c r="FN3084"/>
      <c r="FO3084"/>
      <c r="FP3084"/>
      <c r="FQ3084"/>
      <c r="FR3084"/>
      <c r="FS3084"/>
      <c r="FT3084"/>
      <c r="FU3084"/>
      <c r="FV3084"/>
      <c r="FW3084"/>
      <c r="FX3084"/>
      <c r="FY3084"/>
      <c r="FZ3084"/>
      <c r="GA3084"/>
      <c r="GB3084"/>
      <c r="GC3084"/>
      <c r="GD3084"/>
      <c r="GE3084"/>
      <c r="GF3084"/>
      <c r="GG3084"/>
      <c r="GH3084"/>
      <c r="GI3084"/>
      <c r="GJ3084"/>
      <c r="GK3084"/>
      <c r="GL3084"/>
      <c r="GM3084"/>
      <c r="GN3084"/>
      <c r="GO3084"/>
    </row>
    <row r="3085" spans="107:197">
      <c r="DC3085"/>
      <c r="FH3085"/>
      <c r="FI3085"/>
      <c r="FJ3085"/>
      <c r="FK3085"/>
      <c r="FL3085"/>
      <c r="FM3085"/>
      <c r="FN3085"/>
      <c r="FO3085"/>
      <c r="FP3085"/>
      <c r="FQ3085"/>
      <c r="FR3085"/>
      <c r="FS3085"/>
      <c r="FT3085"/>
      <c r="FU3085"/>
      <c r="FV3085"/>
      <c r="FW3085"/>
      <c r="FX3085"/>
      <c r="FY3085"/>
      <c r="FZ3085"/>
      <c r="GA3085"/>
      <c r="GB3085"/>
      <c r="GC3085"/>
      <c r="GD3085"/>
      <c r="GE3085"/>
      <c r="GF3085"/>
      <c r="GG3085"/>
      <c r="GH3085"/>
      <c r="GI3085"/>
      <c r="GJ3085"/>
      <c r="GK3085"/>
      <c r="GL3085"/>
      <c r="GM3085"/>
      <c r="GN3085"/>
      <c r="GO3085"/>
    </row>
    <row r="3086" spans="107:197">
      <c r="DC3086"/>
      <c r="FH3086"/>
      <c r="FI3086"/>
      <c r="FJ3086"/>
      <c r="FK3086"/>
      <c r="FL3086"/>
      <c r="FM3086"/>
      <c r="FN3086"/>
      <c r="FO3086"/>
      <c r="FP3086"/>
      <c r="FQ3086"/>
      <c r="FR3086"/>
      <c r="FS3086"/>
      <c r="FT3086"/>
      <c r="FU3086"/>
      <c r="FV3086"/>
      <c r="FW3086"/>
      <c r="FX3086"/>
      <c r="FY3086"/>
      <c r="FZ3086"/>
      <c r="GA3086"/>
      <c r="GB3086"/>
      <c r="GC3086"/>
      <c r="GD3086"/>
      <c r="GE3086"/>
      <c r="GF3086"/>
      <c r="GG3086"/>
      <c r="GH3086"/>
      <c r="GI3086"/>
      <c r="GJ3086"/>
      <c r="GK3086"/>
      <c r="GL3086"/>
      <c r="GM3086"/>
      <c r="GN3086"/>
      <c r="GO3086"/>
    </row>
    <row r="3087" spans="107:197">
      <c r="DC3087"/>
      <c r="FH3087"/>
      <c r="FI3087"/>
      <c r="FJ3087"/>
      <c r="FK3087"/>
      <c r="FL3087"/>
      <c r="FM3087"/>
      <c r="FN3087"/>
      <c r="FO3087"/>
      <c r="FP3087"/>
      <c r="FQ3087"/>
      <c r="FR3087"/>
      <c r="FS3087"/>
      <c r="FT3087"/>
      <c r="FU3087"/>
      <c r="FV3087"/>
      <c r="FW3087"/>
      <c r="FX3087"/>
      <c r="FY3087"/>
      <c r="FZ3087"/>
      <c r="GA3087"/>
      <c r="GB3087"/>
      <c r="GC3087"/>
      <c r="GD3087"/>
      <c r="GE3087"/>
      <c r="GF3087"/>
      <c r="GG3087"/>
      <c r="GH3087"/>
      <c r="GI3087"/>
      <c r="GJ3087"/>
      <c r="GK3087"/>
      <c r="GL3087"/>
      <c r="GM3087"/>
      <c r="GN3087"/>
      <c r="GO3087"/>
    </row>
    <row r="3088" spans="107:197">
      <c r="DC3088"/>
      <c r="FH3088"/>
      <c r="FI3088"/>
      <c r="FJ3088"/>
      <c r="FK3088"/>
      <c r="FL3088"/>
      <c r="FM3088"/>
      <c r="FN3088"/>
      <c r="FO3088"/>
      <c r="FP3088"/>
      <c r="FQ3088"/>
      <c r="FR3088"/>
      <c r="FS3088"/>
      <c r="FT3088"/>
      <c r="FU3088"/>
      <c r="FV3088"/>
      <c r="FW3088"/>
      <c r="FX3088"/>
      <c r="FY3088"/>
      <c r="FZ3088"/>
      <c r="GA3088"/>
      <c r="GB3088"/>
      <c r="GC3088"/>
      <c r="GD3088"/>
      <c r="GE3088"/>
      <c r="GF3088"/>
      <c r="GG3088"/>
      <c r="GH3088"/>
      <c r="GI3088"/>
      <c r="GJ3088"/>
      <c r="GK3088"/>
      <c r="GL3088"/>
      <c r="GM3088"/>
      <c r="GN3088"/>
      <c r="GO3088"/>
    </row>
    <row r="3089" spans="107:197">
      <c r="DC3089"/>
      <c r="FH3089"/>
      <c r="FI3089"/>
      <c r="FJ3089"/>
      <c r="FK3089"/>
      <c r="FL3089"/>
      <c r="FM3089"/>
      <c r="FN3089"/>
      <c r="FO3089"/>
      <c r="FP3089"/>
      <c r="FQ3089"/>
      <c r="FR3089"/>
      <c r="FS3089"/>
      <c r="FT3089"/>
      <c r="FU3089"/>
      <c r="FV3089"/>
      <c r="FW3089"/>
      <c r="FX3089"/>
      <c r="FY3089"/>
      <c r="FZ3089"/>
      <c r="GA3089"/>
      <c r="GB3089"/>
      <c r="GC3089"/>
      <c r="GD3089"/>
      <c r="GE3089"/>
      <c r="GF3089"/>
      <c r="GG3089"/>
      <c r="GH3089"/>
      <c r="GI3089"/>
      <c r="GJ3089"/>
      <c r="GK3089"/>
      <c r="GL3089"/>
      <c r="GM3089"/>
      <c r="GN3089"/>
      <c r="GO3089"/>
    </row>
    <row r="3090" spans="107:197">
      <c r="DC3090"/>
      <c r="FH3090"/>
      <c r="FI3090"/>
      <c r="FJ3090"/>
      <c r="FK3090"/>
      <c r="FL3090"/>
      <c r="FM3090"/>
      <c r="FN3090"/>
      <c r="FO3090"/>
      <c r="FP3090"/>
      <c r="FQ3090"/>
      <c r="FR3090"/>
      <c r="FS3090"/>
      <c r="FT3090"/>
      <c r="FU3090"/>
      <c r="FV3090"/>
      <c r="FW3090"/>
      <c r="FX3090"/>
      <c r="FY3090"/>
      <c r="FZ3090"/>
      <c r="GA3090"/>
      <c r="GB3090"/>
      <c r="GC3090"/>
      <c r="GD3090"/>
      <c r="GE3090"/>
      <c r="GF3090"/>
      <c r="GG3090"/>
      <c r="GH3090"/>
      <c r="GI3090"/>
      <c r="GJ3090"/>
      <c r="GK3090"/>
      <c r="GL3090"/>
      <c r="GM3090"/>
      <c r="GN3090"/>
      <c r="GO3090"/>
    </row>
    <row r="3091" spans="107:197">
      <c r="DC3091"/>
      <c r="FH3091"/>
      <c r="FI3091"/>
      <c r="FJ3091"/>
      <c r="FK3091"/>
      <c r="FL3091"/>
      <c r="FM3091"/>
      <c r="FN3091"/>
      <c r="FO3091"/>
      <c r="FP3091"/>
      <c r="FQ3091"/>
      <c r="FR3091"/>
      <c r="FS3091"/>
      <c r="FT3091"/>
      <c r="FU3091"/>
      <c r="FV3091"/>
      <c r="FW3091"/>
      <c r="FX3091"/>
      <c r="FY3091"/>
      <c r="FZ3091"/>
      <c r="GA3091"/>
      <c r="GB3091"/>
      <c r="GC3091"/>
      <c r="GD3091"/>
      <c r="GE3091"/>
      <c r="GF3091"/>
      <c r="GG3091"/>
      <c r="GH3091"/>
      <c r="GI3091"/>
      <c r="GJ3091"/>
      <c r="GK3091"/>
      <c r="GL3091"/>
      <c r="GM3091"/>
      <c r="GN3091"/>
      <c r="GO3091"/>
    </row>
    <row r="3092" spans="107:197">
      <c r="DC3092"/>
      <c r="FH3092"/>
      <c r="FI3092"/>
      <c r="FJ3092"/>
      <c r="FK3092"/>
      <c r="FL3092"/>
      <c r="FM3092"/>
      <c r="FN3092"/>
      <c r="FO3092"/>
      <c r="FP3092"/>
      <c r="FQ3092"/>
      <c r="FR3092"/>
      <c r="FS3092"/>
      <c r="FT3092"/>
      <c r="FU3092"/>
      <c r="FV3092"/>
      <c r="FW3092"/>
      <c r="FX3092"/>
      <c r="FY3092"/>
      <c r="FZ3092"/>
      <c r="GA3092"/>
      <c r="GB3092"/>
      <c r="GC3092"/>
      <c r="GD3092"/>
      <c r="GE3092"/>
      <c r="GF3092"/>
      <c r="GG3092"/>
      <c r="GH3092"/>
      <c r="GI3092"/>
      <c r="GJ3092"/>
      <c r="GK3092"/>
      <c r="GL3092"/>
      <c r="GM3092"/>
      <c r="GN3092"/>
      <c r="GO3092"/>
    </row>
    <row r="3093" spans="107:197">
      <c r="DC3093"/>
      <c r="FH3093"/>
      <c r="FI3093"/>
      <c r="FJ3093"/>
      <c r="FK3093"/>
      <c r="FL3093"/>
      <c r="FM3093"/>
      <c r="FN3093"/>
      <c r="FO3093"/>
      <c r="FP3093"/>
      <c r="FQ3093"/>
      <c r="FR3093"/>
      <c r="FS3093"/>
      <c r="FT3093"/>
      <c r="FU3093"/>
      <c r="FV3093"/>
      <c r="FW3093"/>
      <c r="FX3093"/>
      <c r="FY3093"/>
      <c r="FZ3093"/>
      <c r="GA3093"/>
      <c r="GB3093"/>
      <c r="GC3093"/>
      <c r="GD3093"/>
      <c r="GE3093"/>
      <c r="GF3093"/>
      <c r="GG3093"/>
      <c r="GH3093"/>
      <c r="GI3093"/>
      <c r="GJ3093"/>
      <c r="GK3093"/>
      <c r="GL3093"/>
      <c r="GM3093"/>
      <c r="GN3093"/>
      <c r="GO3093"/>
    </row>
    <row r="3094" spans="107:197">
      <c r="DC3094"/>
      <c r="FH3094"/>
      <c r="FI3094"/>
      <c r="FJ3094"/>
      <c r="FK3094"/>
      <c r="FL3094"/>
      <c r="FM3094"/>
      <c r="FN3094"/>
      <c r="FO3094"/>
      <c r="FP3094"/>
      <c r="FQ3094"/>
      <c r="FR3094"/>
      <c r="FS3094"/>
      <c r="FT3094"/>
      <c r="FU3094"/>
      <c r="FV3094"/>
      <c r="FW3094"/>
      <c r="FX3094"/>
      <c r="FY3094"/>
      <c r="FZ3094"/>
      <c r="GA3094"/>
      <c r="GB3094"/>
      <c r="GC3094"/>
      <c r="GD3094"/>
      <c r="GE3094"/>
      <c r="GF3094"/>
      <c r="GG3094"/>
      <c r="GH3094"/>
      <c r="GI3094"/>
      <c r="GJ3094"/>
      <c r="GK3094"/>
      <c r="GL3094"/>
      <c r="GM3094"/>
      <c r="GN3094"/>
      <c r="GO3094"/>
    </row>
    <row r="3095" spans="107:197">
      <c r="DC3095"/>
      <c r="FH3095"/>
      <c r="FI3095"/>
      <c r="FJ3095"/>
      <c r="FK3095"/>
      <c r="FL3095"/>
      <c r="FM3095"/>
      <c r="FN3095"/>
      <c r="FO3095"/>
      <c r="FP3095"/>
      <c r="FQ3095"/>
      <c r="FR3095"/>
      <c r="FS3095"/>
      <c r="FT3095"/>
      <c r="FU3095"/>
      <c r="FV3095"/>
      <c r="FW3095"/>
      <c r="FX3095"/>
      <c r="FY3095"/>
      <c r="FZ3095"/>
      <c r="GA3095"/>
      <c r="GB3095"/>
      <c r="GC3095"/>
      <c r="GD3095"/>
      <c r="GE3095"/>
      <c r="GF3095"/>
      <c r="GG3095"/>
      <c r="GH3095"/>
      <c r="GI3095"/>
      <c r="GJ3095"/>
      <c r="GK3095"/>
      <c r="GL3095"/>
      <c r="GM3095"/>
      <c r="GN3095"/>
      <c r="GO3095"/>
    </row>
    <row r="3096" spans="107:197">
      <c r="DC3096"/>
      <c r="FH3096"/>
      <c r="FI3096"/>
      <c r="FJ3096"/>
      <c r="FK3096"/>
      <c r="FL3096"/>
      <c r="FM3096"/>
      <c r="FN3096"/>
      <c r="FO3096"/>
      <c r="FP3096"/>
      <c r="FQ3096"/>
      <c r="FR3096"/>
      <c r="FS3096"/>
      <c r="FT3096"/>
      <c r="FU3096"/>
      <c r="FV3096"/>
      <c r="FW3096"/>
      <c r="FX3096"/>
      <c r="FY3096"/>
      <c r="FZ3096"/>
      <c r="GA3096"/>
      <c r="GB3096"/>
      <c r="GC3096"/>
      <c r="GD3096"/>
      <c r="GE3096"/>
      <c r="GF3096"/>
      <c r="GG3096"/>
      <c r="GH3096"/>
      <c r="GI3096"/>
      <c r="GJ3096"/>
      <c r="GK3096"/>
      <c r="GL3096"/>
      <c r="GM3096"/>
      <c r="GN3096"/>
      <c r="GO3096"/>
    </row>
    <row r="3097" spans="107:197">
      <c r="DC3097"/>
      <c r="FH3097"/>
      <c r="FI3097"/>
      <c r="FJ3097"/>
      <c r="FK3097"/>
      <c r="FL3097"/>
      <c r="FM3097"/>
      <c r="FN3097"/>
      <c r="FO3097"/>
      <c r="FP3097"/>
      <c r="FQ3097"/>
      <c r="FR3097"/>
      <c r="FS3097"/>
      <c r="FT3097"/>
      <c r="FU3097"/>
      <c r="FV3097"/>
      <c r="FW3097"/>
      <c r="FX3097"/>
      <c r="FY3097"/>
      <c r="FZ3097"/>
      <c r="GA3097"/>
      <c r="GB3097"/>
      <c r="GC3097"/>
      <c r="GD3097"/>
      <c r="GE3097"/>
      <c r="GF3097"/>
      <c r="GG3097"/>
      <c r="GH3097"/>
      <c r="GI3097"/>
      <c r="GJ3097"/>
      <c r="GK3097"/>
      <c r="GL3097"/>
      <c r="GM3097"/>
      <c r="GN3097"/>
      <c r="GO3097"/>
    </row>
    <row r="3098" spans="107:197">
      <c r="DC3098"/>
      <c r="FH3098"/>
      <c r="FI3098"/>
      <c r="FJ3098"/>
      <c r="FK3098"/>
      <c r="FL3098"/>
      <c r="FM3098"/>
      <c r="FN3098"/>
      <c r="FO3098"/>
      <c r="FP3098"/>
      <c r="FQ3098"/>
      <c r="FR3098"/>
      <c r="FS3098"/>
      <c r="FT3098"/>
      <c r="FU3098"/>
      <c r="FV3098"/>
      <c r="FW3098"/>
      <c r="FX3098"/>
      <c r="FY3098"/>
      <c r="FZ3098"/>
      <c r="GA3098"/>
      <c r="GB3098"/>
      <c r="GC3098"/>
      <c r="GD3098"/>
      <c r="GE3098"/>
      <c r="GF3098"/>
      <c r="GG3098"/>
      <c r="GH3098"/>
      <c r="GI3098"/>
      <c r="GJ3098"/>
      <c r="GK3098"/>
      <c r="GL3098"/>
      <c r="GM3098"/>
      <c r="GN3098"/>
      <c r="GO3098"/>
    </row>
    <row r="3099" spans="107:197">
      <c r="DC3099"/>
      <c r="FH3099"/>
      <c r="FI3099"/>
      <c r="FJ3099"/>
      <c r="FK3099"/>
      <c r="FL3099"/>
      <c r="FM3099"/>
      <c r="FN3099"/>
      <c r="FO3099"/>
      <c r="FP3099"/>
      <c r="FQ3099"/>
      <c r="FR3099"/>
      <c r="FS3099"/>
      <c r="FT3099"/>
      <c r="FU3099"/>
      <c r="FV3099"/>
      <c r="FW3099"/>
      <c r="FX3099"/>
      <c r="FY3099"/>
      <c r="FZ3099"/>
      <c r="GA3099"/>
      <c r="GB3099"/>
      <c r="GC3099"/>
      <c r="GD3099"/>
      <c r="GE3099"/>
      <c r="GF3099"/>
      <c r="GG3099"/>
      <c r="GH3099"/>
      <c r="GI3099"/>
      <c r="GJ3099"/>
      <c r="GK3099"/>
      <c r="GL3099"/>
      <c r="GM3099"/>
      <c r="GN3099"/>
      <c r="GO3099"/>
    </row>
    <row r="3100" spans="107:197">
      <c r="DC3100"/>
      <c r="FH3100"/>
      <c r="FI3100"/>
      <c r="FJ3100"/>
      <c r="FK3100"/>
      <c r="FL3100"/>
      <c r="FM3100"/>
      <c r="FN3100"/>
      <c r="FO3100"/>
      <c r="FP3100"/>
      <c r="FQ3100"/>
      <c r="FR3100"/>
      <c r="FS3100"/>
      <c r="FT3100"/>
      <c r="FU3100"/>
      <c r="FV3100"/>
      <c r="FW3100"/>
      <c r="FX3100"/>
      <c r="FY3100"/>
      <c r="FZ3100"/>
      <c r="GA3100"/>
      <c r="GB3100"/>
      <c r="GC3100"/>
      <c r="GD3100"/>
      <c r="GE3100"/>
      <c r="GF3100"/>
      <c r="GG3100"/>
      <c r="GH3100"/>
      <c r="GI3100"/>
      <c r="GJ3100"/>
      <c r="GK3100"/>
      <c r="GL3100"/>
      <c r="GM3100"/>
      <c r="GN3100"/>
      <c r="GO3100"/>
    </row>
    <row r="3101" spans="107:197">
      <c r="DC3101"/>
      <c r="FH3101"/>
      <c r="FI3101"/>
      <c r="FJ3101"/>
      <c r="FK3101"/>
      <c r="FL3101"/>
      <c r="FM3101"/>
      <c r="FN3101"/>
      <c r="FO3101"/>
      <c r="FP3101"/>
      <c r="FQ3101"/>
      <c r="FR3101"/>
      <c r="FS3101"/>
      <c r="FT3101"/>
      <c r="FU3101"/>
      <c r="FV3101"/>
      <c r="FW3101"/>
      <c r="FX3101"/>
      <c r="FY3101"/>
      <c r="FZ3101"/>
      <c r="GA3101"/>
      <c r="GB3101"/>
      <c r="GC3101"/>
      <c r="GD3101"/>
      <c r="GE3101"/>
      <c r="GF3101"/>
      <c r="GG3101"/>
      <c r="GH3101"/>
      <c r="GI3101"/>
      <c r="GJ3101"/>
      <c r="GK3101"/>
      <c r="GL3101"/>
      <c r="GM3101"/>
      <c r="GN3101"/>
      <c r="GO3101"/>
    </row>
    <row r="3102" spans="107:197">
      <c r="DC3102"/>
      <c r="FH3102"/>
      <c r="FI3102"/>
      <c r="FJ3102"/>
      <c r="FK3102"/>
      <c r="FL3102"/>
      <c r="FM3102"/>
      <c r="FN3102"/>
      <c r="FO3102"/>
      <c r="FP3102"/>
      <c r="FQ3102"/>
      <c r="FR3102"/>
      <c r="FS3102"/>
      <c r="FT3102"/>
      <c r="FU3102"/>
      <c r="FV3102"/>
      <c r="FW3102"/>
      <c r="FX3102"/>
      <c r="FY3102"/>
      <c r="FZ3102"/>
      <c r="GA3102"/>
      <c r="GB3102"/>
      <c r="GC3102"/>
      <c r="GD3102"/>
      <c r="GE3102"/>
      <c r="GF3102"/>
      <c r="GG3102"/>
      <c r="GH3102"/>
      <c r="GI3102"/>
      <c r="GJ3102"/>
      <c r="GK3102"/>
      <c r="GL3102"/>
      <c r="GM3102"/>
      <c r="GN3102"/>
      <c r="GO3102"/>
    </row>
    <row r="3103" spans="107:197">
      <c r="DC3103"/>
      <c r="FH3103"/>
      <c r="FI3103"/>
      <c r="FJ3103"/>
      <c r="FK3103"/>
      <c r="FL3103"/>
      <c r="FM3103"/>
      <c r="FN3103"/>
      <c r="FO3103"/>
      <c r="FP3103"/>
      <c r="FQ3103"/>
      <c r="FR3103"/>
      <c r="FS3103"/>
      <c r="FT3103"/>
      <c r="FU3103"/>
      <c r="FV3103"/>
      <c r="FW3103"/>
      <c r="FX3103"/>
      <c r="FY3103"/>
      <c r="FZ3103"/>
      <c r="GA3103"/>
      <c r="GB3103"/>
      <c r="GC3103"/>
      <c r="GD3103"/>
      <c r="GE3103"/>
      <c r="GF3103"/>
      <c r="GG3103"/>
      <c r="GH3103"/>
      <c r="GI3103"/>
      <c r="GJ3103"/>
      <c r="GK3103"/>
      <c r="GL3103"/>
      <c r="GM3103"/>
      <c r="GN3103"/>
      <c r="GO3103"/>
    </row>
    <row r="3104" spans="107:197">
      <c r="DC3104"/>
      <c r="FH3104"/>
      <c r="FI3104"/>
      <c r="FJ3104"/>
      <c r="FK3104"/>
      <c r="FL3104"/>
      <c r="FM3104"/>
      <c r="FN3104"/>
      <c r="FO3104"/>
      <c r="FP3104"/>
      <c r="FQ3104"/>
      <c r="FR3104"/>
      <c r="FS3104"/>
      <c r="FT3104"/>
      <c r="FU3104"/>
      <c r="FV3104"/>
      <c r="FW3104"/>
      <c r="FX3104"/>
      <c r="FY3104"/>
      <c r="FZ3104"/>
      <c r="GA3104"/>
      <c r="GB3104"/>
      <c r="GC3104"/>
      <c r="GD3104"/>
      <c r="GE3104"/>
      <c r="GF3104"/>
      <c r="GG3104"/>
      <c r="GH3104"/>
      <c r="GI3104"/>
      <c r="GJ3104"/>
      <c r="GK3104"/>
      <c r="GL3104"/>
      <c r="GM3104"/>
      <c r="GN3104"/>
      <c r="GO3104"/>
    </row>
    <row r="3105" spans="107:197">
      <c r="DC3105"/>
      <c r="FH3105"/>
      <c r="FI3105"/>
      <c r="FJ3105"/>
      <c r="FK3105"/>
      <c r="FL3105"/>
      <c r="FM3105"/>
      <c r="FN3105"/>
      <c r="FO3105"/>
      <c r="FP3105"/>
      <c r="FQ3105"/>
      <c r="FR3105"/>
      <c r="FS3105"/>
      <c r="FT3105"/>
      <c r="FU3105"/>
      <c r="FV3105"/>
      <c r="FW3105"/>
      <c r="FX3105"/>
      <c r="FY3105"/>
      <c r="FZ3105"/>
      <c r="GA3105"/>
      <c r="GB3105"/>
      <c r="GC3105"/>
      <c r="GD3105"/>
      <c r="GE3105"/>
      <c r="GF3105"/>
      <c r="GG3105"/>
      <c r="GH3105"/>
      <c r="GI3105"/>
      <c r="GJ3105"/>
      <c r="GK3105"/>
      <c r="GL3105"/>
      <c r="GM3105"/>
      <c r="GN3105"/>
      <c r="GO3105"/>
    </row>
    <row r="3106" spans="107:197">
      <c r="DC3106"/>
      <c r="FH3106"/>
      <c r="FI3106"/>
      <c r="FJ3106"/>
      <c r="FK3106"/>
      <c r="FL3106"/>
      <c r="FM3106"/>
      <c r="FN3106"/>
      <c r="FO3106"/>
      <c r="FP3106"/>
      <c r="FQ3106"/>
      <c r="FR3106"/>
      <c r="FS3106"/>
      <c r="FT3106"/>
      <c r="FU3106"/>
      <c r="FV3106"/>
      <c r="FW3106"/>
      <c r="FX3106"/>
      <c r="FY3106"/>
      <c r="FZ3106"/>
      <c r="GA3106"/>
      <c r="GB3106"/>
      <c r="GC3106"/>
      <c r="GD3106"/>
      <c r="GE3106"/>
      <c r="GF3106"/>
      <c r="GG3106"/>
      <c r="GH3106"/>
      <c r="GI3106"/>
      <c r="GJ3106"/>
      <c r="GK3106"/>
      <c r="GL3106"/>
      <c r="GM3106"/>
      <c r="GN3106"/>
      <c r="GO3106"/>
    </row>
    <row r="3107" spans="107:197">
      <c r="DC3107"/>
      <c r="FH3107"/>
      <c r="FI3107"/>
      <c r="FJ3107"/>
      <c r="FK3107"/>
      <c r="FL3107"/>
      <c r="FM3107"/>
      <c r="FN3107"/>
      <c r="FO3107"/>
      <c r="FP3107"/>
      <c r="FQ3107"/>
      <c r="FR3107"/>
      <c r="FS3107"/>
      <c r="FT3107"/>
      <c r="FU3107"/>
      <c r="FV3107"/>
      <c r="FW3107"/>
      <c r="FX3107"/>
      <c r="FY3107"/>
      <c r="FZ3107"/>
      <c r="GA3107"/>
      <c r="GB3107"/>
      <c r="GC3107"/>
      <c r="GD3107"/>
      <c r="GE3107"/>
      <c r="GF3107"/>
      <c r="GG3107"/>
      <c r="GH3107"/>
      <c r="GI3107"/>
      <c r="GJ3107"/>
      <c r="GK3107"/>
      <c r="GL3107"/>
      <c r="GM3107"/>
      <c r="GN3107"/>
      <c r="GO3107"/>
    </row>
    <row r="3108" spans="107:197">
      <c r="DC3108"/>
      <c r="FH3108"/>
      <c r="FI3108"/>
      <c r="FJ3108"/>
      <c r="FK3108"/>
      <c r="FL3108"/>
      <c r="FM3108"/>
      <c r="FN3108"/>
      <c r="FO3108"/>
      <c r="FP3108"/>
      <c r="FQ3108"/>
      <c r="FR3108"/>
      <c r="FS3108"/>
      <c r="FT3108"/>
      <c r="FU3108"/>
      <c r="FV3108"/>
      <c r="FW3108"/>
      <c r="FX3108"/>
      <c r="FY3108"/>
      <c r="FZ3108"/>
      <c r="GA3108"/>
      <c r="GB3108"/>
      <c r="GC3108"/>
      <c r="GD3108"/>
      <c r="GE3108"/>
      <c r="GF3108"/>
      <c r="GG3108"/>
      <c r="GH3108"/>
      <c r="GI3108"/>
      <c r="GJ3108"/>
      <c r="GK3108"/>
      <c r="GL3108"/>
      <c r="GM3108"/>
      <c r="GN3108"/>
      <c r="GO3108"/>
    </row>
    <row r="3109" spans="107:197">
      <c r="DC3109"/>
      <c r="FH3109"/>
      <c r="FI3109"/>
      <c r="FJ3109"/>
      <c r="FK3109"/>
      <c r="FL3109"/>
      <c r="FM3109"/>
      <c r="FN3109"/>
      <c r="FO3109"/>
      <c r="FP3109"/>
      <c r="FQ3109"/>
      <c r="FR3109"/>
      <c r="FS3109"/>
      <c r="FT3109"/>
      <c r="FU3109"/>
      <c r="FV3109"/>
      <c r="FW3109"/>
      <c r="FX3109"/>
      <c r="FY3109"/>
      <c r="FZ3109"/>
      <c r="GA3109"/>
      <c r="GB3109"/>
      <c r="GC3109"/>
      <c r="GD3109"/>
      <c r="GE3109"/>
      <c r="GF3109"/>
      <c r="GG3109"/>
      <c r="GH3109"/>
      <c r="GI3109"/>
      <c r="GJ3109"/>
      <c r="GK3109"/>
      <c r="GL3109"/>
      <c r="GM3109"/>
      <c r="GN3109"/>
      <c r="GO3109"/>
    </row>
    <row r="3110" spans="107:197">
      <c r="DC3110"/>
      <c r="FH3110"/>
      <c r="FI3110"/>
      <c r="FJ3110"/>
      <c r="FK3110"/>
      <c r="FL3110"/>
      <c r="FM3110"/>
      <c r="FN3110"/>
      <c r="FO3110"/>
      <c r="FP3110"/>
      <c r="FQ3110"/>
      <c r="FR3110"/>
      <c r="FS3110"/>
      <c r="FT3110"/>
      <c r="FU3110"/>
      <c r="FV3110"/>
      <c r="FW3110"/>
      <c r="FX3110"/>
      <c r="FY3110"/>
      <c r="FZ3110"/>
      <c r="GA3110"/>
      <c r="GB3110"/>
      <c r="GC3110"/>
      <c r="GD3110"/>
      <c r="GE3110"/>
      <c r="GF3110"/>
      <c r="GG3110"/>
      <c r="GH3110"/>
      <c r="GI3110"/>
      <c r="GJ3110"/>
      <c r="GK3110"/>
      <c r="GL3110"/>
      <c r="GM3110"/>
      <c r="GN3110"/>
      <c r="GO3110"/>
    </row>
    <row r="3111" spans="107:197">
      <c r="DC3111"/>
      <c r="FH3111"/>
      <c r="FI3111"/>
      <c r="FJ3111"/>
      <c r="FK3111"/>
      <c r="FL3111"/>
      <c r="FM3111"/>
      <c r="FN3111"/>
      <c r="FO3111"/>
      <c r="FP3111"/>
      <c r="FQ3111"/>
      <c r="FR3111"/>
      <c r="FS3111"/>
      <c r="FT3111"/>
      <c r="FU3111"/>
      <c r="FV3111"/>
      <c r="FW3111"/>
      <c r="FX3111"/>
      <c r="FY3111"/>
      <c r="FZ3111"/>
      <c r="GA3111"/>
      <c r="GB3111"/>
      <c r="GC3111"/>
      <c r="GD3111"/>
      <c r="GE3111"/>
      <c r="GF3111"/>
      <c r="GG3111"/>
      <c r="GH3111"/>
      <c r="GI3111"/>
      <c r="GJ3111"/>
      <c r="GK3111"/>
      <c r="GL3111"/>
      <c r="GM3111"/>
      <c r="GN3111"/>
      <c r="GO3111"/>
    </row>
    <row r="3112" spans="107:197">
      <c r="DC3112"/>
      <c r="FH3112"/>
      <c r="FI3112"/>
      <c r="FJ3112"/>
      <c r="FK3112"/>
      <c r="FL3112"/>
      <c r="FM3112"/>
      <c r="FN3112"/>
      <c r="FO3112"/>
      <c r="FP3112"/>
      <c r="FQ3112"/>
      <c r="FR3112"/>
      <c r="FS3112"/>
      <c r="FT3112"/>
      <c r="FU3112"/>
      <c r="FV3112"/>
      <c r="FW3112"/>
      <c r="FX3112"/>
      <c r="FY3112"/>
      <c r="FZ3112"/>
      <c r="GA3112"/>
      <c r="GB3112"/>
      <c r="GC3112"/>
      <c r="GD3112"/>
      <c r="GE3112"/>
      <c r="GF3112"/>
      <c r="GG3112"/>
      <c r="GH3112"/>
      <c r="GI3112"/>
      <c r="GJ3112"/>
      <c r="GK3112"/>
      <c r="GL3112"/>
      <c r="GM3112"/>
      <c r="GN3112"/>
      <c r="GO3112"/>
    </row>
    <row r="3113" spans="107:197">
      <c r="DC3113"/>
      <c r="FH3113"/>
      <c r="FI3113"/>
      <c r="FJ3113"/>
      <c r="FK3113"/>
      <c r="FL3113"/>
      <c r="FM3113"/>
      <c r="FN3113"/>
      <c r="FO3113"/>
      <c r="FP3113"/>
      <c r="FQ3113"/>
      <c r="FR3113"/>
      <c r="FS3113"/>
      <c r="FT3113"/>
      <c r="FU3113"/>
      <c r="FV3113"/>
      <c r="FW3113"/>
      <c r="FX3113"/>
      <c r="FY3113"/>
      <c r="FZ3113"/>
      <c r="GA3113"/>
      <c r="GB3113"/>
      <c r="GC3113"/>
      <c r="GD3113"/>
      <c r="GE3113"/>
      <c r="GF3113"/>
      <c r="GG3113"/>
      <c r="GH3113"/>
      <c r="GI3113"/>
      <c r="GJ3113"/>
      <c r="GK3113"/>
      <c r="GL3113"/>
      <c r="GM3113"/>
      <c r="GN3113"/>
      <c r="GO3113"/>
    </row>
    <row r="3114" spans="107:197">
      <c r="DC3114"/>
      <c r="FH3114"/>
      <c r="FI3114"/>
      <c r="FJ3114"/>
      <c r="FK3114"/>
      <c r="FL3114"/>
      <c r="FM3114"/>
      <c r="FN3114"/>
      <c r="FO3114"/>
      <c r="FP3114"/>
      <c r="FQ3114"/>
      <c r="FR3114"/>
      <c r="FS3114"/>
      <c r="FT3114"/>
      <c r="FU3114"/>
      <c r="FV3114"/>
      <c r="FW3114"/>
      <c r="FX3114"/>
      <c r="FY3114"/>
      <c r="FZ3114"/>
      <c r="GA3114"/>
      <c r="GB3114"/>
      <c r="GC3114"/>
      <c r="GD3114"/>
      <c r="GE3114"/>
      <c r="GF3114"/>
      <c r="GG3114"/>
      <c r="GH3114"/>
      <c r="GI3114"/>
      <c r="GJ3114"/>
      <c r="GK3114"/>
      <c r="GL3114"/>
      <c r="GM3114"/>
      <c r="GN3114"/>
      <c r="GO3114"/>
    </row>
    <row r="3115" spans="107:197">
      <c r="DC3115"/>
      <c r="FH3115"/>
      <c r="FI3115"/>
      <c r="FJ3115"/>
      <c r="FK3115"/>
      <c r="FL3115"/>
      <c r="FM3115"/>
      <c r="FN3115"/>
      <c r="FO3115"/>
      <c r="FP3115"/>
      <c r="FQ3115"/>
      <c r="FR3115"/>
      <c r="FS3115"/>
      <c r="FT3115"/>
      <c r="FU3115"/>
      <c r="FV3115"/>
      <c r="FW3115"/>
      <c r="FX3115"/>
      <c r="FY3115"/>
      <c r="FZ3115"/>
      <c r="GA3115"/>
      <c r="GB3115"/>
      <c r="GC3115"/>
      <c r="GD3115"/>
      <c r="GE3115"/>
      <c r="GF3115"/>
      <c r="GG3115"/>
      <c r="GH3115"/>
      <c r="GI3115"/>
      <c r="GJ3115"/>
      <c r="GK3115"/>
      <c r="GL3115"/>
      <c r="GM3115"/>
      <c r="GN3115"/>
      <c r="GO3115"/>
    </row>
    <row r="3116" spans="107:197">
      <c r="DC3116"/>
      <c r="FH3116"/>
      <c r="FI3116"/>
      <c r="FJ3116"/>
      <c r="FK3116"/>
      <c r="FL3116"/>
      <c r="FM3116"/>
      <c r="FN3116"/>
      <c r="FO3116"/>
      <c r="FP3116"/>
      <c r="FQ3116"/>
      <c r="FR3116"/>
      <c r="FS3116"/>
      <c r="FT3116"/>
      <c r="FU3116"/>
      <c r="FV3116"/>
      <c r="FW3116"/>
      <c r="FX3116"/>
      <c r="FY3116"/>
      <c r="FZ3116"/>
      <c r="GA3116"/>
      <c r="GB3116"/>
      <c r="GC3116"/>
      <c r="GD3116"/>
      <c r="GE3116"/>
      <c r="GF3116"/>
      <c r="GG3116"/>
      <c r="GH3116"/>
      <c r="GI3116"/>
      <c r="GJ3116"/>
      <c r="GK3116"/>
      <c r="GL3116"/>
      <c r="GM3116"/>
      <c r="GN3116"/>
      <c r="GO3116"/>
    </row>
    <row r="3117" spans="107:197">
      <c r="DC3117"/>
      <c r="FH3117"/>
      <c r="FI3117"/>
      <c r="FJ3117"/>
      <c r="FK3117"/>
      <c r="FL3117"/>
      <c r="FM3117"/>
      <c r="FN3117"/>
      <c r="FO3117"/>
      <c r="FP3117"/>
      <c r="FQ3117"/>
      <c r="FR3117"/>
      <c r="FS3117"/>
      <c r="FT3117"/>
      <c r="FU3117"/>
      <c r="FV3117"/>
      <c r="FW3117"/>
      <c r="FX3117"/>
      <c r="FY3117"/>
      <c r="FZ3117"/>
      <c r="GA3117"/>
      <c r="GB3117"/>
      <c r="GC3117"/>
      <c r="GD3117"/>
      <c r="GE3117"/>
      <c r="GF3117"/>
      <c r="GG3117"/>
      <c r="GH3117"/>
      <c r="GI3117"/>
      <c r="GJ3117"/>
      <c r="GK3117"/>
      <c r="GL3117"/>
      <c r="GM3117"/>
      <c r="GN3117"/>
      <c r="GO3117"/>
    </row>
    <row r="3118" spans="107:197">
      <c r="DC3118"/>
      <c r="FH3118"/>
      <c r="FI3118"/>
      <c r="FJ3118"/>
      <c r="FK3118"/>
      <c r="FL3118"/>
      <c r="FM3118"/>
      <c r="FN3118"/>
      <c r="FO3118"/>
      <c r="FP3118"/>
      <c r="FQ3118"/>
      <c r="FR3118"/>
      <c r="FS3118"/>
      <c r="FT3118"/>
      <c r="FU3118"/>
      <c r="FV3118"/>
      <c r="FW3118"/>
      <c r="FX3118"/>
      <c r="FY3118"/>
      <c r="FZ3118"/>
      <c r="GA3118"/>
      <c r="GB3118"/>
      <c r="GC3118"/>
      <c r="GD3118"/>
      <c r="GE3118"/>
      <c r="GF3118"/>
      <c r="GG3118"/>
      <c r="GH3118"/>
      <c r="GI3118"/>
      <c r="GJ3118"/>
      <c r="GK3118"/>
      <c r="GL3118"/>
      <c r="GM3118"/>
      <c r="GN3118"/>
      <c r="GO3118"/>
    </row>
    <row r="3119" spans="107:197">
      <c r="DC3119"/>
      <c r="FH3119"/>
      <c r="FI3119"/>
      <c r="FJ3119"/>
      <c r="FK3119"/>
      <c r="FL3119"/>
      <c r="FM3119"/>
      <c r="FN3119"/>
      <c r="FO3119"/>
      <c r="FP3119"/>
      <c r="FQ3119"/>
      <c r="FR3119"/>
      <c r="FS3119"/>
      <c r="FT3119"/>
      <c r="FU3119"/>
      <c r="FV3119"/>
      <c r="FW3119"/>
      <c r="FX3119"/>
      <c r="FY3119"/>
      <c r="FZ3119"/>
      <c r="GA3119"/>
      <c r="GB3119"/>
      <c r="GC3119"/>
      <c r="GD3119"/>
      <c r="GE3119"/>
      <c r="GF3119"/>
      <c r="GG3119"/>
      <c r="GH3119"/>
      <c r="GI3119"/>
      <c r="GJ3119"/>
      <c r="GK3119"/>
      <c r="GL3119"/>
      <c r="GM3119"/>
      <c r="GN3119"/>
      <c r="GO3119"/>
    </row>
    <row r="3120" spans="107:197">
      <c r="DC3120"/>
      <c r="FH3120"/>
      <c r="FI3120"/>
      <c r="FJ3120"/>
      <c r="FK3120"/>
      <c r="FL3120"/>
      <c r="FM3120"/>
      <c r="FN3120"/>
      <c r="FO3120"/>
      <c r="FP3120"/>
      <c r="FQ3120"/>
      <c r="FR3120"/>
      <c r="FS3120"/>
      <c r="FT3120"/>
      <c r="FU3120"/>
      <c r="FV3120"/>
      <c r="FW3120"/>
      <c r="FX3120"/>
      <c r="FY3120"/>
      <c r="FZ3120"/>
      <c r="GA3120"/>
      <c r="GB3120"/>
      <c r="GC3120"/>
      <c r="GD3120"/>
      <c r="GE3120"/>
      <c r="GF3120"/>
      <c r="GG3120"/>
      <c r="GH3120"/>
      <c r="GI3120"/>
      <c r="GJ3120"/>
      <c r="GK3120"/>
      <c r="GL3120"/>
      <c r="GM3120"/>
      <c r="GN3120"/>
      <c r="GO3120"/>
    </row>
    <row r="3121" spans="107:197">
      <c r="DC3121"/>
      <c r="FH3121"/>
      <c r="FI3121"/>
      <c r="FJ3121"/>
      <c r="FK3121"/>
      <c r="FL3121"/>
      <c r="FM3121"/>
      <c r="FN3121"/>
      <c r="FO3121"/>
      <c r="FP3121"/>
      <c r="FQ3121"/>
      <c r="FR3121"/>
      <c r="FS3121"/>
      <c r="FT3121"/>
      <c r="FU3121"/>
      <c r="FV3121"/>
      <c r="FW3121"/>
      <c r="FX3121"/>
      <c r="FY3121"/>
      <c r="FZ3121"/>
      <c r="GA3121"/>
      <c r="GB3121"/>
      <c r="GC3121"/>
      <c r="GD3121"/>
      <c r="GE3121"/>
      <c r="GF3121"/>
      <c r="GG3121"/>
      <c r="GH3121"/>
      <c r="GI3121"/>
      <c r="GJ3121"/>
      <c r="GK3121"/>
      <c r="GL3121"/>
      <c r="GM3121"/>
      <c r="GN3121"/>
      <c r="GO3121"/>
    </row>
    <row r="3122" spans="107:197">
      <c r="DC3122"/>
      <c r="FH3122"/>
      <c r="FI3122"/>
      <c r="FJ3122"/>
      <c r="FK3122"/>
      <c r="FL3122"/>
      <c r="FM3122"/>
      <c r="FN3122"/>
      <c r="FO3122"/>
      <c r="FP3122"/>
      <c r="FQ3122"/>
      <c r="FR3122"/>
      <c r="FS3122"/>
      <c r="FT3122"/>
      <c r="FU3122"/>
      <c r="FV3122"/>
      <c r="FW3122"/>
      <c r="FX3122"/>
      <c r="FY3122"/>
      <c r="FZ3122"/>
      <c r="GA3122"/>
      <c r="GB3122"/>
      <c r="GC3122"/>
      <c r="GD3122"/>
      <c r="GE3122"/>
      <c r="GF3122"/>
      <c r="GG3122"/>
      <c r="GH3122"/>
      <c r="GI3122"/>
      <c r="GJ3122"/>
      <c r="GK3122"/>
      <c r="GL3122"/>
      <c r="GM3122"/>
      <c r="GN3122"/>
      <c r="GO3122"/>
    </row>
    <row r="3123" spans="107:197">
      <c r="DC3123"/>
      <c r="FH3123"/>
      <c r="FI3123"/>
      <c r="FJ3123"/>
      <c r="FK3123"/>
      <c r="FL3123"/>
      <c r="FM3123"/>
      <c r="FN3123"/>
      <c r="FO3123"/>
      <c r="FP3123"/>
      <c r="FQ3123"/>
      <c r="FR3123"/>
      <c r="FS3123"/>
      <c r="FT3123"/>
      <c r="FU3123"/>
      <c r="FV3123"/>
      <c r="FW3123"/>
      <c r="FX3123"/>
      <c r="FY3123"/>
      <c r="FZ3123"/>
      <c r="GA3123"/>
      <c r="GB3123"/>
      <c r="GC3123"/>
      <c r="GD3123"/>
      <c r="GE3123"/>
      <c r="GF3123"/>
      <c r="GG3123"/>
      <c r="GH3123"/>
      <c r="GI3123"/>
      <c r="GJ3123"/>
      <c r="GK3123"/>
      <c r="GL3123"/>
      <c r="GM3123"/>
      <c r="GN3123"/>
      <c r="GO3123"/>
    </row>
    <row r="3124" spans="107:197">
      <c r="DC3124"/>
      <c r="FH3124"/>
      <c r="FI3124"/>
      <c r="FJ3124"/>
      <c r="FK3124"/>
      <c r="FL3124"/>
      <c r="FM3124"/>
      <c r="FN3124"/>
      <c r="FO3124"/>
      <c r="FP3124"/>
      <c r="FQ3124"/>
      <c r="FR3124"/>
      <c r="FS3124"/>
      <c r="FT3124"/>
      <c r="FU3124"/>
      <c r="FV3124"/>
      <c r="FW3124"/>
      <c r="FX3124"/>
      <c r="FY3124"/>
      <c r="FZ3124"/>
      <c r="GA3124"/>
      <c r="GB3124"/>
      <c r="GC3124"/>
      <c r="GD3124"/>
      <c r="GE3124"/>
      <c r="GF3124"/>
      <c r="GG3124"/>
      <c r="GH3124"/>
      <c r="GI3124"/>
      <c r="GJ3124"/>
      <c r="GK3124"/>
      <c r="GL3124"/>
      <c r="GM3124"/>
      <c r="GN3124"/>
      <c r="GO3124"/>
    </row>
    <row r="3125" spans="107:197">
      <c r="DC3125"/>
      <c r="FH3125"/>
      <c r="FI3125"/>
      <c r="FJ3125"/>
      <c r="FK3125"/>
      <c r="FL3125"/>
      <c r="FM3125"/>
      <c r="FN3125"/>
      <c r="FO3125"/>
      <c r="FP3125"/>
      <c r="FQ3125"/>
      <c r="FR3125"/>
      <c r="FS3125"/>
      <c r="FT3125"/>
      <c r="FU3125"/>
      <c r="FV3125"/>
      <c r="FW3125"/>
      <c r="FX3125"/>
      <c r="FY3125"/>
      <c r="FZ3125"/>
      <c r="GA3125"/>
      <c r="GB3125"/>
      <c r="GC3125"/>
      <c r="GD3125"/>
      <c r="GE3125"/>
      <c r="GF3125"/>
      <c r="GG3125"/>
      <c r="GH3125"/>
      <c r="GI3125"/>
      <c r="GJ3125"/>
      <c r="GK3125"/>
      <c r="GL3125"/>
      <c r="GM3125"/>
      <c r="GN3125"/>
      <c r="GO3125"/>
    </row>
    <row r="3126" spans="107:197">
      <c r="DC3126"/>
      <c r="FH3126"/>
      <c r="FI3126"/>
      <c r="FJ3126"/>
      <c r="FK3126"/>
      <c r="FL3126"/>
      <c r="FM3126"/>
      <c r="FN3126"/>
      <c r="FO3126"/>
      <c r="FP3126"/>
      <c r="FQ3126"/>
      <c r="FR3126"/>
      <c r="FS3126"/>
      <c r="FT3126"/>
      <c r="FU3126"/>
      <c r="FV3126"/>
      <c r="FW3126"/>
      <c r="FX3126"/>
      <c r="FY3126"/>
      <c r="FZ3126"/>
      <c r="GA3126"/>
      <c r="GB3126"/>
      <c r="GC3126"/>
      <c r="GD3126"/>
      <c r="GE3126"/>
      <c r="GF3126"/>
      <c r="GG3126"/>
      <c r="GH3126"/>
      <c r="GI3126"/>
      <c r="GJ3126"/>
      <c r="GK3126"/>
      <c r="GL3126"/>
      <c r="GM3126"/>
      <c r="GN3126"/>
      <c r="GO3126"/>
    </row>
    <row r="3127" spans="107:197">
      <c r="DC3127"/>
      <c r="FH3127"/>
      <c r="FI3127"/>
      <c r="FJ3127"/>
      <c r="FK3127"/>
      <c r="FL3127"/>
      <c r="FM3127"/>
      <c r="FN3127"/>
      <c r="FO3127"/>
      <c r="FP3127"/>
      <c r="FQ3127"/>
      <c r="FR3127"/>
      <c r="FS3127"/>
      <c r="FT3127"/>
      <c r="FU3127"/>
      <c r="FV3127"/>
      <c r="FW3127"/>
      <c r="FX3127"/>
      <c r="FY3127"/>
      <c r="FZ3127"/>
      <c r="GA3127"/>
      <c r="GB3127"/>
      <c r="GC3127"/>
      <c r="GD3127"/>
      <c r="GE3127"/>
      <c r="GF3127"/>
      <c r="GG3127"/>
      <c r="GH3127"/>
      <c r="GI3127"/>
      <c r="GJ3127"/>
      <c r="GK3127"/>
      <c r="GL3127"/>
      <c r="GM3127"/>
      <c r="GN3127"/>
      <c r="GO3127"/>
    </row>
    <row r="3128" spans="107:197">
      <c r="DC3128"/>
      <c r="FH3128"/>
      <c r="FI3128"/>
      <c r="FJ3128"/>
      <c r="FK3128"/>
      <c r="FL3128"/>
      <c r="FM3128"/>
      <c r="FN3128"/>
      <c r="FO3128"/>
      <c r="FP3128"/>
      <c r="FQ3128"/>
      <c r="FR3128"/>
      <c r="FS3128"/>
      <c r="FT3128"/>
      <c r="FU3128"/>
      <c r="FV3128"/>
      <c r="FW3128"/>
      <c r="FX3128"/>
      <c r="FY3128"/>
      <c r="FZ3128"/>
      <c r="GA3128"/>
      <c r="GB3128"/>
      <c r="GC3128"/>
      <c r="GD3128"/>
      <c r="GE3128"/>
      <c r="GF3128"/>
      <c r="GG3128"/>
      <c r="GH3128"/>
      <c r="GI3128"/>
      <c r="GJ3128"/>
      <c r="GK3128"/>
      <c r="GL3128"/>
      <c r="GM3128"/>
      <c r="GN3128"/>
      <c r="GO3128"/>
    </row>
    <row r="3129" spans="107:197">
      <c r="DC3129"/>
      <c r="FH3129"/>
      <c r="FI3129"/>
      <c r="FJ3129"/>
      <c r="FK3129"/>
      <c r="FL3129"/>
      <c r="FM3129"/>
      <c r="FN3129"/>
      <c r="FO3129"/>
      <c r="FP3129"/>
      <c r="FQ3129"/>
      <c r="FR3129"/>
      <c r="FS3129"/>
      <c r="FT3129"/>
      <c r="FU3129"/>
      <c r="FV3129"/>
      <c r="FW3129"/>
      <c r="FX3129"/>
      <c r="FY3129"/>
      <c r="FZ3129"/>
      <c r="GA3129"/>
      <c r="GB3129"/>
      <c r="GC3129"/>
      <c r="GD3129"/>
      <c r="GE3129"/>
      <c r="GF3129"/>
      <c r="GG3129"/>
      <c r="GH3129"/>
      <c r="GI3129"/>
      <c r="GJ3129"/>
      <c r="GK3129"/>
      <c r="GL3129"/>
      <c r="GM3129"/>
      <c r="GN3129"/>
      <c r="GO3129"/>
    </row>
    <row r="3130" spans="107:197">
      <c r="DC3130"/>
      <c r="FH3130"/>
      <c r="FI3130"/>
      <c r="FJ3130"/>
      <c r="FK3130"/>
      <c r="FL3130"/>
      <c r="FM3130"/>
      <c r="FN3130"/>
      <c r="FO3130"/>
      <c r="FP3130"/>
      <c r="FQ3130"/>
      <c r="FR3130"/>
      <c r="FS3130"/>
      <c r="FT3130"/>
      <c r="FU3130"/>
      <c r="FV3130"/>
      <c r="FW3130"/>
      <c r="FX3130"/>
      <c r="FY3130"/>
      <c r="FZ3130"/>
      <c r="GA3130"/>
      <c r="GB3130"/>
      <c r="GC3130"/>
      <c r="GD3130"/>
      <c r="GE3130"/>
      <c r="GF3130"/>
      <c r="GG3130"/>
      <c r="GH3130"/>
      <c r="GI3130"/>
      <c r="GJ3130"/>
      <c r="GK3130"/>
      <c r="GL3130"/>
      <c r="GM3130"/>
      <c r="GN3130"/>
      <c r="GO3130"/>
    </row>
    <row r="3131" spans="107:197">
      <c r="DC3131"/>
      <c r="FH3131"/>
      <c r="FI3131"/>
      <c r="FJ3131"/>
      <c r="FK3131"/>
      <c r="FL3131"/>
      <c r="FM3131"/>
      <c r="FN3131"/>
      <c r="FO3131"/>
      <c r="FP3131"/>
      <c r="FQ3131"/>
      <c r="FR3131"/>
      <c r="FS3131"/>
      <c r="FT3131"/>
      <c r="FU3131"/>
      <c r="FV3131"/>
      <c r="FW3131"/>
      <c r="FX3131"/>
      <c r="FY3131"/>
      <c r="FZ3131"/>
      <c r="GA3131"/>
      <c r="GB3131"/>
      <c r="GC3131"/>
      <c r="GD3131"/>
      <c r="GE3131"/>
      <c r="GF3131"/>
      <c r="GG3131"/>
      <c r="GH3131"/>
      <c r="GI3131"/>
      <c r="GJ3131"/>
      <c r="GK3131"/>
      <c r="GL3131"/>
      <c r="GM3131"/>
      <c r="GN3131"/>
      <c r="GO3131"/>
    </row>
    <row r="3132" spans="107:197">
      <c r="DC3132"/>
      <c r="FH3132"/>
      <c r="FI3132"/>
      <c r="FJ3132"/>
      <c r="FK3132"/>
      <c r="FL3132"/>
      <c r="FM3132"/>
      <c r="FN3132"/>
      <c r="FO3132"/>
      <c r="FP3132"/>
      <c r="FQ3132"/>
      <c r="FR3132"/>
      <c r="FS3132"/>
      <c r="FT3132"/>
      <c r="FU3132"/>
      <c r="FV3132"/>
      <c r="FW3132"/>
      <c r="FX3132"/>
      <c r="FY3132"/>
      <c r="FZ3132"/>
      <c r="GA3132"/>
      <c r="GB3132"/>
      <c r="GC3132"/>
      <c r="GD3132"/>
      <c r="GE3132"/>
      <c r="GF3132"/>
      <c r="GG3132"/>
      <c r="GH3132"/>
      <c r="GI3132"/>
      <c r="GJ3132"/>
      <c r="GK3132"/>
      <c r="GL3132"/>
      <c r="GM3132"/>
      <c r="GN3132"/>
      <c r="GO3132"/>
    </row>
    <row r="3133" spans="107:197">
      <c r="DC3133"/>
      <c r="FH3133"/>
      <c r="FI3133"/>
      <c r="FJ3133"/>
      <c r="FK3133"/>
      <c r="FL3133"/>
      <c r="FM3133"/>
      <c r="FN3133"/>
      <c r="FO3133"/>
      <c r="FP3133"/>
      <c r="FQ3133"/>
      <c r="FR3133"/>
      <c r="FS3133"/>
      <c r="FT3133"/>
      <c r="FU3133"/>
      <c r="FV3133"/>
      <c r="FW3133"/>
      <c r="FX3133"/>
      <c r="FY3133"/>
      <c r="FZ3133"/>
      <c r="GA3133"/>
      <c r="GB3133"/>
      <c r="GC3133"/>
      <c r="GD3133"/>
      <c r="GE3133"/>
      <c r="GF3133"/>
      <c r="GG3133"/>
      <c r="GH3133"/>
      <c r="GI3133"/>
      <c r="GJ3133"/>
      <c r="GK3133"/>
      <c r="GL3133"/>
      <c r="GM3133"/>
      <c r="GN3133"/>
      <c r="GO3133"/>
    </row>
    <row r="3134" spans="107:197">
      <c r="DC3134"/>
      <c r="FH3134"/>
      <c r="FI3134"/>
      <c r="FJ3134"/>
      <c r="FK3134"/>
      <c r="FL3134"/>
      <c r="FM3134"/>
      <c r="FN3134"/>
      <c r="FO3134"/>
      <c r="FP3134"/>
      <c r="FQ3134"/>
      <c r="FR3134"/>
      <c r="FS3134"/>
      <c r="FT3134"/>
      <c r="FU3134"/>
      <c r="FV3134"/>
      <c r="FW3134"/>
      <c r="FX3134"/>
      <c r="FY3134"/>
      <c r="FZ3134"/>
      <c r="GA3134"/>
      <c r="GB3134"/>
      <c r="GC3134"/>
      <c r="GD3134"/>
      <c r="GE3134"/>
      <c r="GF3134"/>
      <c r="GG3134"/>
      <c r="GH3134"/>
      <c r="GI3134"/>
      <c r="GJ3134"/>
      <c r="GK3134"/>
      <c r="GL3134"/>
      <c r="GM3134"/>
      <c r="GN3134"/>
      <c r="GO3134"/>
    </row>
    <row r="3135" spans="107:197">
      <c r="DC3135"/>
      <c r="FH3135"/>
      <c r="FI3135"/>
      <c r="FJ3135"/>
      <c r="FK3135"/>
      <c r="FL3135"/>
      <c r="FM3135"/>
      <c r="FN3135"/>
      <c r="FO3135"/>
      <c r="FP3135"/>
      <c r="FQ3135"/>
      <c r="FR3135"/>
      <c r="FS3135"/>
      <c r="FT3135"/>
      <c r="FU3135"/>
      <c r="FV3135"/>
      <c r="FW3135"/>
      <c r="FX3135"/>
      <c r="FY3135"/>
      <c r="FZ3135"/>
      <c r="GA3135"/>
      <c r="GB3135"/>
      <c r="GC3135"/>
      <c r="GD3135"/>
      <c r="GE3135"/>
      <c r="GF3135"/>
      <c r="GG3135"/>
      <c r="GH3135"/>
      <c r="GI3135"/>
      <c r="GJ3135"/>
      <c r="GK3135"/>
      <c r="GL3135"/>
      <c r="GM3135"/>
      <c r="GN3135"/>
      <c r="GO3135"/>
    </row>
    <row r="3136" spans="107:197">
      <c r="DC3136"/>
      <c r="FH3136"/>
      <c r="FI3136"/>
      <c r="FJ3136"/>
      <c r="FK3136"/>
      <c r="FL3136"/>
      <c r="FM3136"/>
      <c r="FN3136"/>
      <c r="FO3136"/>
      <c r="FP3136"/>
      <c r="FQ3136"/>
      <c r="FR3136"/>
      <c r="FS3136"/>
      <c r="FT3136"/>
      <c r="FU3136"/>
      <c r="FV3136"/>
      <c r="FW3136"/>
      <c r="FX3136"/>
      <c r="FY3136"/>
      <c r="FZ3136"/>
      <c r="GA3136"/>
      <c r="GB3136"/>
      <c r="GC3136"/>
      <c r="GD3136"/>
      <c r="GE3136"/>
      <c r="GF3136"/>
      <c r="GG3136"/>
      <c r="GH3136"/>
      <c r="GI3136"/>
      <c r="GJ3136"/>
      <c r="GK3136"/>
      <c r="GL3136"/>
      <c r="GM3136"/>
      <c r="GN3136"/>
      <c r="GO3136"/>
    </row>
    <row r="3137" spans="107:197">
      <c r="DC3137"/>
      <c r="FH3137"/>
      <c r="FI3137"/>
      <c r="FJ3137"/>
      <c r="FK3137"/>
      <c r="FL3137"/>
      <c r="FM3137"/>
      <c r="FN3137"/>
      <c r="FO3137"/>
      <c r="FP3137"/>
      <c r="FQ3137"/>
      <c r="FR3137"/>
      <c r="FS3137"/>
      <c r="FT3137"/>
      <c r="FU3137"/>
      <c r="FV3137"/>
      <c r="FW3137"/>
      <c r="FX3137"/>
      <c r="FY3137"/>
      <c r="FZ3137"/>
      <c r="GA3137"/>
      <c r="GB3137"/>
      <c r="GC3137"/>
      <c r="GD3137"/>
      <c r="GE3137"/>
      <c r="GF3137"/>
      <c r="GG3137"/>
      <c r="GH3137"/>
      <c r="GI3137"/>
      <c r="GJ3137"/>
      <c r="GK3137"/>
      <c r="GL3137"/>
      <c r="GM3137"/>
      <c r="GN3137"/>
      <c r="GO3137"/>
    </row>
    <row r="3138" spans="107:197">
      <c r="DC3138"/>
      <c r="FH3138"/>
      <c r="FI3138"/>
      <c r="FJ3138"/>
      <c r="FK3138"/>
      <c r="FL3138"/>
      <c r="FM3138"/>
      <c r="FN3138"/>
      <c r="FO3138"/>
      <c r="FP3138"/>
      <c r="FQ3138"/>
      <c r="FR3138"/>
      <c r="FS3138"/>
      <c r="FT3138"/>
      <c r="FU3138"/>
      <c r="FV3138"/>
      <c r="FW3138"/>
      <c r="FX3138"/>
      <c r="FY3138"/>
      <c r="FZ3138"/>
      <c r="GA3138"/>
      <c r="GB3138"/>
      <c r="GC3138"/>
      <c r="GD3138"/>
      <c r="GE3138"/>
      <c r="GF3138"/>
      <c r="GG3138"/>
      <c r="GH3138"/>
      <c r="GI3138"/>
      <c r="GJ3138"/>
      <c r="GK3138"/>
      <c r="GL3138"/>
      <c r="GM3138"/>
      <c r="GN3138"/>
      <c r="GO3138"/>
    </row>
    <row r="3139" spans="107:197">
      <c r="DC3139"/>
      <c r="FH3139"/>
      <c r="FI3139"/>
      <c r="FJ3139"/>
      <c r="FK3139"/>
      <c r="FL3139"/>
      <c r="FM3139"/>
      <c r="FN3139"/>
      <c r="FO3139"/>
      <c r="FP3139"/>
      <c r="FQ3139"/>
      <c r="FR3139"/>
      <c r="FS3139"/>
      <c r="FT3139"/>
      <c r="FU3139"/>
      <c r="FV3139"/>
      <c r="FW3139"/>
      <c r="FX3139"/>
      <c r="FY3139"/>
      <c r="FZ3139"/>
      <c r="GA3139"/>
      <c r="GB3139"/>
      <c r="GC3139"/>
      <c r="GD3139"/>
      <c r="GE3139"/>
      <c r="GF3139"/>
      <c r="GG3139"/>
      <c r="GH3139"/>
      <c r="GI3139"/>
      <c r="GJ3139"/>
      <c r="GK3139"/>
      <c r="GL3139"/>
      <c r="GM3139"/>
      <c r="GN3139"/>
      <c r="GO3139"/>
    </row>
    <row r="3140" spans="107:197">
      <c r="DC3140"/>
      <c r="FH3140"/>
      <c r="FI3140"/>
      <c r="FJ3140"/>
      <c r="FK3140"/>
      <c r="FL3140"/>
      <c r="FM3140"/>
      <c r="FN3140"/>
      <c r="FO3140"/>
      <c r="FP3140"/>
      <c r="FQ3140"/>
      <c r="FR3140"/>
      <c r="FS3140"/>
      <c r="FT3140"/>
      <c r="FU3140"/>
      <c r="FV3140"/>
      <c r="FW3140"/>
      <c r="FX3140"/>
      <c r="FY3140"/>
      <c r="FZ3140"/>
      <c r="GA3140"/>
      <c r="GB3140"/>
      <c r="GC3140"/>
      <c r="GD3140"/>
      <c r="GE3140"/>
      <c r="GF3140"/>
      <c r="GG3140"/>
      <c r="GH3140"/>
      <c r="GI3140"/>
      <c r="GJ3140"/>
      <c r="GK3140"/>
      <c r="GL3140"/>
      <c r="GM3140"/>
      <c r="GN3140"/>
      <c r="GO3140"/>
    </row>
    <row r="3141" spans="107:197">
      <c r="DC3141"/>
      <c r="FH3141"/>
      <c r="FI3141"/>
      <c r="FJ3141"/>
      <c r="FK3141"/>
      <c r="FL3141"/>
      <c r="FM3141"/>
      <c r="FN3141"/>
      <c r="FO3141"/>
      <c r="FP3141"/>
      <c r="FQ3141"/>
      <c r="FR3141"/>
      <c r="FS3141"/>
      <c r="FT3141"/>
      <c r="FU3141"/>
      <c r="FV3141"/>
      <c r="FW3141"/>
      <c r="FX3141"/>
      <c r="FY3141"/>
      <c r="FZ3141"/>
      <c r="GA3141"/>
      <c r="GB3141"/>
      <c r="GC3141"/>
      <c r="GD3141"/>
      <c r="GE3141"/>
      <c r="GF3141"/>
      <c r="GG3141"/>
      <c r="GH3141"/>
      <c r="GI3141"/>
      <c r="GJ3141"/>
      <c r="GK3141"/>
      <c r="GL3141"/>
      <c r="GM3141"/>
      <c r="GN3141"/>
      <c r="GO3141"/>
    </row>
    <row r="3142" spans="107:197">
      <c r="DC3142"/>
      <c r="FH3142"/>
      <c r="FI3142"/>
      <c r="FJ3142"/>
      <c r="FK3142"/>
      <c r="FL3142"/>
      <c r="FM3142"/>
      <c r="FN3142"/>
      <c r="FO3142"/>
      <c r="FP3142"/>
      <c r="FQ3142"/>
      <c r="FR3142"/>
      <c r="FS3142"/>
      <c r="FT3142"/>
      <c r="FU3142"/>
      <c r="FV3142"/>
      <c r="FW3142"/>
      <c r="FX3142"/>
      <c r="FY3142"/>
      <c r="FZ3142"/>
      <c r="GA3142"/>
      <c r="GB3142"/>
      <c r="GC3142"/>
      <c r="GD3142"/>
      <c r="GE3142"/>
      <c r="GF3142"/>
      <c r="GG3142"/>
      <c r="GH3142"/>
      <c r="GI3142"/>
      <c r="GJ3142"/>
      <c r="GK3142"/>
      <c r="GL3142"/>
      <c r="GM3142"/>
      <c r="GN3142"/>
      <c r="GO3142"/>
    </row>
    <row r="3143" spans="107:197">
      <c r="DC3143"/>
      <c r="FH3143"/>
      <c r="FI3143"/>
      <c r="FJ3143"/>
      <c r="FK3143"/>
      <c r="FL3143"/>
      <c r="FM3143"/>
      <c r="FN3143"/>
      <c r="FO3143"/>
      <c r="FP3143"/>
      <c r="FQ3143"/>
      <c r="FR3143"/>
      <c r="FS3143"/>
      <c r="FT3143"/>
      <c r="FU3143"/>
      <c r="FV3143"/>
      <c r="FW3143"/>
      <c r="FX3143"/>
      <c r="FY3143"/>
      <c r="FZ3143"/>
      <c r="GA3143"/>
      <c r="GB3143"/>
      <c r="GC3143"/>
      <c r="GD3143"/>
      <c r="GE3143"/>
      <c r="GF3143"/>
      <c r="GG3143"/>
      <c r="GH3143"/>
      <c r="GI3143"/>
      <c r="GJ3143"/>
      <c r="GK3143"/>
      <c r="GL3143"/>
      <c r="GM3143"/>
      <c r="GN3143"/>
      <c r="GO3143"/>
    </row>
    <row r="3144" spans="107:197">
      <c r="DC3144"/>
      <c r="FH3144"/>
      <c r="FI3144"/>
      <c r="FJ3144"/>
      <c r="FK3144"/>
      <c r="FL3144"/>
      <c r="FM3144"/>
      <c r="FN3144"/>
      <c r="FO3144"/>
      <c r="FP3144"/>
      <c r="FQ3144"/>
      <c r="FR3144"/>
      <c r="FS3144"/>
      <c r="FT3144"/>
      <c r="FU3144"/>
      <c r="FV3144"/>
      <c r="FW3144"/>
      <c r="FX3144"/>
      <c r="FY3144"/>
      <c r="FZ3144"/>
      <c r="GA3144"/>
      <c r="GB3144"/>
      <c r="GC3144"/>
      <c r="GD3144"/>
      <c r="GE3144"/>
      <c r="GF3144"/>
      <c r="GG3144"/>
      <c r="GH3144"/>
      <c r="GI3144"/>
      <c r="GJ3144"/>
      <c r="GK3144"/>
      <c r="GL3144"/>
      <c r="GM3144"/>
      <c r="GN3144"/>
      <c r="GO3144"/>
    </row>
    <row r="3145" spans="107:197">
      <c r="DC3145"/>
      <c r="FH3145"/>
      <c r="FI3145"/>
      <c r="FJ3145"/>
      <c r="FK3145"/>
      <c r="FL3145"/>
      <c r="FM3145"/>
      <c r="FN3145"/>
      <c r="FO3145"/>
      <c r="FP3145"/>
      <c r="FQ3145"/>
      <c r="FR3145"/>
      <c r="FS3145"/>
      <c r="FT3145"/>
      <c r="FU3145"/>
      <c r="FV3145"/>
      <c r="FW3145"/>
      <c r="FX3145"/>
      <c r="FY3145"/>
      <c r="FZ3145"/>
      <c r="GA3145"/>
      <c r="GB3145"/>
      <c r="GC3145"/>
      <c r="GD3145"/>
      <c r="GE3145"/>
      <c r="GF3145"/>
      <c r="GG3145"/>
      <c r="GH3145"/>
      <c r="GI3145"/>
      <c r="GJ3145"/>
      <c r="GK3145"/>
      <c r="GL3145"/>
      <c r="GM3145"/>
      <c r="GN3145"/>
      <c r="GO3145"/>
    </row>
    <row r="3146" spans="107:197">
      <c r="DC3146"/>
      <c r="FH3146"/>
      <c r="FI3146"/>
      <c r="FJ3146"/>
      <c r="FK3146"/>
      <c r="FL3146"/>
      <c r="FM3146"/>
      <c r="FN3146"/>
      <c r="FO3146"/>
      <c r="FP3146"/>
      <c r="FQ3146"/>
      <c r="FR3146"/>
      <c r="FS3146"/>
      <c r="FT3146"/>
      <c r="FU3146"/>
      <c r="FV3146"/>
      <c r="FW3146"/>
      <c r="FX3146"/>
      <c r="FY3146"/>
      <c r="FZ3146"/>
      <c r="GA3146"/>
      <c r="GB3146"/>
      <c r="GC3146"/>
      <c r="GD3146"/>
      <c r="GE3146"/>
      <c r="GF3146"/>
      <c r="GG3146"/>
      <c r="GH3146"/>
      <c r="GI3146"/>
      <c r="GJ3146"/>
      <c r="GK3146"/>
      <c r="GL3146"/>
      <c r="GM3146"/>
      <c r="GN3146"/>
      <c r="GO3146"/>
    </row>
    <row r="3147" spans="107:197">
      <c r="DC3147"/>
      <c r="FH3147"/>
      <c r="FI3147"/>
      <c r="FJ3147"/>
      <c r="FK3147"/>
      <c r="FL3147"/>
      <c r="FM3147"/>
      <c r="FN3147"/>
      <c r="FO3147"/>
      <c r="FP3147"/>
      <c r="FQ3147"/>
      <c r="FR3147"/>
      <c r="FS3147"/>
      <c r="FT3147"/>
      <c r="FU3147"/>
      <c r="FV3147"/>
      <c r="FW3147"/>
      <c r="FX3147"/>
      <c r="FY3147"/>
      <c r="FZ3147"/>
      <c r="GA3147"/>
      <c r="GB3147"/>
      <c r="GC3147"/>
      <c r="GD3147"/>
      <c r="GE3147"/>
      <c r="GF3147"/>
      <c r="GG3147"/>
      <c r="GH3147"/>
      <c r="GI3147"/>
      <c r="GJ3147"/>
      <c r="GK3147"/>
      <c r="GL3147"/>
      <c r="GM3147"/>
      <c r="GN3147"/>
      <c r="GO3147"/>
    </row>
    <row r="3148" spans="107:197">
      <c r="DC3148"/>
      <c r="FH3148"/>
      <c r="FI3148"/>
      <c r="FJ3148"/>
      <c r="FK3148"/>
      <c r="FL3148"/>
      <c r="FM3148"/>
      <c r="FN3148"/>
      <c r="FO3148"/>
      <c r="FP3148"/>
      <c r="FQ3148"/>
      <c r="FR3148"/>
      <c r="FS3148"/>
      <c r="FT3148"/>
      <c r="FU3148"/>
      <c r="FV3148"/>
      <c r="FW3148"/>
      <c r="FX3148"/>
      <c r="FY3148"/>
      <c r="FZ3148"/>
      <c r="GA3148"/>
      <c r="GB3148"/>
      <c r="GC3148"/>
      <c r="GD3148"/>
      <c r="GE3148"/>
      <c r="GF3148"/>
      <c r="GG3148"/>
      <c r="GH3148"/>
      <c r="GI3148"/>
      <c r="GJ3148"/>
      <c r="GK3148"/>
      <c r="GL3148"/>
      <c r="GM3148"/>
      <c r="GN3148"/>
      <c r="GO3148"/>
    </row>
    <row r="3149" spans="107:197">
      <c r="DC3149"/>
      <c r="FH3149"/>
      <c r="FI3149"/>
      <c r="FJ3149"/>
      <c r="FK3149"/>
      <c r="FL3149"/>
      <c r="FM3149"/>
      <c r="FN3149"/>
      <c r="FO3149"/>
      <c r="FP3149"/>
      <c r="FQ3149"/>
      <c r="FR3149"/>
      <c r="FS3149"/>
      <c r="FT3149"/>
      <c r="FU3149"/>
      <c r="FV3149"/>
      <c r="FW3149"/>
      <c r="FX3149"/>
      <c r="FY3149"/>
      <c r="FZ3149"/>
      <c r="GA3149"/>
      <c r="GB3149"/>
      <c r="GC3149"/>
      <c r="GD3149"/>
      <c r="GE3149"/>
      <c r="GF3149"/>
      <c r="GG3149"/>
      <c r="GH3149"/>
      <c r="GI3149"/>
      <c r="GJ3149"/>
      <c r="GK3149"/>
      <c r="GL3149"/>
      <c r="GM3149"/>
      <c r="GN3149"/>
      <c r="GO3149"/>
    </row>
    <row r="3150" spans="107:197">
      <c r="DC3150"/>
      <c r="FH3150"/>
      <c r="FI3150"/>
      <c r="FJ3150"/>
      <c r="FK3150"/>
      <c r="FL3150"/>
      <c r="FM3150"/>
      <c r="FN3150"/>
      <c r="FO3150"/>
      <c r="FP3150"/>
      <c r="FQ3150"/>
      <c r="FR3150"/>
      <c r="FS3150"/>
      <c r="FT3150"/>
      <c r="FU3150"/>
      <c r="FV3150"/>
      <c r="FW3150"/>
      <c r="FX3150"/>
      <c r="FY3150"/>
      <c r="FZ3150"/>
      <c r="GA3150"/>
      <c r="GB3150"/>
      <c r="GC3150"/>
      <c r="GD3150"/>
      <c r="GE3150"/>
      <c r="GF3150"/>
      <c r="GG3150"/>
      <c r="GH3150"/>
      <c r="GI3150"/>
      <c r="GJ3150"/>
      <c r="GK3150"/>
      <c r="GL3150"/>
      <c r="GM3150"/>
      <c r="GN3150"/>
      <c r="GO3150"/>
    </row>
    <row r="3151" spans="107:197">
      <c r="DC3151"/>
      <c r="FH3151"/>
      <c r="FI3151"/>
      <c r="FJ3151"/>
      <c r="FK3151"/>
      <c r="FL3151"/>
      <c r="FM3151"/>
      <c r="FN3151"/>
      <c r="FO3151"/>
      <c r="FP3151"/>
      <c r="FQ3151"/>
      <c r="FR3151"/>
      <c r="FS3151"/>
      <c r="FT3151"/>
      <c r="FU3151"/>
      <c r="FV3151"/>
      <c r="FW3151"/>
      <c r="FX3151"/>
      <c r="FY3151"/>
      <c r="FZ3151"/>
      <c r="GA3151"/>
      <c r="GB3151"/>
      <c r="GC3151"/>
      <c r="GD3151"/>
      <c r="GE3151"/>
      <c r="GF3151"/>
      <c r="GG3151"/>
      <c r="GH3151"/>
      <c r="GI3151"/>
      <c r="GJ3151"/>
      <c r="GK3151"/>
      <c r="GL3151"/>
      <c r="GM3151"/>
      <c r="GN3151"/>
      <c r="GO3151"/>
    </row>
    <row r="3152" spans="107:197">
      <c r="DC3152"/>
      <c r="FH3152"/>
      <c r="FI3152"/>
      <c r="FJ3152"/>
      <c r="FK3152"/>
      <c r="FL3152"/>
      <c r="FM3152"/>
      <c r="FN3152"/>
      <c r="FO3152"/>
      <c r="FP3152"/>
      <c r="FQ3152"/>
      <c r="FR3152"/>
      <c r="FS3152"/>
      <c r="FT3152"/>
      <c r="FU3152"/>
      <c r="FV3152"/>
      <c r="FW3152"/>
      <c r="FX3152"/>
      <c r="FY3152"/>
      <c r="FZ3152"/>
      <c r="GA3152"/>
      <c r="GB3152"/>
      <c r="GC3152"/>
      <c r="GD3152"/>
      <c r="GE3152"/>
      <c r="GF3152"/>
      <c r="GG3152"/>
      <c r="GH3152"/>
      <c r="GI3152"/>
      <c r="GJ3152"/>
      <c r="GK3152"/>
      <c r="GL3152"/>
      <c r="GM3152"/>
      <c r="GN3152"/>
      <c r="GO3152"/>
    </row>
    <row r="3153" spans="107:197">
      <c r="DC3153"/>
      <c r="FH3153"/>
      <c r="FI3153"/>
      <c r="FJ3153"/>
      <c r="FK3153"/>
      <c r="FL3153"/>
      <c r="FM3153"/>
      <c r="FN3153"/>
      <c r="FO3153"/>
      <c r="FP3153"/>
      <c r="FQ3153"/>
      <c r="FR3153"/>
      <c r="FS3153"/>
      <c r="FT3153"/>
      <c r="FU3153"/>
      <c r="FV3153"/>
      <c r="FW3153"/>
      <c r="FX3153"/>
      <c r="FY3153"/>
      <c r="FZ3153"/>
      <c r="GA3153"/>
      <c r="GB3153"/>
      <c r="GC3153"/>
      <c r="GD3153"/>
      <c r="GE3153"/>
      <c r="GF3153"/>
      <c r="GG3153"/>
      <c r="GH3153"/>
      <c r="GI3153"/>
      <c r="GJ3153"/>
      <c r="GK3153"/>
      <c r="GL3153"/>
      <c r="GM3153"/>
      <c r="GN3153"/>
      <c r="GO3153"/>
    </row>
    <row r="3154" spans="107:197">
      <c r="DC3154"/>
      <c r="FH3154"/>
      <c r="FI3154"/>
      <c r="FJ3154"/>
      <c r="FK3154"/>
      <c r="FL3154"/>
      <c r="FM3154"/>
      <c r="FN3154"/>
      <c r="FO3154"/>
      <c r="FP3154"/>
      <c r="FQ3154"/>
      <c r="FR3154"/>
      <c r="FS3154"/>
      <c r="FT3154"/>
      <c r="FU3154"/>
      <c r="FV3154"/>
      <c r="FW3154"/>
      <c r="FX3154"/>
      <c r="FY3154"/>
      <c r="FZ3154"/>
      <c r="GA3154"/>
      <c r="GB3154"/>
      <c r="GC3154"/>
      <c r="GD3154"/>
      <c r="GE3154"/>
      <c r="GF3154"/>
      <c r="GG3154"/>
      <c r="GH3154"/>
      <c r="GI3154"/>
      <c r="GJ3154"/>
      <c r="GK3154"/>
      <c r="GL3154"/>
      <c r="GM3154"/>
      <c r="GN3154"/>
      <c r="GO3154"/>
    </row>
    <row r="3155" spans="107:197">
      <c r="DC3155"/>
      <c r="FH3155"/>
      <c r="FI3155"/>
      <c r="FJ3155"/>
      <c r="FK3155"/>
      <c r="FL3155"/>
      <c r="FM3155"/>
      <c r="FN3155"/>
      <c r="FO3155"/>
      <c r="FP3155"/>
      <c r="FQ3155"/>
      <c r="FR3155"/>
      <c r="FS3155"/>
      <c r="FT3155"/>
      <c r="FU3155"/>
      <c r="FV3155"/>
      <c r="FW3155"/>
      <c r="FX3155"/>
      <c r="FY3155"/>
      <c r="FZ3155"/>
      <c r="GA3155"/>
      <c r="GB3155"/>
      <c r="GC3155"/>
      <c r="GD3155"/>
      <c r="GE3155"/>
      <c r="GF3155"/>
      <c r="GG3155"/>
      <c r="GH3155"/>
      <c r="GI3155"/>
      <c r="GJ3155"/>
      <c r="GK3155"/>
      <c r="GL3155"/>
      <c r="GM3155"/>
      <c r="GN3155"/>
      <c r="GO3155"/>
    </row>
    <row r="3156" spans="107:197">
      <c r="DC3156"/>
      <c r="FH3156"/>
      <c r="FI3156"/>
      <c r="FJ3156"/>
      <c r="FK3156"/>
      <c r="FL3156"/>
      <c r="FM3156"/>
      <c r="FN3156"/>
      <c r="FO3156"/>
      <c r="FP3156"/>
      <c r="FQ3156"/>
      <c r="FR3156"/>
      <c r="FS3156"/>
      <c r="FT3156"/>
      <c r="FU3156"/>
      <c r="FV3156"/>
      <c r="FW3156"/>
      <c r="FX3156"/>
      <c r="FY3156"/>
      <c r="FZ3156"/>
      <c r="GA3156"/>
      <c r="GB3156"/>
      <c r="GC3156"/>
      <c r="GD3156"/>
      <c r="GE3156"/>
      <c r="GF3156"/>
      <c r="GG3156"/>
      <c r="GH3156"/>
      <c r="GI3156"/>
      <c r="GJ3156"/>
      <c r="GK3156"/>
      <c r="GL3156"/>
      <c r="GM3156"/>
      <c r="GN3156"/>
      <c r="GO3156"/>
    </row>
    <row r="3157" spans="107:197">
      <c r="DC3157"/>
      <c r="FH3157"/>
      <c r="FI3157"/>
      <c r="FJ3157"/>
      <c r="FK3157"/>
      <c r="FL3157"/>
      <c r="FM3157"/>
      <c r="FN3157"/>
      <c r="FO3157"/>
      <c r="FP3157"/>
      <c r="FQ3157"/>
      <c r="FR3157"/>
      <c r="FS3157"/>
      <c r="FT3157"/>
      <c r="FU3157"/>
      <c r="FV3157"/>
      <c r="FW3157"/>
      <c r="FX3157"/>
      <c r="FY3157"/>
      <c r="FZ3157"/>
      <c r="GA3157"/>
      <c r="GB3157"/>
      <c r="GC3157"/>
      <c r="GD3157"/>
      <c r="GE3157"/>
      <c r="GF3157"/>
      <c r="GG3157"/>
      <c r="GH3157"/>
      <c r="GI3157"/>
      <c r="GJ3157"/>
      <c r="GK3157"/>
      <c r="GL3157"/>
      <c r="GM3157"/>
      <c r="GN3157"/>
      <c r="GO3157"/>
    </row>
    <row r="3158" spans="107:197">
      <c r="DC3158"/>
      <c r="FH3158"/>
      <c r="FI3158"/>
      <c r="FJ3158"/>
      <c r="FK3158"/>
      <c r="FL3158"/>
      <c r="FM3158"/>
      <c r="FN3158"/>
      <c r="FO3158"/>
      <c r="FP3158"/>
      <c r="FQ3158"/>
      <c r="FR3158"/>
      <c r="FS3158"/>
      <c r="FT3158"/>
      <c r="FU3158"/>
      <c r="FV3158"/>
      <c r="FW3158"/>
      <c r="FX3158"/>
      <c r="FY3158"/>
      <c r="FZ3158"/>
      <c r="GA3158"/>
      <c r="GB3158"/>
      <c r="GC3158"/>
      <c r="GD3158"/>
      <c r="GE3158"/>
      <c r="GF3158"/>
      <c r="GG3158"/>
      <c r="GH3158"/>
      <c r="GI3158"/>
      <c r="GJ3158"/>
      <c r="GK3158"/>
      <c r="GL3158"/>
      <c r="GM3158"/>
      <c r="GN3158"/>
      <c r="GO3158"/>
    </row>
    <row r="3159" spans="107:197">
      <c r="DC3159"/>
      <c r="FH3159"/>
      <c r="FI3159"/>
      <c r="FJ3159"/>
      <c r="FK3159"/>
      <c r="FL3159"/>
      <c r="FM3159"/>
      <c r="FN3159"/>
      <c r="FO3159"/>
      <c r="FP3159"/>
      <c r="FQ3159"/>
      <c r="FR3159"/>
      <c r="FS3159"/>
      <c r="FT3159"/>
      <c r="FU3159"/>
      <c r="FV3159"/>
      <c r="FW3159"/>
      <c r="FX3159"/>
      <c r="FY3159"/>
      <c r="FZ3159"/>
      <c r="GA3159"/>
      <c r="GB3159"/>
      <c r="GC3159"/>
      <c r="GD3159"/>
      <c r="GE3159"/>
      <c r="GF3159"/>
      <c r="GG3159"/>
      <c r="GH3159"/>
      <c r="GI3159"/>
      <c r="GJ3159"/>
      <c r="GK3159"/>
      <c r="GL3159"/>
      <c r="GM3159"/>
      <c r="GN3159"/>
      <c r="GO3159"/>
    </row>
    <row r="3160" spans="107:197">
      <c r="DC3160"/>
      <c r="FH3160"/>
      <c r="FI3160"/>
      <c r="FJ3160"/>
      <c r="FK3160"/>
      <c r="FL3160"/>
      <c r="FM3160"/>
      <c r="FN3160"/>
      <c r="FO3160"/>
      <c r="FP3160"/>
      <c r="FQ3160"/>
      <c r="FR3160"/>
      <c r="FS3160"/>
      <c r="FT3160"/>
      <c r="FU3160"/>
      <c r="FV3160"/>
      <c r="FW3160"/>
      <c r="FX3160"/>
      <c r="FY3160"/>
      <c r="FZ3160"/>
      <c r="GA3160"/>
      <c r="GB3160"/>
      <c r="GC3160"/>
      <c r="GD3160"/>
      <c r="GE3160"/>
      <c r="GF3160"/>
      <c r="GG3160"/>
      <c r="GH3160"/>
      <c r="GI3160"/>
      <c r="GJ3160"/>
      <c r="GK3160"/>
      <c r="GL3160"/>
      <c r="GM3160"/>
      <c r="GN3160"/>
      <c r="GO3160"/>
    </row>
    <row r="3161" spans="107:197">
      <c r="DC3161"/>
      <c r="FH3161"/>
      <c r="FI3161"/>
      <c r="FJ3161"/>
      <c r="FK3161"/>
      <c r="FL3161"/>
      <c r="FM3161"/>
      <c r="FN3161"/>
      <c r="FO3161"/>
      <c r="FP3161"/>
      <c r="FQ3161"/>
      <c r="FR3161"/>
      <c r="FS3161"/>
      <c r="FT3161"/>
      <c r="FU3161"/>
      <c r="FV3161"/>
      <c r="FW3161"/>
      <c r="FX3161"/>
      <c r="FY3161"/>
      <c r="FZ3161"/>
      <c r="GA3161"/>
      <c r="GB3161"/>
      <c r="GC3161"/>
      <c r="GD3161"/>
      <c r="GE3161"/>
      <c r="GF3161"/>
      <c r="GG3161"/>
      <c r="GH3161"/>
      <c r="GI3161"/>
      <c r="GJ3161"/>
      <c r="GK3161"/>
      <c r="GL3161"/>
      <c r="GM3161"/>
      <c r="GN3161"/>
      <c r="GO3161"/>
    </row>
    <row r="3162" spans="107:197">
      <c r="DC3162"/>
      <c r="FH3162"/>
      <c r="FI3162"/>
      <c r="FJ3162"/>
      <c r="FK3162"/>
      <c r="FL3162"/>
      <c r="FM3162"/>
      <c r="FN3162"/>
      <c r="FO3162"/>
      <c r="FP3162"/>
      <c r="FQ3162"/>
      <c r="FR3162"/>
      <c r="FS3162"/>
      <c r="FT3162"/>
      <c r="FU3162"/>
      <c r="FV3162"/>
      <c r="FW3162"/>
      <c r="FX3162"/>
      <c r="FY3162"/>
      <c r="FZ3162"/>
      <c r="GA3162"/>
      <c r="GB3162"/>
      <c r="GC3162"/>
      <c r="GD3162"/>
      <c r="GE3162"/>
      <c r="GF3162"/>
      <c r="GG3162"/>
      <c r="GH3162"/>
      <c r="GI3162"/>
      <c r="GJ3162"/>
      <c r="GK3162"/>
      <c r="GL3162"/>
      <c r="GM3162"/>
      <c r="GN3162"/>
      <c r="GO3162"/>
    </row>
    <row r="3163" spans="107:197">
      <c r="DC3163"/>
      <c r="FH3163"/>
      <c r="FI3163"/>
      <c r="FJ3163"/>
      <c r="FK3163"/>
      <c r="FL3163"/>
      <c r="FM3163"/>
      <c r="FN3163"/>
      <c r="FO3163"/>
      <c r="FP3163"/>
      <c r="FQ3163"/>
      <c r="FR3163"/>
      <c r="FS3163"/>
      <c r="FT3163"/>
      <c r="FU3163"/>
      <c r="FV3163"/>
      <c r="FW3163"/>
      <c r="FX3163"/>
      <c r="FY3163"/>
      <c r="FZ3163"/>
      <c r="GA3163"/>
      <c r="GB3163"/>
      <c r="GC3163"/>
      <c r="GD3163"/>
      <c r="GE3163"/>
      <c r="GF3163"/>
      <c r="GG3163"/>
      <c r="GH3163"/>
      <c r="GI3163"/>
      <c r="GJ3163"/>
      <c r="GK3163"/>
      <c r="GL3163"/>
      <c r="GM3163"/>
      <c r="GN3163"/>
      <c r="GO3163"/>
    </row>
    <row r="3164" spans="107:197">
      <c r="DC3164"/>
      <c r="FH3164"/>
      <c r="FI3164"/>
      <c r="FJ3164"/>
      <c r="FK3164"/>
      <c r="FL3164"/>
      <c r="FM3164"/>
      <c r="FN3164"/>
      <c r="FO3164"/>
      <c r="FP3164"/>
      <c r="FQ3164"/>
      <c r="FR3164"/>
      <c r="FS3164"/>
      <c r="FT3164"/>
      <c r="FU3164"/>
      <c r="FV3164"/>
      <c r="FW3164"/>
      <c r="FX3164"/>
      <c r="FY3164"/>
      <c r="FZ3164"/>
      <c r="GA3164"/>
      <c r="GB3164"/>
      <c r="GC3164"/>
      <c r="GD3164"/>
      <c r="GE3164"/>
      <c r="GF3164"/>
      <c r="GG3164"/>
      <c r="GH3164"/>
      <c r="GI3164"/>
      <c r="GJ3164"/>
      <c r="GK3164"/>
      <c r="GL3164"/>
      <c r="GM3164"/>
      <c r="GN3164"/>
      <c r="GO3164"/>
    </row>
    <row r="3165" spans="107:197">
      <c r="DC3165"/>
      <c r="FH3165"/>
      <c r="FI3165"/>
      <c r="FJ3165"/>
      <c r="FK3165"/>
      <c r="FL3165"/>
      <c r="FM3165"/>
      <c r="FN3165"/>
      <c r="FO3165"/>
      <c r="FP3165"/>
      <c r="FQ3165"/>
      <c r="FR3165"/>
      <c r="FS3165"/>
      <c r="FT3165"/>
      <c r="FU3165"/>
      <c r="FV3165"/>
      <c r="FW3165"/>
      <c r="FX3165"/>
      <c r="FY3165"/>
      <c r="FZ3165"/>
      <c r="GA3165"/>
      <c r="GB3165"/>
      <c r="GC3165"/>
      <c r="GD3165"/>
      <c r="GE3165"/>
      <c r="GF3165"/>
      <c r="GG3165"/>
      <c r="GH3165"/>
      <c r="GI3165"/>
      <c r="GJ3165"/>
      <c r="GK3165"/>
      <c r="GL3165"/>
      <c r="GM3165"/>
      <c r="GN3165"/>
      <c r="GO3165"/>
    </row>
    <row r="3166" spans="107:197">
      <c r="DC3166"/>
      <c r="FH3166"/>
      <c r="FI3166"/>
      <c r="FJ3166"/>
      <c r="FK3166"/>
      <c r="FL3166"/>
      <c r="FM3166"/>
      <c r="FN3166"/>
      <c r="FO3166"/>
      <c r="FP3166"/>
      <c r="FQ3166"/>
      <c r="FR3166"/>
      <c r="FS3166"/>
      <c r="FT3166"/>
      <c r="FU3166"/>
      <c r="FV3166"/>
      <c r="FW3166"/>
      <c r="FX3166"/>
      <c r="FY3166"/>
      <c r="FZ3166"/>
      <c r="GA3166"/>
      <c r="GB3166"/>
      <c r="GC3166"/>
      <c r="GD3166"/>
      <c r="GE3166"/>
      <c r="GF3166"/>
      <c r="GG3166"/>
      <c r="GH3166"/>
      <c r="GI3166"/>
      <c r="GJ3166"/>
      <c r="GK3166"/>
      <c r="GL3166"/>
      <c r="GM3166"/>
      <c r="GN3166"/>
      <c r="GO3166"/>
    </row>
    <row r="3167" spans="107:197">
      <c r="DC3167"/>
      <c r="FH3167"/>
      <c r="FI3167"/>
      <c r="FJ3167"/>
      <c r="FK3167"/>
      <c r="FL3167"/>
      <c r="FM3167"/>
      <c r="FN3167"/>
      <c r="FO3167"/>
      <c r="FP3167"/>
      <c r="FQ3167"/>
      <c r="FR3167"/>
      <c r="FS3167"/>
      <c r="FT3167"/>
      <c r="FU3167"/>
      <c r="FV3167"/>
      <c r="FW3167"/>
      <c r="FX3167"/>
      <c r="FY3167"/>
      <c r="FZ3167"/>
      <c r="GA3167"/>
      <c r="GB3167"/>
      <c r="GC3167"/>
      <c r="GD3167"/>
      <c r="GE3167"/>
      <c r="GF3167"/>
      <c r="GG3167"/>
      <c r="GH3167"/>
      <c r="GI3167"/>
      <c r="GJ3167"/>
      <c r="GK3167"/>
      <c r="GL3167"/>
      <c r="GM3167"/>
      <c r="GN3167"/>
      <c r="GO3167"/>
    </row>
    <row r="3168" spans="107:197">
      <c r="DC3168"/>
      <c r="FH3168"/>
      <c r="FI3168"/>
      <c r="FJ3168"/>
      <c r="FK3168"/>
      <c r="FL3168"/>
      <c r="FM3168"/>
      <c r="FN3168"/>
      <c r="FO3168"/>
      <c r="FP3168"/>
      <c r="FQ3168"/>
      <c r="FR3168"/>
      <c r="FS3168"/>
      <c r="FT3168"/>
      <c r="FU3168"/>
      <c r="FV3168"/>
      <c r="FW3168"/>
      <c r="FX3168"/>
      <c r="FY3168"/>
      <c r="FZ3168"/>
      <c r="GA3168"/>
      <c r="GB3168"/>
      <c r="GC3168"/>
      <c r="GD3168"/>
      <c r="GE3168"/>
      <c r="GF3168"/>
      <c r="GG3168"/>
      <c r="GH3168"/>
      <c r="GI3168"/>
      <c r="GJ3168"/>
      <c r="GK3168"/>
      <c r="GL3168"/>
      <c r="GM3168"/>
      <c r="GN3168"/>
      <c r="GO3168"/>
    </row>
    <row r="3169" spans="107:197">
      <c r="DC3169"/>
      <c r="FH3169"/>
      <c r="FI3169"/>
      <c r="FJ3169"/>
      <c r="FK3169"/>
      <c r="FL3169"/>
      <c r="FM3169"/>
      <c r="FN3169"/>
      <c r="FO3169"/>
      <c r="FP3169"/>
      <c r="FQ3169"/>
      <c r="FR3169"/>
      <c r="FS3169"/>
      <c r="FT3169"/>
      <c r="FU3169"/>
      <c r="FV3169"/>
      <c r="FW3169"/>
      <c r="FX3169"/>
      <c r="FY3169"/>
      <c r="FZ3169"/>
      <c r="GA3169"/>
      <c r="GB3169"/>
      <c r="GC3169"/>
      <c r="GD3169"/>
      <c r="GE3169"/>
      <c r="GF3169"/>
      <c r="GG3169"/>
      <c r="GH3169"/>
      <c r="GI3169"/>
      <c r="GJ3169"/>
      <c r="GK3169"/>
      <c r="GL3169"/>
      <c r="GM3169"/>
      <c r="GN3169"/>
      <c r="GO3169"/>
    </row>
    <row r="3170" spans="107:197">
      <c r="DC3170"/>
      <c r="FH3170"/>
      <c r="FI3170"/>
      <c r="FJ3170"/>
      <c r="FK3170"/>
      <c r="FL3170"/>
      <c r="FM3170"/>
      <c r="FN3170"/>
      <c r="FO3170"/>
      <c r="FP3170"/>
      <c r="FQ3170"/>
      <c r="FR3170"/>
      <c r="FS3170"/>
      <c r="FT3170"/>
      <c r="FU3170"/>
      <c r="FV3170"/>
      <c r="FW3170"/>
      <c r="FX3170"/>
      <c r="FY3170"/>
      <c r="FZ3170"/>
      <c r="GA3170"/>
      <c r="GB3170"/>
      <c r="GC3170"/>
      <c r="GD3170"/>
      <c r="GE3170"/>
      <c r="GF3170"/>
      <c r="GG3170"/>
      <c r="GH3170"/>
      <c r="GI3170"/>
      <c r="GJ3170"/>
      <c r="GK3170"/>
      <c r="GL3170"/>
      <c r="GM3170"/>
      <c r="GN3170"/>
      <c r="GO3170"/>
    </row>
    <row r="3171" spans="107:197">
      <c r="DC3171"/>
      <c r="FH3171"/>
      <c r="FI3171"/>
      <c r="FJ3171"/>
      <c r="FK3171"/>
      <c r="FL3171"/>
      <c r="FM3171"/>
      <c r="FN3171"/>
      <c r="FO3171"/>
      <c r="FP3171"/>
      <c r="FQ3171"/>
      <c r="FR3171"/>
      <c r="FS3171"/>
      <c r="FT3171"/>
      <c r="FU3171"/>
      <c r="FV3171"/>
      <c r="FW3171"/>
      <c r="FX3171"/>
      <c r="FY3171"/>
      <c r="FZ3171"/>
      <c r="GA3171"/>
      <c r="GB3171"/>
      <c r="GC3171"/>
      <c r="GD3171"/>
      <c r="GE3171"/>
      <c r="GF3171"/>
      <c r="GG3171"/>
      <c r="GH3171"/>
      <c r="GI3171"/>
      <c r="GJ3171"/>
      <c r="GK3171"/>
      <c r="GL3171"/>
      <c r="GM3171"/>
      <c r="GN3171"/>
      <c r="GO3171"/>
    </row>
    <row r="3172" spans="107:197">
      <c r="DC3172"/>
      <c r="FH3172"/>
      <c r="FI3172"/>
      <c r="FJ3172"/>
      <c r="FK3172"/>
      <c r="FL3172"/>
      <c r="FM3172"/>
      <c r="FN3172"/>
      <c r="FO3172"/>
      <c r="FP3172"/>
      <c r="FQ3172"/>
      <c r="FR3172"/>
      <c r="FS3172"/>
      <c r="FT3172"/>
      <c r="FU3172"/>
      <c r="FV3172"/>
      <c r="FW3172"/>
      <c r="FX3172"/>
      <c r="FY3172"/>
      <c r="FZ3172"/>
      <c r="GA3172"/>
      <c r="GB3172"/>
      <c r="GC3172"/>
      <c r="GD3172"/>
      <c r="GE3172"/>
      <c r="GF3172"/>
      <c r="GG3172"/>
      <c r="GH3172"/>
      <c r="GI3172"/>
      <c r="GJ3172"/>
      <c r="GK3172"/>
      <c r="GL3172"/>
      <c r="GM3172"/>
      <c r="GN3172"/>
      <c r="GO3172"/>
    </row>
    <row r="3173" spans="107:197">
      <c r="DC3173"/>
      <c r="FH3173"/>
      <c r="FI3173"/>
      <c r="FJ3173"/>
      <c r="FK3173"/>
      <c r="FL3173"/>
      <c r="FM3173"/>
      <c r="FN3173"/>
      <c r="FO3173"/>
      <c r="FP3173"/>
      <c r="FQ3173"/>
      <c r="FR3173"/>
      <c r="FS3173"/>
      <c r="FT3173"/>
      <c r="FU3173"/>
      <c r="FV3173"/>
      <c r="FW3173"/>
      <c r="FX3173"/>
      <c r="FY3173"/>
      <c r="FZ3173"/>
      <c r="GA3173"/>
      <c r="GB3173"/>
      <c r="GC3173"/>
      <c r="GD3173"/>
      <c r="GE3173"/>
      <c r="GF3173"/>
      <c r="GG3173"/>
      <c r="GH3173"/>
      <c r="GI3173"/>
      <c r="GJ3173"/>
      <c r="GK3173"/>
      <c r="GL3173"/>
      <c r="GM3173"/>
      <c r="GN3173"/>
      <c r="GO3173"/>
    </row>
    <row r="3174" spans="107:197">
      <c r="DC3174"/>
      <c r="FH3174"/>
      <c r="FI3174"/>
      <c r="FJ3174"/>
      <c r="FK3174"/>
      <c r="FL3174"/>
      <c r="FM3174"/>
      <c r="FN3174"/>
      <c r="FO3174"/>
      <c r="FP3174"/>
      <c r="FQ3174"/>
      <c r="FR3174"/>
      <c r="FS3174"/>
      <c r="FT3174"/>
      <c r="FU3174"/>
      <c r="FV3174"/>
      <c r="FW3174"/>
      <c r="FX3174"/>
      <c r="FY3174"/>
      <c r="FZ3174"/>
      <c r="GA3174"/>
      <c r="GB3174"/>
      <c r="GC3174"/>
      <c r="GD3174"/>
      <c r="GE3174"/>
      <c r="GF3174"/>
      <c r="GG3174"/>
      <c r="GH3174"/>
      <c r="GI3174"/>
      <c r="GJ3174"/>
      <c r="GK3174"/>
      <c r="GL3174"/>
      <c r="GM3174"/>
      <c r="GN3174"/>
      <c r="GO3174"/>
    </row>
    <row r="3175" spans="107:197">
      <c r="DC3175"/>
      <c r="FH3175"/>
      <c r="FI3175"/>
      <c r="FJ3175"/>
      <c r="FK3175"/>
      <c r="FL3175"/>
      <c r="FM3175"/>
      <c r="FN3175"/>
      <c r="FO3175"/>
      <c r="FP3175"/>
      <c r="FQ3175"/>
      <c r="FR3175"/>
      <c r="FS3175"/>
      <c r="FT3175"/>
      <c r="FU3175"/>
      <c r="FV3175"/>
      <c r="FW3175"/>
      <c r="FX3175"/>
      <c r="FY3175"/>
      <c r="FZ3175"/>
      <c r="GA3175"/>
      <c r="GB3175"/>
      <c r="GC3175"/>
      <c r="GD3175"/>
      <c r="GE3175"/>
      <c r="GF3175"/>
      <c r="GG3175"/>
      <c r="GH3175"/>
      <c r="GI3175"/>
      <c r="GJ3175"/>
      <c r="GK3175"/>
      <c r="GL3175"/>
      <c r="GM3175"/>
      <c r="GN3175"/>
      <c r="GO3175"/>
    </row>
    <row r="3176" spans="107:197">
      <c r="DC3176"/>
      <c r="FH3176"/>
      <c r="FI3176"/>
      <c r="FJ3176"/>
      <c r="FK3176"/>
      <c r="FL3176"/>
      <c r="FM3176"/>
      <c r="FN3176"/>
      <c r="FO3176"/>
      <c r="FP3176"/>
      <c r="FQ3176"/>
      <c r="FR3176"/>
      <c r="FS3176"/>
      <c r="FT3176"/>
      <c r="FU3176"/>
      <c r="FV3176"/>
      <c r="FW3176"/>
      <c r="FX3176"/>
      <c r="FY3176"/>
      <c r="FZ3176"/>
      <c r="GA3176"/>
      <c r="GB3176"/>
      <c r="GC3176"/>
      <c r="GD3176"/>
      <c r="GE3176"/>
      <c r="GF3176"/>
      <c r="GG3176"/>
      <c r="GH3176"/>
      <c r="GI3176"/>
      <c r="GJ3176"/>
      <c r="GK3176"/>
      <c r="GL3176"/>
      <c r="GM3176"/>
      <c r="GN3176"/>
      <c r="GO3176"/>
    </row>
    <row r="3177" spans="107:197">
      <c r="DC3177"/>
      <c r="FH3177"/>
      <c r="FI3177"/>
      <c r="FJ3177"/>
      <c r="FK3177"/>
      <c r="FL3177"/>
      <c r="FM3177"/>
      <c r="FN3177"/>
      <c r="FO3177"/>
      <c r="FP3177"/>
      <c r="FQ3177"/>
      <c r="FR3177"/>
      <c r="FS3177"/>
      <c r="FT3177"/>
      <c r="FU3177"/>
      <c r="FV3177"/>
      <c r="FW3177"/>
      <c r="FX3177"/>
      <c r="FY3177"/>
      <c r="FZ3177"/>
      <c r="GA3177"/>
      <c r="GB3177"/>
      <c r="GC3177"/>
      <c r="GD3177"/>
      <c r="GE3177"/>
      <c r="GF3177"/>
      <c r="GG3177"/>
      <c r="GH3177"/>
      <c r="GI3177"/>
      <c r="GJ3177"/>
      <c r="GK3177"/>
      <c r="GL3177"/>
      <c r="GM3177"/>
      <c r="GN3177"/>
      <c r="GO3177"/>
    </row>
    <row r="3178" spans="107:197">
      <c r="DC3178"/>
      <c r="FH3178"/>
      <c r="FI3178"/>
      <c r="FJ3178"/>
      <c r="FK3178"/>
      <c r="FL3178"/>
      <c r="FM3178"/>
      <c r="FN3178"/>
      <c r="FO3178"/>
      <c r="FP3178"/>
      <c r="FQ3178"/>
      <c r="FR3178"/>
      <c r="FS3178"/>
      <c r="FT3178"/>
      <c r="FU3178"/>
      <c r="FV3178"/>
      <c r="FW3178"/>
      <c r="FX3178"/>
      <c r="FY3178"/>
      <c r="FZ3178"/>
      <c r="GA3178"/>
      <c r="GB3178"/>
      <c r="GC3178"/>
      <c r="GD3178"/>
      <c r="GE3178"/>
      <c r="GF3178"/>
      <c r="GG3178"/>
      <c r="GH3178"/>
      <c r="GI3178"/>
      <c r="GJ3178"/>
      <c r="GK3178"/>
      <c r="GL3178"/>
      <c r="GM3178"/>
      <c r="GN3178"/>
      <c r="GO3178"/>
    </row>
    <row r="3179" spans="107:197">
      <c r="DC3179"/>
      <c r="FH3179"/>
      <c r="FI3179"/>
      <c r="FJ3179"/>
      <c r="FK3179"/>
      <c r="FL3179"/>
      <c r="FM3179"/>
      <c r="FN3179"/>
      <c r="FO3179"/>
      <c r="FP3179"/>
      <c r="FQ3179"/>
      <c r="FR3179"/>
      <c r="FS3179"/>
      <c r="FT3179"/>
      <c r="FU3179"/>
      <c r="FV3179"/>
      <c r="FW3179"/>
      <c r="FX3179"/>
      <c r="FY3179"/>
      <c r="FZ3179"/>
      <c r="GA3179"/>
      <c r="GB3179"/>
      <c r="GC3179"/>
      <c r="GD3179"/>
      <c r="GE3179"/>
      <c r="GF3179"/>
      <c r="GG3179"/>
      <c r="GH3179"/>
      <c r="GI3179"/>
      <c r="GJ3179"/>
      <c r="GK3179"/>
      <c r="GL3179"/>
      <c r="GM3179"/>
      <c r="GN3179"/>
      <c r="GO3179"/>
    </row>
    <row r="3180" spans="107:197">
      <c r="DC3180"/>
      <c r="FH3180"/>
      <c r="FI3180"/>
      <c r="FJ3180"/>
      <c r="FK3180"/>
      <c r="FL3180"/>
      <c r="FM3180"/>
      <c r="FN3180"/>
      <c r="FO3180"/>
      <c r="FP3180"/>
      <c r="FQ3180"/>
      <c r="FR3180"/>
      <c r="FS3180"/>
      <c r="FT3180"/>
      <c r="FU3180"/>
      <c r="FV3180"/>
      <c r="FW3180"/>
      <c r="FX3180"/>
      <c r="FY3180"/>
      <c r="FZ3180"/>
      <c r="GA3180"/>
      <c r="GB3180"/>
      <c r="GC3180"/>
      <c r="GD3180"/>
      <c r="GE3180"/>
      <c r="GF3180"/>
      <c r="GG3180"/>
      <c r="GH3180"/>
      <c r="GI3180"/>
      <c r="GJ3180"/>
      <c r="GK3180"/>
      <c r="GL3180"/>
      <c r="GM3180"/>
      <c r="GN3180"/>
      <c r="GO3180"/>
    </row>
    <row r="3181" spans="107:197">
      <c r="DC3181"/>
      <c r="FH3181"/>
      <c r="FI3181"/>
      <c r="FJ3181"/>
      <c r="FK3181"/>
      <c r="FL3181"/>
      <c r="FM3181"/>
      <c r="FN3181"/>
      <c r="FO3181"/>
      <c r="FP3181"/>
      <c r="FQ3181"/>
      <c r="FR3181"/>
      <c r="FS3181"/>
      <c r="FT3181"/>
      <c r="FU3181"/>
      <c r="FV3181"/>
      <c r="FW3181"/>
      <c r="FX3181"/>
      <c r="FY3181"/>
      <c r="FZ3181"/>
      <c r="GA3181"/>
      <c r="GB3181"/>
      <c r="GC3181"/>
      <c r="GD3181"/>
      <c r="GE3181"/>
      <c r="GF3181"/>
      <c r="GG3181"/>
      <c r="GH3181"/>
      <c r="GI3181"/>
      <c r="GJ3181"/>
      <c r="GK3181"/>
      <c r="GL3181"/>
      <c r="GM3181"/>
      <c r="GN3181"/>
      <c r="GO3181"/>
    </row>
    <row r="3182" spans="107:197">
      <c r="DC3182"/>
      <c r="FH3182"/>
      <c r="FI3182"/>
      <c r="FJ3182"/>
      <c r="FK3182"/>
      <c r="FL3182"/>
      <c r="FM3182"/>
      <c r="FN3182"/>
      <c r="FO3182"/>
      <c r="FP3182"/>
      <c r="FQ3182"/>
      <c r="FR3182"/>
      <c r="FS3182"/>
      <c r="FT3182"/>
      <c r="FU3182"/>
      <c r="FV3182"/>
      <c r="FW3182"/>
      <c r="FX3182"/>
      <c r="FY3182"/>
      <c r="FZ3182"/>
      <c r="GA3182"/>
      <c r="GB3182"/>
      <c r="GC3182"/>
      <c r="GD3182"/>
      <c r="GE3182"/>
      <c r="GF3182"/>
      <c r="GG3182"/>
      <c r="GH3182"/>
      <c r="GI3182"/>
      <c r="GJ3182"/>
      <c r="GK3182"/>
      <c r="GL3182"/>
      <c r="GM3182"/>
      <c r="GN3182"/>
      <c r="GO3182"/>
    </row>
    <row r="3183" spans="107:197">
      <c r="DC3183"/>
      <c r="FH3183"/>
      <c r="FI3183"/>
      <c r="FJ3183"/>
      <c r="FK3183"/>
      <c r="FL3183"/>
      <c r="FM3183"/>
      <c r="FN3183"/>
      <c r="FO3183"/>
      <c r="FP3183"/>
      <c r="FQ3183"/>
      <c r="FR3183"/>
      <c r="FS3183"/>
      <c r="FT3183"/>
      <c r="FU3183"/>
      <c r="FV3183"/>
      <c r="FW3183"/>
      <c r="FX3183"/>
      <c r="FY3183"/>
      <c r="FZ3183"/>
      <c r="GA3183"/>
      <c r="GB3183"/>
      <c r="GC3183"/>
      <c r="GD3183"/>
      <c r="GE3183"/>
      <c r="GF3183"/>
      <c r="GG3183"/>
      <c r="GH3183"/>
      <c r="GI3183"/>
      <c r="GJ3183"/>
      <c r="GK3183"/>
      <c r="GL3183"/>
      <c r="GM3183"/>
      <c r="GN3183"/>
      <c r="GO3183"/>
    </row>
    <row r="3184" spans="107:197">
      <c r="DC3184"/>
      <c r="FH3184"/>
      <c r="FI3184"/>
      <c r="FJ3184"/>
      <c r="FK3184"/>
      <c r="FL3184"/>
      <c r="FM3184"/>
      <c r="FN3184"/>
      <c r="FO3184"/>
      <c r="FP3184"/>
      <c r="FQ3184"/>
      <c r="FR3184"/>
      <c r="FS3184"/>
      <c r="FT3184"/>
      <c r="FU3184"/>
      <c r="FV3184"/>
      <c r="FW3184"/>
      <c r="FX3184"/>
      <c r="FY3184"/>
      <c r="FZ3184"/>
      <c r="GA3184"/>
      <c r="GB3184"/>
      <c r="GC3184"/>
      <c r="GD3184"/>
      <c r="GE3184"/>
      <c r="GF3184"/>
      <c r="GG3184"/>
      <c r="GH3184"/>
      <c r="GI3184"/>
      <c r="GJ3184"/>
      <c r="GK3184"/>
      <c r="GL3184"/>
      <c r="GM3184"/>
      <c r="GN3184"/>
      <c r="GO3184"/>
    </row>
    <row r="3185" spans="107:197">
      <c r="DC3185"/>
      <c r="FH3185"/>
      <c r="FI3185"/>
      <c r="FJ3185"/>
      <c r="FK3185"/>
      <c r="FL3185"/>
      <c r="FM3185"/>
      <c r="FN3185"/>
      <c r="FO3185"/>
      <c r="FP3185"/>
      <c r="FQ3185"/>
      <c r="FR3185"/>
      <c r="FS3185"/>
      <c r="FT3185"/>
      <c r="FU3185"/>
      <c r="FV3185"/>
      <c r="FW3185"/>
      <c r="FX3185"/>
      <c r="FY3185"/>
      <c r="FZ3185"/>
      <c r="GA3185"/>
      <c r="GB3185"/>
      <c r="GC3185"/>
      <c r="GD3185"/>
      <c r="GE3185"/>
      <c r="GF3185"/>
      <c r="GG3185"/>
      <c r="GH3185"/>
      <c r="GI3185"/>
      <c r="GJ3185"/>
      <c r="GK3185"/>
      <c r="GL3185"/>
      <c r="GM3185"/>
      <c r="GN3185"/>
      <c r="GO3185"/>
    </row>
    <row r="3186" spans="107:197">
      <c r="DC3186"/>
      <c r="FH3186"/>
      <c r="FI3186"/>
      <c r="FJ3186"/>
      <c r="FK3186"/>
      <c r="FL3186"/>
      <c r="FM3186"/>
      <c r="FN3186"/>
      <c r="FO3186"/>
      <c r="FP3186"/>
      <c r="FQ3186"/>
      <c r="FR3186"/>
      <c r="FS3186"/>
      <c r="FT3186"/>
      <c r="FU3186"/>
      <c r="FV3186"/>
      <c r="FW3186"/>
      <c r="FX3186"/>
      <c r="FY3186"/>
      <c r="FZ3186"/>
      <c r="GA3186"/>
      <c r="GB3186"/>
      <c r="GC3186"/>
      <c r="GD3186"/>
      <c r="GE3186"/>
      <c r="GF3186"/>
      <c r="GG3186"/>
      <c r="GH3186"/>
      <c r="GI3186"/>
      <c r="GJ3186"/>
      <c r="GK3186"/>
      <c r="GL3186"/>
      <c r="GM3186"/>
      <c r="GN3186"/>
      <c r="GO3186"/>
    </row>
    <row r="3187" spans="107:197">
      <c r="DC3187"/>
      <c r="FH3187"/>
      <c r="FI3187"/>
      <c r="FJ3187"/>
      <c r="FK3187"/>
      <c r="FL3187"/>
      <c r="FM3187"/>
      <c r="FN3187"/>
      <c r="FO3187"/>
      <c r="FP3187"/>
      <c r="FQ3187"/>
      <c r="FR3187"/>
      <c r="FS3187"/>
      <c r="FT3187"/>
      <c r="FU3187"/>
      <c r="FV3187"/>
      <c r="FW3187"/>
      <c r="FX3187"/>
      <c r="FY3187"/>
      <c r="FZ3187"/>
      <c r="GA3187"/>
      <c r="GB3187"/>
      <c r="GC3187"/>
      <c r="GD3187"/>
      <c r="GE3187"/>
      <c r="GF3187"/>
      <c r="GG3187"/>
      <c r="GH3187"/>
      <c r="GI3187"/>
      <c r="GJ3187"/>
      <c r="GK3187"/>
      <c r="GL3187"/>
      <c r="GM3187"/>
      <c r="GN3187"/>
      <c r="GO3187"/>
    </row>
    <row r="3188" spans="107:197">
      <c r="DC3188"/>
      <c r="FH3188"/>
      <c r="FI3188"/>
      <c r="FJ3188"/>
      <c r="FK3188"/>
      <c r="FL3188"/>
      <c r="FM3188"/>
      <c r="FN3188"/>
      <c r="FO3188"/>
      <c r="FP3188"/>
      <c r="FQ3188"/>
      <c r="FR3188"/>
      <c r="FS3188"/>
      <c r="FT3188"/>
      <c r="FU3188"/>
      <c r="FV3188"/>
      <c r="FW3188"/>
      <c r="FX3188"/>
      <c r="FY3188"/>
      <c r="FZ3188"/>
      <c r="GA3188"/>
      <c r="GB3188"/>
      <c r="GC3188"/>
      <c r="GD3188"/>
      <c r="GE3188"/>
      <c r="GF3188"/>
      <c r="GG3188"/>
      <c r="GH3188"/>
      <c r="GI3188"/>
      <c r="GJ3188"/>
      <c r="GK3188"/>
      <c r="GL3188"/>
      <c r="GM3188"/>
      <c r="GN3188"/>
      <c r="GO3188"/>
    </row>
    <row r="3189" spans="107:197">
      <c r="DC3189"/>
      <c r="FH3189"/>
      <c r="FI3189"/>
      <c r="FJ3189"/>
      <c r="FK3189"/>
      <c r="FL3189"/>
      <c r="FM3189"/>
      <c r="FN3189"/>
      <c r="FO3189"/>
      <c r="FP3189"/>
      <c r="FQ3189"/>
      <c r="FR3189"/>
      <c r="FS3189"/>
      <c r="FT3189"/>
      <c r="FU3189"/>
      <c r="FV3189"/>
      <c r="FW3189"/>
      <c r="FX3189"/>
      <c r="FY3189"/>
      <c r="FZ3189"/>
      <c r="GA3189"/>
      <c r="GB3189"/>
      <c r="GC3189"/>
      <c r="GD3189"/>
      <c r="GE3189"/>
      <c r="GF3189"/>
      <c r="GG3189"/>
      <c r="GH3189"/>
      <c r="GI3189"/>
      <c r="GJ3189"/>
      <c r="GK3189"/>
      <c r="GL3189"/>
      <c r="GM3189"/>
      <c r="GN3189"/>
      <c r="GO3189"/>
    </row>
    <row r="3190" spans="107:197">
      <c r="DC3190"/>
      <c r="FH3190"/>
      <c r="FI3190"/>
      <c r="FJ3190"/>
      <c r="FK3190"/>
      <c r="FL3190"/>
      <c r="FM3190"/>
      <c r="FN3190"/>
      <c r="FO3190"/>
      <c r="FP3190"/>
      <c r="FQ3190"/>
      <c r="FR3190"/>
      <c r="FS3190"/>
      <c r="FT3190"/>
      <c r="FU3190"/>
      <c r="FV3190"/>
      <c r="FW3190"/>
      <c r="FX3190"/>
      <c r="FY3190"/>
      <c r="FZ3190"/>
      <c r="GA3190"/>
      <c r="GB3190"/>
      <c r="GC3190"/>
      <c r="GD3190"/>
      <c r="GE3190"/>
      <c r="GF3190"/>
      <c r="GG3190"/>
      <c r="GH3190"/>
      <c r="GI3190"/>
      <c r="GJ3190"/>
      <c r="GK3190"/>
      <c r="GL3190"/>
      <c r="GM3190"/>
      <c r="GN3190"/>
      <c r="GO3190"/>
    </row>
    <row r="3191" spans="107:197">
      <c r="DC3191"/>
      <c r="FH3191"/>
      <c r="FI3191"/>
      <c r="FJ3191"/>
      <c r="FK3191"/>
      <c r="FL3191"/>
      <c r="FM3191"/>
      <c r="FN3191"/>
      <c r="FO3191"/>
      <c r="FP3191"/>
      <c r="FQ3191"/>
      <c r="FR3191"/>
      <c r="FS3191"/>
      <c r="FT3191"/>
      <c r="FU3191"/>
      <c r="FV3191"/>
      <c r="FW3191"/>
      <c r="FX3191"/>
      <c r="FY3191"/>
      <c r="FZ3191"/>
      <c r="GA3191"/>
      <c r="GB3191"/>
      <c r="GC3191"/>
      <c r="GD3191"/>
      <c r="GE3191"/>
      <c r="GF3191"/>
      <c r="GG3191"/>
      <c r="GH3191"/>
      <c r="GI3191"/>
      <c r="GJ3191"/>
      <c r="GK3191"/>
      <c r="GL3191"/>
      <c r="GM3191"/>
      <c r="GN3191"/>
      <c r="GO3191"/>
    </row>
    <row r="3192" spans="107:197">
      <c r="DC3192"/>
      <c r="FH3192"/>
      <c r="FI3192"/>
      <c r="FJ3192"/>
      <c r="FK3192"/>
      <c r="FL3192"/>
      <c r="FM3192"/>
      <c r="FN3192"/>
      <c r="FO3192"/>
      <c r="FP3192"/>
      <c r="FQ3192"/>
      <c r="FR3192"/>
      <c r="FS3192"/>
      <c r="FT3192"/>
      <c r="FU3192"/>
      <c r="FV3192"/>
      <c r="FW3192"/>
      <c r="FX3192"/>
      <c r="FY3192"/>
      <c r="FZ3192"/>
      <c r="GA3192"/>
      <c r="GB3192"/>
      <c r="GC3192"/>
      <c r="GD3192"/>
      <c r="GE3192"/>
      <c r="GF3192"/>
      <c r="GG3192"/>
      <c r="GH3192"/>
      <c r="GI3192"/>
      <c r="GJ3192"/>
      <c r="GK3192"/>
      <c r="GL3192"/>
      <c r="GM3192"/>
      <c r="GN3192"/>
      <c r="GO3192"/>
    </row>
    <row r="3193" spans="107:197">
      <c r="DC3193"/>
      <c r="FH3193"/>
      <c r="FI3193"/>
      <c r="FJ3193"/>
      <c r="FK3193"/>
      <c r="FL3193"/>
      <c r="FM3193"/>
      <c r="FN3193"/>
      <c r="FO3193"/>
      <c r="FP3193"/>
      <c r="FQ3193"/>
      <c r="FR3193"/>
      <c r="FS3193"/>
      <c r="FT3193"/>
      <c r="FU3193"/>
      <c r="FV3193"/>
      <c r="FW3193"/>
      <c r="FX3193"/>
      <c r="FY3193"/>
      <c r="FZ3193"/>
      <c r="GA3193"/>
      <c r="GB3193"/>
      <c r="GC3193"/>
      <c r="GD3193"/>
      <c r="GE3193"/>
      <c r="GF3193"/>
      <c r="GG3193"/>
      <c r="GH3193"/>
      <c r="GI3193"/>
      <c r="GJ3193"/>
      <c r="GK3193"/>
      <c r="GL3193"/>
      <c r="GM3193"/>
      <c r="GN3193"/>
      <c r="GO3193"/>
    </row>
    <row r="3194" spans="107:197">
      <c r="DC3194"/>
      <c r="FH3194"/>
      <c r="FI3194"/>
      <c r="FJ3194"/>
      <c r="FK3194"/>
      <c r="FL3194"/>
      <c r="FM3194"/>
      <c r="FN3194"/>
      <c r="FO3194"/>
      <c r="FP3194"/>
      <c r="FQ3194"/>
      <c r="FR3194"/>
      <c r="FS3194"/>
      <c r="FT3194"/>
      <c r="FU3194"/>
      <c r="FV3194"/>
      <c r="FW3194"/>
      <c r="FX3194"/>
      <c r="FY3194"/>
      <c r="FZ3194"/>
      <c r="GA3194"/>
      <c r="GB3194"/>
      <c r="GC3194"/>
      <c r="GD3194"/>
      <c r="GE3194"/>
      <c r="GF3194"/>
      <c r="GG3194"/>
      <c r="GH3194"/>
      <c r="GI3194"/>
      <c r="GJ3194"/>
      <c r="GK3194"/>
      <c r="GL3194"/>
      <c r="GM3194"/>
      <c r="GN3194"/>
      <c r="GO3194"/>
    </row>
    <row r="3195" spans="107:197">
      <c r="DC3195"/>
      <c r="FH3195"/>
      <c r="FI3195"/>
      <c r="FJ3195"/>
      <c r="FK3195"/>
      <c r="FL3195"/>
      <c r="FM3195"/>
      <c r="FN3195"/>
      <c r="FO3195"/>
      <c r="FP3195"/>
      <c r="FQ3195"/>
      <c r="FR3195"/>
      <c r="FS3195"/>
      <c r="FT3195"/>
      <c r="FU3195"/>
      <c r="FV3195"/>
      <c r="FW3195"/>
      <c r="FX3195"/>
      <c r="FY3195"/>
      <c r="FZ3195"/>
      <c r="GA3195"/>
      <c r="GB3195"/>
      <c r="GC3195"/>
      <c r="GD3195"/>
      <c r="GE3195"/>
      <c r="GF3195"/>
      <c r="GG3195"/>
      <c r="GH3195"/>
      <c r="GI3195"/>
      <c r="GJ3195"/>
      <c r="GK3195"/>
      <c r="GL3195"/>
      <c r="GM3195"/>
      <c r="GN3195"/>
      <c r="GO3195"/>
    </row>
    <row r="3196" spans="107:197">
      <c r="DC3196"/>
      <c r="FH3196"/>
      <c r="FI3196"/>
      <c r="FJ3196"/>
      <c r="FK3196"/>
      <c r="FL3196"/>
      <c r="FM3196"/>
      <c r="FN3196"/>
      <c r="FO3196"/>
      <c r="FP3196"/>
      <c r="FQ3196"/>
      <c r="FR3196"/>
      <c r="FS3196"/>
      <c r="FT3196"/>
      <c r="FU3196"/>
      <c r="FV3196"/>
      <c r="FW3196"/>
      <c r="FX3196"/>
      <c r="FY3196"/>
      <c r="FZ3196"/>
      <c r="GA3196"/>
      <c r="GB3196"/>
      <c r="GC3196"/>
      <c r="GD3196"/>
      <c r="GE3196"/>
      <c r="GF3196"/>
      <c r="GG3196"/>
      <c r="GH3196"/>
      <c r="GI3196"/>
      <c r="GJ3196"/>
      <c r="GK3196"/>
      <c r="GL3196"/>
      <c r="GM3196"/>
      <c r="GN3196"/>
      <c r="GO3196"/>
    </row>
    <row r="3197" spans="107:197">
      <c r="DC3197"/>
      <c r="FH3197"/>
      <c r="FI3197"/>
      <c r="FJ3197"/>
      <c r="FK3197"/>
      <c r="FL3197"/>
      <c r="FM3197"/>
      <c r="FN3197"/>
      <c r="FO3197"/>
      <c r="FP3197"/>
      <c r="FQ3197"/>
      <c r="FR3197"/>
      <c r="FS3197"/>
      <c r="FT3197"/>
      <c r="FU3197"/>
      <c r="FV3197"/>
      <c r="FW3197"/>
      <c r="FX3197"/>
      <c r="FY3197"/>
      <c r="FZ3197"/>
      <c r="GA3197"/>
      <c r="GB3197"/>
      <c r="GC3197"/>
      <c r="GD3197"/>
      <c r="GE3197"/>
      <c r="GF3197"/>
      <c r="GG3197"/>
      <c r="GH3197"/>
      <c r="GI3197"/>
      <c r="GJ3197"/>
      <c r="GK3197"/>
      <c r="GL3197"/>
      <c r="GM3197"/>
      <c r="GN3197"/>
      <c r="GO3197"/>
    </row>
    <row r="3198" spans="107:197">
      <c r="DC3198"/>
      <c r="FH3198"/>
      <c r="FI3198"/>
      <c r="FJ3198"/>
      <c r="FK3198"/>
      <c r="FL3198"/>
      <c r="FM3198"/>
      <c r="FN3198"/>
      <c r="FO3198"/>
      <c r="FP3198"/>
      <c r="FQ3198"/>
      <c r="FR3198"/>
      <c r="FS3198"/>
      <c r="FT3198"/>
      <c r="FU3198"/>
      <c r="FV3198"/>
      <c r="FW3198"/>
      <c r="FX3198"/>
      <c r="FY3198"/>
      <c r="FZ3198"/>
      <c r="GA3198"/>
      <c r="GB3198"/>
      <c r="GC3198"/>
      <c r="GD3198"/>
      <c r="GE3198"/>
      <c r="GF3198"/>
      <c r="GG3198"/>
      <c r="GH3198"/>
      <c r="GI3198"/>
      <c r="GJ3198"/>
      <c r="GK3198"/>
      <c r="GL3198"/>
      <c r="GM3198"/>
      <c r="GN3198"/>
      <c r="GO3198"/>
    </row>
    <row r="3199" spans="107:197">
      <c r="DC3199"/>
      <c r="FH3199"/>
      <c r="FI3199"/>
      <c r="FJ3199"/>
      <c r="FK3199"/>
      <c r="FL3199"/>
      <c r="FM3199"/>
      <c r="FN3199"/>
      <c r="FO3199"/>
      <c r="FP3199"/>
      <c r="FQ3199"/>
      <c r="FR3199"/>
      <c r="FS3199"/>
      <c r="FT3199"/>
      <c r="FU3199"/>
      <c r="FV3199"/>
      <c r="FW3199"/>
      <c r="FX3199"/>
      <c r="FY3199"/>
      <c r="FZ3199"/>
      <c r="GA3199"/>
      <c r="GB3199"/>
      <c r="GC3199"/>
      <c r="GD3199"/>
      <c r="GE3199"/>
      <c r="GF3199"/>
      <c r="GG3199"/>
      <c r="GH3199"/>
      <c r="GI3199"/>
      <c r="GJ3199"/>
      <c r="GK3199"/>
      <c r="GL3199"/>
      <c r="GM3199"/>
      <c r="GN3199"/>
      <c r="GO3199"/>
    </row>
    <row r="3200" spans="107:197">
      <c r="DC3200"/>
      <c r="FH3200"/>
      <c r="FI3200"/>
      <c r="FJ3200"/>
      <c r="FK3200"/>
      <c r="FL3200"/>
      <c r="FM3200"/>
      <c r="FN3200"/>
      <c r="FO3200"/>
      <c r="FP3200"/>
      <c r="FQ3200"/>
      <c r="FR3200"/>
      <c r="FS3200"/>
      <c r="FT3200"/>
      <c r="FU3200"/>
      <c r="FV3200"/>
      <c r="FW3200"/>
      <c r="FX3200"/>
      <c r="FY3200"/>
      <c r="FZ3200"/>
      <c r="GA3200"/>
      <c r="GB3200"/>
      <c r="GC3200"/>
      <c r="GD3200"/>
      <c r="GE3200"/>
      <c r="GF3200"/>
      <c r="GG3200"/>
      <c r="GH3200"/>
      <c r="GI3200"/>
      <c r="GJ3200"/>
      <c r="GK3200"/>
      <c r="GL3200"/>
      <c r="GM3200"/>
      <c r="GN3200"/>
      <c r="GO3200"/>
    </row>
    <row r="3201" spans="107:197">
      <c r="DC3201"/>
      <c r="FH3201"/>
      <c r="FI3201"/>
      <c r="FJ3201"/>
      <c r="FK3201"/>
      <c r="FL3201"/>
      <c r="FM3201"/>
      <c r="FN3201"/>
      <c r="FO3201"/>
      <c r="FP3201"/>
      <c r="FQ3201"/>
      <c r="FR3201"/>
      <c r="FS3201"/>
      <c r="FT3201"/>
      <c r="FU3201"/>
      <c r="FV3201"/>
      <c r="FW3201"/>
      <c r="FX3201"/>
      <c r="FY3201"/>
      <c r="FZ3201"/>
      <c r="GA3201"/>
      <c r="GB3201"/>
      <c r="GC3201"/>
      <c r="GD3201"/>
      <c r="GE3201"/>
      <c r="GF3201"/>
      <c r="GG3201"/>
      <c r="GH3201"/>
      <c r="GI3201"/>
      <c r="GJ3201"/>
      <c r="GK3201"/>
      <c r="GL3201"/>
      <c r="GM3201"/>
      <c r="GN3201"/>
      <c r="GO3201"/>
    </row>
    <row r="3202" spans="107:197">
      <c r="DC3202"/>
      <c r="FH3202"/>
      <c r="FI3202"/>
      <c r="FJ3202"/>
      <c r="FK3202"/>
      <c r="FL3202"/>
      <c r="FM3202"/>
      <c r="FN3202"/>
      <c r="FO3202"/>
      <c r="FP3202"/>
      <c r="FQ3202"/>
      <c r="FR3202"/>
      <c r="FS3202"/>
      <c r="FT3202"/>
      <c r="FU3202"/>
      <c r="FV3202"/>
      <c r="FW3202"/>
      <c r="FX3202"/>
      <c r="FY3202"/>
      <c r="FZ3202"/>
      <c r="GA3202"/>
      <c r="GB3202"/>
      <c r="GC3202"/>
      <c r="GD3202"/>
      <c r="GE3202"/>
      <c r="GF3202"/>
      <c r="GG3202"/>
      <c r="GH3202"/>
      <c r="GI3202"/>
      <c r="GJ3202"/>
      <c r="GK3202"/>
      <c r="GL3202"/>
      <c r="GM3202"/>
      <c r="GN3202"/>
      <c r="GO3202"/>
    </row>
    <row r="3203" spans="107:197">
      <c r="DC3203"/>
      <c r="FH3203"/>
      <c r="FI3203"/>
      <c r="FJ3203"/>
      <c r="FK3203"/>
      <c r="FL3203"/>
      <c r="FM3203"/>
      <c r="FN3203"/>
      <c r="FO3203"/>
      <c r="FP3203"/>
      <c r="FQ3203"/>
      <c r="FR3203"/>
      <c r="FS3203"/>
      <c r="FT3203"/>
      <c r="FU3203"/>
      <c r="FV3203"/>
      <c r="FW3203"/>
      <c r="FX3203"/>
      <c r="FY3203"/>
      <c r="FZ3203"/>
      <c r="GA3203"/>
      <c r="GB3203"/>
      <c r="GC3203"/>
      <c r="GD3203"/>
      <c r="GE3203"/>
      <c r="GF3203"/>
      <c r="GG3203"/>
      <c r="GH3203"/>
      <c r="GI3203"/>
      <c r="GJ3203"/>
      <c r="GK3203"/>
      <c r="GL3203"/>
      <c r="GM3203"/>
      <c r="GN3203"/>
      <c r="GO3203"/>
    </row>
    <row r="3204" spans="107:197">
      <c r="DC3204"/>
      <c r="FH3204"/>
      <c r="FI3204"/>
      <c r="FJ3204"/>
      <c r="FK3204"/>
      <c r="FL3204"/>
      <c r="FM3204"/>
      <c r="FN3204"/>
      <c r="FO3204"/>
      <c r="FP3204"/>
      <c r="FQ3204"/>
      <c r="FR3204"/>
      <c r="FS3204"/>
      <c r="FT3204"/>
      <c r="FU3204"/>
      <c r="FV3204"/>
      <c r="FW3204"/>
      <c r="FX3204"/>
      <c r="FY3204"/>
      <c r="FZ3204"/>
      <c r="GA3204"/>
      <c r="GB3204"/>
      <c r="GC3204"/>
      <c r="GD3204"/>
      <c r="GE3204"/>
      <c r="GF3204"/>
      <c r="GG3204"/>
      <c r="GH3204"/>
      <c r="GI3204"/>
      <c r="GJ3204"/>
      <c r="GK3204"/>
      <c r="GL3204"/>
      <c r="GM3204"/>
      <c r="GN3204"/>
      <c r="GO3204"/>
    </row>
    <row r="3205" spans="107:197">
      <c r="DC3205"/>
      <c r="FH3205"/>
      <c r="FI3205"/>
      <c r="FJ3205"/>
      <c r="FK3205"/>
      <c r="FL3205"/>
      <c r="FM3205"/>
      <c r="FN3205"/>
      <c r="FO3205"/>
      <c r="FP3205"/>
      <c r="FQ3205"/>
      <c r="FR3205"/>
      <c r="FS3205"/>
      <c r="FT3205"/>
      <c r="FU3205"/>
      <c r="FV3205"/>
      <c r="FW3205"/>
      <c r="FX3205"/>
      <c r="FY3205"/>
      <c r="FZ3205"/>
      <c r="GA3205"/>
      <c r="GB3205"/>
      <c r="GC3205"/>
      <c r="GD3205"/>
      <c r="GE3205"/>
      <c r="GF3205"/>
      <c r="GG3205"/>
      <c r="GH3205"/>
      <c r="GI3205"/>
      <c r="GJ3205"/>
      <c r="GK3205"/>
      <c r="GL3205"/>
      <c r="GM3205"/>
      <c r="GN3205"/>
      <c r="GO3205"/>
    </row>
    <row r="3206" spans="107:197">
      <c r="DC3206"/>
      <c r="FH3206"/>
      <c r="FI3206"/>
      <c r="FJ3206"/>
      <c r="FK3206"/>
      <c r="FL3206"/>
      <c r="FM3206"/>
      <c r="FN3206"/>
      <c r="FO3206"/>
      <c r="FP3206"/>
      <c r="FQ3206"/>
      <c r="FR3206"/>
      <c r="FS3206"/>
      <c r="FT3206"/>
      <c r="FU3206"/>
      <c r="FV3206"/>
      <c r="FW3206"/>
      <c r="FX3206"/>
      <c r="FY3206"/>
      <c r="FZ3206"/>
      <c r="GA3206"/>
      <c r="GB3206"/>
      <c r="GC3206"/>
      <c r="GD3206"/>
      <c r="GE3206"/>
      <c r="GF3206"/>
      <c r="GG3206"/>
      <c r="GH3206"/>
      <c r="GI3206"/>
      <c r="GJ3206"/>
      <c r="GK3206"/>
      <c r="GL3206"/>
      <c r="GM3206"/>
      <c r="GN3206"/>
      <c r="GO3206"/>
    </row>
    <row r="3207" spans="107:197">
      <c r="DC3207"/>
      <c r="FH3207"/>
      <c r="FI3207"/>
      <c r="FJ3207"/>
      <c r="FK3207"/>
      <c r="FL3207"/>
      <c r="FM3207"/>
      <c r="FN3207"/>
      <c r="FO3207"/>
      <c r="FP3207"/>
      <c r="FQ3207"/>
      <c r="FR3207"/>
      <c r="FS3207"/>
      <c r="FT3207"/>
      <c r="FU3207"/>
      <c r="FV3207"/>
      <c r="FW3207"/>
      <c r="FX3207"/>
      <c r="FY3207"/>
      <c r="FZ3207"/>
      <c r="GA3207"/>
      <c r="GB3207"/>
      <c r="GC3207"/>
      <c r="GD3207"/>
      <c r="GE3207"/>
      <c r="GF3207"/>
      <c r="GG3207"/>
      <c r="GH3207"/>
      <c r="GI3207"/>
      <c r="GJ3207"/>
      <c r="GK3207"/>
      <c r="GL3207"/>
      <c r="GM3207"/>
      <c r="GN3207"/>
      <c r="GO3207"/>
    </row>
    <row r="3208" spans="107:197">
      <c r="DC3208"/>
      <c r="FH3208"/>
      <c r="FI3208"/>
      <c r="FJ3208"/>
      <c r="FK3208"/>
      <c r="FL3208"/>
      <c r="FM3208"/>
      <c r="FN3208"/>
      <c r="FO3208"/>
      <c r="FP3208"/>
      <c r="FQ3208"/>
      <c r="FR3208"/>
      <c r="FS3208"/>
      <c r="FT3208"/>
      <c r="FU3208"/>
      <c r="FV3208"/>
      <c r="FW3208"/>
      <c r="FX3208"/>
      <c r="FY3208"/>
      <c r="FZ3208"/>
      <c r="GA3208"/>
      <c r="GB3208"/>
      <c r="GC3208"/>
      <c r="GD3208"/>
      <c r="GE3208"/>
      <c r="GF3208"/>
      <c r="GG3208"/>
      <c r="GH3208"/>
      <c r="GI3208"/>
      <c r="GJ3208"/>
      <c r="GK3208"/>
      <c r="GL3208"/>
      <c r="GM3208"/>
      <c r="GN3208"/>
      <c r="GO3208"/>
    </row>
    <row r="3209" spans="107:197">
      <c r="DC3209"/>
      <c r="FH3209"/>
      <c r="FI3209"/>
      <c r="FJ3209"/>
      <c r="FK3209"/>
      <c r="FL3209"/>
      <c r="FM3209"/>
      <c r="FN3209"/>
      <c r="FO3209"/>
      <c r="FP3209"/>
      <c r="FQ3209"/>
      <c r="FR3209"/>
      <c r="FS3209"/>
      <c r="FT3209"/>
      <c r="FU3209"/>
      <c r="FV3209"/>
      <c r="FW3209"/>
      <c r="FX3209"/>
      <c r="FY3209"/>
      <c r="FZ3209"/>
      <c r="GA3209"/>
      <c r="GB3209"/>
      <c r="GC3209"/>
      <c r="GD3209"/>
      <c r="GE3209"/>
      <c r="GF3209"/>
      <c r="GG3209"/>
      <c r="GH3209"/>
      <c r="GI3209"/>
      <c r="GJ3209"/>
      <c r="GK3209"/>
      <c r="GL3209"/>
      <c r="GM3209"/>
      <c r="GN3209"/>
      <c r="GO3209"/>
    </row>
    <row r="3210" spans="107:197">
      <c r="DC3210"/>
      <c r="FH3210"/>
      <c r="FI3210"/>
      <c r="FJ3210"/>
      <c r="FK3210"/>
      <c r="FL3210"/>
      <c r="FM3210"/>
      <c r="FN3210"/>
      <c r="FO3210"/>
      <c r="FP3210"/>
      <c r="FQ3210"/>
      <c r="FR3210"/>
      <c r="FS3210"/>
      <c r="FT3210"/>
      <c r="FU3210"/>
      <c r="FV3210"/>
      <c r="FW3210"/>
      <c r="FX3210"/>
      <c r="FY3210"/>
      <c r="FZ3210"/>
      <c r="GA3210"/>
      <c r="GB3210"/>
      <c r="GC3210"/>
      <c r="GD3210"/>
      <c r="GE3210"/>
      <c r="GF3210"/>
      <c r="GG3210"/>
      <c r="GH3210"/>
      <c r="GI3210"/>
      <c r="GJ3210"/>
      <c r="GK3210"/>
      <c r="GL3210"/>
      <c r="GM3210"/>
      <c r="GN3210"/>
      <c r="GO3210"/>
    </row>
    <row r="3211" spans="107:197">
      <c r="DC3211"/>
      <c r="FH3211"/>
      <c r="FI3211"/>
      <c r="FJ3211"/>
      <c r="FK3211"/>
      <c r="FL3211"/>
      <c r="FM3211"/>
      <c r="FN3211"/>
      <c r="FO3211"/>
      <c r="FP3211"/>
      <c r="FQ3211"/>
      <c r="FR3211"/>
      <c r="FS3211"/>
      <c r="FT3211"/>
      <c r="FU3211"/>
      <c r="FV3211"/>
      <c r="FW3211"/>
      <c r="FX3211"/>
      <c r="FY3211"/>
      <c r="FZ3211"/>
      <c r="GA3211"/>
      <c r="GB3211"/>
      <c r="GC3211"/>
      <c r="GD3211"/>
      <c r="GE3211"/>
      <c r="GF3211"/>
      <c r="GG3211"/>
      <c r="GH3211"/>
      <c r="GI3211"/>
      <c r="GJ3211"/>
      <c r="GK3211"/>
      <c r="GL3211"/>
      <c r="GM3211"/>
      <c r="GN3211"/>
      <c r="GO3211"/>
    </row>
    <row r="3212" spans="107:197">
      <c r="DC3212"/>
      <c r="FH3212"/>
      <c r="FI3212"/>
      <c r="FJ3212"/>
      <c r="FK3212"/>
      <c r="FL3212"/>
      <c r="FM3212"/>
      <c r="FN3212"/>
      <c r="FO3212"/>
      <c r="FP3212"/>
      <c r="FQ3212"/>
      <c r="FR3212"/>
      <c r="FS3212"/>
      <c r="FT3212"/>
      <c r="FU3212"/>
      <c r="FV3212"/>
      <c r="FW3212"/>
      <c r="FX3212"/>
      <c r="FY3212"/>
      <c r="FZ3212"/>
      <c r="GA3212"/>
      <c r="GB3212"/>
      <c r="GC3212"/>
      <c r="GD3212"/>
      <c r="GE3212"/>
      <c r="GF3212"/>
      <c r="GG3212"/>
      <c r="GH3212"/>
      <c r="GI3212"/>
      <c r="GJ3212"/>
      <c r="GK3212"/>
      <c r="GL3212"/>
      <c r="GM3212"/>
      <c r="GN3212"/>
      <c r="GO3212"/>
    </row>
    <row r="3213" spans="107:197">
      <c r="DC3213"/>
      <c r="FH3213"/>
      <c r="FI3213"/>
      <c r="FJ3213"/>
      <c r="FK3213"/>
      <c r="FL3213"/>
      <c r="FM3213"/>
      <c r="FN3213"/>
      <c r="FO3213"/>
      <c r="FP3213"/>
      <c r="FQ3213"/>
      <c r="FR3213"/>
      <c r="FS3213"/>
      <c r="FT3213"/>
      <c r="FU3213"/>
      <c r="FV3213"/>
      <c r="FW3213"/>
      <c r="FX3213"/>
      <c r="FY3213"/>
      <c r="FZ3213"/>
      <c r="GA3213"/>
      <c r="GB3213"/>
      <c r="GC3213"/>
      <c r="GD3213"/>
      <c r="GE3213"/>
      <c r="GF3213"/>
      <c r="GG3213"/>
      <c r="GH3213"/>
      <c r="GI3213"/>
      <c r="GJ3213"/>
      <c r="GK3213"/>
      <c r="GL3213"/>
      <c r="GM3213"/>
      <c r="GN3213"/>
      <c r="GO3213"/>
    </row>
    <row r="3214" spans="107:197">
      <c r="DC3214"/>
      <c r="FH3214"/>
      <c r="FI3214"/>
      <c r="FJ3214"/>
      <c r="FK3214"/>
      <c r="FL3214"/>
      <c r="FM3214"/>
      <c r="FN3214"/>
      <c r="FO3214"/>
      <c r="FP3214"/>
      <c r="FQ3214"/>
      <c r="FR3214"/>
      <c r="FS3214"/>
      <c r="FT3214"/>
      <c r="FU3214"/>
      <c r="FV3214"/>
      <c r="FW3214"/>
      <c r="FX3214"/>
      <c r="FY3214"/>
      <c r="FZ3214"/>
      <c r="GA3214"/>
      <c r="GB3214"/>
      <c r="GC3214"/>
      <c r="GD3214"/>
      <c r="GE3214"/>
      <c r="GF3214"/>
      <c r="GG3214"/>
      <c r="GH3214"/>
      <c r="GI3214"/>
      <c r="GJ3214"/>
      <c r="GK3214"/>
      <c r="GL3214"/>
      <c r="GM3214"/>
      <c r="GN3214"/>
      <c r="GO3214"/>
    </row>
    <row r="3215" spans="107:197">
      <c r="DC3215"/>
      <c r="FH3215"/>
      <c r="FI3215"/>
      <c r="FJ3215"/>
      <c r="FK3215"/>
      <c r="FL3215"/>
      <c r="FM3215"/>
      <c r="FN3215"/>
      <c r="FO3215"/>
      <c r="FP3215"/>
      <c r="FQ3215"/>
      <c r="FR3215"/>
      <c r="FS3215"/>
      <c r="FT3215"/>
      <c r="FU3215"/>
      <c r="FV3215"/>
      <c r="FW3215"/>
      <c r="FX3215"/>
      <c r="FY3215"/>
      <c r="FZ3215"/>
      <c r="GA3215"/>
      <c r="GB3215"/>
      <c r="GC3215"/>
      <c r="GD3215"/>
      <c r="GE3215"/>
      <c r="GF3215"/>
      <c r="GG3215"/>
      <c r="GH3215"/>
      <c r="GI3215"/>
      <c r="GJ3215"/>
      <c r="GK3215"/>
      <c r="GL3215"/>
      <c r="GM3215"/>
      <c r="GN3215"/>
      <c r="GO3215"/>
    </row>
    <row r="3216" spans="107:197">
      <c r="DC3216"/>
      <c r="FH3216"/>
      <c r="FI3216"/>
      <c r="FJ3216"/>
      <c r="FK3216"/>
      <c r="FL3216"/>
      <c r="FM3216"/>
      <c r="FN3216"/>
      <c r="FO3216"/>
      <c r="FP3216"/>
      <c r="FQ3216"/>
      <c r="FR3216"/>
      <c r="FS3216"/>
      <c r="FT3216"/>
      <c r="FU3216"/>
      <c r="FV3216"/>
      <c r="FW3216"/>
      <c r="FX3216"/>
      <c r="FY3216"/>
      <c r="FZ3216"/>
      <c r="GA3216"/>
      <c r="GB3216"/>
      <c r="GC3216"/>
      <c r="GD3216"/>
      <c r="GE3216"/>
      <c r="GF3216"/>
      <c r="GG3216"/>
      <c r="GH3216"/>
      <c r="GI3216"/>
      <c r="GJ3216"/>
      <c r="GK3216"/>
      <c r="GL3216"/>
      <c r="GM3216"/>
      <c r="GN3216"/>
      <c r="GO3216"/>
    </row>
    <row r="3217" spans="107:197">
      <c r="DC3217"/>
      <c r="FH3217"/>
      <c r="FI3217"/>
      <c r="FJ3217"/>
      <c r="FK3217"/>
      <c r="FL3217"/>
      <c r="FM3217"/>
      <c r="FN3217"/>
      <c r="FO3217"/>
      <c r="FP3217"/>
      <c r="FQ3217"/>
      <c r="FR3217"/>
      <c r="FS3217"/>
      <c r="FT3217"/>
      <c r="FU3217"/>
      <c r="FV3217"/>
      <c r="FW3217"/>
      <c r="FX3217"/>
      <c r="FY3217"/>
      <c r="FZ3217"/>
      <c r="GA3217"/>
      <c r="GB3217"/>
      <c r="GC3217"/>
      <c r="GD3217"/>
      <c r="GE3217"/>
      <c r="GF3217"/>
      <c r="GG3217"/>
      <c r="GH3217"/>
      <c r="GI3217"/>
      <c r="GJ3217"/>
      <c r="GK3217"/>
      <c r="GL3217"/>
      <c r="GM3217"/>
      <c r="GN3217"/>
      <c r="GO3217"/>
    </row>
    <row r="3218" spans="107:197">
      <c r="DC3218"/>
      <c r="FH3218"/>
      <c r="FI3218"/>
      <c r="FJ3218"/>
      <c r="FK3218"/>
      <c r="FL3218"/>
      <c r="FM3218"/>
      <c r="FN3218"/>
      <c r="FO3218"/>
      <c r="FP3218"/>
      <c r="FQ3218"/>
      <c r="FR3218"/>
      <c r="FS3218"/>
      <c r="FT3218"/>
      <c r="FU3218"/>
      <c r="FV3218"/>
      <c r="FW3218"/>
      <c r="FX3218"/>
      <c r="FY3218"/>
      <c r="FZ3218"/>
      <c r="GA3218"/>
      <c r="GB3218"/>
      <c r="GC3218"/>
      <c r="GD3218"/>
      <c r="GE3218"/>
      <c r="GF3218"/>
      <c r="GG3218"/>
      <c r="GH3218"/>
      <c r="GI3218"/>
      <c r="GJ3218"/>
      <c r="GK3218"/>
      <c r="GL3218"/>
      <c r="GM3218"/>
      <c r="GN3218"/>
      <c r="GO3218"/>
    </row>
    <row r="3219" spans="107:197">
      <c r="DC3219"/>
      <c r="FH3219"/>
      <c r="FI3219"/>
      <c r="FJ3219"/>
      <c r="FK3219"/>
      <c r="FL3219"/>
      <c r="FM3219"/>
      <c r="FN3219"/>
      <c r="FO3219"/>
      <c r="FP3219"/>
      <c r="FQ3219"/>
      <c r="FR3219"/>
      <c r="FS3219"/>
      <c r="FT3219"/>
      <c r="FU3219"/>
      <c r="FV3219"/>
      <c r="FW3219"/>
      <c r="FX3219"/>
      <c r="FY3219"/>
      <c r="FZ3219"/>
      <c r="GA3219"/>
      <c r="GB3219"/>
      <c r="GC3219"/>
      <c r="GD3219"/>
      <c r="GE3219"/>
      <c r="GF3219"/>
      <c r="GG3219"/>
      <c r="GH3219"/>
      <c r="GI3219"/>
      <c r="GJ3219"/>
      <c r="GK3219"/>
      <c r="GL3219"/>
      <c r="GM3219"/>
      <c r="GN3219"/>
      <c r="GO3219"/>
    </row>
    <row r="3220" spans="107:197">
      <c r="DC3220"/>
      <c r="FH3220"/>
      <c r="FI3220"/>
      <c r="FJ3220"/>
      <c r="FK3220"/>
      <c r="FL3220"/>
      <c r="FM3220"/>
      <c r="FN3220"/>
      <c r="FO3220"/>
      <c r="FP3220"/>
      <c r="FQ3220"/>
      <c r="FR3220"/>
      <c r="FS3220"/>
      <c r="FT3220"/>
      <c r="FU3220"/>
      <c r="FV3220"/>
      <c r="FW3220"/>
      <c r="FX3220"/>
      <c r="FY3220"/>
      <c r="FZ3220"/>
      <c r="GA3220"/>
      <c r="GB3220"/>
      <c r="GC3220"/>
      <c r="GD3220"/>
      <c r="GE3220"/>
      <c r="GF3220"/>
      <c r="GG3220"/>
      <c r="GH3220"/>
      <c r="GI3220"/>
      <c r="GJ3220"/>
      <c r="GK3220"/>
      <c r="GL3220"/>
      <c r="GM3220"/>
      <c r="GN3220"/>
      <c r="GO3220"/>
    </row>
    <row r="3221" spans="107:197">
      <c r="DC3221"/>
      <c r="FH3221"/>
      <c r="FI3221"/>
      <c r="FJ3221"/>
      <c r="FK3221"/>
      <c r="FL3221"/>
      <c r="FM3221"/>
      <c r="FN3221"/>
      <c r="FO3221"/>
      <c r="FP3221"/>
      <c r="FQ3221"/>
      <c r="FR3221"/>
      <c r="FS3221"/>
      <c r="FT3221"/>
      <c r="FU3221"/>
      <c r="FV3221"/>
      <c r="FW3221"/>
      <c r="FX3221"/>
      <c r="FY3221"/>
      <c r="FZ3221"/>
      <c r="GA3221"/>
      <c r="GB3221"/>
      <c r="GC3221"/>
      <c r="GD3221"/>
      <c r="GE3221"/>
      <c r="GF3221"/>
      <c r="GG3221"/>
      <c r="GH3221"/>
      <c r="GI3221"/>
      <c r="GJ3221"/>
      <c r="GK3221"/>
      <c r="GL3221"/>
      <c r="GM3221"/>
      <c r="GN3221"/>
      <c r="GO3221"/>
    </row>
    <row r="3222" spans="107:197">
      <c r="DC3222"/>
      <c r="FH3222"/>
      <c r="FI3222"/>
      <c r="FJ3222"/>
      <c r="FK3222"/>
      <c r="FL3222"/>
      <c r="FM3222"/>
      <c r="FN3222"/>
      <c r="FO3222"/>
      <c r="FP3222"/>
      <c r="FQ3222"/>
      <c r="FR3222"/>
      <c r="FS3222"/>
      <c r="FT3222"/>
      <c r="FU3222"/>
      <c r="FV3222"/>
      <c r="FW3222"/>
      <c r="FX3222"/>
      <c r="FY3222"/>
      <c r="FZ3222"/>
      <c r="GA3222"/>
      <c r="GB3222"/>
      <c r="GC3222"/>
      <c r="GD3222"/>
      <c r="GE3222"/>
      <c r="GF3222"/>
      <c r="GG3222"/>
      <c r="GH3222"/>
      <c r="GI3222"/>
      <c r="GJ3222"/>
      <c r="GK3222"/>
      <c r="GL3222"/>
      <c r="GM3222"/>
      <c r="GN3222"/>
      <c r="GO3222"/>
    </row>
    <row r="3223" spans="107:197">
      <c r="DC3223"/>
      <c r="FH3223"/>
      <c r="FI3223"/>
      <c r="FJ3223"/>
      <c r="FK3223"/>
      <c r="FL3223"/>
      <c r="FM3223"/>
      <c r="FN3223"/>
      <c r="FO3223"/>
      <c r="FP3223"/>
      <c r="FQ3223"/>
      <c r="FR3223"/>
      <c r="FS3223"/>
      <c r="FT3223"/>
      <c r="FU3223"/>
      <c r="FV3223"/>
      <c r="FW3223"/>
      <c r="FX3223"/>
      <c r="FY3223"/>
      <c r="FZ3223"/>
      <c r="GA3223"/>
      <c r="GB3223"/>
      <c r="GC3223"/>
      <c r="GD3223"/>
      <c r="GE3223"/>
      <c r="GF3223"/>
      <c r="GG3223"/>
      <c r="GH3223"/>
      <c r="GI3223"/>
      <c r="GJ3223"/>
      <c r="GK3223"/>
      <c r="GL3223"/>
      <c r="GM3223"/>
      <c r="GN3223"/>
      <c r="GO3223"/>
    </row>
    <row r="3224" spans="107:197">
      <c r="DC3224"/>
      <c r="FH3224"/>
      <c r="FI3224"/>
      <c r="FJ3224"/>
      <c r="FK3224"/>
      <c r="FL3224"/>
      <c r="FM3224"/>
      <c r="FN3224"/>
      <c r="FO3224"/>
      <c r="FP3224"/>
      <c r="FQ3224"/>
      <c r="FR3224"/>
      <c r="FS3224"/>
      <c r="FT3224"/>
      <c r="FU3224"/>
      <c r="FV3224"/>
      <c r="FW3224"/>
      <c r="FX3224"/>
      <c r="FY3224"/>
      <c r="FZ3224"/>
      <c r="GA3224"/>
      <c r="GB3224"/>
      <c r="GC3224"/>
      <c r="GD3224"/>
      <c r="GE3224"/>
      <c r="GF3224"/>
      <c r="GG3224"/>
      <c r="GH3224"/>
      <c r="GI3224"/>
      <c r="GJ3224"/>
      <c r="GK3224"/>
      <c r="GL3224"/>
      <c r="GM3224"/>
      <c r="GN3224"/>
      <c r="GO3224"/>
    </row>
    <row r="3225" spans="107:197">
      <c r="DC3225"/>
      <c r="FH3225"/>
      <c r="FI3225"/>
      <c r="FJ3225"/>
      <c r="FK3225"/>
      <c r="FL3225"/>
      <c r="FM3225"/>
      <c r="FN3225"/>
      <c r="FO3225"/>
      <c r="FP3225"/>
      <c r="FQ3225"/>
      <c r="FR3225"/>
      <c r="FS3225"/>
      <c r="FT3225"/>
      <c r="FU3225"/>
      <c r="FV3225"/>
      <c r="FW3225"/>
      <c r="FX3225"/>
      <c r="FY3225"/>
      <c r="FZ3225"/>
      <c r="GA3225"/>
      <c r="GB3225"/>
      <c r="GC3225"/>
      <c r="GD3225"/>
      <c r="GE3225"/>
      <c r="GF3225"/>
      <c r="GG3225"/>
      <c r="GH3225"/>
      <c r="GI3225"/>
      <c r="GJ3225"/>
      <c r="GK3225"/>
      <c r="GL3225"/>
      <c r="GM3225"/>
      <c r="GN3225"/>
      <c r="GO3225"/>
    </row>
    <row r="3226" spans="107:197">
      <c r="DC3226"/>
      <c r="FH3226"/>
      <c r="FI3226"/>
      <c r="FJ3226"/>
      <c r="FK3226"/>
      <c r="FL3226"/>
      <c r="FM3226"/>
      <c r="FN3226"/>
      <c r="FO3226"/>
      <c r="FP3226"/>
      <c r="FQ3226"/>
      <c r="FR3226"/>
      <c r="FS3226"/>
      <c r="FT3226"/>
      <c r="FU3226"/>
      <c r="FV3226"/>
      <c r="FW3226"/>
      <c r="FX3226"/>
      <c r="FY3226"/>
      <c r="FZ3226"/>
      <c r="GA3226"/>
      <c r="GB3226"/>
      <c r="GC3226"/>
      <c r="GD3226"/>
      <c r="GE3226"/>
      <c r="GF3226"/>
      <c r="GG3226"/>
      <c r="GH3226"/>
      <c r="GI3226"/>
      <c r="GJ3226"/>
      <c r="GK3226"/>
      <c r="GL3226"/>
      <c r="GM3226"/>
      <c r="GN3226"/>
      <c r="GO3226"/>
    </row>
    <row r="3227" spans="107:197">
      <c r="DC3227"/>
      <c r="FH3227"/>
      <c r="FI3227"/>
      <c r="FJ3227"/>
      <c r="FK3227"/>
      <c r="FL3227"/>
      <c r="FM3227"/>
      <c r="FN3227"/>
      <c r="FO3227"/>
      <c r="FP3227"/>
      <c r="FQ3227"/>
      <c r="FR3227"/>
      <c r="FS3227"/>
      <c r="FT3227"/>
      <c r="FU3227"/>
      <c r="FV3227"/>
      <c r="FW3227"/>
      <c r="FX3227"/>
      <c r="FY3227"/>
      <c r="FZ3227"/>
      <c r="GA3227"/>
      <c r="GB3227"/>
      <c r="GC3227"/>
      <c r="GD3227"/>
      <c r="GE3227"/>
      <c r="GF3227"/>
      <c r="GG3227"/>
      <c r="GH3227"/>
      <c r="GI3227"/>
      <c r="GJ3227"/>
      <c r="GK3227"/>
      <c r="GL3227"/>
      <c r="GM3227"/>
      <c r="GN3227"/>
      <c r="GO3227"/>
    </row>
    <row r="3228" spans="107:197">
      <c r="DC3228"/>
      <c r="FH3228"/>
      <c r="FI3228"/>
      <c r="FJ3228"/>
      <c r="FK3228"/>
      <c r="FL3228"/>
      <c r="FM3228"/>
      <c r="FN3228"/>
      <c r="FO3228"/>
      <c r="FP3228"/>
      <c r="FQ3228"/>
      <c r="FR3228"/>
      <c r="FS3228"/>
      <c r="FT3228"/>
      <c r="FU3228"/>
      <c r="FV3228"/>
      <c r="FW3228"/>
      <c r="FX3228"/>
      <c r="FY3228"/>
      <c r="FZ3228"/>
      <c r="GA3228"/>
      <c r="GB3228"/>
      <c r="GC3228"/>
      <c r="GD3228"/>
      <c r="GE3228"/>
      <c r="GF3228"/>
      <c r="GG3228"/>
      <c r="GH3228"/>
      <c r="GI3228"/>
      <c r="GJ3228"/>
      <c r="GK3228"/>
      <c r="GL3228"/>
      <c r="GM3228"/>
      <c r="GN3228"/>
      <c r="GO3228"/>
    </row>
    <row r="3229" spans="107:197">
      <c r="DC3229"/>
      <c r="FH3229"/>
      <c r="FI3229"/>
      <c r="FJ3229"/>
      <c r="FK3229"/>
      <c r="FL3229"/>
      <c r="FM3229"/>
      <c r="FN3229"/>
      <c r="FO3229"/>
      <c r="FP3229"/>
      <c r="FQ3229"/>
      <c r="FR3229"/>
      <c r="FS3229"/>
      <c r="FT3229"/>
      <c r="FU3229"/>
      <c r="FV3229"/>
      <c r="FW3229"/>
      <c r="FX3229"/>
      <c r="FY3229"/>
      <c r="FZ3229"/>
      <c r="GA3229"/>
      <c r="GB3229"/>
      <c r="GC3229"/>
      <c r="GD3229"/>
      <c r="GE3229"/>
      <c r="GF3229"/>
      <c r="GG3229"/>
      <c r="GH3229"/>
      <c r="GI3229"/>
      <c r="GJ3229"/>
      <c r="GK3229"/>
      <c r="GL3229"/>
      <c r="GM3229"/>
      <c r="GN3229"/>
      <c r="GO3229"/>
    </row>
    <row r="3230" spans="107:197">
      <c r="DC3230"/>
      <c r="FH3230"/>
      <c r="FI3230"/>
      <c r="FJ3230"/>
      <c r="FK3230"/>
      <c r="FL3230"/>
      <c r="FM3230"/>
      <c r="FN3230"/>
      <c r="FO3230"/>
      <c r="FP3230"/>
      <c r="FQ3230"/>
      <c r="FR3230"/>
      <c r="FS3230"/>
      <c r="FT3230"/>
      <c r="FU3230"/>
      <c r="FV3230"/>
      <c r="FW3230"/>
      <c r="FX3230"/>
      <c r="FY3230"/>
      <c r="FZ3230"/>
      <c r="GA3230"/>
      <c r="GB3230"/>
      <c r="GC3230"/>
      <c r="GD3230"/>
      <c r="GE3230"/>
      <c r="GF3230"/>
      <c r="GG3230"/>
      <c r="GH3230"/>
      <c r="GI3230"/>
      <c r="GJ3230"/>
      <c r="GK3230"/>
      <c r="GL3230"/>
      <c r="GM3230"/>
      <c r="GN3230"/>
      <c r="GO3230"/>
    </row>
    <row r="3231" spans="107:197">
      <c r="DC3231"/>
      <c r="FH3231"/>
      <c r="FI3231"/>
      <c r="FJ3231"/>
      <c r="FK3231"/>
      <c r="FL3231"/>
      <c r="FM3231"/>
      <c r="FN3231"/>
      <c r="FO3231"/>
      <c r="FP3231"/>
      <c r="FQ3231"/>
      <c r="FR3231"/>
      <c r="FS3231"/>
      <c r="FT3231"/>
      <c r="FU3231"/>
      <c r="FV3231"/>
      <c r="FW3231"/>
      <c r="FX3231"/>
      <c r="FY3231"/>
      <c r="FZ3231"/>
      <c r="GA3231"/>
      <c r="GB3231"/>
      <c r="GC3231"/>
      <c r="GD3231"/>
      <c r="GE3231"/>
      <c r="GF3231"/>
      <c r="GG3231"/>
      <c r="GH3231"/>
      <c r="GI3231"/>
      <c r="GJ3231"/>
      <c r="GK3231"/>
      <c r="GL3231"/>
      <c r="GM3231"/>
      <c r="GN3231"/>
      <c r="GO3231"/>
    </row>
    <row r="3232" spans="107:197">
      <c r="DC3232"/>
      <c r="FH3232"/>
      <c r="FI3232"/>
      <c r="FJ3232"/>
      <c r="FK3232"/>
      <c r="FL3232"/>
      <c r="FM3232"/>
      <c r="FN3232"/>
      <c r="FO3232"/>
      <c r="FP3232"/>
      <c r="FQ3232"/>
      <c r="FR3232"/>
      <c r="FS3232"/>
      <c r="FT3232"/>
      <c r="FU3232"/>
      <c r="FV3232"/>
      <c r="FW3232"/>
      <c r="FX3232"/>
      <c r="FY3232"/>
      <c r="FZ3232"/>
      <c r="GA3232"/>
      <c r="GB3232"/>
      <c r="GC3232"/>
      <c r="GD3232"/>
      <c r="GE3232"/>
      <c r="GF3232"/>
      <c r="GG3232"/>
      <c r="GH3232"/>
      <c r="GI3232"/>
      <c r="GJ3232"/>
      <c r="GK3232"/>
      <c r="GL3232"/>
      <c r="GM3232"/>
      <c r="GN3232"/>
      <c r="GO3232"/>
    </row>
    <row r="3233" spans="107:197">
      <c r="DC3233"/>
      <c r="FH3233"/>
      <c r="FI3233"/>
      <c r="FJ3233"/>
      <c r="FK3233"/>
      <c r="FL3233"/>
      <c r="FM3233"/>
      <c r="FN3233"/>
      <c r="FO3233"/>
      <c r="FP3233"/>
      <c r="FQ3233"/>
      <c r="FR3233"/>
      <c r="FS3233"/>
      <c r="FT3233"/>
      <c r="FU3233"/>
      <c r="FV3233"/>
      <c r="FW3233"/>
      <c r="FX3233"/>
      <c r="FY3233"/>
      <c r="FZ3233"/>
      <c r="GA3233"/>
      <c r="GB3233"/>
      <c r="GC3233"/>
      <c r="GD3233"/>
      <c r="GE3233"/>
      <c r="GF3233"/>
      <c r="GG3233"/>
      <c r="GH3233"/>
      <c r="GI3233"/>
      <c r="GJ3233"/>
      <c r="GK3233"/>
      <c r="GL3233"/>
      <c r="GM3233"/>
      <c r="GN3233"/>
      <c r="GO3233"/>
    </row>
    <row r="3234" spans="107:197">
      <c r="DC3234"/>
      <c r="FH3234"/>
      <c r="FI3234"/>
      <c r="FJ3234"/>
      <c r="FK3234"/>
      <c r="FL3234"/>
      <c r="FM3234"/>
      <c r="FN3234"/>
      <c r="FO3234"/>
      <c r="FP3234"/>
      <c r="FQ3234"/>
      <c r="FR3234"/>
      <c r="FS3234"/>
      <c r="FT3234"/>
      <c r="FU3234"/>
      <c r="FV3234"/>
      <c r="FW3234"/>
      <c r="FX3234"/>
      <c r="FY3234"/>
      <c r="FZ3234"/>
      <c r="GA3234"/>
      <c r="GB3234"/>
      <c r="GC3234"/>
      <c r="GD3234"/>
      <c r="GE3234"/>
      <c r="GF3234"/>
      <c r="GG3234"/>
      <c r="GH3234"/>
      <c r="GI3234"/>
      <c r="GJ3234"/>
      <c r="GK3234"/>
      <c r="GL3234"/>
      <c r="GM3234"/>
      <c r="GN3234"/>
      <c r="GO3234"/>
    </row>
    <row r="3235" spans="107:197">
      <c r="DC3235"/>
      <c r="FH3235"/>
      <c r="FI3235"/>
      <c r="FJ3235"/>
      <c r="FK3235"/>
      <c r="FL3235"/>
      <c r="FM3235"/>
      <c r="FN3235"/>
      <c r="FO3235"/>
      <c r="FP3235"/>
      <c r="FQ3235"/>
      <c r="FR3235"/>
      <c r="FS3235"/>
      <c r="FT3235"/>
      <c r="FU3235"/>
      <c r="FV3235"/>
      <c r="FW3235"/>
      <c r="FX3235"/>
      <c r="FY3235"/>
      <c r="FZ3235"/>
      <c r="GA3235"/>
      <c r="GB3235"/>
      <c r="GC3235"/>
      <c r="GD3235"/>
      <c r="GE3235"/>
      <c r="GF3235"/>
      <c r="GG3235"/>
      <c r="GH3235"/>
      <c r="GI3235"/>
      <c r="GJ3235"/>
      <c r="GK3235"/>
      <c r="GL3235"/>
      <c r="GM3235"/>
      <c r="GN3235"/>
      <c r="GO3235"/>
    </row>
    <row r="3236" spans="107:197">
      <c r="DC3236"/>
      <c r="FH3236"/>
      <c r="FI3236"/>
      <c r="FJ3236"/>
      <c r="FK3236"/>
      <c r="FL3236"/>
      <c r="FM3236"/>
      <c r="FN3236"/>
      <c r="FO3236"/>
      <c r="FP3236"/>
      <c r="FQ3236"/>
      <c r="FR3236"/>
      <c r="FS3236"/>
      <c r="FT3236"/>
      <c r="FU3236"/>
      <c r="FV3236"/>
      <c r="FW3236"/>
      <c r="FX3236"/>
      <c r="FY3236"/>
      <c r="FZ3236"/>
      <c r="GA3236"/>
      <c r="GB3236"/>
      <c r="GC3236"/>
      <c r="GD3236"/>
      <c r="GE3236"/>
      <c r="GF3236"/>
      <c r="GG3236"/>
      <c r="GH3236"/>
      <c r="GI3236"/>
      <c r="GJ3236"/>
      <c r="GK3236"/>
      <c r="GL3236"/>
      <c r="GM3236"/>
      <c r="GN3236"/>
      <c r="GO3236"/>
    </row>
    <row r="3237" spans="107:197">
      <c r="DC3237"/>
      <c r="FH3237"/>
      <c r="FI3237"/>
      <c r="FJ3237"/>
      <c r="FK3237"/>
      <c r="FL3237"/>
      <c r="FM3237"/>
      <c r="FN3237"/>
      <c r="FO3237"/>
      <c r="FP3237"/>
      <c r="FQ3237"/>
      <c r="FR3237"/>
      <c r="FS3237"/>
      <c r="FT3237"/>
      <c r="FU3237"/>
      <c r="FV3237"/>
      <c r="FW3237"/>
      <c r="FX3237"/>
      <c r="FY3237"/>
      <c r="FZ3237"/>
      <c r="GA3237"/>
      <c r="GB3237"/>
      <c r="GC3237"/>
      <c r="GD3237"/>
      <c r="GE3237"/>
      <c r="GF3237"/>
      <c r="GG3237"/>
      <c r="GH3237"/>
      <c r="GI3237"/>
      <c r="GJ3237"/>
      <c r="GK3237"/>
      <c r="GL3237"/>
      <c r="GM3237"/>
      <c r="GN3237"/>
      <c r="GO3237"/>
    </row>
    <row r="3238" spans="107:197">
      <c r="DC3238"/>
      <c r="FH3238"/>
      <c r="FI3238"/>
      <c r="FJ3238"/>
      <c r="FK3238"/>
      <c r="FL3238"/>
      <c r="FM3238"/>
      <c r="FN3238"/>
      <c r="FO3238"/>
      <c r="FP3238"/>
      <c r="FQ3238"/>
      <c r="FR3238"/>
      <c r="FS3238"/>
      <c r="FT3238"/>
      <c r="FU3238"/>
      <c r="FV3238"/>
      <c r="FW3238"/>
      <c r="FX3238"/>
      <c r="FY3238"/>
      <c r="FZ3238"/>
      <c r="GA3238"/>
      <c r="GB3238"/>
      <c r="GC3238"/>
      <c r="GD3238"/>
      <c r="GE3238"/>
      <c r="GF3238"/>
      <c r="GG3238"/>
      <c r="GH3238"/>
      <c r="GI3238"/>
      <c r="GJ3238"/>
      <c r="GK3238"/>
      <c r="GL3238"/>
      <c r="GM3238"/>
      <c r="GN3238"/>
      <c r="GO3238"/>
    </row>
    <row r="3239" spans="107:197">
      <c r="DC3239"/>
      <c r="FH3239"/>
      <c r="FI3239"/>
      <c r="FJ3239"/>
      <c r="FK3239"/>
      <c r="FL3239"/>
      <c r="FM3239"/>
      <c r="FN3239"/>
      <c r="FO3239"/>
      <c r="FP3239"/>
      <c r="FQ3239"/>
      <c r="FR3239"/>
      <c r="FS3239"/>
      <c r="FT3239"/>
      <c r="FU3239"/>
      <c r="FV3239"/>
      <c r="FW3239"/>
      <c r="FX3239"/>
      <c r="FY3239"/>
      <c r="FZ3239"/>
      <c r="GA3239"/>
      <c r="GB3239"/>
      <c r="GC3239"/>
      <c r="GD3239"/>
      <c r="GE3239"/>
      <c r="GF3239"/>
      <c r="GG3239"/>
      <c r="GH3239"/>
      <c r="GI3239"/>
      <c r="GJ3239"/>
      <c r="GK3239"/>
      <c r="GL3239"/>
      <c r="GM3239"/>
      <c r="GN3239"/>
      <c r="GO3239"/>
    </row>
    <row r="3240" spans="107:197">
      <c r="DC3240"/>
      <c r="FH3240"/>
      <c r="FI3240"/>
      <c r="FJ3240"/>
      <c r="FK3240"/>
      <c r="FL3240"/>
      <c r="FM3240"/>
      <c r="FN3240"/>
      <c r="FO3240"/>
      <c r="FP3240"/>
      <c r="FQ3240"/>
      <c r="FR3240"/>
      <c r="FS3240"/>
      <c r="FT3240"/>
      <c r="FU3240"/>
      <c r="FV3240"/>
      <c r="FW3240"/>
      <c r="FX3240"/>
      <c r="FY3240"/>
      <c r="FZ3240"/>
      <c r="GA3240"/>
      <c r="GB3240"/>
      <c r="GC3240"/>
      <c r="GD3240"/>
      <c r="GE3240"/>
      <c r="GF3240"/>
      <c r="GG3240"/>
      <c r="GH3240"/>
      <c r="GI3240"/>
      <c r="GJ3240"/>
      <c r="GK3240"/>
      <c r="GL3240"/>
      <c r="GM3240"/>
      <c r="GN3240"/>
      <c r="GO3240"/>
    </row>
    <row r="3241" spans="107:197">
      <c r="DC3241"/>
      <c r="FH3241"/>
      <c r="FI3241"/>
      <c r="FJ3241"/>
      <c r="FK3241"/>
      <c r="FL3241"/>
      <c r="FM3241"/>
      <c r="FN3241"/>
      <c r="FO3241"/>
      <c r="FP3241"/>
      <c r="FQ3241"/>
      <c r="FR3241"/>
      <c r="FS3241"/>
      <c r="FT3241"/>
      <c r="FU3241"/>
      <c r="FV3241"/>
      <c r="FW3241"/>
      <c r="FX3241"/>
      <c r="FY3241"/>
      <c r="FZ3241"/>
      <c r="GA3241"/>
      <c r="GB3241"/>
      <c r="GC3241"/>
      <c r="GD3241"/>
      <c r="GE3241"/>
      <c r="GF3241"/>
      <c r="GG3241"/>
      <c r="GH3241"/>
      <c r="GI3241"/>
      <c r="GJ3241"/>
      <c r="GK3241"/>
      <c r="GL3241"/>
      <c r="GM3241"/>
      <c r="GN3241"/>
      <c r="GO3241"/>
    </row>
    <row r="3242" spans="107:197">
      <c r="DC3242"/>
      <c r="FH3242"/>
      <c r="FI3242"/>
      <c r="FJ3242"/>
      <c r="FK3242"/>
      <c r="FL3242"/>
      <c r="FM3242"/>
      <c r="FN3242"/>
      <c r="FO3242"/>
      <c r="FP3242"/>
      <c r="FQ3242"/>
      <c r="FR3242"/>
      <c r="FS3242"/>
      <c r="FT3242"/>
      <c r="FU3242"/>
      <c r="FV3242"/>
      <c r="FW3242"/>
      <c r="FX3242"/>
      <c r="FY3242"/>
      <c r="FZ3242"/>
      <c r="GA3242"/>
      <c r="GB3242"/>
      <c r="GC3242"/>
      <c r="GD3242"/>
      <c r="GE3242"/>
      <c r="GF3242"/>
      <c r="GG3242"/>
      <c r="GH3242"/>
      <c r="GI3242"/>
      <c r="GJ3242"/>
      <c r="GK3242"/>
      <c r="GL3242"/>
      <c r="GM3242"/>
      <c r="GN3242"/>
      <c r="GO3242"/>
    </row>
    <row r="3243" spans="107:197">
      <c r="DC3243"/>
      <c r="FH3243"/>
      <c r="FI3243"/>
      <c r="FJ3243"/>
      <c r="FK3243"/>
      <c r="FL3243"/>
      <c r="FM3243"/>
      <c r="FN3243"/>
      <c r="FO3243"/>
      <c r="FP3243"/>
      <c r="FQ3243"/>
      <c r="FR3243"/>
      <c r="FS3243"/>
      <c r="FT3243"/>
      <c r="FU3243"/>
      <c r="FV3243"/>
      <c r="FW3243"/>
      <c r="FX3243"/>
      <c r="FY3243"/>
      <c r="FZ3243"/>
      <c r="GA3243"/>
      <c r="GB3243"/>
      <c r="GC3243"/>
      <c r="GD3243"/>
      <c r="GE3243"/>
      <c r="GF3243"/>
      <c r="GG3243"/>
      <c r="GH3243"/>
      <c r="GI3243"/>
      <c r="GJ3243"/>
      <c r="GK3243"/>
      <c r="GL3243"/>
      <c r="GM3243"/>
      <c r="GN3243"/>
      <c r="GO3243"/>
    </row>
    <row r="3244" spans="107:197">
      <c r="DC3244"/>
      <c r="FH3244"/>
      <c r="FI3244"/>
      <c r="FJ3244"/>
      <c r="FK3244"/>
      <c r="FL3244"/>
      <c r="FM3244"/>
      <c r="FN3244"/>
      <c r="FO3244"/>
      <c r="FP3244"/>
      <c r="FQ3244"/>
      <c r="FR3244"/>
      <c r="FS3244"/>
      <c r="FT3244"/>
      <c r="FU3244"/>
      <c r="FV3244"/>
      <c r="FW3244"/>
      <c r="FX3244"/>
      <c r="FY3244"/>
      <c r="FZ3244"/>
      <c r="GA3244"/>
      <c r="GB3244"/>
      <c r="GC3244"/>
      <c r="GD3244"/>
      <c r="GE3244"/>
      <c r="GF3244"/>
      <c r="GG3244"/>
      <c r="GH3244"/>
      <c r="GI3244"/>
      <c r="GJ3244"/>
      <c r="GK3244"/>
      <c r="GL3244"/>
      <c r="GM3244"/>
      <c r="GN3244"/>
      <c r="GO3244"/>
    </row>
    <row r="3245" spans="107:197">
      <c r="DC3245"/>
      <c r="FH3245"/>
      <c r="FI3245"/>
      <c r="FJ3245"/>
      <c r="FK3245"/>
      <c r="FL3245"/>
      <c r="FM3245"/>
      <c r="FN3245"/>
      <c r="FO3245"/>
      <c r="FP3245"/>
      <c r="FQ3245"/>
      <c r="FR3245"/>
      <c r="FS3245"/>
      <c r="FT3245"/>
      <c r="FU3245"/>
      <c r="FV3245"/>
      <c r="FW3245"/>
      <c r="FX3245"/>
      <c r="FY3245"/>
      <c r="FZ3245"/>
      <c r="GA3245"/>
      <c r="GB3245"/>
      <c r="GC3245"/>
      <c r="GD3245"/>
      <c r="GE3245"/>
      <c r="GF3245"/>
      <c r="GG3245"/>
      <c r="GH3245"/>
      <c r="GI3245"/>
      <c r="GJ3245"/>
      <c r="GK3245"/>
      <c r="GL3245"/>
      <c r="GM3245"/>
      <c r="GN3245"/>
      <c r="GO3245"/>
    </row>
    <row r="3246" spans="107:197">
      <c r="DC3246"/>
      <c r="FH3246"/>
      <c r="FI3246"/>
      <c r="FJ3246"/>
      <c r="FK3246"/>
      <c r="FL3246"/>
      <c r="FM3246"/>
      <c r="FN3246"/>
      <c r="FO3246"/>
      <c r="FP3246"/>
      <c r="FQ3246"/>
      <c r="FR3246"/>
      <c r="FS3246"/>
      <c r="FT3246"/>
      <c r="FU3246"/>
      <c r="FV3246"/>
      <c r="FW3246"/>
      <c r="FX3246"/>
      <c r="FY3246"/>
      <c r="FZ3246"/>
      <c r="GA3246"/>
      <c r="GB3246"/>
      <c r="GC3246"/>
      <c r="GD3246"/>
      <c r="GE3246"/>
      <c r="GF3246"/>
      <c r="GG3246"/>
      <c r="GH3246"/>
      <c r="GI3246"/>
      <c r="GJ3246"/>
      <c r="GK3246"/>
      <c r="GL3246"/>
      <c r="GM3246"/>
      <c r="GN3246"/>
      <c r="GO3246"/>
    </row>
    <row r="3247" spans="107:197">
      <c r="DC3247"/>
      <c r="FH3247"/>
      <c r="FI3247"/>
      <c r="FJ3247"/>
      <c r="FK3247"/>
      <c r="FL3247"/>
      <c r="FM3247"/>
      <c r="FN3247"/>
      <c r="FO3247"/>
      <c r="FP3247"/>
      <c r="FQ3247"/>
      <c r="FR3247"/>
      <c r="FS3247"/>
      <c r="FT3247"/>
      <c r="FU3247"/>
      <c r="FV3247"/>
      <c r="FW3247"/>
      <c r="FX3247"/>
      <c r="FY3247"/>
      <c r="FZ3247"/>
      <c r="GA3247"/>
      <c r="GB3247"/>
      <c r="GC3247"/>
      <c r="GD3247"/>
      <c r="GE3247"/>
      <c r="GF3247"/>
      <c r="GG3247"/>
      <c r="GH3247"/>
      <c r="GI3247"/>
      <c r="GJ3247"/>
      <c r="GK3247"/>
      <c r="GL3247"/>
      <c r="GM3247"/>
      <c r="GN3247"/>
      <c r="GO3247"/>
    </row>
    <row r="3248" spans="107:197">
      <c r="DC3248"/>
      <c r="FH3248"/>
      <c r="FI3248"/>
      <c r="FJ3248"/>
      <c r="FK3248"/>
      <c r="FL3248"/>
      <c r="FM3248"/>
      <c r="FN3248"/>
      <c r="FO3248"/>
      <c r="FP3248"/>
      <c r="FQ3248"/>
      <c r="FR3248"/>
      <c r="FS3248"/>
      <c r="FT3248"/>
      <c r="FU3248"/>
      <c r="FV3248"/>
      <c r="FW3248"/>
      <c r="FX3248"/>
      <c r="FY3248"/>
      <c r="FZ3248"/>
      <c r="GA3248"/>
      <c r="GB3248"/>
      <c r="GC3248"/>
      <c r="GD3248"/>
      <c r="GE3248"/>
      <c r="GF3248"/>
      <c r="GG3248"/>
      <c r="GH3248"/>
      <c r="GI3248"/>
      <c r="GJ3248"/>
      <c r="GK3248"/>
      <c r="GL3248"/>
      <c r="GM3248"/>
      <c r="GN3248"/>
      <c r="GO3248"/>
    </row>
    <row r="3249" spans="107:197">
      <c r="DC3249"/>
      <c r="FH3249"/>
      <c r="FI3249"/>
      <c r="FJ3249"/>
      <c r="FK3249"/>
      <c r="FL3249"/>
      <c r="FM3249"/>
      <c r="FN3249"/>
      <c r="FO3249"/>
      <c r="FP3249"/>
      <c r="FQ3249"/>
      <c r="FR3249"/>
      <c r="FS3249"/>
      <c r="FT3249"/>
      <c r="FU3249"/>
      <c r="FV3249"/>
      <c r="FW3249"/>
      <c r="FX3249"/>
      <c r="FY3249"/>
      <c r="FZ3249"/>
      <c r="GA3249"/>
      <c r="GB3249"/>
      <c r="GC3249"/>
      <c r="GD3249"/>
      <c r="GE3249"/>
      <c r="GF3249"/>
      <c r="GG3249"/>
      <c r="GH3249"/>
      <c r="GI3249"/>
      <c r="GJ3249"/>
      <c r="GK3249"/>
      <c r="GL3249"/>
      <c r="GM3249"/>
      <c r="GN3249"/>
      <c r="GO3249"/>
    </row>
    <row r="3250" spans="107:197">
      <c r="DC3250"/>
      <c r="FH3250"/>
      <c r="FI3250"/>
      <c r="FJ3250"/>
      <c r="FK3250"/>
      <c r="FL3250"/>
      <c r="FM3250"/>
      <c r="FN3250"/>
      <c r="FO3250"/>
      <c r="FP3250"/>
      <c r="FQ3250"/>
      <c r="FR3250"/>
      <c r="FS3250"/>
      <c r="FT3250"/>
      <c r="FU3250"/>
      <c r="FV3250"/>
      <c r="FW3250"/>
      <c r="FX3250"/>
      <c r="FY3250"/>
      <c r="FZ3250"/>
      <c r="GA3250"/>
      <c r="GB3250"/>
      <c r="GC3250"/>
      <c r="GD3250"/>
      <c r="GE3250"/>
      <c r="GF3250"/>
      <c r="GG3250"/>
      <c r="GH3250"/>
      <c r="GI3250"/>
      <c r="GJ3250"/>
      <c r="GK3250"/>
      <c r="GL3250"/>
      <c r="GM3250"/>
      <c r="GN3250"/>
      <c r="GO3250"/>
    </row>
    <row r="3251" spans="107:197">
      <c r="DC3251"/>
      <c r="FH3251"/>
      <c r="FI3251"/>
      <c r="FJ3251"/>
      <c r="FK3251"/>
      <c r="FL3251"/>
      <c r="FM3251"/>
      <c r="FN3251"/>
      <c r="FO3251"/>
      <c r="FP3251"/>
      <c r="FQ3251"/>
      <c r="FR3251"/>
      <c r="FS3251"/>
      <c r="FT3251"/>
      <c r="FU3251"/>
      <c r="FV3251"/>
      <c r="FW3251"/>
      <c r="FX3251"/>
      <c r="FY3251"/>
      <c r="FZ3251"/>
      <c r="GA3251"/>
      <c r="GB3251"/>
      <c r="GC3251"/>
      <c r="GD3251"/>
      <c r="GE3251"/>
      <c r="GF3251"/>
      <c r="GG3251"/>
      <c r="GH3251"/>
      <c r="GI3251"/>
      <c r="GJ3251"/>
      <c r="GK3251"/>
      <c r="GL3251"/>
      <c r="GM3251"/>
      <c r="GN3251"/>
      <c r="GO3251"/>
    </row>
    <row r="3252" spans="107:197">
      <c r="DC3252"/>
      <c r="FH3252"/>
      <c r="FI3252"/>
      <c r="FJ3252"/>
      <c r="FK3252"/>
      <c r="FL3252"/>
      <c r="FM3252"/>
      <c r="FN3252"/>
      <c r="FO3252"/>
      <c r="FP3252"/>
      <c r="FQ3252"/>
      <c r="FR3252"/>
      <c r="FS3252"/>
      <c r="FT3252"/>
      <c r="FU3252"/>
      <c r="FV3252"/>
      <c r="FW3252"/>
      <c r="FX3252"/>
      <c r="FY3252"/>
      <c r="FZ3252"/>
      <c r="GA3252"/>
      <c r="GB3252"/>
      <c r="GC3252"/>
      <c r="GD3252"/>
      <c r="GE3252"/>
      <c r="GF3252"/>
      <c r="GG3252"/>
      <c r="GH3252"/>
      <c r="GI3252"/>
      <c r="GJ3252"/>
      <c r="GK3252"/>
      <c r="GL3252"/>
      <c r="GM3252"/>
      <c r="GN3252"/>
      <c r="GO3252"/>
    </row>
    <row r="3253" spans="107:197">
      <c r="DC3253"/>
      <c r="FH3253"/>
      <c r="FI3253"/>
      <c r="FJ3253"/>
      <c r="FK3253"/>
      <c r="FL3253"/>
      <c r="FM3253"/>
      <c r="FN3253"/>
      <c r="FO3253"/>
      <c r="FP3253"/>
      <c r="FQ3253"/>
      <c r="FR3253"/>
      <c r="FS3253"/>
      <c r="FT3253"/>
      <c r="FU3253"/>
      <c r="FV3253"/>
      <c r="FW3253"/>
      <c r="FX3253"/>
      <c r="FY3253"/>
      <c r="FZ3253"/>
      <c r="GA3253"/>
      <c r="GB3253"/>
      <c r="GC3253"/>
      <c r="GD3253"/>
      <c r="GE3253"/>
      <c r="GF3253"/>
      <c r="GG3253"/>
      <c r="GH3253"/>
      <c r="GI3253"/>
      <c r="GJ3253"/>
      <c r="GK3253"/>
      <c r="GL3253"/>
      <c r="GM3253"/>
      <c r="GN3253"/>
      <c r="GO3253"/>
    </row>
    <row r="3254" spans="107:197">
      <c r="DC3254"/>
      <c r="FH3254"/>
      <c r="FI3254"/>
      <c r="FJ3254"/>
      <c r="FK3254"/>
      <c r="FL3254"/>
      <c r="FM3254"/>
      <c r="FN3254"/>
      <c r="FO3254"/>
      <c r="FP3254"/>
      <c r="FQ3254"/>
      <c r="FR3254"/>
      <c r="FS3254"/>
      <c r="FT3254"/>
      <c r="FU3254"/>
      <c r="FV3254"/>
      <c r="FW3254"/>
      <c r="FX3254"/>
      <c r="FY3254"/>
      <c r="FZ3254"/>
      <c r="GA3254"/>
      <c r="GB3254"/>
      <c r="GC3254"/>
      <c r="GD3254"/>
      <c r="GE3254"/>
      <c r="GF3254"/>
      <c r="GG3254"/>
      <c r="GH3254"/>
      <c r="GI3254"/>
      <c r="GJ3254"/>
      <c r="GK3254"/>
      <c r="GL3254"/>
      <c r="GM3254"/>
      <c r="GN3254"/>
      <c r="GO3254"/>
    </row>
    <row r="3255" spans="107:197">
      <c r="DC3255"/>
      <c r="FH3255"/>
      <c r="FI3255"/>
      <c r="FJ3255"/>
      <c r="FK3255"/>
      <c r="FL3255"/>
      <c r="FM3255"/>
      <c r="FN3255"/>
      <c r="FO3255"/>
      <c r="FP3255"/>
      <c r="FQ3255"/>
      <c r="FR3255"/>
      <c r="FS3255"/>
      <c r="FT3255"/>
      <c r="FU3255"/>
      <c r="FV3255"/>
      <c r="FW3255"/>
      <c r="FX3255"/>
      <c r="FY3255"/>
      <c r="FZ3255"/>
      <c r="GA3255"/>
      <c r="GB3255"/>
      <c r="GC3255"/>
      <c r="GD3255"/>
      <c r="GE3255"/>
      <c r="GF3255"/>
      <c r="GG3255"/>
      <c r="GH3255"/>
      <c r="GI3255"/>
      <c r="GJ3255"/>
      <c r="GK3255"/>
      <c r="GL3255"/>
      <c r="GM3255"/>
      <c r="GN3255"/>
      <c r="GO3255"/>
    </row>
    <row r="3256" spans="107:197">
      <c r="DC3256"/>
      <c r="FH3256"/>
      <c r="FI3256"/>
      <c r="FJ3256"/>
      <c r="FK3256"/>
      <c r="FL3256"/>
      <c r="FM3256"/>
      <c r="FN3256"/>
      <c r="FO3256"/>
      <c r="FP3256"/>
      <c r="FQ3256"/>
      <c r="FR3256"/>
      <c r="FS3256"/>
      <c r="FT3256"/>
      <c r="FU3256"/>
      <c r="FV3256"/>
      <c r="FW3256"/>
      <c r="FX3256"/>
      <c r="FY3256"/>
      <c r="FZ3256"/>
      <c r="GA3256"/>
      <c r="GB3256"/>
      <c r="GC3256"/>
      <c r="GD3256"/>
      <c r="GE3256"/>
      <c r="GF3256"/>
      <c r="GG3256"/>
      <c r="GH3256"/>
      <c r="GI3256"/>
      <c r="GJ3256"/>
      <c r="GK3256"/>
      <c r="GL3256"/>
      <c r="GM3256"/>
      <c r="GN3256"/>
      <c r="GO3256"/>
    </row>
    <row r="3257" spans="107:197">
      <c r="DC3257"/>
      <c r="FH3257"/>
      <c r="FI3257"/>
      <c r="FJ3257"/>
      <c r="FK3257"/>
      <c r="FL3257"/>
      <c r="FM3257"/>
      <c r="FN3257"/>
      <c r="FO3257"/>
      <c r="FP3257"/>
      <c r="FQ3257"/>
      <c r="FR3257"/>
      <c r="FS3257"/>
      <c r="FT3257"/>
      <c r="FU3257"/>
      <c r="FV3257"/>
      <c r="FW3257"/>
      <c r="FX3257"/>
      <c r="FY3257"/>
      <c r="FZ3257"/>
      <c r="GA3257"/>
      <c r="GB3257"/>
      <c r="GC3257"/>
      <c r="GD3257"/>
      <c r="GE3257"/>
      <c r="GF3257"/>
      <c r="GG3257"/>
      <c r="GH3257"/>
      <c r="GI3257"/>
      <c r="GJ3257"/>
      <c r="GK3257"/>
      <c r="GL3257"/>
      <c r="GM3257"/>
      <c r="GN3257"/>
      <c r="GO3257"/>
    </row>
    <row r="3258" spans="107:197">
      <c r="DC3258"/>
      <c r="FH3258"/>
      <c r="FI3258"/>
      <c r="FJ3258"/>
      <c r="FK3258"/>
      <c r="FL3258"/>
      <c r="FM3258"/>
      <c r="FN3258"/>
      <c r="FO3258"/>
      <c r="FP3258"/>
      <c r="FQ3258"/>
      <c r="FR3258"/>
      <c r="FS3258"/>
      <c r="FT3258"/>
      <c r="FU3258"/>
      <c r="FV3258"/>
      <c r="FW3258"/>
      <c r="FX3258"/>
      <c r="FY3258"/>
      <c r="FZ3258"/>
      <c r="GA3258"/>
      <c r="GB3258"/>
      <c r="GC3258"/>
      <c r="GD3258"/>
      <c r="GE3258"/>
      <c r="GF3258"/>
      <c r="GG3258"/>
      <c r="GH3258"/>
      <c r="GI3258"/>
      <c r="GJ3258"/>
      <c r="GK3258"/>
      <c r="GL3258"/>
      <c r="GM3258"/>
      <c r="GN3258"/>
      <c r="GO3258"/>
    </row>
    <row r="3259" spans="107:197">
      <c r="DC3259"/>
      <c r="FH3259"/>
      <c r="FI3259"/>
      <c r="FJ3259"/>
      <c r="FK3259"/>
      <c r="FL3259"/>
      <c r="FM3259"/>
      <c r="FN3259"/>
      <c r="FO3259"/>
      <c r="FP3259"/>
      <c r="FQ3259"/>
      <c r="FR3259"/>
      <c r="FS3259"/>
      <c r="FT3259"/>
      <c r="FU3259"/>
      <c r="FV3259"/>
      <c r="FW3259"/>
      <c r="FX3259"/>
      <c r="FY3259"/>
      <c r="FZ3259"/>
      <c r="GA3259"/>
      <c r="GB3259"/>
      <c r="GC3259"/>
      <c r="GD3259"/>
      <c r="GE3259"/>
      <c r="GF3259"/>
      <c r="GG3259"/>
      <c r="GH3259"/>
      <c r="GI3259"/>
      <c r="GJ3259"/>
      <c r="GK3259"/>
      <c r="GL3259"/>
      <c r="GM3259"/>
      <c r="GN3259"/>
      <c r="GO3259"/>
    </row>
    <row r="3260" spans="107:197">
      <c r="DC3260"/>
      <c r="FH3260"/>
      <c r="FI3260"/>
      <c r="FJ3260"/>
      <c r="FK3260"/>
      <c r="FL3260"/>
      <c r="FM3260"/>
      <c r="FN3260"/>
      <c r="FO3260"/>
      <c r="FP3260"/>
      <c r="FQ3260"/>
      <c r="FR3260"/>
      <c r="FS3260"/>
      <c r="FT3260"/>
      <c r="FU3260"/>
      <c r="FV3260"/>
      <c r="FW3260"/>
      <c r="FX3260"/>
      <c r="FY3260"/>
      <c r="FZ3260"/>
      <c r="GA3260"/>
      <c r="GB3260"/>
      <c r="GC3260"/>
      <c r="GD3260"/>
      <c r="GE3260"/>
      <c r="GF3260"/>
      <c r="GG3260"/>
      <c r="GH3260"/>
      <c r="GI3260"/>
      <c r="GJ3260"/>
      <c r="GK3260"/>
      <c r="GL3260"/>
      <c r="GM3260"/>
      <c r="GN3260"/>
      <c r="GO3260"/>
    </row>
    <row r="3261" spans="107:197">
      <c r="DC3261"/>
      <c r="FH3261"/>
      <c r="FI3261"/>
      <c r="FJ3261"/>
      <c r="FK3261"/>
      <c r="FL3261"/>
      <c r="FM3261"/>
      <c r="FN3261"/>
      <c r="FO3261"/>
      <c r="FP3261"/>
      <c r="FQ3261"/>
      <c r="FR3261"/>
      <c r="FS3261"/>
      <c r="FT3261"/>
      <c r="FU3261"/>
      <c r="FV3261"/>
      <c r="FW3261"/>
      <c r="FX3261"/>
      <c r="FY3261"/>
      <c r="FZ3261"/>
      <c r="GA3261"/>
      <c r="GB3261"/>
      <c r="GC3261"/>
      <c r="GD3261"/>
      <c r="GE3261"/>
      <c r="GF3261"/>
      <c r="GG3261"/>
      <c r="GH3261"/>
      <c r="GI3261"/>
      <c r="GJ3261"/>
      <c r="GK3261"/>
      <c r="GL3261"/>
      <c r="GM3261"/>
      <c r="GN3261"/>
      <c r="GO3261"/>
    </row>
    <row r="3262" spans="107:197">
      <c r="DC3262"/>
      <c r="FH3262"/>
      <c r="FI3262"/>
      <c r="FJ3262"/>
      <c r="FK3262"/>
      <c r="FL3262"/>
      <c r="FM3262"/>
      <c r="FN3262"/>
      <c r="FO3262"/>
      <c r="FP3262"/>
      <c r="FQ3262"/>
      <c r="FR3262"/>
      <c r="FS3262"/>
      <c r="FT3262"/>
      <c r="FU3262"/>
      <c r="FV3262"/>
      <c r="FW3262"/>
      <c r="FX3262"/>
      <c r="FY3262"/>
      <c r="FZ3262"/>
      <c r="GA3262"/>
      <c r="GB3262"/>
      <c r="GC3262"/>
      <c r="GD3262"/>
      <c r="GE3262"/>
      <c r="GF3262"/>
      <c r="GG3262"/>
      <c r="GH3262"/>
      <c r="GI3262"/>
      <c r="GJ3262"/>
      <c r="GK3262"/>
      <c r="GL3262"/>
      <c r="GM3262"/>
      <c r="GN3262"/>
      <c r="GO3262"/>
    </row>
    <row r="3263" spans="107:197">
      <c r="DC3263"/>
      <c r="FH3263"/>
      <c r="FI3263"/>
      <c r="FJ3263"/>
      <c r="FK3263"/>
      <c r="FL3263"/>
      <c r="FM3263"/>
      <c r="FN3263"/>
      <c r="FO3263"/>
      <c r="FP3263"/>
      <c r="FQ3263"/>
      <c r="FR3263"/>
      <c r="FS3263"/>
      <c r="FT3263"/>
      <c r="FU3263"/>
      <c r="FV3263"/>
      <c r="FW3263"/>
      <c r="FX3263"/>
      <c r="FY3263"/>
      <c r="FZ3263"/>
      <c r="GA3263"/>
      <c r="GB3263"/>
      <c r="GC3263"/>
      <c r="GD3263"/>
      <c r="GE3263"/>
      <c r="GF3263"/>
      <c r="GG3263"/>
      <c r="GH3263"/>
      <c r="GI3263"/>
      <c r="GJ3263"/>
      <c r="GK3263"/>
      <c r="GL3263"/>
      <c r="GM3263"/>
      <c r="GN3263"/>
      <c r="GO3263"/>
    </row>
    <row r="3264" spans="107:197">
      <c r="DC3264"/>
      <c r="FH3264"/>
      <c r="FI3264"/>
      <c r="FJ3264"/>
      <c r="FK3264"/>
      <c r="FL3264"/>
      <c r="FM3264"/>
      <c r="FN3264"/>
      <c r="FO3264"/>
      <c r="FP3264"/>
      <c r="FQ3264"/>
      <c r="FR3264"/>
      <c r="FS3264"/>
      <c r="FT3264"/>
      <c r="FU3264"/>
      <c r="FV3264"/>
      <c r="FW3264"/>
      <c r="FX3264"/>
      <c r="FY3264"/>
      <c r="FZ3264"/>
      <c r="GA3264"/>
      <c r="GB3264"/>
      <c r="GC3264"/>
      <c r="GD3264"/>
      <c r="GE3264"/>
      <c r="GF3264"/>
      <c r="GG3264"/>
      <c r="GH3264"/>
      <c r="GI3264"/>
      <c r="GJ3264"/>
      <c r="GK3264"/>
      <c r="GL3264"/>
      <c r="GM3264"/>
      <c r="GN3264"/>
      <c r="GO3264"/>
    </row>
    <row r="3265" spans="107:197">
      <c r="DC3265"/>
      <c r="FH3265"/>
      <c r="FI3265"/>
      <c r="FJ3265"/>
      <c r="FK3265"/>
      <c r="FL3265"/>
      <c r="FM3265"/>
      <c r="FN3265"/>
      <c r="FO3265"/>
      <c r="FP3265"/>
      <c r="FQ3265"/>
      <c r="FR3265"/>
      <c r="FS3265"/>
      <c r="FT3265"/>
      <c r="FU3265"/>
      <c r="FV3265"/>
      <c r="FW3265"/>
      <c r="FX3265"/>
      <c r="FY3265"/>
      <c r="FZ3265"/>
      <c r="GA3265"/>
      <c r="GB3265"/>
      <c r="GC3265"/>
      <c r="GD3265"/>
      <c r="GE3265"/>
      <c r="GF3265"/>
      <c r="GG3265"/>
      <c r="GH3265"/>
      <c r="GI3265"/>
      <c r="GJ3265"/>
      <c r="GK3265"/>
      <c r="GL3265"/>
      <c r="GM3265"/>
      <c r="GN3265"/>
      <c r="GO3265"/>
    </row>
    <row r="3266" spans="107:197">
      <c r="DC3266"/>
      <c r="FH3266"/>
      <c r="FI3266"/>
      <c r="FJ3266"/>
      <c r="FK3266"/>
      <c r="FL3266"/>
      <c r="FM3266"/>
      <c r="FN3266"/>
      <c r="FO3266"/>
      <c r="FP3266"/>
      <c r="FQ3266"/>
      <c r="FR3266"/>
      <c r="FS3266"/>
      <c r="FT3266"/>
      <c r="FU3266"/>
      <c r="FV3266"/>
      <c r="FW3266"/>
      <c r="FX3266"/>
      <c r="FY3266"/>
      <c r="FZ3266"/>
      <c r="GA3266"/>
      <c r="GB3266"/>
      <c r="GC3266"/>
      <c r="GD3266"/>
      <c r="GE3266"/>
      <c r="GF3266"/>
      <c r="GG3266"/>
      <c r="GH3266"/>
      <c r="GI3266"/>
      <c r="GJ3266"/>
      <c r="GK3266"/>
      <c r="GL3266"/>
      <c r="GM3266"/>
      <c r="GN3266"/>
      <c r="GO3266"/>
    </row>
    <row r="3267" spans="107:197">
      <c r="DC3267"/>
      <c r="FH3267"/>
      <c r="FI3267"/>
      <c r="FJ3267"/>
      <c r="FK3267"/>
      <c r="FL3267"/>
      <c r="FM3267"/>
      <c r="FN3267"/>
      <c r="FO3267"/>
      <c r="FP3267"/>
      <c r="FQ3267"/>
      <c r="FR3267"/>
      <c r="FS3267"/>
      <c r="FT3267"/>
      <c r="FU3267"/>
      <c r="FV3267"/>
      <c r="FW3267"/>
      <c r="FX3267"/>
      <c r="FY3267"/>
      <c r="FZ3267"/>
      <c r="GA3267"/>
      <c r="GB3267"/>
      <c r="GC3267"/>
      <c r="GD3267"/>
      <c r="GE3267"/>
      <c r="GF3267"/>
      <c r="GG3267"/>
      <c r="GH3267"/>
      <c r="GI3267"/>
      <c r="GJ3267"/>
      <c r="GK3267"/>
      <c r="GL3267"/>
      <c r="GM3267"/>
      <c r="GN3267"/>
      <c r="GO3267"/>
    </row>
    <row r="3268" spans="107:197">
      <c r="DC3268"/>
      <c r="FH3268"/>
      <c r="FI3268"/>
      <c r="FJ3268"/>
      <c r="FK3268"/>
      <c r="FL3268"/>
      <c r="FM3268"/>
      <c r="FN3268"/>
      <c r="FO3268"/>
      <c r="FP3268"/>
      <c r="FQ3268"/>
      <c r="FR3268"/>
      <c r="FS3268"/>
      <c r="FT3268"/>
      <c r="FU3268"/>
      <c r="FV3268"/>
      <c r="FW3268"/>
      <c r="FX3268"/>
      <c r="FY3268"/>
      <c r="FZ3268"/>
      <c r="GA3268"/>
      <c r="GB3268"/>
      <c r="GC3268"/>
      <c r="GD3268"/>
      <c r="GE3268"/>
      <c r="GF3268"/>
      <c r="GG3268"/>
      <c r="GH3268"/>
      <c r="GI3268"/>
      <c r="GJ3268"/>
      <c r="GK3268"/>
      <c r="GL3268"/>
      <c r="GM3268"/>
      <c r="GN3268"/>
      <c r="GO3268"/>
    </row>
    <row r="3269" spans="107:197">
      <c r="DC3269"/>
      <c r="FH3269"/>
      <c r="FI3269"/>
      <c r="FJ3269"/>
      <c r="FK3269"/>
      <c r="FL3269"/>
      <c r="FM3269"/>
      <c r="FN3269"/>
      <c r="FO3269"/>
      <c r="FP3269"/>
      <c r="FQ3269"/>
      <c r="FR3269"/>
      <c r="FS3269"/>
      <c r="FT3269"/>
      <c r="FU3269"/>
      <c r="FV3269"/>
      <c r="FW3269"/>
      <c r="FX3269"/>
      <c r="FY3269"/>
      <c r="FZ3269"/>
      <c r="GA3269"/>
      <c r="GB3269"/>
      <c r="GC3269"/>
      <c r="GD3269"/>
      <c r="GE3269"/>
      <c r="GF3269"/>
      <c r="GG3269"/>
      <c r="GH3269"/>
      <c r="GI3269"/>
      <c r="GJ3269"/>
      <c r="GK3269"/>
      <c r="GL3269"/>
      <c r="GM3269"/>
      <c r="GN3269"/>
      <c r="GO3269"/>
    </row>
    <row r="3270" spans="107:197">
      <c r="DC3270"/>
      <c r="FH3270"/>
      <c r="FI3270"/>
      <c r="FJ3270"/>
      <c r="FK3270"/>
      <c r="FL3270"/>
      <c r="FM3270"/>
      <c r="FN3270"/>
      <c r="FO3270"/>
      <c r="FP3270"/>
      <c r="FQ3270"/>
      <c r="FR3270"/>
      <c r="FS3270"/>
      <c r="FT3270"/>
      <c r="FU3270"/>
      <c r="FV3270"/>
      <c r="FW3270"/>
      <c r="FX3270"/>
      <c r="FY3270"/>
      <c r="FZ3270"/>
      <c r="GA3270"/>
      <c r="GB3270"/>
      <c r="GC3270"/>
      <c r="GD3270"/>
      <c r="GE3270"/>
      <c r="GF3270"/>
      <c r="GG3270"/>
      <c r="GH3270"/>
      <c r="GI3270"/>
      <c r="GJ3270"/>
      <c r="GK3270"/>
      <c r="GL3270"/>
      <c r="GM3270"/>
      <c r="GN3270"/>
      <c r="GO3270"/>
    </row>
    <row r="3271" spans="107:197">
      <c r="DC3271"/>
      <c r="FH3271"/>
      <c r="FI3271"/>
      <c r="FJ3271"/>
      <c r="FK3271"/>
      <c r="FL3271"/>
      <c r="FM3271"/>
      <c r="FN3271"/>
      <c r="FO3271"/>
      <c r="FP3271"/>
      <c r="FQ3271"/>
      <c r="FR3271"/>
      <c r="FS3271"/>
      <c r="FT3271"/>
      <c r="FU3271"/>
      <c r="FV3271"/>
      <c r="FW3271"/>
      <c r="FX3271"/>
      <c r="FY3271"/>
      <c r="FZ3271"/>
      <c r="GA3271"/>
      <c r="GB3271"/>
      <c r="GC3271"/>
      <c r="GD3271"/>
      <c r="GE3271"/>
      <c r="GF3271"/>
      <c r="GG3271"/>
      <c r="GH3271"/>
      <c r="GI3271"/>
      <c r="GJ3271"/>
      <c r="GK3271"/>
      <c r="GL3271"/>
      <c r="GM3271"/>
      <c r="GN3271"/>
      <c r="GO3271"/>
    </row>
    <row r="3272" spans="107:197">
      <c r="DC3272"/>
      <c r="FH3272"/>
      <c r="FI3272"/>
      <c r="FJ3272"/>
      <c r="FK3272"/>
      <c r="FL3272"/>
      <c r="FM3272"/>
      <c r="FN3272"/>
      <c r="FO3272"/>
      <c r="FP3272"/>
      <c r="FQ3272"/>
      <c r="FR3272"/>
      <c r="FS3272"/>
      <c r="FT3272"/>
      <c r="FU3272"/>
      <c r="FV3272"/>
      <c r="FW3272"/>
      <c r="FX3272"/>
      <c r="FY3272"/>
      <c r="FZ3272"/>
      <c r="GA3272"/>
      <c r="GB3272"/>
      <c r="GC3272"/>
      <c r="GD3272"/>
      <c r="GE3272"/>
      <c r="GF3272"/>
      <c r="GG3272"/>
      <c r="GH3272"/>
      <c r="GI3272"/>
      <c r="GJ3272"/>
      <c r="GK3272"/>
      <c r="GL3272"/>
      <c r="GM3272"/>
      <c r="GN3272"/>
      <c r="GO3272"/>
    </row>
    <row r="3273" spans="107:197">
      <c r="DC3273"/>
      <c r="FH3273"/>
      <c r="FI3273"/>
      <c r="FJ3273"/>
      <c r="FK3273"/>
      <c r="FL3273"/>
      <c r="FM3273"/>
      <c r="FN3273"/>
      <c r="FO3273"/>
      <c r="FP3273"/>
      <c r="FQ3273"/>
      <c r="FR3273"/>
      <c r="FS3273"/>
      <c r="FT3273"/>
      <c r="FU3273"/>
      <c r="FV3273"/>
      <c r="FW3273"/>
      <c r="FX3273"/>
      <c r="FY3273"/>
      <c r="FZ3273"/>
      <c r="GA3273"/>
      <c r="GB3273"/>
      <c r="GC3273"/>
      <c r="GD3273"/>
      <c r="GE3273"/>
      <c r="GF3273"/>
      <c r="GG3273"/>
      <c r="GH3273"/>
      <c r="GI3273"/>
      <c r="GJ3273"/>
      <c r="GK3273"/>
      <c r="GL3273"/>
      <c r="GM3273"/>
      <c r="GN3273"/>
      <c r="GO3273"/>
    </row>
    <row r="3274" spans="107:197">
      <c r="DC3274"/>
      <c r="FH3274"/>
      <c r="FI3274"/>
      <c r="FJ3274"/>
      <c r="FK3274"/>
      <c r="FL3274"/>
      <c r="FM3274"/>
      <c r="FN3274"/>
      <c r="FO3274"/>
      <c r="FP3274"/>
      <c r="FQ3274"/>
      <c r="FR3274"/>
      <c r="FS3274"/>
      <c r="FT3274"/>
      <c r="FU3274"/>
      <c r="FV3274"/>
      <c r="FW3274"/>
      <c r="FX3274"/>
      <c r="FY3274"/>
      <c r="FZ3274"/>
      <c r="GA3274"/>
      <c r="GB3274"/>
      <c r="GC3274"/>
      <c r="GD3274"/>
      <c r="GE3274"/>
      <c r="GF3274"/>
      <c r="GG3274"/>
      <c r="GH3274"/>
      <c r="GI3274"/>
      <c r="GJ3274"/>
      <c r="GK3274"/>
      <c r="GL3274"/>
      <c r="GM3274"/>
      <c r="GN3274"/>
      <c r="GO3274"/>
    </row>
    <row r="3275" spans="107:197">
      <c r="DC3275"/>
      <c r="FH3275"/>
      <c r="FI3275"/>
      <c r="FJ3275"/>
      <c r="FK3275"/>
      <c r="FL3275"/>
      <c r="FM3275"/>
      <c r="FN3275"/>
      <c r="FO3275"/>
      <c r="FP3275"/>
      <c r="FQ3275"/>
      <c r="FR3275"/>
      <c r="FS3275"/>
      <c r="FT3275"/>
      <c r="FU3275"/>
      <c r="FV3275"/>
      <c r="FW3275"/>
      <c r="FX3275"/>
      <c r="FY3275"/>
      <c r="FZ3275"/>
      <c r="GA3275"/>
      <c r="GB3275"/>
      <c r="GC3275"/>
      <c r="GD3275"/>
      <c r="GE3275"/>
      <c r="GF3275"/>
      <c r="GG3275"/>
      <c r="GH3275"/>
      <c r="GI3275"/>
      <c r="GJ3275"/>
      <c r="GK3275"/>
      <c r="GL3275"/>
      <c r="GM3275"/>
      <c r="GN3275"/>
      <c r="GO3275"/>
    </row>
    <row r="3276" spans="107:197">
      <c r="DC3276"/>
      <c r="FH3276"/>
      <c r="FI3276"/>
      <c r="FJ3276"/>
      <c r="FK3276"/>
      <c r="FL3276"/>
      <c r="FM3276"/>
      <c r="FN3276"/>
      <c r="FO3276"/>
      <c r="FP3276"/>
      <c r="FQ3276"/>
      <c r="FR3276"/>
      <c r="FS3276"/>
      <c r="FT3276"/>
      <c r="FU3276"/>
      <c r="FV3276"/>
      <c r="FW3276"/>
      <c r="FX3276"/>
      <c r="FY3276"/>
      <c r="FZ3276"/>
      <c r="GA3276"/>
      <c r="GB3276"/>
      <c r="GC3276"/>
      <c r="GD3276"/>
      <c r="GE3276"/>
      <c r="GF3276"/>
      <c r="GG3276"/>
      <c r="GH3276"/>
      <c r="GI3276"/>
      <c r="GJ3276"/>
      <c r="GK3276"/>
      <c r="GL3276"/>
      <c r="GM3276"/>
      <c r="GN3276"/>
      <c r="GO3276"/>
    </row>
    <row r="3277" spans="107:197">
      <c r="DC3277"/>
      <c r="FH3277"/>
      <c r="FI3277"/>
      <c r="FJ3277"/>
      <c r="FK3277"/>
      <c r="FL3277"/>
      <c r="FM3277"/>
      <c r="FN3277"/>
      <c r="FO3277"/>
      <c r="FP3277"/>
      <c r="FQ3277"/>
      <c r="FR3277"/>
      <c r="FS3277"/>
      <c r="FT3277"/>
      <c r="FU3277"/>
      <c r="FV3277"/>
      <c r="FW3277"/>
      <c r="FX3277"/>
      <c r="FY3277"/>
      <c r="FZ3277"/>
      <c r="GA3277"/>
      <c r="GB3277"/>
      <c r="GC3277"/>
      <c r="GD3277"/>
      <c r="GE3277"/>
      <c r="GF3277"/>
      <c r="GG3277"/>
      <c r="GH3277"/>
      <c r="GI3277"/>
      <c r="GJ3277"/>
      <c r="GK3277"/>
      <c r="GL3277"/>
      <c r="GM3277"/>
      <c r="GN3277"/>
      <c r="GO3277"/>
    </row>
    <row r="3278" spans="107:197">
      <c r="DC3278"/>
      <c r="FH3278"/>
      <c r="FI3278"/>
      <c r="FJ3278"/>
      <c r="FK3278"/>
      <c r="FL3278"/>
      <c r="FM3278"/>
      <c r="FN3278"/>
      <c r="FO3278"/>
      <c r="FP3278"/>
      <c r="FQ3278"/>
      <c r="FR3278"/>
      <c r="FS3278"/>
      <c r="FT3278"/>
      <c r="FU3278"/>
      <c r="FV3278"/>
      <c r="FW3278"/>
      <c r="FX3278"/>
      <c r="FY3278"/>
      <c r="FZ3278"/>
      <c r="GA3278"/>
      <c r="GB3278"/>
      <c r="GC3278"/>
      <c r="GD3278"/>
      <c r="GE3278"/>
      <c r="GF3278"/>
      <c r="GG3278"/>
      <c r="GH3278"/>
      <c r="GI3278"/>
      <c r="GJ3278"/>
      <c r="GK3278"/>
      <c r="GL3278"/>
      <c r="GM3278"/>
      <c r="GN3278"/>
      <c r="GO3278"/>
    </row>
    <row r="3279" spans="107:197">
      <c r="DC3279"/>
      <c r="FH3279"/>
      <c r="FI3279"/>
      <c r="FJ3279"/>
      <c r="FK3279"/>
      <c r="FL3279"/>
      <c r="FM3279"/>
      <c r="FN3279"/>
      <c r="FO3279"/>
      <c r="FP3279"/>
      <c r="FQ3279"/>
      <c r="FR3279"/>
      <c r="FS3279"/>
      <c r="FT3279"/>
      <c r="FU3279"/>
      <c r="FV3279"/>
      <c r="FW3279"/>
      <c r="FX3279"/>
      <c r="FY3279"/>
      <c r="FZ3279"/>
      <c r="GA3279"/>
      <c r="GB3279"/>
      <c r="GC3279"/>
      <c r="GD3279"/>
      <c r="GE3279"/>
      <c r="GF3279"/>
      <c r="GG3279"/>
      <c r="GH3279"/>
      <c r="GI3279"/>
      <c r="GJ3279"/>
      <c r="GK3279"/>
      <c r="GL3279"/>
      <c r="GM3279"/>
      <c r="GN3279"/>
      <c r="GO3279"/>
    </row>
    <row r="3280" spans="107:197">
      <c r="DC3280"/>
      <c r="FH3280"/>
      <c r="FI3280"/>
      <c r="FJ3280"/>
      <c r="FK3280"/>
      <c r="FL3280"/>
      <c r="FM3280"/>
      <c r="FN3280"/>
      <c r="FO3280"/>
      <c r="FP3280"/>
      <c r="FQ3280"/>
      <c r="FR3280"/>
      <c r="FS3280"/>
      <c r="FT3280"/>
      <c r="FU3280"/>
      <c r="FV3280"/>
      <c r="FW3280"/>
      <c r="FX3280"/>
      <c r="FY3280"/>
      <c r="FZ3280"/>
      <c r="GA3280"/>
      <c r="GB3280"/>
      <c r="GC3280"/>
      <c r="GD3280"/>
      <c r="GE3280"/>
      <c r="GF3280"/>
      <c r="GG3280"/>
      <c r="GH3280"/>
      <c r="GI3280"/>
      <c r="GJ3280"/>
      <c r="GK3280"/>
      <c r="GL3280"/>
      <c r="GM3280"/>
      <c r="GN3280"/>
      <c r="GO3280"/>
    </row>
    <row r="3281" spans="107:197">
      <c r="DC3281"/>
      <c r="FH3281"/>
      <c r="FI3281"/>
      <c r="FJ3281"/>
      <c r="FK3281"/>
      <c r="FL3281"/>
      <c r="FM3281"/>
      <c r="FN3281"/>
      <c r="FO3281"/>
      <c r="FP3281"/>
      <c r="FQ3281"/>
      <c r="FR3281"/>
      <c r="FS3281"/>
      <c r="FT3281"/>
      <c r="FU3281"/>
      <c r="FV3281"/>
      <c r="FW3281"/>
      <c r="FX3281"/>
      <c r="FY3281"/>
      <c r="FZ3281"/>
      <c r="GA3281"/>
      <c r="GB3281"/>
      <c r="GC3281"/>
      <c r="GD3281"/>
      <c r="GE3281"/>
      <c r="GF3281"/>
      <c r="GG3281"/>
      <c r="GH3281"/>
      <c r="GI3281"/>
      <c r="GJ3281"/>
      <c r="GK3281"/>
      <c r="GL3281"/>
      <c r="GM3281"/>
      <c r="GN3281"/>
      <c r="GO3281"/>
    </row>
    <row r="3282" spans="107:197">
      <c r="DC3282"/>
      <c r="FH3282"/>
      <c r="FI3282"/>
      <c r="FJ3282"/>
      <c r="FK3282"/>
      <c r="FL3282"/>
      <c r="FM3282"/>
      <c r="FN3282"/>
      <c r="FO3282"/>
      <c r="FP3282"/>
      <c r="FQ3282"/>
      <c r="FR3282"/>
      <c r="FS3282"/>
      <c r="FT3282"/>
      <c r="FU3282"/>
      <c r="FV3282"/>
      <c r="FW3282"/>
      <c r="FX3282"/>
      <c r="FY3282"/>
      <c r="FZ3282"/>
      <c r="GA3282"/>
      <c r="GB3282"/>
      <c r="GC3282"/>
      <c r="GD3282"/>
      <c r="GE3282"/>
      <c r="GF3282"/>
      <c r="GG3282"/>
      <c r="GH3282"/>
      <c r="GI3282"/>
      <c r="GJ3282"/>
      <c r="GK3282"/>
      <c r="GL3282"/>
      <c r="GM3282"/>
      <c r="GN3282"/>
      <c r="GO3282"/>
    </row>
    <row r="3283" spans="107:197">
      <c r="DC3283"/>
      <c r="FH3283"/>
      <c r="FI3283"/>
      <c r="FJ3283"/>
      <c r="FK3283"/>
      <c r="FL3283"/>
      <c r="FM3283"/>
      <c r="FN3283"/>
      <c r="FO3283"/>
      <c r="FP3283"/>
      <c r="FQ3283"/>
      <c r="FR3283"/>
      <c r="FS3283"/>
      <c r="FT3283"/>
      <c r="FU3283"/>
      <c r="FV3283"/>
      <c r="FW3283"/>
      <c r="FX3283"/>
      <c r="FY3283"/>
      <c r="FZ3283"/>
      <c r="GA3283"/>
      <c r="GB3283"/>
      <c r="GC3283"/>
      <c r="GD3283"/>
      <c r="GE3283"/>
      <c r="GF3283"/>
      <c r="GG3283"/>
      <c r="GH3283"/>
      <c r="GI3283"/>
      <c r="GJ3283"/>
      <c r="GK3283"/>
      <c r="GL3283"/>
      <c r="GM3283"/>
      <c r="GN3283"/>
      <c r="GO3283"/>
    </row>
    <row r="3284" spans="107:197">
      <c r="DC3284"/>
      <c r="FH3284"/>
      <c r="FI3284"/>
      <c r="FJ3284"/>
      <c r="FK3284"/>
      <c r="FL3284"/>
      <c r="FM3284"/>
      <c r="FN3284"/>
      <c r="FO3284"/>
      <c r="FP3284"/>
      <c r="FQ3284"/>
      <c r="FR3284"/>
      <c r="FS3284"/>
      <c r="FT3284"/>
      <c r="FU3284"/>
      <c r="FV3284"/>
      <c r="FW3284"/>
      <c r="FX3284"/>
      <c r="FY3284"/>
      <c r="FZ3284"/>
      <c r="GA3284"/>
      <c r="GB3284"/>
      <c r="GC3284"/>
      <c r="GD3284"/>
      <c r="GE3284"/>
      <c r="GF3284"/>
      <c r="GG3284"/>
      <c r="GH3284"/>
      <c r="GI3284"/>
      <c r="GJ3284"/>
      <c r="GK3284"/>
      <c r="GL3284"/>
      <c r="GM3284"/>
      <c r="GN3284"/>
      <c r="GO3284"/>
    </row>
    <row r="3285" spans="107:197">
      <c r="DC3285"/>
      <c r="FH3285"/>
      <c r="FI3285"/>
      <c r="FJ3285"/>
      <c r="FK3285"/>
      <c r="FL3285"/>
      <c r="FM3285"/>
      <c r="FN3285"/>
      <c r="FO3285"/>
      <c r="FP3285"/>
      <c r="FQ3285"/>
      <c r="FR3285"/>
      <c r="FS3285"/>
      <c r="FT3285"/>
      <c r="FU3285"/>
      <c r="FV3285"/>
      <c r="FW3285"/>
      <c r="FX3285"/>
      <c r="FY3285"/>
      <c r="FZ3285"/>
      <c r="GA3285"/>
      <c r="GB3285"/>
      <c r="GC3285"/>
      <c r="GD3285"/>
      <c r="GE3285"/>
      <c r="GF3285"/>
      <c r="GG3285"/>
      <c r="GH3285"/>
      <c r="GI3285"/>
      <c r="GJ3285"/>
      <c r="GK3285"/>
      <c r="GL3285"/>
      <c r="GM3285"/>
      <c r="GN3285"/>
      <c r="GO3285"/>
    </row>
    <row r="3286" spans="107:197">
      <c r="DC3286"/>
      <c r="FH3286"/>
      <c r="FI3286"/>
      <c r="FJ3286"/>
      <c r="FK3286"/>
      <c r="FL3286"/>
      <c r="FM3286"/>
      <c r="FN3286"/>
      <c r="FO3286"/>
      <c r="FP3286"/>
      <c r="FQ3286"/>
      <c r="FR3286"/>
      <c r="FS3286"/>
      <c r="FT3286"/>
      <c r="FU3286"/>
      <c r="FV3286"/>
      <c r="FW3286"/>
      <c r="FX3286"/>
      <c r="FY3286"/>
      <c r="FZ3286"/>
      <c r="GA3286"/>
      <c r="GB3286"/>
      <c r="GC3286"/>
      <c r="GD3286"/>
      <c r="GE3286"/>
      <c r="GF3286"/>
      <c r="GG3286"/>
      <c r="GH3286"/>
      <c r="GI3286"/>
      <c r="GJ3286"/>
      <c r="GK3286"/>
      <c r="GL3286"/>
      <c r="GM3286"/>
      <c r="GN3286"/>
      <c r="GO3286"/>
    </row>
    <row r="3287" spans="107:197">
      <c r="DC3287"/>
      <c r="FH3287"/>
      <c r="FI3287"/>
      <c r="FJ3287"/>
      <c r="FK3287"/>
      <c r="FL3287"/>
      <c r="FM3287"/>
      <c r="FN3287"/>
      <c r="FO3287"/>
      <c r="FP3287"/>
      <c r="FQ3287"/>
      <c r="FR3287"/>
      <c r="FS3287"/>
      <c r="FT3287"/>
      <c r="FU3287"/>
      <c r="FV3287"/>
      <c r="FW3287"/>
      <c r="FX3287"/>
      <c r="FY3287"/>
      <c r="FZ3287"/>
      <c r="GA3287"/>
      <c r="GB3287"/>
      <c r="GC3287"/>
      <c r="GD3287"/>
      <c r="GE3287"/>
      <c r="GF3287"/>
      <c r="GG3287"/>
      <c r="GH3287"/>
      <c r="GI3287"/>
      <c r="GJ3287"/>
      <c r="GK3287"/>
      <c r="GL3287"/>
      <c r="GM3287"/>
      <c r="GN3287"/>
      <c r="GO3287"/>
    </row>
    <row r="3288" spans="107:197">
      <c r="DC3288"/>
      <c r="FH3288"/>
      <c r="FI3288"/>
      <c r="FJ3288"/>
      <c r="FK3288"/>
      <c r="FL3288"/>
      <c r="FM3288"/>
      <c r="FN3288"/>
      <c r="FO3288"/>
      <c r="FP3288"/>
      <c r="FQ3288"/>
      <c r="FR3288"/>
      <c r="FS3288"/>
      <c r="FT3288"/>
      <c r="FU3288"/>
      <c r="FV3288"/>
      <c r="FW3288"/>
      <c r="FX3288"/>
      <c r="FY3288"/>
      <c r="FZ3288"/>
      <c r="GA3288"/>
      <c r="GB3288"/>
      <c r="GC3288"/>
      <c r="GD3288"/>
      <c r="GE3288"/>
      <c r="GF3288"/>
      <c r="GG3288"/>
      <c r="GH3288"/>
      <c r="GI3288"/>
      <c r="GJ3288"/>
      <c r="GK3288"/>
      <c r="GL3288"/>
      <c r="GM3288"/>
      <c r="GN3288"/>
      <c r="GO3288"/>
    </row>
    <row r="3289" spans="107:197">
      <c r="DC3289"/>
      <c r="FH3289"/>
      <c r="FI3289"/>
      <c r="FJ3289"/>
      <c r="FK3289"/>
      <c r="FL3289"/>
      <c r="FM3289"/>
      <c r="FN3289"/>
      <c r="FO3289"/>
      <c r="FP3289"/>
      <c r="FQ3289"/>
      <c r="FR3289"/>
      <c r="FS3289"/>
      <c r="FT3289"/>
      <c r="FU3289"/>
      <c r="FV3289"/>
      <c r="FW3289"/>
      <c r="FX3289"/>
      <c r="FY3289"/>
      <c r="FZ3289"/>
      <c r="GA3289"/>
      <c r="GB3289"/>
      <c r="GC3289"/>
      <c r="GD3289"/>
      <c r="GE3289"/>
      <c r="GF3289"/>
      <c r="GG3289"/>
      <c r="GH3289"/>
      <c r="GI3289"/>
      <c r="GJ3289"/>
      <c r="GK3289"/>
      <c r="GL3289"/>
      <c r="GM3289"/>
      <c r="GN3289"/>
      <c r="GO3289"/>
    </row>
    <row r="3290" spans="107:197">
      <c r="DC3290"/>
      <c r="FH3290"/>
      <c r="FI3290"/>
      <c r="FJ3290"/>
      <c r="FK3290"/>
      <c r="FL3290"/>
      <c r="FM3290"/>
      <c r="FN3290"/>
      <c r="FO3290"/>
      <c r="FP3290"/>
      <c r="FQ3290"/>
      <c r="FR3290"/>
      <c r="FS3290"/>
      <c r="FT3290"/>
      <c r="FU3290"/>
      <c r="FV3290"/>
      <c r="FW3290"/>
      <c r="FX3290"/>
      <c r="FY3290"/>
      <c r="FZ3290"/>
      <c r="GA3290"/>
      <c r="GB3290"/>
      <c r="GC3290"/>
      <c r="GD3290"/>
      <c r="GE3290"/>
      <c r="GF3290"/>
      <c r="GG3290"/>
      <c r="GH3290"/>
      <c r="GI3290"/>
      <c r="GJ3290"/>
      <c r="GK3290"/>
      <c r="GL3290"/>
      <c r="GM3290"/>
      <c r="GN3290"/>
      <c r="GO3290"/>
    </row>
    <row r="3291" spans="107:197">
      <c r="DC3291"/>
      <c r="FH3291"/>
      <c r="FI3291"/>
      <c r="FJ3291"/>
      <c r="FK3291"/>
      <c r="FL3291"/>
      <c r="FM3291"/>
      <c r="FN3291"/>
      <c r="FO3291"/>
      <c r="FP3291"/>
      <c r="FQ3291"/>
      <c r="FR3291"/>
      <c r="FS3291"/>
      <c r="FT3291"/>
      <c r="FU3291"/>
      <c r="FV3291"/>
      <c r="FW3291"/>
      <c r="FX3291"/>
      <c r="FY3291"/>
      <c r="FZ3291"/>
      <c r="GA3291"/>
      <c r="GB3291"/>
      <c r="GC3291"/>
      <c r="GD3291"/>
      <c r="GE3291"/>
      <c r="GF3291"/>
      <c r="GG3291"/>
      <c r="GH3291"/>
      <c r="GI3291"/>
      <c r="GJ3291"/>
      <c r="GK3291"/>
      <c r="GL3291"/>
      <c r="GM3291"/>
      <c r="GN3291"/>
      <c r="GO3291"/>
    </row>
    <row r="3292" spans="107:197">
      <c r="DC3292"/>
      <c r="FH3292"/>
      <c r="FI3292"/>
      <c r="FJ3292"/>
      <c r="FK3292"/>
      <c r="FL3292"/>
      <c r="FM3292"/>
      <c r="FN3292"/>
      <c r="FO3292"/>
      <c r="FP3292"/>
      <c r="FQ3292"/>
      <c r="FR3292"/>
      <c r="FS3292"/>
      <c r="FT3292"/>
      <c r="FU3292"/>
      <c r="FV3292"/>
      <c r="FW3292"/>
      <c r="FX3292"/>
      <c r="FY3292"/>
      <c r="FZ3292"/>
      <c r="GA3292"/>
      <c r="GB3292"/>
      <c r="GC3292"/>
      <c r="GD3292"/>
      <c r="GE3292"/>
      <c r="GF3292"/>
      <c r="GG3292"/>
      <c r="GH3292"/>
      <c r="GI3292"/>
      <c r="GJ3292"/>
      <c r="GK3292"/>
      <c r="GL3292"/>
      <c r="GM3292"/>
      <c r="GN3292"/>
      <c r="GO3292"/>
    </row>
    <row r="3293" spans="107:197">
      <c r="DC3293"/>
      <c r="FH3293"/>
      <c r="FI3293"/>
      <c r="FJ3293"/>
      <c r="FK3293"/>
      <c r="FL3293"/>
      <c r="FM3293"/>
      <c r="FN3293"/>
      <c r="FO3293"/>
      <c r="FP3293"/>
      <c r="FQ3293"/>
      <c r="FR3293"/>
      <c r="FS3293"/>
      <c r="FT3293"/>
      <c r="FU3293"/>
      <c r="FV3293"/>
      <c r="FW3293"/>
      <c r="FX3293"/>
      <c r="FY3293"/>
      <c r="FZ3293"/>
      <c r="GA3293"/>
      <c r="GB3293"/>
      <c r="GC3293"/>
      <c r="GD3293"/>
      <c r="GE3293"/>
      <c r="GF3293"/>
      <c r="GG3293"/>
      <c r="GH3293"/>
      <c r="GI3293"/>
      <c r="GJ3293"/>
      <c r="GK3293"/>
      <c r="GL3293"/>
      <c r="GM3293"/>
      <c r="GN3293"/>
      <c r="GO3293"/>
    </row>
    <row r="3294" spans="107:197">
      <c r="DC3294"/>
      <c r="FH3294"/>
      <c r="FI3294"/>
      <c r="FJ3294"/>
      <c r="FK3294"/>
      <c r="FL3294"/>
      <c r="FM3294"/>
      <c r="FN3294"/>
      <c r="FO3294"/>
      <c r="FP3294"/>
      <c r="FQ3294"/>
      <c r="FR3294"/>
      <c r="FS3294"/>
      <c r="FT3294"/>
      <c r="FU3294"/>
      <c r="FV3294"/>
      <c r="FW3294"/>
      <c r="FX3294"/>
      <c r="FY3294"/>
      <c r="FZ3294"/>
      <c r="GA3294"/>
      <c r="GB3294"/>
      <c r="GC3294"/>
      <c r="GD3294"/>
      <c r="GE3294"/>
      <c r="GF3294"/>
      <c r="GG3294"/>
      <c r="GH3294"/>
      <c r="GI3294"/>
      <c r="GJ3294"/>
      <c r="GK3294"/>
      <c r="GL3294"/>
      <c r="GM3294"/>
      <c r="GN3294"/>
      <c r="GO3294"/>
    </row>
    <row r="3295" spans="107:197">
      <c r="DC3295"/>
      <c r="FH3295"/>
      <c r="FI3295"/>
      <c r="FJ3295"/>
      <c r="FK3295"/>
      <c r="FL3295"/>
      <c r="FM3295"/>
      <c r="FN3295"/>
      <c r="FO3295"/>
      <c r="FP3295"/>
      <c r="FQ3295"/>
      <c r="FR3295"/>
      <c r="FS3295"/>
      <c r="FT3295"/>
      <c r="FU3295"/>
      <c r="FV3295"/>
      <c r="FW3295"/>
      <c r="FX3295"/>
      <c r="FY3295"/>
      <c r="FZ3295"/>
      <c r="GA3295"/>
      <c r="GB3295"/>
      <c r="GC3295"/>
      <c r="GD3295"/>
      <c r="GE3295"/>
      <c r="GF3295"/>
      <c r="GG3295"/>
      <c r="GH3295"/>
      <c r="GI3295"/>
      <c r="GJ3295"/>
      <c r="GK3295"/>
      <c r="GL3295"/>
      <c r="GM3295"/>
      <c r="GN3295"/>
      <c r="GO3295"/>
    </row>
    <row r="3296" spans="107:197">
      <c r="DC3296"/>
      <c r="FH3296"/>
      <c r="FI3296"/>
      <c r="FJ3296"/>
      <c r="FK3296"/>
      <c r="FL3296"/>
      <c r="FM3296"/>
      <c r="FN3296"/>
      <c r="FO3296"/>
      <c r="FP3296"/>
      <c r="FQ3296"/>
      <c r="FR3296"/>
      <c r="FS3296"/>
      <c r="FT3296"/>
      <c r="FU3296"/>
      <c r="FV3296"/>
      <c r="FW3296"/>
      <c r="FX3296"/>
      <c r="FY3296"/>
      <c r="FZ3296"/>
      <c r="GA3296"/>
      <c r="GB3296"/>
      <c r="GC3296"/>
      <c r="GD3296"/>
      <c r="GE3296"/>
      <c r="GF3296"/>
      <c r="GG3296"/>
      <c r="GH3296"/>
      <c r="GI3296"/>
      <c r="GJ3296"/>
      <c r="GK3296"/>
      <c r="GL3296"/>
      <c r="GM3296"/>
      <c r="GN3296"/>
      <c r="GO3296"/>
    </row>
    <row r="3297" spans="107:197">
      <c r="DC3297"/>
      <c r="FH3297"/>
      <c r="FI3297"/>
      <c r="FJ3297"/>
      <c r="FK3297"/>
      <c r="FL3297"/>
      <c r="FM3297"/>
      <c r="FN3297"/>
      <c r="FO3297"/>
      <c r="FP3297"/>
      <c r="FQ3297"/>
      <c r="FR3297"/>
      <c r="FS3297"/>
      <c r="FT3297"/>
      <c r="FU3297"/>
      <c r="FV3297"/>
      <c r="FW3297"/>
      <c r="FX3297"/>
      <c r="FY3297"/>
      <c r="FZ3297"/>
      <c r="GA3297"/>
      <c r="GB3297"/>
      <c r="GC3297"/>
      <c r="GD3297"/>
      <c r="GE3297"/>
      <c r="GF3297"/>
      <c r="GG3297"/>
      <c r="GH3297"/>
      <c r="GI3297"/>
      <c r="GJ3297"/>
      <c r="GK3297"/>
      <c r="GL3297"/>
      <c r="GM3297"/>
      <c r="GN3297"/>
      <c r="GO3297"/>
    </row>
    <row r="3298" spans="107:197">
      <c r="DC3298"/>
      <c r="FH3298"/>
      <c r="FI3298"/>
      <c r="FJ3298"/>
      <c r="FK3298"/>
      <c r="FL3298"/>
      <c r="FM3298"/>
      <c r="FN3298"/>
      <c r="FO3298"/>
      <c r="FP3298"/>
      <c r="FQ3298"/>
      <c r="FR3298"/>
      <c r="FS3298"/>
      <c r="FT3298"/>
      <c r="FU3298"/>
      <c r="FV3298"/>
      <c r="FW3298"/>
      <c r="FX3298"/>
      <c r="FY3298"/>
      <c r="FZ3298"/>
      <c r="GA3298"/>
      <c r="GB3298"/>
      <c r="GC3298"/>
      <c r="GD3298"/>
      <c r="GE3298"/>
      <c r="GF3298"/>
      <c r="GG3298"/>
      <c r="GH3298"/>
      <c r="GI3298"/>
      <c r="GJ3298"/>
      <c r="GK3298"/>
      <c r="GL3298"/>
      <c r="GM3298"/>
      <c r="GN3298"/>
      <c r="GO3298"/>
    </row>
    <row r="3299" spans="107:197">
      <c r="DC3299"/>
      <c r="FH3299"/>
      <c r="FI3299"/>
      <c r="FJ3299"/>
      <c r="FK3299"/>
      <c r="FL3299"/>
      <c r="FM3299"/>
      <c r="FN3299"/>
      <c r="FO3299"/>
      <c r="FP3299"/>
      <c r="FQ3299"/>
      <c r="FR3299"/>
      <c r="FS3299"/>
      <c r="FT3299"/>
      <c r="FU3299"/>
      <c r="FV3299"/>
      <c r="FW3299"/>
      <c r="FX3299"/>
      <c r="FY3299"/>
      <c r="FZ3299"/>
      <c r="GA3299"/>
      <c r="GB3299"/>
      <c r="GC3299"/>
      <c r="GD3299"/>
      <c r="GE3299"/>
      <c r="GF3299"/>
      <c r="GG3299"/>
      <c r="GH3299"/>
      <c r="GI3299"/>
      <c r="GJ3299"/>
      <c r="GK3299"/>
      <c r="GL3299"/>
      <c r="GM3299"/>
      <c r="GN3299"/>
      <c r="GO3299"/>
    </row>
    <row r="3300" spans="107:197">
      <c r="DC3300"/>
      <c r="FH3300"/>
      <c r="FI3300"/>
      <c r="FJ3300"/>
      <c r="FK3300"/>
      <c r="FL3300"/>
      <c r="FM3300"/>
      <c r="FN3300"/>
      <c r="FO3300"/>
      <c r="FP3300"/>
      <c r="FQ3300"/>
      <c r="FR3300"/>
      <c r="FS3300"/>
      <c r="FT3300"/>
      <c r="FU3300"/>
      <c r="FV3300"/>
      <c r="FW3300"/>
      <c r="FX3300"/>
      <c r="FY3300"/>
      <c r="FZ3300"/>
      <c r="GA3300"/>
      <c r="GB3300"/>
      <c r="GC3300"/>
      <c r="GD3300"/>
      <c r="GE3300"/>
      <c r="GF3300"/>
      <c r="GG3300"/>
      <c r="GH3300"/>
      <c r="GI3300"/>
      <c r="GJ3300"/>
      <c r="GK3300"/>
      <c r="GL3300"/>
      <c r="GM3300"/>
      <c r="GN3300"/>
      <c r="GO3300"/>
    </row>
    <row r="3301" spans="107:197">
      <c r="DC3301"/>
      <c r="FH3301"/>
      <c r="FI3301"/>
      <c r="FJ3301"/>
      <c r="FK3301"/>
      <c r="FL3301"/>
      <c r="FM3301"/>
      <c r="FN3301"/>
      <c r="FO3301"/>
      <c r="FP3301"/>
      <c r="FQ3301"/>
      <c r="FR3301"/>
      <c r="FS3301"/>
      <c r="FT3301"/>
      <c r="FU3301"/>
      <c r="FV3301"/>
      <c r="FW3301"/>
      <c r="FX3301"/>
      <c r="FY3301"/>
      <c r="FZ3301"/>
      <c r="GA3301"/>
      <c r="GB3301"/>
      <c r="GC3301"/>
      <c r="GD3301"/>
      <c r="GE3301"/>
      <c r="GF3301"/>
      <c r="GG3301"/>
      <c r="GH3301"/>
      <c r="GI3301"/>
      <c r="GJ3301"/>
      <c r="GK3301"/>
      <c r="GL3301"/>
      <c r="GM3301"/>
      <c r="GN3301"/>
      <c r="GO3301"/>
    </row>
    <row r="3302" spans="107:197">
      <c r="DC3302"/>
      <c r="FH3302"/>
      <c r="FI3302"/>
      <c r="FJ3302"/>
      <c r="FK3302"/>
      <c r="FL3302"/>
      <c r="FM3302"/>
      <c r="FN3302"/>
      <c r="FO3302"/>
      <c r="FP3302"/>
      <c r="FQ3302"/>
      <c r="FR3302"/>
      <c r="FS3302"/>
      <c r="FT3302"/>
      <c r="FU3302"/>
      <c r="FV3302"/>
      <c r="FW3302"/>
      <c r="FX3302"/>
      <c r="FY3302"/>
      <c r="FZ3302"/>
      <c r="GA3302"/>
      <c r="GB3302"/>
      <c r="GC3302"/>
      <c r="GD3302"/>
      <c r="GE3302"/>
      <c r="GF3302"/>
      <c r="GG3302"/>
      <c r="GH3302"/>
      <c r="GI3302"/>
      <c r="GJ3302"/>
      <c r="GK3302"/>
      <c r="GL3302"/>
      <c r="GM3302"/>
      <c r="GN3302"/>
      <c r="GO3302"/>
    </row>
    <row r="3303" spans="107:197">
      <c r="DC3303"/>
      <c r="FH3303"/>
      <c r="FI3303"/>
      <c r="FJ3303"/>
      <c r="FK3303"/>
      <c r="FL3303"/>
      <c r="FM3303"/>
      <c r="FN3303"/>
      <c r="FO3303"/>
      <c r="FP3303"/>
      <c r="FQ3303"/>
      <c r="FR3303"/>
      <c r="FS3303"/>
      <c r="FT3303"/>
      <c r="FU3303"/>
      <c r="FV3303"/>
      <c r="FW3303"/>
      <c r="FX3303"/>
      <c r="FY3303"/>
      <c r="FZ3303"/>
      <c r="GA3303"/>
      <c r="GB3303"/>
      <c r="GC3303"/>
      <c r="GD3303"/>
      <c r="GE3303"/>
      <c r="GF3303"/>
      <c r="GG3303"/>
      <c r="GH3303"/>
      <c r="GI3303"/>
      <c r="GJ3303"/>
      <c r="GK3303"/>
      <c r="GL3303"/>
      <c r="GM3303"/>
      <c r="GN3303"/>
      <c r="GO3303"/>
    </row>
    <row r="3304" spans="107:197">
      <c r="DC3304"/>
      <c r="FH3304"/>
      <c r="FI3304"/>
      <c r="FJ3304"/>
      <c r="FK3304"/>
      <c r="FL3304"/>
      <c r="FM3304"/>
      <c r="FN3304"/>
      <c r="FO3304"/>
      <c r="FP3304"/>
      <c r="FQ3304"/>
      <c r="FR3304"/>
      <c r="FS3304"/>
      <c r="FT3304"/>
      <c r="FU3304"/>
      <c r="FV3304"/>
      <c r="FW3304"/>
      <c r="FX3304"/>
      <c r="FY3304"/>
      <c r="FZ3304"/>
      <c r="GA3304"/>
      <c r="GB3304"/>
      <c r="GC3304"/>
      <c r="GD3304"/>
      <c r="GE3304"/>
      <c r="GF3304"/>
      <c r="GG3304"/>
      <c r="GH3304"/>
      <c r="GI3304"/>
      <c r="GJ3304"/>
      <c r="GK3304"/>
      <c r="GL3304"/>
      <c r="GM3304"/>
      <c r="GN3304"/>
      <c r="GO3304"/>
    </row>
    <row r="3305" spans="107:197">
      <c r="DC3305"/>
      <c r="FH3305"/>
      <c r="FI3305"/>
      <c r="FJ3305"/>
      <c r="FK3305"/>
      <c r="FL3305"/>
      <c r="FM3305"/>
      <c r="FN3305"/>
      <c r="FO3305"/>
      <c r="FP3305"/>
      <c r="FQ3305"/>
      <c r="FR3305"/>
      <c r="FS3305"/>
      <c r="FT3305"/>
      <c r="FU3305"/>
      <c r="FV3305"/>
      <c r="FW3305"/>
      <c r="FX3305"/>
      <c r="FY3305"/>
      <c r="FZ3305"/>
      <c r="GA3305"/>
      <c r="GB3305"/>
      <c r="GC3305"/>
      <c r="GD3305"/>
      <c r="GE3305"/>
      <c r="GF3305"/>
      <c r="GG3305"/>
      <c r="GH3305"/>
      <c r="GI3305"/>
      <c r="GJ3305"/>
      <c r="GK3305"/>
      <c r="GL3305"/>
      <c r="GM3305"/>
      <c r="GN3305"/>
      <c r="GO3305"/>
    </row>
    <row r="3306" spans="107:197">
      <c r="DC3306"/>
      <c r="FH3306"/>
      <c r="FI3306"/>
      <c r="FJ3306"/>
      <c r="FK3306"/>
      <c r="FL3306"/>
      <c r="FM3306"/>
      <c r="FN3306"/>
      <c r="FO3306"/>
      <c r="FP3306"/>
      <c r="FQ3306"/>
      <c r="FR3306"/>
      <c r="FS3306"/>
      <c r="FT3306"/>
      <c r="FU3306"/>
      <c r="FV3306"/>
      <c r="FW3306"/>
      <c r="FX3306"/>
      <c r="FY3306"/>
      <c r="FZ3306"/>
      <c r="GA3306"/>
      <c r="GB3306"/>
      <c r="GC3306"/>
      <c r="GD3306"/>
      <c r="GE3306"/>
      <c r="GF3306"/>
      <c r="GG3306"/>
      <c r="GH3306"/>
      <c r="GI3306"/>
      <c r="GJ3306"/>
      <c r="GK3306"/>
      <c r="GL3306"/>
      <c r="GM3306"/>
      <c r="GN3306"/>
      <c r="GO3306"/>
    </row>
    <row r="3307" spans="107:197">
      <c r="DC3307"/>
      <c r="FH3307"/>
      <c r="FI3307"/>
      <c r="FJ3307"/>
      <c r="FK3307"/>
      <c r="FL3307"/>
      <c r="FM3307"/>
      <c r="FN3307"/>
      <c r="FO3307"/>
      <c r="FP3307"/>
      <c r="FQ3307"/>
      <c r="FR3307"/>
      <c r="FS3307"/>
      <c r="FT3307"/>
      <c r="FU3307"/>
      <c r="FV3307"/>
      <c r="FW3307"/>
      <c r="FX3307"/>
      <c r="FY3307"/>
      <c r="FZ3307"/>
      <c r="GA3307"/>
      <c r="GB3307"/>
      <c r="GC3307"/>
      <c r="GD3307"/>
      <c r="GE3307"/>
      <c r="GF3307"/>
      <c r="GG3307"/>
      <c r="GH3307"/>
      <c r="GI3307"/>
      <c r="GJ3307"/>
      <c r="GK3307"/>
      <c r="GL3307"/>
      <c r="GM3307"/>
      <c r="GN3307"/>
      <c r="GO3307"/>
    </row>
    <row r="3308" spans="107:197">
      <c r="DC3308"/>
      <c r="FH3308"/>
      <c r="FI3308"/>
      <c r="FJ3308"/>
      <c r="FK3308"/>
      <c r="FL3308"/>
      <c r="FM3308"/>
      <c r="FN3308"/>
      <c r="FO3308"/>
      <c r="FP3308"/>
      <c r="FQ3308"/>
      <c r="FR3308"/>
      <c r="FS3308"/>
      <c r="FT3308"/>
      <c r="FU3308"/>
      <c r="FV3308"/>
      <c r="FW3308"/>
      <c r="FX3308"/>
      <c r="FY3308"/>
      <c r="FZ3308"/>
      <c r="GA3308"/>
      <c r="GB3308"/>
      <c r="GC3308"/>
      <c r="GD3308"/>
      <c r="GE3308"/>
      <c r="GF3308"/>
      <c r="GG3308"/>
      <c r="GH3308"/>
      <c r="GI3308"/>
      <c r="GJ3308"/>
      <c r="GK3308"/>
      <c r="GL3308"/>
      <c r="GM3308"/>
      <c r="GN3308"/>
      <c r="GO3308"/>
    </row>
    <row r="3309" spans="107:197">
      <c r="DC3309"/>
      <c r="FH3309"/>
      <c r="FI3309"/>
      <c r="FJ3309"/>
      <c r="FK3309"/>
      <c r="FL3309"/>
      <c r="FM3309"/>
      <c r="FN3309"/>
      <c r="FO3309"/>
      <c r="FP3309"/>
      <c r="FQ3309"/>
      <c r="FR3309"/>
      <c r="FS3309"/>
      <c r="FT3309"/>
      <c r="FU3309"/>
      <c r="FV3309"/>
      <c r="FW3309"/>
      <c r="FX3309"/>
      <c r="FY3309"/>
      <c r="FZ3309"/>
      <c r="GA3309"/>
      <c r="GB3309"/>
      <c r="GC3309"/>
      <c r="GD3309"/>
      <c r="GE3309"/>
      <c r="GF3309"/>
      <c r="GG3309"/>
      <c r="GH3309"/>
      <c r="GI3309"/>
      <c r="GJ3309"/>
      <c r="GK3309"/>
      <c r="GL3309"/>
      <c r="GM3309"/>
      <c r="GN3309"/>
      <c r="GO3309"/>
    </row>
    <row r="3310" spans="107:197">
      <c r="DC3310"/>
      <c r="FH3310"/>
      <c r="FI3310"/>
      <c r="FJ3310"/>
      <c r="FK3310"/>
      <c r="FL3310"/>
      <c r="FM3310"/>
      <c r="FN3310"/>
      <c r="FO3310"/>
      <c r="FP3310"/>
      <c r="FQ3310"/>
      <c r="FR3310"/>
      <c r="FS3310"/>
      <c r="FT3310"/>
      <c r="FU3310"/>
      <c r="FV3310"/>
      <c r="FW3310"/>
      <c r="FX3310"/>
      <c r="FY3310"/>
      <c r="FZ3310"/>
      <c r="GA3310"/>
      <c r="GB3310"/>
      <c r="GC3310"/>
      <c r="GD3310"/>
      <c r="GE3310"/>
      <c r="GF3310"/>
      <c r="GG3310"/>
      <c r="GH3310"/>
      <c r="GI3310"/>
      <c r="GJ3310"/>
      <c r="GK3310"/>
      <c r="GL3310"/>
      <c r="GM3310"/>
      <c r="GN3310"/>
      <c r="GO3310"/>
    </row>
    <row r="3311" spans="107:197">
      <c r="DC3311"/>
      <c r="FH3311"/>
      <c r="FI3311"/>
      <c r="FJ3311"/>
      <c r="FK3311"/>
      <c r="FL3311"/>
      <c r="FM3311"/>
      <c r="FN3311"/>
      <c r="FO3311"/>
      <c r="FP3311"/>
      <c r="FQ3311"/>
      <c r="FR3311"/>
      <c r="FS3311"/>
      <c r="FT3311"/>
      <c r="FU3311"/>
      <c r="FV3311"/>
      <c r="FW3311"/>
      <c r="FX3311"/>
      <c r="FY3311"/>
      <c r="FZ3311"/>
      <c r="GA3311"/>
      <c r="GB3311"/>
      <c r="GC3311"/>
      <c r="GD3311"/>
      <c r="GE3311"/>
      <c r="GF3311"/>
      <c r="GG3311"/>
      <c r="GH3311"/>
      <c r="GI3311"/>
      <c r="GJ3311"/>
      <c r="GK3311"/>
      <c r="GL3311"/>
      <c r="GM3311"/>
      <c r="GN3311"/>
      <c r="GO3311"/>
    </row>
    <row r="3312" spans="107:197">
      <c r="DC3312"/>
      <c r="FH3312"/>
      <c r="FI3312"/>
      <c r="FJ3312"/>
      <c r="FK3312"/>
      <c r="FL3312"/>
      <c r="FM3312"/>
      <c r="FN3312"/>
      <c r="FO3312"/>
      <c r="FP3312"/>
      <c r="FQ3312"/>
      <c r="FR3312"/>
      <c r="FS3312"/>
      <c r="FT3312"/>
      <c r="FU3312"/>
      <c r="FV3312"/>
      <c r="FW3312"/>
      <c r="FX3312"/>
      <c r="FY3312"/>
      <c r="FZ3312"/>
      <c r="GA3312"/>
      <c r="GB3312"/>
      <c r="GC3312"/>
      <c r="GD3312"/>
      <c r="GE3312"/>
      <c r="GF3312"/>
      <c r="GG3312"/>
      <c r="GH3312"/>
      <c r="GI3312"/>
      <c r="GJ3312"/>
      <c r="GK3312"/>
      <c r="GL3312"/>
      <c r="GM3312"/>
      <c r="GN3312"/>
      <c r="GO3312"/>
    </row>
    <row r="3313" spans="107:197">
      <c r="DC3313"/>
      <c r="FH3313"/>
      <c r="FI3313"/>
      <c r="FJ3313"/>
      <c r="FK3313"/>
      <c r="FL3313"/>
      <c r="FM3313"/>
      <c r="FN3313"/>
      <c r="FO3313"/>
      <c r="FP3313"/>
      <c r="FQ3313"/>
      <c r="FR3313"/>
      <c r="FS3313"/>
      <c r="FT3313"/>
      <c r="FU3313"/>
      <c r="FV3313"/>
      <c r="FW3313"/>
      <c r="FX3313"/>
      <c r="FY3313"/>
      <c r="FZ3313"/>
      <c r="GA3313"/>
      <c r="GB3313"/>
      <c r="GC3313"/>
      <c r="GD3313"/>
      <c r="GE3313"/>
      <c r="GF3313"/>
      <c r="GG3313"/>
      <c r="GH3313"/>
      <c r="GI3313"/>
      <c r="GJ3313"/>
      <c r="GK3313"/>
      <c r="GL3313"/>
      <c r="GM3313"/>
      <c r="GN3313"/>
      <c r="GO3313"/>
    </row>
    <row r="3314" spans="107:197">
      <c r="DC3314"/>
      <c r="FH3314"/>
      <c r="FI3314"/>
      <c r="FJ3314"/>
      <c r="FK3314"/>
      <c r="FL3314"/>
      <c r="FM3314"/>
      <c r="FN3314"/>
      <c r="FO3314"/>
      <c r="FP3314"/>
      <c r="FQ3314"/>
      <c r="FR3314"/>
      <c r="FS3314"/>
      <c r="FT3314"/>
      <c r="FU3314"/>
      <c r="FV3314"/>
      <c r="FW3314"/>
      <c r="FX3314"/>
      <c r="FY3314"/>
      <c r="FZ3314"/>
      <c r="GA3314"/>
      <c r="GB3314"/>
      <c r="GC3314"/>
      <c r="GD3314"/>
      <c r="GE3314"/>
      <c r="GF3314"/>
      <c r="GG3314"/>
      <c r="GH3314"/>
      <c r="GI3314"/>
      <c r="GJ3314"/>
      <c r="GK3314"/>
      <c r="GL3314"/>
      <c r="GM3314"/>
      <c r="GN3314"/>
      <c r="GO3314"/>
    </row>
    <row r="3315" spans="107:197">
      <c r="DC3315"/>
      <c r="FH3315"/>
      <c r="FI3315"/>
      <c r="FJ3315"/>
      <c r="FK3315"/>
      <c r="FL3315"/>
      <c r="FM3315"/>
      <c r="FN3315"/>
      <c r="FO3315"/>
      <c r="FP3315"/>
      <c r="FQ3315"/>
      <c r="FR3315"/>
      <c r="FS3315"/>
      <c r="FT3315"/>
      <c r="FU3315"/>
      <c r="FV3315"/>
      <c r="FW3315"/>
      <c r="FX3315"/>
      <c r="FY3315"/>
      <c r="FZ3315"/>
      <c r="GA3315"/>
      <c r="GB3315"/>
      <c r="GC3315"/>
      <c r="GD3315"/>
      <c r="GE3315"/>
      <c r="GF3315"/>
      <c r="GG3315"/>
      <c r="GH3315"/>
      <c r="GI3315"/>
      <c r="GJ3315"/>
      <c r="GK3315"/>
      <c r="GL3315"/>
      <c r="GM3315"/>
      <c r="GN3315"/>
      <c r="GO3315"/>
    </row>
    <row r="3316" spans="107:197">
      <c r="DC3316"/>
      <c r="FH3316"/>
      <c r="FI3316"/>
      <c r="FJ3316"/>
      <c r="FK3316"/>
      <c r="FL3316"/>
      <c r="FM3316"/>
      <c r="FN3316"/>
      <c r="FO3316"/>
      <c r="FP3316"/>
      <c r="FQ3316"/>
      <c r="FR3316"/>
      <c r="FS3316"/>
      <c r="FT3316"/>
      <c r="FU3316"/>
      <c r="FV3316"/>
      <c r="FW3316"/>
      <c r="FX3316"/>
      <c r="FY3316"/>
      <c r="FZ3316"/>
      <c r="GA3316"/>
      <c r="GB3316"/>
      <c r="GC3316"/>
      <c r="GD3316"/>
      <c r="GE3316"/>
      <c r="GF3316"/>
      <c r="GG3316"/>
      <c r="GH3316"/>
      <c r="GI3316"/>
      <c r="GJ3316"/>
      <c r="GK3316"/>
      <c r="GL3316"/>
      <c r="GM3316"/>
      <c r="GN3316"/>
      <c r="GO3316"/>
    </row>
    <row r="3317" spans="107:197">
      <c r="DC3317"/>
      <c r="FH3317"/>
      <c r="FI3317"/>
      <c r="FJ3317"/>
      <c r="FK3317"/>
      <c r="FL3317"/>
      <c r="FM3317"/>
      <c r="FN3317"/>
      <c r="FO3317"/>
      <c r="FP3317"/>
      <c r="FQ3317"/>
      <c r="FR3317"/>
      <c r="FS3317"/>
      <c r="FT3317"/>
      <c r="FU3317"/>
      <c r="FV3317"/>
      <c r="FW3317"/>
      <c r="FX3317"/>
      <c r="FY3317"/>
      <c r="FZ3317"/>
      <c r="GA3317"/>
      <c r="GB3317"/>
      <c r="GC3317"/>
      <c r="GD3317"/>
      <c r="GE3317"/>
      <c r="GF3317"/>
      <c r="GG3317"/>
      <c r="GH3317"/>
      <c r="GI3317"/>
      <c r="GJ3317"/>
      <c r="GK3317"/>
      <c r="GL3317"/>
      <c r="GM3317"/>
      <c r="GN3317"/>
      <c r="GO3317"/>
    </row>
    <row r="3318" spans="107:197">
      <c r="DC3318"/>
      <c r="FH3318"/>
      <c r="FI3318"/>
      <c r="FJ3318"/>
      <c r="FK3318"/>
      <c r="FL3318"/>
      <c r="FM3318"/>
      <c r="FN3318"/>
      <c r="FO3318"/>
      <c r="FP3318"/>
      <c r="FQ3318"/>
      <c r="FR3318"/>
      <c r="FS3318"/>
      <c r="FT3318"/>
      <c r="FU3318"/>
      <c r="FV3318"/>
      <c r="FW3318"/>
      <c r="FX3318"/>
      <c r="FY3318"/>
      <c r="FZ3318"/>
      <c r="GA3318"/>
      <c r="GB3318"/>
      <c r="GC3318"/>
      <c r="GD3318"/>
      <c r="GE3318"/>
      <c r="GF3318"/>
      <c r="GG3318"/>
      <c r="GH3318"/>
      <c r="GI3318"/>
      <c r="GJ3318"/>
      <c r="GK3318"/>
      <c r="GL3318"/>
      <c r="GM3318"/>
      <c r="GN3318"/>
      <c r="GO3318"/>
    </row>
    <row r="3319" spans="107:197">
      <c r="DC3319"/>
      <c r="FH3319"/>
      <c r="FI3319"/>
      <c r="FJ3319"/>
      <c r="FK3319"/>
      <c r="FL3319"/>
      <c r="FM3319"/>
      <c r="FN3319"/>
      <c r="FO3319"/>
      <c r="FP3319"/>
      <c r="FQ3319"/>
      <c r="FR3319"/>
      <c r="FS3319"/>
      <c r="FT3319"/>
      <c r="FU3319"/>
      <c r="FV3319"/>
      <c r="FW3319"/>
      <c r="FX3319"/>
      <c r="FY3319"/>
      <c r="FZ3319"/>
      <c r="GA3319"/>
      <c r="GB3319"/>
      <c r="GC3319"/>
      <c r="GD3319"/>
      <c r="GE3319"/>
      <c r="GF3319"/>
      <c r="GG3319"/>
      <c r="GH3319"/>
      <c r="GI3319"/>
      <c r="GJ3319"/>
      <c r="GK3319"/>
      <c r="GL3319"/>
      <c r="GM3319"/>
      <c r="GN3319"/>
      <c r="GO3319"/>
    </row>
    <row r="3320" spans="107:197">
      <c r="DC3320"/>
      <c r="FH3320"/>
      <c r="FI3320"/>
      <c r="FJ3320"/>
      <c r="FK3320"/>
      <c r="FL3320"/>
      <c r="FM3320"/>
      <c r="FN3320"/>
      <c r="FO3320"/>
      <c r="FP3320"/>
      <c r="FQ3320"/>
      <c r="FR3320"/>
      <c r="FS3320"/>
      <c r="FT3320"/>
      <c r="FU3320"/>
      <c r="FV3320"/>
      <c r="FW3320"/>
      <c r="FX3320"/>
      <c r="FY3320"/>
      <c r="FZ3320"/>
      <c r="GA3320"/>
      <c r="GB3320"/>
      <c r="GC3320"/>
      <c r="GD3320"/>
      <c r="GE3320"/>
      <c r="GF3320"/>
      <c r="GG3320"/>
      <c r="GH3320"/>
      <c r="GI3320"/>
      <c r="GJ3320"/>
      <c r="GK3320"/>
      <c r="GL3320"/>
      <c r="GM3320"/>
      <c r="GN3320"/>
      <c r="GO3320"/>
    </row>
    <row r="3321" spans="107:197">
      <c r="DC3321"/>
      <c r="FH3321"/>
      <c r="FI3321"/>
      <c r="FJ3321"/>
      <c r="FK3321"/>
      <c r="FL3321"/>
      <c r="FM3321"/>
      <c r="FN3321"/>
      <c r="FO3321"/>
      <c r="FP3321"/>
      <c r="FQ3321"/>
      <c r="FR3321"/>
      <c r="FS3321"/>
      <c r="FT3321"/>
      <c r="FU3321"/>
      <c r="FV3321"/>
      <c r="FW3321"/>
      <c r="FX3321"/>
      <c r="FY3321"/>
      <c r="FZ3321"/>
      <c r="GA3321"/>
      <c r="GB3321"/>
      <c r="GC3321"/>
      <c r="GD3321"/>
      <c r="GE3321"/>
      <c r="GF3321"/>
      <c r="GG3321"/>
      <c r="GH3321"/>
      <c r="GI3321"/>
      <c r="GJ3321"/>
      <c r="GK3321"/>
      <c r="GL3321"/>
      <c r="GM3321"/>
      <c r="GN3321"/>
      <c r="GO3321"/>
    </row>
    <row r="3322" spans="107:197">
      <c r="DC3322"/>
      <c r="FH3322"/>
      <c r="FI3322"/>
      <c r="FJ3322"/>
      <c r="FK3322"/>
      <c r="FL3322"/>
      <c r="FM3322"/>
      <c r="FN3322"/>
      <c r="FO3322"/>
      <c r="FP3322"/>
      <c r="FQ3322"/>
      <c r="FR3322"/>
      <c r="FS3322"/>
      <c r="FT3322"/>
      <c r="FU3322"/>
      <c r="FV3322"/>
      <c r="FW3322"/>
      <c r="FX3322"/>
      <c r="FY3322"/>
      <c r="FZ3322"/>
      <c r="GA3322"/>
      <c r="GB3322"/>
      <c r="GC3322"/>
      <c r="GD3322"/>
      <c r="GE3322"/>
      <c r="GF3322"/>
      <c r="GG3322"/>
      <c r="GH3322"/>
      <c r="GI3322"/>
      <c r="GJ3322"/>
      <c r="GK3322"/>
      <c r="GL3322"/>
      <c r="GM3322"/>
      <c r="GN3322"/>
      <c r="GO3322"/>
    </row>
    <row r="3323" spans="107:197">
      <c r="DC3323"/>
      <c r="FH3323"/>
      <c r="FI3323"/>
      <c r="FJ3323"/>
      <c r="FK3323"/>
      <c r="FL3323"/>
      <c r="FM3323"/>
      <c r="FN3323"/>
      <c r="FO3323"/>
      <c r="FP3323"/>
      <c r="FQ3323"/>
      <c r="FR3323"/>
      <c r="FS3323"/>
      <c r="FT3323"/>
      <c r="FU3323"/>
      <c r="FV3323"/>
      <c r="FW3323"/>
      <c r="FX3323"/>
      <c r="FY3323"/>
      <c r="FZ3323"/>
      <c r="GA3323"/>
      <c r="GB3323"/>
      <c r="GC3323"/>
      <c r="GD3323"/>
      <c r="GE3323"/>
      <c r="GF3323"/>
      <c r="GG3323"/>
      <c r="GH3323"/>
      <c r="GI3323"/>
      <c r="GJ3323"/>
      <c r="GK3323"/>
      <c r="GL3323"/>
      <c r="GM3323"/>
      <c r="GN3323"/>
      <c r="GO3323"/>
    </row>
    <row r="3324" spans="107:197">
      <c r="DC3324"/>
      <c r="FH3324"/>
      <c r="FI3324"/>
      <c r="FJ3324"/>
      <c r="FK3324"/>
      <c r="FL3324"/>
      <c r="FM3324"/>
      <c r="FN3324"/>
      <c r="FO3324"/>
      <c r="FP3324"/>
      <c r="FQ3324"/>
      <c r="FR3324"/>
      <c r="FS3324"/>
      <c r="FT3324"/>
      <c r="FU3324"/>
      <c r="FV3324"/>
      <c r="FW3324"/>
      <c r="FX3324"/>
      <c r="FY3324"/>
      <c r="FZ3324"/>
      <c r="GA3324"/>
      <c r="GB3324"/>
      <c r="GC3324"/>
      <c r="GD3324"/>
      <c r="GE3324"/>
      <c r="GF3324"/>
      <c r="GG3324"/>
      <c r="GH3324"/>
      <c r="GI3324"/>
      <c r="GJ3324"/>
      <c r="GK3324"/>
      <c r="GL3324"/>
      <c r="GM3324"/>
      <c r="GN3324"/>
      <c r="GO3324"/>
    </row>
    <row r="3325" spans="107:197">
      <c r="DC3325"/>
      <c r="FH3325"/>
      <c r="FI3325"/>
      <c r="FJ3325"/>
      <c r="FK3325"/>
      <c r="FL3325"/>
      <c r="FM3325"/>
      <c r="FN3325"/>
      <c r="FO3325"/>
      <c r="FP3325"/>
      <c r="FQ3325"/>
      <c r="FR3325"/>
      <c r="FS3325"/>
      <c r="FT3325"/>
      <c r="FU3325"/>
      <c r="FV3325"/>
      <c r="FW3325"/>
      <c r="FX3325"/>
      <c r="FY3325"/>
      <c r="FZ3325"/>
      <c r="GA3325"/>
      <c r="GB3325"/>
      <c r="GC3325"/>
      <c r="GD3325"/>
      <c r="GE3325"/>
      <c r="GF3325"/>
      <c r="GG3325"/>
      <c r="GH3325"/>
      <c r="GI3325"/>
      <c r="GJ3325"/>
      <c r="GK3325"/>
      <c r="GL3325"/>
      <c r="GM3325"/>
      <c r="GN3325"/>
      <c r="GO3325"/>
    </row>
    <row r="3326" spans="107:197">
      <c r="DC3326"/>
      <c r="FH3326"/>
      <c r="FI3326"/>
      <c r="FJ3326"/>
      <c r="FK3326"/>
      <c r="FL3326"/>
      <c r="FM3326"/>
      <c r="FN3326"/>
      <c r="FO3326"/>
      <c r="FP3326"/>
      <c r="FQ3326"/>
      <c r="FR3326"/>
      <c r="FS3326"/>
      <c r="FT3326"/>
      <c r="FU3326"/>
      <c r="FV3326"/>
      <c r="FW3326"/>
      <c r="FX3326"/>
      <c r="FY3326"/>
      <c r="FZ3326"/>
      <c r="GA3326"/>
      <c r="GB3326"/>
      <c r="GC3326"/>
      <c r="GD3326"/>
      <c r="GE3326"/>
      <c r="GF3326"/>
      <c r="GG3326"/>
      <c r="GH3326"/>
      <c r="GI3326"/>
      <c r="GJ3326"/>
      <c r="GK3326"/>
      <c r="GL3326"/>
      <c r="GM3326"/>
      <c r="GN3326"/>
      <c r="GO3326"/>
    </row>
    <row r="3327" spans="107:197">
      <c r="DC3327"/>
      <c r="FH3327"/>
      <c r="FI3327"/>
      <c r="FJ3327"/>
      <c r="FK3327"/>
      <c r="FL3327"/>
      <c r="FM3327"/>
      <c r="FN3327"/>
      <c r="FO3327"/>
      <c r="FP3327"/>
      <c r="FQ3327"/>
      <c r="FR3327"/>
      <c r="FS3327"/>
      <c r="FT3327"/>
      <c r="FU3327"/>
      <c r="FV3327"/>
      <c r="FW3327"/>
      <c r="FX3327"/>
      <c r="FY3327"/>
      <c r="FZ3327"/>
      <c r="GA3327"/>
      <c r="GB3327"/>
      <c r="GC3327"/>
      <c r="GD3327"/>
      <c r="GE3327"/>
      <c r="GF3327"/>
      <c r="GG3327"/>
      <c r="GH3327"/>
      <c r="GI3327"/>
      <c r="GJ3327"/>
      <c r="GK3327"/>
      <c r="GL3327"/>
      <c r="GM3327"/>
      <c r="GN3327"/>
      <c r="GO3327"/>
    </row>
    <row r="3328" spans="107:197">
      <c r="DC3328"/>
      <c r="FH3328"/>
      <c r="FI3328"/>
      <c r="FJ3328"/>
      <c r="FK3328"/>
      <c r="FL3328"/>
      <c r="FM3328"/>
      <c r="FN3328"/>
      <c r="FO3328"/>
      <c r="FP3328"/>
      <c r="FQ3328"/>
      <c r="FR3328"/>
      <c r="FS3328"/>
      <c r="FT3328"/>
      <c r="FU3328"/>
      <c r="FV3328"/>
      <c r="FW3328"/>
      <c r="FX3328"/>
      <c r="FY3328"/>
      <c r="FZ3328"/>
      <c r="GA3328"/>
      <c r="GB3328"/>
      <c r="GC3328"/>
      <c r="GD3328"/>
      <c r="GE3328"/>
      <c r="GF3328"/>
      <c r="GG3328"/>
      <c r="GH3328"/>
      <c r="GI3328"/>
      <c r="GJ3328"/>
      <c r="GK3328"/>
      <c r="GL3328"/>
      <c r="GM3328"/>
      <c r="GN3328"/>
      <c r="GO3328"/>
    </row>
    <row r="3329" spans="107:197">
      <c r="DC3329"/>
      <c r="FH3329"/>
      <c r="FI3329"/>
      <c r="FJ3329"/>
      <c r="FK3329"/>
      <c r="FL3329"/>
      <c r="FM3329"/>
      <c r="FN3329"/>
      <c r="FO3329"/>
      <c r="FP3329"/>
      <c r="FQ3329"/>
      <c r="FR3329"/>
      <c r="FS3329"/>
      <c r="FT3329"/>
      <c r="FU3329"/>
      <c r="FV3329"/>
      <c r="FW3329"/>
      <c r="FX3329"/>
      <c r="FY3329"/>
      <c r="FZ3329"/>
      <c r="GA3329"/>
      <c r="GB3329"/>
      <c r="GC3329"/>
      <c r="GD3329"/>
      <c r="GE3329"/>
      <c r="GF3329"/>
      <c r="GG3329"/>
      <c r="GH3329"/>
      <c r="GI3329"/>
      <c r="GJ3329"/>
      <c r="GK3329"/>
      <c r="GL3329"/>
      <c r="GM3329"/>
      <c r="GN3329"/>
      <c r="GO3329"/>
    </row>
    <row r="3330" spans="107:197">
      <c r="DC3330"/>
      <c r="FH3330"/>
      <c r="FI3330"/>
      <c r="FJ3330"/>
      <c r="FK3330"/>
      <c r="FL3330"/>
      <c r="FM3330"/>
      <c r="FN3330"/>
      <c r="FO3330"/>
      <c r="FP3330"/>
      <c r="FQ3330"/>
      <c r="FR3330"/>
      <c r="FS3330"/>
      <c r="FT3330"/>
      <c r="FU3330"/>
      <c r="FV3330"/>
      <c r="FW3330"/>
      <c r="FX3330"/>
      <c r="FY3330"/>
      <c r="FZ3330"/>
      <c r="GA3330"/>
      <c r="GB3330"/>
      <c r="GC3330"/>
      <c r="GD3330"/>
      <c r="GE3330"/>
      <c r="GF3330"/>
      <c r="GG3330"/>
      <c r="GH3330"/>
      <c r="GI3330"/>
      <c r="GJ3330"/>
      <c r="GK3330"/>
      <c r="GL3330"/>
      <c r="GM3330"/>
      <c r="GN3330"/>
      <c r="GO3330"/>
    </row>
    <row r="3331" spans="107:197">
      <c r="DC3331"/>
      <c r="FH3331"/>
      <c r="FI3331"/>
      <c r="FJ3331"/>
      <c r="FK3331"/>
      <c r="FL3331"/>
      <c r="FM3331"/>
      <c r="FN3331"/>
      <c r="FO3331"/>
      <c r="FP3331"/>
      <c r="FQ3331"/>
      <c r="FR3331"/>
      <c r="FS3331"/>
      <c r="FT3331"/>
      <c r="FU3331"/>
      <c r="FV3331"/>
      <c r="FW3331"/>
      <c r="FX3331"/>
      <c r="FY3331"/>
      <c r="FZ3331"/>
      <c r="GA3331"/>
      <c r="GB3331"/>
      <c r="GC3331"/>
      <c r="GD3331"/>
      <c r="GE3331"/>
      <c r="GF3331"/>
      <c r="GG3331"/>
      <c r="GH3331"/>
      <c r="GI3331"/>
      <c r="GJ3331"/>
      <c r="GK3331"/>
      <c r="GL3331"/>
      <c r="GM3331"/>
      <c r="GN3331"/>
      <c r="GO3331"/>
    </row>
    <row r="3332" spans="107:197">
      <c r="DC3332"/>
      <c r="FH3332"/>
      <c r="FI3332"/>
      <c r="FJ3332"/>
      <c r="FK3332"/>
      <c r="FL3332"/>
      <c r="FM3332"/>
      <c r="FN3332"/>
      <c r="FO3332"/>
      <c r="FP3332"/>
      <c r="FQ3332"/>
      <c r="FR3332"/>
      <c r="FS3332"/>
      <c r="FT3332"/>
      <c r="FU3332"/>
      <c r="FV3332"/>
      <c r="FW3332"/>
      <c r="FX3332"/>
      <c r="FY3332"/>
      <c r="FZ3332"/>
      <c r="GA3332"/>
      <c r="GB3332"/>
      <c r="GC3332"/>
      <c r="GD3332"/>
      <c r="GE3332"/>
      <c r="GF3332"/>
      <c r="GG3332"/>
      <c r="GH3332"/>
      <c r="GI3332"/>
      <c r="GJ3332"/>
      <c r="GK3332"/>
      <c r="GL3332"/>
      <c r="GM3332"/>
      <c r="GN3332"/>
      <c r="GO3332"/>
    </row>
    <row r="3333" spans="107:197">
      <c r="DC3333"/>
      <c r="FH3333"/>
      <c r="FI3333"/>
      <c r="FJ3333"/>
      <c r="FK3333"/>
      <c r="FL3333"/>
      <c r="FM3333"/>
      <c r="FN3333"/>
      <c r="FO3333"/>
      <c r="FP3333"/>
      <c r="FQ3333"/>
      <c r="FR3333"/>
      <c r="FS3333"/>
      <c r="FT3333"/>
      <c r="FU3333"/>
      <c r="FV3333"/>
      <c r="FW3333"/>
      <c r="FX3333"/>
      <c r="FY3333"/>
      <c r="FZ3333"/>
      <c r="GA3333"/>
      <c r="GB3333"/>
      <c r="GC3333"/>
      <c r="GD3333"/>
      <c r="GE3333"/>
      <c r="GF3333"/>
      <c r="GG3333"/>
      <c r="GH3333"/>
      <c r="GI3333"/>
      <c r="GJ3333"/>
      <c r="GK3333"/>
      <c r="GL3333"/>
      <c r="GM3333"/>
      <c r="GN3333"/>
      <c r="GO3333"/>
    </row>
    <row r="3334" spans="107:197">
      <c r="DC3334"/>
      <c r="FH3334"/>
      <c r="FI3334"/>
      <c r="FJ3334"/>
      <c r="FK3334"/>
      <c r="FL3334"/>
      <c r="FM3334"/>
      <c r="FN3334"/>
      <c r="FO3334"/>
      <c r="FP3334"/>
      <c r="FQ3334"/>
      <c r="FR3334"/>
      <c r="FS3334"/>
      <c r="FT3334"/>
      <c r="FU3334"/>
      <c r="FV3334"/>
      <c r="FW3334"/>
      <c r="FX3334"/>
      <c r="FY3334"/>
      <c r="FZ3334"/>
      <c r="GA3334"/>
      <c r="GB3334"/>
      <c r="GC3334"/>
      <c r="GD3334"/>
      <c r="GE3334"/>
      <c r="GF3334"/>
      <c r="GG3334"/>
      <c r="GH3334"/>
      <c r="GI3334"/>
      <c r="GJ3334"/>
      <c r="GK3334"/>
      <c r="GL3334"/>
      <c r="GM3334"/>
      <c r="GN3334"/>
      <c r="GO3334"/>
    </row>
    <row r="3335" spans="107:197">
      <c r="DC3335"/>
      <c r="FH3335"/>
      <c r="FI3335"/>
      <c r="FJ3335"/>
      <c r="FK3335"/>
      <c r="FL3335"/>
      <c r="FM3335"/>
      <c r="FN3335"/>
      <c r="FO3335"/>
      <c r="FP3335"/>
      <c r="FQ3335"/>
      <c r="FR3335"/>
      <c r="FS3335"/>
      <c r="FT3335"/>
      <c r="FU3335"/>
      <c r="FV3335"/>
      <c r="FW3335"/>
      <c r="FX3335"/>
      <c r="FY3335"/>
      <c r="FZ3335"/>
      <c r="GA3335"/>
      <c r="GB3335"/>
      <c r="GC3335"/>
      <c r="GD3335"/>
      <c r="GE3335"/>
      <c r="GF3335"/>
      <c r="GG3335"/>
      <c r="GH3335"/>
      <c r="GI3335"/>
      <c r="GJ3335"/>
      <c r="GK3335"/>
      <c r="GL3335"/>
      <c r="GM3335"/>
      <c r="GN3335"/>
      <c r="GO3335"/>
    </row>
    <row r="3336" spans="107:197">
      <c r="DC3336"/>
      <c r="FH3336"/>
      <c r="FI3336"/>
      <c r="FJ3336"/>
      <c r="FK3336"/>
      <c r="FL3336"/>
      <c r="FM3336"/>
      <c r="FN3336"/>
      <c r="FO3336"/>
      <c r="FP3336"/>
      <c r="FQ3336"/>
      <c r="FR3336"/>
      <c r="FS3336"/>
      <c r="FT3336"/>
      <c r="FU3336"/>
      <c r="FV3336"/>
      <c r="FW3336"/>
      <c r="FX3336"/>
      <c r="FY3336"/>
      <c r="FZ3336"/>
      <c r="GA3336"/>
      <c r="GB3336"/>
      <c r="GC3336"/>
      <c r="GD3336"/>
      <c r="GE3336"/>
      <c r="GF3336"/>
      <c r="GG3336"/>
      <c r="GH3336"/>
      <c r="GI3336"/>
      <c r="GJ3336"/>
      <c r="GK3336"/>
      <c r="GL3336"/>
      <c r="GM3336"/>
      <c r="GN3336"/>
      <c r="GO3336"/>
    </row>
    <row r="3337" spans="107:197">
      <c r="DC3337"/>
      <c r="FH3337"/>
      <c r="FI3337"/>
      <c r="FJ3337"/>
      <c r="FK3337"/>
      <c r="FL3337"/>
      <c r="FM3337"/>
      <c r="FN3337"/>
      <c r="FO3337"/>
      <c r="FP3337"/>
      <c r="FQ3337"/>
      <c r="FR3337"/>
      <c r="FS3337"/>
      <c r="FT3337"/>
      <c r="FU3337"/>
      <c r="FV3337"/>
      <c r="FW3337"/>
      <c r="FX3337"/>
      <c r="FY3337"/>
      <c r="FZ3337"/>
      <c r="GA3337"/>
      <c r="GB3337"/>
      <c r="GC3337"/>
      <c r="GD3337"/>
      <c r="GE3337"/>
      <c r="GF3337"/>
      <c r="GG3337"/>
      <c r="GH3337"/>
      <c r="GI3337"/>
      <c r="GJ3337"/>
      <c r="GK3337"/>
      <c r="GL3337"/>
      <c r="GM3337"/>
      <c r="GN3337"/>
      <c r="GO3337"/>
    </row>
    <row r="3338" spans="107:197">
      <c r="DC3338"/>
      <c r="FH3338"/>
      <c r="FI3338"/>
      <c r="FJ3338"/>
      <c r="FK3338"/>
      <c r="FL3338"/>
      <c r="FM3338"/>
      <c r="FN3338"/>
      <c r="FO3338"/>
      <c r="FP3338"/>
      <c r="FQ3338"/>
      <c r="FR3338"/>
      <c r="FS3338"/>
      <c r="FT3338"/>
      <c r="FU3338"/>
      <c r="FV3338"/>
      <c r="FW3338"/>
      <c r="FX3338"/>
      <c r="FY3338"/>
      <c r="FZ3338"/>
      <c r="GA3338"/>
      <c r="GB3338"/>
      <c r="GC3338"/>
      <c r="GD3338"/>
      <c r="GE3338"/>
      <c r="GF3338"/>
      <c r="GG3338"/>
      <c r="GH3338"/>
      <c r="GI3338"/>
      <c r="GJ3338"/>
      <c r="GK3338"/>
      <c r="GL3338"/>
      <c r="GM3338"/>
      <c r="GN3338"/>
      <c r="GO3338"/>
    </row>
    <row r="3339" spans="107:197">
      <c r="DC3339"/>
      <c r="FH3339"/>
      <c r="FI3339"/>
      <c r="FJ3339"/>
      <c r="FK3339"/>
      <c r="FL3339"/>
      <c r="FM3339"/>
      <c r="FN3339"/>
      <c r="FO3339"/>
      <c r="FP3339"/>
      <c r="FQ3339"/>
      <c r="FR3339"/>
      <c r="FS3339"/>
      <c r="FT3339"/>
      <c r="FU3339"/>
      <c r="FV3339"/>
      <c r="FW3339"/>
      <c r="FX3339"/>
      <c r="FY3339"/>
      <c r="FZ3339"/>
      <c r="GA3339"/>
      <c r="GB3339"/>
      <c r="GC3339"/>
      <c r="GD3339"/>
      <c r="GE3339"/>
      <c r="GF3339"/>
      <c r="GG3339"/>
      <c r="GH3339"/>
      <c r="GI3339"/>
      <c r="GJ3339"/>
      <c r="GK3339"/>
      <c r="GL3339"/>
      <c r="GM3339"/>
      <c r="GN3339"/>
      <c r="GO3339"/>
    </row>
    <row r="3340" spans="107:197">
      <c r="DC3340"/>
      <c r="FH3340"/>
      <c r="FI3340"/>
      <c r="FJ3340"/>
      <c r="FK3340"/>
      <c r="FL3340"/>
      <c r="FM3340"/>
      <c r="FN3340"/>
      <c r="FO3340"/>
      <c r="FP3340"/>
      <c r="FQ3340"/>
      <c r="FR3340"/>
      <c r="FS3340"/>
      <c r="FT3340"/>
      <c r="FU3340"/>
      <c r="FV3340"/>
      <c r="FW3340"/>
      <c r="FX3340"/>
      <c r="FY3340"/>
      <c r="FZ3340"/>
      <c r="GA3340"/>
      <c r="GB3340"/>
      <c r="GC3340"/>
      <c r="GD3340"/>
      <c r="GE3340"/>
      <c r="GF3340"/>
      <c r="GG3340"/>
      <c r="GH3340"/>
      <c r="GI3340"/>
      <c r="GJ3340"/>
      <c r="GK3340"/>
      <c r="GL3340"/>
      <c r="GM3340"/>
      <c r="GN3340"/>
      <c r="GO3340"/>
    </row>
    <row r="3341" spans="107:197">
      <c r="DC3341"/>
      <c r="FH3341"/>
      <c r="FI3341"/>
      <c r="FJ3341"/>
      <c r="FK3341"/>
      <c r="FL3341"/>
      <c r="FM3341"/>
      <c r="FN3341"/>
      <c r="FO3341"/>
      <c r="FP3341"/>
      <c r="FQ3341"/>
      <c r="FR3341"/>
      <c r="FS3341"/>
      <c r="FT3341"/>
      <c r="FU3341"/>
      <c r="FV3341"/>
      <c r="FW3341"/>
      <c r="FX3341"/>
      <c r="FY3341"/>
      <c r="FZ3341"/>
      <c r="GA3341"/>
      <c r="GB3341"/>
      <c r="GC3341"/>
      <c r="GD3341"/>
      <c r="GE3341"/>
      <c r="GF3341"/>
      <c r="GG3341"/>
      <c r="GH3341"/>
      <c r="GI3341"/>
      <c r="GJ3341"/>
      <c r="GK3341"/>
      <c r="GL3341"/>
      <c r="GM3341"/>
      <c r="GN3341"/>
      <c r="GO3341"/>
    </row>
    <row r="3342" spans="107:197">
      <c r="DC3342"/>
      <c r="FH3342"/>
      <c r="FI3342"/>
      <c r="FJ3342"/>
      <c r="FK3342"/>
      <c r="FL3342"/>
      <c r="FM3342"/>
      <c r="FN3342"/>
      <c r="FO3342"/>
      <c r="FP3342"/>
      <c r="FQ3342"/>
      <c r="FR3342"/>
      <c r="FS3342"/>
      <c r="FT3342"/>
      <c r="FU3342"/>
      <c r="FV3342"/>
      <c r="FW3342"/>
      <c r="FX3342"/>
      <c r="FY3342"/>
      <c r="FZ3342"/>
      <c r="GA3342"/>
      <c r="GB3342"/>
      <c r="GC3342"/>
      <c r="GD3342"/>
      <c r="GE3342"/>
      <c r="GF3342"/>
      <c r="GG3342"/>
      <c r="GH3342"/>
      <c r="GI3342"/>
      <c r="GJ3342"/>
      <c r="GK3342"/>
      <c r="GL3342"/>
      <c r="GM3342"/>
      <c r="GN3342"/>
      <c r="GO3342"/>
    </row>
    <row r="3343" spans="107:197">
      <c r="DC3343"/>
      <c r="FH3343"/>
      <c r="FI3343"/>
      <c r="FJ3343"/>
      <c r="FK3343"/>
      <c r="FL3343"/>
      <c r="FM3343"/>
      <c r="FN3343"/>
      <c r="FO3343"/>
      <c r="FP3343"/>
      <c r="FQ3343"/>
      <c r="FR3343"/>
      <c r="FS3343"/>
      <c r="FT3343"/>
      <c r="FU3343"/>
      <c r="FV3343"/>
      <c r="FW3343"/>
      <c r="FX3343"/>
      <c r="FY3343"/>
      <c r="FZ3343"/>
      <c r="GA3343"/>
      <c r="GB3343"/>
      <c r="GC3343"/>
      <c r="GD3343"/>
      <c r="GE3343"/>
      <c r="GF3343"/>
      <c r="GG3343"/>
      <c r="GH3343"/>
      <c r="GI3343"/>
      <c r="GJ3343"/>
      <c r="GK3343"/>
      <c r="GL3343"/>
      <c r="GM3343"/>
      <c r="GN3343"/>
      <c r="GO3343"/>
    </row>
    <row r="3344" spans="107:197">
      <c r="DC3344"/>
      <c r="FH3344"/>
      <c r="FI3344"/>
      <c r="FJ3344"/>
      <c r="FK3344"/>
      <c r="FL3344"/>
      <c r="FM3344"/>
      <c r="FN3344"/>
      <c r="FO3344"/>
      <c r="FP3344"/>
      <c r="FQ3344"/>
      <c r="FR3344"/>
      <c r="FS3344"/>
      <c r="FT3344"/>
      <c r="FU3344"/>
      <c r="FV3344"/>
      <c r="FW3344"/>
      <c r="FX3344"/>
      <c r="FY3344"/>
      <c r="FZ3344"/>
      <c r="GA3344"/>
      <c r="GB3344"/>
      <c r="GC3344"/>
      <c r="GD3344"/>
      <c r="GE3344"/>
      <c r="GF3344"/>
      <c r="GG3344"/>
      <c r="GH3344"/>
      <c r="GI3344"/>
      <c r="GJ3344"/>
      <c r="GK3344"/>
      <c r="GL3344"/>
      <c r="GM3344"/>
      <c r="GN3344"/>
      <c r="GO3344"/>
    </row>
    <row r="3345" spans="107:197">
      <c r="DC3345"/>
      <c r="FH3345"/>
      <c r="FI3345"/>
      <c r="FJ3345"/>
      <c r="FK3345"/>
      <c r="FL3345"/>
      <c r="FM3345"/>
      <c r="FN3345"/>
      <c r="FO3345"/>
      <c r="FP3345"/>
      <c r="FQ3345"/>
      <c r="FR3345"/>
      <c r="FS3345"/>
      <c r="FT3345"/>
      <c r="FU3345"/>
      <c r="FV3345"/>
      <c r="FW3345"/>
      <c r="FX3345"/>
      <c r="FY3345"/>
      <c r="FZ3345"/>
      <c r="GA3345"/>
      <c r="GB3345"/>
      <c r="GC3345"/>
      <c r="GD3345"/>
      <c r="GE3345"/>
      <c r="GF3345"/>
      <c r="GG3345"/>
      <c r="GH3345"/>
      <c r="GI3345"/>
      <c r="GJ3345"/>
      <c r="GK3345"/>
      <c r="GL3345"/>
      <c r="GM3345"/>
      <c r="GN3345"/>
      <c r="GO3345"/>
    </row>
    <row r="3346" spans="107:197">
      <c r="DC3346"/>
      <c r="FH3346"/>
      <c r="FI3346"/>
      <c r="FJ3346"/>
      <c r="FK3346"/>
      <c r="FL3346"/>
      <c r="FM3346"/>
      <c r="FN3346"/>
      <c r="FO3346"/>
      <c r="FP3346"/>
      <c r="FQ3346"/>
      <c r="FR3346"/>
      <c r="FS3346"/>
      <c r="FT3346"/>
      <c r="FU3346"/>
      <c r="FV3346"/>
      <c r="FW3346"/>
      <c r="FX3346"/>
      <c r="FY3346"/>
      <c r="FZ3346"/>
      <c r="GA3346"/>
      <c r="GB3346"/>
      <c r="GC3346"/>
      <c r="GD3346"/>
      <c r="GE3346"/>
      <c r="GF3346"/>
      <c r="GG3346"/>
      <c r="GH3346"/>
      <c r="GI3346"/>
      <c r="GJ3346"/>
      <c r="GK3346"/>
      <c r="GL3346"/>
      <c r="GM3346"/>
      <c r="GN3346"/>
      <c r="GO3346"/>
    </row>
    <row r="3347" spans="107:197">
      <c r="DC3347"/>
      <c r="FH3347"/>
      <c r="FI3347"/>
      <c r="FJ3347"/>
      <c r="FK3347"/>
      <c r="FL3347"/>
      <c r="FM3347"/>
      <c r="FN3347"/>
      <c r="FO3347"/>
      <c r="FP3347"/>
      <c r="FQ3347"/>
      <c r="FR3347"/>
      <c r="FS3347"/>
      <c r="FT3347"/>
      <c r="FU3347"/>
      <c r="FV3347"/>
      <c r="FW3347"/>
      <c r="FX3347"/>
      <c r="FY3347"/>
      <c r="FZ3347"/>
      <c r="GA3347"/>
      <c r="GB3347"/>
      <c r="GC3347"/>
      <c r="GD3347"/>
      <c r="GE3347"/>
      <c r="GF3347"/>
      <c r="GG3347"/>
      <c r="GH3347"/>
      <c r="GI3347"/>
      <c r="GJ3347"/>
      <c r="GK3347"/>
      <c r="GL3347"/>
      <c r="GM3347"/>
      <c r="GN3347"/>
      <c r="GO3347"/>
    </row>
    <row r="3348" spans="107:197">
      <c r="DC3348"/>
      <c r="FH3348"/>
      <c r="FI3348"/>
      <c r="FJ3348"/>
      <c r="FK3348"/>
      <c r="FL3348"/>
      <c r="FM3348"/>
      <c r="FN3348"/>
      <c r="FO3348"/>
      <c r="FP3348"/>
      <c r="FQ3348"/>
      <c r="FR3348"/>
      <c r="FS3348"/>
      <c r="FT3348"/>
      <c r="FU3348"/>
      <c r="FV3348"/>
      <c r="FW3348"/>
      <c r="FX3348"/>
      <c r="FY3348"/>
      <c r="FZ3348"/>
      <c r="GA3348"/>
      <c r="GB3348"/>
      <c r="GC3348"/>
      <c r="GD3348"/>
      <c r="GE3348"/>
      <c r="GF3348"/>
      <c r="GG3348"/>
      <c r="GH3348"/>
      <c r="GI3348"/>
      <c r="GJ3348"/>
      <c r="GK3348"/>
      <c r="GL3348"/>
      <c r="GM3348"/>
      <c r="GN3348"/>
      <c r="GO3348"/>
    </row>
    <row r="3349" spans="107:197">
      <c r="DC3349"/>
      <c r="FH3349"/>
      <c r="FI3349"/>
      <c r="FJ3349"/>
      <c r="FK3349"/>
      <c r="FL3349"/>
      <c r="FM3349"/>
      <c r="FN3349"/>
      <c r="FO3349"/>
      <c r="FP3349"/>
      <c r="FQ3349"/>
      <c r="FR3349"/>
      <c r="FS3349"/>
      <c r="FT3349"/>
      <c r="FU3349"/>
      <c r="FV3349"/>
      <c r="FW3349"/>
      <c r="FX3349"/>
      <c r="FY3349"/>
      <c r="FZ3349"/>
      <c r="GA3349"/>
      <c r="GB3349"/>
      <c r="GC3349"/>
      <c r="GD3349"/>
      <c r="GE3349"/>
      <c r="GF3349"/>
      <c r="GG3349"/>
      <c r="GH3349"/>
      <c r="GI3349"/>
      <c r="GJ3349"/>
      <c r="GK3349"/>
      <c r="GL3349"/>
      <c r="GM3349"/>
      <c r="GN3349"/>
      <c r="GO3349"/>
    </row>
    <row r="3350" spans="107:197">
      <c r="DC3350"/>
      <c r="FH3350"/>
      <c r="FI3350"/>
      <c r="FJ3350"/>
      <c r="FK3350"/>
      <c r="FL3350"/>
      <c r="FM3350"/>
      <c r="FN3350"/>
      <c r="FO3350"/>
      <c r="FP3350"/>
      <c r="FQ3350"/>
      <c r="FR3350"/>
      <c r="FS3350"/>
      <c r="FT3350"/>
      <c r="FU3350"/>
      <c r="FV3350"/>
      <c r="FW3350"/>
      <c r="FX3350"/>
      <c r="FY3350"/>
      <c r="FZ3350"/>
      <c r="GA3350"/>
      <c r="GB3350"/>
      <c r="GC3350"/>
      <c r="GD3350"/>
      <c r="GE3350"/>
      <c r="GF3350"/>
      <c r="GG3350"/>
      <c r="GH3350"/>
      <c r="GI3350"/>
      <c r="GJ3350"/>
      <c r="GK3350"/>
      <c r="GL3350"/>
      <c r="GM3350"/>
      <c r="GN3350"/>
      <c r="GO3350"/>
    </row>
    <row r="3351" spans="107:197">
      <c r="DC3351"/>
      <c r="FH3351"/>
      <c r="FI3351"/>
      <c r="FJ3351"/>
      <c r="FK3351"/>
      <c r="FL3351"/>
      <c r="FM3351"/>
      <c r="FN3351"/>
      <c r="FO3351"/>
      <c r="FP3351"/>
      <c r="FQ3351"/>
      <c r="FR3351"/>
      <c r="FS3351"/>
      <c r="FT3351"/>
      <c r="FU3351"/>
      <c r="FV3351"/>
      <c r="FW3351"/>
      <c r="FX3351"/>
      <c r="FY3351"/>
      <c r="FZ3351"/>
      <c r="GA3351"/>
      <c r="GB3351"/>
      <c r="GC3351"/>
      <c r="GD3351"/>
      <c r="GE3351"/>
      <c r="GF3351"/>
      <c r="GG3351"/>
      <c r="GH3351"/>
      <c r="GI3351"/>
      <c r="GJ3351"/>
      <c r="GK3351"/>
      <c r="GL3351"/>
      <c r="GM3351"/>
      <c r="GN3351"/>
      <c r="GO3351"/>
    </row>
    <row r="3352" spans="107:197">
      <c r="DC3352"/>
      <c r="FH3352"/>
      <c r="FI3352"/>
      <c r="FJ3352"/>
      <c r="FK3352"/>
      <c r="FL3352"/>
      <c r="FM3352"/>
      <c r="FN3352"/>
      <c r="FO3352"/>
      <c r="FP3352"/>
      <c r="FQ3352"/>
      <c r="FR3352"/>
      <c r="FS3352"/>
      <c r="FT3352"/>
      <c r="FU3352"/>
      <c r="FV3352"/>
      <c r="FW3352"/>
      <c r="FX3352"/>
      <c r="FY3352"/>
      <c r="FZ3352"/>
      <c r="GA3352"/>
      <c r="GB3352"/>
      <c r="GC3352"/>
      <c r="GD3352"/>
      <c r="GE3352"/>
      <c r="GF3352"/>
      <c r="GG3352"/>
      <c r="GH3352"/>
      <c r="GI3352"/>
      <c r="GJ3352"/>
      <c r="GK3352"/>
      <c r="GL3352"/>
      <c r="GM3352"/>
      <c r="GN3352"/>
      <c r="GO3352"/>
    </row>
    <row r="3353" spans="107:197">
      <c r="DC3353"/>
      <c r="FH3353"/>
      <c r="FI3353"/>
      <c r="FJ3353"/>
      <c r="FK3353"/>
      <c r="FL3353"/>
      <c r="FM3353"/>
      <c r="FN3353"/>
      <c r="FO3353"/>
      <c r="FP3353"/>
      <c r="FQ3353"/>
      <c r="FR3353"/>
      <c r="FS3353"/>
      <c r="FT3353"/>
      <c r="FU3353"/>
      <c r="FV3353"/>
      <c r="FW3353"/>
      <c r="FX3353"/>
      <c r="FY3353"/>
      <c r="FZ3353"/>
      <c r="GA3353"/>
      <c r="GB3353"/>
      <c r="GC3353"/>
      <c r="GD3353"/>
      <c r="GE3353"/>
      <c r="GF3353"/>
      <c r="GG3353"/>
      <c r="GH3353"/>
      <c r="GI3353"/>
      <c r="GJ3353"/>
      <c r="GK3353"/>
      <c r="GL3353"/>
      <c r="GM3353"/>
      <c r="GN3353"/>
      <c r="GO3353"/>
    </row>
    <row r="3354" spans="107:197">
      <c r="DC3354"/>
      <c r="FH3354"/>
      <c r="FI3354"/>
      <c r="FJ3354"/>
      <c r="FK3354"/>
      <c r="FL3354"/>
      <c r="FM3354"/>
      <c r="FN3354"/>
      <c r="FO3354"/>
      <c r="FP3354"/>
      <c r="FQ3354"/>
      <c r="FR3354"/>
      <c r="FS3354"/>
      <c r="FT3354"/>
      <c r="FU3354"/>
      <c r="FV3354"/>
      <c r="FW3354"/>
      <c r="FX3354"/>
      <c r="FY3354"/>
      <c r="FZ3354"/>
      <c r="GA3354"/>
      <c r="GB3354"/>
      <c r="GC3354"/>
      <c r="GD3354"/>
      <c r="GE3354"/>
      <c r="GF3354"/>
      <c r="GG3354"/>
      <c r="GH3354"/>
      <c r="GI3354"/>
      <c r="GJ3354"/>
      <c r="GK3354"/>
      <c r="GL3354"/>
      <c r="GM3354"/>
      <c r="GN3354"/>
      <c r="GO3354"/>
    </row>
    <row r="3355" spans="107:197">
      <c r="DC3355"/>
      <c r="FH3355"/>
      <c r="FI3355"/>
      <c r="FJ3355"/>
      <c r="FK3355"/>
      <c r="FL3355"/>
      <c r="FM3355"/>
      <c r="FN3355"/>
      <c r="FO3355"/>
      <c r="FP3355"/>
      <c r="FQ3355"/>
      <c r="FR3355"/>
      <c r="FS3355"/>
      <c r="FT3355"/>
      <c r="FU3355"/>
      <c r="FV3355"/>
      <c r="FW3355"/>
      <c r="FX3355"/>
      <c r="FY3355"/>
      <c r="FZ3355"/>
      <c r="GA3355"/>
      <c r="GB3355"/>
      <c r="GC3355"/>
      <c r="GD3355"/>
      <c r="GE3355"/>
      <c r="GF3355"/>
      <c r="GG3355"/>
      <c r="GH3355"/>
      <c r="GI3355"/>
      <c r="GJ3355"/>
      <c r="GK3355"/>
      <c r="GL3355"/>
      <c r="GM3355"/>
      <c r="GN3355"/>
      <c r="GO3355"/>
    </row>
    <row r="3356" spans="107:197">
      <c r="DC3356"/>
      <c r="FH3356"/>
      <c r="FI3356"/>
      <c r="FJ3356"/>
      <c r="FK3356"/>
      <c r="FL3356"/>
      <c r="FM3356"/>
      <c r="FN3356"/>
      <c r="FO3356"/>
      <c r="FP3356"/>
      <c r="FQ3356"/>
      <c r="FR3356"/>
      <c r="FS3356"/>
      <c r="FT3356"/>
      <c r="FU3356"/>
      <c r="FV3356"/>
      <c r="FW3356"/>
      <c r="FX3356"/>
      <c r="FY3356"/>
      <c r="FZ3356"/>
      <c r="GA3356"/>
      <c r="GB3356"/>
      <c r="GC3356"/>
      <c r="GD3356"/>
      <c r="GE3356"/>
      <c r="GF3356"/>
      <c r="GG3356"/>
      <c r="GH3356"/>
      <c r="GI3356"/>
      <c r="GJ3356"/>
      <c r="GK3356"/>
      <c r="GL3356"/>
      <c r="GM3356"/>
      <c r="GN3356"/>
      <c r="GO3356"/>
    </row>
    <row r="3357" spans="107:197">
      <c r="DC3357"/>
      <c r="FH3357"/>
      <c r="FI3357"/>
      <c r="FJ3357"/>
      <c r="FK3357"/>
      <c r="FL3357"/>
      <c r="FM3357"/>
      <c r="FN3357"/>
      <c r="FO3357"/>
      <c r="FP3357"/>
      <c r="FQ3357"/>
      <c r="FR3357"/>
      <c r="FS3357"/>
      <c r="FT3357"/>
      <c r="FU3357"/>
      <c r="FV3357"/>
      <c r="FW3357"/>
      <c r="FX3357"/>
      <c r="FY3357"/>
      <c r="FZ3357"/>
      <c r="GA3357"/>
      <c r="GB3357"/>
      <c r="GC3357"/>
      <c r="GD3357"/>
      <c r="GE3357"/>
      <c r="GF3357"/>
      <c r="GG3357"/>
      <c r="GH3357"/>
      <c r="GI3357"/>
      <c r="GJ3357"/>
      <c r="GK3357"/>
      <c r="GL3357"/>
      <c r="GM3357"/>
      <c r="GN3357"/>
      <c r="GO3357"/>
    </row>
    <row r="3358" spans="107:197">
      <c r="DC3358"/>
      <c r="FH3358"/>
      <c r="FI3358"/>
      <c r="FJ3358"/>
      <c r="FK3358"/>
      <c r="FL3358"/>
      <c r="FM3358"/>
      <c r="FN3358"/>
      <c r="FO3358"/>
      <c r="FP3358"/>
      <c r="FQ3358"/>
      <c r="FR3358"/>
      <c r="FS3358"/>
      <c r="FT3358"/>
      <c r="FU3358"/>
      <c r="FV3358"/>
      <c r="FW3358"/>
      <c r="FX3358"/>
      <c r="FY3358"/>
      <c r="FZ3358"/>
      <c r="GA3358"/>
      <c r="GB3358"/>
      <c r="GC3358"/>
      <c r="GD3358"/>
      <c r="GE3358"/>
      <c r="GF3358"/>
      <c r="GG3358"/>
      <c r="GH3358"/>
      <c r="GI3358"/>
      <c r="GJ3358"/>
      <c r="GK3358"/>
      <c r="GL3358"/>
      <c r="GM3358"/>
      <c r="GN3358"/>
      <c r="GO3358"/>
    </row>
    <row r="3359" spans="107:197">
      <c r="DC3359"/>
      <c r="FH3359"/>
      <c r="FI3359"/>
      <c r="FJ3359"/>
      <c r="FK3359"/>
      <c r="FL3359"/>
      <c r="FM3359"/>
      <c r="FN3359"/>
      <c r="FO3359"/>
      <c r="FP3359"/>
      <c r="FQ3359"/>
      <c r="FR3359"/>
      <c r="FS3359"/>
      <c r="FT3359"/>
      <c r="FU3359"/>
      <c r="FV3359"/>
      <c r="FW3359"/>
      <c r="FX3359"/>
      <c r="FY3359"/>
      <c r="FZ3359"/>
      <c r="GA3359"/>
      <c r="GB3359"/>
      <c r="GC3359"/>
      <c r="GD3359"/>
      <c r="GE3359"/>
      <c r="GF3359"/>
      <c r="GG3359"/>
      <c r="GH3359"/>
      <c r="GI3359"/>
      <c r="GJ3359"/>
      <c r="GK3359"/>
      <c r="GL3359"/>
      <c r="GM3359"/>
      <c r="GN3359"/>
      <c r="GO3359"/>
    </row>
    <row r="3360" spans="107:197">
      <c r="DC3360"/>
      <c r="FH3360"/>
      <c r="FI3360"/>
      <c r="FJ3360"/>
      <c r="FK3360"/>
      <c r="FL3360"/>
      <c r="FM3360"/>
      <c r="FN3360"/>
      <c r="FO3360"/>
      <c r="FP3360"/>
      <c r="FQ3360"/>
      <c r="FR3360"/>
      <c r="FS3360"/>
      <c r="FT3360"/>
      <c r="FU3360"/>
      <c r="FV3360"/>
      <c r="FW3360"/>
      <c r="FX3360"/>
      <c r="FY3360"/>
      <c r="FZ3360"/>
      <c r="GA3360"/>
      <c r="GB3360"/>
      <c r="GC3360"/>
      <c r="GD3360"/>
      <c r="GE3360"/>
      <c r="GF3360"/>
      <c r="GG3360"/>
      <c r="GH3360"/>
      <c r="GI3360"/>
      <c r="GJ3360"/>
      <c r="GK3360"/>
      <c r="GL3360"/>
      <c r="GM3360"/>
      <c r="GN3360"/>
      <c r="GO3360"/>
    </row>
    <row r="3361" spans="107:197">
      <c r="DC3361"/>
      <c r="FH3361"/>
      <c r="FI3361"/>
      <c r="FJ3361"/>
      <c r="FK3361"/>
      <c r="FL3361"/>
      <c r="FM3361"/>
      <c r="FN3361"/>
      <c r="FO3361"/>
      <c r="FP3361"/>
      <c r="FQ3361"/>
      <c r="FR3361"/>
      <c r="FS3361"/>
      <c r="FT3361"/>
      <c r="FU3361"/>
      <c r="FV3361"/>
      <c r="FW3361"/>
      <c r="FX3361"/>
      <c r="FY3361"/>
      <c r="FZ3361"/>
      <c r="GA3361"/>
      <c r="GB3361"/>
      <c r="GC3361"/>
      <c r="GD3361"/>
      <c r="GE3361"/>
      <c r="GF3361"/>
      <c r="GG3361"/>
      <c r="GH3361"/>
      <c r="GI3361"/>
      <c r="GJ3361"/>
      <c r="GK3361"/>
      <c r="GL3361"/>
      <c r="GM3361"/>
      <c r="GN3361"/>
      <c r="GO3361"/>
    </row>
    <row r="3362" spans="107:197">
      <c r="DC3362"/>
      <c r="FH3362"/>
      <c r="FI3362"/>
      <c r="FJ3362"/>
      <c r="FK3362"/>
      <c r="FL3362"/>
      <c r="FM3362"/>
      <c r="FN3362"/>
      <c r="FO3362"/>
      <c r="FP3362"/>
      <c r="FQ3362"/>
      <c r="FR3362"/>
      <c r="FS3362"/>
      <c r="FT3362"/>
      <c r="FU3362"/>
      <c r="FV3362"/>
      <c r="FW3362"/>
      <c r="FX3362"/>
      <c r="FY3362"/>
      <c r="FZ3362"/>
      <c r="GA3362"/>
      <c r="GB3362"/>
      <c r="GC3362"/>
      <c r="GD3362"/>
      <c r="GE3362"/>
      <c r="GF3362"/>
      <c r="GG3362"/>
      <c r="GH3362"/>
      <c r="GI3362"/>
      <c r="GJ3362"/>
      <c r="GK3362"/>
      <c r="GL3362"/>
      <c r="GM3362"/>
      <c r="GN3362"/>
      <c r="GO3362"/>
    </row>
    <row r="3363" spans="107:197">
      <c r="DC3363"/>
      <c r="FH3363"/>
      <c r="FI3363"/>
      <c r="FJ3363"/>
      <c r="FK3363"/>
      <c r="FL3363"/>
      <c r="FM3363"/>
      <c r="FN3363"/>
      <c r="FO3363"/>
      <c r="FP3363"/>
      <c r="FQ3363"/>
      <c r="FR3363"/>
      <c r="FS3363"/>
      <c r="FT3363"/>
      <c r="FU3363"/>
      <c r="FV3363"/>
      <c r="FW3363"/>
      <c r="FX3363"/>
      <c r="FY3363"/>
      <c r="FZ3363"/>
      <c r="GA3363"/>
      <c r="GB3363"/>
      <c r="GC3363"/>
      <c r="GD3363"/>
      <c r="GE3363"/>
      <c r="GF3363"/>
      <c r="GG3363"/>
      <c r="GH3363"/>
      <c r="GI3363"/>
      <c r="GJ3363"/>
      <c r="GK3363"/>
      <c r="GL3363"/>
      <c r="GM3363"/>
      <c r="GN3363"/>
      <c r="GO3363"/>
    </row>
    <row r="3364" spans="107:197">
      <c r="DC3364"/>
      <c r="FH3364"/>
      <c r="FI3364"/>
      <c r="FJ3364"/>
      <c r="FK3364"/>
      <c r="FL3364"/>
      <c r="FM3364"/>
      <c r="FN3364"/>
      <c r="FO3364"/>
      <c r="FP3364"/>
      <c r="FQ3364"/>
      <c r="FR3364"/>
      <c r="FS3364"/>
      <c r="FT3364"/>
      <c r="FU3364"/>
      <c r="FV3364"/>
      <c r="FW3364"/>
      <c r="FX3364"/>
      <c r="FY3364"/>
      <c r="FZ3364"/>
      <c r="GA3364"/>
      <c r="GB3364"/>
      <c r="GC3364"/>
      <c r="GD3364"/>
      <c r="GE3364"/>
      <c r="GF3364"/>
      <c r="GG3364"/>
      <c r="GH3364"/>
      <c r="GI3364"/>
      <c r="GJ3364"/>
      <c r="GK3364"/>
      <c r="GL3364"/>
      <c r="GM3364"/>
      <c r="GN3364"/>
      <c r="GO3364"/>
    </row>
    <row r="3365" spans="107:197">
      <c r="DC3365"/>
      <c r="FH3365"/>
      <c r="FI3365"/>
      <c r="FJ3365"/>
      <c r="FK3365"/>
      <c r="FL3365"/>
      <c r="FM3365"/>
      <c r="FN3365"/>
      <c r="FO3365"/>
      <c r="FP3365"/>
      <c r="FQ3365"/>
      <c r="FR3365"/>
      <c r="FS3365"/>
      <c r="FT3365"/>
      <c r="FU3365"/>
      <c r="FV3365"/>
      <c r="FW3365"/>
      <c r="FX3365"/>
      <c r="FY3365"/>
      <c r="FZ3365"/>
      <c r="GA3365"/>
      <c r="GB3365"/>
      <c r="GC3365"/>
      <c r="GD3365"/>
      <c r="GE3365"/>
      <c r="GF3365"/>
      <c r="GG3365"/>
      <c r="GH3365"/>
      <c r="GI3365"/>
      <c r="GJ3365"/>
      <c r="GK3365"/>
      <c r="GL3365"/>
      <c r="GM3365"/>
      <c r="GN3365"/>
      <c r="GO3365"/>
    </row>
    <row r="3366" spans="107:197">
      <c r="DC3366"/>
      <c r="FH3366"/>
      <c r="FI3366"/>
      <c r="FJ3366"/>
      <c r="FK3366"/>
      <c r="FL3366"/>
      <c r="FM3366"/>
      <c r="FN3366"/>
      <c r="FO3366"/>
      <c r="FP3366"/>
      <c r="FQ3366"/>
      <c r="FR3366"/>
      <c r="FS3366"/>
      <c r="FT3366"/>
      <c r="FU3366"/>
      <c r="FV3366"/>
      <c r="FW3366"/>
      <c r="FX3366"/>
      <c r="FY3366"/>
      <c r="FZ3366"/>
      <c r="GA3366"/>
      <c r="GB3366"/>
      <c r="GC3366"/>
      <c r="GD3366"/>
      <c r="GE3366"/>
      <c r="GF3366"/>
      <c r="GG3366"/>
      <c r="GH3366"/>
      <c r="GI3366"/>
      <c r="GJ3366"/>
      <c r="GK3366"/>
      <c r="GL3366"/>
      <c r="GM3366"/>
      <c r="GN3366"/>
      <c r="GO3366"/>
    </row>
    <row r="3367" spans="107:197">
      <c r="DC3367"/>
      <c r="FH3367"/>
      <c r="FI3367"/>
      <c r="FJ3367"/>
      <c r="FK3367"/>
      <c r="FL3367"/>
      <c r="FM3367"/>
      <c r="FN3367"/>
      <c r="FO3367"/>
      <c r="FP3367"/>
      <c r="FQ3367"/>
      <c r="FR3367"/>
      <c r="FS3367"/>
      <c r="FT3367"/>
      <c r="FU3367"/>
      <c r="FV3367"/>
      <c r="FW3367"/>
      <c r="FX3367"/>
      <c r="FY3367"/>
      <c r="FZ3367"/>
      <c r="GA3367"/>
      <c r="GB3367"/>
      <c r="GC3367"/>
      <c r="GD3367"/>
      <c r="GE3367"/>
      <c r="GF3367"/>
      <c r="GG3367"/>
      <c r="GH3367"/>
      <c r="GI3367"/>
      <c r="GJ3367"/>
      <c r="GK3367"/>
      <c r="GL3367"/>
      <c r="GM3367"/>
      <c r="GN3367"/>
      <c r="GO3367"/>
    </row>
    <row r="3368" spans="107:197">
      <c r="DC3368"/>
      <c r="FH3368"/>
      <c r="FI3368"/>
      <c r="FJ3368"/>
      <c r="FK3368"/>
      <c r="FL3368"/>
      <c r="FM3368"/>
      <c r="FN3368"/>
      <c r="FO3368"/>
      <c r="FP3368"/>
      <c r="FQ3368"/>
      <c r="FR3368"/>
      <c r="FS3368"/>
      <c r="FT3368"/>
      <c r="FU3368"/>
      <c r="FV3368"/>
      <c r="FW3368"/>
      <c r="FX3368"/>
      <c r="FY3368"/>
      <c r="FZ3368"/>
      <c r="GA3368"/>
      <c r="GB3368"/>
      <c r="GC3368"/>
      <c r="GD3368"/>
      <c r="GE3368"/>
      <c r="GF3368"/>
      <c r="GG3368"/>
      <c r="GH3368"/>
      <c r="GI3368"/>
      <c r="GJ3368"/>
      <c r="GK3368"/>
      <c r="GL3368"/>
      <c r="GM3368"/>
      <c r="GN3368"/>
      <c r="GO3368"/>
    </row>
    <row r="3369" spans="107:197">
      <c r="DC3369"/>
      <c r="FH3369"/>
      <c r="FI3369"/>
      <c r="FJ3369"/>
      <c r="FK3369"/>
      <c r="FL3369"/>
      <c r="FM3369"/>
      <c r="FN3369"/>
      <c r="FO3369"/>
      <c r="FP3369"/>
      <c r="FQ3369"/>
      <c r="FR3369"/>
      <c r="FS3369"/>
      <c r="FT3369"/>
      <c r="FU3369"/>
      <c r="FV3369"/>
      <c r="FW3369"/>
      <c r="FX3369"/>
      <c r="FY3369"/>
      <c r="FZ3369"/>
      <c r="GA3369"/>
      <c r="GB3369"/>
      <c r="GC3369"/>
      <c r="GD3369"/>
      <c r="GE3369"/>
      <c r="GF3369"/>
      <c r="GG3369"/>
      <c r="GH3369"/>
      <c r="GI3369"/>
      <c r="GJ3369"/>
      <c r="GK3369"/>
      <c r="GL3369"/>
      <c r="GM3369"/>
      <c r="GN3369"/>
      <c r="GO3369"/>
    </row>
    <row r="3370" spans="107:197">
      <c r="DC3370"/>
      <c r="FH3370"/>
      <c r="FI3370"/>
      <c r="FJ3370"/>
      <c r="FK3370"/>
      <c r="FL3370"/>
      <c r="FM3370"/>
      <c r="FN3370"/>
      <c r="FO3370"/>
      <c r="FP3370"/>
      <c r="FQ3370"/>
      <c r="FR3370"/>
      <c r="FS3370"/>
      <c r="FT3370"/>
      <c r="FU3370"/>
      <c r="FV3370"/>
      <c r="FW3370"/>
      <c r="FX3370"/>
      <c r="FY3370"/>
      <c r="FZ3370"/>
      <c r="GA3370"/>
      <c r="GB3370"/>
      <c r="GC3370"/>
      <c r="GD3370"/>
      <c r="GE3370"/>
      <c r="GF3370"/>
      <c r="GG3370"/>
      <c r="GH3370"/>
      <c r="GI3370"/>
      <c r="GJ3370"/>
      <c r="GK3370"/>
      <c r="GL3370"/>
      <c r="GM3370"/>
      <c r="GN3370"/>
      <c r="GO3370"/>
    </row>
    <row r="3371" spans="107:197">
      <c r="DC3371"/>
      <c r="FH3371"/>
      <c r="FI3371"/>
      <c r="FJ3371"/>
      <c r="FK3371"/>
      <c r="FL3371"/>
      <c r="FM3371"/>
      <c r="FN3371"/>
      <c r="FO3371"/>
      <c r="FP3371"/>
      <c r="FQ3371"/>
      <c r="FR3371"/>
      <c r="FS3371"/>
      <c r="FT3371"/>
      <c r="FU3371"/>
      <c r="FV3371"/>
      <c r="FW3371"/>
      <c r="FX3371"/>
      <c r="FY3371"/>
      <c r="FZ3371"/>
      <c r="GA3371"/>
      <c r="GB3371"/>
      <c r="GC3371"/>
      <c r="GD3371"/>
      <c r="GE3371"/>
      <c r="GF3371"/>
      <c r="GG3371"/>
      <c r="GH3371"/>
      <c r="GI3371"/>
      <c r="GJ3371"/>
      <c r="GK3371"/>
      <c r="GL3371"/>
      <c r="GM3371"/>
      <c r="GN3371"/>
      <c r="GO3371"/>
    </row>
    <row r="3372" spans="107:197">
      <c r="DC3372"/>
      <c r="FH3372"/>
      <c r="FI3372"/>
      <c r="FJ3372"/>
      <c r="FK3372"/>
      <c r="FL3372"/>
      <c r="FM3372"/>
      <c r="FN3372"/>
      <c r="FO3372"/>
      <c r="FP3372"/>
      <c r="FQ3372"/>
      <c r="FR3372"/>
      <c r="FS3372"/>
      <c r="FT3372"/>
      <c r="FU3372"/>
      <c r="FV3372"/>
      <c r="FW3372"/>
      <c r="FX3372"/>
      <c r="FY3372"/>
      <c r="FZ3372"/>
      <c r="GA3372"/>
      <c r="GB3372"/>
      <c r="GC3372"/>
      <c r="GD3372"/>
      <c r="GE3372"/>
      <c r="GF3372"/>
      <c r="GG3372"/>
      <c r="GH3372"/>
      <c r="GI3372"/>
      <c r="GJ3372"/>
      <c r="GK3372"/>
      <c r="GL3372"/>
      <c r="GM3372"/>
      <c r="GN3372"/>
      <c r="GO3372"/>
    </row>
    <row r="3373" spans="107:197">
      <c r="DC3373"/>
      <c r="FH3373"/>
      <c r="FI3373"/>
      <c r="FJ3373"/>
      <c r="FK3373"/>
      <c r="FL3373"/>
      <c r="FM3373"/>
      <c r="FN3373"/>
      <c r="FO3373"/>
      <c r="FP3373"/>
      <c r="FQ3373"/>
      <c r="FR3373"/>
      <c r="FS3373"/>
      <c r="FT3373"/>
      <c r="FU3373"/>
      <c r="FV3373"/>
      <c r="FW3373"/>
      <c r="FX3373"/>
      <c r="FY3373"/>
      <c r="FZ3373"/>
      <c r="GA3373"/>
      <c r="GB3373"/>
      <c r="GC3373"/>
      <c r="GD3373"/>
      <c r="GE3373"/>
      <c r="GF3373"/>
      <c r="GG3373"/>
      <c r="GH3373"/>
      <c r="GI3373"/>
      <c r="GJ3373"/>
      <c r="GK3373"/>
      <c r="GL3373"/>
      <c r="GM3373"/>
      <c r="GN3373"/>
      <c r="GO3373"/>
    </row>
    <row r="3374" spans="107:197">
      <c r="DC3374"/>
      <c r="FH3374"/>
      <c r="FI3374"/>
      <c r="FJ3374"/>
      <c r="FK3374"/>
      <c r="FL3374"/>
      <c r="FM3374"/>
      <c r="FN3374"/>
      <c r="FO3374"/>
      <c r="FP3374"/>
      <c r="FQ3374"/>
      <c r="FR3374"/>
      <c r="FS3374"/>
      <c r="FT3374"/>
      <c r="FU3374"/>
      <c r="FV3374"/>
      <c r="FW3374"/>
      <c r="FX3374"/>
      <c r="FY3374"/>
      <c r="FZ3374"/>
      <c r="GA3374"/>
      <c r="GB3374"/>
      <c r="GC3374"/>
      <c r="GD3374"/>
      <c r="GE3374"/>
      <c r="GF3374"/>
      <c r="GG3374"/>
      <c r="GH3374"/>
      <c r="GI3374"/>
      <c r="GJ3374"/>
      <c r="GK3374"/>
      <c r="GL3374"/>
      <c r="GM3374"/>
      <c r="GN3374"/>
      <c r="GO3374"/>
    </row>
    <row r="3375" spans="107:197">
      <c r="DC3375"/>
      <c r="FH3375"/>
      <c r="FI3375"/>
      <c r="FJ3375"/>
      <c r="FK3375"/>
      <c r="FL3375"/>
      <c r="FM3375"/>
      <c r="FN3375"/>
      <c r="FO3375"/>
      <c r="FP3375"/>
      <c r="FQ3375"/>
      <c r="FR3375"/>
      <c r="FS3375"/>
      <c r="FT3375"/>
      <c r="FU3375"/>
      <c r="FV3375"/>
      <c r="FW3375"/>
      <c r="FX3375"/>
      <c r="FY3375"/>
      <c r="FZ3375"/>
      <c r="GA3375"/>
      <c r="GB3375"/>
      <c r="GC3375"/>
      <c r="GD3375"/>
      <c r="GE3375"/>
      <c r="GF3375"/>
      <c r="GG3375"/>
      <c r="GH3375"/>
      <c r="GI3375"/>
      <c r="GJ3375"/>
      <c r="GK3375"/>
      <c r="GL3375"/>
      <c r="GM3375"/>
      <c r="GN3375"/>
      <c r="GO3375"/>
    </row>
    <row r="3376" spans="107:197">
      <c r="DC3376"/>
      <c r="FH3376"/>
      <c r="FI3376"/>
      <c r="FJ3376"/>
      <c r="FK3376"/>
      <c r="FL3376"/>
      <c r="FM3376"/>
      <c r="FN3376"/>
      <c r="FO3376"/>
      <c r="FP3376"/>
      <c r="FQ3376"/>
      <c r="FR3376"/>
      <c r="FS3376"/>
      <c r="FT3376"/>
      <c r="FU3376"/>
      <c r="FV3376"/>
      <c r="FW3376"/>
      <c r="FX3376"/>
      <c r="FY3376"/>
      <c r="FZ3376"/>
      <c r="GA3376"/>
      <c r="GB3376"/>
      <c r="GC3376"/>
      <c r="GD3376"/>
      <c r="GE3376"/>
      <c r="GF3376"/>
      <c r="GG3376"/>
      <c r="GH3376"/>
      <c r="GI3376"/>
      <c r="GJ3376"/>
      <c r="GK3376"/>
      <c r="GL3376"/>
      <c r="GM3376"/>
      <c r="GN3376"/>
      <c r="GO3376"/>
    </row>
    <row r="3377" spans="107:197">
      <c r="DC3377"/>
      <c r="FH3377"/>
      <c r="FI3377"/>
      <c r="FJ3377"/>
      <c r="FK3377"/>
      <c r="FL3377"/>
      <c r="FM3377"/>
      <c r="FN3377"/>
      <c r="FO3377"/>
      <c r="FP3377"/>
      <c r="FQ3377"/>
      <c r="FR3377"/>
      <c r="FS3377"/>
      <c r="FT3377"/>
      <c r="FU3377"/>
      <c r="FV3377"/>
      <c r="FW3377"/>
      <c r="FX3377"/>
      <c r="FY3377"/>
      <c r="FZ3377"/>
      <c r="GA3377"/>
      <c r="GB3377"/>
      <c r="GC3377"/>
      <c r="GD3377"/>
      <c r="GE3377"/>
      <c r="GF3377"/>
      <c r="GG3377"/>
      <c r="GH3377"/>
      <c r="GI3377"/>
      <c r="GJ3377"/>
      <c r="GK3377"/>
      <c r="GL3377"/>
      <c r="GM3377"/>
      <c r="GN3377"/>
      <c r="GO3377"/>
    </row>
    <row r="3378" spans="107:197">
      <c r="DC3378"/>
      <c r="FH3378"/>
      <c r="FI3378"/>
      <c r="FJ3378"/>
      <c r="FK3378"/>
      <c r="FL3378"/>
      <c r="FM3378"/>
      <c r="FN3378"/>
      <c r="FO3378"/>
      <c r="FP3378"/>
      <c r="FQ3378"/>
      <c r="FR3378"/>
      <c r="FS3378"/>
      <c r="FT3378"/>
      <c r="FU3378"/>
      <c r="FV3378"/>
      <c r="FW3378"/>
      <c r="FX3378"/>
      <c r="FY3378"/>
      <c r="FZ3378"/>
      <c r="GA3378"/>
      <c r="GB3378"/>
      <c r="GC3378"/>
      <c r="GD3378"/>
      <c r="GE3378"/>
      <c r="GF3378"/>
      <c r="GG3378"/>
      <c r="GH3378"/>
      <c r="GI3378"/>
      <c r="GJ3378"/>
      <c r="GK3378"/>
      <c r="GL3378"/>
      <c r="GM3378"/>
      <c r="GN3378"/>
      <c r="GO3378"/>
    </row>
    <row r="3379" spans="107:197">
      <c r="DC3379"/>
      <c r="FH3379"/>
      <c r="FI3379"/>
      <c r="FJ3379"/>
      <c r="FK3379"/>
      <c r="FL3379"/>
      <c r="FM3379"/>
      <c r="FN3379"/>
      <c r="FO3379"/>
      <c r="FP3379"/>
      <c r="FQ3379"/>
      <c r="FR3379"/>
      <c r="FS3379"/>
      <c r="FT3379"/>
      <c r="FU3379"/>
      <c r="FV3379"/>
      <c r="FW3379"/>
      <c r="FX3379"/>
      <c r="FY3379"/>
      <c r="FZ3379"/>
      <c r="GA3379"/>
      <c r="GB3379"/>
      <c r="GC3379"/>
      <c r="GD3379"/>
      <c r="GE3379"/>
      <c r="GF3379"/>
      <c r="GG3379"/>
      <c r="GH3379"/>
      <c r="GI3379"/>
      <c r="GJ3379"/>
      <c r="GK3379"/>
      <c r="GL3379"/>
      <c r="GM3379"/>
      <c r="GN3379"/>
      <c r="GO3379"/>
    </row>
    <row r="3380" spans="107:197">
      <c r="DC3380"/>
      <c r="FH3380"/>
      <c r="FI3380"/>
      <c r="FJ3380"/>
      <c r="FK3380"/>
      <c r="FL3380"/>
      <c r="FM3380"/>
      <c r="FN3380"/>
      <c r="FO3380"/>
      <c r="FP3380"/>
      <c r="FQ3380"/>
      <c r="FR3380"/>
      <c r="FS3380"/>
      <c r="FT3380"/>
      <c r="FU3380"/>
      <c r="FV3380"/>
      <c r="FW3380"/>
      <c r="FX3380"/>
      <c r="FY3380"/>
      <c r="FZ3380"/>
      <c r="GA3380"/>
      <c r="GB3380"/>
      <c r="GC3380"/>
      <c r="GD3380"/>
      <c r="GE3380"/>
      <c r="GF3380"/>
      <c r="GG3380"/>
      <c r="GH3380"/>
      <c r="GI3380"/>
      <c r="GJ3380"/>
      <c r="GK3380"/>
      <c r="GL3380"/>
      <c r="GM3380"/>
      <c r="GN3380"/>
      <c r="GO3380"/>
    </row>
    <row r="3381" spans="107:197">
      <c r="DC3381"/>
      <c r="FH3381"/>
      <c r="FI3381"/>
      <c r="FJ3381"/>
      <c r="FK3381"/>
      <c r="FL3381"/>
      <c r="FM3381"/>
      <c r="FN3381"/>
      <c r="FO3381"/>
      <c r="FP3381"/>
      <c r="FQ3381"/>
      <c r="FR3381"/>
      <c r="FS3381"/>
      <c r="FT3381"/>
      <c r="FU3381"/>
      <c r="FV3381"/>
      <c r="FW3381"/>
      <c r="FX3381"/>
      <c r="FY3381"/>
      <c r="FZ3381"/>
      <c r="GA3381"/>
      <c r="GB3381"/>
      <c r="GC3381"/>
      <c r="GD3381"/>
      <c r="GE3381"/>
      <c r="GF3381"/>
      <c r="GG3381"/>
      <c r="GH3381"/>
      <c r="GI3381"/>
      <c r="GJ3381"/>
      <c r="GK3381"/>
      <c r="GL3381"/>
      <c r="GM3381"/>
      <c r="GN3381"/>
      <c r="GO3381"/>
    </row>
    <row r="3382" spans="107:197">
      <c r="DC3382"/>
      <c r="FH3382"/>
      <c r="FI3382"/>
      <c r="FJ3382"/>
      <c r="FK3382"/>
      <c r="FL3382"/>
      <c r="FM3382"/>
      <c r="FN3382"/>
      <c r="FO3382"/>
      <c r="FP3382"/>
      <c r="FQ3382"/>
      <c r="FR3382"/>
      <c r="FS3382"/>
      <c r="FT3382"/>
      <c r="FU3382"/>
      <c r="FV3382"/>
      <c r="FW3382"/>
      <c r="FX3382"/>
      <c r="FY3382"/>
      <c r="FZ3382"/>
      <c r="GA3382"/>
      <c r="GB3382"/>
      <c r="GC3382"/>
      <c r="GD3382"/>
      <c r="GE3382"/>
      <c r="GF3382"/>
      <c r="GG3382"/>
      <c r="GH3382"/>
      <c r="GI3382"/>
      <c r="GJ3382"/>
      <c r="GK3382"/>
      <c r="GL3382"/>
      <c r="GM3382"/>
      <c r="GN3382"/>
      <c r="GO3382"/>
    </row>
    <row r="3383" spans="107:197">
      <c r="DC3383"/>
      <c r="FH3383"/>
      <c r="FI3383"/>
      <c r="FJ3383"/>
      <c r="FK3383"/>
      <c r="FL3383"/>
      <c r="FM3383"/>
      <c r="FN3383"/>
      <c r="FO3383"/>
      <c r="FP3383"/>
      <c r="FQ3383"/>
      <c r="FR3383"/>
      <c r="FS3383"/>
      <c r="FT3383"/>
      <c r="FU3383"/>
      <c r="FV3383"/>
      <c r="FW3383"/>
      <c r="FX3383"/>
      <c r="FY3383"/>
      <c r="FZ3383"/>
      <c r="GA3383"/>
      <c r="GB3383"/>
      <c r="GC3383"/>
      <c r="GD3383"/>
      <c r="GE3383"/>
      <c r="GF3383"/>
      <c r="GG3383"/>
      <c r="GH3383"/>
      <c r="GI3383"/>
      <c r="GJ3383"/>
      <c r="GK3383"/>
      <c r="GL3383"/>
      <c r="GM3383"/>
      <c r="GN3383"/>
      <c r="GO3383"/>
    </row>
    <row r="3384" spans="107:197">
      <c r="DC3384"/>
      <c r="FH3384"/>
      <c r="FI3384"/>
      <c r="FJ3384"/>
      <c r="FK3384"/>
      <c r="FL3384"/>
      <c r="FM3384"/>
      <c r="FN3384"/>
      <c r="FO3384"/>
      <c r="FP3384"/>
      <c r="FQ3384"/>
      <c r="FR3384"/>
      <c r="FS3384"/>
      <c r="FT3384"/>
      <c r="FU3384"/>
      <c r="FV3384"/>
      <c r="FW3384"/>
      <c r="FX3384"/>
      <c r="FY3384"/>
      <c r="FZ3384"/>
      <c r="GA3384"/>
      <c r="GB3384"/>
      <c r="GC3384"/>
      <c r="GD3384"/>
      <c r="GE3384"/>
      <c r="GF3384"/>
      <c r="GG3384"/>
      <c r="GH3384"/>
      <c r="GI3384"/>
      <c r="GJ3384"/>
      <c r="GK3384"/>
      <c r="GL3384"/>
      <c r="GM3384"/>
      <c r="GN3384"/>
      <c r="GO3384"/>
    </row>
    <row r="3385" spans="107:197">
      <c r="DC3385"/>
      <c r="FH3385"/>
      <c r="FI3385"/>
      <c r="FJ3385"/>
      <c r="FK3385"/>
      <c r="FL3385"/>
      <c r="FM3385"/>
      <c r="FN3385"/>
      <c r="FO3385"/>
      <c r="FP3385"/>
      <c r="FQ3385"/>
      <c r="FR3385"/>
      <c r="FS3385"/>
      <c r="FT3385"/>
      <c r="FU3385"/>
      <c r="FV3385"/>
      <c r="FW3385"/>
      <c r="FX3385"/>
      <c r="FY3385"/>
      <c r="FZ3385"/>
      <c r="GA3385"/>
      <c r="GB3385"/>
      <c r="GC3385"/>
      <c r="GD3385"/>
      <c r="GE3385"/>
      <c r="GF3385"/>
      <c r="GG3385"/>
      <c r="GH3385"/>
      <c r="GI3385"/>
      <c r="GJ3385"/>
      <c r="GK3385"/>
      <c r="GL3385"/>
      <c r="GM3385"/>
      <c r="GN3385"/>
      <c r="GO3385"/>
    </row>
    <row r="3386" spans="107:197">
      <c r="DC3386"/>
      <c r="FH3386"/>
      <c r="FI3386"/>
      <c r="FJ3386"/>
      <c r="FK3386"/>
      <c r="FL3386"/>
      <c r="FM3386"/>
      <c r="FN3386"/>
      <c r="FO3386"/>
      <c r="FP3386"/>
      <c r="FQ3386"/>
      <c r="FR3386"/>
      <c r="FS3386"/>
      <c r="FT3386"/>
      <c r="FU3386"/>
      <c r="FV3386"/>
      <c r="FW3386"/>
      <c r="FX3386"/>
      <c r="FY3386"/>
      <c r="FZ3386"/>
      <c r="GA3386"/>
      <c r="GB3386"/>
      <c r="GC3386"/>
      <c r="GD3386"/>
      <c r="GE3386"/>
      <c r="GF3386"/>
      <c r="GG3386"/>
      <c r="GH3386"/>
      <c r="GI3386"/>
      <c r="GJ3386"/>
      <c r="GK3386"/>
      <c r="GL3386"/>
      <c r="GM3386"/>
      <c r="GN3386"/>
      <c r="GO3386"/>
    </row>
    <row r="3387" spans="107:197">
      <c r="DC3387"/>
      <c r="FH3387"/>
      <c r="FI3387"/>
      <c r="FJ3387"/>
      <c r="FK3387"/>
      <c r="FL3387"/>
      <c r="FM3387"/>
      <c r="FN3387"/>
      <c r="FO3387"/>
      <c r="FP3387"/>
      <c r="FQ3387"/>
      <c r="FR3387"/>
      <c r="FS3387"/>
      <c r="FT3387"/>
      <c r="FU3387"/>
      <c r="FV3387"/>
      <c r="FW3387"/>
      <c r="FX3387"/>
      <c r="FY3387"/>
      <c r="FZ3387"/>
      <c r="GA3387"/>
      <c r="GB3387"/>
      <c r="GC3387"/>
      <c r="GD3387"/>
      <c r="GE3387"/>
      <c r="GF3387"/>
      <c r="GG3387"/>
      <c r="GH3387"/>
      <c r="GI3387"/>
      <c r="GJ3387"/>
      <c r="GK3387"/>
      <c r="GL3387"/>
      <c r="GM3387"/>
      <c r="GN3387"/>
      <c r="GO3387"/>
    </row>
    <row r="3388" spans="107:197">
      <c r="DC3388"/>
      <c r="FH3388"/>
      <c r="FI3388"/>
      <c r="FJ3388"/>
      <c r="FK3388"/>
      <c r="FL3388"/>
      <c r="FM3388"/>
      <c r="FN3388"/>
      <c r="FO3388"/>
      <c r="FP3388"/>
      <c r="FQ3388"/>
      <c r="FR3388"/>
      <c r="FS3388"/>
      <c r="FT3388"/>
      <c r="FU3388"/>
      <c r="FV3388"/>
      <c r="FW3388"/>
      <c r="FX3388"/>
      <c r="FY3388"/>
      <c r="FZ3388"/>
      <c r="GA3388"/>
      <c r="GB3388"/>
      <c r="GC3388"/>
      <c r="GD3388"/>
      <c r="GE3388"/>
      <c r="GF3388"/>
      <c r="GG3388"/>
      <c r="GH3388"/>
      <c r="GI3388"/>
      <c r="GJ3388"/>
      <c r="GK3388"/>
      <c r="GL3388"/>
      <c r="GM3388"/>
      <c r="GN3388"/>
      <c r="GO3388"/>
    </row>
    <row r="3389" spans="107:197">
      <c r="DC3389"/>
      <c r="FH3389"/>
      <c r="FI3389"/>
      <c r="FJ3389"/>
      <c r="FK3389"/>
      <c r="FL3389"/>
      <c r="FM3389"/>
      <c r="FN3389"/>
      <c r="FO3389"/>
      <c r="FP3389"/>
      <c r="FQ3389"/>
      <c r="FR3389"/>
      <c r="FS3389"/>
      <c r="FT3389"/>
      <c r="FU3389"/>
      <c r="FV3389"/>
      <c r="FW3389"/>
      <c r="FX3389"/>
      <c r="FY3389"/>
      <c r="FZ3389"/>
      <c r="GA3389"/>
      <c r="GB3389"/>
      <c r="GC3389"/>
      <c r="GD3389"/>
      <c r="GE3389"/>
      <c r="GF3389"/>
      <c r="GG3389"/>
      <c r="GH3389"/>
      <c r="GI3389"/>
      <c r="GJ3389"/>
      <c r="GK3389"/>
      <c r="GL3389"/>
      <c r="GM3389"/>
      <c r="GN3389"/>
      <c r="GO3389"/>
    </row>
    <row r="3390" spans="107:197">
      <c r="DC3390"/>
      <c r="FH3390"/>
      <c r="FI3390"/>
      <c r="FJ3390"/>
      <c r="FK3390"/>
      <c r="FL3390"/>
      <c r="FM3390"/>
      <c r="FN3390"/>
      <c r="FO3390"/>
      <c r="FP3390"/>
      <c r="FQ3390"/>
      <c r="FR3390"/>
      <c r="FS3390"/>
      <c r="FT3390"/>
      <c r="FU3390"/>
      <c r="FV3390"/>
      <c r="FW3390"/>
      <c r="FX3390"/>
      <c r="FY3390"/>
      <c r="FZ3390"/>
      <c r="GA3390"/>
      <c r="GB3390"/>
      <c r="GC3390"/>
      <c r="GD3390"/>
      <c r="GE3390"/>
      <c r="GF3390"/>
      <c r="GG3390"/>
      <c r="GH3390"/>
      <c r="GI3390"/>
      <c r="GJ3390"/>
      <c r="GK3390"/>
      <c r="GL3390"/>
      <c r="GM3390"/>
      <c r="GN3390"/>
      <c r="GO3390"/>
    </row>
    <row r="3391" spans="107:197">
      <c r="DC3391"/>
      <c r="FH3391"/>
      <c r="FI3391"/>
      <c r="FJ3391"/>
      <c r="FK3391"/>
      <c r="FL3391"/>
      <c r="FM3391"/>
      <c r="FN3391"/>
      <c r="FO3391"/>
      <c r="FP3391"/>
      <c r="FQ3391"/>
      <c r="FR3391"/>
      <c r="FS3391"/>
      <c r="FT3391"/>
      <c r="FU3391"/>
      <c r="FV3391"/>
      <c r="FW3391"/>
      <c r="FX3391"/>
      <c r="FY3391"/>
      <c r="FZ3391"/>
      <c r="GA3391"/>
      <c r="GB3391"/>
      <c r="GC3391"/>
      <c r="GD3391"/>
      <c r="GE3391"/>
      <c r="GF3391"/>
      <c r="GG3391"/>
      <c r="GH3391"/>
      <c r="GI3391"/>
      <c r="GJ3391"/>
      <c r="GK3391"/>
      <c r="GL3391"/>
      <c r="GM3391"/>
      <c r="GN3391"/>
      <c r="GO3391"/>
    </row>
    <row r="3392" spans="107:197">
      <c r="DC3392"/>
      <c r="FH3392"/>
      <c r="FI3392"/>
      <c r="FJ3392"/>
      <c r="FK3392"/>
      <c r="FL3392"/>
      <c r="FM3392"/>
      <c r="FN3392"/>
      <c r="FO3392"/>
      <c r="FP3392"/>
      <c r="FQ3392"/>
      <c r="FR3392"/>
      <c r="FS3392"/>
      <c r="FT3392"/>
      <c r="FU3392"/>
      <c r="FV3392"/>
      <c r="FW3392"/>
      <c r="FX3392"/>
      <c r="FY3392"/>
      <c r="FZ3392"/>
      <c r="GA3392"/>
      <c r="GB3392"/>
      <c r="GC3392"/>
      <c r="GD3392"/>
      <c r="GE3392"/>
      <c r="GF3392"/>
      <c r="GG3392"/>
      <c r="GH3392"/>
      <c r="GI3392"/>
      <c r="GJ3392"/>
      <c r="GK3392"/>
      <c r="GL3392"/>
      <c r="GM3392"/>
      <c r="GN3392"/>
      <c r="GO3392"/>
    </row>
    <row r="3393" spans="107:197">
      <c r="DC3393"/>
      <c r="FH3393"/>
      <c r="FI3393"/>
      <c r="FJ3393"/>
      <c r="FK3393"/>
      <c r="FL3393"/>
      <c r="FM3393"/>
      <c r="FN3393"/>
      <c r="FO3393"/>
      <c r="FP3393"/>
      <c r="FQ3393"/>
      <c r="FR3393"/>
      <c r="FS3393"/>
      <c r="FT3393"/>
      <c r="FU3393"/>
      <c r="FV3393"/>
      <c r="FW3393"/>
      <c r="FX3393"/>
      <c r="FY3393"/>
      <c r="FZ3393"/>
      <c r="GA3393"/>
      <c r="GB3393"/>
      <c r="GC3393"/>
      <c r="GD3393"/>
      <c r="GE3393"/>
      <c r="GF3393"/>
      <c r="GG3393"/>
      <c r="GH3393"/>
      <c r="GI3393"/>
      <c r="GJ3393"/>
      <c r="GK3393"/>
      <c r="GL3393"/>
      <c r="GM3393"/>
      <c r="GN3393"/>
      <c r="GO3393"/>
    </row>
    <row r="3394" spans="107:197">
      <c r="DC3394"/>
      <c r="FH3394"/>
      <c r="FI3394"/>
      <c r="FJ3394"/>
      <c r="FK3394"/>
      <c r="FL3394"/>
      <c r="FM3394"/>
      <c r="FN3394"/>
      <c r="FO3394"/>
      <c r="FP3394"/>
      <c r="FQ3394"/>
      <c r="FR3394"/>
      <c r="FS3394"/>
      <c r="FT3394"/>
      <c r="FU3394"/>
      <c r="FV3394"/>
      <c r="FW3394"/>
      <c r="FX3394"/>
      <c r="FY3394"/>
      <c r="FZ3394"/>
      <c r="GA3394"/>
      <c r="GB3394"/>
      <c r="GC3394"/>
      <c r="GD3394"/>
      <c r="GE3394"/>
      <c r="GF3394"/>
      <c r="GG3394"/>
      <c r="GH3394"/>
      <c r="GI3394"/>
      <c r="GJ3394"/>
      <c r="GK3394"/>
      <c r="GL3394"/>
      <c r="GM3394"/>
      <c r="GN3394"/>
      <c r="GO3394"/>
    </row>
    <row r="3395" spans="107:197">
      <c r="DC3395"/>
      <c r="FH3395"/>
      <c r="FI3395"/>
      <c r="FJ3395"/>
      <c r="FK3395"/>
      <c r="FL3395"/>
      <c r="FM3395"/>
      <c r="FN3395"/>
      <c r="FO3395"/>
      <c r="FP3395"/>
      <c r="FQ3395"/>
      <c r="FR3395"/>
      <c r="FS3395"/>
      <c r="FT3395"/>
      <c r="FU3395"/>
      <c r="FV3395"/>
      <c r="FW3395"/>
      <c r="FX3395"/>
      <c r="FY3395"/>
      <c r="FZ3395"/>
      <c r="GA3395"/>
      <c r="GB3395"/>
      <c r="GC3395"/>
      <c r="GD3395"/>
      <c r="GE3395"/>
      <c r="GF3395"/>
      <c r="GG3395"/>
      <c r="GH3395"/>
      <c r="GI3395"/>
      <c r="GJ3395"/>
      <c r="GK3395"/>
      <c r="GL3395"/>
      <c r="GM3395"/>
      <c r="GN3395"/>
      <c r="GO3395"/>
    </row>
    <row r="3396" spans="107:197">
      <c r="DC3396"/>
      <c r="FH3396"/>
      <c r="FI3396"/>
      <c r="FJ3396"/>
      <c r="FK3396"/>
      <c r="FL3396"/>
      <c r="FM3396"/>
      <c r="FN3396"/>
      <c r="FO3396"/>
      <c r="FP3396"/>
      <c r="FQ3396"/>
      <c r="FR3396"/>
      <c r="FS3396"/>
      <c r="FT3396"/>
      <c r="FU3396"/>
      <c r="FV3396"/>
      <c r="FW3396"/>
      <c r="FX3396"/>
      <c r="FY3396"/>
      <c r="FZ3396"/>
      <c r="GA3396"/>
      <c r="GB3396"/>
      <c r="GC3396"/>
      <c r="GD3396"/>
      <c r="GE3396"/>
      <c r="GF3396"/>
      <c r="GG3396"/>
      <c r="GH3396"/>
      <c r="GI3396"/>
      <c r="GJ3396"/>
      <c r="GK3396"/>
      <c r="GL3396"/>
      <c r="GM3396"/>
      <c r="GN3396"/>
      <c r="GO3396"/>
    </row>
    <row r="3397" spans="107:197">
      <c r="DC3397"/>
      <c r="FH3397"/>
      <c r="FI3397"/>
      <c r="FJ3397"/>
      <c r="FK3397"/>
      <c r="FL3397"/>
      <c r="FM3397"/>
      <c r="FN3397"/>
      <c r="FO3397"/>
      <c r="FP3397"/>
      <c r="FQ3397"/>
      <c r="FR3397"/>
      <c r="FS3397"/>
      <c r="FT3397"/>
      <c r="FU3397"/>
      <c r="FV3397"/>
      <c r="FW3397"/>
      <c r="FX3397"/>
      <c r="FY3397"/>
      <c r="FZ3397"/>
      <c r="GA3397"/>
      <c r="GB3397"/>
      <c r="GC3397"/>
      <c r="GD3397"/>
      <c r="GE3397"/>
      <c r="GF3397"/>
      <c r="GG3397"/>
      <c r="GH3397"/>
      <c r="GI3397"/>
      <c r="GJ3397"/>
      <c r="GK3397"/>
      <c r="GL3397"/>
      <c r="GM3397"/>
      <c r="GN3397"/>
      <c r="GO3397"/>
    </row>
    <row r="3398" spans="107:197">
      <c r="DC3398"/>
      <c r="FH3398"/>
      <c r="FI3398"/>
      <c r="FJ3398"/>
      <c r="FK3398"/>
      <c r="FL3398"/>
      <c r="FM3398"/>
      <c r="FN3398"/>
      <c r="FO3398"/>
      <c r="FP3398"/>
      <c r="FQ3398"/>
      <c r="FR3398"/>
      <c r="FS3398"/>
      <c r="FT3398"/>
      <c r="FU3398"/>
      <c r="FV3398"/>
      <c r="FW3398"/>
      <c r="FX3398"/>
      <c r="FY3398"/>
      <c r="FZ3398"/>
      <c r="GA3398"/>
      <c r="GB3398"/>
      <c r="GC3398"/>
      <c r="GD3398"/>
      <c r="GE3398"/>
      <c r="GF3398"/>
      <c r="GG3398"/>
      <c r="GH3398"/>
      <c r="GI3398"/>
      <c r="GJ3398"/>
      <c r="GK3398"/>
      <c r="GL3398"/>
      <c r="GM3398"/>
      <c r="GN3398"/>
      <c r="GO3398"/>
    </row>
    <row r="3399" spans="107:197">
      <c r="DC3399"/>
      <c r="FH3399"/>
      <c r="FI3399"/>
      <c r="FJ3399"/>
      <c r="FK3399"/>
      <c r="FL3399"/>
      <c r="FM3399"/>
      <c r="FN3399"/>
      <c r="FO3399"/>
      <c r="FP3399"/>
      <c r="FQ3399"/>
      <c r="FR3399"/>
      <c r="FS3399"/>
      <c r="FT3399"/>
      <c r="FU3399"/>
      <c r="FV3399"/>
      <c r="FW3399"/>
      <c r="FX3399"/>
      <c r="FY3399"/>
      <c r="FZ3399"/>
      <c r="GA3399"/>
      <c r="GB3399"/>
      <c r="GC3399"/>
      <c r="GD3399"/>
      <c r="GE3399"/>
      <c r="GF3399"/>
      <c r="GG3399"/>
      <c r="GH3399"/>
      <c r="GI3399"/>
      <c r="GJ3399"/>
      <c r="GK3399"/>
      <c r="GL3399"/>
      <c r="GM3399"/>
      <c r="GN3399"/>
      <c r="GO3399"/>
    </row>
    <row r="3400" spans="107:197">
      <c r="DC3400"/>
      <c r="FH3400"/>
      <c r="FI3400"/>
      <c r="FJ3400"/>
      <c r="FK3400"/>
      <c r="FL3400"/>
      <c r="FM3400"/>
      <c r="FN3400"/>
      <c r="FO3400"/>
      <c r="FP3400"/>
      <c r="FQ3400"/>
      <c r="FR3400"/>
      <c r="FS3400"/>
      <c r="FT3400"/>
      <c r="FU3400"/>
      <c r="FV3400"/>
      <c r="FW3400"/>
      <c r="FX3400"/>
      <c r="FY3400"/>
      <c r="FZ3400"/>
      <c r="GA3400"/>
      <c r="GB3400"/>
      <c r="GC3400"/>
      <c r="GD3400"/>
      <c r="GE3400"/>
      <c r="GF3400"/>
      <c r="GG3400"/>
      <c r="GH3400"/>
      <c r="GI3400"/>
      <c r="GJ3400"/>
      <c r="GK3400"/>
      <c r="GL3400"/>
      <c r="GM3400"/>
      <c r="GN3400"/>
      <c r="GO3400"/>
    </row>
    <row r="3401" spans="107:197">
      <c r="DC3401"/>
      <c r="FH3401"/>
      <c r="FI3401"/>
      <c r="FJ3401"/>
      <c r="FK3401"/>
      <c r="FL3401"/>
      <c r="FM3401"/>
      <c r="FN3401"/>
      <c r="FO3401"/>
      <c r="FP3401"/>
      <c r="FQ3401"/>
      <c r="FR3401"/>
      <c r="FS3401"/>
      <c r="FT3401"/>
      <c r="FU3401"/>
      <c r="FV3401"/>
      <c r="FW3401"/>
      <c r="FX3401"/>
      <c r="FY3401"/>
      <c r="FZ3401"/>
      <c r="GA3401"/>
      <c r="GB3401"/>
      <c r="GC3401"/>
      <c r="GD3401"/>
      <c r="GE3401"/>
      <c r="GF3401"/>
      <c r="GG3401"/>
      <c r="GH3401"/>
      <c r="GI3401"/>
      <c r="GJ3401"/>
      <c r="GK3401"/>
      <c r="GL3401"/>
      <c r="GM3401"/>
      <c r="GN3401"/>
      <c r="GO3401"/>
    </row>
    <row r="3402" spans="107:197">
      <c r="DC3402"/>
      <c r="FH3402"/>
      <c r="FI3402"/>
      <c r="FJ3402"/>
      <c r="FK3402"/>
      <c r="FL3402"/>
      <c r="FM3402"/>
      <c r="FN3402"/>
      <c r="FO3402"/>
      <c r="FP3402"/>
      <c r="FQ3402"/>
      <c r="FR3402"/>
      <c r="FS3402"/>
      <c r="FT3402"/>
      <c r="FU3402"/>
      <c r="FV3402"/>
      <c r="FW3402"/>
      <c r="FX3402"/>
      <c r="FY3402"/>
      <c r="FZ3402"/>
      <c r="GA3402"/>
      <c r="GB3402"/>
      <c r="GC3402"/>
      <c r="GD3402"/>
      <c r="GE3402"/>
      <c r="GF3402"/>
      <c r="GG3402"/>
      <c r="GH3402"/>
      <c r="GI3402"/>
      <c r="GJ3402"/>
      <c r="GK3402"/>
      <c r="GL3402"/>
      <c r="GM3402"/>
      <c r="GN3402"/>
      <c r="GO3402"/>
    </row>
    <row r="3403" spans="107:197">
      <c r="DC3403"/>
      <c r="FH3403"/>
      <c r="FI3403"/>
      <c r="FJ3403"/>
      <c r="FK3403"/>
      <c r="FL3403"/>
      <c r="FM3403"/>
      <c r="FN3403"/>
      <c r="FO3403"/>
      <c r="FP3403"/>
      <c r="FQ3403"/>
      <c r="FR3403"/>
      <c r="FS3403"/>
      <c r="FT3403"/>
      <c r="FU3403"/>
      <c r="FV3403"/>
      <c r="FW3403"/>
      <c r="FX3403"/>
      <c r="FY3403"/>
      <c r="FZ3403"/>
      <c r="GA3403"/>
      <c r="GB3403"/>
      <c r="GC3403"/>
      <c r="GD3403"/>
      <c r="GE3403"/>
      <c r="GF3403"/>
      <c r="GG3403"/>
      <c r="GH3403"/>
      <c r="GI3403"/>
      <c r="GJ3403"/>
      <c r="GK3403"/>
      <c r="GL3403"/>
      <c r="GM3403"/>
      <c r="GN3403"/>
      <c r="GO3403"/>
    </row>
    <row r="3404" spans="107:197">
      <c r="DC3404"/>
      <c r="FH3404"/>
      <c r="FI3404"/>
      <c r="FJ3404"/>
      <c r="FK3404"/>
      <c r="FL3404"/>
      <c r="FM3404"/>
      <c r="FN3404"/>
      <c r="FO3404"/>
      <c r="FP3404"/>
      <c r="FQ3404"/>
      <c r="FR3404"/>
      <c r="FS3404"/>
      <c r="FT3404"/>
      <c r="FU3404"/>
      <c r="FV3404"/>
      <c r="FW3404"/>
      <c r="FX3404"/>
      <c r="FY3404"/>
      <c r="FZ3404"/>
      <c r="GA3404"/>
      <c r="GB3404"/>
      <c r="GC3404"/>
      <c r="GD3404"/>
      <c r="GE3404"/>
      <c r="GF3404"/>
      <c r="GG3404"/>
      <c r="GH3404"/>
      <c r="GI3404"/>
      <c r="GJ3404"/>
      <c r="GK3404"/>
      <c r="GL3404"/>
      <c r="GM3404"/>
      <c r="GN3404"/>
      <c r="GO3404"/>
    </row>
    <row r="3405" spans="107:197">
      <c r="DC3405"/>
      <c r="FH3405"/>
      <c r="FI3405"/>
      <c r="FJ3405"/>
      <c r="FK3405"/>
      <c r="FL3405"/>
      <c r="FM3405"/>
      <c r="FN3405"/>
      <c r="FO3405"/>
      <c r="FP3405"/>
      <c r="FQ3405"/>
      <c r="FR3405"/>
      <c r="FS3405"/>
      <c r="FT3405"/>
      <c r="FU3405"/>
      <c r="FV3405"/>
      <c r="FW3405"/>
      <c r="FX3405"/>
      <c r="FY3405"/>
      <c r="FZ3405"/>
      <c r="GA3405"/>
      <c r="GB3405"/>
      <c r="GC3405"/>
      <c r="GD3405"/>
      <c r="GE3405"/>
      <c r="GF3405"/>
      <c r="GG3405"/>
      <c r="GH3405"/>
      <c r="GI3405"/>
      <c r="GJ3405"/>
      <c r="GK3405"/>
      <c r="GL3405"/>
      <c r="GM3405"/>
      <c r="GN3405"/>
      <c r="GO3405"/>
    </row>
    <row r="3406" spans="107:197">
      <c r="DC3406"/>
      <c r="FH3406"/>
      <c r="FI3406"/>
      <c r="FJ3406"/>
      <c r="FK3406"/>
      <c r="FL3406"/>
      <c r="FM3406"/>
      <c r="FN3406"/>
      <c r="FO3406"/>
      <c r="FP3406"/>
      <c r="FQ3406"/>
      <c r="FR3406"/>
      <c r="FS3406"/>
      <c r="FT3406"/>
      <c r="FU3406"/>
      <c r="FV3406"/>
      <c r="FW3406"/>
      <c r="FX3406"/>
      <c r="FY3406"/>
      <c r="FZ3406"/>
      <c r="GA3406"/>
      <c r="GB3406"/>
      <c r="GC3406"/>
      <c r="GD3406"/>
      <c r="GE3406"/>
      <c r="GF3406"/>
      <c r="GG3406"/>
      <c r="GH3406"/>
      <c r="GI3406"/>
      <c r="GJ3406"/>
      <c r="GK3406"/>
      <c r="GL3406"/>
      <c r="GM3406"/>
      <c r="GN3406"/>
      <c r="GO3406"/>
    </row>
    <row r="3407" spans="107:197">
      <c r="DC3407"/>
      <c r="FH3407"/>
      <c r="FI3407"/>
      <c r="FJ3407"/>
      <c r="FK3407"/>
      <c r="FL3407"/>
      <c r="FM3407"/>
      <c r="FN3407"/>
      <c r="FO3407"/>
      <c r="FP3407"/>
      <c r="FQ3407"/>
      <c r="FR3407"/>
      <c r="FS3407"/>
      <c r="FT3407"/>
      <c r="FU3407"/>
      <c r="FV3407"/>
      <c r="FW3407"/>
      <c r="FX3407"/>
      <c r="FY3407"/>
      <c r="FZ3407"/>
      <c r="GA3407"/>
      <c r="GB3407"/>
      <c r="GC3407"/>
      <c r="GD3407"/>
      <c r="GE3407"/>
      <c r="GF3407"/>
      <c r="GG3407"/>
      <c r="GH3407"/>
      <c r="GI3407"/>
      <c r="GJ3407"/>
      <c r="GK3407"/>
      <c r="GL3407"/>
      <c r="GM3407"/>
      <c r="GN3407"/>
      <c r="GO3407"/>
    </row>
    <row r="3408" spans="107:197">
      <c r="DC3408"/>
      <c r="FH3408"/>
      <c r="FI3408"/>
      <c r="FJ3408"/>
      <c r="FK3408"/>
      <c r="FL3408"/>
      <c r="FM3408"/>
      <c r="FN3408"/>
      <c r="FO3408"/>
      <c r="FP3408"/>
      <c r="FQ3408"/>
      <c r="FR3408"/>
      <c r="FS3408"/>
      <c r="FT3408"/>
      <c r="FU3408"/>
      <c r="FV3408"/>
      <c r="FW3408"/>
      <c r="FX3408"/>
      <c r="FY3408"/>
      <c r="FZ3408"/>
      <c r="GA3408"/>
      <c r="GB3408"/>
      <c r="GC3408"/>
      <c r="GD3408"/>
      <c r="GE3408"/>
      <c r="GF3408"/>
      <c r="GG3408"/>
      <c r="GH3408"/>
      <c r="GI3408"/>
      <c r="GJ3408"/>
      <c r="GK3408"/>
      <c r="GL3408"/>
      <c r="GM3408"/>
      <c r="GN3408"/>
      <c r="GO3408"/>
    </row>
    <row r="3409" spans="107:197">
      <c r="DC3409"/>
      <c r="FH3409"/>
      <c r="FI3409"/>
      <c r="FJ3409"/>
      <c r="FK3409"/>
      <c r="FL3409"/>
      <c r="FM3409"/>
      <c r="FN3409"/>
      <c r="FO3409"/>
      <c r="FP3409"/>
      <c r="FQ3409"/>
      <c r="FR3409"/>
      <c r="FS3409"/>
      <c r="FT3409"/>
      <c r="FU3409"/>
      <c r="FV3409"/>
      <c r="FW3409"/>
      <c r="FX3409"/>
      <c r="FY3409"/>
      <c r="FZ3409"/>
      <c r="GA3409"/>
      <c r="GB3409"/>
      <c r="GC3409"/>
      <c r="GD3409"/>
      <c r="GE3409"/>
      <c r="GF3409"/>
      <c r="GG3409"/>
      <c r="GH3409"/>
      <c r="GI3409"/>
      <c r="GJ3409"/>
      <c r="GK3409"/>
      <c r="GL3409"/>
      <c r="GM3409"/>
      <c r="GN3409"/>
      <c r="GO3409"/>
    </row>
    <row r="3410" spans="107:197">
      <c r="DC3410"/>
      <c r="FH3410"/>
      <c r="FI3410"/>
      <c r="FJ3410"/>
      <c r="FK3410"/>
      <c r="FL3410"/>
      <c r="FM3410"/>
      <c r="FN3410"/>
      <c r="FO3410"/>
      <c r="FP3410"/>
      <c r="FQ3410"/>
      <c r="FR3410"/>
      <c r="FS3410"/>
      <c r="FT3410"/>
      <c r="FU3410"/>
      <c r="FV3410"/>
      <c r="FW3410"/>
      <c r="FX3410"/>
      <c r="FY3410"/>
      <c r="FZ3410"/>
      <c r="GA3410"/>
      <c r="GB3410"/>
      <c r="GC3410"/>
      <c r="GD3410"/>
      <c r="GE3410"/>
      <c r="GF3410"/>
      <c r="GG3410"/>
      <c r="GH3410"/>
      <c r="GI3410"/>
      <c r="GJ3410"/>
      <c r="GK3410"/>
      <c r="GL3410"/>
      <c r="GM3410"/>
      <c r="GN3410"/>
      <c r="GO3410"/>
    </row>
    <row r="3411" spans="107:197">
      <c r="DC3411"/>
      <c r="FH3411"/>
      <c r="FI3411"/>
      <c r="FJ3411"/>
      <c r="FK3411"/>
      <c r="FL3411"/>
      <c r="FM3411"/>
      <c r="FN3411"/>
      <c r="FO3411"/>
      <c r="FP3411"/>
      <c r="FQ3411"/>
      <c r="FR3411"/>
      <c r="FS3411"/>
      <c r="FT3411"/>
      <c r="FU3411"/>
      <c r="FV3411"/>
      <c r="FW3411"/>
      <c r="FX3411"/>
      <c r="FY3411"/>
      <c r="FZ3411"/>
      <c r="GA3411"/>
      <c r="GB3411"/>
      <c r="GC3411"/>
      <c r="GD3411"/>
      <c r="GE3411"/>
      <c r="GF3411"/>
      <c r="GG3411"/>
      <c r="GH3411"/>
      <c r="GI3411"/>
      <c r="GJ3411"/>
      <c r="GK3411"/>
      <c r="GL3411"/>
      <c r="GM3411"/>
      <c r="GN3411"/>
      <c r="GO3411"/>
    </row>
    <row r="3412" spans="107:197">
      <c r="DC3412"/>
      <c r="FH3412"/>
      <c r="FI3412"/>
      <c r="FJ3412"/>
      <c r="FK3412"/>
      <c r="FL3412"/>
      <c r="FM3412"/>
      <c r="FN3412"/>
      <c r="FO3412"/>
      <c r="FP3412"/>
      <c r="FQ3412"/>
      <c r="FR3412"/>
      <c r="FS3412"/>
      <c r="FT3412"/>
      <c r="FU3412"/>
      <c r="FV3412"/>
      <c r="FW3412"/>
      <c r="FX3412"/>
      <c r="FY3412"/>
      <c r="FZ3412"/>
      <c r="GA3412"/>
      <c r="GB3412"/>
      <c r="GC3412"/>
      <c r="GD3412"/>
      <c r="GE3412"/>
      <c r="GF3412"/>
      <c r="GG3412"/>
      <c r="GH3412"/>
      <c r="GI3412"/>
      <c r="GJ3412"/>
      <c r="GK3412"/>
      <c r="GL3412"/>
      <c r="GM3412"/>
      <c r="GN3412"/>
      <c r="GO3412"/>
    </row>
    <row r="3413" spans="107:197">
      <c r="DC3413"/>
      <c r="FH3413"/>
      <c r="FI3413"/>
      <c r="FJ3413"/>
      <c r="FK3413"/>
      <c r="FL3413"/>
      <c r="FM3413"/>
      <c r="FN3413"/>
      <c r="FO3413"/>
      <c r="FP3413"/>
      <c r="FQ3413"/>
      <c r="FR3413"/>
      <c r="FS3413"/>
      <c r="FT3413"/>
      <c r="FU3413"/>
      <c r="FV3413"/>
      <c r="FW3413"/>
      <c r="FX3413"/>
      <c r="FY3413"/>
      <c r="FZ3413"/>
      <c r="GA3413"/>
      <c r="GB3413"/>
      <c r="GC3413"/>
      <c r="GD3413"/>
      <c r="GE3413"/>
      <c r="GF3413"/>
      <c r="GG3413"/>
      <c r="GH3413"/>
      <c r="GI3413"/>
      <c r="GJ3413"/>
      <c r="GK3413"/>
      <c r="GL3413"/>
      <c r="GM3413"/>
      <c r="GN3413"/>
      <c r="GO3413"/>
    </row>
    <row r="3414" spans="107:197">
      <c r="DC3414"/>
      <c r="FH3414"/>
      <c r="FI3414"/>
      <c r="FJ3414"/>
      <c r="FK3414"/>
      <c r="FL3414"/>
      <c r="FM3414"/>
      <c r="FN3414"/>
      <c r="FO3414"/>
      <c r="FP3414"/>
      <c r="FQ3414"/>
      <c r="FR3414"/>
      <c r="FS3414"/>
      <c r="FT3414"/>
      <c r="FU3414"/>
      <c r="FV3414"/>
      <c r="FW3414"/>
      <c r="FX3414"/>
      <c r="FY3414"/>
      <c r="FZ3414"/>
      <c r="GA3414"/>
      <c r="GB3414"/>
      <c r="GC3414"/>
      <c r="GD3414"/>
      <c r="GE3414"/>
      <c r="GF3414"/>
      <c r="GG3414"/>
      <c r="GH3414"/>
      <c r="GI3414"/>
      <c r="GJ3414"/>
      <c r="GK3414"/>
      <c r="GL3414"/>
      <c r="GM3414"/>
      <c r="GN3414"/>
      <c r="GO3414"/>
    </row>
    <row r="3415" spans="107:197">
      <c r="DC3415"/>
      <c r="FH3415"/>
      <c r="FI3415"/>
      <c r="FJ3415"/>
      <c r="FK3415"/>
      <c r="FL3415"/>
      <c r="FM3415"/>
      <c r="FN3415"/>
      <c r="FO3415"/>
      <c r="FP3415"/>
      <c r="FQ3415"/>
      <c r="FR3415"/>
      <c r="FS3415"/>
      <c r="FT3415"/>
      <c r="FU3415"/>
      <c r="FV3415"/>
      <c r="FW3415"/>
      <c r="FX3415"/>
      <c r="FY3415"/>
      <c r="FZ3415"/>
      <c r="GA3415"/>
      <c r="GB3415"/>
      <c r="GC3415"/>
      <c r="GD3415"/>
      <c r="GE3415"/>
      <c r="GF3415"/>
      <c r="GG3415"/>
      <c r="GH3415"/>
      <c r="GI3415"/>
      <c r="GJ3415"/>
      <c r="GK3415"/>
      <c r="GL3415"/>
      <c r="GM3415"/>
      <c r="GN3415"/>
      <c r="GO3415"/>
    </row>
    <row r="3416" spans="107:197">
      <c r="DC3416"/>
      <c r="FH3416"/>
      <c r="FI3416"/>
      <c r="FJ3416"/>
      <c r="FK3416"/>
      <c r="FL3416"/>
      <c r="FM3416"/>
      <c r="FN3416"/>
      <c r="FO3416"/>
      <c r="FP3416"/>
      <c r="FQ3416"/>
      <c r="FR3416"/>
      <c r="FS3416"/>
      <c r="FT3416"/>
      <c r="FU3416"/>
      <c r="FV3416"/>
      <c r="FW3416"/>
      <c r="FX3416"/>
      <c r="FY3416"/>
      <c r="FZ3416"/>
      <c r="GA3416"/>
      <c r="GB3416"/>
      <c r="GC3416"/>
      <c r="GD3416"/>
      <c r="GE3416"/>
      <c r="GF3416"/>
      <c r="GG3416"/>
      <c r="GH3416"/>
      <c r="GI3416"/>
      <c r="GJ3416"/>
      <c r="GK3416"/>
      <c r="GL3416"/>
      <c r="GM3416"/>
      <c r="GN3416"/>
      <c r="GO3416"/>
    </row>
    <row r="3417" spans="107:197">
      <c r="DC3417"/>
      <c r="FH3417"/>
      <c r="FI3417"/>
      <c r="FJ3417"/>
      <c r="FK3417"/>
      <c r="FL3417"/>
      <c r="FM3417"/>
      <c r="FN3417"/>
      <c r="FO3417"/>
      <c r="FP3417"/>
      <c r="FQ3417"/>
      <c r="FR3417"/>
      <c r="FS3417"/>
      <c r="FT3417"/>
      <c r="FU3417"/>
      <c r="FV3417"/>
      <c r="FW3417"/>
      <c r="FX3417"/>
      <c r="FY3417"/>
      <c r="FZ3417"/>
      <c r="GA3417"/>
      <c r="GB3417"/>
      <c r="GC3417"/>
      <c r="GD3417"/>
      <c r="GE3417"/>
      <c r="GF3417"/>
      <c r="GG3417"/>
      <c r="GH3417"/>
      <c r="GI3417"/>
      <c r="GJ3417"/>
      <c r="GK3417"/>
      <c r="GL3417"/>
      <c r="GM3417"/>
      <c r="GN3417"/>
      <c r="GO3417"/>
    </row>
    <row r="3418" spans="107:197">
      <c r="DC3418"/>
      <c r="FH3418"/>
      <c r="FI3418"/>
      <c r="FJ3418"/>
      <c r="FK3418"/>
      <c r="FL3418"/>
      <c r="FM3418"/>
      <c r="FN3418"/>
      <c r="FO3418"/>
      <c r="FP3418"/>
      <c r="FQ3418"/>
      <c r="FR3418"/>
      <c r="FS3418"/>
      <c r="FT3418"/>
      <c r="FU3418"/>
      <c r="FV3418"/>
      <c r="FW3418"/>
      <c r="FX3418"/>
      <c r="FY3418"/>
      <c r="FZ3418"/>
      <c r="GA3418"/>
      <c r="GB3418"/>
      <c r="GC3418"/>
      <c r="GD3418"/>
      <c r="GE3418"/>
      <c r="GF3418"/>
      <c r="GG3418"/>
      <c r="GH3418"/>
      <c r="GI3418"/>
      <c r="GJ3418"/>
      <c r="GK3418"/>
      <c r="GL3418"/>
      <c r="GM3418"/>
      <c r="GN3418"/>
      <c r="GO3418"/>
    </row>
    <row r="3419" spans="107:197">
      <c r="DC3419"/>
      <c r="FH3419"/>
      <c r="FI3419"/>
      <c r="FJ3419"/>
      <c r="FK3419"/>
      <c r="FL3419"/>
      <c r="FM3419"/>
      <c r="FN3419"/>
      <c r="FO3419"/>
      <c r="FP3419"/>
      <c r="FQ3419"/>
      <c r="FR3419"/>
      <c r="FS3419"/>
      <c r="FT3419"/>
      <c r="FU3419"/>
      <c r="FV3419"/>
      <c r="FW3419"/>
      <c r="FX3419"/>
      <c r="FY3419"/>
      <c r="FZ3419"/>
      <c r="GA3419"/>
      <c r="GB3419"/>
      <c r="GC3419"/>
      <c r="GD3419"/>
      <c r="GE3419"/>
      <c r="GF3419"/>
      <c r="GG3419"/>
      <c r="GH3419"/>
      <c r="GI3419"/>
      <c r="GJ3419"/>
      <c r="GK3419"/>
      <c r="GL3419"/>
      <c r="GM3419"/>
      <c r="GN3419"/>
      <c r="GO3419"/>
    </row>
    <row r="3420" spans="107:197">
      <c r="DC3420"/>
      <c r="FH3420"/>
      <c r="FI3420"/>
      <c r="FJ3420"/>
      <c r="FK3420"/>
      <c r="FL3420"/>
      <c r="FM3420"/>
      <c r="FN3420"/>
      <c r="FO3420"/>
      <c r="FP3420"/>
      <c r="FQ3420"/>
      <c r="FR3420"/>
      <c r="FS3420"/>
      <c r="FT3420"/>
      <c r="FU3420"/>
      <c r="FV3420"/>
      <c r="FW3420"/>
      <c r="FX3420"/>
      <c r="FY3420"/>
      <c r="FZ3420"/>
      <c r="GA3420"/>
      <c r="GB3420"/>
      <c r="GC3420"/>
      <c r="GD3420"/>
      <c r="GE3420"/>
      <c r="GF3420"/>
      <c r="GG3420"/>
      <c r="GH3420"/>
      <c r="GI3420"/>
      <c r="GJ3420"/>
      <c r="GK3420"/>
      <c r="GL3420"/>
      <c r="GM3420"/>
      <c r="GN3420"/>
      <c r="GO3420"/>
    </row>
    <row r="3421" spans="107:197">
      <c r="DC3421"/>
      <c r="FH3421"/>
      <c r="FI3421"/>
      <c r="FJ3421"/>
      <c r="FK3421"/>
      <c r="FL3421"/>
      <c r="FM3421"/>
      <c r="FN3421"/>
      <c r="FO3421"/>
      <c r="FP3421"/>
      <c r="FQ3421"/>
      <c r="FR3421"/>
      <c r="FS3421"/>
      <c r="FT3421"/>
      <c r="FU3421"/>
      <c r="FV3421"/>
      <c r="FW3421"/>
      <c r="FX3421"/>
      <c r="FY3421"/>
      <c r="FZ3421"/>
      <c r="GA3421"/>
      <c r="GB3421"/>
      <c r="GC3421"/>
      <c r="GD3421"/>
      <c r="GE3421"/>
      <c r="GF3421"/>
      <c r="GG3421"/>
      <c r="GH3421"/>
      <c r="GI3421"/>
      <c r="GJ3421"/>
      <c r="GK3421"/>
      <c r="GL3421"/>
      <c r="GM3421"/>
      <c r="GN3421"/>
      <c r="GO3421"/>
    </row>
    <row r="3422" spans="107:197">
      <c r="DC3422"/>
      <c r="FH3422"/>
      <c r="FI3422"/>
      <c r="FJ3422"/>
      <c r="FK3422"/>
      <c r="FL3422"/>
      <c r="FM3422"/>
      <c r="FN3422"/>
      <c r="FO3422"/>
      <c r="FP3422"/>
      <c r="FQ3422"/>
      <c r="FR3422"/>
      <c r="FS3422"/>
      <c r="FT3422"/>
      <c r="FU3422"/>
      <c r="FV3422"/>
      <c r="FW3422"/>
      <c r="FX3422"/>
      <c r="FY3422"/>
      <c r="FZ3422"/>
      <c r="GA3422"/>
      <c r="GB3422"/>
      <c r="GC3422"/>
      <c r="GD3422"/>
      <c r="GE3422"/>
      <c r="GF3422"/>
      <c r="GG3422"/>
      <c r="GH3422"/>
      <c r="GI3422"/>
      <c r="GJ3422"/>
      <c r="GK3422"/>
      <c r="GL3422"/>
      <c r="GM3422"/>
      <c r="GN3422"/>
      <c r="GO3422"/>
    </row>
    <row r="3423" spans="107:197">
      <c r="DC3423"/>
      <c r="FH3423"/>
      <c r="FI3423"/>
      <c r="FJ3423"/>
      <c r="FK3423"/>
      <c r="FL3423"/>
      <c r="FM3423"/>
      <c r="FN3423"/>
      <c r="FO3423"/>
      <c r="FP3423"/>
      <c r="FQ3423"/>
      <c r="FR3423"/>
      <c r="FS3423"/>
      <c r="FT3423"/>
      <c r="FU3423"/>
      <c r="FV3423"/>
      <c r="FW3423"/>
      <c r="FX3423"/>
      <c r="FY3423"/>
      <c r="FZ3423"/>
      <c r="GA3423"/>
      <c r="GB3423"/>
      <c r="GC3423"/>
      <c r="GD3423"/>
      <c r="GE3423"/>
      <c r="GF3423"/>
      <c r="GG3423"/>
      <c r="GH3423"/>
      <c r="GI3423"/>
      <c r="GJ3423"/>
      <c r="GK3423"/>
      <c r="GL3423"/>
      <c r="GM3423"/>
      <c r="GN3423"/>
      <c r="GO3423"/>
    </row>
    <row r="3424" spans="107:197">
      <c r="DC3424"/>
      <c r="FH3424"/>
      <c r="FI3424"/>
      <c r="FJ3424"/>
      <c r="FK3424"/>
      <c r="FL3424"/>
      <c r="FM3424"/>
      <c r="FN3424"/>
      <c r="FO3424"/>
      <c r="FP3424"/>
      <c r="FQ3424"/>
      <c r="FR3424"/>
      <c r="FS3424"/>
      <c r="FT3424"/>
      <c r="FU3424"/>
      <c r="FV3424"/>
      <c r="FW3424"/>
      <c r="FX3424"/>
      <c r="FY3424"/>
      <c r="FZ3424"/>
      <c r="GA3424"/>
      <c r="GB3424"/>
      <c r="GC3424"/>
      <c r="GD3424"/>
      <c r="GE3424"/>
      <c r="GF3424"/>
      <c r="GG3424"/>
      <c r="GH3424"/>
      <c r="GI3424"/>
      <c r="GJ3424"/>
      <c r="GK3424"/>
      <c r="GL3424"/>
      <c r="GM3424"/>
      <c r="GN3424"/>
      <c r="GO3424"/>
    </row>
    <row r="3425" spans="107:197">
      <c r="DC3425"/>
      <c r="FH3425"/>
      <c r="FI3425"/>
      <c r="FJ3425"/>
      <c r="FK3425"/>
      <c r="FL3425"/>
      <c r="FM3425"/>
      <c r="FN3425"/>
      <c r="FO3425"/>
      <c r="FP3425"/>
      <c r="FQ3425"/>
      <c r="FR3425"/>
      <c r="FS3425"/>
      <c r="FT3425"/>
      <c r="FU3425"/>
      <c r="FV3425"/>
      <c r="FW3425"/>
      <c r="FX3425"/>
      <c r="FY3425"/>
      <c r="FZ3425"/>
      <c r="GA3425"/>
      <c r="GB3425"/>
      <c r="GC3425"/>
      <c r="GD3425"/>
      <c r="GE3425"/>
      <c r="GF3425"/>
      <c r="GG3425"/>
      <c r="GH3425"/>
      <c r="GI3425"/>
      <c r="GJ3425"/>
      <c r="GK3425"/>
      <c r="GL3425"/>
      <c r="GM3425"/>
      <c r="GN3425"/>
      <c r="GO3425"/>
    </row>
    <row r="3426" spans="107:197">
      <c r="DC3426"/>
      <c r="FH3426"/>
      <c r="FI3426"/>
      <c r="FJ3426"/>
      <c r="FK3426"/>
      <c r="FL3426"/>
      <c r="FM3426"/>
      <c r="FN3426"/>
      <c r="FO3426"/>
      <c r="FP3426"/>
      <c r="FQ3426"/>
      <c r="FR3426"/>
      <c r="FS3426"/>
      <c r="FT3426"/>
      <c r="FU3426"/>
      <c r="FV3426"/>
      <c r="FW3426"/>
      <c r="FX3426"/>
      <c r="FY3426"/>
      <c r="FZ3426"/>
      <c r="GA3426"/>
      <c r="GB3426"/>
      <c r="GC3426"/>
      <c r="GD3426"/>
      <c r="GE3426"/>
      <c r="GF3426"/>
      <c r="GG3426"/>
      <c r="GH3426"/>
      <c r="GI3426"/>
      <c r="GJ3426"/>
      <c r="GK3426"/>
      <c r="GL3426"/>
      <c r="GM3426"/>
      <c r="GN3426"/>
      <c r="GO3426"/>
    </row>
    <row r="3427" spans="107:197">
      <c r="DC3427"/>
      <c r="FH3427"/>
      <c r="FI3427"/>
      <c r="FJ3427"/>
      <c r="FK3427"/>
      <c r="FL3427"/>
      <c r="FM3427"/>
      <c r="FN3427"/>
      <c r="FO3427"/>
      <c r="FP3427"/>
      <c r="FQ3427"/>
      <c r="FR3427"/>
      <c r="FS3427"/>
      <c r="FT3427"/>
      <c r="FU3427"/>
      <c r="FV3427"/>
      <c r="FW3427"/>
      <c r="FX3427"/>
      <c r="FY3427"/>
      <c r="FZ3427"/>
      <c r="GA3427"/>
      <c r="GB3427"/>
      <c r="GC3427"/>
      <c r="GD3427"/>
      <c r="GE3427"/>
      <c r="GF3427"/>
      <c r="GG3427"/>
      <c r="GH3427"/>
      <c r="GI3427"/>
      <c r="GJ3427"/>
      <c r="GK3427"/>
      <c r="GL3427"/>
      <c r="GM3427"/>
      <c r="GN3427"/>
      <c r="GO3427"/>
    </row>
    <row r="3428" spans="107:197">
      <c r="DC3428"/>
      <c r="FH3428"/>
      <c r="FI3428"/>
      <c r="FJ3428"/>
      <c r="FK3428"/>
      <c r="FL3428"/>
      <c r="FM3428"/>
      <c r="FN3428"/>
      <c r="FO3428"/>
      <c r="FP3428"/>
      <c r="FQ3428"/>
      <c r="FR3428"/>
      <c r="FS3428"/>
      <c r="FT3428"/>
      <c r="FU3428"/>
      <c r="FV3428"/>
      <c r="FW3428"/>
      <c r="FX3428"/>
      <c r="FY3428"/>
      <c r="FZ3428"/>
      <c r="GA3428"/>
      <c r="GB3428"/>
      <c r="GC3428"/>
      <c r="GD3428"/>
      <c r="GE3428"/>
      <c r="GF3428"/>
      <c r="GG3428"/>
      <c r="GH3428"/>
      <c r="GI3428"/>
      <c r="GJ3428"/>
      <c r="GK3428"/>
      <c r="GL3428"/>
      <c r="GM3428"/>
      <c r="GN3428"/>
      <c r="GO3428"/>
    </row>
    <row r="3429" spans="107:197">
      <c r="DC3429"/>
      <c r="FH3429"/>
      <c r="FI3429"/>
      <c r="FJ3429"/>
      <c r="FK3429"/>
      <c r="FL3429"/>
      <c r="FM3429"/>
      <c r="FN3429"/>
      <c r="FO3429"/>
      <c r="FP3429"/>
      <c r="FQ3429"/>
      <c r="FR3429"/>
      <c r="FS3429"/>
      <c r="FT3429"/>
      <c r="FU3429"/>
      <c r="FV3429"/>
      <c r="FW3429"/>
      <c r="FX3429"/>
      <c r="FY3429"/>
      <c r="FZ3429"/>
      <c r="GA3429"/>
      <c r="GB3429"/>
      <c r="GC3429"/>
      <c r="GD3429"/>
      <c r="GE3429"/>
      <c r="GF3429"/>
      <c r="GG3429"/>
      <c r="GH3429"/>
      <c r="GI3429"/>
      <c r="GJ3429"/>
      <c r="GK3429"/>
      <c r="GL3429"/>
      <c r="GM3429"/>
      <c r="GN3429"/>
      <c r="GO3429"/>
    </row>
    <row r="3430" spans="107:197">
      <c r="DC3430"/>
      <c r="FH3430"/>
      <c r="FI3430"/>
      <c r="FJ3430"/>
      <c r="FK3430"/>
      <c r="FL3430"/>
      <c r="FM3430"/>
      <c r="FN3430"/>
      <c r="FO3430"/>
      <c r="FP3430"/>
      <c r="FQ3430"/>
      <c r="FR3430"/>
      <c r="FS3430"/>
      <c r="FT3430"/>
      <c r="FU3430"/>
      <c r="FV3430"/>
      <c r="FW3430"/>
      <c r="FX3430"/>
      <c r="FY3430"/>
      <c r="FZ3430"/>
      <c r="GA3430"/>
      <c r="GB3430"/>
      <c r="GC3430"/>
      <c r="GD3430"/>
      <c r="GE3430"/>
      <c r="GF3430"/>
      <c r="GG3430"/>
      <c r="GH3430"/>
      <c r="GI3430"/>
      <c r="GJ3430"/>
      <c r="GK3430"/>
      <c r="GL3430"/>
      <c r="GM3430"/>
      <c r="GN3430"/>
      <c r="GO3430"/>
    </row>
    <row r="3431" spans="107:197">
      <c r="DC3431"/>
      <c r="FH3431"/>
      <c r="FI3431"/>
      <c r="FJ3431"/>
      <c r="FK3431"/>
      <c r="FL3431"/>
      <c r="FM3431"/>
      <c r="FN3431"/>
      <c r="FO3431"/>
      <c r="FP3431"/>
      <c r="FQ3431"/>
      <c r="FR3431"/>
      <c r="FS3431"/>
      <c r="FT3431"/>
      <c r="FU3431"/>
      <c r="FV3431"/>
      <c r="FW3431"/>
      <c r="FX3431"/>
      <c r="FY3431"/>
      <c r="FZ3431"/>
      <c r="GA3431"/>
      <c r="GB3431"/>
      <c r="GC3431"/>
      <c r="GD3431"/>
      <c r="GE3431"/>
      <c r="GF3431"/>
      <c r="GG3431"/>
      <c r="GH3431"/>
      <c r="GI3431"/>
      <c r="GJ3431"/>
      <c r="GK3431"/>
      <c r="GL3431"/>
      <c r="GM3431"/>
      <c r="GN3431"/>
      <c r="GO3431"/>
    </row>
    <row r="3432" spans="107:197">
      <c r="DC3432"/>
      <c r="FH3432"/>
      <c r="FI3432"/>
      <c r="FJ3432"/>
      <c r="FK3432"/>
      <c r="FL3432"/>
      <c r="FM3432"/>
      <c r="FN3432"/>
      <c r="FO3432"/>
      <c r="FP3432"/>
      <c r="FQ3432"/>
      <c r="FR3432"/>
      <c r="FS3432"/>
      <c r="FT3432"/>
      <c r="FU3432"/>
      <c r="FV3432"/>
      <c r="FW3432"/>
      <c r="FX3432"/>
      <c r="FY3432"/>
      <c r="FZ3432"/>
      <c r="GA3432"/>
      <c r="GB3432"/>
      <c r="GC3432"/>
      <c r="GD3432"/>
      <c r="GE3432"/>
      <c r="GF3432"/>
      <c r="GG3432"/>
      <c r="GH3432"/>
      <c r="GI3432"/>
      <c r="GJ3432"/>
      <c r="GK3432"/>
      <c r="GL3432"/>
      <c r="GM3432"/>
      <c r="GN3432"/>
      <c r="GO3432"/>
    </row>
    <row r="3433" spans="107:197">
      <c r="DC3433"/>
      <c r="FH3433"/>
      <c r="FI3433"/>
      <c r="FJ3433"/>
      <c r="FK3433"/>
      <c r="FL3433"/>
      <c r="FM3433"/>
      <c r="FN3433"/>
      <c r="FO3433"/>
      <c r="FP3433"/>
      <c r="FQ3433"/>
      <c r="FR3433"/>
      <c r="FS3433"/>
      <c r="FT3433"/>
      <c r="FU3433"/>
      <c r="FV3433"/>
      <c r="FW3433"/>
      <c r="FX3433"/>
      <c r="FY3433"/>
      <c r="FZ3433"/>
      <c r="GA3433"/>
      <c r="GB3433"/>
      <c r="GC3433"/>
      <c r="GD3433"/>
      <c r="GE3433"/>
      <c r="GF3433"/>
      <c r="GG3433"/>
      <c r="GH3433"/>
      <c r="GI3433"/>
      <c r="GJ3433"/>
      <c r="GK3433"/>
      <c r="GL3433"/>
      <c r="GM3433"/>
      <c r="GN3433"/>
      <c r="GO3433"/>
    </row>
    <row r="3434" spans="107:197">
      <c r="DC3434"/>
      <c r="FH3434"/>
      <c r="FI3434"/>
      <c r="FJ3434"/>
      <c r="FK3434"/>
      <c r="FL3434"/>
      <c r="FM3434"/>
      <c r="FN3434"/>
      <c r="FO3434"/>
      <c r="FP3434"/>
      <c r="FQ3434"/>
      <c r="FR3434"/>
      <c r="FS3434"/>
      <c r="FT3434"/>
      <c r="FU3434"/>
      <c r="FV3434"/>
      <c r="FW3434"/>
      <c r="FX3434"/>
      <c r="FY3434"/>
      <c r="FZ3434"/>
      <c r="GA3434"/>
      <c r="GB3434"/>
      <c r="GC3434"/>
      <c r="GD3434"/>
      <c r="GE3434"/>
      <c r="GF3434"/>
      <c r="GG3434"/>
      <c r="GH3434"/>
      <c r="GI3434"/>
      <c r="GJ3434"/>
      <c r="GK3434"/>
      <c r="GL3434"/>
      <c r="GM3434"/>
      <c r="GN3434"/>
      <c r="GO3434"/>
    </row>
    <row r="3435" spans="107:197">
      <c r="DC3435"/>
      <c r="FH3435"/>
      <c r="FI3435"/>
      <c r="FJ3435"/>
      <c r="FK3435"/>
      <c r="FL3435"/>
      <c r="FM3435"/>
      <c r="FN3435"/>
      <c r="FO3435"/>
      <c r="FP3435"/>
      <c r="FQ3435"/>
      <c r="FR3435"/>
      <c r="FS3435"/>
      <c r="FT3435"/>
      <c r="FU3435"/>
      <c r="FV3435"/>
      <c r="FW3435"/>
      <c r="FX3435"/>
      <c r="FY3435"/>
      <c r="FZ3435"/>
      <c r="GA3435"/>
      <c r="GB3435"/>
      <c r="GC3435"/>
      <c r="GD3435"/>
      <c r="GE3435"/>
      <c r="GF3435"/>
      <c r="GG3435"/>
      <c r="GH3435"/>
      <c r="GI3435"/>
      <c r="GJ3435"/>
      <c r="GK3435"/>
      <c r="GL3435"/>
      <c r="GM3435"/>
      <c r="GN3435"/>
      <c r="GO3435"/>
    </row>
    <row r="3436" spans="107:197">
      <c r="DC3436"/>
      <c r="FH3436"/>
      <c r="FI3436"/>
      <c r="FJ3436"/>
      <c r="FK3436"/>
      <c r="FL3436"/>
      <c r="FM3436"/>
      <c r="FN3436"/>
      <c r="FO3436"/>
      <c r="FP3436"/>
      <c r="FQ3436"/>
      <c r="FR3436"/>
      <c r="FS3436"/>
      <c r="FT3436"/>
      <c r="FU3436"/>
      <c r="FV3436"/>
      <c r="FW3436"/>
      <c r="FX3436"/>
      <c r="FY3436"/>
      <c r="FZ3436"/>
      <c r="GA3436"/>
      <c r="GB3436"/>
      <c r="GC3436"/>
      <c r="GD3436"/>
      <c r="GE3436"/>
      <c r="GF3436"/>
      <c r="GG3436"/>
      <c r="GH3436"/>
      <c r="GI3436"/>
      <c r="GJ3436"/>
      <c r="GK3436"/>
      <c r="GL3436"/>
      <c r="GM3436"/>
      <c r="GN3436"/>
      <c r="GO3436"/>
    </row>
    <row r="3437" spans="107:197">
      <c r="DC3437"/>
      <c r="FH3437"/>
      <c r="FI3437"/>
      <c r="FJ3437"/>
      <c r="FK3437"/>
      <c r="FL3437"/>
      <c r="FM3437"/>
      <c r="FN3437"/>
      <c r="FO3437"/>
      <c r="FP3437"/>
      <c r="FQ3437"/>
      <c r="FR3437"/>
      <c r="FS3437"/>
      <c r="FT3437"/>
      <c r="FU3437"/>
      <c r="FV3437"/>
      <c r="FW3437"/>
      <c r="FX3437"/>
      <c r="FY3437"/>
      <c r="FZ3437"/>
      <c r="GA3437"/>
      <c r="GB3437"/>
      <c r="GC3437"/>
      <c r="GD3437"/>
      <c r="GE3437"/>
      <c r="GF3437"/>
      <c r="GG3437"/>
      <c r="GH3437"/>
      <c r="GI3437"/>
      <c r="GJ3437"/>
      <c r="GK3437"/>
      <c r="GL3437"/>
      <c r="GM3437"/>
      <c r="GN3437"/>
      <c r="GO3437"/>
    </row>
    <row r="3438" spans="107:197">
      <c r="DC3438"/>
      <c r="FH3438"/>
      <c r="FI3438"/>
      <c r="FJ3438"/>
      <c r="FK3438"/>
      <c r="FL3438"/>
      <c r="FM3438"/>
      <c r="FN3438"/>
      <c r="FO3438"/>
      <c r="FP3438"/>
      <c r="FQ3438"/>
      <c r="FR3438"/>
      <c r="FS3438"/>
      <c r="FT3438"/>
      <c r="FU3438"/>
      <c r="FV3438"/>
      <c r="FW3438"/>
      <c r="FX3438"/>
      <c r="FY3438"/>
      <c r="FZ3438"/>
      <c r="GA3438"/>
      <c r="GB3438"/>
      <c r="GC3438"/>
      <c r="GD3438"/>
      <c r="GE3438"/>
      <c r="GF3438"/>
      <c r="GG3438"/>
      <c r="GH3438"/>
      <c r="GI3438"/>
      <c r="GJ3438"/>
      <c r="GK3438"/>
      <c r="GL3438"/>
      <c r="GM3438"/>
      <c r="GN3438"/>
      <c r="GO3438"/>
    </row>
    <row r="3439" spans="107:197">
      <c r="DC3439"/>
      <c r="FH3439"/>
      <c r="FI3439"/>
      <c r="FJ3439"/>
      <c r="FK3439"/>
      <c r="FL3439"/>
      <c r="FM3439"/>
      <c r="FN3439"/>
      <c r="FO3439"/>
      <c r="FP3439"/>
      <c r="FQ3439"/>
      <c r="FR3439"/>
      <c r="FS3439"/>
      <c r="FT3439"/>
      <c r="FU3439"/>
      <c r="FV3439"/>
      <c r="FW3439"/>
      <c r="FX3439"/>
      <c r="FY3439"/>
      <c r="FZ3439"/>
      <c r="GA3439"/>
      <c r="GB3439"/>
      <c r="GC3439"/>
      <c r="GD3439"/>
      <c r="GE3439"/>
      <c r="GF3439"/>
      <c r="GG3439"/>
      <c r="GH3439"/>
      <c r="GI3439"/>
      <c r="GJ3439"/>
      <c r="GK3439"/>
      <c r="GL3439"/>
      <c r="GM3439"/>
      <c r="GN3439"/>
      <c r="GO3439"/>
    </row>
    <row r="3440" spans="107:197">
      <c r="DC3440"/>
      <c r="FH3440"/>
      <c r="FI3440"/>
      <c r="FJ3440"/>
      <c r="FK3440"/>
      <c r="FL3440"/>
      <c r="FM3440"/>
      <c r="FN3440"/>
      <c r="FO3440"/>
      <c r="FP3440"/>
      <c r="FQ3440"/>
      <c r="FR3440"/>
      <c r="FS3440"/>
      <c r="FT3440"/>
      <c r="FU3440"/>
      <c r="FV3440"/>
      <c r="FW3440"/>
      <c r="FX3440"/>
      <c r="FY3440"/>
      <c r="FZ3440"/>
      <c r="GA3440"/>
      <c r="GB3440"/>
      <c r="GC3440"/>
      <c r="GD3440"/>
      <c r="GE3440"/>
      <c r="GF3440"/>
      <c r="GG3440"/>
      <c r="GH3440"/>
      <c r="GI3440"/>
      <c r="GJ3440"/>
      <c r="GK3440"/>
      <c r="GL3440"/>
      <c r="GM3440"/>
      <c r="GN3440"/>
      <c r="GO3440"/>
    </row>
    <row r="3441" spans="107:197">
      <c r="DC3441"/>
      <c r="FH3441"/>
      <c r="FI3441"/>
      <c r="FJ3441"/>
      <c r="FK3441"/>
      <c r="FL3441"/>
      <c r="FM3441"/>
      <c r="FN3441"/>
      <c r="FO3441"/>
      <c r="FP3441"/>
      <c r="FQ3441"/>
      <c r="FR3441"/>
      <c r="FS3441"/>
      <c r="FT3441"/>
      <c r="FU3441"/>
      <c r="FV3441"/>
      <c r="FW3441"/>
      <c r="FX3441"/>
      <c r="FY3441"/>
      <c r="FZ3441"/>
      <c r="GA3441"/>
      <c r="GB3441"/>
      <c r="GC3441"/>
      <c r="GD3441"/>
      <c r="GE3441"/>
      <c r="GF3441"/>
      <c r="GG3441"/>
      <c r="GH3441"/>
      <c r="GI3441"/>
      <c r="GJ3441"/>
      <c r="GK3441"/>
      <c r="GL3441"/>
      <c r="GM3441"/>
      <c r="GN3441"/>
      <c r="GO3441"/>
    </row>
    <row r="3442" spans="107:197">
      <c r="DC3442"/>
      <c r="FH3442"/>
      <c r="FI3442"/>
      <c r="FJ3442"/>
      <c r="FK3442"/>
      <c r="FL3442"/>
      <c r="FM3442"/>
      <c r="FN3442"/>
      <c r="FO3442"/>
      <c r="FP3442"/>
      <c r="FQ3442"/>
      <c r="FR3442"/>
      <c r="FS3442"/>
      <c r="FT3442"/>
      <c r="FU3442"/>
      <c r="FV3442"/>
      <c r="FW3442"/>
      <c r="FX3442"/>
      <c r="FY3442"/>
      <c r="FZ3442"/>
      <c r="GA3442"/>
      <c r="GB3442"/>
      <c r="GC3442"/>
      <c r="GD3442"/>
      <c r="GE3442"/>
      <c r="GF3442"/>
      <c r="GG3442"/>
      <c r="GH3442"/>
      <c r="GI3442"/>
      <c r="GJ3442"/>
      <c r="GK3442"/>
      <c r="GL3442"/>
      <c r="GM3442"/>
      <c r="GN3442"/>
      <c r="GO3442"/>
    </row>
    <row r="3443" spans="107:197">
      <c r="DC3443"/>
      <c r="FH3443"/>
      <c r="FI3443"/>
      <c r="FJ3443"/>
      <c r="FK3443"/>
      <c r="FL3443"/>
      <c r="FM3443"/>
      <c r="FN3443"/>
      <c r="FO3443"/>
      <c r="FP3443"/>
      <c r="FQ3443"/>
      <c r="FR3443"/>
      <c r="FS3443"/>
      <c r="FT3443"/>
      <c r="FU3443"/>
      <c r="FV3443"/>
      <c r="FW3443"/>
      <c r="FX3443"/>
      <c r="FY3443"/>
      <c r="FZ3443"/>
      <c r="GA3443"/>
      <c r="GB3443"/>
      <c r="GC3443"/>
      <c r="GD3443"/>
      <c r="GE3443"/>
      <c r="GF3443"/>
      <c r="GG3443"/>
      <c r="GH3443"/>
      <c r="GI3443"/>
      <c r="GJ3443"/>
      <c r="GK3443"/>
      <c r="GL3443"/>
      <c r="GM3443"/>
      <c r="GN3443"/>
      <c r="GO3443"/>
    </row>
    <row r="3444" spans="107:197">
      <c r="DC3444"/>
      <c r="FH3444"/>
      <c r="FI3444"/>
      <c r="FJ3444"/>
      <c r="FK3444"/>
      <c r="FL3444"/>
      <c r="FM3444"/>
      <c r="FN3444"/>
      <c r="FO3444"/>
      <c r="FP3444"/>
      <c r="FQ3444"/>
      <c r="FR3444"/>
      <c r="FS3444"/>
      <c r="FT3444"/>
      <c r="FU3444"/>
      <c r="FV3444"/>
      <c r="FW3444"/>
      <c r="FX3444"/>
      <c r="FY3444"/>
      <c r="FZ3444"/>
      <c r="GA3444"/>
      <c r="GB3444"/>
      <c r="GC3444"/>
      <c r="GD3444"/>
      <c r="GE3444"/>
      <c r="GF3444"/>
      <c r="GG3444"/>
      <c r="GH3444"/>
      <c r="GI3444"/>
      <c r="GJ3444"/>
      <c r="GK3444"/>
      <c r="GL3444"/>
      <c r="GM3444"/>
      <c r="GN3444"/>
      <c r="GO3444"/>
    </row>
    <row r="3445" spans="107:197">
      <c r="DC3445"/>
      <c r="FH3445"/>
      <c r="FI3445"/>
      <c r="FJ3445"/>
      <c r="FK3445"/>
      <c r="FL3445"/>
      <c r="FM3445"/>
      <c r="FN3445"/>
      <c r="FO3445"/>
      <c r="FP3445"/>
      <c r="FQ3445"/>
      <c r="FR3445"/>
      <c r="FS3445"/>
      <c r="FT3445"/>
      <c r="FU3445"/>
      <c r="FV3445"/>
      <c r="FW3445"/>
      <c r="FX3445"/>
      <c r="FY3445"/>
      <c r="FZ3445"/>
      <c r="GA3445"/>
      <c r="GB3445"/>
      <c r="GC3445"/>
      <c r="GD3445"/>
      <c r="GE3445"/>
      <c r="GF3445"/>
      <c r="GG3445"/>
      <c r="GH3445"/>
      <c r="GI3445"/>
      <c r="GJ3445"/>
      <c r="GK3445"/>
      <c r="GL3445"/>
      <c r="GM3445"/>
      <c r="GN3445"/>
      <c r="GO3445"/>
    </row>
    <row r="3446" spans="107:197">
      <c r="DC3446"/>
      <c r="FH3446"/>
      <c r="FI3446"/>
      <c r="FJ3446"/>
      <c r="FK3446"/>
      <c r="FL3446"/>
      <c r="FM3446"/>
      <c r="FN3446"/>
      <c r="FO3446"/>
      <c r="FP3446"/>
      <c r="FQ3446"/>
      <c r="FR3446"/>
      <c r="FS3446"/>
      <c r="FT3446"/>
      <c r="FU3446"/>
      <c r="FV3446"/>
      <c r="FW3446"/>
      <c r="FX3446"/>
      <c r="FY3446"/>
      <c r="FZ3446"/>
      <c r="GA3446"/>
      <c r="GB3446"/>
      <c r="GC3446"/>
      <c r="GD3446"/>
      <c r="GE3446"/>
      <c r="GF3446"/>
      <c r="GG3446"/>
      <c r="GH3446"/>
      <c r="GI3446"/>
      <c r="GJ3446"/>
      <c r="GK3446"/>
      <c r="GL3446"/>
      <c r="GM3446"/>
      <c r="GN3446"/>
      <c r="GO3446"/>
    </row>
    <row r="3447" spans="107:197">
      <c r="DC3447"/>
      <c r="FH3447"/>
      <c r="FI3447"/>
      <c r="FJ3447"/>
      <c r="FK3447"/>
      <c r="FL3447"/>
      <c r="FM3447"/>
      <c r="FN3447"/>
      <c r="FO3447"/>
      <c r="FP3447"/>
      <c r="FQ3447"/>
      <c r="FR3447"/>
      <c r="FS3447"/>
      <c r="FT3447"/>
      <c r="FU3447"/>
      <c r="FV3447"/>
      <c r="FW3447"/>
      <c r="FX3447"/>
      <c r="FY3447"/>
      <c r="FZ3447"/>
      <c r="GA3447"/>
      <c r="GB3447"/>
      <c r="GC3447"/>
      <c r="GD3447"/>
      <c r="GE3447"/>
      <c r="GF3447"/>
      <c r="GG3447"/>
      <c r="GH3447"/>
      <c r="GI3447"/>
      <c r="GJ3447"/>
      <c r="GK3447"/>
      <c r="GL3447"/>
      <c r="GM3447"/>
      <c r="GN3447"/>
      <c r="GO3447"/>
    </row>
    <row r="3448" spans="107:197">
      <c r="DC3448"/>
      <c r="FH3448"/>
      <c r="FI3448"/>
      <c r="FJ3448"/>
      <c r="FK3448"/>
      <c r="FL3448"/>
      <c r="FM3448"/>
      <c r="FN3448"/>
      <c r="FO3448"/>
      <c r="FP3448"/>
      <c r="FQ3448"/>
      <c r="FR3448"/>
      <c r="FS3448"/>
      <c r="FT3448"/>
      <c r="FU3448"/>
      <c r="FV3448"/>
      <c r="FW3448"/>
      <c r="FX3448"/>
      <c r="FY3448"/>
      <c r="FZ3448"/>
      <c r="GA3448"/>
      <c r="GB3448"/>
      <c r="GC3448"/>
      <c r="GD3448"/>
      <c r="GE3448"/>
      <c r="GF3448"/>
      <c r="GG3448"/>
      <c r="GH3448"/>
      <c r="GI3448"/>
      <c r="GJ3448"/>
      <c r="GK3448"/>
      <c r="GL3448"/>
      <c r="GM3448"/>
      <c r="GN3448"/>
      <c r="GO3448"/>
    </row>
    <row r="3449" spans="107:197">
      <c r="DC3449"/>
      <c r="FH3449"/>
      <c r="FI3449"/>
      <c r="FJ3449"/>
      <c r="FK3449"/>
      <c r="FL3449"/>
      <c r="FM3449"/>
      <c r="FN3449"/>
      <c r="FO3449"/>
      <c r="FP3449"/>
      <c r="FQ3449"/>
      <c r="FR3449"/>
      <c r="FS3449"/>
      <c r="FT3449"/>
      <c r="FU3449"/>
      <c r="FV3449"/>
      <c r="FW3449"/>
      <c r="FX3449"/>
      <c r="FY3449"/>
      <c r="FZ3449"/>
      <c r="GA3449"/>
      <c r="GB3449"/>
      <c r="GC3449"/>
      <c r="GD3449"/>
      <c r="GE3449"/>
      <c r="GF3449"/>
      <c r="GG3449"/>
      <c r="GH3449"/>
      <c r="GI3449"/>
      <c r="GJ3449"/>
      <c r="GK3449"/>
      <c r="GL3449"/>
      <c r="GM3449"/>
      <c r="GN3449"/>
      <c r="GO3449"/>
    </row>
    <row r="3450" spans="107:197">
      <c r="DC3450"/>
      <c r="FH3450"/>
      <c r="FI3450"/>
      <c r="FJ3450"/>
      <c r="FK3450"/>
      <c r="FL3450"/>
      <c r="FM3450"/>
      <c r="FN3450"/>
      <c r="FO3450"/>
      <c r="FP3450"/>
      <c r="FQ3450"/>
      <c r="FR3450"/>
      <c r="FS3450"/>
      <c r="FT3450"/>
      <c r="FU3450"/>
      <c r="FV3450"/>
      <c r="FW3450"/>
      <c r="FX3450"/>
      <c r="FY3450"/>
      <c r="FZ3450"/>
      <c r="GA3450"/>
      <c r="GB3450"/>
      <c r="GC3450"/>
      <c r="GD3450"/>
      <c r="GE3450"/>
      <c r="GF3450"/>
      <c r="GG3450"/>
      <c r="GH3450"/>
      <c r="GI3450"/>
      <c r="GJ3450"/>
      <c r="GK3450"/>
      <c r="GL3450"/>
      <c r="GM3450"/>
      <c r="GN3450"/>
      <c r="GO3450"/>
    </row>
    <row r="3451" spans="107:197">
      <c r="DC3451"/>
      <c r="FH3451"/>
      <c r="FI3451"/>
      <c r="FJ3451"/>
      <c r="FK3451"/>
      <c r="FL3451"/>
      <c r="FM3451"/>
      <c r="FN3451"/>
      <c r="FO3451"/>
      <c r="FP3451"/>
      <c r="FQ3451"/>
      <c r="FR3451"/>
      <c r="FS3451"/>
      <c r="FT3451"/>
      <c r="FU3451"/>
      <c r="FV3451"/>
      <c r="FW3451"/>
      <c r="FX3451"/>
      <c r="FY3451"/>
      <c r="FZ3451"/>
      <c r="GA3451"/>
      <c r="GB3451"/>
      <c r="GC3451"/>
      <c r="GD3451"/>
      <c r="GE3451"/>
      <c r="GF3451"/>
      <c r="GG3451"/>
      <c r="GH3451"/>
      <c r="GI3451"/>
      <c r="GJ3451"/>
      <c r="GK3451"/>
      <c r="GL3451"/>
      <c r="GM3451"/>
      <c r="GN3451"/>
      <c r="GO3451"/>
    </row>
    <row r="3452" spans="107:197">
      <c r="DC3452"/>
      <c r="FH3452"/>
      <c r="FI3452"/>
      <c r="FJ3452"/>
      <c r="FK3452"/>
      <c r="FL3452"/>
      <c r="FM3452"/>
      <c r="FN3452"/>
      <c r="FO3452"/>
      <c r="FP3452"/>
      <c r="FQ3452"/>
      <c r="FR3452"/>
      <c r="FS3452"/>
      <c r="FT3452"/>
      <c r="FU3452"/>
      <c r="FV3452"/>
      <c r="FW3452"/>
      <c r="FX3452"/>
      <c r="FY3452"/>
      <c r="FZ3452"/>
      <c r="GA3452"/>
      <c r="GB3452"/>
      <c r="GC3452"/>
      <c r="GD3452"/>
      <c r="GE3452"/>
      <c r="GF3452"/>
      <c r="GG3452"/>
      <c r="GH3452"/>
      <c r="GI3452"/>
      <c r="GJ3452"/>
      <c r="GK3452"/>
      <c r="GL3452"/>
      <c r="GM3452"/>
      <c r="GN3452"/>
      <c r="GO3452"/>
    </row>
    <row r="3453" spans="107:197">
      <c r="DC3453"/>
      <c r="FH3453"/>
      <c r="FI3453"/>
      <c r="FJ3453"/>
      <c r="FK3453"/>
      <c r="FL3453"/>
      <c r="FM3453"/>
      <c r="FN3453"/>
      <c r="FO3453"/>
      <c r="FP3453"/>
      <c r="FQ3453"/>
      <c r="FR3453"/>
      <c r="FS3453"/>
      <c r="FT3453"/>
      <c r="FU3453"/>
      <c r="FV3453"/>
      <c r="FW3453"/>
      <c r="FX3453"/>
      <c r="FY3453"/>
      <c r="FZ3453"/>
      <c r="GA3453"/>
      <c r="GB3453"/>
      <c r="GC3453"/>
      <c r="GD3453"/>
      <c r="GE3453"/>
      <c r="GF3453"/>
      <c r="GG3453"/>
      <c r="GH3453"/>
      <c r="GI3453"/>
      <c r="GJ3453"/>
      <c r="GK3453"/>
      <c r="GL3453"/>
      <c r="GM3453"/>
      <c r="GN3453"/>
      <c r="GO3453"/>
    </row>
    <row r="3454" spans="107:197">
      <c r="DC3454"/>
      <c r="FH3454"/>
      <c r="FI3454"/>
      <c r="FJ3454"/>
      <c r="FK3454"/>
      <c r="FL3454"/>
      <c r="FM3454"/>
      <c r="FN3454"/>
      <c r="FO3454"/>
      <c r="FP3454"/>
      <c r="FQ3454"/>
      <c r="FR3454"/>
      <c r="FS3454"/>
      <c r="FT3454"/>
      <c r="FU3454"/>
      <c r="FV3454"/>
      <c r="FW3454"/>
      <c r="FX3454"/>
      <c r="FY3454"/>
      <c r="FZ3454"/>
      <c r="GA3454"/>
      <c r="GB3454"/>
      <c r="GC3454"/>
      <c r="GD3454"/>
      <c r="GE3454"/>
      <c r="GF3454"/>
      <c r="GG3454"/>
      <c r="GH3454"/>
      <c r="GI3454"/>
      <c r="GJ3454"/>
      <c r="GK3454"/>
      <c r="GL3454"/>
      <c r="GM3454"/>
      <c r="GN3454"/>
      <c r="GO3454"/>
    </row>
    <row r="3455" spans="107:197">
      <c r="DC3455"/>
      <c r="FH3455"/>
      <c r="FI3455"/>
      <c r="FJ3455"/>
      <c r="FK3455"/>
      <c r="FL3455"/>
      <c r="FM3455"/>
      <c r="FN3455"/>
      <c r="FO3455"/>
      <c r="FP3455"/>
      <c r="FQ3455"/>
      <c r="FR3455"/>
      <c r="FS3455"/>
      <c r="FT3455"/>
      <c r="FU3455"/>
      <c r="FV3455"/>
      <c r="FW3455"/>
      <c r="FX3455"/>
      <c r="FY3455"/>
      <c r="FZ3455"/>
      <c r="GA3455"/>
      <c r="GB3455"/>
      <c r="GC3455"/>
      <c r="GD3455"/>
      <c r="GE3455"/>
      <c r="GF3455"/>
      <c r="GG3455"/>
      <c r="GH3455"/>
      <c r="GI3455"/>
      <c r="GJ3455"/>
      <c r="GK3455"/>
      <c r="GL3455"/>
      <c r="GM3455"/>
      <c r="GN3455"/>
      <c r="GO3455"/>
    </row>
    <row r="3456" spans="107:197">
      <c r="DC3456"/>
      <c r="FH3456"/>
      <c r="FI3456"/>
      <c r="FJ3456"/>
      <c r="FK3456"/>
      <c r="FL3456"/>
      <c r="FM3456"/>
      <c r="FN3456"/>
      <c r="FO3456"/>
      <c r="FP3456"/>
      <c r="FQ3456"/>
      <c r="FR3456"/>
      <c r="FS3456"/>
      <c r="FT3456"/>
      <c r="FU3456"/>
      <c r="FV3456"/>
      <c r="FW3456"/>
      <c r="FX3456"/>
      <c r="FY3456"/>
      <c r="FZ3456"/>
      <c r="GA3456"/>
      <c r="GB3456"/>
      <c r="GC3456"/>
      <c r="GD3456"/>
      <c r="GE3456"/>
      <c r="GF3456"/>
      <c r="GG3456"/>
      <c r="GH3456"/>
      <c r="GI3456"/>
      <c r="GJ3456"/>
      <c r="GK3456"/>
      <c r="GL3456"/>
      <c r="GM3456"/>
      <c r="GN3456"/>
      <c r="GO3456"/>
    </row>
    <row r="3457" spans="107:197">
      <c r="DC3457"/>
      <c r="FH3457"/>
      <c r="FI3457"/>
      <c r="FJ3457"/>
      <c r="FK3457"/>
      <c r="FL3457"/>
      <c r="FM3457"/>
      <c r="FN3457"/>
      <c r="FO3457"/>
      <c r="FP3457"/>
      <c r="FQ3457"/>
      <c r="FR3457"/>
      <c r="FS3457"/>
      <c r="FT3457"/>
      <c r="FU3457"/>
      <c r="FV3457"/>
      <c r="FW3457"/>
      <c r="FX3457"/>
      <c r="FY3457"/>
      <c r="FZ3457"/>
      <c r="GA3457"/>
      <c r="GB3457"/>
      <c r="GC3457"/>
      <c r="GD3457"/>
      <c r="GE3457"/>
      <c r="GF3457"/>
      <c r="GG3457"/>
      <c r="GH3457"/>
      <c r="GI3457"/>
      <c r="GJ3457"/>
      <c r="GK3457"/>
      <c r="GL3457"/>
      <c r="GM3457"/>
      <c r="GN3457"/>
      <c r="GO3457"/>
    </row>
    <row r="3458" spans="107:197">
      <c r="DC3458"/>
      <c r="FH3458"/>
      <c r="FI3458"/>
      <c r="FJ3458"/>
      <c r="FK3458"/>
      <c r="FL3458"/>
      <c r="FM3458"/>
      <c r="FN3458"/>
      <c r="FO3458"/>
      <c r="FP3458"/>
      <c r="FQ3458"/>
      <c r="FR3458"/>
      <c r="FS3458"/>
      <c r="FT3458"/>
      <c r="FU3458"/>
      <c r="FV3458"/>
      <c r="FW3458"/>
      <c r="FX3458"/>
      <c r="FY3458"/>
      <c r="FZ3458"/>
      <c r="GA3458"/>
      <c r="GB3458"/>
      <c r="GC3458"/>
      <c r="GD3458"/>
      <c r="GE3458"/>
      <c r="GF3458"/>
      <c r="GG3458"/>
      <c r="GH3458"/>
      <c r="GI3458"/>
      <c r="GJ3458"/>
      <c r="GK3458"/>
      <c r="GL3458"/>
      <c r="GM3458"/>
      <c r="GN3458"/>
      <c r="GO3458"/>
    </row>
    <row r="3459" spans="107:197">
      <c r="DC3459"/>
      <c r="FH3459"/>
      <c r="FI3459"/>
      <c r="FJ3459"/>
      <c r="FK3459"/>
      <c r="FL3459"/>
      <c r="FM3459"/>
      <c r="FN3459"/>
      <c r="FO3459"/>
      <c r="FP3459"/>
      <c r="FQ3459"/>
      <c r="FR3459"/>
      <c r="FS3459"/>
      <c r="FT3459"/>
      <c r="FU3459"/>
      <c r="FV3459"/>
      <c r="FW3459"/>
      <c r="FX3459"/>
      <c r="FY3459"/>
      <c r="FZ3459"/>
      <c r="GA3459"/>
      <c r="GB3459"/>
      <c r="GC3459"/>
      <c r="GD3459"/>
      <c r="GE3459"/>
      <c r="GF3459"/>
      <c r="GG3459"/>
      <c r="GH3459"/>
      <c r="GI3459"/>
      <c r="GJ3459"/>
      <c r="GK3459"/>
      <c r="GL3459"/>
      <c r="GM3459"/>
      <c r="GN3459"/>
      <c r="GO3459"/>
    </row>
    <row r="3460" spans="107:197">
      <c r="DC3460"/>
      <c r="FH3460"/>
      <c r="FI3460"/>
      <c r="FJ3460"/>
      <c r="FK3460"/>
      <c r="FL3460"/>
      <c r="FM3460"/>
      <c r="FN3460"/>
      <c r="FO3460"/>
      <c r="FP3460"/>
      <c r="FQ3460"/>
      <c r="FR3460"/>
      <c r="FS3460"/>
      <c r="FT3460"/>
      <c r="FU3460"/>
      <c r="FV3460"/>
      <c r="FW3460"/>
      <c r="FX3460"/>
      <c r="FY3460"/>
      <c r="FZ3460"/>
      <c r="GA3460"/>
      <c r="GB3460"/>
      <c r="GC3460"/>
      <c r="GD3460"/>
      <c r="GE3460"/>
      <c r="GF3460"/>
      <c r="GG3460"/>
      <c r="GH3460"/>
      <c r="GI3460"/>
      <c r="GJ3460"/>
      <c r="GK3460"/>
      <c r="GL3460"/>
      <c r="GM3460"/>
      <c r="GN3460"/>
      <c r="GO3460"/>
    </row>
    <row r="3461" spans="107:197">
      <c r="DC3461"/>
      <c r="FH3461"/>
      <c r="FI3461"/>
      <c r="FJ3461"/>
      <c r="FK3461"/>
      <c r="FL3461"/>
      <c r="FM3461"/>
      <c r="FN3461"/>
      <c r="FO3461"/>
      <c r="FP3461"/>
      <c r="FQ3461"/>
      <c r="FR3461"/>
      <c r="FS3461"/>
      <c r="FT3461"/>
      <c r="FU3461"/>
      <c r="FV3461"/>
      <c r="FW3461"/>
      <c r="FX3461"/>
      <c r="FY3461"/>
      <c r="FZ3461"/>
      <c r="GA3461"/>
      <c r="GB3461"/>
      <c r="GC3461"/>
      <c r="GD3461"/>
      <c r="GE3461"/>
      <c r="GF3461"/>
      <c r="GG3461"/>
      <c r="GH3461"/>
      <c r="GI3461"/>
      <c r="GJ3461"/>
      <c r="GK3461"/>
      <c r="GL3461"/>
      <c r="GM3461"/>
      <c r="GN3461"/>
      <c r="GO3461"/>
    </row>
    <row r="3462" spans="107:197">
      <c r="DC3462"/>
      <c r="FH3462"/>
      <c r="FI3462"/>
      <c r="FJ3462"/>
      <c r="FK3462"/>
      <c r="FL3462"/>
      <c r="FM3462"/>
      <c r="FN3462"/>
      <c r="FO3462"/>
      <c r="FP3462"/>
      <c r="FQ3462"/>
      <c r="FR3462"/>
      <c r="FS3462"/>
      <c r="FT3462"/>
      <c r="FU3462"/>
      <c r="FV3462"/>
      <c r="FW3462"/>
      <c r="FX3462"/>
      <c r="FY3462"/>
      <c r="FZ3462"/>
      <c r="GA3462"/>
      <c r="GB3462"/>
      <c r="GC3462"/>
      <c r="GD3462"/>
      <c r="GE3462"/>
      <c r="GF3462"/>
      <c r="GG3462"/>
      <c r="GH3462"/>
      <c r="GI3462"/>
      <c r="GJ3462"/>
      <c r="GK3462"/>
      <c r="GL3462"/>
      <c r="GM3462"/>
      <c r="GN3462"/>
      <c r="GO3462"/>
    </row>
    <row r="3463" spans="107:197">
      <c r="DC3463"/>
      <c r="FH3463"/>
      <c r="FI3463"/>
      <c r="FJ3463"/>
      <c r="FK3463"/>
      <c r="FL3463"/>
      <c r="FM3463"/>
      <c r="FN3463"/>
      <c r="FO3463"/>
      <c r="FP3463"/>
      <c r="FQ3463"/>
      <c r="FR3463"/>
      <c r="FS3463"/>
      <c r="FT3463"/>
      <c r="FU3463"/>
      <c r="FV3463"/>
      <c r="FW3463"/>
      <c r="FX3463"/>
      <c r="FY3463"/>
      <c r="FZ3463"/>
      <c r="GA3463"/>
      <c r="GB3463"/>
      <c r="GC3463"/>
      <c r="GD3463"/>
      <c r="GE3463"/>
      <c r="GF3463"/>
      <c r="GG3463"/>
      <c r="GH3463"/>
      <c r="GI3463"/>
      <c r="GJ3463"/>
      <c r="GK3463"/>
      <c r="GL3463"/>
      <c r="GM3463"/>
      <c r="GN3463"/>
      <c r="GO3463"/>
    </row>
    <row r="3464" spans="107:197">
      <c r="DC3464"/>
      <c r="FH3464"/>
      <c r="FI3464"/>
      <c r="FJ3464"/>
      <c r="FK3464"/>
      <c r="FL3464"/>
      <c r="FM3464"/>
      <c r="FN3464"/>
      <c r="FO3464"/>
      <c r="FP3464"/>
      <c r="FQ3464"/>
      <c r="FR3464"/>
      <c r="FS3464"/>
      <c r="FT3464"/>
      <c r="FU3464"/>
      <c r="FV3464"/>
      <c r="FW3464"/>
      <c r="FX3464"/>
      <c r="FY3464"/>
      <c r="FZ3464"/>
      <c r="GA3464"/>
      <c r="GB3464"/>
      <c r="GC3464"/>
      <c r="GD3464"/>
      <c r="GE3464"/>
      <c r="GF3464"/>
      <c r="GG3464"/>
      <c r="GH3464"/>
      <c r="GI3464"/>
      <c r="GJ3464"/>
      <c r="GK3464"/>
      <c r="GL3464"/>
      <c r="GM3464"/>
      <c r="GN3464"/>
      <c r="GO3464"/>
    </row>
    <row r="3465" spans="107:197">
      <c r="DC3465"/>
      <c r="FH3465"/>
      <c r="FI3465"/>
      <c r="FJ3465"/>
      <c r="FK3465"/>
      <c r="FL3465"/>
      <c r="FM3465"/>
      <c r="FN3465"/>
      <c r="FO3465"/>
      <c r="FP3465"/>
      <c r="FQ3465"/>
      <c r="FR3465"/>
      <c r="FS3465"/>
      <c r="FT3465"/>
      <c r="FU3465"/>
      <c r="FV3465"/>
      <c r="FW3465"/>
      <c r="FX3465"/>
      <c r="FY3465"/>
      <c r="FZ3465"/>
      <c r="GA3465"/>
      <c r="GB3465"/>
      <c r="GC3465"/>
      <c r="GD3465"/>
      <c r="GE3465"/>
      <c r="GF3465"/>
      <c r="GG3465"/>
      <c r="GH3465"/>
      <c r="GI3465"/>
      <c r="GJ3465"/>
      <c r="GK3465"/>
      <c r="GL3465"/>
      <c r="GM3465"/>
      <c r="GN3465"/>
      <c r="GO3465"/>
    </row>
    <row r="3466" spans="107:197">
      <c r="DC3466"/>
      <c r="FH3466"/>
      <c r="FI3466"/>
      <c r="FJ3466"/>
      <c r="FK3466"/>
      <c r="FL3466"/>
      <c r="FM3466"/>
      <c r="FN3466"/>
      <c r="FO3466"/>
      <c r="FP3466"/>
      <c r="FQ3466"/>
      <c r="FR3466"/>
      <c r="FS3466"/>
      <c r="FT3466"/>
      <c r="FU3466"/>
      <c r="FV3466"/>
      <c r="FW3466"/>
      <c r="FX3466"/>
      <c r="FY3466"/>
      <c r="FZ3466"/>
      <c r="GA3466"/>
      <c r="GB3466"/>
      <c r="GC3466"/>
      <c r="GD3466"/>
      <c r="GE3466"/>
      <c r="GF3466"/>
      <c r="GG3466"/>
      <c r="GH3466"/>
      <c r="GI3466"/>
      <c r="GJ3466"/>
      <c r="GK3466"/>
      <c r="GL3466"/>
      <c r="GM3466"/>
      <c r="GN3466"/>
      <c r="GO3466"/>
    </row>
    <row r="3467" spans="107:197">
      <c r="DC3467"/>
      <c r="FH3467"/>
      <c r="FI3467"/>
      <c r="FJ3467"/>
      <c r="FK3467"/>
      <c r="FL3467"/>
      <c r="FM3467"/>
      <c r="FN3467"/>
      <c r="FO3467"/>
      <c r="FP3467"/>
      <c r="FQ3467"/>
      <c r="FR3467"/>
      <c r="FS3467"/>
      <c r="FT3467"/>
      <c r="FU3467"/>
      <c r="FV3467"/>
      <c r="FW3467"/>
      <c r="FX3467"/>
      <c r="FY3467"/>
      <c r="FZ3467"/>
      <c r="GA3467"/>
      <c r="GB3467"/>
      <c r="GC3467"/>
      <c r="GD3467"/>
      <c r="GE3467"/>
      <c r="GF3467"/>
      <c r="GG3467"/>
      <c r="GH3467"/>
      <c r="GI3467"/>
      <c r="GJ3467"/>
      <c r="GK3467"/>
      <c r="GL3467"/>
      <c r="GM3467"/>
      <c r="GN3467"/>
      <c r="GO3467"/>
    </row>
    <row r="3468" spans="107:197">
      <c r="DC3468"/>
      <c r="FH3468"/>
      <c r="FI3468"/>
      <c r="FJ3468"/>
      <c r="FK3468"/>
      <c r="FL3468"/>
      <c r="FM3468"/>
      <c r="FN3468"/>
      <c r="FO3468"/>
      <c r="FP3468"/>
      <c r="FQ3468"/>
      <c r="FR3468"/>
      <c r="FS3468"/>
      <c r="FT3468"/>
      <c r="FU3468"/>
      <c r="FV3468"/>
      <c r="FW3468"/>
      <c r="FX3468"/>
      <c r="FY3468"/>
      <c r="FZ3468"/>
      <c r="GA3468"/>
      <c r="GB3468"/>
      <c r="GC3468"/>
      <c r="GD3468"/>
      <c r="GE3468"/>
      <c r="GF3468"/>
      <c r="GG3468"/>
      <c r="GH3468"/>
      <c r="GI3468"/>
      <c r="GJ3468"/>
      <c r="GK3468"/>
      <c r="GL3468"/>
      <c r="GM3468"/>
      <c r="GN3468"/>
      <c r="GO3468"/>
    </row>
    <row r="3469" spans="107:197">
      <c r="DC3469"/>
      <c r="FH3469"/>
      <c r="FI3469"/>
      <c r="FJ3469"/>
      <c r="FK3469"/>
      <c r="FL3469"/>
      <c r="FM3469"/>
      <c r="FN3469"/>
      <c r="FO3469"/>
      <c r="FP3469"/>
      <c r="FQ3469"/>
      <c r="FR3469"/>
      <c r="FS3469"/>
      <c r="FT3469"/>
      <c r="FU3469"/>
      <c r="FV3469"/>
      <c r="FW3469"/>
      <c r="FX3469"/>
      <c r="FY3469"/>
      <c r="FZ3469"/>
      <c r="GA3469"/>
      <c r="GB3469"/>
      <c r="GC3469"/>
      <c r="GD3469"/>
      <c r="GE3469"/>
      <c r="GF3469"/>
      <c r="GG3469"/>
      <c r="GH3469"/>
      <c r="GI3469"/>
      <c r="GJ3469"/>
      <c r="GK3469"/>
      <c r="GL3469"/>
      <c r="GM3469"/>
      <c r="GN3469"/>
      <c r="GO3469"/>
    </row>
    <row r="3470" spans="107:197">
      <c r="DC3470"/>
      <c r="FH3470"/>
      <c r="FI3470"/>
      <c r="FJ3470"/>
      <c r="FK3470"/>
      <c r="FL3470"/>
      <c r="FM3470"/>
      <c r="FN3470"/>
      <c r="FO3470"/>
      <c r="FP3470"/>
      <c r="FQ3470"/>
      <c r="FR3470"/>
      <c r="FS3470"/>
      <c r="FT3470"/>
      <c r="FU3470"/>
      <c r="FV3470"/>
      <c r="FW3470"/>
      <c r="FX3470"/>
      <c r="FY3470"/>
      <c r="FZ3470"/>
      <c r="GA3470"/>
      <c r="GB3470"/>
      <c r="GC3470"/>
      <c r="GD3470"/>
      <c r="GE3470"/>
      <c r="GF3470"/>
      <c r="GG3470"/>
      <c r="GH3470"/>
      <c r="GI3470"/>
      <c r="GJ3470"/>
      <c r="GK3470"/>
      <c r="GL3470"/>
      <c r="GM3470"/>
      <c r="GN3470"/>
      <c r="GO3470"/>
    </row>
    <row r="3471" spans="107:197">
      <c r="DC3471"/>
      <c r="FH3471"/>
      <c r="FI3471"/>
      <c r="FJ3471"/>
      <c r="FK3471"/>
      <c r="FL3471"/>
      <c r="FM3471"/>
      <c r="FN3471"/>
      <c r="FO3471"/>
      <c r="FP3471"/>
      <c r="FQ3471"/>
      <c r="FR3471"/>
      <c r="FS3471"/>
      <c r="FT3471"/>
      <c r="FU3471"/>
      <c r="FV3471"/>
      <c r="FW3471"/>
      <c r="FX3471"/>
      <c r="FY3471"/>
      <c r="FZ3471"/>
      <c r="GA3471"/>
      <c r="GB3471"/>
      <c r="GC3471"/>
      <c r="GD3471"/>
      <c r="GE3471"/>
      <c r="GF3471"/>
      <c r="GG3471"/>
      <c r="GH3471"/>
      <c r="GI3471"/>
      <c r="GJ3471"/>
      <c r="GK3471"/>
      <c r="GL3471"/>
      <c r="GM3471"/>
      <c r="GN3471"/>
      <c r="GO3471"/>
    </row>
    <row r="3472" spans="107:197">
      <c r="DC3472"/>
      <c r="FH3472"/>
      <c r="FI3472"/>
      <c r="FJ3472"/>
      <c r="FK3472"/>
      <c r="FL3472"/>
      <c r="FM3472"/>
      <c r="FN3472"/>
      <c r="FO3472"/>
      <c r="FP3472"/>
      <c r="FQ3472"/>
      <c r="FR3472"/>
      <c r="FS3472"/>
      <c r="FT3472"/>
      <c r="FU3472"/>
      <c r="FV3472"/>
      <c r="FW3472"/>
      <c r="FX3472"/>
      <c r="FY3472"/>
      <c r="FZ3472"/>
      <c r="GA3472"/>
      <c r="GB3472"/>
      <c r="GC3472"/>
      <c r="GD3472"/>
      <c r="GE3472"/>
      <c r="GF3472"/>
      <c r="GG3472"/>
      <c r="GH3472"/>
      <c r="GI3472"/>
      <c r="GJ3472"/>
      <c r="GK3472"/>
      <c r="GL3472"/>
      <c r="GM3472"/>
      <c r="GN3472"/>
      <c r="GO3472"/>
    </row>
    <row r="3473" spans="107:197">
      <c r="DC3473"/>
      <c r="FH3473"/>
      <c r="FI3473"/>
      <c r="FJ3473"/>
      <c r="FK3473"/>
      <c r="FL3473"/>
      <c r="FM3473"/>
      <c r="FN3473"/>
      <c r="FO3473"/>
      <c r="FP3473"/>
      <c r="FQ3473"/>
      <c r="FR3473"/>
      <c r="FS3473"/>
      <c r="FT3473"/>
      <c r="FU3473"/>
      <c r="FV3473"/>
      <c r="FW3473"/>
      <c r="FX3473"/>
      <c r="FY3473"/>
      <c r="FZ3473"/>
      <c r="GA3473"/>
      <c r="GB3473"/>
      <c r="GC3473"/>
      <c r="GD3473"/>
      <c r="GE3473"/>
      <c r="GF3473"/>
      <c r="GG3473"/>
      <c r="GH3473"/>
      <c r="GI3473"/>
      <c r="GJ3473"/>
      <c r="GK3473"/>
      <c r="GL3473"/>
      <c r="GM3473"/>
      <c r="GN3473"/>
      <c r="GO3473"/>
    </row>
    <row r="3474" spans="107:197">
      <c r="DC3474"/>
      <c r="FH3474"/>
      <c r="FI3474"/>
      <c r="FJ3474"/>
      <c r="FK3474"/>
      <c r="FL3474"/>
      <c r="FM3474"/>
      <c r="FN3474"/>
      <c r="FO3474"/>
      <c r="FP3474"/>
      <c r="FQ3474"/>
      <c r="FR3474"/>
      <c r="FS3474"/>
      <c r="FT3474"/>
      <c r="FU3474"/>
      <c r="FV3474"/>
      <c r="FW3474"/>
      <c r="FX3474"/>
      <c r="FY3474"/>
      <c r="FZ3474"/>
      <c r="GA3474"/>
      <c r="GB3474"/>
      <c r="GC3474"/>
      <c r="GD3474"/>
      <c r="GE3474"/>
      <c r="GF3474"/>
      <c r="GG3474"/>
      <c r="GH3474"/>
      <c r="GI3474"/>
      <c r="GJ3474"/>
      <c r="GK3474"/>
      <c r="GL3474"/>
      <c r="GM3474"/>
      <c r="GN3474"/>
      <c r="GO3474"/>
    </row>
    <row r="3475" spans="107:197">
      <c r="DC3475"/>
      <c r="FH3475"/>
      <c r="FI3475"/>
      <c r="FJ3475"/>
      <c r="FK3475"/>
      <c r="FL3475"/>
      <c r="FM3475"/>
      <c r="FN3475"/>
      <c r="FO3475"/>
      <c r="FP3475"/>
      <c r="FQ3475"/>
      <c r="FR3475"/>
      <c r="FS3475"/>
      <c r="FT3475"/>
      <c r="FU3475"/>
      <c r="FV3475"/>
      <c r="FW3475"/>
      <c r="FX3475"/>
      <c r="FY3475"/>
      <c r="FZ3475"/>
      <c r="GA3475"/>
      <c r="GB3475"/>
      <c r="GC3475"/>
      <c r="GD3475"/>
      <c r="GE3475"/>
      <c r="GF3475"/>
      <c r="GG3475"/>
      <c r="GH3475"/>
      <c r="GI3475"/>
      <c r="GJ3475"/>
      <c r="GK3475"/>
      <c r="GL3475"/>
      <c r="GM3475"/>
      <c r="GN3475"/>
      <c r="GO3475"/>
    </row>
    <row r="3476" spans="107:197">
      <c r="DC3476"/>
      <c r="FH3476"/>
      <c r="FI3476"/>
      <c r="FJ3476"/>
      <c r="FK3476"/>
      <c r="FL3476"/>
      <c r="FM3476"/>
      <c r="FN3476"/>
      <c r="FO3476"/>
      <c r="FP3476"/>
      <c r="FQ3476"/>
      <c r="FR3476"/>
      <c r="FS3476"/>
      <c r="FT3476"/>
      <c r="FU3476"/>
      <c r="FV3476"/>
      <c r="FW3476"/>
      <c r="FX3476"/>
      <c r="FY3476"/>
      <c r="FZ3476"/>
      <c r="GA3476"/>
      <c r="GB3476"/>
      <c r="GC3476"/>
      <c r="GD3476"/>
      <c r="GE3476"/>
      <c r="GF3476"/>
      <c r="GG3476"/>
      <c r="GH3476"/>
      <c r="GI3476"/>
      <c r="GJ3476"/>
      <c r="GK3476"/>
      <c r="GL3476"/>
      <c r="GM3476"/>
      <c r="GN3476"/>
      <c r="GO3476"/>
    </row>
    <row r="3477" spans="107:197">
      <c r="DC3477"/>
      <c r="FH3477"/>
      <c r="FI3477"/>
      <c r="FJ3477"/>
      <c r="FK3477"/>
      <c r="FL3477"/>
      <c r="FM3477"/>
      <c r="FN3477"/>
      <c r="FO3477"/>
      <c r="FP3477"/>
      <c r="FQ3477"/>
      <c r="FR3477"/>
      <c r="FS3477"/>
      <c r="FT3477"/>
      <c r="FU3477"/>
      <c r="FV3477"/>
      <c r="FW3477"/>
      <c r="FX3477"/>
      <c r="FY3477"/>
      <c r="FZ3477"/>
      <c r="GA3477"/>
      <c r="GB3477"/>
      <c r="GC3477"/>
      <c r="GD3477"/>
      <c r="GE3477"/>
      <c r="GF3477"/>
      <c r="GG3477"/>
      <c r="GH3477"/>
      <c r="GI3477"/>
      <c r="GJ3477"/>
      <c r="GK3477"/>
      <c r="GL3477"/>
      <c r="GM3477"/>
      <c r="GN3477"/>
      <c r="GO3477"/>
    </row>
    <row r="3478" spans="107:197">
      <c r="DC3478"/>
      <c r="FH3478"/>
      <c r="FI3478"/>
      <c r="FJ3478"/>
      <c r="FK3478"/>
      <c r="FL3478"/>
      <c r="FM3478"/>
      <c r="FN3478"/>
      <c r="FO3478"/>
      <c r="FP3478"/>
      <c r="FQ3478"/>
      <c r="FR3478"/>
      <c r="FS3478"/>
      <c r="FT3478"/>
      <c r="FU3478"/>
      <c r="FV3478"/>
      <c r="FW3478"/>
      <c r="FX3478"/>
      <c r="FY3478"/>
      <c r="FZ3478"/>
      <c r="GA3478"/>
      <c r="GB3478"/>
      <c r="GC3478"/>
      <c r="GD3478"/>
      <c r="GE3478"/>
      <c r="GF3478"/>
      <c r="GG3478"/>
      <c r="GH3478"/>
      <c r="GI3478"/>
      <c r="GJ3478"/>
      <c r="GK3478"/>
      <c r="GL3478"/>
      <c r="GM3478"/>
      <c r="GN3478"/>
      <c r="GO3478"/>
    </row>
    <row r="3479" spans="107:197">
      <c r="DC3479"/>
      <c r="FH3479"/>
      <c r="FI3479"/>
      <c r="FJ3479"/>
      <c r="FK3479"/>
      <c r="FL3479"/>
      <c r="FM3479"/>
      <c r="FN3479"/>
      <c r="FO3479"/>
      <c r="FP3479"/>
      <c r="FQ3479"/>
      <c r="FR3479"/>
      <c r="FS3479"/>
      <c r="FT3479"/>
      <c r="FU3479"/>
      <c r="FV3479"/>
      <c r="FW3479"/>
      <c r="FX3479"/>
      <c r="FY3479"/>
      <c r="FZ3479"/>
      <c r="GA3479"/>
      <c r="GB3479"/>
      <c r="GC3479"/>
      <c r="GD3479"/>
      <c r="GE3479"/>
      <c r="GF3479"/>
      <c r="GG3479"/>
      <c r="GH3479"/>
      <c r="GI3479"/>
      <c r="GJ3479"/>
      <c r="GK3479"/>
      <c r="GL3479"/>
      <c r="GM3479"/>
      <c r="GN3479"/>
      <c r="GO3479"/>
    </row>
    <row r="3480" spans="107:197">
      <c r="DC3480"/>
      <c r="FH3480"/>
      <c r="FI3480"/>
      <c r="FJ3480"/>
      <c r="FK3480"/>
      <c r="FL3480"/>
      <c r="FM3480"/>
      <c r="FN3480"/>
      <c r="FO3480"/>
      <c r="FP3480"/>
      <c r="FQ3480"/>
      <c r="FR3480"/>
      <c r="FS3480"/>
      <c r="FT3480"/>
      <c r="FU3480"/>
      <c r="FV3480"/>
      <c r="FW3480"/>
      <c r="FX3480"/>
      <c r="FY3480"/>
      <c r="FZ3480"/>
      <c r="GA3480"/>
      <c r="GB3480"/>
      <c r="GC3480"/>
      <c r="GD3480"/>
      <c r="GE3480"/>
      <c r="GF3480"/>
      <c r="GG3480"/>
      <c r="GH3480"/>
      <c r="GI3480"/>
      <c r="GJ3480"/>
      <c r="GK3480"/>
      <c r="GL3480"/>
      <c r="GM3480"/>
      <c r="GN3480"/>
      <c r="GO3480"/>
    </row>
    <row r="3481" spans="107:197">
      <c r="DC3481"/>
      <c r="FH3481"/>
      <c r="FI3481"/>
      <c r="FJ3481"/>
      <c r="FK3481"/>
      <c r="FL3481"/>
      <c r="FM3481"/>
      <c r="FN3481"/>
      <c r="FO3481"/>
      <c r="FP3481"/>
      <c r="FQ3481"/>
      <c r="FR3481"/>
      <c r="FS3481"/>
      <c r="FT3481"/>
      <c r="FU3481"/>
      <c r="FV3481"/>
      <c r="FW3481"/>
      <c r="FX3481"/>
      <c r="FY3481"/>
      <c r="FZ3481"/>
      <c r="GA3481"/>
      <c r="GB3481"/>
      <c r="GC3481"/>
      <c r="GD3481"/>
      <c r="GE3481"/>
      <c r="GF3481"/>
      <c r="GG3481"/>
      <c r="GH3481"/>
      <c r="GI3481"/>
      <c r="GJ3481"/>
      <c r="GK3481"/>
      <c r="GL3481"/>
      <c r="GM3481"/>
      <c r="GN3481"/>
      <c r="GO3481"/>
    </row>
    <row r="3482" spans="107:197">
      <c r="DC3482"/>
      <c r="FH3482"/>
      <c r="FI3482"/>
      <c r="FJ3482"/>
      <c r="FK3482"/>
      <c r="FL3482"/>
      <c r="FM3482"/>
      <c r="FN3482"/>
      <c r="FO3482"/>
      <c r="FP3482"/>
      <c r="FQ3482"/>
      <c r="FR3482"/>
      <c r="FS3482"/>
      <c r="FT3482"/>
      <c r="FU3482"/>
      <c r="FV3482"/>
      <c r="FW3482"/>
      <c r="FX3482"/>
      <c r="FY3482"/>
      <c r="FZ3482"/>
      <c r="GA3482"/>
      <c r="GB3482"/>
      <c r="GC3482"/>
      <c r="GD3482"/>
      <c r="GE3482"/>
      <c r="GF3482"/>
      <c r="GG3482"/>
      <c r="GH3482"/>
      <c r="GI3482"/>
      <c r="GJ3482"/>
      <c r="GK3482"/>
      <c r="GL3482"/>
      <c r="GM3482"/>
      <c r="GN3482"/>
      <c r="GO3482"/>
    </row>
    <row r="3483" spans="107:197">
      <c r="DC3483"/>
      <c r="FH3483"/>
      <c r="FI3483"/>
      <c r="FJ3483"/>
      <c r="FK3483"/>
      <c r="FL3483"/>
      <c r="FM3483"/>
      <c r="FN3483"/>
      <c r="FO3483"/>
      <c r="FP3483"/>
      <c r="FQ3483"/>
      <c r="FR3483"/>
      <c r="FS3483"/>
      <c r="FT3483"/>
      <c r="FU3483"/>
      <c r="FV3483"/>
      <c r="FW3483"/>
      <c r="FX3483"/>
      <c r="FY3483"/>
      <c r="FZ3483"/>
      <c r="GA3483"/>
      <c r="GB3483"/>
      <c r="GC3483"/>
      <c r="GD3483"/>
      <c r="GE3483"/>
      <c r="GF3483"/>
      <c r="GG3483"/>
      <c r="GH3483"/>
      <c r="GI3483"/>
      <c r="GJ3483"/>
      <c r="GK3483"/>
      <c r="GL3483"/>
      <c r="GM3483"/>
      <c r="GN3483"/>
      <c r="GO3483"/>
    </row>
    <row r="3484" spans="107:197">
      <c r="DC3484"/>
      <c r="FH3484"/>
      <c r="FI3484"/>
      <c r="FJ3484"/>
      <c r="FK3484"/>
      <c r="FL3484"/>
      <c r="FM3484"/>
      <c r="FN3484"/>
      <c r="FO3484"/>
      <c r="FP3484"/>
      <c r="FQ3484"/>
      <c r="FR3484"/>
      <c r="FS3484"/>
      <c r="FT3484"/>
      <c r="FU3484"/>
      <c r="FV3484"/>
      <c r="FW3484"/>
      <c r="FX3484"/>
      <c r="FY3484"/>
      <c r="FZ3484"/>
      <c r="GA3484"/>
      <c r="GB3484"/>
      <c r="GC3484"/>
      <c r="GD3484"/>
      <c r="GE3484"/>
      <c r="GF3484"/>
      <c r="GG3484"/>
      <c r="GH3484"/>
      <c r="GI3484"/>
      <c r="GJ3484"/>
      <c r="GK3484"/>
      <c r="GL3484"/>
      <c r="GM3484"/>
      <c r="GN3484"/>
      <c r="GO3484"/>
    </row>
    <row r="3485" spans="107:197">
      <c r="DC3485"/>
      <c r="FH3485"/>
      <c r="FI3485"/>
      <c r="FJ3485"/>
      <c r="FK3485"/>
      <c r="FL3485"/>
      <c r="FM3485"/>
      <c r="FN3485"/>
      <c r="FO3485"/>
      <c r="FP3485"/>
      <c r="FQ3485"/>
      <c r="FR3485"/>
      <c r="FS3485"/>
      <c r="FT3485"/>
      <c r="FU3485"/>
      <c r="FV3485"/>
      <c r="FW3485"/>
      <c r="FX3485"/>
      <c r="FY3485"/>
      <c r="FZ3485"/>
      <c r="GA3485"/>
      <c r="GB3485"/>
      <c r="GC3485"/>
      <c r="GD3485"/>
      <c r="GE3485"/>
      <c r="GF3485"/>
      <c r="GG3485"/>
      <c r="GH3485"/>
      <c r="GI3485"/>
      <c r="GJ3485"/>
      <c r="GK3485"/>
      <c r="GL3485"/>
      <c r="GM3485"/>
      <c r="GN3485"/>
      <c r="GO3485"/>
    </row>
    <row r="3486" spans="107:197">
      <c r="DC3486"/>
      <c r="FH3486"/>
      <c r="FI3486"/>
      <c r="FJ3486"/>
      <c r="FK3486"/>
      <c r="FL3486"/>
      <c r="FM3486"/>
      <c r="FN3486"/>
      <c r="FO3486"/>
      <c r="FP3486"/>
      <c r="FQ3486"/>
      <c r="FR3486"/>
      <c r="FS3486"/>
      <c r="FT3486"/>
      <c r="FU3486"/>
      <c r="FV3486"/>
      <c r="FW3486"/>
      <c r="FX3486"/>
      <c r="FY3486"/>
      <c r="FZ3486"/>
      <c r="GA3486"/>
      <c r="GB3486"/>
      <c r="GC3486"/>
      <c r="GD3486"/>
      <c r="GE3486"/>
      <c r="GF3486"/>
      <c r="GG3486"/>
      <c r="GH3486"/>
      <c r="GI3486"/>
      <c r="GJ3486"/>
      <c r="GK3486"/>
      <c r="GL3486"/>
      <c r="GM3486"/>
      <c r="GN3486"/>
      <c r="GO3486"/>
    </row>
    <row r="3487" spans="107:197">
      <c r="DC3487"/>
      <c r="FH3487"/>
      <c r="FI3487"/>
      <c r="FJ3487"/>
      <c r="FK3487"/>
      <c r="FL3487"/>
      <c r="FM3487"/>
      <c r="FN3487"/>
      <c r="FO3487"/>
      <c r="FP3487"/>
      <c r="FQ3487"/>
      <c r="FR3487"/>
      <c r="FS3487"/>
      <c r="FT3487"/>
      <c r="FU3487"/>
      <c r="FV3487"/>
      <c r="FW3487"/>
      <c r="FX3487"/>
      <c r="FY3487"/>
      <c r="FZ3487"/>
      <c r="GA3487"/>
      <c r="GB3487"/>
      <c r="GC3487"/>
      <c r="GD3487"/>
      <c r="GE3487"/>
      <c r="GF3487"/>
      <c r="GG3487"/>
      <c r="GH3487"/>
      <c r="GI3487"/>
      <c r="GJ3487"/>
      <c r="GK3487"/>
      <c r="GL3487"/>
      <c r="GM3487"/>
      <c r="GN3487"/>
      <c r="GO3487"/>
    </row>
    <row r="3488" spans="107:197">
      <c r="DC3488"/>
      <c r="FH3488"/>
      <c r="FI3488"/>
      <c r="FJ3488"/>
      <c r="FK3488"/>
      <c r="FL3488"/>
      <c r="FM3488"/>
      <c r="FN3488"/>
      <c r="FO3488"/>
      <c r="FP3488"/>
      <c r="FQ3488"/>
      <c r="FR3488"/>
      <c r="FS3488"/>
      <c r="FT3488"/>
      <c r="FU3488"/>
      <c r="FV3488"/>
      <c r="FW3488"/>
      <c r="FX3488"/>
      <c r="FY3488"/>
      <c r="FZ3488"/>
      <c r="GA3488"/>
      <c r="GB3488"/>
      <c r="GC3488"/>
      <c r="GD3488"/>
      <c r="GE3488"/>
      <c r="GF3488"/>
      <c r="GG3488"/>
      <c r="GH3488"/>
      <c r="GI3488"/>
      <c r="GJ3488"/>
      <c r="GK3488"/>
      <c r="GL3488"/>
      <c r="GM3488"/>
      <c r="GN3488"/>
      <c r="GO3488"/>
    </row>
    <row r="3489" spans="107:197">
      <c r="DC3489"/>
      <c r="FH3489"/>
      <c r="FI3489"/>
      <c r="FJ3489"/>
      <c r="FK3489"/>
      <c r="FL3489"/>
      <c r="FM3489"/>
      <c r="FN3489"/>
      <c r="FO3489"/>
      <c r="FP3489"/>
      <c r="FQ3489"/>
      <c r="FR3489"/>
      <c r="FS3489"/>
      <c r="FT3489"/>
      <c r="FU3489"/>
      <c r="FV3489"/>
      <c r="FW3489"/>
      <c r="FX3489"/>
      <c r="FY3489"/>
      <c r="FZ3489"/>
      <c r="GA3489"/>
      <c r="GB3489"/>
      <c r="GC3489"/>
      <c r="GD3489"/>
      <c r="GE3489"/>
      <c r="GF3489"/>
      <c r="GG3489"/>
      <c r="GH3489"/>
      <c r="GI3489"/>
      <c r="GJ3489"/>
      <c r="GK3489"/>
      <c r="GL3489"/>
      <c r="GM3489"/>
      <c r="GN3489"/>
      <c r="GO3489"/>
    </row>
    <row r="3490" spans="107:197">
      <c r="DC3490"/>
      <c r="FH3490"/>
      <c r="FI3490"/>
      <c r="FJ3490"/>
      <c r="FK3490"/>
      <c r="FL3490"/>
      <c r="FM3490"/>
      <c r="FN3490"/>
      <c r="FO3490"/>
      <c r="FP3490"/>
      <c r="FQ3490"/>
      <c r="FR3490"/>
      <c r="FS3490"/>
      <c r="FT3490"/>
      <c r="FU3490"/>
      <c r="FV3490"/>
      <c r="FW3490"/>
      <c r="FX3490"/>
      <c r="FY3490"/>
      <c r="FZ3490"/>
      <c r="GA3490"/>
      <c r="GB3490"/>
      <c r="GC3490"/>
      <c r="GD3490"/>
      <c r="GE3490"/>
      <c r="GF3490"/>
      <c r="GG3490"/>
      <c r="GH3490"/>
      <c r="GI3490"/>
      <c r="GJ3490"/>
      <c r="GK3490"/>
      <c r="GL3490"/>
      <c r="GM3490"/>
      <c r="GN3490"/>
      <c r="GO3490"/>
    </row>
    <row r="3491" spans="107:197">
      <c r="DC3491"/>
      <c r="FH3491"/>
      <c r="FI3491"/>
      <c r="FJ3491"/>
      <c r="FK3491"/>
      <c r="FL3491"/>
      <c r="FM3491"/>
      <c r="FN3491"/>
      <c r="FO3491"/>
      <c r="FP3491"/>
      <c r="FQ3491"/>
      <c r="FR3491"/>
      <c r="FS3491"/>
      <c r="FT3491"/>
      <c r="FU3491"/>
      <c r="FV3491"/>
      <c r="FW3491"/>
      <c r="FX3491"/>
      <c r="FY3491"/>
      <c r="FZ3491"/>
      <c r="GA3491"/>
      <c r="GB3491"/>
      <c r="GC3491"/>
      <c r="GD3491"/>
      <c r="GE3491"/>
      <c r="GF3491"/>
      <c r="GG3491"/>
      <c r="GH3491"/>
      <c r="GI3491"/>
      <c r="GJ3491"/>
      <c r="GK3491"/>
      <c r="GL3491"/>
      <c r="GM3491"/>
      <c r="GN3491"/>
      <c r="GO3491"/>
    </row>
    <row r="3492" spans="107:197">
      <c r="DC3492"/>
      <c r="FH3492"/>
      <c r="FI3492"/>
      <c r="FJ3492"/>
      <c r="FK3492"/>
      <c r="FL3492"/>
      <c r="FM3492"/>
      <c r="FN3492"/>
      <c r="FO3492"/>
      <c r="FP3492"/>
      <c r="FQ3492"/>
      <c r="FR3492"/>
      <c r="FS3492"/>
      <c r="FT3492"/>
      <c r="FU3492"/>
      <c r="FV3492"/>
      <c r="FW3492"/>
      <c r="FX3492"/>
      <c r="FY3492"/>
      <c r="FZ3492"/>
      <c r="GA3492"/>
      <c r="GB3492"/>
      <c r="GC3492"/>
      <c r="GD3492"/>
      <c r="GE3492"/>
      <c r="GF3492"/>
      <c r="GG3492"/>
      <c r="GH3492"/>
      <c r="GI3492"/>
      <c r="GJ3492"/>
      <c r="GK3492"/>
      <c r="GL3492"/>
      <c r="GM3492"/>
      <c r="GN3492"/>
      <c r="GO3492"/>
    </row>
    <row r="3493" spans="107:197">
      <c r="DC3493"/>
      <c r="FH3493"/>
      <c r="FI3493"/>
      <c r="FJ3493"/>
      <c r="FK3493"/>
      <c r="FL3493"/>
      <c r="FM3493"/>
      <c r="FN3493"/>
      <c r="FO3493"/>
      <c r="FP3493"/>
      <c r="FQ3493"/>
      <c r="FR3493"/>
      <c r="FS3493"/>
      <c r="FT3493"/>
      <c r="FU3493"/>
      <c r="FV3493"/>
      <c r="FW3493"/>
      <c r="FX3493"/>
      <c r="FY3493"/>
      <c r="FZ3493"/>
      <c r="GA3493"/>
      <c r="GB3493"/>
      <c r="GC3493"/>
      <c r="GD3493"/>
      <c r="GE3493"/>
      <c r="GF3493"/>
      <c r="GG3493"/>
      <c r="GH3493"/>
      <c r="GI3493"/>
      <c r="GJ3493"/>
      <c r="GK3493"/>
      <c r="GL3493"/>
      <c r="GM3493"/>
      <c r="GN3493"/>
      <c r="GO3493"/>
    </row>
    <row r="3494" spans="107:197">
      <c r="DC3494"/>
      <c r="FH3494"/>
      <c r="FI3494"/>
      <c r="FJ3494"/>
      <c r="FK3494"/>
      <c r="FL3494"/>
      <c r="FM3494"/>
      <c r="FN3494"/>
      <c r="FO3494"/>
      <c r="FP3494"/>
      <c r="FQ3494"/>
      <c r="FR3494"/>
      <c r="FS3494"/>
      <c r="FT3494"/>
      <c r="FU3494"/>
      <c r="FV3494"/>
      <c r="FW3494"/>
      <c r="FX3494"/>
      <c r="FY3494"/>
      <c r="FZ3494"/>
      <c r="GA3494"/>
      <c r="GB3494"/>
      <c r="GC3494"/>
      <c r="GD3494"/>
      <c r="GE3494"/>
      <c r="GF3494"/>
      <c r="GG3494"/>
      <c r="GH3494"/>
      <c r="GI3494"/>
      <c r="GJ3494"/>
      <c r="GK3494"/>
      <c r="GL3494"/>
      <c r="GM3494"/>
      <c r="GN3494"/>
      <c r="GO3494"/>
    </row>
    <row r="3495" spans="107:197">
      <c r="DC3495"/>
      <c r="FH3495"/>
      <c r="FI3495"/>
      <c r="FJ3495"/>
      <c r="FK3495"/>
      <c r="FL3495"/>
      <c r="FM3495"/>
      <c r="FN3495"/>
      <c r="FO3495"/>
      <c r="FP3495"/>
      <c r="FQ3495"/>
      <c r="FR3495"/>
      <c r="FS3495"/>
      <c r="FT3495"/>
      <c r="FU3495"/>
      <c r="FV3495"/>
      <c r="FW3495"/>
      <c r="FX3495"/>
      <c r="FY3495"/>
      <c r="FZ3495"/>
      <c r="GA3495"/>
      <c r="GB3495"/>
      <c r="GC3495"/>
      <c r="GD3495"/>
      <c r="GE3495"/>
      <c r="GF3495"/>
      <c r="GG3495"/>
      <c r="GH3495"/>
      <c r="GI3495"/>
      <c r="GJ3495"/>
      <c r="GK3495"/>
      <c r="GL3495"/>
      <c r="GM3495"/>
      <c r="GN3495"/>
      <c r="GO3495"/>
    </row>
    <row r="3496" spans="107:197">
      <c r="DC3496"/>
      <c r="FH3496"/>
      <c r="FI3496"/>
      <c r="FJ3496"/>
      <c r="FK3496"/>
      <c r="FL3496"/>
      <c r="FM3496"/>
      <c r="FN3496"/>
      <c r="FO3496"/>
      <c r="FP3496"/>
      <c r="FQ3496"/>
      <c r="FR3496"/>
      <c r="FS3496"/>
      <c r="FT3496"/>
      <c r="FU3496"/>
      <c r="FV3496"/>
      <c r="FW3496"/>
      <c r="FX3496"/>
      <c r="FY3496"/>
      <c r="FZ3496"/>
      <c r="GA3496"/>
      <c r="GB3496"/>
      <c r="GC3496"/>
      <c r="GD3496"/>
      <c r="GE3496"/>
      <c r="GF3496"/>
      <c r="GG3496"/>
      <c r="GH3496"/>
      <c r="GI3496"/>
      <c r="GJ3496"/>
      <c r="GK3496"/>
      <c r="GL3496"/>
      <c r="GM3496"/>
      <c r="GN3496"/>
      <c r="GO3496"/>
    </row>
    <row r="3497" spans="107:197">
      <c r="DC3497"/>
      <c r="FH3497"/>
      <c r="FI3497"/>
      <c r="FJ3497"/>
      <c r="FK3497"/>
      <c r="FL3497"/>
      <c r="FM3497"/>
      <c r="FN3497"/>
      <c r="FO3497"/>
      <c r="FP3497"/>
      <c r="FQ3497"/>
      <c r="FR3497"/>
      <c r="FS3497"/>
      <c r="FT3497"/>
      <c r="FU3497"/>
      <c r="FV3497"/>
      <c r="FW3497"/>
      <c r="FX3497"/>
      <c r="FY3497"/>
      <c r="FZ3497"/>
      <c r="GA3497"/>
      <c r="GB3497"/>
      <c r="GC3497"/>
      <c r="GD3497"/>
      <c r="GE3497"/>
      <c r="GF3497"/>
      <c r="GG3497"/>
      <c r="GH3497"/>
      <c r="GI3497"/>
      <c r="GJ3497"/>
      <c r="GK3497"/>
      <c r="GL3497"/>
      <c r="GM3497"/>
      <c r="GN3497"/>
      <c r="GO3497"/>
    </row>
    <row r="3498" spans="107:197">
      <c r="DC3498"/>
      <c r="FH3498"/>
      <c r="FI3498"/>
      <c r="FJ3498"/>
      <c r="FK3498"/>
      <c r="FL3498"/>
      <c r="FM3498"/>
      <c r="FN3498"/>
      <c r="FO3498"/>
      <c r="FP3498"/>
      <c r="FQ3498"/>
      <c r="FR3498"/>
      <c r="FS3498"/>
      <c r="FT3498"/>
      <c r="FU3498"/>
      <c r="FV3498"/>
      <c r="FW3498"/>
      <c r="FX3498"/>
      <c r="FY3498"/>
      <c r="FZ3498"/>
      <c r="GA3498"/>
      <c r="GB3498"/>
      <c r="GC3498"/>
      <c r="GD3498"/>
      <c r="GE3498"/>
      <c r="GF3498"/>
      <c r="GG3498"/>
      <c r="GH3498"/>
      <c r="GI3498"/>
      <c r="GJ3498"/>
      <c r="GK3498"/>
      <c r="GL3498"/>
      <c r="GM3498"/>
      <c r="GN3498"/>
      <c r="GO3498"/>
    </row>
    <row r="3499" spans="107:197">
      <c r="DC3499"/>
      <c r="FH3499"/>
      <c r="FI3499"/>
      <c r="FJ3499"/>
      <c r="FK3499"/>
      <c r="FL3499"/>
      <c r="FM3499"/>
      <c r="FN3499"/>
      <c r="FO3499"/>
      <c r="FP3499"/>
      <c r="FQ3499"/>
      <c r="FR3499"/>
      <c r="FS3499"/>
      <c r="FT3499"/>
      <c r="FU3499"/>
      <c r="FV3499"/>
      <c r="FW3499"/>
      <c r="FX3499"/>
      <c r="FY3499"/>
      <c r="FZ3499"/>
      <c r="GA3499"/>
      <c r="GB3499"/>
      <c r="GC3499"/>
      <c r="GD3499"/>
      <c r="GE3499"/>
      <c r="GF3499"/>
      <c r="GG3499"/>
      <c r="GH3499"/>
      <c r="GI3499"/>
      <c r="GJ3499"/>
      <c r="GK3499"/>
      <c r="GL3499"/>
      <c r="GM3499"/>
      <c r="GN3499"/>
      <c r="GO3499"/>
    </row>
    <row r="3500" spans="107:197">
      <c r="DC3500"/>
      <c r="FH3500"/>
      <c r="FI3500"/>
      <c r="FJ3500"/>
      <c r="FK3500"/>
      <c r="FL3500"/>
      <c r="FM3500"/>
      <c r="FN3500"/>
      <c r="FO3500"/>
      <c r="FP3500"/>
      <c r="FQ3500"/>
      <c r="FR3500"/>
      <c r="FS3500"/>
      <c r="FT3500"/>
      <c r="FU3500"/>
      <c r="FV3500"/>
      <c r="FW3500"/>
      <c r="FX3500"/>
      <c r="FY3500"/>
      <c r="FZ3500"/>
      <c r="GA3500"/>
      <c r="GB3500"/>
      <c r="GC3500"/>
      <c r="GD3500"/>
      <c r="GE3500"/>
      <c r="GF3500"/>
      <c r="GG3500"/>
      <c r="GH3500"/>
      <c r="GI3500"/>
      <c r="GJ3500"/>
      <c r="GK3500"/>
      <c r="GL3500"/>
      <c r="GM3500"/>
      <c r="GN3500"/>
      <c r="GO3500"/>
    </row>
    <row r="3501" spans="107:197">
      <c r="DC3501"/>
      <c r="FH3501"/>
      <c r="FI3501"/>
      <c r="FJ3501"/>
      <c r="FK3501"/>
      <c r="FL3501"/>
      <c r="FM3501"/>
      <c r="FN3501"/>
      <c r="FO3501"/>
      <c r="FP3501"/>
      <c r="FQ3501"/>
      <c r="FR3501"/>
      <c r="FS3501"/>
      <c r="FT3501"/>
      <c r="FU3501"/>
      <c r="FV3501"/>
      <c r="FW3501"/>
      <c r="FX3501"/>
      <c r="FY3501"/>
      <c r="FZ3501"/>
      <c r="GA3501"/>
      <c r="GB3501"/>
      <c r="GC3501"/>
      <c r="GD3501"/>
      <c r="GE3501"/>
      <c r="GF3501"/>
      <c r="GG3501"/>
      <c r="GH3501"/>
      <c r="GI3501"/>
      <c r="GJ3501"/>
      <c r="GK3501"/>
      <c r="GL3501"/>
      <c r="GM3501"/>
      <c r="GN3501"/>
      <c r="GO3501"/>
    </row>
    <row r="3502" spans="107:197">
      <c r="DC3502"/>
      <c r="FH3502"/>
      <c r="FI3502"/>
      <c r="FJ3502"/>
      <c r="FK3502"/>
      <c r="FL3502"/>
      <c r="FM3502"/>
      <c r="FN3502"/>
      <c r="FO3502"/>
      <c r="FP3502"/>
      <c r="FQ3502"/>
      <c r="FR3502"/>
      <c r="FS3502"/>
      <c r="FT3502"/>
      <c r="FU3502"/>
      <c r="FV3502"/>
      <c r="FW3502"/>
      <c r="FX3502"/>
      <c r="FY3502"/>
      <c r="FZ3502"/>
      <c r="GA3502"/>
      <c r="GB3502"/>
      <c r="GC3502"/>
      <c r="GD3502"/>
      <c r="GE3502"/>
      <c r="GF3502"/>
      <c r="GG3502"/>
      <c r="GH3502"/>
      <c r="GI3502"/>
      <c r="GJ3502"/>
      <c r="GK3502"/>
      <c r="GL3502"/>
      <c r="GM3502"/>
      <c r="GN3502"/>
      <c r="GO3502"/>
    </row>
    <row r="3503" spans="107:197">
      <c r="DC3503"/>
      <c r="FH3503"/>
      <c r="FI3503"/>
      <c r="FJ3503"/>
      <c r="FK3503"/>
      <c r="FL3503"/>
      <c r="FM3503"/>
      <c r="FN3503"/>
      <c r="FO3503"/>
      <c r="FP3503"/>
      <c r="FQ3503"/>
      <c r="FR3503"/>
      <c r="FS3503"/>
      <c r="FT3503"/>
      <c r="FU3503"/>
      <c r="FV3503"/>
      <c r="FW3503"/>
      <c r="FX3503"/>
      <c r="FY3503"/>
      <c r="FZ3503"/>
      <c r="GA3503"/>
      <c r="GB3503"/>
      <c r="GC3503"/>
      <c r="GD3503"/>
      <c r="GE3503"/>
      <c r="GF3503"/>
      <c r="GG3503"/>
      <c r="GH3503"/>
      <c r="GI3503"/>
      <c r="GJ3503"/>
      <c r="GK3503"/>
      <c r="GL3503"/>
      <c r="GM3503"/>
      <c r="GN3503"/>
      <c r="GO3503"/>
    </row>
    <row r="3504" spans="107:197">
      <c r="DC3504"/>
      <c r="FH3504"/>
      <c r="FI3504"/>
      <c r="FJ3504"/>
      <c r="FK3504"/>
      <c r="FL3504"/>
      <c r="FM3504"/>
      <c r="FN3504"/>
      <c r="FO3504"/>
      <c r="FP3504"/>
      <c r="FQ3504"/>
      <c r="FR3504"/>
      <c r="FS3504"/>
      <c r="FT3504"/>
      <c r="FU3504"/>
      <c r="FV3504"/>
      <c r="FW3504"/>
      <c r="FX3504"/>
      <c r="FY3504"/>
      <c r="FZ3504"/>
      <c r="GA3504"/>
      <c r="GB3504"/>
      <c r="GC3504"/>
      <c r="GD3504"/>
      <c r="GE3504"/>
      <c r="GF3504"/>
      <c r="GG3504"/>
      <c r="GH3504"/>
      <c r="GI3504"/>
      <c r="GJ3504"/>
      <c r="GK3504"/>
      <c r="GL3504"/>
      <c r="GM3504"/>
      <c r="GN3504"/>
      <c r="GO3504"/>
    </row>
    <row r="3505" spans="107:197">
      <c r="DC3505"/>
      <c r="FH3505"/>
      <c r="FI3505"/>
      <c r="FJ3505"/>
      <c r="FK3505"/>
      <c r="FL3505"/>
      <c r="FM3505"/>
      <c r="FN3505"/>
      <c r="FO3505"/>
      <c r="FP3505"/>
      <c r="FQ3505"/>
      <c r="FR3505"/>
      <c r="FS3505"/>
      <c r="FT3505"/>
      <c r="FU3505"/>
      <c r="FV3505"/>
      <c r="FW3505"/>
      <c r="FX3505"/>
      <c r="FY3505"/>
      <c r="FZ3505"/>
      <c r="GA3505"/>
      <c r="GB3505"/>
      <c r="GC3505"/>
      <c r="GD3505"/>
      <c r="GE3505"/>
      <c r="GF3505"/>
      <c r="GG3505"/>
      <c r="GH3505"/>
      <c r="GI3505"/>
      <c r="GJ3505"/>
      <c r="GK3505"/>
      <c r="GL3505"/>
      <c r="GM3505"/>
      <c r="GN3505"/>
      <c r="GO3505"/>
    </row>
    <row r="3506" spans="107:197">
      <c r="DC3506"/>
      <c r="FH3506"/>
      <c r="FI3506"/>
      <c r="FJ3506"/>
      <c r="FK3506"/>
      <c r="FL3506"/>
      <c r="FM3506"/>
      <c r="FN3506"/>
      <c r="FO3506"/>
      <c r="FP3506"/>
      <c r="FQ3506"/>
      <c r="FR3506"/>
      <c r="FS3506"/>
      <c r="FT3506"/>
      <c r="FU3506"/>
      <c r="FV3506"/>
      <c r="FW3506"/>
      <c r="FX3506"/>
      <c r="FY3506"/>
      <c r="FZ3506"/>
      <c r="GA3506"/>
      <c r="GB3506"/>
      <c r="GC3506"/>
      <c r="GD3506"/>
      <c r="GE3506"/>
      <c r="GF3506"/>
      <c r="GG3506"/>
      <c r="GH3506"/>
      <c r="GI3506"/>
      <c r="GJ3506"/>
      <c r="GK3506"/>
      <c r="GL3506"/>
      <c r="GM3506"/>
      <c r="GN3506"/>
      <c r="GO3506"/>
    </row>
    <row r="3507" spans="107:197">
      <c r="DC3507"/>
      <c r="FH3507"/>
      <c r="FI3507"/>
      <c r="FJ3507"/>
      <c r="FK3507"/>
      <c r="FL3507"/>
      <c r="FM3507"/>
      <c r="FN3507"/>
      <c r="FO3507"/>
      <c r="FP3507"/>
      <c r="FQ3507"/>
      <c r="FR3507"/>
      <c r="FS3507"/>
      <c r="FT3507"/>
      <c r="FU3507"/>
      <c r="FV3507"/>
      <c r="FW3507"/>
      <c r="FX3507"/>
      <c r="FY3507"/>
      <c r="FZ3507"/>
      <c r="GA3507"/>
      <c r="GB3507"/>
      <c r="GC3507"/>
      <c r="GD3507"/>
      <c r="GE3507"/>
      <c r="GF3507"/>
      <c r="GG3507"/>
      <c r="GH3507"/>
      <c r="GI3507"/>
      <c r="GJ3507"/>
      <c r="GK3507"/>
      <c r="GL3507"/>
      <c r="GM3507"/>
      <c r="GN3507"/>
      <c r="GO3507"/>
    </row>
    <row r="3508" spans="107:197">
      <c r="DC3508"/>
      <c r="FH3508"/>
      <c r="FI3508"/>
      <c r="FJ3508"/>
      <c r="FK3508"/>
      <c r="FL3508"/>
      <c r="FM3508"/>
      <c r="FN3508"/>
      <c r="FO3508"/>
      <c r="FP3508"/>
      <c r="FQ3508"/>
      <c r="FR3508"/>
      <c r="FS3508"/>
      <c r="FT3508"/>
      <c r="FU3508"/>
      <c r="FV3508"/>
      <c r="FW3508"/>
      <c r="FX3508"/>
      <c r="FY3508"/>
      <c r="FZ3508"/>
      <c r="GA3508"/>
      <c r="GB3508"/>
      <c r="GC3508"/>
      <c r="GD3508"/>
      <c r="GE3508"/>
      <c r="GF3508"/>
      <c r="GG3508"/>
      <c r="GH3508"/>
      <c r="GI3508"/>
      <c r="GJ3508"/>
      <c r="GK3508"/>
      <c r="GL3508"/>
      <c r="GM3508"/>
      <c r="GN3508"/>
      <c r="GO3508"/>
    </row>
    <row r="3509" spans="107:197">
      <c r="DC3509"/>
      <c r="FH3509"/>
      <c r="FI3509"/>
      <c r="FJ3509"/>
      <c r="FK3509"/>
      <c r="FL3509"/>
      <c r="FM3509"/>
      <c r="FN3509"/>
      <c r="FO3509"/>
      <c r="FP3509"/>
      <c r="FQ3509"/>
      <c r="FR3509"/>
      <c r="FS3509"/>
      <c r="FT3509"/>
      <c r="FU3509"/>
      <c r="FV3509"/>
      <c r="FW3509"/>
      <c r="FX3509"/>
      <c r="FY3509"/>
      <c r="FZ3509"/>
      <c r="GA3509"/>
      <c r="GB3509"/>
      <c r="GC3509"/>
      <c r="GD3509"/>
      <c r="GE3509"/>
      <c r="GF3509"/>
      <c r="GG3509"/>
      <c r="GH3509"/>
      <c r="GI3509"/>
      <c r="GJ3509"/>
      <c r="GK3509"/>
      <c r="GL3509"/>
      <c r="GM3509"/>
      <c r="GN3509"/>
      <c r="GO3509"/>
    </row>
    <row r="3510" spans="107:197">
      <c r="DC3510"/>
      <c r="FH3510"/>
      <c r="FI3510"/>
      <c r="FJ3510"/>
      <c r="FK3510"/>
      <c r="FL3510"/>
      <c r="FM3510"/>
      <c r="FN3510"/>
      <c r="FO3510"/>
      <c r="FP3510"/>
      <c r="FQ3510"/>
      <c r="FR3510"/>
      <c r="FS3510"/>
      <c r="FT3510"/>
      <c r="FU3510"/>
      <c r="FV3510"/>
      <c r="FW3510"/>
      <c r="FX3510"/>
      <c r="FY3510"/>
      <c r="FZ3510"/>
      <c r="GA3510"/>
      <c r="GB3510"/>
      <c r="GC3510"/>
      <c r="GD3510"/>
      <c r="GE3510"/>
      <c r="GF3510"/>
      <c r="GG3510"/>
      <c r="GH3510"/>
      <c r="GI3510"/>
      <c r="GJ3510"/>
      <c r="GK3510"/>
      <c r="GL3510"/>
      <c r="GM3510"/>
      <c r="GN3510"/>
      <c r="GO3510"/>
    </row>
    <row r="3511" spans="107:197">
      <c r="DC3511"/>
      <c r="FH3511"/>
      <c r="FI3511"/>
      <c r="FJ3511"/>
      <c r="FK3511"/>
      <c r="FL3511"/>
      <c r="FM3511"/>
      <c r="FN3511"/>
      <c r="FO3511"/>
      <c r="FP3511"/>
      <c r="FQ3511"/>
      <c r="FR3511"/>
      <c r="FS3511"/>
      <c r="FT3511"/>
      <c r="FU3511"/>
      <c r="FV3511"/>
      <c r="FW3511"/>
      <c r="FX3511"/>
      <c r="FY3511"/>
      <c r="FZ3511"/>
      <c r="GA3511"/>
      <c r="GB3511"/>
      <c r="GC3511"/>
      <c r="GD3511"/>
      <c r="GE3511"/>
      <c r="GF3511"/>
      <c r="GG3511"/>
      <c r="GH3511"/>
      <c r="GI3511"/>
      <c r="GJ3511"/>
      <c r="GK3511"/>
      <c r="GL3511"/>
      <c r="GM3511"/>
      <c r="GN3511"/>
      <c r="GO3511"/>
    </row>
    <row r="3512" spans="107:197">
      <c r="DC3512"/>
      <c r="FH3512"/>
      <c r="FI3512"/>
      <c r="FJ3512"/>
      <c r="FK3512"/>
      <c r="FL3512"/>
      <c r="FM3512"/>
      <c r="FN3512"/>
      <c r="FO3512"/>
      <c r="FP3512"/>
      <c r="FQ3512"/>
      <c r="FR3512"/>
      <c r="FS3512"/>
      <c r="FT3512"/>
      <c r="FU3512"/>
      <c r="FV3512"/>
      <c r="FW3512"/>
      <c r="FX3512"/>
      <c r="FY3512"/>
      <c r="FZ3512"/>
      <c r="GA3512"/>
      <c r="GB3512"/>
      <c r="GC3512"/>
      <c r="GD3512"/>
      <c r="GE3512"/>
      <c r="GF3512"/>
      <c r="GG3512"/>
      <c r="GH3512"/>
      <c r="GI3512"/>
      <c r="GJ3512"/>
      <c r="GK3512"/>
      <c r="GL3512"/>
      <c r="GM3512"/>
      <c r="GN3512"/>
      <c r="GO3512"/>
    </row>
    <row r="3513" spans="107:197">
      <c r="DC3513"/>
      <c r="FH3513"/>
      <c r="FI3513"/>
      <c r="FJ3513"/>
      <c r="FK3513"/>
      <c r="FL3513"/>
      <c r="FM3513"/>
      <c r="FN3513"/>
      <c r="FO3513"/>
      <c r="FP3513"/>
      <c r="FQ3513"/>
      <c r="FR3513"/>
      <c r="FS3513"/>
      <c r="FT3513"/>
      <c r="FU3513"/>
      <c r="FV3513"/>
      <c r="FW3513"/>
      <c r="FX3513"/>
      <c r="FY3513"/>
      <c r="FZ3513"/>
      <c r="GA3513"/>
      <c r="GB3513"/>
      <c r="GC3513"/>
      <c r="GD3513"/>
      <c r="GE3513"/>
      <c r="GF3513"/>
      <c r="GG3513"/>
      <c r="GH3513"/>
      <c r="GI3513"/>
      <c r="GJ3513"/>
      <c r="GK3513"/>
      <c r="GL3513"/>
      <c r="GM3513"/>
      <c r="GN3513"/>
      <c r="GO3513"/>
    </row>
    <row r="3514" spans="107:197">
      <c r="DC3514"/>
      <c r="FH3514"/>
      <c r="FI3514"/>
      <c r="FJ3514"/>
      <c r="FK3514"/>
      <c r="FL3514"/>
      <c r="FM3514"/>
      <c r="FN3514"/>
      <c r="FO3514"/>
      <c r="FP3514"/>
      <c r="FQ3514"/>
      <c r="FR3514"/>
      <c r="FS3514"/>
      <c r="FT3514"/>
      <c r="FU3514"/>
      <c r="FV3514"/>
      <c r="FW3514"/>
      <c r="FX3514"/>
      <c r="FY3514"/>
      <c r="FZ3514"/>
      <c r="GA3514"/>
      <c r="GB3514"/>
      <c r="GC3514"/>
      <c r="GD3514"/>
      <c r="GE3514"/>
      <c r="GF3514"/>
      <c r="GG3514"/>
      <c r="GH3514"/>
      <c r="GI3514"/>
      <c r="GJ3514"/>
      <c r="GK3514"/>
      <c r="GL3514"/>
      <c r="GM3514"/>
      <c r="GN3514"/>
      <c r="GO3514"/>
    </row>
    <row r="3515" spans="107:197">
      <c r="DC3515"/>
      <c r="FH3515"/>
      <c r="FI3515"/>
      <c r="FJ3515"/>
      <c r="FK3515"/>
      <c r="FL3515"/>
      <c r="FM3515"/>
      <c r="FN3515"/>
      <c r="FO3515"/>
      <c r="FP3515"/>
      <c r="FQ3515"/>
      <c r="FR3515"/>
      <c r="FS3515"/>
      <c r="FT3515"/>
      <c r="FU3515"/>
      <c r="FV3515"/>
      <c r="FW3515"/>
      <c r="FX3515"/>
      <c r="FY3515"/>
      <c r="FZ3515"/>
      <c r="GA3515"/>
      <c r="GB3515"/>
      <c r="GC3515"/>
      <c r="GD3515"/>
      <c r="GE3515"/>
      <c r="GF3515"/>
      <c r="GG3515"/>
      <c r="GH3515"/>
      <c r="GI3515"/>
      <c r="GJ3515"/>
      <c r="GK3515"/>
      <c r="GL3515"/>
      <c r="GM3515"/>
      <c r="GN3515"/>
      <c r="GO3515"/>
    </row>
    <row r="3516" spans="107:197">
      <c r="DC3516"/>
      <c r="FH3516"/>
      <c r="FI3516"/>
      <c r="FJ3516"/>
      <c r="FK3516"/>
      <c r="FL3516"/>
      <c r="FM3516"/>
      <c r="FN3516"/>
      <c r="FO3516"/>
      <c r="FP3516"/>
      <c r="FQ3516"/>
      <c r="FR3516"/>
      <c r="FS3516"/>
      <c r="FT3516"/>
      <c r="FU3516"/>
      <c r="FV3516"/>
      <c r="FW3516"/>
      <c r="FX3516"/>
      <c r="FY3516"/>
      <c r="FZ3516"/>
      <c r="GA3516"/>
      <c r="GB3516"/>
      <c r="GC3516"/>
      <c r="GD3516"/>
      <c r="GE3516"/>
      <c r="GF3516"/>
      <c r="GG3516"/>
      <c r="GH3516"/>
      <c r="GI3516"/>
      <c r="GJ3516"/>
      <c r="GK3516"/>
      <c r="GL3516"/>
      <c r="GM3516"/>
      <c r="GN3516"/>
      <c r="GO3516"/>
    </row>
    <row r="3517" spans="107:197">
      <c r="DC3517"/>
      <c r="FH3517"/>
      <c r="FI3517"/>
      <c r="FJ3517"/>
      <c r="FK3517"/>
      <c r="FL3517"/>
      <c r="FM3517"/>
      <c r="FN3517"/>
      <c r="FO3517"/>
      <c r="FP3517"/>
      <c r="FQ3517"/>
      <c r="FR3517"/>
      <c r="FS3517"/>
      <c r="FT3517"/>
      <c r="FU3517"/>
      <c r="FV3517"/>
      <c r="FW3517"/>
      <c r="FX3517"/>
      <c r="FY3517"/>
      <c r="FZ3517"/>
      <c r="GA3517"/>
      <c r="GB3517"/>
      <c r="GC3517"/>
      <c r="GD3517"/>
      <c r="GE3517"/>
      <c r="GF3517"/>
      <c r="GG3517"/>
      <c r="GH3517"/>
      <c r="GI3517"/>
      <c r="GJ3517"/>
      <c r="GK3517"/>
      <c r="GL3517"/>
      <c r="GM3517"/>
      <c r="GN3517"/>
      <c r="GO3517"/>
    </row>
    <row r="3518" spans="107:197">
      <c r="DC3518"/>
      <c r="FH3518"/>
      <c r="FI3518"/>
      <c r="FJ3518"/>
      <c r="FK3518"/>
      <c r="FL3518"/>
      <c r="FM3518"/>
      <c r="FN3518"/>
      <c r="FO3518"/>
      <c r="FP3518"/>
      <c r="FQ3518"/>
      <c r="FR3518"/>
      <c r="FS3518"/>
      <c r="FT3518"/>
      <c r="FU3518"/>
      <c r="FV3518"/>
      <c r="FW3518"/>
      <c r="FX3518"/>
      <c r="FY3518"/>
      <c r="FZ3518"/>
      <c r="GA3518"/>
      <c r="GB3518"/>
      <c r="GC3518"/>
      <c r="GD3518"/>
      <c r="GE3518"/>
      <c r="GF3518"/>
      <c r="GG3518"/>
      <c r="GH3518"/>
      <c r="GI3518"/>
      <c r="GJ3518"/>
      <c r="GK3518"/>
      <c r="GL3518"/>
      <c r="GM3518"/>
      <c r="GN3518"/>
      <c r="GO3518"/>
    </row>
    <row r="3519" spans="107:197">
      <c r="DC3519"/>
      <c r="FH3519"/>
      <c r="FI3519"/>
      <c r="FJ3519"/>
      <c r="FK3519"/>
      <c r="FL3519"/>
      <c r="FM3519"/>
      <c r="FN3519"/>
      <c r="FO3519"/>
      <c r="FP3519"/>
      <c r="FQ3519"/>
      <c r="FR3519"/>
      <c r="FS3519"/>
      <c r="FT3519"/>
      <c r="FU3519"/>
      <c r="FV3519"/>
      <c r="FW3519"/>
      <c r="FX3519"/>
      <c r="FY3519"/>
      <c r="FZ3519"/>
      <c r="GA3519"/>
      <c r="GB3519"/>
      <c r="GC3519"/>
      <c r="GD3519"/>
      <c r="GE3519"/>
      <c r="GF3519"/>
      <c r="GG3519"/>
      <c r="GH3519"/>
      <c r="GI3519"/>
      <c r="GJ3519"/>
      <c r="GK3519"/>
      <c r="GL3519"/>
      <c r="GM3519"/>
      <c r="GN3519"/>
      <c r="GO3519"/>
    </row>
    <row r="3520" spans="107:197">
      <c r="DC3520"/>
      <c r="FH3520"/>
      <c r="FI3520"/>
      <c r="FJ3520"/>
      <c r="FK3520"/>
      <c r="FL3520"/>
      <c r="FM3520"/>
      <c r="FN3520"/>
      <c r="FO3520"/>
      <c r="FP3520"/>
      <c r="FQ3520"/>
      <c r="FR3520"/>
      <c r="FS3520"/>
      <c r="FT3520"/>
      <c r="FU3520"/>
      <c r="FV3520"/>
      <c r="FW3520"/>
      <c r="FX3520"/>
      <c r="FY3520"/>
      <c r="FZ3520"/>
      <c r="GA3520"/>
      <c r="GB3520"/>
      <c r="GC3520"/>
      <c r="GD3520"/>
      <c r="GE3520"/>
      <c r="GF3520"/>
      <c r="GG3520"/>
      <c r="GH3520"/>
      <c r="GI3520"/>
      <c r="GJ3520"/>
      <c r="GK3520"/>
      <c r="GL3520"/>
      <c r="GM3520"/>
      <c r="GN3520"/>
      <c r="GO3520"/>
    </row>
    <row r="3521" spans="107:197">
      <c r="DC3521"/>
      <c r="FH3521"/>
      <c r="FI3521"/>
      <c r="FJ3521"/>
      <c r="FK3521"/>
      <c r="FL3521"/>
      <c r="FM3521"/>
      <c r="FN3521"/>
      <c r="FO3521"/>
      <c r="FP3521"/>
      <c r="FQ3521"/>
      <c r="FR3521"/>
      <c r="FS3521"/>
      <c r="FT3521"/>
      <c r="FU3521"/>
      <c r="FV3521"/>
      <c r="FW3521"/>
      <c r="FX3521"/>
      <c r="FY3521"/>
      <c r="FZ3521"/>
      <c r="GA3521"/>
      <c r="GB3521"/>
      <c r="GC3521"/>
      <c r="GD3521"/>
      <c r="GE3521"/>
      <c r="GF3521"/>
      <c r="GG3521"/>
      <c r="GH3521"/>
      <c r="GI3521"/>
      <c r="GJ3521"/>
      <c r="GK3521"/>
      <c r="GL3521"/>
      <c r="GM3521"/>
      <c r="GN3521"/>
      <c r="GO3521"/>
    </row>
    <row r="3522" spans="107:197">
      <c r="DC3522"/>
      <c r="FH3522"/>
      <c r="FI3522"/>
      <c r="FJ3522"/>
      <c r="FK3522"/>
      <c r="FL3522"/>
      <c r="FM3522"/>
      <c r="FN3522"/>
      <c r="FO3522"/>
      <c r="FP3522"/>
      <c r="FQ3522"/>
      <c r="FR3522"/>
      <c r="FS3522"/>
      <c r="FT3522"/>
      <c r="FU3522"/>
      <c r="FV3522"/>
      <c r="FW3522"/>
      <c r="FX3522"/>
      <c r="FY3522"/>
      <c r="FZ3522"/>
      <c r="GA3522"/>
      <c r="GB3522"/>
      <c r="GC3522"/>
      <c r="GD3522"/>
      <c r="GE3522"/>
      <c r="GF3522"/>
      <c r="GG3522"/>
      <c r="GH3522"/>
      <c r="GI3522"/>
      <c r="GJ3522"/>
      <c r="GK3522"/>
      <c r="GL3522"/>
      <c r="GM3522"/>
      <c r="GN3522"/>
      <c r="GO3522"/>
    </row>
    <row r="3523" spans="107:197">
      <c r="DC3523"/>
      <c r="FH3523"/>
      <c r="FI3523"/>
      <c r="FJ3523"/>
      <c r="FK3523"/>
      <c r="FL3523"/>
      <c r="FM3523"/>
      <c r="FN3523"/>
      <c r="FO3523"/>
      <c r="FP3523"/>
      <c r="FQ3523"/>
      <c r="FR3523"/>
      <c r="FS3523"/>
      <c r="FT3523"/>
      <c r="FU3523"/>
      <c r="FV3523"/>
      <c r="FW3523"/>
      <c r="FX3523"/>
      <c r="FY3523"/>
      <c r="FZ3523"/>
      <c r="GA3523"/>
      <c r="GB3523"/>
      <c r="GC3523"/>
      <c r="GD3523"/>
      <c r="GE3523"/>
      <c r="GF3523"/>
      <c r="GG3523"/>
      <c r="GH3523"/>
      <c r="GI3523"/>
      <c r="GJ3523"/>
      <c r="GK3523"/>
      <c r="GL3523"/>
      <c r="GM3523"/>
      <c r="GN3523"/>
      <c r="GO3523"/>
    </row>
    <row r="3524" spans="107:197">
      <c r="DC3524"/>
      <c r="FH3524"/>
      <c r="FI3524"/>
      <c r="FJ3524"/>
      <c r="FK3524"/>
      <c r="FL3524"/>
      <c r="FM3524"/>
      <c r="FN3524"/>
      <c r="FO3524"/>
      <c r="FP3524"/>
      <c r="FQ3524"/>
      <c r="FR3524"/>
      <c r="FS3524"/>
      <c r="FT3524"/>
      <c r="FU3524"/>
      <c r="FV3524"/>
      <c r="FW3524"/>
      <c r="FX3524"/>
      <c r="FY3524"/>
      <c r="FZ3524"/>
      <c r="GA3524"/>
      <c r="GB3524"/>
      <c r="GC3524"/>
      <c r="GD3524"/>
      <c r="GE3524"/>
      <c r="GF3524"/>
      <c r="GG3524"/>
      <c r="GH3524"/>
      <c r="GI3524"/>
      <c r="GJ3524"/>
      <c r="GK3524"/>
      <c r="GL3524"/>
      <c r="GM3524"/>
      <c r="GN3524"/>
      <c r="GO3524"/>
    </row>
    <row r="3525" spans="107:197">
      <c r="DC3525"/>
      <c r="FH3525"/>
      <c r="FI3525"/>
      <c r="FJ3525"/>
      <c r="FK3525"/>
      <c r="FL3525"/>
      <c r="FM3525"/>
      <c r="FN3525"/>
      <c r="FO3525"/>
      <c r="FP3525"/>
      <c r="FQ3525"/>
      <c r="FR3525"/>
      <c r="FS3525"/>
      <c r="FT3525"/>
      <c r="FU3525"/>
      <c r="FV3525"/>
      <c r="FW3525"/>
      <c r="FX3525"/>
      <c r="FY3525"/>
      <c r="FZ3525"/>
      <c r="GA3525"/>
      <c r="GB3525"/>
      <c r="GC3525"/>
      <c r="GD3525"/>
      <c r="GE3525"/>
      <c r="GF3525"/>
      <c r="GG3525"/>
      <c r="GH3525"/>
      <c r="GI3525"/>
      <c r="GJ3525"/>
      <c r="GK3525"/>
      <c r="GL3525"/>
      <c r="GM3525"/>
      <c r="GN3525"/>
      <c r="GO3525"/>
    </row>
    <row r="3526" spans="107:197">
      <c r="DC3526"/>
      <c r="FH3526"/>
      <c r="FI3526"/>
      <c r="FJ3526"/>
      <c r="FK3526"/>
      <c r="FL3526"/>
      <c r="FM3526"/>
      <c r="FN3526"/>
      <c r="FO3526"/>
      <c r="FP3526"/>
      <c r="FQ3526"/>
      <c r="FR3526"/>
      <c r="FS3526"/>
      <c r="FT3526"/>
      <c r="FU3526"/>
      <c r="FV3526"/>
      <c r="FW3526"/>
      <c r="FX3526"/>
      <c r="FY3526"/>
      <c r="FZ3526"/>
      <c r="GA3526"/>
      <c r="GB3526"/>
      <c r="GC3526"/>
      <c r="GD3526"/>
      <c r="GE3526"/>
      <c r="GF3526"/>
      <c r="GG3526"/>
      <c r="GH3526"/>
      <c r="GI3526"/>
      <c r="GJ3526"/>
      <c r="GK3526"/>
      <c r="GL3526"/>
      <c r="GM3526"/>
      <c r="GN3526"/>
      <c r="GO3526"/>
    </row>
    <row r="3527" spans="107:197">
      <c r="DC3527"/>
      <c r="FH3527"/>
      <c r="FI3527"/>
      <c r="FJ3527"/>
      <c r="FK3527"/>
      <c r="FL3527"/>
      <c r="FM3527"/>
      <c r="FN3527"/>
      <c r="FO3527"/>
      <c r="FP3527"/>
      <c r="FQ3527"/>
      <c r="FR3527"/>
      <c r="FS3527"/>
      <c r="FT3527"/>
      <c r="FU3527"/>
      <c r="FV3527"/>
      <c r="FW3527"/>
      <c r="FX3527"/>
      <c r="FY3527"/>
      <c r="FZ3527"/>
      <c r="GA3527"/>
      <c r="GB3527"/>
      <c r="GC3527"/>
      <c r="GD3527"/>
      <c r="GE3527"/>
      <c r="GF3527"/>
      <c r="GG3527"/>
      <c r="GH3527"/>
      <c r="GI3527"/>
      <c r="GJ3527"/>
      <c r="GK3527"/>
      <c r="GL3527"/>
      <c r="GM3527"/>
      <c r="GN3527"/>
      <c r="GO3527"/>
    </row>
    <row r="3528" spans="107:197">
      <c r="DC3528"/>
      <c r="FH3528"/>
      <c r="FI3528"/>
      <c r="FJ3528"/>
      <c r="FK3528"/>
      <c r="FL3528"/>
      <c r="FM3528"/>
      <c r="FN3528"/>
      <c r="FO3528"/>
      <c r="FP3528"/>
      <c r="FQ3528"/>
      <c r="FR3528"/>
      <c r="FS3528"/>
      <c r="FT3528"/>
      <c r="FU3528"/>
      <c r="FV3528"/>
      <c r="FW3528"/>
      <c r="FX3528"/>
      <c r="FY3528"/>
      <c r="FZ3528"/>
      <c r="GA3528"/>
      <c r="GB3528"/>
      <c r="GC3528"/>
      <c r="GD3528"/>
      <c r="GE3528"/>
      <c r="GF3528"/>
      <c r="GG3528"/>
      <c r="GH3528"/>
      <c r="GI3528"/>
      <c r="GJ3528"/>
      <c r="GK3528"/>
      <c r="GL3528"/>
      <c r="GM3528"/>
      <c r="GN3528"/>
      <c r="GO3528"/>
    </row>
    <row r="3529" spans="107:197">
      <c r="DC3529"/>
      <c r="FH3529"/>
      <c r="FI3529"/>
      <c r="FJ3529"/>
      <c r="FK3529"/>
      <c r="FL3529"/>
      <c r="FM3529"/>
      <c r="FN3529"/>
      <c r="FO3529"/>
      <c r="FP3529"/>
      <c r="FQ3529"/>
      <c r="FR3529"/>
      <c r="FS3529"/>
      <c r="FT3529"/>
      <c r="FU3529"/>
      <c r="FV3529"/>
      <c r="FW3529"/>
      <c r="FX3529"/>
      <c r="FY3529"/>
      <c r="FZ3529"/>
      <c r="GA3529"/>
      <c r="GB3529"/>
      <c r="GC3529"/>
      <c r="GD3529"/>
      <c r="GE3529"/>
      <c r="GF3529"/>
      <c r="GG3529"/>
      <c r="GH3529"/>
      <c r="GI3529"/>
      <c r="GJ3529"/>
      <c r="GK3529"/>
      <c r="GL3529"/>
      <c r="GM3529"/>
      <c r="GN3529"/>
      <c r="GO3529"/>
    </row>
    <row r="3530" spans="107:197">
      <c r="DC3530"/>
      <c r="FH3530"/>
      <c r="FI3530"/>
      <c r="FJ3530"/>
      <c r="FK3530"/>
      <c r="FL3530"/>
      <c r="FM3530"/>
      <c r="FN3530"/>
      <c r="FO3530"/>
      <c r="FP3530"/>
      <c r="FQ3530"/>
      <c r="FR3530"/>
      <c r="FS3530"/>
      <c r="FT3530"/>
      <c r="FU3530"/>
      <c r="FV3530"/>
      <c r="FW3530"/>
      <c r="FX3530"/>
      <c r="FY3530"/>
      <c r="FZ3530"/>
      <c r="GA3530"/>
      <c r="GB3530"/>
      <c r="GC3530"/>
      <c r="GD3530"/>
      <c r="GE3530"/>
      <c r="GF3530"/>
      <c r="GG3530"/>
      <c r="GH3530"/>
      <c r="GI3530"/>
      <c r="GJ3530"/>
      <c r="GK3530"/>
      <c r="GL3530"/>
      <c r="GM3530"/>
      <c r="GN3530"/>
      <c r="GO3530"/>
    </row>
    <row r="3531" spans="107:197">
      <c r="DC3531"/>
      <c r="FH3531"/>
      <c r="FI3531"/>
      <c r="FJ3531"/>
      <c r="FK3531"/>
      <c r="FL3531"/>
      <c r="FM3531"/>
      <c r="FN3531"/>
      <c r="FO3531"/>
      <c r="FP3531"/>
      <c r="FQ3531"/>
      <c r="FR3531"/>
      <c r="FS3531"/>
      <c r="FT3531"/>
      <c r="FU3531"/>
      <c r="FV3531"/>
      <c r="FW3531"/>
      <c r="FX3531"/>
      <c r="FY3531"/>
      <c r="FZ3531"/>
      <c r="GA3531"/>
      <c r="GB3531"/>
      <c r="GC3531"/>
      <c r="GD3531"/>
      <c r="GE3531"/>
      <c r="GF3531"/>
      <c r="GG3531"/>
      <c r="GH3531"/>
      <c r="GI3531"/>
      <c r="GJ3531"/>
      <c r="GK3531"/>
      <c r="GL3531"/>
      <c r="GM3531"/>
      <c r="GN3531"/>
      <c r="GO3531"/>
    </row>
    <row r="3532" spans="107:197">
      <c r="DC3532"/>
      <c r="FH3532"/>
      <c r="FI3532"/>
      <c r="FJ3532"/>
      <c r="FK3532"/>
      <c r="FL3532"/>
      <c r="FM3532"/>
      <c r="FN3532"/>
      <c r="FO3532"/>
      <c r="FP3532"/>
      <c r="FQ3532"/>
      <c r="FR3532"/>
      <c r="FS3532"/>
      <c r="FT3532"/>
      <c r="FU3532"/>
      <c r="FV3532"/>
      <c r="FW3532"/>
      <c r="FX3532"/>
      <c r="FY3532"/>
      <c r="FZ3532"/>
      <c r="GA3532"/>
      <c r="GB3532"/>
      <c r="GC3532"/>
      <c r="GD3532"/>
      <c r="GE3532"/>
      <c r="GF3532"/>
      <c r="GG3532"/>
      <c r="GH3532"/>
      <c r="GI3532"/>
      <c r="GJ3532"/>
      <c r="GK3532"/>
      <c r="GL3532"/>
      <c r="GM3532"/>
      <c r="GN3532"/>
      <c r="GO3532"/>
    </row>
    <row r="3533" spans="107:197">
      <c r="DC3533"/>
      <c r="FH3533"/>
      <c r="FI3533"/>
      <c r="FJ3533"/>
      <c r="FK3533"/>
      <c r="FL3533"/>
      <c r="FM3533"/>
      <c r="FN3533"/>
      <c r="FO3533"/>
      <c r="FP3533"/>
      <c r="FQ3533"/>
      <c r="FR3533"/>
      <c r="FS3533"/>
      <c r="FT3533"/>
      <c r="FU3533"/>
      <c r="FV3533"/>
      <c r="FW3533"/>
      <c r="FX3533"/>
      <c r="FY3533"/>
      <c r="FZ3533"/>
      <c r="GA3533"/>
      <c r="GB3533"/>
      <c r="GC3533"/>
      <c r="GD3533"/>
      <c r="GE3533"/>
      <c r="GF3533"/>
      <c r="GG3533"/>
      <c r="GH3533"/>
      <c r="GI3533"/>
      <c r="GJ3533"/>
      <c r="GK3533"/>
      <c r="GL3533"/>
      <c r="GM3533"/>
      <c r="GN3533"/>
      <c r="GO3533"/>
    </row>
    <row r="3534" spans="107:197">
      <c r="DC3534"/>
      <c r="FH3534"/>
      <c r="FI3534"/>
      <c r="FJ3534"/>
      <c r="FK3534"/>
      <c r="FL3534"/>
      <c r="FM3534"/>
      <c r="FN3534"/>
      <c r="FO3534"/>
      <c r="FP3534"/>
      <c r="FQ3534"/>
      <c r="FR3534"/>
      <c r="FS3534"/>
      <c r="FT3534"/>
      <c r="FU3534"/>
      <c r="FV3534"/>
      <c r="FW3534"/>
      <c r="FX3534"/>
      <c r="FY3534"/>
      <c r="FZ3534"/>
      <c r="GA3534"/>
      <c r="GB3534"/>
      <c r="GC3534"/>
      <c r="GD3534"/>
      <c r="GE3534"/>
      <c r="GF3534"/>
      <c r="GG3534"/>
      <c r="GH3534"/>
      <c r="GI3534"/>
      <c r="GJ3534"/>
      <c r="GK3534"/>
      <c r="GL3534"/>
      <c r="GM3534"/>
      <c r="GN3534"/>
      <c r="GO3534"/>
    </row>
    <row r="3535" spans="107:197">
      <c r="DC3535"/>
      <c r="FH3535"/>
      <c r="FI3535"/>
      <c r="FJ3535"/>
      <c r="FK3535"/>
      <c r="FL3535"/>
      <c r="FM3535"/>
      <c r="FN3535"/>
      <c r="FO3535"/>
      <c r="FP3535"/>
      <c r="FQ3535"/>
      <c r="FR3535"/>
      <c r="FS3535"/>
      <c r="FT3535"/>
      <c r="FU3535"/>
      <c r="FV3535"/>
      <c r="FW3535"/>
      <c r="FX3535"/>
      <c r="FY3535"/>
      <c r="FZ3535"/>
      <c r="GA3535"/>
      <c r="GB3535"/>
      <c r="GC3535"/>
      <c r="GD3535"/>
      <c r="GE3535"/>
      <c r="GF3535"/>
      <c r="GG3535"/>
      <c r="GH3535"/>
      <c r="GI3535"/>
      <c r="GJ3535"/>
      <c r="GK3535"/>
      <c r="GL3535"/>
      <c r="GM3535"/>
      <c r="GN3535"/>
      <c r="GO3535"/>
    </row>
    <row r="3536" spans="107:197">
      <c r="DC3536"/>
      <c r="FH3536"/>
      <c r="FI3536"/>
      <c r="FJ3536"/>
      <c r="FK3536"/>
      <c r="FL3536"/>
      <c r="FM3536"/>
      <c r="FN3536"/>
      <c r="FO3536"/>
      <c r="FP3536"/>
      <c r="FQ3536"/>
      <c r="FR3536"/>
      <c r="FS3536"/>
      <c r="FT3536"/>
      <c r="FU3536"/>
      <c r="FV3536"/>
      <c r="FW3536"/>
      <c r="FX3536"/>
      <c r="FY3536"/>
      <c r="FZ3536"/>
      <c r="GA3536"/>
      <c r="GB3536"/>
      <c r="GC3536"/>
      <c r="GD3536"/>
      <c r="GE3536"/>
      <c r="GF3536"/>
      <c r="GG3536"/>
      <c r="GH3536"/>
      <c r="GI3536"/>
      <c r="GJ3536"/>
      <c r="GK3536"/>
      <c r="GL3536"/>
      <c r="GM3536"/>
      <c r="GN3536"/>
      <c r="GO3536"/>
    </row>
    <row r="3537" spans="107:197">
      <c r="DC3537"/>
      <c r="FH3537"/>
      <c r="FI3537"/>
      <c r="FJ3537"/>
      <c r="FK3537"/>
      <c r="FL3537"/>
      <c r="FM3537"/>
      <c r="FN3537"/>
      <c r="FO3537"/>
      <c r="FP3537"/>
      <c r="FQ3537"/>
      <c r="FR3537"/>
      <c r="FS3537"/>
      <c r="FT3537"/>
      <c r="FU3537"/>
      <c r="FV3537"/>
      <c r="FW3537"/>
      <c r="FX3537"/>
      <c r="FY3537"/>
      <c r="FZ3537"/>
      <c r="GA3537"/>
      <c r="GB3537"/>
      <c r="GC3537"/>
      <c r="GD3537"/>
      <c r="GE3537"/>
      <c r="GF3537"/>
      <c r="GG3537"/>
      <c r="GH3537"/>
      <c r="GI3537"/>
      <c r="GJ3537"/>
      <c r="GK3537"/>
      <c r="GL3537"/>
      <c r="GM3537"/>
      <c r="GN3537"/>
      <c r="GO3537"/>
    </row>
    <row r="3538" spans="107:197">
      <c r="DC3538"/>
      <c r="FH3538"/>
      <c r="FI3538"/>
      <c r="FJ3538"/>
      <c r="FK3538"/>
      <c r="FL3538"/>
      <c r="FM3538"/>
      <c r="FN3538"/>
      <c r="FO3538"/>
      <c r="FP3538"/>
      <c r="FQ3538"/>
      <c r="FR3538"/>
      <c r="FS3538"/>
      <c r="FT3538"/>
      <c r="FU3538"/>
      <c r="FV3538"/>
      <c r="FW3538"/>
      <c r="FX3538"/>
      <c r="FY3538"/>
      <c r="FZ3538"/>
      <c r="GA3538"/>
      <c r="GB3538"/>
      <c r="GC3538"/>
      <c r="GD3538"/>
      <c r="GE3538"/>
      <c r="GF3538"/>
      <c r="GG3538"/>
      <c r="GH3538"/>
      <c r="GI3538"/>
      <c r="GJ3538"/>
      <c r="GK3538"/>
      <c r="GL3538"/>
      <c r="GM3538"/>
      <c r="GN3538"/>
      <c r="GO3538"/>
    </row>
    <row r="3539" spans="107:197">
      <c r="DC3539"/>
      <c r="FH3539"/>
      <c r="FI3539"/>
      <c r="FJ3539"/>
      <c r="FK3539"/>
      <c r="FL3539"/>
      <c r="FM3539"/>
      <c r="FN3539"/>
      <c r="FO3539"/>
      <c r="FP3539"/>
      <c r="FQ3539"/>
      <c r="FR3539"/>
      <c r="FS3539"/>
      <c r="FT3539"/>
      <c r="FU3539"/>
      <c r="FV3539"/>
      <c r="FW3539"/>
      <c r="FX3539"/>
      <c r="FY3539"/>
      <c r="FZ3539"/>
      <c r="GA3539"/>
      <c r="GB3539"/>
      <c r="GC3539"/>
      <c r="GD3539"/>
      <c r="GE3539"/>
      <c r="GF3539"/>
      <c r="GG3539"/>
      <c r="GH3539"/>
      <c r="GI3539"/>
      <c r="GJ3539"/>
      <c r="GK3539"/>
      <c r="GL3539"/>
      <c r="GM3539"/>
      <c r="GN3539"/>
      <c r="GO3539"/>
    </row>
    <row r="3540" spans="107:197">
      <c r="DC3540"/>
      <c r="FH3540"/>
      <c r="FI3540"/>
      <c r="FJ3540"/>
      <c r="FK3540"/>
      <c r="FL3540"/>
      <c r="FM3540"/>
      <c r="FN3540"/>
      <c r="FO3540"/>
      <c r="FP3540"/>
      <c r="FQ3540"/>
      <c r="FR3540"/>
      <c r="FS3540"/>
      <c r="FT3540"/>
      <c r="FU3540"/>
      <c r="FV3540"/>
      <c r="FW3540"/>
      <c r="FX3540"/>
      <c r="FY3540"/>
      <c r="FZ3540"/>
      <c r="GA3540"/>
      <c r="GB3540"/>
      <c r="GC3540"/>
      <c r="GD3540"/>
      <c r="GE3540"/>
      <c r="GF3540"/>
      <c r="GG3540"/>
      <c r="GH3540"/>
      <c r="GI3540"/>
      <c r="GJ3540"/>
      <c r="GK3540"/>
      <c r="GL3540"/>
      <c r="GM3540"/>
      <c r="GN3540"/>
      <c r="GO3540"/>
    </row>
    <row r="3541" spans="107:197">
      <c r="DC3541"/>
      <c r="FH3541"/>
      <c r="FI3541"/>
      <c r="FJ3541"/>
      <c r="FK3541"/>
      <c r="FL3541"/>
      <c r="FM3541"/>
      <c r="FN3541"/>
      <c r="FO3541"/>
      <c r="FP3541"/>
      <c r="FQ3541"/>
      <c r="FR3541"/>
      <c r="FS3541"/>
      <c r="FT3541"/>
      <c r="FU3541"/>
      <c r="FV3541"/>
      <c r="FW3541"/>
      <c r="FX3541"/>
      <c r="FY3541"/>
      <c r="FZ3541"/>
      <c r="GA3541"/>
      <c r="GB3541"/>
      <c r="GC3541"/>
      <c r="GD3541"/>
      <c r="GE3541"/>
      <c r="GF3541"/>
      <c r="GG3541"/>
      <c r="GH3541"/>
      <c r="GI3541"/>
      <c r="GJ3541"/>
      <c r="GK3541"/>
      <c r="GL3541"/>
      <c r="GM3541"/>
      <c r="GN3541"/>
      <c r="GO3541"/>
    </row>
    <row r="3542" spans="107:197">
      <c r="DC3542"/>
      <c r="FH3542"/>
      <c r="FI3542"/>
      <c r="FJ3542"/>
      <c r="FK3542"/>
      <c r="FL3542"/>
      <c r="FM3542"/>
      <c r="FN3542"/>
      <c r="FO3542"/>
      <c r="FP3542"/>
      <c r="FQ3542"/>
      <c r="FR3542"/>
      <c r="FS3542"/>
      <c r="FT3542"/>
      <c r="FU3542"/>
      <c r="FV3542"/>
      <c r="FW3542"/>
      <c r="FX3542"/>
      <c r="FY3542"/>
      <c r="FZ3542"/>
      <c r="GA3542"/>
      <c r="GB3542"/>
      <c r="GC3542"/>
      <c r="GD3542"/>
      <c r="GE3542"/>
      <c r="GF3542"/>
      <c r="GG3542"/>
      <c r="GH3542"/>
      <c r="GI3542"/>
      <c r="GJ3542"/>
      <c r="GK3542"/>
      <c r="GL3542"/>
      <c r="GM3542"/>
      <c r="GN3542"/>
      <c r="GO3542"/>
    </row>
    <row r="3543" spans="107:197">
      <c r="DC3543"/>
      <c r="FH3543"/>
      <c r="FI3543"/>
      <c r="FJ3543"/>
      <c r="FK3543"/>
      <c r="FL3543"/>
      <c r="FM3543"/>
      <c r="FN3543"/>
      <c r="FO3543"/>
      <c r="FP3543"/>
      <c r="FQ3543"/>
      <c r="FR3543"/>
      <c r="FS3543"/>
      <c r="FT3543"/>
      <c r="FU3543"/>
      <c r="FV3543"/>
      <c r="FW3543"/>
      <c r="FX3543"/>
      <c r="FY3543"/>
      <c r="FZ3543"/>
      <c r="GA3543"/>
      <c r="GB3543"/>
      <c r="GC3543"/>
      <c r="GD3543"/>
      <c r="GE3543"/>
      <c r="GF3543"/>
      <c r="GG3543"/>
      <c r="GH3543"/>
      <c r="GI3543"/>
      <c r="GJ3543"/>
      <c r="GK3543"/>
      <c r="GL3543"/>
      <c r="GM3543"/>
      <c r="GN3543"/>
      <c r="GO3543"/>
    </row>
    <row r="3544" spans="107:197">
      <c r="DC3544"/>
      <c r="FH3544"/>
      <c r="FI3544"/>
      <c r="FJ3544"/>
      <c r="FK3544"/>
      <c r="FL3544"/>
      <c r="FM3544"/>
      <c r="FN3544"/>
      <c r="FO3544"/>
      <c r="FP3544"/>
      <c r="FQ3544"/>
      <c r="FR3544"/>
      <c r="FS3544"/>
      <c r="FT3544"/>
      <c r="FU3544"/>
      <c r="FV3544"/>
      <c r="FW3544"/>
      <c r="FX3544"/>
      <c r="FY3544"/>
      <c r="FZ3544"/>
      <c r="GA3544"/>
      <c r="GB3544"/>
      <c r="GC3544"/>
      <c r="GD3544"/>
      <c r="GE3544"/>
      <c r="GF3544"/>
      <c r="GG3544"/>
      <c r="GH3544"/>
      <c r="GI3544"/>
      <c r="GJ3544"/>
      <c r="GK3544"/>
      <c r="GL3544"/>
      <c r="GM3544"/>
      <c r="GN3544"/>
      <c r="GO3544"/>
    </row>
    <row r="3545" spans="107:197">
      <c r="DC3545"/>
      <c r="FH3545"/>
      <c r="FI3545"/>
      <c r="FJ3545"/>
      <c r="FK3545"/>
      <c r="FL3545"/>
      <c r="FM3545"/>
      <c r="FN3545"/>
      <c r="FO3545"/>
      <c r="FP3545"/>
      <c r="FQ3545"/>
      <c r="FR3545"/>
      <c r="FS3545"/>
      <c r="FT3545"/>
      <c r="FU3545"/>
      <c r="FV3545"/>
      <c r="FW3545"/>
      <c r="FX3545"/>
      <c r="FY3545"/>
      <c r="FZ3545"/>
      <c r="GA3545"/>
      <c r="GB3545"/>
      <c r="GC3545"/>
      <c r="GD3545"/>
      <c r="GE3545"/>
      <c r="GF3545"/>
      <c r="GG3545"/>
      <c r="GH3545"/>
      <c r="GI3545"/>
      <c r="GJ3545"/>
      <c r="GK3545"/>
      <c r="GL3545"/>
      <c r="GM3545"/>
      <c r="GN3545"/>
      <c r="GO3545"/>
    </row>
    <row r="3546" spans="107:197">
      <c r="DC3546"/>
      <c r="FH3546"/>
      <c r="FI3546"/>
      <c r="FJ3546"/>
      <c r="FK3546"/>
      <c r="FL3546"/>
      <c r="FM3546"/>
      <c r="FN3546"/>
      <c r="FO3546"/>
      <c r="FP3546"/>
      <c r="FQ3546"/>
      <c r="FR3546"/>
      <c r="FS3546"/>
      <c r="FT3546"/>
      <c r="FU3546"/>
      <c r="FV3546"/>
      <c r="FW3546"/>
      <c r="FX3546"/>
      <c r="FY3546"/>
      <c r="FZ3546"/>
      <c r="GA3546"/>
      <c r="GB3546"/>
      <c r="GC3546"/>
      <c r="GD3546"/>
      <c r="GE3546"/>
      <c r="GF3546"/>
      <c r="GG3546"/>
      <c r="GH3546"/>
      <c r="GI3546"/>
      <c r="GJ3546"/>
      <c r="GK3546"/>
      <c r="GL3546"/>
      <c r="GM3546"/>
      <c r="GN3546"/>
      <c r="GO3546"/>
    </row>
    <row r="3547" spans="107:197">
      <c r="DC3547"/>
      <c r="FH3547"/>
      <c r="FI3547"/>
      <c r="FJ3547"/>
      <c r="FK3547"/>
      <c r="FL3547"/>
      <c r="FM3547"/>
      <c r="FN3547"/>
      <c r="FO3547"/>
      <c r="FP3547"/>
      <c r="FQ3547"/>
      <c r="FR3547"/>
      <c r="FS3547"/>
      <c r="FT3547"/>
      <c r="FU3547"/>
      <c r="FV3547"/>
      <c r="FW3547"/>
      <c r="FX3547"/>
      <c r="FY3547"/>
      <c r="FZ3547"/>
      <c r="GA3547"/>
      <c r="GB3547"/>
      <c r="GC3547"/>
      <c r="GD3547"/>
      <c r="GE3547"/>
      <c r="GF3547"/>
      <c r="GG3547"/>
      <c r="GH3547"/>
      <c r="GI3547"/>
      <c r="GJ3547"/>
      <c r="GK3547"/>
      <c r="GL3547"/>
      <c r="GM3547"/>
      <c r="GN3547"/>
      <c r="GO3547"/>
    </row>
    <row r="3548" spans="107:197">
      <c r="DC3548"/>
      <c r="FH3548"/>
      <c r="FI3548"/>
      <c r="FJ3548"/>
      <c r="FK3548"/>
      <c r="FL3548"/>
      <c r="FM3548"/>
      <c r="FN3548"/>
      <c r="FO3548"/>
      <c r="FP3548"/>
      <c r="FQ3548"/>
      <c r="FR3548"/>
      <c r="FS3548"/>
      <c r="FT3548"/>
      <c r="FU3548"/>
      <c r="FV3548"/>
      <c r="FW3548"/>
      <c r="FX3548"/>
      <c r="FY3548"/>
      <c r="FZ3548"/>
      <c r="GA3548"/>
      <c r="GB3548"/>
      <c r="GC3548"/>
      <c r="GD3548"/>
      <c r="GE3548"/>
      <c r="GF3548"/>
      <c r="GG3548"/>
      <c r="GH3548"/>
      <c r="GI3548"/>
      <c r="GJ3548"/>
      <c r="GK3548"/>
      <c r="GL3548"/>
      <c r="GM3548"/>
      <c r="GN3548"/>
      <c r="GO3548"/>
    </row>
    <row r="3549" spans="107:197">
      <c r="DC3549"/>
      <c r="FH3549"/>
      <c r="FI3549"/>
      <c r="FJ3549"/>
      <c r="FK3549"/>
      <c r="FL3549"/>
      <c r="FM3549"/>
      <c r="FN3549"/>
      <c r="FO3549"/>
      <c r="FP3549"/>
      <c r="FQ3549"/>
      <c r="FR3549"/>
      <c r="FS3549"/>
      <c r="FT3549"/>
      <c r="FU3549"/>
      <c r="FV3549"/>
      <c r="FW3549"/>
      <c r="FX3549"/>
      <c r="FY3549"/>
      <c r="FZ3549"/>
      <c r="GA3549"/>
      <c r="GB3549"/>
      <c r="GC3549"/>
      <c r="GD3549"/>
      <c r="GE3549"/>
      <c r="GF3549"/>
      <c r="GG3549"/>
      <c r="GH3549"/>
      <c r="GI3549"/>
      <c r="GJ3549"/>
      <c r="GK3549"/>
      <c r="GL3549"/>
      <c r="GM3549"/>
      <c r="GN3549"/>
      <c r="GO3549"/>
    </row>
    <row r="3550" spans="107:197">
      <c r="DC3550"/>
      <c r="FH3550"/>
      <c r="FI3550"/>
      <c r="FJ3550"/>
      <c r="FK3550"/>
      <c r="FL3550"/>
      <c r="FM3550"/>
      <c r="FN3550"/>
      <c r="FO3550"/>
      <c r="FP3550"/>
      <c r="FQ3550"/>
      <c r="FR3550"/>
      <c r="FS3550"/>
      <c r="FT3550"/>
      <c r="FU3550"/>
      <c r="FV3550"/>
      <c r="FW3550"/>
      <c r="FX3550"/>
      <c r="FY3550"/>
      <c r="FZ3550"/>
      <c r="GA3550"/>
      <c r="GB3550"/>
      <c r="GC3550"/>
      <c r="GD3550"/>
      <c r="GE3550"/>
      <c r="GF3550"/>
      <c r="GG3550"/>
      <c r="GH3550"/>
      <c r="GI3550"/>
      <c r="GJ3550"/>
      <c r="GK3550"/>
      <c r="GL3550"/>
      <c r="GM3550"/>
      <c r="GN3550"/>
      <c r="GO3550"/>
    </row>
    <row r="3551" spans="107:197">
      <c r="DC3551"/>
      <c r="FH3551"/>
      <c r="FI3551"/>
      <c r="FJ3551"/>
      <c r="FK3551"/>
      <c r="FL3551"/>
      <c r="FM3551"/>
      <c r="FN3551"/>
      <c r="FO3551"/>
      <c r="FP3551"/>
      <c r="FQ3551"/>
      <c r="FR3551"/>
      <c r="FS3551"/>
      <c r="FT3551"/>
      <c r="FU3551"/>
      <c r="FV3551"/>
      <c r="FW3551"/>
      <c r="FX3551"/>
      <c r="FY3551"/>
      <c r="FZ3551"/>
      <c r="GA3551"/>
      <c r="GB3551"/>
      <c r="GC3551"/>
      <c r="GD3551"/>
      <c r="GE3551"/>
      <c r="GF3551"/>
      <c r="GG3551"/>
      <c r="GH3551"/>
      <c r="GI3551"/>
      <c r="GJ3551"/>
      <c r="GK3551"/>
      <c r="GL3551"/>
      <c r="GM3551"/>
      <c r="GN3551"/>
      <c r="GO3551"/>
    </row>
    <row r="3552" spans="107:197">
      <c r="DC3552"/>
      <c r="FH3552"/>
      <c r="FI3552"/>
      <c r="FJ3552"/>
      <c r="FK3552"/>
      <c r="FL3552"/>
      <c r="FM3552"/>
      <c r="FN3552"/>
      <c r="FO3552"/>
      <c r="FP3552"/>
      <c r="FQ3552"/>
      <c r="FR3552"/>
      <c r="FS3552"/>
      <c r="FT3552"/>
      <c r="FU3552"/>
      <c r="FV3552"/>
      <c r="FW3552"/>
      <c r="FX3552"/>
      <c r="FY3552"/>
      <c r="FZ3552"/>
      <c r="GA3552"/>
      <c r="GB3552"/>
      <c r="GC3552"/>
      <c r="GD3552"/>
      <c r="GE3552"/>
      <c r="GF3552"/>
      <c r="GG3552"/>
      <c r="GH3552"/>
      <c r="GI3552"/>
      <c r="GJ3552"/>
      <c r="GK3552"/>
      <c r="GL3552"/>
      <c r="GM3552"/>
      <c r="GN3552"/>
      <c r="GO3552"/>
    </row>
    <row r="3553" spans="107:197">
      <c r="DC3553"/>
      <c r="FH3553"/>
      <c r="FI3553"/>
      <c r="FJ3553"/>
      <c r="FK3553"/>
      <c r="FL3553"/>
      <c r="FM3553"/>
      <c r="FN3553"/>
      <c r="FO3553"/>
      <c r="FP3553"/>
      <c r="FQ3553"/>
      <c r="FR3553"/>
      <c r="FS3553"/>
      <c r="FT3553"/>
      <c r="FU3553"/>
      <c r="FV3553"/>
      <c r="FW3553"/>
      <c r="FX3553"/>
      <c r="FY3553"/>
      <c r="FZ3553"/>
      <c r="GA3553"/>
      <c r="GB3553"/>
      <c r="GC3553"/>
      <c r="GD3553"/>
      <c r="GE3553"/>
      <c r="GF3553"/>
      <c r="GG3553"/>
      <c r="GH3553"/>
      <c r="GI3553"/>
      <c r="GJ3553"/>
      <c r="GK3553"/>
      <c r="GL3553"/>
      <c r="GM3553"/>
      <c r="GN3553"/>
      <c r="GO3553"/>
    </row>
    <row r="3554" spans="107:197">
      <c r="DC3554"/>
      <c r="FH3554"/>
      <c r="FI3554"/>
      <c r="FJ3554"/>
      <c r="FK3554"/>
      <c r="FL3554"/>
      <c r="FM3554"/>
      <c r="FN3554"/>
      <c r="FO3554"/>
      <c r="FP3554"/>
      <c r="FQ3554"/>
      <c r="FR3554"/>
      <c r="FS3554"/>
      <c r="FT3554"/>
      <c r="FU3554"/>
      <c r="FV3554"/>
      <c r="FW3554"/>
      <c r="FX3554"/>
      <c r="FY3554"/>
      <c r="FZ3554"/>
      <c r="GA3554"/>
      <c r="GB3554"/>
      <c r="GC3554"/>
      <c r="GD3554"/>
      <c r="GE3554"/>
      <c r="GF3554"/>
      <c r="GG3554"/>
      <c r="GH3554"/>
      <c r="GI3554"/>
      <c r="GJ3554"/>
      <c r="GK3554"/>
      <c r="GL3554"/>
      <c r="GM3554"/>
      <c r="GN3554"/>
      <c r="GO3554"/>
    </row>
    <row r="3555" spans="107:197">
      <c r="DC3555"/>
      <c r="FH3555"/>
      <c r="FI3555"/>
      <c r="FJ3555"/>
      <c r="FK3555"/>
      <c r="FL3555"/>
      <c r="FM3555"/>
      <c r="FN3555"/>
      <c r="FO3555"/>
      <c r="FP3555"/>
      <c r="FQ3555"/>
      <c r="FR3555"/>
      <c r="FS3555"/>
      <c r="FT3555"/>
      <c r="FU3555"/>
      <c r="FV3555"/>
      <c r="FW3555"/>
      <c r="FX3555"/>
      <c r="FY3555"/>
      <c r="FZ3555"/>
      <c r="GA3555"/>
      <c r="GB3555"/>
      <c r="GC3555"/>
      <c r="GD3555"/>
      <c r="GE3555"/>
      <c r="GF3555"/>
      <c r="GG3555"/>
      <c r="GH3555"/>
      <c r="GI3555"/>
      <c r="GJ3555"/>
      <c r="GK3555"/>
      <c r="GL3555"/>
      <c r="GM3555"/>
      <c r="GN3555"/>
      <c r="GO3555"/>
    </row>
    <row r="3556" spans="107:197">
      <c r="DC3556"/>
      <c r="FH3556"/>
      <c r="FI3556"/>
      <c r="FJ3556"/>
      <c r="FK3556"/>
      <c r="FL3556"/>
      <c r="FM3556"/>
      <c r="FN3556"/>
      <c r="FO3556"/>
      <c r="FP3556"/>
      <c r="FQ3556"/>
      <c r="FR3556"/>
      <c r="FS3556"/>
      <c r="FT3556"/>
      <c r="FU3556"/>
      <c r="FV3556"/>
      <c r="FW3556"/>
      <c r="FX3556"/>
      <c r="FY3556"/>
      <c r="FZ3556"/>
      <c r="GA3556"/>
      <c r="GB3556"/>
      <c r="GC3556"/>
      <c r="GD3556"/>
      <c r="GE3556"/>
      <c r="GF3556"/>
      <c r="GG3556"/>
      <c r="GH3556"/>
      <c r="GI3556"/>
      <c r="GJ3556"/>
      <c r="GK3556"/>
      <c r="GL3556"/>
      <c r="GM3556"/>
      <c r="GN3556"/>
      <c r="GO3556"/>
    </row>
    <row r="3557" spans="107:197">
      <c r="DC3557"/>
      <c r="FH3557"/>
      <c r="FI3557"/>
      <c r="FJ3557"/>
      <c r="FK3557"/>
      <c r="FL3557"/>
      <c r="FM3557"/>
      <c r="FN3557"/>
      <c r="FO3557"/>
      <c r="FP3557"/>
      <c r="FQ3557"/>
      <c r="FR3557"/>
      <c r="FS3557"/>
      <c r="FT3557"/>
      <c r="FU3557"/>
      <c r="FV3557"/>
      <c r="FW3557"/>
      <c r="FX3557"/>
      <c r="FY3557"/>
      <c r="FZ3557"/>
      <c r="GA3557"/>
      <c r="GB3557"/>
      <c r="GC3557"/>
      <c r="GD3557"/>
      <c r="GE3557"/>
      <c r="GF3557"/>
      <c r="GG3557"/>
      <c r="GH3557"/>
      <c r="GI3557"/>
      <c r="GJ3557"/>
      <c r="GK3557"/>
      <c r="GL3557"/>
      <c r="GM3557"/>
      <c r="GN3557"/>
      <c r="GO3557"/>
    </row>
    <row r="3558" spans="107:197">
      <c r="DC3558"/>
      <c r="FH3558"/>
      <c r="FI3558"/>
      <c r="FJ3558"/>
      <c r="FK3558"/>
      <c r="FL3558"/>
      <c r="FM3558"/>
      <c r="FN3558"/>
      <c r="FO3558"/>
      <c r="FP3558"/>
      <c r="FQ3558"/>
      <c r="FR3558"/>
      <c r="FS3558"/>
      <c r="FT3558"/>
      <c r="FU3558"/>
      <c r="FV3558"/>
      <c r="FW3558"/>
      <c r="FX3558"/>
      <c r="FY3558"/>
      <c r="FZ3558"/>
      <c r="GA3558"/>
      <c r="GB3558"/>
      <c r="GC3558"/>
      <c r="GD3558"/>
      <c r="GE3558"/>
      <c r="GF3558"/>
      <c r="GG3558"/>
      <c r="GH3558"/>
      <c r="GI3558"/>
      <c r="GJ3558"/>
      <c r="GK3558"/>
      <c r="GL3558"/>
      <c r="GM3558"/>
      <c r="GN3558"/>
      <c r="GO3558"/>
    </row>
    <row r="3559" spans="107:197">
      <c r="DC3559"/>
      <c r="FH3559"/>
      <c r="FI3559"/>
      <c r="FJ3559"/>
      <c r="FK3559"/>
      <c r="FL3559"/>
      <c r="FM3559"/>
      <c r="FN3559"/>
      <c r="FO3559"/>
      <c r="FP3559"/>
      <c r="FQ3559"/>
      <c r="FR3559"/>
      <c r="FS3559"/>
      <c r="FT3559"/>
      <c r="FU3559"/>
      <c r="FV3559"/>
      <c r="FW3559"/>
      <c r="FX3559"/>
      <c r="FY3559"/>
      <c r="FZ3559"/>
      <c r="GA3559"/>
      <c r="GB3559"/>
      <c r="GC3559"/>
      <c r="GD3559"/>
      <c r="GE3559"/>
      <c r="GF3559"/>
      <c r="GG3559"/>
      <c r="GH3559"/>
      <c r="GI3559"/>
      <c r="GJ3559"/>
      <c r="GK3559"/>
      <c r="GL3559"/>
      <c r="GM3559"/>
      <c r="GN3559"/>
      <c r="GO3559"/>
    </row>
    <row r="3560" spans="107:197">
      <c r="DC3560"/>
      <c r="FH3560"/>
      <c r="FI3560"/>
      <c r="FJ3560"/>
      <c r="FK3560"/>
      <c r="FL3560"/>
      <c r="FM3560"/>
      <c r="FN3560"/>
      <c r="FO3560"/>
      <c r="FP3560"/>
      <c r="FQ3560"/>
      <c r="FR3560"/>
      <c r="FS3560"/>
      <c r="FT3560"/>
      <c r="FU3560"/>
      <c r="FV3560"/>
      <c r="FW3560"/>
      <c r="FX3560"/>
      <c r="FY3560"/>
      <c r="FZ3560"/>
      <c r="GA3560"/>
      <c r="GB3560"/>
      <c r="GC3560"/>
      <c r="GD3560"/>
      <c r="GE3560"/>
      <c r="GF3560"/>
      <c r="GG3560"/>
      <c r="GH3560"/>
      <c r="GI3560"/>
      <c r="GJ3560"/>
      <c r="GK3560"/>
      <c r="GL3560"/>
      <c r="GM3560"/>
      <c r="GN3560"/>
      <c r="GO3560"/>
    </row>
    <row r="3561" spans="107:197">
      <c r="DC3561"/>
      <c r="FH3561"/>
      <c r="FI3561"/>
      <c r="FJ3561"/>
      <c r="FK3561"/>
      <c r="FL3561"/>
      <c r="FM3561"/>
      <c r="FN3561"/>
      <c r="FO3561"/>
      <c r="FP3561"/>
      <c r="FQ3561"/>
      <c r="FR3561"/>
      <c r="FS3561"/>
      <c r="FT3561"/>
      <c r="FU3561"/>
      <c r="FV3561"/>
      <c r="FW3561"/>
      <c r="FX3561"/>
      <c r="FY3561"/>
      <c r="FZ3561"/>
      <c r="GA3561"/>
      <c r="GB3561"/>
      <c r="GC3561"/>
      <c r="GD3561"/>
      <c r="GE3561"/>
      <c r="GF3561"/>
      <c r="GG3561"/>
      <c r="GH3561"/>
      <c r="GI3561"/>
      <c r="GJ3561"/>
      <c r="GK3561"/>
      <c r="GL3561"/>
      <c r="GM3561"/>
      <c r="GN3561"/>
      <c r="GO3561"/>
    </row>
    <row r="3562" spans="107:197">
      <c r="DC3562"/>
      <c r="FH3562"/>
      <c r="FI3562"/>
      <c r="FJ3562"/>
      <c r="FK3562"/>
      <c r="FL3562"/>
      <c r="FM3562"/>
      <c r="FN3562"/>
      <c r="FO3562"/>
      <c r="FP3562"/>
      <c r="FQ3562"/>
      <c r="FR3562"/>
      <c r="FS3562"/>
      <c r="FT3562"/>
      <c r="FU3562"/>
      <c r="FV3562"/>
      <c r="FW3562"/>
      <c r="FX3562"/>
      <c r="FY3562"/>
      <c r="FZ3562"/>
      <c r="GA3562"/>
      <c r="GB3562"/>
      <c r="GC3562"/>
      <c r="GD3562"/>
      <c r="GE3562"/>
      <c r="GF3562"/>
      <c r="GG3562"/>
      <c r="GH3562"/>
      <c r="GI3562"/>
      <c r="GJ3562"/>
      <c r="GK3562"/>
      <c r="GL3562"/>
      <c r="GM3562"/>
      <c r="GN3562"/>
      <c r="GO3562"/>
    </row>
    <row r="3563" spans="107:197">
      <c r="DC3563"/>
      <c r="FH3563"/>
      <c r="FI3563"/>
      <c r="FJ3563"/>
      <c r="FK3563"/>
      <c r="FL3563"/>
      <c r="FM3563"/>
      <c r="FN3563"/>
      <c r="FO3563"/>
      <c r="FP3563"/>
      <c r="FQ3563"/>
      <c r="FR3563"/>
      <c r="FS3563"/>
      <c r="FT3563"/>
      <c r="FU3563"/>
      <c r="FV3563"/>
      <c r="FW3563"/>
      <c r="FX3563"/>
      <c r="FY3563"/>
      <c r="FZ3563"/>
      <c r="GA3563"/>
      <c r="GB3563"/>
      <c r="GC3563"/>
      <c r="GD3563"/>
      <c r="GE3563"/>
      <c r="GF3563"/>
      <c r="GG3563"/>
      <c r="GH3563"/>
      <c r="GI3563"/>
      <c r="GJ3563"/>
      <c r="GK3563"/>
      <c r="GL3563"/>
      <c r="GM3563"/>
      <c r="GN3563"/>
      <c r="GO3563"/>
    </row>
    <row r="3564" spans="107:197">
      <c r="DC3564"/>
      <c r="FH3564"/>
      <c r="FI3564"/>
      <c r="FJ3564"/>
      <c r="FK3564"/>
      <c r="FL3564"/>
      <c r="FM3564"/>
      <c r="FN3564"/>
      <c r="FO3564"/>
      <c r="FP3564"/>
      <c r="FQ3564"/>
      <c r="FR3564"/>
      <c r="FS3564"/>
      <c r="FT3564"/>
      <c r="FU3564"/>
      <c r="FV3564"/>
      <c r="FW3564"/>
      <c r="FX3564"/>
      <c r="FY3564"/>
      <c r="FZ3564"/>
      <c r="GA3564"/>
      <c r="GB3564"/>
      <c r="GC3564"/>
      <c r="GD3564"/>
      <c r="GE3564"/>
      <c r="GF3564"/>
      <c r="GG3564"/>
      <c r="GH3564"/>
      <c r="GI3564"/>
      <c r="GJ3564"/>
      <c r="GK3564"/>
      <c r="GL3564"/>
      <c r="GM3564"/>
      <c r="GN3564"/>
      <c r="GO3564"/>
    </row>
    <row r="3565" spans="107:197">
      <c r="DC3565"/>
      <c r="FH3565"/>
      <c r="FI3565"/>
      <c r="FJ3565"/>
      <c r="FK3565"/>
      <c r="FL3565"/>
      <c r="FM3565"/>
      <c r="FN3565"/>
      <c r="FO3565"/>
      <c r="FP3565"/>
      <c r="FQ3565"/>
      <c r="FR3565"/>
      <c r="FS3565"/>
      <c r="FT3565"/>
      <c r="FU3565"/>
      <c r="FV3565"/>
      <c r="FW3565"/>
      <c r="FX3565"/>
      <c r="FY3565"/>
      <c r="FZ3565"/>
      <c r="GA3565"/>
      <c r="GB3565"/>
      <c r="GC3565"/>
      <c r="GD3565"/>
      <c r="GE3565"/>
      <c r="GF3565"/>
      <c r="GG3565"/>
      <c r="GH3565"/>
      <c r="GI3565"/>
      <c r="GJ3565"/>
      <c r="GK3565"/>
      <c r="GL3565"/>
      <c r="GM3565"/>
      <c r="GN3565"/>
      <c r="GO3565"/>
    </row>
    <row r="3566" spans="107:197">
      <c r="DC3566"/>
      <c r="FH3566"/>
      <c r="FI3566"/>
      <c r="FJ3566"/>
      <c r="FK3566"/>
      <c r="FL3566"/>
      <c r="FM3566"/>
      <c r="FN3566"/>
      <c r="FO3566"/>
      <c r="FP3566"/>
      <c r="FQ3566"/>
      <c r="FR3566"/>
      <c r="FS3566"/>
      <c r="FT3566"/>
      <c r="FU3566"/>
      <c r="FV3566"/>
      <c r="FW3566"/>
      <c r="FX3566"/>
      <c r="FY3566"/>
      <c r="FZ3566"/>
      <c r="GA3566"/>
      <c r="GB3566"/>
      <c r="GC3566"/>
      <c r="GD3566"/>
      <c r="GE3566"/>
      <c r="GF3566"/>
      <c r="GG3566"/>
      <c r="GH3566"/>
      <c r="GI3566"/>
      <c r="GJ3566"/>
      <c r="GK3566"/>
      <c r="GL3566"/>
      <c r="GM3566"/>
      <c r="GN3566"/>
      <c r="GO3566"/>
    </row>
    <row r="3567" spans="107:197">
      <c r="DC3567"/>
      <c r="FH3567"/>
      <c r="FI3567"/>
      <c r="FJ3567"/>
      <c r="FK3567"/>
      <c r="FL3567"/>
      <c r="FM3567"/>
      <c r="FN3567"/>
      <c r="FO3567"/>
      <c r="FP3567"/>
      <c r="FQ3567"/>
      <c r="FR3567"/>
      <c r="FS3567"/>
      <c r="FT3567"/>
      <c r="FU3567"/>
      <c r="FV3567"/>
      <c r="FW3567"/>
      <c r="FX3567"/>
      <c r="FY3567"/>
      <c r="FZ3567"/>
      <c r="GA3567"/>
      <c r="GB3567"/>
      <c r="GC3567"/>
      <c r="GD3567"/>
      <c r="GE3567"/>
      <c r="GF3567"/>
      <c r="GG3567"/>
      <c r="GH3567"/>
      <c r="GI3567"/>
      <c r="GJ3567"/>
      <c r="GK3567"/>
      <c r="GL3567"/>
      <c r="GM3567"/>
      <c r="GN3567"/>
      <c r="GO3567"/>
    </row>
    <row r="3568" spans="107:197">
      <c r="DC3568"/>
      <c r="FH3568"/>
      <c r="FI3568"/>
      <c r="FJ3568"/>
      <c r="FK3568"/>
      <c r="FL3568"/>
      <c r="FM3568"/>
      <c r="FN3568"/>
      <c r="FO3568"/>
      <c r="FP3568"/>
      <c r="FQ3568"/>
      <c r="FR3568"/>
      <c r="FS3568"/>
      <c r="FT3568"/>
      <c r="FU3568"/>
      <c r="FV3568"/>
      <c r="FW3568"/>
      <c r="FX3568"/>
      <c r="FY3568"/>
      <c r="FZ3568"/>
      <c r="GA3568"/>
      <c r="GB3568"/>
      <c r="GC3568"/>
      <c r="GD3568"/>
      <c r="GE3568"/>
      <c r="GF3568"/>
      <c r="GG3568"/>
      <c r="GH3568"/>
      <c r="GI3568"/>
      <c r="GJ3568"/>
      <c r="GK3568"/>
      <c r="GL3568"/>
      <c r="GM3568"/>
      <c r="GN3568"/>
      <c r="GO3568"/>
    </row>
    <row r="3569" spans="107:197">
      <c r="DC3569"/>
      <c r="FH3569"/>
      <c r="FI3569"/>
      <c r="FJ3569"/>
      <c r="FK3569"/>
      <c r="FL3569"/>
      <c r="FM3569"/>
      <c r="FN3569"/>
      <c r="FO3569"/>
      <c r="FP3569"/>
      <c r="FQ3569"/>
      <c r="FR3569"/>
      <c r="FS3569"/>
      <c r="FT3569"/>
      <c r="FU3569"/>
      <c r="FV3569"/>
      <c r="FW3569"/>
      <c r="FX3569"/>
      <c r="FY3569"/>
      <c r="FZ3569"/>
      <c r="GA3569"/>
      <c r="GB3569"/>
      <c r="GC3569"/>
      <c r="GD3569"/>
      <c r="GE3569"/>
      <c r="GF3569"/>
      <c r="GG3569"/>
      <c r="GH3569"/>
      <c r="GI3569"/>
      <c r="GJ3569"/>
      <c r="GK3569"/>
      <c r="GL3569"/>
      <c r="GM3569"/>
      <c r="GN3569"/>
      <c r="GO3569"/>
    </row>
    <row r="3570" spans="107:197">
      <c r="DC3570"/>
      <c r="FH3570"/>
      <c r="FI3570"/>
      <c r="FJ3570"/>
      <c r="FK3570"/>
      <c r="FL3570"/>
      <c r="FM3570"/>
      <c r="FN3570"/>
      <c r="FO3570"/>
      <c r="FP3570"/>
      <c r="FQ3570"/>
      <c r="FR3570"/>
      <c r="FS3570"/>
      <c r="FT3570"/>
      <c r="FU3570"/>
      <c r="FV3570"/>
      <c r="FW3570"/>
      <c r="FX3570"/>
      <c r="FY3570"/>
      <c r="FZ3570"/>
      <c r="GA3570"/>
      <c r="GB3570"/>
      <c r="GC3570"/>
      <c r="GD3570"/>
      <c r="GE3570"/>
      <c r="GF3570"/>
      <c r="GG3570"/>
      <c r="GH3570"/>
      <c r="GI3570"/>
      <c r="GJ3570"/>
      <c r="GK3570"/>
      <c r="GL3570"/>
      <c r="GM3570"/>
      <c r="GN3570"/>
      <c r="GO3570"/>
    </row>
    <row r="3571" spans="107:197">
      <c r="DC3571"/>
      <c r="FH3571"/>
      <c r="FI3571"/>
      <c r="FJ3571"/>
      <c r="FK3571"/>
      <c r="FL3571"/>
      <c r="FM3571"/>
      <c r="FN3571"/>
      <c r="FO3571"/>
      <c r="FP3571"/>
      <c r="FQ3571"/>
      <c r="FR3571"/>
      <c r="FS3571"/>
      <c r="FT3571"/>
      <c r="FU3571"/>
      <c r="FV3571"/>
      <c r="FW3571"/>
      <c r="FX3571"/>
      <c r="FY3571"/>
      <c r="FZ3571"/>
      <c r="GA3571"/>
      <c r="GB3571"/>
      <c r="GC3571"/>
      <c r="GD3571"/>
      <c r="GE3571"/>
      <c r="GF3571"/>
      <c r="GG3571"/>
      <c r="GH3571"/>
      <c r="GI3571"/>
      <c r="GJ3571"/>
      <c r="GK3571"/>
      <c r="GL3571"/>
      <c r="GM3571"/>
      <c r="GN3571"/>
      <c r="GO3571"/>
    </row>
    <row r="3572" spans="107:197">
      <c r="DC3572"/>
      <c r="FH3572"/>
      <c r="FI3572"/>
      <c r="FJ3572"/>
      <c r="FK3572"/>
      <c r="FL3572"/>
      <c r="FM3572"/>
      <c r="FN3572"/>
      <c r="FO3572"/>
      <c r="FP3572"/>
      <c r="FQ3572"/>
      <c r="FR3572"/>
      <c r="FS3572"/>
      <c r="FT3572"/>
      <c r="FU3572"/>
      <c r="FV3572"/>
      <c r="FW3572"/>
      <c r="FX3572"/>
      <c r="FY3572"/>
      <c r="FZ3572"/>
      <c r="GA3572"/>
      <c r="GB3572"/>
      <c r="GC3572"/>
      <c r="GD3572"/>
      <c r="GE3572"/>
      <c r="GF3572"/>
      <c r="GG3572"/>
      <c r="GH3572"/>
      <c r="GI3572"/>
      <c r="GJ3572"/>
      <c r="GK3572"/>
      <c r="GL3572"/>
      <c r="GM3572"/>
      <c r="GN3572"/>
      <c r="GO3572"/>
    </row>
    <row r="3573" spans="107:197">
      <c r="DC3573"/>
      <c r="FH3573"/>
      <c r="FI3573"/>
      <c r="FJ3573"/>
      <c r="FK3573"/>
      <c r="FL3573"/>
      <c r="FM3573"/>
      <c r="FN3573"/>
      <c r="FO3573"/>
      <c r="FP3573"/>
      <c r="FQ3573"/>
      <c r="FR3573"/>
      <c r="FS3573"/>
      <c r="FT3573"/>
      <c r="FU3573"/>
      <c r="FV3573"/>
      <c r="FW3573"/>
      <c r="FX3573"/>
      <c r="FY3573"/>
      <c r="FZ3573"/>
      <c r="GA3573"/>
      <c r="GB3573"/>
      <c r="GC3573"/>
      <c r="GD3573"/>
      <c r="GE3573"/>
      <c r="GF3573"/>
      <c r="GG3573"/>
      <c r="GH3573"/>
      <c r="GI3573"/>
      <c r="GJ3573"/>
      <c r="GK3573"/>
      <c r="GL3573"/>
      <c r="GM3573"/>
      <c r="GN3573"/>
      <c r="GO3573"/>
    </row>
    <row r="3574" spans="107:197">
      <c r="DC3574"/>
      <c r="FH3574"/>
      <c r="FI3574"/>
      <c r="FJ3574"/>
      <c r="FK3574"/>
      <c r="FL3574"/>
      <c r="FM3574"/>
      <c r="FN3574"/>
      <c r="FO3574"/>
      <c r="FP3574"/>
      <c r="FQ3574"/>
      <c r="FR3574"/>
      <c r="FS3574"/>
      <c r="FT3574"/>
      <c r="FU3574"/>
      <c r="FV3574"/>
      <c r="FW3574"/>
      <c r="FX3574"/>
      <c r="FY3574"/>
      <c r="FZ3574"/>
      <c r="GA3574"/>
      <c r="GB3574"/>
      <c r="GC3574"/>
      <c r="GD3574"/>
      <c r="GE3574"/>
      <c r="GF3574"/>
      <c r="GG3574"/>
      <c r="GH3574"/>
      <c r="GI3574"/>
      <c r="GJ3574"/>
      <c r="GK3574"/>
      <c r="GL3574"/>
      <c r="GM3574"/>
      <c r="GN3574"/>
      <c r="GO3574"/>
    </row>
    <row r="3575" spans="107:197">
      <c r="DC3575"/>
      <c r="FH3575"/>
      <c r="FI3575"/>
      <c r="FJ3575"/>
      <c r="FK3575"/>
      <c r="FL3575"/>
      <c r="FM3575"/>
      <c r="FN3575"/>
      <c r="FO3575"/>
      <c r="FP3575"/>
      <c r="FQ3575"/>
      <c r="FR3575"/>
      <c r="FS3575"/>
      <c r="FT3575"/>
      <c r="FU3575"/>
      <c r="FV3575"/>
      <c r="FW3575"/>
      <c r="FX3575"/>
      <c r="FY3575"/>
      <c r="FZ3575"/>
      <c r="GA3575"/>
      <c r="GB3575"/>
      <c r="GC3575"/>
      <c r="GD3575"/>
      <c r="GE3575"/>
      <c r="GF3575"/>
      <c r="GG3575"/>
      <c r="GH3575"/>
      <c r="GI3575"/>
      <c r="GJ3575"/>
      <c r="GK3575"/>
      <c r="GL3575"/>
      <c r="GM3575"/>
      <c r="GN3575"/>
      <c r="GO3575"/>
    </row>
    <row r="3576" spans="107:197">
      <c r="DC3576"/>
      <c r="FH3576"/>
      <c r="FI3576"/>
      <c r="FJ3576"/>
      <c r="FK3576"/>
      <c r="FL3576"/>
      <c r="FM3576"/>
      <c r="FN3576"/>
      <c r="FO3576"/>
      <c r="FP3576"/>
      <c r="FQ3576"/>
      <c r="FR3576"/>
      <c r="FS3576"/>
      <c r="FT3576"/>
      <c r="FU3576"/>
      <c r="FV3576"/>
      <c r="FW3576"/>
      <c r="FX3576"/>
      <c r="FY3576"/>
      <c r="FZ3576"/>
      <c r="GA3576"/>
      <c r="GB3576"/>
      <c r="GC3576"/>
      <c r="GD3576"/>
      <c r="GE3576"/>
      <c r="GF3576"/>
      <c r="GG3576"/>
      <c r="GH3576"/>
      <c r="GI3576"/>
      <c r="GJ3576"/>
      <c r="GK3576"/>
      <c r="GL3576"/>
      <c r="GM3576"/>
      <c r="GN3576"/>
      <c r="GO3576"/>
    </row>
    <row r="3577" spans="107:197">
      <c r="DC3577"/>
      <c r="FH3577"/>
      <c r="FI3577"/>
      <c r="FJ3577"/>
      <c r="FK3577"/>
      <c r="FL3577"/>
      <c r="FM3577"/>
      <c r="FN3577"/>
      <c r="FO3577"/>
      <c r="FP3577"/>
      <c r="FQ3577"/>
      <c r="FR3577"/>
      <c r="FS3577"/>
      <c r="FT3577"/>
      <c r="FU3577"/>
      <c r="FV3577"/>
      <c r="FW3577"/>
      <c r="FX3577"/>
      <c r="FY3577"/>
      <c r="FZ3577"/>
      <c r="GA3577"/>
      <c r="GB3577"/>
      <c r="GC3577"/>
      <c r="GD3577"/>
      <c r="GE3577"/>
      <c r="GF3577"/>
      <c r="GG3577"/>
      <c r="GH3577"/>
      <c r="GI3577"/>
      <c r="GJ3577"/>
      <c r="GK3577"/>
      <c r="GL3577"/>
      <c r="GM3577"/>
      <c r="GN3577"/>
      <c r="GO3577"/>
    </row>
    <row r="3578" spans="107:197">
      <c r="DC3578"/>
      <c r="FH3578"/>
      <c r="FI3578"/>
      <c r="FJ3578"/>
      <c r="FK3578"/>
      <c r="FL3578"/>
      <c r="FM3578"/>
      <c r="FN3578"/>
      <c r="FO3578"/>
      <c r="FP3578"/>
      <c r="FQ3578"/>
      <c r="FR3578"/>
      <c r="FS3578"/>
      <c r="FT3578"/>
      <c r="FU3578"/>
      <c r="FV3578"/>
      <c r="FW3578"/>
      <c r="FX3578"/>
      <c r="FY3578"/>
      <c r="FZ3578"/>
      <c r="GA3578"/>
      <c r="GB3578"/>
      <c r="GC3578"/>
      <c r="GD3578"/>
      <c r="GE3578"/>
      <c r="GF3578"/>
      <c r="GG3578"/>
      <c r="GH3578"/>
      <c r="GI3578"/>
      <c r="GJ3578"/>
      <c r="GK3578"/>
      <c r="GL3578"/>
      <c r="GM3578"/>
      <c r="GN3578"/>
      <c r="GO3578"/>
    </row>
    <row r="3579" spans="107:197">
      <c r="DC3579"/>
      <c r="FH3579"/>
      <c r="FI3579"/>
      <c r="FJ3579"/>
      <c r="FK3579"/>
      <c r="FL3579"/>
      <c r="FM3579"/>
      <c r="FN3579"/>
      <c r="FO3579"/>
      <c r="FP3579"/>
      <c r="FQ3579"/>
      <c r="FR3579"/>
      <c r="FS3579"/>
      <c r="FT3579"/>
      <c r="FU3579"/>
      <c r="FV3579"/>
      <c r="FW3579"/>
      <c r="FX3579"/>
      <c r="FY3579"/>
      <c r="FZ3579"/>
      <c r="GA3579"/>
      <c r="GB3579"/>
      <c r="GC3579"/>
      <c r="GD3579"/>
      <c r="GE3579"/>
      <c r="GF3579"/>
      <c r="GG3579"/>
      <c r="GH3579"/>
      <c r="GI3579"/>
      <c r="GJ3579"/>
      <c r="GK3579"/>
      <c r="GL3579"/>
      <c r="GM3579"/>
      <c r="GN3579"/>
      <c r="GO3579"/>
    </row>
    <row r="3580" spans="107:197">
      <c r="DC3580"/>
      <c r="FH3580"/>
      <c r="FI3580"/>
      <c r="FJ3580"/>
      <c r="FK3580"/>
      <c r="FL3580"/>
      <c r="FM3580"/>
      <c r="FN3580"/>
      <c r="FO3580"/>
      <c r="FP3580"/>
      <c r="FQ3580"/>
      <c r="FR3580"/>
      <c r="FS3580"/>
      <c r="FT3580"/>
      <c r="FU3580"/>
      <c r="FV3580"/>
      <c r="FW3580"/>
      <c r="FX3580"/>
      <c r="FY3580"/>
      <c r="FZ3580"/>
      <c r="GA3580"/>
      <c r="GB3580"/>
      <c r="GC3580"/>
      <c r="GD3580"/>
      <c r="GE3580"/>
      <c r="GF3580"/>
      <c r="GG3580"/>
      <c r="GH3580"/>
      <c r="GI3580"/>
      <c r="GJ3580"/>
      <c r="GK3580"/>
      <c r="GL3580"/>
      <c r="GM3580"/>
      <c r="GN3580"/>
      <c r="GO3580"/>
    </row>
    <row r="3581" spans="107:197">
      <c r="DC3581"/>
      <c r="FH3581"/>
      <c r="FI3581"/>
      <c r="FJ3581"/>
      <c r="FK3581"/>
      <c r="FL3581"/>
      <c r="FM3581"/>
      <c r="FN3581"/>
      <c r="FO3581"/>
      <c r="FP3581"/>
      <c r="FQ3581"/>
      <c r="FR3581"/>
      <c r="FS3581"/>
      <c r="FT3581"/>
      <c r="FU3581"/>
      <c r="FV3581"/>
      <c r="FW3581"/>
      <c r="FX3581"/>
      <c r="FY3581"/>
      <c r="FZ3581"/>
      <c r="GA3581"/>
      <c r="GB3581"/>
      <c r="GC3581"/>
      <c r="GD3581"/>
      <c r="GE3581"/>
      <c r="GF3581"/>
      <c r="GG3581"/>
      <c r="GH3581"/>
      <c r="GI3581"/>
      <c r="GJ3581"/>
      <c r="GK3581"/>
      <c r="GL3581"/>
      <c r="GM3581"/>
      <c r="GN3581"/>
      <c r="GO3581"/>
    </row>
    <row r="3582" spans="107:197">
      <c r="DC3582"/>
      <c r="FH3582"/>
      <c r="FI3582"/>
      <c r="FJ3582"/>
      <c r="FK3582"/>
      <c r="FL3582"/>
      <c r="FM3582"/>
      <c r="FN3582"/>
      <c r="FO3582"/>
      <c r="FP3582"/>
      <c r="FQ3582"/>
      <c r="FR3582"/>
      <c r="FS3582"/>
      <c r="FT3582"/>
      <c r="FU3582"/>
      <c r="FV3582"/>
      <c r="FW3582"/>
      <c r="FX3582"/>
      <c r="FY3582"/>
      <c r="FZ3582"/>
      <c r="GA3582"/>
      <c r="GB3582"/>
      <c r="GC3582"/>
      <c r="GD3582"/>
      <c r="GE3582"/>
      <c r="GF3582"/>
      <c r="GG3582"/>
      <c r="GH3582"/>
      <c r="GI3582"/>
      <c r="GJ3582"/>
      <c r="GK3582"/>
      <c r="GL3582"/>
      <c r="GM3582"/>
      <c r="GN3582"/>
      <c r="GO3582"/>
    </row>
    <row r="3583" spans="107:197">
      <c r="DC3583"/>
      <c r="FH3583"/>
      <c r="FI3583"/>
      <c r="FJ3583"/>
      <c r="FK3583"/>
      <c r="FL3583"/>
      <c r="FM3583"/>
      <c r="FN3583"/>
      <c r="FO3583"/>
      <c r="FP3583"/>
      <c r="FQ3583"/>
      <c r="FR3583"/>
      <c r="FS3583"/>
      <c r="FT3583"/>
      <c r="FU3583"/>
      <c r="FV3583"/>
      <c r="FW3583"/>
      <c r="FX3583"/>
      <c r="FY3583"/>
      <c r="FZ3583"/>
      <c r="GA3583"/>
      <c r="GB3583"/>
      <c r="GC3583"/>
      <c r="GD3583"/>
      <c r="GE3583"/>
      <c r="GF3583"/>
      <c r="GG3583"/>
      <c r="GH3583"/>
      <c r="GI3583"/>
      <c r="GJ3583"/>
      <c r="GK3583"/>
      <c r="GL3583"/>
      <c r="GM3583"/>
      <c r="GN3583"/>
      <c r="GO3583"/>
    </row>
    <row r="3584" spans="107:197">
      <c r="DC3584"/>
      <c r="FH3584"/>
      <c r="FI3584"/>
      <c r="FJ3584"/>
      <c r="FK3584"/>
      <c r="FL3584"/>
      <c r="FM3584"/>
      <c r="FN3584"/>
      <c r="FO3584"/>
      <c r="FP3584"/>
      <c r="FQ3584"/>
      <c r="FR3584"/>
      <c r="FS3584"/>
      <c r="FT3584"/>
      <c r="FU3584"/>
      <c r="FV3584"/>
      <c r="FW3584"/>
      <c r="FX3584"/>
      <c r="FY3584"/>
      <c r="FZ3584"/>
      <c r="GA3584"/>
      <c r="GB3584"/>
      <c r="GC3584"/>
      <c r="GD3584"/>
      <c r="GE3584"/>
      <c r="GF3584"/>
      <c r="GG3584"/>
      <c r="GH3584"/>
      <c r="GI3584"/>
      <c r="GJ3584"/>
      <c r="GK3584"/>
      <c r="GL3584"/>
      <c r="GM3584"/>
      <c r="GN3584"/>
      <c r="GO3584"/>
    </row>
    <row r="3585" spans="107:197">
      <c r="DC3585"/>
      <c r="FH3585"/>
      <c r="FI3585"/>
      <c r="FJ3585"/>
      <c r="FK3585"/>
      <c r="FL3585"/>
      <c r="FM3585"/>
      <c r="FN3585"/>
      <c r="FO3585"/>
      <c r="FP3585"/>
      <c r="FQ3585"/>
      <c r="FR3585"/>
      <c r="FS3585"/>
      <c r="FT3585"/>
      <c r="FU3585"/>
      <c r="FV3585"/>
      <c r="FW3585"/>
      <c r="FX3585"/>
      <c r="FY3585"/>
      <c r="FZ3585"/>
      <c r="GA3585"/>
      <c r="GB3585"/>
      <c r="GC3585"/>
      <c r="GD3585"/>
      <c r="GE3585"/>
      <c r="GF3585"/>
      <c r="GG3585"/>
      <c r="GH3585"/>
      <c r="GI3585"/>
      <c r="GJ3585"/>
      <c r="GK3585"/>
      <c r="GL3585"/>
      <c r="GM3585"/>
      <c r="GN3585"/>
      <c r="GO3585"/>
    </row>
    <row r="3586" spans="107:197">
      <c r="DC3586"/>
      <c r="FH3586"/>
      <c r="FI3586"/>
      <c r="FJ3586"/>
      <c r="FK3586"/>
      <c r="FL3586"/>
      <c r="FM3586"/>
      <c r="FN3586"/>
      <c r="FO3586"/>
      <c r="FP3586"/>
      <c r="FQ3586"/>
      <c r="FR3586"/>
      <c r="FS3586"/>
      <c r="FT3586"/>
      <c r="FU3586"/>
      <c r="FV3586"/>
      <c r="FW3586"/>
      <c r="FX3586"/>
      <c r="FY3586"/>
      <c r="FZ3586"/>
      <c r="GA3586"/>
      <c r="GB3586"/>
      <c r="GC3586"/>
      <c r="GD3586"/>
      <c r="GE3586"/>
      <c r="GF3586"/>
      <c r="GG3586"/>
      <c r="GH3586"/>
      <c r="GI3586"/>
      <c r="GJ3586"/>
      <c r="GK3586"/>
      <c r="GL3586"/>
      <c r="GM3586"/>
      <c r="GN3586"/>
      <c r="GO3586"/>
    </row>
    <row r="3587" spans="107:197">
      <c r="DC3587"/>
      <c r="FH3587"/>
      <c r="FI3587"/>
      <c r="FJ3587"/>
      <c r="FK3587"/>
      <c r="FL3587"/>
      <c r="FM3587"/>
      <c r="FN3587"/>
      <c r="FO3587"/>
      <c r="FP3587"/>
      <c r="FQ3587"/>
      <c r="FR3587"/>
      <c r="FS3587"/>
      <c r="FT3587"/>
      <c r="FU3587"/>
      <c r="FV3587"/>
      <c r="FW3587"/>
      <c r="FX3587"/>
      <c r="FY3587"/>
      <c r="FZ3587"/>
      <c r="GA3587"/>
      <c r="GB3587"/>
      <c r="GC3587"/>
      <c r="GD3587"/>
      <c r="GE3587"/>
      <c r="GF3587"/>
      <c r="GG3587"/>
      <c r="GH3587"/>
      <c r="GI3587"/>
      <c r="GJ3587"/>
      <c r="GK3587"/>
      <c r="GL3587"/>
      <c r="GM3587"/>
      <c r="GN3587"/>
      <c r="GO3587"/>
    </row>
    <row r="3588" spans="107:197">
      <c r="DC3588"/>
      <c r="FH3588"/>
      <c r="FI3588"/>
      <c r="FJ3588"/>
      <c r="FK3588"/>
      <c r="FL3588"/>
      <c r="FM3588"/>
      <c r="FN3588"/>
      <c r="FO3588"/>
      <c r="FP3588"/>
      <c r="FQ3588"/>
      <c r="FR3588"/>
      <c r="FS3588"/>
      <c r="FT3588"/>
      <c r="FU3588"/>
      <c r="FV3588"/>
      <c r="FW3588"/>
      <c r="FX3588"/>
      <c r="FY3588"/>
      <c r="FZ3588"/>
      <c r="GA3588"/>
      <c r="GB3588"/>
      <c r="GC3588"/>
      <c r="GD3588"/>
      <c r="GE3588"/>
      <c r="GF3588"/>
      <c r="GG3588"/>
      <c r="GH3588"/>
      <c r="GI3588"/>
      <c r="GJ3588"/>
      <c r="GK3588"/>
      <c r="GL3588"/>
      <c r="GM3588"/>
      <c r="GN3588"/>
      <c r="GO3588"/>
    </row>
    <row r="3589" spans="107:197">
      <c r="DC3589"/>
      <c r="FH3589"/>
      <c r="FI3589"/>
      <c r="FJ3589"/>
      <c r="FK3589"/>
      <c r="FL3589"/>
      <c r="FM3589"/>
      <c r="FN3589"/>
      <c r="FO3589"/>
      <c r="FP3589"/>
      <c r="FQ3589"/>
      <c r="FR3589"/>
      <c r="FS3589"/>
      <c r="FT3589"/>
      <c r="FU3589"/>
      <c r="FV3589"/>
      <c r="FW3589"/>
      <c r="FX3589"/>
      <c r="FY3589"/>
      <c r="FZ3589"/>
      <c r="GA3589"/>
      <c r="GB3589"/>
      <c r="GC3589"/>
      <c r="GD3589"/>
      <c r="GE3589"/>
      <c r="GF3589"/>
      <c r="GG3589"/>
      <c r="GH3589"/>
      <c r="GI3589"/>
      <c r="GJ3589"/>
      <c r="GK3589"/>
      <c r="GL3589"/>
      <c r="GM3589"/>
      <c r="GN3589"/>
      <c r="GO3589"/>
    </row>
    <row r="3590" spans="107:197">
      <c r="DC3590"/>
      <c r="FH3590"/>
      <c r="FI3590"/>
      <c r="FJ3590"/>
      <c r="FK3590"/>
      <c r="FL3590"/>
      <c r="FM3590"/>
      <c r="FN3590"/>
      <c r="FO3590"/>
      <c r="FP3590"/>
      <c r="FQ3590"/>
      <c r="FR3590"/>
      <c r="FS3590"/>
      <c r="FT3590"/>
      <c r="FU3590"/>
      <c r="FV3590"/>
      <c r="FW3590"/>
      <c r="FX3590"/>
      <c r="FY3590"/>
      <c r="FZ3590"/>
      <c r="GA3590"/>
      <c r="GB3590"/>
      <c r="GC3590"/>
      <c r="GD3590"/>
      <c r="GE3590"/>
      <c r="GF3590"/>
      <c r="GG3590"/>
      <c r="GH3590"/>
      <c r="GI3590"/>
      <c r="GJ3590"/>
      <c r="GK3590"/>
      <c r="GL3590"/>
      <c r="GM3590"/>
      <c r="GN3590"/>
      <c r="GO3590"/>
    </row>
    <row r="3591" spans="107:197">
      <c r="DC3591"/>
      <c r="FH3591"/>
      <c r="FI3591"/>
      <c r="FJ3591"/>
      <c r="FK3591"/>
      <c r="FL3591"/>
      <c r="FM3591"/>
      <c r="FN3591"/>
      <c r="FO3591"/>
      <c r="FP3591"/>
      <c r="FQ3591"/>
      <c r="FR3591"/>
      <c r="FS3591"/>
      <c r="FT3591"/>
      <c r="FU3591"/>
      <c r="FV3591"/>
      <c r="FW3591"/>
      <c r="FX3591"/>
      <c r="FY3591"/>
      <c r="FZ3591"/>
      <c r="GA3591"/>
      <c r="GB3591"/>
      <c r="GC3591"/>
      <c r="GD3591"/>
      <c r="GE3591"/>
      <c r="GF3591"/>
      <c r="GG3591"/>
      <c r="GH3591"/>
      <c r="GI3591"/>
      <c r="GJ3591"/>
      <c r="GK3591"/>
      <c r="GL3591"/>
      <c r="GM3591"/>
      <c r="GN3591"/>
      <c r="GO3591"/>
    </row>
    <row r="3592" spans="107:197">
      <c r="DC3592"/>
      <c r="FH3592"/>
      <c r="FI3592"/>
      <c r="FJ3592"/>
      <c r="FK3592"/>
      <c r="FL3592"/>
      <c r="FM3592"/>
      <c r="FN3592"/>
      <c r="FO3592"/>
      <c r="FP3592"/>
      <c r="FQ3592"/>
      <c r="FR3592"/>
      <c r="FS3592"/>
      <c r="FT3592"/>
      <c r="FU3592"/>
      <c r="FV3592"/>
      <c r="FW3592"/>
      <c r="FX3592"/>
      <c r="FY3592"/>
      <c r="FZ3592"/>
      <c r="GA3592"/>
      <c r="GB3592"/>
      <c r="GC3592"/>
      <c r="GD3592"/>
      <c r="GE3592"/>
      <c r="GF3592"/>
      <c r="GG3592"/>
      <c r="GH3592"/>
      <c r="GI3592"/>
      <c r="GJ3592"/>
      <c r="GK3592"/>
      <c r="GL3592"/>
      <c r="GM3592"/>
      <c r="GN3592"/>
      <c r="GO3592"/>
    </row>
    <row r="3593" spans="107:197">
      <c r="DC3593"/>
      <c r="FH3593"/>
      <c r="FI3593"/>
      <c r="FJ3593"/>
      <c r="FK3593"/>
      <c r="FL3593"/>
      <c r="FM3593"/>
      <c r="FN3593"/>
      <c r="FO3593"/>
      <c r="FP3593"/>
      <c r="FQ3593"/>
      <c r="FR3593"/>
      <c r="FS3593"/>
      <c r="FT3593"/>
      <c r="FU3593"/>
      <c r="FV3593"/>
      <c r="FW3593"/>
      <c r="FX3593"/>
      <c r="FY3593"/>
      <c r="FZ3593"/>
      <c r="GA3593"/>
      <c r="GB3593"/>
      <c r="GC3593"/>
      <c r="GD3593"/>
      <c r="GE3593"/>
      <c r="GF3593"/>
      <c r="GG3593"/>
      <c r="GH3593"/>
      <c r="GI3593"/>
      <c r="GJ3593"/>
      <c r="GK3593"/>
      <c r="GL3593"/>
      <c r="GM3593"/>
      <c r="GN3593"/>
      <c r="GO3593"/>
    </row>
    <row r="3594" spans="107:197">
      <c r="DC3594"/>
      <c r="FH3594"/>
      <c r="FI3594"/>
      <c r="FJ3594"/>
      <c r="FK3594"/>
      <c r="FL3594"/>
      <c r="FM3594"/>
      <c r="FN3594"/>
      <c r="FO3594"/>
      <c r="FP3594"/>
      <c r="FQ3594"/>
      <c r="FR3594"/>
      <c r="FS3594"/>
      <c r="FT3594"/>
      <c r="FU3594"/>
      <c r="FV3594"/>
      <c r="FW3594"/>
      <c r="FX3594"/>
      <c r="FY3594"/>
      <c r="FZ3594"/>
      <c r="GA3594"/>
      <c r="GB3594"/>
      <c r="GC3594"/>
      <c r="GD3594"/>
      <c r="GE3594"/>
      <c r="GF3594"/>
      <c r="GG3594"/>
      <c r="GH3594"/>
      <c r="GI3594"/>
      <c r="GJ3594"/>
      <c r="GK3594"/>
      <c r="GL3594"/>
      <c r="GM3594"/>
      <c r="GN3594"/>
      <c r="GO3594"/>
    </row>
    <row r="3595" spans="107:197">
      <c r="DC3595"/>
      <c r="FH3595"/>
      <c r="FI3595"/>
      <c r="FJ3595"/>
      <c r="FK3595"/>
      <c r="FL3595"/>
      <c r="FM3595"/>
      <c r="FN3595"/>
      <c r="FO3595"/>
      <c r="FP3595"/>
      <c r="FQ3595"/>
      <c r="FR3595"/>
      <c r="FS3595"/>
      <c r="FT3595"/>
      <c r="FU3595"/>
      <c r="FV3595"/>
      <c r="FW3595"/>
      <c r="FX3595"/>
      <c r="FY3595"/>
      <c r="FZ3595"/>
      <c r="GA3595"/>
      <c r="GB3595"/>
      <c r="GC3595"/>
      <c r="GD3595"/>
      <c r="GE3595"/>
      <c r="GF3595"/>
      <c r="GG3595"/>
      <c r="GH3595"/>
      <c r="GI3595"/>
      <c r="GJ3595"/>
      <c r="GK3595"/>
      <c r="GL3595"/>
      <c r="GM3595"/>
      <c r="GN3595"/>
      <c r="GO3595"/>
    </row>
    <row r="3596" spans="107:197">
      <c r="DC3596"/>
      <c r="FH3596"/>
      <c r="FI3596"/>
      <c r="FJ3596"/>
      <c r="FK3596"/>
      <c r="FL3596"/>
      <c r="FM3596"/>
      <c r="FN3596"/>
      <c r="FO3596"/>
      <c r="FP3596"/>
      <c r="FQ3596"/>
      <c r="FR3596"/>
      <c r="FS3596"/>
      <c r="FT3596"/>
      <c r="FU3596"/>
      <c r="FV3596"/>
      <c r="FW3596"/>
      <c r="FX3596"/>
      <c r="FY3596"/>
      <c r="FZ3596"/>
      <c r="GA3596"/>
      <c r="GB3596"/>
      <c r="GC3596"/>
      <c r="GD3596"/>
      <c r="GE3596"/>
      <c r="GF3596"/>
      <c r="GG3596"/>
      <c r="GH3596"/>
      <c r="GI3596"/>
      <c r="GJ3596"/>
      <c r="GK3596"/>
      <c r="GL3596"/>
      <c r="GM3596"/>
      <c r="GN3596"/>
      <c r="GO3596"/>
    </row>
    <row r="3597" spans="107:197">
      <c r="DC3597"/>
      <c r="FH3597"/>
      <c r="FI3597"/>
      <c r="FJ3597"/>
      <c r="FK3597"/>
      <c r="FL3597"/>
      <c r="FM3597"/>
      <c r="FN3597"/>
      <c r="FO3597"/>
      <c r="FP3597"/>
      <c r="FQ3597"/>
      <c r="FR3597"/>
      <c r="FS3597"/>
      <c r="FT3597"/>
      <c r="FU3597"/>
      <c r="FV3597"/>
      <c r="FW3597"/>
      <c r="FX3597"/>
      <c r="FY3597"/>
      <c r="FZ3597"/>
      <c r="GA3597"/>
      <c r="GB3597"/>
      <c r="GC3597"/>
      <c r="GD3597"/>
      <c r="GE3597"/>
      <c r="GF3597"/>
      <c r="GG3597"/>
      <c r="GH3597"/>
      <c r="GI3597"/>
      <c r="GJ3597"/>
      <c r="GK3597"/>
      <c r="GL3597"/>
      <c r="GM3597"/>
      <c r="GN3597"/>
      <c r="GO3597"/>
    </row>
    <row r="3598" spans="107:197">
      <c r="DC3598"/>
      <c r="FH3598"/>
      <c r="FI3598"/>
      <c r="FJ3598"/>
      <c r="FK3598"/>
      <c r="FL3598"/>
      <c r="FM3598"/>
      <c r="FN3598"/>
      <c r="FO3598"/>
      <c r="FP3598"/>
      <c r="FQ3598"/>
      <c r="FR3598"/>
      <c r="FS3598"/>
      <c r="FT3598"/>
      <c r="FU3598"/>
      <c r="FV3598"/>
      <c r="FW3598"/>
      <c r="FX3598"/>
      <c r="FY3598"/>
      <c r="FZ3598"/>
      <c r="GA3598"/>
      <c r="GB3598"/>
      <c r="GC3598"/>
      <c r="GD3598"/>
      <c r="GE3598"/>
      <c r="GF3598"/>
      <c r="GG3598"/>
      <c r="GH3598"/>
      <c r="GI3598"/>
      <c r="GJ3598"/>
      <c r="GK3598"/>
      <c r="GL3598"/>
      <c r="GM3598"/>
      <c r="GN3598"/>
      <c r="GO3598"/>
    </row>
    <row r="3599" spans="107:197">
      <c r="DC3599"/>
      <c r="FH3599"/>
      <c r="FI3599"/>
      <c r="FJ3599"/>
      <c r="FK3599"/>
      <c r="FL3599"/>
      <c r="FM3599"/>
      <c r="FN3599"/>
      <c r="FO3599"/>
      <c r="FP3599"/>
      <c r="FQ3599"/>
      <c r="FR3599"/>
      <c r="FS3599"/>
      <c r="FT3599"/>
      <c r="FU3599"/>
      <c r="FV3599"/>
      <c r="FW3599"/>
      <c r="FX3599"/>
      <c r="FY3599"/>
      <c r="FZ3599"/>
      <c r="GA3599"/>
      <c r="GB3599"/>
      <c r="GC3599"/>
      <c r="GD3599"/>
      <c r="GE3599"/>
      <c r="GF3599"/>
      <c r="GG3599"/>
      <c r="GH3599"/>
      <c r="GI3599"/>
      <c r="GJ3599"/>
      <c r="GK3599"/>
      <c r="GL3599"/>
      <c r="GM3599"/>
      <c r="GN3599"/>
      <c r="GO3599"/>
    </row>
    <row r="3600" spans="107:197">
      <c r="DC3600"/>
      <c r="FH3600"/>
      <c r="FI3600"/>
      <c r="FJ3600"/>
      <c r="FK3600"/>
      <c r="FL3600"/>
      <c r="FM3600"/>
      <c r="FN3600"/>
      <c r="FO3600"/>
      <c r="FP3600"/>
      <c r="FQ3600"/>
      <c r="FR3600"/>
      <c r="FS3600"/>
      <c r="FT3600"/>
      <c r="FU3600"/>
      <c r="FV3600"/>
      <c r="FW3600"/>
      <c r="FX3600"/>
      <c r="FY3600"/>
      <c r="FZ3600"/>
      <c r="GA3600"/>
      <c r="GB3600"/>
      <c r="GC3600"/>
      <c r="GD3600"/>
      <c r="GE3600"/>
      <c r="GF3600"/>
      <c r="GG3600"/>
      <c r="GH3600"/>
      <c r="GI3600"/>
      <c r="GJ3600"/>
      <c r="GK3600"/>
      <c r="GL3600"/>
      <c r="GM3600"/>
      <c r="GN3600"/>
      <c r="GO3600"/>
    </row>
    <row r="3601" spans="107:197">
      <c r="DC3601"/>
      <c r="FH3601"/>
      <c r="FI3601"/>
      <c r="FJ3601"/>
      <c r="FK3601"/>
      <c r="FL3601"/>
      <c r="FM3601"/>
      <c r="FN3601"/>
      <c r="FO3601"/>
      <c r="FP3601"/>
      <c r="FQ3601"/>
      <c r="FR3601"/>
      <c r="FS3601"/>
      <c r="FT3601"/>
      <c r="FU3601"/>
      <c r="FV3601"/>
      <c r="FW3601"/>
      <c r="FX3601"/>
      <c r="FY3601"/>
      <c r="FZ3601"/>
      <c r="GA3601"/>
      <c r="GB3601"/>
      <c r="GC3601"/>
      <c r="GD3601"/>
      <c r="GE3601"/>
      <c r="GF3601"/>
      <c r="GG3601"/>
      <c r="GH3601"/>
      <c r="GI3601"/>
      <c r="GJ3601"/>
      <c r="GK3601"/>
      <c r="GL3601"/>
      <c r="GM3601"/>
      <c r="GN3601"/>
      <c r="GO3601"/>
    </row>
    <row r="3602" spans="107:197">
      <c r="DC3602"/>
      <c r="FH3602"/>
      <c r="FI3602"/>
      <c r="FJ3602"/>
      <c r="FK3602"/>
      <c r="FL3602"/>
      <c r="FM3602"/>
      <c r="FN3602"/>
      <c r="FO3602"/>
      <c r="FP3602"/>
      <c r="FQ3602"/>
      <c r="FR3602"/>
      <c r="FS3602"/>
      <c r="FT3602"/>
      <c r="FU3602"/>
      <c r="FV3602"/>
      <c r="FW3602"/>
      <c r="FX3602"/>
      <c r="FY3602"/>
      <c r="FZ3602"/>
      <c r="GA3602"/>
      <c r="GB3602"/>
      <c r="GC3602"/>
      <c r="GD3602"/>
      <c r="GE3602"/>
      <c r="GF3602"/>
      <c r="GG3602"/>
      <c r="GH3602"/>
      <c r="GI3602"/>
      <c r="GJ3602"/>
      <c r="GK3602"/>
      <c r="GL3602"/>
      <c r="GM3602"/>
      <c r="GN3602"/>
      <c r="GO3602"/>
    </row>
    <row r="3603" spans="107:197">
      <c r="DC3603"/>
      <c r="FH3603"/>
      <c r="FI3603"/>
      <c r="FJ3603"/>
      <c r="FK3603"/>
      <c r="FL3603"/>
      <c r="FM3603"/>
      <c r="FN3603"/>
      <c r="FO3603"/>
      <c r="FP3603"/>
      <c r="FQ3603"/>
      <c r="FR3603"/>
      <c r="FS3603"/>
      <c r="FT3603"/>
      <c r="FU3603"/>
      <c r="FV3603"/>
      <c r="FW3603"/>
      <c r="FX3603"/>
      <c r="FY3603"/>
      <c r="FZ3603"/>
      <c r="GA3603"/>
      <c r="GB3603"/>
      <c r="GC3603"/>
      <c r="GD3603"/>
      <c r="GE3603"/>
      <c r="GF3603"/>
      <c r="GG3603"/>
      <c r="GH3603"/>
      <c r="GI3603"/>
      <c r="GJ3603"/>
      <c r="GK3603"/>
      <c r="GL3603"/>
      <c r="GM3603"/>
      <c r="GN3603"/>
      <c r="GO3603"/>
    </row>
    <row r="3604" spans="107:197">
      <c r="DC3604"/>
      <c r="FH3604"/>
      <c r="FI3604"/>
      <c r="FJ3604"/>
      <c r="FK3604"/>
      <c r="FL3604"/>
      <c r="FM3604"/>
      <c r="FN3604"/>
      <c r="FO3604"/>
      <c r="FP3604"/>
      <c r="FQ3604"/>
      <c r="FR3604"/>
      <c r="FS3604"/>
      <c r="FT3604"/>
      <c r="FU3604"/>
      <c r="FV3604"/>
      <c r="FW3604"/>
      <c r="FX3604"/>
      <c r="FY3604"/>
      <c r="FZ3604"/>
      <c r="GA3604"/>
      <c r="GB3604"/>
      <c r="GC3604"/>
      <c r="GD3604"/>
      <c r="GE3604"/>
      <c r="GF3604"/>
      <c r="GG3604"/>
      <c r="GH3604"/>
      <c r="GI3604"/>
      <c r="GJ3604"/>
      <c r="GK3604"/>
      <c r="GL3604"/>
      <c r="GM3604"/>
      <c r="GN3604"/>
      <c r="GO3604"/>
    </row>
    <row r="3605" spans="107:197">
      <c r="DC3605"/>
      <c r="FH3605"/>
      <c r="FI3605"/>
      <c r="FJ3605"/>
      <c r="FK3605"/>
      <c r="FL3605"/>
      <c r="FM3605"/>
      <c r="FN3605"/>
      <c r="FO3605"/>
      <c r="FP3605"/>
      <c r="FQ3605"/>
      <c r="FR3605"/>
      <c r="FS3605"/>
      <c r="FT3605"/>
      <c r="FU3605"/>
      <c r="FV3605"/>
      <c r="FW3605"/>
      <c r="FX3605"/>
      <c r="FY3605"/>
      <c r="FZ3605"/>
      <c r="GA3605"/>
      <c r="GB3605"/>
      <c r="GC3605"/>
      <c r="GD3605"/>
      <c r="GE3605"/>
      <c r="GF3605"/>
      <c r="GG3605"/>
      <c r="GH3605"/>
      <c r="GI3605"/>
      <c r="GJ3605"/>
      <c r="GK3605"/>
      <c r="GL3605"/>
      <c r="GM3605"/>
      <c r="GN3605"/>
      <c r="GO3605"/>
    </row>
    <row r="3606" spans="107:197">
      <c r="DC3606"/>
      <c r="FH3606"/>
      <c r="FI3606"/>
      <c r="FJ3606"/>
      <c r="FK3606"/>
      <c r="FL3606"/>
      <c r="FM3606"/>
      <c r="FN3606"/>
      <c r="FO3606"/>
      <c r="FP3606"/>
      <c r="FQ3606"/>
      <c r="FR3606"/>
      <c r="FS3606"/>
      <c r="FT3606"/>
      <c r="FU3606"/>
      <c r="FV3606"/>
      <c r="FW3606"/>
      <c r="FX3606"/>
      <c r="FY3606"/>
      <c r="FZ3606"/>
      <c r="GA3606"/>
      <c r="GB3606"/>
      <c r="GC3606"/>
      <c r="GD3606"/>
      <c r="GE3606"/>
      <c r="GF3606"/>
      <c r="GG3606"/>
      <c r="GH3606"/>
      <c r="GI3606"/>
      <c r="GJ3606"/>
      <c r="GK3606"/>
      <c r="GL3606"/>
      <c r="GM3606"/>
      <c r="GN3606"/>
      <c r="GO3606"/>
    </row>
    <row r="3607" spans="107:197">
      <c r="DC3607"/>
      <c r="FH3607"/>
      <c r="FI3607"/>
      <c r="FJ3607"/>
      <c r="FK3607"/>
      <c r="FL3607"/>
      <c r="FM3607"/>
      <c r="FN3607"/>
      <c r="FO3607"/>
      <c r="FP3607"/>
      <c r="FQ3607"/>
      <c r="FR3607"/>
      <c r="FS3607"/>
      <c r="FT3607"/>
      <c r="FU3607"/>
      <c r="FV3607"/>
      <c r="FW3607"/>
      <c r="FX3607"/>
      <c r="FY3607"/>
      <c r="FZ3607"/>
      <c r="GA3607"/>
      <c r="GB3607"/>
      <c r="GC3607"/>
      <c r="GD3607"/>
      <c r="GE3607"/>
      <c r="GF3607"/>
      <c r="GG3607"/>
      <c r="GH3607"/>
      <c r="GI3607"/>
      <c r="GJ3607"/>
      <c r="GK3607"/>
      <c r="GL3607"/>
      <c r="GM3607"/>
      <c r="GN3607"/>
      <c r="GO3607"/>
    </row>
    <row r="3608" spans="107:197">
      <c r="DC3608"/>
      <c r="FH3608"/>
      <c r="FI3608"/>
      <c r="FJ3608"/>
      <c r="FK3608"/>
      <c r="FL3608"/>
      <c r="FM3608"/>
      <c r="FN3608"/>
      <c r="FO3608"/>
      <c r="FP3608"/>
      <c r="FQ3608"/>
      <c r="FR3608"/>
      <c r="FS3608"/>
      <c r="FT3608"/>
      <c r="FU3608"/>
      <c r="FV3608"/>
      <c r="FW3608"/>
      <c r="FX3608"/>
      <c r="FY3608"/>
      <c r="FZ3608"/>
      <c r="GA3608"/>
      <c r="GB3608"/>
      <c r="GC3608"/>
      <c r="GD3608"/>
      <c r="GE3608"/>
      <c r="GF3608"/>
      <c r="GG3608"/>
      <c r="GH3608"/>
      <c r="GI3608"/>
      <c r="GJ3608"/>
      <c r="GK3608"/>
      <c r="GL3608"/>
      <c r="GM3608"/>
      <c r="GN3608"/>
      <c r="GO3608"/>
    </row>
    <row r="3609" spans="107:197">
      <c r="DC3609"/>
      <c r="FH3609"/>
      <c r="FI3609"/>
      <c r="FJ3609"/>
      <c r="FK3609"/>
      <c r="FL3609"/>
      <c r="FM3609"/>
      <c r="FN3609"/>
      <c r="FO3609"/>
      <c r="FP3609"/>
      <c r="FQ3609"/>
      <c r="FR3609"/>
      <c r="FS3609"/>
      <c r="FT3609"/>
      <c r="FU3609"/>
      <c r="FV3609"/>
      <c r="FW3609"/>
      <c r="FX3609"/>
      <c r="FY3609"/>
      <c r="FZ3609"/>
      <c r="GA3609"/>
      <c r="GB3609"/>
      <c r="GC3609"/>
      <c r="GD3609"/>
      <c r="GE3609"/>
      <c r="GF3609"/>
      <c r="GG3609"/>
      <c r="GH3609"/>
      <c r="GI3609"/>
      <c r="GJ3609"/>
      <c r="GK3609"/>
      <c r="GL3609"/>
      <c r="GM3609"/>
      <c r="GN3609"/>
      <c r="GO3609"/>
    </row>
    <row r="3610" spans="107:197">
      <c r="DC3610"/>
      <c r="FH3610"/>
      <c r="FI3610"/>
      <c r="FJ3610"/>
      <c r="FK3610"/>
      <c r="FL3610"/>
      <c r="FM3610"/>
      <c r="FN3610"/>
      <c r="FO3610"/>
      <c r="FP3610"/>
      <c r="FQ3610"/>
      <c r="FR3610"/>
      <c r="FS3610"/>
      <c r="FT3610"/>
      <c r="FU3610"/>
      <c r="FV3610"/>
      <c r="FW3610"/>
      <c r="FX3610"/>
      <c r="FY3610"/>
      <c r="FZ3610"/>
      <c r="GA3610"/>
      <c r="GB3610"/>
      <c r="GC3610"/>
      <c r="GD3610"/>
      <c r="GE3610"/>
      <c r="GF3610"/>
      <c r="GG3610"/>
      <c r="GH3610"/>
      <c r="GI3610"/>
      <c r="GJ3610"/>
      <c r="GK3610"/>
      <c r="GL3610"/>
      <c r="GM3610"/>
      <c r="GN3610"/>
      <c r="GO3610"/>
    </row>
    <row r="3611" spans="107:197">
      <c r="DC3611"/>
      <c r="FH3611"/>
      <c r="FI3611"/>
      <c r="FJ3611"/>
      <c r="FK3611"/>
      <c r="FL3611"/>
      <c r="FM3611"/>
      <c r="FN3611"/>
      <c r="FO3611"/>
      <c r="FP3611"/>
      <c r="FQ3611"/>
      <c r="FR3611"/>
      <c r="FS3611"/>
      <c r="FT3611"/>
      <c r="FU3611"/>
      <c r="FV3611"/>
      <c r="FW3611"/>
      <c r="FX3611"/>
      <c r="FY3611"/>
      <c r="FZ3611"/>
      <c r="GA3611"/>
      <c r="GB3611"/>
      <c r="GC3611"/>
      <c r="GD3611"/>
      <c r="GE3611"/>
      <c r="GF3611"/>
      <c r="GG3611"/>
      <c r="GH3611"/>
      <c r="GI3611"/>
      <c r="GJ3611"/>
      <c r="GK3611"/>
      <c r="GL3611"/>
      <c r="GM3611"/>
      <c r="GN3611"/>
      <c r="GO3611"/>
    </row>
    <row r="3612" spans="107:197">
      <c r="DC3612"/>
      <c r="FH3612"/>
      <c r="FI3612"/>
      <c r="FJ3612"/>
      <c r="FK3612"/>
      <c r="FL3612"/>
      <c r="FM3612"/>
      <c r="FN3612"/>
      <c r="FO3612"/>
      <c r="FP3612"/>
      <c r="FQ3612"/>
      <c r="FR3612"/>
      <c r="FS3612"/>
      <c r="FT3612"/>
      <c r="FU3612"/>
      <c r="FV3612"/>
      <c r="FW3612"/>
      <c r="FX3612"/>
      <c r="FY3612"/>
      <c r="FZ3612"/>
      <c r="GA3612"/>
      <c r="GB3612"/>
      <c r="GC3612"/>
      <c r="GD3612"/>
      <c r="GE3612"/>
      <c r="GF3612"/>
      <c r="GG3612"/>
      <c r="GH3612"/>
      <c r="GI3612"/>
      <c r="GJ3612"/>
      <c r="GK3612"/>
      <c r="GL3612"/>
      <c r="GM3612"/>
      <c r="GN3612"/>
      <c r="GO3612"/>
    </row>
    <row r="3613" spans="107:197">
      <c r="DC3613"/>
      <c r="FH3613"/>
      <c r="FI3613"/>
      <c r="FJ3613"/>
      <c r="FK3613"/>
      <c r="FL3613"/>
      <c r="FM3613"/>
      <c r="FN3613"/>
      <c r="FO3613"/>
      <c r="FP3613"/>
      <c r="FQ3613"/>
      <c r="FR3613"/>
      <c r="FS3613"/>
      <c r="FT3613"/>
      <c r="FU3613"/>
      <c r="FV3613"/>
      <c r="FW3613"/>
      <c r="FX3613"/>
      <c r="FY3613"/>
      <c r="FZ3613"/>
      <c r="GA3613"/>
      <c r="GB3613"/>
      <c r="GC3613"/>
      <c r="GD3613"/>
      <c r="GE3613"/>
      <c r="GF3613"/>
      <c r="GG3613"/>
      <c r="GH3613"/>
      <c r="GI3613"/>
      <c r="GJ3613"/>
      <c r="GK3613"/>
      <c r="GL3613"/>
      <c r="GM3613"/>
      <c r="GN3613"/>
      <c r="GO3613"/>
    </row>
    <row r="3614" spans="107:197">
      <c r="DC3614"/>
      <c r="FH3614"/>
      <c r="FI3614"/>
      <c r="FJ3614"/>
      <c r="FK3614"/>
      <c r="FL3614"/>
      <c r="FM3614"/>
      <c r="FN3614"/>
      <c r="FO3614"/>
      <c r="FP3614"/>
      <c r="FQ3614"/>
      <c r="FR3614"/>
      <c r="FS3614"/>
      <c r="FT3614"/>
      <c r="FU3614"/>
      <c r="FV3614"/>
      <c r="FW3614"/>
      <c r="FX3614"/>
      <c r="FY3614"/>
      <c r="FZ3614"/>
      <c r="GA3614"/>
      <c r="GB3614"/>
      <c r="GC3614"/>
      <c r="GD3614"/>
      <c r="GE3614"/>
      <c r="GF3614"/>
      <c r="GG3614"/>
      <c r="GH3614"/>
      <c r="GI3614"/>
      <c r="GJ3614"/>
      <c r="GK3614"/>
      <c r="GL3614"/>
      <c r="GM3614"/>
      <c r="GN3614"/>
      <c r="GO3614"/>
    </row>
    <row r="3615" spans="107:197">
      <c r="DC3615"/>
      <c r="FH3615"/>
      <c r="FI3615"/>
      <c r="FJ3615"/>
      <c r="FK3615"/>
      <c r="FL3615"/>
      <c r="FM3615"/>
      <c r="FN3615"/>
      <c r="FO3615"/>
      <c r="FP3615"/>
      <c r="FQ3615"/>
      <c r="FR3615"/>
      <c r="FS3615"/>
      <c r="FT3615"/>
      <c r="FU3615"/>
      <c r="FV3615"/>
      <c r="FW3615"/>
      <c r="FX3615"/>
      <c r="FY3615"/>
      <c r="FZ3615"/>
      <c r="GA3615"/>
      <c r="GB3615"/>
      <c r="GC3615"/>
      <c r="GD3615"/>
      <c r="GE3615"/>
      <c r="GF3615"/>
      <c r="GG3615"/>
      <c r="GH3615"/>
      <c r="GI3615"/>
      <c r="GJ3615"/>
      <c r="GK3615"/>
      <c r="GL3615"/>
      <c r="GM3615"/>
      <c r="GN3615"/>
      <c r="GO3615"/>
    </row>
    <row r="3616" spans="107:197">
      <c r="DC3616"/>
      <c r="FH3616"/>
      <c r="FI3616"/>
      <c r="FJ3616"/>
      <c r="FK3616"/>
      <c r="FL3616"/>
      <c r="FM3616"/>
      <c r="FN3616"/>
      <c r="FO3616"/>
      <c r="FP3616"/>
      <c r="FQ3616"/>
      <c r="FR3616"/>
      <c r="FS3616"/>
      <c r="FT3616"/>
      <c r="FU3616"/>
      <c r="FV3616"/>
      <c r="FW3616"/>
      <c r="FX3616"/>
      <c r="FY3616"/>
      <c r="FZ3616"/>
      <c r="GA3616"/>
      <c r="GB3616"/>
      <c r="GC3616"/>
      <c r="GD3616"/>
      <c r="GE3616"/>
      <c r="GF3616"/>
      <c r="GG3616"/>
      <c r="GH3616"/>
      <c r="GI3616"/>
      <c r="GJ3616"/>
      <c r="GK3616"/>
      <c r="GL3616"/>
      <c r="GM3616"/>
      <c r="GN3616"/>
      <c r="GO3616"/>
    </row>
    <row r="3617" spans="107:197">
      <c r="DC3617"/>
      <c r="FH3617"/>
      <c r="FI3617"/>
      <c r="FJ3617"/>
      <c r="FK3617"/>
      <c r="FL3617"/>
      <c r="FM3617"/>
      <c r="FN3617"/>
      <c r="FO3617"/>
      <c r="FP3617"/>
      <c r="FQ3617"/>
      <c r="FR3617"/>
      <c r="FS3617"/>
      <c r="FT3617"/>
      <c r="FU3617"/>
      <c r="FV3617"/>
      <c r="FW3617"/>
      <c r="FX3617"/>
      <c r="FY3617"/>
      <c r="FZ3617"/>
      <c r="GA3617"/>
      <c r="GB3617"/>
      <c r="GC3617"/>
      <c r="GD3617"/>
      <c r="GE3617"/>
      <c r="GF3617"/>
      <c r="GG3617"/>
      <c r="GH3617"/>
      <c r="GI3617"/>
      <c r="GJ3617"/>
      <c r="GK3617"/>
      <c r="GL3617"/>
      <c r="GM3617"/>
      <c r="GN3617"/>
      <c r="GO3617"/>
    </row>
    <row r="3618" spans="107:197">
      <c r="DC3618"/>
      <c r="FH3618"/>
      <c r="FI3618"/>
      <c r="FJ3618"/>
      <c r="FK3618"/>
      <c r="FL3618"/>
      <c r="FM3618"/>
      <c r="FN3618"/>
      <c r="FO3618"/>
      <c r="FP3618"/>
      <c r="FQ3618"/>
      <c r="FR3618"/>
      <c r="FS3618"/>
      <c r="FT3618"/>
      <c r="FU3618"/>
      <c r="FV3618"/>
      <c r="FW3618"/>
      <c r="FX3618"/>
      <c r="FY3618"/>
      <c r="FZ3618"/>
      <c r="GA3618"/>
      <c r="GB3618"/>
      <c r="GC3618"/>
      <c r="GD3618"/>
      <c r="GE3618"/>
      <c r="GF3618"/>
      <c r="GG3618"/>
      <c r="GH3618"/>
      <c r="GI3618"/>
      <c r="GJ3618"/>
      <c r="GK3618"/>
      <c r="GL3618"/>
      <c r="GM3618"/>
      <c r="GN3618"/>
      <c r="GO3618"/>
    </row>
    <row r="3619" spans="107:197">
      <c r="DC3619"/>
      <c r="FH3619"/>
      <c r="FI3619"/>
      <c r="FJ3619"/>
      <c r="FK3619"/>
      <c r="FL3619"/>
      <c r="FM3619"/>
      <c r="FN3619"/>
      <c r="FO3619"/>
      <c r="FP3619"/>
      <c r="FQ3619"/>
      <c r="FR3619"/>
      <c r="FS3619"/>
      <c r="FT3619"/>
      <c r="FU3619"/>
      <c r="FV3619"/>
      <c r="FW3619"/>
      <c r="FX3619"/>
      <c r="FY3619"/>
      <c r="FZ3619"/>
      <c r="GA3619"/>
      <c r="GB3619"/>
      <c r="GC3619"/>
      <c r="GD3619"/>
      <c r="GE3619"/>
      <c r="GF3619"/>
      <c r="GG3619"/>
      <c r="GH3619"/>
      <c r="GI3619"/>
      <c r="GJ3619"/>
      <c r="GK3619"/>
      <c r="GL3619"/>
      <c r="GM3619"/>
      <c r="GN3619"/>
      <c r="GO3619"/>
    </row>
    <row r="3620" spans="107:197">
      <c r="DC3620"/>
      <c r="FH3620"/>
      <c r="FI3620"/>
      <c r="FJ3620"/>
      <c r="FK3620"/>
      <c r="FL3620"/>
      <c r="FM3620"/>
      <c r="FN3620"/>
      <c r="FO3620"/>
      <c r="FP3620"/>
      <c r="FQ3620"/>
      <c r="FR3620"/>
      <c r="FS3620"/>
      <c r="FT3620"/>
      <c r="FU3620"/>
      <c r="FV3620"/>
      <c r="FW3620"/>
      <c r="FX3620"/>
      <c r="FY3620"/>
      <c r="FZ3620"/>
      <c r="GA3620"/>
      <c r="GB3620"/>
      <c r="GC3620"/>
      <c r="GD3620"/>
      <c r="GE3620"/>
      <c r="GF3620"/>
      <c r="GG3620"/>
      <c r="GH3620"/>
      <c r="GI3620"/>
      <c r="GJ3620"/>
      <c r="GK3620"/>
      <c r="GL3620"/>
      <c r="GM3620"/>
      <c r="GN3620"/>
      <c r="GO3620"/>
    </row>
    <row r="3621" spans="107:197">
      <c r="DC3621"/>
      <c r="FH3621"/>
      <c r="FI3621"/>
      <c r="FJ3621"/>
      <c r="FK3621"/>
      <c r="FL3621"/>
      <c r="FM3621"/>
      <c r="FN3621"/>
      <c r="FO3621"/>
      <c r="FP3621"/>
      <c r="FQ3621"/>
      <c r="FR3621"/>
      <c r="FS3621"/>
      <c r="FT3621"/>
      <c r="FU3621"/>
      <c r="FV3621"/>
      <c r="FW3621"/>
      <c r="FX3621"/>
      <c r="FY3621"/>
      <c r="FZ3621"/>
      <c r="GA3621"/>
      <c r="GB3621"/>
      <c r="GC3621"/>
      <c r="GD3621"/>
      <c r="GE3621"/>
      <c r="GF3621"/>
      <c r="GG3621"/>
      <c r="GH3621"/>
      <c r="GI3621"/>
      <c r="GJ3621"/>
      <c r="GK3621"/>
      <c r="GL3621"/>
      <c r="GM3621"/>
      <c r="GN3621"/>
      <c r="GO3621"/>
    </row>
    <row r="3622" spans="107:197">
      <c r="DC3622"/>
      <c r="FH3622"/>
      <c r="FI3622"/>
      <c r="FJ3622"/>
      <c r="FK3622"/>
      <c r="FL3622"/>
      <c r="FM3622"/>
      <c r="FN3622"/>
      <c r="FO3622"/>
      <c r="FP3622"/>
      <c r="FQ3622"/>
      <c r="FR3622"/>
      <c r="FS3622"/>
      <c r="FT3622"/>
      <c r="FU3622"/>
      <c r="FV3622"/>
      <c r="FW3622"/>
      <c r="FX3622"/>
      <c r="FY3622"/>
      <c r="FZ3622"/>
      <c r="GA3622"/>
      <c r="GB3622"/>
      <c r="GC3622"/>
      <c r="GD3622"/>
      <c r="GE3622"/>
      <c r="GF3622"/>
      <c r="GG3622"/>
      <c r="GH3622"/>
      <c r="GI3622"/>
      <c r="GJ3622"/>
      <c r="GK3622"/>
      <c r="GL3622"/>
      <c r="GM3622"/>
      <c r="GN3622"/>
      <c r="GO3622"/>
    </row>
    <row r="3623" spans="107:197">
      <c r="DC3623"/>
      <c r="FH3623"/>
      <c r="FI3623"/>
      <c r="FJ3623"/>
      <c r="FK3623"/>
      <c r="FL3623"/>
      <c r="FM3623"/>
      <c r="FN3623"/>
      <c r="FO3623"/>
      <c r="FP3623"/>
      <c r="FQ3623"/>
      <c r="FR3623"/>
      <c r="FS3623"/>
      <c r="FT3623"/>
      <c r="FU3623"/>
      <c r="FV3623"/>
      <c r="FW3623"/>
      <c r="FX3623"/>
      <c r="FY3623"/>
      <c r="FZ3623"/>
      <c r="GA3623"/>
      <c r="GB3623"/>
      <c r="GC3623"/>
      <c r="GD3623"/>
      <c r="GE3623"/>
      <c r="GF3623"/>
      <c r="GG3623"/>
      <c r="GH3623"/>
      <c r="GI3623"/>
      <c r="GJ3623"/>
      <c r="GK3623"/>
      <c r="GL3623"/>
      <c r="GM3623"/>
      <c r="GN3623"/>
      <c r="GO3623"/>
    </row>
    <row r="3624" spans="107:197">
      <c r="DC3624"/>
      <c r="FH3624"/>
      <c r="FI3624"/>
      <c r="FJ3624"/>
      <c r="FK3624"/>
      <c r="FL3624"/>
      <c r="FM3624"/>
      <c r="FN3624"/>
      <c r="FO3624"/>
      <c r="FP3624"/>
      <c r="FQ3624"/>
      <c r="FR3624"/>
      <c r="FS3624"/>
      <c r="FT3624"/>
      <c r="FU3624"/>
      <c r="FV3624"/>
      <c r="FW3624"/>
      <c r="FX3624"/>
      <c r="FY3624"/>
      <c r="FZ3624"/>
      <c r="GA3624"/>
      <c r="GB3624"/>
      <c r="GC3624"/>
      <c r="GD3624"/>
      <c r="GE3624"/>
      <c r="GF3624"/>
      <c r="GG3624"/>
      <c r="GH3624"/>
      <c r="GI3624"/>
      <c r="GJ3624"/>
      <c r="GK3624"/>
      <c r="GL3624"/>
      <c r="GM3624"/>
      <c r="GN3624"/>
      <c r="GO3624"/>
    </row>
    <row r="3625" spans="107:197">
      <c r="DC3625"/>
      <c r="FH3625"/>
      <c r="FI3625"/>
      <c r="FJ3625"/>
      <c r="FK3625"/>
      <c r="FL3625"/>
      <c r="FM3625"/>
      <c r="FN3625"/>
      <c r="FO3625"/>
      <c r="FP3625"/>
      <c r="FQ3625"/>
      <c r="FR3625"/>
      <c r="FS3625"/>
      <c r="FT3625"/>
      <c r="FU3625"/>
      <c r="FV3625"/>
      <c r="FW3625"/>
      <c r="FX3625"/>
      <c r="FY3625"/>
      <c r="FZ3625"/>
      <c r="GA3625"/>
      <c r="GB3625"/>
      <c r="GC3625"/>
      <c r="GD3625"/>
      <c r="GE3625"/>
      <c r="GF3625"/>
      <c r="GG3625"/>
      <c r="GH3625"/>
      <c r="GI3625"/>
      <c r="GJ3625"/>
      <c r="GK3625"/>
      <c r="GL3625"/>
      <c r="GM3625"/>
      <c r="GN3625"/>
      <c r="GO3625"/>
    </row>
    <row r="3626" spans="107:197">
      <c r="DC3626"/>
      <c r="FH3626"/>
      <c r="FI3626"/>
      <c r="FJ3626"/>
      <c r="FK3626"/>
      <c r="FL3626"/>
      <c r="FM3626"/>
      <c r="FN3626"/>
      <c r="FO3626"/>
      <c r="FP3626"/>
      <c r="FQ3626"/>
      <c r="FR3626"/>
      <c r="FS3626"/>
      <c r="FT3626"/>
      <c r="FU3626"/>
      <c r="FV3626"/>
      <c r="FW3626"/>
      <c r="FX3626"/>
      <c r="FY3626"/>
      <c r="FZ3626"/>
      <c r="GA3626"/>
      <c r="GB3626"/>
      <c r="GC3626"/>
      <c r="GD3626"/>
      <c r="GE3626"/>
      <c r="GF3626"/>
      <c r="GG3626"/>
      <c r="GH3626"/>
      <c r="GI3626"/>
      <c r="GJ3626"/>
      <c r="GK3626"/>
      <c r="GL3626"/>
      <c r="GM3626"/>
      <c r="GN3626"/>
      <c r="GO3626"/>
    </row>
    <row r="3627" spans="107:197">
      <c r="DC3627"/>
      <c r="FH3627"/>
      <c r="FI3627"/>
      <c r="FJ3627"/>
      <c r="FK3627"/>
      <c r="FL3627"/>
      <c r="FM3627"/>
      <c r="FN3627"/>
      <c r="FO3627"/>
      <c r="FP3627"/>
      <c r="FQ3627"/>
      <c r="FR3627"/>
      <c r="FS3627"/>
      <c r="FT3627"/>
      <c r="FU3627"/>
      <c r="FV3627"/>
      <c r="FW3627"/>
      <c r="FX3627"/>
      <c r="FY3627"/>
      <c r="FZ3627"/>
      <c r="GA3627"/>
      <c r="GB3627"/>
      <c r="GC3627"/>
      <c r="GD3627"/>
      <c r="GE3627"/>
      <c r="GF3627"/>
      <c r="GG3627"/>
      <c r="GH3627"/>
      <c r="GI3627"/>
      <c r="GJ3627"/>
      <c r="GK3627"/>
      <c r="GL3627"/>
      <c r="GM3627"/>
      <c r="GN3627"/>
      <c r="GO3627"/>
    </row>
    <row r="3628" spans="107:197">
      <c r="DC3628"/>
      <c r="FH3628"/>
      <c r="FI3628"/>
      <c r="FJ3628"/>
      <c r="FK3628"/>
      <c r="FL3628"/>
      <c r="FM3628"/>
      <c r="FN3628"/>
      <c r="FO3628"/>
      <c r="FP3628"/>
      <c r="FQ3628"/>
      <c r="FR3628"/>
      <c r="FS3628"/>
      <c r="FT3628"/>
      <c r="FU3628"/>
      <c r="FV3628"/>
      <c r="FW3628"/>
      <c r="FX3628"/>
      <c r="FY3628"/>
      <c r="FZ3628"/>
      <c r="GA3628"/>
      <c r="GB3628"/>
      <c r="GC3628"/>
      <c r="GD3628"/>
      <c r="GE3628"/>
      <c r="GF3628"/>
      <c r="GG3628"/>
      <c r="GH3628"/>
      <c r="GI3628"/>
      <c r="GJ3628"/>
      <c r="GK3628"/>
      <c r="GL3628"/>
      <c r="GM3628"/>
      <c r="GN3628"/>
      <c r="GO3628"/>
    </row>
    <row r="3629" spans="107:197">
      <c r="DC3629"/>
      <c r="FH3629"/>
      <c r="FI3629"/>
      <c r="FJ3629"/>
      <c r="FK3629"/>
      <c r="FL3629"/>
      <c r="FM3629"/>
      <c r="FN3629"/>
      <c r="FO3629"/>
      <c r="FP3629"/>
      <c r="FQ3629"/>
      <c r="FR3629"/>
      <c r="FS3629"/>
      <c r="FT3629"/>
      <c r="FU3629"/>
      <c r="FV3629"/>
      <c r="FW3629"/>
      <c r="FX3629"/>
      <c r="FY3629"/>
      <c r="FZ3629"/>
      <c r="GA3629"/>
      <c r="GB3629"/>
      <c r="GC3629"/>
      <c r="GD3629"/>
      <c r="GE3629"/>
      <c r="GF3629"/>
      <c r="GG3629"/>
      <c r="GH3629"/>
      <c r="GI3629"/>
      <c r="GJ3629"/>
      <c r="GK3629"/>
      <c r="GL3629"/>
      <c r="GM3629"/>
      <c r="GN3629"/>
      <c r="GO3629"/>
    </row>
    <row r="3630" spans="107:197">
      <c r="DC3630"/>
      <c r="FH3630"/>
      <c r="FI3630"/>
      <c r="FJ3630"/>
      <c r="FK3630"/>
      <c r="FL3630"/>
      <c r="FM3630"/>
      <c r="FN3630"/>
      <c r="FO3630"/>
      <c r="FP3630"/>
      <c r="FQ3630"/>
      <c r="FR3630"/>
      <c r="FS3630"/>
      <c r="FT3630"/>
      <c r="FU3630"/>
      <c r="FV3630"/>
      <c r="FW3630"/>
      <c r="FX3630"/>
      <c r="FY3630"/>
      <c r="FZ3630"/>
      <c r="GA3630"/>
      <c r="GB3630"/>
      <c r="GC3630"/>
      <c r="GD3630"/>
      <c r="GE3630"/>
      <c r="GF3630"/>
      <c r="GG3630"/>
      <c r="GH3630"/>
      <c r="GI3630"/>
      <c r="GJ3630"/>
      <c r="GK3630"/>
      <c r="GL3630"/>
      <c r="GM3630"/>
      <c r="GN3630"/>
      <c r="GO3630"/>
    </row>
    <row r="3631" spans="107:197">
      <c r="DC3631"/>
      <c r="FH3631"/>
      <c r="FI3631"/>
      <c r="FJ3631"/>
      <c r="FK3631"/>
      <c r="FL3631"/>
      <c r="FM3631"/>
      <c r="FN3631"/>
      <c r="FO3631"/>
      <c r="FP3631"/>
      <c r="FQ3631"/>
      <c r="FR3631"/>
      <c r="FS3631"/>
      <c r="FT3631"/>
      <c r="FU3631"/>
      <c r="FV3631"/>
      <c r="FW3631"/>
      <c r="FX3631"/>
      <c r="FY3631"/>
      <c r="FZ3631"/>
      <c r="GA3631"/>
      <c r="GB3631"/>
      <c r="GC3631"/>
      <c r="GD3631"/>
      <c r="GE3631"/>
      <c r="GF3631"/>
      <c r="GG3631"/>
      <c r="GH3631"/>
      <c r="GI3631"/>
      <c r="GJ3631"/>
      <c r="GK3631"/>
      <c r="GL3631"/>
      <c r="GM3631"/>
      <c r="GN3631"/>
      <c r="GO3631"/>
    </row>
    <row r="3632" spans="107:197">
      <c r="DC3632"/>
      <c r="FH3632"/>
      <c r="FI3632"/>
      <c r="FJ3632"/>
      <c r="FK3632"/>
      <c r="FL3632"/>
      <c r="FM3632"/>
      <c r="FN3632"/>
      <c r="FO3632"/>
      <c r="FP3632"/>
      <c r="FQ3632"/>
      <c r="FR3632"/>
      <c r="FS3632"/>
      <c r="FT3632"/>
      <c r="FU3632"/>
      <c r="FV3632"/>
      <c r="FW3632"/>
      <c r="FX3632"/>
      <c r="FY3632"/>
      <c r="FZ3632"/>
      <c r="GA3632"/>
      <c r="GB3632"/>
      <c r="GC3632"/>
      <c r="GD3632"/>
      <c r="GE3632"/>
      <c r="GF3632"/>
      <c r="GG3632"/>
      <c r="GH3632"/>
      <c r="GI3632"/>
      <c r="GJ3632"/>
      <c r="GK3632"/>
      <c r="GL3632"/>
      <c r="GM3632"/>
      <c r="GN3632"/>
      <c r="GO3632"/>
    </row>
    <row r="3633" spans="107:197">
      <c r="DC3633"/>
      <c r="FH3633"/>
      <c r="FI3633"/>
      <c r="FJ3633"/>
      <c r="FK3633"/>
      <c r="FL3633"/>
      <c r="FM3633"/>
      <c r="FN3633"/>
      <c r="FO3633"/>
      <c r="FP3633"/>
      <c r="FQ3633"/>
      <c r="FR3633"/>
      <c r="FS3633"/>
      <c r="FT3633"/>
      <c r="FU3633"/>
      <c r="FV3633"/>
      <c r="FW3633"/>
      <c r="FX3633"/>
      <c r="FY3633"/>
      <c r="FZ3633"/>
      <c r="GA3633"/>
      <c r="GB3633"/>
      <c r="GC3633"/>
      <c r="GD3633"/>
      <c r="GE3633"/>
      <c r="GF3633"/>
      <c r="GG3633"/>
      <c r="GH3633"/>
      <c r="GI3633"/>
      <c r="GJ3633"/>
      <c r="GK3633"/>
      <c r="GL3633"/>
      <c r="GM3633"/>
      <c r="GN3633"/>
      <c r="GO3633"/>
    </row>
    <row r="3634" spans="107:197">
      <c r="DC3634"/>
      <c r="FH3634"/>
      <c r="FI3634"/>
      <c r="FJ3634"/>
      <c r="FK3634"/>
      <c r="FL3634"/>
      <c r="FM3634"/>
      <c r="FN3634"/>
      <c r="FO3634"/>
      <c r="FP3634"/>
      <c r="FQ3634"/>
      <c r="FR3634"/>
      <c r="FS3634"/>
      <c r="FT3634"/>
      <c r="FU3634"/>
      <c r="FV3634"/>
      <c r="FW3634"/>
      <c r="FX3634"/>
      <c r="FY3634"/>
      <c r="FZ3634"/>
      <c r="GA3634"/>
      <c r="GB3634"/>
      <c r="GC3634"/>
      <c r="GD3634"/>
      <c r="GE3634"/>
      <c r="GF3634"/>
      <c r="GG3634"/>
      <c r="GH3634"/>
      <c r="GI3634"/>
      <c r="GJ3634"/>
      <c r="GK3634"/>
      <c r="GL3634"/>
      <c r="GM3634"/>
      <c r="GN3634"/>
      <c r="GO3634"/>
    </row>
    <row r="3635" spans="107:197">
      <c r="DC3635"/>
      <c r="FH3635"/>
      <c r="FI3635"/>
      <c r="FJ3635"/>
      <c r="FK3635"/>
      <c r="FL3635"/>
      <c r="FM3635"/>
      <c r="FN3635"/>
      <c r="FO3635"/>
      <c r="FP3635"/>
      <c r="FQ3635"/>
      <c r="FR3635"/>
      <c r="FS3635"/>
      <c r="FT3635"/>
      <c r="FU3635"/>
      <c r="FV3635"/>
      <c r="FW3635"/>
      <c r="FX3635"/>
      <c r="FY3635"/>
      <c r="FZ3635"/>
      <c r="GA3635"/>
      <c r="GB3635"/>
      <c r="GC3635"/>
      <c r="GD3635"/>
      <c r="GE3635"/>
      <c r="GF3635"/>
      <c r="GG3635"/>
      <c r="GH3635"/>
      <c r="GI3635"/>
      <c r="GJ3635"/>
      <c r="GK3635"/>
      <c r="GL3635"/>
      <c r="GM3635"/>
      <c r="GN3635"/>
      <c r="GO3635"/>
    </row>
    <row r="3636" spans="107:197">
      <c r="DC3636"/>
      <c r="FH3636"/>
      <c r="FI3636"/>
      <c r="FJ3636"/>
      <c r="FK3636"/>
      <c r="FL3636"/>
      <c r="FM3636"/>
      <c r="FN3636"/>
      <c r="FO3636"/>
      <c r="FP3636"/>
      <c r="FQ3636"/>
      <c r="FR3636"/>
      <c r="FS3636"/>
      <c r="FT3636"/>
      <c r="FU3636"/>
      <c r="FV3636"/>
      <c r="FW3636"/>
      <c r="FX3636"/>
      <c r="FY3636"/>
      <c r="FZ3636"/>
      <c r="GA3636"/>
      <c r="GB3636"/>
      <c r="GC3636"/>
      <c r="GD3636"/>
      <c r="GE3636"/>
      <c r="GF3636"/>
      <c r="GG3636"/>
      <c r="GH3636"/>
      <c r="GI3636"/>
      <c r="GJ3636"/>
      <c r="GK3636"/>
      <c r="GL3636"/>
      <c r="GM3636"/>
      <c r="GN3636"/>
      <c r="GO3636"/>
    </row>
    <row r="3637" spans="107:197">
      <c r="DC3637"/>
      <c r="FH3637"/>
      <c r="FI3637"/>
      <c r="FJ3637"/>
      <c r="FK3637"/>
      <c r="FL3637"/>
      <c r="FM3637"/>
      <c r="FN3637"/>
      <c r="FO3637"/>
      <c r="FP3637"/>
      <c r="FQ3637"/>
      <c r="FR3637"/>
      <c r="FS3637"/>
      <c r="FT3637"/>
      <c r="FU3637"/>
      <c r="FV3637"/>
      <c r="FW3637"/>
      <c r="FX3637"/>
      <c r="FY3637"/>
      <c r="FZ3637"/>
      <c r="GA3637"/>
      <c r="GB3637"/>
      <c r="GC3637"/>
      <c r="GD3637"/>
      <c r="GE3637"/>
      <c r="GF3637"/>
      <c r="GG3637"/>
      <c r="GH3637"/>
      <c r="GI3637"/>
      <c r="GJ3637"/>
      <c r="GK3637"/>
      <c r="GL3637"/>
      <c r="GM3637"/>
      <c r="GN3637"/>
      <c r="GO3637"/>
    </row>
    <row r="3638" spans="107:197">
      <c r="DC3638"/>
      <c r="FH3638"/>
      <c r="FI3638"/>
      <c r="FJ3638"/>
      <c r="FK3638"/>
      <c r="FL3638"/>
      <c r="FM3638"/>
      <c r="FN3638"/>
      <c r="FO3638"/>
      <c r="FP3638"/>
      <c r="FQ3638"/>
      <c r="FR3638"/>
      <c r="FS3638"/>
      <c r="FT3638"/>
      <c r="FU3638"/>
      <c r="FV3638"/>
      <c r="FW3638"/>
      <c r="FX3638"/>
      <c r="FY3638"/>
      <c r="FZ3638"/>
      <c r="GA3638"/>
      <c r="GB3638"/>
      <c r="GC3638"/>
      <c r="GD3638"/>
      <c r="GE3638"/>
      <c r="GF3638"/>
      <c r="GG3638"/>
      <c r="GH3638"/>
      <c r="GI3638"/>
      <c r="GJ3638"/>
      <c r="GK3638"/>
      <c r="GL3638"/>
      <c r="GM3638"/>
      <c r="GN3638"/>
      <c r="GO3638"/>
    </row>
    <row r="3639" spans="107:197">
      <c r="DC3639"/>
      <c r="FH3639"/>
      <c r="FI3639"/>
      <c r="FJ3639"/>
      <c r="FK3639"/>
      <c r="FL3639"/>
      <c r="FM3639"/>
      <c r="FN3639"/>
      <c r="FO3639"/>
      <c r="FP3639"/>
      <c r="FQ3639"/>
      <c r="FR3639"/>
      <c r="FS3639"/>
      <c r="FT3639"/>
      <c r="FU3639"/>
      <c r="FV3639"/>
      <c r="FW3639"/>
      <c r="FX3639"/>
      <c r="FY3639"/>
      <c r="FZ3639"/>
      <c r="GA3639"/>
      <c r="GB3639"/>
      <c r="GC3639"/>
      <c r="GD3639"/>
      <c r="GE3639"/>
      <c r="GF3639"/>
      <c r="GG3639"/>
      <c r="GH3639"/>
      <c r="GI3639"/>
      <c r="GJ3639"/>
      <c r="GK3639"/>
      <c r="GL3639"/>
      <c r="GM3639"/>
      <c r="GN3639"/>
      <c r="GO3639"/>
    </row>
    <row r="3640" spans="107:197">
      <c r="DC3640"/>
      <c r="FH3640"/>
      <c r="FI3640"/>
      <c r="FJ3640"/>
      <c r="FK3640"/>
      <c r="FL3640"/>
      <c r="FM3640"/>
      <c r="FN3640"/>
      <c r="FO3640"/>
      <c r="FP3640"/>
      <c r="FQ3640"/>
      <c r="FR3640"/>
      <c r="FS3640"/>
      <c r="FT3640"/>
      <c r="FU3640"/>
      <c r="FV3640"/>
      <c r="FW3640"/>
      <c r="FX3640"/>
      <c r="FY3640"/>
      <c r="FZ3640"/>
      <c r="GA3640"/>
      <c r="GB3640"/>
      <c r="GC3640"/>
      <c r="GD3640"/>
      <c r="GE3640"/>
      <c r="GF3640"/>
      <c r="GG3640"/>
      <c r="GH3640"/>
      <c r="GI3640"/>
      <c r="GJ3640"/>
      <c r="GK3640"/>
      <c r="GL3640"/>
      <c r="GM3640"/>
      <c r="GN3640"/>
      <c r="GO3640"/>
    </row>
    <row r="3641" spans="107:197">
      <c r="DC3641"/>
      <c r="FH3641"/>
      <c r="FI3641"/>
      <c r="FJ3641"/>
      <c r="FK3641"/>
      <c r="FL3641"/>
      <c r="FM3641"/>
      <c r="FN3641"/>
      <c r="FO3641"/>
      <c r="FP3641"/>
      <c r="FQ3641"/>
      <c r="FR3641"/>
      <c r="FS3641"/>
      <c r="FT3641"/>
      <c r="FU3641"/>
      <c r="FV3641"/>
      <c r="FW3641"/>
      <c r="FX3641"/>
      <c r="FY3641"/>
      <c r="FZ3641"/>
      <c r="GA3641"/>
      <c r="GB3641"/>
      <c r="GC3641"/>
      <c r="GD3641"/>
      <c r="GE3641"/>
      <c r="GF3641"/>
      <c r="GG3641"/>
      <c r="GH3641"/>
      <c r="GI3641"/>
      <c r="GJ3641"/>
      <c r="GK3641"/>
      <c r="GL3641"/>
      <c r="GM3641"/>
      <c r="GN3641"/>
      <c r="GO3641"/>
    </row>
    <row r="3642" spans="107:197">
      <c r="DC3642"/>
      <c r="FH3642"/>
      <c r="FI3642"/>
      <c r="FJ3642"/>
      <c r="FK3642"/>
      <c r="FL3642"/>
      <c r="FM3642"/>
      <c r="FN3642"/>
      <c r="FO3642"/>
      <c r="FP3642"/>
      <c r="FQ3642"/>
      <c r="FR3642"/>
      <c r="FS3642"/>
      <c r="FT3642"/>
      <c r="FU3642"/>
      <c r="FV3642"/>
      <c r="FW3642"/>
      <c r="FX3642"/>
      <c r="FY3642"/>
      <c r="FZ3642"/>
      <c r="GA3642"/>
      <c r="GB3642"/>
      <c r="GC3642"/>
      <c r="GD3642"/>
      <c r="GE3642"/>
      <c r="GF3642"/>
      <c r="GG3642"/>
      <c r="GH3642"/>
      <c r="GI3642"/>
      <c r="GJ3642"/>
      <c r="GK3642"/>
      <c r="GL3642"/>
      <c r="GM3642"/>
      <c r="GN3642"/>
      <c r="GO3642"/>
    </row>
    <row r="3643" spans="107:197">
      <c r="DC3643"/>
      <c r="FH3643"/>
      <c r="FI3643"/>
      <c r="FJ3643"/>
      <c r="FK3643"/>
      <c r="FL3643"/>
      <c r="FM3643"/>
      <c r="FN3643"/>
      <c r="FO3643"/>
      <c r="FP3643"/>
      <c r="FQ3643"/>
      <c r="FR3643"/>
      <c r="FS3643"/>
      <c r="FT3643"/>
      <c r="FU3643"/>
      <c r="FV3643"/>
      <c r="FW3643"/>
      <c r="FX3643"/>
      <c r="FY3643"/>
      <c r="FZ3643"/>
      <c r="GA3643"/>
      <c r="GB3643"/>
      <c r="GC3643"/>
      <c r="GD3643"/>
      <c r="GE3643"/>
      <c r="GF3643"/>
      <c r="GG3643"/>
      <c r="GH3643"/>
      <c r="GI3643"/>
      <c r="GJ3643"/>
      <c r="GK3643"/>
      <c r="GL3643"/>
      <c r="GM3643"/>
      <c r="GN3643"/>
      <c r="GO3643"/>
    </row>
    <row r="3644" spans="107:197">
      <c r="DC3644"/>
      <c r="FH3644"/>
      <c r="FI3644"/>
      <c r="FJ3644"/>
      <c r="FK3644"/>
      <c r="FL3644"/>
      <c r="FM3644"/>
      <c r="FN3644"/>
      <c r="FO3644"/>
      <c r="FP3644"/>
      <c r="FQ3644"/>
      <c r="FR3644"/>
      <c r="FS3644"/>
      <c r="FT3644"/>
      <c r="FU3644"/>
      <c r="FV3644"/>
      <c r="FW3644"/>
      <c r="FX3644"/>
      <c r="FY3644"/>
      <c r="FZ3644"/>
      <c r="GA3644"/>
      <c r="GB3644"/>
      <c r="GC3644"/>
      <c r="GD3644"/>
      <c r="GE3644"/>
      <c r="GF3644"/>
      <c r="GG3644"/>
      <c r="GH3644"/>
      <c r="GI3644"/>
      <c r="GJ3644"/>
      <c r="GK3644"/>
      <c r="GL3644"/>
      <c r="GM3644"/>
      <c r="GN3644"/>
      <c r="GO3644"/>
    </row>
    <row r="3645" spans="107:197">
      <c r="DC3645"/>
      <c r="FH3645"/>
      <c r="FI3645"/>
      <c r="FJ3645"/>
      <c r="FK3645"/>
      <c r="FL3645"/>
      <c r="FM3645"/>
      <c r="FN3645"/>
      <c r="FO3645"/>
      <c r="FP3645"/>
      <c r="FQ3645"/>
      <c r="FR3645"/>
      <c r="FS3645"/>
      <c r="FT3645"/>
      <c r="FU3645"/>
      <c r="FV3645"/>
      <c r="FW3645"/>
      <c r="FX3645"/>
      <c r="FY3645"/>
      <c r="FZ3645"/>
      <c r="GA3645"/>
      <c r="GB3645"/>
      <c r="GC3645"/>
      <c r="GD3645"/>
      <c r="GE3645"/>
      <c r="GF3645"/>
      <c r="GG3645"/>
      <c r="GH3645"/>
      <c r="GI3645"/>
      <c r="GJ3645"/>
      <c r="GK3645"/>
      <c r="GL3645"/>
      <c r="GM3645"/>
      <c r="GN3645"/>
      <c r="GO3645"/>
    </row>
    <row r="3646" spans="107:197">
      <c r="DC3646"/>
      <c r="FH3646"/>
      <c r="FI3646"/>
      <c r="FJ3646"/>
      <c r="FK3646"/>
      <c r="FL3646"/>
      <c r="FM3646"/>
      <c r="FN3646"/>
      <c r="FO3646"/>
      <c r="FP3646"/>
      <c r="FQ3646"/>
      <c r="FR3646"/>
      <c r="FS3646"/>
      <c r="FT3646"/>
      <c r="FU3646"/>
      <c r="FV3646"/>
      <c r="FW3646"/>
      <c r="FX3646"/>
      <c r="FY3646"/>
      <c r="FZ3646"/>
      <c r="GA3646"/>
      <c r="GB3646"/>
      <c r="GC3646"/>
      <c r="GD3646"/>
      <c r="GE3646"/>
      <c r="GF3646"/>
      <c r="GG3646"/>
      <c r="GH3646"/>
      <c r="GI3646"/>
      <c r="GJ3646"/>
      <c r="GK3646"/>
      <c r="GL3646"/>
      <c r="GM3646"/>
      <c r="GN3646"/>
      <c r="GO3646"/>
    </row>
    <row r="3647" spans="107:197">
      <c r="DC3647"/>
      <c r="FH3647"/>
      <c r="FI3647"/>
      <c r="FJ3647"/>
      <c r="FK3647"/>
      <c r="FL3647"/>
      <c r="FM3647"/>
      <c r="FN3647"/>
      <c r="FO3647"/>
      <c r="FP3647"/>
      <c r="FQ3647"/>
      <c r="FR3647"/>
      <c r="FS3647"/>
      <c r="FT3647"/>
      <c r="FU3647"/>
      <c r="FV3647"/>
      <c r="FW3647"/>
      <c r="FX3647"/>
      <c r="FY3647"/>
      <c r="FZ3647"/>
      <c r="GA3647"/>
      <c r="GB3647"/>
      <c r="GC3647"/>
      <c r="GD3647"/>
      <c r="GE3647"/>
      <c r="GF3647"/>
      <c r="GG3647"/>
      <c r="GH3647"/>
      <c r="GI3647"/>
      <c r="GJ3647"/>
      <c r="GK3647"/>
      <c r="GL3647"/>
      <c r="GM3647"/>
      <c r="GN3647"/>
      <c r="GO3647"/>
    </row>
    <row r="3648" spans="107:197">
      <c r="DC3648"/>
      <c r="FH3648"/>
      <c r="FI3648"/>
      <c r="FJ3648"/>
      <c r="FK3648"/>
      <c r="FL3648"/>
      <c r="FM3648"/>
      <c r="FN3648"/>
      <c r="FO3648"/>
      <c r="FP3648"/>
      <c r="FQ3648"/>
      <c r="FR3648"/>
      <c r="FS3648"/>
      <c r="FT3648"/>
      <c r="FU3648"/>
      <c r="FV3648"/>
      <c r="FW3648"/>
      <c r="FX3648"/>
      <c r="FY3648"/>
      <c r="FZ3648"/>
      <c r="GA3648"/>
      <c r="GB3648"/>
      <c r="GC3648"/>
      <c r="GD3648"/>
      <c r="GE3648"/>
      <c r="GF3648"/>
      <c r="GG3648"/>
      <c r="GH3648"/>
      <c r="GI3648"/>
      <c r="GJ3648"/>
      <c r="GK3648"/>
      <c r="GL3648"/>
      <c r="GM3648"/>
      <c r="GN3648"/>
      <c r="GO3648"/>
    </row>
    <row r="3649" spans="107:197">
      <c r="DC3649"/>
      <c r="FH3649"/>
      <c r="FI3649"/>
      <c r="FJ3649"/>
      <c r="FK3649"/>
      <c r="FL3649"/>
      <c r="FM3649"/>
      <c r="FN3649"/>
      <c r="FO3649"/>
      <c r="FP3649"/>
      <c r="FQ3649"/>
      <c r="FR3649"/>
      <c r="FS3649"/>
      <c r="FT3649"/>
      <c r="FU3649"/>
      <c r="FV3649"/>
      <c r="FW3649"/>
      <c r="FX3649"/>
      <c r="FY3649"/>
      <c r="FZ3649"/>
      <c r="GA3649"/>
      <c r="GB3649"/>
      <c r="GC3649"/>
      <c r="GD3649"/>
      <c r="GE3649"/>
      <c r="GF3649"/>
      <c r="GG3649"/>
      <c r="GH3649"/>
      <c r="GI3649"/>
      <c r="GJ3649"/>
      <c r="GK3649"/>
      <c r="GL3649"/>
      <c r="GM3649"/>
      <c r="GN3649"/>
      <c r="GO3649"/>
    </row>
    <row r="3650" spans="107:197">
      <c r="DC3650"/>
      <c r="FH3650"/>
      <c r="FI3650"/>
      <c r="FJ3650"/>
      <c r="FK3650"/>
      <c r="FL3650"/>
      <c r="FM3650"/>
      <c r="FN3650"/>
      <c r="FO3650"/>
      <c r="FP3650"/>
      <c r="FQ3650"/>
      <c r="FR3650"/>
      <c r="FS3650"/>
      <c r="FT3650"/>
      <c r="FU3650"/>
      <c r="FV3650"/>
      <c r="FW3650"/>
      <c r="FX3650"/>
      <c r="FY3650"/>
      <c r="FZ3650"/>
      <c r="GA3650"/>
      <c r="GB3650"/>
      <c r="GC3650"/>
      <c r="GD3650"/>
      <c r="GE3650"/>
      <c r="GF3650"/>
      <c r="GG3650"/>
      <c r="GH3650"/>
      <c r="GI3650"/>
      <c r="GJ3650"/>
      <c r="GK3650"/>
      <c r="GL3650"/>
      <c r="GM3650"/>
      <c r="GN3650"/>
      <c r="GO3650"/>
    </row>
    <row r="3651" spans="107:197">
      <c r="DC3651"/>
      <c r="FH3651"/>
      <c r="FI3651"/>
      <c r="FJ3651"/>
      <c r="FK3651"/>
      <c r="FL3651"/>
      <c r="FM3651"/>
      <c r="FN3651"/>
      <c r="FO3651"/>
      <c r="FP3651"/>
      <c r="FQ3651"/>
      <c r="FR3651"/>
      <c r="FS3651"/>
      <c r="FT3651"/>
      <c r="FU3651"/>
      <c r="FV3651"/>
      <c r="FW3651"/>
      <c r="FX3651"/>
      <c r="FY3651"/>
      <c r="FZ3651"/>
      <c r="GA3651"/>
      <c r="GB3651"/>
      <c r="GC3651"/>
      <c r="GD3651"/>
      <c r="GE3651"/>
      <c r="GF3651"/>
      <c r="GG3651"/>
      <c r="GH3651"/>
      <c r="GI3651"/>
      <c r="GJ3651"/>
      <c r="GK3651"/>
      <c r="GL3651"/>
      <c r="GM3651"/>
      <c r="GN3651"/>
      <c r="GO3651"/>
    </row>
    <row r="3652" spans="107:197">
      <c r="DC3652"/>
      <c r="FH3652"/>
      <c r="FI3652"/>
      <c r="FJ3652"/>
      <c r="FK3652"/>
      <c r="FL3652"/>
      <c r="FM3652"/>
      <c r="FN3652"/>
      <c r="FO3652"/>
      <c r="FP3652"/>
      <c r="FQ3652"/>
      <c r="FR3652"/>
      <c r="FS3652"/>
      <c r="FT3652"/>
      <c r="FU3652"/>
      <c r="FV3652"/>
      <c r="FW3652"/>
      <c r="FX3652"/>
      <c r="FY3652"/>
      <c r="FZ3652"/>
      <c r="GA3652"/>
      <c r="GB3652"/>
      <c r="GC3652"/>
      <c r="GD3652"/>
      <c r="GE3652"/>
      <c r="GF3652"/>
      <c r="GG3652"/>
      <c r="GH3652"/>
      <c r="GI3652"/>
      <c r="GJ3652"/>
      <c r="GK3652"/>
      <c r="GL3652"/>
      <c r="GM3652"/>
      <c r="GN3652"/>
      <c r="GO3652"/>
    </row>
    <row r="3653" spans="107:197">
      <c r="DC3653"/>
      <c r="FH3653"/>
      <c r="FI3653"/>
      <c r="FJ3653"/>
      <c r="FK3653"/>
      <c r="FL3653"/>
      <c r="FM3653"/>
      <c r="FN3653"/>
      <c r="FO3653"/>
      <c r="FP3653"/>
      <c r="FQ3653"/>
      <c r="FR3653"/>
      <c r="FS3653"/>
      <c r="FT3653"/>
      <c r="FU3653"/>
      <c r="FV3653"/>
      <c r="FW3653"/>
      <c r="FX3653"/>
      <c r="FY3653"/>
      <c r="FZ3653"/>
      <c r="GA3653"/>
      <c r="GB3653"/>
      <c r="GC3653"/>
      <c r="GD3653"/>
      <c r="GE3653"/>
      <c r="GF3653"/>
      <c r="GG3653"/>
      <c r="GH3653"/>
      <c r="GI3653"/>
      <c r="GJ3653"/>
      <c r="GK3653"/>
      <c r="GL3653"/>
      <c r="GM3653"/>
      <c r="GN3653"/>
      <c r="GO3653"/>
    </row>
    <row r="3654" spans="107:197">
      <c r="DC3654"/>
      <c r="FH3654"/>
      <c r="FI3654"/>
      <c r="FJ3654"/>
      <c r="FK3654"/>
      <c r="FL3654"/>
      <c r="FM3654"/>
      <c r="FN3654"/>
      <c r="FO3654"/>
      <c r="FP3654"/>
      <c r="FQ3654"/>
      <c r="FR3654"/>
      <c r="FS3654"/>
      <c r="FT3654"/>
      <c r="FU3654"/>
      <c r="FV3654"/>
      <c r="FW3654"/>
      <c r="FX3654"/>
      <c r="FY3654"/>
      <c r="FZ3654"/>
      <c r="GA3654"/>
      <c r="GB3654"/>
      <c r="GC3654"/>
      <c r="GD3654"/>
      <c r="GE3654"/>
      <c r="GF3654"/>
      <c r="GG3654"/>
      <c r="GH3654"/>
      <c r="GI3654"/>
      <c r="GJ3654"/>
      <c r="GK3654"/>
      <c r="GL3654"/>
      <c r="GM3654"/>
      <c r="GN3654"/>
      <c r="GO3654"/>
    </row>
    <row r="3655" spans="107:197">
      <c r="DC3655"/>
      <c r="FH3655"/>
      <c r="FI3655"/>
      <c r="FJ3655"/>
      <c r="FK3655"/>
      <c r="FL3655"/>
      <c r="FM3655"/>
      <c r="FN3655"/>
      <c r="FO3655"/>
      <c r="FP3655"/>
      <c r="FQ3655"/>
      <c r="FR3655"/>
      <c r="FS3655"/>
      <c r="FT3655"/>
      <c r="FU3655"/>
      <c r="FV3655"/>
      <c r="FW3655"/>
      <c r="FX3655"/>
      <c r="FY3655"/>
      <c r="FZ3655"/>
      <c r="GA3655"/>
      <c r="GB3655"/>
      <c r="GC3655"/>
      <c r="GD3655"/>
      <c r="GE3655"/>
      <c r="GF3655"/>
      <c r="GG3655"/>
      <c r="GH3655"/>
      <c r="GI3655"/>
      <c r="GJ3655"/>
      <c r="GK3655"/>
      <c r="GL3655"/>
      <c r="GM3655"/>
      <c r="GN3655"/>
      <c r="GO3655"/>
    </row>
    <row r="3656" spans="107:197">
      <c r="DC3656"/>
      <c r="FH3656"/>
      <c r="FI3656"/>
      <c r="FJ3656"/>
      <c r="FK3656"/>
      <c r="FL3656"/>
      <c r="FM3656"/>
      <c r="FN3656"/>
      <c r="FO3656"/>
      <c r="FP3656"/>
      <c r="FQ3656"/>
      <c r="FR3656"/>
      <c r="FS3656"/>
      <c r="FT3656"/>
      <c r="FU3656"/>
      <c r="FV3656"/>
      <c r="FW3656"/>
      <c r="FX3656"/>
      <c r="FY3656"/>
      <c r="FZ3656"/>
      <c r="GA3656"/>
      <c r="GB3656"/>
      <c r="GC3656"/>
      <c r="GD3656"/>
      <c r="GE3656"/>
      <c r="GF3656"/>
      <c r="GG3656"/>
      <c r="GH3656"/>
      <c r="GI3656"/>
      <c r="GJ3656"/>
      <c r="GK3656"/>
      <c r="GL3656"/>
      <c r="GM3656"/>
      <c r="GN3656"/>
      <c r="GO3656"/>
    </row>
    <row r="3657" spans="107:197">
      <c r="DC3657"/>
      <c r="FH3657"/>
      <c r="FI3657"/>
      <c r="FJ3657"/>
      <c r="FK3657"/>
      <c r="FL3657"/>
      <c r="FM3657"/>
      <c r="FN3657"/>
      <c r="FO3657"/>
      <c r="FP3657"/>
      <c r="FQ3657"/>
      <c r="FR3657"/>
      <c r="FS3657"/>
      <c r="FT3657"/>
      <c r="FU3657"/>
      <c r="FV3657"/>
      <c r="FW3657"/>
      <c r="FX3657"/>
      <c r="FY3657"/>
      <c r="FZ3657"/>
      <c r="GA3657"/>
      <c r="GB3657"/>
      <c r="GC3657"/>
      <c r="GD3657"/>
      <c r="GE3657"/>
      <c r="GF3657"/>
      <c r="GG3657"/>
      <c r="GH3657"/>
      <c r="GI3657"/>
      <c r="GJ3657"/>
      <c r="GK3657"/>
      <c r="GL3657"/>
      <c r="GM3657"/>
      <c r="GN3657"/>
      <c r="GO3657"/>
    </row>
    <row r="3658" spans="107:197">
      <c r="DC3658"/>
      <c r="FH3658"/>
      <c r="FI3658"/>
      <c r="FJ3658"/>
      <c r="FK3658"/>
      <c r="FL3658"/>
      <c r="FM3658"/>
      <c r="FN3658"/>
      <c r="FO3658"/>
      <c r="FP3658"/>
      <c r="FQ3658"/>
      <c r="FR3658"/>
      <c r="FS3658"/>
      <c r="FT3658"/>
      <c r="FU3658"/>
      <c r="FV3658"/>
      <c r="FW3658"/>
      <c r="FX3658"/>
      <c r="FY3658"/>
      <c r="FZ3658"/>
      <c r="GA3658"/>
      <c r="GB3658"/>
      <c r="GC3658"/>
      <c r="GD3658"/>
      <c r="GE3658"/>
      <c r="GF3658"/>
      <c r="GG3658"/>
      <c r="GH3658"/>
      <c r="GI3658"/>
      <c r="GJ3658"/>
      <c r="GK3658"/>
      <c r="GL3658"/>
      <c r="GM3658"/>
      <c r="GN3658"/>
      <c r="GO3658"/>
    </row>
    <row r="3659" spans="107:197">
      <c r="DC3659"/>
      <c r="FH3659"/>
      <c r="FI3659"/>
      <c r="FJ3659"/>
      <c r="FK3659"/>
      <c r="FL3659"/>
      <c r="FM3659"/>
      <c r="FN3659"/>
      <c r="FO3659"/>
      <c r="FP3659"/>
      <c r="FQ3659"/>
      <c r="FR3659"/>
      <c r="FS3659"/>
      <c r="FT3659"/>
      <c r="FU3659"/>
      <c r="FV3659"/>
      <c r="FW3659"/>
      <c r="FX3659"/>
      <c r="FY3659"/>
      <c r="FZ3659"/>
      <c r="GA3659"/>
      <c r="GB3659"/>
      <c r="GC3659"/>
      <c r="GD3659"/>
      <c r="GE3659"/>
      <c r="GF3659"/>
      <c r="GG3659"/>
      <c r="GH3659"/>
      <c r="GI3659"/>
      <c r="GJ3659"/>
      <c r="GK3659"/>
      <c r="GL3659"/>
      <c r="GM3659"/>
      <c r="GN3659"/>
      <c r="GO3659"/>
    </row>
    <row r="3660" spans="107:197">
      <c r="DC3660"/>
      <c r="FH3660"/>
      <c r="FI3660"/>
      <c r="FJ3660"/>
      <c r="FK3660"/>
      <c r="FL3660"/>
      <c r="FM3660"/>
      <c r="FN3660"/>
      <c r="FO3660"/>
      <c r="FP3660"/>
      <c r="FQ3660"/>
      <c r="FR3660"/>
      <c r="FS3660"/>
      <c r="FT3660"/>
      <c r="FU3660"/>
      <c r="FV3660"/>
      <c r="FW3660"/>
      <c r="FX3660"/>
      <c r="FY3660"/>
      <c r="FZ3660"/>
      <c r="GA3660"/>
      <c r="GB3660"/>
      <c r="GC3660"/>
      <c r="GD3660"/>
      <c r="GE3660"/>
      <c r="GF3660"/>
      <c r="GG3660"/>
      <c r="GH3660"/>
      <c r="GI3660"/>
      <c r="GJ3660"/>
      <c r="GK3660"/>
      <c r="GL3660"/>
      <c r="GM3660"/>
      <c r="GN3660"/>
      <c r="GO3660"/>
    </row>
    <row r="3661" spans="107:197">
      <c r="DC3661"/>
      <c r="FH3661"/>
      <c r="FI3661"/>
      <c r="FJ3661"/>
      <c r="FK3661"/>
      <c r="FL3661"/>
      <c r="FM3661"/>
      <c r="FN3661"/>
      <c r="FO3661"/>
      <c r="FP3661"/>
      <c r="FQ3661"/>
      <c r="FR3661"/>
      <c r="FS3661"/>
      <c r="FT3661"/>
      <c r="FU3661"/>
      <c r="FV3661"/>
      <c r="FW3661"/>
      <c r="FX3661"/>
      <c r="FY3661"/>
      <c r="FZ3661"/>
      <c r="GA3661"/>
      <c r="GB3661"/>
      <c r="GC3661"/>
      <c r="GD3661"/>
      <c r="GE3661"/>
      <c r="GF3661"/>
      <c r="GG3661"/>
      <c r="GH3661"/>
      <c r="GI3661"/>
      <c r="GJ3661"/>
      <c r="GK3661"/>
      <c r="GL3661"/>
      <c r="GM3661"/>
      <c r="GN3661"/>
      <c r="GO3661"/>
    </row>
    <row r="3662" spans="107:197">
      <c r="DC3662"/>
      <c r="FH3662"/>
      <c r="FI3662"/>
      <c r="FJ3662"/>
      <c r="FK3662"/>
      <c r="FL3662"/>
      <c r="FM3662"/>
      <c r="FN3662"/>
      <c r="FO3662"/>
      <c r="FP3662"/>
      <c r="FQ3662"/>
      <c r="FR3662"/>
      <c r="FS3662"/>
      <c r="FT3662"/>
      <c r="FU3662"/>
      <c r="FV3662"/>
      <c r="FW3662"/>
      <c r="FX3662"/>
      <c r="FY3662"/>
      <c r="FZ3662"/>
      <c r="GA3662"/>
      <c r="GB3662"/>
      <c r="GC3662"/>
      <c r="GD3662"/>
      <c r="GE3662"/>
      <c r="GF3662"/>
      <c r="GG3662"/>
      <c r="GH3662"/>
      <c r="GI3662"/>
      <c r="GJ3662"/>
      <c r="GK3662"/>
      <c r="GL3662"/>
      <c r="GM3662"/>
      <c r="GN3662"/>
      <c r="GO3662"/>
    </row>
    <row r="3663" spans="107:197">
      <c r="DC3663"/>
      <c r="FH3663"/>
      <c r="FI3663"/>
      <c r="FJ3663"/>
      <c r="FK3663"/>
      <c r="FL3663"/>
      <c r="FM3663"/>
      <c r="FN3663"/>
      <c r="FO3663"/>
      <c r="FP3663"/>
      <c r="FQ3663"/>
      <c r="FR3663"/>
      <c r="FS3663"/>
      <c r="FT3663"/>
      <c r="FU3663"/>
      <c r="FV3663"/>
      <c r="FW3663"/>
      <c r="FX3663"/>
      <c r="FY3663"/>
      <c r="FZ3663"/>
      <c r="GA3663"/>
      <c r="GB3663"/>
      <c r="GC3663"/>
      <c r="GD3663"/>
      <c r="GE3663"/>
      <c r="GF3663"/>
      <c r="GG3663"/>
      <c r="GH3663"/>
      <c r="GI3663"/>
      <c r="GJ3663"/>
      <c r="GK3663"/>
      <c r="GL3663"/>
      <c r="GM3663"/>
      <c r="GN3663"/>
      <c r="GO3663"/>
    </row>
    <row r="3664" spans="107:197">
      <c r="DC3664"/>
      <c r="FH3664"/>
      <c r="FI3664"/>
      <c r="FJ3664"/>
      <c r="FK3664"/>
      <c r="FL3664"/>
      <c r="FM3664"/>
      <c r="FN3664"/>
      <c r="FO3664"/>
      <c r="FP3664"/>
      <c r="FQ3664"/>
      <c r="FR3664"/>
      <c r="FS3664"/>
      <c r="FT3664"/>
      <c r="FU3664"/>
      <c r="FV3664"/>
      <c r="FW3664"/>
      <c r="FX3664"/>
      <c r="FY3664"/>
      <c r="FZ3664"/>
      <c r="GA3664"/>
      <c r="GB3664"/>
      <c r="GC3664"/>
      <c r="GD3664"/>
      <c r="GE3664"/>
      <c r="GF3664"/>
      <c r="GG3664"/>
      <c r="GH3664"/>
      <c r="GI3664"/>
      <c r="GJ3664"/>
      <c r="GK3664"/>
      <c r="GL3664"/>
      <c r="GM3664"/>
      <c r="GN3664"/>
      <c r="GO3664"/>
    </row>
    <row r="3665" spans="107:197">
      <c r="DC3665"/>
      <c r="FH3665"/>
      <c r="FI3665"/>
      <c r="FJ3665"/>
      <c r="FK3665"/>
      <c r="FL3665"/>
      <c r="FM3665"/>
      <c r="FN3665"/>
      <c r="FO3665"/>
      <c r="FP3665"/>
      <c r="FQ3665"/>
      <c r="FR3665"/>
      <c r="FS3665"/>
      <c r="FT3665"/>
      <c r="FU3665"/>
      <c r="FV3665"/>
      <c r="FW3665"/>
      <c r="FX3665"/>
      <c r="FY3665"/>
      <c r="FZ3665"/>
      <c r="GA3665"/>
      <c r="GB3665"/>
      <c r="GC3665"/>
      <c r="GD3665"/>
      <c r="GE3665"/>
      <c r="GF3665"/>
      <c r="GG3665"/>
      <c r="GH3665"/>
      <c r="GI3665"/>
      <c r="GJ3665"/>
      <c r="GK3665"/>
      <c r="GL3665"/>
      <c r="GM3665"/>
      <c r="GN3665"/>
      <c r="GO3665"/>
    </row>
    <row r="3666" spans="107:197">
      <c r="DC3666"/>
      <c r="FH3666"/>
      <c r="FI3666"/>
      <c r="FJ3666"/>
      <c r="FK3666"/>
      <c r="FL3666"/>
      <c r="FM3666"/>
      <c r="FN3666"/>
      <c r="FO3666"/>
      <c r="FP3666"/>
      <c r="FQ3666"/>
      <c r="FR3666"/>
      <c r="FS3666"/>
      <c r="FT3666"/>
      <c r="FU3666"/>
      <c r="FV3666"/>
      <c r="FW3666"/>
      <c r="FX3666"/>
      <c r="FY3666"/>
      <c r="FZ3666"/>
      <c r="GA3666"/>
      <c r="GB3666"/>
      <c r="GC3666"/>
      <c r="GD3666"/>
      <c r="GE3666"/>
      <c r="GF3666"/>
      <c r="GG3666"/>
      <c r="GH3666"/>
      <c r="GI3666"/>
      <c r="GJ3666"/>
      <c r="GK3666"/>
      <c r="GL3666"/>
      <c r="GM3666"/>
      <c r="GN3666"/>
      <c r="GO3666"/>
    </row>
    <row r="3667" spans="107:197">
      <c r="DC3667"/>
      <c r="FH3667"/>
      <c r="FI3667"/>
      <c r="FJ3667"/>
      <c r="FK3667"/>
      <c r="FL3667"/>
      <c r="FM3667"/>
      <c r="FN3667"/>
      <c r="FO3667"/>
      <c r="FP3667"/>
      <c r="FQ3667"/>
      <c r="FR3667"/>
      <c r="FS3667"/>
      <c r="FT3667"/>
      <c r="FU3667"/>
      <c r="FV3667"/>
      <c r="FW3667"/>
      <c r="FX3667"/>
      <c r="FY3667"/>
      <c r="FZ3667"/>
      <c r="GA3667"/>
      <c r="GB3667"/>
      <c r="GC3667"/>
      <c r="GD3667"/>
      <c r="GE3667"/>
      <c r="GF3667"/>
      <c r="GG3667"/>
      <c r="GH3667"/>
      <c r="GI3667"/>
      <c r="GJ3667"/>
      <c r="GK3667"/>
      <c r="GL3667"/>
      <c r="GM3667"/>
      <c r="GN3667"/>
      <c r="GO3667"/>
    </row>
    <row r="3668" spans="107:197">
      <c r="DC3668"/>
      <c r="FH3668"/>
      <c r="FI3668"/>
      <c r="FJ3668"/>
      <c r="FK3668"/>
      <c r="FL3668"/>
      <c r="FM3668"/>
      <c r="FN3668"/>
      <c r="FO3668"/>
      <c r="FP3668"/>
      <c r="FQ3668"/>
      <c r="FR3668"/>
      <c r="FS3668"/>
      <c r="FT3668"/>
      <c r="FU3668"/>
      <c r="FV3668"/>
      <c r="FW3668"/>
      <c r="FX3668"/>
      <c r="FY3668"/>
      <c r="FZ3668"/>
      <c r="GA3668"/>
      <c r="GB3668"/>
      <c r="GC3668"/>
      <c r="GD3668"/>
      <c r="GE3668"/>
      <c r="GF3668"/>
      <c r="GG3668"/>
      <c r="GH3668"/>
      <c r="GI3668"/>
      <c r="GJ3668"/>
      <c r="GK3668"/>
      <c r="GL3668"/>
      <c r="GM3668"/>
      <c r="GN3668"/>
      <c r="GO3668"/>
    </row>
    <row r="3669" spans="107:197">
      <c r="DC3669"/>
      <c r="FH3669"/>
      <c r="FI3669"/>
      <c r="FJ3669"/>
      <c r="FK3669"/>
      <c r="FL3669"/>
      <c r="FM3669"/>
      <c r="FN3669"/>
      <c r="FO3669"/>
      <c r="FP3669"/>
      <c r="FQ3669"/>
      <c r="FR3669"/>
      <c r="FS3669"/>
      <c r="FT3669"/>
      <c r="FU3669"/>
      <c r="FV3669"/>
      <c r="FW3669"/>
      <c r="FX3669"/>
      <c r="FY3669"/>
      <c r="FZ3669"/>
      <c r="GA3669"/>
      <c r="GB3669"/>
      <c r="GC3669"/>
      <c r="GD3669"/>
      <c r="GE3669"/>
      <c r="GF3669"/>
      <c r="GG3669"/>
      <c r="GH3669"/>
      <c r="GI3669"/>
      <c r="GJ3669"/>
      <c r="GK3669"/>
      <c r="GL3669"/>
      <c r="GM3669"/>
      <c r="GN3669"/>
      <c r="GO3669"/>
    </row>
    <row r="3670" spans="107:197">
      <c r="DC3670"/>
      <c r="FH3670"/>
      <c r="FI3670"/>
      <c r="FJ3670"/>
      <c r="FK3670"/>
      <c r="FL3670"/>
      <c r="FM3670"/>
      <c r="FN3670"/>
      <c r="FO3670"/>
      <c r="FP3670"/>
      <c r="FQ3670"/>
      <c r="FR3670"/>
      <c r="FS3670"/>
      <c r="FT3670"/>
      <c r="FU3670"/>
      <c r="FV3670"/>
      <c r="FW3670"/>
      <c r="FX3670"/>
      <c r="FY3670"/>
      <c r="FZ3670"/>
      <c r="GA3670"/>
      <c r="GB3670"/>
      <c r="GC3670"/>
      <c r="GD3670"/>
      <c r="GE3670"/>
      <c r="GF3670"/>
      <c r="GG3670"/>
      <c r="GH3670"/>
      <c r="GI3670"/>
      <c r="GJ3670"/>
      <c r="GK3670"/>
      <c r="GL3670"/>
      <c r="GM3670"/>
      <c r="GN3670"/>
      <c r="GO3670"/>
    </row>
    <row r="3671" spans="107:197">
      <c r="DC3671"/>
      <c r="FH3671"/>
      <c r="FI3671"/>
      <c r="FJ3671"/>
      <c r="FK3671"/>
      <c r="FL3671"/>
      <c r="FM3671"/>
      <c r="FN3671"/>
      <c r="FO3671"/>
      <c r="FP3671"/>
      <c r="FQ3671"/>
      <c r="FR3671"/>
      <c r="FS3671"/>
      <c r="FT3671"/>
      <c r="FU3671"/>
      <c r="FV3671"/>
      <c r="FW3671"/>
      <c r="FX3671"/>
      <c r="FY3671"/>
      <c r="FZ3671"/>
      <c r="GA3671"/>
      <c r="GB3671"/>
      <c r="GC3671"/>
      <c r="GD3671"/>
      <c r="GE3671"/>
      <c r="GF3671"/>
      <c r="GG3671"/>
      <c r="GH3671"/>
      <c r="GI3671"/>
      <c r="GJ3671"/>
      <c r="GK3671"/>
      <c r="GL3671"/>
      <c r="GM3671"/>
      <c r="GN3671"/>
      <c r="GO3671"/>
    </row>
    <row r="3672" spans="107:197">
      <c r="DC3672"/>
      <c r="FH3672"/>
      <c r="FI3672"/>
      <c r="FJ3672"/>
      <c r="FK3672"/>
      <c r="FL3672"/>
      <c r="FM3672"/>
      <c r="FN3672"/>
      <c r="FO3672"/>
      <c r="FP3672"/>
      <c r="FQ3672"/>
      <c r="FR3672"/>
      <c r="FS3672"/>
      <c r="FT3672"/>
      <c r="FU3672"/>
      <c r="FV3672"/>
      <c r="FW3672"/>
      <c r="FX3672"/>
      <c r="FY3672"/>
      <c r="FZ3672"/>
      <c r="GA3672"/>
      <c r="GB3672"/>
      <c r="GC3672"/>
      <c r="GD3672"/>
      <c r="GE3672"/>
      <c r="GF3672"/>
      <c r="GG3672"/>
      <c r="GH3672"/>
      <c r="GI3672"/>
      <c r="GJ3672"/>
      <c r="GK3672"/>
      <c r="GL3672"/>
      <c r="GM3672"/>
      <c r="GN3672"/>
      <c r="GO3672"/>
    </row>
    <row r="3673" spans="107:197">
      <c r="DC3673"/>
      <c r="FH3673"/>
      <c r="FI3673"/>
      <c r="FJ3673"/>
      <c r="FK3673"/>
      <c r="FL3673"/>
      <c r="FM3673"/>
      <c r="FN3673"/>
      <c r="FO3673"/>
      <c r="FP3673"/>
      <c r="FQ3673"/>
      <c r="FR3673"/>
      <c r="FS3673"/>
      <c r="FT3673"/>
      <c r="FU3673"/>
      <c r="FV3673"/>
      <c r="FW3673"/>
      <c r="FX3673"/>
      <c r="FY3673"/>
      <c r="FZ3673"/>
      <c r="GA3673"/>
      <c r="GB3673"/>
      <c r="GC3673"/>
      <c r="GD3673"/>
      <c r="GE3673"/>
      <c r="GF3673"/>
      <c r="GG3673"/>
      <c r="GH3673"/>
      <c r="GI3673"/>
      <c r="GJ3673"/>
      <c r="GK3673"/>
      <c r="GL3673"/>
      <c r="GM3673"/>
      <c r="GN3673"/>
      <c r="GO3673"/>
    </row>
    <row r="3674" spans="107:197">
      <c r="DC3674"/>
      <c r="FH3674"/>
      <c r="FI3674"/>
      <c r="FJ3674"/>
      <c r="FK3674"/>
      <c r="FL3674"/>
      <c r="FM3674"/>
      <c r="FN3674"/>
      <c r="FO3674"/>
      <c r="FP3674"/>
      <c r="FQ3674"/>
      <c r="FR3674"/>
      <c r="FS3674"/>
      <c r="FT3674"/>
      <c r="FU3674"/>
      <c r="FV3674"/>
      <c r="FW3674"/>
      <c r="FX3674"/>
      <c r="FY3674"/>
      <c r="FZ3674"/>
      <c r="GA3674"/>
      <c r="GB3674"/>
      <c r="GC3674"/>
      <c r="GD3674"/>
      <c r="GE3674"/>
      <c r="GF3674"/>
      <c r="GG3674"/>
      <c r="GH3674"/>
      <c r="GI3674"/>
      <c r="GJ3674"/>
      <c r="GK3674"/>
      <c r="GL3674"/>
      <c r="GM3674"/>
      <c r="GN3674"/>
      <c r="GO3674"/>
    </row>
    <row r="3675" spans="107:197">
      <c r="DC3675"/>
      <c r="FH3675"/>
      <c r="FI3675"/>
      <c r="FJ3675"/>
      <c r="FK3675"/>
      <c r="FL3675"/>
      <c r="FM3675"/>
      <c r="FN3675"/>
      <c r="FO3675"/>
      <c r="FP3675"/>
      <c r="FQ3675"/>
      <c r="FR3675"/>
      <c r="FS3675"/>
      <c r="FT3675"/>
      <c r="FU3675"/>
      <c r="FV3675"/>
      <c r="FW3675"/>
      <c r="FX3675"/>
      <c r="FY3675"/>
      <c r="FZ3675"/>
      <c r="GA3675"/>
      <c r="GB3675"/>
      <c r="GC3675"/>
      <c r="GD3675"/>
      <c r="GE3675"/>
      <c r="GF3675"/>
      <c r="GG3675"/>
      <c r="GH3675"/>
      <c r="GI3675"/>
      <c r="GJ3675"/>
      <c r="GK3675"/>
      <c r="GL3675"/>
      <c r="GM3675"/>
      <c r="GN3675"/>
      <c r="GO3675"/>
    </row>
    <row r="3676" spans="107:197">
      <c r="DC3676"/>
      <c r="FH3676"/>
      <c r="FI3676"/>
      <c r="FJ3676"/>
      <c r="FK3676"/>
      <c r="FL3676"/>
      <c r="FM3676"/>
      <c r="FN3676"/>
      <c r="FO3676"/>
      <c r="FP3676"/>
      <c r="FQ3676"/>
      <c r="FR3676"/>
      <c r="FS3676"/>
      <c r="FT3676"/>
      <c r="FU3676"/>
      <c r="FV3676"/>
      <c r="FW3676"/>
      <c r="FX3676"/>
      <c r="FY3676"/>
      <c r="FZ3676"/>
      <c r="GA3676"/>
      <c r="GB3676"/>
      <c r="GC3676"/>
      <c r="GD3676"/>
      <c r="GE3676"/>
      <c r="GF3676"/>
      <c r="GG3676"/>
      <c r="GH3676"/>
      <c r="GI3676"/>
      <c r="GJ3676"/>
      <c r="GK3676"/>
      <c r="GL3676"/>
      <c r="GM3676"/>
      <c r="GN3676"/>
      <c r="GO3676"/>
    </row>
    <row r="3677" spans="107:197">
      <c r="DC3677"/>
      <c r="FH3677"/>
      <c r="FI3677"/>
      <c r="FJ3677"/>
      <c r="FK3677"/>
      <c r="FL3677"/>
      <c r="FM3677"/>
      <c r="FN3677"/>
      <c r="FO3677"/>
      <c r="FP3677"/>
      <c r="FQ3677"/>
      <c r="FR3677"/>
      <c r="FS3677"/>
      <c r="FT3677"/>
      <c r="FU3677"/>
      <c r="FV3677"/>
      <c r="FW3677"/>
      <c r="FX3677"/>
      <c r="FY3677"/>
      <c r="FZ3677"/>
      <c r="GA3677"/>
      <c r="GB3677"/>
      <c r="GC3677"/>
      <c r="GD3677"/>
      <c r="GE3677"/>
      <c r="GF3677"/>
      <c r="GG3677"/>
      <c r="GH3677"/>
      <c r="GI3677"/>
      <c r="GJ3677"/>
      <c r="GK3677"/>
      <c r="GL3677"/>
      <c r="GM3677"/>
      <c r="GN3677"/>
      <c r="GO3677"/>
    </row>
    <row r="3678" spans="107:197">
      <c r="DC3678"/>
      <c r="FH3678"/>
      <c r="FI3678"/>
      <c r="FJ3678"/>
      <c r="FK3678"/>
      <c r="FL3678"/>
      <c r="FM3678"/>
      <c r="FN3678"/>
      <c r="FO3678"/>
      <c r="FP3678"/>
      <c r="FQ3678"/>
      <c r="FR3678"/>
      <c r="FS3678"/>
      <c r="FT3678"/>
      <c r="FU3678"/>
      <c r="FV3678"/>
      <c r="FW3678"/>
      <c r="FX3678"/>
      <c r="FY3678"/>
      <c r="FZ3678"/>
      <c r="GA3678"/>
      <c r="GB3678"/>
      <c r="GC3678"/>
      <c r="GD3678"/>
      <c r="GE3678"/>
      <c r="GF3678"/>
      <c r="GG3678"/>
      <c r="GH3678"/>
      <c r="GI3678"/>
      <c r="GJ3678"/>
      <c r="GK3678"/>
      <c r="GL3678"/>
      <c r="GM3678"/>
      <c r="GN3678"/>
      <c r="GO3678"/>
    </row>
    <row r="3679" spans="107:197">
      <c r="DC3679"/>
      <c r="FH3679"/>
      <c r="FI3679"/>
      <c r="FJ3679"/>
      <c r="FK3679"/>
      <c r="FL3679"/>
      <c r="FM3679"/>
      <c r="FN3679"/>
      <c r="FO3679"/>
      <c r="FP3679"/>
      <c r="FQ3679"/>
      <c r="FR3679"/>
      <c r="FS3679"/>
      <c r="FT3679"/>
      <c r="FU3679"/>
      <c r="FV3679"/>
      <c r="FW3679"/>
      <c r="FX3679"/>
      <c r="FY3679"/>
      <c r="FZ3679"/>
      <c r="GA3679"/>
      <c r="GB3679"/>
      <c r="GC3679"/>
      <c r="GD3679"/>
      <c r="GE3679"/>
      <c r="GF3679"/>
      <c r="GG3679"/>
      <c r="GH3679"/>
      <c r="GI3679"/>
      <c r="GJ3679"/>
      <c r="GK3679"/>
      <c r="GL3679"/>
      <c r="GM3679"/>
      <c r="GN3679"/>
      <c r="GO3679"/>
    </row>
    <row r="3680" spans="107:197">
      <c r="DC3680"/>
      <c r="FH3680"/>
      <c r="FI3680"/>
      <c r="FJ3680"/>
      <c r="FK3680"/>
      <c r="FL3680"/>
      <c r="FM3680"/>
      <c r="FN3680"/>
      <c r="FO3680"/>
      <c r="FP3680"/>
      <c r="FQ3680"/>
      <c r="FR3680"/>
      <c r="FS3680"/>
      <c r="FT3680"/>
      <c r="FU3680"/>
      <c r="FV3680"/>
      <c r="FW3680"/>
      <c r="FX3680"/>
      <c r="FY3680"/>
      <c r="FZ3680"/>
      <c r="GA3680"/>
      <c r="GB3680"/>
      <c r="GC3680"/>
      <c r="GD3680"/>
      <c r="GE3680"/>
      <c r="GF3680"/>
      <c r="GG3680"/>
      <c r="GH3680"/>
      <c r="GI3680"/>
      <c r="GJ3680"/>
      <c r="GK3680"/>
      <c r="GL3680"/>
      <c r="GM3680"/>
      <c r="GN3680"/>
      <c r="GO3680"/>
    </row>
    <row r="3681" spans="107:197">
      <c r="DC3681"/>
      <c r="FH3681"/>
      <c r="FI3681"/>
      <c r="FJ3681"/>
      <c r="FK3681"/>
      <c r="FL3681"/>
      <c r="FM3681"/>
      <c r="FN3681"/>
      <c r="FO3681"/>
      <c r="FP3681"/>
      <c r="FQ3681"/>
      <c r="FR3681"/>
      <c r="FS3681"/>
      <c r="FT3681"/>
      <c r="FU3681"/>
      <c r="FV3681"/>
      <c r="FW3681"/>
      <c r="FX3681"/>
      <c r="FY3681"/>
      <c r="FZ3681"/>
      <c r="GA3681"/>
      <c r="GB3681"/>
      <c r="GC3681"/>
      <c r="GD3681"/>
      <c r="GE3681"/>
      <c r="GF3681"/>
      <c r="GG3681"/>
      <c r="GH3681"/>
      <c r="GI3681"/>
      <c r="GJ3681"/>
      <c r="GK3681"/>
      <c r="GL3681"/>
      <c r="GM3681"/>
      <c r="GN3681"/>
      <c r="GO3681"/>
    </row>
    <row r="3682" spans="107:197">
      <c r="DC3682"/>
      <c r="FH3682"/>
      <c r="FI3682"/>
      <c r="FJ3682"/>
      <c r="FK3682"/>
      <c r="FL3682"/>
      <c r="FM3682"/>
      <c r="FN3682"/>
      <c r="FO3682"/>
      <c r="FP3682"/>
      <c r="FQ3682"/>
      <c r="FR3682"/>
      <c r="FS3682"/>
      <c r="FT3682"/>
      <c r="FU3682"/>
      <c r="FV3682"/>
      <c r="FW3682"/>
      <c r="FX3682"/>
      <c r="FY3682"/>
      <c r="FZ3682"/>
      <c r="GA3682"/>
      <c r="GB3682"/>
      <c r="GC3682"/>
      <c r="GD3682"/>
      <c r="GE3682"/>
      <c r="GF3682"/>
      <c r="GG3682"/>
      <c r="GH3682"/>
      <c r="GI3682"/>
      <c r="GJ3682"/>
      <c r="GK3682"/>
      <c r="GL3682"/>
      <c r="GM3682"/>
      <c r="GN3682"/>
      <c r="GO3682"/>
    </row>
    <row r="3683" spans="107:197">
      <c r="DC3683"/>
      <c r="FH3683"/>
      <c r="FI3683"/>
      <c r="FJ3683"/>
      <c r="FK3683"/>
      <c r="FL3683"/>
      <c r="FM3683"/>
      <c r="FN3683"/>
      <c r="FO3683"/>
      <c r="FP3683"/>
      <c r="FQ3683"/>
      <c r="FR3683"/>
      <c r="FS3683"/>
      <c r="FT3683"/>
      <c r="FU3683"/>
      <c r="FV3683"/>
      <c r="FW3683"/>
      <c r="FX3683"/>
      <c r="FY3683"/>
      <c r="FZ3683"/>
      <c r="GA3683"/>
      <c r="GB3683"/>
      <c r="GC3683"/>
      <c r="GD3683"/>
      <c r="GE3683"/>
      <c r="GF3683"/>
      <c r="GG3683"/>
      <c r="GH3683"/>
      <c r="GI3683"/>
      <c r="GJ3683"/>
      <c r="GK3683"/>
      <c r="GL3683"/>
      <c r="GM3683"/>
      <c r="GN3683"/>
      <c r="GO3683"/>
    </row>
    <row r="3684" spans="107:197">
      <c r="DC3684"/>
      <c r="FH3684"/>
      <c r="FI3684"/>
      <c r="FJ3684"/>
      <c r="FK3684"/>
      <c r="FL3684"/>
      <c r="FM3684"/>
      <c r="FN3684"/>
      <c r="FO3684"/>
      <c r="FP3684"/>
      <c r="FQ3684"/>
      <c r="FR3684"/>
      <c r="FS3684"/>
      <c r="FT3684"/>
      <c r="FU3684"/>
      <c r="FV3684"/>
      <c r="FW3684"/>
      <c r="FX3684"/>
      <c r="FY3684"/>
      <c r="FZ3684"/>
      <c r="GA3684"/>
      <c r="GB3684"/>
      <c r="GC3684"/>
      <c r="GD3684"/>
      <c r="GE3684"/>
      <c r="GF3684"/>
      <c r="GG3684"/>
      <c r="GH3684"/>
      <c r="GI3684"/>
      <c r="GJ3684"/>
      <c r="GK3684"/>
      <c r="GL3684"/>
      <c r="GM3684"/>
      <c r="GN3684"/>
      <c r="GO3684"/>
    </row>
    <row r="3685" spans="107:197">
      <c r="DC3685"/>
      <c r="FH3685"/>
      <c r="FI3685"/>
      <c r="FJ3685"/>
      <c r="FK3685"/>
      <c r="FL3685"/>
      <c r="FM3685"/>
      <c r="FN3685"/>
      <c r="FO3685"/>
      <c r="FP3685"/>
      <c r="FQ3685"/>
      <c r="FR3685"/>
      <c r="FS3685"/>
      <c r="FT3685"/>
      <c r="FU3685"/>
      <c r="FV3685"/>
      <c r="FW3685"/>
      <c r="FX3685"/>
      <c r="FY3685"/>
      <c r="FZ3685"/>
      <c r="GA3685"/>
      <c r="GB3685"/>
      <c r="GC3685"/>
      <c r="GD3685"/>
      <c r="GE3685"/>
      <c r="GF3685"/>
      <c r="GG3685"/>
      <c r="GH3685"/>
      <c r="GI3685"/>
      <c r="GJ3685"/>
      <c r="GK3685"/>
      <c r="GL3685"/>
      <c r="GM3685"/>
      <c r="GN3685"/>
      <c r="GO3685"/>
    </row>
    <row r="3686" spans="107:197">
      <c r="DC3686"/>
      <c r="FH3686"/>
      <c r="FI3686"/>
      <c r="FJ3686"/>
      <c r="FK3686"/>
      <c r="FL3686"/>
      <c r="FM3686"/>
      <c r="FN3686"/>
      <c r="FO3686"/>
      <c r="FP3686"/>
      <c r="FQ3686"/>
      <c r="FR3686"/>
      <c r="FS3686"/>
      <c r="FT3686"/>
      <c r="FU3686"/>
      <c r="FV3686"/>
      <c r="FW3686"/>
      <c r="FX3686"/>
      <c r="FY3686"/>
      <c r="FZ3686"/>
      <c r="GA3686"/>
      <c r="GB3686"/>
      <c r="GC3686"/>
      <c r="GD3686"/>
      <c r="GE3686"/>
      <c r="GF3686"/>
      <c r="GG3686"/>
      <c r="GH3686"/>
      <c r="GI3686"/>
      <c r="GJ3686"/>
      <c r="GK3686"/>
      <c r="GL3686"/>
      <c r="GM3686"/>
      <c r="GN3686"/>
      <c r="GO3686"/>
    </row>
    <row r="3687" spans="107:197">
      <c r="DC3687"/>
      <c r="FH3687"/>
      <c r="FI3687"/>
      <c r="FJ3687"/>
      <c r="FK3687"/>
      <c r="FL3687"/>
      <c r="FM3687"/>
      <c r="FN3687"/>
      <c r="FO3687"/>
      <c r="FP3687"/>
      <c r="FQ3687"/>
      <c r="FR3687"/>
      <c r="FS3687"/>
      <c r="FT3687"/>
      <c r="FU3687"/>
      <c r="FV3687"/>
      <c r="FW3687"/>
      <c r="FX3687"/>
      <c r="FY3687"/>
      <c r="FZ3687"/>
      <c r="GA3687"/>
      <c r="GB3687"/>
      <c r="GC3687"/>
      <c r="GD3687"/>
      <c r="GE3687"/>
      <c r="GF3687"/>
      <c r="GG3687"/>
      <c r="GH3687"/>
      <c r="GI3687"/>
      <c r="GJ3687"/>
      <c r="GK3687"/>
      <c r="GL3687"/>
      <c r="GM3687"/>
      <c r="GN3687"/>
      <c r="GO3687"/>
    </row>
    <row r="3688" spans="107:197">
      <c r="DC3688"/>
      <c r="FH3688"/>
      <c r="FI3688"/>
      <c r="FJ3688"/>
      <c r="FK3688"/>
      <c r="FL3688"/>
      <c r="FM3688"/>
      <c r="FN3688"/>
      <c r="FO3688"/>
      <c r="FP3688"/>
      <c r="FQ3688"/>
      <c r="FR3688"/>
      <c r="FS3688"/>
      <c r="FT3688"/>
      <c r="FU3688"/>
      <c r="FV3688"/>
      <c r="FW3688"/>
      <c r="FX3688"/>
      <c r="FY3688"/>
      <c r="FZ3688"/>
      <c r="GA3688"/>
      <c r="GB3688"/>
      <c r="GC3688"/>
      <c r="GD3688"/>
      <c r="GE3688"/>
      <c r="GF3688"/>
      <c r="GG3688"/>
      <c r="GH3688"/>
      <c r="GI3688"/>
      <c r="GJ3688"/>
      <c r="GK3688"/>
      <c r="GL3688"/>
      <c r="GM3688"/>
      <c r="GN3688"/>
      <c r="GO3688"/>
    </row>
    <row r="3689" spans="107:197">
      <c r="DC3689"/>
      <c r="FH3689"/>
      <c r="FI3689"/>
      <c r="FJ3689"/>
      <c r="FK3689"/>
      <c r="FL3689"/>
      <c r="FM3689"/>
      <c r="FN3689"/>
      <c r="FO3689"/>
      <c r="FP3689"/>
      <c r="FQ3689"/>
      <c r="FR3689"/>
      <c r="FS3689"/>
      <c r="FT3689"/>
      <c r="FU3689"/>
      <c r="FV3689"/>
      <c r="FW3689"/>
      <c r="FX3689"/>
      <c r="FY3689"/>
      <c r="FZ3689"/>
      <c r="GA3689"/>
      <c r="GB3689"/>
      <c r="GC3689"/>
      <c r="GD3689"/>
      <c r="GE3689"/>
      <c r="GF3689"/>
      <c r="GG3689"/>
      <c r="GH3689"/>
      <c r="GI3689"/>
      <c r="GJ3689"/>
      <c r="GK3689"/>
      <c r="GL3689"/>
      <c r="GM3689"/>
      <c r="GN3689"/>
      <c r="GO3689"/>
    </row>
    <row r="3690" spans="107:197">
      <c r="DC3690"/>
      <c r="FH3690"/>
      <c r="FI3690"/>
      <c r="FJ3690"/>
      <c r="FK3690"/>
      <c r="FL3690"/>
      <c r="FM3690"/>
      <c r="FN3690"/>
      <c r="FO3690"/>
      <c r="FP3690"/>
      <c r="FQ3690"/>
      <c r="FR3690"/>
      <c r="FS3690"/>
      <c r="FT3690"/>
      <c r="FU3690"/>
      <c r="FV3690"/>
      <c r="FW3690"/>
      <c r="FX3690"/>
      <c r="FY3690"/>
      <c r="FZ3690"/>
      <c r="GA3690"/>
      <c r="GB3690"/>
      <c r="GC3690"/>
      <c r="GD3690"/>
      <c r="GE3690"/>
      <c r="GF3690"/>
      <c r="GG3690"/>
      <c r="GH3690"/>
      <c r="GI3690"/>
      <c r="GJ3690"/>
      <c r="GK3690"/>
      <c r="GL3690"/>
      <c r="GM3690"/>
      <c r="GN3690"/>
      <c r="GO3690"/>
    </row>
    <row r="3691" spans="107:197">
      <c r="DC3691"/>
      <c r="FH3691"/>
      <c r="FI3691"/>
      <c r="FJ3691"/>
      <c r="FK3691"/>
      <c r="FL3691"/>
      <c r="FM3691"/>
      <c r="FN3691"/>
      <c r="FO3691"/>
      <c r="FP3691"/>
      <c r="FQ3691"/>
      <c r="FR3691"/>
      <c r="FS3691"/>
      <c r="FT3691"/>
      <c r="FU3691"/>
      <c r="FV3691"/>
      <c r="FW3691"/>
      <c r="FX3691"/>
      <c r="FY3691"/>
      <c r="FZ3691"/>
      <c r="GA3691"/>
      <c r="GB3691"/>
      <c r="GC3691"/>
      <c r="GD3691"/>
      <c r="GE3691"/>
      <c r="GF3691"/>
      <c r="GG3691"/>
      <c r="GH3691"/>
      <c r="GI3691"/>
      <c r="GJ3691"/>
      <c r="GK3691"/>
      <c r="GL3691"/>
      <c r="GM3691"/>
      <c r="GN3691"/>
      <c r="GO3691"/>
    </row>
    <row r="3692" spans="107:197">
      <c r="DC3692"/>
      <c r="FH3692"/>
      <c r="FI3692"/>
      <c r="FJ3692"/>
      <c r="FK3692"/>
      <c r="FL3692"/>
      <c r="FM3692"/>
      <c r="FN3692"/>
      <c r="FO3692"/>
      <c r="FP3692"/>
      <c r="FQ3692"/>
      <c r="FR3692"/>
      <c r="FS3692"/>
      <c r="FT3692"/>
      <c r="FU3692"/>
      <c r="FV3692"/>
      <c r="FW3692"/>
      <c r="FX3692"/>
      <c r="FY3692"/>
      <c r="FZ3692"/>
      <c r="GA3692"/>
      <c r="GB3692"/>
      <c r="GC3692"/>
      <c r="GD3692"/>
      <c r="GE3692"/>
      <c r="GF3692"/>
      <c r="GG3692"/>
      <c r="GH3692"/>
      <c r="GI3692"/>
      <c r="GJ3692"/>
      <c r="GK3692"/>
      <c r="GL3692"/>
      <c r="GM3692"/>
      <c r="GN3692"/>
      <c r="GO3692"/>
    </row>
    <row r="3693" spans="107:197">
      <c r="DC3693"/>
      <c r="FH3693"/>
      <c r="FI3693"/>
      <c r="FJ3693"/>
      <c r="FK3693"/>
      <c r="FL3693"/>
      <c r="FM3693"/>
      <c r="FN3693"/>
      <c r="FO3693"/>
      <c r="FP3693"/>
      <c r="FQ3693"/>
      <c r="FR3693"/>
      <c r="FS3693"/>
      <c r="FT3693"/>
      <c r="FU3693"/>
      <c r="FV3693"/>
      <c r="FW3693"/>
      <c r="FX3693"/>
      <c r="FY3693"/>
      <c r="FZ3693"/>
      <c r="GA3693"/>
      <c r="GB3693"/>
      <c r="GC3693"/>
      <c r="GD3693"/>
      <c r="GE3693"/>
      <c r="GF3693"/>
      <c r="GG3693"/>
      <c r="GH3693"/>
      <c r="GI3693"/>
      <c r="GJ3693"/>
      <c r="GK3693"/>
      <c r="GL3693"/>
      <c r="GM3693"/>
      <c r="GN3693"/>
      <c r="GO3693"/>
    </row>
    <row r="3694" spans="107:197">
      <c r="DC3694"/>
      <c r="FH3694"/>
      <c r="FI3694"/>
      <c r="FJ3694"/>
      <c r="FK3694"/>
      <c r="FL3694"/>
      <c r="FM3694"/>
      <c r="FN3694"/>
      <c r="FO3694"/>
      <c r="FP3694"/>
      <c r="FQ3694"/>
      <c r="FR3694"/>
      <c r="FS3694"/>
      <c r="FT3694"/>
      <c r="FU3694"/>
      <c r="FV3694"/>
      <c r="FW3694"/>
      <c r="FX3694"/>
      <c r="FY3694"/>
      <c r="FZ3694"/>
      <c r="GA3694"/>
      <c r="GB3694"/>
      <c r="GC3694"/>
      <c r="GD3694"/>
      <c r="GE3694"/>
      <c r="GF3694"/>
      <c r="GG3694"/>
      <c r="GH3694"/>
      <c r="GI3694"/>
      <c r="GJ3694"/>
      <c r="GK3694"/>
      <c r="GL3694"/>
      <c r="GM3694"/>
      <c r="GN3694"/>
      <c r="GO3694"/>
    </row>
    <row r="3695" spans="107:197">
      <c r="DC3695"/>
      <c r="FH3695"/>
      <c r="FI3695"/>
      <c r="FJ3695"/>
      <c r="FK3695"/>
      <c r="FL3695"/>
      <c r="FM3695"/>
      <c r="FN3695"/>
      <c r="FO3695"/>
      <c r="FP3695"/>
      <c r="FQ3695"/>
      <c r="FR3695"/>
      <c r="FS3695"/>
      <c r="FT3695"/>
      <c r="FU3695"/>
      <c r="FV3695"/>
      <c r="FW3695"/>
      <c r="FX3695"/>
      <c r="FY3695"/>
      <c r="FZ3695"/>
      <c r="GA3695"/>
      <c r="GB3695"/>
      <c r="GC3695"/>
      <c r="GD3695"/>
      <c r="GE3695"/>
      <c r="GF3695"/>
      <c r="GG3695"/>
      <c r="GH3695"/>
      <c r="GI3695"/>
      <c r="GJ3695"/>
      <c r="GK3695"/>
      <c r="GL3695"/>
      <c r="GM3695"/>
      <c r="GN3695"/>
      <c r="GO3695"/>
    </row>
    <row r="3696" spans="107:197">
      <c r="DC3696"/>
      <c r="FH3696"/>
      <c r="FI3696"/>
      <c r="FJ3696"/>
      <c r="FK3696"/>
      <c r="FL3696"/>
      <c r="FM3696"/>
      <c r="FN3696"/>
      <c r="FO3696"/>
      <c r="FP3696"/>
      <c r="FQ3696"/>
      <c r="FR3696"/>
      <c r="FS3696"/>
      <c r="FT3696"/>
      <c r="FU3696"/>
      <c r="FV3696"/>
      <c r="FW3696"/>
      <c r="FX3696"/>
      <c r="FY3696"/>
      <c r="FZ3696"/>
      <c r="GA3696"/>
      <c r="GB3696"/>
      <c r="GC3696"/>
      <c r="GD3696"/>
      <c r="GE3696"/>
      <c r="GF3696"/>
      <c r="GG3696"/>
      <c r="GH3696"/>
      <c r="GI3696"/>
      <c r="GJ3696"/>
      <c r="GK3696"/>
      <c r="GL3696"/>
      <c r="GM3696"/>
      <c r="GN3696"/>
      <c r="GO3696"/>
    </row>
    <row r="3697" spans="107:197">
      <c r="DC3697"/>
      <c r="FH3697"/>
      <c r="FI3697"/>
      <c r="FJ3697"/>
      <c r="FK3697"/>
      <c r="FL3697"/>
      <c r="FM3697"/>
      <c r="FN3697"/>
      <c r="FO3697"/>
      <c r="FP3697"/>
      <c r="FQ3697"/>
      <c r="FR3697"/>
      <c r="FS3697"/>
      <c r="FT3697"/>
      <c r="FU3697"/>
      <c r="FV3697"/>
      <c r="FW3697"/>
      <c r="FX3697"/>
      <c r="FY3697"/>
      <c r="FZ3697"/>
      <c r="GA3697"/>
      <c r="GB3697"/>
      <c r="GC3697"/>
      <c r="GD3697"/>
      <c r="GE3697"/>
      <c r="GF3697"/>
      <c r="GG3697"/>
      <c r="GH3697"/>
      <c r="GI3697"/>
      <c r="GJ3697"/>
      <c r="GK3697"/>
      <c r="GL3697"/>
      <c r="GM3697"/>
      <c r="GN3697"/>
      <c r="GO3697"/>
    </row>
    <row r="3698" spans="107:197">
      <c r="DC3698"/>
      <c r="FH3698"/>
      <c r="FI3698"/>
      <c r="FJ3698"/>
      <c r="FK3698"/>
      <c r="FL3698"/>
      <c r="FM3698"/>
      <c r="FN3698"/>
      <c r="FO3698"/>
      <c r="FP3698"/>
      <c r="FQ3698"/>
      <c r="FR3698"/>
      <c r="FS3698"/>
      <c r="FT3698"/>
      <c r="FU3698"/>
      <c r="FV3698"/>
      <c r="FW3698"/>
      <c r="FX3698"/>
      <c r="FY3698"/>
      <c r="FZ3698"/>
      <c r="GA3698"/>
      <c r="GB3698"/>
      <c r="GC3698"/>
      <c r="GD3698"/>
      <c r="GE3698"/>
      <c r="GF3698"/>
      <c r="GG3698"/>
      <c r="GH3698"/>
      <c r="GI3698"/>
      <c r="GJ3698"/>
      <c r="GK3698"/>
      <c r="GL3698"/>
      <c r="GM3698"/>
      <c r="GN3698"/>
      <c r="GO3698"/>
    </row>
    <row r="3699" spans="107:197">
      <c r="DC3699"/>
      <c r="FH3699"/>
      <c r="FI3699"/>
      <c r="FJ3699"/>
      <c r="FK3699"/>
      <c r="FL3699"/>
      <c r="FM3699"/>
      <c r="FN3699"/>
      <c r="FO3699"/>
      <c r="FP3699"/>
      <c r="FQ3699"/>
      <c r="FR3699"/>
      <c r="FS3699"/>
      <c r="FT3699"/>
      <c r="FU3699"/>
      <c r="FV3699"/>
      <c r="FW3699"/>
      <c r="FX3699"/>
      <c r="FY3699"/>
      <c r="FZ3699"/>
      <c r="GA3699"/>
      <c r="GB3699"/>
      <c r="GC3699"/>
      <c r="GD3699"/>
      <c r="GE3699"/>
      <c r="GF3699"/>
      <c r="GG3699"/>
      <c r="GH3699"/>
      <c r="GI3699"/>
      <c r="GJ3699"/>
      <c r="GK3699"/>
      <c r="GL3699"/>
      <c r="GM3699"/>
      <c r="GN3699"/>
      <c r="GO3699"/>
    </row>
    <row r="3700" spans="107:197">
      <c r="DC3700"/>
      <c r="FH3700"/>
      <c r="FI3700"/>
      <c r="FJ3700"/>
      <c r="FK3700"/>
      <c r="FL3700"/>
      <c r="FM3700"/>
      <c r="FN3700"/>
      <c r="FO3700"/>
      <c r="FP3700"/>
      <c r="FQ3700"/>
      <c r="FR3700"/>
      <c r="FS3700"/>
      <c r="FT3700"/>
      <c r="FU3700"/>
      <c r="FV3700"/>
      <c r="FW3700"/>
      <c r="FX3700"/>
      <c r="FY3700"/>
      <c r="FZ3700"/>
      <c r="GA3700"/>
      <c r="GB3700"/>
      <c r="GC3700"/>
      <c r="GD3700"/>
      <c r="GE3700"/>
      <c r="GF3700"/>
      <c r="GG3700"/>
      <c r="GH3700"/>
      <c r="GI3700"/>
      <c r="GJ3700"/>
      <c r="GK3700"/>
      <c r="GL3700"/>
      <c r="GM3700"/>
      <c r="GN3700"/>
      <c r="GO3700"/>
    </row>
    <row r="3701" spans="107:197">
      <c r="DC3701"/>
      <c r="FH3701"/>
      <c r="FI3701"/>
      <c r="FJ3701"/>
      <c r="FK3701"/>
      <c r="FL3701"/>
      <c r="FM3701"/>
      <c r="FN3701"/>
      <c r="FO3701"/>
      <c r="FP3701"/>
      <c r="FQ3701"/>
      <c r="FR3701"/>
      <c r="FS3701"/>
      <c r="FT3701"/>
      <c r="FU3701"/>
      <c r="FV3701"/>
      <c r="FW3701"/>
      <c r="FX3701"/>
      <c r="FY3701"/>
      <c r="FZ3701"/>
      <c r="GA3701"/>
      <c r="GB3701"/>
      <c r="GC3701"/>
      <c r="GD3701"/>
      <c r="GE3701"/>
      <c r="GF3701"/>
      <c r="GG3701"/>
      <c r="GH3701"/>
      <c r="GI3701"/>
      <c r="GJ3701"/>
      <c r="GK3701"/>
      <c r="GL3701"/>
      <c r="GM3701"/>
      <c r="GN3701"/>
      <c r="GO3701"/>
    </row>
    <row r="3702" spans="107:197">
      <c r="DC3702"/>
      <c r="FH3702"/>
      <c r="FI3702"/>
      <c r="FJ3702"/>
      <c r="FK3702"/>
      <c r="FL3702"/>
      <c r="FM3702"/>
      <c r="FN3702"/>
      <c r="FO3702"/>
      <c r="FP3702"/>
      <c r="FQ3702"/>
      <c r="FR3702"/>
      <c r="FS3702"/>
      <c r="FT3702"/>
      <c r="FU3702"/>
      <c r="FV3702"/>
      <c r="FW3702"/>
      <c r="FX3702"/>
      <c r="FY3702"/>
      <c r="FZ3702"/>
      <c r="GA3702"/>
      <c r="GB3702"/>
      <c r="GC3702"/>
      <c r="GD3702"/>
      <c r="GE3702"/>
      <c r="GF3702"/>
      <c r="GG3702"/>
      <c r="GH3702"/>
      <c r="GI3702"/>
      <c r="GJ3702"/>
      <c r="GK3702"/>
      <c r="GL3702"/>
      <c r="GM3702"/>
      <c r="GN3702"/>
      <c r="GO3702"/>
    </row>
    <row r="3703" spans="107:197">
      <c r="DC3703"/>
      <c r="FH3703"/>
      <c r="FI3703"/>
      <c r="FJ3703"/>
      <c r="FK3703"/>
      <c r="FL3703"/>
      <c r="FM3703"/>
      <c r="FN3703"/>
      <c r="FO3703"/>
      <c r="FP3703"/>
      <c r="FQ3703"/>
      <c r="FR3703"/>
      <c r="FS3703"/>
      <c r="FT3703"/>
      <c r="FU3703"/>
      <c r="FV3703"/>
      <c r="FW3703"/>
      <c r="FX3703"/>
      <c r="FY3703"/>
      <c r="FZ3703"/>
      <c r="GA3703"/>
      <c r="GB3703"/>
      <c r="GC3703"/>
      <c r="GD3703"/>
      <c r="GE3703"/>
      <c r="GF3703"/>
      <c r="GG3703"/>
      <c r="GH3703"/>
      <c r="GI3703"/>
      <c r="GJ3703"/>
      <c r="GK3703"/>
      <c r="GL3703"/>
      <c r="GM3703"/>
      <c r="GN3703"/>
      <c r="GO3703"/>
    </row>
    <row r="3704" spans="107:197">
      <c r="DC3704"/>
      <c r="FH3704"/>
      <c r="FI3704"/>
      <c r="FJ3704"/>
      <c r="FK3704"/>
      <c r="FL3704"/>
      <c r="FM3704"/>
      <c r="FN3704"/>
      <c r="FO3704"/>
      <c r="FP3704"/>
      <c r="FQ3704"/>
      <c r="FR3704"/>
      <c r="FS3704"/>
      <c r="FT3704"/>
      <c r="FU3704"/>
      <c r="FV3704"/>
      <c r="FW3704"/>
      <c r="FX3704"/>
      <c r="FY3704"/>
      <c r="FZ3704"/>
      <c r="GA3704"/>
      <c r="GB3704"/>
      <c r="GC3704"/>
      <c r="GD3704"/>
      <c r="GE3704"/>
      <c r="GF3704"/>
      <c r="GG3704"/>
      <c r="GH3704"/>
      <c r="GI3704"/>
      <c r="GJ3704"/>
      <c r="GK3704"/>
      <c r="GL3704"/>
      <c r="GM3704"/>
      <c r="GN3704"/>
      <c r="GO3704"/>
    </row>
    <row r="3705" spans="107:197">
      <c r="DC3705"/>
      <c r="FH3705"/>
      <c r="FI3705"/>
      <c r="FJ3705"/>
      <c r="FK3705"/>
      <c r="FL3705"/>
      <c r="FM3705"/>
      <c r="FN3705"/>
      <c r="FO3705"/>
      <c r="FP3705"/>
      <c r="FQ3705"/>
      <c r="FR3705"/>
      <c r="FS3705"/>
      <c r="FT3705"/>
      <c r="FU3705"/>
      <c r="FV3705"/>
      <c r="FW3705"/>
      <c r="FX3705"/>
      <c r="FY3705"/>
      <c r="FZ3705"/>
      <c r="GA3705"/>
      <c r="GB3705"/>
      <c r="GC3705"/>
      <c r="GD3705"/>
      <c r="GE3705"/>
      <c r="GF3705"/>
      <c r="GG3705"/>
      <c r="GH3705"/>
      <c r="GI3705"/>
      <c r="GJ3705"/>
      <c r="GK3705"/>
      <c r="GL3705"/>
      <c r="GM3705"/>
      <c r="GN3705"/>
      <c r="GO3705"/>
    </row>
    <row r="3706" spans="107:197">
      <c r="DC3706"/>
      <c r="FH3706"/>
      <c r="FI3706"/>
      <c r="FJ3706"/>
      <c r="FK3706"/>
      <c r="FL3706"/>
      <c r="FM3706"/>
      <c r="FN3706"/>
      <c r="FO3706"/>
      <c r="FP3706"/>
      <c r="FQ3706"/>
      <c r="FR3706"/>
      <c r="FS3706"/>
      <c r="FT3706"/>
      <c r="FU3706"/>
      <c r="FV3706"/>
      <c r="FW3706"/>
      <c r="FX3706"/>
      <c r="FY3706"/>
      <c r="FZ3706"/>
      <c r="GA3706"/>
      <c r="GB3706"/>
      <c r="GC3706"/>
      <c r="GD3706"/>
      <c r="GE3706"/>
      <c r="GF3706"/>
      <c r="GG3706"/>
      <c r="GH3706"/>
      <c r="GI3706"/>
      <c r="GJ3706"/>
      <c r="GK3706"/>
      <c r="GL3706"/>
      <c r="GM3706"/>
      <c r="GN3706"/>
      <c r="GO3706"/>
    </row>
    <row r="3707" spans="107:197">
      <c r="DC3707"/>
      <c r="FH3707"/>
      <c r="FI3707"/>
      <c r="FJ3707"/>
      <c r="FK3707"/>
      <c r="FL3707"/>
      <c r="FM3707"/>
      <c r="FN3707"/>
      <c r="FO3707"/>
      <c r="FP3707"/>
      <c r="FQ3707"/>
      <c r="FR3707"/>
      <c r="FS3707"/>
      <c r="FT3707"/>
      <c r="FU3707"/>
      <c r="FV3707"/>
      <c r="FW3707"/>
      <c r="FX3707"/>
      <c r="FY3707"/>
      <c r="FZ3707"/>
      <c r="GA3707"/>
      <c r="GB3707"/>
      <c r="GC3707"/>
      <c r="GD3707"/>
      <c r="GE3707"/>
      <c r="GF3707"/>
      <c r="GG3707"/>
      <c r="GH3707"/>
      <c r="GI3707"/>
      <c r="GJ3707"/>
      <c r="GK3707"/>
      <c r="GL3707"/>
      <c r="GM3707"/>
      <c r="GN3707"/>
      <c r="GO3707"/>
    </row>
    <row r="3708" spans="107:197">
      <c r="DC3708"/>
      <c r="FH3708"/>
      <c r="FI3708"/>
      <c r="FJ3708"/>
      <c r="FK3708"/>
      <c r="FL3708"/>
      <c r="FM3708"/>
      <c r="FN3708"/>
      <c r="FO3708"/>
      <c r="FP3708"/>
      <c r="FQ3708"/>
      <c r="FR3708"/>
      <c r="FS3708"/>
      <c r="FT3708"/>
      <c r="FU3708"/>
      <c r="FV3708"/>
      <c r="FW3708"/>
      <c r="FX3708"/>
      <c r="FY3708"/>
      <c r="FZ3708"/>
      <c r="GA3708"/>
      <c r="GB3708"/>
      <c r="GC3708"/>
      <c r="GD3708"/>
      <c r="GE3708"/>
      <c r="GF3708"/>
      <c r="GG3708"/>
      <c r="GH3708"/>
      <c r="GI3708"/>
      <c r="GJ3708"/>
      <c r="GK3708"/>
      <c r="GL3708"/>
      <c r="GM3708"/>
      <c r="GN3708"/>
      <c r="GO3708"/>
    </row>
    <row r="3709" spans="107:197">
      <c r="DC3709"/>
      <c r="FH3709"/>
      <c r="FI3709"/>
      <c r="FJ3709"/>
      <c r="FK3709"/>
      <c r="FL3709"/>
      <c r="FM3709"/>
      <c r="FN3709"/>
      <c r="FO3709"/>
      <c r="FP3709"/>
      <c r="FQ3709"/>
      <c r="FR3709"/>
      <c r="FS3709"/>
      <c r="FT3709"/>
      <c r="FU3709"/>
      <c r="FV3709"/>
      <c r="FW3709"/>
      <c r="FX3709"/>
      <c r="FY3709"/>
      <c r="FZ3709"/>
      <c r="GA3709"/>
      <c r="GB3709"/>
      <c r="GC3709"/>
      <c r="GD3709"/>
      <c r="GE3709"/>
      <c r="GF3709"/>
      <c r="GG3709"/>
      <c r="GH3709"/>
      <c r="GI3709"/>
      <c r="GJ3709"/>
      <c r="GK3709"/>
      <c r="GL3709"/>
      <c r="GM3709"/>
      <c r="GN3709"/>
      <c r="GO3709"/>
    </row>
    <row r="3710" spans="107:197">
      <c r="DC3710"/>
      <c r="FH3710"/>
      <c r="FI3710"/>
      <c r="FJ3710"/>
      <c r="FK3710"/>
      <c r="FL3710"/>
      <c r="FM3710"/>
      <c r="FN3710"/>
      <c r="FO3710"/>
      <c r="FP3710"/>
      <c r="FQ3710"/>
      <c r="FR3710"/>
      <c r="FS3710"/>
      <c r="FT3710"/>
      <c r="FU3710"/>
      <c r="FV3710"/>
      <c r="FW3710"/>
      <c r="FX3710"/>
      <c r="FY3710"/>
      <c r="FZ3710"/>
      <c r="GA3710"/>
      <c r="GB3710"/>
      <c r="GC3710"/>
      <c r="GD3710"/>
      <c r="GE3710"/>
      <c r="GF3710"/>
      <c r="GG3710"/>
      <c r="GH3710"/>
      <c r="GI3710"/>
      <c r="GJ3710"/>
      <c r="GK3710"/>
      <c r="GL3710"/>
      <c r="GM3710"/>
      <c r="GN3710"/>
      <c r="GO3710"/>
    </row>
    <row r="3711" spans="107:197">
      <c r="DC3711"/>
      <c r="FH3711"/>
      <c r="FI3711"/>
      <c r="FJ3711"/>
      <c r="FK3711"/>
      <c r="FL3711"/>
      <c r="FM3711"/>
      <c r="FN3711"/>
      <c r="FO3711"/>
      <c r="FP3711"/>
      <c r="FQ3711"/>
      <c r="FR3711"/>
      <c r="FS3711"/>
      <c r="FT3711"/>
      <c r="FU3711"/>
      <c r="FV3711"/>
      <c r="FW3711"/>
      <c r="FX3711"/>
      <c r="FY3711"/>
      <c r="FZ3711"/>
      <c r="GA3711"/>
      <c r="GB3711"/>
      <c r="GC3711"/>
      <c r="GD3711"/>
      <c r="GE3711"/>
      <c r="GF3711"/>
      <c r="GG3711"/>
      <c r="GH3711"/>
      <c r="GI3711"/>
      <c r="GJ3711"/>
      <c r="GK3711"/>
      <c r="GL3711"/>
      <c r="GM3711"/>
      <c r="GN3711"/>
      <c r="GO3711"/>
    </row>
    <row r="3712" spans="107:197">
      <c r="DC3712"/>
      <c r="FH3712"/>
      <c r="FI3712"/>
      <c r="FJ3712"/>
      <c r="FK3712"/>
      <c r="FL3712"/>
      <c r="FM3712"/>
      <c r="FN3712"/>
      <c r="FO3712"/>
      <c r="FP3712"/>
      <c r="FQ3712"/>
      <c r="FR3712"/>
      <c r="FS3712"/>
      <c r="FT3712"/>
      <c r="FU3712"/>
      <c r="FV3712"/>
      <c r="FW3712"/>
      <c r="FX3712"/>
      <c r="FY3712"/>
      <c r="FZ3712"/>
      <c r="GA3712"/>
      <c r="GB3712"/>
      <c r="GC3712"/>
      <c r="GD3712"/>
      <c r="GE3712"/>
      <c r="GF3712"/>
      <c r="GG3712"/>
      <c r="GH3712"/>
      <c r="GI3712"/>
      <c r="GJ3712"/>
      <c r="GK3712"/>
      <c r="GL3712"/>
      <c r="GM3712"/>
      <c r="GN3712"/>
      <c r="GO3712"/>
    </row>
    <row r="3713" spans="107:197">
      <c r="DC3713"/>
      <c r="FH3713"/>
      <c r="FI3713"/>
      <c r="FJ3713"/>
      <c r="FK3713"/>
      <c r="FL3713"/>
      <c r="FM3713"/>
      <c r="FN3713"/>
      <c r="FO3713"/>
      <c r="FP3713"/>
      <c r="FQ3713"/>
      <c r="FR3713"/>
      <c r="FS3713"/>
      <c r="FT3713"/>
      <c r="FU3713"/>
      <c r="FV3713"/>
      <c r="FW3713"/>
      <c r="FX3713"/>
      <c r="FY3713"/>
      <c r="FZ3713"/>
      <c r="GA3713"/>
      <c r="GB3713"/>
      <c r="GC3713"/>
      <c r="GD3713"/>
      <c r="GE3713"/>
      <c r="GF3713"/>
      <c r="GG3713"/>
      <c r="GH3713"/>
      <c r="GI3713"/>
      <c r="GJ3713"/>
      <c r="GK3713"/>
      <c r="GL3713"/>
      <c r="GM3713"/>
      <c r="GN3713"/>
      <c r="GO3713"/>
    </row>
    <row r="3714" spans="107:197">
      <c r="DC3714"/>
      <c r="FH3714"/>
      <c r="FI3714"/>
      <c r="FJ3714"/>
      <c r="FK3714"/>
      <c r="FL3714"/>
      <c r="FM3714"/>
      <c r="FN3714"/>
      <c r="FO3714"/>
      <c r="FP3714"/>
      <c r="FQ3714"/>
      <c r="FR3714"/>
      <c r="FS3714"/>
      <c r="FT3714"/>
      <c r="FU3714"/>
      <c r="FV3714"/>
      <c r="FW3714"/>
      <c r="FX3714"/>
      <c r="FY3714"/>
      <c r="FZ3714"/>
      <c r="GA3714"/>
      <c r="GB3714"/>
      <c r="GC3714"/>
      <c r="GD3714"/>
      <c r="GE3714"/>
      <c r="GF3714"/>
      <c r="GG3714"/>
      <c r="GH3714"/>
      <c r="GI3714"/>
      <c r="GJ3714"/>
      <c r="GK3714"/>
      <c r="GL3714"/>
      <c r="GM3714"/>
      <c r="GN3714"/>
      <c r="GO3714"/>
    </row>
    <row r="3715" spans="107:197">
      <c r="DC3715"/>
      <c r="FH3715"/>
      <c r="FI3715"/>
      <c r="FJ3715"/>
      <c r="FK3715"/>
      <c r="FL3715"/>
      <c r="FM3715"/>
      <c r="FN3715"/>
      <c r="FO3715"/>
      <c r="FP3715"/>
      <c r="FQ3715"/>
      <c r="FR3715"/>
      <c r="FS3715"/>
      <c r="FT3715"/>
      <c r="FU3715"/>
      <c r="FV3715"/>
      <c r="FW3715"/>
      <c r="FX3715"/>
      <c r="FY3715"/>
      <c r="FZ3715"/>
      <c r="GA3715"/>
      <c r="GB3715"/>
      <c r="GC3715"/>
      <c r="GD3715"/>
      <c r="GE3715"/>
      <c r="GF3715"/>
      <c r="GG3715"/>
      <c r="GH3715"/>
      <c r="GI3715"/>
      <c r="GJ3715"/>
      <c r="GK3715"/>
      <c r="GL3715"/>
      <c r="GM3715"/>
      <c r="GN3715"/>
      <c r="GO3715"/>
    </row>
    <row r="3716" spans="107:197">
      <c r="DC3716"/>
      <c r="FH3716"/>
      <c r="FI3716"/>
      <c r="FJ3716"/>
      <c r="FK3716"/>
      <c r="FL3716"/>
      <c r="FM3716"/>
      <c r="FN3716"/>
      <c r="FO3716"/>
      <c r="FP3716"/>
      <c r="FQ3716"/>
      <c r="FR3716"/>
      <c r="FS3716"/>
      <c r="FT3716"/>
      <c r="FU3716"/>
      <c r="FV3716"/>
      <c r="FW3716"/>
      <c r="FX3716"/>
      <c r="FY3716"/>
      <c r="FZ3716"/>
      <c r="GA3716"/>
      <c r="GB3716"/>
      <c r="GC3716"/>
      <c r="GD3716"/>
      <c r="GE3716"/>
      <c r="GF3716"/>
      <c r="GG3716"/>
      <c r="GH3716"/>
      <c r="GI3716"/>
      <c r="GJ3716"/>
      <c r="GK3716"/>
      <c r="GL3716"/>
      <c r="GM3716"/>
      <c r="GN3716"/>
      <c r="GO3716"/>
    </row>
    <row r="3717" spans="107:197">
      <c r="DC3717"/>
      <c r="FH3717"/>
      <c r="FI3717"/>
      <c r="FJ3717"/>
      <c r="FK3717"/>
      <c r="FL3717"/>
      <c r="FM3717"/>
      <c r="FN3717"/>
      <c r="FO3717"/>
      <c r="FP3717"/>
      <c r="FQ3717"/>
      <c r="FR3717"/>
      <c r="FS3717"/>
      <c r="FT3717"/>
      <c r="FU3717"/>
      <c r="FV3717"/>
      <c r="FW3717"/>
      <c r="FX3717"/>
      <c r="FY3717"/>
      <c r="FZ3717"/>
      <c r="GA3717"/>
      <c r="GB3717"/>
      <c r="GC3717"/>
      <c r="GD3717"/>
      <c r="GE3717"/>
      <c r="GF3717"/>
      <c r="GG3717"/>
      <c r="GH3717"/>
      <c r="GI3717"/>
      <c r="GJ3717"/>
      <c r="GK3717"/>
      <c r="GL3717"/>
      <c r="GM3717"/>
      <c r="GN3717"/>
      <c r="GO3717"/>
    </row>
    <row r="3718" spans="107:197">
      <c r="DC3718"/>
      <c r="FH3718"/>
      <c r="FI3718"/>
      <c r="FJ3718"/>
      <c r="FK3718"/>
      <c r="FL3718"/>
      <c r="FM3718"/>
      <c r="FN3718"/>
      <c r="FO3718"/>
      <c r="FP3718"/>
      <c r="FQ3718"/>
      <c r="FR3718"/>
      <c r="FS3718"/>
      <c r="FT3718"/>
      <c r="FU3718"/>
      <c r="FV3718"/>
      <c r="FW3718"/>
      <c r="FX3718"/>
      <c r="FY3718"/>
      <c r="FZ3718"/>
      <c r="GA3718"/>
      <c r="GB3718"/>
      <c r="GC3718"/>
      <c r="GD3718"/>
      <c r="GE3718"/>
      <c r="GF3718"/>
      <c r="GG3718"/>
      <c r="GH3718"/>
      <c r="GI3718"/>
      <c r="GJ3718"/>
      <c r="GK3718"/>
      <c r="GL3718"/>
      <c r="GM3718"/>
      <c r="GN3718"/>
      <c r="GO3718"/>
    </row>
    <row r="3719" spans="107:197">
      <c r="DC3719"/>
      <c r="FH3719"/>
      <c r="FI3719"/>
      <c r="FJ3719"/>
      <c r="FK3719"/>
      <c r="FL3719"/>
      <c r="FM3719"/>
      <c r="FN3719"/>
      <c r="FO3719"/>
      <c r="FP3719"/>
      <c r="FQ3719"/>
      <c r="FR3719"/>
      <c r="FS3719"/>
      <c r="FT3719"/>
      <c r="FU3719"/>
      <c r="FV3719"/>
      <c r="FW3719"/>
      <c r="FX3719"/>
      <c r="FY3719"/>
      <c r="FZ3719"/>
      <c r="GA3719"/>
      <c r="GB3719"/>
      <c r="GC3719"/>
      <c r="GD3719"/>
      <c r="GE3719"/>
      <c r="GF3719"/>
      <c r="GG3719"/>
      <c r="GH3719"/>
      <c r="GI3719"/>
      <c r="GJ3719"/>
      <c r="GK3719"/>
      <c r="GL3719"/>
      <c r="GM3719"/>
      <c r="GN3719"/>
      <c r="GO3719"/>
    </row>
    <row r="3720" spans="107:197">
      <c r="DC3720"/>
      <c r="FH3720"/>
      <c r="FI3720"/>
      <c r="FJ3720"/>
      <c r="FK3720"/>
      <c r="FL3720"/>
      <c r="FM3720"/>
      <c r="FN3720"/>
      <c r="FO3720"/>
      <c r="FP3720"/>
      <c r="FQ3720"/>
      <c r="FR3720"/>
      <c r="FS3720"/>
      <c r="FT3720"/>
      <c r="FU3720"/>
      <c r="FV3720"/>
      <c r="FW3720"/>
      <c r="FX3720"/>
      <c r="FY3720"/>
      <c r="FZ3720"/>
      <c r="GA3720"/>
      <c r="GB3720"/>
      <c r="GC3720"/>
      <c r="GD3720"/>
      <c r="GE3720"/>
      <c r="GF3720"/>
      <c r="GG3720"/>
      <c r="GH3720"/>
      <c r="GI3720"/>
      <c r="GJ3720"/>
      <c r="GK3720"/>
      <c r="GL3720"/>
      <c r="GM3720"/>
      <c r="GN3720"/>
      <c r="GO3720"/>
    </row>
    <row r="3721" spans="107:197">
      <c r="DC3721"/>
      <c r="FH3721"/>
      <c r="FI3721"/>
      <c r="FJ3721"/>
      <c r="FK3721"/>
      <c r="FL3721"/>
      <c r="FM3721"/>
      <c r="FN3721"/>
      <c r="FO3721"/>
      <c r="FP3721"/>
      <c r="FQ3721"/>
      <c r="FR3721"/>
      <c r="FS3721"/>
      <c r="FT3721"/>
      <c r="FU3721"/>
      <c r="FV3721"/>
      <c r="FW3721"/>
      <c r="FX3721"/>
      <c r="FY3721"/>
      <c r="FZ3721"/>
      <c r="GA3721"/>
      <c r="GB3721"/>
      <c r="GC3721"/>
      <c r="GD3721"/>
      <c r="GE3721"/>
      <c r="GF3721"/>
      <c r="GG3721"/>
      <c r="GH3721"/>
      <c r="GI3721"/>
      <c r="GJ3721"/>
      <c r="GK3721"/>
      <c r="GL3721"/>
      <c r="GM3721"/>
      <c r="GN3721"/>
      <c r="GO3721"/>
    </row>
    <row r="3722" spans="107:197">
      <c r="DC3722"/>
      <c r="FH3722"/>
      <c r="FI3722"/>
      <c r="FJ3722"/>
      <c r="FK3722"/>
      <c r="FL3722"/>
      <c r="FM3722"/>
      <c r="FN3722"/>
      <c r="FO3722"/>
      <c r="FP3722"/>
      <c r="FQ3722"/>
      <c r="FR3722"/>
      <c r="FS3722"/>
      <c r="FT3722"/>
      <c r="FU3722"/>
      <c r="FV3722"/>
      <c r="FW3722"/>
      <c r="FX3722"/>
      <c r="FY3722"/>
      <c r="FZ3722"/>
      <c r="GA3722"/>
      <c r="GB3722"/>
      <c r="GC3722"/>
      <c r="GD3722"/>
      <c r="GE3722"/>
      <c r="GF3722"/>
      <c r="GG3722"/>
      <c r="GH3722"/>
      <c r="GI3722"/>
      <c r="GJ3722"/>
      <c r="GK3722"/>
      <c r="GL3722"/>
      <c r="GM3722"/>
      <c r="GN3722"/>
      <c r="GO3722"/>
    </row>
    <row r="3723" spans="107:197">
      <c r="DC3723"/>
      <c r="FH3723"/>
      <c r="FI3723"/>
      <c r="FJ3723"/>
      <c r="FK3723"/>
      <c r="FL3723"/>
      <c r="FM3723"/>
      <c r="FN3723"/>
      <c r="FO3723"/>
      <c r="FP3723"/>
      <c r="FQ3723"/>
      <c r="FR3723"/>
      <c r="FS3723"/>
      <c r="FT3723"/>
      <c r="FU3723"/>
      <c r="FV3723"/>
      <c r="FW3723"/>
      <c r="FX3723"/>
      <c r="FY3723"/>
      <c r="FZ3723"/>
      <c r="GA3723"/>
      <c r="GB3723"/>
      <c r="GC3723"/>
      <c r="GD3723"/>
      <c r="GE3723"/>
      <c r="GF3723"/>
      <c r="GG3723"/>
      <c r="GH3723"/>
      <c r="GI3723"/>
      <c r="GJ3723"/>
      <c r="GK3723"/>
      <c r="GL3723"/>
      <c r="GM3723"/>
      <c r="GN3723"/>
      <c r="GO3723"/>
    </row>
    <row r="3724" spans="107:197">
      <c r="DC3724"/>
      <c r="FH3724"/>
      <c r="FI3724"/>
      <c r="FJ3724"/>
      <c r="FK3724"/>
      <c r="FL3724"/>
      <c r="FM3724"/>
      <c r="FN3724"/>
      <c r="FO3724"/>
      <c r="FP3724"/>
      <c r="FQ3724"/>
      <c r="FR3724"/>
      <c r="FS3724"/>
      <c r="FT3724"/>
      <c r="FU3724"/>
      <c r="FV3724"/>
      <c r="FW3724"/>
      <c r="FX3724"/>
      <c r="FY3724"/>
      <c r="FZ3724"/>
      <c r="GA3724"/>
      <c r="GB3724"/>
      <c r="GC3724"/>
      <c r="GD3724"/>
      <c r="GE3724"/>
      <c r="GF3724"/>
      <c r="GG3724"/>
      <c r="GH3724"/>
      <c r="GI3724"/>
      <c r="GJ3724"/>
      <c r="GK3724"/>
      <c r="GL3724"/>
      <c r="GM3724"/>
      <c r="GN3724"/>
      <c r="GO3724"/>
    </row>
    <row r="3725" spans="107:197">
      <c r="DC3725"/>
      <c r="FH3725"/>
      <c r="FI3725"/>
      <c r="FJ3725"/>
      <c r="FK3725"/>
      <c r="FL3725"/>
      <c r="FM3725"/>
      <c r="FN3725"/>
      <c r="FO3725"/>
      <c r="FP3725"/>
      <c r="FQ3725"/>
      <c r="FR3725"/>
      <c r="FS3725"/>
      <c r="FT3725"/>
      <c r="FU3725"/>
      <c r="FV3725"/>
      <c r="FW3725"/>
      <c r="FX3725"/>
      <c r="FY3725"/>
      <c r="FZ3725"/>
      <c r="GA3725"/>
      <c r="GB3725"/>
      <c r="GC3725"/>
      <c r="GD3725"/>
      <c r="GE3725"/>
      <c r="GF3725"/>
      <c r="GG3725"/>
      <c r="GH3725"/>
      <c r="GI3725"/>
      <c r="GJ3725"/>
      <c r="GK3725"/>
      <c r="GL3725"/>
      <c r="GM3725"/>
      <c r="GN3725"/>
      <c r="GO3725"/>
    </row>
    <row r="3726" spans="107:197">
      <c r="DC3726"/>
      <c r="FH3726"/>
      <c r="FI3726"/>
      <c r="FJ3726"/>
      <c r="FK3726"/>
      <c r="FL3726"/>
      <c r="FM3726"/>
      <c r="FN3726"/>
      <c r="FO3726"/>
      <c r="FP3726"/>
      <c r="FQ3726"/>
      <c r="FR3726"/>
      <c r="FS3726"/>
      <c r="FT3726"/>
      <c r="FU3726"/>
      <c r="FV3726"/>
      <c r="FW3726"/>
      <c r="FX3726"/>
      <c r="FY3726"/>
      <c r="FZ3726"/>
      <c r="GA3726"/>
      <c r="GB3726"/>
      <c r="GC3726"/>
      <c r="GD3726"/>
      <c r="GE3726"/>
      <c r="GF3726"/>
      <c r="GG3726"/>
      <c r="GH3726"/>
      <c r="GI3726"/>
      <c r="GJ3726"/>
      <c r="GK3726"/>
      <c r="GL3726"/>
      <c r="GM3726"/>
      <c r="GN3726"/>
      <c r="GO3726"/>
    </row>
    <row r="3727" spans="107:197">
      <c r="DC3727"/>
      <c r="FH3727"/>
      <c r="FI3727"/>
      <c r="FJ3727"/>
      <c r="FK3727"/>
      <c r="FL3727"/>
      <c r="FM3727"/>
      <c r="FN3727"/>
      <c r="FO3727"/>
      <c r="FP3727"/>
      <c r="FQ3727"/>
      <c r="FR3727"/>
      <c r="FS3727"/>
      <c r="FT3727"/>
      <c r="FU3727"/>
      <c r="FV3727"/>
      <c r="FW3727"/>
      <c r="FX3727"/>
      <c r="FY3727"/>
      <c r="FZ3727"/>
      <c r="GA3727"/>
      <c r="GB3727"/>
      <c r="GC3727"/>
      <c r="GD3727"/>
      <c r="GE3727"/>
      <c r="GF3727"/>
      <c r="GG3727"/>
      <c r="GH3727"/>
      <c r="GI3727"/>
      <c r="GJ3727"/>
      <c r="GK3727"/>
      <c r="GL3727"/>
      <c r="GM3727"/>
      <c r="GN3727"/>
      <c r="GO3727"/>
    </row>
    <row r="3728" spans="107:197">
      <c r="DC3728"/>
      <c r="FH3728"/>
      <c r="FI3728"/>
      <c r="FJ3728"/>
      <c r="FK3728"/>
      <c r="FL3728"/>
      <c r="FM3728"/>
      <c r="FN3728"/>
      <c r="FO3728"/>
      <c r="FP3728"/>
      <c r="FQ3728"/>
      <c r="FR3728"/>
      <c r="FS3728"/>
      <c r="FT3728"/>
      <c r="FU3728"/>
      <c r="FV3728"/>
      <c r="FW3728"/>
      <c r="FX3728"/>
      <c r="FY3728"/>
      <c r="FZ3728"/>
      <c r="GA3728"/>
      <c r="GB3728"/>
      <c r="GC3728"/>
      <c r="GD3728"/>
      <c r="GE3728"/>
      <c r="GF3728"/>
      <c r="GG3728"/>
      <c r="GH3728"/>
      <c r="GI3728"/>
      <c r="GJ3728"/>
      <c r="GK3728"/>
      <c r="GL3728"/>
      <c r="GM3728"/>
      <c r="GN3728"/>
      <c r="GO3728"/>
    </row>
    <row r="3729" spans="107:197">
      <c r="DC3729"/>
      <c r="FH3729"/>
      <c r="FI3729"/>
      <c r="FJ3729"/>
      <c r="FK3729"/>
      <c r="FL3729"/>
      <c r="FM3729"/>
      <c r="FN3729"/>
      <c r="FO3729"/>
      <c r="FP3729"/>
      <c r="FQ3729"/>
      <c r="FR3729"/>
      <c r="FS3729"/>
      <c r="FT3729"/>
      <c r="FU3729"/>
      <c r="FV3729"/>
      <c r="FW3729"/>
      <c r="FX3729"/>
      <c r="FY3729"/>
      <c r="FZ3729"/>
      <c r="GA3729"/>
      <c r="GB3729"/>
      <c r="GC3729"/>
      <c r="GD3729"/>
      <c r="GE3729"/>
      <c r="GF3729"/>
      <c r="GG3729"/>
      <c r="GH3729"/>
      <c r="GI3729"/>
      <c r="GJ3729"/>
      <c r="GK3729"/>
      <c r="GL3729"/>
      <c r="GM3729"/>
      <c r="GN3729"/>
      <c r="GO3729"/>
    </row>
    <row r="3730" spans="107:197">
      <c r="DC3730"/>
      <c r="FH3730"/>
      <c r="FI3730"/>
      <c r="FJ3730"/>
      <c r="FK3730"/>
      <c r="FL3730"/>
      <c r="FM3730"/>
      <c r="FN3730"/>
      <c r="FO3730"/>
      <c r="FP3730"/>
      <c r="FQ3730"/>
      <c r="FR3730"/>
      <c r="FS3730"/>
      <c r="FT3730"/>
      <c r="FU3730"/>
      <c r="FV3730"/>
      <c r="FW3730"/>
      <c r="FX3730"/>
      <c r="FY3730"/>
      <c r="FZ3730"/>
      <c r="GA3730"/>
      <c r="GB3730"/>
      <c r="GC3730"/>
      <c r="GD3730"/>
      <c r="GE3730"/>
      <c r="GF3730"/>
      <c r="GG3730"/>
      <c r="GH3730"/>
      <c r="GI3730"/>
      <c r="GJ3730"/>
      <c r="GK3730"/>
      <c r="GL3730"/>
      <c r="GM3730"/>
      <c r="GN3730"/>
      <c r="GO3730"/>
    </row>
    <row r="3731" spans="107:197">
      <c r="DC3731"/>
      <c r="FH3731"/>
      <c r="FI3731"/>
      <c r="FJ3731"/>
      <c r="FK3731"/>
      <c r="FL3731"/>
      <c r="FM3731"/>
      <c r="FN3731"/>
      <c r="FO3731"/>
      <c r="FP3731"/>
      <c r="FQ3731"/>
      <c r="FR3731"/>
      <c r="FS3731"/>
      <c r="FT3731"/>
      <c r="FU3731"/>
      <c r="FV3731"/>
      <c r="FW3731"/>
      <c r="FX3731"/>
      <c r="FY3731"/>
      <c r="FZ3731"/>
      <c r="GA3731"/>
      <c r="GB3731"/>
      <c r="GC3731"/>
      <c r="GD3731"/>
      <c r="GE3731"/>
      <c r="GF3731"/>
      <c r="GG3731"/>
      <c r="GH3731"/>
      <c r="GI3731"/>
      <c r="GJ3731"/>
      <c r="GK3731"/>
      <c r="GL3731"/>
      <c r="GM3731"/>
      <c r="GN3731"/>
      <c r="GO3731"/>
    </row>
    <row r="3732" spans="107:197">
      <c r="DC3732"/>
      <c r="FH3732"/>
      <c r="FI3732"/>
      <c r="FJ3732"/>
      <c r="FK3732"/>
      <c r="FL3732"/>
      <c r="FM3732"/>
      <c r="FN3732"/>
      <c r="FO3732"/>
      <c r="FP3732"/>
      <c r="FQ3732"/>
      <c r="FR3732"/>
      <c r="FS3732"/>
      <c r="FT3732"/>
      <c r="FU3732"/>
      <c r="FV3732"/>
      <c r="FW3732"/>
      <c r="FX3732"/>
      <c r="FY3732"/>
      <c r="FZ3732"/>
      <c r="GA3732"/>
      <c r="GB3732"/>
      <c r="GC3732"/>
      <c r="GD3732"/>
      <c r="GE3732"/>
      <c r="GF3732"/>
      <c r="GG3732"/>
      <c r="GH3732"/>
      <c r="GI3732"/>
      <c r="GJ3732"/>
      <c r="GK3732"/>
      <c r="GL3732"/>
      <c r="GM3732"/>
      <c r="GN3732"/>
      <c r="GO3732"/>
    </row>
    <row r="3733" spans="107:197">
      <c r="DC3733"/>
      <c r="FH3733"/>
      <c r="FI3733"/>
      <c r="FJ3733"/>
      <c r="FK3733"/>
      <c r="FL3733"/>
      <c r="FM3733"/>
      <c r="FN3733"/>
      <c r="FO3733"/>
      <c r="FP3733"/>
      <c r="FQ3733"/>
      <c r="FR3733"/>
      <c r="FS3733"/>
      <c r="FT3733"/>
      <c r="FU3733"/>
      <c r="FV3733"/>
      <c r="FW3733"/>
      <c r="FX3733"/>
      <c r="FY3733"/>
      <c r="FZ3733"/>
      <c r="GA3733"/>
      <c r="GB3733"/>
      <c r="GC3733"/>
      <c r="GD3733"/>
      <c r="GE3733"/>
      <c r="GF3733"/>
      <c r="GG3733"/>
      <c r="GH3733"/>
      <c r="GI3733"/>
      <c r="GJ3733"/>
      <c r="GK3733"/>
      <c r="GL3733"/>
      <c r="GM3733"/>
      <c r="GN3733"/>
      <c r="GO3733"/>
    </row>
    <row r="3734" spans="107:197">
      <c r="DC3734"/>
      <c r="FH3734"/>
      <c r="FI3734"/>
      <c r="FJ3734"/>
      <c r="FK3734"/>
      <c r="FL3734"/>
      <c r="FM3734"/>
      <c r="FN3734"/>
      <c r="FO3734"/>
      <c r="FP3734"/>
      <c r="FQ3734"/>
      <c r="FR3734"/>
      <c r="FS3734"/>
      <c r="FT3734"/>
      <c r="FU3734"/>
      <c r="FV3734"/>
      <c r="FW3734"/>
      <c r="FX3734"/>
      <c r="FY3734"/>
      <c r="FZ3734"/>
      <c r="GA3734"/>
      <c r="GB3734"/>
      <c r="GC3734"/>
      <c r="GD3734"/>
      <c r="GE3734"/>
      <c r="GF3734"/>
      <c r="GG3734"/>
      <c r="GH3734"/>
      <c r="GI3734"/>
      <c r="GJ3734"/>
      <c r="GK3734"/>
      <c r="GL3734"/>
      <c r="GM3734"/>
      <c r="GN3734"/>
      <c r="GO3734"/>
    </row>
    <row r="3735" spans="107:197">
      <c r="DC3735"/>
      <c r="FH3735"/>
      <c r="FI3735"/>
      <c r="FJ3735"/>
      <c r="FK3735"/>
      <c r="FL3735"/>
      <c r="FM3735"/>
      <c r="FN3735"/>
      <c r="FO3735"/>
      <c r="FP3735"/>
      <c r="FQ3735"/>
      <c r="FR3735"/>
      <c r="FS3735"/>
      <c r="FT3735"/>
      <c r="FU3735"/>
      <c r="FV3735"/>
      <c r="FW3735"/>
      <c r="FX3735"/>
      <c r="FY3735"/>
      <c r="FZ3735"/>
      <c r="GA3735"/>
      <c r="GB3735"/>
      <c r="GC3735"/>
      <c r="GD3735"/>
      <c r="GE3735"/>
      <c r="GF3735"/>
      <c r="GG3735"/>
      <c r="GH3735"/>
      <c r="GI3735"/>
      <c r="GJ3735"/>
      <c r="GK3735"/>
      <c r="GL3735"/>
      <c r="GM3735"/>
      <c r="GN3735"/>
      <c r="GO3735"/>
    </row>
    <row r="3736" spans="107:197">
      <c r="DC3736"/>
      <c r="FH3736"/>
      <c r="FI3736"/>
      <c r="FJ3736"/>
      <c r="FK3736"/>
      <c r="FL3736"/>
      <c r="FM3736"/>
      <c r="FN3736"/>
      <c r="FO3736"/>
      <c r="FP3736"/>
      <c r="FQ3736"/>
      <c r="FR3736"/>
      <c r="FS3736"/>
      <c r="FT3736"/>
      <c r="FU3736"/>
      <c r="FV3736"/>
      <c r="FW3736"/>
      <c r="FX3736"/>
      <c r="FY3736"/>
      <c r="FZ3736"/>
      <c r="GA3736"/>
      <c r="GB3736"/>
      <c r="GC3736"/>
      <c r="GD3736"/>
      <c r="GE3736"/>
      <c r="GF3736"/>
      <c r="GG3736"/>
      <c r="GH3736"/>
      <c r="GI3736"/>
      <c r="GJ3736"/>
      <c r="GK3736"/>
      <c r="GL3736"/>
      <c r="GM3736"/>
      <c r="GN3736"/>
      <c r="GO3736"/>
    </row>
    <row r="3737" spans="107:197">
      <c r="DC3737"/>
      <c r="FH3737"/>
      <c r="FI3737"/>
      <c r="FJ3737"/>
      <c r="FK3737"/>
      <c r="FL3737"/>
      <c r="FM3737"/>
      <c r="FN3737"/>
      <c r="FO3737"/>
      <c r="FP3737"/>
      <c r="FQ3737"/>
      <c r="FR3737"/>
      <c r="FS3737"/>
      <c r="FT3737"/>
      <c r="FU3737"/>
      <c r="FV3737"/>
      <c r="FW3737"/>
      <c r="FX3737"/>
      <c r="FY3737"/>
      <c r="FZ3737"/>
      <c r="GA3737"/>
      <c r="GB3737"/>
      <c r="GC3737"/>
      <c r="GD3737"/>
      <c r="GE3737"/>
      <c r="GF3737"/>
      <c r="GG3737"/>
      <c r="GH3737"/>
      <c r="GI3737"/>
      <c r="GJ3737"/>
      <c r="GK3737"/>
      <c r="GL3737"/>
      <c r="GM3737"/>
      <c r="GN3737"/>
      <c r="GO3737"/>
    </row>
    <row r="3738" spans="107:197">
      <c r="DC3738"/>
      <c r="FH3738"/>
      <c r="FI3738"/>
      <c r="FJ3738"/>
      <c r="FK3738"/>
      <c r="FL3738"/>
      <c r="FM3738"/>
      <c r="FN3738"/>
      <c r="FO3738"/>
      <c r="FP3738"/>
      <c r="FQ3738"/>
      <c r="FR3738"/>
      <c r="FS3738"/>
      <c r="FT3738"/>
      <c r="FU3738"/>
      <c r="FV3738"/>
      <c r="FW3738"/>
      <c r="FX3738"/>
      <c r="FY3738"/>
      <c r="FZ3738"/>
      <c r="GA3738"/>
      <c r="GB3738"/>
      <c r="GC3738"/>
      <c r="GD3738"/>
      <c r="GE3738"/>
      <c r="GF3738"/>
      <c r="GG3738"/>
      <c r="GH3738"/>
      <c r="GI3738"/>
      <c r="GJ3738"/>
      <c r="GK3738"/>
      <c r="GL3738"/>
      <c r="GM3738"/>
      <c r="GN3738"/>
      <c r="GO3738"/>
    </row>
    <row r="3739" spans="107:197">
      <c r="DC3739"/>
      <c r="FH3739"/>
      <c r="FI3739"/>
      <c r="FJ3739"/>
      <c r="FK3739"/>
      <c r="FL3739"/>
      <c r="FM3739"/>
      <c r="FN3739"/>
      <c r="FO3739"/>
      <c r="FP3739"/>
      <c r="FQ3739"/>
      <c r="FR3739"/>
      <c r="FS3739"/>
      <c r="FT3739"/>
      <c r="FU3739"/>
      <c r="FV3739"/>
      <c r="FW3739"/>
      <c r="FX3739"/>
      <c r="FY3739"/>
      <c r="FZ3739"/>
      <c r="GA3739"/>
      <c r="GB3739"/>
      <c r="GC3739"/>
      <c r="GD3739"/>
      <c r="GE3739"/>
      <c r="GF3739"/>
      <c r="GG3739"/>
      <c r="GH3739"/>
      <c r="GI3739"/>
      <c r="GJ3739"/>
      <c r="GK3739"/>
      <c r="GL3739"/>
      <c r="GM3739"/>
      <c r="GN3739"/>
      <c r="GO3739"/>
    </row>
    <row r="3740" spans="107:197">
      <c r="DC3740"/>
      <c r="FH3740"/>
      <c r="FI3740"/>
      <c r="FJ3740"/>
      <c r="FK3740"/>
      <c r="FL3740"/>
      <c r="FM3740"/>
      <c r="FN3740"/>
      <c r="FO3740"/>
      <c r="FP3740"/>
      <c r="FQ3740"/>
      <c r="FR3740"/>
      <c r="FS3740"/>
      <c r="FT3740"/>
      <c r="FU3740"/>
      <c r="FV3740"/>
      <c r="FW3740"/>
      <c r="FX3740"/>
      <c r="FY3740"/>
      <c r="FZ3740"/>
      <c r="GA3740"/>
      <c r="GB3740"/>
      <c r="GC3740"/>
      <c r="GD3740"/>
      <c r="GE3740"/>
      <c r="GF3740"/>
      <c r="GG3740"/>
      <c r="GH3740"/>
      <c r="GI3740"/>
      <c r="GJ3740"/>
      <c r="GK3740"/>
      <c r="GL3740"/>
      <c r="GM3740"/>
      <c r="GN3740"/>
      <c r="GO3740"/>
    </row>
    <row r="3741" spans="107:197">
      <c r="DC3741"/>
      <c r="FH3741"/>
      <c r="FI3741"/>
      <c r="FJ3741"/>
      <c r="FK3741"/>
      <c r="FL3741"/>
      <c r="FM3741"/>
      <c r="FN3741"/>
      <c r="FO3741"/>
      <c r="FP3741"/>
      <c r="FQ3741"/>
      <c r="FR3741"/>
      <c r="FS3741"/>
      <c r="FT3741"/>
      <c r="FU3741"/>
      <c r="FV3741"/>
      <c r="FW3741"/>
      <c r="FX3741"/>
      <c r="FY3741"/>
      <c r="FZ3741"/>
      <c r="GA3741"/>
      <c r="GB3741"/>
      <c r="GC3741"/>
      <c r="GD3741"/>
      <c r="GE3741"/>
      <c r="GF3741"/>
      <c r="GG3741"/>
      <c r="GH3741"/>
      <c r="GI3741"/>
      <c r="GJ3741"/>
      <c r="GK3741"/>
      <c r="GL3741"/>
      <c r="GM3741"/>
      <c r="GN3741"/>
      <c r="GO3741"/>
    </row>
    <row r="3742" spans="107:197">
      <c r="DC3742"/>
      <c r="FH3742"/>
      <c r="FI3742"/>
      <c r="FJ3742"/>
      <c r="FK3742"/>
      <c r="FL3742"/>
      <c r="FM3742"/>
      <c r="FN3742"/>
      <c r="FO3742"/>
      <c r="FP3742"/>
      <c r="FQ3742"/>
      <c r="FR3742"/>
      <c r="FS3742"/>
      <c r="FT3742"/>
      <c r="FU3742"/>
      <c r="FV3742"/>
      <c r="FW3742"/>
      <c r="FX3742"/>
      <c r="FY3742"/>
      <c r="FZ3742"/>
      <c r="GA3742"/>
      <c r="GB3742"/>
      <c r="GC3742"/>
      <c r="GD3742"/>
      <c r="GE3742"/>
      <c r="GF3742"/>
      <c r="GG3742"/>
      <c r="GH3742"/>
      <c r="GI3742"/>
      <c r="GJ3742"/>
      <c r="GK3742"/>
      <c r="GL3742"/>
      <c r="GM3742"/>
      <c r="GN3742"/>
      <c r="GO3742"/>
    </row>
    <row r="3743" spans="107:197">
      <c r="DC3743"/>
      <c r="FH3743"/>
      <c r="FI3743"/>
      <c r="FJ3743"/>
      <c r="FK3743"/>
      <c r="FL3743"/>
      <c r="FM3743"/>
      <c r="FN3743"/>
      <c r="FO3743"/>
      <c r="FP3743"/>
      <c r="FQ3743"/>
      <c r="FR3743"/>
      <c r="FS3743"/>
      <c r="FT3743"/>
      <c r="FU3743"/>
      <c r="FV3743"/>
      <c r="FW3743"/>
      <c r="FX3743"/>
      <c r="FY3743"/>
      <c r="FZ3743"/>
      <c r="GA3743"/>
      <c r="GB3743"/>
      <c r="GC3743"/>
      <c r="GD3743"/>
      <c r="GE3743"/>
      <c r="GF3743"/>
      <c r="GG3743"/>
      <c r="GH3743"/>
      <c r="GI3743"/>
      <c r="GJ3743"/>
      <c r="GK3743"/>
      <c r="GL3743"/>
      <c r="GM3743"/>
      <c r="GN3743"/>
      <c r="GO3743"/>
    </row>
    <row r="3744" spans="107:197">
      <c r="DC3744"/>
      <c r="FH3744"/>
      <c r="FI3744"/>
      <c r="FJ3744"/>
      <c r="FK3744"/>
      <c r="FL3744"/>
      <c r="FM3744"/>
      <c r="FN3744"/>
      <c r="FO3744"/>
      <c r="FP3744"/>
      <c r="FQ3744"/>
      <c r="FR3744"/>
      <c r="FS3744"/>
      <c r="FT3744"/>
      <c r="FU3744"/>
      <c r="FV3744"/>
      <c r="FW3744"/>
      <c r="FX3744"/>
      <c r="FY3744"/>
      <c r="FZ3744"/>
      <c r="GA3744"/>
      <c r="GB3744"/>
      <c r="GC3744"/>
      <c r="GD3744"/>
      <c r="GE3744"/>
      <c r="GF3744"/>
      <c r="GG3744"/>
      <c r="GH3744"/>
      <c r="GI3744"/>
      <c r="GJ3744"/>
      <c r="GK3744"/>
      <c r="GL3744"/>
      <c r="GM3744"/>
      <c r="GN3744"/>
      <c r="GO3744"/>
    </row>
    <row r="3745" spans="107:197">
      <c r="DC3745"/>
      <c r="FH3745"/>
      <c r="FI3745"/>
      <c r="FJ3745"/>
      <c r="FK3745"/>
      <c r="FL3745"/>
      <c r="FM3745"/>
      <c r="FN3745"/>
      <c r="FO3745"/>
      <c r="FP3745"/>
      <c r="FQ3745"/>
      <c r="FR3745"/>
      <c r="FS3745"/>
      <c r="FT3745"/>
      <c r="FU3745"/>
      <c r="FV3745"/>
      <c r="FW3745"/>
      <c r="FX3745"/>
      <c r="FY3745"/>
      <c r="FZ3745"/>
      <c r="GA3745"/>
      <c r="GB3745"/>
      <c r="GC3745"/>
      <c r="GD3745"/>
      <c r="GE3745"/>
      <c r="GF3745"/>
      <c r="GG3745"/>
      <c r="GH3745"/>
      <c r="GI3745"/>
      <c r="GJ3745"/>
      <c r="GK3745"/>
      <c r="GL3745"/>
      <c r="GM3745"/>
      <c r="GN3745"/>
      <c r="GO3745"/>
    </row>
    <row r="3746" spans="107:197">
      <c r="DC3746"/>
      <c r="FH3746"/>
      <c r="FI3746"/>
      <c r="FJ3746"/>
      <c r="FK3746"/>
      <c r="FL3746"/>
      <c r="FM3746"/>
      <c r="FN3746"/>
      <c r="FO3746"/>
      <c r="FP3746"/>
      <c r="FQ3746"/>
      <c r="FR3746"/>
      <c r="FS3746"/>
      <c r="FT3746"/>
      <c r="FU3746"/>
      <c r="FV3746"/>
      <c r="FW3746"/>
      <c r="FX3746"/>
      <c r="FY3746"/>
      <c r="FZ3746"/>
      <c r="GA3746"/>
      <c r="GB3746"/>
      <c r="GC3746"/>
      <c r="GD3746"/>
      <c r="GE3746"/>
      <c r="GF3746"/>
      <c r="GG3746"/>
      <c r="GH3746"/>
      <c r="GI3746"/>
      <c r="GJ3746"/>
      <c r="GK3746"/>
      <c r="GL3746"/>
      <c r="GM3746"/>
      <c r="GN3746"/>
      <c r="GO3746"/>
    </row>
    <row r="3747" spans="107:197">
      <c r="DC3747"/>
      <c r="FH3747"/>
      <c r="FI3747"/>
      <c r="FJ3747"/>
      <c r="FK3747"/>
      <c r="FL3747"/>
      <c r="FM3747"/>
      <c r="FN3747"/>
      <c r="FO3747"/>
      <c r="FP3747"/>
      <c r="FQ3747"/>
      <c r="FR3747"/>
      <c r="FS3747"/>
      <c r="FT3747"/>
      <c r="FU3747"/>
      <c r="FV3747"/>
      <c r="FW3747"/>
      <c r="FX3747"/>
      <c r="FY3747"/>
      <c r="FZ3747"/>
      <c r="GA3747"/>
      <c r="GB3747"/>
      <c r="GC3747"/>
      <c r="GD3747"/>
      <c r="GE3747"/>
      <c r="GF3747"/>
      <c r="GG3747"/>
      <c r="GH3747"/>
      <c r="GI3747"/>
      <c r="GJ3747"/>
      <c r="GK3747"/>
      <c r="GL3747"/>
      <c r="GM3747"/>
      <c r="GN3747"/>
      <c r="GO3747"/>
    </row>
    <row r="3748" spans="107:197">
      <c r="DC3748"/>
      <c r="FH3748"/>
      <c r="FI3748"/>
      <c r="FJ3748"/>
      <c r="FK3748"/>
      <c r="FL3748"/>
      <c r="FM3748"/>
      <c r="FN3748"/>
      <c r="FO3748"/>
      <c r="FP3748"/>
      <c r="FQ3748"/>
      <c r="FR3748"/>
      <c r="FS3748"/>
      <c r="FT3748"/>
      <c r="FU3748"/>
      <c r="FV3748"/>
      <c r="FW3748"/>
      <c r="FX3748"/>
      <c r="FY3748"/>
      <c r="FZ3748"/>
      <c r="GA3748"/>
      <c r="GB3748"/>
      <c r="GC3748"/>
      <c r="GD3748"/>
      <c r="GE3748"/>
      <c r="GF3748"/>
      <c r="GG3748"/>
      <c r="GH3748"/>
      <c r="GI3748"/>
      <c r="GJ3748"/>
      <c r="GK3748"/>
      <c r="GL3748"/>
      <c r="GM3748"/>
      <c r="GN3748"/>
      <c r="GO3748"/>
    </row>
    <row r="3749" spans="107:197">
      <c r="DC3749"/>
      <c r="FH3749"/>
      <c r="FI3749"/>
      <c r="FJ3749"/>
      <c r="FK3749"/>
      <c r="FL3749"/>
      <c r="FM3749"/>
      <c r="FN3749"/>
      <c r="FO3749"/>
      <c r="FP3749"/>
      <c r="FQ3749"/>
      <c r="FR3749"/>
      <c r="FS3749"/>
      <c r="FT3749"/>
      <c r="FU3749"/>
      <c r="FV3749"/>
      <c r="FW3749"/>
      <c r="FX3749"/>
      <c r="FY3749"/>
      <c r="FZ3749"/>
      <c r="GA3749"/>
      <c r="GB3749"/>
      <c r="GC3749"/>
      <c r="GD3749"/>
      <c r="GE3749"/>
      <c r="GF3749"/>
      <c r="GG3749"/>
      <c r="GH3749"/>
      <c r="GI3749"/>
      <c r="GJ3749"/>
      <c r="GK3749"/>
      <c r="GL3749"/>
      <c r="GM3749"/>
      <c r="GN3749"/>
      <c r="GO3749"/>
    </row>
    <row r="3750" spans="107:197">
      <c r="DC3750"/>
      <c r="FH3750"/>
      <c r="FI3750"/>
      <c r="FJ3750"/>
      <c r="FK3750"/>
      <c r="FL3750"/>
      <c r="FM3750"/>
      <c r="FN3750"/>
      <c r="FO3750"/>
      <c r="FP3750"/>
      <c r="FQ3750"/>
      <c r="FR3750"/>
      <c r="FS3750"/>
      <c r="FT3750"/>
      <c r="FU3750"/>
      <c r="FV3750"/>
      <c r="FW3750"/>
      <c r="FX3750"/>
      <c r="FY3750"/>
      <c r="FZ3750"/>
      <c r="GA3750"/>
      <c r="GB3750"/>
      <c r="GC3750"/>
      <c r="GD3750"/>
      <c r="GE3750"/>
      <c r="GF3750"/>
      <c r="GG3750"/>
      <c r="GH3750"/>
      <c r="GI3750"/>
      <c r="GJ3750"/>
      <c r="GK3750"/>
      <c r="GL3750"/>
      <c r="GM3750"/>
      <c r="GN3750"/>
      <c r="GO3750"/>
    </row>
    <row r="3751" spans="107:197">
      <c r="DC3751"/>
      <c r="FH3751"/>
      <c r="FI3751"/>
      <c r="FJ3751"/>
      <c r="FK3751"/>
      <c r="FL3751"/>
      <c r="FM3751"/>
      <c r="FN3751"/>
      <c r="FO3751"/>
      <c r="FP3751"/>
      <c r="FQ3751"/>
      <c r="FR3751"/>
      <c r="FS3751"/>
      <c r="FT3751"/>
      <c r="FU3751"/>
      <c r="FV3751"/>
      <c r="FW3751"/>
      <c r="FX3751"/>
      <c r="FY3751"/>
      <c r="FZ3751"/>
      <c r="GA3751"/>
      <c r="GB3751"/>
      <c r="GC3751"/>
      <c r="GD3751"/>
      <c r="GE3751"/>
      <c r="GF3751"/>
      <c r="GG3751"/>
      <c r="GH3751"/>
      <c r="GI3751"/>
      <c r="GJ3751"/>
      <c r="GK3751"/>
      <c r="GL3751"/>
      <c r="GM3751"/>
      <c r="GN3751"/>
      <c r="GO3751"/>
    </row>
    <row r="3752" spans="107:197">
      <c r="DC3752"/>
      <c r="FH3752"/>
      <c r="FI3752"/>
      <c r="FJ3752"/>
      <c r="FK3752"/>
      <c r="FL3752"/>
      <c r="FM3752"/>
      <c r="FN3752"/>
      <c r="FO3752"/>
      <c r="FP3752"/>
      <c r="FQ3752"/>
      <c r="FR3752"/>
      <c r="FS3752"/>
      <c r="FT3752"/>
      <c r="FU3752"/>
      <c r="FV3752"/>
      <c r="FW3752"/>
      <c r="FX3752"/>
      <c r="FY3752"/>
      <c r="FZ3752"/>
      <c r="GA3752"/>
      <c r="GB3752"/>
      <c r="GC3752"/>
      <c r="GD3752"/>
      <c r="GE3752"/>
      <c r="GF3752"/>
      <c r="GG3752"/>
      <c r="GH3752"/>
      <c r="GI3752"/>
      <c r="GJ3752"/>
      <c r="GK3752"/>
      <c r="GL3752"/>
      <c r="GM3752"/>
      <c r="GN3752"/>
      <c r="GO3752"/>
    </row>
    <row r="3753" spans="107:197">
      <c r="DC3753"/>
      <c r="FH3753"/>
      <c r="FI3753"/>
      <c r="FJ3753"/>
      <c r="FK3753"/>
      <c r="FL3753"/>
      <c r="FM3753"/>
      <c r="FN3753"/>
      <c r="FO3753"/>
      <c r="FP3753"/>
      <c r="FQ3753"/>
      <c r="FR3753"/>
      <c r="FS3753"/>
      <c r="FT3753"/>
      <c r="FU3753"/>
      <c r="FV3753"/>
      <c r="FW3753"/>
      <c r="FX3753"/>
      <c r="FY3753"/>
      <c r="FZ3753"/>
      <c r="GA3753"/>
      <c r="GB3753"/>
      <c r="GC3753"/>
      <c r="GD3753"/>
      <c r="GE3753"/>
      <c r="GF3753"/>
      <c r="GG3753"/>
      <c r="GH3753"/>
      <c r="GI3753"/>
      <c r="GJ3753"/>
      <c r="GK3753"/>
      <c r="GL3753"/>
      <c r="GM3753"/>
      <c r="GN3753"/>
      <c r="GO3753"/>
    </row>
    <row r="3754" spans="107:197">
      <c r="DC3754"/>
      <c r="FH3754"/>
      <c r="FI3754"/>
      <c r="FJ3754"/>
      <c r="FK3754"/>
      <c r="FL3754"/>
      <c r="FM3754"/>
      <c r="FN3754"/>
      <c r="FO3754"/>
      <c r="FP3754"/>
      <c r="FQ3754"/>
      <c r="FR3754"/>
      <c r="FS3754"/>
      <c r="FT3754"/>
      <c r="FU3754"/>
      <c r="FV3754"/>
      <c r="FW3754"/>
      <c r="FX3754"/>
      <c r="FY3754"/>
      <c r="FZ3754"/>
      <c r="GA3754"/>
      <c r="GB3754"/>
      <c r="GC3754"/>
      <c r="GD3754"/>
      <c r="GE3754"/>
      <c r="GF3754"/>
      <c r="GG3754"/>
      <c r="GH3754"/>
      <c r="GI3754"/>
      <c r="GJ3754"/>
      <c r="GK3754"/>
      <c r="GL3754"/>
      <c r="GM3754"/>
      <c r="GN3754"/>
      <c r="GO3754"/>
    </row>
    <row r="3755" spans="107:197">
      <c r="DC3755"/>
      <c r="FH3755"/>
      <c r="FI3755"/>
      <c r="FJ3755"/>
      <c r="FK3755"/>
      <c r="FL3755"/>
      <c r="FM3755"/>
      <c r="FN3755"/>
      <c r="FO3755"/>
      <c r="FP3755"/>
      <c r="FQ3755"/>
      <c r="FR3755"/>
      <c r="FS3755"/>
      <c r="FT3755"/>
      <c r="FU3755"/>
      <c r="FV3755"/>
      <c r="FW3755"/>
      <c r="FX3755"/>
      <c r="FY3755"/>
      <c r="FZ3755"/>
      <c r="GA3755"/>
      <c r="GB3755"/>
      <c r="GC3755"/>
      <c r="GD3755"/>
      <c r="GE3755"/>
      <c r="GF3755"/>
      <c r="GG3755"/>
      <c r="GH3755"/>
      <c r="GI3755"/>
      <c r="GJ3755"/>
      <c r="GK3755"/>
      <c r="GL3755"/>
      <c r="GM3755"/>
      <c r="GN3755"/>
      <c r="GO3755"/>
    </row>
    <row r="3756" spans="107:197">
      <c r="DC3756"/>
      <c r="FH3756"/>
      <c r="FI3756"/>
      <c r="FJ3756"/>
      <c r="FK3756"/>
      <c r="FL3756"/>
      <c r="FM3756"/>
      <c r="FN3756"/>
      <c r="FO3756"/>
      <c r="FP3756"/>
      <c r="FQ3756"/>
      <c r="FR3756"/>
      <c r="FS3756"/>
      <c r="FT3756"/>
      <c r="FU3756"/>
      <c r="FV3756"/>
      <c r="FW3756"/>
      <c r="FX3756"/>
      <c r="FY3756"/>
      <c r="FZ3756"/>
      <c r="GA3756"/>
      <c r="GB3756"/>
      <c r="GC3756"/>
      <c r="GD3756"/>
      <c r="GE3756"/>
      <c r="GF3756"/>
      <c r="GG3756"/>
      <c r="GH3756"/>
      <c r="GI3756"/>
      <c r="GJ3756"/>
      <c r="GK3756"/>
      <c r="GL3756"/>
      <c r="GM3756"/>
      <c r="GN3756"/>
      <c r="GO3756"/>
    </row>
    <row r="3757" spans="107:197">
      <c r="DC3757"/>
      <c r="FH3757"/>
      <c r="FI3757"/>
      <c r="FJ3757"/>
      <c r="FK3757"/>
      <c r="FL3757"/>
      <c r="FM3757"/>
      <c r="FN3757"/>
      <c r="FO3757"/>
      <c r="FP3757"/>
      <c r="FQ3757"/>
      <c r="FR3757"/>
      <c r="FS3757"/>
      <c r="FT3757"/>
      <c r="FU3757"/>
      <c r="FV3757"/>
      <c r="FW3757"/>
      <c r="FX3757"/>
      <c r="FY3757"/>
      <c r="FZ3757"/>
      <c r="GA3757"/>
      <c r="GB3757"/>
      <c r="GC3757"/>
      <c r="GD3757"/>
      <c r="GE3757"/>
      <c r="GF3757"/>
      <c r="GG3757"/>
      <c r="GH3757"/>
      <c r="GI3757"/>
      <c r="GJ3757"/>
      <c r="GK3757"/>
      <c r="GL3757"/>
      <c r="GM3757"/>
      <c r="GN3757"/>
      <c r="GO3757"/>
    </row>
    <row r="3758" spans="107:197">
      <c r="DC3758"/>
      <c r="FH3758"/>
      <c r="FI3758"/>
      <c r="FJ3758"/>
      <c r="FK3758"/>
      <c r="FL3758"/>
      <c r="FM3758"/>
      <c r="FN3758"/>
      <c r="FO3758"/>
      <c r="FP3758"/>
      <c r="FQ3758"/>
      <c r="FR3758"/>
      <c r="FS3758"/>
      <c r="FT3758"/>
      <c r="FU3758"/>
      <c r="FV3758"/>
      <c r="FW3758"/>
      <c r="FX3758"/>
      <c r="FY3758"/>
      <c r="FZ3758"/>
      <c r="GA3758"/>
      <c r="GB3758"/>
      <c r="GC3758"/>
      <c r="GD3758"/>
      <c r="GE3758"/>
      <c r="GF3758"/>
      <c r="GG3758"/>
      <c r="GH3758"/>
      <c r="GI3758"/>
      <c r="GJ3758"/>
      <c r="GK3758"/>
      <c r="GL3758"/>
      <c r="GM3758"/>
      <c r="GN3758"/>
      <c r="GO3758"/>
    </row>
    <row r="3759" spans="107:197">
      <c r="DC3759"/>
      <c r="FH3759"/>
      <c r="FI3759"/>
      <c r="FJ3759"/>
      <c r="FK3759"/>
      <c r="FL3759"/>
      <c r="FM3759"/>
      <c r="FN3759"/>
      <c r="FO3759"/>
      <c r="FP3759"/>
      <c r="FQ3759"/>
      <c r="FR3759"/>
      <c r="FS3759"/>
      <c r="FT3759"/>
      <c r="FU3759"/>
      <c r="FV3759"/>
      <c r="FW3759"/>
      <c r="FX3759"/>
      <c r="FY3759"/>
      <c r="FZ3759"/>
      <c r="GA3759"/>
      <c r="GB3759"/>
      <c r="GC3759"/>
      <c r="GD3759"/>
      <c r="GE3759"/>
      <c r="GF3759"/>
      <c r="GG3759"/>
      <c r="GH3759"/>
      <c r="GI3759"/>
      <c r="GJ3759"/>
      <c r="GK3759"/>
      <c r="GL3759"/>
      <c r="GM3759"/>
      <c r="GN3759"/>
      <c r="GO3759"/>
    </row>
    <row r="3760" spans="107:197">
      <c r="DC3760"/>
      <c r="FH3760"/>
      <c r="FI3760"/>
      <c r="FJ3760"/>
      <c r="FK3760"/>
      <c r="FL3760"/>
      <c r="FM3760"/>
      <c r="FN3760"/>
      <c r="FO3760"/>
      <c r="FP3760"/>
      <c r="FQ3760"/>
      <c r="FR3760"/>
      <c r="FS3760"/>
      <c r="FT3760"/>
      <c r="FU3760"/>
      <c r="FV3760"/>
      <c r="FW3760"/>
      <c r="FX3760"/>
      <c r="FY3760"/>
      <c r="FZ3760"/>
      <c r="GA3760"/>
      <c r="GB3760"/>
      <c r="GC3760"/>
      <c r="GD3760"/>
      <c r="GE3760"/>
      <c r="GF3760"/>
      <c r="GG3760"/>
      <c r="GH3760"/>
      <c r="GI3760"/>
      <c r="GJ3760"/>
      <c r="GK3760"/>
      <c r="GL3760"/>
      <c r="GM3760"/>
      <c r="GN3760"/>
      <c r="GO3760"/>
    </row>
    <row r="3761" spans="107:197">
      <c r="DC3761"/>
      <c r="FH3761"/>
      <c r="FI3761"/>
      <c r="FJ3761"/>
      <c r="FK3761"/>
      <c r="FL3761"/>
      <c r="FM3761"/>
      <c r="FN3761"/>
      <c r="FO3761"/>
      <c r="FP3761"/>
      <c r="FQ3761"/>
      <c r="FR3761"/>
      <c r="FS3761"/>
      <c r="FT3761"/>
      <c r="FU3761"/>
      <c r="FV3761"/>
      <c r="FW3761"/>
      <c r="FX3761"/>
      <c r="FY3761"/>
      <c r="FZ3761"/>
      <c r="GA3761"/>
      <c r="GB3761"/>
      <c r="GC3761"/>
      <c r="GD3761"/>
      <c r="GE3761"/>
      <c r="GF3761"/>
      <c r="GG3761"/>
      <c r="GH3761"/>
      <c r="GI3761"/>
      <c r="GJ3761"/>
      <c r="GK3761"/>
      <c r="GL3761"/>
      <c r="GM3761"/>
      <c r="GN3761"/>
      <c r="GO3761"/>
    </row>
    <row r="3762" spans="107:197">
      <c r="DC3762"/>
      <c r="FH3762"/>
      <c r="FI3762"/>
      <c r="FJ3762"/>
      <c r="FK3762"/>
      <c r="FL3762"/>
      <c r="FM3762"/>
      <c r="FN3762"/>
      <c r="FO3762"/>
      <c r="FP3762"/>
      <c r="FQ3762"/>
      <c r="FR3762"/>
      <c r="FS3762"/>
      <c r="FT3762"/>
      <c r="FU3762"/>
      <c r="FV3762"/>
      <c r="FW3762"/>
      <c r="FX3762"/>
      <c r="FY3762"/>
      <c r="FZ3762"/>
      <c r="GA3762"/>
      <c r="GB3762"/>
      <c r="GC3762"/>
      <c r="GD3762"/>
      <c r="GE3762"/>
      <c r="GF3762"/>
      <c r="GG3762"/>
      <c r="GH3762"/>
      <c r="GI3762"/>
      <c r="GJ3762"/>
      <c r="GK3762"/>
      <c r="GL3762"/>
      <c r="GM3762"/>
      <c r="GN3762"/>
      <c r="GO3762"/>
    </row>
    <row r="3763" spans="107:197">
      <c r="DC3763"/>
      <c r="FH3763"/>
      <c r="FI3763"/>
      <c r="FJ3763"/>
      <c r="FK3763"/>
      <c r="FL3763"/>
      <c r="FM3763"/>
      <c r="FN3763"/>
      <c r="FO3763"/>
      <c r="FP3763"/>
      <c r="FQ3763"/>
      <c r="FR3763"/>
      <c r="FS3763"/>
      <c r="FT3763"/>
      <c r="FU3763"/>
      <c r="FV3763"/>
      <c r="FW3763"/>
      <c r="FX3763"/>
      <c r="FY3763"/>
      <c r="FZ3763"/>
      <c r="GA3763"/>
      <c r="GB3763"/>
      <c r="GC3763"/>
      <c r="GD3763"/>
      <c r="GE3763"/>
      <c r="GF3763"/>
      <c r="GG3763"/>
      <c r="GH3763"/>
      <c r="GI3763"/>
      <c r="GJ3763"/>
      <c r="GK3763"/>
      <c r="GL3763"/>
      <c r="GM3763"/>
      <c r="GN3763"/>
      <c r="GO3763"/>
    </row>
    <row r="3764" spans="107:197">
      <c r="DC3764"/>
      <c r="FH3764"/>
      <c r="FI3764"/>
      <c r="FJ3764"/>
      <c r="FK3764"/>
      <c r="FL3764"/>
      <c r="FM3764"/>
      <c r="FN3764"/>
      <c r="FO3764"/>
      <c r="FP3764"/>
      <c r="FQ3764"/>
      <c r="FR3764"/>
      <c r="FS3764"/>
      <c r="FT3764"/>
      <c r="FU3764"/>
      <c r="FV3764"/>
      <c r="FW3764"/>
      <c r="FX3764"/>
      <c r="FY3764"/>
      <c r="FZ3764"/>
      <c r="GA3764"/>
      <c r="GB3764"/>
      <c r="GC3764"/>
      <c r="GD3764"/>
      <c r="GE3764"/>
      <c r="GF3764"/>
      <c r="GG3764"/>
      <c r="GH3764"/>
      <c r="GI3764"/>
      <c r="GJ3764"/>
      <c r="GK3764"/>
      <c r="GL3764"/>
      <c r="GM3764"/>
      <c r="GN3764"/>
      <c r="GO3764"/>
    </row>
    <row r="3765" spans="107:197">
      <c r="DC3765"/>
      <c r="FH3765"/>
      <c r="FI3765"/>
      <c r="FJ3765"/>
      <c r="FK3765"/>
      <c r="FL3765"/>
      <c r="FM3765"/>
      <c r="FN3765"/>
      <c r="FO3765"/>
      <c r="FP3765"/>
      <c r="FQ3765"/>
      <c r="FR3765"/>
      <c r="FS3765"/>
      <c r="FT3765"/>
      <c r="FU3765"/>
      <c r="FV3765"/>
      <c r="FW3765"/>
      <c r="FX3765"/>
      <c r="FY3765"/>
      <c r="FZ3765"/>
      <c r="GA3765"/>
      <c r="GB3765"/>
      <c r="GC3765"/>
      <c r="GD3765"/>
      <c r="GE3765"/>
      <c r="GF3765"/>
      <c r="GG3765"/>
      <c r="GH3765"/>
      <c r="GI3765"/>
      <c r="GJ3765"/>
      <c r="GK3765"/>
      <c r="GL3765"/>
      <c r="GM3765"/>
      <c r="GN3765"/>
      <c r="GO3765"/>
    </row>
    <row r="3766" spans="107:197">
      <c r="DC3766"/>
      <c r="FH3766"/>
      <c r="FI3766"/>
      <c r="FJ3766"/>
      <c r="FK3766"/>
      <c r="FL3766"/>
      <c r="FM3766"/>
      <c r="FN3766"/>
      <c r="FO3766"/>
      <c r="FP3766"/>
      <c r="FQ3766"/>
      <c r="FR3766"/>
      <c r="FS3766"/>
      <c r="FT3766"/>
      <c r="FU3766"/>
      <c r="FV3766"/>
      <c r="FW3766"/>
      <c r="FX3766"/>
      <c r="FY3766"/>
      <c r="FZ3766"/>
      <c r="GA3766"/>
      <c r="GB3766"/>
      <c r="GC3766"/>
      <c r="GD3766"/>
      <c r="GE3766"/>
      <c r="GF3766"/>
      <c r="GG3766"/>
      <c r="GH3766"/>
      <c r="GI3766"/>
      <c r="GJ3766"/>
      <c r="GK3766"/>
      <c r="GL3766"/>
      <c r="GM3766"/>
      <c r="GN3766"/>
      <c r="GO3766"/>
    </row>
    <row r="3767" spans="107:197">
      <c r="DC3767"/>
      <c r="FH3767"/>
      <c r="FI3767"/>
      <c r="FJ3767"/>
      <c r="FK3767"/>
      <c r="FL3767"/>
      <c r="FM3767"/>
      <c r="FN3767"/>
      <c r="FO3767"/>
      <c r="FP3767"/>
      <c r="FQ3767"/>
      <c r="FR3767"/>
      <c r="FS3767"/>
      <c r="FT3767"/>
      <c r="FU3767"/>
      <c r="FV3767"/>
      <c r="FW3767"/>
      <c r="FX3767"/>
      <c r="FY3767"/>
      <c r="FZ3767"/>
      <c r="GA3767"/>
      <c r="GB3767"/>
      <c r="GC3767"/>
      <c r="GD3767"/>
      <c r="GE3767"/>
      <c r="GF3767"/>
      <c r="GG3767"/>
      <c r="GH3767"/>
      <c r="GI3767"/>
      <c r="GJ3767"/>
      <c r="GK3767"/>
      <c r="GL3767"/>
      <c r="GM3767"/>
      <c r="GN3767"/>
      <c r="GO3767"/>
    </row>
    <row r="3768" spans="107:197">
      <c r="DC3768"/>
      <c r="FH3768"/>
      <c r="FI3768"/>
      <c r="FJ3768"/>
      <c r="FK3768"/>
      <c r="FL3768"/>
      <c r="FM3768"/>
      <c r="FN3768"/>
      <c r="FO3768"/>
      <c r="FP3768"/>
      <c r="FQ3768"/>
      <c r="FR3768"/>
      <c r="FS3768"/>
      <c r="FT3768"/>
      <c r="FU3768"/>
      <c r="FV3768"/>
      <c r="FW3768"/>
      <c r="FX3768"/>
      <c r="FY3768"/>
      <c r="FZ3768"/>
      <c r="GA3768"/>
      <c r="GB3768"/>
      <c r="GC3768"/>
      <c r="GD3768"/>
      <c r="GE3768"/>
      <c r="GF3768"/>
      <c r="GG3768"/>
      <c r="GH3768"/>
      <c r="GI3768"/>
      <c r="GJ3768"/>
      <c r="GK3768"/>
      <c r="GL3768"/>
      <c r="GM3768"/>
      <c r="GN3768"/>
      <c r="GO3768"/>
    </row>
    <row r="3769" spans="107:197">
      <c r="DC3769"/>
      <c r="FH3769"/>
      <c r="FI3769"/>
      <c r="FJ3769"/>
      <c r="FK3769"/>
      <c r="FL3769"/>
      <c r="FM3769"/>
      <c r="FN3769"/>
      <c r="FO3769"/>
      <c r="FP3769"/>
      <c r="FQ3769"/>
      <c r="FR3769"/>
      <c r="FS3769"/>
      <c r="FT3769"/>
      <c r="FU3769"/>
      <c r="FV3769"/>
      <c r="FW3769"/>
      <c r="FX3769"/>
      <c r="FY3769"/>
      <c r="FZ3769"/>
      <c r="GA3769"/>
      <c r="GB3769"/>
      <c r="GC3769"/>
      <c r="GD3769"/>
      <c r="GE3769"/>
      <c r="GF3769"/>
      <c r="GG3769"/>
      <c r="GH3769"/>
      <c r="GI3769"/>
      <c r="GJ3769"/>
      <c r="GK3769"/>
      <c r="GL3769"/>
      <c r="GM3769"/>
      <c r="GN3769"/>
      <c r="GO3769"/>
    </row>
    <row r="3770" spans="107:197">
      <c r="DC3770"/>
      <c r="FH3770"/>
      <c r="FI3770"/>
      <c r="FJ3770"/>
      <c r="FK3770"/>
      <c r="FL3770"/>
      <c r="FM3770"/>
      <c r="FN3770"/>
      <c r="FO3770"/>
      <c r="FP3770"/>
      <c r="FQ3770"/>
      <c r="FR3770"/>
      <c r="FS3770"/>
      <c r="FT3770"/>
      <c r="FU3770"/>
      <c r="FV3770"/>
      <c r="FW3770"/>
      <c r="FX3770"/>
      <c r="FY3770"/>
      <c r="FZ3770"/>
      <c r="GA3770"/>
      <c r="GB3770"/>
      <c r="GC3770"/>
      <c r="GD3770"/>
      <c r="GE3770"/>
      <c r="GF3770"/>
      <c r="GG3770"/>
      <c r="GH3770"/>
      <c r="GI3770"/>
      <c r="GJ3770"/>
      <c r="GK3770"/>
      <c r="GL3770"/>
      <c r="GM3770"/>
      <c r="GN3770"/>
      <c r="GO3770"/>
    </row>
    <row r="3771" spans="107:197">
      <c r="DC3771"/>
      <c r="FH3771"/>
      <c r="FI3771"/>
      <c r="FJ3771"/>
      <c r="FK3771"/>
      <c r="FL3771"/>
      <c r="FM3771"/>
      <c r="FN3771"/>
      <c r="FO3771"/>
      <c r="FP3771"/>
      <c r="FQ3771"/>
      <c r="FR3771"/>
      <c r="FS3771"/>
      <c r="FT3771"/>
      <c r="FU3771"/>
      <c r="FV3771"/>
      <c r="FW3771"/>
      <c r="FX3771"/>
      <c r="FY3771"/>
      <c r="FZ3771"/>
      <c r="GA3771"/>
      <c r="GB3771"/>
      <c r="GC3771"/>
      <c r="GD3771"/>
      <c r="GE3771"/>
      <c r="GF3771"/>
      <c r="GG3771"/>
      <c r="GH3771"/>
      <c r="GI3771"/>
      <c r="GJ3771"/>
      <c r="GK3771"/>
      <c r="GL3771"/>
      <c r="GM3771"/>
      <c r="GN3771"/>
      <c r="GO3771"/>
    </row>
    <row r="3772" spans="107:197">
      <c r="DC3772"/>
      <c r="FH3772"/>
      <c r="FI3772"/>
      <c r="FJ3772"/>
      <c r="FK3772"/>
      <c r="FL3772"/>
      <c r="FM3772"/>
      <c r="FN3772"/>
      <c r="FO3772"/>
      <c r="FP3772"/>
      <c r="FQ3772"/>
      <c r="FR3772"/>
      <c r="FS3772"/>
      <c r="FT3772"/>
      <c r="FU3772"/>
      <c r="FV3772"/>
      <c r="FW3772"/>
      <c r="FX3772"/>
      <c r="FY3772"/>
      <c r="FZ3772"/>
      <c r="GA3772"/>
      <c r="GB3772"/>
      <c r="GC3772"/>
      <c r="GD3772"/>
      <c r="GE3772"/>
      <c r="GF3772"/>
      <c r="GG3772"/>
      <c r="GH3772"/>
      <c r="GI3772"/>
      <c r="GJ3772"/>
      <c r="GK3772"/>
      <c r="GL3772"/>
      <c r="GM3772"/>
      <c r="GN3772"/>
      <c r="GO3772"/>
    </row>
    <row r="3773" spans="107:197">
      <c r="DC3773"/>
      <c r="FH3773"/>
      <c r="FI3773"/>
      <c r="FJ3773"/>
      <c r="FK3773"/>
      <c r="FL3773"/>
      <c r="FM3773"/>
      <c r="FN3773"/>
      <c r="FO3773"/>
      <c r="FP3773"/>
      <c r="FQ3773"/>
      <c r="FR3773"/>
      <c r="FS3773"/>
      <c r="FT3773"/>
      <c r="FU3773"/>
      <c r="FV3773"/>
      <c r="FW3773"/>
      <c r="FX3773"/>
      <c r="FY3773"/>
      <c r="FZ3773"/>
      <c r="GA3773"/>
      <c r="GB3773"/>
      <c r="GC3773"/>
      <c r="GD3773"/>
      <c r="GE3773"/>
      <c r="GF3773"/>
      <c r="GG3773"/>
      <c r="GH3773"/>
      <c r="GI3773"/>
      <c r="GJ3773"/>
      <c r="GK3773"/>
      <c r="GL3773"/>
      <c r="GM3773"/>
      <c r="GN3773"/>
      <c r="GO3773"/>
    </row>
    <row r="3774" spans="107:197">
      <c r="DC3774"/>
      <c r="FH3774"/>
      <c r="FI3774"/>
      <c r="FJ3774"/>
      <c r="FK3774"/>
      <c r="FL3774"/>
      <c r="FM3774"/>
      <c r="FN3774"/>
      <c r="FO3774"/>
      <c r="FP3774"/>
      <c r="FQ3774"/>
      <c r="FR3774"/>
      <c r="FS3774"/>
      <c r="FT3774"/>
      <c r="FU3774"/>
      <c r="FV3774"/>
      <c r="FW3774"/>
      <c r="FX3774"/>
      <c r="FY3774"/>
      <c r="FZ3774"/>
      <c r="GA3774"/>
      <c r="GB3774"/>
      <c r="GC3774"/>
      <c r="GD3774"/>
      <c r="GE3774"/>
      <c r="GF3774"/>
      <c r="GG3774"/>
      <c r="GH3774"/>
      <c r="GI3774"/>
      <c r="GJ3774"/>
      <c r="GK3774"/>
      <c r="GL3774"/>
      <c r="GM3774"/>
      <c r="GN3774"/>
      <c r="GO3774"/>
    </row>
    <row r="3775" spans="107:197">
      <c r="DC3775"/>
      <c r="FH3775"/>
      <c r="FI3775"/>
      <c r="FJ3775"/>
      <c r="FK3775"/>
      <c r="FL3775"/>
      <c r="FM3775"/>
      <c r="FN3775"/>
      <c r="FO3775"/>
      <c r="FP3775"/>
      <c r="FQ3775"/>
      <c r="FR3775"/>
      <c r="FS3775"/>
      <c r="FT3775"/>
      <c r="FU3775"/>
      <c r="FV3775"/>
      <c r="FW3775"/>
      <c r="FX3775"/>
      <c r="FY3775"/>
      <c r="FZ3775"/>
      <c r="GA3775"/>
      <c r="GB3775"/>
      <c r="GC3775"/>
      <c r="GD3775"/>
      <c r="GE3775"/>
      <c r="GF3775"/>
      <c r="GG3775"/>
      <c r="GH3775"/>
      <c r="GI3775"/>
      <c r="GJ3775"/>
      <c r="GK3775"/>
      <c r="GL3775"/>
      <c r="GM3775"/>
      <c r="GN3775"/>
      <c r="GO3775"/>
    </row>
    <row r="3776" spans="107:197">
      <c r="DC3776"/>
      <c r="FH3776"/>
      <c r="FI3776"/>
      <c r="FJ3776"/>
      <c r="FK3776"/>
      <c r="FL3776"/>
      <c r="FM3776"/>
      <c r="FN3776"/>
      <c r="FO3776"/>
      <c r="FP3776"/>
      <c r="FQ3776"/>
      <c r="FR3776"/>
      <c r="FS3776"/>
      <c r="FT3776"/>
      <c r="FU3776"/>
      <c r="FV3776"/>
      <c r="FW3776"/>
      <c r="FX3776"/>
      <c r="FY3776"/>
      <c r="FZ3776"/>
      <c r="GA3776"/>
      <c r="GB3776"/>
      <c r="GC3776"/>
      <c r="GD3776"/>
      <c r="GE3776"/>
      <c r="GF3776"/>
      <c r="GG3776"/>
      <c r="GH3776"/>
      <c r="GI3776"/>
      <c r="GJ3776"/>
      <c r="GK3776"/>
      <c r="GL3776"/>
      <c r="GM3776"/>
      <c r="GN3776"/>
      <c r="GO3776"/>
    </row>
    <row r="3777" spans="107:197">
      <c r="DC3777"/>
      <c r="FH3777"/>
      <c r="FI3777"/>
      <c r="FJ3777"/>
      <c r="FK3777"/>
      <c r="FL3777"/>
      <c r="FM3777"/>
      <c r="FN3777"/>
      <c r="FO3777"/>
      <c r="FP3777"/>
      <c r="FQ3777"/>
      <c r="FR3777"/>
      <c r="FS3777"/>
      <c r="FT3777"/>
      <c r="FU3777"/>
      <c r="FV3777"/>
      <c r="FW3777"/>
      <c r="FX3777"/>
      <c r="FY3777"/>
      <c r="FZ3777"/>
      <c r="GA3777"/>
      <c r="GB3777"/>
      <c r="GC3777"/>
      <c r="GD3777"/>
      <c r="GE3777"/>
      <c r="GF3777"/>
      <c r="GG3777"/>
      <c r="GH3777"/>
      <c r="GI3777"/>
      <c r="GJ3777"/>
      <c r="GK3777"/>
      <c r="GL3777"/>
      <c r="GM3777"/>
      <c r="GN3777"/>
      <c r="GO3777"/>
    </row>
    <row r="3778" spans="107:197">
      <c r="DC3778"/>
      <c r="FH3778"/>
      <c r="FI3778"/>
      <c r="FJ3778"/>
      <c r="FK3778"/>
      <c r="FL3778"/>
      <c r="FM3778"/>
      <c r="FN3778"/>
      <c r="FO3778"/>
      <c r="FP3778"/>
      <c r="FQ3778"/>
      <c r="FR3778"/>
      <c r="FS3778"/>
      <c r="FT3778"/>
      <c r="FU3778"/>
      <c r="FV3778"/>
      <c r="FW3778"/>
      <c r="FX3778"/>
      <c r="FY3778"/>
      <c r="FZ3778"/>
      <c r="GA3778"/>
      <c r="GB3778"/>
      <c r="GC3778"/>
      <c r="GD3778"/>
      <c r="GE3778"/>
      <c r="GF3778"/>
      <c r="GG3778"/>
      <c r="GH3778"/>
      <c r="GI3778"/>
      <c r="GJ3778"/>
      <c r="GK3778"/>
      <c r="GL3778"/>
      <c r="GM3778"/>
      <c r="GN3778"/>
      <c r="GO3778"/>
    </row>
    <row r="3779" spans="107:197">
      <c r="DC3779"/>
      <c r="FH3779"/>
      <c r="FI3779"/>
      <c r="FJ3779"/>
      <c r="FK3779"/>
      <c r="FL3779"/>
      <c r="FM3779"/>
      <c r="FN3779"/>
      <c r="FO3779"/>
      <c r="FP3779"/>
      <c r="FQ3779"/>
      <c r="FR3779"/>
      <c r="FS3779"/>
      <c r="FT3779"/>
      <c r="FU3779"/>
      <c r="FV3779"/>
      <c r="FW3779"/>
      <c r="FX3779"/>
      <c r="FY3779"/>
      <c r="FZ3779"/>
      <c r="GA3779"/>
      <c r="GB3779"/>
      <c r="GC3779"/>
      <c r="GD3779"/>
      <c r="GE3779"/>
      <c r="GF3779"/>
      <c r="GG3779"/>
      <c r="GH3779"/>
      <c r="GI3779"/>
      <c r="GJ3779"/>
      <c r="GK3779"/>
      <c r="GL3779"/>
      <c r="GM3779"/>
      <c r="GN3779"/>
      <c r="GO3779"/>
    </row>
    <row r="3780" spans="107:197">
      <c r="DC3780"/>
      <c r="FH3780"/>
      <c r="FI3780"/>
      <c r="FJ3780"/>
      <c r="FK3780"/>
      <c r="FL3780"/>
      <c r="FM3780"/>
      <c r="FN3780"/>
      <c r="FO3780"/>
      <c r="FP3780"/>
      <c r="FQ3780"/>
      <c r="FR3780"/>
      <c r="FS3780"/>
      <c r="FT3780"/>
      <c r="FU3780"/>
      <c r="FV3780"/>
      <c r="FW3780"/>
      <c r="FX3780"/>
      <c r="FY3780"/>
      <c r="FZ3780"/>
      <c r="GA3780"/>
      <c r="GB3780"/>
      <c r="GC3780"/>
      <c r="GD3780"/>
      <c r="GE3780"/>
      <c r="GF3780"/>
      <c r="GG3780"/>
      <c r="GH3780"/>
      <c r="GI3780"/>
      <c r="GJ3780"/>
      <c r="GK3780"/>
      <c r="GL3780"/>
      <c r="GM3780"/>
      <c r="GN3780"/>
      <c r="GO3780"/>
    </row>
    <row r="3781" spans="107:197">
      <c r="DC3781"/>
      <c r="FH3781"/>
      <c r="FI3781"/>
      <c r="FJ3781"/>
      <c r="FK3781"/>
      <c r="FL3781"/>
      <c r="FM3781"/>
      <c r="FN3781"/>
      <c r="FO3781"/>
      <c r="FP3781"/>
      <c r="FQ3781"/>
      <c r="FR3781"/>
      <c r="FS3781"/>
      <c r="FT3781"/>
      <c r="FU3781"/>
      <c r="FV3781"/>
      <c r="FW3781"/>
      <c r="FX3781"/>
      <c r="FY3781"/>
      <c r="FZ3781"/>
      <c r="GA3781"/>
      <c r="GB3781"/>
      <c r="GC3781"/>
      <c r="GD3781"/>
      <c r="GE3781"/>
      <c r="GF3781"/>
      <c r="GG3781"/>
      <c r="GH3781"/>
      <c r="GI3781"/>
      <c r="GJ3781"/>
      <c r="GK3781"/>
      <c r="GL3781"/>
      <c r="GM3781"/>
      <c r="GN3781"/>
      <c r="GO3781"/>
    </row>
    <row r="3782" spans="107:197">
      <c r="DC3782"/>
      <c r="FH3782"/>
      <c r="FI3782"/>
      <c r="FJ3782"/>
      <c r="FK3782"/>
      <c r="FL3782"/>
      <c r="FM3782"/>
      <c r="FN3782"/>
      <c r="FO3782"/>
      <c r="FP3782"/>
      <c r="FQ3782"/>
      <c r="FR3782"/>
      <c r="FS3782"/>
      <c r="FT3782"/>
      <c r="FU3782"/>
      <c r="FV3782"/>
      <c r="FW3782"/>
      <c r="FX3782"/>
      <c r="FY3782"/>
      <c r="FZ3782"/>
      <c r="GA3782"/>
      <c r="GB3782"/>
      <c r="GC3782"/>
      <c r="GD3782"/>
      <c r="GE3782"/>
      <c r="GF3782"/>
      <c r="GG3782"/>
      <c r="GH3782"/>
      <c r="GI3782"/>
      <c r="GJ3782"/>
      <c r="GK3782"/>
      <c r="GL3782"/>
      <c r="GM3782"/>
      <c r="GN3782"/>
      <c r="GO3782"/>
    </row>
    <row r="3783" spans="107:197">
      <c r="DC3783"/>
      <c r="FH3783"/>
      <c r="FI3783"/>
      <c r="FJ3783"/>
      <c r="FK3783"/>
      <c r="FL3783"/>
      <c r="FM3783"/>
      <c r="FN3783"/>
      <c r="FO3783"/>
      <c r="FP3783"/>
      <c r="FQ3783"/>
      <c r="FR3783"/>
      <c r="FS3783"/>
      <c r="FT3783"/>
      <c r="FU3783"/>
      <c r="FV3783"/>
      <c r="FW3783"/>
      <c r="FX3783"/>
      <c r="FY3783"/>
      <c r="FZ3783"/>
      <c r="GA3783"/>
      <c r="GB3783"/>
      <c r="GC3783"/>
      <c r="GD3783"/>
      <c r="GE3783"/>
      <c r="GF3783"/>
      <c r="GG3783"/>
      <c r="GH3783"/>
      <c r="GI3783"/>
      <c r="GJ3783"/>
      <c r="GK3783"/>
      <c r="GL3783"/>
      <c r="GM3783"/>
      <c r="GN3783"/>
      <c r="GO3783"/>
    </row>
    <row r="3784" spans="107:197">
      <c r="DC3784"/>
      <c r="FH3784"/>
      <c r="FI3784"/>
      <c r="FJ3784"/>
      <c r="FK3784"/>
      <c r="FL3784"/>
      <c r="FM3784"/>
      <c r="FN3784"/>
      <c r="FO3784"/>
      <c r="FP3784"/>
      <c r="FQ3784"/>
      <c r="FR3784"/>
      <c r="FS3784"/>
      <c r="FT3784"/>
      <c r="FU3784"/>
      <c r="FV3784"/>
      <c r="FW3784"/>
      <c r="FX3784"/>
      <c r="FY3784"/>
      <c r="FZ3784"/>
      <c r="GA3784"/>
      <c r="GB3784"/>
      <c r="GC3784"/>
      <c r="GD3784"/>
      <c r="GE3784"/>
      <c r="GF3784"/>
      <c r="GG3784"/>
      <c r="GH3784"/>
      <c r="GI3784"/>
      <c r="GJ3784"/>
      <c r="GK3784"/>
      <c r="GL3784"/>
      <c r="GM3784"/>
      <c r="GN3784"/>
      <c r="GO3784"/>
    </row>
    <row r="3785" spans="107:197">
      <c r="DC3785"/>
      <c r="FH3785"/>
      <c r="FI3785"/>
      <c r="FJ3785"/>
      <c r="FK3785"/>
      <c r="FL3785"/>
      <c r="FM3785"/>
      <c r="FN3785"/>
      <c r="FO3785"/>
      <c r="FP3785"/>
      <c r="FQ3785"/>
      <c r="FR3785"/>
      <c r="FS3785"/>
      <c r="FT3785"/>
      <c r="FU3785"/>
      <c r="FV3785"/>
      <c r="FW3785"/>
      <c r="FX3785"/>
      <c r="FY3785"/>
      <c r="FZ3785"/>
      <c r="GA3785"/>
      <c r="GB3785"/>
      <c r="GC3785"/>
      <c r="GD3785"/>
      <c r="GE3785"/>
      <c r="GF3785"/>
      <c r="GG3785"/>
      <c r="GH3785"/>
      <c r="GI3785"/>
      <c r="GJ3785"/>
      <c r="GK3785"/>
      <c r="GL3785"/>
      <c r="GM3785"/>
      <c r="GN3785"/>
      <c r="GO3785"/>
    </row>
    <row r="3786" spans="107:197">
      <c r="DC3786"/>
      <c r="FH3786"/>
      <c r="FI3786"/>
      <c r="FJ3786"/>
      <c r="FK3786"/>
      <c r="FL3786"/>
      <c r="FM3786"/>
      <c r="FN3786"/>
      <c r="FO3786"/>
      <c r="FP3786"/>
      <c r="FQ3786"/>
      <c r="FR3786"/>
      <c r="FS3786"/>
      <c r="FT3786"/>
      <c r="FU3786"/>
      <c r="FV3786"/>
      <c r="FW3786"/>
      <c r="FX3786"/>
      <c r="FY3786"/>
      <c r="FZ3786"/>
      <c r="GA3786"/>
      <c r="GB3786"/>
      <c r="GC3786"/>
      <c r="GD3786"/>
      <c r="GE3786"/>
      <c r="GF3786"/>
      <c r="GG3786"/>
      <c r="GH3786"/>
      <c r="GI3786"/>
      <c r="GJ3786"/>
      <c r="GK3786"/>
      <c r="GL3786"/>
      <c r="GM3786"/>
      <c r="GN3786"/>
      <c r="GO3786"/>
    </row>
    <row r="3787" spans="107:197">
      <c r="DC3787"/>
      <c r="FH3787"/>
      <c r="FI3787"/>
      <c r="FJ3787"/>
      <c r="FK3787"/>
      <c r="FL3787"/>
      <c r="FM3787"/>
      <c r="FN3787"/>
      <c r="FO3787"/>
      <c r="FP3787"/>
      <c r="FQ3787"/>
      <c r="FR3787"/>
      <c r="FS3787"/>
      <c r="FT3787"/>
      <c r="FU3787"/>
      <c r="FV3787"/>
      <c r="FW3787"/>
      <c r="FX3787"/>
      <c r="FY3787"/>
      <c r="FZ3787"/>
      <c r="GA3787"/>
      <c r="GB3787"/>
      <c r="GC3787"/>
      <c r="GD3787"/>
      <c r="GE3787"/>
      <c r="GF3787"/>
      <c r="GG3787"/>
      <c r="GH3787"/>
      <c r="GI3787"/>
      <c r="GJ3787"/>
      <c r="GK3787"/>
      <c r="GL3787"/>
      <c r="GM3787"/>
      <c r="GN3787"/>
      <c r="GO3787"/>
    </row>
    <row r="3788" spans="107:197">
      <c r="DC3788"/>
      <c r="FH3788"/>
      <c r="FI3788"/>
      <c r="FJ3788"/>
      <c r="FK3788"/>
      <c r="FL3788"/>
      <c r="FM3788"/>
      <c r="FN3788"/>
      <c r="FO3788"/>
      <c r="FP3788"/>
      <c r="FQ3788"/>
      <c r="FR3788"/>
      <c r="FS3788"/>
      <c r="FT3788"/>
      <c r="FU3788"/>
      <c r="FV3788"/>
      <c r="FW3788"/>
      <c r="FX3788"/>
      <c r="FY3788"/>
      <c r="FZ3788"/>
      <c r="GA3788"/>
      <c r="GB3788"/>
      <c r="GC3788"/>
      <c r="GD3788"/>
      <c r="GE3788"/>
      <c r="GF3788"/>
      <c r="GG3788"/>
      <c r="GH3788"/>
      <c r="GI3788"/>
      <c r="GJ3788"/>
      <c r="GK3788"/>
      <c r="GL3788"/>
      <c r="GM3788"/>
      <c r="GN3788"/>
      <c r="GO3788"/>
    </row>
    <row r="3789" spans="107:197">
      <c r="DC3789"/>
      <c r="FH3789"/>
      <c r="FI3789"/>
      <c r="FJ3789"/>
      <c r="FK3789"/>
      <c r="FL3789"/>
      <c r="FM3789"/>
      <c r="FN3789"/>
      <c r="FO3789"/>
      <c r="FP3789"/>
      <c r="FQ3789"/>
      <c r="FR3789"/>
      <c r="FS3789"/>
      <c r="FT3789"/>
      <c r="FU3789"/>
      <c r="FV3789"/>
      <c r="FW3789"/>
      <c r="FX3789"/>
      <c r="FY3789"/>
      <c r="FZ3789"/>
      <c r="GA3789"/>
      <c r="GB3789"/>
      <c r="GC3789"/>
      <c r="GD3789"/>
      <c r="GE3789"/>
      <c r="GF3789"/>
      <c r="GG3789"/>
      <c r="GH3789"/>
      <c r="GI3789"/>
      <c r="GJ3789"/>
      <c r="GK3789"/>
      <c r="GL3789"/>
      <c r="GM3789"/>
      <c r="GN3789"/>
      <c r="GO3789"/>
    </row>
    <row r="3790" spans="107:197">
      <c r="DC3790"/>
      <c r="FH3790"/>
      <c r="FI3790"/>
      <c r="FJ3790"/>
      <c r="FK3790"/>
      <c r="FL3790"/>
      <c r="FM3790"/>
      <c r="FN3790"/>
      <c r="FO3790"/>
      <c r="FP3790"/>
      <c r="FQ3790"/>
      <c r="FR3790"/>
      <c r="FS3790"/>
      <c r="FT3790"/>
      <c r="FU3790"/>
      <c r="FV3790"/>
      <c r="FW3790"/>
      <c r="FX3790"/>
      <c r="FY3790"/>
      <c r="FZ3790"/>
      <c r="GA3790"/>
      <c r="GB3790"/>
      <c r="GC3790"/>
      <c r="GD3790"/>
      <c r="GE3790"/>
      <c r="GF3790"/>
      <c r="GG3790"/>
      <c r="GH3790"/>
      <c r="GI3790"/>
      <c r="GJ3790"/>
      <c r="GK3790"/>
      <c r="GL3790"/>
      <c r="GM3790"/>
      <c r="GN3790"/>
      <c r="GO3790"/>
    </row>
    <row r="3791" spans="107:197">
      <c r="DC3791"/>
      <c r="FH3791"/>
      <c r="FI3791"/>
      <c r="FJ3791"/>
      <c r="FK3791"/>
      <c r="FL3791"/>
      <c r="FM3791"/>
      <c r="FN3791"/>
      <c r="FO3791"/>
      <c r="FP3791"/>
      <c r="FQ3791"/>
      <c r="FR3791"/>
      <c r="FS3791"/>
      <c r="FT3791"/>
      <c r="FU3791"/>
      <c r="FV3791"/>
      <c r="FW3791"/>
      <c r="FX3791"/>
      <c r="FY3791"/>
      <c r="FZ3791"/>
      <c r="GA3791"/>
      <c r="GB3791"/>
      <c r="GC3791"/>
      <c r="GD3791"/>
      <c r="GE3791"/>
      <c r="GF3791"/>
      <c r="GG3791"/>
      <c r="GH3791"/>
      <c r="GI3791"/>
      <c r="GJ3791"/>
      <c r="GK3791"/>
      <c r="GL3791"/>
      <c r="GM3791"/>
      <c r="GN3791"/>
      <c r="GO3791"/>
    </row>
    <row r="3792" spans="107:197">
      <c r="DC3792"/>
      <c r="FH3792"/>
      <c r="FI3792"/>
      <c r="FJ3792"/>
      <c r="FK3792"/>
      <c r="FL3792"/>
      <c r="FM3792"/>
      <c r="FN3792"/>
      <c r="FO3792"/>
      <c r="FP3792"/>
      <c r="FQ3792"/>
      <c r="FR3792"/>
      <c r="FS3792"/>
      <c r="FT3792"/>
      <c r="FU3792"/>
      <c r="FV3792"/>
      <c r="FW3792"/>
      <c r="FX3792"/>
      <c r="FY3792"/>
      <c r="FZ3792"/>
      <c r="GA3792"/>
      <c r="GB3792"/>
      <c r="GC3792"/>
      <c r="GD3792"/>
      <c r="GE3792"/>
      <c r="GF3792"/>
      <c r="GG3792"/>
      <c r="GH3792"/>
      <c r="GI3792"/>
      <c r="GJ3792"/>
      <c r="GK3792"/>
      <c r="GL3792"/>
      <c r="GM3792"/>
      <c r="GN3792"/>
      <c r="GO3792"/>
    </row>
    <row r="3793" spans="107:197">
      <c r="DC3793"/>
      <c r="FH3793"/>
      <c r="FI3793"/>
      <c r="FJ3793"/>
      <c r="FK3793"/>
      <c r="FL3793"/>
      <c r="FM3793"/>
      <c r="FN3793"/>
      <c r="FO3793"/>
      <c r="FP3793"/>
      <c r="FQ3793"/>
      <c r="FR3793"/>
      <c r="FS3793"/>
      <c r="FT3793"/>
      <c r="FU3793"/>
      <c r="FV3793"/>
      <c r="FW3793"/>
      <c r="FX3793"/>
      <c r="FY3793"/>
      <c r="FZ3793"/>
      <c r="GA3793"/>
      <c r="GB3793"/>
      <c r="GC3793"/>
      <c r="GD3793"/>
      <c r="GE3793"/>
      <c r="GF3793"/>
      <c r="GG3793"/>
      <c r="GH3793"/>
      <c r="GI3793"/>
      <c r="GJ3793"/>
      <c r="GK3793"/>
      <c r="GL3793"/>
      <c r="GM3793"/>
      <c r="GN3793"/>
      <c r="GO3793"/>
    </row>
    <row r="3794" spans="107:197">
      <c r="DC3794"/>
      <c r="FH3794"/>
      <c r="FI3794"/>
      <c r="FJ3794"/>
      <c r="FK3794"/>
      <c r="FL3794"/>
      <c r="FM3794"/>
      <c r="FN3794"/>
      <c r="FO3794"/>
      <c r="FP3794"/>
      <c r="FQ3794"/>
      <c r="FR3794"/>
      <c r="FS3794"/>
      <c r="FT3794"/>
      <c r="FU3794"/>
      <c r="FV3794"/>
      <c r="FW3794"/>
      <c r="FX3794"/>
      <c r="FY3794"/>
      <c r="FZ3794"/>
      <c r="GA3794"/>
      <c r="GB3794"/>
      <c r="GC3794"/>
      <c r="GD3794"/>
      <c r="GE3794"/>
      <c r="GF3794"/>
      <c r="GG3794"/>
      <c r="GH3794"/>
      <c r="GI3794"/>
      <c r="GJ3794"/>
      <c r="GK3794"/>
      <c r="GL3794"/>
      <c r="GM3794"/>
      <c r="GN3794"/>
      <c r="GO3794"/>
    </row>
    <row r="3795" spans="107:197">
      <c r="DC3795"/>
      <c r="FH3795"/>
      <c r="FI3795"/>
      <c r="FJ3795"/>
      <c r="FK3795"/>
      <c r="FL3795"/>
      <c r="FM3795"/>
      <c r="FN3795"/>
      <c r="FO3795"/>
      <c r="FP3795"/>
      <c r="FQ3795"/>
      <c r="FR3795"/>
      <c r="FS3795"/>
      <c r="FT3795"/>
      <c r="FU3795"/>
      <c r="FV3795"/>
      <c r="FW3795"/>
      <c r="FX3795"/>
      <c r="FY3795"/>
      <c r="FZ3795"/>
      <c r="GA3795"/>
      <c r="GB3795"/>
      <c r="GC3795"/>
      <c r="GD3795"/>
      <c r="GE3795"/>
      <c r="GF3795"/>
      <c r="GG3795"/>
      <c r="GH3795"/>
      <c r="GI3795"/>
      <c r="GJ3795"/>
      <c r="GK3795"/>
      <c r="GL3795"/>
      <c r="GM3795"/>
      <c r="GN3795"/>
      <c r="GO3795"/>
    </row>
    <row r="3796" spans="107:197">
      <c r="DC3796"/>
      <c r="FH3796"/>
      <c r="FI3796"/>
      <c r="FJ3796"/>
      <c r="FK3796"/>
      <c r="FL3796"/>
      <c r="FM3796"/>
      <c r="FN3796"/>
      <c r="FO3796"/>
      <c r="FP3796"/>
      <c r="FQ3796"/>
      <c r="FR3796"/>
      <c r="FS3796"/>
      <c r="FT3796"/>
      <c r="FU3796"/>
      <c r="FV3796"/>
      <c r="FW3796"/>
      <c r="FX3796"/>
      <c r="FY3796"/>
      <c r="FZ3796"/>
      <c r="GA3796"/>
      <c r="GB3796"/>
      <c r="GC3796"/>
      <c r="GD3796"/>
      <c r="GE3796"/>
      <c r="GF3796"/>
      <c r="GG3796"/>
      <c r="GH3796"/>
      <c r="GI3796"/>
      <c r="GJ3796"/>
      <c r="GK3796"/>
      <c r="GL3796"/>
      <c r="GM3796"/>
      <c r="GN3796"/>
      <c r="GO3796"/>
    </row>
    <row r="3797" spans="107:197">
      <c r="DC3797"/>
      <c r="FH3797"/>
      <c r="FI3797"/>
      <c r="FJ3797"/>
      <c r="FK3797"/>
      <c r="FL3797"/>
      <c r="FM3797"/>
      <c r="FN3797"/>
      <c r="FO3797"/>
      <c r="FP3797"/>
      <c r="FQ3797"/>
      <c r="FR3797"/>
      <c r="FS3797"/>
      <c r="FT3797"/>
      <c r="FU3797"/>
      <c r="FV3797"/>
      <c r="FW3797"/>
      <c r="FX3797"/>
      <c r="FY3797"/>
      <c r="FZ3797"/>
      <c r="GA3797"/>
      <c r="GB3797"/>
      <c r="GC3797"/>
      <c r="GD3797"/>
      <c r="GE3797"/>
      <c r="GF3797"/>
      <c r="GG3797"/>
      <c r="GH3797"/>
      <c r="GI3797"/>
      <c r="GJ3797"/>
      <c r="GK3797"/>
      <c r="GL3797"/>
      <c r="GM3797"/>
      <c r="GN3797"/>
      <c r="GO3797"/>
    </row>
    <row r="3798" spans="107:197">
      <c r="DC3798"/>
      <c r="FH3798"/>
      <c r="FI3798"/>
      <c r="FJ3798"/>
      <c r="FK3798"/>
      <c r="FL3798"/>
      <c r="FM3798"/>
      <c r="FN3798"/>
      <c r="FO3798"/>
      <c r="FP3798"/>
      <c r="FQ3798"/>
      <c r="FR3798"/>
      <c r="FS3798"/>
      <c r="FT3798"/>
      <c r="FU3798"/>
      <c r="FV3798"/>
      <c r="FW3798"/>
      <c r="FX3798"/>
      <c r="FY3798"/>
      <c r="FZ3798"/>
      <c r="GA3798"/>
      <c r="GB3798"/>
      <c r="GC3798"/>
      <c r="GD3798"/>
      <c r="GE3798"/>
      <c r="GF3798"/>
      <c r="GG3798"/>
      <c r="GH3798"/>
      <c r="GI3798"/>
      <c r="GJ3798"/>
      <c r="GK3798"/>
      <c r="GL3798"/>
      <c r="GM3798"/>
      <c r="GN3798"/>
      <c r="GO3798"/>
    </row>
    <row r="3799" spans="107:197">
      <c r="DC3799"/>
      <c r="FH3799"/>
      <c r="FI3799"/>
      <c r="FJ3799"/>
      <c r="FK3799"/>
      <c r="FL3799"/>
      <c r="FM3799"/>
      <c r="FN3799"/>
      <c r="FO3799"/>
      <c r="FP3799"/>
      <c r="FQ3799"/>
      <c r="FR3799"/>
      <c r="FS3799"/>
      <c r="FT3799"/>
      <c r="FU3799"/>
      <c r="FV3799"/>
      <c r="FW3799"/>
      <c r="FX3799"/>
      <c r="FY3799"/>
      <c r="FZ3799"/>
      <c r="GA3799"/>
      <c r="GB3799"/>
      <c r="GC3799"/>
      <c r="GD3799"/>
      <c r="GE3799"/>
      <c r="GF3799"/>
      <c r="GG3799"/>
      <c r="GH3799"/>
      <c r="GI3799"/>
      <c r="GJ3799"/>
      <c r="GK3799"/>
      <c r="GL3799"/>
      <c r="GM3799"/>
      <c r="GN3799"/>
      <c r="GO3799"/>
    </row>
    <row r="3800" spans="107:197">
      <c r="DC3800"/>
      <c r="FH3800"/>
      <c r="FI3800"/>
      <c r="FJ3800"/>
      <c r="FK3800"/>
      <c r="FL3800"/>
      <c r="FM3800"/>
      <c r="FN3800"/>
      <c r="FO3800"/>
      <c r="FP3800"/>
      <c r="FQ3800"/>
      <c r="FR3800"/>
      <c r="FS3800"/>
      <c r="FT3800"/>
      <c r="FU3800"/>
      <c r="FV3800"/>
      <c r="FW3800"/>
      <c r="FX3800"/>
      <c r="FY3800"/>
      <c r="FZ3800"/>
      <c r="GA3800"/>
      <c r="GB3800"/>
      <c r="GC3800"/>
      <c r="GD3800"/>
      <c r="GE3800"/>
      <c r="GF3800"/>
      <c r="GG3800"/>
      <c r="GH3800"/>
      <c r="GI3800"/>
      <c r="GJ3800"/>
      <c r="GK3800"/>
      <c r="GL3800"/>
      <c r="GM3800"/>
      <c r="GN3800"/>
      <c r="GO3800"/>
    </row>
    <row r="3801" spans="107:197">
      <c r="DC3801"/>
      <c r="FH3801"/>
      <c r="FI3801"/>
      <c r="FJ3801"/>
      <c r="FK3801"/>
      <c r="FL3801"/>
      <c r="FM3801"/>
      <c r="FN3801"/>
      <c r="FO3801"/>
      <c r="FP3801"/>
      <c r="FQ3801"/>
      <c r="FR3801"/>
      <c r="FS3801"/>
      <c r="FT3801"/>
      <c r="FU3801"/>
      <c r="FV3801"/>
      <c r="FW3801"/>
      <c r="FX3801"/>
      <c r="FY3801"/>
      <c r="FZ3801"/>
      <c r="GA3801"/>
      <c r="GB3801"/>
      <c r="GC3801"/>
      <c r="GD3801"/>
      <c r="GE3801"/>
      <c r="GF3801"/>
      <c r="GG3801"/>
      <c r="GH3801"/>
      <c r="GI3801"/>
      <c r="GJ3801"/>
      <c r="GK3801"/>
      <c r="GL3801"/>
      <c r="GM3801"/>
      <c r="GN3801"/>
      <c r="GO3801"/>
    </row>
    <row r="3802" spans="107:197">
      <c r="DC3802"/>
      <c r="FH3802"/>
      <c r="FI3802"/>
      <c r="FJ3802"/>
      <c r="FK3802"/>
      <c r="FL3802"/>
      <c r="FM3802"/>
      <c r="FN3802"/>
      <c r="FO3802"/>
      <c r="FP3802"/>
      <c r="FQ3802"/>
      <c r="FR3802"/>
      <c r="FS3802"/>
      <c r="FT3802"/>
      <c r="FU3802"/>
      <c r="FV3802"/>
      <c r="FW3802"/>
      <c r="FX3802"/>
      <c r="FY3802"/>
      <c r="FZ3802"/>
      <c r="GA3802"/>
      <c r="GB3802"/>
      <c r="GC3802"/>
      <c r="GD3802"/>
      <c r="GE3802"/>
      <c r="GF3802"/>
      <c r="GG3802"/>
      <c r="GH3802"/>
      <c r="GI3802"/>
      <c r="GJ3802"/>
      <c r="GK3802"/>
      <c r="GL3802"/>
      <c r="GM3802"/>
      <c r="GN3802"/>
      <c r="GO3802"/>
    </row>
    <row r="3803" spans="107:197">
      <c r="DC3803"/>
      <c r="FH3803"/>
      <c r="FI3803"/>
      <c r="FJ3803"/>
      <c r="FK3803"/>
      <c r="FL3803"/>
      <c r="FM3803"/>
      <c r="FN3803"/>
      <c r="FO3803"/>
      <c r="FP3803"/>
      <c r="FQ3803"/>
      <c r="FR3803"/>
      <c r="FS3803"/>
      <c r="FT3803"/>
      <c r="FU3803"/>
      <c r="FV3803"/>
      <c r="FW3803"/>
      <c r="FX3803"/>
      <c r="FY3803"/>
      <c r="FZ3803"/>
      <c r="GA3803"/>
      <c r="GB3803"/>
      <c r="GC3803"/>
      <c r="GD3803"/>
      <c r="GE3803"/>
      <c r="GF3803"/>
      <c r="GG3803"/>
      <c r="GH3803"/>
      <c r="GI3803"/>
      <c r="GJ3803"/>
      <c r="GK3803"/>
      <c r="GL3803"/>
      <c r="GM3803"/>
      <c r="GN3803"/>
      <c r="GO3803"/>
    </row>
    <row r="3804" spans="107:197">
      <c r="DC3804"/>
      <c r="FH3804"/>
      <c r="FI3804"/>
      <c r="FJ3804"/>
      <c r="FK3804"/>
      <c r="FL3804"/>
      <c r="FM3804"/>
      <c r="FN3804"/>
      <c r="FO3804"/>
      <c r="FP3804"/>
      <c r="FQ3804"/>
      <c r="FR3804"/>
      <c r="FS3804"/>
      <c r="FT3804"/>
      <c r="FU3804"/>
      <c r="FV3804"/>
      <c r="FW3804"/>
      <c r="FX3804"/>
      <c r="FY3804"/>
      <c r="FZ3804"/>
      <c r="GA3804"/>
      <c r="GB3804"/>
      <c r="GC3804"/>
      <c r="GD3804"/>
      <c r="GE3804"/>
      <c r="GF3804"/>
      <c r="GG3804"/>
      <c r="GH3804"/>
      <c r="GI3804"/>
      <c r="GJ3804"/>
      <c r="GK3804"/>
      <c r="GL3804"/>
      <c r="GM3804"/>
      <c r="GN3804"/>
      <c r="GO3804"/>
    </row>
    <row r="3805" spans="107:197">
      <c r="DC3805"/>
      <c r="FH3805"/>
      <c r="FI3805"/>
      <c r="FJ3805"/>
      <c r="FK3805"/>
      <c r="FL3805"/>
      <c r="FM3805"/>
      <c r="FN3805"/>
      <c r="FO3805"/>
      <c r="FP3805"/>
      <c r="FQ3805"/>
      <c r="FR3805"/>
      <c r="FS3805"/>
      <c r="FT3805"/>
      <c r="FU3805"/>
      <c r="FV3805"/>
      <c r="FW3805"/>
      <c r="FX3805"/>
      <c r="FY3805"/>
      <c r="FZ3805"/>
      <c r="GA3805"/>
      <c r="GB3805"/>
      <c r="GC3805"/>
      <c r="GD3805"/>
      <c r="GE3805"/>
      <c r="GF3805"/>
      <c r="GG3805"/>
      <c r="GH3805"/>
      <c r="GI3805"/>
      <c r="GJ3805"/>
      <c r="GK3805"/>
      <c r="GL3805"/>
      <c r="GM3805"/>
      <c r="GN3805"/>
      <c r="GO3805"/>
    </row>
    <row r="3806" spans="107:197">
      <c r="DC3806"/>
      <c r="FH3806"/>
      <c r="FI3806"/>
      <c r="FJ3806"/>
      <c r="FK3806"/>
      <c r="FL3806"/>
      <c r="FM3806"/>
      <c r="FN3806"/>
      <c r="FO3806"/>
      <c r="FP3806"/>
      <c r="FQ3806"/>
      <c r="FR3806"/>
      <c r="FS3806"/>
      <c r="FT3806"/>
      <c r="FU3806"/>
      <c r="FV3806"/>
      <c r="FW3806"/>
      <c r="FX3806"/>
      <c r="FY3806"/>
      <c r="FZ3806"/>
      <c r="GA3806"/>
      <c r="GB3806"/>
      <c r="GC3806"/>
      <c r="GD3806"/>
      <c r="GE3806"/>
      <c r="GF3806"/>
      <c r="GG3806"/>
      <c r="GH3806"/>
      <c r="GI3806"/>
      <c r="GJ3806"/>
      <c r="GK3806"/>
      <c r="GL3806"/>
      <c r="GM3806"/>
      <c r="GN3806"/>
      <c r="GO3806"/>
    </row>
    <row r="3807" spans="107:197">
      <c r="DC3807"/>
      <c r="FH3807"/>
      <c r="FI3807"/>
      <c r="FJ3807"/>
      <c r="FK3807"/>
      <c r="FL3807"/>
      <c r="FM3807"/>
      <c r="FN3807"/>
      <c r="FO3807"/>
      <c r="FP3807"/>
      <c r="FQ3807"/>
      <c r="FR3807"/>
      <c r="FS3807"/>
      <c r="FT3807"/>
      <c r="FU3807"/>
      <c r="FV3807"/>
      <c r="FW3807"/>
      <c r="FX3807"/>
      <c r="FY3807"/>
      <c r="FZ3807"/>
      <c r="GA3807"/>
      <c r="GB3807"/>
      <c r="GC3807"/>
      <c r="GD3807"/>
      <c r="GE3807"/>
      <c r="GF3807"/>
      <c r="GG3807"/>
      <c r="GH3807"/>
      <c r="GI3807"/>
      <c r="GJ3807"/>
      <c r="GK3807"/>
      <c r="GL3807"/>
      <c r="GM3807"/>
      <c r="GN3807"/>
      <c r="GO3807"/>
    </row>
    <row r="3808" spans="107:197">
      <c r="DC3808"/>
      <c r="FH3808"/>
      <c r="FI3808"/>
      <c r="FJ3808"/>
      <c r="FK3808"/>
      <c r="FL3808"/>
      <c r="FM3808"/>
      <c r="FN3808"/>
      <c r="FO3808"/>
      <c r="FP3808"/>
      <c r="FQ3808"/>
      <c r="FR3808"/>
      <c r="FS3808"/>
      <c r="FT3808"/>
      <c r="FU3808"/>
      <c r="FV3808"/>
      <c r="FW3808"/>
      <c r="FX3808"/>
      <c r="FY3808"/>
      <c r="FZ3808"/>
      <c r="GA3808"/>
      <c r="GB3808"/>
      <c r="GC3808"/>
      <c r="GD3808"/>
      <c r="GE3808"/>
      <c r="GF3808"/>
      <c r="GG3808"/>
      <c r="GH3808"/>
      <c r="GI3808"/>
      <c r="GJ3808"/>
      <c r="GK3808"/>
      <c r="GL3808"/>
      <c r="GM3808"/>
      <c r="GN3808"/>
      <c r="GO3808"/>
    </row>
    <row r="3809" spans="107:197">
      <c r="DC3809"/>
      <c r="FH3809"/>
      <c r="FI3809"/>
      <c r="FJ3809"/>
      <c r="FK3809"/>
      <c r="FL3809"/>
      <c r="FM3809"/>
      <c r="FN3809"/>
      <c r="FO3809"/>
      <c r="FP3809"/>
      <c r="FQ3809"/>
      <c r="FR3809"/>
      <c r="FS3809"/>
      <c r="FT3809"/>
      <c r="FU3809"/>
      <c r="FV3809"/>
      <c r="FW3809"/>
      <c r="FX3809"/>
      <c r="FY3809"/>
      <c r="FZ3809"/>
      <c r="GA3809"/>
      <c r="GB3809"/>
      <c r="GC3809"/>
      <c r="GD3809"/>
      <c r="GE3809"/>
      <c r="GF3809"/>
      <c r="GG3809"/>
      <c r="GH3809"/>
      <c r="GI3809"/>
      <c r="GJ3809"/>
      <c r="GK3809"/>
      <c r="GL3809"/>
      <c r="GM3809"/>
      <c r="GN3809"/>
      <c r="GO3809"/>
    </row>
    <row r="3810" spans="107:197">
      <c r="DC3810"/>
      <c r="FH3810"/>
      <c r="FI3810"/>
      <c r="FJ3810"/>
      <c r="FK3810"/>
      <c r="FL3810"/>
      <c r="FM3810"/>
      <c r="FN3810"/>
      <c r="FO3810"/>
      <c r="FP3810"/>
      <c r="FQ3810"/>
      <c r="FR3810"/>
      <c r="FS3810"/>
      <c r="FT3810"/>
      <c r="FU3810"/>
      <c r="FV3810"/>
      <c r="FW3810"/>
      <c r="FX3810"/>
      <c r="FY3810"/>
      <c r="FZ3810"/>
      <c r="GA3810"/>
      <c r="GB3810"/>
      <c r="GC3810"/>
      <c r="GD3810"/>
      <c r="GE3810"/>
      <c r="GF3810"/>
      <c r="GG3810"/>
      <c r="GH3810"/>
      <c r="GI3810"/>
      <c r="GJ3810"/>
      <c r="GK3810"/>
      <c r="GL3810"/>
      <c r="GM3810"/>
      <c r="GN3810"/>
      <c r="GO3810"/>
    </row>
    <row r="3811" spans="107:197">
      <c r="DC3811"/>
      <c r="FH3811"/>
      <c r="FI3811"/>
      <c r="FJ3811"/>
      <c r="FK3811"/>
      <c r="FL3811"/>
      <c r="FM3811"/>
      <c r="FN3811"/>
      <c r="FO3811"/>
      <c r="FP3811"/>
      <c r="FQ3811"/>
      <c r="FR3811"/>
      <c r="FS3811"/>
      <c r="FT3811"/>
      <c r="FU3811"/>
      <c r="FV3811"/>
      <c r="FW3811"/>
      <c r="FX3811"/>
      <c r="FY3811"/>
      <c r="FZ3811"/>
      <c r="GA3811"/>
      <c r="GB3811"/>
      <c r="GC3811"/>
      <c r="GD3811"/>
      <c r="GE3811"/>
      <c r="GF3811"/>
      <c r="GG3811"/>
      <c r="GH3811"/>
      <c r="GI3811"/>
      <c r="GJ3811"/>
      <c r="GK3811"/>
      <c r="GL3811"/>
      <c r="GM3811"/>
      <c r="GN3811"/>
      <c r="GO3811"/>
    </row>
    <row r="3812" spans="107:197">
      <c r="DC3812"/>
      <c r="FH3812"/>
      <c r="FI3812"/>
      <c r="FJ3812"/>
      <c r="FK3812"/>
      <c r="FL3812"/>
      <c r="FM3812"/>
      <c r="FN3812"/>
      <c r="FO3812"/>
      <c r="FP3812"/>
      <c r="FQ3812"/>
      <c r="FR3812"/>
      <c r="FS3812"/>
      <c r="FT3812"/>
      <c r="FU3812"/>
      <c r="FV3812"/>
      <c r="FW3812"/>
      <c r="FX3812"/>
      <c r="FY3812"/>
      <c r="FZ3812"/>
      <c r="GA3812"/>
      <c r="GB3812"/>
      <c r="GC3812"/>
      <c r="GD3812"/>
      <c r="GE3812"/>
      <c r="GF3812"/>
      <c r="GG3812"/>
      <c r="GH3812"/>
      <c r="GI3812"/>
      <c r="GJ3812"/>
      <c r="GK3812"/>
      <c r="GL3812"/>
      <c r="GM3812"/>
      <c r="GN3812"/>
      <c r="GO3812"/>
    </row>
    <row r="3813" spans="107:197">
      <c r="DC3813"/>
      <c r="FH3813"/>
      <c r="FI3813"/>
      <c r="FJ3813"/>
      <c r="FK3813"/>
      <c r="FL3813"/>
      <c r="FM3813"/>
      <c r="FN3813"/>
      <c r="FO3813"/>
      <c r="FP3813"/>
      <c r="FQ3813"/>
      <c r="FR3813"/>
      <c r="FS3813"/>
      <c r="FT3813"/>
      <c r="FU3813"/>
      <c r="FV3813"/>
      <c r="FW3813"/>
      <c r="FX3813"/>
      <c r="FY3813"/>
      <c r="FZ3813"/>
      <c r="GA3813"/>
      <c r="GB3813"/>
      <c r="GC3813"/>
      <c r="GD3813"/>
      <c r="GE3813"/>
      <c r="GF3813"/>
      <c r="GG3813"/>
      <c r="GH3813"/>
      <c r="GI3813"/>
      <c r="GJ3813"/>
      <c r="GK3813"/>
      <c r="GL3813"/>
      <c r="GM3813"/>
      <c r="GN3813"/>
      <c r="GO3813"/>
    </row>
    <row r="3814" spans="107:197">
      <c r="DC3814"/>
      <c r="FH3814"/>
      <c r="FI3814"/>
      <c r="FJ3814"/>
      <c r="FK3814"/>
      <c r="FL3814"/>
      <c r="FM3814"/>
      <c r="FN3814"/>
      <c r="FO3814"/>
      <c r="FP3814"/>
      <c r="FQ3814"/>
      <c r="FR3814"/>
      <c r="FS3814"/>
      <c r="FT3814"/>
      <c r="FU3814"/>
      <c r="FV3814"/>
      <c r="FW3814"/>
      <c r="FX3814"/>
      <c r="FY3814"/>
      <c r="FZ3814"/>
      <c r="GA3814"/>
      <c r="GB3814"/>
      <c r="GC3814"/>
      <c r="GD3814"/>
      <c r="GE3814"/>
      <c r="GF3814"/>
      <c r="GG3814"/>
      <c r="GH3814"/>
      <c r="GI3814"/>
      <c r="GJ3814"/>
      <c r="GK3814"/>
      <c r="GL3814"/>
      <c r="GM3814"/>
      <c r="GN3814"/>
      <c r="GO3814"/>
    </row>
    <row r="3815" spans="107:197">
      <c r="DC3815"/>
      <c r="FH3815"/>
      <c r="FI3815"/>
      <c r="FJ3815"/>
      <c r="FK3815"/>
      <c r="FL3815"/>
      <c r="FM3815"/>
      <c r="FN3815"/>
      <c r="FO3815"/>
      <c r="FP3815"/>
      <c r="FQ3815"/>
      <c r="FR3815"/>
      <c r="FS3815"/>
      <c r="FT3815"/>
      <c r="FU3815"/>
      <c r="FV3815"/>
      <c r="FW3815"/>
      <c r="FX3815"/>
      <c r="FY3815"/>
      <c r="FZ3815"/>
      <c r="GA3815"/>
      <c r="GB3815"/>
      <c r="GC3815"/>
      <c r="GD3815"/>
      <c r="GE3815"/>
      <c r="GF3815"/>
      <c r="GG3815"/>
      <c r="GH3815"/>
      <c r="GI3815"/>
      <c r="GJ3815"/>
      <c r="GK3815"/>
      <c r="GL3815"/>
      <c r="GM3815"/>
      <c r="GN3815"/>
      <c r="GO3815"/>
    </row>
    <row r="3816" spans="107:197">
      <c r="DC3816"/>
      <c r="FH3816"/>
      <c r="FI3816"/>
      <c r="FJ3816"/>
      <c r="FK3816"/>
      <c r="FL3816"/>
      <c r="FM3816"/>
      <c r="FN3816"/>
      <c r="FO3816"/>
      <c r="FP3816"/>
      <c r="FQ3816"/>
      <c r="FR3816"/>
      <c r="FS3816"/>
      <c r="FT3816"/>
      <c r="FU3816"/>
      <c r="FV3816"/>
      <c r="FW3816"/>
      <c r="FX3816"/>
      <c r="FY3816"/>
      <c r="FZ3816"/>
      <c r="GA3816"/>
      <c r="GB3816"/>
      <c r="GC3816"/>
      <c r="GD3816"/>
      <c r="GE3816"/>
      <c r="GF3816"/>
      <c r="GG3816"/>
      <c r="GH3816"/>
      <c r="GI3816"/>
      <c r="GJ3816"/>
      <c r="GK3816"/>
      <c r="GL3816"/>
      <c r="GM3816"/>
      <c r="GN3816"/>
      <c r="GO3816"/>
    </row>
    <row r="3817" spans="107:197">
      <c r="DC3817"/>
      <c r="FH3817"/>
      <c r="FI3817"/>
      <c r="FJ3817"/>
      <c r="FK3817"/>
      <c r="FL3817"/>
      <c r="FM3817"/>
      <c r="FN3817"/>
      <c r="FO3817"/>
      <c r="FP3817"/>
      <c r="FQ3817"/>
      <c r="FR3817"/>
      <c r="FS3817"/>
      <c r="FT3817"/>
      <c r="FU3817"/>
      <c r="FV3817"/>
      <c r="FW3817"/>
      <c r="FX3817"/>
      <c r="FY3817"/>
      <c r="FZ3817"/>
      <c r="GA3817"/>
      <c r="GB3817"/>
      <c r="GC3817"/>
      <c r="GD3817"/>
      <c r="GE3817"/>
      <c r="GF3817"/>
      <c r="GG3817"/>
      <c r="GH3817"/>
      <c r="GI3817"/>
      <c r="GJ3817"/>
      <c r="GK3817"/>
      <c r="GL3817"/>
      <c r="GM3817"/>
      <c r="GN3817"/>
      <c r="GO3817"/>
    </row>
    <row r="3818" spans="107:197">
      <c r="DC3818"/>
      <c r="FH3818"/>
      <c r="FI3818"/>
      <c r="FJ3818"/>
      <c r="FK3818"/>
      <c r="FL3818"/>
      <c r="FM3818"/>
      <c r="FN3818"/>
      <c r="FO3818"/>
      <c r="FP3818"/>
      <c r="FQ3818"/>
      <c r="FR3818"/>
      <c r="FS3818"/>
      <c r="FT3818"/>
      <c r="FU3818"/>
      <c r="FV3818"/>
      <c r="FW3818"/>
      <c r="FX3818"/>
      <c r="FY3818"/>
      <c r="FZ3818"/>
      <c r="GA3818"/>
      <c r="GB3818"/>
      <c r="GC3818"/>
      <c r="GD3818"/>
      <c r="GE3818"/>
      <c r="GF3818"/>
      <c r="GG3818"/>
      <c r="GH3818"/>
      <c r="GI3818"/>
      <c r="GJ3818"/>
      <c r="GK3818"/>
      <c r="GL3818"/>
      <c r="GM3818"/>
      <c r="GN3818"/>
      <c r="GO3818"/>
    </row>
    <row r="3819" spans="107:197">
      <c r="DC3819"/>
      <c r="FH3819"/>
      <c r="FI3819"/>
      <c r="FJ3819"/>
      <c r="FK3819"/>
      <c r="FL3819"/>
      <c r="FM3819"/>
      <c r="FN3819"/>
      <c r="FO3819"/>
      <c r="FP3819"/>
      <c r="FQ3819"/>
      <c r="FR3819"/>
      <c r="FS3819"/>
      <c r="FT3819"/>
      <c r="FU3819"/>
      <c r="FV3819"/>
      <c r="FW3819"/>
      <c r="FX3819"/>
      <c r="FY3819"/>
      <c r="FZ3819"/>
      <c r="GA3819"/>
      <c r="GB3819"/>
      <c r="GC3819"/>
      <c r="GD3819"/>
      <c r="GE3819"/>
      <c r="GF3819"/>
      <c r="GG3819"/>
      <c r="GH3819"/>
      <c r="GI3819"/>
      <c r="GJ3819"/>
      <c r="GK3819"/>
      <c r="GL3819"/>
      <c r="GM3819"/>
      <c r="GN3819"/>
      <c r="GO3819"/>
    </row>
    <row r="3820" spans="107:197">
      <c r="DC3820"/>
      <c r="FH3820"/>
      <c r="FI3820"/>
      <c r="FJ3820"/>
      <c r="FK3820"/>
      <c r="FL3820"/>
      <c r="FM3820"/>
      <c r="FN3820"/>
      <c r="FO3820"/>
      <c r="FP3820"/>
      <c r="FQ3820"/>
      <c r="FR3820"/>
      <c r="FS3820"/>
      <c r="FT3820"/>
      <c r="FU3820"/>
      <c r="FV3820"/>
      <c r="FW3820"/>
      <c r="FX3820"/>
      <c r="FY3820"/>
      <c r="FZ3820"/>
      <c r="GA3820"/>
      <c r="GB3820"/>
      <c r="GC3820"/>
      <c r="GD3820"/>
      <c r="GE3820"/>
      <c r="GF3820"/>
      <c r="GG3820"/>
      <c r="GH3820"/>
      <c r="GI3820"/>
      <c r="GJ3820"/>
      <c r="GK3820"/>
      <c r="GL3820"/>
      <c r="GM3820"/>
      <c r="GN3820"/>
      <c r="GO3820"/>
    </row>
    <row r="3821" spans="107:197">
      <c r="DC3821"/>
      <c r="FH3821"/>
      <c r="FI3821"/>
      <c r="FJ3821"/>
      <c r="FK3821"/>
      <c r="FL3821"/>
      <c r="FM3821"/>
      <c r="FN3821"/>
      <c r="FO3821"/>
      <c r="FP3821"/>
      <c r="FQ3821"/>
      <c r="FR3821"/>
      <c r="FS3821"/>
      <c r="FT3821"/>
      <c r="FU3821"/>
      <c r="FV3821"/>
      <c r="FW3821"/>
      <c r="FX3821"/>
      <c r="FY3821"/>
      <c r="FZ3821"/>
      <c r="GA3821"/>
      <c r="GB3821"/>
      <c r="GC3821"/>
      <c r="GD3821"/>
      <c r="GE3821"/>
      <c r="GF3821"/>
      <c r="GG3821"/>
      <c r="GH3821"/>
      <c r="GI3821"/>
      <c r="GJ3821"/>
      <c r="GK3821"/>
      <c r="GL3821"/>
      <c r="GM3821"/>
      <c r="GN3821"/>
      <c r="GO3821"/>
    </row>
    <row r="3822" spans="107:197">
      <c r="DC3822"/>
      <c r="FH3822"/>
      <c r="FI3822"/>
      <c r="FJ3822"/>
      <c r="FK3822"/>
      <c r="FL3822"/>
      <c r="FM3822"/>
      <c r="FN3822"/>
      <c r="FO3822"/>
      <c r="FP3822"/>
      <c r="FQ3822"/>
      <c r="FR3822"/>
      <c r="FS3822"/>
      <c r="FT3822"/>
      <c r="FU3822"/>
      <c r="FV3822"/>
      <c r="FW3822"/>
      <c r="FX3822"/>
      <c r="FY3822"/>
      <c r="FZ3822"/>
      <c r="GA3822"/>
      <c r="GB3822"/>
      <c r="GC3822"/>
      <c r="GD3822"/>
      <c r="GE3822"/>
      <c r="GF3822"/>
      <c r="GG3822"/>
      <c r="GH3822"/>
      <c r="GI3822"/>
      <c r="GJ3822"/>
      <c r="GK3822"/>
      <c r="GL3822"/>
      <c r="GM3822"/>
      <c r="GN3822"/>
      <c r="GO3822"/>
    </row>
    <row r="3823" spans="107:197">
      <c r="DC3823"/>
      <c r="FH3823"/>
      <c r="FI3823"/>
      <c r="FJ3823"/>
      <c r="FK3823"/>
      <c r="FL3823"/>
      <c r="FM3823"/>
      <c r="FN3823"/>
      <c r="FO3823"/>
      <c r="FP3823"/>
      <c r="FQ3823"/>
      <c r="FR3823"/>
      <c r="FS3823"/>
      <c r="FT3823"/>
      <c r="FU3823"/>
      <c r="FV3823"/>
      <c r="FW3823"/>
      <c r="FX3823"/>
      <c r="FY3823"/>
      <c r="FZ3823"/>
      <c r="GA3823"/>
      <c r="GB3823"/>
      <c r="GC3823"/>
      <c r="GD3823"/>
      <c r="GE3823"/>
      <c r="GF3823"/>
      <c r="GG3823"/>
      <c r="GH3823"/>
      <c r="GI3823"/>
      <c r="GJ3823"/>
      <c r="GK3823"/>
      <c r="GL3823"/>
      <c r="GM3823"/>
      <c r="GN3823"/>
      <c r="GO3823"/>
    </row>
    <row r="3824" spans="107:197">
      <c r="DC3824"/>
      <c r="FH3824"/>
      <c r="FI3824"/>
      <c r="FJ3824"/>
      <c r="FK3824"/>
      <c r="FL3824"/>
      <c r="FM3824"/>
      <c r="FN3824"/>
      <c r="FO3824"/>
      <c r="FP3824"/>
      <c r="FQ3824"/>
      <c r="FR3824"/>
      <c r="FS3824"/>
      <c r="FT3824"/>
      <c r="FU3824"/>
      <c r="FV3824"/>
      <c r="FW3824"/>
      <c r="FX3824"/>
      <c r="FY3824"/>
      <c r="FZ3824"/>
      <c r="GA3824"/>
      <c r="GB3824"/>
      <c r="GC3824"/>
      <c r="GD3824"/>
      <c r="GE3824"/>
      <c r="GF3824"/>
      <c r="GG3824"/>
      <c r="GH3824"/>
      <c r="GI3824"/>
      <c r="GJ3824"/>
      <c r="GK3824"/>
      <c r="GL3824"/>
      <c r="GM3824"/>
      <c r="GN3824"/>
      <c r="GO3824"/>
    </row>
    <row r="3825" spans="107:197">
      <c r="DC3825"/>
      <c r="FH3825"/>
      <c r="FI3825"/>
      <c r="FJ3825"/>
      <c r="FK3825"/>
      <c r="FL3825"/>
      <c r="FM3825"/>
      <c r="FN3825"/>
      <c r="FO3825"/>
      <c r="FP3825"/>
      <c r="FQ3825"/>
      <c r="FR3825"/>
      <c r="FS3825"/>
      <c r="FT3825"/>
      <c r="FU3825"/>
      <c r="FV3825"/>
      <c r="FW3825"/>
      <c r="FX3825"/>
      <c r="FY3825"/>
      <c r="FZ3825"/>
      <c r="GA3825"/>
      <c r="GB3825"/>
      <c r="GC3825"/>
      <c r="GD3825"/>
      <c r="GE3825"/>
      <c r="GF3825"/>
      <c r="GG3825"/>
      <c r="GH3825"/>
      <c r="GI3825"/>
      <c r="GJ3825"/>
      <c r="GK3825"/>
      <c r="GL3825"/>
      <c r="GM3825"/>
      <c r="GN3825"/>
      <c r="GO3825"/>
    </row>
    <row r="3826" spans="107:197">
      <c r="DC3826"/>
      <c r="FH3826"/>
      <c r="FI3826"/>
      <c r="FJ3826"/>
      <c r="FK3826"/>
      <c r="FL3826"/>
      <c r="FM3826"/>
      <c r="FN3826"/>
      <c r="FO3826"/>
      <c r="FP3826"/>
      <c r="FQ3826"/>
      <c r="FR3826"/>
      <c r="FS3826"/>
      <c r="FT3826"/>
      <c r="FU3826"/>
      <c r="FV3826"/>
      <c r="FW3826"/>
      <c r="FX3826"/>
      <c r="FY3826"/>
      <c r="FZ3826"/>
      <c r="GA3826"/>
      <c r="GB3826"/>
      <c r="GC3826"/>
      <c r="GD3826"/>
      <c r="GE3826"/>
      <c r="GF3826"/>
      <c r="GG3826"/>
      <c r="GH3826"/>
      <c r="GI3826"/>
      <c r="GJ3826"/>
      <c r="GK3826"/>
      <c r="GL3826"/>
      <c r="GM3826"/>
      <c r="GN3826"/>
      <c r="GO3826"/>
    </row>
    <row r="3827" spans="107:197">
      <c r="DC3827"/>
      <c r="FH3827"/>
      <c r="FI3827"/>
      <c r="FJ3827"/>
      <c r="FK3827"/>
      <c r="FL3827"/>
      <c r="FM3827"/>
      <c r="FN3827"/>
      <c r="FO3827"/>
      <c r="FP3827"/>
      <c r="FQ3827"/>
      <c r="FR3827"/>
      <c r="FS3827"/>
      <c r="FT3827"/>
      <c r="FU3827"/>
      <c r="FV3827"/>
      <c r="FW3827"/>
      <c r="FX3827"/>
      <c r="FY3827"/>
      <c r="FZ3827"/>
      <c r="GA3827"/>
      <c r="GB3827"/>
      <c r="GC3827"/>
      <c r="GD3827"/>
      <c r="GE3827"/>
      <c r="GF3827"/>
      <c r="GG3827"/>
      <c r="GH3827"/>
      <c r="GI3827"/>
      <c r="GJ3827"/>
      <c r="GK3827"/>
      <c r="GL3827"/>
      <c r="GM3827"/>
      <c r="GN3827"/>
      <c r="GO3827"/>
    </row>
    <row r="3828" spans="107:197">
      <c r="DC3828"/>
      <c r="FH3828"/>
      <c r="FI3828"/>
      <c r="FJ3828"/>
      <c r="FK3828"/>
      <c r="FL3828"/>
      <c r="FM3828"/>
      <c r="FN3828"/>
      <c r="FO3828"/>
      <c r="FP3828"/>
      <c r="FQ3828"/>
      <c r="FR3828"/>
      <c r="FS3828"/>
      <c r="FT3828"/>
      <c r="FU3828"/>
      <c r="FV3828"/>
      <c r="FW3828"/>
      <c r="FX3828"/>
      <c r="FY3828"/>
      <c r="FZ3828"/>
      <c r="GA3828"/>
      <c r="GB3828"/>
      <c r="GC3828"/>
      <c r="GD3828"/>
      <c r="GE3828"/>
      <c r="GF3828"/>
      <c r="GG3828"/>
      <c r="GH3828"/>
      <c r="GI3828"/>
      <c r="GJ3828"/>
      <c r="GK3828"/>
      <c r="GL3828"/>
      <c r="GM3828"/>
      <c r="GN3828"/>
      <c r="GO3828"/>
    </row>
    <row r="3829" spans="107:197">
      <c r="DC3829"/>
      <c r="FH3829"/>
      <c r="FI3829"/>
      <c r="FJ3829"/>
      <c r="FK3829"/>
      <c r="FL3829"/>
      <c r="FM3829"/>
      <c r="FN3829"/>
      <c r="FO3829"/>
      <c r="FP3829"/>
      <c r="FQ3829"/>
      <c r="FR3829"/>
      <c r="FS3829"/>
      <c r="FT3829"/>
      <c r="FU3829"/>
      <c r="FV3829"/>
      <c r="FW3829"/>
      <c r="FX3829"/>
      <c r="FY3829"/>
      <c r="FZ3829"/>
      <c r="GA3829"/>
      <c r="GB3829"/>
      <c r="GC3829"/>
      <c r="GD3829"/>
      <c r="GE3829"/>
      <c r="GF3829"/>
      <c r="GG3829"/>
      <c r="GH3829"/>
      <c r="GI3829"/>
      <c r="GJ3829"/>
      <c r="GK3829"/>
      <c r="GL3829"/>
      <c r="GM3829"/>
      <c r="GN3829"/>
      <c r="GO3829"/>
    </row>
    <row r="3830" spans="107:197">
      <c r="DC3830"/>
      <c r="FH3830"/>
      <c r="FI3830"/>
      <c r="FJ3830"/>
      <c r="FK3830"/>
      <c r="FL3830"/>
      <c r="FM3830"/>
      <c r="FN3830"/>
      <c r="FO3830"/>
      <c r="FP3830"/>
      <c r="FQ3830"/>
      <c r="FR3830"/>
      <c r="FS3830"/>
      <c r="FT3830"/>
      <c r="FU3830"/>
      <c r="FV3830"/>
      <c r="FW3830"/>
      <c r="FX3830"/>
      <c r="FY3830"/>
      <c r="FZ3830"/>
      <c r="GA3830"/>
      <c r="GB3830"/>
      <c r="GC3830"/>
      <c r="GD3830"/>
      <c r="GE3830"/>
      <c r="GF3830"/>
      <c r="GG3830"/>
      <c r="GH3830"/>
      <c r="GI3830"/>
      <c r="GJ3830"/>
      <c r="GK3830"/>
      <c r="GL3830"/>
      <c r="GM3830"/>
      <c r="GN3830"/>
      <c r="GO3830"/>
    </row>
    <row r="3831" spans="107:197">
      <c r="DC3831"/>
      <c r="FH3831"/>
      <c r="FI3831"/>
      <c r="FJ3831"/>
      <c r="FK3831"/>
      <c r="FL3831"/>
      <c r="FM3831"/>
      <c r="FN3831"/>
      <c r="FO3831"/>
      <c r="FP3831"/>
      <c r="FQ3831"/>
      <c r="FR3831"/>
      <c r="FS3831"/>
      <c r="FT3831"/>
      <c r="FU3831"/>
      <c r="FV3831"/>
      <c r="FW3831"/>
      <c r="FX3831"/>
      <c r="FY3831"/>
      <c r="FZ3831"/>
      <c r="GA3831"/>
      <c r="GB3831"/>
      <c r="GC3831"/>
      <c r="GD3831"/>
      <c r="GE3831"/>
      <c r="GF3831"/>
      <c r="GG3831"/>
      <c r="GH3831"/>
      <c r="GI3831"/>
      <c r="GJ3831"/>
      <c r="GK3831"/>
      <c r="GL3831"/>
      <c r="GM3831"/>
      <c r="GN3831"/>
      <c r="GO3831"/>
    </row>
    <row r="3832" spans="107:197">
      <c r="DC3832"/>
      <c r="FH3832"/>
      <c r="FI3832"/>
      <c r="FJ3832"/>
      <c r="FK3832"/>
      <c r="FL3832"/>
      <c r="FM3832"/>
      <c r="FN3832"/>
      <c r="FO3832"/>
      <c r="FP3832"/>
      <c r="FQ3832"/>
      <c r="FR3832"/>
      <c r="FS3832"/>
      <c r="FT3832"/>
      <c r="FU3832"/>
      <c r="FV3832"/>
      <c r="FW3832"/>
      <c r="FX3832"/>
      <c r="FY3832"/>
      <c r="FZ3832"/>
      <c r="GA3832"/>
      <c r="GB3832"/>
      <c r="GC3832"/>
      <c r="GD3832"/>
      <c r="GE3832"/>
      <c r="GF3832"/>
      <c r="GG3832"/>
      <c r="GH3832"/>
      <c r="GI3832"/>
      <c r="GJ3832"/>
      <c r="GK3832"/>
      <c r="GL3832"/>
      <c r="GM3832"/>
      <c r="GN3832"/>
      <c r="GO3832"/>
    </row>
    <row r="3833" spans="107:197">
      <c r="DC3833"/>
      <c r="FH3833"/>
      <c r="FI3833"/>
      <c r="FJ3833"/>
      <c r="FK3833"/>
      <c r="FL3833"/>
      <c r="FM3833"/>
      <c r="FN3833"/>
      <c r="FO3833"/>
      <c r="FP3833"/>
      <c r="FQ3833"/>
      <c r="FR3833"/>
      <c r="FS3833"/>
      <c r="FT3833"/>
      <c r="FU3833"/>
      <c r="FV3833"/>
      <c r="FW3833"/>
      <c r="FX3833"/>
      <c r="FY3833"/>
      <c r="FZ3833"/>
      <c r="GA3833"/>
      <c r="GB3833"/>
      <c r="GC3833"/>
      <c r="GD3833"/>
      <c r="GE3833"/>
      <c r="GF3833"/>
      <c r="GG3833"/>
      <c r="GH3833"/>
      <c r="GI3833"/>
      <c r="GJ3833"/>
      <c r="GK3833"/>
      <c r="GL3833"/>
      <c r="GM3833"/>
      <c r="GN3833"/>
      <c r="GO3833"/>
    </row>
    <row r="3834" spans="107:197">
      <c r="DC3834"/>
      <c r="FH3834"/>
      <c r="FI3834"/>
      <c r="FJ3834"/>
      <c r="FK3834"/>
      <c r="FL3834"/>
      <c r="FM3834"/>
      <c r="FN3834"/>
      <c r="FO3834"/>
      <c r="FP3834"/>
      <c r="FQ3834"/>
      <c r="FR3834"/>
      <c r="FS3834"/>
      <c r="FT3834"/>
      <c r="FU3834"/>
      <c r="FV3834"/>
      <c r="FW3834"/>
      <c r="FX3834"/>
      <c r="FY3834"/>
      <c r="FZ3834"/>
      <c r="GA3834"/>
      <c r="GB3834"/>
      <c r="GC3834"/>
      <c r="GD3834"/>
      <c r="GE3834"/>
      <c r="GF3834"/>
      <c r="GG3834"/>
      <c r="GH3834"/>
      <c r="GI3834"/>
      <c r="GJ3834"/>
      <c r="GK3834"/>
      <c r="GL3834"/>
      <c r="GM3834"/>
      <c r="GN3834"/>
      <c r="GO3834"/>
    </row>
    <row r="3835" spans="107:197">
      <c r="DC3835"/>
      <c r="FH3835"/>
      <c r="FI3835"/>
      <c r="FJ3835"/>
      <c r="FK3835"/>
      <c r="FL3835"/>
      <c r="FM3835"/>
      <c r="FN3835"/>
      <c r="FO3835"/>
      <c r="FP3835"/>
      <c r="FQ3835"/>
      <c r="FR3835"/>
      <c r="FS3835"/>
      <c r="FT3835"/>
      <c r="FU3835"/>
      <c r="FV3835"/>
      <c r="FW3835"/>
      <c r="FX3835"/>
      <c r="FY3835"/>
      <c r="FZ3835"/>
      <c r="GA3835"/>
      <c r="GB3835"/>
      <c r="GC3835"/>
      <c r="GD3835"/>
      <c r="GE3835"/>
      <c r="GF3835"/>
      <c r="GG3835"/>
      <c r="GH3835"/>
      <c r="GI3835"/>
      <c r="GJ3835"/>
      <c r="GK3835"/>
      <c r="GL3835"/>
      <c r="GM3835"/>
      <c r="GN3835"/>
      <c r="GO3835"/>
    </row>
    <row r="3836" spans="107:197">
      <c r="DC3836"/>
      <c r="FH3836"/>
      <c r="FI3836"/>
      <c r="FJ3836"/>
      <c r="FK3836"/>
      <c r="FL3836"/>
      <c r="FM3836"/>
      <c r="FN3836"/>
      <c r="FO3836"/>
      <c r="FP3836"/>
      <c r="FQ3836"/>
      <c r="FR3836"/>
      <c r="FS3836"/>
      <c r="FT3836"/>
      <c r="FU3836"/>
      <c r="FV3836"/>
      <c r="FW3836"/>
      <c r="FX3836"/>
      <c r="FY3836"/>
      <c r="FZ3836"/>
      <c r="GA3836"/>
      <c r="GB3836"/>
      <c r="GC3836"/>
      <c r="GD3836"/>
      <c r="GE3836"/>
      <c r="GF3836"/>
      <c r="GG3836"/>
      <c r="GH3836"/>
      <c r="GI3836"/>
      <c r="GJ3836"/>
      <c r="GK3836"/>
      <c r="GL3836"/>
      <c r="GM3836"/>
      <c r="GN3836"/>
      <c r="GO3836"/>
    </row>
    <row r="3837" spans="107:197">
      <c r="DC3837"/>
      <c r="FH3837"/>
      <c r="FI3837"/>
      <c r="FJ3837"/>
      <c r="FK3837"/>
      <c r="FL3837"/>
      <c r="FM3837"/>
      <c r="FN3837"/>
      <c r="FO3837"/>
      <c r="FP3837"/>
      <c r="FQ3837"/>
      <c r="FR3837"/>
      <c r="FS3837"/>
      <c r="FT3837"/>
      <c r="FU3837"/>
      <c r="FV3837"/>
      <c r="FW3837"/>
      <c r="FX3837"/>
      <c r="FY3837"/>
      <c r="FZ3837"/>
      <c r="GA3837"/>
      <c r="GB3837"/>
      <c r="GC3837"/>
      <c r="GD3837"/>
      <c r="GE3837"/>
      <c r="GF3837"/>
      <c r="GG3837"/>
      <c r="GH3837"/>
      <c r="GI3837"/>
      <c r="GJ3837"/>
      <c r="GK3837"/>
      <c r="GL3837"/>
      <c r="GM3837"/>
      <c r="GN3837"/>
      <c r="GO3837"/>
    </row>
    <row r="3838" spans="107:197">
      <c r="DC3838"/>
      <c r="FH3838"/>
      <c r="FI3838"/>
      <c r="FJ3838"/>
      <c r="FK3838"/>
      <c r="FL3838"/>
      <c r="FM3838"/>
      <c r="FN3838"/>
      <c r="FO3838"/>
      <c r="FP3838"/>
      <c r="FQ3838"/>
      <c r="FR3838"/>
      <c r="FS3838"/>
      <c r="FT3838"/>
      <c r="FU3838"/>
      <c r="FV3838"/>
      <c r="FW3838"/>
      <c r="FX3838"/>
      <c r="FY3838"/>
      <c r="FZ3838"/>
      <c r="GA3838"/>
      <c r="GB3838"/>
      <c r="GC3838"/>
      <c r="GD3838"/>
      <c r="GE3838"/>
      <c r="GF3838"/>
      <c r="GG3838"/>
      <c r="GH3838"/>
      <c r="GI3838"/>
      <c r="GJ3838"/>
      <c r="GK3838"/>
      <c r="GL3838"/>
      <c r="GM3838"/>
      <c r="GN3838"/>
      <c r="GO3838"/>
    </row>
    <row r="3839" spans="107:197">
      <c r="DC3839"/>
      <c r="FH3839"/>
      <c r="FI3839"/>
      <c r="FJ3839"/>
      <c r="FK3839"/>
      <c r="FL3839"/>
      <c r="FM3839"/>
      <c r="FN3839"/>
      <c r="FO3839"/>
      <c r="FP3839"/>
      <c r="FQ3839"/>
      <c r="FR3839"/>
      <c r="FS3839"/>
      <c r="FT3839"/>
      <c r="FU3839"/>
      <c r="FV3839"/>
      <c r="FW3839"/>
      <c r="FX3839"/>
      <c r="FY3839"/>
      <c r="FZ3839"/>
      <c r="GA3839"/>
      <c r="GB3839"/>
      <c r="GC3839"/>
      <c r="GD3839"/>
      <c r="GE3839"/>
      <c r="GF3839"/>
      <c r="GG3839"/>
      <c r="GH3839"/>
      <c r="GI3839"/>
      <c r="GJ3839"/>
      <c r="GK3839"/>
      <c r="GL3839"/>
      <c r="GM3839"/>
      <c r="GN3839"/>
      <c r="GO3839"/>
    </row>
    <row r="3840" spans="107:197">
      <c r="DC3840"/>
      <c r="FH3840"/>
      <c r="FI3840"/>
      <c r="FJ3840"/>
      <c r="FK3840"/>
      <c r="FL3840"/>
      <c r="FM3840"/>
      <c r="FN3840"/>
      <c r="FO3840"/>
      <c r="FP3840"/>
      <c r="FQ3840"/>
      <c r="FR3840"/>
      <c r="FS3840"/>
      <c r="FT3840"/>
      <c r="FU3840"/>
      <c r="FV3840"/>
      <c r="FW3840"/>
      <c r="FX3840"/>
      <c r="FY3840"/>
      <c r="FZ3840"/>
      <c r="GA3840"/>
      <c r="GB3840"/>
      <c r="GC3840"/>
      <c r="GD3840"/>
      <c r="GE3840"/>
      <c r="GF3840"/>
      <c r="GG3840"/>
      <c r="GH3840"/>
      <c r="GI3840"/>
      <c r="GJ3840"/>
      <c r="GK3840"/>
      <c r="GL3840"/>
      <c r="GM3840"/>
      <c r="GN3840"/>
      <c r="GO3840"/>
    </row>
    <row r="3841" spans="107:197">
      <c r="DC3841"/>
      <c r="FH3841"/>
      <c r="FI3841"/>
      <c r="FJ3841"/>
      <c r="FK3841"/>
      <c r="FL3841"/>
      <c r="FM3841"/>
      <c r="FN3841"/>
      <c r="FO3841"/>
      <c r="FP3841"/>
      <c r="FQ3841"/>
      <c r="FR3841"/>
      <c r="FS3841"/>
      <c r="FT3841"/>
      <c r="FU3841"/>
      <c r="FV3841"/>
      <c r="FW3841"/>
      <c r="FX3841"/>
      <c r="FY3841"/>
      <c r="FZ3841"/>
      <c r="GA3841"/>
      <c r="GB3841"/>
      <c r="GC3841"/>
      <c r="GD3841"/>
      <c r="GE3841"/>
      <c r="GF3841"/>
      <c r="GG3841"/>
      <c r="GH3841"/>
      <c r="GI3841"/>
      <c r="GJ3841"/>
      <c r="GK3841"/>
      <c r="GL3841"/>
      <c r="GM3841"/>
      <c r="GN3841"/>
      <c r="GO3841"/>
    </row>
    <row r="3842" spans="107:197">
      <c r="DC3842"/>
      <c r="FH3842"/>
      <c r="FI3842"/>
      <c r="FJ3842"/>
      <c r="FK3842"/>
      <c r="FL3842"/>
      <c r="FM3842"/>
      <c r="FN3842"/>
      <c r="FO3842"/>
      <c r="FP3842"/>
      <c r="FQ3842"/>
      <c r="FR3842"/>
      <c r="FS3842"/>
      <c r="FT3842"/>
      <c r="FU3842"/>
      <c r="FV3842"/>
      <c r="FW3842"/>
      <c r="FX3842"/>
      <c r="FY3842"/>
      <c r="FZ3842"/>
      <c r="GA3842"/>
      <c r="GB3842"/>
      <c r="GC3842"/>
      <c r="GD3842"/>
      <c r="GE3842"/>
      <c r="GF3842"/>
      <c r="GG3842"/>
      <c r="GH3842"/>
      <c r="GI3842"/>
      <c r="GJ3842"/>
      <c r="GK3842"/>
      <c r="GL3842"/>
      <c r="GM3842"/>
      <c r="GN3842"/>
      <c r="GO3842"/>
    </row>
    <row r="3843" spans="107:197">
      <c r="DC3843"/>
      <c r="FH3843"/>
      <c r="FI3843"/>
      <c r="FJ3843"/>
      <c r="FK3843"/>
      <c r="FL3843"/>
      <c r="FM3843"/>
      <c r="FN3843"/>
      <c r="FO3843"/>
      <c r="FP3843"/>
      <c r="FQ3843"/>
      <c r="FR3843"/>
      <c r="FS3843"/>
      <c r="FT3843"/>
      <c r="FU3843"/>
      <c r="FV3843"/>
      <c r="FW3843"/>
      <c r="FX3843"/>
      <c r="FY3843"/>
      <c r="FZ3843"/>
      <c r="GA3843"/>
      <c r="GB3843"/>
      <c r="GC3843"/>
      <c r="GD3843"/>
      <c r="GE3843"/>
      <c r="GF3843"/>
      <c r="GG3843"/>
      <c r="GH3843"/>
      <c r="GI3843"/>
      <c r="GJ3843"/>
      <c r="GK3843"/>
      <c r="GL3843"/>
      <c r="GM3843"/>
      <c r="GN3843"/>
      <c r="GO3843"/>
    </row>
    <row r="3844" spans="107:197">
      <c r="DC3844"/>
      <c r="FH3844"/>
      <c r="FI3844"/>
      <c r="FJ3844"/>
      <c r="FK3844"/>
      <c r="FL3844"/>
      <c r="FM3844"/>
      <c r="FN3844"/>
      <c r="FO3844"/>
      <c r="FP3844"/>
      <c r="FQ3844"/>
      <c r="FR3844"/>
      <c r="FS3844"/>
      <c r="FT3844"/>
      <c r="FU3844"/>
      <c r="FV3844"/>
      <c r="FW3844"/>
      <c r="FX3844"/>
      <c r="FY3844"/>
      <c r="FZ3844"/>
      <c r="GA3844"/>
      <c r="GB3844"/>
      <c r="GC3844"/>
      <c r="GD3844"/>
      <c r="GE3844"/>
      <c r="GF3844"/>
      <c r="GG3844"/>
      <c r="GH3844"/>
      <c r="GI3844"/>
      <c r="GJ3844"/>
      <c r="GK3844"/>
      <c r="GL3844"/>
      <c r="GM3844"/>
      <c r="GN3844"/>
      <c r="GO3844"/>
    </row>
    <row r="3845" spans="107:197">
      <c r="DC3845"/>
      <c r="FH3845"/>
      <c r="FI3845"/>
      <c r="FJ3845"/>
      <c r="FK3845"/>
      <c r="FL3845"/>
      <c r="FM3845"/>
      <c r="FN3845"/>
      <c r="FO3845"/>
      <c r="FP3845"/>
      <c r="FQ3845"/>
      <c r="FR3845"/>
      <c r="FS3845"/>
      <c r="FT3845"/>
      <c r="FU3845"/>
      <c r="FV3845"/>
      <c r="FW3845"/>
      <c r="FX3845"/>
      <c r="FY3845"/>
      <c r="FZ3845"/>
      <c r="GA3845"/>
      <c r="GB3845"/>
      <c r="GC3845"/>
      <c r="GD3845"/>
      <c r="GE3845"/>
      <c r="GF3845"/>
      <c r="GG3845"/>
      <c r="GH3845"/>
      <c r="GI3845"/>
      <c r="GJ3845"/>
      <c r="GK3845"/>
      <c r="GL3845"/>
      <c r="GM3845"/>
      <c r="GN3845"/>
      <c r="GO3845"/>
    </row>
    <row r="3846" spans="107:197">
      <c r="DC3846"/>
      <c r="FH3846"/>
      <c r="FI3846"/>
      <c r="FJ3846"/>
      <c r="FK3846"/>
      <c r="FL3846"/>
      <c r="FM3846"/>
      <c r="FN3846"/>
      <c r="FO3846"/>
      <c r="FP3846"/>
      <c r="FQ3846"/>
      <c r="FR3846"/>
      <c r="FS3846"/>
      <c r="FT3846"/>
      <c r="FU3846"/>
      <c r="FV3846"/>
      <c r="FW3846"/>
      <c r="FX3846"/>
      <c r="FY3846"/>
      <c r="FZ3846"/>
      <c r="GA3846"/>
      <c r="GB3846"/>
      <c r="GC3846"/>
      <c r="GD3846"/>
      <c r="GE3846"/>
      <c r="GF3846"/>
      <c r="GG3846"/>
      <c r="GH3846"/>
      <c r="GI3846"/>
      <c r="GJ3846"/>
      <c r="GK3846"/>
      <c r="GL3846"/>
      <c r="GM3846"/>
      <c r="GN3846"/>
      <c r="GO3846"/>
    </row>
    <row r="3847" spans="107:197">
      <c r="DC3847"/>
      <c r="FH3847"/>
      <c r="FI3847"/>
      <c r="FJ3847"/>
      <c r="FK3847"/>
      <c r="FL3847"/>
      <c r="FM3847"/>
      <c r="FN3847"/>
      <c r="FO3847"/>
      <c r="FP3847"/>
      <c r="FQ3847"/>
      <c r="FR3847"/>
      <c r="FS3847"/>
      <c r="FT3847"/>
      <c r="FU3847"/>
      <c r="FV3847"/>
      <c r="FW3847"/>
      <c r="FX3847"/>
      <c r="FY3847"/>
      <c r="FZ3847"/>
      <c r="GA3847"/>
      <c r="GB3847"/>
      <c r="GC3847"/>
      <c r="GD3847"/>
      <c r="GE3847"/>
      <c r="GF3847"/>
      <c r="GG3847"/>
      <c r="GH3847"/>
      <c r="GI3847"/>
      <c r="GJ3847"/>
      <c r="GK3847"/>
      <c r="GL3847"/>
      <c r="GM3847"/>
      <c r="GN3847"/>
      <c r="GO3847"/>
    </row>
    <row r="3848" spans="107:197">
      <c r="DC3848"/>
      <c r="FH3848"/>
      <c r="FI3848"/>
      <c r="FJ3848"/>
      <c r="FK3848"/>
      <c r="FL3848"/>
      <c r="FM3848"/>
      <c r="FN3848"/>
      <c r="FO3848"/>
      <c r="FP3848"/>
      <c r="FQ3848"/>
      <c r="FR3848"/>
      <c r="FS3848"/>
      <c r="FT3848"/>
      <c r="FU3848"/>
      <c r="FV3848"/>
      <c r="FW3848"/>
      <c r="FX3848"/>
      <c r="FY3848"/>
      <c r="FZ3848"/>
      <c r="GA3848"/>
      <c r="GB3848"/>
      <c r="GC3848"/>
      <c r="GD3848"/>
      <c r="GE3848"/>
      <c r="GF3848"/>
      <c r="GG3848"/>
      <c r="GH3848"/>
      <c r="GI3848"/>
      <c r="GJ3848"/>
      <c r="GK3848"/>
      <c r="GL3848"/>
      <c r="GM3848"/>
      <c r="GN3848"/>
      <c r="GO3848"/>
    </row>
    <row r="3849" spans="107:197">
      <c r="DC3849"/>
      <c r="FH3849"/>
      <c r="FI3849"/>
      <c r="FJ3849"/>
      <c r="FK3849"/>
      <c r="FL3849"/>
      <c r="FM3849"/>
      <c r="FN3849"/>
      <c r="FO3849"/>
      <c r="FP3849"/>
      <c r="FQ3849"/>
      <c r="FR3849"/>
      <c r="FS3849"/>
      <c r="FT3849"/>
      <c r="FU3849"/>
      <c r="FV3849"/>
      <c r="FW3849"/>
      <c r="FX3849"/>
      <c r="FY3849"/>
      <c r="FZ3849"/>
      <c r="GA3849"/>
      <c r="GB3849"/>
      <c r="GC3849"/>
      <c r="GD3849"/>
      <c r="GE3849"/>
      <c r="GF3849"/>
      <c r="GG3849"/>
      <c r="GH3849"/>
      <c r="GI3849"/>
      <c r="GJ3849"/>
      <c r="GK3849"/>
      <c r="GL3849"/>
      <c r="GM3849"/>
      <c r="GN3849"/>
      <c r="GO3849"/>
    </row>
    <row r="3850" spans="107:197">
      <c r="DC3850"/>
      <c r="FH3850"/>
      <c r="FI3850"/>
      <c r="FJ3850"/>
      <c r="FK3850"/>
      <c r="FL3850"/>
      <c r="FM3850"/>
      <c r="FN3850"/>
      <c r="FO3850"/>
      <c r="FP3850"/>
      <c r="FQ3850"/>
      <c r="FR3850"/>
      <c r="FS3850"/>
      <c r="FT3850"/>
      <c r="FU3850"/>
      <c r="FV3850"/>
      <c r="FW3850"/>
      <c r="FX3850"/>
      <c r="FY3850"/>
      <c r="FZ3850"/>
      <c r="GA3850"/>
      <c r="GB3850"/>
      <c r="GC3850"/>
      <c r="GD3850"/>
      <c r="GE3850"/>
      <c r="GF3850"/>
      <c r="GG3850"/>
      <c r="GH3850"/>
      <c r="GI3850"/>
      <c r="GJ3850"/>
      <c r="GK3850"/>
      <c r="GL3850"/>
      <c r="GM3850"/>
      <c r="GN3850"/>
      <c r="GO3850"/>
    </row>
    <row r="3851" spans="107:197">
      <c r="DC3851"/>
      <c r="FH3851"/>
      <c r="FI3851"/>
      <c r="FJ3851"/>
      <c r="FK3851"/>
      <c r="FL3851"/>
      <c r="FM3851"/>
      <c r="FN3851"/>
      <c r="FO3851"/>
      <c r="FP3851"/>
      <c r="FQ3851"/>
      <c r="FR3851"/>
      <c r="FS3851"/>
      <c r="FT3851"/>
      <c r="FU3851"/>
      <c r="FV3851"/>
      <c r="FW3851"/>
      <c r="FX3851"/>
      <c r="FY3851"/>
      <c r="FZ3851"/>
      <c r="GA3851"/>
      <c r="GB3851"/>
      <c r="GC3851"/>
      <c r="GD3851"/>
      <c r="GE3851"/>
      <c r="GF3851"/>
      <c r="GG3851"/>
      <c r="GH3851"/>
      <c r="GI3851"/>
      <c r="GJ3851"/>
      <c r="GK3851"/>
      <c r="GL3851"/>
      <c r="GM3851"/>
      <c r="GN3851"/>
      <c r="GO3851"/>
    </row>
    <row r="3852" spans="107:197">
      <c r="DC3852"/>
      <c r="FH3852"/>
      <c r="FI3852"/>
      <c r="FJ3852"/>
      <c r="FK3852"/>
      <c r="FL3852"/>
      <c r="FM3852"/>
      <c r="FN3852"/>
      <c r="FO3852"/>
      <c r="FP3852"/>
      <c r="FQ3852"/>
      <c r="FR3852"/>
      <c r="FS3852"/>
      <c r="FT3852"/>
      <c r="FU3852"/>
      <c r="FV3852"/>
      <c r="FW3852"/>
      <c r="FX3852"/>
      <c r="FY3852"/>
      <c r="FZ3852"/>
      <c r="GA3852"/>
      <c r="GB3852"/>
      <c r="GC3852"/>
      <c r="GD3852"/>
      <c r="GE3852"/>
      <c r="GF3852"/>
      <c r="GG3852"/>
      <c r="GH3852"/>
      <c r="GI3852"/>
      <c r="GJ3852"/>
      <c r="GK3852"/>
      <c r="GL3852"/>
      <c r="GM3852"/>
      <c r="GN3852"/>
      <c r="GO3852"/>
    </row>
    <row r="3853" spans="107:197">
      <c r="DC3853"/>
      <c r="FH3853"/>
      <c r="FI3853"/>
      <c r="FJ3853"/>
      <c r="FK3853"/>
      <c r="FL3853"/>
      <c r="FM3853"/>
      <c r="FN3853"/>
      <c r="FO3853"/>
      <c r="FP3853"/>
      <c r="FQ3853"/>
      <c r="FR3853"/>
      <c r="FS3853"/>
      <c r="FT3853"/>
      <c r="FU3853"/>
      <c r="FV3853"/>
      <c r="FW3853"/>
      <c r="FX3853"/>
      <c r="FY3853"/>
      <c r="FZ3853"/>
      <c r="GA3853"/>
      <c r="GB3853"/>
      <c r="GC3853"/>
      <c r="GD3853"/>
      <c r="GE3853"/>
      <c r="GF3853"/>
      <c r="GG3853"/>
      <c r="GH3853"/>
      <c r="GI3853"/>
      <c r="GJ3853"/>
      <c r="GK3853"/>
      <c r="GL3853"/>
      <c r="GM3853"/>
      <c r="GN3853"/>
      <c r="GO3853"/>
    </row>
    <row r="3854" spans="107:197">
      <c r="DC3854"/>
      <c r="FH3854"/>
      <c r="FI3854"/>
      <c r="FJ3854"/>
      <c r="FK3854"/>
      <c r="FL3854"/>
      <c r="FM3854"/>
      <c r="FN3854"/>
      <c r="FO3854"/>
      <c r="FP3854"/>
      <c r="FQ3854"/>
      <c r="FR3854"/>
      <c r="FS3854"/>
      <c r="FT3854"/>
      <c r="FU3854"/>
      <c r="FV3854"/>
      <c r="FW3854"/>
      <c r="FX3854"/>
      <c r="FY3854"/>
      <c r="FZ3854"/>
      <c r="GA3854"/>
      <c r="GB3854"/>
      <c r="GC3854"/>
      <c r="GD3854"/>
      <c r="GE3854"/>
      <c r="GF3854"/>
      <c r="GG3854"/>
      <c r="GH3854"/>
      <c r="GI3854"/>
      <c r="GJ3854"/>
      <c r="GK3854"/>
      <c r="GL3854"/>
      <c r="GM3854"/>
      <c r="GN3854"/>
      <c r="GO3854"/>
    </row>
    <row r="3855" spans="107:197">
      <c r="DC3855"/>
      <c r="FH3855"/>
      <c r="FI3855"/>
      <c r="FJ3855"/>
      <c r="FK3855"/>
      <c r="FL3855"/>
      <c r="FM3855"/>
      <c r="FN3855"/>
      <c r="FO3855"/>
      <c r="FP3855"/>
      <c r="FQ3855"/>
      <c r="FR3855"/>
      <c r="FS3855"/>
      <c r="FT3855"/>
      <c r="FU3855"/>
      <c r="FV3855"/>
      <c r="FW3855"/>
      <c r="FX3855"/>
      <c r="FY3855"/>
      <c r="FZ3855"/>
      <c r="GA3855"/>
      <c r="GB3855"/>
      <c r="GC3855"/>
      <c r="GD3855"/>
      <c r="GE3855"/>
      <c r="GF3855"/>
      <c r="GG3855"/>
      <c r="GH3855"/>
      <c r="GI3855"/>
      <c r="GJ3855"/>
      <c r="GK3855"/>
      <c r="GL3855"/>
      <c r="GM3855"/>
      <c r="GN3855"/>
      <c r="GO3855"/>
    </row>
    <row r="3856" spans="107:197">
      <c r="DC3856"/>
      <c r="FH3856"/>
      <c r="FI3856"/>
      <c r="FJ3856"/>
      <c r="FK3856"/>
      <c r="FL3856"/>
      <c r="FM3856"/>
      <c r="FN3856"/>
      <c r="FO3856"/>
      <c r="FP3856"/>
      <c r="FQ3856"/>
      <c r="FR3856"/>
      <c r="FS3856"/>
      <c r="FT3856"/>
      <c r="FU3856"/>
      <c r="FV3856"/>
      <c r="FW3856"/>
      <c r="FX3856"/>
      <c r="FY3856"/>
      <c r="FZ3856"/>
      <c r="GA3856"/>
      <c r="GB3856"/>
      <c r="GC3856"/>
      <c r="GD3856"/>
      <c r="GE3856"/>
      <c r="GF3856"/>
      <c r="GG3856"/>
      <c r="GH3856"/>
      <c r="GI3856"/>
      <c r="GJ3856"/>
      <c r="GK3856"/>
      <c r="GL3856"/>
      <c r="GM3856"/>
      <c r="GN3856"/>
      <c r="GO3856"/>
    </row>
    <row r="3857" spans="107:197">
      <c r="DC3857"/>
      <c r="FH3857"/>
      <c r="FI3857"/>
      <c r="FJ3857"/>
      <c r="FK3857"/>
      <c r="FL3857"/>
      <c r="FM3857"/>
      <c r="FN3857"/>
      <c r="FO3857"/>
      <c r="FP3857"/>
      <c r="FQ3857"/>
      <c r="FR3857"/>
      <c r="FS3857"/>
      <c r="FT3857"/>
      <c r="FU3857"/>
      <c r="FV3857"/>
      <c r="FW3857"/>
      <c r="FX3857"/>
      <c r="FY3857"/>
      <c r="FZ3857"/>
      <c r="GA3857"/>
      <c r="GB3857"/>
      <c r="GC3857"/>
      <c r="GD3857"/>
      <c r="GE3857"/>
      <c r="GF3857"/>
      <c r="GG3857"/>
      <c r="GH3857"/>
      <c r="GI3857"/>
      <c r="GJ3857"/>
      <c r="GK3857"/>
      <c r="GL3857"/>
      <c r="GM3857"/>
      <c r="GN3857"/>
      <c r="GO3857"/>
    </row>
    <row r="3858" spans="107:197">
      <c r="DC3858"/>
      <c r="FH3858"/>
      <c r="FI3858"/>
      <c r="FJ3858"/>
      <c r="FK3858"/>
      <c r="FL3858"/>
      <c r="FM3858"/>
      <c r="FN3858"/>
      <c r="FO3858"/>
      <c r="FP3858"/>
      <c r="FQ3858"/>
      <c r="FR3858"/>
      <c r="FS3858"/>
      <c r="FT3858"/>
      <c r="FU3858"/>
      <c r="FV3858"/>
      <c r="FW3858"/>
      <c r="FX3858"/>
      <c r="FY3858"/>
      <c r="FZ3858"/>
      <c r="GA3858"/>
      <c r="GB3858"/>
      <c r="GC3858"/>
      <c r="GD3858"/>
      <c r="GE3858"/>
      <c r="GF3858"/>
      <c r="GG3858"/>
      <c r="GH3858"/>
      <c r="GI3858"/>
      <c r="GJ3858"/>
      <c r="GK3858"/>
      <c r="GL3858"/>
      <c r="GM3858"/>
      <c r="GN3858"/>
      <c r="GO3858"/>
    </row>
    <row r="3859" spans="107:197">
      <c r="DC3859"/>
      <c r="FH3859"/>
      <c r="FI3859"/>
      <c r="FJ3859"/>
      <c r="FK3859"/>
      <c r="FL3859"/>
      <c r="FM3859"/>
      <c r="FN3859"/>
      <c r="FO3859"/>
      <c r="FP3859"/>
      <c r="FQ3859"/>
      <c r="FR3859"/>
      <c r="FS3859"/>
      <c r="FT3859"/>
      <c r="FU3859"/>
      <c r="FV3859"/>
      <c r="FW3859"/>
      <c r="FX3859"/>
      <c r="FY3859"/>
      <c r="FZ3859"/>
      <c r="GA3859"/>
      <c r="GB3859"/>
      <c r="GC3859"/>
      <c r="GD3859"/>
      <c r="GE3859"/>
      <c r="GF3859"/>
      <c r="GG3859"/>
      <c r="GH3859"/>
      <c r="GI3859"/>
      <c r="GJ3859"/>
      <c r="GK3859"/>
      <c r="GL3859"/>
      <c r="GM3859"/>
      <c r="GN3859"/>
      <c r="GO3859"/>
    </row>
    <row r="3860" spans="107:197">
      <c r="DC3860"/>
      <c r="FH3860"/>
      <c r="FI3860"/>
      <c r="FJ3860"/>
      <c r="FK3860"/>
      <c r="FL3860"/>
      <c r="FM3860"/>
      <c r="FN3860"/>
      <c r="FO3860"/>
      <c r="FP3860"/>
      <c r="FQ3860"/>
      <c r="FR3860"/>
      <c r="FS3860"/>
      <c r="FT3860"/>
      <c r="FU3860"/>
      <c r="FV3860"/>
      <c r="FW3860"/>
      <c r="FX3860"/>
      <c r="FY3860"/>
      <c r="FZ3860"/>
      <c r="GA3860"/>
      <c r="GB3860"/>
      <c r="GC3860"/>
      <c r="GD3860"/>
      <c r="GE3860"/>
      <c r="GF3860"/>
      <c r="GG3860"/>
      <c r="GH3860"/>
      <c r="GI3860"/>
      <c r="GJ3860"/>
      <c r="GK3860"/>
      <c r="GL3860"/>
      <c r="GM3860"/>
      <c r="GN3860"/>
      <c r="GO3860"/>
    </row>
    <row r="3861" spans="107:197">
      <c r="DC3861"/>
      <c r="FH3861"/>
      <c r="FI3861"/>
      <c r="FJ3861"/>
      <c r="FK3861"/>
      <c r="FL3861"/>
      <c r="FM3861"/>
      <c r="FN3861"/>
      <c r="FO3861"/>
      <c r="FP3861"/>
      <c r="FQ3861"/>
      <c r="FR3861"/>
      <c r="FS3861"/>
      <c r="FT3861"/>
      <c r="FU3861"/>
      <c r="FV3861"/>
      <c r="FW3861"/>
      <c r="FX3861"/>
      <c r="FY3861"/>
      <c r="FZ3861"/>
      <c r="GA3861"/>
      <c r="GB3861"/>
      <c r="GC3861"/>
      <c r="GD3861"/>
      <c r="GE3861"/>
      <c r="GF3861"/>
      <c r="GG3861"/>
      <c r="GH3861"/>
      <c r="GI3861"/>
      <c r="GJ3861"/>
      <c r="GK3861"/>
      <c r="GL3861"/>
      <c r="GM3861"/>
      <c r="GN3861"/>
      <c r="GO3861"/>
    </row>
    <row r="3862" spans="107:197">
      <c r="DC3862"/>
      <c r="FH3862"/>
      <c r="FI3862"/>
      <c r="FJ3862"/>
      <c r="FK3862"/>
      <c r="FL3862"/>
      <c r="FM3862"/>
      <c r="FN3862"/>
      <c r="FO3862"/>
      <c r="FP3862"/>
      <c r="FQ3862"/>
      <c r="FR3862"/>
      <c r="FS3862"/>
      <c r="FT3862"/>
      <c r="FU3862"/>
      <c r="FV3862"/>
      <c r="FW3862"/>
      <c r="FX3862"/>
      <c r="FY3862"/>
      <c r="FZ3862"/>
      <c r="GA3862"/>
      <c r="GB3862"/>
      <c r="GC3862"/>
      <c r="GD3862"/>
      <c r="GE3862"/>
      <c r="GF3862"/>
      <c r="GG3862"/>
      <c r="GH3862"/>
      <c r="GI3862"/>
      <c r="GJ3862"/>
      <c r="GK3862"/>
      <c r="GL3862"/>
      <c r="GM3862"/>
      <c r="GN3862"/>
      <c r="GO3862"/>
    </row>
    <row r="3863" spans="107:197">
      <c r="DC3863"/>
      <c r="FH3863"/>
      <c r="FI3863"/>
      <c r="FJ3863"/>
      <c r="FK3863"/>
      <c r="FL3863"/>
      <c r="FM3863"/>
      <c r="FN3863"/>
      <c r="FO3863"/>
      <c r="FP3863"/>
      <c r="FQ3863"/>
      <c r="FR3863"/>
      <c r="FS3863"/>
      <c r="FT3863"/>
      <c r="FU3863"/>
      <c r="FV3863"/>
      <c r="FW3863"/>
      <c r="FX3863"/>
      <c r="FY3863"/>
      <c r="FZ3863"/>
      <c r="GA3863"/>
      <c r="GB3863"/>
      <c r="GC3863"/>
      <c r="GD3863"/>
      <c r="GE3863"/>
      <c r="GF3863"/>
      <c r="GG3863"/>
      <c r="GH3863"/>
      <c r="GI3863"/>
      <c r="GJ3863"/>
      <c r="GK3863"/>
      <c r="GL3863"/>
      <c r="GM3863"/>
      <c r="GN3863"/>
      <c r="GO3863"/>
    </row>
    <row r="3864" spans="107:197">
      <c r="DC3864"/>
      <c r="FH3864"/>
      <c r="FI3864"/>
      <c r="FJ3864"/>
      <c r="FK3864"/>
      <c r="FL3864"/>
      <c r="FM3864"/>
      <c r="FN3864"/>
      <c r="FO3864"/>
      <c r="FP3864"/>
      <c r="FQ3864"/>
      <c r="FR3864"/>
      <c r="FS3864"/>
      <c r="FT3864"/>
      <c r="FU3864"/>
      <c r="FV3864"/>
      <c r="FW3864"/>
      <c r="FX3864"/>
      <c r="FY3864"/>
      <c r="FZ3864"/>
      <c r="GA3864"/>
      <c r="GB3864"/>
      <c r="GC3864"/>
      <c r="GD3864"/>
      <c r="GE3864"/>
      <c r="GF3864"/>
      <c r="GG3864"/>
      <c r="GH3864"/>
      <c r="GI3864"/>
      <c r="GJ3864"/>
      <c r="GK3864"/>
      <c r="GL3864"/>
      <c r="GM3864"/>
      <c r="GN3864"/>
      <c r="GO3864"/>
    </row>
    <row r="3865" spans="107:197">
      <c r="DC3865"/>
      <c r="FH3865"/>
      <c r="FI3865"/>
      <c r="FJ3865"/>
      <c r="FK3865"/>
      <c r="FL3865"/>
      <c r="FM3865"/>
      <c r="FN3865"/>
      <c r="FO3865"/>
      <c r="FP3865"/>
      <c r="FQ3865"/>
      <c r="FR3865"/>
      <c r="FS3865"/>
      <c r="FT3865"/>
      <c r="FU3865"/>
      <c r="FV3865"/>
      <c r="FW3865"/>
      <c r="FX3865"/>
      <c r="FY3865"/>
      <c r="FZ3865"/>
      <c r="GA3865"/>
      <c r="GB3865"/>
      <c r="GC3865"/>
      <c r="GD3865"/>
      <c r="GE3865"/>
      <c r="GF3865"/>
      <c r="GG3865"/>
      <c r="GH3865"/>
      <c r="GI3865"/>
      <c r="GJ3865"/>
      <c r="GK3865"/>
      <c r="GL3865"/>
      <c r="GM3865"/>
      <c r="GN3865"/>
      <c r="GO3865"/>
    </row>
    <row r="3866" spans="107:197">
      <c r="DC3866"/>
      <c r="FH3866"/>
      <c r="FI3866"/>
      <c r="FJ3866"/>
      <c r="FK3866"/>
      <c r="FL3866"/>
      <c r="FM3866"/>
      <c r="FN3866"/>
      <c r="FO3866"/>
      <c r="FP3866"/>
      <c r="FQ3866"/>
      <c r="FR3866"/>
      <c r="FS3866"/>
      <c r="FT3866"/>
      <c r="FU3866"/>
      <c r="FV3866"/>
      <c r="FW3866"/>
      <c r="FX3866"/>
      <c r="FY3866"/>
      <c r="FZ3866"/>
      <c r="GA3866"/>
      <c r="GB3866"/>
      <c r="GC3866"/>
      <c r="GD3866"/>
      <c r="GE3866"/>
      <c r="GF3866"/>
      <c r="GG3866"/>
      <c r="GH3866"/>
      <c r="GI3866"/>
      <c r="GJ3866"/>
      <c r="GK3866"/>
      <c r="GL3866"/>
      <c r="GM3866"/>
      <c r="GN3866"/>
      <c r="GO3866"/>
    </row>
    <row r="3867" spans="107:197">
      <c r="DC3867"/>
      <c r="FH3867"/>
      <c r="FI3867"/>
      <c r="FJ3867"/>
      <c r="FK3867"/>
      <c r="FL3867"/>
      <c r="FM3867"/>
      <c r="FN3867"/>
      <c r="FO3867"/>
      <c r="FP3867"/>
      <c r="FQ3867"/>
      <c r="FR3867"/>
      <c r="FS3867"/>
      <c r="FT3867"/>
      <c r="FU3867"/>
      <c r="FV3867"/>
      <c r="FW3867"/>
      <c r="FX3867"/>
      <c r="FY3867"/>
      <c r="FZ3867"/>
      <c r="GA3867"/>
      <c r="GB3867"/>
      <c r="GC3867"/>
      <c r="GD3867"/>
      <c r="GE3867"/>
      <c r="GF3867"/>
      <c r="GG3867"/>
      <c r="GH3867"/>
      <c r="GI3867"/>
      <c r="GJ3867"/>
      <c r="GK3867"/>
      <c r="GL3867"/>
      <c r="GM3867"/>
      <c r="GN3867"/>
      <c r="GO3867"/>
    </row>
    <row r="3868" spans="107:197">
      <c r="DC3868"/>
      <c r="FH3868"/>
      <c r="FI3868"/>
      <c r="FJ3868"/>
      <c r="FK3868"/>
      <c r="FL3868"/>
      <c r="FM3868"/>
      <c r="FN3868"/>
      <c r="FO3868"/>
      <c r="FP3868"/>
      <c r="FQ3868"/>
      <c r="FR3868"/>
      <c r="FS3868"/>
      <c r="FT3868"/>
      <c r="FU3868"/>
      <c r="FV3868"/>
      <c r="FW3868"/>
      <c r="FX3868"/>
      <c r="FY3868"/>
      <c r="FZ3868"/>
      <c r="GA3868"/>
      <c r="GB3868"/>
      <c r="GC3868"/>
      <c r="GD3868"/>
      <c r="GE3868"/>
      <c r="GF3868"/>
      <c r="GG3868"/>
      <c r="GH3868"/>
      <c r="GI3868"/>
      <c r="GJ3868"/>
      <c r="GK3868"/>
      <c r="GL3868"/>
      <c r="GM3868"/>
      <c r="GN3868"/>
      <c r="GO3868"/>
    </row>
    <row r="3869" spans="107:197">
      <c r="DC3869"/>
      <c r="FH3869"/>
      <c r="FI3869"/>
      <c r="FJ3869"/>
      <c r="FK3869"/>
      <c r="FL3869"/>
      <c r="FM3869"/>
      <c r="FN3869"/>
      <c r="FO3869"/>
      <c r="FP3869"/>
      <c r="FQ3869"/>
      <c r="FR3869"/>
      <c r="FS3869"/>
      <c r="FT3869"/>
      <c r="FU3869"/>
      <c r="FV3869"/>
      <c r="FW3869"/>
      <c r="FX3869"/>
      <c r="FY3869"/>
      <c r="FZ3869"/>
      <c r="GA3869"/>
      <c r="GB3869"/>
      <c r="GC3869"/>
      <c r="GD3869"/>
      <c r="GE3869"/>
      <c r="GF3869"/>
      <c r="GG3869"/>
      <c r="GH3869"/>
      <c r="GI3869"/>
      <c r="GJ3869"/>
      <c r="GK3869"/>
      <c r="GL3869"/>
      <c r="GM3869"/>
      <c r="GN3869"/>
      <c r="GO3869"/>
    </row>
    <row r="3870" spans="107:197">
      <c r="DC3870"/>
      <c r="FH3870"/>
      <c r="FI3870"/>
      <c r="FJ3870"/>
      <c r="FK3870"/>
      <c r="FL3870"/>
      <c r="FM3870"/>
      <c r="FN3870"/>
      <c r="FO3870"/>
      <c r="FP3870"/>
      <c r="FQ3870"/>
      <c r="FR3870"/>
      <c r="FS3870"/>
      <c r="FT3870"/>
      <c r="FU3870"/>
      <c r="FV3870"/>
      <c r="FW3870"/>
      <c r="FX3870"/>
      <c r="FY3870"/>
      <c r="FZ3870"/>
      <c r="GA3870"/>
      <c r="GB3870"/>
      <c r="GC3870"/>
      <c r="GD3870"/>
      <c r="GE3870"/>
      <c r="GF3870"/>
      <c r="GG3870"/>
      <c r="GH3870"/>
      <c r="GI3870"/>
      <c r="GJ3870"/>
      <c r="GK3870"/>
      <c r="GL3870"/>
      <c r="GM3870"/>
      <c r="GN3870"/>
      <c r="GO3870"/>
    </row>
    <row r="3871" spans="107:197">
      <c r="DC3871"/>
      <c r="FH3871"/>
      <c r="FI3871"/>
      <c r="FJ3871"/>
      <c r="FK3871"/>
      <c r="FL3871"/>
      <c r="FM3871"/>
      <c r="FN3871"/>
      <c r="FO3871"/>
      <c r="FP3871"/>
      <c r="FQ3871"/>
      <c r="FR3871"/>
      <c r="FS3871"/>
      <c r="FT3871"/>
      <c r="FU3871"/>
      <c r="FV3871"/>
      <c r="FW3871"/>
      <c r="FX3871"/>
      <c r="FY3871"/>
      <c r="FZ3871"/>
      <c r="GA3871"/>
      <c r="GB3871"/>
      <c r="GC3871"/>
      <c r="GD3871"/>
      <c r="GE3871"/>
      <c r="GF3871"/>
      <c r="GG3871"/>
      <c r="GH3871"/>
      <c r="GI3871"/>
      <c r="GJ3871"/>
      <c r="GK3871"/>
      <c r="GL3871"/>
      <c r="GM3871"/>
      <c r="GN3871"/>
      <c r="GO3871"/>
    </row>
    <row r="3872" spans="107:197">
      <c r="DC3872"/>
      <c r="FH3872"/>
      <c r="FI3872"/>
      <c r="FJ3872"/>
      <c r="FK3872"/>
      <c r="FL3872"/>
      <c r="FM3872"/>
      <c r="FN3872"/>
      <c r="FO3872"/>
      <c r="FP3872"/>
      <c r="FQ3872"/>
      <c r="FR3872"/>
      <c r="FS3872"/>
      <c r="FT3872"/>
      <c r="FU3872"/>
      <c r="FV3872"/>
      <c r="FW3872"/>
      <c r="FX3872"/>
      <c r="FY3872"/>
      <c r="FZ3872"/>
      <c r="GA3872"/>
      <c r="GB3872"/>
      <c r="GC3872"/>
      <c r="GD3872"/>
      <c r="GE3872"/>
      <c r="GF3872"/>
      <c r="GG3872"/>
      <c r="GH3872"/>
      <c r="GI3872"/>
      <c r="GJ3872"/>
      <c r="GK3872"/>
      <c r="GL3872"/>
      <c r="GM3872"/>
      <c r="GN3872"/>
      <c r="GO3872"/>
    </row>
    <row r="3873" spans="107:197">
      <c r="DC3873"/>
      <c r="FH3873"/>
      <c r="FI3873"/>
      <c r="FJ3873"/>
      <c r="FK3873"/>
      <c r="FL3873"/>
      <c r="FM3873"/>
      <c r="FN3873"/>
      <c r="FO3873"/>
      <c r="FP3873"/>
      <c r="FQ3873"/>
      <c r="FR3873"/>
      <c r="FS3873"/>
      <c r="FT3873"/>
      <c r="FU3873"/>
      <c r="FV3873"/>
      <c r="FW3873"/>
      <c r="FX3873"/>
      <c r="FY3873"/>
      <c r="FZ3873"/>
      <c r="GA3873"/>
      <c r="GB3873"/>
      <c r="GC3873"/>
      <c r="GD3873"/>
      <c r="GE3873"/>
      <c r="GF3873"/>
      <c r="GG3873"/>
      <c r="GH3873"/>
      <c r="GI3873"/>
      <c r="GJ3873"/>
      <c r="GK3873"/>
      <c r="GL3873"/>
      <c r="GM3873"/>
      <c r="GN3873"/>
      <c r="GO3873"/>
    </row>
    <row r="3874" spans="107:197">
      <c r="DC3874"/>
      <c r="FH3874"/>
      <c r="FI3874"/>
      <c r="FJ3874"/>
      <c r="FK3874"/>
      <c r="FL3874"/>
      <c r="FM3874"/>
      <c r="FN3874"/>
      <c r="FO3874"/>
      <c r="FP3874"/>
      <c r="FQ3874"/>
      <c r="FR3874"/>
      <c r="FS3874"/>
      <c r="FT3874"/>
      <c r="FU3874"/>
      <c r="FV3874"/>
      <c r="FW3874"/>
      <c r="FX3874"/>
      <c r="FY3874"/>
      <c r="FZ3874"/>
      <c r="GA3874"/>
      <c r="GB3874"/>
      <c r="GC3874"/>
      <c r="GD3874"/>
      <c r="GE3874"/>
      <c r="GF3874"/>
      <c r="GG3874"/>
      <c r="GH3874"/>
      <c r="GI3874"/>
      <c r="GJ3874"/>
      <c r="GK3874"/>
      <c r="GL3874"/>
      <c r="GM3874"/>
      <c r="GN3874"/>
      <c r="GO3874"/>
    </row>
    <row r="3875" spans="107:197">
      <c r="DC3875"/>
      <c r="FH3875"/>
      <c r="FI3875"/>
      <c r="FJ3875"/>
      <c r="FK3875"/>
      <c r="FL3875"/>
      <c r="FM3875"/>
      <c r="FN3875"/>
      <c r="FO3875"/>
      <c r="FP3875"/>
      <c r="FQ3875"/>
      <c r="FR3875"/>
      <c r="FS3875"/>
      <c r="FT3875"/>
      <c r="FU3875"/>
      <c r="FV3875"/>
      <c r="FW3875"/>
      <c r="FX3875"/>
      <c r="FY3875"/>
      <c r="FZ3875"/>
      <c r="GA3875"/>
      <c r="GB3875"/>
      <c r="GC3875"/>
      <c r="GD3875"/>
      <c r="GE3875"/>
      <c r="GF3875"/>
      <c r="GG3875"/>
      <c r="GH3875"/>
      <c r="GI3875"/>
      <c r="GJ3875"/>
      <c r="GK3875"/>
      <c r="GL3875"/>
      <c r="GM3875"/>
      <c r="GN3875"/>
      <c r="GO3875"/>
    </row>
    <row r="3876" spans="107:197">
      <c r="DC3876"/>
      <c r="FH3876"/>
      <c r="FI3876"/>
      <c r="FJ3876"/>
      <c r="FK3876"/>
      <c r="FL3876"/>
      <c r="FM3876"/>
      <c r="FN3876"/>
      <c r="FO3876"/>
      <c r="FP3876"/>
      <c r="FQ3876"/>
      <c r="FR3876"/>
      <c r="FS3876"/>
      <c r="FT3876"/>
      <c r="FU3876"/>
      <c r="FV3876"/>
      <c r="FW3876"/>
      <c r="FX3876"/>
      <c r="FY3876"/>
      <c r="FZ3876"/>
      <c r="GA3876"/>
      <c r="GB3876"/>
      <c r="GC3876"/>
      <c r="GD3876"/>
      <c r="GE3876"/>
      <c r="GF3876"/>
      <c r="GG3876"/>
      <c r="GH3876"/>
      <c r="GI3876"/>
      <c r="GJ3876"/>
      <c r="GK3876"/>
      <c r="GL3876"/>
      <c r="GM3876"/>
      <c r="GN3876"/>
      <c r="GO3876"/>
    </row>
    <row r="3877" spans="107:197">
      <c r="DC3877"/>
      <c r="FH3877"/>
      <c r="FI3877"/>
      <c r="FJ3877"/>
      <c r="FK3877"/>
      <c r="FL3877"/>
      <c r="FM3877"/>
      <c r="FN3877"/>
      <c r="FO3877"/>
      <c r="FP3877"/>
      <c r="FQ3877"/>
      <c r="FR3877"/>
      <c r="FS3877"/>
      <c r="FT3877"/>
      <c r="FU3877"/>
      <c r="FV3877"/>
      <c r="FW3877"/>
      <c r="FX3877"/>
      <c r="FY3877"/>
      <c r="FZ3877"/>
      <c r="GA3877"/>
      <c r="GB3877"/>
      <c r="GC3877"/>
      <c r="GD3877"/>
      <c r="GE3877"/>
      <c r="GF3877"/>
      <c r="GG3877"/>
      <c r="GH3877"/>
      <c r="GI3877"/>
      <c r="GJ3877"/>
      <c r="GK3877"/>
      <c r="GL3877"/>
      <c r="GM3877"/>
      <c r="GN3877"/>
      <c r="GO3877"/>
    </row>
    <row r="3878" spans="107:197">
      <c r="DC3878"/>
      <c r="FH3878"/>
      <c r="FI3878"/>
      <c r="FJ3878"/>
      <c r="FK3878"/>
      <c r="FL3878"/>
      <c r="FM3878"/>
      <c r="FN3878"/>
      <c r="FO3878"/>
      <c r="FP3878"/>
      <c r="FQ3878"/>
      <c r="FR3878"/>
      <c r="FS3878"/>
      <c r="FT3878"/>
      <c r="FU3878"/>
      <c r="FV3878"/>
      <c r="FW3878"/>
      <c r="FX3878"/>
      <c r="FY3878"/>
      <c r="FZ3878"/>
      <c r="GA3878"/>
      <c r="GB3878"/>
      <c r="GC3878"/>
      <c r="GD3878"/>
      <c r="GE3878"/>
      <c r="GF3878"/>
      <c r="GG3878"/>
      <c r="GH3878"/>
      <c r="GI3878"/>
      <c r="GJ3878"/>
      <c r="GK3878"/>
      <c r="GL3878"/>
      <c r="GM3878"/>
      <c r="GN3878"/>
      <c r="GO3878"/>
    </row>
    <row r="3879" spans="107:197">
      <c r="DC3879"/>
      <c r="FH3879"/>
      <c r="FI3879"/>
      <c r="FJ3879"/>
      <c r="FK3879"/>
      <c r="FL3879"/>
      <c r="FM3879"/>
      <c r="FN3879"/>
      <c r="FO3879"/>
      <c r="FP3879"/>
      <c r="FQ3879"/>
      <c r="FR3879"/>
      <c r="FS3879"/>
      <c r="FT3879"/>
      <c r="FU3879"/>
      <c r="FV3879"/>
      <c r="FW3879"/>
      <c r="FX3879"/>
      <c r="FY3879"/>
      <c r="FZ3879"/>
      <c r="GA3879"/>
      <c r="GB3879"/>
      <c r="GC3879"/>
      <c r="GD3879"/>
      <c r="GE3879"/>
      <c r="GF3879"/>
      <c r="GG3879"/>
      <c r="GH3879"/>
      <c r="GI3879"/>
      <c r="GJ3879"/>
      <c r="GK3879"/>
      <c r="GL3879"/>
      <c r="GM3879"/>
      <c r="GN3879"/>
      <c r="GO3879"/>
    </row>
    <row r="3880" spans="107:197">
      <c r="DC3880"/>
      <c r="FH3880"/>
      <c r="FI3880"/>
      <c r="FJ3880"/>
      <c r="FK3880"/>
      <c r="FL3880"/>
      <c r="FM3880"/>
      <c r="FN3880"/>
      <c r="FO3880"/>
      <c r="FP3880"/>
      <c r="FQ3880"/>
      <c r="FR3880"/>
      <c r="FS3880"/>
      <c r="FT3880"/>
      <c r="FU3880"/>
      <c r="FV3880"/>
      <c r="FW3880"/>
      <c r="FX3880"/>
      <c r="FY3880"/>
      <c r="FZ3880"/>
      <c r="GA3880"/>
      <c r="GB3880"/>
      <c r="GC3880"/>
      <c r="GD3880"/>
      <c r="GE3880"/>
      <c r="GF3880"/>
      <c r="GG3880"/>
      <c r="GH3880"/>
      <c r="GI3880"/>
      <c r="GJ3880"/>
      <c r="GK3880"/>
      <c r="GL3880"/>
      <c r="GM3880"/>
      <c r="GN3880"/>
      <c r="GO3880"/>
    </row>
    <row r="3881" spans="107:197">
      <c r="DC3881"/>
      <c r="FH3881"/>
      <c r="FI3881"/>
      <c r="FJ3881"/>
      <c r="FK3881"/>
      <c r="FL3881"/>
      <c r="FM3881"/>
      <c r="FN3881"/>
      <c r="FO3881"/>
      <c r="FP3881"/>
      <c r="FQ3881"/>
      <c r="FR3881"/>
      <c r="FS3881"/>
      <c r="FT3881"/>
      <c r="FU3881"/>
      <c r="FV3881"/>
      <c r="FW3881"/>
      <c r="FX3881"/>
      <c r="FY3881"/>
      <c r="FZ3881"/>
      <c r="GA3881"/>
      <c r="GB3881"/>
      <c r="GC3881"/>
      <c r="GD3881"/>
      <c r="GE3881"/>
      <c r="GF3881"/>
      <c r="GG3881"/>
      <c r="GH3881"/>
      <c r="GI3881"/>
      <c r="GJ3881"/>
      <c r="GK3881"/>
      <c r="GL3881"/>
      <c r="GM3881"/>
      <c r="GN3881"/>
      <c r="GO3881"/>
    </row>
    <row r="3882" spans="107:197">
      <c r="DC3882"/>
      <c r="FH3882"/>
      <c r="FI3882"/>
      <c r="FJ3882"/>
      <c r="FK3882"/>
      <c r="FL3882"/>
      <c r="FM3882"/>
      <c r="FN3882"/>
      <c r="FO3882"/>
      <c r="FP3882"/>
      <c r="FQ3882"/>
      <c r="FR3882"/>
      <c r="FS3882"/>
      <c r="FT3882"/>
      <c r="FU3882"/>
      <c r="FV3882"/>
      <c r="FW3882"/>
      <c r="FX3882"/>
      <c r="FY3882"/>
      <c r="FZ3882"/>
      <c r="GA3882"/>
      <c r="GB3882"/>
      <c r="GC3882"/>
      <c r="GD3882"/>
      <c r="GE3882"/>
      <c r="GF3882"/>
      <c r="GG3882"/>
      <c r="GH3882"/>
      <c r="GI3882"/>
      <c r="GJ3882"/>
      <c r="GK3882"/>
      <c r="GL3882"/>
      <c r="GM3882"/>
      <c r="GN3882"/>
      <c r="GO3882"/>
    </row>
    <row r="3883" spans="107:197">
      <c r="DC3883"/>
      <c r="FH3883"/>
      <c r="FI3883"/>
      <c r="FJ3883"/>
      <c r="FK3883"/>
      <c r="FL3883"/>
      <c r="FM3883"/>
      <c r="FN3883"/>
      <c r="FO3883"/>
      <c r="FP3883"/>
      <c r="FQ3883"/>
      <c r="FR3883"/>
      <c r="FS3883"/>
      <c r="FT3883"/>
      <c r="FU3883"/>
      <c r="FV3883"/>
      <c r="FW3883"/>
      <c r="FX3883"/>
      <c r="FY3883"/>
      <c r="FZ3883"/>
      <c r="GA3883"/>
      <c r="GB3883"/>
      <c r="GC3883"/>
      <c r="GD3883"/>
      <c r="GE3883"/>
      <c r="GF3883"/>
      <c r="GG3883"/>
      <c r="GH3883"/>
      <c r="GI3883"/>
      <c r="GJ3883"/>
      <c r="GK3883"/>
      <c r="GL3883"/>
      <c r="GM3883"/>
      <c r="GN3883"/>
      <c r="GO3883"/>
    </row>
    <row r="3884" spans="107:197">
      <c r="DC3884"/>
      <c r="FH3884"/>
      <c r="FI3884"/>
      <c r="FJ3884"/>
      <c r="FK3884"/>
      <c r="FL3884"/>
      <c r="FM3884"/>
      <c r="FN3884"/>
      <c r="FO3884"/>
      <c r="FP3884"/>
      <c r="FQ3884"/>
      <c r="FR3884"/>
      <c r="FS3884"/>
      <c r="FT3884"/>
      <c r="FU3884"/>
      <c r="FV3884"/>
      <c r="FW3884"/>
      <c r="FX3884"/>
      <c r="FY3884"/>
      <c r="FZ3884"/>
      <c r="GA3884"/>
      <c r="GB3884"/>
      <c r="GC3884"/>
      <c r="GD3884"/>
      <c r="GE3884"/>
      <c r="GF3884"/>
      <c r="GG3884"/>
      <c r="GH3884"/>
      <c r="GI3884"/>
      <c r="GJ3884"/>
      <c r="GK3884"/>
      <c r="GL3884"/>
      <c r="GM3884"/>
      <c r="GN3884"/>
      <c r="GO3884"/>
    </row>
    <row r="3885" spans="107:197">
      <c r="DC3885"/>
      <c r="FH3885"/>
      <c r="FI3885"/>
      <c r="FJ3885"/>
      <c r="FK3885"/>
      <c r="FL3885"/>
      <c r="FM3885"/>
      <c r="FN3885"/>
      <c r="FO3885"/>
      <c r="FP3885"/>
      <c r="FQ3885"/>
      <c r="FR3885"/>
      <c r="FS3885"/>
      <c r="FT3885"/>
      <c r="FU3885"/>
      <c r="FV3885"/>
      <c r="FW3885"/>
      <c r="FX3885"/>
      <c r="FY3885"/>
      <c r="FZ3885"/>
      <c r="GA3885"/>
      <c r="GB3885"/>
      <c r="GC3885"/>
      <c r="GD3885"/>
      <c r="GE3885"/>
      <c r="GF3885"/>
      <c r="GG3885"/>
      <c r="GH3885"/>
      <c r="GI3885"/>
      <c r="GJ3885"/>
      <c r="GK3885"/>
      <c r="GL3885"/>
      <c r="GM3885"/>
      <c r="GN3885"/>
      <c r="GO3885"/>
    </row>
    <row r="3886" spans="107:197">
      <c r="DC3886"/>
      <c r="FH3886"/>
      <c r="FI3886"/>
      <c r="FJ3886"/>
      <c r="FK3886"/>
      <c r="FL3886"/>
      <c r="FM3886"/>
      <c r="FN3886"/>
      <c r="FO3886"/>
      <c r="FP3886"/>
      <c r="FQ3886"/>
      <c r="FR3886"/>
      <c r="FS3886"/>
      <c r="FT3886"/>
      <c r="FU3886"/>
      <c r="FV3886"/>
      <c r="FW3886"/>
      <c r="FX3886"/>
      <c r="FY3886"/>
      <c r="FZ3886"/>
      <c r="GA3886"/>
      <c r="GB3886"/>
      <c r="GC3886"/>
      <c r="GD3886"/>
      <c r="GE3886"/>
      <c r="GF3886"/>
      <c r="GG3886"/>
      <c r="GH3886"/>
      <c r="GI3886"/>
      <c r="GJ3886"/>
      <c r="GK3886"/>
      <c r="GL3886"/>
      <c r="GM3886"/>
      <c r="GN3886"/>
      <c r="GO3886"/>
    </row>
    <row r="3887" spans="107:197">
      <c r="DC3887"/>
      <c r="FH3887"/>
      <c r="FI3887"/>
      <c r="FJ3887"/>
      <c r="FK3887"/>
      <c r="FL3887"/>
      <c r="FM3887"/>
      <c r="FN3887"/>
      <c r="FO3887"/>
      <c r="FP3887"/>
      <c r="FQ3887"/>
      <c r="FR3887"/>
      <c r="FS3887"/>
      <c r="FT3887"/>
      <c r="FU3887"/>
      <c r="FV3887"/>
      <c r="FW3887"/>
      <c r="FX3887"/>
      <c r="FY3887"/>
      <c r="FZ3887"/>
      <c r="GA3887"/>
      <c r="GB3887"/>
      <c r="GC3887"/>
      <c r="GD3887"/>
      <c r="GE3887"/>
      <c r="GF3887"/>
      <c r="GG3887"/>
      <c r="GH3887"/>
      <c r="GI3887"/>
      <c r="GJ3887"/>
      <c r="GK3887"/>
      <c r="GL3887"/>
      <c r="GM3887"/>
      <c r="GN3887"/>
      <c r="GO3887"/>
    </row>
    <row r="3888" spans="107:197">
      <c r="DC3888"/>
      <c r="FH3888"/>
      <c r="FI3888"/>
      <c r="FJ3888"/>
      <c r="FK3888"/>
      <c r="FL3888"/>
      <c r="FM3888"/>
      <c r="FN3888"/>
      <c r="FO3888"/>
      <c r="FP3888"/>
      <c r="FQ3888"/>
      <c r="FR3888"/>
      <c r="FS3888"/>
      <c r="FT3888"/>
      <c r="FU3888"/>
      <c r="FV3888"/>
      <c r="FW3888"/>
      <c r="FX3888"/>
      <c r="FY3888"/>
      <c r="FZ3888"/>
      <c r="GA3888"/>
      <c r="GB3888"/>
      <c r="GC3888"/>
      <c r="GD3888"/>
      <c r="GE3888"/>
      <c r="GF3888"/>
      <c r="GG3888"/>
      <c r="GH3888"/>
      <c r="GI3888"/>
      <c r="GJ3888"/>
      <c r="GK3888"/>
      <c r="GL3888"/>
      <c r="GM3888"/>
      <c r="GN3888"/>
      <c r="GO3888"/>
    </row>
    <row r="3889" spans="107:197">
      <c r="DC3889"/>
      <c r="FH3889"/>
      <c r="FI3889"/>
      <c r="FJ3889"/>
      <c r="FK3889"/>
      <c r="FL3889"/>
      <c r="FM3889"/>
      <c r="FN3889"/>
      <c r="FO3889"/>
      <c r="FP3889"/>
      <c r="FQ3889"/>
      <c r="FR3889"/>
      <c r="FS3889"/>
      <c r="FT3889"/>
      <c r="FU3889"/>
      <c r="FV3889"/>
      <c r="FW3889"/>
      <c r="FX3889"/>
      <c r="FY3889"/>
      <c r="FZ3889"/>
      <c r="GA3889"/>
      <c r="GB3889"/>
      <c r="GC3889"/>
      <c r="GD3889"/>
      <c r="GE3889"/>
      <c r="GF3889"/>
      <c r="GG3889"/>
      <c r="GH3889"/>
      <c r="GI3889"/>
      <c r="GJ3889"/>
      <c r="GK3889"/>
      <c r="GL3889"/>
      <c r="GM3889"/>
      <c r="GN3889"/>
      <c r="GO3889"/>
    </row>
    <row r="3890" spans="107:197">
      <c r="DC3890"/>
      <c r="FH3890"/>
      <c r="FI3890"/>
      <c r="FJ3890"/>
      <c r="FK3890"/>
      <c r="FL3890"/>
      <c r="FM3890"/>
      <c r="FN3890"/>
      <c r="FO3890"/>
      <c r="FP3890"/>
      <c r="FQ3890"/>
      <c r="FR3890"/>
      <c r="FS3890"/>
      <c r="FT3890"/>
      <c r="FU3890"/>
      <c r="FV3890"/>
      <c r="FW3890"/>
      <c r="FX3890"/>
      <c r="FY3890"/>
      <c r="FZ3890"/>
      <c r="GA3890"/>
      <c r="GB3890"/>
      <c r="GC3890"/>
      <c r="GD3890"/>
      <c r="GE3890"/>
      <c r="GF3890"/>
      <c r="GG3890"/>
      <c r="GH3890"/>
      <c r="GI3890"/>
      <c r="GJ3890"/>
      <c r="GK3890"/>
      <c r="GL3890"/>
      <c r="GM3890"/>
      <c r="GN3890"/>
      <c r="GO3890"/>
    </row>
    <row r="3891" spans="107:197">
      <c r="DC3891"/>
      <c r="FH3891"/>
      <c r="FI3891"/>
      <c r="FJ3891"/>
      <c r="FK3891"/>
      <c r="FL3891"/>
      <c r="FM3891"/>
      <c r="FN3891"/>
      <c r="FO3891"/>
      <c r="FP3891"/>
      <c r="FQ3891"/>
      <c r="FR3891"/>
      <c r="FS3891"/>
      <c r="FT3891"/>
      <c r="FU3891"/>
      <c r="FV3891"/>
      <c r="FW3891"/>
      <c r="FX3891"/>
      <c r="FY3891"/>
      <c r="FZ3891"/>
      <c r="GA3891"/>
      <c r="GB3891"/>
      <c r="GC3891"/>
      <c r="GD3891"/>
      <c r="GE3891"/>
      <c r="GF3891"/>
      <c r="GG3891"/>
      <c r="GH3891"/>
      <c r="GI3891"/>
      <c r="GJ3891"/>
      <c r="GK3891"/>
      <c r="GL3891"/>
      <c r="GM3891"/>
      <c r="GN3891"/>
      <c r="GO3891"/>
    </row>
    <row r="3892" spans="107:197">
      <c r="DC3892"/>
      <c r="FH3892"/>
      <c r="FI3892"/>
      <c r="FJ3892"/>
      <c r="FK3892"/>
      <c r="FL3892"/>
      <c r="FM3892"/>
      <c r="FN3892"/>
      <c r="FO3892"/>
      <c r="FP3892"/>
      <c r="FQ3892"/>
      <c r="FR3892"/>
      <c r="FS3892"/>
      <c r="FT3892"/>
      <c r="FU3892"/>
      <c r="FV3892"/>
      <c r="FW3892"/>
      <c r="FX3892"/>
      <c r="FY3892"/>
      <c r="FZ3892"/>
      <c r="GA3892"/>
      <c r="GB3892"/>
      <c r="GC3892"/>
      <c r="GD3892"/>
      <c r="GE3892"/>
      <c r="GF3892"/>
      <c r="GG3892"/>
      <c r="GH3892"/>
      <c r="GI3892"/>
      <c r="GJ3892"/>
      <c r="GK3892"/>
      <c r="GL3892"/>
      <c r="GM3892"/>
      <c r="GN3892"/>
      <c r="GO3892"/>
    </row>
    <row r="3893" spans="107:197">
      <c r="DC3893"/>
      <c r="FH3893"/>
      <c r="FI3893"/>
      <c r="FJ3893"/>
      <c r="FK3893"/>
      <c r="FL3893"/>
      <c r="FM3893"/>
      <c r="FN3893"/>
      <c r="FO3893"/>
      <c r="FP3893"/>
      <c r="FQ3893"/>
      <c r="FR3893"/>
      <c r="FS3893"/>
      <c r="FT3893"/>
      <c r="FU3893"/>
      <c r="FV3893"/>
      <c r="FW3893"/>
      <c r="FX3893"/>
      <c r="FY3893"/>
      <c r="FZ3893"/>
      <c r="GA3893"/>
      <c r="GB3893"/>
      <c r="GC3893"/>
      <c r="GD3893"/>
      <c r="GE3893"/>
      <c r="GF3893"/>
      <c r="GG3893"/>
      <c r="GH3893"/>
      <c r="GI3893"/>
      <c r="GJ3893"/>
      <c r="GK3893"/>
      <c r="GL3893"/>
      <c r="GM3893"/>
      <c r="GN3893"/>
      <c r="GO3893"/>
    </row>
    <row r="3894" spans="107:197">
      <c r="DC3894"/>
      <c r="FH3894"/>
      <c r="FI3894"/>
      <c r="FJ3894"/>
      <c r="FK3894"/>
      <c r="FL3894"/>
      <c r="FM3894"/>
      <c r="FN3894"/>
      <c r="FO3894"/>
      <c r="FP3894"/>
      <c r="FQ3894"/>
      <c r="FR3894"/>
      <c r="FS3894"/>
      <c r="FT3894"/>
      <c r="FU3894"/>
      <c r="FV3894"/>
      <c r="FW3894"/>
      <c r="FX3894"/>
      <c r="FY3894"/>
      <c r="FZ3894"/>
      <c r="GA3894"/>
      <c r="GB3894"/>
      <c r="GC3894"/>
      <c r="GD3894"/>
      <c r="GE3894"/>
      <c r="GF3894"/>
      <c r="GG3894"/>
      <c r="GH3894"/>
      <c r="GI3894"/>
      <c r="GJ3894"/>
      <c r="GK3894"/>
      <c r="GL3894"/>
      <c r="GM3894"/>
      <c r="GN3894"/>
      <c r="GO3894"/>
    </row>
    <row r="3895" spans="107:197">
      <c r="DC3895"/>
      <c r="FH3895"/>
      <c r="FI3895"/>
      <c r="FJ3895"/>
      <c r="FK3895"/>
      <c r="FL3895"/>
      <c r="FM3895"/>
      <c r="FN3895"/>
      <c r="FO3895"/>
      <c r="FP3895"/>
      <c r="FQ3895"/>
      <c r="FR3895"/>
      <c r="FS3895"/>
      <c r="FT3895"/>
      <c r="FU3895"/>
      <c r="FV3895"/>
      <c r="FW3895"/>
      <c r="FX3895"/>
      <c r="FY3895"/>
      <c r="FZ3895"/>
      <c r="GA3895"/>
      <c r="GB3895"/>
      <c r="GC3895"/>
      <c r="GD3895"/>
      <c r="GE3895"/>
      <c r="GF3895"/>
      <c r="GG3895"/>
      <c r="GH3895"/>
      <c r="GI3895"/>
      <c r="GJ3895"/>
      <c r="GK3895"/>
      <c r="GL3895"/>
      <c r="GM3895"/>
      <c r="GN3895"/>
      <c r="GO3895"/>
    </row>
    <row r="3896" spans="107:197">
      <c r="DC3896"/>
      <c r="FH3896"/>
      <c r="FI3896"/>
      <c r="FJ3896"/>
      <c r="FK3896"/>
      <c r="FL3896"/>
      <c r="FM3896"/>
      <c r="FN3896"/>
      <c r="FO3896"/>
      <c r="FP3896"/>
      <c r="FQ3896"/>
      <c r="FR3896"/>
      <c r="FS3896"/>
      <c r="FT3896"/>
      <c r="FU3896"/>
      <c r="FV3896"/>
      <c r="FW3896"/>
      <c r="FX3896"/>
      <c r="FY3896"/>
      <c r="FZ3896"/>
      <c r="GA3896"/>
      <c r="GB3896"/>
      <c r="GC3896"/>
      <c r="GD3896"/>
      <c r="GE3896"/>
      <c r="GF3896"/>
      <c r="GG3896"/>
      <c r="GH3896"/>
      <c r="GI3896"/>
      <c r="GJ3896"/>
      <c r="GK3896"/>
      <c r="GL3896"/>
      <c r="GM3896"/>
      <c r="GN3896"/>
      <c r="GO3896"/>
    </row>
    <row r="3897" spans="107:197">
      <c r="DC3897"/>
      <c r="FH3897"/>
      <c r="FI3897"/>
      <c r="FJ3897"/>
      <c r="FK3897"/>
      <c r="FL3897"/>
      <c r="FM3897"/>
      <c r="FN3897"/>
      <c r="FO3897"/>
      <c r="FP3897"/>
      <c r="FQ3897"/>
      <c r="FR3897"/>
      <c r="FS3897"/>
      <c r="FT3897"/>
      <c r="FU3897"/>
      <c r="FV3897"/>
      <c r="FW3897"/>
      <c r="FX3897"/>
      <c r="FY3897"/>
      <c r="FZ3897"/>
      <c r="GA3897"/>
      <c r="GB3897"/>
      <c r="GC3897"/>
      <c r="GD3897"/>
      <c r="GE3897"/>
      <c r="GF3897"/>
      <c r="GG3897"/>
      <c r="GH3897"/>
      <c r="GI3897"/>
      <c r="GJ3897"/>
      <c r="GK3897"/>
      <c r="GL3897"/>
      <c r="GM3897"/>
      <c r="GN3897"/>
      <c r="GO3897"/>
    </row>
    <row r="3898" spans="107:197">
      <c r="DC3898"/>
      <c r="FH3898"/>
      <c r="FI3898"/>
      <c r="FJ3898"/>
      <c r="FK3898"/>
      <c r="FL3898"/>
      <c r="FM3898"/>
      <c r="FN3898"/>
      <c r="FO3898"/>
      <c r="FP3898"/>
      <c r="FQ3898"/>
      <c r="FR3898"/>
      <c r="FS3898"/>
      <c r="FT3898"/>
      <c r="FU3898"/>
      <c r="FV3898"/>
      <c r="FW3898"/>
      <c r="FX3898"/>
      <c r="FY3898"/>
      <c r="FZ3898"/>
      <c r="GA3898"/>
      <c r="GB3898"/>
      <c r="GC3898"/>
      <c r="GD3898"/>
      <c r="GE3898"/>
      <c r="GF3898"/>
      <c r="GG3898"/>
      <c r="GH3898"/>
      <c r="GI3898"/>
      <c r="GJ3898"/>
      <c r="GK3898"/>
      <c r="GL3898"/>
      <c r="GM3898"/>
      <c r="GN3898"/>
      <c r="GO3898"/>
    </row>
    <row r="3899" spans="107:197">
      <c r="DC3899"/>
      <c r="FH3899"/>
      <c r="FI3899"/>
      <c r="FJ3899"/>
      <c r="FK3899"/>
      <c r="FL3899"/>
      <c r="FM3899"/>
      <c r="FN3899"/>
      <c r="FO3899"/>
      <c r="FP3899"/>
      <c r="FQ3899"/>
      <c r="FR3899"/>
      <c r="FS3899"/>
      <c r="FT3899"/>
      <c r="FU3899"/>
      <c r="FV3899"/>
      <c r="FW3899"/>
      <c r="FX3899"/>
      <c r="FY3899"/>
      <c r="FZ3899"/>
      <c r="GA3899"/>
      <c r="GB3899"/>
      <c r="GC3899"/>
      <c r="GD3899"/>
      <c r="GE3899"/>
      <c r="GF3899"/>
      <c r="GG3899"/>
      <c r="GH3899"/>
      <c r="GI3899"/>
      <c r="GJ3899"/>
      <c r="GK3899"/>
      <c r="GL3899"/>
      <c r="GM3899"/>
      <c r="GN3899"/>
      <c r="GO3899"/>
    </row>
    <row r="3900" spans="107:197">
      <c r="DC3900"/>
      <c r="FH3900"/>
      <c r="FI3900"/>
      <c r="FJ3900"/>
      <c r="FK3900"/>
      <c r="FL3900"/>
      <c r="FM3900"/>
      <c r="FN3900"/>
      <c r="FO3900"/>
      <c r="FP3900"/>
      <c r="FQ3900"/>
      <c r="FR3900"/>
      <c r="FS3900"/>
      <c r="FT3900"/>
      <c r="FU3900"/>
      <c r="FV3900"/>
      <c r="FW3900"/>
      <c r="FX3900"/>
      <c r="FY3900"/>
      <c r="FZ3900"/>
      <c r="GA3900"/>
      <c r="GB3900"/>
      <c r="GC3900"/>
      <c r="GD3900"/>
      <c r="GE3900"/>
      <c r="GF3900"/>
      <c r="GG3900"/>
      <c r="GH3900"/>
      <c r="GI3900"/>
      <c r="GJ3900"/>
      <c r="GK3900"/>
      <c r="GL3900"/>
      <c r="GM3900"/>
      <c r="GN3900"/>
      <c r="GO3900"/>
    </row>
    <row r="3901" spans="107:197">
      <c r="DC3901"/>
      <c r="FH3901"/>
      <c r="FI3901"/>
      <c r="FJ3901"/>
      <c r="FK3901"/>
      <c r="FL3901"/>
      <c r="FM3901"/>
      <c r="FN3901"/>
      <c r="FO3901"/>
      <c r="FP3901"/>
      <c r="FQ3901"/>
      <c r="FR3901"/>
      <c r="FS3901"/>
      <c r="FT3901"/>
      <c r="FU3901"/>
      <c r="FV3901"/>
      <c r="FW3901"/>
      <c r="FX3901"/>
      <c r="FY3901"/>
      <c r="FZ3901"/>
      <c r="GA3901"/>
      <c r="GB3901"/>
      <c r="GC3901"/>
      <c r="GD3901"/>
      <c r="GE3901"/>
      <c r="GF3901"/>
      <c r="GG3901"/>
      <c r="GH3901"/>
      <c r="GI3901"/>
      <c r="GJ3901"/>
      <c r="GK3901"/>
      <c r="GL3901"/>
      <c r="GM3901"/>
      <c r="GN3901"/>
      <c r="GO3901"/>
    </row>
    <row r="3902" spans="107:197">
      <c r="DC3902"/>
      <c r="FH3902"/>
      <c r="FI3902"/>
      <c r="FJ3902"/>
      <c r="FK3902"/>
      <c r="FL3902"/>
      <c r="FM3902"/>
      <c r="FN3902"/>
      <c r="FO3902"/>
      <c r="FP3902"/>
      <c r="FQ3902"/>
      <c r="FR3902"/>
      <c r="FS3902"/>
      <c r="FT3902"/>
      <c r="FU3902"/>
      <c r="FV3902"/>
      <c r="FW3902"/>
      <c r="FX3902"/>
      <c r="FY3902"/>
      <c r="FZ3902"/>
      <c r="GA3902"/>
      <c r="GB3902"/>
      <c r="GC3902"/>
      <c r="GD3902"/>
      <c r="GE3902"/>
      <c r="GF3902"/>
      <c r="GG3902"/>
      <c r="GH3902"/>
      <c r="GI3902"/>
      <c r="GJ3902"/>
      <c r="GK3902"/>
      <c r="GL3902"/>
      <c r="GM3902"/>
      <c r="GN3902"/>
      <c r="GO3902"/>
    </row>
    <row r="3903" spans="107:197">
      <c r="DC3903"/>
      <c r="FH3903"/>
      <c r="FI3903"/>
      <c r="FJ3903"/>
      <c r="FK3903"/>
      <c r="FL3903"/>
      <c r="FM3903"/>
      <c r="FN3903"/>
      <c r="FO3903"/>
      <c r="FP3903"/>
      <c r="FQ3903"/>
      <c r="FR3903"/>
      <c r="FS3903"/>
      <c r="FT3903"/>
      <c r="FU3903"/>
      <c r="FV3903"/>
      <c r="FW3903"/>
      <c r="FX3903"/>
      <c r="FY3903"/>
      <c r="FZ3903"/>
      <c r="GA3903"/>
      <c r="GB3903"/>
      <c r="GC3903"/>
      <c r="GD3903"/>
      <c r="GE3903"/>
      <c r="GF3903"/>
      <c r="GG3903"/>
      <c r="GH3903"/>
      <c r="GI3903"/>
      <c r="GJ3903"/>
      <c r="GK3903"/>
      <c r="GL3903"/>
      <c r="GM3903"/>
      <c r="GN3903"/>
      <c r="GO3903"/>
    </row>
    <row r="3904" spans="107:197">
      <c r="DC3904"/>
      <c r="FH3904"/>
      <c r="FI3904"/>
      <c r="FJ3904"/>
      <c r="FK3904"/>
      <c r="FL3904"/>
      <c r="FM3904"/>
      <c r="FN3904"/>
      <c r="FO3904"/>
      <c r="FP3904"/>
      <c r="FQ3904"/>
      <c r="FR3904"/>
      <c r="FS3904"/>
      <c r="FT3904"/>
      <c r="FU3904"/>
      <c r="FV3904"/>
      <c r="FW3904"/>
      <c r="FX3904"/>
      <c r="FY3904"/>
      <c r="FZ3904"/>
      <c r="GA3904"/>
      <c r="GB3904"/>
      <c r="GC3904"/>
      <c r="GD3904"/>
      <c r="GE3904"/>
      <c r="GF3904"/>
      <c r="GG3904"/>
      <c r="GH3904"/>
      <c r="GI3904"/>
      <c r="GJ3904"/>
      <c r="GK3904"/>
      <c r="GL3904"/>
      <c r="GM3904"/>
      <c r="GN3904"/>
      <c r="GO3904"/>
    </row>
    <row r="3905" spans="107:197">
      <c r="DC3905"/>
      <c r="FH3905"/>
      <c r="FI3905"/>
      <c r="FJ3905"/>
      <c r="FK3905"/>
      <c r="FL3905"/>
      <c r="FM3905"/>
      <c r="FN3905"/>
      <c r="FO3905"/>
      <c r="FP3905"/>
      <c r="FQ3905"/>
      <c r="FR3905"/>
      <c r="FS3905"/>
      <c r="FT3905"/>
      <c r="FU3905"/>
      <c r="FV3905"/>
      <c r="FW3905"/>
      <c r="FX3905"/>
      <c r="FY3905"/>
      <c r="FZ3905"/>
      <c r="GA3905"/>
      <c r="GB3905"/>
      <c r="GC3905"/>
      <c r="GD3905"/>
      <c r="GE3905"/>
      <c r="GF3905"/>
      <c r="GG3905"/>
      <c r="GH3905"/>
      <c r="GI3905"/>
      <c r="GJ3905"/>
      <c r="GK3905"/>
      <c r="GL3905"/>
      <c r="GM3905"/>
      <c r="GN3905"/>
      <c r="GO3905"/>
    </row>
    <row r="3906" spans="107:197">
      <c r="DC3906"/>
      <c r="FH3906"/>
      <c r="FI3906"/>
      <c r="FJ3906"/>
      <c r="FK3906"/>
      <c r="FL3906"/>
      <c r="FM3906"/>
      <c r="FN3906"/>
      <c r="FO3906"/>
      <c r="FP3906"/>
      <c r="FQ3906"/>
      <c r="FR3906"/>
      <c r="FS3906"/>
      <c r="FT3906"/>
      <c r="FU3906"/>
      <c r="FV3906"/>
      <c r="FW3906"/>
      <c r="FX3906"/>
      <c r="FY3906"/>
      <c r="FZ3906"/>
      <c r="GA3906"/>
      <c r="GB3906"/>
      <c r="GC3906"/>
      <c r="GD3906"/>
      <c r="GE3906"/>
      <c r="GF3906"/>
      <c r="GG3906"/>
      <c r="GH3906"/>
      <c r="GI3906"/>
      <c r="GJ3906"/>
      <c r="GK3906"/>
      <c r="GL3906"/>
      <c r="GM3906"/>
      <c r="GN3906"/>
      <c r="GO3906"/>
    </row>
    <row r="3907" spans="107:197">
      <c r="DC3907"/>
      <c r="FH3907"/>
      <c r="FI3907"/>
      <c r="FJ3907"/>
      <c r="FK3907"/>
      <c r="FL3907"/>
      <c r="FM3907"/>
      <c r="FN3907"/>
      <c r="FO3907"/>
      <c r="FP3907"/>
      <c r="FQ3907"/>
      <c r="FR3907"/>
      <c r="FS3907"/>
      <c r="FT3907"/>
      <c r="FU3907"/>
      <c r="FV3907"/>
      <c r="FW3907"/>
      <c r="FX3907"/>
      <c r="FY3907"/>
      <c r="FZ3907"/>
      <c r="GA3907"/>
      <c r="GB3907"/>
      <c r="GC3907"/>
      <c r="GD3907"/>
      <c r="GE3907"/>
      <c r="GF3907"/>
      <c r="GG3907"/>
      <c r="GH3907"/>
      <c r="GI3907"/>
      <c r="GJ3907"/>
      <c r="GK3907"/>
      <c r="GL3907"/>
      <c r="GM3907"/>
      <c r="GN3907"/>
      <c r="GO3907"/>
    </row>
    <row r="3908" spans="107:197">
      <c r="DC3908"/>
      <c r="FH3908"/>
      <c r="FI3908"/>
      <c r="FJ3908"/>
      <c r="FK3908"/>
      <c r="FL3908"/>
      <c r="FM3908"/>
      <c r="FN3908"/>
      <c r="FO3908"/>
      <c r="FP3908"/>
      <c r="FQ3908"/>
      <c r="FR3908"/>
      <c r="FS3908"/>
      <c r="FT3908"/>
      <c r="FU3908"/>
      <c r="FV3908"/>
      <c r="FW3908"/>
      <c r="FX3908"/>
      <c r="FY3908"/>
      <c r="FZ3908"/>
      <c r="GA3908"/>
      <c r="GB3908"/>
      <c r="GC3908"/>
      <c r="GD3908"/>
      <c r="GE3908"/>
      <c r="GF3908"/>
      <c r="GG3908"/>
      <c r="GH3908"/>
      <c r="GI3908"/>
      <c r="GJ3908"/>
      <c r="GK3908"/>
      <c r="GL3908"/>
      <c r="GM3908"/>
      <c r="GN3908"/>
      <c r="GO3908"/>
    </row>
    <row r="3909" spans="107:197">
      <c r="DC3909"/>
      <c r="FH3909"/>
      <c r="FI3909"/>
      <c r="FJ3909"/>
      <c r="FK3909"/>
      <c r="FL3909"/>
      <c r="FM3909"/>
      <c r="FN3909"/>
      <c r="FO3909"/>
      <c r="FP3909"/>
      <c r="FQ3909"/>
      <c r="FR3909"/>
      <c r="FS3909"/>
      <c r="FT3909"/>
      <c r="FU3909"/>
      <c r="FV3909"/>
      <c r="FW3909"/>
      <c r="FX3909"/>
      <c r="FY3909"/>
      <c r="FZ3909"/>
      <c r="GA3909"/>
      <c r="GB3909"/>
      <c r="GC3909"/>
      <c r="GD3909"/>
      <c r="GE3909"/>
      <c r="GF3909"/>
      <c r="GG3909"/>
      <c r="GH3909"/>
      <c r="GI3909"/>
      <c r="GJ3909"/>
      <c r="GK3909"/>
      <c r="GL3909"/>
      <c r="GM3909"/>
      <c r="GN3909"/>
      <c r="GO3909"/>
    </row>
    <row r="3910" spans="107:197">
      <c r="DC3910"/>
      <c r="FH3910"/>
      <c r="FI3910"/>
      <c r="FJ3910"/>
      <c r="FK3910"/>
      <c r="FL3910"/>
      <c r="FM3910"/>
      <c r="FN3910"/>
      <c r="FO3910"/>
      <c r="FP3910"/>
      <c r="FQ3910"/>
      <c r="FR3910"/>
      <c r="FS3910"/>
      <c r="FT3910"/>
      <c r="FU3910"/>
      <c r="FV3910"/>
      <c r="FW3910"/>
      <c r="FX3910"/>
      <c r="FY3910"/>
      <c r="FZ3910"/>
      <c r="GA3910"/>
      <c r="GB3910"/>
      <c r="GC3910"/>
      <c r="GD3910"/>
      <c r="GE3910"/>
      <c r="GF3910"/>
      <c r="GG3910"/>
      <c r="GH3910"/>
      <c r="GI3910"/>
      <c r="GJ3910"/>
      <c r="GK3910"/>
      <c r="GL3910"/>
      <c r="GM3910"/>
      <c r="GN3910"/>
      <c r="GO3910"/>
    </row>
    <row r="3911" spans="107:197">
      <c r="DC3911"/>
      <c r="FH3911"/>
      <c r="FI3911"/>
      <c r="FJ3911"/>
      <c r="FK3911"/>
      <c r="FL3911"/>
      <c r="FM3911"/>
      <c r="FN3911"/>
      <c r="FO3911"/>
      <c r="FP3911"/>
      <c r="FQ3911"/>
      <c r="FR3911"/>
      <c r="FS3911"/>
      <c r="FT3911"/>
      <c r="FU3911"/>
      <c r="FV3911"/>
      <c r="FW3911"/>
      <c r="FX3911"/>
      <c r="FY3911"/>
      <c r="FZ3911"/>
      <c r="GA3911"/>
      <c r="GB3911"/>
      <c r="GC3911"/>
      <c r="GD3911"/>
      <c r="GE3911"/>
      <c r="GF3911"/>
      <c r="GG3911"/>
      <c r="GH3911"/>
      <c r="GI3911"/>
      <c r="GJ3911"/>
      <c r="GK3911"/>
      <c r="GL3911"/>
      <c r="GM3911"/>
      <c r="GN3911"/>
      <c r="GO3911"/>
    </row>
    <row r="3912" spans="107:197">
      <c r="DC3912"/>
      <c r="FH3912"/>
      <c r="FI3912"/>
      <c r="FJ3912"/>
      <c r="FK3912"/>
      <c r="FL3912"/>
      <c r="FM3912"/>
      <c r="FN3912"/>
      <c r="FO3912"/>
      <c r="FP3912"/>
      <c r="FQ3912"/>
      <c r="FR3912"/>
      <c r="FS3912"/>
      <c r="FT3912"/>
      <c r="FU3912"/>
      <c r="FV3912"/>
      <c r="FW3912"/>
      <c r="FX3912"/>
      <c r="FY3912"/>
      <c r="FZ3912"/>
      <c r="GA3912"/>
      <c r="GB3912"/>
      <c r="GC3912"/>
      <c r="GD3912"/>
      <c r="GE3912"/>
      <c r="GF3912"/>
      <c r="GG3912"/>
      <c r="GH3912"/>
      <c r="GI3912"/>
      <c r="GJ3912"/>
      <c r="GK3912"/>
      <c r="GL3912"/>
      <c r="GM3912"/>
      <c r="GN3912"/>
      <c r="GO3912"/>
    </row>
    <row r="3913" spans="107:197">
      <c r="DC3913"/>
      <c r="FH3913"/>
      <c r="FI3913"/>
      <c r="FJ3913"/>
      <c r="FK3913"/>
      <c r="FL3913"/>
      <c r="FM3913"/>
      <c r="FN3913"/>
      <c r="FO3913"/>
      <c r="FP3913"/>
      <c r="FQ3913"/>
      <c r="FR3913"/>
      <c r="FS3913"/>
      <c r="FT3913"/>
      <c r="FU3913"/>
      <c r="FV3913"/>
      <c r="FW3913"/>
      <c r="FX3913"/>
      <c r="FY3913"/>
      <c r="FZ3913"/>
      <c r="GA3913"/>
      <c r="GB3913"/>
      <c r="GC3913"/>
      <c r="GD3913"/>
      <c r="GE3913"/>
      <c r="GF3913"/>
      <c r="GG3913"/>
      <c r="GH3913"/>
      <c r="GI3913"/>
      <c r="GJ3913"/>
      <c r="GK3913"/>
      <c r="GL3913"/>
      <c r="GM3913"/>
      <c r="GN3913"/>
      <c r="GO3913"/>
    </row>
    <row r="3914" spans="107:197">
      <c r="DC3914"/>
      <c r="FH3914"/>
      <c r="FI3914"/>
      <c r="FJ3914"/>
      <c r="FK3914"/>
      <c r="FL3914"/>
      <c r="FM3914"/>
      <c r="FN3914"/>
      <c r="FO3914"/>
      <c r="FP3914"/>
      <c r="FQ3914"/>
      <c r="FR3914"/>
      <c r="FS3914"/>
      <c r="FT3914"/>
      <c r="FU3914"/>
      <c r="FV3914"/>
      <c r="FW3914"/>
      <c r="FX3914"/>
      <c r="FY3914"/>
      <c r="FZ3914"/>
      <c r="GA3914"/>
      <c r="GB3914"/>
      <c r="GC3914"/>
      <c r="GD3914"/>
      <c r="GE3914"/>
      <c r="GF3914"/>
      <c r="GG3914"/>
      <c r="GH3914"/>
      <c r="GI3914"/>
      <c r="GJ3914"/>
      <c r="GK3914"/>
      <c r="GL3914"/>
      <c r="GM3914"/>
      <c r="GN3914"/>
      <c r="GO3914"/>
    </row>
    <row r="3915" spans="107:197">
      <c r="DC3915"/>
      <c r="FH3915"/>
      <c r="FI3915"/>
      <c r="FJ3915"/>
      <c r="FK3915"/>
      <c r="FL3915"/>
      <c r="FM3915"/>
      <c r="FN3915"/>
      <c r="FO3915"/>
      <c r="FP3915"/>
      <c r="FQ3915"/>
      <c r="FR3915"/>
      <c r="FS3915"/>
      <c r="FT3915"/>
      <c r="FU3915"/>
      <c r="FV3915"/>
      <c r="FW3915"/>
      <c r="FX3915"/>
      <c r="FY3915"/>
      <c r="FZ3915"/>
      <c r="GA3915"/>
      <c r="GB3915"/>
      <c r="GC3915"/>
      <c r="GD3915"/>
      <c r="GE3915"/>
      <c r="GF3915"/>
      <c r="GG3915"/>
      <c r="GH3915"/>
      <c r="GI3915"/>
      <c r="GJ3915"/>
      <c r="GK3915"/>
      <c r="GL3915"/>
      <c r="GM3915"/>
      <c r="GN3915"/>
      <c r="GO3915"/>
    </row>
    <row r="3916" spans="107:197">
      <c r="DC3916"/>
      <c r="FH3916"/>
      <c r="FI3916"/>
      <c r="FJ3916"/>
      <c r="FK3916"/>
      <c r="FL3916"/>
      <c r="FM3916"/>
      <c r="FN3916"/>
      <c r="FO3916"/>
      <c r="FP3916"/>
      <c r="FQ3916"/>
      <c r="FR3916"/>
      <c r="FS3916"/>
      <c r="FT3916"/>
      <c r="FU3916"/>
      <c r="FV3916"/>
      <c r="FW3916"/>
      <c r="FX3916"/>
      <c r="FY3916"/>
      <c r="FZ3916"/>
      <c r="GA3916"/>
      <c r="GB3916"/>
      <c r="GC3916"/>
      <c r="GD3916"/>
      <c r="GE3916"/>
      <c r="GF3916"/>
      <c r="GG3916"/>
      <c r="GH3916"/>
      <c r="GI3916"/>
      <c r="GJ3916"/>
      <c r="GK3916"/>
      <c r="GL3916"/>
      <c r="GM3916"/>
      <c r="GN3916"/>
      <c r="GO3916"/>
    </row>
    <row r="3917" spans="107:197">
      <c r="DC3917"/>
      <c r="FH3917"/>
      <c r="FI3917"/>
      <c r="FJ3917"/>
      <c r="FK3917"/>
      <c r="FL3917"/>
      <c r="FM3917"/>
      <c r="FN3917"/>
      <c r="FO3917"/>
      <c r="FP3917"/>
      <c r="FQ3917"/>
      <c r="FR3917"/>
      <c r="FS3917"/>
      <c r="FT3917"/>
      <c r="FU3917"/>
      <c r="FV3917"/>
      <c r="FW3917"/>
      <c r="FX3917"/>
      <c r="FY3917"/>
      <c r="FZ3917"/>
      <c r="GA3917"/>
      <c r="GB3917"/>
      <c r="GC3917"/>
      <c r="GD3917"/>
      <c r="GE3917"/>
      <c r="GF3917"/>
      <c r="GG3917"/>
      <c r="GH3917"/>
      <c r="GI3917"/>
      <c r="GJ3917"/>
      <c r="GK3917"/>
      <c r="GL3917"/>
      <c r="GM3917"/>
      <c r="GN3917"/>
      <c r="GO3917"/>
    </row>
    <row r="3918" spans="107:197">
      <c r="DC3918"/>
      <c r="FH3918"/>
      <c r="FI3918"/>
      <c r="FJ3918"/>
      <c r="FK3918"/>
      <c r="FL3918"/>
      <c r="FM3918"/>
      <c r="FN3918"/>
      <c r="FO3918"/>
      <c r="FP3918"/>
      <c r="FQ3918"/>
      <c r="FR3918"/>
      <c r="FS3918"/>
      <c r="FT3918"/>
      <c r="FU3918"/>
      <c r="FV3918"/>
      <c r="FW3918"/>
      <c r="FX3918"/>
      <c r="FY3918"/>
      <c r="FZ3918"/>
      <c r="GA3918"/>
      <c r="GB3918"/>
      <c r="GC3918"/>
      <c r="GD3918"/>
      <c r="GE3918"/>
      <c r="GF3918"/>
      <c r="GG3918"/>
      <c r="GH3918"/>
      <c r="GI3918"/>
      <c r="GJ3918"/>
      <c r="GK3918"/>
      <c r="GL3918"/>
      <c r="GM3918"/>
      <c r="GN3918"/>
      <c r="GO3918"/>
    </row>
    <row r="3919" spans="107:197">
      <c r="DC3919"/>
      <c r="FH3919"/>
      <c r="FI3919"/>
      <c r="FJ3919"/>
      <c r="FK3919"/>
      <c r="FL3919"/>
      <c r="FM3919"/>
      <c r="FN3919"/>
      <c r="FO3919"/>
      <c r="FP3919"/>
      <c r="FQ3919"/>
      <c r="FR3919"/>
      <c r="FS3919"/>
      <c r="FT3919"/>
      <c r="FU3919"/>
      <c r="FV3919"/>
      <c r="FW3919"/>
      <c r="FX3919"/>
      <c r="FY3919"/>
      <c r="FZ3919"/>
      <c r="GA3919"/>
      <c r="GB3919"/>
      <c r="GC3919"/>
      <c r="GD3919"/>
      <c r="GE3919"/>
      <c r="GF3919"/>
      <c r="GG3919"/>
      <c r="GH3919"/>
      <c r="GI3919"/>
      <c r="GJ3919"/>
      <c r="GK3919"/>
      <c r="GL3919"/>
      <c r="GM3919"/>
      <c r="GN3919"/>
      <c r="GO3919"/>
    </row>
    <row r="3920" spans="107:197">
      <c r="DC3920"/>
      <c r="FH3920"/>
      <c r="FI3920"/>
      <c r="FJ3920"/>
      <c r="FK3920"/>
      <c r="FL3920"/>
      <c r="FM3920"/>
      <c r="FN3920"/>
      <c r="FO3920"/>
      <c r="FP3920"/>
      <c r="FQ3920"/>
      <c r="FR3920"/>
      <c r="FS3920"/>
      <c r="FT3920"/>
      <c r="FU3920"/>
      <c r="FV3920"/>
      <c r="FW3920"/>
      <c r="FX3920"/>
      <c r="FY3920"/>
      <c r="FZ3920"/>
      <c r="GA3920"/>
      <c r="GB3920"/>
      <c r="GC3920"/>
      <c r="GD3920"/>
      <c r="GE3920"/>
      <c r="GF3920"/>
      <c r="GG3920"/>
      <c r="GH3920"/>
      <c r="GI3920"/>
      <c r="GJ3920"/>
      <c r="GK3920"/>
      <c r="GL3920"/>
      <c r="GM3920"/>
      <c r="GN3920"/>
      <c r="GO3920"/>
    </row>
    <row r="3921" spans="107:197">
      <c r="DC3921"/>
      <c r="FH3921"/>
      <c r="FI3921"/>
      <c r="FJ3921"/>
      <c r="FK3921"/>
      <c r="FL3921"/>
      <c r="FM3921"/>
      <c r="FN3921"/>
      <c r="FO3921"/>
      <c r="FP3921"/>
      <c r="FQ3921"/>
      <c r="FR3921"/>
      <c r="FS3921"/>
      <c r="FT3921"/>
      <c r="FU3921"/>
      <c r="FV3921"/>
      <c r="FW3921"/>
      <c r="FX3921"/>
      <c r="FY3921"/>
      <c r="FZ3921"/>
      <c r="GA3921"/>
      <c r="GB3921"/>
      <c r="GC3921"/>
      <c r="GD3921"/>
      <c r="GE3921"/>
      <c r="GF3921"/>
      <c r="GG3921"/>
      <c r="GH3921"/>
      <c r="GI3921"/>
      <c r="GJ3921"/>
      <c r="GK3921"/>
      <c r="GL3921"/>
      <c r="GM3921"/>
      <c r="GN3921"/>
      <c r="GO3921"/>
    </row>
    <row r="3922" spans="107:197">
      <c r="DC3922"/>
      <c r="FH3922"/>
      <c r="FI3922"/>
      <c r="FJ3922"/>
      <c r="FK3922"/>
      <c r="FL3922"/>
      <c r="FM3922"/>
      <c r="FN3922"/>
      <c r="FO3922"/>
      <c r="FP3922"/>
      <c r="FQ3922"/>
      <c r="FR3922"/>
      <c r="FS3922"/>
      <c r="FT3922"/>
      <c r="FU3922"/>
      <c r="FV3922"/>
      <c r="FW3922"/>
      <c r="FX3922"/>
      <c r="FY3922"/>
      <c r="FZ3922"/>
      <c r="GA3922"/>
      <c r="GB3922"/>
      <c r="GC3922"/>
      <c r="GD3922"/>
      <c r="GE3922"/>
      <c r="GF3922"/>
      <c r="GG3922"/>
      <c r="GH3922"/>
      <c r="GI3922"/>
      <c r="GJ3922"/>
      <c r="GK3922"/>
      <c r="GL3922"/>
      <c r="GM3922"/>
      <c r="GN3922"/>
      <c r="GO3922"/>
    </row>
    <row r="3923" spans="107:197">
      <c r="DC3923"/>
      <c r="FH3923"/>
      <c r="FI3923"/>
      <c r="FJ3923"/>
      <c r="FK3923"/>
      <c r="FL3923"/>
      <c r="FM3923"/>
      <c r="FN3923"/>
      <c r="FO3923"/>
      <c r="FP3923"/>
      <c r="FQ3923"/>
      <c r="FR3923"/>
      <c r="FS3923"/>
      <c r="FT3923"/>
      <c r="FU3923"/>
      <c r="FV3923"/>
      <c r="FW3923"/>
      <c r="FX3923"/>
      <c r="FY3923"/>
      <c r="FZ3923"/>
      <c r="GA3923"/>
      <c r="GB3923"/>
      <c r="GC3923"/>
      <c r="GD3923"/>
      <c r="GE3923"/>
      <c r="GF3923"/>
      <c r="GG3923"/>
      <c r="GH3923"/>
      <c r="GI3923"/>
      <c r="GJ3923"/>
      <c r="GK3923"/>
      <c r="GL3923"/>
      <c r="GM3923"/>
      <c r="GN3923"/>
      <c r="GO3923"/>
    </row>
    <row r="3924" spans="107:197">
      <c r="DC3924"/>
      <c r="FH3924"/>
      <c r="FI3924"/>
      <c r="FJ3924"/>
      <c r="FK3924"/>
      <c r="FL3924"/>
      <c r="FM3924"/>
      <c r="FN3924"/>
      <c r="FO3924"/>
      <c r="FP3924"/>
      <c r="FQ3924"/>
      <c r="FR3924"/>
      <c r="FS3924"/>
      <c r="FT3924"/>
      <c r="FU3924"/>
      <c r="FV3924"/>
      <c r="FW3924"/>
      <c r="FX3924"/>
      <c r="FY3924"/>
      <c r="FZ3924"/>
      <c r="GA3924"/>
      <c r="GB3924"/>
      <c r="GC3924"/>
      <c r="GD3924"/>
      <c r="GE3924"/>
      <c r="GF3924"/>
      <c r="GG3924"/>
      <c r="GH3924"/>
      <c r="GI3924"/>
      <c r="GJ3924"/>
      <c r="GK3924"/>
      <c r="GL3924"/>
      <c r="GM3924"/>
      <c r="GN3924"/>
      <c r="GO3924"/>
    </row>
    <row r="3925" spans="107:197">
      <c r="DC3925"/>
      <c r="FH3925"/>
      <c r="FI3925"/>
      <c r="FJ3925"/>
      <c r="FK3925"/>
      <c r="FL3925"/>
      <c r="FM3925"/>
      <c r="FN3925"/>
      <c r="FO3925"/>
      <c r="FP3925"/>
      <c r="FQ3925"/>
      <c r="FR3925"/>
      <c r="FS3925"/>
      <c r="FT3925"/>
      <c r="FU3925"/>
      <c r="FV3925"/>
      <c r="FW3925"/>
      <c r="FX3925"/>
      <c r="FY3925"/>
      <c r="FZ3925"/>
      <c r="GA3925"/>
      <c r="GB3925"/>
      <c r="GC3925"/>
      <c r="GD3925"/>
      <c r="GE3925"/>
      <c r="GF3925"/>
      <c r="GG3925"/>
      <c r="GH3925"/>
      <c r="GI3925"/>
      <c r="GJ3925"/>
      <c r="GK3925"/>
      <c r="GL3925"/>
      <c r="GM3925"/>
      <c r="GN3925"/>
      <c r="GO3925"/>
    </row>
    <row r="3926" spans="107:197">
      <c r="DC3926"/>
      <c r="FH3926"/>
      <c r="FI3926"/>
      <c r="FJ3926"/>
      <c r="FK3926"/>
      <c r="FL3926"/>
      <c r="FM3926"/>
      <c r="FN3926"/>
      <c r="FO3926"/>
      <c r="FP3926"/>
      <c r="FQ3926"/>
      <c r="FR3926"/>
      <c r="FS3926"/>
      <c r="FT3926"/>
      <c r="FU3926"/>
      <c r="FV3926"/>
      <c r="FW3926"/>
      <c r="FX3926"/>
      <c r="FY3926"/>
      <c r="FZ3926"/>
      <c r="GA3926"/>
      <c r="GB3926"/>
      <c r="GC3926"/>
      <c r="GD3926"/>
      <c r="GE3926"/>
      <c r="GF3926"/>
      <c r="GG3926"/>
      <c r="GH3926"/>
      <c r="GI3926"/>
      <c r="GJ3926"/>
      <c r="GK3926"/>
      <c r="GL3926"/>
      <c r="GM3926"/>
      <c r="GN3926"/>
      <c r="GO3926"/>
    </row>
    <row r="3927" spans="107:197">
      <c r="DC3927"/>
      <c r="FH3927"/>
      <c r="FI3927"/>
      <c r="FJ3927"/>
      <c r="FK3927"/>
      <c r="FL3927"/>
      <c r="FM3927"/>
      <c r="FN3927"/>
      <c r="FO3927"/>
      <c r="FP3927"/>
      <c r="FQ3927"/>
      <c r="FR3927"/>
      <c r="FS3927"/>
      <c r="FT3927"/>
      <c r="FU3927"/>
      <c r="FV3927"/>
      <c r="FW3927"/>
      <c r="FX3927"/>
      <c r="FY3927"/>
      <c r="FZ3927"/>
      <c r="GA3927"/>
      <c r="GB3927"/>
      <c r="GC3927"/>
      <c r="GD3927"/>
      <c r="GE3927"/>
      <c r="GF3927"/>
      <c r="GG3927"/>
      <c r="GH3927"/>
      <c r="GI3927"/>
      <c r="GJ3927"/>
      <c r="GK3927"/>
      <c r="GL3927"/>
      <c r="GM3927"/>
      <c r="GN3927"/>
      <c r="GO3927"/>
    </row>
    <row r="3928" spans="107:197">
      <c r="DC3928"/>
      <c r="FH3928"/>
      <c r="FI3928"/>
      <c r="FJ3928"/>
      <c r="FK3928"/>
      <c r="FL3928"/>
      <c r="FM3928"/>
      <c r="FN3928"/>
      <c r="FO3928"/>
      <c r="FP3928"/>
      <c r="FQ3928"/>
      <c r="FR3928"/>
      <c r="FS3928"/>
      <c r="FT3928"/>
      <c r="FU3928"/>
      <c r="FV3928"/>
      <c r="FW3928"/>
      <c r="FX3928"/>
      <c r="FY3928"/>
      <c r="FZ3928"/>
      <c r="GA3928"/>
      <c r="GB3928"/>
      <c r="GC3928"/>
      <c r="GD3928"/>
      <c r="GE3928"/>
      <c r="GF3928"/>
      <c r="GG3928"/>
      <c r="GH3928"/>
      <c r="GI3928"/>
      <c r="GJ3928"/>
      <c r="GK3928"/>
      <c r="GL3928"/>
      <c r="GM3928"/>
      <c r="GN3928"/>
      <c r="GO3928"/>
    </row>
    <row r="3929" spans="107:197">
      <c r="DC3929"/>
      <c r="FH3929"/>
      <c r="FI3929"/>
      <c r="FJ3929"/>
      <c r="FK3929"/>
      <c r="FL3929"/>
      <c r="FM3929"/>
      <c r="FN3929"/>
      <c r="FO3929"/>
      <c r="FP3929"/>
      <c r="FQ3929"/>
      <c r="FR3929"/>
      <c r="FS3929"/>
      <c r="FT3929"/>
      <c r="FU3929"/>
      <c r="FV3929"/>
      <c r="FW3929"/>
      <c r="FX3929"/>
      <c r="FY3929"/>
      <c r="FZ3929"/>
      <c r="GA3929"/>
      <c r="GB3929"/>
      <c r="GC3929"/>
      <c r="GD3929"/>
      <c r="GE3929"/>
      <c r="GF3929"/>
      <c r="GG3929"/>
      <c r="GH3929"/>
      <c r="GI3929"/>
      <c r="GJ3929"/>
      <c r="GK3929"/>
      <c r="GL3929"/>
      <c r="GM3929"/>
      <c r="GN3929"/>
      <c r="GO3929"/>
    </row>
    <row r="3930" spans="107:197">
      <c r="DC3930"/>
      <c r="FH3930"/>
      <c r="FI3930"/>
      <c r="FJ3930"/>
      <c r="FK3930"/>
      <c r="FL3930"/>
      <c r="FM3930"/>
      <c r="FN3930"/>
      <c r="FO3930"/>
      <c r="FP3930"/>
      <c r="FQ3930"/>
      <c r="FR3930"/>
      <c r="FS3930"/>
      <c r="FT3930"/>
      <c r="FU3930"/>
      <c r="FV3930"/>
      <c r="FW3930"/>
      <c r="FX3930"/>
      <c r="FY3930"/>
      <c r="FZ3930"/>
      <c r="GA3930"/>
      <c r="GB3930"/>
      <c r="GC3930"/>
      <c r="GD3930"/>
      <c r="GE3930"/>
      <c r="GF3930"/>
      <c r="GG3930"/>
      <c r="GH3930"/>
      <c r="GI3930"/>
      <c r="GJ3930"/>
      <c r="GK3930"/>
      <c r="GL3930"/>
      <c r="GM3930"/>
      <c r="GN3930"/>
      <c r="GO3930"/>
    </row>
    <row r="3931" spans="107:197">
      <c r="DC3931"/>
      <c r="FH3931"/>
      <c r="FI3931"/>
      <c r="FJ3931"/>
      <c r="FK3931"/>
      <c r="FL3931"/>
      <c r="FM3931"/>
      <c r="FN3931"/>
      <c r="FO3931"/>
      <c r="FP3931"/>
      <c r="FQ3931"/>
      <c r="FR3931"/>
      <c r="FS3931"/>
      <c r="FT3931"/>
      <c r="FU3931"/>
      <c r="FV3931"/>
      <c r="FW3931"/>
      <c r="FX3931"/>
      <c r="FY3931"/>
      <c r="FZ3931"/>
      <c r="GA3931"/>
      <c r="GB3931"/>
      <c r="GC3931"/>
      <c r="GD3931"/>
      <c r="GE3931"/>
      <c r="GF3931"/>
      <c r="GG3931"/>
      <c r="GH3931"/>
      <c r="GI3931"/>
      <c r="GJ3931"/>
      <c r="GK3931"/>
      <c r="GL3931"/>
      <c r="GM3931"/>
      <c r="GN3931"/>
      <c r="GO3931"/>
    </row>
    <row r="3932" spans="107:197">
      <c r="DC3932"/>
      <c r="FH3932"/>
      <c r="FI3932"/>
      <c r="FJ3932"/>
      <c r="FK3932"/>
      <c r="FL3932"/>
      <c r="FM3932"/>
      <c r="FN3932"/>
      <c r="FO3932"/>
      <c r="FP3932"/>
      <c r="FQ3932"/>
      <c r="FR3932"/>
      <c r="FS3932"/>
      <c r="FT3932"/>
      <c r="FU3932"/>
      <c r="FV3932"/>
      <c r="FW3932"/>
      <c r="FX3932"/>
      <c r="FY3932"/>
      <c r="FZ3932"/>
      <c r="GA3932"/>
      <c r="GB3932"/>
      <c r="GC3932"/>
      <c r="GD3932"/>
      <c r="GE3932"/>
      <c r="GF3932"/>
      <c r="GG3932"/>
      <c r="GH3932"/>
      <c r="GI3932"/>
      <c r="GJ3932"/>
      <c r="GK3932"/>
      <c r="GL3932"/>
      <c r="GM3932"/>
      <c r="GN3932"/>
      <c r="GO3932"/>
    </row>
    <row r="3933" spans="107:197">
      <c r="DC3933"/>
      <c r="FH3933"/>
      <c r="FI3933"/>
      <c r="FJ3933"/>
      <c r="FK3933"/>
      <c r="FL3933"/>
      <c r="FM3933"/>
      <c r="FN3933"/>
      <c r="FO3933"/>
      <c r="FP3933"/>
      <c r="FQ3933"/>
      <c r="FR3933"/>
      <c r="FS3933"/>
      <c r="FT3933"/>
      <c r="FU3933"/>
      <c r="FV3933"/>
      <c r="FW3933"/>
      <c r="FX3933"/>
      <c r="FY3933"/>
      <c r="FZ3933"/>
      <c r="GA3933"/>
      <c r="GB3933"/>
      <c r="GC3933"/>
      <c r="GD3933"/>
      <c r="GE3933"/>
      <c r="GF3933"/>
      <c r="GG3933"/>
      <c r="GH3933"/>
      <c r="GI3933"/>
      <c r="GJ3933"/>
      <c r="GK3933"/>
      <c r="GL3933"/>
      <c r="GM3933"/>
      <c r="GN3933"/>
      <c r="GO3933"/>
    </row>
    <row r="3934" spans="107:197">
      <c r="DC3934"/>
      <c r="FH3934"/>
      <c r="FI3934"/>
      <c r="FJ3934"/>
      <c r="FK3934"/>
      <c r="FL3934"/>
      <c r="FM3934"/>
      <c r="FN3934"/>
      <c r="FO3934"/>
      <c r="FP3934"/>
      <c r="FQ3934"/>
      <c r="FR3934"/>
      <c r="FS3934"/>
      <c r="FT3934"/>
      <c r="FU3934"/>
      <c r="FV3934"/>
      <c r="FW3934"/>
      <c r="FX3934"/>
      <c r="FY3934"/>
      <c r="FZ3934"/>
      <c r="GA3934"/>
      <c r="GB3934"/>
      <c r="GC3934"/>
      <c r="GD3934"/>
      <c r="GE3934"/>
      <c r="GF3934"/>
      <c r="GG3934"/>
      <c r="GH3934"/>
      <c r="GI3934"/>
      <c r="GJ3934"/>
      <c r="GK3934"/>
      <c r="GL3934"/>
      <c r="GM3934"/>
      <c r="GN3934"/>
      <c r="GO3934"/>
    </row>
    <row r="3935" spans="107:197">
      <c r="DC3935"/>
      <c r="FH3935"/>
      <c r="FI3935"/>
      <c r="FJ3935"/>
      <c r="FK3935"/>
      <c r="FL3935"/>
      <c r="FM3935"/>
      <c r="FN3935"/>
      <c r="FO3935"/>
      <c r="FP3935"/>
      <c r="FQ3935"/>
      <c r="FR3935"/>
      <c r="FS3935"/>
      <c r="FT3935"/>
      <c r="FU3935"/>
      <c r="FV3935"/>
      <c r="FW3935"/>
      <c r="FX3935"/>
      <c r="FY3935"/>
      <c r="FZ3935"/>
      <c r="GA3935"/>
      <c r="GB3935"/>
      <c r="GC3935"/>
      <c r="GD3935"/>
      <c r="GE3935"/>
      <c r="GF3935"/>
      <c r="GG3935"/>
      <c r="GH3935"/>
      <c r="GI3935"/>
      <c r="GJ3935"/>
      <c r="GK3935"/>
      <c r="GL3935"/>
      <c r="GM3935"/>
      <c r="GN3935"/>
      <c r="GO3935"/>
    </row>
    <row r="3936" spans="107:197">
      <c r="DC3936"/>
      <c r="FH3936"/>
      <c r="FI3936"/>
      <c r="FJ3936"/>
      <c r="FK3936"/>
      <c r="FL3936"/>
      <c r="FM3936"/>
      <c r="FN3936"/>
      <c r="FO3936"/>
      <c r="FP3936"/>
      <c r="FQ3936"/>
      <c r="FR3936"/>
      <c r="FS3936"/>
      <c r="FT3936"/>
      <c r="FU3936"/>
      <c r="FV3936"/>
      <c r="FW3936"/>
      <c r="FX3936"/>
      <c r="FY3936"/>
      <c r="FZ3936"/>
      <c r="GA3936"/>
      <c r="GB3936"/>
      <c r="GC3936"/>
      <c r="GD3936"/>
      <c r="GE3936"/>
      <c r="GF3936"/>
      <c r="GG3936"/>
      <c r="GH3936"/>
      <c r="GI3936"/>
      <c r="GJ3936"/>
      <c r="GK3936"/>
      <c r="GL3936"/>
      <c r="GM3936"/>
      <c r="GN3936"/>
      <c r="GO3936"/>
    </row>
    <row r="3937" spans="107:197">
      <c r="DC3937"/>
      <c r="FH3937"/>
      <c r="FI3937"/>
      <c r="FJ3937"/>
      <c r="FK3937"/>
      <c r="FL3937"/>
      <c r="FM3937"/>
      <c r="FN3937"/>
      <c r="FO3937"/>
      <c r="FP3937"/>
      <c r="FQ3937"/>
      <c r="FR3937"/>
      <c r="FS3937"/>
      <c r="FT3937"/>
      <c r="FU3937"/>
      <c r="FV3937"/>
      <c r="FW3937"/>
      <c r="FX3937"/>
      <c r="FY3937"/>
      <c r="FZ3937"/>
      <c r="GA3937"/>
      <c r="GB3937"/>
      <c r="GC3937"/>
      <c r="GD3937"/>
      <c r="GE3937"/>
      <c r="GF3937"/>
      <c r="GG3937"/>
      <c r="GH3937"/>
      <c r="GI3937"/>
      <c r="GJ3937"/>
      <c r="GK3937"/>
      <c r="GL3937"/>
      <c r="GM3937"/>
      <c r="GN3937"/>
      <c r="GO3937"/>
    </row>
    <row r="3938" spans="107:197">
      <c r="DC3938"/>
      <c r="FH3938"/>
      <c r="FI3938"/>
      <c r="FJ3938"/>
      <c r="FK3938"/>
      <c r="FL3938"/>
      <c r="FM3938"/>
      <c r="FN3938"/>
      <c r="FO3938"/>
      <c r="FP3938"/>
      <c r="FQ3938"/>
      <c r="FR3938"/>
      <c r="FS3938"/>
      <c r="FT3938"/>
      <c r="FU3938"/>
      <c r="FV3938"/>
      <c r="FW3938"/>
      <c r="FX3938"/>
      <c r="FY3938"/>
      <c r="FZ3938"/>
      <c r="GA3938"/>
      <c r="GB3938"/>
      <c r="GC3938"/>
      <c r="GD3938"/>
      <c r="GE3938"/>
      <c r="GF3938"/>
      <c r="GG3938"/>
      <c r="GH3938"/>
      <c r="GI3938"/>
      <c r="GJ3938"/>
      <c r="GK3938"/>
      <c r="GL3938"/>
      <c r="GM3938"/>
      <c r="GN3938"/>
      <c r="GO3938"/>
    </row>
    <row r="3939" spans="107:197">
      <c r="DC3939"/>
      <c r="FH3939"/>
      <c r="FI3939"/>
      <c r="FJ3939"/>
      <c r="FK3939"/>
      <c r="FL3939"/>
      <c r="FM3939"/>
      <c r="FN3939"/>
      <c r="FO3939"/>
      <c r="FP3939"/>
      <c r="FQ3939"/>
      <c r="FR3939"/>
      <c r="FS3939"/>
      <c r="FT3939"/>
      <c r="FU3939"/>
      <c r="FV3939"/>
      <c r="FW3939"/>
      <c r="FX3939"/>
      <c r="FY3939"/>
      <c r="FZ3939"/>
      <c r="GA3939"/>
      <c r="GB3939"/>
      <c r="GC3939"/>
      <c r="GD3939"/>
      <c r="GE3939"/>
      <c r="GF3939"/>
      <c r="GG3939"/>
      <c r="GH3939"/>
      <c r="GI3939"/>
      <c r="GJ3939"/>
      <c r="GK3939"/>
      <c r="GL3939"/>
      <c r="GM3939"/>
      <c r="GN3939"/>
      <c r="GO3939"/>
    </row>
    <row r="3940" spans="107:197">
      <c r="DC3940"/>
      <c r="FH3940"/>
      <c r="FI3940"/>
      <c r="FJ3940"/>
      <c r="FK3940"/>
      <c r="FL3940"/>
      <c r="FM3940"/>
      <c r="FN3940"/>
      <c r="FO3940"/>
      <c r="FP3940"/>
      <c r="FQ3940"/>
      <c r="FR3940"/>
      <c r="FS3940"/>
      <c r="FT3940"/>
      <c r="FU3940"/>
      <c r="FV3940"/>
      <c r="FW3940"/>
      <c r="FX3940"/>
      <c r="FY3940"/>
      <c r="FZ3940"/>
      <c r="GA3940"/>
      <c r="GB3940"/>
      <c r="GC3940"/>
      <c r="GD3940"/>
      <c r="GE3940"/>
      <c r="GF3940"/>
      <c r="GG3940"/>
      <c r="GH3940"/>
      <c r="GI3940"/>
      <c r="GJ3940"/>
      <c r="GK3940"/>
      <c r="GL3940"/>
      <c r="GM3940"/>
      <c r="GN3940"/>
      <c r="GO3940"/>
    </row>
    <row r="3941" spans="107:197">
      <c r="DC3941"/>
      <c r="FH3941"/>
      <c r="FI3941"/>
      <c r="FJ3941"/>
      <c r="FK3941"/>
      <c r="FL3941"/>
      <c r="FM3941"/>
      <c r="FN3941"/>
      <c r="FO3941"/>
      <c r="FP3941"/>
      <c r="FQ3941"/>
      <c r="FR3941"/>
      <c r="FS3941"/>
      <c r="FT3941"/>
      <c r="FU3941"/>
      <c r="FV3941"/>
      <c r="FW3941"/>
      <c r="FX3941"/>
      <c r="FY3941"/>
      <c r="FZ3941"/>
      <c r="GA3941"/>
      <c r="GB3941"/>
      <c r="GC3941"/>
      <c r="GD3941"/>
      <c r="GE3941"/>
      <c r="GF3941"/>
      <c r="GG3941"/>
      <c r="GH3941"/>
      <c r="GI3941"/>
      <c r="GJ3941"/>
      <c r="GK3941"/>
      <c r="GL3941"/>
      <c r="GM3941"/>
      <c r="GN3941"/>
      <c r="GO3941"/>
    </row>
    <row r="3942" spans="107:197">
      <c r="DC3942"/>
      <c r="FH3942"/>
      <c r="FI3942"/>
      <c r="FJ3942"/>
      <c r="FK3942"/>
      <c r="FL3942"/>
      <c r="FM3942"/>
      <c r="FN3942"/>
      <c r="FO3942"/>
      <c r="FP3942"/>
      <c r="FQ3942"/>
      <c r="FR3942"/>
      <c r="FS3942"/>
      <c r="FT3942"/>
      <c r="FU3942"/>
      <c r="FV3942"/>
      <c r="FW3942"/>
      <c r="FX3942"/>
      <c r="FY3942"/>
      <c r="FZ3942"/>
      <c r="GA3942"/>
      <c r="GB3942"/>
      <c r="GC3942"/>
      <c r="GD3942"/>
      <c r="GE3942"/>
      <c r="GF3942"/>
      <c r="GG3942"/>
      <c r="GH3942"/>
      <c r="GI3942"/>
      <c r="GJ3942"/>
      <c r="GK3942"/>
      <c r="GL3942"/>
      <c r="GM3942"/>
      <c r="GN3942"/>
      <c r="GO3942"/>
    </row>
    <row r="3943" spans="107:197">
      <c r="DC3943"/>
      <c r="FH3943"/>
      <c r="FI3943"/>
      <c r="FJ3943"/>
      <c r="FK3943"/>
      <c r="FL3943"/>
      <c r="FM3943"/>
      <c r="FN3943"/>
      <c r="FO3943"/>
      <c r="FP3943"/>
      <c r="FQ3943"/>
      <c r="FR3943"/>
      <c r="FS3943"/>
      <c r="FT3943"/>
      <c r="FU3943"/>
      <c r="FV3943"/>
      <c r="FW3943"/>
      <c r="FX3943"/>
      <c r="FY3943"/>
      <c r="FZ3943"/>
      <c r="GA3943"/>
      <c r="GB3943"/>
      <c r="GC3943"/>
      <c r="GD3943"/>
      <c r="GE3943"/>
      <c r="GF3943"/>
      <c r="GG3943"/>
      <c r="GH3943"/>
      <c r="GI3943"/>
      <c r="GJ3943"/>
      <c r="GK3943"/>
      <c r="GL3943"/>
      <c r="GM3943"/>
      <c r="GN3943"/>
      <c r="GO3943"/>
    </row>
    <row r="3944" spans="107:197">
      <c r="DC3944"/>
      <c r="FH3944"/>
      <c r="FI3944"/>
      <c r="FJ3944"/>
      <c r="FK3944"/>
      <c r="FL3944"/>
      <c r="FM3944"/>
      <c r="FN3944"/>
      <c r="FO3944"/>
      <c r="FP3944"/>
      <c r="FQ3944"/>
      <c r="FR3944"/>
      <c r="FS3944"/>
      <c r="FT3944"/>
      <c r="FU3944"/>
      <c r="FV3944"/>
      <c r="FW3944"/>
      <c r="FX3944"/>
      <c r="FY3944"/>
      <c r="FZ3944"/>
      <c r="GA3944"/>
      <c r="GB3944"/>
      <c r="GC3944"/>
      <c r="GD3944"/>
      <c r="GE3944"/>
      <c r="GF3944"/>
      <c r="GG3944"/>
      <c r="GH3944"/>
      <c r="GI3944"/>
      <c r="GJ3944"/>
      <c r="GK3944"/>
      <c r="GL3944"/>
      <c r="GM3944"/>
      <c r="GN3944"/>
      <c r="GO3944"/>
    </row>
    <row r="3945" spans="107:197">
      <c r="DC3945"/>
      <c r="FH3945"/>
      <c r="FI3945"/>
      <c r="FJ3945"/>
      <c r="FK3945"/>
      <c r="FL3945"/>
      <c r="FM3945"/>
      <c r="FN3945"/>
      <c r="FO3945"/>
      <c r="FP3945"/>
      <c r="FQ3945"/>
      <c r="FR3945"/>
      <c r="FS3945"/>
      <c r="FT3945"/>
      <c r="FU3945"/>
      <c r="FV3945"/>
      <c r="FW3945"/>
      <c r="FX3945"/>
      <c r="FY3945"/>
      <c r="FZ3945"/>
      <c r="GA3945"/>
      <c r="GB3945"/>
      <c r="GC3945"/>
      <c r="GD3945"/>
      <c r="GE3945"/>
      <c r="GF3945"/>
      <c r="GG3945"/>
      <c r="GH3945"/>
      <c r="GI3945"/>
      <c r="GJ3945"/>
      <c r="GK3945"/>
      <c r="GL3945"/>
      <c r="GM3945"/>
      <c r="GN3945"/>
      <c r="GO3945"/>
    </row>
    <row r="3946" spans="107:197">
      <c r="DC3946"/>
      <c r="FH3946"/>
      <c r="FI3946"/>
      <c r="FJ3946"/>
      <c r="FK3946"/>
      <c r="FL3946"/>
      <c r="FM3946"/>
      <c r="FN3946"/>
      <c r="FO3946"/>
      <c r="FP3946"/>
      <c r="FQ3946"/>
      <c r="FR3946"/>
      <c r="FS3946"/>
      <c r="FT3946"/>
      <c r="FU3946"/>
      <c r="FV3946"/>
      <c r="FW3946"/>
      <c r="FX3946"/>
      <c r="FY3946"/>
      <c r="FZ3946"/>
      <c r="GA3946"/>
      <c r="GB3946"/>
      <c r="GC3946"/>
      <c r="GD3946"/>
      <c r="GE3946"/>
      <c r="GF3946"/>
      <c r="GG3946"/>
      <c r="GH3946"/>
      <c r="GI3946"/>
      <c r="GJ3946"/>
      <c r="GK3946"/>
      <c r="GL3946"/>
      <c r="GM3946"/>
      <c r="GN3946"/>
      <c r="GO3946"/>
    </row>
    <row r="3947" spans="107:197">
      <c r="DC3947"/>
      <c r="FH3947"/>
      <c r="FI3947"/>
      <c r="FJ3947"/>
      <c r="FK3947"/>
      <c r="FL3947"/>
      <c r="FM3947"/>
      <c r="FN3947"/>
      <c r="FO3947"/>
      <c r="FP3947"/>
      <c r="FQ3947"/>
      <c r="FR3947"/>
      <c r="FS3947"/>
      <c r="FT3947"/>
      <c r="FU3947"/>
      <c r="FV3947"/>
      <c r="FW3947"/>
      <c r="FX3947"/>
      <c r="FY3947"/>
      <c r="FZ3947"/>
      <c r="GA3947"/>
      <c r="GB3947"/>
      <c r="GC3947"/>
      <c r="GD3947"/>
      <c r="GE3947"/>
      <c r="GF3947"/>
      <c r="GG3947"/>
      <c r="GH3947"/>
      <c r="GI3947"/>
      <c r="GJ3947"/>
      <c r="GK3947"/>
      <c r="GL3947"/>
      <c r="GM3947"/>
      <c r="GN3947"/>
      <c r="GO3947"/>
    </row>
    <row r="3948" spans="107:197">
      <c r="DC3948"/>
      <c r="FH3948"/>
      <c r="FI3948"/>
      <c r="FJ3948"/>
      <c r="FK3948"/>
      <c r="FL3948"/>
      <c r="FM3948"/>
      <c r="FN3948"/>
      <c r="FO3948"/>
      <c r="FP3948"/>
      <c r="FQ3948"/>
      <c r="FR3948"/>
      <c r="FS3948"/>
      <c r="FT3948"/>
      <c r="FU3948"/>
      <c r="FV3948"/>
      <c r="FW3948"/>
      <c r="FX3948"/>
      <c r="FY3948"/>
      <c r="FZ3948"/>
      <c r="GA3948"/>
      <c r="GB3948"/>
      <c r="GC3948"/>
      <c r="GD3948"/>
      <c r="GE3948"/>
      <c r="GF3948"/>
      <c r="GG3948"/>
      <c r="GH3948"/>
      <c r="GI3948"/>
      <c r="GJ3948"/>
      <c r="GK3948"/>
      <c r="GL3948"/>
      <c r="GM3948"/>
      <c r="GN3948"/>
      <c r="GO3948"/>
    </row>
    <row r="3949" spans="107:197">
      <c r="DC3949"/>
      <c r="FH3949"/>
      <c r="FI3949"/>
      <c r="FJ3949"/>
      <c r="FK3949"/>
      <c r="FL3949"/>
      <c r="FM3949"/>
      <c r="FN3949"/>
      <c r="FO3949"/>
      <c r="FP3949"/>
      <c r="FQ3949"/>
      <c r="FR3949"/>
      <c r="FS3949"/>
      <c r="FT3949"/>
      <c r="FU3949"/>
      <c r="FV3949"/>
      <c r="FW3949"/>
      <c r="FX3949"/>
      <c r="FY3949"/>
      <c r="FZ3949"/>
      <c r="GA3949"/>
      <c r="GB3949"/>
      <c r="GC3949"/>
      <c r="GD3949"/>
      <c r="GE3949"/>
      <c r="GF3949"/>
      <c r="GG3949"/>
      <c r="GH3949"/>
      <c r="GI3949"/>
      <c r="GJ3949"/>
      <c r="GK3949"/>
      <c r="GL3949"/>
      <c r="GM3949"/>
      <c r="GN3949"/>
      <c r="GO3949"/>
    </row>
    <row r="3950" spans="107:197">
      <c r="DC3950"/>
      <c r="FH3950"/>
      <c r="FI3950"/>
      <c r="FJ3950"/>
      <c r="FK3950"/>
      <c r="FL3950"/>
      <c r="FM3950"/>
      <c r="FN3950"/>
      <c r="FO3950"/>
      <c r="FP3950"/>
      <c r="FQ3950"/>
      <c r="FR3950"/>
      <c r="FS3950"/>
      <c r="FT3950"/>
      <c r="FU3950"/>
      <c r="FV3950"/>
      <c r="FW3950"/>
      <c r="FX3950"/>
      <c r="FY3950"/>
      <c r="FZ3950"/>
      <c r="GA3950"/>
      <c r="GB3950"/>
      <c r="GC3950"/>
      <c r="GD3950"/>
      <c r="GE3950"/>
      <c r="GF3950"/>
      <c r="GG3950"/>
      <c r="GH3950"/>
      <c r="GI3950"/>
      <c r="GJ3950"/>
      <c r="GK3950"/>
      <c r="GL3950"/>
      <c r="GM3950"/>
      <c r="GN3950"/>
      <c r="GO3950"/>
    </row>
    <row r="3951" spans="107:197">
      <c r="DC3951"/>
      <c r="FH3951"/>
      <c r="FI3951"/>
      <c r="FJ3951"/>
      <c r="FK3951"/>
      <c r="FL3951"/>
      <c r="FM3951"/>
      <c r="FN3951"/>
      <c r="FO3951"/>
      <c r="FP3951"/>
      <c r="FQ3951"/>
      <c r="FR3951"/>
      <c r="FS3951"/>
      <c r="FT3951"/>
      <c r="FU3951"/>
      <c r="FV3951"/>
      <c r="FW3951"/>
      <c r="FX3951"/>
      <c r="FY3951"/>
      <c r="FZ3951"/>
      <c r="GA3951"/>
      <c r="GB3951"/>
      <c r="GC3951"/>
      <c r="GD3951"/>
      <c r="GE3951"/>
      <c r="GF3951"/>
      <c r="GG3951"/>
      <c r="GH3951"/>
      <c r="GI3951"/>
      <c r="GJ3951"/>
      <c r="GK3951"/>
      <c r="GL3951"/>
      <c r="GM3951"/>
      <c r="GN3951"/>
      <c r="GO3951"/>
    </row>
    <row r="3952" spans="107:197">
      <c r="DC3952"/>
      <c r="FH3952"/>
      <c r="FI3952"/>
      <c r="FJ3952"/>
      <c r="FK3952"/>
      <c r="FL3952"/>
      <c r="FM3952"/>
      <c r="FN3952"/>
      <c r="FO3952"/>
      <c r="FP3952"/>
      <c r="FQ3952"/>
      <c r="FR3952"/>
      <c r="FS3952"/>
      <c r="FT3952"/>
      <c r="FU3952"/>
      <c r="FV3952"/>
      <c r="FW3952"/>
      <c r="FX3952"/>
      <c r="FY3952"/>
      <c r="FZ3952"/>
      <c r="GA3952"/>
      <c r="GB3952"/>
      <c r="GC3952"/>
      <c r="GD3952"/>
      <c r="GE3952"/>
      <c r="GF3952"/>
      <c r="GG3952"/>
      <c r="GH3952"/>
      <c r="GI3952"/>
      <c r="GJ3952"/>
      <c r="GK3952"/>
      <c r="GL3952"/>
      <c r="GM3952"/>
      <c r="GN3952"/>
      <c r="GO3952"/>
    </row>
    <row r="3953" spans="107:197">
      <c r="DC3953"/>
      <c r="FH3953"/>
      <c r="FI3953"/>
      <c r="FJ3953"/>
      <c r="FK3953"/>
      <c r="FL3953"/>
      <c r="FM3953"/>
      <c r="FN3953"/>
      <c r="FO3953"/>
      <c r="FP3953"/>
      <c r="FQ3953"/>
      <c r="FR3953"/>
      <c r="FS3953"/>
      <c r="FT3953"/>
      <c r="FU3953"/>
      <c r="FV3953"/>
      <c r="FW3953"/>
      <c r="FX3953"/>
      <c r="FY3953"/>
      <c r="FZ3953"/>
      <c r="GA3953"/>
      <c r="GB3953"/>
      <c r="GC3953"/>
      <c r="GD3953"/>
      <c r="GE3953"/>
      <c r="GF3953"/>
      <c r="GG3953"/>
      <c r="GH3953"/>
      <c r="GI3953"/>
      <c r="GJ3953"/>
      <c r="GK3953"/>
      <c r="GL3953"/>
      <c r="GM3953"/>
      <c r="GN3953"/>
      <c r="GO3953"/>
    </row>
    <row r="3954" spans="107:197">
      <c r="DC3954"/>
      <c r="FH3954"/>
      <c r="FI3954"/>
      <c r="FJ3954"/>
      <c r="FK3954"/>
      <c r="FL3954"/>
      <c r="FM3954"/>
      <c r="FN3954"/>
      <c r="FO3954"/>
      <c r="FP3954"/>
      <c r="FQ3954"/>
      <c r="FR3954"/>
      <c r="FS3954"/>
      <c r="FT3954"/>
      <c r="FU3954"/>
      <c r="FV3954"/>
      <c r="FW3954"/>
      <c r="FX3954"/>
      <c r="FY3954"/>
      <c r="FZ3954"/>
      <c r="GA3954"/>
      <c r="GB3954"/>
      <c r="GC3954"/>
      <c r="GD3954"/>
      <c r="GE3954"/>
      <c r="GF3954"/>
      <c r="GG3954"/>
      <c r="GH3954"/>
      <c r="GI3954"/>
      <c r="GJ3954"/>
      <c r="GK3954"/>
      <c r="GL3954"/>
      <c r="GM3954"/>
      <c r="GN3954"/>
      <c r="GO3954"/>
    </row>
    <row r="3955" spans="107:197">
      <c r="DC3955"/>
      <c r="FH3955"/>
      <c r="FI3955"/>
      <c r="FJ3955"/>
      <c r="FK3955"/>
      <c r="FL3955"/>
      <c r="FM3955"/>
      <c r="FN3955"/>
      <c r="FO3955"/>
      <c r="FP3955"/>
      <c r="FQ3955"/>
      <c r="FR3955"/>
      <c r="FS3955"/>
      <c r="FT3955"/>
      <c r="FU3955"/>
      <c r="FV3955"/>
      <c r="FW3955"/>
      <c r="FX3955"/>
      <c r="FY3955"/>
      <c r="FZ3955"/>
      <c r="GA3955"/>
      <c r="GB3955"/>
      <c r="GC3955"/>
      <c r="GD3955"/>
      <c r="GE3955"/>
      <c r="GF3955"/>
      <c r="GG3955"/>
      <c r="GH3955"/>
      <c r="GI3955"/>
      <c r="GJ3955"/>
      <c r="GK3955"/>
      <c r="GL3955"/>
      <c r="GM3955"/>
      <c r="GN3955"/>
      <c r="GO3955"/>
    </row>
    <row r="3956" spans="107:197">
      <c r="DC3956"/>
      <c r="FH3956"/>
      <c r="FI3956"/>
      <c r="FJ3956"/>
      <c r="FK3956"/>
      <c r="FL3956"/>
      <c r="FM3956"/>
      <c r="FN3956"/>
      <c r="FO3956"/>
      <c r="FP3956"/>
      <c r="FQ3956"/>
      <c r="FR3956"/>
      <c r="FS3956"/>
      <c r="FT3956"/>
      <c r="FU3956"/>
      <c r="FV3956"/>
      <c r="FW3956"/>
      <c r="FX3956"/>
      <c r="FY3956"/>
      <c r="FZ3956"/>
      <c r="GA3956"/>
      <c r="GB3956"/>
      <c r="GC3956"/>
      <c r="GD3956"/>
      <c r="GE3956"/>
      <c r="GF3956"/>
      <c r="GG3956"/>
      <c r="GH3956"/>
      <c r="GI3956"/>
      <c r="GJ3956"/>
      <c r="GK3956"/>
      <c r="GL3956"/>
      <c r="GM3956"/>
      <c r="GN3956"/>
      <c r="GO3956"/>
    </row>
    <row r="3957" spans="107:197">
      <c r="DC3957"/>
      <c r="FH3957"/>
      <c r="FI3957"/>
      <c r="FJ3957"/>
      <c r="FK3957"/>
      <c r="FL3957"/>
      <c r="FM3957"/>
      <c r="FN3957"/>
      <c r="FO3957"/>
      <c r="FP3957"/>
      <c r="FQ3957"/>
      <c r="FR3957"/>
      <c r="FS3957"/>
      <c r="FT3957"/>
      <c r="FU3957"/>
      <c r="FV3957"/>
      <c r="FW3957"/>
      <c r="FX3957"/>
      <c r="FY3957"/>
      <c r="FZ3957"/>
      <c r="GA3957"/>
      <c r="GB3957"/>
      <c r="GC3957"/>
      <c r="GD3957"/>
      <c r="GE3957"/>
      <c r="GF3957"/>
      <c r="GG3957"/>
      <c r="GH3957"/>
      <c r="GI3957"/>
      <c r="GJ3957"/>
      <c r="GK3957"/>
      <c r="GL3957"/>
      <c r="GM3957"/>
      <c r="GN3957"/>
      <c r="GO3957"/>
    </row>
    <row r="3958" spans="107:197">
      <c r="DC3958"/>
      <c r="FH3958"/>
      <c r="FI3958"/>
      <c r="FJ3958"/>
      <c r="FK3958"/>
      <c r="FL3958"/>
      <c r="FM3958"/>
      <c r="FN3958"/>
      <c r="FO3958"/>
      <c r="FP3958"/>
      <c r="FQ3958"/>
      <c r="FR3958"/>
      <c r="FS3958"/>
      <c r="FT3958"/>
      <c r="FU3958"/>
      <c r="FV3958"/>
      <c r="FW3958"/>
      <c r="FX3958"/>
      <c r="FY3958"/>
      <c r="FZ3958"/>
      <c r="GA3958"/>
      <c r="GB3958"/>
      <c r="GC3958"/>
      <c r="GD3958"/>
      <c r="GE3958"/>
      <c r="GF3958"/>
      <c r="GG3958"/>
      <c r="GH3958"/>
      <c r="GI3958"/>
      <c r="GJ3958"/>
      <c r="GK3958"/>
      <c r="GL3958"/>
      <c r="GM3958"/>
      <c r="GN3958"/>
      <c r="GO3958"/>
    </row>
    <row r="3959" spans="107:197">
      <c r="DC3959"/>
      <c r="FH3959"/>
      <c r="FI3959"/>
      <c r="FJ3959"/>
      <c r="FK3959"/>
      <c r="FL3959"/>
      <c r="FM3959"/>
      <c r="FN3959"/>
      <c r="FO3959"/>
      <c r="FP3959"/>
      <c r="FQ3959"/>
      <c r="FR3959"/>
      <c r="FS3959"/>
      <c r="FT3959"/>
      <c r="FU3959"/>
      <c r="FV3959"/>
      <c r="FW3959"/>
      <c r="FX3959"/>
      <c r="FY3959"/>
      <c r="FZ3959"/>
      <c r="GA3959"/>
      <c r="GB3959"/>
      <c r="GC3959"/>
      <c r="GD3959"/>
      <c r="GE3959"/>
      <c r="GF3959"/>
      <c r="GG3959"/>
      <c r="GH3959"/>
      <c r="GI3959"/>
      <c r="GJ3959"/>
      <c r="GK3959"/>
      <c r="GL3959"/>
      <c r="GM3959"/>
      <c r="GN3959"/>
      <c r="GO3959"/>
    </row>
    <row r="3960" spans="107:197">
      <c r="DC3960"/>
      <c r="FH3960"/>
      <c r="FI3960"/>
      <c r="FJ3960"/>
      <c r="FK3960"/>
      <c r="FL3960"/>
      <c r="FM3960"/>
      <c r="FN3960"/>
      <c r="FO3960"/>
      <c r="FP3960"/>
      <c r="FQ3960"/>
      <c r="FR3960"/>
      <c r="FS3960"/>
      <c r="FT3960"/>
      <c r="FU3960"/>
      <c r="FV3960"/>
      <c r="FW3960"/>
      <c r="FX3960"/>
      <c r="FY3960"/>
      <c r="FZ3960"/>
      <c r="GA3960"/>
      <c r="GB3960"/>
      <c r="GC3960"/>
      <c r="GD3960"/>
      <c r="GE3960"/>
      <c r="GF3960"/>
      <c r="GG3960"/>
      <c r="GH3960"/>
      <c r="GI3960"/>
      <c r="GJ3960"/>
      <c r="GK3960"/>
      <c r="GL3960"/>
      <c r="GM3960"/>
      <c r="GN3960"/>
      <c r="GO3960"/>
    </row>
    <row r="3961" spans="107:197">
      <c r="DC3961"/>
      <c r="FH3961"/>
      <c r="FI3961"/>
      <c r="FJ3961"/>
      <c r="FK3961"/>
      <c r="FL3961"/>
      <c r="FM3961"/>
      <c r="FN3961"/>
      <c r="FO3961"/>
      <c r="FP3961"/>
      <c r="FQ3961"/>
      <c r="FR3961"/>
      <c r="FS3961"/>
      <c r="FT3961"/>
      <c r="FU3961"/>
      <c r="FV3961"/>
      <c r="FW3961"/>
      <c r="FX3961"/>
      <c r="FY3961"/>
      <c r="FZ3961"/>
      <c r="GA3961"/>
      <c r="GB3961"/>
      <c r="GC3961"/>
      <c r="GD3961"/>
      <c r="GE3961"/>
      <c r="GF3961"/>
      <c r="GG3961"/>
      <c r="GH3961"/>
      <c r="GI3961"/>
      <c r="GJ3961"/>
      <c r="GK3961"/>
      <c r="GL3961"/>
      <c r="GM3961"/>
      <c r="GN3961"/>
      <c r="GO3961"/>
    </row>
    <row r="3962" spans="107:197">
      <c r="DC3962"/>
      <c r="FH3962"/>
      <c r="FI3962"/>
      <c r="FJ3962"/>
      <c r="FK3962"/>
      <c r="FL3962"/>
      <c r="FM3962"/>
      <c r="FN3962"/>
      <c r="FO3962"/>
      <c r="FP3962"/>
      <c r="FQ3962"/>
      <c r="FR3962"/>
      <c r="FS3962"/>
      <c r="FT3962"/>
      <c r="FU3962"/>
      <c r="FV3962"/>
      <c r="FW3962"/>
      <c r="FX3962"/>
      <c r="FY3962"/>
      <c r="FZ3962"/>
      <c r="GA3962"/>
      <c r="GB3962"/>
      <c r="GC3962"/>
      <c r="GD3962"/>
      <c r="GE3962"/>
      <c r="GF3962"/>
      <c r="GG3962"/>
      <c r="GH3962"/>
      <c r="GI3962"/>
      <c r="GJ3962"/>
      <c r="GK3962"/>
      <c r="GL3962"/>
      <c r="GM3962"/>
      <c r="GN3962"/>
      <c r="GO3962"/>
    </row>
    <row r="3963" spans="107:197">
      <c r="DC3963"/>
      <c r="FH3963"/>
      <c r="FI3963"/>
      <c r="FJ3963"/>
      <c r="FK3963"/>
      <c r="FL3963"/>
      <c r="FM3963"/>
      <c r="FN3963"/>
      <c r="FO3963"/>
      <c r="FP3963"/>
      <c r="FQ3963"/>
      <c r="FR3963"/>
      <c r="FS3963"/>
      <c r="FT3963"/>
      <c r="FU3963"/>
      <c r="FV3963"/>
      <c r="FW3963"/>
      <c r="FX3963"/>
      <c r="FY3963"/>
      <c r="FZ3963"/>
      <c r="GA3963"/>
      <c r="GB3963"/>
      <c r="GC3963"/>
      <c r="GD3963"/>
      <c r="GE3963"/>
      <c r="GF3963"/>
      <c r="GG3963"/>
      <c r="GH3963"/>
      <c r="GI3963"/>
      <c r="GJ3963"/>
      <c r="GK3963"/>
      <c r="GL3963"/>
      <c r="GM3963"/>
      <c r="GN3963"/>
      <c r="GO3963"/>
    </row>
    <row r="3964" spans="107:197">
      <c r="DC3964"/>
      <c r="FH3964"/>
      <c r="FI3964"/>
      <c r="FJ3964"/>
      <c r="FK3964"/>
      <c r="FL3964"/>
      <c r="FM3964"/>
      <c r="FN3964"/>
      <c r="FO3964"/>
      <c r="FP3964"/>
      <c r="FQ3964"/>
      <c r="FR3964"/>
      <c r="FS3964"/>
      <c r="FT3964"/>
      <c r="FU3964"/>
      <c r="FV3964"/>
      <c r="FW3964"/>
      <c r="FX3964"/>
      <c r="FY3964"/>
      <c r="FZ3964"/>
      <c r="GA3964"/>
      <c r="GB3964"/>
      <c r="GC3964"/>
      <c r="GD3964"/>
      <c r="GE3964"/>
      <c r="GF3964"/>
      <c r="GG3964"/>
      <c r="GH3964"/>
      <c r="GI3964"/>
      <c r="GJ3964"/>
      <c r="GK3964"/>
      <c r="GL3964"/>
      <c r="GM3964"/>
      <c r="GN3964"/>
      <c r="GO3964"/>
    </row>
    <row r="3965" spans="107:197">
      <c r="DC3965"/>
      <c r="FH3965"/>
      <c r="FI3965"/>
      <c r="FJ3965"/>
      <c r="FK3965"/>
      <c r="FL3965"/>
      <c r="FM3965"/>
      <c r="FN3965"/>
      <c r="FO3965"/>
      <c r="FP3965"/>
      <c r="FQ3965"/>
      <c r="FR3965"/>
      <c r="FS3965"/>
      <c r="FT3965"/>
      <c r="FU3965"/>
      <c r="FV3965"/>
      <c r="FW3965"/>
      <c r="FX3965"/>
      <c r="FY3965"/>
      <c r="FZ3965"/>
      <c r="GA3965"/>
      <c r="GB3965"/>
      <c r="GC3965"/>
      <c r="GD3965"/>
      <c r="GE3965"/>
      <c r="GF3965"/>
      <c r="GG3965"/>
      <c r="GH3965"/>
      <c r="GI3965"/>
      <c r="GJ3965"/>
      <c r="GK3965"/>
      <c r="GL3965"/>
      <c r="GM3965"/>
      <c r="GN3965"/>
      <c r="GO3965"/>
    </row>
    <row r="3966" spans="107:197">
      <c r="DC3966"/>
      <c r="FH3966"/>
      <c r="FI3966"/>
      <c r="FJ3966"/>
      <c r="FK3966"/>
      <c r="FL3966"/>
      <c r="FM3966"/>
      <c r="FN3966"/>
      <c r="FO3966"/>
      <c r="FP3966"/>
      <c r="FQ3966"/>
      <c r="FR3966"/>
      <c r="FS3966"/>
      <c r="FT3966"/>
      <c r="FU3966"/>
      <c r="FV3966"/>
      <c r="FW3966"/>
      <c r="FX3966"/>
      <c r="FY3966"/>
      <c r="FZ3966"/>
      <c r="GA3966"/>
      <c r="GB3966"/>
      <c r="GC3966"/>
      <c r="GD3966"/>
      <c r="GE3966"/>
      <c r="GF3966"/>
      <c r="GG3966"/>
      <c r="GH3966"/>
      <c r="GI3966"/>
      <c r="GJ3966"/>
      <c r="GK3966"/>
      <c r="GL3966"/>
      <c r="GM3966"/>
      <c r="GN3966"/>
      <c r="GO3966"/>
    </row>
    <row r="3967" spans="107:197">
      <c r="DC3967"/>
      <c r="FH3967"/>
      <c r="FI3967"/>
      <c r="FJ3967"/>
      <c r="FK3967"/>
      <c r="FL3967"/>
      <c r="FM3967"/>
      <c r="FN3967"/>
      <c r="FO3967"/>
      <c r="FP3967"/>
      <c r="FQ3967"/>
      <c r="FR3967"/>
      <c r="FS3967"/>
      <c r="FT3967"/>
      <c r="FU3967"/>
      <c r="FV3967"/>
      <c r="FW3967"/>
      <c r="FX3967"/>
      <c r="FY3967"/>
      <c r="FZ3967"/>
      <c r="GA3967"/>
      <c r="GB3967"/>
      <c r="GC3967"/>
      <c r="GD3967"/>
      <c r="GE3967"/>
      <c r="GF3967"/>
      <c r="GG3967"/>
      <c r="GH3967"/>
      <c r="GI3967"/>
      <c r="GJ3967"/>
      <c r="GK3967"/>
      <c r="GL3967"/>
      <c r="GM3967"/>
      <c r="GN3967"/>
      <c r="GO3967"/>
    </row>
    <row r="3968" spans="107:197">
      <c r="DC3968"/>
      <c r="FH3968"/>
      <c r="FI3968"/>
      <c r="FJ3968"/>
      <c r="FK3968"/>
      <c r="FL3968"/>
      <c r="FM3968"/>
      <c r="FN3968"/>
      <c r="FO3968"/>
      <c r="FP3968"/>
      <c r="FQ3968"/>
      <c r="FR3968"/>
      <c r="FS3968"/>
      <c r="FT3968"/>
      <c r="FU3968"/>
      <c r="FV3968"/>
      <c r="FW3968"/>
      <c r="FX3968"/>
      <c r="FY3968"/>
      <c r="FZ3968"/>
      <c r="GA3968"/>
      <c r="GB3968"/>
      <c r="GC3968"/>
      <c r="GD3968"/>
      <c r="GE3968"/>
      <c r="GF3968"/>
      <c r="GG3968"/>
      <c r="GH3968"/>
      <c r="GI3968"/>
      <c r="GJ3968"/>
      <c r="GK3968"/>
      <c r="GL3968"/>
      <c r="GM3968"/>
      <c r="GN3968"/>
      <c r="GO3968"/>
    </row>
    <row r="3969" spans="107:197">
      <c r="DC3969"/>
      <c r="FH3969"/>
      <c r="FI3969"/>
      <c r="FJ3969"/>
      <c r="FK3969"/>
      <c r="FL3969"/>
      <c r="FM3969"/>
      <c r="FN3969"/>
      <c r="FO3969"/>
      <c r="FP3969"/>
      <c r="FQ3969"/>
      <c r="FR3969"/>
      <c r="FS3969"/>
      <c r="FT3969"/>
      <c r="FU3969"/>
      <c r="FV3969"/>
      <c r="FW3969"/>
      <c r="FX3969"/>
      <c r="FY3969"/>
      <c r="FZ3969"/>
      <c r="GA3969"/>
      <c r="GB3969"/>
      <c r="GC3969"/>
      <c r="GD3969"/>
      <c r="GE3969"/>
      <c r="GF3969"/>
      <c r="GG3969"/>
      <c r="GH3969"/>
      <c r="GI3969"/>
      <c r="GJ3969"/>
      <c r="GK3969"/>
      <c r="GL3969"/>
      <c r="GM3969"/>
      <c r="GN3969"/>
      <c r="GO3969"/>
    </row>
    <row r="3970" spans="107:197">
      <c r="DC3970"/>
      <c r="FH3970"/>
      <c r="FI3970"/>
      <c r="FJ3970"/>
      <c r="FK3970"/>
      <c r="FL3970"/>
      <c r="FM3970"/>
      <c r="FN3970"/>
      <c r="FO3970"/>
      <c r="FP3970"/>
      <c r="FQ3970"/>
      <c r="FR3970"/>
      <c r="FS3970"/>
      <c r="FT3970"/>
      <c r="FU3970"/>
      <c r="FV3970"/>
      <c r="FW3970"/>
      <c r="FX3970"/>
      <c r="FY3970"/>
      <c r="FZ3970"/>
      <c r="GA3970"/>
      <c r="GB3970"/>
      <c r="GC3970"/>
      <c r="GD3970"/>
      <c r="GE3970"/>
      <c r="GF3970"/>
      <c r="GG3970"/>
      <c r="GH3970"/>
      <c r="GI3970"/>
      <c r="GJ3970"/>
      <c r="GK3970"/>
      <c r="GL3970"/>
      <c r="GM3970"/>
      <c r="GN3970"/>
      <c r="GO3970"/>
    </row>
    <row r="3971" spans="107:197">
      <c r="DC3971"/>
      <c r="FH3971"/>
      <c r="FI3971"/>
      <c r="FJ3971"/>
      <c r="FK3971"/>
      <c r="FL3971"/>
      <c r="FM3971"/>
      <c r="FN3971"/>
      <c r="FO3971"/>
      <c r="FP3971"/>
      <c r="FQ3971"/>
      <c r="FR3971"/>
      <c r="FS3971"/>
      <c r="FT3971"/>
      <c r="FU3971"/>
      <c r="FV3971"/>
      <c r="FW3971"/>
      <c r="FX3971"/>
      <c r="FY3971"/>
      <c r="FZ3971"/>
      <c r="GA3971"/>
      <c r="GB3971"/>
      <c r="GC3971"/>
      <c r="GD3971"/>
      <c r="GE3971"/>
      <c r="GF3971"/>
      <c r="GG3971"/>
      <c r="GH3971"/>
      <c r="GI3971"/>
      <c r="GJ3971"/>
      <c r="GK3971"/>
      <c r="GL3971"/>
      <c r="GM3971"/>
      <c r="GN3971"/>
      <c r="GO3971"/>
    </row>
    <row r="3972" spans="107:197">
      <c r="DC3972"/>
      <c r="FH3972"/>
      <c r="FI3972"/>
      <c r="FJ3972"/>
      <c r="FK3972"/>
      <c r="FL3972"/>
      <c r="FM3972"/>
      <c r="FN3972"/>
      <c r="FO3972"/>
      <c r="FP3972"/>
      <c r="FQ3972"/>
      <c r="FR3972"/>
      <c r="FS3972"/>
      <c r="FT3972"/>
      <c r="FU3972"/>
      <c r="FV3972"/>
      <c r="FW3972"/>
      <c r="FX3972"/>
      <c r="FY3972"/>
      <c r="FZ3972"/>
      <c r="GA3972"/>
      <c r="GB3972"/>
      <c r="GC3972"/>
      <c r="GD3972"/>
      <c r="GE3972"/>
      <c r="GF3972"/>
      <c r="GG3972"/>
      <c r="GH3972"/>
      <c r="GI3972"/>
      <c r="GJ3972"/>
      <c r="GK3972"/>
      <c r="GL3972"/>
      <c r="GM3972"/>
      <c r="GN3972"/>
      <c r="GO3972"/>
    </row>
    <row r="3973" spans="107:197">
      <c r="DC3973"/>
      <c r="FH3973"/>
      <c r="FI3973"/>
      <c r="FJ3973"/>
      <c r="FK3973"/>
      <c r="FL3973"/>
      <c r="FM3973"/>
      <c r="FN3973"/>
      <c r="FO3973"/>
      <c r="FP3973"/>
      <c r="FQ3973"/>
      <c r="FR3973"/>
      <c r="FS3973"/>
      <c r="FT3973"/>
      <c r="FU3973"/>
      <c r="FV3973"/>
      <c r="FW3973"/>
      <c r="FX3973"/>
      <c r="FY3973"/>
      <c r="FZ3973"/>
      <c r="GA3973"/>
      <c r="GB3973"/>
      <c r="GC3973"/>
      <c r="GD3973"/>
      <c r="GE3973"/>
      <c r="GF3973"/>
      <c r="GG3973"/>
      <c r="GH3973"/>
      <c r="GI3973"/>
      <c r="GJ3973"/>
      <c r="GK3973"/>
      <c r="GL3973"/>
      <c r="GM3973"/>
      <c r="GN3973"/>
      <c r="GO3973"/>
    </row>
    <row r="3974" spans="107:197">
      <c r="DC3974"/>
      <c r="FH3974"/>
      <c r="FI3974"/>
      <c r="FJ3974"/>
      <c r="FK3974"/>
      <c r="FL3974"/>
      <c r="FM3974"/>
      <c r="FN3974"/>
      <c r="FO3974"/>
      <c r="FP3974"/>
      <c r="FQ3974"/>
      <c r="FR3974"/>
      <c r="FS3974"/>
      <c r="FT3974"/>
      <c r="FU3974"/>
      <c r="FV3974"/>
      <c r="FW3974"/>
      <c r="FX3974"/>
      <c r="FY3974"/>
      <c r="FZ3974"/>
      <c r="GA3974"/>
      <c r="GB3974"/>
      <c r="GC3974"/>
      <c r="GD3974"/>
      <c r="GE3974"/>
      <c r="GF3974"/>
      <c r="GG3974"/>
      <c r="GH3974"/>
      <c r="GI3974"/>
      <c r="GJ3974"/>
      <c r="GK3974"/>
      <c r="GL3974"/>
      <c r="GM3974"/>
      <c r="GN3974"/>
      <c r="GO3974"/>
    </row>
    <row r="3975" spans="107:197">
      <c r="DC3975"/>
      <c r="FH3975"/>
      <c r="FI3975"/>
      <c r="FJ3975"/>
      <c r="FK3975"/>
      <c r="FL3975"/>
      <c r="FM3975"/>
      <c r="FN3975"/>
      <c r="FO3975"/>
      <c r="FP3975"/>
      <c r="FQ3975"/>
      <c r="FR3975"/>
      <c r="FS3975"/>
      <c r="FT3975"/>
      <c r="FU3975"/>
      <c r="FV3975"/>
      <c r="FW3975"/>
      <c r="FX3975"/>
      <c r="FY3975"/>
      <c r="FZ3975"/>
      <c r="GA3975"/>
      <c r="GB3975"/>
      <c r="GC3975"/>
      <c r="GD3975"/>
      <c r="GE3975"/>
      <c r="GF3975"/>
      <c r="GG3975"/>
      <c r="GH3975"/>
      <c r="GI3975"/>
      <c r="GJ3975"/>
      <c r="GK3975"/>
      <c r="GL3975"/>
      <c r="GM3975"/>
      <c r="GN3975"/>
      <c r="GO3975"/>
    </row>
    <row r="3976" spans="107:197">
      <c r="DC3976"/>
      <c r="FH3976"/>
      <c r="FI3976"/>
      <c r="FJ3976"/>
      <c r="FK3976"/>
      <c r="FL3976"/>
      <c r="FM3976"/>
      <c r="FN3976"/>
      <c r="FO3976"/>
      <c r="FP3976"/>
      <c r="FQ3976"/>
      <c r="FR3976"/>
      <c r="FS3976"/>
      <c r="FT3976"/>
      <c r="FU3976"/>
      <c r="FV3976"/>
      <c r="FW3976"/>
      <c r="FX3976"/>
      <c r="FY3976"/>
      <c r="FZ3976"/>
      <c r="GA3976"/>
      <c r="GB3976"/>
      <c r="GC3976"/>
      <c r="GD3976"/>
      <c r="GE3976"/>
      <c r="GF3976"/>
      <c r="GG3976"/>
      <c r="GH3976"/>
      <c r="GI3976"/>
      <c r="GJ3976"/>
      <c r="GK3976"/>
      <c r="GL3976"/>
      <c r="GM3976"/>
      <c r="GN3976"/>
      <c r="GO3976"/>
    </row>
    <row r="3977" spans="107:197">
      <c r="DC3977"/>
      <c r="FH3977"/>
      <c r="FI3977"/>
      <c r="FJ3977"/>
      <c r="FK3977"/>
      <c r="FL3977"/>
      <c r="FM3977"/>
      <c r="FN3977"/>
      <c r="FO3977"/>
      <c r="FP3977"/>
      <c r="FQ3977"/>
      <c r="FR3977"/>
      <c r="FS3977"/>
      <c r="FT3977"/>
      <c r="FU3977"/>
      <c r="FV3977"/>
      <c r="FW3977"/>
      <c r="FX3977"/>
      <c r="FY3977"/>
      <c r="FZ3977"/>
      <c r="GA3977"/>
      <c r="GB3977"/>
      <c r="GC3977"/>
      <c r="GD3977"/>
      <c r="GE3977"/>
      <c r="GF3977"/>
      <c r="GG3977"/>
      <c r="GH3977"/>
      <c r="GI3977"/>
      <c r="GJ3977"/>
      <c r="GK3977"/>
      <c r="GL3977"/>
      <c r="GM3977"/>
      <c r="GN3977"/>
      <c r="GO3977"/>
    </row>
    <row r="3978" spans="107:197">
      <c r="DC3978"/>
      <c r="FH3978"/>
      <c r="FI3978"/>
      <c r="FJ3978"/>
      <c r="FK3978"/>
      <c r="FL3978"/>
      <c r="FM3978"/>
      <c r="FN3978"/>
      <c r="FO3978"/>
      <c r="FP3978"/>
      <c r="FQ3978"/>
      <c r="FR3978"/>
      <c r="FS3978"/>
      <c r="FT3978"/>
      <c r="FU3978"/>
      <c r="FV3978"/>
      <c r="FW3978"/>
      <c r="FX3978"/>
      <c r="FY3978"/>
      <c r="FZ3978"/>
      <c r="GA3978"/>
      <c r="GB3978"/>
      <c r="GC3978"/>
      <c r="GD3978"/>
      <c r="GE3978"/>
      <c r="GF3978"/>
      <c r="GG3978"/>
      <c r="GH3978"/>
      <c r="GI3978"/>
      <c r="GJ3978"/>
      <c r="GK3978"/>
      <c r="GL3978"/>
      <c r="GM3978"/>
      <c r="GN3978"/>
      <c r="GO3978"/>
    </row>
    <row r="3979" spans="107:197">
      <c r="DC3979"/>
      <c r="FH3979"/>
      <c r="FI3979"/>
      <c r="FJ3979"/>
      <c r="FK3979"/>
      <c r="FL3979"/>
      <c r="FM3979"/>
      <c r="FN3979"/>
      <c r="FO3979"/>
      <c r="FP3979"/>
      <c r="FQ3979"/>
      <c r="FR3979"/>
      <c r="FS3979"/>
      <c r="FT3979"/>
      <c r="FU3979"/>
      <c r="FV3979"/>
      <c r="FW3979"/>
      <c r="FX3979"/>
      <c r="FY3979"/>
      <c r="FZ3979"/>
      <c r="GA3979"/>
      <c r="GB3979"/>
      <c r="GC3979"/>
      <c r="GD3979"/>
      <c r="GE3979"/>
      <c r="GF3979"/>
      <c r="GG3979"/>
      <c r="GH3979"/>
      <c r="GI3979"/>
      <c r="GJ3979"/>
      <c r="GK3979"/>
      <c r="GL3979"/>
      <c r="GM3979"/>
      <c r="GN3979"/>
      <c r="GO3979"/>
    </row>
    <row r="3980" spans="107:197">
      <c r="DC3980"/>
      <c r="FH3980"/>
      <c r="FI3980"/>
      <c r="FJ3980"/>
      <c r="FK3980"/>
      <c r="FL3980"/>
      <c r="FM3980"/>
      <c r="FN3980"/>
      <c r="FO3980"/>
      <c r="FP3980"/>
      <c r="FQ3980"/>
      <c r="FR3980"/>
      <c r="FS3980"/>
      <c r="FT3980"/>
      <c r="FU3980"/>
      <c r="FV3980"/>
      <c r="FW3980"/>
      <c r="FX3980"/>
      <c r="FY3980"/>
      <c r="FZ3980"/>
      <c r="GA3980"/>
      <c r="GB3980"/>
      <c r="GC3980"/>
      <c r="GD3980"/>
      <c r="GE3980"/>
      <c r="GF3980"/>
      <c r="GG3980"/>
      <c r="GH3980"/>
      <c r="GI3980"/>
      <c r="GJ3980"/>
      <c r="GK3980"/>
      <c r="GL3980"/>
      <c r="GM3980"/>
      <c r="GN3980"/>
      <c r="GO3980"/>
    </row>
    <row r="3981" spans="107:197">
      <c r="DC3981"/>
      <c r="FH3981"/>
      <c r="FI3981"/>
      <c r="FJ3981"/>
      <c r="FK3981"/>
      <c r="FL3981"/>
      <c r="FM3981"/>
      <c r="FN3981"/>
      <c r="FO3981"/>
      <c r="FP3981"/>
      <c r="FQ3981"/>
      <c r="FR3981"/>
      <c r="FS3981"/>
      <c r="FT3981"/>
      <c r="FU3981"/>
      <c r="FV3981"/>
      <c r="FW3981"/>
      <c r="FX3981"/>
      <c r="FY3981"/>
      <c r="FZ3981"/>
      <c r="GA3981"/>
      <c r="GB3981"/>
      <c r="GC3981"/>
      <c r="GD3981"/>
      <c r="GE3981"/>
      <c r="GF3981"/>
      <c r="GG3981"/>
      <c r="GH3981"/>
      <c r="GI3981"/>
      <c r="GJ3981"/>
      <c r="GK3981"/>
      <c r="GL3981"/>
      <c r="GM3981"/>
      <c r="GN3981"/>
      <c r="GO3981"/>
    </row>
    <row r="3982" spans="107:197">
      <c r="DC3982"/>
      <c r="FH3982"/>
      <c r="FI3982"/>
      <c r="FJ3982"/>
      <c r="FK3982"/>
      <c r="FL3982"/>
      <c r="FM3982"/>
      <c r="FN3982"/>
      <c r="FO3982"/>
      <c r="FP3982"/>
      <c r="FQ3982"/>
      <c r="FR3982"/>
      <c r="FS3982"/>
      <c r="FT3982"/>
      <c r="FU3982"/>
      <c r="FV3982"/>
      <c r="FW3982"/>
      <c r="FX3982"/>
      <c r="FY3982"/>
      <c r="FZ3982"/>
      <c r="GA3982"/>
      <c r="GB3982"/>
      <c r="GC3982"/>
      <c r="GD3982"/>
      <c r="GE3982"/>
      <c r="GF3982"/>
      <c r="GG3982"/>
      <c r="GH3982"/>
      <c r="GI3982"/>
      <c r="GJ3982"/>
      <c r="GK3982"/>
      <c r="GL3982"/>
      <c r="GM3982"/>
      <c r="GN3982"/>
      <c r="GO3982"/>
    </row>
    <row r="3983" spans="107:197">
      <c r="DC3983"/>
      <c r="FH3983"/>
      <c r="FI3983"/>
      <c r="FJ3983"/>
      <c r="FK3983"/>
      <c r="FL3983"/>
      <c r="FM3983"/>
      <c r="FN3983"/>
      <c r="FO3983"/>
      <c r="FP3983"/>
      <c r="FQ3983"/>
      <c r="FR3983"/>
      <c r="FS3983"/>
      <c r="FT3983"/>
      <c r="FU3983"/>
      <c r="FV3983"/>
      <c r="FW3983"/>
      <c r="FX3983"/>
      <c r="FY3983"/>
      <c r="FZ3983"/>
      <c r="GA3983"/>
      <c r="GB3983"/>
      <c r="GC3983"/>
      <c r="GD3983"/>
      <c r="GE3983"/>
      <c r="GF3983"/>
      <c r="GG3983"/>
      <c r="GH3983"/>
      <c r="GI3983"/>
      <c r="GJ3983"/>
      <c r="GK3983"/>
      <c r="GL3983"/>
      <c r="GM3983"/>
      <c r="GN3983"/>
      <c r="GO3983"/>
    </row>
    <row r="3984" spans="107:197">
      <c r="DC3984"/>
      <c r="FH3984"/>
      <c r="FI3984"/>
      <c r="FJ3984"/>
      <c r="FK3984"/>
      <c r="FL3984"/>
      <c r="FM3984"/>
      <c r="FN3984"/>
      <c r="FO3984"/>
      <c r="FP3984"/>
      <c r="FQ3984"/>
      <c r="FR3984"/>
      <c r="FS3984"/>
      <c r="FT3984"/>
      <c r="FU3984"/>
      <c r="FV3984"/>
      <c r="FW3984"/>
      <c r="FX3984"/>
      <c r="FY3984"/>
      <c r="FZ3984"/>
      <c r="GA3984"/>
      <c r="GB3984"/>
      <c r="GC3984"/>
      <c r="GD3984"/>
      <c r="GE3984"/>
      <c r="GF3984"/>
      <c r="GG3984"/>
      <c r="GH3984"/>
      <c r="GI3984"/>
      <c r="GJ3984"/>
      <c r="GK3984"/>
      <c r="GL3984"/>
      <c r="GM3984"/>
      <c r="GN3984"/>
      <c r="GO3984"/>
    </row>
    <row r="3985" spans="107:197">
      <c r="DC3985"/>
      <c r="FH3985"/>
      <c r="FI3985"/>
      <c r="FJ3985"/>
      <c r="FK3985"/>
      <c r="FL3985"/>
      <c r="FM3985"/>
      <c r="FN3985"/>
      <c r="FO3985"/>
      <c r="FP3985"/>
      <c r="FQ3985"/>
      <c r="FR3985"/>
      <c r="FS3985"/>
      <c r="FT3985"/>
      <c r="FU3985"/>
      <c r="FV3985"/>
      <c r="FW3985"/>
      <c r="FX3985"/>
      <c r="FY3985"/>
      <c r="FZ3985"/>
      <c r="GA3985"/>
      <c r="GB3985"/>
      <c r="GC3985"/>
      <c r="GD3985"/>
      <c r="GE3985"/>
      <c r="GF3985"/>
      <c r="GG3985"/>
      <c r="GH3985"/>
      <c r="GI3985"/>
      <c r="GJ3985"/>
      <c r="GK3985"/>
      <c r="GL3985"/>
      <c r="GM3985"/>
      <c r="GN3985"/>
      <c r="GO3985"/>
    </row>
    <row r="3986" spans="107:197">
      <c r="DC3986"/>
      <c r="FH3986"/>
      <c r="FI3986"/>
      <c r="FJ3986"/>
      <c r="FK3986"/>
      <c r="FL3986"/>
      <c r="FM3986"/>
      <c r="FN3986"/>
      <c r="FO3986"/>
      <c r="FP3986"/>
      <c r="FQ3986"/>
      <c r="FR3986"/>
      <c r="FS3986"/>
      <c r="FT3986"/>
      <c r="FU3986"/>
      <c r="FV3986"/>
      <c r="FW3986"/>
      <c r="FX3986"/>
      <c r="FY3986"/>
      <c r="FZ3986"/>
      <c r="GA3986"/>
      <c r="GB3986"/>
      <c r="GC3986"/>
      <c r="GD3986"/>
      <c r="GE3986"/>
      <c r="GF3986"/>
      <c r="GG3986"/>
      <c r="GH3986"/>
      <c r="GI3986"/>
      <c r="GJ3986"/>
      <c r="GK3986"/>
      <c r="GL3986"/>
      <c r="GM3986"/>
      <c r="GN3986"/>
      <c r="GO3986"/>
    </row>
    <row r="3987" spans="107:197">
      <c r="DC3987"/>
      <c r="FH3987"/>
      <c r="FI3987"/>
      <c r="FJ3987"/>
      <c r="FK3987"/>
      <c r="FL3987"/>
      <c r="FM3987"/>
      <c r="FN3987"/>
      <c r="FO3987"/>
      <c r="FP3987"/>
      <c r="FQ3987"/>
      <c r="FR3987"/>
      <c r="FS3987"/>
      <c r="FT3987"/>
      <c r="FU3987"/>
      <c r="FV3987"/>
      <c r="FW3987"/>
      <c r="FX3987"/>
      <c r="FY3987"/>
      <c r="FZ3987"/>
      <c r="GA3987"/>
      <c r="GB3987"/>
      <c r="GC3987"/>
      <c r="GD3987"/>
      <c r="GE3987"/>
      <c r="GF3987"/>
      <c r="GG3987"/>
      <c r="GH3987"/>
      <c r="GI3987"/>
      <c r="GJ3987"/>
      <c r="GK3987"/>
      <c r="GL3987"/>
      <c r="GM3987"/>
      <c r="GN3987"/>
      <c r="GO3987"/>
    </row>
    <row r="3988" spans="107:197">
      <c r="DC3988"/>
      <c r="FH3988"/>
      <c r="FI3988"/>
      <c r="FJ3988"/>
      <c r="FK3988"/>
      <c r="FL3988"/>
      <c r="FM3988"/>
      <c r="FN3988"/>
      <c r="FO3988"/>
      <c r="FP3988"/>
      <c r="FQ3988"/>
      <c r="FR3988"/>
      <c r="FS3988"/>
      <c r="FT3988"/>
      <c r="FU3988"/>
      <c r="FV3988"/>
      <c r="FW3988"/>
      <c r="FX3988"/>
      <c r="FY3988"/>
      <c r="FZ3988"/>
      <c r="GA3988"/>
      <c r="GB3988"/>
      <c r="GC3988"/>
      <c r="GD3988"/>
      <c r="GE3988"/>
      <c r="GF3988"/>
      <c r="GG3988"/>
      <c r="GH3988"/>
      <c r="GI3988"/>
      <c r="GJ3988"/>
      <c r="GK3988"/>
      <c r="GL3988"/>
      <c r="GM3988"/>
      <c r="GN3988"/>
      <c r="GO3988"/>
    </row>
    <row r="3989" spans="107:197">
      <c r="DC3989"/>
      <c r="FH3989"/>
      <c r="FI3989"/>
      <c r="FJ3989"/>
      <c r="FK3989"/>
      <c r="FL3989"/>
      <c r="FM3989"/>
      <c r="FN3989"/>
      <c r="FO3989"/>
      <c r="FP3989"/>
      <c r="FQ3989"/>
      <c r="FR3989"/>
      <c r="FS3989"/>
      <c r="FT3989"/>
      <c r="FU3989"/>
      <c r="FV3989"/>
      <c r="FW3989"/>
      <c r="FX3989"/>
      <c r="FY3989"/>
      <c r="FZ3989"/>
      <c r="GA3989"/>
      <c r="GB3989"/>
      <c r="GC3989"/>
      <c r="GD3989"/>
      <c r="GE3989"/>
      <c r="GF3989"/>
      <c r="GG3989"/>
      <c r="GH3989"/>
      <c r="GI3989"/>
      <c r="GJ3989"/>
      <c r="GK3989"/>
      <c r="GL3989"/>
      <c r="GM3989"/>
      <c r="GN3989"/>
      <c r="GO3989"/>
    </row>
    <row r="3990" spans="107:197">
      <c r="DC3990"/>
      <c r="FH3990"/>
      <c r="FI3990"/>
      <c r="FJ3990"/>
      <c r="FK3990"/>
      <c r="FL3990"/>
      <c r="FM3990"/>
      <c r="FN3990"/>
      <c r="FO3990"/>
      <c r="FP3990"/>
      <c r="FQ3990"/>
      <c r="FR3990"/>
      <c r="FS3990"/>
      <c r="FT3990"/>
      <c r="FU3990"/>
      <c r="FV3990"/>
      <c r="FW3990"/>
      <c r="FX3990"/>
      <c r="FY3990"/>
      <c r="FZ3990"/>
      <c r="GA3990"/>
      <c r="GB3990"/>
      <c r="GC3990"/>
      <c r="GD3990"/>
      <c r="GE3990"/>
      <c r="GF3990"/>
      <c r="GG3990"/>
      <c r="GH3990"/>
      <c r="GI3990"/>
      <c r="GJ3990"/>
      <c r="GK3990"/>
      <c r="GL3990"/>
      <c r="GM3990"/>
      <c r="GN3990"/>
      <c r="GO3990"/>
    </row>
    <row r="3991" spans="107:197">
      <c r="DC3991"/>
      <c r="FH3991"/>
      <c r="FI3991"/>
      <c r="FJ3991"/>
      <c r="FK3991"/>
      <c r="FL3991"/>
      <c r="FM3991"/>
      <c r="FN3991"/>
      <c r="FO3991"/>
      <c r="FP3991"/>
      <c r="FQ3991"/>
      <c r="FR3991"/>
      <c r="FS3991"/>
      <c r="FT3991"/>
      <c r="FU3991"/>
      <c r="FV3991"/>
      <c r="FW3991"/>
      <c r="FX3991"/>
      <c r="FY3991"/>
      <c r="FZ3991"/>
      <c r="GA3991"/>
      <c r="GB3991"/>
      <c r="GC3991"/>
      <c r="GD3991"/>
      <c r="GE3991"/>
      <c r="GF3991"/>
      <c r="GG3991"/>
      <c r="GH3991"/>
      <c r="GI3991"/>
      <c r="GJ3991"/>
      <c r="GK3991"/>
      <c r="GL3991"/>
      <c r="GM3991"/>
      <c r="GN3991"/>
      <c r="GO3991"/>
    </row>
    <row r="3992" spans="107:197">
      <c r="DC3992"/>
      <c r="FH3992"/>
      <c r="FI3992"/>
      <c r="FJ3992"/>
      <c r="FK3992"/>
      <c r="FL3992"/>
      <c r="FM3992"/>
      <c r="FN3992"/>
      <c r="FO3992"/>
      <c r="FP3992"/>
      <c r="FQ3992"/>
      <c r="FR3992"/>
      <c r="FS3992"/>
      <c r="FT3992"/>
      <c r="FU3992"/>
      <c r="FV3992"/>
      <c r="FW3992"/>
      <c r="FX3992"/>
      <c r="FY3992"/>
      <c r="FZ3992"/>
      <c r="GA3992"/>
      <c r="GB3992"/>
      <c r="GC3992"/>
      <c r="GD3992"/>
      <c r="GE3992"/>
      <c r="GF3992"/>
      <c r="GG3992"/>
      <c r="GH3992"/>
      <c r="GI3992"/>
      <c r="GJ3992"/>
      <c r="GK3992"/>
      <c r="GL3992"/>
      <c r="GM3992"/>
      <c r="GN3992"/>
      <c r="GO3992"/>
    </row>
    <row r="3993" spans="107:197">
      <c r="DC3993"/>
      <c r="FH3993"/>
      <c r="FI3993"/>
      <c r="FJ3993"/>
      <c r="FK3993"/>
      <c r="FL3993"/>
      <c r="FM3993"/>
      <c r="FN3993"/>
      <c r="FO3993"/>
      <c r="FP3993"/>
      <c r="FQ3993"/>
      <c r="FR3993"/>
      <c r="FS3993"/>
      <c r="FT3993"/>
      <c r="FU3993"/>
      <c r="FV3993"/>
      <c r="FW3993"/>
      <c r="FX3993"/>
      <c r="FY3993"/>
      <c r="FZ3993"/>
      <c r="GA3993"/>
      <c r="GB3993"/>
      <c r="GC3993"/>
      <c r="GD3993"/>
      <c r="GE3993"/>
      <c r="GF3993"/>
      <c r="GG3993"/>
      <c r="GH3993"/>
      <c r="GI3993"/>
      <c r="GJ3993"/>
      <c r="GK3993"/>
      <c r="GL3993"/>
      <c r="GM3993"/>
      <c r="GN3993"/>
      <c r="GO3993"/>
    </row>
    <row r="3994" spans="107:197">
      <c r="DC3994"/>
      <c r="FH3994"/>
      <c r="FI3994"/>
      <c r="FJ3994"/>
      <c r="FK3994"/>
      <c r="FL3994"/>
      <c r="FM3994"/>
      <c r="FN3994"/>
      <c r="FO3994"/>
      <c r="FP3994"/>
      <c r="FQ3994"/>
      <c r="FR3994"/>
      <c r="FS3994"/>
      <c r="FT3994"/>
      <c r="FU3994"/>
      <c r="FV3994"/>
      <c r="FW3994"/>
      <c r="FX3994"/>
      <c r="FY3994"/>
      <c r="FZ3994"/>
      <c r="GA3994"/>
      <c r="GB3994"/>
      <c r="GC3994"/>
      <c r="GD3994"/>
      <c r="GE3994"/>
      <c r="GF3994"/>
      <c r="GG3994"/>
      <c r="GH3994"/>
      <c r="GI3994"/>
      <c r="GJ3994"/>
      <c r="GK3994"/>
      <c r="GL3994"/>
      <c r="GM3994"/>
      <c r="GN3994"/>
      <c r="GO3994"/>
    </row>
    <row r="3995" spans="107:197">
      <c r="DC3995"/>
      <c r="FH3995"/>
      <c r="FI3995"/>
      <c r="FJ3995"/>
      <c r="FK3995"/>
      <c r="FL3995"/>
      <c r="FM3995"/>
      <c r="FN3995"/>
      <c r="FO3995"/>
      <c r="FP3995"/>
      <c r="FQ3995"/>
      <c r="FR3995"/>
      <c r="FS3995"/>
      <c r="FT3995"/>
      <c r="FU3995"/>
      <c r="FV3995"/>
      <c r="FW3995"/>
      <c r="FX3995"/>
      <c r="FY3995"/>
      <c r="FZ3995"/>
      <c r="GA3995"/>
      <c r="GB3995"/>
      <c r="GC3995"/>
      <c r="GD3995"/>
      <c r="GE3995"/>
      <c r="GF3995"/>
      <c r="GG3995"/>
      <c r="GH3995"/>
      <c r="GI3995"/>
      <c r="GJ3995"/>
      <c r="GK3995"/>
      <c r="GL3995"/>
      <c r="GM3995"/>
      <c r="GN3995"/>
      <c r="GO3995"/>
    </row>
    <row r="3996" spans="107:197">
      <c r="DC3996"/>
      <c r="FH3996"/>
      <c r="FI3996"/>
      <c r="FJ3996"/>
      <c r="FK3996"/>
      <c r="FL3996"/>
      <c r="FM3996"/>
      <c r="FN3996"/>
      <c r="FO3996"/>
      <c r="FP3996"/>
      <c r="FQ3996"/>
      <c r="FR3996"/>
      <c r="FS3996"/>
      <c r="FT3996"/>
      <c r="FU3996"/>
      <c r="FV3996"/>
      <c r="FW3996"/>
      <c r="FX3996"/>
      <c r="FY3996"/>
      <c r="FZ3996"/>
      <c r="GA3996"/>
      <c r="GB3996"/>
      <c r="GC3996"/>
      <c r="GD3996"/>
      <c r="GE3996"/>
      <c r="GF3996"/>
      <c r="GG3996"/>
      <c r="GH3996"/>
      <c r="GI3996"/>
      <c r="GJ3996"/>
      <c r="GK3996"/>
      <c r="GL3996"/>
      <c r="GM3996"/>
      <c r="GN3996"/>
      <c r="GO3996"/>
    </row>
    <row r="3997" spans="107:197">
      <c r="DC3997"/>
      <c r="FH3997"/>
      <c r="FI3997"/>
      <c r="FJ3997"/>
      <c r="FK3997"/>
      <c r="FL3997"/>
      <c r="FM3997"/>
      <c r="FN3997"/>
      <c r="FO3997"/>
      <c r="FP3997"/>
      <c r="FQ3997"/>
      <c r="FR3997"/>
      <c r="FS3997"/>
      <c r="FT3997"/>
      <c r="FU3997"/>
      <c r="FV3997"/>
      <c r="FW3997"/>
      <c r="FX3997"/>
      <c r="FY3997"/>
      <c r="FZ3997"/>
      <c r="GA3997"/>
      <c r="GB3997"/>
      <c r="GC3997"/>
      <c r="GD3997"/>
      <c r="GE3997"/>
      <c r="GF3997"/>
      <c r="GG3997"/>
      <c r="GH3997"/>
      <c r="GI3997"/>
      <c r="GJ3997"/>
      <c r="GK3997"/>
      <c r="GL3997"/>
      <c r="GM3997"/>
      <c r="GN3997"/>
      <c r="GO3997"/>
    </row>
    <row r="3998" spans="107:197">
      <c r="DC3998"/>
      <c r="FH3998"/>
      <c r="FI3998"/>
      <c r="FJ3998"/>
      <c r="FK3998"/>
      <c r="FL3998"/>
      <c r="FM3998"/>
      <c r="FN3998"/>
      <c r="FO3998"/>
      <c r="FP3998"/>
      <c r="FQ3998"/>
      <c r="FR3998"/>
      <c r="FS3998"/>
      <c r="FT3998"/>
      <c r="FU3998"/>
      <c r="FV3998"/>
      <c r="FW3998"/>
      <c r="FX3998"/>
      <c r="FY3998"/>
      <c r="FZ3998"/>
      <c r="GA3998"/>
      <c r="GB3998"/>
      <c r="GC3998"/>
      <c r="GD3998"/>
      <c r="GE3998"/>
      <c r="GF3998"/>
      <c r="GG3998"/>
      <c r="GH3998"/>
      <c r="GI3998"/>
      <c r="GJ3998"/>
      <c r="GK3998"/>
      <c r="GL3998"/>
      <c r="GM3998"/>
      <c r="GN3998"/>
      <c r="GO3998"/>
    </row>
    <row r="3999" spans="107:197">
      <c r="DC3999"/>
      <c r="FH3999"/>
      <c r="FI3999"/>
      <c r="FJ3999"/>
      <c r="FK3999"/>
      <c r="FL3999"/>
      <c r="FM3999"/>
      <c r="FN3999"/>
      <c r="FO3999"/>
      <c r="FP3999"/>
      <c r="FQ3999"/>
      <c r="FR3999"/>
      <c r="FS3999"/>
      <c r="FT3999"/>
      <c r="FU3999"/>
      <c r="FV3999"/>
      <c r="FW3999"/>
      <c r="FX3999"/>
      <c r="FY3999"/>
      <c r="FZ3999"/>
      <c r="GA3999"/>
      <c r="GB3999"/>
      <c r="GC3999"/>
      <c r="GD3999"/>
      <c r="GE3999"/>
      <c r="GF3999"/>
      <c r="GG3999"/>
      <c r="GH3999"/>
      <c r="GI3999"/>
      <c r="GJ3999"/>
      <c r="GK3999"/>
      <c r="GL3999"/>
      <c r="GM3999"/>
      <c r="GN3999"/>
      <c r="GO3999"/>
    </row>
    <row r="4000" spans="107:197">
      <c r="DC4000"/>
      <c r="FH4000"/>
      <c r="FI4000"/>
      <c r="FJ4000"/>
      <c r="FK4000"/>
      <c r="FL4000"/>
      <c r="FM4000"/>
      <c r="FN4000"/>
      <c r="FO4000"/>
      <c r="FP4000"/>
      <c r="FQ4000"/>
      <c r="FR4000"/>
      <c r="FS4000"/>
      <c r="FT4000"/>
      <c r="FU4000"/>
      <c r="FV4000"/>
      <c r="FW4000"/>
      <c r="FX4000"/>
      <c r="FY4000"/>
      <c r="FZ4000"/>
      <c r="GA4000"/>
      <c r="GB4000"/>
      <c r="GC4000"/>
      <c r="GD4000"/>
      <c r="GE4000"/>
      <c r="GF4000"/>
      <c r="GG4000"/>
      <c r="GH4000"/>
      <c r="GI4000"/>
      <c r="GJ4000"/>
      <c r="GK4000"/>
      <c r="GL4000"/>
      <c r="GM4000"/>
      <c r="GN4000"/>
      <c r="GO4000"/>
    </row>
    <row r="4001" spans="107:197">
      <c r="DC4001"/>
      <c r="FH4001"/>
      <c r="FI4001"/>
      <c r="FJ4001"/>
      <c r="FK4001"/>
      <c r="FL4001"/>
      <c r="FM4001"/>
      <c r="FN4001"/>
      <c r="FO4001"/>
      <c r="FP4001"/>
      <c r="FQ4001"/>
      <c r="FR4001"/>
      <c r="FS4001"/>
      <c r="FT4001"/>
      <c r="FU4001"/>
      <c r="FV4001"/>
      <c r="FW4001"/>
      <c r="FX4001"/>
      <c r="FY4001"/>
      <c r="FZ4001"/>
      <c r="GA4001"/>
      <c r="GB4001"/>
      <c r="GC4001"/>
      <c r="GD4001"/>
      <c r="GE4001"/>
      <c r="GF4001"/>
      <c r="GG4001"/>
      <c r="GH4001"/>
      <c r="GI4001"/>
      <c r="GJ4001"/>
      <c r="GK4001"/>
      <c r="GL4001"/>
      <c r="GM4001"/>
      <c r="GN4001"/>
      <c r="GO4001"/>
    </row>
    <row r="4002" spans="107:197">
      <c r="DC4002"/>
      <c r="FH4002"/>
      <c r="FI4002"/>
      <c r="FJ4002"/>
      <c r="FK4002"/>
      <c r="FL4002"/>
      <c r="FM4002"/>
      <c r="FN4002"/>
      <c r="FO4002"/>
      <c r="FP4002"/>
      <c r="FQ4002"/>
      <c r="FR4002"/>
      <c r="FS4002"/>
      <c r="FT4002"/>
      <c r="FU4002"/>
      <c r="FV4002"/>
      <c r="FW4002"/>
      <c r="FX4002"/>
      <c r="FY4002"/>
      <c r="FZ4002"/>
      <c r="GA4002"/>
      <c r="GB4002"/>
      <c r="GC4002"/>
      <c r="GD4002"/>
      <c r="GE4002"/>
      <c r="GF4002"/>
      <c r="GG4002"/>
      <c r="GH4002"/>
      <c r="GI4002"/>
      <c r="GJ4002"/>
      <c r="GK4002"/>
      <c r="GL4002"/>
      <c r="GM4002"/>
      <c r="GN4002"/>
      <c r="GO4002"/>
    </row>
    <row r="4003" spans="107:197">
      <c r="DC4003"/>
      <c r="FH4003"/>
      <c r="FI4003"/>
      <c r="FJ4003"/>
      <c r="FK4003"/>
      <c r="FL4003"/>
      <c r="FM4003"/>
      <c r="FN4003"/>
      <c r="FO4003"/>
      <c r="FP4003"/>
      <c r="FQ4003"/>
      <c r="FR4003"/>
      <c r="FS4003"/>
      <c r="FT4003"/>
      <c r="FU4003"/>
      <c r="FV4003"/>
      <c r="FW4003"/>
      <c r="FX4003"/>
      <c r="FY4003"/>
      <c r="FZ4003"/>
      <c r="GA4003"/>
      <c r="GB4003"/>
      <c r="GC4003"/>
      <c r="GD4003"/>
      <c r="GE4003"/>
      <c r="GF4003"/>
      <c r="GG4003"/>
      <c r="GH4003"/>
      <c r="GI4003"/>
      <c r="GJ4003"/>
      <c r="GK4003"/>
      <c r="GL4003"/>
      <c r="GM4003"/>
      <c r="GN4003"/>
      <c r="GO4003"/>
    </row>
    <row r="4004" spans="107:197">
      <c r="DC4004"/>
      <c r="FH4004"/>
      <c r="FI4004"/>
      <c r="FJ4004"/>
      <c r="FK4004"/>
      <c r="FL4004"/>
      <c r="FM4004"/>
      <c r="FN4004"/>
      <c r="FO4004"/>
      <c r="FP4004"/>
      <c r="FQ4004"/>
      <c r="FR4004"/>
      <c r="FS4004"/>
      <c r="FT4004"/>
      <c r="FU4004"/>
      <c r="FV4004"/>
      <c r="FW4004"/>
      <c r="FX4004"/>
      <c r="FY4004"/>
      <c r="FZ4004"/>
      <c r="GA4004"/>
      <c r="GB4004"/>
      <c r="GC4004"/>
      <c r="GD4004"/>
      <c r="GE4004"/>
      <c r="GF4004"/>
      <c r="GG4004"/>
      <c r="GH4004"/>
      <c r="GI4004"/>
      <c r="GJ4004"/>
      <c r="GK4004"/>
      <c r="GL4004"/>
      <c r="GM4004"/>
      <c r="GN4004"/>
      <c r="GO4004"/>
    </row>
    <row r="4005" spans="107:197">
      <c r="DC4005"/>
      <c r="FH4005"/>
      <c r="FI4005"/>
      <c r="FJ4005"/>
      <c r="FK4005"/>
      <c r="FL4005"/>
      <c r="FM4005"/>
      <c r="FN4005"/>
      <c r="FO4005"/>
      <c r="FP4005"/>
      <c r="FQ4005"/>
      <c r="FR4005"/>
      <c r="FS4005"/>
      <c r="FT4005"/>
      <c r="FU4005"/>
      <c r="FV4005"/>
      <c r="FW4005"/>
      <c r="FX4005"/>
      <c r="FY4005"/>
      <c r="FZ4005"/>
      <c r="GA4005"/>
      <c r="GB4005"/>
      <c r="GC4005"/>
      <c r="GD4005"/>
      <c r="GE4005"/>
      <c r="GF4005"/>
      <c r="GG4005"/>
      <c r="GH4005"/>
      <c r="GI4005"/>
      <c r="GJ4005"/>
      <c r="GK4005"/>
      <c r="GL4005"/>
      <c r="GM4005"/>
      <c r="GN4005"/>
      <c r="GO4005"/>
    </row>
    <row r="4006" spans="107:197">
      <c r="DC4006"/>
      <c r="FH4006"/>
      <c r="FI4006"/>
      <c r="FJ4006"/>
      <c r="FK4006"/>
      <c r="FL4006"/>
      <c r="FM4006"/>
      <c r="FN4006"/>
      <c r="FO4006"/>
      <c r="FP4006"/>
      <c r="FQ4006"/>
      <c r="FR4006"/>
      <c r="FS4006"/>
      <c r="FT4006"/>
      <c r="FU4006"/>
      <c r="FV4006"/>
      <c r="FW4006"/>
      <c r="FX4006"/>
      <c r="FY4006"/>
      <c r="FZ4006"/>
      <c r="GA4006"/>
      <c r="GB4006"/>
      <c r="GC4006"/>
      <c r="GD4006"/>
      <c r="GE4006"/>
      <c r="GF4006"/>
      <c r="GG4006"/>
      <c r="GH4006"/>
      <c r="GI4006"/>
      <c r="GJ4006"/>
      <c r="GK4006"/>
      <c r="GL4006"/>
      <c r="GM4006"/>
      <c r="GN4006"/>
      <c r="GO4006"/>
    </row>
    <row r="4007" spans="107:197">
      <c r="DC4007"/>
      <c r="FH4007"/>
      <c r="FI4007"/>
      <c r="FJ4007"/>
      <c r="FK4007"/>
      <c r="FL4007"/>
      <c r="FM4007"/>
      <c r="FN4007"/>
      <c r="FO4007"/>
      <c r="FP4007"/>
      <c r="FQ4007"/>
      <c r="FR4007"/>
      <c r="FS4007"/>
      <c r="FT4007"/>
      <c r="FU4007"/>
      <c r="FV4007"/>
      <c r="FW4007"/>
      <c r="FX4007"/>
      <c r="FY4007"/>
      <c r="FZ4007"/>
      <c r="GA4007"/>
      <c r="GB4007"/>
      <c r="GC4007"/>
      <c r="GD4007"/>
      <c r="GE4007"/>
      <c r="GF4007"/>
      <c r="GG4007"/>
      <c r="GH4007"/>
      <c r="GI4007"/>
      <c r="GJ4007"/>
      <c r="GK4007"/>
      <c r="GL4007"/>
      <c r="GM4007"/>
      <c r="GN4007"/>
      <c r="GO4007"/>
    </row>
    <row r="4008" spans="107:197">
      <c r="DC4008"/>
      <c r="FH4008"/>
      <c r="FI4008"/>
      <c r="FJ4008"/>
      <c r="FK4008"/>
      <c r="FL4008"/>
      <c r="FM4008"/>
      <c r="FN4008"/>
      <c r="FO4008"/>
      <c r="FP4008"/>
      <c r="FQ4008"/>
      <c r="FR4008"/>
      <c r="FS4008"/>
      <c r="FT4008"/>
      <c r="FU4008"/>
      <c r="FV4008"/>
      <c r="FW4008"/>
      <c r="FX4008"/>
      <c r="FY4008"/>
      <c r="FZ4008"/>
      <c r="GA4008"/>
      <c r="GB4008"/>
      <c r="GC4008"/>
      <c r="GD4008"/>
      <c r="GE4008"/>
      <c r="GF4008"/>
      <c r="GG4008"/>
      <c r="GH4008"/>
      <c r="GI4008"/>
      <c r="GJ4008"/>
      <c r="GK4008"/>
      <c r="GL4008"/>
      <c r="GM4008"/>
      <c r="GN4008"/>
      <c r="GO4008"/>
    </row>
    <row r="4009" spans="107:197">
      <c r="DC4009"/>
      <c r="FH4009"/>
      <c r="FI4009"/>
      <c r="FJ4009"/>
      <c r="FK4009"/>
      <c r="FL4009"/>
      <c r="FM4009"/>
      <c r="FN4009"/>
      <c r="FO4009"/>
      <c r="FP4009"/>
      <c r="FQ4009"/>
      <c r="FR4009"/>
      <c r="FS4009"/>
      <c r="FT4009"/>
      <c r="FU4009"/>
      <c r="FV4009"/>
      <c r="FW4009"/>
      <c r="FX4009"/>
      <c r="FY4009"/>
      <c r="FZ4009"/>
      <c r="GA4009"/>
      <c r="GB4009"/>
      <c r="GC4009"/>
      <c r="GD4009"/>
      <c r="GE4009"/>
      <c r="GF4009"/>
      <c r="GG4009"/>
      <c r="GH4009"/>
      <c r="GI4009"/>
      <c r="GJ4009"/>
      <c r="GK4009"/>
      <c r="GL4009"/>
      <c r="GM4009"/>
      <c r="GN4009"/>
      <c r="GO4009"/>
    </row>
    <row r="4010" spans="107:197">
      <c r="DC4010"/>
      <c r="FH4010"/>
      <c r="FI4010"/>
      <c r="FJ4010"/>
      <c r="FK4010"/>
      <c r="FL4010"/>
      <c r="FM4010"/>
      <c r="FN4010"/>
      <c r="FO4010"/>
      <c r="FP4010"/>
      <c r="FQ4010"/>
      <c r="FR4010"/>
      <c r="FS4010"/>
      <c r="FT4010"/>
      <c r="FU4010"/>
      <c r="FV4010"/>
      <c r="FW4010"/>
      <c r="FX4010"/>
      <c r="FY4010"/>
      <c r="FZ4010"/>
      <c r="GA4010"/>
      <c r="GB4010"/>
      <c r="GC4010"/>
      <c r="GD4010"/>
      <c r="GE4010"/>
      <c r="GF4010"/>
      <c r="GG4010"/>
      <c r="GH4010"/>
      <c r="GI4010"/>
      <c r="GJ4010"/>
      <c r="GK4010"/>
      <c r="GL4010"/>
      <c r="GM4010"/>
      <c r="GN4010"/>
      <c r="GO4010"/>
    </row>
    <row r="4011" spans="107:197">
      <c r="DC4011"/>
      <c r="FH4011"/>
      <c r="FI4011"/>
      <c r="FJ4011"/>
      <c r="FK4011"/>
      <c r="FL4011"/>
      <c r="FM4011"/>
      <c r="FN4011"/>
      <c r="FO4011"/>
      <c r="FP4011"/>
      <c r="FQ4011"/>
      <c r="FR4011"/>
      <c r="FS4011"/>
      <c r="FT4011"/>
      <c r="FU4011"/>
      <c r="FV4011"/>
      <c r="FW4011"/>
      <c r="FX4011"/>
      <c r="FY4011"/>
      <c r="FZ4011"/>
      <c r="GA4011"/>
      <c r="GB4011"/>
      <c r="GC4011"/>
      <c r="GD4011"/>
      <c r="GE4011"/>
      <c r="GF4011"/>
      <c r="GG4011"/>
      <c r="GH4011"/>
      <c r="GI4011"/>
      <c r="GJ4011"/>
      <c r="GK4011"/>
      <c r="GL4011"/>
      <c r="GM4011"/>
      <c r="GN4011"/>
      <c r="GO4011"/>
    </row>
    <row r="4012" spans="107:197">
      <c r="DC4012"/>
      <c r="FH4012"/>
      <c r="FI4012"/>
      <c r="FJ4012"/>
      <c r="FK4012"/>
      <c r="FL4012"/>
      <c r="FM4012"/>
      <c r="FN4012"/>
      <c r="FO4012"/>
      <c r="FP4012"/>
      <c r="FQ4012"/>
      <c r="FR4012"/>
      <c r="FS4012"/>
      <c r="FT4012"/>
      <c r="FU4012"/>
      <c r="FV4012"/>
      <c r="FW4012"/>
      <c r="FX4012"/>
      <c r="FY4012"/>
      <c r="FZ4012"/>
      <c r="GA4012"/>
      <c r="GB4012"/>
      <c r="GC4012"/>
      <c r="GD4012"/>
      <c r="GE4012"/>
      <c r="GF4012"/>
      <c r="GG4012"/>
      <c r="GH4012"/>
      <c r="GI4012"/>
      <c r="GJ4012"/>
      <c r="GK4012"/>
      <c r="GL4012"/>
      <c r="GM4012"/>
      <c r="GN4012"/>
      <c r="GO4012"/>
    </row>
    <row r="4013" spans="107:197">
      <c r="DC4013"/>
      <c r="FH4013"/>
      <c r="FI4013"/>
      <c r="FJ4013"/>
      <c r="FK4013"/>
      <c r="FL4013"/>
      <c r="FM4013"/>
      <c r="FN4013"/>
      <c r="FO4013"/>
      <c r="FP4013"/>
      <c r="FQ4013"/>
      <c r="FR4013"/>
      <c r="FS4013"/>
      <c r="FT4013"/>
      <c r="FU4013"/>
      <c r="FV4013"/>
      <c r="FW4013"/>
      <c r="FX4013"/>
      <c r="FY4013"/>
      <c r="FZ4013"/>
      <c r="GA4013"/>
      <c r="GB4013"/>
      <c r="GC4013"/>
      <c r="GD4013"/>
      <c r="GE4013"/>
      <c r="GF4013"/>
      <c r="GG4013"/>
      <c r="GH4013"/>
      <c r="GI4013"/>
      <c r="GJ4013"/>
      <c r="GK4013"/>
      <c r="GL4013"/>
      <c r="GM4013"/>
      <c r="GN4013"/>
      <c r="GO4013"/>
    </row>
    <row r="4014" spans="107:197">
      <c r="DC4014"/>
      <c r="FH4014"/>
      <c r="FI4014"/>
      <c r="FJ4014"/>
      <c r="FK4014"/>
      <c r="FL4014"/>
      <c r="FM4014"/>
      <c r="FN4014"/>
      <c r="FO4014"/>
      <c r="FP4014"/>
      <c r="FQ4014"/>
      <c r="FR4014"/>
      <c r="FS4014"/>
      <c r="FT4014"/>
      <c r="FU4014"/>
      <c r="FV4014"/>
      <c r="FW4014"/>
      <c r="FX4014"/>
      <c r="FY4014"/>
      <c r="FZ4014"/>
      <c r="GA4014"/>
      <c r="GB4014"/>
      <c r="GC4014"/>
      <c r="GD4014"/>
      <c r="GE4014"/>
      <c r="GF4014"/>
      <c r="GG4014"/>
      <c r="GH4014"/>
      <c r="GI4014"/>
      <c r="GJ4014"/>
      <c r="GK4014"/>
      <c r="GL4014"/>
      <c r="GM4014"/>
      <c r="GN4014"/>
      <c r="GO4014"/>
    </row>
    <row r="4015" spans="107:197">
      <c r="DC4015"/>
      <c r="FH4015"/>
      <c r="FI4015"/>
      <c r="FJ4015"/>
      <c r="FK4015"/>
      <c r="FL4015"/>
      <c r="FM4015"/>
      <c r="FN4015"/>
      <c r="FO4015"/>
      <c r="FP4015"/>
      <c r="FQ4015"/>
      <c r="FR4015"/>
      <c r="FS4015"/>
      <c r="FT4015"/>
      <c r="FU4015"/>
      <c r="FV4015"/>
      <c r="FW4015"/>
      <c r="FX4015"/>
      <c r="FY4015"/>
      <c r="FZ4015"/>
      <c r="GA4015"/>
      <c r="GB4015"/>
      <c r="GC4015"/>
      <c r="GD4015"/>
      <c r="GE4015"/>
      <c r="GF4015"/>
      <c r="GG4015"/>
      <c r="GH4015"/>
      <c r="GI4015"/>
      <c r="GJ4015"/>
      <c r="GK4015"/>
      <c r="GL4015"/>
      <c r="GM4015"/>
      <c r="GN4015"/>
      <c r="GO4015"/>
    </row>
    <row r="4016" spans="107:197">
      <c r="DC4016"/>
      <c r="FH4016"/>
      <c r="FI4016"/>
      <c r="FJ4016"/>
      <c r="FK4016"/>
      <c r="FL4016"/>
      <c r="FM4016"/>
      <c r="FN4016"/>
      <c r="FO4016"/>
      <c r="FP4016"/>
      <c r="FQ4016"/>
      <c r="FR4016"/>
      <c r="FS4016"/>
      <c r="FT4016"/>
      <c r="FU4016"/>
      <c r="FV4016"/>
      <c r="FW4016"/>
      <c r="FX4016"/>
      <c r="FY4016"/>
      <c r="FZ4016"/>
      <c r="GA4016"/>
      <c r="GB4016"/>
      <c r="GC4016"/>
      <c r="GD4016"/>
      <c r="GE4016"/>
      <c r="GF4016"/>
      <c r="GG4016"/>
      <c r="GH4016"/>
      <c r="GI4016"/>
      <c r="GJ4016"/>
      <c r="GK4016"/>
      <c r="GL4016"/>
      <c r="GM4016"/>
      <c r="GN4016"/>
      <c r="GO4016"/>
    </row>
    <row r="4017" spans="107:197">
      <c r="DC4017"/>
      <c r="FH4017"/>
      <c r="FI4017"/>
      <c r="FJ4017"/>
      <c r="FK4017"/>
      <c r="FL4017"/>
      <c r="FM4017"/>
      <c r="FN4017"/>
      <c r="FO4017"/>
      <c r="FP4017"/>
      <c r="FQ4017"/>
      <c r="FR4017"/>
      <c r="FS4017"/>
      <c r="FT4017"/>
      <c r="FU4017"/>
      <c r="FV4017"/>
      <c r="FW4017"/>
      <c r="FX4017"/>
      <c r="FY4017"/>
      <c r="FZ4017"/>
      <c r="GA4017"/>
      <c r="GB4017"/>
      <c r="GC4017"/>
      <c r="GD4017"/>
      <c r="GE4017"/>
      <c r="GF4017"/>
      <c r="GG4017"/>
      <c r="GH4017"/>
      <c r="GI4017"/>
      <c r="GJ4017"/>
      <c r="GK4017"/>
      <c r="GL4017"/>
      <c r="GM4017"/>
      <c r="GN4017"/>
      <c r="GO4017"/>
    </row>
    <row r="4018" spans="107:197">
      <c r="DC4018"/>
      <c r="FH4018"/>
      <c r="FI4018"/>
      <c r="FJ4018"/>
      <c r="FK4018"/>
      <c r="FL4018"/>
      <c r="FM4018"/>
      <c r="FN4018"/>
      <c r="FO4018"/>
      <c r="FP4018"/>
      <c r="FQ4018"/>
      <c r="FR4018"/>
      <c r="FS4018"/>
      <c r="FT4018"/>
      <c r="FU4018"/>
      <c r="FV4018"/>
      <c r="FW4018"/>
      <c r="FX4018"/>
      <c r="FY4018"/>
      <c r="FZ4018"/>
      <c r="GA4018"/>
      <c r="GB4018"/>
      <c r="GC4018"/>
      <c r="GD4018"/>
      <c r="GE4018"/>
      <c r="GF4018"/>
      <c r="GG4018"/>
      <c r="GH4018"/>
      <c r="GI4018"/>
      <c r="GJ4018"/>
      <c r="GK4018"/>
      <c r="GL4018"/>
      <c r="GM4018"/>
      <c r="GN4018"/>
      <c r="GO4018"/>
    </row>
    <row r="4019" spans="107:197">
      <c r="DC4019"/>
      <c r="FH4019"/>
      <c r="FI4019"/>
      <c r="FJ4019"/>
      <c r="FK4019"/>
      <c r="FL4019"/>
      <c r="FM4019"/>
      <c r="FN4019"/>
      <c r="FO4019"/>
      <c r="FP4019"/>
      <c r="FQ4019"/>
      <c r="FR4019"/>
      <c r="FS4019"/>
      <c r="FT4019"/>
      <c r="FU4019"/>
      <c r="FV4019"/>
      <c r="FW4019"/>
      <c r="FX4019"/>
      <c r="FY4019"/>
      <c r="FZ4019"/>
      <c r="GA4019"/>
      <c r="GB4019"/>
      <c r="GC4019"/>
      <c r="GD4019"/>
      <c r="GE4019"/>
      <c r="GF4019"/>
      <c r="GG4019"/>
      <c r="GH4019"/>
      <c r="GI4019"/>
      <c r="GJ4019"/>
      <c r="GK4019"/>
      <c r="GL4019"/>
      <c r="GM4019"/>
      <c r="GN4019"/>
      <c r="GO4019"/>
    </row>
    <row r="4020" spans="107:197">
      <c r="DC4020"/>
      <c r="FH4020"/>
      <c r="FI4020"/>
      <c r="FJ4020"/>
      <c r="FK4020"/>
      <c r="FL4020"/>
      <c r="FM4020"/>
      <c r="FN4020"/>
      <c r="FO4020"/>
      <c r="FP4020"/>
      <c r="FQ4020"/>
      <c r="FR4020"/>
      <c r="FS4020"/>
      <c r="FT4020"/>
      <c r="FU4020"/>
      <c r="FV4020"/>
      <c r="FW4020"/>
      <c r="FX4020"/>
      <c r="FY4020"/>
      <c r="FZ4020"/>
      <c r="GA4020"/>
      <c r="GB4020"/>
      <c r="GC4020"/>
      <c r="GD4020"/>
      <c r="GE4020"/>
      <c r="GF4020"/>
      <c r="GG4020"/>
      <c r="GH4020"/>
      <c r="GI4020"/>
      <c r="GJ4020"/>
      <c r="GK4020"/>
      <c r="GL4020"/>
      <c r="GM4020"/>
      <c r="GN4020"/>
      <c r="GO4020"/>
    </row>
    <row r="4021" spans="107:197">
      <c r="DC4021"/>
      <c r="FH4021"/>
      <c r="FI4021"/>
      <c r="FJ4021"/>
      <c r="FK4021"/>
      <c r="FL4021"/>
      <c r="FM4021"/>
      <c r="FN4021"/>
      <c r="FO4021"/>
      <c r="FP4021"/>
      <c r="FQ4021"/>
      <c r="FR4021"/>
      <c r="FS4021"/>
      <c r="FT4021"/>
      <c r="FU4021"/>
      <c r="FV4021"/>
      <c r="FW4021"/>
      <c r="FX4021"/>
      <c r="FY4021"/>
      <c r="FZ4021"/>
      <c r="GA4021"/>
      <c r="GB4021"/>
      <c r="GC4021"/>
      <c r="GD4021"/>
      <c r="GE4021"/>
      <c r="GF4021"/>
      <c r="GG4021"/>
      <c r="GH4021"/>
      <c r="GI4021"/>
      <c r="GJ4021"/>
      <c r="GK4021"/>
      <c r="GL4021"/>
      <c r="GM4021"/>
      <c r="GN4021"/>
      <c r="GO4021"/>
    </row>
    <row r="4022" spans="107:197">
      <c r="DC4022"/>
      <c r="FH4022"/>
      <c r="FI4022"/>
      <c r="FJ4022"/>
      <c r="FK4022"/>
      <c r="FL4022"/>
      <c r="FM4022"/>
      <c r="FN4022"/>
      <c r="FO4022"/>
      <c r="FP4022"/>
      <c r="FQ4022"/>
      <c r="FR4022"/>
      <c r="FS4022"/>
      <c r="FT4022"/>
      <c r="FU4022"/>
      <c r="FV4022"/>
      <c r="FW4022"/>
      <c r="FX4022"/>
      <c r="FY4022"/>
      <c r="FZ4022"/>
      <c r="GA4022"/>
      <c r="GB4022"/>
      <c r="GC4022"/>
      <c r="GD4022"/>
      <c r="GE4022"/>
      <c r="GF4022"/>
      <c r="GG4022"/>
      <c r="GH4022"/>
      <c r="GI4022"/>
      <c r="GJ4022"/>
      <c r="GK4022"/>
      <c r="GL4022"/>
      <c r="GM4022"/>
      <c r="GN4022"/>
      <c r="GO4022"/>
    </row>
    <row r="4023" spans="107:197">
      <c r="DC4023"/>
      <c r="FH4023"/>
      <c r="FI4023"/>
      <c r="FJ4023"/>
      <c r="FK4023"/>
      <c r="FL4023"/>
      <c r="FM4023"/>
      <c r="FN4023"/>
      <c r="FO4023"/>
      <c r="FP4023"/>
      <c r="FQ4023"/>
      <c r="FR4023"/>
      <c r="FS4023"/>
      <c r="FT4023"/>
      <c r="FU4023"/>
      <c r="FV4023"/>
      <c r="FW4023"/>
      <c r="FX4023"/>
      <c r="FY4023"/>
      <c r="FZ4023"/>
      <c r="GA4023"/>
      <c r="GB4023"/>
      <c r="GC4023"/>
      <c r="GD4023"/>
      <c r="GE4023"/>
      <c r="GF4023"/>
      <c r="GG4023"/>
      <c r="GH4023"/>
      <c r="GI4023"/>
      <c r="GJ4023"/>
      <c r="GK4023"/>
      <c r="GL4023"/>
      <c r="GM4023"/>
      <c r="GN4023"/>
      <c r="GO4023"/>
    </row>
    <row r="4024" spans="107:197">
      <c r="DC4024"/>
      <c r="FH4024"/>
      <c r="FI4024"/>
      <c r="FJ4024"/>
      <c r="FK4024"/>
      <c r="FL4024"/>
      <c r="FM4024"/>
      <c r="FN4024"/>
      <c r="FO4024"/>
      <c r="FP4024"/>
      <c r="FQ4024"/>
      <c r="FR4024"/>
      <c r="FS4024"/>
      <c r="FT4024"/>
      <c r="FU4024"/>
      <c r="FV4024"/>
      <c r="FW4024"/>
      <c r="FX4024"/>
      <c r="FY4024"/>
      <c r="FZ4024"/>
      <c r="GA4024"/>
      <c r="GB4024"/>
      <c r="GC4024"/>
      <c r="GD4024"/>
      <c r="GE4024"/>
      <c r="GF4024"/>
      <c r="GG4024"/>
      <c r="GH4024"/>
      <c r="GI4024"/>
      <c r="GJ4024"/>
      <c r="GK4024"/>
      <c r="GL4024"/>
      <c r="GM4024"/>
      <c r="GN4024"/>
      <c r="GO4024"/>
    </row>
    <row r="4025" spans="107:197">
      <c r="DC4025"/>
      <c r="FH4025"/>
      <c r="FI4025"/>
      <c r="FJ4025"/>
      <c r="FK4025"/>
      <c r="FL4025"/>
      <c r="FM4025"/>
      <c r="FN4025"/>
      <c r="FO4025"/>
      <c r="FP4025"/>
      <c r="FQ4025"/>
      <c r="FR4025"/>
      <c r="FS4025"/>
      <c r="FT4025"/>
      <c r="FU4025"/>
      <c r="FV4025"/>
      <c r="FW4025"/>
      <c r="FX4025"/>
      <c r="FY4025"/>
      <c r="FZ4025"/>
      <c r="GA4025"/>
      <c r="GB4025"/>
      <c r="GC4025"/>
      <c r="GD4025"/>
      <c r="GE4025"/>
      <c r="GF4025"/>
      <c r="GG4025"/>
      <c r="GH4025"/>
      <c r="GI4025"/>
      <c r="GJ4025"/>
      <c r="GK4025"/>
      <c r="GL4025"/>
      <c r="GM4025"/>
      <c r="GN4025"/>
      <c r="GO4025"/>
    </row>
    <row r="4026" spans="107:197">
      <c r="DC4026"/>
      <c r="FH4026"/>
      <c r="FI4026"/>
      <c r="FJ4026"/>
      <c r="FK4026"/>
      <c r="FL4026"/>
      <c r="FM4026"/>
      <c r="FN4026"/>
      <c r="FO4026"/>
      <c r="FP4026"/>
      <c r="FQ4026"/>
      <c r="FR4026"/>
      <c r="FS4026"/>
      <c r="FT4026"/>
      <c r="FU4026"/>
      <c r="FV4026"/>
      <c r="FW4026"/>
      <c r="FX4026"/>
      <c r="FY4026"/>
      <c r="FZ4026"/>
      <c r="GA4026"/>
      <c r="GB4026"/>
      <c r="GC4026"/>
      <c r="GD4026"/>
      <c r="GE4026"/>
      <c r="GF4026"/>
      <c r="GG4026"/>
      <c r="GH4026"/>
      <c r="GI4026"/>
      <c r="GJ4026"/>
      <c r="GK4026"/>
      <c r="GL4026"/>
      <c r="GM4026"/>
      <c r="GN4026"/>
      <c r="GO4026"/>
    </row>
    <row r="4027" spans="107:197">
      <c r="DC4027"/>
      <c r="FH4027"/>
      <c r="FI4027"/>
      <c r="FJ4027"/>
      <c r="FK4027"/>
      <c r="FL4027"/>
      <c r="FM4027"/>
      <c r="FN4027"/>
      <c r="FO4027"/>
      <c r="FP4027"/>
      <c r="FQ4027"/>
      <c r="FR4027"/>
      <c r="FS4027"/>
      <c r="FT4027"/>
      <c r="FU4027"/>
      <c r="FV4027"/>
      <c r="FW4027"/>
      <c r="FX4027"/>
      <c r="FY4027"/>
      <c r="FZ4027"/>
      <c r="GA4027"/>
      <c r="GB4027"/>
      <c r="GC4027"/>
      <c r="GD4027"/>
      <c r="GE4027"/>
      <c r="GF4027"/>
      <c r="GG4027"/>
      <c r="GH4027"/>
      <c r="GI4027"/>
      <c r="GJ4027"/>
      <c r="GK4027"/>
      <c r="GL4027"/>
      <c r="GM4027"/>
      <c r="GN4027"/>
      <c r="GO4027"/>
    </row>
    <row r="4028" spans="107:197">
      <c r="DC4028"/>
      <c r="FH4028"/>
      <c r="FI4028"/>
      <c r="FJ4028"/>
      <c r="FK4028"/>
      <c r="FL4028"/>
      <c r="FM4028"/>
      <c r="FN4028"/>
      <c r="FO4028"/>
      <c r="FP4028"/>
      <c r="FQ4028"/>
      <c r="FR4028"/>
      <c r="FS4028"/>
      <c r="FT4028"/>
      <c r="FU4028"/>
      <c r="FV4028"/>
      <c r="FW4028"/>
      <c r="FX4028"/>
      <c r="FY4028"/>
      <c r="FZ4028"/>
      <c r="GA4028"/>
      <c r="GB4028"/>
      <c r="GC4028"/>
      <c r="GD4028"/>
      <c r="GE4028"/>
      <c r="GF4028"/>
      <c r="GG4028"/>
      <c r="GH4028"/>
      <c r="GI4028"/>
      <c r="GJ4028"/>
      <c r="GK4028"/>
      <c r="GL4028"/>
      <c r="GM4028"/>
      <c r="GN4028"/>
      <c r="GO4028"/>
    </row>
    <row r="4029" spans="107:197">
      <c r="DC4029"/>
      <c r="FH4029"/>
      <c r="FI4029"/>
      <c r="FJ4029"/>
      <c r="FK4029"/>
      <c r="FL4029"/>
      <c r="FM4029"/>
      <c r="FN4029"/>
      <c r="FO4029"/>
      <c r="FP4029"/>
      <c r="FQ4029"/>
      <c r="FR4029"/>
      <c r="FS4029"/>
      <c r="FT4029"/>
      <c r="FU4029"/>
      <c r="FV4029"/>
      <c r="FW4029"/>
      <c r="FX4029"/>
      <c r="FY4029"/>
      <c r="FZ4029"/>
      <c r="GA4029"/>
      <c r="GB4029"/>
      <c r="GC4029"/>
      <c r="GD4029"/>
      <c r="GE4029"/>
      <c r="GF4029"/>
      <c r="GG4029"/>
      <c r="GH4029"/>
      <c r="GI4029"/>
      <c r="GJ4029"/>
      <c r="GK4029"/>
      <c r="GL4029"/>
      <c r="GM4029"/>
      <c r="GN4029"/>
      <c r="GO4029"/>
    </row>
    <row r="4030" spans="107:197">
      <c r="DC4030"/>
      <c r="FH4030"/>
      <c r="FI4030"/>
      <c r="FJ4030"/>
      <c r="FK4030"/>
      <c r="FL4030"/>
      <c r="FM4030"/>
      <c r="FN4030"/>
      <c r="FO4030"/>
      <c r="FP4030"/>
      <c r="FQ4030"/>
      <c r="FR4030"/>
      <c r="FS4030"/>
      <c r="FT4030"/>
      <c r="FU4030"/>
      <c r="FV4030"/>
      <c r="FW4030"/>
      <c r="FX4030"/>
      <c r="FY4030"/>
      <c r="FZ4030"/>
      <c r="GA4030"/>
      <c r="GB4030"/>
      <c r="GC4030"/>
      <c r="GD4030"/>
      <c r="GE4030"/>
      <c r="GF4030"/>
      <c r="GG4030"/>
      <c r="GH4030"/>
      <c r="GI4030"/>
      <c r="GJ4030"/>
      <c r="GK4030"/>
      <c r="GL4030"/>
      <c r="GM4030"/>
      <c r="GN4030"/>
      <c r="GO4030"/>
    </row>
    <row r="4031" spans="107:197">
      <c r="DC4031"/>
      <c r="FH4031"/>
      <c r="FI4031"/>
      <c r="FJ4031"/>
      <c r="FK4031"/>
      <c r="FL4031"/>
      <c r="FM4031"/>
      <c r="FN4031"/>
      <c r="FO4031"/>
      <c r="FP4031"/>
      <c r="FQ4031"/>
      <c r="FR4031"/>
      <c r="FS4031"/>
      <c r="FT4031"/>
      <c r="FU4031"/>
      <c r="FV4031"/>
      <c r="FW4031"/>
      <c r="FX4031"/>
      <c r="FY4031"/>
      <c r="FZ4031"/>
      <c r="GA4031"/>
      <c r="GB4031"/>
      <c r="GC4031"/>
      <c r="GD4031"/>
      <c r="GE4031"/>
      <c r="GF4031"/>
      <c r="GG4031"/>
      <c r="GH4031"/>
      <c r="GI4031"/>
      <c r="GJ4031"/>
      <c r="GK4031"/>
      <c r="GL4031"/>
      <c r="GM4031"/>
      <c r="GN4031"/>
      <c r="GO4031"/>
    </row>
    <row r="4032" spans="107:197">
      <c r="DC4032"/>
      <c r="FH4032"/>
      <c r="FI4032"/>
      <c r="FJ4032"/>
      <c r="FK4032"/>
      <c r="FL4032"/>
      <c r="FM4032"/>
      <c r="FN4032"/>
      <c r="FO4032"/>
      <c r="FP4032"/>
      <c r="FQ4032"/>
      <c r="FR4032"/>
      <c r="FS4032"/>
      <c r="FT4032"/>
      <c r="FU4032"/>
      <c r="FV4032"/>
      <c r="FW4032"/>
      <c r="FX4032"/>
      <c r="FY4032"/>
      <c r="FZ4032"/>
      <c r="GA4032"/>
      <c r="GB4032"/>
      <c r="GC4032"/>
      <c r="GD4032"/>
      <c r="GE4032"/>
      <c r="GF4032"/>
      <c r="GG4032"/>
      <c r="GH4032"/>
      <c r="GI4032"/>
      <c r="GJ4032"/>
      <c r="GK4032"/>
      <c r="GL4032"/>
      <c r="GM4032"/>
      <c r="GN4032"/>
      <c r="GO4032"/>
    </row>
    <row r="4033" spans="107:197">
      <c r="DC4033"/>
      <c r="FH4033"/>
      <c r="FI4033"/>
      <c r="FJ4033"/>
      <c r="FK4033"/>
      <c r="FL4033"/>
      <c r="FM4033"/>
      <c r="FN4033"/>
      <c r="FO4033"/>
      <c r="FP4033"/>
      <c r="FQ4033"/>
      <c r="FR4033"/>
      <c r="FS4033"/>
      <c r="FT4033"/>
      <c r="FU4033"/>
      <c r="FV4033"/>
      <c r="FW4033"/>
      <c r="FX4033"/>
      <c r="FY4033"/>
      <c r="FZ4033"/>
      <c r="GA4033"/>
      <c r="GB4033"/>
      <c r="GC4033"/>
      <c r="GD4033"/>
      <c r="GE4033"/>
      <c r="GF4033"/>
      <c r="GG4033"/>
      <c r="GH4033"/>
      <c r="GI4033"/>
      <c r="GJ4033"/>
      <c r="GK4033"/>
      <c r="GL4033"/>
      <c r="GM4033"/>
      <c r="GN4033"/>
      <c r="GO4033"/>
    </row>
    <row r="4034" spans="107:197">
      <c r="DC4034"/>
      <c r="FH4034"/>
      <c r="FI4034"/>
      <c r="FJ4034"/>
      <c r="FK4034"/>
      <c r="FL4034"/>
      <c r="FM4034"/>
      <c r="FN4034"/>
      <c r="FO4034"/>
      <c r="FP4034"/>
      <c r="FQ4034"/>
      <c r="FR4034"/>
      <c r="FS4034"/>
      <c r="FT4034"/>
      <c r="FU4034"/>
      <c r="FV4034"/>
      <c r="FW4034"/>
      <c r="FX4034"/>
      <c r="FY4034"/>
      <c r="FZ4034"/>
      <c r="GA4034"/>
      <c r="GB4034"/>
      <c r="GC4034"/>
      <c r="GD4034"/>
      <c r="GE4034"/>
      <c r="GF4034"/>
      <c r="GG4034"/>
      <c r="GH4034"/>
      <c r="GI4034"/>
      <c r="GJ4034"/>
      <c r="GK4034"/>
      <c r="GL4034"/>
      <c r="GM4034"/>
      <c r="GN4034"/>
      <c r="GO4034"/>
    </row>
    <row r="4035" spans="107:197">
      <c r="DC4035"/>
      <c r="FH4035"/>
      <c r="FI4035"/>
      <c r="FJ4035"/>
      <c r="FK4035"/>
      <c r="FL4035"/>
      <c r="FM4035"/>
      <c r="FN4035"/>
      <c r="FO4035"/>
      <c r="FP4035"/>
      <c r="FQ4035"/>
      <c r="FR4035"/>
      <c r="FS4035"/>
      <c r="FT4035"/>
      <c r="FU4035"/>
      <c r="FV4035"/>
      <c r="FW4035"/>
      <c r="FX4035"/>
      <c r="FY4035"/>
      <c r="FZ4035"/>
      <c r="GA4035"/>
      <c r="GB4035"/>
      <c r="GC4035"/>
      <c r="GD4035"/>
      <c r="GE4035"/>
      <c r="GF4035"/>
      <c r="GG4035"/>
      <c r="GH4035"/>
      <c r="GI4035"/>
      <c r="GJ4035"/>
      <c r="GK4035"/>
      <c r="GL4035"/>
      <c r="GM4035"/>
      <c r="GN4035"/>
      <c r="GO4035"/>
    </row>
    <row r="4036" spans="107:197">
      <c r="DC4036"/>
      <c r="FH4036"/>
      <c r="FI4036"/>
      <c r="FJ4036"/>
      <c r="FK4036"/>
      <c r="FL4036"/>
      <c r="FM4036"/>
      <c r="FN4036"/>
      <c r="FO4036"/>
      <c r="FP4036"/>
      <c r="FQ4036"/>
      <c r="FR4036"/>
      <c r="FS4036"/>
      <c r="FT4036"/>
      <c r="FU4036"/>
      <c r="FV4036"/>
      <c r="FW4036"/>
      <c r="FX4036"/>
      <c r="FY4036"/>
      <c r="FZ4036"/>
      <c r="GA4036"/>
      <c r="GB4036"/>
      <c r="GC4036"/>
      <c r="GD4036"/>
      <c r="GE4036"/>
      <c r="GF4036"/>
      <c r="GG4036"/>
      <c r="GH4036"/>
      <c r="GI4036"/>
      <c r="GJ4036"/>
      <c r="GK4036"/>
      <c r="GL4036"/>
      <c r="GM4036"/>
      <c r="GN4036"/>
      <c r="GO4036"/>
    </row>
    <row r="4037" spans="107:197">
      <c r="DC4037"/>
      <c r="FH4037"/>
      <c r="FI4037"/>
      <c r="FJ4037"/>
      <c r="FK4037"/>
      <c r="FL4037"/>
      <c r="FM4037"/>
      <c r="FN4037"/>
      <c r="FO4037"/>
      <c r="FP4037"/>
      <c r="FQ4037"/>
      <c r="FR4037"/>
      <c r="FS4037"/>
      <c r="FT4037"/>
      <c r="FU4037"/>
      <c r="FV4037"/>
      <c r="FW4037"/>
      <c r="FX4037"/>
      <c r="FY4037"/>
      <c r="FZ4037"/>
      <c r="GA4037"/>
      <c r="GB4037"/>
      <c r="GC4037"/>
      <c r="GD4037"/>
      <c r="GE4037"/>
      <c r="GF4037"/>
      <c r="GG4037"/>
      <c r="GH4037"/>
      <c r="GI4037"/>
      <c r="GJ4037"/>
      <c r="GK4037"/>
      <c r="GL4037"/>
      <c r="GM4037"/>
      <c r="GN4037"/>
      <c r="GO4037"/>
    </row>
    <row r="4038" spans="107:197">
      <c r="DC4038"/>
      <c r="FH4038"/>
      <c r="FI4038"/>
      <c r="FJ4038"/>
      <c r="FK4038"/>
      <c r="FL4038"/>
      <c r="FM4038"/>
      <c r="FN4038"/>
      <c r="FO4038"/>
      <c r="FP4038"/>
      <c r="FQ4038"/>
      <c r="FR4038"/>
      <c r="FS4038"/>
      <c r="FT4038"/>
      <c r="FU4038"/>
      <c r="FV4038"/>
      <c r="FW4038"/>
      <c r="FX4038"/>
      <c r="FY4038"/>
      <c r="FZ4038"/>
      <c r="GA4038"/>
      <c r="GB4038"/>
      <c r="GC4038"/>
      <c r="GD4038"/>
      <c r="GE4038"/>
      <c r="GF4038"/>
      <c r="GG4038"/>
      <c r="GH4038"/>
      <c r="GI4038"/>
      <c r="GJ4038"/>
      <c r="GK4038"/>
      <c r="GL4038"/>
      <c r="GM4038"/>
      <c r="GN4038"/>
      <c r="GO4038"/>
    </row>
    <row r="4039" spans="107:197">
      <c r="DC4039"/>
      <c r="FH4039"/>
      <c r="FI4039"/>
      <c r="FJ4039"/>
      <c r="FK4039"/>
      <c r="FL4039"/>
      <c r="FM4039"/>
      <c r="FN4039"/>
      <c r="FO4039"/>
      <c r="FP4039"/>
      <c r="FQ4039"/>
      <c r="FR4039"/>
      <c r="FS4039"/>
      <c r="FT4039"/>
      <c r="FU4039"/>
      <c r="FV4039"/>
      <c r="FW4039"/>
      <c r="FX4039"/>
      <c r="FY4039"/>
      <c r="FZ4039"/>
      <c r="GA4039"/>
      <c r="GB4039"/>
      <c r="GC4039"/>
      <c r="GD4039"/>
      <c r="GE4039"/>
      <c r="GF4039"/>
      <c r="GG4039"/>
      <c r="GH4039"/>
      <c r="GI4039"/>
      <c r="GJ4039"/>
      <c r="GK4039"/>
      <c r="GL4039"/>
      <c r="GM4039"/>
      <c r="GN4039"/>
      <c r="GO4039"/>
    </row>
    <row r="4040" spans="107:197">
      <c r="DC4040"/>
      <c r="FH4040"/>
      <c r="FI4040"/>
      <c r="FJ4040"/>
      <c r="FK4040"/>
      <c r="FL4040"/>
      <c r="FM4040"/>
      <c r="FN4040"/>
      <c r="FO4040"/>
      <c r="FP4040"/>
      <c r="FQ4040"/>
      <c r="FR4040"/>
      <c r="FS4040"/>
      <c r="FT4040"/>
      <c r="FU4040"/>
      <c r="FV4040"/>
      <c r="FW4040"/>
      <c r="FX4040"/>
      <c r="FY4040"/>
      <c r="FZ4040"/>
      <c r="GA4040"/>
      <c r="GB4040"/>
      <c r="GC4040"/>
      <c r="GD4040"/>
      <c r="GE4040"/>
      <c r="GF4040"/>
      <c r="GG4040"/>
      <c r="GH4040"/>
      <c r="GI4040"/>
      <c r="GJ4040"/>
      <c r="GK4040"/>
      <c r="GL4040"/>
      <c r="GM4040"/>
      <c r="GN4040"/>
      <c r="GO4040"/>
    </row>
    <row r="4041" spans="107:197">
      <c r="DC4041"/>
      <c r="FH4041"/>
      <c r="FI4041"/>
      <c r="FJ4041"/>
      <c r="FK4041"/>
      <c r="FL4041"/>
      <c r="FM4041"/>
      <c r="FN4041"/>
      <c r="FO4041"/>
      <c r="FP4041"/>
      <c r="FQ4041"/>
      <c r="FR4041"/>
      <c r="FS4041"/>
      <c r="FT4041"/>
      <c r="FU4041"/>
      <c r="FV4041"/>
      <c r="FW4041"/>
      <c r="FX4041"/>
      <c r="FY4041"/>
      <c r="FZ4041"/>
      <c r="GA4041"/>
      <c r="GB4041"/>
      <c r="GC4041"/>
      <c r="GD4041"/>
      <c r="GE4041"/>
      <c r="GF4041"/>
      <c r="GG4041"/>
      <c r="GH4041"/>
      <c r="GI4041"/>
      <c r="GJ4041"/>
      <c r="GK4041"/>
      <c r="GL4041"/>
      <c r="GM4041"/>
      <c r="GN4041"/>
      <c r="GO4041"/>
    </row>
    <row r="4042" spans="107:197">
      <c r="DC4042"/>
      <c r="FH4042"/>
      <c r="FI4042"/>
      <c r="FJ4042"/>
      <c r="FK4042"/>
      <c r="FL4042"/>
      <c r="FM4042"/>
      <c r="FN4042"/>
      <c r="FO4042"/>
      <c r="FP4042"/>
      <c r="FQ4042"/>
      <c r="FR4042"/>
      <c r="FS4042"/>
      <c r="FT4042"/>
      <c r="FU4042"/>
      <c r="FV4042"/>
      <c r="FW4042"/>
      <c r="FX4042"/>
      <c r="FY4042"/>
      <c r="FZ4042"/>
      <c r="GA4042"/>
      <c r="GB4042"/>
      <c r="GC4042"/>
      <c r="GD4042"/>
      <c r="GE4042"/>
      <c r="GF4042"/>
      <c r="GG4042"/>
      <c r="GH4042"/>
      <c r="GI4042"/>
      <c r="GJ4042"/>
      <c r="GK4042"/>
      <c r="GL4042"/>
      <c r="GM4042"/>
      <c r="GN4042"/>
      <c r="GO4042"/>
    </row>
    <row r="4043" spans="107:197">
      <c r="DC4043"/>
      <c r="FH4043"/>
      <c r="FI4043"/>
      <c r="FJ4043"/>
      <c r="FK4043"/>
      <c r="FL4043"/>
      <c r="FM4043"/>
      <c r="FN4043"/>
      <c r="FO4043"/>
      <c r="FP4043"/>
      <c r="FQ4043"/>
      <c r="FR4043"/>
      <c r="FS4043"/>
      <c r="FT4043"/>
      <c r="FU4043"/>
      <c r="FV4043"/>
      <c r="FW4043"/>
      <c r="FX4043"/>
      <c r="FY4043"/>
      <c r="FZ4043"/>
      <c r="GA4043"/>
      <c r="GB4043"/>
      <c r="GC4043"/>
      <c r="GD4043"/>
      <c r="GE4043"/>
      <c r="GF4043"/>
      <c r="GG4043"/>
      <c r="GH4043"/>
      <c r="GI4043"/>
      <c r="GJ4043"/>
      <c r="GK4043"/>
      <c r="GL4043"/>
      <c r="GM4043"/>
      <c r="GN4043"/>
      <c r="GO4043"/>
    </row>
    <row r="4044" spans="107:197">
      <c r="DC4044"/>
      <c r="FH4044"/>
      <c r="FI4044"/>
      <c r="FJ4044"/>
      <c r="FK4044"/>
      <c r="FL4044"/>
      <c r="FM4044"/>
      <c r="FN4044"/>
      <c r="FO4044"/>
      <c r="FP4044"/>
      <c r="FQ4044"/>
      <c r="FR4044"/>
      <c r="FS4044"/>
      <c r="FT4044"/>
      <c r="FU4044"/>
      <c r="FV4044"/>
      <c r="FW4044"/>
      <c r="FX4044"/>
      <c r="FY4044"/>
      <c r="FZ4044"/>
      <c r="GA4044"/>
      <c r="GB4044"/>
      <c r="GC4044"/>
      <c r="GD4044"/>
      <c r="GE4044"/>
      <c r="GF4044"/>
      <c r="GG4044"/>
      <c r="GH4044"/>
      <c r="GI4044"/>
      <c r="GJ4044"/>
      <c r="GK4044"/>
      <c r="GL4044"/>
      <c r="GM4044"/>
      <c r="GN4044"/>
      <c r="GO4044"/>
    </row>
    <row r="4045" spans="107:197">
      <c r="DC4045"/>
      <c r="FH4045"/>
      <c r="FI4045"/>
      <c r="FJ4045"/>
      <c r="FK4045"/>
      <c r="FL4045"/>
      <c r="FM4045"/>
      <c r="FN4045"/>
      <c r="FO4045"/>
      <c r="FP4045"/>
      <c r="FQ4045"/>
      <c r="FR4045"/>
      <c r="FS4045"/>
      <c r="FT4045"/>
      <c r="FU4045"/>
      <c r="FV4045"/>
      <c r="FW4045"/>
      <c r="FX4045"/>
      <c r="FY4045"/>
      <c r="FZ4045"/>
      <c r="GA4045"/>
      <c r="GB4045"/>
      <c r="GC4045"/>
      <c r="GD4045"/>
      <c r="GE4045"/>
      <c r="GF4045"/>
      <c r="GG4045"/>
      <c r="GH4045"/>
      <c r="GI4045"/>
      <c r="GJ4045"/>
      <c r="GK4045"/>
      <c r="GL4045"/>
      <c r="GM4045"/>
      <c r="GN4045"/>
      <c r="GO4045"/>
    </row>
    <row r="4046" spans="107:197">
      <c r="DC4046"/>
      <c r="FH4046"/>
      <c r="FI4046"/>
      <c r="FJ4046"/>
      <c r="FK4046"/>
      <c r="FL4046"/>
      <c r="FM4046"/>
      <c r="FN4046"/>
      <c r="FO4046"/>
      <c r="FP4046"/>
      <c r="FQ4046"/>
      <c r="FR4046"/>
      <c r="FS4046"/>
      <c r="FT4046"/>
      <c r="FU4046"/>
      <c r="FV4046"/>
      <c r="FW4046"/>
      <c r="FX4046"/>
      <c r="FY4046"/>
      <c r="FZ4046"/>
      <c r="GA4046"/>
      <c r="GB4046"/>
      <c r="GC4046"/>
      <c r="GD4046"/>
      <c r="GE4046"/>
      <c r="GF4046"/>
      <c r="GG4046"/>
      <c r="GH4046"/>
      <c r="GI4046"/>
      <c r="GJ4046"/>
      <c r="GK4046"/>
      <c r="GL4046"/>
      <c r="GM4046"/>
      <c r="GN4046"/>
      <c r="GO4046"/>
    </row>
    <row r="4047" spans="107:197">
      <c r="DC4047"/>
      <c r="FH4047"/>
      <c r="FI4047"/>
      <c r="FJ4047"/>
      <c r="FK4047"/>
      <c r="FL4047"/>
      <c r="FM4047"/>
      <c r="FN4047"/>
      <c r="FO4047"/>
      <c r="FP4047"/>
      <c r="FQ4047"/>
      <c r="FR4047"/>
      <c r="FS4047"/>
      <c r="FT4047"/>
      <c r="FU4047"/>
      <c r="FV4047"/>
      <c r="FW4047"/>
      <c r="FX4047"/>
      <c r="FY4047"/>
      <c r="FZ4047"/>
      <c r="GA4047"/>
      <c r="GB4047"/>
      <c r="GC4047"/>
      <c r="GD4047"/>
      <c r="GE4047"/>
      <c r="GF4047"/>
      <c r="GG4047"/>
      <c r="GH4047"/>
      <c r="GI4047"/>
      <c r="GJ4047"/>
      <c r="GK4047"/>
      <c r="GL4047"/>
      <c r="GM4047"/>
      <c r="GN4047"/>
      <c r="GO4047"/>
    </row>
    <row r="4048" spans="107:197">
      <c r="DC4048"/>
      <c r="FH4048"/>
      <c r="FI4048"/>
      <c r="FJ4048"/>
      <c r="FK4048"/>
      <c r="FL4048"/>
      <c r="FM4048"/>
      <c r="FN4048"/>
      <c r="FO4048"/>
      <c r="FP4048"/>
      <c r="FQ4048"/>
      <c r="FR4048"/>
      <c r="FS4048"/>
      <c r="FT4048"/>
      <c r="FU4048"/>
      <c r="FV4048"/>
      <c r="FW4048"/>
      <c r="FX4048"/>
      <c r="FY4048"/>
      <c r="FZ4048"/>
      <c r="GA4048"/>
      <c r="GB4048"/>
      <c r="GC4048"/>
      <c r="GD4048"/>
      <c r="GE4048"/>
      <c r="GF4048"/>
      <c r="GG4048"/>
      <c r="GH4048"/>
      <c r="GI4048"/>
      <c r="GJ4048"/>
      <c r="GK4048"/>
      <c r="GL4048"/>
      <c r="GM4048"/>
      <c r="GN4048"/>
      <c r="GO4048"/>
    </row>
    <row r="4049" spans="107:197">
      <c r="DC4049"/>
      <c r="FH4049"/>
      <c r="FI4049"/>
      <c r="FJ4049"/>
      <c r="FK4049"/>
      <c r="FL4049"/>
      <c r="FM4049"/>
      <c r="FN4049"/>
      <c r="FO4049"/>
      <c r="FP4049"/>
      <c r="FQ4049"/>
      <c r="FR4049"/>
      <c r="FS4049"/>
      <c r="FT4049"/>
      <c r="FU4049"/>
      <c r="FV4049"/>
      <c r="FW4049"/>
      <c r="FX4049"/>
      <c r="FY4049"/>
      <c r="FZ4049"/>
      <c r="GA4049"/>
      <c r="GB4049"/>
      <c r="GC4049"/>
      <c r="GD4049"/>
      <c r="GE4049"/>
      <c r="GF4049"/>
      <c r="GG4049"/>
      <c r="GH4049"/>
      <c r="GI4049"/>
      <c r="GJ4049"/>
      <c r="GK4049"/>
      <c r="GL4049"/>
      <c r="GM4049"/>
      <c r="GN4049"/>
      <c r="GO4049"/>
    </row>
    <row r="4050" spans="107:197">
      <c r="DC4050"/>
      <c r="FH4050"/>
      <c r="FI4050"/>
      <c r="FJ4050"/>
      <c r="FK4050"/>
      <c r="FL4050"/>
      <c r="FM4050"/>
      <c r="FN4050"/>
      <c r="FO4050"/>
      <c r="FP4050"/>
      <c r="FQ4050"/>
      <c r="FR4050"/>
      <c r="FS4050"/>
      <c r="FT4050"/>
      <c r="FU4050"/>
      <c r="FV4050"/>
      <c r="FW4050"/>
      <c r="FX4050"/>
      <c r="FY4050"/>
      <c r="FZ4050"/>
      <c r="GA4050"/>
      <c r="GB4050"/>
      <c r="GC4050"/>
      <c r="GD4050"/>
      <c r="GE4050"/>
      <c r="GF4050"/>
      <c r="GG4050"/>
      <c r="GH4050"/>
      <c r="GI4050"/>
      <c r="GJ4050"/>
      <c r="GK4050"/>
      <c r="GL4050"/>
      <c r="GM4050"/>
      <c r="GN4050"/>
      <c r="GO4050"/>
    </row>
    <row r="4051" spans="107:197">
      <c r="DC4051"/>
      <c r="FH4051"/>
      <c r="FI4051"/>
      <c r="FJ4051"/>
      <c r="FK4051"/>
      <c r="FL4051"/>
      <c r="FM4051"/>
      <c r="FN4051"/>
      <c r="FO4051"/>
      <c r="FP4051"/>
      <c r="FQ4051"/>
      <c r="FR4051"/>
      <c r="FS4051"/>
      <c r="FT4051"/>
      <c r="FU4051"/>
      <c r="FV4051"/>
      <c r="FW4051"/>
      <c r="FX4051"/>
      <c r="FY4051"/>
      <c r="FZ4051"/>
      <c r="GA4051"/>
      <c r="GB4051"/>
      <c r="GC4051"/>
      <c r="GD4051"/>
      <c r="GE4051"/>
      <c r="GF4051"/>
      <c r="GG4051"/>
      <c r="GH4051"/>
      <c r="GI4051"/>
      <c r="GJ4051"/>
      <c r="GK4051"/>
      <c r="GL4051"/>
      <c r="GM4051"/>
      <c r="GN4051"/>
      <c r="GO4051"/>
    </row>
    <row r="4052" spans="107:197">
      <c r="DC4052"/>
      <c r="FH4052"/>
      <c r="FI4052"/>
      <c r="FJ4052"/>
      <c r="FK4052"/>
      <c r="FL4052"/>
      <c r="FM4052"/>
      <c r="FN4052"/>
      <c r="FO4052"/>
      <c r="FP4052"/>
      <c r="FQ4052"/>
      <c r="FR4052"/>
      <c r="FS4052"/>
      <c r="FT4052"/>
      <c r="FU4052"/>
      <c r="FV4052"/>
      <c r="FW4052"/>
      <c r="FX4052"/>
      <c r="FY4052"/>
      <c r="FZ4052"/>
      <c r="GA4052"/>
      <c r="GB4052"/>
      <c r="GC4052"/>
      <c r="GD4052"/>
      <c r="GE4052"/>
      <c r="GF4052"/>
      <c r="GG4052"/>
      <c r="GH4052"/>
      <c r="GI4052"/>
      <c r="GJ4052"/>
      <c r="GK4052"/>
      <c r="GL4052"/>
      <c r="GM4052"/>
      <c r="GN4052"/>
      <c r="GO4052"/>
    </row>
    <row r="4053" spans="107:197">
      <c r="DC4053"/>
      <c r="FH4053"/>
      <c r="FI4053"/>
      <c r="FJ4053"/>
      <c r="FK4053"/>
      <c r="FL4053"/>
      <c r="FM4053"/>
      <c r="FN4053"/>
      <c r="FO4053"/>
      <c r="FP4053"/>
      <c r="FQ4053"/>
      <c r="FR4053"/>
      <c r="FS4053"/>
      <c r="FT4053"/>
      <c r="FU4053"/>
      <c r="FV4053"/>
      <c r="FW4053"/>
      <c r="FX4053"/>
      <c r="FY4053"/>
      <c r="FZ4053"/>
      <c r="GA4053"/>
      <c r="GB4053"/>
      <c r="GC4053"/>
      <c r="GD4053"/>
      <c r="GE4053"/>
      <c r="GF4053"/>
      <c r="GG4053"/>
      <c r="GH4053"/>
      <c r="GI4053"/>
      <c r="GJ4053"/>
      <c r="GK4053"/>
      <c r="GL4053"/>
      <c r="GM4053"/>
      <c r="GN4053"/>
      <c r="GO4053"/>
    </row>
    <row r="4054" spans="107:197">
      <c r="DC4054"/>
      <c r="FH4054"/>
      <c r="FI4054"/>
      <c r="FJ4054"/>
      <c r="FK4054"/>
      <c r="FL4054"/>
      <c r="FM4054"/>
      <c r="FN4054"/>
      <c r="FO4054"/>
      <c r="FP4054"/>
      <c r="FQ4054"/>
      <c r="FR4054"/>
      <c r="FS4054"/>
      <c r="FT4054"/>
      <c r="FU4054"/>
      <c r="FV4054"/>
      <c r="FW4054"/>
      <c r="FX4054"/>
      <c r="FY4054"/>
      <c r="FZ4054"/>
      <c r="GA4054"/>
      <c r="GB4054"/>
      <c r="GC4054"/>
      <c r="GD4054"/>
      <c r="GE4054"/>
      <c r="GF4054"/>
      <c r="GG4054"/>
      <c r="GH4054"/>
      <c r="GI4054"/>
      <c r="GJ4054"/>
      <c r="GK4054"/>
      <c r="GL4054"/>
      <c r="GM4054"/>
      <c r="GN4054"/>
      <c r="GO4054"/>
    </row>
    <row r="4055" spans="107:197">
      <c r="DC4055"/>
      <c r="FH4055"/>
      <c r="FI4055"/>
      <c r="FJ4055"/>
      <c r="FK4055"/>
      <c r="FL4055"/>
      <c r="FM4055"/>
      <c r="FN4055"/>
      <c r="FO4055"/>
      <c r="FP4055"/>
      <c r="FQ4055"/>
      <c r="FR4055"/>
      <c r="FS4055"/>
      <c r="FT4055"/>
      <c r="FU4055"/>
      <c r="FV4055"/>
      <c r="FW4055"/>
      <c r="FX4055"/>
      <c r="FY4055"/>
      <c r="FZ4055"/>
      <c r="GA4055"/>
      <c r="GB4055"/>
      <c r="GC4055"/>
      <c r="GD4055"/>
      <c r="GE4055"/>
      <c r="GF4055"/>
      <c r="GG4055"/>
      <c r="GH4055"/>
      <c r="GI4055"/>
      <c r="GJ4055"/>
      <c r="GK4055"/>
      <c r="GL4055"/>
      <c r="GM4055"/>
      <c r="GN4055"/>
      <c r="GO4055"/>
    </row>
    <row r="4056" spans="107:197">
      <c r="DC4056"/>
      <c r="FH4056"/>
      <c r="FI4056"/>
      <c r="FJ4056"/>
      <c r="FK4056"/>
      <c r="FL4056"/>
      <c r="FM4056"/>
      <c r="FN4056"/>
      <c r="FO4056"/>
      <c r="FP4056"/>
      <c r="FQ4056"/>
      <c r="FR4056"/>
      <c r="FS4056"/>
      <c r="FT4056"/>
      <c r="FU4056"/>
      <c r="FV4056"/>
      <c r="FW4056"/>
      <c r="FX4056"/>
      <c r="FY4056"/>
      <c r="FZ4056"/>
      <c r="GA4056"/>
      <c r="GB4056"/>
      <c r="GC4056"/>
      <c r="GD4056"/>
      <c r="GE4056"/>
      <c r="GF4056"/>
      <c r="GG4056"/>
      <c r="GH4056"/>
      <c r="GI4056"/>
      <c r="GJ4056"/>
      <c r="GK4056"/>
      <c r="GL4056"/>
      <c r="GM4056"/>
      <c r="GN4056"/>
      <c r="GO4056"/>
    </row>
    <row r="4057" spans="107:197">
      <c r="DC4057"/>
      <c r="FH4057"/>
      <c r="FI4057"/>
      <c r="FJ4057"/>
      <c r="FK4057"/>
      <c r="FL4057"/>
      <c r="FM4057"/>
      <c r="FN4057"/>
      <c r="FO4057"/>
      <c r="FP4057"/>
      <c r="FQ4057"/>
      <c r="FR4057"/>
      <c r="FS4057"/>
      <c r="FT4057"/>
      <c r="FU4057"/>
      <c r="FV4057"/>
      <c r="FW4057"/>
      <c r="FX4057"/>
      <c r="FY4057"/>
      <c r="FZ4057"/>
      <c r="GA4057"/>
      <c r="GB4057"/>
      <c r="GC4057"/>
      <c r="GD4057"/>
      <c r="GE4057"/>
      <c r="GF4057"/>
      <c r="GG4057"/>
      <c r="GH4057"/>
      <c r="GI4057"/>
      <c r="GJ4057"/>
      <c r="GK4057"/>
      <c r="GL4057"/>
      <c r="GM4057"/>
      <c r="GN4057"/>
      <c r="GO4057"/>
    </row>
    <row r="4058" spans="107:197">
      <c r="DC4058"/>
      <c r="FH4058"/>
      <c r="FI4058"/>
      <c r="FJ4058"/>
      <c r="FK4058"/>
      <c r="FL4058"/>
      <c r="FM4058"/>
      <c r="FN4058"/>
      <c r="FO4058"/>
      <c r="FP4058"/>
      <c r="FQ4058"/>
      <c r="FR4058"/>
      <c r="FS4058"/>
      <c r="FT4058"/>
      <c r="FU4058"/>
      <c r="FV4058"/>
      <c r="FW4058"/>
      <c r="FX4058"/>
      <c r="FY4058"/>
      <c r="FZ4058"/>
      <c r="GA4058"/>
      <c r="GB4058"/>
      <c r="GC4058"/>
      <c r="GD4058"/>
      <c r="GE4058"/>
      <c r="GF4058"/>
      <c r="GG4058"/>
      <c r="GH4058"/>
      <c r="GI4058"/>
      <c r="GJ4058"/>
      <c r="GK4058"/>
      <c r="GL4058"/>
      <c r="GM4058"/>
      <c r="GN4058"/>
      <c r="GO4058"/>
    </row>
    <row r="4059" spans="107:197">
      <c r="DC4059"/>
      <c r="FH4059"/>
      <c r="FI4059"/>
      <c r="FJ4059"/>
      <c r="FK4059"/>
      <c r="FL4059"/>
      <c r="FM4059"/>
      <c r="FN4059"/>
      <c r="FO4059"/>
      <c r="FP4059"/>
      <c r="FQ4059"/>
      <c r="FR4059"/>
      <c r="FS4059"/>
      <c r="FT4059"/>
      <c r="FU4059"/>
      <c r="FV4059"/>
      <c r="FW4059"/>
      <c r="FX4059"/>
      <c r="FY4059"/>
      <c r="FZ4059"/>
      <c r="GA4059"/>
      <c r="GB4059"/>
      <c r="GC4059"/>
      <c r="GD4059"/>
      <c r="GE4059"/>
      <c r="GF4059"/>
      <c r="GG4059"/>
      <c r="GH4059"/>
      <c r="GI4059"/>
      <c r="GJ4059"/>
      <c r="GK4059"/>
      <c r="GL4059"/>
      <c r="GM4059"/>
      <c r="GN4059"/>
      <c r="GO4059"/>
    </row>
    <row r="4060" spans="107:197">
      <c r="DC4060"/>
      <c r="FH4060"/>
      <c r="FI4060"/>
      <c r="FJ4060"/>
      <c r="FK4060"/>
      <c r="FL4060"/>
      <c r="FM4060"/>
      <c r="FN4060"/>
      <c r="FO4060"/>
      <c r="FP4060"/>
      <c r="FQ4060"/>
      <c r="FR4060"/>
      <c r="FS4060"/>
      <c r="FT4060"/>
      <c r="FU4060"/>
      <c r="FV4060"/>
      <c r="FW4060"/>
      <c r="FX4060"/>
      <c r="FY4060"/>
      <c r="FZ4060"/>
      <c r="GA4060"/>
      <c r="GB4060"/>
      <c r="GC4060"/>
      <c r="GD4060"/>
      <c r="GE4060"/>
      <c r="GF4060"/>
      <c r="GG4060"/>
      <c r="GH4060"/>
      <c r="GI4060"/>
      <c r="GJ4060"/>
      <c r="GK4060"/>
      <c r="GL4060"/>
      <c r="GM4060"/>
      <c r="GN4060"/>
      <c r="GO4060"/>
    </row>
    <row r="4061" spans="107:197">
      <c r="DC4061"/>
      <c r="FH4061"/>
      <c r="FI4061"/>
      <c r="FJ4061"/>
      <c r="FK4061"/>
      <c r="FL4061"/>
      <c r="FM4061"/>
      <c r="FN4061"/>
      <c r="FO4061"/>
      <c r="FP4061"/>
      <c r="FQ4061"/>
      <c r="FR4061"/>
      <c r="FS4061"/>
      <c r="FT4061"/>
      <c r="FU4061"/>
      <c r="FV4061"/>
      <c r="FW4061"/>
      <c r="FX4061"/>
      <c r="FY4061"/>
      <c r="FZ4061"/>
      <c r="GA4061"/>
      <c r="GB4061"/>
      <c r="GC4061"/>
      <c r="GD4061"/>
      <c r="GE4061"/>
      <c r="GF4061"/>
      <c r="GG4061"/>
      <c r="GH4061"/>
      <c r="GI4061"/>
      <c r="GJ4061"/>
      <c r="GK4061"/>
      <c r="GL4061"/>
      <c r="GM4061"/>
      <c r="GN4061"/>
      <c r="GO4061"/>
    </row>
    <row r="4062" spans="107:197">
      <c r="DC4062"/>
      <c r="FH4062"/>
      <c r="FI4062"/>
      <c r="FJ4062"/>
      <c r="FK4062"/>
      <c r="FL4062"/>
      <c r="FM4062"/>
      <c r="FN4062"/>
      <c r="FO4062"/>
      <c r="FP4062"/>
      <c r="FQ4062"/>
      <c r="FR4062"/>
      <c r="FS4062"/>
      <c r="FT4062"/>
      <c r="FU4062"/>
      <c r="FV4062"/>
      <c r="FW4062"/>
      <c r="FX4062"/>
      <c r="FY4062"/>
      <c r="FZ4062"/>
      <c r="GA4062"/>
      <c r="GB4062"/>
      <c r="GC4062"/>
      <c r="GD4062"/>
      <c r="GE4062"/>
      <c r="GF4062"/>
      <c r="GG4062"/>
      <c r="GH4062"/>
      <c r="GI4062"/>
      <c r="GJ4062"/>
      <c r="GK4062"/>
      <c r="GL4062"/>
      <c r="GM4062"/>
      <c r="GN4062"/>
      <c r="GO4062"/>
    </row>
    <row r="4063" spans="107:197">
      <c r="DC4063"/>
      <c r="FH4063"/>
      <c r="FI4063"/>
      <c r="FJ4063"/>
      <c r="FK4063"/>
      <c r="FL4063"/>
      <c r="FM4063"/>
      <c r="FN4063"/>
      <c r="FO4063"/>
      <c r="FP4063"/>
      <c r="FQ4063"/>
      <c r="FR4063"/>
      <c r="FS4063"/>
      <c r="FT4063"/>
      <c r="FU4063"/>
      <c r="FV4063"/>
      <c r="FW4063"/>
      <c r="FX4063"/>
      <c r="FY4063"/>
      <c r="FZ4063"/>
      <c r="GA4063"/>
      <c r="GB4063"/>
      <c r="GC4063"/>
      <c r="GD4063"/>
      <c r="GE4063"/>
      <c r="GF4063"/>
      <c r="GG4063"/>
      <c r="GH4063"/>
      <c r="GI4063"/>
      <c r="GJ4063"/>
      <c r="GK4063"/>
      <c r="GL4063"/>
      <c r="GM4063"/>
      <c r="GN4063"/>
      <c r="GO4063"/>
    </row>
    <row r="4064" spans="107:197">
      <c r="DC4064"/>
      <c r="FH4064"/>
      <c r="FI4064"/>
      <c r="FJ4064"/>
      <c r="FK4064"/>
      <c r="FL4064"/>
      <c r="FM4064"/>
      <c r="FN4064"/>
      <c r="FO4064"/>
      <c r="FP4064"/>
      <c r="FQ4064"/>
      <c r="FR4064"/>
      <c r="FS4064"/>
      <c r="FT4064"/>
      <c r="FU4064"/>
      <c r="FV4064"/>
      <c r="FW4064"/>
      <c r="FX4064"/>
      <c r="FY4064"/>
      <c r="FZ4064"/>
      <c r="GA4064"/>
      <c r="GB4064"/>
      <c r="GC4064"/>
      <c r="GD4064"/>
      <c r="GE4064"/>
      <c r="GF4064"/>
      <c r="GG4064"/>
      <c r="GH4064"/>
      <c r="GI4064"/>
      <c r="GJ4064"/>
      <c r="GK4064"/>
      <c r="GL4064"/>
      <c r="GM4064"/>
      <c r="GN4064"/>
      <c r="GO4064"/>
    </row>
    <row r="4065" spans="107:197">
      <c r="DC4065"/>
      <c r="FH4065"/>
      <c r="FI4065"/>
      <c r="FJ4065"/>
      <c r="FK4065"/>
      <c r="FL4065"/>
      <c r="FM4065"/>
      <c r="FN4065"/>
      <c r="FO4065"/>
      <c r="FP4065"/>
      <c r="FQ4065"/>
      <c r="FR4065"/>
      <c r="FS4065"/>
      <c r="FT4065"/>
      <c r="FU4065"/>
      <c r="FV4065"/>
      <c r="FW4065"/>
      <c r="FX4065"/>
      <c r="FY4065"/>
      <c r="FZ4065"/>
      <c r="GA4065"/>
      <c r="GB4065"/>
      <c r="GC4065"/>
      <c r="GD4065"/>
      <c r="GE4065"/>
      <c r="GF4065"/>
      <c r="GG4065"/>
      <c r="GH4065"/>
      <c r="GI4065"/>
      <c r="GJ4065"/>
      <c r="GK4065"/>
      <c r="GL4065"/>
      <c r="GM4065"/>
      <c r="GN4065"/>
      <c r="GO4065"/>
    </row>
    <row r="4066" spans="107:197">
      <c r="DC4066"/>
      <c r="FH4066"/>
      <c r="FI4066"/>
      <c r="FJ4066"/>
      <c r="FK4066"/>
      <c r="FL4066"/>
      <c r="FM4066"/>
      <c r="FN4066"/>
      <c r="FO4066"/>
      <c r="FP4066"/>
      <c r="FQ4066"/>
      <c r="FR4066"/>
      <c r="FS4066"/>
      <c r="FT4066"/>
      <c r="FU4066"/>
      <c r="FV4066"/>
      <c r="FW4066"/>
      <c r="FX4066"/>
      <c r="FY4066"/>
      <c r="FZ4066"/>
      <c r="GA4066"/>
      <c r="GB4066"/>
      <c r="GC4066"/>
      <c r="GD4066"/>
      <c r="GE4066"/>
      <c r="GF4066"/>
      <c r="GG4066"/>
      <c r="GH4066"/>
      <c r="GI4066"/>
      <c r="GJ4066"/>
      <c r="GK4066"/>
      <c r="GL4066"/>
      <c r="GM4066"/>
      <c r="GN4066"/>
      <c r="GO4066"/>
    </row>
    <row r="4067" spans="107:197">
      <c r="DC4067"/>
      <c r="FH4067"/>
      <c r="FI4067"/>
      <c r="FJ4067"/>
      <c r="FK4067"/>
      <c r="FL4067"/>
      <c r="FM4067"/>
      <c r="FN4067"/>
      <c r="FO4067"/>
      <c r="FP4067"/>
      <c r="FQ4067"/>
      <c r="FR4067"/>
      <c r="FS4067"/>
      <c r="FT4067"/>
      <c r="FU4067"/>
      <c r="FV4067"/>
      <c r="FW4067"/>
      <c r="FX4067"/>
      <c r="FY4067"/>
      <c r="FZ4067"/>
      <c r="GA4067"/>
      <c r="GB4067"/>
      <c r="GC4067"/>
      <c r="GD4067"/>
      <c r="GE4067"/>
      <c r="GF4067"/>
      <c r="GG4067"/>
      <c r="GH4067"/>
      <c r="GI4067"/>
      <c r="GJ4067"/>
      <c r="GK4067"/>
      <c r="GL4067"/>
      <c r="GM4067"/>
      <c r="GN4067"/>
      <c r="GO4067"/>
    </row>
    <row r="4068" spans="107:197">
      <c r="DC4068"/>
      <c r="FH4068"/>
      <c r="FI4068"/>
      <c r="FJ4068"/>
      <c r="FK4068"/>
      <c r="FL4068"/>
      <c r="FM4068"/>
      <c r="FN4068"/>
      <c r="FO4068"/>
      <c r="FP4068"/>
      <c r="FQ4068"/>
      <c r="FR4068"/>
      <c r="FS4068"/>
      <c r="FT4068"/>
      <c r="FU4068"/>
      <c r="FV4068"/>
      <c r="FW4068"/>
      <c r="FX4068"/>
      <c r="FY4068"/>
      <c r="FZ4068"/>
      <c r="GA4068"/>
      <c r="GB4068"/>
      <c r="GC4068"/>
      <c r="GD4068"/>
      <c r="GE4068"/>
      <c r="GF4068"/>
      <c r="GG4068"/>
      <c r="GH4068"/>
      <c r="GI4068"/>
      <c r="GJ4068"/>
      <c r="GK4068"/>
      <c r="GL4068"/>
      <c r="GM4068"/>
      <c r="GN4068"/>
      <c r="GO4068"/>
    </row>
    <row r="4069" spans="107:197">
      <c r="DC4069"/>
      <c r="FH4069"/>
      <c r="FI4069"/>
      <c r="FJ4069"/>
      <c r="FK4069"/>
      <c r="FL4069"/>
      <c r="FM4069"/>
      <c r="FN4069"/>
      <c r="FO4069"/>
      <c r="FP4069"/>
      <c r="FQ4069"/>
      <c r="FR4069"/>
      <c r="FS4069"/>
      <c r="FT4069"/>
      <c r="FU4069"/>
      <c r="FV4069"/>
      <c r="FW4069"/>
      <c r="FX4069"/>
      <c r="FY4069"/>
      <c r="FZ4069"/>
      <c r="GA4069"/>
      <c r="GB4069"/>
      <c r="GC4069"/>
      <c r="GD4069"/>
      <c r="GE4069"/>
      <c r="GF4069"/>
      <c r="GG4069"/>
      <c r="GH4069"/>
      <c r="GI4069"/>
      <c r="GJ4069"/>
      <c r="GK4069"/>
      <c r="GL4069"/>
      <c r="GM4069"/>
      <c r="GN4069"/>
      <c r="GO4069"/>
    </row>
    <row r="4070" spans="107:197">
      <c r="DC4070"/>
      <c r="FH4070"/>
      <c r="FI4070"/>
      <c r="FJ4070"/>
      <c r="FK4070"/>
      <c r="FL4070"/>
      <c r="FM4070"/>
      <c r="FN4070"/>
      <c r="FO4070"/>
      <c r="FP4070"/>
      <c r="FQ4070"/>
      <c r="FR4070"/>
      <c r="FS4070"/>
      <c r="FT4070"/>
      <c r="FU4070"/>
      <c r="FV4070"/>
      <c r="FW4070"/>
      <c r="FX4070"/>
      <c r="FY4070"/>
      <c r="FZ4070"/>
      <c r="GA4070"/>
      <c r="GB4070"/>
      <c r="GC4070"/>
      <c r="GD4070"/>
      <c r="GE4070"/>
      <c r="GF4070"/>
      <c r="GG4070"/>
      <c r="GH4070"/>
      <c r="GI4070"/>
      <c r="GJ4070"/>
      <c r="GK4070"/>
      <c r="GL4070"/>
      <c r="GM4070"/>
      <c r="GN4070"/>
      <c r="GO4070"/>
    </row>
    <row r="4071" spans="107:197">
      <c r="DC4071"/>
      <c r="FH4071"/>
      <c r="FI4071"/>
      <c r="FJ4071"/>
      <c r="FK4071"/>
      <c r="FL4071"/>
      <c r="FM4071"/>
      <c r="FN4071"/>
      <c r="FO4071"/>
      <c r="FP4071"/>
      <c r="FQ4071"/>
      <c r="FR4071"/>
      <c r="FS4071"/>
      <c r="FT4071"/>
      <c r="FU4071"/>
      <c r="FV4071"/>
      <c r="FW4071"/>
      <c r="FX4071"/>
      <c r="FY4071"/>
      <c r="FZ4071"/>
      <c r="GA4071"/>
      <c r="GB4071"/>
      <c r="GC4071"/>
      <c r="GD4071"/>
      <c r="GE4071"/>
      <c r="GF4071"/>
      <c r="GG4071"/>
      <c r="GH4071"/>
      <c r="GI4071"/>
      <c r="GJ4071"/>
      <c r="GK4071"/>
      <c r="GL4071"/>
      <c r="GM4071"/>
      <c r="GN4071"/>
      <c r="GO4071"/>
    </row>
    <row r="4072" spans="107:197">
      <c r="DC4072"/>
      <c r="FH4072"/>
      <c r="FI4072"/>
      <c r="FJ4072"/>
      <c r="FK4072"/>
      <c r="FL4072"/>
      <c r="FM4072"/>
      <c r="FN4072"/>
      <c r="FO4072"/>
      <c r="FP4072"/>
      <c r="FQ4072"/>
      <c r="FR4072"/>
      <c r="FS4072"/>
      <c r="FT4072"/>
      <c r="FU4072"/>
      <c r="FV4072"/>
      <c r="FW4072"/>
      <c r="FX4072"/>
      <c r="FY4072"/>
      <c r="FZ4072"/>
      <c r="GA4072"/>
      <c r="GB4072"/>
      <c r="GC4072"/>
      <c r="GD4072"/>
      <c r="GE4072"/>
      <c r="GF4072"/>
      <c r="GG4072"/>
      <c r="GH4072"/>
      <c r="GI4072"/>
      <c r="GJ4072"/>
      <c r="GK4072"/>
      <c r="GL4072"/>
      <c r="GM4072"/>
      <c r="GN4072"/>
      <c r="GO4072"/>
    </row>
    <row r="4073" spans="107:197">
      <c r="DC4073"/>
      <c r="FH4073"/>
      <c r="FI4073"/>
      <c r="FJ4073"/>
      <c r="FK4073"/>
      <c r="FL4073"/>
      <c r="FM4073"/>
      <c r="FN4073"/>
      <c r="FO4073"/>
      <c r="FP4073"/>
      <c r="FQ4073"/>
      <c r="FR4073"/>
      <c r="FS4073"/>
      <c r="FT4073"/>
      <c r="FU4073"/>
      <c r="FV4073"/>
      <c r="FW4073"/>
      <c r="FX4073"/>
      <c r="FY4073"/>
      <c r="FZ4073"/>
      <c r="GA4073"/>
      <c r="GB4073"/>
      <c r="GC4073"/>
      <c r="GD4073"/>
      <c r="GE4073"/>
      <c r="GF4073"/>
      <c r="GG4073"/>
      <c r="GH4073"/>
      <c r="GI4073"/>
      <c r="GJ4073"/>
      <c r="GK4073"/>
      <c r="GL4073"/>
      <c r="GM4073"/>
      <c r="GN4073"/>
      <c r="GO4073"/>
    </row>
    <row r="4074" spans="107:197">
      <c r="DC4074"/>
      <c r="FH4074"/>
      <c r="FI4074"/>
      <c r="FJ4074"/>
      <c r="FK4074"/>
      <c r="FL4074"/>
      <c r="FM4074"/>
      <c r="FN4074"/>
      <c r="FO4074"/>
      <c r="FP4074"/>
      <c r="FQ4074"/>
      <c r="FR4074"/>
      <c r="FS4074"/>
      <c r="FT4074"/>
      <c r="FU4074"/>
      <c r="FV4074"/>
      <c r="FW4074"/>
      <c r="FX4074"/>
      <c r="FY4074"/>
      <c r="FZ4074"/>
      <c r="GA4074"/>
      <c r="GB4074"/>
      <c r="GC4074"/>
      <c r="GD4074"/>
      <c r="GE4074"/>
      <c r="GF4074"/>
      <c r="GG4074"/>
      <c r="GH4074"/>
      <c r="GI4074"/>
      <c r="GJ4074"/>
      <c r="GK4074"/>
      <c r="GL4074"/>
      <c r="GM4074"/>
      <c r="GN4074"/>
      <c r="GO4074"/>
    </row>
    <row r="4075" spans="107:197">
      <c r="DC4075"/>
      <c r="FH4075"/>
      <c r="FI4075"/>
      <c r="FJ4075"/>
      <c r="FK4075"/>
      <c r="FL4075"/>
      <c r="FM4075"/>
      <c r="FN4075"/>
      <c r="FO4075"/>
      <c r="FP4075"/>
      <c r="FQ4075"/>
      <c r="FR4075"/>
      <c r="FS4075"/>
      <c r="FT4075"/>
      <c r="FU4075"/>
      <c r="FV4075"/>
      <c r="FW4075"/>
      <c r="FX4075"/>
      <c r="FY4075"/>
      <c r="FZ4075"/>
      <c r="GA4075"/>
      <c r="GB4075"/>
      <c r="GC4075"/>
      <c r="GD4075"/>
      <c r="GE4075"/>
      <c r="GF4075"/>
      <c r="GG4075"/>
      <c r="GH4075"/>
      <c r="GI4075"/>
      <c r="GJ4075"/>
      <c r="GK4075"/>
      <c r="GL4075"/>
      <c r="GM4075"/>
      <c r="GN4075"/>
      <c r="GO4075"/>
    </row>
    <row r="4076" spans="107:197">
      <c r="DC4076"/>
      <c r="FH4076"/>
      <c r="FI4076"/>
      <c r="FJ4076"/>
      <c r="FK4076"/>
      <c r="FL4076"/>
      <c r="FM4076"/>
      <c r="FN4076"/>
      <c r="FO4076"/>
      <c r="FP4076"/>
      <c r="FQ4076"/>
      <c r="FR4076"/>
      <c r="FS4076"/>
      <c r="FT4076"/>
      <c r="FU4076"/>
      <c r="FV4076"/>
      <c r="FW4076"/>
      <c r="FX4076"/>
      <c r="FY4076"/>
      <c r="FZ4076"/>
      <c r="GA4076"/>
      <c r="GB4076"/>
      <c r="GC4076"/>
      <c r="GD4076"/>
      <c r="GE4076"/>
      <c r="GF4076"/>
      <c r="GG4076"/>
      <c r="GH4076"/>
      <c r="GI4076"/>
      <c r="GJ4076"/>
      <c r="GK4076"/>
      <c r="GL4076"/>
      <c r="GM4076"/>
      <c r="GN4076"/>
      <c r="GO4076"/>
    </row>
    <row r="4077" spans="107:197">
      <c r="DC4077"/>
      <c r="FH4077"/>
      <c r="FI4077"/>
      <c r="FJ4077"/>
      <c r="FK4077"/>
      <c r="FL4077"/>
      <c r="FM4077"/>
      <c r="FN4077"/>
      <c r="FO4077"/>
      <c r="FP4077"/>
      <c r="FQ4077"/>
      <c r="FR4077"/>
      <c r="FS4077"/>
      <c r="FT4077"/>
      <c r="FU4077"/>
      <c r="FV4077"/>
      <c r="FW4077"/>
      <c r="FX4077"/>
      <c r="FY4077"/>
      <c r="FZ4077"/>
      <c r="GA4077"/>
      <c r="GB4077"/>
      <c r="GC4077"/>
      <c r="GD4077"/>
      <c r="GE4077"/>
      <c r="GF4077"/>
      <c r="GG4077"/>
      <c r="GH4077"/>
      <c r="GI4077"/>
      <c r="GJ4077"/>
      <c r="GK4077"/>
      <c r="GL4077"/>
      <c r="GM4077"/>
      <c r="GN4077"/>
      <c r="GO4077"/>
    </row>
    <row r="4078" spans="107:197">
      <c r="DC4078"/>
      <c r="FH4078"/>
      <c r="FI4078"/>
      <c r="FJ4078"/>
      <c r="FK4078"/>
      <c r="FL4078"/>
      <c r="FM4078"/>
      <c r="FN4078"/>
      <c r="FO4078"/>
      <c r="FP4078"/>
      <c r="FQ4078"/>
      <c r="FR4078"/>
      <c r="FS4078"/>
      <c r="FT4078"/>
      <c r="FU4078"/>
      <c r="FV4078"/>
      <c r="FW4078"/>
      <c r="FX4078"/>
      <c r="FY4078"/>
      <c r="FZ4078"/>
      <c r="GA4078"/>
      <c r="GB4078"/>
      <c r="GC4078"/>
      <c r="GD4078"/>
      <c r="GE4078"/>
      <c r="GF4078"/>
      <c r="GG4078"/>
      <c r="GH4078"/>
      <c r="GI4078"/>
      <c r="GJ4078"/>
      <c r="GK4078"/>
      <c r="GL4078"/>
      <c r="GM4078"/>
      <c r="GN4078"/>
      <c r="GO4078"/>
    </row>
    <row r="4079" spans="107:197">
      <c r="DC4079"/>
      <c r="FH4079"/>
      <c r="FI4079"/>
      <c r="FJ4079"/>
      <c r="FK4079"/>
      <c r="FL4079"/>
      <c r="FM4079"/>
      <c r="FN4079"/>
      <c r="FO4079"/>
      <c r="FP4079"/>
      <c r="FQ4079"/>
      <c r="FR4079"/>
      <c r="FS4079"/>
      <c r="FT4079"/>
      <c r="FU4079"/>
      <c r="FV4079"/>
      <c r="FW4079"/>
      <c r="FX4079"/>
      <c r="FY4079"/>
      <c r="FZ4079"/>
      <c r="GA4079"/>
      <c r="GB4079"/>
      <c r="GC4079"/>
      <c r="GD4079"/>
      <c r="GE4079"/>
      <c r="GF4079"/>
      <c r="GG4079"/>
      <c r="GH4079"/>
      <c r="GI4079"/>
      <c r="GJ4079"/>
      <c r="GK4079"/>
      <c r="GL4079"/>
      <c r="GM4079"/>
      <c r="GN4079"/>
      <c r="GO4079"/>
    </row>
    <row r="4080" spans="107:197">
      <c r="DC4080"/>
      <c r="FH4080"/>
      <c r="FI4080"/>
      <c r="FJ4080"/>
      <c r="FK4080"/>
      <c r="FL4080"/>
      <c r="FM4080"/>
      <c r="FN4080"/>
      <c r="FO4080"/>
      <c r="FP4080"/>
      <c r="FQ4080"/>
      <c r="FR4080"/>
      <c r="FS4080"/>
      <c r="FT4080"/>
      <c r="FU4080"/>
      <c r="FV4080"/>
      <c r="FW4080"/>
      <c r="FX4080"/>
      <c r="FY4080"/>
      <c r="FZ4080"/>
      <c r="GA4080"/>
      <c r="GB4080"/>
      <c r="GC4080"/>
      <c r="GD4080"/>
      <c r="GE4080"/>
      <c r="GF4080"/>
      <c r="GG4080"/>
      <c r="GH4080"/>
      <c r="GI4080"/>
      <c r="GJ4080"/>
      <c r="GK4080"/>
      <c r="GL4080"/>
      <c r="GM4080"/>
      <c r="GN4080"/>
      <c r="GO4080"/>
    </row>
    <row r="4081" spans="107:197">
      <c r="DC4081"/>
      <c r="FH4081"/>
      <c r="FI4081"/>
      <c r="FJ4081"/>
      <c r="FK4081"/>
      <c r="FL4081"/>
      <c r="FM4081"/>
      <c r="FN4081"/>
      <c r="FO4081"/>
      <c r="FP4081"/>
      <c r="FQ4081"/>
      <c r="FR4081"/>
      <c r="FS4081"/>
      <c r="FT4081"/>
      <c r="FU4081"/>
      <c r="FV4081"/>
      <c r="FW4081"/>
      <c r="FX4081"/>
      <c r="FY4081"/>
      <c r="FZ4081"/>
      <c r="GA4081"/>
      <c r="GB4081"/>
      <c r="GC4081"/>
      <c r="GD4081"/>
      <c r="GE4081"/>
      <c r="GF4081"/>
      <c r="GG4081"/>
      <c r="GH4081"/>
      <c r="GI4081"/>
      <c r="GJ4081"/>
      <c r="GK4081"/>
      <c r="GL4081"/>
      <c r="GM4081"/>
      <c r="GN4081"/>
      <c r="GO4081"/>
    </row>
    <row r="4082" spans="107:197">
      <c r="DC4082"/>
      <c r="FH4082"/>
      <c r="FI4082"/>
      <c r="FJ4082"/>
      <c r="FK4082"/>
      <c r="FL4082"/>
      <c r="FM4082"/>
      <c r="FN4082"/>
      <c r="FO4082"/>
      <c r="FP4082"/>
      <c r="FQ4082"/>
      <c r="FR4082"/>
      <c r="FS4082"/>
      <c r="FT4082"/>
      <c r="FU4082"/>
      <c r="FV4082"/>
      <c r="FW4082"/>
      <c r="FX4082"/>
      <c r="FY4082"/>
      <c r="FZ4082"/>
      <c r="GA4082"/>
      <c r="GB4082"/>
      <c r="GC4082"/>
      <c r="GD4082"/>
      <c r="GE4082"/>
      <c r="GF4082"/>
      <c r="GG4082"/>
      <c r="GH4082"/>
      <c r="GI4082"/>
      <c r="GJ4082"/>
      <c r="GK4082"/>
      <c r="GL4082"/>
      <c r="GM4082"/>
      <c r="GN4082"/>
      <c r="GO4082"/>
    </row>
    <row r="4083" spans="107:197">
      <c r="DC4083"/>
      <c r="FH4083"/>
      <c r="FI4083"/>
      <c r="FJ4083"/>
      <c r="FK4083"/>
      <c r="FL4083"/>
      <c r="FM4083"/>
      <c r="FN4083"/>
      <c r="FO4083"/>
      <c r="FP4083"/>
      <c r="FQ4083"/>
      <c r="FR4083"/>
      <c r="FS4083"/>
      <c r="FT4083"/>
      <c r="FU4083"/>
      <c r="FV4083"/>
      <c r="FW4083"/>
      <c r="FX4083"/>
      <c r="FY4083"/>
      <c r="FZ4083"/>
      <c r="GA4083"/>
      <c r="GB4083"/>
      <c r="GC4083"/>
      <c r="GD4083"/>
      <c r="GE4083"/>
      <c r="GF4083"/>
      <c r="GG4083"/>
      <c r="GH4083"/>
      <c r="GI4083"/>
      <c r="GJ4083"/>
      <c r="GK4083"/>
      <c r="GL4083"/>
      <c r="GM4083"/>
      <c r="GN4083"/>
      <c r="GO4083"/>
    </row>
    <row r="4084" spans="107:197">
      <c r="DC4084"/>
      <c r="FH4084"/>
      <c r="FI4084"/>
      <c r="FJ4084"/>
      <c r="FK4084"/>
      <c r="FL4084"/>
      <c r="FM4084"/>
      <c r="FN4084"/>
      <c r="FO4084"/>
      <c r="FP4084"/>
      <c r="FQ4084"/>
      <c r="FR4084"/>
      <c r="FS4084"/>
      <c r="FT4084"/>
      <c r="FU4084"/>
      <c r="FV4084"/>
      <c r="FW4084"/>
      <c r="FX4084"/>
      <c r="FY4084"/>
      <c r="FZ4084"/>
      <c r="GA4084"/>
      <c r="GB4084"/>
      <c r="GC4084"/>
      <c r="GD4084"/>
      <c r="GE4084"/>
      <c r="GF4084"/>
      <c r="GG4084"/>
      <c r="GH4084"/>
      <c r="GI4084"/>
      <c r="GJ4084"/>
      <c r="GK4084"/>
      <c r="GL4084"/>
      <c r="GM4084"/>
      <c r="GN4084"/>
      <c r="GO4084"/>
    </row>
    <row r="4085" spans="107:197">
      <c r="DC4085"/>
      <c r="FH4085"/>
      <c r="FI4085"/>
      <c r="FJ4085"/>
      <c r="FK4085"/>
      <c r="FL4085"/>
      <c r="FM4085"/>
      <c r="FN4085"/>
      <c r="FO4085"/>
      <c r="FP4085"/>
      <c r="FQ4085"/>
      <c r="FR4085"/>
      <c r="FS4085"/>
      <c r="FT4085"/>
      <c r="FU4085"/>
      <c r="FV4085"/>
      <c r="FW4085"/>
      <c r="FX4085"/>
      <c r="FY4085"/>
      <c r="FZ4085"/>
      <c r="GA4085"/>
      <c r="GB4085"/>
      <c r="GC4085"/>
      <c r="GD4085"/>
      <c r="GE4085"/>
      <c r="GF4085"/>
      <c r="GG4085"/>
      <c r="GH4085"/>
      <c r="GI4085"/>
      <c r="GJ4085"/>
      <c r="GK4085"/>
      <c r="GL4085"/>
      <c r="GM4085"/>
      <c r="GN4085"/>
      <c r="GO4085"/>
    </row>
    <row r="4086" spans="107:197">
      <c r="DC4086"/>
      <c r="FH4086"/>
      <c r="FI4086"/>
      <c r="FJ4086"/>
      <c r="FK4086"/>
      <c r="FL4086"/>
      <c r="FM4086"/>
      <c r="FN4086"/>
      <c r="FO4086"/>
      <c r="FP4086"/>
      <c r="FQ4086"/>
      <c r="FR4086"/>
      <c r="FS4086"/>
      <c r="FT4086"/>
      <c r="FU4086"/>
      <c r="FV4086"/>
      <c r="FW4086"/>
      <c r="FX4086"/>
      <c r="FY4086"/>
      <c r="FZ4086"/>
      <c r="GA4086"/>
      <c r="GB4086"/>
      <c r="GC4086"/>
      <c r="GD4086"/>
      <c r="GE4086"/>
      <c r="GF4086"/>
      <c r="GG4086"/>
      <c r="GH4086"/>
      <c r="GI4086"/>
      <c r="GJ4086"/>
      <c r="GK4086"/>
      <c r="GL4086"/>
      <c r="GM4086"/>
      <c r="GN4086"/>
      <c r="GO4086"/>
    </row>
    <row r="4087" spans="107:197">
      <c r="DC4087"/>
      <c r="FH4087"/>
      <c r="FI4087"/>
      <c r="FJ4087"/>
      <c r="FK4087"/>
      <c r="FL4087"/>
      <c r="FM4087"/>
      <c r="FN4087"/>
      <c r="FO4087"/>
      <c r="FP4087"/>
      <c r="FQ4087"/>
      <c r="FR4087"/>
      <c r="FS4087"/>
      <c r="FT4087"/>
      <c r="FU4087"/>
      <c r="FV4087"/>
      <c r="FW4087"/>
      <c r="FX4087"/>
      <c r="FY4087"/>
      <c r="FZ4087"/>
      <c r="GA4087"/>
      <c r="GB4087"/>
      <c r="GC4087"/>
      <c r="GD4087"/>
      <c r="GE4087"/>
      <c r="GF4087"/>
      <c r="GG4087"/>
      <c r="GH4087"/>
      <c r="GI4087"/>
      <c r="GJ4087"/>
      <c r="GK4087"/>
      <c r="GL4087"/>
      <c r="GM4087"/>
      <c r="GN4087"/>
      <c r="GO4087"/>
    </row>
    <row r="4088" spans="107:197">
      <c r="DC4088"/>
      <c r="FH4088"/>
      <c r="FI4088"/>
      <c r="FJ4088"/>
      <c r="FK4088"/>
      <c r="FL4088"/>
      <c r="FM4088"/>
      <c r="FN4088"/>
      <c r="FO4088"/>
      <c r="FP4088"/>
      <c r="FQ4088"/>
      <c r="FR4088"/>
      <c r="FS4088"/>
      <c r="FT4088"/>
      <c r="FU4088"/>
      <c r="FV4088"/>
      <c r="FW4088"/>
      <c r="FX4088"/>
      <c r="FY4088"/>
      <c r="FZ4088"/>
      <c r="GA4088"/>
      <c r="GB4088"/>
      <c r="GC4088"/>
      <c r="GD4088"/>
      <c r="GE4088"/>
      <c r="GF4088"/>
      <c r="GG4088"/>
      <c r="GH4088"/>
      <c r="GI4088"/>
      <c r="GJ4088"/>
      <c r="GK4088"/>
      <c r="GL4088"/>
      <c r="GM4088"/>
      <c r="GN4088"/>
      <c r="GO4088"/>
    </row>
    <row r="4089" spans="107:197">
      <c r="DC4089"/>
      <c r="FH4089"/>
      <c r="FI4089"/>
      <c r="FJ4089"/>
      <c r="FK4089"/>
      <c r="FL4089"/>
      <c r="FM4089"/>
      <c r="FN4089"/>
      <c r="FO4089"/>
      <c r="FP4089"/>
      <c r="FQ4089"/>
      <c r="FR4089"/>
      <c r="FS4089"/>
      <c r="FT4089"/>
      <c r="FU4089"/>
      <c r="FV4089"/>
      <c r="FW4089"/>
      <c r="FX4089"/>
      <c r="FY4089"/>
      <c r="FZ4089"/>
      <c r="GA4089"/>
      <c r="GB4089"/>
      <c r="GC4089"/>
      <c r="GD4089"/>
      <c r="GE4089"/>
      <c r="GF4089"/>
      <c r="GG4089"/>
      <c r="GH4089"/>
      <c r="GI4089"/>
      <c r="GJ4089"/>
      <c r="GK4089"/>
      <c r="GL4089"/>
      <c r="GM4089"/>
      <c r="GN4089"/>
      <c r="GO4089"/>
    </row>
    <row r="4090" spans="107:197">
      <c r="DC4090"/>
      <c r="FH4090"/>
      <c r="FI4090"/>
      <c r="FJ4090"/>
      <c r="FK4090"/>
      <c r="FL4090"/>
      <c r="FM4090"/>
      <c r="FN4090"/>
      <c r="FO4090"/>
      <c r="FP4090"/>
      <c r="FQ4090"/>
      <c r="FR4090"/>
      <c r="FS4090"/>
      <c r="FT4090"/>
      <c r="FU4090"/>
      <c r="FV4090"/>
      <c r="FW4090"/>
      <c r="FX4090"/>
      <c r="FY4090"/>
      <c r="FZ4090"/>
      <c r="GA4090"/>
      <c r="GB4090"/>
      <c r="GC4090"/>
      <c r="GD4090"/>
      <c r="GE4090"/>
      <c r="GF4090"/>
      <c r="GG4090"/>
      <c r="GH4090"/>
      <c r="GI4090"/>
      <c r="GJ4090"/>
      <c r="GK4090"/>
      <c r="GL4090"/>
      <c r="GM4090"/>
      <c r="GN4090"/>
      <c r="GO4090"/>
    </row>
    <row r="4091" spans="107:197">
      <c r="DC4091"/>
      <c r="FH4091"/>
      <c r="FI4091"/>
      <c r="FJ4091"/>
      <c r="FK4091"/>
      <c r="FL4091"/>
      <c r="FM4091"/>
      <c r="FN4091"/>
      <c r="FO4091"/>
      <c r="FP4091"/>
      <c r="FQ4091"/>
      <c r="FR4091"/>
      <c r="FS4091"/>
      <c r="FT4091"/>
      <c r="FU4091"/>
      <c r="FV4091"/>
      <c r="FW4091"/>
      <c r="FX4091"/>
      <c r="FY4091"/>
      <c r="FZ4091"/>
      <c r="GA4091"/>
      <c r="GB4091"/>
      <c r="GC4091"/>
      <c r="GD4091"/>
      <c r="GE4091"/>
      <c r="GF4091"/>
      <c r="GG4091"/>
      <c r="GH4091"/>
      <c r="GI4091"/>
      <c r="GJ4091"/>
      <c r="GK4091"/>
      <c r="GL4091"/>
      <c r="GM4091"/>
      <c r="GN4091"/>
      <c r="GO4091"/>
    </row>
    <row r="4092" spans="107:197">
      <c r="DC4092"/>
      <c r="FH4092"/>
      <c r="FI4092"/>
      <c r="FJ4092"/>
      <c r="FK4092"/>
      <c r="FL4092"/>
      <c r="FM4092"/>
      <c r="FN4092"/>
      <c r="FO4092"/>
      <c r="FP4092"/>
      <c r="FQ4092"/>
      <c r="FR4092"/>
      <c r="FS4092"/>
      <c r="FT4092"/>
      <c r="FU4092"/>
      <c r="FV4092"/>
      <c r="FW4092"/>
      <c r="FX4092"/>
      <c r="FY4092"/>
      <c r="FZ4092"/>
      <c r="GA4092"/>
      <c r="GB4092"/>
      <c r="GC4092"/>
      <c r="GD4092"/>
      <c r="GE4092"/>
      <c r="GF4092"/>
      <c r="GG4092"/>
      <c r="GH4092"/>
      <c r="GI4092"/>
      <c r="GJ4092"/>
      <c r="GK4092"/>
      <c r="GL4092"/>
      <c r="GM4092"/>
      <c r="GN4092"/>
      <c r="GO4092"/>
    </row>
    <row r="4093" spans="107:197">
      <c r="DC4093"/>
      <c r="FH4093"/>
      <c r="FI4093"/>
      <c r="FJ4093"/>
      <c r="FK4093"/>
      <c r="FL4093"/>
      <c r="FM4093"/>
      <c r="FN4093"/>
      <c r="FO4093"/>
      <c r="FP4093"/>
      <c r="FQ4093"/>
      <c r="FR4093"/>
      <c r="FS4093"/>
      <c r="FT4093"/>
      <c r="FU4093"/>
      <c r="FV4093"/>
      <c r="FW4093"/>
      <c r="FX4093"/>
      <c r="FY4093"/>
      <c r="FZ4093"/>
      <c r="GA4093"/>
      <c r="GB4093"/>
      <c r="GC4093"/>
      <c r="GD4093"/>
      <c r="GE4093"/>
      <c r="GF4093"/>
      <c r="GG4093"/>
      <c r="GH4093"/>
      <c r="GI4093"/>
      <c r="GJ4093"/>
      <c r="GK4093"/>
      <c r="GL4093"/>
      <c r="GM4093"/>
      <c r="GN4093"/>
      <c r="GO4093"/>
    </row>
    <row r="4094" spans="107:197">
      <c r="DC4094"/>
      <c r="FH4094"/>
      <c r="FI4094"/>
      <c r="FJ4094"/>
      <c r="FK4094"/>
      <c r="FL4094"/>
      <c r="FM4094"/>
      <c r="FN4094"/>
      <c r="FO4094"/>
      <c r="FP4094"/>
      <c r="FQ4094"/>
      <c r="FR4094"/>
      <c r="FS4094"/>
      <c r="FT4094"/>
      <c r="FU4094"/>
      <c r="FV4094"/>
      <c r="FW4094"/>
      <c r="FX4094"/>
      <c r="FY4094"/>
      <c r="FZ4094"/>
      <c r="GA4094"/>
      <c r="GB4094"/>
      <c r="GC4094"/>
      <c r="GD4094"/>
      <c r="GE4094"/>
      <c r="GF4094"/>
      <c r="GG4094"/>
      <c r="GH4094"/>
      <c r="GI4094"/>
      <c r="GJ4094"/>
      <c r="GK4094"/>
      <c r="GL4094"/>
      <c r="GM4094"/>
      <c r="GN4094"/>
      <c r="GO4094"/>
    </row>
    <row r="4095" spans="107:197">
      <c r="DC4095"/>
      <c r="FH4095"/>
      <c r="FI4095"/>
      <c r="FJ4095"/>
      <c r="FK4095"/>
      <c r="FL4095"/>
      <c r="FM4095"/>
      <c r="FN4095"/>
      <c r="FO4095"/>
      <c r="FP4095"/>
      <c r="FQ4095"/>
      <c r="FR4095"/>
      <c r="FS4095"/>
      <c r="FT4095"/>
      <c r="FU4095"/>
      <c r="FV4095"/>
      <c r="FW4095"/>
      <c r="FX4095"/>
      <c r="FY4095"/>
      <c r="FZ4095"/>
      <c r="GA4095"/>
      <c r="GB4095"/>
      <c r="GC4095"/>
      <c r="GD4095"/>
      <c r="GE4095"/>
      <c r="GF4095"/>
      <c r="GG4095"/>
      <c r="GH4095"/>
      <c r="GI4095"/>
      <c r="GJ4095"/>
      <c r="GK4095"/>
      <c r="GL4095"/>
      <c r="GM4095"/>
      <c r="GN4095"/>
      <c r="GO4095"/>
    </row>
    <row r="4096" spans="107:197">
      <c r="DC4096"/>
      <c r="FH4096"/>
      <c r="FI4096"/>
      <c r="FJ4096"/>
      <c r="FK4096"/>
      <c r="FL4096"/>
      <c r="FM4096"/>
      <c r="FN4096"/>
      <c r="FO4096"/>
      <c r="FP4096"/>
      <c r="FQ4096"/>
      <c r="FR4096"/>
      <c r="FS4096"/>
      <c r="FT4096"/>
      <c r="FU4096"/>
      <c r="FV4096"/>
      <c r="FW4096"/>
      <c r="FX4096"/>
      <c r="FY4096"/>
      <c r="FZ4096"/>
      <c r="GA4096"/>
      <c r="GB4096"/>
      <c r="GC4096"/>
      <c r="GD4096"/>
      <c r="GE4096"/>
      <c r="GF4096"/>
      <c r="GG4096"/>
      <c r="GH4096"/>
      <c r="GI4096"/>
      <c r="GJ4096"/>
      <c r="GK4096"/>
      <c r="GL4096"/>
      <c r="GM4096"/>
      <c r="GN4096"/>
      <c r="GO4096"/>
    </row>
    <row r="4097" spans="107:197">
      <c r="DC4097"/>
      <c r="FH4097"/>
      <c r="FI4097"/>
      <c r="FJ4097"/>
      <c r="FK4097"/>
      <c r="FL4097"/>
      <c r="FM4097"/>
      <c r="FN4097"/>
      <c r="FO4097"/>
      <c r="FP4097"/>
      <c r="FQ4097"/>
      <c r="FR4097"/>
      <c r="FS4097"/>
      <c r="FT4097"/>
      <c r="FU4097"/>
      <c r="FV4097"/>
      <c r="FW4097"/>
      <c r="FX4097"/>
      <c r="FY4097"/>
      <c r="FZ4097"/>
      <c r="GA4097"/>
      <c r="GB4097"/>
      <c r="GC4097"/>
      <c r="GD4097"/>
      <c r="GE4097"/>
      <c r="GF4097"/>
      <c r="GG4097"/>
      <c r="GH4097"/>
      <c r="GI4097"/>
      <c r="GJ4097"/>
      <c r="GK4097"/>
      <c r="GL4097"/>
      <c r="GM4097"/>
      <c r="GN4097"/>
      <c r="GO4097"/>
    </row>
    <row r="4098" spans="107:197">
      <c r="DC4098"/>
      <c r="FH4098"/>
      <c r="FI4098"/>
      <c r="FJ4098"/>
      <c r="FK4098"/>
      <c r="FL4098"/>
      <c r="FM4098"/>
      <c r="FN4098"/>
      <c r="FO4098"/>
      <c r="FP4098"/>
      <c r="FQ4098"/>
      <c r="FR4098"/>
      <c r="FS4098"/>
      <c r="FT4098"/>
      <c r="FU4098"/>
      <c r="FV4098"/>
      <c r="FW4098"/>
      <c r="FX4098"/>
      <c r="FY4098"/>
      <c r="FZ4098"/>
      <c r="GA4098"/>
      <c r="GB4098"/>
      <c r="GC4098"/>
      <c r="GD4098"/>
      <c r="GE4098"/>
      <c r="GF4098"/>
      <c r="GG4098"/>
      <c r="GH4098"/>
      <c r="GI4098"/>
      <c r="GJ4098"/>
      <c r="GK4098"/>
      <c r="GL4098"/>
      <c r="GM4098"/>
      <c r="GN4098"/>
      <c r="GO4098"/>
    </row>
    <row r="4099" spans="107:197">
      <c r="DC4099"/>
      <c r="FH4099"/>
      <c r="FI4099"/>
      <c r="FJ4099"/>
      <c r="FK4099"/>
      <c r="FL4099"/>
      <c r="FM4099"/>
      <c r="FN4099"/>
      <c r="FO4099"/>
      <c r="FP4099"/>
      <c r="FQ4099"/>
      <c r="FR4099"/>
      <c r="FS4099"/>
      <c r="FT4099"/>
      <c r="FU4099"/>
      <c r="FV4099"/>
      <c r="FW4099"/>
      <c r="FX4099"/>
      <c r="FY4099"/>
      <c r="FZ4099"/>
      <c r="GA4099"/>
      <c r="GB4099"/>
      <c r="GC4099"/>
      <c r="GD4099"/>
      <c r="GE4099"/>
      <c r="GF4099"/>
      <c r="GG4099"/>
      <c r="GH4099"/>
      <c r="GI4099"/>
      <c r="GJ4099"/>
      <c r="GK4099"/>
      <c r="GL4099"/>
      <c r="GM4099"/>
      <c r="GN4099"/>
      <c r="GO4099"/>
    </row>
    <row r="4100" spans="107:197">
      <c r="DC4100"/>
      <c r="FH4100"/>
      <c r="FI4100"/>
      <c r="FJ4100"/>
      <c r="FK4100"/>
      <c r="FL4100"/>
      <c r="FM4100"/>
      <c r="FN4100"/>
      <c r="FO4100"/>
      <c r="FP4100"/>
      <c r="FQ4100"/>
      <c r="FR4100"/>
      <c r="FS4100"/>
      <c r="FT4100"/>
      <c r="FU4100"/>
      <c r="FV4100"/>
      <c r="FW4100"/>
      <c r="FX4100"/>
      <c r="FY4100"/>
      <c r="FZ4100"/>
      <c r="GA4100"/>
      <c r="GB4100"/>
      <c r="GC4100"/>
      <c r="GD4100"/>
      <c r="GE4100"/>
      <c r="GF4100"/>
      <c r="GG4100"/>
      <c r="GH4100"/>
      <c r="GI4100"/>
      <c r="GJ4100"/>
      <c r="GK4100"/>
      <c r="GL4100"/>
      <c r="GM4100"/>
      <c r="GN4100"/>
      <c r="GO4100"/>
    </row>
    <row r="4101" spans="107:197">
      <c r="DC4101"/>
      <c r="FH4101"/>
      <c r="FI4101"/>
      <c r="FJ4101"/>
      <c r="FK4101"/>
      <c r="FL4101"/>
      <c r="FM4101"/>
      <c r="FN4101"/>
      <c r="FO4101"/>
      <c r="FP4101"/>
      <c r="FQ4101"/>
      <c r="FR4101"/>
      <c r="FS4101"/>
      <c r="FT4101"/>
      <c r="FU4101"/>
      <c r="FV4101"/>
      <c r="FW4101"/>
      <c r="FX4101"/>
      <c r="FY4101"/>
      <c r="FZ4101"/>
      <c r="GA4101"/>
      <c r="GB4101"/>
      <c r="GC4101"/>
      <c r="GD4101"/>
      <c r="GE4101"/>
      <c r="GF4101"/>
      <c r="GG4101"/>
      <c r="GH4101"/>
      <c r="GI4101"/>
      <c r="GJ4101"/>
      <c r="GK4101"/>
      <c r="GL4101"/>
      <c r="GM4101"/>
      <c r="GN4101"/>
      <c r="GO4101"/>
    </row>
    <row r="4102" spans="107:197">
      <c r="DC4102"/>
      <c r="FH4102"/>
      <c r="FI4102"/>
      <c r="FJ4102"/>
      <c r="FK4102"/>
      <c r="FL4102"/>
      <c r="FM4102"/>
      <c r="FN4102"/>
      <c r="FO4102"/>
      <c r="FP4102"/>
      <c r="FQ4102"/>
      <c r="FR4102"/>
      <c r="FS4102"/>
      <c r="FT4102"/>
      <c r="FU4102"/>
      <c r="FV4102"/>
      <c r="FW4102"/>
      <c r="FX4102"/>
      <c r="FY4102"/>
      <c r="FZ4102"/>
      <c r="GA4102"/>
      <c r="GB4102"/>
      <c r="GC4102"/>
      <c r="GD4102"/>
      <c r="GE4102"/>
      <c r="GF4102"/>
      <c r="GG4102"/>
      <c r="GH4102"/>
      <c r="GI4102"/>
      <c r="GJ4102"/>
      <c r="GK4102"/>
      <c r="GL4102"/>
      <c r="GM4102"/>
      <c r="GN4102"/>
      <c r="GO4102"/>
    </row>
    <row r="4103" spans="107:197">
      <c r="DC4103"/>
      <c r="FH4103"/>
      <c r="FI4103"/>
      <c r="FJ4103"/>
      <c r="FK4103"/>
      <c r="FL4103"/>
      <c r="FM4103"/>
      <c r="FN4103"/>
      <c r="FO4103"/>
      <c r="FP4103"/>
      <c r="FQ4103"/>
      <c r="FR4103"/>
      <c r="FS4103"/>
      <c r="FT4103"/>
      <c r="FU4103"/>
      <c r="FV4103"/>
      <c r="FW4103"/>
      <c r="FX4103"/>
      <c r="FY4103"/>
      <c r="FZ4103"/>
      <c r="GA4103"/>
      <c r="GB4103"/>
      <c r="GC4103"/>
      <c r="GD4103"/>
      <c r="GE4103"/>
      <c r="GF4103"/>
      <c r="GG4103"/>
      <c r="GH4103"/>
      <c r="GI4103"/>
      <c r="GJ4103"/>
      <c r="GK4103"/>
      <c r="GL4103"/>
      <c r="GM4103"/>
      <c r="GN4103"/>
      <c r="GO4103"/>
    </row>
    <row r="4104" spans="107:197">
      <c r="DC4104"/>
      <c r="FH4104"/>
      <c r="FI4104"/>
      <c r="FJ4104"/>
      <c r="FK4104"/>
      <c r="FL4104"/>
      <c r="FM4104"/>
      <c r="FN4104"/>
      <c r="FO4104"/>
      <c r="FP4104"/>
      <c r="FQ4104"/>
      <c r="FR4104"/>
      <c r="FS4104"/>
      <c r="FT4104"/>
      <c r="FU4104"/>
      <c r="FV4104"/>
      <c r="FW4104"/>
      <c r="FX4104"/>
      <c r="FY4104"/>
      <c r="FZ4104"/>
      <c r="GA4104"/>
      <c r="GB4104"/>
      <c r="GC4104"/>
      <c r="GD4104"/>
      <c r="GE4104"/>
      <c r="GF4104"/>
      <c r="GG4104"/>
      <c r="GH4104"/>
      <c r="GI4104"/>
      <c r="GJ4104"/>
      <c r="GK4104"/>
      <c r="GL4104"/>
      <c r="GM4104"/>
      <c r="GN4104"/>
      <c r="GO4104"/>
    </row>
    <row r="4105" spans="107:197">
      <c r="DC4105"/>
      <c r="FH4105"/>
      <c r="FI4105"/>
      <c r="FJ4105"/>
      <c r="FK4105"/>
      <c r="FL4105"/>
      <c r="FM4105"/>
      <c r="FN4105"/>
      <c r="FO4105"/>
      <c r="FP4105"/>
      <c r="FQ4105"/>
      <c r="FR4105"/>
      <c r="FS4105"/>
      <c r="FT4105"/>
      <c r="FU4105"/>
      <c r="FV4105"/>
      <c r="FW4105"/>
      <c r="FX4105"/>
      <c r="FY4105"/>
      <c r="FZ4105"/>
      <c r="GA4105"/>
      <c r="GB4105"/>
      <c r="GC4105"/>
      <c r="GD4105"/>
      <c r="GE4105"/>
      <c r="GF4105"/>
      <c r="GG4105"/>
      <c r="GH4105"/>
      <c r="GI4105"/>
      <c r="GJ4105"/>
      <c r="GK4105"/>
      <c r="GL4105"/>
      <c r="GM4105"/>
      <c r="GN4105"/>
      <c r="GO4105"/>
    </row>
    <row r="4106" spans="107:197">
      <c r="DC4106"/>
      <c r="FH4106"/>
      <c r="FI4106"/>
      <c r="FJ4106"/>
      <c r="FK4106"/>
      <c r="FL4106"/>
      <c r="FM4106"/>
      <c r="FN4106"/>
      <c r="FO4106"/>
      <c r="FP4106"/>
      <c r="FQ4106"/>
      <c r="FR4106"/>
      <c r="FS4106"/>
      <c r="FT4106"/>
      <c r="FU4106"/>
      <c r="FV4106"/>
      <c r="FW4106"/>
      <c r="FX4106"/>
      <c r="FY4106"/>
      <c r="FZ4106"/>
      <c r="GA4106"/>
      <c r="GB4106"/>
      <c r="GC4106"/>
      <c r="GD4106"/>
      <c r="GE4106"/>
      <c r="GF4106"/>
      <c r="GG4106"/>
      <c r="GH4106"/>
      <c r="GI4106"/>
      <c r="GJ4106"/>
      <c r="GK4106"/>
      <c r="GL4106"/>
      <c r="GM4106"/>
      <c r="GN4106"/>
      <c r="GO4106"/>
    </row>
    <row r="4107" spans="107:197">
      <c r="DC4107"/>
      <c r="FH4107"/>
      <c r="FI4107"/>
      <c r="FJ4107"/>
      <c r="FK4107"/>
      <c r="FL4107"/>
      <c r="FM4107"/>
      <c r="FN4107"/>
      <c r="FO4107"/>
      <c r="FP4107"/>
      <c r="FQ4107"/>
      <c r="FR4107"/>
      <c r="FS4107"/>
      <c r="FT4107"/>
      <c r="FU4107"/>
      <c r="FV4107"/>
      <c r="FW4107"/>
      <c r="FX4107"/>
      <c r="FY4107"/>
      <c r="FZ4107"/>
      <c r="GA4107"/>
      <c r="GB4107"/>
      <c r="GC4107"/>
      <c r="GD4107"/>
      <c r="GE4107"/>
      <c r="GF4107"/>
      <c r="GG4107"/>
      <c r="GH4107"/>
      <c r="GI4107"/>
      <c r="GJ4107"/>
      <c r="GK4107"/>
      <c r="GL4107"/>
      <c r="GM4107"/>
      <c r="GN4107"/>
      <c r="GO4107"/>
    </row>
    <row r="4108" spans="107:197">
      <c r="DC4108"/>
      <c r="FH4108"/>
      <c r="FI4108"/>
      <c r="FJ4108"/>
      <c r="FK4108"/>
      <c r="FL4108"/>
      <c r="FM4108"/>
      <c r="FN4108"/>
      <c r="FO4108"/>
      <c r="FP4108"/>
      <c r="FQ4108"/>
      <c r="FR4108"/>
      <c r="FS4108"/>
      <c r="FT4108"/>
      <c r="FU4108"/>
      <c r="FV4108"/>
      <c r="FW4108"/>
      <c r="FX4108"/>
      <c r="FY4108"/>
      <c r="FZ4108"/>
      <c r="GA4108"/>
      <c r="GB4108"/>
      <c r="GC4108"/>
      <c r="GD4108"/>
      <c r="GE4108"/>
      <c r="GF4108"/>
      <c r="GG4108"/>
      <c r="GH4108"/>
      <c r="GI4108"/>
      <c r="GJ4108"/>
      <c r="GK4108"/>
      <c r="GL4108"/>
      <c r="GM4108"/>
      <c r="GN4108"/>
      <c r="GO4108"/>
    </row>
    <row r="4109" spans="107:197">
      <c r="DC4109"/>
      <c r="FH4109"/>
      <c r="FI4109"/>
      <c r="FJ4109"/>
      <c r="FK4109"/>
      <c r="FL4109"/>
      <c r="FM4109"/>
      <c r="FN4109"/>
      <c r="FO4109"/>
      <c r="FP4109"/>
      <c r="FQ4109"/>
      <c r="FR4109"/>
      <c r="FS4109"/>
      <c r="FT4109"/>
      <c r="FU4109"/>
      <c r="FV4109"/>
      <c r="FW4109"/>
      <c r="FX4109"/>
      <c r="FY4109"/>
      <c r="FZ4109"/>
      <c r="GA4109"/>
      <c r="GB4109"/>
      <c r="GC4109"/>
      <c r="GD4109"/>
      <c r="GE4109"/>
      <c r="GF4109"/>
      <c r="GG4109"/>
      <c r="GH4109"/>
      <c r="GI4109"/>
      <c r="GJ4109"/>
      <c r="GK4109"/>
      <c r="GL4109"/>
      <c r="GM4109"/>
      <c r="GN4109"/>
      <c r="GO4109"/>
    </row>
    <row r="4110" spans="107:197">
      <c r="DC4110"/>
      <c r="FH4110"/>
      <c r="FI4110"/>
      <c r="FJ4110"/>
      <c r="FK4110"/>
      <c r="FL4110"/>
      <c r="FM4110"/>
      <c r="FN4110"/>
      <c r="FO4110"/>
      <c r="FP4110"/>
      <c r="FQ4110"/>
      <c r="FR4110"/>
      <c r="FS4110"/>
      <c r="FT4110"/>
      <c r="FU4110"/>
      <c r="FV4110"/>
      <c r="FW4110"/>
      <c r="FX4110"/>
      <c r="FY4110"/>
      <c r="FZ4110"/>
      <c r="GA4110"/>
      <c r="GB4110"/>
      <c r="GC4110"/>
      <c r="GD4110"/>
      <c r="GE4110"/>
      <c r="GF4110"/>
      <c r="GG4110"/>
      <c r="GH4110"/>
      <c r="GI4110"/>
      <c r="GJ4110"/>
      <c r="GK4110"/>
      <c r="GL4110"/>
      <c r="GM4110"/>
      <c r="GN4110"/>
      <c r="GO4110"/>
    </row>
    <row r="4111" spans="107:197">
      <c r="DC4111"/>
      <c r="FH4111"/>
      <c r="FI4111"/>
      <c r="FJ4111"/>
      <c r="FK4111"/>
      <c r="FL4111"/>
      <c r="FM4111"/>
      <c r="FN4111"/>
      <c r="FO4111"/>
      <c r="FP4111"/>
      <c r="FQ4111"/>
      <c r="FR4111"/>
      <c r="FS4111"/>
      <c r="FT4111"/>
      <c r="FU4111"/>
      <c r="FV4111"/>
      <c r="FW4111"/>
      <c r="FX4111"/>
      <c r="FY4111"/>
      <c r="FZ4111"/>
      <c r="GA4111"/>
      <c r="GB4111"/>
      <c r="GC4111"/>
      <c r="GD4111"/>
      <c r="GE4111"/>
      <c r="GF4111"/>
      <c r="GG4111"/>
      <c r="GH4111"/>
      <c r="GI4111"/>
      <c r="GJ4111"/>
      <c r="GK4111"/>
      <c r="GL4111"/>
      <c r="GM4111"/>
      <c r="GN4111"/>
      <c r="GO4111"/>
    </row>
    <row r="4112" spans="107:197">
      <c r="DC4112"/>
      <c r="FH4112"/>
      <c r="FI4112"/>
      <c r="FJ4112"/>
      <c r="FK4112"/>
      <c r="FL4112"/>
      <c r="FM4112"/>
      <c r="FN4112"/>
      <c r="FO4112"/>
      <c r="FP4112"/>
      <c r="FQ4112"/>
      <c r="FR4112"/>
      <c r="FS4112"/>
      <c r="FT4112"/>
      <c r="FU4112"/>
      <c r="FV4112"/>
      <c r="FW4112"/>
      <c r="FX4112"/>
      <c r="FY4112"/>
      <c r="FZ4112"/>
      <c r="GA4112"/>
      <c r="GB4112"/>
      <c r="GC4112"/>
      <c r="GD4112"/>
      <c r="GE4112"/>
      <c r="GF4112"/>
      <c r="GG4112"/>
      <c r="GH4112"/>
      <c r="GI4112"/>
      <c r="GJ4112"/>
      <c r="GK4112"/>
      <c r="GL4112"/>
      <c r="GM4112"/>
      <c r="GN4112"/>
      <c r="GO4112"/>
    </row>
    <row r="4113" spans="107:197">
      <c r="DC4113"/>
      <c r="FH4113"/>
      <c r="FI4113"/>
      <c r="FJ4113"/>
      <c r="FK4113"/>
      <c r="FL4113"/>
      <c r="FM4113"/>
      <c r="FN4113"/>
      <c r="FO4113"/>
      <c r="FP4113"/>
      <c r="FQ4113"/>
      <c r="FR4113"/>
      <c r="FS4113"/>
      <c r="FT4113"/>
      <c r="FU4113"/>
      <c r="FV4113"/>
      <c r="FW4113"/>
      <c r="FX4113"/>
      <c r="FY4113"/>
      <c r="FZ4113"/>
      <c r="GA4113"/>
      <c r="GB4113"/>
      <c r="GC4113"/>
      <c r="GD4113"/>
      <c r="GE4113"/>
      <c r="GF4113"/>
      <c r="GG4113"/>
      <c r="GH4113"/>
      <c r="GI4113"/>
      <c r="GJ4113"/>
      <c r="GK4113"/>
      <c r="GL4113"/>
      <c r="GM4113"/>
      <c r="GN4113"/>
      <c r="GO4113"/>
    </row>
    <row r="4114" spans="107:197">
      <c r="DC4114"/>
      <c r="FH4114"/>
      <c r="FI4114"/>
      <c r="FJ4114"/>
      <c r="FK4114"/>
      <c r="FL4114"/>
      <c r="FM4114"/>
      <c r="FN4114"/>
      <c r="FO4114"/>
      <c r="FP4114"/>
      <c r="FQ4114"/>
      <c r="FR4114"/>
      <c r="FS4114"/>
      <c r="FT4114"/>
      <c r="FU4114"/>
      <c r="FV4114"/>
      <c r="FW4114"/>
      <c r="FX4114"/>
      <c r="FY4114"/>
      <c r="FZ4114"/>
      <c r="GA4114"/>
      <c r="GB4114"/>
      <c r="GC4114"/>
      <c r="GD4114"/>
      <c r="GE4114"/>
      <c r="GF4114"/>
      <c r="GG4114"/>
      <c r="GH4114"/>
      <c r="GI4114"/>
      <c r="GJ4114"/>
      <c r="GK4114"/>
      <c r="GL4114"/>
      <c r="GM4114"/>
      <c r="GN4114"/>
      <c r="GO4114"/>
    </row>
    <row r="4115" spans="107:197">
      <c r="DC4115"/>
      <c r="FH4115"/>
      <c r="FI4115"/>
      <c r="FJ4115"/>
      <c r="FK4115"/>
      <c r="FL4115"/>
      <c r="FM4115"/>
      <c r="FN4115"/>
      <c r="FO4115"/>
      <c r="FP4115"/>
      <c r="FQ4115"/>
      <c r="FR4115"/>
      <c r="FS4115"/>
      <c r="FT4115"/>
      <c r="FU4115"/>
      <c r="FV4115"/>
      <c r="FW4115"/>
      <c r="FX4115"/>
      <c r="FY4115"/>
      <c r="FZ4115"/>
      <c r="GA4115"/>
      <c r="GB4115"/>
      <c r="GC4115"/>
      <c r="GD4115"/>
      <c r="GE4115"/>
      <c r="GF4115"/>
      <c r="GG4115"/>
      <c r="GH4115"/>
      <c r="GI4115"/>
      <c r="GJ4115"/>
      <c r="GK4115"/>
      <c r="GL4115"/>
      <c r="GM4115"/>
      <c r="GN4115"/>
      <c r="GO4115"/>
    </row>
    <row r="4116" spans="107:197">
      <c r="DC4116"/>
      <c r="FH4116"/>
      <c r="FI4116"/>
      <c r="FJ4116"/>
      <c r="FK4116"/>
      <c r="FL4116"/>
      <c r="FM4116"/>
      <c r="FN4116"/>
      <c r="FO4116"/>
      <c r="FP4116"/>
      <c r="FQ4116"/>
      <c r="FR4116"/>
      <c r="FS4116"/>
      <c r="FT4116"/>
      <c r="FU4116"/>
      <c r="FV4116"/>
      <c r="FW4116"/>
      <c r="FX4116"/>
      <c r="FY4116"/>
      <c r="FZ4116"/>
      <c r="GA4116"/>
      <c r="GB4116"/>
      <c r="GC4116"/>
      <c r="GD4116"/>
      <c r="GE4116"/>
      <c r="GF4116"/>
      <c r="GG4116"/>
      <c r="GH4116"/>
      <c r="GI4116"/>
      <c r="GJ4116"/>
      <c r="GK4116"/>
      <c r="GL4116"/>
      <c r="GM4116"/>
      <c r="GN4116"/>
      <c r="GO4116"/>
    </row>
    <row r="4117" spans="107:197">
      <c r="DC4117"/>
      <c r="FH4117"/>
      <c r="FI4117"/>
      <c r="FJ4117"/>
      <c r="FK4117"/>
      <c r="FL4117"/>
      <c r="FM4117"/>
      <c r="FN4117"/>
      <c r="FO4117"/>
      <c r="FP4117"/>
      <c r="FQ4117"/>
      <c r="FR4117"/>
      <c r="FS4117"/>
      <c r="FT4117"/>
      <c r="FU4117"/>
      <c r="FV4117"/>
      <c r="FW4117"/>
      <c r="FX4117"/>
      <c r="FY4117"/>
      <c r="FZ4117"/>
      <c r="GA4117"/>
      <c r="GB4117"/>
      <c r="GC4117"/>
      <c r="GD4117"/>
      <c r="GE4117"/>
      <c r="GF4117"/>
      <c r="GG4117"/>
      <c r="GH4117"/>
      <c r="GI4117"/>
      <c r="GJ4117"/>
      <c r="GK4117"/>
      <c r="GL4117"/>
      <c r="GM4117"/>
      <c r="GN4117"/>
      <c r="GO4117"/>
    </row>
    <row r="4118" spans="107:197">
      <c r="DC4118"/>
      <c r="FH4118"/>
      <c r="FI4118"/>
      <c r="FJ4118"/>
      <c r="FK4118"/>
      <c r="FL4118"/>
      <c r="FM4118"/>
      <c r="FN4118"/>
      <c r="FO4118"/>
      <c r="FP4118"/>
      <c r="FQ4118"/>
      <c r="FR4118"/>
      <c r="FS4118"/>
      <c r="FT4118"/>
      <c r="FU4118"/>
      <c r="FV4118"/>
      <c r="FW4118"/>
      <c r="FX4118"/>
      <c r="FY4118"/>
      <c r="FZ4118"/>
      <c r="GA4118"/>
      <c r="GB4118"/>
      <c r="GC4118"/>
      <c r="GD4118"/>
      <c r="GE4118"/>
      <c r="GF4118"/>
      <c r="GG4118"/>
      <c r="GH4118"/>
      <c r="GI4118"/>
      <c r="GJ4118"/>
      <c r="GK4118"/>
      <c r="GL4118"/>
      <c r="GM4118"/>
      <c r="GN4118"/>
      <c r="GO4118"/>
    </row>
    <row r="4119" spans="107:197">
      <c r="DC4119"/>
      <c r="FH4119"/>
      <c r="FI4119"/>
      <c r="FJ4119"/>
      <c r="FK4119"/>
      <c r="FL4119"/>
      <c r="FM4119"/>
      <c r="FN4119"/>
      <c r="FO4119"/>
      <c r="FP4119"/>
      <c r="FQ4119"/>
      <c r="FR4119"/>
      <c r="FS4119"/>
      <c r="FT4119"/>
      <c r="FU4119"/>
      <c r="FV4119"/>
      <c r="FW4119"/>
      <c r="FX4119"/>
      <c r="FY4119"/>
      <c r="FZ4119"/>
      <c r="GA4119"/>
      <c r="GB4119"/>
      <c r="GC4119"/>
      <c r="GD4119"/>
      <c r="GE4119"/>
      <c r="GF4119"/>
      <c r="GG4119"/>
      <c r="GH4119"/>
      <c r="GI4119"/>
      <c r="GJ4119"/>
      <c r="GK4119"/>
      <c r="GL4119"/>
      <c r="GM4119"/>
      <c r="GN4119"/>
      <c r="GO4119"/>
    </row>
    <row r="4120" spans="107:197">
      <c r="DC4120"/>
      <c r="FH4120"/>
      <c r="FI4120"/>
      <c r="FJ4120"/>
      <c r="FK4120"/>
      <c r="FL4120"/>
      <c r="FM4120"/>
      <c r="FN4120"/>
      <c r="FO4120"/>
      <c r="FP4120"/>
      <c r="FQ4120"/>
      <c r="FR4120"/>
      <c r="FS4120"/>
      <c r="FT4120"/>
      <c r="FU4120"/>
      <c r="FV4120"/>
      <c r="FW4120"/>
      <c r="FX4120"/>
      <c r="FY4120"/>
      <c r="FZ4120"/>
      <c r="GA4120"/>
      <c r="GB4120"/>
      <c r="GC4120"/>
      <c r="GD4120"/>
      <c r="GE4120"/>
      <c r="GF4120"/>
      <c r="GG4120"/>
      <c r="GH4120"/>
      <c r="GI4120"/>
      <c r="GJ4120"/>
      <c r="GK4120"/>
      <c r="GL4120"/>
      <c r="GM4120"/>
      <c r="GN4120"/>
      <c r="GO4120"/>
    </row>
    <row r="4121" spans="107:197">
      <c r="DC4121"/>
      <c r="FH4121"/>
      <c r="FI4121"/>
      <c r="FJ4121"/>
      <c r="FK4121"/>
      <c r="FL4121"/>
      <c r="FM4121"/>
      <c r="FN4121"/>
      <c r="FO4121"/>
      <c r="FP4121"/>
      <c r="FQ4121"/>
      <c r="FR4121"/>
      <c r="FS4121"/>
      <c r="FT4121"/>
      <c r="FU4121"/>
      <c r="FV4121"/>
      <c r="FW4121"/>
      <c r="FX4121"/>
      <c r="FY4121"/>
      <c r="FZ4121"/>
      <c r="GA4121"/>
      <c r="GB4121"/>
      <c r="GC4121"/>
      <c r="GD4121"/>
      <c r="GE4121"/>
      <c r="GF4121"/>
      <c r="GG4121"/>
      <c r="GH4121"/>
      <c r="GI4121"/>
      <c r="GJ4121"/>
      <c r="GK4121"/>
      <c r="GL4121"/>
      <c r="GM4121"/>
      <c r="GN4121"/>
      <c r="GO4121"/>
    </row>
    <row r="4122" spans="107:197">
      <c r="DC4122"/>
      <c r="FH4122"/>
      <c r="FI4122"/>
      <c r="FJ4122"/>
      <c r="FK4122"/>
      <c r="FL4122"/>
      <c r="FM4122"/>
      <c r="FN4122"/>
      <c r="FO4122"/>
      <c r="FP4122"/>
      <c r="FQ4122"/>
      <c r="FR4122"/>
      <c r="FS4122"/>
      <c r="FT4122"/>
      <c r="FU4122"/>
      <c r="FV4122"/>
      <c r="FW4122"/>
      <c r="FX4122"/>
      <c r="FY4122"/>
      <c r="FZ4122"/>
      <c r="GA4122"/>
      <c r="GB4122"/>
      <c r="GC4122"/>
      <c r="GD4122"/>
      <c r="GE4122"/>
      <c r="GF4122"/>
      <c r="GG4122"/>
      <c r="GH4122"/>
      <c r="GI4122"/>
      <c r="GJ4122"/>
      <c r="GK4122"/>
      <c r="GL4122"/>
      <c r="GM4122"/>
      <c r="GN4122"/>
      <c r="GO4122"/>
    </row>
    <row r="4123" spans="107:197">
      <c r="DC4123"/>
      <c r="FH4123"/>
      <c r="FI4123"/>
      <c r="FJ4123"/>
      <c r="FK4123"/>
      <c r="FL4123"/>
      <c r="FM4123"/>
      <c r="FN4123"/>
      <c r="FO4123"/>
      <c r="FP4123"/>
      <c r="FQ4123"/>
      <c r="FR4123"/>
      <c r="FS4123"/>
      <c r="FT4123"/>
      <c r="FU4123"/>
      <c r="FV4123"/>
      <c r="FW4123"/>
      <c r="FX4123"/>
      <c r="FY4123"/>
      <c r="FZ4123"/>
      <c r="GA4123"/>
      <c r="GB4123"/>
      <c r="GC4123"/>
      <c r="GD4123"/>
      <c r="GE4123"/>
      <c r="GF4123"/>
      <c r="GG4123"/>
      <c r="GH4123"/>
      <c r="GI4123"/>
      <c r="GJ4123"/>
      <c r="GK4123"/>
      <c r="GL4123"/>
      <c r="GM4123"/>
      <c r="GN4123"/>
      <c r="GO4123"/>
    </row>
    <row r="4124" spans="107:197">
      <c r="DC4124"/>
      <c r="FH4124"/>
      <c r="FI4124"/>
      <c r="FJ4124"/>
      <c r="FK4124"/>
      <c r="FL4124"/>
      <c r="FM4124"/>
      <c r="FN4124"/>
      <c r="FO4124"/>
      <c r="FP4124"/>
      <c r="FQ4124"/>
      <c r="FR4124"/>
      <c r="FS4124"/>
      <c r="FT4124"/>
      <c r="FU4124"/>
      <c r="FV4124"/>
      <c r="FW4124"/>
      <c r="FX4124"/>
      <c r="FY4124"/>
      <c r="FZ4124"/>
      <c r="GA4124"/>
      <c r="GB4124"/>
      <c r="GC4124"/>
      <c r="GD4124"/>
      <c r="GE4124"/>
      <c r="GF4124"/>
      <c r="GG4124"/>
      <c r="GH4124"/>
      <c r="GI4124"/>
      <c r="GJ4124"/>
      <c r="GK4124"/>
      <c r="GL4124"/>
      <c r="GM4124"/>
      <c r="GN4124"/>
      <c r="GO4124"/>
    </row>
    <row r="4125" spans="107:197">
      <c r="DC4125"/>
      <c r="FH4125"/>
      <c r="FI4125"/>
      <c r="FJ4125"/>
      <c r="FK4125"/>
      <c r="FL4125"/>
      <c r="FM4125"/>
      <c r="FN4125"/>
      <c r="FO4125"/>
      <c r="FP4125"/>
      <c r="FQ4125"/>
      <c r="FR4125"/>
      <c r="FS4125"/>
      <c r="FT4125"/>
      <c r="FU4125"/>
      <c r="FV4125"/>
      <c r="FW4125"/>
      <c r="FX4125"/>
      <c r="FY4125"/>
      <c r="FZ4125"/>
      <c r="GA4125"/>
      <c r="GB4125"/>
      <c r="GC4125"/>
      <c r="GD4125"/>
      <c r="GE4125"/>
      <c r="GF4125"/>
      <c r="GG4125"/>
      <c r="GH4125"/>
      <c r="GI4125"/>
      <c r="GJ4125"/>
      <c r="GK4125"/>
      <c r="GL4125"/>
      <c r="GM4125"/>
      <c r="GN4125"/>
      <c r="GO4125"/>
    </row>
    <row r="4126" spans="107:197">
      <c r="DC4126"/>
      <c r="FH4126"/>
      <c r="FI4126"/>
      <c r="FJ4126"/>
      <c r="FK4126"/>
      <c r="FL4126"/>
      <c r="FM4126"/>
      <c r="FN4126"/>
      <c r="FO4126"/>
      <c r="FP4126"/>
      <c r="FQ4126"/>
      <c r="FR4126"/>
      <c r="FS4126"/>
      <c r="FT4126"/>
      <c r="FU4126"/>
      <c r="FV4126"/>
      <c r="FW4126"/>
      <c r="FX4126"/>
      <c r="FY4126"/>
      <c r="FZ4126"/>
      <c r="GA4126"/>
      <c r="GB4126"/>
      <c r="GC4126"/>
      <c r="GD4126"/>
      <c r="GE4126"/>
      <c r="GF4126"/>
      <c r="GG4126"/>
      <c r="GH4126"/>
      <c r="GI4126"/>
      <c r="GJ4126"/>
      <c r="GK4126"/>
      <c r="GL4126"/>
      <c r="GM4126"/>
      <c r="GN4126"/>
      <c r="GO4126"/>
    </row>
    <row r="4127" spans="107:197">
      <c r="DC4127"/>
      <c r="FH4127"/>
      <c r="FI4127"/>
      <c r="FJ4127"/>
      <c r="FK4127"/>
      <c r="FL4127"/>
      <c r="FM4127"/>
      <c r="FN4127"/>
      <c r="FO4127"/>
      <c r="FP4127"/>
      <c r="FQ4127"/>
      <c r="FR4127"/>
      <c r="FS4127"/>
      <c r="FT4127"/>
      <c r="FU4127"/>
      <c r="FV4127"/>
      <c r="FW4127"/>
      <c r="FX4127"/>
      <c r="FY4127"/>
      <c r="FZ4127"/>
      <c r="GA4127"/>
      <c r="GB4127"/>
      <c r="GC4127"/>
      <c r="GD4127"/>
      <c r="GE4127"/>
      <c r="GF4127"/>
      <c r="GG4127"/>
      <c r="GH4127"/>
      <c r="GI4127"/>
      <c r="GJ4127"/>
      <c r="GK4127"/>
      <c r="GL4127"/>
      <c r="GM4127"/>
      <c r="GN4127"/>
      <c r="GO4127"/>
    </row>
    <row r="4128" spans="107:197">
      <c r="DC4128"/>
      <c r="FH4128"/>
      <c r="FI4128"/>
      <c r="FJ4128"/>
      <c r="FK4128"/>
      <c r="FL4128"/>
      <c r="FM4128"/>
      <c r="FN4128"/>
      <c r="FO4128"/>
      <c r="FP4128"/>
      <c r="FQ4128"/>
      <c r="FR4128"/>
      <c r="FS4128"/>
      <c r="FT4128"/>
      <c r="FU4128"/>
      <c r="FV4128"/>
      <c r="FW4128"/>
      <c r="FX4128"/>
      <c r="FY4128"/>
      <c r="FZ4128"/>
      <c r="GA4128"/>
      <c r="GB4128"/>
      <c r="GC4128"/>
      <c r="GD4128"/>
      <c r="GE4128"/>
      <c r="GF4128"/>
      <c r="GG4128"/>
      <c r="GH4128"/>
      <c r="GI4128"/>
      <c r="GJ4128"/>
      <c r="GK4128"/>
      <c r="GL4128"/>
      <c r="GM4128"/>
      <c r="GN4128"/>
      <c r="GO4128"/>
    </row>
    <row r="4129" spans="107:197">
      <c r="DC4129"/>
      <c r="FH4129"/>
      <c r="FI4129"/>
      <c r="FJ4129"/>
      <c r="FK4129"/>
      <c r="FL4129"/>
      <c r="FM4129"/>
      <c r="FN4129"/>
      <c r="FO4129"/>
      <c r="FP4129"/>
      <c r="FQ4129"/>
      <c r="FR4129"/>
      <c r="FS4129"/>
      <c r="FT4129"/>
      <c r="FU4129"/>
      <c r="FV4129"/>
      <c r="FW4129"/>
      <c r="FX4129"/>
      <c r="FY4129"/>
      <c r="FZ4129"/>
      <c r="GA4129"/>
      <c r="GB4129"/>
      <c r="GC4129"/>
      <c r="GD4129"/>
      <c r="GE4129"/>
      <c r="GF4129"/>
      <c r="GG4129"/>
      <c r="GH4129"/>
      <c r="GI4129"/>
      <c r="GJ4129"/>
      <c r="GK4129"/>
      <c r="GL4129"/>
      <c r="GM4129"/>
      <c r="GN4129"/>
      <c r="GO4129"/>
    </row>
    <row r="4130" spans="107:197">
      <c r="DC4130"/>
      <c r="FH4130"/>
      <c r="FI4130"/>
      <c r="FJ4130"/>
      <c r="FK4130"/>
      <c r="FL4130"/>
      <c r="FM4130"/>
      <c r="FN4130"/>
      <c r="FO4130"/>
      <c r="FP4130"/>
      <c r="FQ4130"/>
      <c r="FR4130"/>
      <c r="FS4130"/>
      <c r="FT4130"/>
      <c r="FU4130"/>
      <c r="FV4130"/>
      <c r="FW4130"/>
      <c r="FX4130"/>
      <c r="FY4130"/>
      <c r="FZ4130"/>
      <c r="GA4130"/>
      <c r="GB4130"/>
      <c r="GC4130"/>
      <c r="GD4130"/>
      <c r="GE4130"/>
      <c r="GF4130"/>
      <c r="GG4130"/>
      <c r="GH4130"/>
      <c r="GI4130"/>
      <c r="GJ4130"/>
      <c r="GK4130"/>
      <c r="GL4130"/>
      <c r="GM4130"/>
      <c r="GN4130"/>
      <c r="GO4130"/>
    </row>
    <row r="4131" spans="107:197">
      <c r="DC4131"/>
      <c r="FH4131"/>
      <c r="FI4131"/>
      <c r="FJ4131"/>
      <c r="FK4131"/>
      <c r="FL4131"/>
      <c r="FM4131"/>
      <c r="FN4131"/>
      <c r="FO4131"/>
      <c r="FP4131"/>
      <c r="FQ4131"/>
      <c r="FR4131"/>
      <c r="FS4131"/>
      <c r="FT4131"/>
      <c r="FU4131"/>
      <c r="FV4131"/>
      <c r="FW4131"/>
      <c r="FX4131"/>
      <c r="FY4131"/>
      <c r="FZ4131"/>
      <c r="GA4131"/>
      <c r="GB4131"/>
      <c r="GC4131"/>
      <c r="GD4131"/>
      <c r="GE4131"/>
      <c r="GF4131"/>
      <c r="GG4131"/>
      <c r="GH4131"/>
      <c r="GI4131"/>
      <c r="GJ4131"/>
      <c r="GK4131"/>
      <c r="GL4131"/>
      <c r="GM4131"/>
      <c r="GN4131"/>
      <c r="GO4131"/>
    </row>
    <row r="4132" spans="107:197">
      <c r="DC4132"/>
      <c r="FH4132"/>
      <c r="FI4132"/>
      <c r="FJ4132"/>
      <c r="FK4132"/>
      <c r="FL4132"/>
      <c r="FM4132"/>
      <c r="FN4132"/>
      <c r="FO4132"/>
      <c r="FP4132"/>
      <c r="FQ4132"/>
      <c r="FR4132"/>
      <c r="FS4132"/>
      <c r="FT4132"/>
      <c r="FU4132"/>
      <c r="FV4132"/>
      <c r="FW4132"/>
      <c r="FX4132"/>
      <c r="FY4132"/>
      <c r="FZ4132"/>
      <c r="GA4132"/>
      <c r="GB4132"/>
      <c r="GC4132"/>
      <c r="GD4132"/>
      <c r="GE4132"/>
      <c r="GF4132"/>
      <c r="GG4132"/>
      <c r="GH4132"/>
      <c r="GI4132"/>
      <c r="GJ4132"/>
      <c r="GK4132"/>
      <c r="GL4132"/>
      <c r="GM4132"/>
      <c r="GN4132"/>
      <c r="GO4132"/>
    </row>
    <row r="4133" spans="107:197">
      <c r="DC4133"/>
      <c r="FH4133"/>
      <c r="FI4133"/>
      <c r="FJ4133"/>
      <c r="FK4133"/>
      <c r="FL4133"/>
      <c r="FM4133"/>
      <c r="FN4133"/>
      <c r="FO4133"/>
      <c r="FP4133"/>
      <c r="FQ4133"/>
      <c r="FR4133"/>
      <c r="FS4133"/>
      <c r="FT4133"/>
      <c r="FU4133"/>
      <c r="FV4133"/>
      <c r="FW4133"/>
      <c r="FX4133"/>
      <c r="FY4133"/>
      <c r="FZ4133"/>
      <c r="GA4133"/>
      <c r="GB4133"/>
      <c r="GC4133"/>
      <c r="GD4133"/>
      <c r="GE4133"/>
      <c r="GF4133"/>
      <c r="GG4133"/>
      <c r="GH4133"/>
      <c r="GI4133"/>
      <c r="GJ4133"/>
      <c r="GK4133"/>
      <c r="GL4133"/>
      <c r="GM4133"/>
      <c r="GN4133"/>
      <c r="GO4133"/>
    </row>
    <row r="4134" spans="107:197">
      <c r="DC4134"/>
      <c r="FH4134"/>
      <c r="FI4134"/>
      <c r="FJ4134"/>
      <c r="FK4134"/>
      <c r="FL4134"/>
      <c r="FM4134"/>
      <c r="FN4134"/>
      <c r="FO4134"/>
      <c r="FP4134"/>
      <c r="FQ4134"/>
      <c r="FR4134"/>
      <c r="FS4134"/>
      <c r="FT4134"/>
      <c r="FU4134"/>
      <c r="FV4134"/>
      <c r="FW4134"/>
      <c r="FX4134"/>
      <c r="FY4134"/>
      <c r="FZ4134"/>
      <c r="GA4134"/>
      <c r="GB4134"/>
      <c r="GC4134"/>
      <c r="GD4134"/>
      <c r="GE4134"/>
      <c r="GF4134"/>
      <c r="GG4134"/>
      <c r="GH4134"/>
      <c r="GI4134"/>
      <c r="GJ4134"/>
      <c r="GK4134"/>
      <c r="GL4134"/>
      <c r="GM4134"/>
      <c r="GN4134"/>
      <c r="GO4134"/>
    </row>
    <row r="4135" spans="107:197">
      <c r="DC4135"/>
      <c r="FH4135"/>
      <c r="FI4135"/>
      <c r="FJ4135"/>
      <c r="FK4135"/>
      <c r="FL4135"/>
      <c r="FM4135"/>
      <c r="FN4135"/>
      <c r="FO4135"/>
      <c r="FP4135"/>
      <c r="FQ4135"/>
      <c r="FR4135"/>
      <c r="FS4135"/>
      <c r="FT4135"/>
      <c r="FU4135"/>
      <c r="FV4135"/>
      <c r="FW4135"/>
      <c r="FX4135"/>
      <c r="FY4135"/>
      <c r="FZ4135"/>
      <c r="GA4135"/>
      <c r="GB4135"/>
      <c r="GC4135"/>
      <c r="GD4135"/>
      <c r="GE4135"/>
      <c r="GF4135"/>
      <c r="GG4135"/>
      <c r="GH4135"/>
      <c r="GI4135"/>
      <c r="GJ4135"/>
      <c r="GK4135"/>
      <c r="GL4135"/>
      <c r="GM4135"/>
      <c r="GN4135"/>
      <c r="GO4135"/>
    </row>
    <row r="4136" spans="107:197">
      <c r="DC4136"/>
      <c r="FH4136"/>
      <c r="FI4136"/>
      <c r="FJ4136"/>
      <c r="FK4136"/>
      <c r="FL4136"/>
      <c r="FM4136"/>
      <c r="FN4136"/>
      <c r="FO4136"/>
      <c r="FP4136"/>
      <c r="FQ4136"/>
      <c r="FR4136"/>
      <c r="FS4136"/>
      <c r="FT4136"/>
      <c r="FU4136"/>
      <c r="FV4136"/>
      <c r="FW4136"/>
      <c r="FX4136"/>
      <c r="FY4136"/>
      <c r="FZ4136"/>
      <c r="GA4136"/>
      <c r="GB4136"/>
      <c r="GC4136"/>
      <c r="GD4136"/>
      <c r="GE4136"/>
      <c r="GF4136"/>
      <c r="GG4136"/>
      <c r="GH4136"/>
      <c r="GI4136"/>
      <c r="GJ4136"/>
      <c r="GK4136"/>
      <c r="GL4136"/>
      <c r="GM4136"/>
      <c r="GN4136"/>
      <c r="GO4136"/>
    </row>
    <row r="4137" spans="107:197">
      <c r="DC4137"/>
      <c r="FH4137"/>
      <c r="FI4137"/>
      <c r="FJ4137"/>
      <c r="FK4137"/>
      <c r="FL4137"/>
      <c r="FM4137"/>
      <c r="FN4137"/>
      <c r="FO4137"/>
      <c r="FP4137"/>
      <c r="FQ4137"/>
      <c r="FR4137"/>
      <c r="FS4137"/>
      <c r="FT4137"/>
      <c r="FU4137"/>
      <c r="FV4137"/>
      <c r="FW4137"/>
      <c r="FX4137"/>
      <c r="FY4137"/>
      <c r="FZ4137"/>
      <c r="GA4137"/>
      <c r="GB4137"/>
      <c r="GC4137"/>
      <c r="GD4137"/>
      <c r="GE4137"/>
      <c r="GF4137"/>
      <c r="GG4137"/>
      <c r="GH4137"/>
      <c r="GI4137"/>
      <c r="GJ4137"/>
      <c r="GK4137"/>
      <c r="GL4137"/>
      <c r="GM4137"/>
      <c r="GN4137"/>
      <c r="GO4137"/>
    </row>
    <row r="4138" spans="107:197">
      <c r="DC4138"/>
      <c r="FH4138"/>
      <c r="FI4138"/>
      <c r="FJ4138"/>
      <c r="FK4138"/>
      <c r="FL4138"/>
      <c r="FM4138"/>
      <c r="FN4138"/>
      <c r="FO4138"/>
      <c r="FP4138"/>
      <c r="FQ4138"/>
      <c r="FR4138"/>
      <c r="FS4138"/>
      <c r="FT4138"/>
      <c r="FU4138"/>
      <c r="FV4138"/>
      <c r="FW4138"/>
      <c r="FX4138"/>
      <c r="FY4138"/>
      <c r="FZ4138"/>
      <c r="GA4138"/>
      <c r="GB4138"/>
      <c r="GC4138"/>
      <c r="GD4138"/>
      <c r="GE4138"/>
      <c r="GF4138"/>
      <c r="GG4138"/>
      <c r="GH4138"/>
      <c r="GI4138"/>
      <c r="GJ4138"/>
      <c r="GK4138"/>
      <c r="GL4138"/>
      <c r="GM4138"/>
      <c r="GN4138"/>
      <c r="GO4138"/>
    </row>
    <row r="4139" spans="107:197">
      <c r="DC4139"/>
      <c r="FH4139"/>
      <c r="FI4139"/>
      <c r="FJ4139"/>
      <c r="FK4139"/>
      <c r="FL4139"/>
      <c r="FM4139"/>
      <c r="FN4139"/>
      <c r="FO4139"/>
      <c r="FP4139"/>
      <c r="FQ4139"/>
      <c r="FR4139"/>
      <c r="FS4139"/>
      <c r="FT4139"/>
      <c r="FU4139"/>
      <c r="FV4139"/>
      <c r="FW4139"/>
      <c r="FX4139"/>
      <c r="FY4139"/>
      <c r="FZ4139"/>
      <c r="GA4139"/>
      <c r="GB4139"/>
      <c r="GC4139"/>
      <c r="GD4139"/>
      <c r="GE4139"/>
      <c r="GF4139"/>
      <c r="GG4139"/>
      <c r="GH4139"/>
      <c r="GI4139"/>
      <c r="GJ4139"/>
      <c r="GK4139"/>
      <c r="GL4139"/>
      <c r="GM4139"/>
      <c r="GN4139"/>
      <c r="GO4139"/>
    </row>
    <row r="4140" spans="107:197">
      <c r="DC4140"/>
      <c r="FH4140"/>
      <c r="FI4140"/>
      <c r="FJ4140"/>
      <c r="FK4140"/>
      <c r="FL4140"/>
      <c r="FM4140"/>
      <c r="FN4140"/>
      <c r="FO4140"/>
      <c r="FP4140"/>
      <c r="FQ4140"/>
      <c r="FR4140"/>
      <c r="FS4140"/>
      <c r="FT4140"/>
      <c r="FU4140"/>
      <c r="FV4140"/>
      <c r="FW4140"/>
      <c r="FX4140"/>
      <c r="FY4140"/>
      <c r="FZ4140"/>
      <c r="GA4140"/>
      <c r="GB4140"/>
      <c r="GC4140"/>
      <c r="GD4140"/>
      <c r="GE4140"/>
      <c r="GF4140"/>
      <c r="GG4140"/>
      <c r="GH4140"/>
      <c r="GI4140"/>
      <c r="GJ4140"/>
      <c r="GK4140"/>
      <c r="GL4140"/>
      <c r="GM4140"/>
      <c r="GN4140"/>
      <c r="GO4140"/>
    </row>
    <row r="4141" spans="107:197">
      <c r="DC4141"/>
      <c r="FH4141"/>
      <c r="FI4141"/>
      <c r="FJ4141"/>
      <c r="FK4141"/>
      <c r="FL4141"/>
      <c r="FM4141"/>
      <c r="FN4141"/>
      <c r="FO4141"/>
      <c r="FP4141"/>
      <c r="FQ4141"/>
      <c r="FR4141"/>
      <c r="FS4141"/>
      <c r="FT4141"/>
      <c r="FU4141"/>
      <c r="FV4141"/>
      <c r="FW4141"/>
      <c r="FX4141"/>
      <c r="FY4141"/>
      <c r="FZ4141"/>
      <c r="GA4141"/>
      <c r="GB4141"/>
      <c r="GC4141"/>
      <c r="GD4141"/>
      <c r="GE4141"/>
      <c r="GF4141"/>
      <c r="GG4141"/>
      <c r="GH4141"/>
      <c r="GI4141"/>
      <c r="GJ4141"/>
      <c r="GK4141"/>
      <c r="GL4141"/>
      <c r="GM4141"/>
      <c r="GN4141"/>
      <c r="GO4141"/>
    </row>
    <row r="4142" spans="107:197">
      <c r="DC4142"/>
      <c r="FH4142"/>
      <c r="FI4142"/>
      <c r="FJ4142"/>
      <c r="FK4142"/>
      <c r="FL4142"/>
      <c r="FM4142"/>
      <c r="FN4142"/>
      <c r="FO4142"/>
      <c r="FP4142"/>
      <c r="FQ4142"/>
      <c r="FR4142"/>
      <c r="FS4142"/>
      <c r="FT4142"/>
      <c r="FU4142"/>
      <c r="FV4142"/>
      <c r="FW4142"/>
      <c r="FX4142"/>
      <c r="FY4142"/>
      <c r="FZ4142"/>
      <c r="GA4142"/>
      <c r="GB4142"/>
      <c r="GC4142"/>
      <c r="GD4142"/>
      <c r="GE4142"/>
      <c r="GF4142"/>
      <c r="GG4142"/>
      <c r="GH4142"/>
      <c r="GI4142"/>
      <c r="GJ4142"/>
      <c r="GK4142"/>
      <c r="GL4142"/>
      <c r="GM4142"/>
      <c r="GN4142"/>
      <c r="GO4142"/>
    </row>
    <row r="4143" spans="107:197">
      <c r="DC4143"/>
      <c r="FH4143"/>
      <c r="FI4143"/>
      <c r="FJ4143"/>
      <c r="FK4143"/>
      <c r="FL4143"/>
      <c r="FM4143"/>
      <c r="FN4143"/>
      <c r="FO4143"/>
      <c r="FP4143"/>
      <c r="FQ4143"/>
      <c r="FR4143"/>
      <c r="FS4143"/>
      <c r="FT4143"/>
      <c r="FU4143"/>
      <c r="FV4143"/>
      <c r="FW4143"/>
      <c r="FX4143"/>
      <c r="FY4143"/>
      <c r="FZ4143"/>
      <c r="GA4143"/>
      <c r="GB4143"/>
      <c r="GC4143"/>
      <c r="GD4143"/>
      <c r="GE4143"/>
      <c r="GF4143"/>
      <c r="GG4143"/>
      <c r="GH4143"/>
      <c r="GI4143"/>
      <c r="GJ4143"/>
      <c r="GK4143"/>
      <c r="GL4143"/>
      <c r="GM4143"/>
      <c r="GN4143"/>
      <c r="GO4143"/>
    </row>
    <row r="4144" spans="107:197">
      <c r="DC4144"/>
      <c r="FH4144"/>
      <c r="FI4144"/>
      <c r="FJ4144"/>
      <c r="FK4144"/>
      <c r="FL4144"/>
      <c r="FM4144"/>
      <c r="FN4144"/>
      <c r="FO4144"/>
      <c r="FP4144"/>
      <c r="FQ4144"/>
      <c r="FR4144"/>
      <c r="FS4144"/>
      <c r="FT4144"/>
      <c r="FU4144"/>
      <c r="FV4144"/>
      <c r="FW4144"/>
      <c r="FX4144"/>
      <c r="FY4144"/>
      <c r="FZ4144"/>
      <c r="GA4144"/>
      <c r="GB4144"/>
      <c r="GC4144"/>
      <c r="GD4144"/>
      <c r="GE4144"/>
      <c r="GF4144"/>
      <c r="GG4144"/>
      <c r="GH4144"/>
      <c r="GI4144"/>
      <c r="GJ4144"/>
      <c r="GK4144"/>
      <c r="GL4144"/>
      <c r="GM4144"/>
      <c r="GN4144"/>
      <c r="GO4144"/>
    </row>
    <row r="4145" spans="107:197">
      <c r="DC4145"/>
      <c r="FH4145"/>
      <c r="FI4145"/>
      <c r="FJ4145"/>
      <c r="FK4145"/>
      <c r="FL4145"/>
      <c r="FM4145"/>
      <c r="FN4145"/>
      <c r="FO4145"/>
      <c r="FP4145"/>
      <c r="FQ4145"/>
      <c r="FR4145"/>
      <c r="FS4145"/>
      <c r="FT4145"/>
      <c r="FU4145"/>
      <c r="FV4145"/>
      <c r="FW4145"/>
      <c r="FX4145"/>
      <c r="FY4145"/>
      <c r="FZ4145"/>
      <c r="GA4145"/>
      <c r="GB4145"/>
      <c r="GC4145"/>
      <c r="GD4145"/>
      <c r="GE4145"/>
      <c r="GF4145"/>
      <c r="GG4145"/>
      <c r="GH4145"/>
      <c r="GI4145"/>
      <c r="GJ4145"/>
      <c r="GK4145"/>
      <c r="GL4145"/>
      <c r="GM4145"/>
      <c r="GN4145"/>
      <c r="GO4145"/>
    </row>
    <row r="4146" spans="107:197">
      <c r="DC4146"/>
      <c r="FH4146"/>
      <c r="FI4146"/>
      <c r="FJ4146"/>
      <c r="FK4146"/>
      <c r="FL4146"/>
      <c r="FM4146"/>
      <c r="FN4146"/>
      <c r="FO4146"/>
      <c r="FP4146"/>
      <c r="FQ4146"/>
      <c r="FR4146"/>
      <c r="FS4146"/>
      <c r="FT4146"/>
      <c r="FU4146"/>
      <c r="FV4146"/>
      <c r="FW4146"/>
      <c r="FX4146"/>
      <c r="FY4146"/>
      <c r="FZ4146"/>
      <c r="GA4146"/>
      <c r="GB4146"/>
      <c r="GC4146"/>
      <c r="GD4146"/>
      <c r="GE4146"/>
      <c r="GF4146"/>
      <c r="GG4146"/>
      <c r="GH4146"/>
      <c r="GI4146"/>
      <c r="GJ4146"/>
      <c r="GK4146"/>
      <c r="GL4146"/>
      <c r="GM4146"/>
      <c r="GN4146"/>
      <c r="GO4146"/>
    </row>
    <row r="4147" spans="107:197">
      <c r="DC4147"/>
      <c r="FH4147"/>
      <c r="FI4147"/>
      <c r="FJ4147"/>
      <c r="FK4147"/>
      <c r="FL4147"/>
      <c r="FM4147"/>
      <c r="FN4147"/>
      <c r="FO4147"/>
      <c r="FP4147"/>
      <c r="FQ4147"/>
      <c r="FR4147"/>
      <c r="FS4147"/>
      <c r="FT4147"/>
      <c r="FU4147"/>
      <c r="FV4147"/>
      <c r="FW4147"/>
      <c r="FX4147"/>
      <c r="FY4147"/>
      <c r="FZ4147"/>
      <c r="GA4147"/>
      <c r="GB4147"/>
      <c r="GC4147"/>
      <c r="GD4147"/>
      <c r="GE4147"/>
      <c r="GF4147"/>
      <c r="GG4147"/>
      <c r="GH4147"/>
      <c r="GI4147"/>
      <c r="GJ4147"/>
      <c r="GK4147"/>
      <c r="GL4147"/>
      <c r="GM4147"/>
      <c r="GN4147"/>
      <c r="GO4147"/>
    </row>
    <row r="4148" spans="107:197">
      <c r="DC4148"/>
      <c r="FH4148"/>
      <c r="FI4148"/>
      <c r="FJ4148"/>
      <c r="FK4148"/>
      <c r="FL4148"/>
      <c r="FM4148"/>
      <c r="FN4148"/>
      <c r="FO4148"/>
      <c r="FP4148"/>
      <c r="FQ4148"/>
      <c r="FR4148"/>
      <c r="FS4148"/>
      <c r="FT4148"/>
      <c r="FU4148"/>
      <c r="FV4148"/>
      <c r="FW4148"/>
      <c r="FX4148"/>
      <c r="FY4148"/>
      <c r="FZ4148"/>
      <c r="GA4148"/>
      <c r="GB4148"/>
      <c r="GC4148"/>
      <c r="GD4148"/>
      <c r="GE4148"/>
      <c r="GF4148"/>
      <c r="GG4148"/>
      <c r="GH4148"/>
      <c r="GI4148"/>
      <c r="GJ4148"/>
      <c r="GK4148"/>
      <c r="GL4148"/>
      <c r="GM4148"/>
      <c r="GN4148"/>
      <c r="GO4148"/>
    </row>
    <row r="4149" spans="107:197">
      <c r="DC4149"/>
      <c r="FH4149"/>
      <c r="FI4149"/>
      <c r="FJ4149"/>
      <c r="FK4149"/>
      <c r="FL4149"/>
      <c r="FM4149"/>
      <c r="FN4149"/>
      <c r="FO4149"/>
      <c r="FP4149"/>
      <c r="FQ4149"/>
      <c r="FR4149"/>
      <c r="FS4149"/>
      <c r="FT4149"/>
      <c r="FU4149"/>
      <c r="FV4149"/>
      <c r="FW4149"/>
      <c r="FX4149"/>
      <c r="FY4149"/>
      <c r="FZ4149"/>
      <c r="GA4149"/>
      <c r="GB4149"/>
      <c r="GC4149"/>
      <c r="GD4149"/>
      <c r="GE4149"/>
      <c r="GF4149"/>
      <c r="GG4149"/>
      <c r="GH4149"/>
      <c r="GI4149"/>
      <c r="GJ4149"/>
      <c r="GK4149"/>
      <c r="GL4149"/>
      <c r="GM4149"/>
      <c r="GN4149"/>
      <c r="GO4149"/>
    </row>
    <row r="4150" spans="107:197">
      <c r="DC4150"/>
      <c r="FH4150"/>
      <c r="FI4150"/>
      <c r="FJ4150"/>
      <c r="FK4150"/>
      <c r="FL4150"/>
      <c r="FM4150"/>
      <c r="FN4150"/>
      <c r="FO4150"/>
      <c r="FP4150"/>
      <c r="FQ4150"/>
      <c r="FR4150"/>
      <c r="FS4150"/>
      <c r="FT4150"/>
      <c r="FU4150"/>
      <c r="FV4150"/>
      <c r="FW4150"/>
      <c r="FX4150"/>
      <c r="FY4150"/>
      <c r="FZ4150"/>
      <c r="GA4150"/>
      <c r="GB4150"/>
      <c r="GC4150"/>
      <c r="GD4150"/>
      <c r="GE4150"/>
      <c r="GF4150"/>
      <c r="GG4150"/>
      <c r="GH4150"/>
      <c r="GI4150"/>
      <c r="GJ4150"/>
      <c r="GK4150"/>
      <c r="GL4150"/>
      <c r="GM4150"/>
      <c r="GN4150"/>
      <c r="GO4150"/>
    </row>
    <row r="4151" spans="107:197">
      <c r="DC4151"/>
      <c r="FH4151"/>
      <c r="FI4151"/>
      <c r="FJ4151"/>
      <c r="FK4151"/>
      <c r="FL4151"/>
      <c r="FM4151"/>
      <c r="FN4151"/>
      <c r="FO4151"/>
      <c r="FP4151"/>
      <c r="FQ4151"/>
      <c r="FR4151"/>
      <c r="FS4151"/>
      <c r="FT4151"/>
      <c r="FU4151"/>
      <c r="FV4151"/>
      <c r="FW4151"/>
      <c r="FX4151"/>
      <c r="FY4151"/>
      <c r="FZ4151"/>
      <c r="GA4151"/>
      <c r="GB4151"/>
      <c r="GC4151"/>
      <c r="GD4151"/>
      <c r="GE4151"/>
      <c r="GF4151"/>
      <c r="GG4151"/>
      <c r="GH4151"/>
      <c r="GI4151"/>
      <c r="GJ4151"/>
      <c r="GK4151"/>
      <c r="GL4151"/>
      <c r="GM4151"/>
      <c r="GN4151"/>
      <c r="GO4151"/>
    </row>
    <row r="4152" spans="107:197">
      <c r="DC4152"/>
      <c r="FH4152"/>
      <c r="FI4152"/>
      <c r="FJ4152"/>
      <c r="FK4152"/>
      <c r="FL4152"/>
      <c r="FM4152"/>
      <c r="FN4152"/>
      <c r="FO4152"/>
      <c r="FP4152"/>
      <c r="FQ4152"/>
      <c r="FR4152"/>
      <c r="FS4152"/>
      <c r="FT4152"/>
      <c r="FU4152"/>
      <c r="FV4152"/>
      <c r="FW4152"/>
      <c r="FX4152"/>
      <c r="FY4152"/>
      <c r="FZ4152"/>
      <c r="GA4152"/>
      <c r="GB4152"/>
      <c r="GC4152"/>
      <c r="GD4152"/>
      <c r="GE4152"/>
      <c r="GF4152"/>
      <c r="GG4152"/>
      <c r="GH4152"/>
      <c r="GI4152"/>
      <c r="GJ4152"/>
      <c r="GK4152"/>
      <c r="GL4152"/>
      <c r="GM4152"/>
      <c r="GN4152"/>
      <c r="GO4152"/>
    </row>
    <row r="4153" spans="107:197">
      <c r="DC4153"/>
      <c r="FH4153"/>
      <c r="FI4153"/>
      <c r="FJ4153"/>
      <c r="FK4153"/>
      <c r="FL4153"/>
      <c r="FM4153"/>
      <c r="FN4153"/>
      <c r="FO4153"/>
      <c r="FP4153"/>
      <c r="FQ4153"/>
      <c r="FR4153"/>
      <c r="FS4153"/>
      <c r="FT4153"/>
      <c r="FU4153"/>
      <c r="FV4153"/>
      <c r="FW4153"/>
      <c r="FX4153"/>
      <c r="FY4153"/>
      <c r="FZ4153"/>
      <c r="GA4153"/>
      <c r="GB4153"/>
      <c r="GC4153"/>
      <c r="GD4153"/>
      <c r="GE4153"/>
      <c r="GF4153"/>
      <c r="GG4153"/>
      <c r="GH4153"/>
      <c r="GI4153"/>
      <c r="GJ4153"/>
      <c r="GK4153"/>
      <c r="GL4153"/>
      <c r="GM4153"/>
      <c r="GN4153"/>
      <c r="GO4153"/>
    </row>
    <row r="4154" spans="107:197">
      <c r="DC4154"/>
      <c r="FH4154"/>
      <c r="FI4154"/>
      <c r="FJ4154"/>
      <c r="FK4154"/>
      <c r="FL4154"/>
      <c r="FM4154"/>
      <c r="FN4154"/>
      <c r="FO4154"/>
      <c r="FP4154"/>
      <c r="FQ4154"/>
      <c r="FR4154"/>
      <c r="FS4154"/>
      <c r="FT4154"/>
      <c r="FU4154"/>
      <c r="FV4154"/>
      <c r="FW4154"/>
      <c r="FX4154"/>
      <c r="FY4154"/>
      <c r="FZ4154"/>
      <c r="GA4154"/>
      <c r="GB4154"/>
      <c r="GC4154"/>
      <c r="GD4154"/>
      <c r="GE4154"/>
      <c r="GF4154"/>
      <c r="GG4154"/>
      <c r="GH4154"/>
      <c r="GI4154"/>
      <c r="GJ4154"/>
      <c r="GK4154"/>
      <c r="GL4154"/>
      <c r="GM4154"/>
      <c r="GN4154"/>
      <c r="GO4154"/>
    </row>
    <row r="4155" spans="107:197">
      <c r="DC4155"/>
      <c r="FH4155"/>
      <c r="FI4155"/>
      <c r="FJ4155"/>
      <c r="FK4155"/>
      <c r="FL4155"/>
      <c r="FM4155"/>
      <c r="FN4155"/>
      <c r="FO4155"/>
      <c r="FP4155"/>
      <c r="FQ4155"/>
      <c r="FR4155"/>
      <c r="FS4155"/>
      <c r="FT4155"/>
      <c r="FU4155"/>
      <c r="FV4155"/>
      <c r="FW4155"/>
      <c r="FX4155"/>
      <c r="FY4155"/>
      <c r="FZ4155"/>
      <c r="GA4155"/>
      <c r="GB4155"/>
      <c r="GC4155"/>
      <c r="GD4155"/>
      <c r="GE4155"/>
      <c r="GF4155"/>
      <c r="GG4155"/>
      <c r="GH4155"/>
      <c r="GI4155"/>
      <c r="GJ4155"/>
      <c r="GK4155"/>
      <c r="GL4155"/>
      <c r="GM4155"/>
      <c r="GN4155"/>
      <c r="GO4155"/>
    </row>
    <row r="4156" spans="107:197">
      <c r="DC4156"/>
      <c r="FH4156"/>
      <c r="FI4156"/>
      <c r="FJ4156"/>
      <c r="FK4156"/>
      <c r="FL4156"/>
      <c r="FM4156"/>
      <c r="FN4156"/>
      <c r="FO4156"/>
      <c r="FP4156"/>
      <c r="FQ4156"/>
      <c r="FR4156"/>
      <c r="FS4156"/>
      <c r="FT4156"/>
      <c r="FU4156"/>
      <c r="FV4156"/>
      <c r="FW4156"/>
      <c r="FX4156"/>
      <c r="FY4156"/>
      <c r="FZ4156"/>
      <c r="GA4156"/>
      <c r="GB4156"/>
      <c r="GC4156"/>
      <c r="GD4156"/>
      <c r="GE4156"/>
      <c r="GF4156"/>
      <c r="GG4156"/>
      <c r="GH4156"/>
      <c r="GI4156"/>
      <c r="GJ4156"/>
      <c r="GK4156"/>
      <c r="GL4156"/>
      <c r="GM4156"/>
      <c r="GN4156"/>
      <c r="GO4156"/>
    </row>
    <row r="4157" spans="107:197">
      <c r="DC4157"/>
      <c r="FH4157"/>
      <c r="FI4157"/>
      <c r="FJ4157"/>
      <c r="FK4157"/>
      <c r="FL4157"/>
      <c r="FM4157"/>
      <c r="FN4157"/>
      <c r="FO4157"/>
      <c r="FP4157"/>
      <c r="FQ4157"/>
      <c r="FR4157"/>
      <c r="FS4157"/>
      <c r="FT4157"/>
      <c r="FU4157"/>
      <c r="FV4157"/>
      <c r="FW4157"/>
      <c r="FX4157"/>
      <c r="FY4157"/>
      <c r="FZ4157"/>
      <c r="GA4157"/>
      <c r="GB4157"/>
      <c r="GC4157"/>
      <c r="GD4157"/>
      <c r="GE4157"/>
      <c r="GF4157"/>
      <c r="GG4157"/>
      <c r="GH4157"/>
      <c r="GI4157"/>
      <c r="GJ4157"/>
      <c r="GK4157"/>
      <c r="GL4157"/>
      <c r="GM4157"/>
      <c r="GN4157"/>
      <c r="GO4157"/>
    </row>
    <row r="4158" spans="107:197">
      <c r="DC4158"/>
      <c r="FH4158"/>
      <c r="FI4158"/>
      <c r="FJ4158"/>
      <c r="FK4158"/>
      <c r="FL4158"/>
      <c r="FM4158"/>
      <c r="FN4158"/>
      <c r="FO4158"/>
      <c r="FP4158"/>
      <c r="FQ4158"/>
      <c r="FR4158"/>
      <c r="FS4158"/>
      <c r="FT4158"/>
      <c r="FU4158"/>
      <c r="FV4158"/>
      <c r="FW4158"/>
      <c r="FX4158"/>
      <c r="FY4158"/>
      <c r="FZ4158"/>
      <c r="GA4158"/>
      <c r="GB4158"/>
      <c r="GC4158"/>
      <c r="GD4158"/>
      <c r="GE4158"/>
      <c r="GF4158"/>
      <c r="GG4158"/>
      <c r="GH4158"/>
      <c r="GI4158"/>
      <c r="GJ4158"/>
      <c r="GK4158"/>
      <c r="GL4158"/>
      <c r="GM4158"/>
      <c r="GN4158"/>
      <c r="GO4158"/>
    </row>
    <row r="4159" spans="107:197">
      <c r="DC4159"/>
      <c r="FH4159"/>
      <c r="FI4159"/>
      <c r="FJ4159"/>
      <c r="FK4159"/>
      <c r="FL4159"/>
      <c r="FM4159"/>
      <c r="FN4159"/>
      <c r="FO4159"/>
      <c r="FP4159"/>
      <c r="FQ4159"/>
      <c r="FR4159"/>
      <c r="FS4159"/>
      <c r="FT4159"/>
      <c r="FU4159"/>
      <c r="FV4159"/>
      <c r="FW4159"/>
      <c r="FX4159"/>
      <c r="FY4159"/>
      <c r="FZ4159"/>
      <c r="GA4159"/>
      <c r="GB4159"/>
      <c r="GC4159"/>
      <c r="GD4159"/>
      <c r="GE4159"/>
      <c r="GF4159"/>
      <c r="GG4159"/>
      <c r="GH4159"/>
      <c r="GI4159"/>
      <c r="GJ4159"/>
      <c r="GK4159"/>
      <c r="GL4159"/>
      <c r="GM4159"/>
      <c r="GN4159"/>
      <c r="GO4159"/>
    </row>
    <row r="4160" spans="107:197">
      <c r="DC4160"/>
      <c r="FH4160"/>
      <c r="FI4160"/>
      <c r="FJ4160"/>
      <c r="FK4160"/>
      <c r="FL4160"/>
      <c r="FM4160"/>
      <c r="FN4160"/>
      <c r="FO4160"/>
      <c r="FP4160"/>
      <c r="FQ4160"/>
      <c r="FR4160"/>
      <c r="FS4160"/>
      <c r="FT4160"/>
      <c r="FU4160"/>
      <c r="FV4160"/>
      <c r="FW4160"/>
      <c r="FX4160"/>
      <c r="FY4160"/>
      <c r="FZ4160"/>
      <c r="GA4160"/>
      <c r="GB4160"/>
      <c r="GC4160"/>
      <c r="GD4160"/>
      <c r="GE4160"/>
      <c r="GF4160"/>
      <c r="GG4160"/>
      <c r="GH4160"/>
      <c r="GI4160"/>
      <c r="GJ4160"/>
      <c r="GK4160"/>
      <c r="GL4160"/>
      <c r="GM4160"/>
      <c r="GN4160"/>
      <c r="GO4160"/>
    </row>
    <row r="4161" spans="107:197">
      <c r="DC4161"/>
      <c r="FH4161"/>
      <c r="FI4161"/>
      <c r="FJ4161"/>
      <c r="FK4161"/>
      <c r="FL4161"/>
      <c r="FM4161"/>
      <c r="FN4161"/>
      <c r="FO4161"/>
      <c r="FP4161"/>
      <c r="FQ4161"/>
      <c r="FR4161"/>
      <c r="FS4161"/>
      <c r="FT4161"/>
      <c r="FU4161"/>
      <c r="FV4161"/>
      <c r="FW4161"/>
      <c r="FX4161"/>
      <c r="FY4161"/>
      <c r="FZ4161"/>
      <c r="GA4161"/>
      <c r="GB4161"/>
      <c r="GC4161"/>
      <c r="GD4161"/>
      <c r="GE4161"/>
      <c r="GF4161"/>
      <c r="GG4161"/>
      <c r="GH4161"/>
      <c r="GI4161"/>
      <c r="GJ4161"/>
      <c r="GK4161"/>
      <c r="GL4161"/>
      <c r="GM4161"/>
      <c r="GN4161"/>
      <c r="GO4161"/>
    </row>
    <row r="4162" spans="107:197">
      <c r="DC4162"/>
      <c r="FH4162"/>
      <c r="FI4162"/>
      <c r="FJ4162"/>
      <c r="FK4162"/>
      <c r="FL4162"/>
      <c r="FM4162"/>
      <c r="FN4162"/>
      <c r="FO4162"/>
      <c r="FP4162"/>
      <c r="FQ4162"/>
      <c r="FR4162"/>
      <c r="FS4162"/>
      <c r="FT4162"/>
      <c r="FU4162"/>
      <c r="FV4162"/>
      <c r="FW4162"/>
      <c r="FX4162"/>
      <c r="FY4162"/>
      <c r="FZ4162"/>
      <c r="GA4162"/>
      <c r="GB4162"/>
      <c r="GC4162"/>
      <c r="GD4162"/>
      <c r="GE4162"/>
      <c r="GF4162"/>
      <c r="GG4162"/>
      <c r="GH4162"/>
      <c r="GI4162"/>
      <c r="GJ4162"/>
      <c r="GK4162"/>
      <c r="GL4162"/>
      <c r="GM4162"/>
      <c r="GN4162"/>
      <c r="GO4162"/>
    </row>
    <row r="4163" spans="107:197">
      <c r="DC4163"/>
      <c r="FH4163"/>
      <c r="FI4163"/>
      <c r="FJ4163"/>
      <c r="FK4163"/>
      <c r="FL4163"/>
      <c r="FM4163"/>
      <c r="FN4163"/>
      <c r="FO4163"/>
      <c r="FP4163"/>
      <c r="FQ4163"/>
      <c r="FR4163"/>
      <c r="FS4163"/>
      <c r="FT4163"/>
      <c r="FU4163"/>
      <c r="FV4163"/>
      <c r="FW4163"/>
      <c r="FX4163"/>
      <c r="FY4163"/>
      <c r="FZ4163"/>
      <c r="GA4163"/>
      <c r="GB4163"/>
      <c r="GC4163"/>
      <c r="GD4163"/>
      <c r="GE4163"/>
      <c r="GF4163"/>
      <c r="GG4163"/>
      <c r="GH4163"/>
      <c r="GI4163"/>
      <c r="GJ4163"/>
      <c r="GK4163"/>
      <c r="GL4163"/>
      <c r="GM4163"/>
      <c r="GN4163"/>
      <c r="GO4163"/>
    </row>
    <row r="4164" spans="107:197">
      <c r="DC4164"/>
      <c r="FH4164"/>
      <c r="FI4164"/>
      <c r="FJ4164"/>
      <c r="FK4164"/>
      <c r="FL4164"/>
      <c r="FM4164"/>
      <c r="FN4164"/>
      <c r="FO4164"/>
      <c r="FP4164"/>
      <c r="FQ4164"/>
      <c r="FR4164"/>
      <c r="FS4164"/>
      <c r="FT4164"/>
      <c r="FU4164"/>
      <c r="FV4164"/>
      <c r="FW4164"/>
      <c r="FX4164"/>
      <c r="FY4164"/>
      <c r="FZ4164"/>
      <c r="GA4164"/>
      <c r="GB4164"/>
      <c r="GC4164"/>
      <c r="GD4164"/>
      <c r="GE4164"/>
      <c r="GF4164"/>
      <c r="GG4164"/>
      <c r="GH4164"/>
      <c r="GI4164"/>
      <c r="GJ4164"/>
      <c r="GK4164"/>
      <c r="GL4164"/>
      <c r="GM4164"/>
      <c r="GN4164"/>
      <c r="GO4164"/>
    </row>
    <row r="4165" spans="107:197">
      <c r="DC4165"/>
      <c r="FH4165"/>
      <c r="FI4165"/>
      <c r="FJ4165"/>
      <c r="FK4165"/>
      <c r="FL4165"/>
      <c r="FM4165"/>
      <c r="FN4165"/>
      <c r="FO4165"/>
      <c r="FP4165"/>
      <c r="FQ4165"/>
      <c r="FR4165"/>
      <c r="FS4165"/>
      <c r="FT4165"/>
      <c r="FU4165"/>
      <c r="FV4165"/>
      <c r="FW4165"/>
      <c r="FX4165"/>
      <c r="FY4165"/>
      <c r="FZ4165"/>
      <c r="GA4165"/>
      <c r="GB4165"/>
      <c r="GC4165"/>
      <c r="GD4165"/>
      <c r="GE4165"/>
      <c r="GF4165"/>
      <c r="GG4165"/>
      <c r="GH4165"/>
      <c r="GI4165"/>
      <c r="GJ4165"/>
      <c r="GK4165"/>
      <c r="GL4165"/>
      <c r="GM4165"/>
      <c r="GN4165"/>
      <c r="GO4165"/>
    </row>
    <row r="4166" spans="107:197">
      <c r="DC4166"/>
      <c r="FH4166"/>
      <c r="FI4166"/>
      <c r="FJ4166"/>
      <c r="FK4166"/>
      <c r="FL4166"/>
      <c r="FM4166"/>
      <c r="FN4166"/>
      <c r="FO4166"/>
      <c r="FP4166"/>
      <c r="FQ4166"/>
      <c r="FR4166"/>
      <c r="FS4166"/>
      <c r="FT4166"/>
      <c r="FU4166"/>
      <c r="FV4166"/>
      <c r="FW4166"/>
      <c r="FX4166"/>
      <c r="FY4166"/>
      <c r="FZ4166"/>
      <c r="GA4166"/>
      <c r="GB4166"/>
      <c r="GC4166"/>
      <c r="GD4166"/>
      <c r="GE4166"/>
      <c r="GF4166"/>
      <c r="GG4166"/>
      <c r="GH4166"/>
      <c r="GI4166"/>
      <c r="GJ4166"/>
      <c r="GK4166"/>
      <c r="GL4166"/>
      <c r="GM4166"/>
      <c r="GN4166"/>
      <c r="GO4166"/>
    </row>
    <row r="4167" spans="107:197">
      <c r="DC4167"/>
      <c r="FH4167"/>
      <c r="FI4167"/>
      <c r="FJ4167"/>
      <c r="FK4167"/>
      <c r="FL4167"/>
      <c r="FM4167"/>
      <c r="FN4167"/>
      <c r="FO4167"/>
      <c r="FP4167"/>
      <c r="FQ4167"/>
      <c r="FR4167"/>
      <c r="FS4167"/>
      <c r="FT4167"/>
      <c r="FU4167"/>
      <c r="FV4167"/>
      <c r="FW4167"/>
      <c r="FX4167"/>
      <c r="FY4167"/>
      <c r="FZ4167"/>
      <c r="GA4167"/>
      <c r="GB4167"/>
      <c r="GC4167"/>
      <c r="GD4167"/>
      <c r="GE4167"/>
      <c r="GF4167"/>
      <c r="GG4167"/>
      <c r="GH4167"/>
      <c r="GI4167"/>
      <c r="GJ4167"/>
      <c r="GK4167"/>
      <c r="GL4167"/>
      <c r="GM4167"/>
      <c r="GN4167"/>
      <c r="GO4167"/>
    </row>
    <row r="4168" spans="107:197">
      <c r="DC4168"/>
      <c r="FH4168"/>
      <c r="FI4168"/>
      <c r="FJ4168"/>
      <c r="FK4168"/>
      <c r="FL4168"/>
      <c r="FM4168"/>
      <c r="FN4168"/>
      <c r="FO4168"/>
      <c r="FP4168"/>
      <c r="FQ4168"/>
      <c r="FR4168"/>
      <c r="FS4168"/>
      <c r="FT4168"/>
      <c r="FU4168"/>
      <c r="FV4168"/>
      <c r="FW4168"/>
      <c r="FX4168"/>
      <c r="FY4168"/>
      <c r="FZ4168"/>
      <c r="GA4168"/>
      <c r="GB4168"/>
      <c r="GC4168"/>
      <c r="GD4168"/>
      <c r="GE4168"/>
      <c r="GF4168"/>
      <c r="GG4168"/>
      <c r="GH4168"/>
      <c r="GI4168"/>
      <c r="GJ4168"/>
      <c r="GK4168"/>
      <c r="GL4168"/>
      <c r="GM4168"/>
      <c r="GN4168"/>
      <c r="GO4168"/>
    </row>
    <row r="4169" spans="107:197">
      <c r="DC4169"/>
      <c r="FH4169"/>
      <c r="FI4169"/>
      <c r="FJ4169"/>
      <c r="FK4169"/>
      <c r="FL4169"/>
      <c r="FM4169"/>
      <c r="FN4169"/>
      <c r="FO4169"/>
      <c r="FP4169"/>
      <c r="FQ4169"/>
      <c r="FR4169"/>
      <c r="FS4169"/>
      <c r="FT4169"/>
      <c r="FU4169"/>
      <c r="FV4169"/>
      <c r="FW4169"/>
      <c r="FX4169"/>
      <c r="FY4169"/>
      <c r="FZ4169"/>
      <c r="GA4169"/>
      <c r="GB4169"/>
      <c r="GC4169"/>
      <c r="GD4169"/>
      <c r="GE4169"/>
      <c r="GF4169"/>
      <c r="GG4169"/>
      <c r="GH4169"/>
      <c r="GI4169"/>
      <c r="GJ4169"/>
      <c r="GK4169"/>
      <c r="GL4169"/>
      <c r="GM4169"/>
      <c r="GN4169"/>
      <c r="GO4169"/>
    </row>
    <row r="4170" spans="107:197">
      <c r="DC4170"/>
      <c r="FH4170"/>
      <c r="FI4170"/>
      <c r="FJ4170"/>
      <c r="FK4170"/>
      <c r="FL4170"/>
      <c r="FM4170"/>
      <c r="FN4170"/>
      <c r="FO4170"/>
      <c r="FP4170"/>
      <c r="FQ4170"/>
      <c r="FR4170"/>
      <c r="FS4170"/>
      <c r="FT4170"/>
      <c r="FU4170"/>
      <c r="FV4170"/>
      <c r="FW4170"/>
      <c r="FX4170"/>
      <c r="FY4170"/>
      <c r="FZ4170"/>
      <c r="GA4170"/>
      <c r="GB4170"/>
      <c r="GC4170"/>
      <c r="GD4170"/>
      <c r="GE4170"/>
      <c r="GF4170"/>
      <c r="GG4170"/>
      <c r="GH4170"/>
      <c r="GI4170"/>
      <c r="GJ4170"/>
      <c r="GK4170"/>
      <c r="GL4170"/>
      <c r="GM4170"/>
      <c r="GN4170"/>
      <c r="GO4170"/>
    </row>
    <row r="4171" spans="107:197">
      <c r="DC4171"/>
      <c r="FH4171"/>
      <c r="FI4171"/>
      <c r="FJ4171"/>
      <c r="FK4171"/>
      <c r="FL4171"/>
      <c r="FM4171"/>
      <c r="FN4171"/>
      <c r="FO4171"/>
      <c r="FP4171"/>
      <c r="FQ4171"/>
      <c r="FR4171"/>
      <c r="FS4171"/>
      <c r="FT4171"/>
      <c r="FU4171"/>
      <c r="FV4171"/>
      <c r="FW4171"/>
      <c r="FX4171"/>
      <c r="FY4171"/>
      <c r="FZ4171"/>
      <c r="GA4171"/>
      <c r="GB4171"/>
      <c r="GC4171"/>
      <c r="GD4171"/>
      <c r="GE4171"/>
      <c r="GF4171"/>
      <c r="GG4171"/>
      <c r="GH4171"/>
      <c r="GI4171"/>
      <c r="GJ4171"/>
      <c r="GK4171"/>
      <c r="GL4171"/>
      <c r="GM4171"/>
      <c r="GN4171"/>
      <c r="GO4171"/>
    </row>
    <row r="4172" spans="107:197">
      <c r="DC4172"/>
      <c r="FH4172"/>
      <c r="FI4172"/>
      <c r="FJ4172"/>
      <c r="FK4172"/>
      <c r="FL4172"/>
      <c r="FM4172"/>
      <c r="FN4172"/>
      <c r="FO4172"/>
      <c r="FP4172"/>
      <c r="FQ4172"/>
      <c r="FR4172"/>
      <c r="FS4172"/>
      <c r="FT4172"/>
      <c r="FU4172"/>
      <c r="FV4172"/>
      <c r="FW4172"/>
      <c r="FX4172"/>
      <c r="FY4172"/>
      <c r="FZ4172"/>
      <c r="GA4172"/>
      <c r="GB4172"/>
      <c r="GC4172"/>
      <c r="GD4172"/>
      <c r="GE4172"/>
      <c r="GF4172"/>
      <c r="GG4172"/>
      <c r="GH4172"/>
      <c r="GI4172"/>
      <c r="GJ4172"/>
      <c r="GK4172"/>
      <c r="GL4172"/>
      <c r="GM4172"/>
      <c r="GN4172"/>
      <c r="GO4172"/>
    </row>
    <row r="4173" spans="107:197">
      <c r="DC4173"/>
      <c r="FH4173"/>
      <c r="FI4173"/>
      <c r="FJ4173"/>
      <c r="FK4173"/>
      <c r="FL4173"/>
      <c r="FM4173"/>
      <c r="FN4173"/>
      <c r="FO4173"/>
      <c r="FP4173"/>
      <c r="FQ4173"/>
      <c r="FR4173"/>
      <c r="FS4173"/>
      <c r="FT4173"/>
      <c r="FU4173"/>
      <c r="FV4173"/>
      <c r="FW4173"/>
      <c r="FX4173"/>
      <c r="FY4173"/>
      <c r="FZ4173"/>
      <c r="GA4173"/>
      <c r="GB4173"/>
      <c r="GC4173"/>
      <c r="GD4173"/>
      <c r="GE4173"/>
      <c r="GF4173"/>
      <c r="GG4173"/>
      <c r="GH4173"/>
      <c r="GI4173"/>
      <c r="GJ4173"/>
      <c r="GK4173"/>
      <c r="GL4173"/>
      <c r="GM4173"/>
      <c r="GN4173"/>
      <c r="GO4173"/>
    </row>
    <row r="4174" spans="107:197">
      <c r="DC4174"/>
      <c r="FH4174"/>
      <c r="FI4174"/>
      <c r="FJ4174"/>
      <c r="FK4174"/>
      <c r="FL4174"/>
      <c r="FM4174"/>
      <c r="FN4174"/>
      <c r="FO4174"/>
      <c r="FP4174"/>
      <c r="FQ4174"/>
      <c r="FR4174"/>
      <c r="FS4174"/>
      <c r="FT4174"/>
      <c r="FU4174"/>
      <c r="FV4174"/>
      <c r="FW4174"/>
      <c r="FX4174"/>
      <c r="FY4174"/>
      <c r="FZ4174"/>
      <c r="GA4174"/>
      <c r="GB4174"/>
      <c r="GC4174"/>
      <c r="GD4174"/>
      <c r="GE4174"/>
      <c r="GF4174"/>
      <c r="GG4174"/>
      <c r="GH4174"/>
      <c r="GI4174"/>
      <c r="GJ4174"/>
      <c r="GK4174"/>
      <c r="GL4174"/>
      <c r="GM4174"/>
      <c r="GN4174"/>
      <c r="GO4174"/>
    </row>
    <row r="4175" spans="107:197">
      <c r="DC4175"/>
      <c r="FH4175"/>
      <c r="FI4175"/>
      <c r="FJ4175"/>
      <c r="FK4175"/>
      <c r="FL4175"/>
      <c r="FM4175"/>
      <c r="FN4175"/>
      <c r="FO4175"/>
      <c r="FP4175"/>
      <c r="FQ4175"/>
      <c r="FR4175"/>
      <c r="FS4175"/>
      <c r="FT4175"/>
      <c r="FU4175"/>
      <c r="FV4175"/>
      <c r="FW4175"/>
      <c r="FX4175"/>
      <c r="FY4175"/>
      <c r="FZ4175"/>
      <c r="GA4175"/>
      <c r="GB4175"/>
      <c r="GC4175"/>
      <c r="GD4175"/>
      <c r="GE4175"/>
      <c r="GF4175"/>
      <c r="GG4175"/>
      <c r="GH4175"/>
      <c r="GI4175"/>
      <c r="GJ4175"/>
      <c r="GK4175"/>
      <c r="GL4175"/>
      <c r="GM4175"/>
      <c r="GN4175"/>
      <c r="GO4175"/>
    </row>
    <row r="4176" spans="107:197">
      <c r="DC4176"/>
      <c r="FH4176"/>
      <c r="FI4176"/>
      <c r="FJ4176"/>
      <c r="FK4176"/>
      <c r="FL4176"/>
      <c r="FM4176"/>
      <c r="FN4176"/>
      <c r="FO4176"/>
      <c r="FP4176"/>
      <c r="FQ4176"/>
      <c r="FR4176"/>
      <c r="FS4176"/>
      <c r="FT4176"/>
      <c r="FU4176"/>
      <c r="FV4176"/>
      <c r="FW4176"/>
      <c r="FX4176"/>
      <c r="FY4176"/>
      <c r="FZ4176"/>
      <c r="GA4176"/>
      <c r="GB4176"/>
      <c r="GC4176"/>
      <c r="GD4176"/>
      <c r="GE4176"/>
      <c r="GF4176"/>
      <c r="GG4176"/>
      <c r="GH4176"/>
      <c r="GI4176"/>
      <c r="GJ4176"/>
      <c r="GK4176"/>
      <c r="GL4176"/>
      <c r="GM4176"/>
      <c r="GN4176"/>
      <c r="GO4176"/>
    </row>
    <row r="4177" spans="107:197">
      <c r="DC4177"/>
      <c r="FH4177"/>
      <c r="FI4177"/>
      <c r="FJ4177"/>
      <c r="FK4177"/>
      <c r="FL4177"/>
      <c r="FM4177"/>
      <c r="FN4177"/>
      <c r="FO4177"/>
      <c r="FP4177"/>
      <c r="FQ4177"/>
      <c r="FR4177"/>
      <c r="FS4177"/>
      <c r="FT4177"/>
      <c r="FU4177"/>
      <c r="FV4177"/>
      <c r="FW4177"/>
      <c r="FX4177"/>
      <c r="FY4177"/>
      <c r="FZ4177"/>
      <c r="GA4177"/>
      <c r="GB4177"/>
      <c r="GC4177"/>
      <c r="GD4177"/>
      <c r="GE4177"/>
      <c r="GF4177"/>
      <c r="GG4177"/>
      <c r="GH4177"/>
      <c r="GI4177"/>
      <c r="GJ4177"/>
      <c r="GK4177"/>
      <c r="GL4177"/>
      <c r="GM4177"/>
      <c r="GN4177"/>
      <c r="GO4177"/>
    </row>
    <row r="4178" spans="107:197">
      <c r="DC4178"/>
      <c r="FH4178"/>
      <c r="FI4178"/>
      <c r="FJ4178"/>
      <c r="FK4178"/>
      <c r="FL4178"/>
      <c r="FM4178"/>
      <c r="FN4178"/>
      <c r="FO4178"/>
      <c r="FP4178"/>
      <c r="FQ4178"/>
      <c r="FR4178"/>
      <c r="FS4178"/>
      <c r="FT4178"/>
      <c r="FU4178"/>
      <c r="FV4178"/>
      <c r="FW4178"/>
      <c r="FX4178"/>
      <c r="FY4178"/>
      <c r="FZ4178"/>
      <c r="GA4178"/>
      <c r="GB4178"/>
      <c r="GC4178"/>
      <c r="GD4178"/>
      <c r="GE4178"/>
      <c r="GF4178"/>
      <c r="GG4178"/>
      <c r="GH4178"/>
      <c r="GI4178"/>
      <c r="GJ4178"/>
      <c r="GK4178"/>
      <c r="GL4178"/>
      <c r="GM4178"/>
      <c r="GN4178"/>
      <c r="GO4178"/>
    </row>
    <row r="4179" spans="107:197">
      <c r="DC4179"/>
      <c r="FH4179"/>
      <c r="FI4179"/>
      <c r="FJ4179"/>
      <c r="FK4179"/>
      <c r="FL4179"/>
      <c r="FM4179"/>
      <c r="FN4179"/>
      <c r="FO4179"/>
      <c r="FP4179"/>
      <c r="FQ4179"/>
      <c r="FR4179"/>
      <c r="FS4179"/>
      <c r="FT4179"/>
      <c r="FU4179"/>
      <c r="FV4179"/>
      <c r="FW4179"/>
      <c r="FX4179"/>
      <c r="FY4179"/>
      <c r="FZ4179"/>
      <c r="GA4179"/>
      <c r="GB4179"/>
      <c r="GC4179"/>
      <c r="GD4179"/>
      <c r="GE4179"/>
      <c r="GF4179"/>
      <c r="GG4179"/>
      <c r="GH4179"/>
      <c r="GI4179"/>
      <c r="GJ4179"/>
      <c r="GK4179"/>
      <c r="GL4179"/>
      <c r="GM4179"/>
      <c r="GN4179"/>
      <c r="GO4179"/>
    </row>
    <row r="4180" spans="107:197">
      <c r="DC4180"/>
      <c r="FH4180"/>
      <c r="FI4180"/>
      <c r="FJ4180"/>
      <c r="FK4180"/>
      <c r="FL4180"/>
      <c r="FM4180"/>
      <c r="FN4180"/>
      <c r="FO4180"/>
      <c r="FP4180"/>
      <c r="FQ4180"/>
      <c r="FR4180"/>
      <c r="FS4180"/>
      <c r="FT4180"/>
      <c r="FU4180"/>
      <c r="FV4180"/>
      <c r="FW4180"/>
      <c r="FX4180"/>
      <c r="FY4180"/>
      <c r="FZ4180"/>
      <c r="GA4180"/>
      <c r="GB4180"/>
      <c r="GC4180"/>
      <c r="GD4180"/>
      <c r="GE4180"/>
      <c r="GF4180"/>
      <c r="GG4180"/>
      <c r="GH4180"/>
      <c r="GI4180"/>
      <c r="GJ4180"/>
      <c r="GK4180"/>
      <c r="GL4180"/>
      <c r="GM4180"/>
      <c r="GN4180"/>
      <c r="GO4180"/>
    </row>
    <row r="4181" spans="107:197">
      <c r="DC4181"/>
      <c r="FH4181"/>
      <c r="FI4181"/>
      <c r="FJ4181"/>
      <c r="FK4181"/>
      <c r="FL4181"/>
      <c r="FM4181"/>
      <c r="FN4181"/>
      <c r="FO4181"/>
      <c r="FP4181"/>
      <c r="FQ4181"/>
      <c r="FR4181"/>
      <c r="FS4181"/>
      <c r="FT4181"/>
      <c r="FU4181"/>
      <c r="FV4181"/>
      <c r="FW4181"/>
      <c r="FX4181"/>
      <c r="FY4181"/>
      <c r="FZ4181"/>
      <c r="GA4181"/>
      <c r="GB4181"/>
      <c r="GC4181"/>
      <c r="GD4181"/>
      <c r="GE4181"/>
      <c r="GF4181"/>
      <c r="GG4181"/>
      <c r="GH4181"/>
      <c r="GI4181"/>
      <c r="GJ4181"/>
      <c r="GK4181"/>
      <c r="GL4181"/>
      <c r="GM4181"/>
      <c r="GN4181"/>
      <c r="GO4181"/>
    </row>
    <row r="4182" spans="107:197">
      <c r="DC4182"/>
      <c r="FH4182"/>
      <c r="FI4182"/>
      <c r="FJ4182"/>
      <c r="FK4182"/>
      <c r="FL4182"/>
      <c r="FM4182"/>
      <c r="FN4182"/>
      <c r="FO4182"/>
      <c r="FP4182"/>
      <c r="FQ4182"/>
      <c r="FR4182"/>
      <c r="FS4182"/>
      <c r="FT4182"/>
      <c r="FU4182"/>
      <c r="FV4182"/>
      <c r="FW4182"/>
      <c r="FX4182"/>
      <c r="FY4182"/>
      <c r="FZ4182"/>
      <c r="GA4182"/>
      <c r="GB4182"/>
      <c r="GC4182"/>
      <c r="GD4182"/>
      <c r="GE4182"/>
      <c r="GF4182"/>
      <c r="GG4182"/>
      <c r="GH4182"/>
      <c r="GI4182"/>
      <c r="GJ4182"/>
      <c r="GK4182"/>
      <c r="GL4182"/>
      <c r="GM4182"/>
      <c r="GN4182"/>
      <c r="GO4182"/>
    </row>
    <row r="4183" spans="107:197">
      <c r="DC4183"/>
      <c r="FH4183"/>
      <c r="FI4183"/>
      <c r="FJ4183"/>
      <c r="FK4183"/>
      <c r="FL4183"/>
      <c r="FM4183"/>
      <c r="FN4183"/>
      <c r="FO4183"/>
      <c r="FP4183"/>
      <c r="FQ4183"/>
      <c r="FR4183"/>
      <c r="FS4183"/>
      <c r="FT4183"/>
      <c r="FU4183"/>
      <c r="FV4183"/>
      <c r="FW4183"/>
      <c r="FX4183"/>
      <c r="FY4183"/>
      <c r="FZ4183"/>
      <c r="GA4183"/>
      <c r="GB4183"/>
      <c r="GC4183"/>
      <c r="GD4183"/>
      <c r="GE4183"/>
      <c r="GF4183"/>
      <c r="GG4183"/>
      <c r="GH4183"/>
      <c r="GI4183"/>
      <c r="GJ4183"/>
      <c r="GK4183"/>
      <c r="GL4183"/>
      <c r="GM4183"/>
      <c r="GN4183"/>
      <c r="GO4183"/>
    </row>
    <row r="4184" spans="107:197">
      <c r="DC4184"/>
      <c r="FH4184"/>
      <c r="FI4184"/>
      <c r="FJ4184"/>
      <c r="FK4184"/>
      <c r="FL4184"/>
      <c r="FM4184"/>
      <c r="FN4184"/>
      <c r="FO4184"/>
      <c r="FP4184"/>
      <c r="FQ4184"/>
      <c r="FR4184"/>
      <c r="FS4184"/>
      <c r="FT4184"/>
      <c r="FU4184"/>
      <c r="FV4184"/>
      <c r="FW4184"/>
      <c r="FX4184"/>
      <c r="FY4184"/>
      <c r="FZ4184"/>
      <c r="GA4184"/>
      <c r="GB4184"/>
      <c r="GC4184"/>
      <c r="GD4184"/>
      <c r="GE4184"/>
      <c r="GF4184"/>
      <c r="GG4184"/>
      <c r="GH4184"/>
      <c r="GI4184"/>
      <c r="GJ4184"/>
      <c r="GK4184"/>
      <c r="GL4184"/>
      <c r="GM4184"/>
      <c r="GN4184"/>
      <c r="GO4184"/>
    </row>
    <row r="4185" spans="107:197">
      <c r="DC4185"/>
      <c r="FH4185"/>
      <c r="FI4185"/>
      <c r="FJ4185"/>
      <c r="FK4185"/>
      <c r="FL4185"/>
      <c r="FM4185"/>
      <c r="FN4185"/>
      <c r="FO4185"/>
      <c r="FP4185"/>
      <c r="FQ4185"/>
      <c r="FR4185"/>
      <c r="FS4185"/>
      <c r="FT4185"/>
      <c r="FU4185"/>
      <c r="FV4185"/>
      <c r="FW4185"/>
      <c r="FX4185"/>
      <c r="FY4185"/>
      <c r="FZ4185"/>
      <c r="GA4185"/>
      <c r="GB4185"/>
      <c r="GC4185"/>
      <c r="GD4185"/>
      <c r="GE4185"/>
      <c r="GF4185"/>
      <c r="GG4185"/>
      <c r="GH4185"/>
      <c r="GI4185"/>
      <c r="GJ4185"/>
      <c r="GK4185"/>
      <c r="GL4185"/>
      <c r="GM4185"/>
      <c r="GN4185"/>
      <c r="GO4185"/>
    </row>
    <row r="4186" spans="107:197">
      <c r="DC4186"/>
      <c r="FH4186"/>
      <c r="FI4186"/>
      <c r="FJ4186"/>
      <c r="FK4186"/>
      <c r="FL4186"/>
      <c r="FM4186"/>
      <c r="FN4186"/>
      <c r="FO4186"/>
      <c r="FP4186"/>
      <c r="FQ4186"/>
      <c r="FR4186"/>
      <c r="FS4186"/>
      <c r="FT4186"/>
      <c r="FU4186"/>
      <c r="FV4186"/>
      <c r="FW4186"/>
      <c r="FX4186"/>
      <c r="FY4186"/>
      <c r="FZ4186"/>
      <c r="GA4186"/>
      <c r="GB4186"/>
      <c r="GC4186"/>
      <c r="GD4186"/>
      <c r="GE4186"/>
      <c r="GF4186"/>
      <c r="GG4186"/>
      <c r="GH4186"/>
      <c r="GI4186"/>
      <c r="GJ4186"/>
      <c r="GK4186"/>
      <c r="GL4186"/>
      <c r="GM4186"/>
      <c r="GN4186"/>
      <c r="GO4186"/>
    </row>
    <row r="4187" spans="107:197">
      <c r="DC4187"/>
      <c r="FH4187"/>
      <c r="FI4187"/>
      <c r="FJ4187"/>
      <c r="FK4187"/>
      <c r="FL4187"/>
      <c r="FM4187"/>
      <c r="FN4187"/>
      <c r="FO4187"/>
      <c r="FP4187"/>
      <c r="FQ4187"/>
      <c r="FR4187"/>
      <c r="FS4187"/>
      <c r="FT4187"/>
      <c r="FU4187"/>
      <c r="FV4187"/>
      <c r="FW4187"/>
      <c r="FX4187"/>
      <c r="FY4187"/>
      <c r="FZ4187"/>
      <c r="GA4187"/>
      <c r="GB4187"/>
      <c r="GC4187"/>
      <c r="GD4187"/>
      <c r="GE4187"/>
      <c r="GF4187"/>
      <c r="GG4187"/>
      <c r="GH4187"/>
      <c r="GI4187"/>
      <c r="GJ4187"/>
      <c r="GK4187"/>
      <c r="GL4187"/>
      <c r="GM4187"/>
      <c r="GN4187"/>
      <c r="GO4187"/>
    </row>
    <row r="4188" spans="107:197">
      <c r="DC4188"/>
      <c r="FH4188"/>
      <c r="FI4188"/>
      <c r="FJ4188"/>
      <c r="FK4188"/>
      <c r="FL4188"/>
      <c r="FM4188"/>
      <c r="FN4188"/>
      <c r="FO4188"/>
      <c r="FP4188"/>
      <c r="FQ4188"/>
      <c r="FR4188"/>
      <c r="FS4188"/>
      <c r="FT4188"/>
      <c r="FU4188"/>
      <c r="FV4188"/>
      <c r="FW4188"/>
      <c r="FX4188"/>
      <c r="FY4188"/>
      <c r="FZ4188"/>
      <c r="GA4188"/>
      <c r="GB4188"/>
      <c r="GC4188"/>
      <c r="GD4188"/>
      <c r="GE4188"/>
      <c r="GF4188"/>
      <c r="GG4188"/>
      <c r="GH4188"/>
      <c r="GI4188"/>
      <c r="GJ4188"/>
      <c r="GK4188"/>
      <c r="GL4188"/>
      <c r="GM4188"/>
      <c r="GN4188"/>
      <c r="GO4188"/>
    </row>
    <row r="4189" spans="107:197">
      <c r="DC4189"/>
      <c r="FH4189"/>
      <c r="FI4189"/>
      <c r="FJ4189"/>
      <c r="FK4189"/>
      <c r="FL4189"/>
      <c r="FM4189"/>
      <c r="FN4189"/>
      <c r="FO4189"/>
      <c r="FP4189"/>
      <c r="FQ4189"/>
      <c r="FR4189"/>
      <c r="FS4189"/>
      <c r="FT4189"/>
      <c r="FU4189"/>
      <c r="FV4189"/>
      <c r="FW4189"/>
      <c r="FX4189"/>
      <c r="FY4189"/>
      <c r="FZ4189"/>
      <c r="GA4189"/>
      <c r="GB4189"/>
      <c r="GC4189"/>
      <c r="GD4189"/>
      <c r="GE4189"/>
      <c r="GF4189"/>
      <c r="GG4189"/>
      <c r="GH4189"/>
      <c r="GI4189"/>
      <c r="GJ4189"/>
      <c r="GK4189"/>
      <c r="GL4189"/>
      <c r="GM4189"/>
      <c r="GN4189"/>
      <c r="GO4189"/>
    </row>
    <row r="4190" spans="107:197">
      <c r="DC4190"/>
      <c r="FH4190"/>
      <c r="FI4190"/>
      <c r="FJ4190"/>
      <c r="FK4190"/>
      <c r="FL4190"/>
      <c r="FM4190"/>
      <c r="FN4190"/>
      <c r="FO4190"/>
      <c r="FP4190"/>
      <c r="FQ4190"/>
      <c r="FR4190"/>
      <c r="FS4190"/>
      <c r="FT4190"/>
      <c r="FU4190"/>
      <c r="FV4190"/>
      <c r="FW4190"/>
      <c r="FX4190"/>
      <c r="FY4190"/>
      <c r="FZ4190"/>
      <c r="GA4190"/>
      <c r="GB4190"/>
      <c r="GC4190"/>
      <c r="GD4190"/>
      <c r="GE4190"/>
      <c r="GF4190"/>
      <c r="GG4190"/>
      <c r="GH4190"/>
      <c r="GI4190"/>
      <c r="GJ4190"/>
      <c r="GK4190"/>
      <c r="GL4190"/>
      <c r="GM4190"/>
      <c r="GN4190"/>
      <c r="GO4190"/>
    </row>
    <row r="4191" spans="107:197">
      <c r="DC4191"/>
      <c r="FH4191"/>
      <c r="FI4191"/>
      <c r="FJ4191"/>
      <c r="FK4191"/>
      <c r="FL4191"/>
      <c r="FM4191"/>
      <c r="FN4191"/>
      <c r="FO4191"/>
      <c r="FP4191"/>
      <c r="FQ4191"/>
      <c r="FR4191"/>
      <c r="FS4191"/>
      <c r="FT4191"/>
      <c r="FU4191"/>
      <c r="FV4191"/>
      <c r="FW4191"/>
      <c r="FX4191"/>
      <c r="FY4191"/>
      <c r="FZ4191"/>
      <c r="GA4191"/>
      <c r="GB4191"/>
      <c r="GC4191"/>
      <c r="GD4191"/>
      <c r="GE4191"/>
      <c r="GF4191"/>
      <c r="GG4191"/>
      <c r="GH4191"/>
      <c r="GI4191"/>
      <c r="GJ4191"/>
      <c r="GK4191"/>
      <c r="GL4191"/>
      <c r="GM4191"/>
      <c r="GN4191"/>
      <c r="GO4191"/>
    </row>
    <row r="4192" spans="107:197">
      <c r="DC4192"/>
      <c r="FH4192"/>
      <c r="FI4192"/>
      <c r="FJ4192"/>
      <c r="FK4192"/>
      <c r="FL4192"/>
      <c r="FM4192"/>
      <c r="FN4192"/>
      <c r="FO4192"/>
      <c r="FP4192"/>
      <c r="FQ4192"/>
      <c r="FR4192"/>
      <c r="FS4192"/>
      <c r="FT4192"/>
      <c r="FU4192"/>
      <c r="FV4192"/>
      <c r="FW4192"/>
      <c r="FX4192"/>
      <c r="FY4192"/>
      <c r="FZ4192"/>
      <c r="GA4192"/>
      <c r="GB4192"/>
      <c r="GC4192"/>
      <c r="GD4192"/>
      <c r="GE4192"/>
      <c r="GF4192"/>
      <c r="GG4192"/>
      <c r="GH4192"/>
      <c r="GI4192"/>
      <c r="GJ4192"/>
      <c r="GK4192"/>
      <c r="GL4192"/>
      <c r="GM4192"/>
      <c r="GN4192"/>
      <c r="GO4192"/>
    </row>
    <row r="4193" spans="107:197">
      <c r="DC4193"/>
      <c r="FH4193"/>
      <c r="FI4193"/>
      <c r="FJ4193"/>
      <c r="FK4193"/>
      <c r="FL4193"/>
      <c r="FM4193"/>
      <c r="FN4193"/>
      <c r="FO4193"/>
      <c r="FP4193"/>
      <c r="FQ4193"/>
      <c r="FR4193"/>
      <c r="FS4193"/>
      <c r="FT4193"/>
      <c r="FU4193"/>
      <c r="FV4193"/>
      <c r="FW4193"/>
      <c r="FX4193"/>
      <c r="FY4193"/>
      <c r="FZ4193"/>
      <c r="GA4193"/>
      <c r="GB4193"/>
      <c r="GC4193"/>
      <c r="GD4193"/>
      <c r="GE4193"/>
      <c r="GF4193"/>
      <c r="GG4193"/>
      <c r="GH4193"/>
      <c r="GI4193"/>
      <c r="GJ4193"/>
      <c r="GK4193"/>
      <c r="GL4193"/>
      <c r="GM4193"/>
      <c r="GN4193"/>
      <c r="GO4193"/>
    </row>
    <row r="4194" spans="107:197">
      <c r="DC4194"/>
      <c r="FH4194"/>
      <c r="FI4194"/>
      <c r="FJ4194"/>
      <c r="FK4194"/>
      <c r="FL4194"/>
      <c r="FM4194"/>
      <c r="FN4194"/>
      <c r="FO4194"/>
      <c r="FP4194"/>
      <c r="FQ4194"/>
      <c r="FR4194"/>
      <c r="FS4194"/>
      <c r="FT4194"/>
      <c r="FU4194"/>
      <c r="FV4194"/>
      <c r="FW4194"/>
      <c r="FX4194"/>
      <c r="FY4194"/>
      <c r="FZ4194"/>
      <c r="GA4194"/>
      <c r="GB4194"/>
      <c r="GC4194"/>
      <c r="GD4194"/>
      <c r="GE4194"/>
      <c r="GF4194"/>
      <c r="GG4194"/>
      <c r="GH4194"/>
      <c r="GI4194"/>
      <c r="GJ4194"/>
      <c r="GK4194"/>
      <c r="GL4194"/>
      <c r="GM4194"/>
      <c r="GN4194"/>
      <c r="GO4194"/>
    </row>
    <row r="4195" spans="107:197">
      <c r="DC4195"/>
      <c r="FH4195"/>
      <c r="FI4195"/>
      <c r="FJ4195"/>
      <c r="FK4195"/>
      <c r="FL4195"/>
      <c r="FM4195"/>
      <c r="FN4195"/>
      <c r="FO4195"/>
      <c r="FP4195"/>
      <c r="FQ4195"/>
      <c r="FR4195"/>
      <c r="FS4195"/>
      <c r="FT4195"/>
      <c r="FU4195"/>
      <c r="FV4195"/>
      <c r="FW4195"/>
      <c r="FX4195"/>
      <c r="FY4195"/>
      <c r="FZ4195"/>
      <c r="GA4195"/>
      <c r="GB4195"/>
      <c r="GC4195"/>
      <c r="GD4195"/>
      <c r="GE4195"/>
      <c r="GF4195"/>
      <c r="GG4195"/>
      <c r="GH4195"/>
      <c r="GI4195"/>
      <c r="GJ4195"/>
      <c r="GK4195"/>
      <c r="GL4195"/>
      <c r="GM4195"/>
      <c r="GN4195"/>
      <c r="GO4195"/>
    </row>
    <row r="4196" spans="107:197">
      <c r="DC4196"/>
      <c r="FH4196"/>
      <c r="FI4196"/>
      <c r="FJ4196"/>
      <c r="FK4196"/>
      <c r="FL4196"/>
      <c r="FM4196"/>
      <c r="FN4196"/>
      <c r="FO4196"/>
      <c r="FP4196"/>
      <c r="FQ4196"/>
      <c r="FR4196"/>
      <c r="FS4196"/>
      <c r="FT4196"/>
      <c r="FU4196"/>
      <c r="FV4196"/>
      <c r="FW4196"/>
      <c r="FX4196"/>
      <c r="FY4196"/>
      <c r="FZ4196"/>
      <c r="GA4196"/>
      <c r="GB4196"/>
      <c r="GC4196"/>
      <c r="GD4196"/>
      <c r="GE4196"/>
      <c r="GF4196"/>
      <c r="GG4196"/>
      <c r="GH4196"/>
      <c r="GI4196"/>
      <c r="GJ4196"/>
      <c r="GK4196"/>
      <c r="GL4196"/>
      <c r="GM4196"/>
      <c r="GN4196"/>
      <c r="GO4196"/>
    </row>
    <row r="4197" spans="107:197">
      <c r="DC4197"/>
      <c r="FH4197"/>
      <c r="FI4197"/>
      <c r="FJ4197"/>
      <c r="FK4197"/>
      <c r="FL4197"/>
      <c r="FM4197"/>
      <c r="FN4197"/>
      <c r="FO4197"/>
      <c r="FP4197"/>
      <c r="FQ4197"/>
      <c r="FR4197"/>
      <c r="FS4197"/>
      <c r="FT4197"/>
      <c r="FU4197"/>
      <c r="FV4197"/>
      <c r="FW4197"/>
      <c r="FX4197"/>
      <c r="FY4197"/>
      <c r="FZ4197"/>
      <c r="GA4197"/>
      <c r="GB4197"/>
      <c r="GC4197"/>
      <c r="GD4197"/>
      <c r="GE4197"/>
      <c r="GF4197"/>
      <c r="GG4197"/>
      <c r="GH4197"/>
      <c r="GI4197"/>
      <c r="GJ4197"/>
      <c r="GK4197"/>
      <c r="GL4197"/>
      <c r="GM4197"/>
      <c r="GN4197"/>
      <c r="GO4197"/>
    </row>
    <row r="4198" spans="107:197">
      <c r="DC4198"/>
      <c r="FH4198"/>
      <c r="FI4198"/>
      <c r="FJ4198"/>
      <c r="FK4198"/>
      <c r="FL4198"/>
      <c r="FM4198"/>
      <c r="FN4198"/>
      <c r="FO4198"/>
      <c r="FP4198"/>
      <c r="FQ4198"/>
      <c r="FR4198"/>
      <c r="FS4198"/>
      <c r="FT4198"/>
      <c r="FU4198"/>
      <c r="FV4198"/>
      <c r="FW4198"/>
      <c r="FX4198"/>
      <c r="FY4198"/>
      <c r="FZ4198"/>
      <c r="GA4198"/>
      <c r="GB4198"/>
      <c r="GC4198"/>
      <c r="GD4198"/>
      <c r="GE4198"/>
      <c r="GF4198"/>
      <c r="GG4198"/>
      <c r="GH4198"/>
      <c r="GI4198"/>
      <c r="GJ4198"/>
      <c r="GK4198"/>
      <c r="GL4198"/>
      <c r="GM4198"/>
      <c r="GN4198"/>
      <c r="GO4198"/>
    </row>
    <row r="4199" spans="107:197">
      <c r="DC4199"/>
      <c r="FH4199"/>
      <c r="FI4199"/>
      <c r="FJ4199"/>
      <c r="FK4199"/>
      <c r="FL4199"/>
      <c r="FM4199"/>
      <c r="FN4199"/>
      <c r="FO4199"/>
      <c r="FP4199"/>
      <c r="FQ4199"/>
      <c r="FR4199"/>
      <c r="FS4199"/>
      <c r="FT4199"/>
      <c r="FU4199"/>
      <c r="FV4199"/>
      <c r="FW4199"/>
      <c r="FX4199"/>
      <c r="FY4199"/>
      <c r="FZ4199"/>
      <c r="GA4199"/>
      <c r="GB4199"/>
      <c r="GC4199"/>
      <c r="GD4199"/>
      <c r="GE4199"/>
      <c r="GF4199"/>
      <c r="GG4199"/>
      <c r="GH4199"/>
      <c r="GI4199"/>
      <c r="GJ4199"/>
      <c r="GK4199"/>
      <c r="GL4199"/>
      <c r="GM4199"/>
      <c r="GN4199"/>
      <c r="GO4199"/>
    </row>
    <row r="4200" spans="107:197">
      <c r="DC4200"/>
      <c r="FH4200"/>
      <c r="FI4200"/>
      <c r="FJ4200"/>
      <c r="FK4200"/>
      <c r="FL4200"/>
      <c r="FM4200"/>
      <c r="FN4200"/>
      <c r="FO4200"/>
      <c r="FP4200"/>
      <c r="FQ4200"/>
      <c r="FR4200"/>
      <c r="FS4200"/>
      <c r="FT4200"/>
      <c r="FU4200"/>
      <c r="FV4200"/>
      <c r="FW4200"/>
      <c r="FX4200"/>
      <c r="FY4200"/>
      <c r="FZ4200"/>
      <c r="GA4200"/>
      <c r="GB4200"/>
      <c r="GC4200"/>
      <c r="GD4200"/>
      <c r="GE4200"/>
      <c r="GF4200"/>
      <c r="GG4200"/>
      <c r="GH4200"/>
      <c r="GI4200"/>
      <c r="GJ4200"/>
      <c r="GK4200"/>
      <c r="GL4200"/>
      <c r="GM4200"/>
      <c r="GN4200"/>
      <c r="GO4200"/>
    </row>
    <row r="4201" spans="107:197">
      <c r="DC4201"/>
      <c r="FH4201"/>
      <c r="FI4201"/>
      <c r="FJ4201"/>
      <c r="FK4201"/>
      <c r="FL4201"/>
      <c r="FM4201"/>
      <c r="FN4201"/>
      <c r="FO4201"/>
      <c r="FP4201"/>
      <c r="FQ4201"/>
      <c r="FR4201"/>
      <c r="FS4201"/>
      <c r="FT4201"/>
      <c r="FU4201"/>
      <c r="FV4201"/>
      <c r="FW4201"/>
      <c r="FX4201"/>
      <c r="FY4201"/>
      <c r="FZ4201"/>
      <c r="GA4201"/>
      <c r="GB4201"/>
      <c r="GC4201"/>
      <c r="GD4201"/>
      <c r="GE4201"/>
      <c r="GF4201"/>
      <c r="GG4201"/>
      <c r="GH4201"/>
      <c r="GI4201"/>
      <c r="GJ4201"/>
      <c r="GK4201"/>
      <c r="GL4201"/>
      <c r="GM4201"/>
      <c r="GN4201"/>
      <c r="GO4201"/>
    </row>
    <row r="4202" spans="107:197">
      <c r="DC4202"/>
      <c r="FH4202"/>
      <c r="FI4202"/>
      <c r="FJ4202"/>
      <c r="FK4202"/>
      <c r="FL4202"/>
      <c r="FM4202"/>
      <c r="FN4202"/>
      <c r="FO4202"/>
      <c r="FP4202"/>
      <c r="FQ4202"/>
      <c r="FR4202"/>
      <c r="FS4202"/>
      <c r="FT4202"/>
      <c r="FU4202"/>
      <c r="FV4202"/>
      <c r="FW4202"/>
      <c r="FX4202"/>
      <c r="FY4202"/>
      <c r="FZ4202"/>
      <c r="GA4202"/>
      <c r="GB4202"/>
      <c r="GC4202"/>
      <c r="GD4202"/>
      <c r="GE4202"/>
      <c r="GF4202"/>
      <c r="GG4202"/>
      <c r="GH4202"/>
      <c r="GI4202"/>
      <c r="GJ4202"/>
      <c r="GK4202"/>
      <c r="GL4202"/>
      <c r="GM4202"/>
      <c r="GN4202"/>
      <c r="GO4202"/>
    </row>
    <row r="4203" spans="107:197">
      <c r="DC4203"/>
      <c r="FH4203"/>
      <c r="FI4203"/>
      <c r="FJ4203"/>
      <c r="FK4203"/>
      <c r="FL4203"/>
      <c r="FM4203"/>
      <c r="FN4203"/>
      <c r="FO4203"/>
      <c r="FP4203"/>
      <c r="FQ4203"/>
      <c r="FR4203"/>
      <c r="FS4203"/>
      <c r="FT4203"/>
      <c r="FU4203"/>
      <c r="FV4203"/>
      <c r="FW4203"/>
      <c r="FX4203"/>
      <c r="FY4203"/>
      <c r="FZ4203"/>
      <c r="GA4203"/>
      <c r="GB4203"/>
      <c r="GC4203"/>
      <c r="GD4203"/>
      <c r="GE4203"/>
      <c r="GF4203"/>
      <c r="GG4203"/>
      <c r="GH4203"/>
      <c r="GI4203"/>
      <c r="GJ4203"/>
      <c r="GK4203"/>
      <c r="GL4203"/>
      <c r="GM4203"/>
      <c r="GN4203"/>
      <c r="GO4203"/>
    </row>
    <row r="4204" spans="107:197">
      <c r="DC4204"/>
      <c r="FH4204"/>
      <c r="FI4204"/>
      <c r="FJ4204"/>
      <c r="FK4204"/>
      <c r="FL4204"/>
      <c r="FM4204"/>
      <c r="FN4204"/>
      <c r="FO4204"/>
      <c r="FP4204"/>
      <c r="FQ4204"/>
      <c r="FR4204"/>
      <c r="FS4204"/>
      <c r="FT4204"/>
      <c r="FU4204"/>
      <c r="FV4204"/>
      <c r="FW4204"/>
      <c r="FX4204"/>
      <c r="FY4204"/>
      <c r="FZ4204"/>
      <c r="GA4204"/>
      <c r="GB4204"/>
      <c r="GC4204"/>
      <c r="GD4204"/>
      <c r="GE4204"/>
      <c r="GF4204"/>
      <c r="GG4204"/>
      <c r="GH4204"/>
      <c r="GI4204"/>
      <c r="GJ4204"/>
      <c r="GK4204"/>
      <c r="GL4204"/>
      <c r="GM4204"/>
      <c r="GN4204"/>
      <c r="GO4204"/>
    </row>
    <row r="4205" spans="107:197">
      <c r="DC4205"/>
      <c r="FH4205"/>
      <c r="FI4205"/>
      <c r="FJ4205"/>
      <c r="FK4205"/>
      <c r="FL4205"/>
      <c r="FM4205"/>
      <c r="FN4205"/>
      <c r="FO4205"/>
      <c r="FP4205"/>
      <c r="FQ4205"/>
      <c r="FR4205"/>
      <c r="FS4205"/>
      <c r="FT4205"/>
      <c r="FU4205"/>
      <c r="FV4205"/>
      <c r="FW4205"/>
      <c r="FX4205"/>
      <c r="FY4205"/>
      <c r="FZ4205"/>
      <c r="GA4205"/>
      <c r="GB4205"/>
      <c r="GC4205"/>
      <c r="GD4205"/>
      <c r="GE4205"/>
      <c r="GF4205"/>
      <c r="GG4205"/>
      <c r="GH4205"/>
      <c r="GI4205"/>
      <c r="GJ4205"/>
      <c r="GK4205"/>
      <c r="GL4205"/>
      <c r="GM4205"/>
      <c r="GN4205"/>
      <c r="GO4205"/>
    </row>
    <row r="4206" spans="107:197">
      <c r="DC4206"/>
      <c r="FH4206"/>
      <c r="FI4206"/>
      <c r="FJ4206"/>
      <c r="FK4206"/>
      <c r="FL4206"/>
      <c r="FM4206"/>
      <c r="FN4206"/>
      <c r="FO4206"/>
      <c r="FP4206"/>
      <c r="FQ4206"/>
      <c r="FR4206"/>
      <c r="FS4206"/>
      <c r="FT4206"/>
      <c r="FU4206"/>
      <c r="FV4206"/>
      <c r="FW4206"/>
      <c r="FX4206"/>
      <c r="FY4206"/>
      <c r="FZ4206"/>
      <c r="GA4206"/>
      <c r="GB4206"/>
      <c r="GC4206"/>
      <c r="GD4206"/>
      <c r="GE4206"/>
      <c r="GF4206"/>
      <c r="GG4206"/>
      <c r="GH4206"/>
      <c r="GI4206"/>
      <c r="GJ4206"/>
      <c r="GK4206"/>
      <c r="GL4206"/>
      <c r="GM4206"/>
      <c r="GN4206"/>
      <c r="GO4206"/>
    </row>
    <row r="4207" spans="107:197">
      <c r="DC4207"/>
      <c r="FH4207"/>
      <c r="FI4207"/>
      <c r="FJ4207"/>
      <c r="FK4207"/>
      <c r="FL4207"/>
      <c r="FM4207"/>
      <c r="FN4207"/>
      <c r="FO4207"/>
      <c r="FP4207"/>
      <c r="FQ4207"/>
      <c r="FR4207"/>
      <c r="FS4207"/>
      <c r="FT4207"/>
      <c r="FU4207"/>
      <c r="FV4207"/>
      <c r="FW4207"/>
      <c r="FX4207"/>
      <c r="FY4207"/>
      <c r="FZ4207"/>
      <c r="GA4207"/>
      <c r="GB4207"/>
      <c r="GC4207"/>
      <c r="GD4207"/>
      <c r="GE4207"/>
      <c r="GF4207"/>
      <c r="GG4207"/>
      <c r="GH4207"/>
      <c r="GI4207"/>
      <c r="GJ4207"/>
      <c r="GK4207"/>
      <c r="GL4207"/>
      <c r="GM4207"/>
      <c r="GN4207"/>
      <c r="GO4207"/>
    </row>
    <row r="4208" spans="107:197">
      <c r="DC4208"/>
      <c r="FH4208"/>
      <c r="FI4208"/>
      <c r="FJ4208"/>
      <c r="FK4208"/>
      <c r="FL4208"/>
      <c r="FM4208"/>
      <c r="FN4208"/>
      <c r="FO4208"/>
      <c r="FP4208"/>
      <c r="FQ4208"/>
      <c r="FR4208"/>
      <c r="FS4208"/>
      <c r="FT4208"/>
      <c r="FU4208"/>
      <c r="FV4208"/>
      <c r="FW4208"/>
      <c r="FX4208"/>
      <c r="FY4208"/>
      <c r="FZ4208"/>
      <c r="GA4208"/>
      <c r="GB4208"/>
      <c r="GC4208"/>
      <c r="GD4208"/>
      <c r="GE4208"/>
      <c r="GF4208"/>
      <c r="GG4208"/>
      <c r="GH4208"/>
      <c r="GI4208"/>
      <c r="GJ4208"/>
      <c r="GK4208"/>
      <c r="GL4208"/>
      <c r="GM4208"/>
      <c r="GN4208"/>
      <c r="GO4208"/>
    </row>
    <row r="4209" spans="107:197">
      <c r="DC4209"/>
      <c r="FH4209"/>
      <c r="FI4209"/>
      <c r="FJ4209"/>
      <c r="FK4209"/>
      <c r="FL4209"/>
      <c r="FM4209"/>
      <c r="FN4209"/>
      <c r="FO4209"/>
      <c r="FP4209"/>
      <c r="FQ4209"/>
      <c r="FR4209"/>
      <c r="FS4209"/>
      <c r="FT4209"/>
      <c r="FU4209"/>
      <c r="FV4209"/>
      <c r="FW4209"/>
      <c r="FX4209"/>
      <c r="FY4209"/>
      <c r="FZ4209"/>
      <c r="GA4209"/>
      <c r="GB4209"/>
      <c r="GC4209"/>
      <c r="GD4209"/>
      <c r="GE4209"/>
      <c r="GF4209"/>
      <c r="GG4209"/>
      <c r="GH4209"/>
      <c r="GI4209"/>
      <c r="GJ4209"/>
      <c r="GK4209"/>
      <c r="GL4209"/>
      <c r="GM4209"/>
      <c r="GN4209"/>
      <c r="GO4209"/>
    </row>
    <row r="4210" spans="107:197">
      <c r="DC4210"/>
      <c r="FH4210"/>
      <c r="FI4210"/>
      <c r="FJ4210"/>
      <c r="FK4210"/>
      <c r="FL4210"/>
      <c r="FM4210"/>
      <c r="FN4210"/>
      <c r="FO4210"/>
      <c r="FP4210"/>
      <c r="FQ4210"/>
      <c r="FR4210"/>
      <c r="FS4210"/>
      <c r="FT4210"/>
      <c r="FU4210"/>
      <c r="FV4210"/>
      <c r="FW4210"/>
      <c r="FX4210"/>
      <c r="FY4210"/>
      <c r="FZ4210"/>
      <c r="GA4210"/>
      <c r="GB4210"/>
      <c r="GC4210"/>
      <c r="GD4210"/>
      <c r="GE4210"/>
      <c r="GF4210"/>
      <c r="GG4210"/>
      <c r="GH4210"/>
      <c r="GI4210"/>
      <c r="GJ4210"/>
      <c r="GK4210"/>
      <c r="GL4210"/>
      <c r="GM4210"/>
      <c r="GN4210"/>
      <c r="GO4210"/>
    </row>
    <row r="4211" spans="107:197">
      <c r="DC4211"/>
      <c r="FH4211"/>
      <c r="FI4211"/>
      <c r="FJ4211"/>
      <c r="FK4211"/>
      <c r="FL4211"/>
      <c r="FM4211"/>
      <c r="FN4211"/>
      <c r="FO4211"/>
      <c r="FP4211"/>
      <c r="FQ4211"/>
      <c r="FR4211"/>
      <c r="FS4211"/>
      <c r="FT4211"/>
      <c r="FU4211"/>
      <c r="FV4211"/>
      <c r="FW4211"/>
      <c r="FX4211"/>
      <c r="FY4211"/>
      <c r="FZ4211"/>
      <c r="GA4211"/>
      <c r="GB4211"/>
      <c r="GC4211"/>
      <c r="GD4211"/>
      <c r="GE4211"/>
      <c r="GF4211"/>
      <c r="GG4211"/>
      <c r="GH4211"/>
      <c r="GI4211"/>
      <c r="GJ4211"/>
      <c r="GK4211"/>
      <c r="GL4211"/>
      <c r="GM4211"/>
      <c r="GN4211"/>
      <c r="GO4211"/>
    </row>
    <row r="4212" spans="107:197">
      <c r="DC4212"/>
      <c r="FH4212"/>
      <c r="FI4212"/>
      <c r="FJ4212"/>
      <c r="FK4212"/>
      <c r="FL4212"/>
      <c r="FM4212"/>
      <c r="FN4212"/>
      <c r="FO4212"/>
      <c r="FP4212"/>
      <c r="FQ4212"/>
      <c r="FR4212"/>
      <c r="FS4212"/>
      <c r="FT4212"/>
      <c r="FU4212"/>
      <c r="FV4212"/>
      <c r="FW4212"/>
      <c r="FX4212"/>
      <c r="FY4212"/>
      <c r="FZ4212"/>
      <c r="GA4212"/>
      <c r="GB4212"/>
      <c r="GC4212"/>
      <c r="GD4212"/>
      <c r="GE4212"/>
      <c r="GF4212"/>
      <c r="GG4212"/>
      <c r="GH4212"/>
      <c r="GI4212"/>
      <c r="GJ4212"/>
      <c r="GK4212"/>
      <c r="GL4212"/>
      <c r="GM4212"/>
      <c r="GN4212"/>
      <c r="GO4212"/>
    </row>
    <row r="4213" spans="107:197">
      <c r="DC4213"/>
      <c r="FH4213"/>
      <c r="FI4213"/>
      <c r="FJ4213"/>
      <c r="FK4213"/>
      <c r="FL4213"/>
      <c r="FM4213"/>
      <c r="FN4213"/>
      <c r="FO4213"/>
      <c r="FP4213"/>
      <c r="FQ4213"/>
      <c r="FR4213"/>
      <c r="FS4213"/>
      <c r="FT4213"/>
      <c r="FU4213"/>
      <c r="FV4213"/>
      <c r="FW4213"/>
      <c r="FX4213"/>
      <c r="FY4213"/>
      <c r="FZ4213"/>
      <c r="GA4213"/>
      <c r="GB4213"/>
      <c r="GC4213"/>
      <c r="GD4213"/>
      <c r="GE4213"/>
      <c r="GF4213"/>
      <c r="GG4213"/>
      <c r="GH4213"/>
      <c r="GI4213"/>
      <c r="GJ4213"/>
      <c r="GK4213"/>
      <c r="GL4213"/>
      <c r="GM4213"/>
      <c r="GN4213"/>
      <c r="GO4213"/>
    </row>
    <row r="4214" spans="107:197">
      <c r="DC4214"/>
      <c r="FH4214"/>
      <c r="FI4214"/>
      <c r="FJ4214"/>
      <c r="FK4214"/>
      <c r="FL4214"/>
      <c r="FM4214"/>
      <c r="FN4214"/>
      <c r="FO4214"/>
      <c r="FP4214"/>
      <c r="FQ4214"/>
      <c r="FR4214"/>
      <c r="FS4214"/>
      <c r="FT4214"/>
      <c r="FU4214"/>
      <c r="FV4214"/>
      <c r="FW4214"/>
      <c r="FX4214"/>
      <c r="FY4214"/>
      <c r="FZ4214"/>
      <c r="GA4214"/>
      <c r="GB4214"/>
      <c r="GC4214"/>
      <c r="GD4214"/>
      <c r="GE4214"/>
      <c r="GF4214"/>
      <c r="GG4214"/>
      <c r="GH4214"/>
      <c r="GI4214"/>
      <c r="GJ4214"/>
      <c r="GK4214"/>
      <c r="GL4214"/>
      <c r="GM4214"/>
      <c r="GN4214"/>
      <c r="GO4214"/>
    </row>
    <row r="4215" spans="107:197">
      <c r="DC4215"/>
      <c r="FH4215"/>
      <c r="FI4215"/>
      <c r="FJ4215"/>
      <c r="FK4215"/>
      <c r="FL4215"/>
      <c r="FM4215"/>
      <c r="FN4215"/>
      <c r="FO4215"/>
      <c r="FP4215"/>
      <c r="FQ4215"/>
      <c r="FR4215"/>
      <c r="FS4215"/>
      <c r="FT4215"/>
      <c r="FU4215"/>
      <c r="FV4215"/>
      <c r="FW4215"/>
      <c r="FX4215"/>
      <c r="FY4215"/>
      <c r="FZ4215"/>
      <c r="GA4215"/>
      <c r="GB4215"/>
      <c r="GC4215"/>
      <c r="GD4215"/>
      <c r="GE4215"/>
      <c r="GF4215"/>
      <c r="GG4215"/>
      <c r="GH4215"/>
      <c r="GI4215"/>
      <c r="GJ4215"/>
      <c r="GK4215"/>
      <c r="GL4215"/>
      <c r="GM4215"/>
      <c r="GN4215"/>
      <c r="GO4215"/>
    </row>
    <row r="4216" spans="107:197">
      <c r="DC4216"/>
      <c r="FH4216"/>
      <c r="FI4216"/>
      <c r="FJ4216"/>
      <c r="FK4216"/>
      <c r="FL4216"/>
      <c r="FM4216"/>
      <c r="FN4216"/>
      <c r="FO4216"/>
      <c r="FP4216"/>
      <c r="FQ4216"/>
      <c r="FR4216"/>
      <c r="FS4216"/>
      <c r="FT4216"/>
      <c r="FU4216"/>
      <c r="FV4216"/>
      <c r="FW4216"/>
      <c r="FX4216"/>
      <c r="FY4216"/>
      <c r="FZ4216"/>
      <c r="GA4216"/>
      <c r="GB4216"/>
      <c r="GC4216"/>
      <c r="GD4216"/>
      <c r="GE4216"/>
      <c r="GF4216"/>
      <c r="GG4216"/>
      <c r="GH4216"/>
      <c r="GI4216"/>
      <c r="GJ4216"/>
      <c r="GK4216"/>
      <c r="GL4216"/>
      <c r="GM4216"/>
      <c r="GN4216"/>
      <c r="GO4216"/>
    </row>
    <row r="4217" spans="107:197">
      <c r="DC4217"/>
      <c r="FH4217"/>
      <c r="FI4217"/>
      <c r="FJ4217"/>
      <c r="FK4217"/>
      <c r="FL4217"/>
      <c r="FM4217"/>
      <c r="FN4217"/>
      <c r="FO4217"/>
      <c r="FP4217"/>
      <c r="FQ4217"/>
      <c r="FR4217"/>
      <c r="FS4217"/>
      <c r="FT4217"/>
      <c r="FU4217"/>
      <c r="FV4217"/>
      <c r="FW4217"/>
      <c r="FX4217"/>
      <c r="FY4217"/>
      <c r="FZ4217"/>
      <c r="GA4217"/>
      <c r="GB4217"/>
      <c r="GC4217"/>
      <c r="GD4217"/>
      <c r="GE4217"/>
      <c r="GF4217"/>
      <c r="GG4217"/>
      <c r="GH4217"/>
      <c r="GI4217"/>
      <c r="GJ4217"/>
      <c r="GK4217"/>
      <c r="GL4217"/>
      <c r="GM4217"/>
      <c r="GN4217"/>
      <c r="GO4217"/>
    </row>
    <row r="4218" spans="107:197">
      <c r="DC4218"/>
      <c r="FH4218"/>
      <c r="FI4218"/>
      <c r="FJ4218"/>
      <c r="FK4218"/>
      <c r="FL4218"/>
      <c r="FM4218"/>
      <c r="FN4218"/>
      <c r="FO4218"/>
      <c r="FP4218"/>
      <c r="FQ4218"/>
      <c r="FR4218"/>
      <c r="FS4218"/>
      <c r="FT4218"/>
      <c r="FU4218"/>
      <c r="FV4218"/>
      <c r="FW4218"/>
      <c r="FX4218"/>
      <c r="FY4218"/>
      <c r="FZ4218"/>
      <c r="GA4218"/>
      <c r="GB4218"/>
      <c r="GC4218"/>
      <c r="GD4218"/>
      <c r="GE4218"/>
      <c r="GF4218"/>
      <c r="GG4218"/>
      <c r="GH4218"/>
      <c r="GI4218"/>
      <c r="GJ4218"/>
      <c r="GK4218"/>
      <c r="GL4218"/>
      <c r="GM4218"/>
      <c r="GN4218"/>
      <c r="GO4218"/>
    </row>
    <row r="4219" spans="107:197">
      <c r="DC4219"/>
      <c r="FH4219"/>
      <c r="FI4219"/>
      <c r="FJ4219"/>
      <c r="FK4219"/>
      <c r="FL4219"/>
      <c r="FM4219"/>
      <c r="FN4219"/>
      <c r="FO4219"/>
      <c r="FP4219"/>
      <c r="FQ4219"/>
      <c r="FR4219"/>
      <c r="FS4219"/>
      <c r="FT4219"/>
      <c r="FU4219"/>
      <c r="FV4219"/>
      <c r="FW4219"/>
      <c r="FX4219"/>
      <c r="FY4219"/>
      <c r="FZ4219"/>
      <c r="GA4219"/>
      <c r="GB4219"/>
      <c r="GC4219"/>
      <c r="GD4219"/>
      <c r="GE4219"/>
      <c r="GF4219"/>
      <c r="GG4219"/>
      <c r="GH4219"/>
      <c r="GI4219"/>
      <c r="GJ4219"/>
      <c r="GK4219"/>
      <c r="GL4219"/>
      <c r="GM4219"/>
      <c r="GN4219"/>
      <c r="GO4219"/>
    </row>
    <row r="4220" spans="107:197">
      <c r="DC4220"/>
      <c r="FH4220"/>
      <c r="FI4220"/>
      <c r="FJ4220"/>
      <c r="FK4220"/>
      <c r="FL4220"/>
      <c r="FM4220"/>
      <c r="FN4220"/>
      <c r="FO4220"/>
      <c r="FP4220"/>
      <c r="FQ4220"/>
      <c r="FR4220"/>
      <c r="FS4220"/>
      <c r="FT4220"/>
      <c r="FU4220"/>
      <c r="FV4220"/>
      <c r="FW4220"/>
      <c r="FX4220"/>
      <c r="FY4220"/>
      <c r="FZ4220"/>
      <c r="GA4220"/>
      <c r="GB4220"/>
      <c r="GC4220"/>
      <c r="GD4220"/>
      <c r="GE4220"/>
      <c r="GF4220"/>
      <c r="GG4220"/>
      <c r="GH4220"/>
      <c r="GI4220"/>
      <c r="GJ4220"/>
      <c r="GK4220"/>
      <c r="GL4220"/>
      <c r="GM4220"/>
      <c r="GN4220"/>
      <c r="GO4220"/>
    </row>
    <row r="4221" spans="107:197">
      <c r="DC4221"/>
      <c r="FH4221"/>
      <c r="FI4221"/>
      <c r="FJ4221"/>
      <c r="FK4221"/>
      <c r="FL4221"/>
      <c r="FM4221"/>
      <c r="FN4221"/>
      <c r="FO4221"/>
      <c r="FP4221"/>
      <c r="FQ4221"/>
      <c r="FR4221"/>
      <c r="FS4221"/>
      <c r="FT4221"/>
      <c r="FU4221"/>
      <c r="FV4221"/>
      <c r="FW4221"/>
      <c r="FX4221"/>
      <c r="FY4221"/>
      <c r="FZ4221"/>
      <c r="GA4221"/>
      <c r="GB4221"/>
      <c r="GC4221"/>
      <c r="GD4221"/>
      <c r="GE4221"/>
      <c r="GF4221"/>
      <c r="GG4221"/>
      <c r="GH4221"/>
      <c r="GI4221"/>
      <c r="GJ4221"/>
      <c r="GK4221"/>
      <c r="GL4221"/>
      <c r="GM4221"/>
      <c r="GN4221"/>
      <c r="GO4221"/>
    </row>
    <row r="4222" spans="107:197">
      <c r="DC4222"/>
      <c r="FH4222"/>
      <c r="FI4222"/>
      <c r="FJ4222"/>
      <c r="FK4222"/>
      <c r="FL4222"/>
      <c r="FM4222"/>
      <c r="FN4222"/>
      <c r="FO4222"/>
      <c r="FP4222"/>
      <c r="FQ4222"/>
      <c r="FR4222"/>
      <c r="FS4222"/>
      <c r="FT4222"/>
      <c r="FU4222"/>
      <c r="FV4222"/>
      <c r="FW4222"/>
      <c r="FX4222"/>
      <c r="FY4222"/>
      <c r="FZ4222"/>
      <c r="GA4222"/>
      <c r="GB4222"/>
      <c r="GC4222"/>
      <c r="GD4222"/>
      <c r="GE4222"/>
      <c r="GF4222"/>
      <c r="GG4222"/>
      <c r="GH4222"/>
      <c r="GI4222"/>
      <c r="GJ4222"/>
      <c r="GK4222"/>
      <c r="GL4222"/>
      <c r="GM4222"/>
      <c r="GN4222"/>
      <c r="GO4222"/>
    </row>
    <row r="4223" spans="107:197">
      <c r="DC4223"/>
      <c r="FH4223"/>
      <c r="FI4223"/>
      <c r="FJ4223"/>
      <c r="FK4223"/>
      <c r="FL4223"/>
      <c r="FM4223"/>
      <c r="FN4223"/>
      <c r="FO4223"/>
      <c r="FP4223"/>
      <c r="FQ4223"/>
      <c r="FR4223"/>
      <c r="FS4223"/>
      <c r="FT4223"/>
      <c r="FU4223"/>
      <c r="FV4223"/>
      <c r="FW4223"/>
      <c r="FX4223"/>
      <c r="FY4223"/>
      <c r="FZ4223"/>
      <c r="GA4223"/>
      <c r="GB4223"/>
      <c r="GC4223"/>
      <c r="GD4223"/>
      <c r="GE4223"/>
      <c r="GF4223"/>
      <c r="GG4223"/>
      <c r="GH4223"/>
      <c r="GI4223"/>
      <c r="GJ4223"/>
      <c r="GK4223"/>
      <c r="GL4223"/>
      <c r="GM4223"/>
      <c r="GN4223"/>
      <c r="GO4223"/>
    </row>
    <row r="4224" spans="107:197">
      <c r="DC4224"/>
      <c r="FH4224"/>
      <c r="FI4224"/>
      <c r="FJ4224"/>
      <c r="FK4224"/>
      <c r="FL4224"/>
      <c r="FM4224"/>
      <c r="FN4224"/>
      <c r="FO4224"/>
      <c r="FP4224"/>
      <c r="FQ4224"/>
      <c r="FR4224"/>
      <c r="FS4224"/>
      <c r="FT4224"/>
      <c r="FU4224"/>
      <c r="FV4224"/>
      <c r="FW4224"/>
      <c r="FX4224"/>
      <c r="FY4224"/>
      <c r="FZ4224"/>
      <c r="GA4224"/>
      <c r="GB4224"/>
      <c r="GC4224"/>
      <c r="GD4224"/>
      <c r="GE4224"/>
      <c r="GF4224"/>
      <c r="GG4224"/>
      <c r="GH4224"/>
      <c r="GI4224"/>
      <c r="GJ4224"/>
      <c r="GK4224"/>
      <c r="GL4224"/>
      <c r="GM4224"/>
      <c r="GN4224"/>
      <c r="GO4224"/>
    </row>
    <row r="4225" spans="107:197">
      <c r="DC4225"/>
      <c r="FH4225"/>
      <c r="FI4225"/>
      <c r="FJ4225"/>
      <c r="FK4225"/>
      <c r="FL4225"/>
      <c r="FM4225"/>
      <c r="FN4225"/>
      <c r="FO4225"/>
      <c r="FP4225"/>
      <c r="FQ4225"/>
      <c r="FR4225"/>
      <c r="FS4225"/>
      <c r="FT4225"/>
      <c r="FU4225"/>
      <c r="FV4225"/>
      <c r="FW4225"/>
      <c r="FX4225"/>
      <c r="FY4225"/>
      <c r="FZ4225"/>
      <c r="GA4225"/>
      <c r="GB4225"/>
      <c r="GC4225"/>
      <c r="GD4225"/>
      <c r="GE4225"/>
      <c r="GF4225"/>
      <c r="GG4225"/>
      <c r="GH4225"/>
      <c r="GI4225"/>
      <c r="GJ4225"/>
      <c r="GK4225"/>
      <c r="GL4225"/>
      <c r="GM4225"/>
      <c r="GN4225"/>
      <c r="GO4225"/>
    </row>
    <row r="4226" spans="107:197">
      <c r="DC4226"/>
      <c r="FH4226"/>
      <c r="FI4226"/>
      <c r="FJ4226"/>
      <c r="FK4226"/>
      <c r="FL4226"/>
      <c r="FM4226"/>
      <c r="FN4226"/>
      <c r="FO4226"/>
      <c r="FP4226"/>
      <c r="FQ4226"/>
      <c r="FR4226"/>
      <c r="FS4226"/>
      <c r="FT4226"/>
      <c r="FU4226"/>
      <c r="FV4226"/>
      <c r="FW4226"/>
      <c r="FX4226"/>
      <c r="FY4226"/>
      <c r="FZ4226"/>
      <c r="GA4226"/>
      <c r="GB4226"/>
      <c r="GC4226"/>
      <c r="GD4226"/>
      <c r="GE4226"/>
      <c r="GF4226"/>
      <c r="GG4226"/>
      <c r="GH4226"/>
      <c r="GI4226"/>
      <c r="GJ4226"/>
      <c r="GK4226"/>
      <c r="GL4226"/>
      <c r="GM4226"/>
      <c r="GN4226"/>
      <c r="GO4226"/>
    </row>
    <row r="4227" spans="107:197">
      <c r="DC4227"/>
      <c r="FH4227"/>
      <c r="FI4227"/>
      <c r="FJ4227"/>
      <c r="FK4227"/>
      <c r="FL4227"/>
      <c r="FM4227"/>
      <c r="FN4227"/>
      <c r="FO4227"/>
      <c r="FP4227"/>
      <c r="FQ4227"/>
      <c r="FR4227"/>
      <c r="FS4227"/>
      <c r="FT4227"/>
      <c r="FU4227"/>
      <c r="FV4227"/>
      <c r="FW4227"/>
      <c r="FX4227"/>
      <c r="FY4227"/>
      <c r="FZ4227"/>
      <c r="GA4227"/>
      <c r="GB4227"/>
      <c r="GC4227"/>
      <c r="GD4227"/>
      <c r="GE4227"/>
      <c r="GF4227"/>
      <c r="GG4227"/>
      <c r="GH4227"/>
      <c r="GI4227"/>
      <c r="GJ4227"/>
      <c r="GK4227"/>
      <c r="GL4227"/>
      <c r="GM4227"/>
      <c r="GN4227"/>
      <c r="GO4227"/>
    </row>
    <row r="4228" spans="107:197">
      <c r="DC4228"/>
      <c r="FH4228"/>
      <c r="FI4228"/>
      <c r="FJ4228"/>
      <c r="FK4228"/>
      <c r="FL4228"/>
      <c r="FM4228"/>
      <c r="FN4228"/>
      <c r="FO4228"/>
      <c r="FP4228"/>
      <c r="FQ4228"/>
      <c r="FR4228"/>
      <c r="FS4228"/>
      <c r="FT4228"/>
      <c r="FU4228"/>
      <c r="FV4228"/>
      <c r="FW4228"/>
      <c r="FX4228"/>
      <c r="FY4228"/>
      <c r="FZ4228"/>
      <c r="GA4228"/>
      <c r="GB4228"/>
      <c r="GC4228"/>
      <c r="GD4228"/>
      <c r="GE4228"/>
      <c r="GF4228"/>
      <c r="GG4228"/>
      <c r="GH4228"/>
      <c r="GI4228"/>
      <c r="GJ4228"/>
      <c r="GK4228"/>
      <c r="GL4228"/>
      <c r="GM4228"/>
      <c r="GN4228"/>
      <c r="GO4228"/>
    </row>
    <row r="4229" spans="107:197">
      <c r="DC4229"/>
      <c r="FH4229"/>
      <c r="FI4229"/>
      <c r="FJ4229"/>
      <c r="FK4229"/>
      <c r="FL4229"/>
      <c r="FM4229"/>
      <c r="FN4229"/>
      <c r="FO4229"/>
      <c r="FP4229"/>
      <c r="FQ4229"/>
      <c r="FR4229"/>
      <c r="FS4229"/>
      <c r="FT4229"/>
      <c r="FU4229"/>
      <c r="FV4229"/>
      <c r="FW4229"/>
      <c r="FX4229"/>
      <c r="FY4229"/>
      <c r="FZ4229"/>
      <c r="GA4229"/>
      <c r="GB4229"/>
      <c r="GC4229"/>
      <c r="GD4229"/>
      <c r="GE4229"/>
      <c r="GF4229"/>
      <c r="GG4229"/>
      <c r="GH4229"/>
      <c r="GI4229"/>
      <c r="GJ4229"/>
      <c r="GK4229"/>
      <c r="GL4229"/>
      <c r="GM4229"/>
      <c r="GN4229"/>
      <c r="GO4229"/>
    </row>
    <row r="4230" spans="107:197">
      <c r="DC4230"/>
      <c r="FH4230"/>
      <c r="FI4230"/>
      <c r="FJ4230"/>
      <c r="FK4230"/>
      <c r="FL4230"/>
      <c r="FM4230"/>
      <c r="FN4230"/>
      <c r="FO4230"/>
      <c r="FP4230"/>
      <c r="FQ4230"/>
      <c r="FR4230"/>
      <c r="FS4230"/>
      <c r="FT4230"/>
      <c r="FU4230"/>
      <c r="FV4230"/>
      <c r="FW4230"/>
      <c r="FX4230"/>
      <c r="FY4230"/>
      <c r="FZ4230"/>
      <c r="GA4230"/>
      <c r="GB4230"/>
      <c r="GC4230"/>
      <c r="GD4230"/>
      <c r="GE4230"/>
      <c r="GF4230"/>
      <c r="GG4230"/>
      <c r="GH4230"/>
      <c r="GI4230"/>
      <c r="GJ4230"/>
      <c r="GK4230"/>
      <c r="GL4230"/>
      <c r="GM4230"/>
      <c r="GN4230"/>
      <c r="GO4230"/>
    </row>
    <row r="4231" spans="107:197">
      <c r="DC4231"/>
      <c r="FH4231"/>
      <c r="FI4231"/>
      <c r="FJ4231"/>
      <c r="FK4231"/>
      <c r="FL4231"/>
      <c r="FM4231"/>
      <c r="FN4231"/>
      <c r="FO4231"/>
      <c r="FP4231"/>
      <c r="FQ4231"/>
      <c r="FR4231"/>
      <c r="FS4231"/>
      <c r="FT4231"/>
      <c r="FU4231"/>
      <c r="FV4231"/>
      <c r="FW4231"/>
      <c r="FX4231"/>
      <c r="FY4231"/>
      <c r="FZ4231"/>
      <c r="GA4231"/>
      <c r="GB4231"/>
      <c r="GC4231"/>
      <c r="GD4231"/>
      <c r="GE4231"/>
      <c r="GF4231"/>
      <c r="GG4231"/>
      <c r="GH4231"/>
      <c r="GI4231"/>
      <c r="GJ4231"/>
      <c r="GK4231"/>
      <c r="GL4231"/>
      <c r="GM4231"/>
      <c r="GN4231"/>
      <c r="GO4231"/>
    </row>
    <row r="4232" spans="107:197">
      <c r="DC4232"/>
      <c r="FH4232"/>
      <c r="FI4232"/>
      <c r="FJ4232"/>
      <c r="FK4232"/>
      <c r="FL4232"/>
      <c r="FM4232"/>
      <c r="FN4232"/>
      <c r="FO4232"/>
      <c r="FP4232"/>
      <c r="FQ4232"/>
      <c r="FR4232"/>
      <c r="FS4232"/>
      <c r="FT4232"/>
      <c r="FU4232"/>
      <c r="FV4232"/>
      <c r="FW4232"/>
      <c r="FX4232"/>
      <c r="FY4232"/>
      <c r="FZ4232"/>
      <c r="GA4232"/>
      <c r="GB4232"/>
      <c r="GC4232"/>
      <c r="GD4232"/>
      <c r="GE4232"/>
      <c r="GF4232"/>
      <c r="GG4232"/>
      <c r="GH4232"/>
      <c r="GI4232"/>
      <c r="GJ4232"/>
      <c r="GK4232"/>
      <c r="GL4232"/>
      <c r="GM4232"/>
      <c r="GN4232"/>
      <c r="GO4232"/>
    </row>
    <row r="4233" spans="107:197">
      <c r="DC4233"/>
      <c r="FH4233"/>
      <c r="FI4233"/>
      <c r="FJ4233"/>
      <c r="FK4233"/>
      <c r="FL4233"/>
      <c r="FM4233"/>
      <c r="FN4233"/>
      <c r="FO4233"/>
      <c r="FP4233"/>
      <c r="FQ4233"/>
      <c r="FR4233"/>
      <c r="FS4233"/>
      <c r="FT4233"/>
      <c r="FU4233"/>
      <c r="FV4233"/>
      <c r="FW4233"/>
      <c r="FX4233"/>
      <c r="FY4233"/>
      <c r="FZ4233"/>
      <c r="GA4233"/>
      <c r="GB4233"/>
      <c r="GC4233"/>
      <c r="GD4233"/>
      <c r="GE4233"/>
      <c r="GF4233"/>
      <c r="GG4233"/>
      <c r="GH4233"/>
      <c r="GI4233"/>
      <c r="GJ4233"/>
      <c r="GK4233"/>
      <c r="GL4233"/>
      <c r="GM4233"/>
      <c r="GN4233"/>
      <c r="GO4233"/>
    </row>
    <row r="4234" spans="107:197">
      <c r="DC4234"/>
      <c r="FH4234"/>
      <c r="FI4234"/>
      <c r="FJ4234"/>
      <c r="FK4234"/>
      <c r="FL4234"/>
      <c r="FM4234"/>
      <c r="FN4234"/>
      <c r="FO4234"/>
      <c r="FP4234"/>
      <c r="FQ4234"/>
      <c r="FR4234"/>
      <c r="FS4234"/>
      <c r="FT4234"/>
      <c r="FU4234"/>
      <c r="FV4234"/>
      <c r="FW4234"/>
      <c r="FX4234"/>
      <c r="FY4234"/>
      <c r="FZ4234"/>
      <c r="GA4234"/>
      <c r="GB4234"/>
      <c r="GC4234"/>
      <c r="GD4234"/>
      <c r="GE4234"/>
      <c r="GF4234"/>
      <c r="GG4234"/>
      <c r="GH4234"/>
      <c r="GI4234"/>
      <c r="GJ4234"/>
      <c r="GK4234"/>
      <c r="GL4234"/>
      <c r="GM4234"/>
      <c r="GN4234"/>
      <c r="GO4234"/>
    </row>
    <row r="4235" spans="107:197">
      <c r="DC4235"/>
      <c r="FH4235"/>
      <c r="FI4235"/>
      <c r="FJ4235"/>
      <c r="FK4235"/>
      <c r="FL4235"/>
      <c r="FM4235"/>
      <c r="FN4235"/>
      <c r="FO4235"/>
      <c r="FP4235"/>
      <c r="FQ4235"/>
      <c r="FR4235"/>
      <c r="FS4235"/>
      <c r="FT4235"/>
      <c r="FU4235"/>
      <c r="FV4235"/>
      <c r="FW4235"/>
      <c r="FX4235"/>
      <c r="FY4235"/>
      <c r="FZ4235"/>
      <c r="GA4235"/>
      <c r="GB4235"/>
      <c r="GC4235"/>
      <c r="GD4235"/>
      <c r="GE4235"/>
      <c r="GF4235"/>
      <c r="GG4235"/>
      <c r="GH4235"/>
      <c r="GI4235"/>
      <c r="GJ4235"/>
      <c r="GK4235"/>
      <c r="GL4235"/>
      <c r="GM4235"/>
      <c r="GN4235"/>
      <c r="GO4235"/>
    </row>
    <row r="4236" spans="107:197">
      <c r="DC4236"/>
      <c r="FH4236"/>
      <c r="FI4236"/>
      <c r="FJ4236"/>
      <c r="FK4236"/>
      <c r="FL4236"/>
      <c r="FM4236"/>
      <c r="FN4236"/>
      <c r="FO4236"/>
      <c r="FP4236"/>
      <c r="FQ4236"/>
      <c r="FR4236"/>
      <c r="FS4236"/>
      <c r="FT4236"/>
      <c r="FU4236"/>
      <c r="FV4236"/>
      <c r="FW4236"/>
      <c r="FX4236"/>
      <c r="FY4236"/>
      <c r="FZ4236"/>
      <c r="GA4236"/>
      <c r="GB4236"/>
      <c r="GC4236"/>
      <c r="GD4236"/>
      <c r="GE4236"/>
      <c r="GF4236"/>
      <c r="GG4236"/>
      <c r="GH4236"/>
      <c r="GI4236"/>
      <c r="GJ4236"/>
      <c r="GK4236"/>
      <c r="GL4236"/>
      <c r="GM4236"/>
      <c r="GN4236"/>
      <c r="GO4236"/>
    </row>
    <row r="4237" spans="107:197">
      <c r="DC4237"/>
      <c r="FH4237"/>
      <c r="FI4237"/>
      <c r="FJ4237"/>
      <c r="FK4237"/>
      <c r="FL4237"/>
      <c r="FM4237"/>
      <c r="FN4237"/>
      <c r="FO4237"/>
      <c r="FP4237"/>
      <c r="FQ4237"/>
      <c r="FR4237"/>
      <c r="FS4237"/>
      <c r="FT4237"/>
      <c r="FU4237"/>
      <c r="FV4237"/>
      <c r="FW4237"/>
      <c r="FX4237"/>
      <c r="FY4237"/>
      <c r="FZ4237"/>
      <c r="GA4237"/>
      <c r="GB4237"/>
      <c r="GC4237"/>
      <c r="GD4237"/>
      <c r="GE4237"/>
      <c r="GF4237"/>
      <c r="GG4237"/>
      <c r="GH4237"/>
      <c r="GI4237"/>
      <c r="GJ4237"/>
      <c r="GK4237"/>
      <c r="GL4237"/>
      <c r="GM4237"/>
      <c r="GN4237"/>
      <c r="GO4237"/>
    </row>
    <row r="4238" spans="107:197">
      <c r="DC4238"/>
      <c r="FH4238"/>
      <c r="FI4238"/>
      <c r="FJ4238"/>
      <c r="FK4238"/>
      <c r="FL4238"/>
      <c r="FM4238"/>
      <c r="FN4238"/>
      <c r="FO4238"/>
      <c r="FP4238"/>
      <c r="FQ4238"/>
      <c r="FR4238"/>
      <c r="FS4238"/>
      <c r="FT4238"/>
      <c r="FU4238"/>
      <c r="FV4238"/>
      <c r="FW4238"/>
      <c r="FX4238"/>
      <c r="FY4238"/>
      <c r="FZ4238"/>
      <c r="GA4238"/>
      <c r="GB4238"/>
      <c r="GC4238"/>
      <c r="GD4238"/>
      <c r="GE4238"/>
      <c r="GF4238"/>
      <c r="GG4238"/>
      <c r="GH4238"/>
      <c r="GI4238"/>
      <c r="GJ4238"/>
      <c r="GK4238"/>
      <c r="GL4238"/>
      <c r="GM4238"/>
      <c r="GN4238"/>
      <c r="GO4238"/>
    </row>
    <row r="4239" spans="107:197">
      <c r="DC4239"/>
      <c r="FH4239"/>
      <c r="FI4239"/>
      <c r="FJ4239"/>
      <c r="FK4239"/>
      <c r="FL4239"/>
      <c r="FM4239"/>
      <c r="FN4239"/>
      <c r="FO4239"/>
      <c r="FP4239"/>
      <c r="FQ4239"/>
      <c r="FR4239"/>
      <c r="FS4239"/>
      <c r="FT4239"/>
      <c r="FU4239"/>
      <c r="FV4239"/>
      <c r="FW4239"/>
      <c r="FX4239"/>
      <c r="FY4239"/>
      <c r="FZ4239"/>
      <c r="GA4239"/>
      <c r="GB4239"/>
      <c r="GC4239"/>
      <c r="GD4239"/>
      <c r="GE4239"/>
      <c r="GF4239"/>
      <c r="GG4239"/>
      <c r="GH4239"/>
      <c r="GI4239"/>
      <c r="GJ4239"/>
      <c r="GK4239"/>
      <c r="GL4239"/>
      <c r="GM4239"/>
      <c r="GN4239"/>
      <c r="GO4239"/>
    </row>
    <row r="4240" spans="107:197">
      <c r="DC4240"/>
      <c r="FH4240"/>
      <c r="FI4240"/>
      <c r="FJ4240"/>
      <c r="FK4240"/>
      <c r="FL4240"/>
      <c r="FM4240"/>
      <c r="FN4240"/>
      <c r="FO4240"/>
      <c r="FP4240"/>
      <c r="FQ4240"/>
      <c r="FR4240"/>
      <c r="FS4240"/>
      <c r="FT4240"/>
      <c r="FU4240"/>
      <c r="FV4240"/>
      <c r="FW4240"/>
      <c r="FX4240"/>
      <c r="FY4240"/>
      <c r="FZ4240"/>
      <c r="GA4240"/>
      <c r="GB4240"/>
      <c r="GC4240"/>
      <c r="GD4240"/>
      <c r="GE4240"/>
      <c r="GF4240"/>
      <c r="GG4240"/>
      <c r="GH4240"/>
      <c r="GI4240"/>
      <c r="GJ4240"/>
      <c r="GK4240"/>
      <c r="GL4240"/>
      <c r="GM4240"/>
      <c r="GN4240"/>
      <c r="GO4240"/>
    </row>
    <row r="4241" spans="107:197">
      <c r="DC4241"/>
      <c r="FH4241"/>
      <c r="FI4241"/>
      <c r="FJ4241"/>
      <c r="FK4241"/>
      <c r="FL4241"/>
      <c r="FM4241"/>
      <c r="FN4241"/>
      <c r="FO4241"/>
      <c r="FP4241"/>
      <c r="FQ4241"/>
      <c r="FR4241"/>
      <c r="FS4241"/>
      <c r="FT4241"/>
      <c r="FU4241"/>
      <c r="FV4241"/>
      <c r="FW4241"/>
      <c r="FX4241"/>
      <c r="FY4241"/>
      <c r="FZ4241"/>
      <c r="GA4241"/>
      <c r="GB4241"/>
      <c r="GC4241"/>
      <c r="GD4241"/>
      <c r="GE4241"/>
      <c r="GF4241"/>
      <c r="GG4241"/>
      <c r="GH4241"/>
      <c r="GI4241"/>
      <c r="GJ4241"/>
      <c r="GK4241"/>
      <c r="GL4241"/>
      <c r="GM4241"/>
      <c r="GN4241"/>
      <c r="GO4241"/>
    </row>
    <row r="4242" spans="107:197">
      <c r="DC4242"/>
      <c r="FH4242"/>
      <c r="FI4242"/>
      <c r="FJ4242"/>
      <c r="FK4242"/>
      <c r="FL4242"/>
      <c r="FM4242"/>
      <c r="FN4242"/>
      <c r="FO4242"/>
      <c r="FP4242"/>
      <c r="FQ4242"/>
      <c r="FR4242"/>
      <c r="FS4242"/>
      <c r="FT4242"/>
      <c r="FU4242"/>
      <c r="FV4242"/>
      <c r="FW4242"/>
      <c r="FX4242"/>
      <c r="FY4242"/>
      <c r="FZ4242"/>
      <c r="GA4242"/>
      <c r="GB4242"/>
      <c r="GC4242"/>
      <c r="GD4242"/>
      <c r="GE4242"/>
      <c r="GF4242"/>
      <c r="GG4242"/>
      <c r="GH4242"/>
      <c r="GI4242"/>
      <c r="GJ4242"/>
      <c r="GK4242"/>
      <c r="GL4242"/>
      <c r="GM4242"/>
      <c r="GN4242"/>
      <c r="GO4242"/>
    </row>
    <row r="4243" spans="107:197">
      <c r="DC4243"/>
      <c r="FH4243"/>
      <c r="FI4243"/>
      <c r="FJ4243"/>
      <c r="FK4243"/>
      <c r="FL4243"/>
      <c r="FM4243"/>
      <c r="FN4243"/>
      <c r="FO4243"/>
      <c r="FP4243"/>
      <c r="FQ4243"/>
      <c r="FR4243"/>
      <c r="FS4243"/>
      <c r="FT4243"/>
      <c r="FU4243"/>
      <c r="FV4243"/>
      <c r="FW4243"/>
      <c r="FX4243"/>
      <c r="FY4243"/>
      <c r="FZ4243"/>
      <c r="GA4243"/>
      <c r="GB4243"/>
      <c r="GC4243"/>
      <c r="GD4243"/>
      <c r="GE4243"/>
      <c r="GF4243"/>
      <c r="GG4243"/>
      <c r="GH4243"/>
      <c r="GI4243"/>
      <c r="GJ4243"/>
      <c r="GK4243"/>
      <c r="GL4243"/>
      <c r="GM4243"/>
      <c r="GN4243"/>
      <c r="GO4243"/>
    </row>
    <row r="4244" spans="107:197">
      <c r="DC4244"/>
      <c r="FH4244"/>
      <c r="FI4244"/>
      <c r="FJ4244"/>
      <c r="FK4244"/>
      <c r="FL4244"/>
      <c r="FM4244"/>
      <c r="FN4244"/>
      <c r="FO4244"/>
      <c r="FP4244"/>
      <c r="FQ4244"/>
      <c r="FR4244"/>
      <c r="FS4244"/>
      <c r="FT4244"/>
      <c r="FU4244"/>
      <c r="FV4244"/>
      <c r="FW4244"/>
      <c r="FX4244"/>
      <c r="FY4244"/>
      <c r="FZ4244"/>
      <c r="GA4244"/>
      <c r="GB4244"/>
      <c r="GC4244"/>
      <c r="GD4244"/>
      <c r="GE4244"/>
      <c r="GF4244"/>
      <c r="GG4244"/>
      <c r="GH4244"/>
      <c r="GI4244"/>
      <c r="GJ4244"/>
      <c r="GK4244"/>
      <c r="GL4244"/>
      <c r="GM4244"/>
      <c r="GN4244"/>
      <c r="GO4244"/>
    </row>
    <row r="4245" spans="107:197">
      <c r="DC4245"/>
      <c r="FH4245"/>
      <c r="FI4245"/>
      <c r="FJ4245"/>
      <c r="FK4245"/>
      <c r="FL4245"/>
      <c r="FM4245"/>
      <c r="FN4245"/>
      <c r="FO4245"/>
      <c r="FP4245"/>
      <c r="FQ4245"/>
      <c r="FR4245"/>
      <c r="FS4245"/>
      <c r="FT4245"/>
      <c r="FU4245"/>
      <c r="FV4245"/>
      <c r="FW4245"/>
      <c r="FX4245"/>
      <c r="FY4245"/>
      <c r="FZ4245"/>
      <c r="GA4245"/>
      <c r="GB4245"/>
      <c r="GC4245"/>
      <c r="GD4245"/>
      <c r="GE4245"/>
      <c r="GF4245"/>
      <c r="GG4245"/>
      <c r="GH4245"/>
      <c r="GI4245"/>
      <c r="GJ4245"/>
      <c r="GK4245"/>
      <c r="GL4245"/>
      <c r="GM4245"/>
      <c r="GN4245"/>
      <c r="GO4245"/>
    </row>
    <row r="4246" spans="107:197">
      <c r="DC4246"/>
      <c r="FH4246"/>
      <c r="FI4246"/>
      <c r="FJ4246"/>
      <c r="FK4246"/>
      <c r="FL4246"/>
      <c r="FM4246"/>
      <c r="FN4246"/>
      <c r="FO4246"/>
      <c r="FP4246"/>
      <c r="FQ4246"/>
      <c r="FR4246"/>
      <c r="FS4246"/>
      <c r="FT4246"/>
      <c r="FU4246"/>
      <c r="FV4246"/>
      <c r="FW4246"/>
      <c r="FX4246"/>
      <c r="FY4246"/>
      <c r="FZ4246"/>
      <c r="GA4246"/>
      <c r="GB4246"/>
      <c r="GC4246"/>
      <c r="GD4246"/>
      <c r="GE4246"/>
      <c r="GF4246"/>
      <c r="GG4246"/>
      <c r="GH4246"/>
      <c r="GI4246"/>
      <c r="GJ4246"/>
      <c r="GK4246"/>
      <c r="GL4246"/>
      <c r="GM4246"/>
      <c r="GN4246"/>
      <c r="GO4246"/>
    </row>
    <row r="4247" spans="107:197">
      <c r="DC4247"/>
      <c r="FH4247"/>
      <c r="FI4247"/>
      <c r="FJ4247"/>
      <c r="FK4247"/>
      <c r="FL4247"/>
      <c r="FM4247"/>
      <c r="FN4247"/>
      <c r="FO4247"/>
      <c r="FP4247"/>
      <c r="FQ4247"/>
      <c r="FR4247"/>
      <c r="FS4247"/>
      <c r="FT4247"/>
      <c r="FU4247"/>
      <c r="FV4247"/>
      <c r="FW4247"/>
      <c r="FX4247"/>
      <c r="FY4247"/>
      <c r="FZ4247"/>
      <c r="GA4247"/>
      <c r="GB4247"/>
      <c r="GC4247"/>
      <c r="GD4247"/>
      <c r="GE4247"/>
      <c r="GF4247"/>
      <c r="GG4247"/>
      <c r="GH4247"/>
      <c r="GI4247"/>
      <c r="GJ4247"/>
      <c r="GK4247"/>
      <c r="GL4247"/>
      <c r="GM4247"/>
      <c r="GN4247"/>
      <c r="GO4247"/>
    </row>
    <row r="4248" spans="107:197">
      <c r="DC4248"/>
      <c r="FH4248"/>
      <c r="FI4248"/>
      <c r="FJ4248"/>
      <c r="FK4248"/>
      <c r="FL4248"/>
      <c r="FM4248"/>
      <c r="FN4248"/>
      <c r="FO4248"/>
      <c r="FP4248"/>
      <c r="FQ4248"/>
      <c r="FR4248"/>
      <c r="FS4248"/>
      <c r="FT4248"/>
      <c r="FU4248"/>
      <c r="FV4248"/>
      <c r="FW4248"/>
      <c r="FX4248"/>
      <c r="FY4248"/>
      <c r="FZ4248"/>
      <c r="GA4248"/>
      <c r="GB4248"/>
      <c r="GC4248"/>
      <c r="GD4248"/>
      <c r="GE4248"/>
      <c r="GF4248"/>
      <c r="GG4248"/>
      <c r="GH4248"/>
      <c r="GI4248"/>
      <c r="GJ4248"/>
      <c r="GK4248"/>
      <c r="GL4248"/>
      <c r="GM4248"/>
      <c r="GN4248"/>
      <c r="GO4248"/>
    </row>
    <row r="4249" spans="107:197">
      <c r="DC4249"/>
      <c r="FH4249"/>
      <c r="FI4249"/>
      <c r="FJ4249"/>
      <c r="FK4249"/>
      <c r="FL4249"/>
      <c r="FM4249"/>
      <c r="FN4249"/>
      <c r="FO4249"/>
      <c r="FP4249"/>
      <c r="FQ4249"/>
      <c r="FR4249"/>
      <c r="FS4249"/>
      <c r="FT4249"/>
      <c r="FU4249"/>
      <c r="FV4249"/>
      <c r="FW4249"/>
      <c r="FX4249"/>
      <c r="FY4249"/>
      <c r="FZ4249"/>
      <c r="GA4249"/>
      <c r="GB4249"/>
      <c r="GC4249"/>
      <c r="GD4249"/>
      <c r="GE4249"/>
      <c r="GF4249"/>
      <c r="GG4249"/>
      <c r="GH4249"/>
      <c r="GI4249"/>
      <c r="GJ4249"/>
      <c r="GK4249"/>
      <c r="GL4249"/>
      <c r="GM4249"/>
      <c r="GN4249"/>
      <c r="GO4249"/>
    </row>
    <row r="4250" spans="107:197">
      <c r="DC4250"/>
      <c r="FH4250"/>
      <c r="FI4250"/>
      <c r="FJ4250"/>
      <c r="FK4250"/>
      <c r="FL4250"/>
      <c r="FM4250"/>
      <c r="FN4250"/>
      <c r="FO4250"/>
      <c r="FP4250"/>
      <c r="FQ4250"/>
      <c r="FR4250"/>
      <c r="FS4250"/>
      <c r="FT4250"/>
      <c r="FU4250"/>
      <c r="FV4250"/>
      <c r="FW4250"/>
      <c r="FX4250"/>
      <c r="FY4250"/>
      <c r="FZ4250"/>
      <c r="GA4250"/>
      <c r="GB4250"/>
      <c r="GC4250"/>
      <c r="GD4250"/>
      <c r="GE4250"/>
      <c r="GF4250"/>
      <c r="GG4250"/>
      <c r="GH4250"/>
      <c r="GI4250"/>
      <c r="GJ4250"/>
      <c r="GK4250"/>
      <c r="GL4250"/>
      <c r="GM4250"/>
      <c r="GN4250"/>
      <c r="GO4250"/>
    </row>
    <row r="4251" spans="107:197">
      <c r="DC4251"/>
      <c r="FH4251"/>
      <c r="FI4251"/>
      <c r="FJ4251"/>
      <c r="FK4251"/>
      <c r="FL4251"/>
      <c r="FM4251"/>
      <c r="FN4251"/>
      <c r="FO4251"/>
      <c r="FP4251"/>
      <c r="FQ4251"/>
      <c r="FR4251"/>
      <c r="FS4251"/>
      <c r="FT4251"/>
      <c r="FU4251"/>
      <c r="FV4251"/>
      <c r="FW4251"/>
      <c r="FX4251"/>
      <c r="FY4251"/>
      <c r="FZ4251"/>
      <c r="GA4251"/>
      <c r="GB4251"/>
      <c r="GC4251"/>
      <c r="GD4251"/>
      <c r="GE4251"/>
      <c r="GF4251"/>
      <c r="GG4251"/>
      <c r="GH4251"/>
      <c r="GI4251"/>
      <c r="GJ4251"/>
      <c r="GK4251"/>
      <c r="GL4251"/>
      <c r="GM4251"/>
      <c r="GN4251"/>
      <c r="GO4251"/>
    </row>
    <row r="4252" spans="107:197">
      <c r="DC4252"/>
      <c r="FH4252"/>
      <c r="FI4252"/>
      <c r="FJ4252"/>
      <c r="FK4252"/>
      <c r="FL4252"/>
      <c r="FM4252"/>
      <c r="FN4252"/>
      <c r="FO4252"/>
      <c r="FP4252"/>
      <c r="FQ4252"/>
      <c r="FR4252"/>
      <c r="FS4252"/>
      <c r="FT4252"/>
      <c r="FU4252"/>
      <c r="FV4252"/>
      <c r="FW4252"/>
      <c r="FX4252"/>
      <c r="FY4252"/>
      <c r="FZ4252"/>
      <c r="GA4252"/>
      <c r="GB4252"/>
      <c r="GC4252"/>
      <c r="GD4252"/>
      <c r="GE4252"/>
      <c r="GF4252"/>
      <c r="GG4252"/>
      <c r="GH4252"/>
      <c r="GI4252"/>
      <c r="GJ4252"/>
      <c r="GK4252"/>
      <c r="GL4252"/>
      <c r="GM4252"/>
      <c r="GN4252"/>
      <c r="GO4252"/>
    </row>
    <row r="4253" spans="107:197">
      <c r="DC4253"/>
      <c r="FH4253"/>
      <c r="FI4253"/>
      <c r="FJ4253"/>
      <c r="FK4253"/>
      <c r="FL4253"/>
      <c r="FM4253"/>
      <c r="FN4253"/>
      <c r="FO4253"/>
      <c r="FP4253"/>
      <c r="FQ4253"/>
      <c r="FR4253"/>
      <c r="FS4253"/>
      <c r="FT4253"/>
      <c r="FU4253"/>
      <c r="FV4253"/>
      <c r="FW4253"/>
      <c r="FX4253"/>
      <c r="FY4253"/>
      <c r="FZ4253"/>
      <c r="GA4253"/>
      <c r="GB4253"/>
      <c r="GC4253"/>
      <c r="GD4253"/>
      <c r="GE4253"/>
      <c r="GF4253"/>
      <c r="GG4253"/>
      <c r="GH4253"/>
      <c r="GI4253"/>
      <c r="GJ4253"/>
      <c r="GK4253"/>
      <c r="GL4253"/>
      <c r="GM4253"/>
      <c r="GN4253"/>
      <c r="GO4253"/>
    </row>
    <row r="4254" spans="107:197">
      <c r="DC4254"/>
      <c r="FH4254"/>
      <c r="FI4254"/>
      <c r="FJ4254"/>
      <c r="FK4254"/>
      <c r="FL4254"/>
      <c r="FM4254"/>
      <c r="FN4254"/>
      <c r="FO4254"/>
      <c r="FP4254"/>
      <c r="FQ4254"/>
      <c r="FR4254"/>
      <c r="FS4254"/>
      <c r="FT4254"/>
      <c r="FU4254"/>
      <c r="FV4254"/>
      <c r="FW4254"/>
      <c r="FX4254"/>
      <c r="FY4254"/>
      <c r="FZ4254"/>
      <c r="GA4254"/>
      <c r="GB4254"/>
      <c r="GC4254"/>
      <c r="GD4254"/>
      <c r="GE4254"/>
      <c r="GF4254"/>
      <c r="GG4254"/>
      <c r="GH4254"/>
      <c r="GI4254"/>
      <c r="GJ4254"/>
      <c r="GK4254"/>
      <c r="GL4254"/>
      <c r="GM4254"/>
      <c r="GN4254"/>
      <c r="GO4254"/>
    </row>
    <row r="4255" spans="107:197">
      <c r="DC4255"/>
      <c r="FH4255"/>
      <c r="FI4255"/>
      <c r="FJ4255"/>
      <c r="FK4255"/>
      <c r="FL4255"/>
      <c r="FM4255"/>
      <c r="FN4255"/>
      <c r="FO4255"/>
      <c r="FP4255"/>
      <c r="FQ4255"/>
      <c r="FR4255"/>
      <c r="FS4255"/>
      <c r="FT4255"/>
      <c r="FU4255"/>
      <c r="FV4255"/>
      <c r="FW4255"/>
      <c r="FX4255"/>
      <c r="FY4255"/>
      <c r="FZ4255"/>
      <c r="GA4255"/>
      <c r="GB4255"/>
      <c r="GC4255"/>
      <c r="GD4255"/>
      <c r="GE4255"/>
      <c r="GF4255"/>
      <c r="GG4255"/>
      <c r="GH4255"/>
      <c r="GI4255"/>
      <c r="GJ4255"/>
      <c r="GK4255"/>
      <c r="GL4255"/>
      <c r="GM4255"/>
      <c r="GN4255"/>
      <c r="GO4255"/>
    </row>
    <row r="4256" spans="107:197">
      <c r="DC4256"/>
      <c r="FH4256"/>
      <c r="FI4256"/>
      <c r="FJ4256"/>
      <c r="FK4256"/>
      <c r="FL4256"/>
      <c r="FM4256"/>
      <c r="FN4256"/>
      <c r="FO4256"/>
      <c r="FP4256"/>
      <c r="FQ4256"/>
      <c r="FR4256"/>
      <c r="FS4256"/>
      <c r="FT4256"/>
      <c r="FU4256"/>
      <c r="FV4256"/>
      <c r="FW4256"/>
      <c r="FX4256"/>
      <c r="FY4256"/>
      <c r="FZ4256"/>
      <c r="GA4256"/>
      <c r="GB4256"/>
      <c r="GC4256"/>
      <c r="GD4256"/>
      <c r="GE4256"/>
      <c r="GF4256"/>
      <c r="GG4256"/>
      <c r="GH4256"/>
      <c r="GI4256"/>
      <c r="GJ4256"/>
      <c r="GK4256"/>
      <c r="GL4256"/>
      <c r="GM4256"/>
      <c r="GN4256"/>
      <c r="GO4256"/>
    </row>
    <row r="4257" spans="107:197">
      <c r="DC4257"/>
      <c r="FH4257"/>
      <c r="FI4257"/>
      <c r="FJ4257"/>
      <c r="FK4257"/>
      <c r="FL4257"/>
      <c r="FM4257"/>
      <c r="FN4257"/>
      <c r="FO4257"/>
      <c r="FP4257"/>
      <c r="FQ4257"/>
      <c r="FR4257"/>
      <c r="FS4257"/>
      <c r="FT4257"/>
      <c r="FU4257"/>
      <c r="FV4257"/>
      <c r="FW4257"/>
      <c r="FX4257"/>
      <c r="FY4257"/>
      <c r="FZ4257"/>
      <c r="GA4257"/>
      <c r="GB4257"/>
      <c r="GC4257"/>
      <c r="GD4257"/>
      <c r="GE4257"/>
      <c r="GF4257"/>
      <c r="GG4257"/>
      <c r="GH4257"/>
      <c r="GI4257"/>
      <c r="GJ4257"/>
      <c r="GK4257"/>
      <c r="GL4257"/>
      <c r="GM4257"/>
      <c r="GN4257"/>
      <c r="GO4257"/>
    </row>
    <row r="4258" spans="107:197">
      <c r="DC4258"/>
      <c r="FH4258"/>
      <c r="FI4258"/>
      <c r="FJ4258"/>
      <c r="FK4258"/>
      <c r="FL4258"/>
      <c r="FM4258"/>
      <c r="FN4258"/>
      <c r="FO4258"/>
      <c r="FP4258"/>
      <c r="FQ4258"/>
      <c r="FR4258"/>
      <c r="FS4258"/>
      <c r="FT4258"/>
      <c r="FU4258"/>
      <c r="FV4258"/>
      <c r="FW4258"/>
      <c r="FX4258"/>
      <c r="FY4258"/>
      <c r="FZ4258"/>
      <c r="GA4258"/>
      <c r="GB4258"/>
      <c r="GC4258"/>
      <c r="GD4258"/>
      <c r="GE4258"/>
      <c r="GF4258"/>
      <c r="GG4258"/>
      <c r="GH4258"/>
      <c r="GI4258"/>
      <c r="GJ4258"/>
      <c r="GK4258"/>
      <c r="GL4258"/>
      <c r="GM4258"/>
      <c r="GN4258"/>
      <c r="GO4258"/>
    </row>
    <row r="4259" spans="107:197">
      <c r="DC4259"/>
      <c r="FH4259"/>
      <c r="FI4259"/>
      <c r="FJ4259"/>
      <c r="FK4259"/>
      <c r="FL4259"/>
      <c r="FM4259"/>
      <c r="FN4259"/>
      <c r="FO4259"/>
      <c r="FP4259"/>
      <c r="FQ4259"/>
      <c r="FR4259"/>
      <c r="FS4259"/>
      <c r="FT4259"/>
      <c r="FU4259"/>
      <c r="FV4259"/>
      <c r="FW4259"/>
      <c r="FX4259"/>
      <c r="FY4259"/>
      <c r="FZ4259"/>
      <c r="GA4259"/>
      <c r="GB4259"/>
      <c r="GC4259"/>
      <c r="GD4259"/>
      <c r="GE4259"/>
      <c r="GF4259"/>
      <c r="GG4259"/>
      <c r="GH4259"/>
      <c r="GI4259"/>
      <c r="GJ4259"/>
      <c r="GK4259"/>
      <c r="GL4259"/>
      <c r="GM4259"/>
      <c r="GN4259"/>
      <c r="GO4259"/>
    </row>
    <row r="4260" spans="107:197">
      <c r="DC4260"/>
      <c r="FH4260"/>
      <c r="FI4260"/>
      <c r="FJ4260"/>
      <c r="FK4260"/>
      <c r="FL4260"/>
      <c r="FM4260"/>
      <c r="FN4260"/>
      <c r="FO4260"/>
      <c r="FP4260"/>
      <c r="FQ4260"/>
      <c r="FR4260"/>
      <c r="FS4260"/>
      <c r="FT4260"/>
      <c r="FU4260"/>
      <c r="FV4260"/>
      <c r="FW4260"/>
      <c r="FX4260"/>
      <c r="FY4260"/>
      <c r="FZ4260"/>
      <c r="GA4260"/>
      <c r="GB4260"/>
      <c r="GC4260"/>
      <c r="GD4260"/>
      <c r="GE4260"/>
      <c r="GF4260"/>
      <c r="GG4260"/>
      <c r="GH4260"/>
      <c r="GI4260"/>
      <c r="GJ4260"/>
      <c r="GK4260"/>
      <c r="GL4260"/>
      <c r="GM4260"/>
      <c r="GN4260"/>
      <c r="GO4260"/>
    </row>
    <row r="4261" spans="107:197">
      <c r="DC4261"/>
      <c r="FH4261"/>
      <c r="FI4261"/>
      <c r="FJ4261"/>
      <c r="FK4261"/>
      <c r="FL4261"/>
      <c r="FM4261"/>
      <c r="FN4261"/>
      <c r="FO4261"/>
      <c r="FP4261"/>
      <c r="FQ4261"/>
      <c r="FR4261"/>
      <c r="FS4261"/>
      <c r="FT4261"/>
      <c r="FU4261"/>
      <c r="FV4261"/>
      <c r="FW4261"/>
      <c r="FX4261"/>
      <c r="FY4261"/>
      <c r="FZ4261"/>
      <c r="GA4261"/>
      <c r="GB4261"/>
      <c r="GC4261"/>
      <c r="GD4261"/>
      <c r="GE4261"/>
      <c r="GF4261"/>
      <c r="GG4261"/>
      <c r="GH4261"/>
      <c r="GI4261"/>
      <c r="GJ4261"/>
      <c r="GK4261"/>
      <c r="GL4261"/>
      <c r="GM4261"/>
      <c r="GN4261"/>
      <c r="GO4261"/>
    </row>
    <row r="4262" spans="107:197">
      <c r="DC4262"/>
      <c r="FH4262"/>
      <c r="FI4262"/>
      <c r="FJ4262"/>
      <c r="FK4262"/>
      <c r="FL4262"/>
      <c r="FM4262"/>
      <c r="FN4262"/>
      <c r="FO4262"/>
      <c r="FP4262"/>
      <c r="FQ4262"/>
      <c r="FR4262"/>
      <c r="FS4262"/>
      <c r="FT4262"/>
      <c r="FU4262"/>
      <c r="FV4262"/>
      <c r="FW4262"/>
      <c r="FX4262"/>
      <c r="FY4262"/>
      <c r="FZ4262"/>
      <c r="GA4262"/>
      <c r="GB4262"/>
      <c r="GC4262"/>
      <c r="GD4262"/>
      <c r="GE4262"/>
      <c r="GF4262"/>
      <c r="GG4262"/>
      <c r="GH4262"/>
      <c r="GI4262"/>
      <c r="GJ4262"/>
      <c r="GK4262"/>
      <c r="GL4262"/>
      <c r="GM4262"/>
      <c r="GN4262"/>
      <c r="GO4262"/>
    </row>
    <row r="4263" spans="107:197">
      <c r="DC4263"/>
      <c r="FH4263"/>
      <c r="FI4263"/>
      <c r="FJ4263"/>
      <c r="FK4263"/>
      <c r="FL4263"/>
      <c r="FM4263"/>
      <c r="FN4263"/>
      <c r="FO4263"/>
      <c r="FP4263"/>
      <c r="FQ4263"/>
      <c r="FR4263"/>
      <c r="FS4263"/>
      <c r="FT4263"/>
      <c r="FU4263"/>
      <c r="FV4263"/>
      <c r="FW4263"/>
      <c r="FX4263"/>
      <c r="FY4263"/>
      <c r="FZ4263"/>
      <c r="GA4263"/>
      <c r="GB4263"/>
      <c r="GC4263"/>
      <c r="GD4263"/>
      <c r="GE4263"/>
      <c r="GF4263"/>
      <c r="GG4263"/>
      <c r="GH4263"/>
      <c r="GI4263"/>
      <c r="GJ4263"/>
      <c r="GK4263"/>
      <c r="GL4263"/>
      <c r="GM4263"/>
      <c r="GN4263"/>
      <c r="GO4263"/>
    </row>
    <row r="4264" spans="107:197">
      <c r="DC4264"/>
      <c r="FH4264"/>
      <c r="FI4264"/>
      <c r="FJ4264"/>
      <c r="FK4264"/>
      <c r="FL4264"/>
      <c r="FM4264"/>
      <c r="FN4264"/>
      <c r="FO4264"/>
      <c r="FP4264"/>
      <c r="FQ4264"/>
      <c r="FR4264"/>
      <c r="FS4264"/>
      <c r="FT4264"/>
      <c r="FU4264"/>
      <c r="FV4264"/>
      <c r="FW4264"/>
      <c r="FX4264"/>
      <c r="FY4264"/>
      <c r="FZ4264"/>
      <c r="GA4264"/>
      <c r="GB4264"/>
      <c r="GC4264"/>
      <c r="GD4264"/>
      <c r="GE4264"/>
      <c r="GF4264"/>
      <c r="GG4264"/>
      <c r="GH4264"/>
      <c r="GI4264"/>
      <c r="GJ4264"/>
      <c r="GK4264"/>
      <c r="GL4264"/>
      <c r="GM4264"/>
      <c r="GN4264"/>
      <c r="GO4264"/>
    </row>
    <row r="4265" spans="107:197">
      <c r="DC4265"/>
      <c r="FH4265"/>
      <c r="FI4265"/>
      <c r="FJ4265"/>
      <c r="FK4265"/>
      <c r="FL4265"/>
      <c r="FM4265"/>
      <c r="FN4265"/>
      <c r="FO4265"/>
      <c r="FP4265"/>
      <c r="FQ4265"/>
      <c r="FR4265"/>
      <c r="FS4265"/>
      <c r="FT4265"/>
      <c r="FU4265"/>
      <c r="FV4265"/>
      <c r="FW4265"/>
      <c r="FX4265"/>
      <c r="FY4265"/>
      <c r="FZ4265"/>
      <c r="GA4265"/>
      <c r="GB4265"/>
      <c r="GC4265"/>
      <c r="GD4265"/>
      <c r="GE4265"/>
      <c r="GF4265"/>
      <c r="GG4265"/>
      <c r="GH4265"/>
      <c r="GI4265"/>
      <c r="GJ4265"/>
      <c r="GK4265"/>
      <c r="GL4265"/>
      <c r="GM4265"/>
      <c r="GN4265"/>
      <c r="GO4265"/>
    </row>
    <row r="4266" spans="107:197">
      <c r="DC4266"/>
      <c r="FH4266"/>
      <c r="FI4266"/>
      <c r="FJ4266"/>
      <c r="FK4266"/>
      <c r="FL4266"/>
      <c r="FM4266"/>
      <c r="FN4266"/>
      <c r="FO4266"/>
      <c r="FP4266"/>
      <c r="FQ4266"/>
      <c r="FR4266"/>
      <c r="FS4266"/>
      <c r="FT4266"/>
      <c r="FU4266"/>
      <c r="FV4266"/>
      <c r="FW4266"/>
      <c r="FX4266"/>
      <c r="FY4266"/>
      <c r="FZ4266"/>
      <c r="GA4266"/>
      <c r="GB4266"/>
      <c r="GC4266"/>
      <c r="GD4266"/>
      <c r="GE4266"/>
      <c r="GF4266"/>
      <c r="GG4266"/>
      <c r="GH4266"/>
      <c r="GI4266"/>
      <c r="GJ4266"/>
      <c r="GK4266"/>
      <c r="GL4266"/>
      <c r="GM4266"/>
      <c r="GN4266"/>
      <c r="GO4266"/>
    </row>
    <row r="4267" spans="107:197">
      <c r="DC4267"/>
      <c r="FH4267"/>
      <c r="FI4267"/>
      <c r="FJ4267"/>
      <c r="FK4267"/>
      <c r="FL4267"/>
      <c r="FM4267"/>
      <c r="FN4267"/>
      <c r="FO4267"/>
      <c r="FP4267"/>
      <c r="FQ4267"/>
      <c r="FR4267"/>
      <c r="FS4267"/>
      <c r="FT4267"/>
      <c r="FU4267"/>
      <c r="FV4267"/>
      <c r="FW4267"/>
      <c r="FX4267"/>
      <c r="FY4267"/>
      <c r="FZ4267"/>
      <c r="GA4267"/>
      <c r="GB4267"/>
      <c r="GC4267"/>
      <c r="GD4267"/>
      <c r="GE4267"/>
      <c r="GF4267"/>
      <c r="GG4267"/>
      <c r="GH4267"/>
      <c r="GI4267"/>
      <c r="GJ4267"/>
      <c r="GK4267"/>
      <c r="GL4267"/>
      <c r="GM4267"/>
      <c r="GN4267"/>
      <c r="GO4267"/>
    </row>
    <row r="4268" spans="107:197">
      <c r="DC4268"/>
      <c r="FH4268"/>
      <c r="FI4268"/>
      <c r="FJ4268"/>
      <c r="FK4268"/>
      <c r="FL4268"/>
      <c r="FM4268"/>
      <c r="FN4268"/>
      <c r="FO4268"/>
      <c r="FP4268"/>
      <c r="FQ4268"/>
      <c r="FR4268"/>
      <c r="FS4268"/>
      <c r="FT4268"/>
      <c r="FU4268"/>
      <c r="FV4268"/>
      <c r="FW4268"/>
      <c r="FX4268"/>
      <c r="FY4268"/>
      <c r="FZ4268"/>
      <c r="GA4268"/>
      <c r="GB4268"/>
      <c r="GC4268"/>
      <c r="GD4268"/>
      <c r="GE4268"/>
      <c r="GF4268"/>
      <c r="GG4268"/>
      <c r="GH4268"/>
      <c r="GI4268"/>
      <c r="GJ4268"/>
      <c r="GK4268"/>
      <c r="GL4268"/>
      <c r="GM4268"/>
      <c r="GN4268"/>
      <c r="GO4268"/>
    </row>
    <row r="4269" spans="107:197">
      <c r="DC4269"/>
      <c r="FH4269"/>
      <c r="FI4269"/>
      <c r="FJ4269"/>
      <c r="FK4269"/>
      <c r="FL4269"/>
      <c r="FM4269"/>
      <c r="FN4269"/>
      <c r="FO4269"/>
      <c r="FP4269"/>
      <c r="FQ4269"/>
      <c r="FR4269"/>
      <c r="FS4269"/>
      <c r="FT4269"/>
      <c r="FU4269"/>
      <c r="FV4269"/>
      <c r="FW4269"/>
      <c r="FX4269"/>
      <c r="FY4269"/>
      <c r="FZ4269"/>
      <c r="GA4269"/>
      <c r="GB4269"/>
      <c r="GC4269"/>
      <c r="GD4269"/>
      <c r="GE4269"/>
      <c r="GF4269"/>
      <c r="GG4269"/>
      <c r="GH4269"/>
      <c r="GI4269"/>
      <c r="GJ4269"/>
      <c r="GK4269"/>
      <c r="GL4269"/>
      <c r="GM4269"/>
      <c r="GN4269"/>
      <c r="GO4269"/>
    </row>
    <row r="4270" spans="107:197">
      <c r="DC4270"/>
      <c r="FH4270"/>
      <c r="FI4270"/>
      <c r="FJ4270"/>
      <c r="FK4270"/>
      <c r="FL4270"/>
      <c r="FM4270"/>
      <c r="FN4270"/>
      <c r="FO4270"/>
      <c r="FP4270"/>
      <c r="FQ4270"/>
      <c r="FR4270"/>
      <c r="FS4270"/>
      <c r="FT4270"/>
      <c r="FU4270"/>
      <c r="FV4270"/>
      <c r="FW4270"/>
      <c r="FX4270"/>
      <c r="FY4270"/>
      <c r="FZ4270"/>
      <c r="GA4270"/>
      <c r="GB4270"/>
      <c r="GC4270"/>
      <c r="GD4270"/>
      <c r="GE4270"/>
      <c r="GF4270"/>
      <c r="GG4270"/>
      <c r="GH4270"/>
      <c r="GI4270"/>
      <c r="GJ4270"/>
      <c r="GK4270"/>
      <c r="GL4270"/>
      <c r="GM4270"/>
      <c r="GN4270"/>
      <c r="GO4270"/>
    </row>
    <row r="4271" spans="107:197">
      <c r="DC4271"/>
      <c r="FH4271"/>
      <c r="FI4271"/>
      <c r="FJ4271"/>
      <c r="FK4271"/>
      <c r="FL4271"/>
      <c r="FM4271"/>
      <c r="FN4271"/>
      <c r="FO4271"/>
      <c r="FP4271"/>
      <c r="FQ4271"/>
      <c r="FR4271"/>
      <c r="FS4271"/>
      <c r="FT4271"/>
      <c r="FU4271"/>
      <c r="FV4271"/>
      <c r="FW4271"/>
      <c r="FX4271"/>
      <c r="FY4271"/>
      <c r="FZ4271"/>
      <c r="GA4271"/>
      <c r="GB4271"/>
      <c r="GC4271"/>
      <c r="GD4271"/>
      <c r="GE4271"/>
      <c r="GF4271"/>
      <c r="GG4271"/>
      <c r="GH4271"/>
      <c r="GI4271"/>
      <c r="GJ4271"/>
      <c r="GK4271"/>
      <c r="GL4271"/>
      <c r="GM4271"/>
      <c r="GN4271"/>
      <c r="GO4271"/>
    </row>
    <row r="4272" spans="107:197">
      <c r="DC4272"/>
      <c r="FH4272"/>
      <c r="FI4272"/>
      <c r="FJ4272"/>
      <c r="FK4272"/>
      <c r="FL4272"/>
      <c r="FM4272"/>
      <c r="FN4272"/>
      <c r="FO4272"/>
      <c r="FP4272"/>
      <c r="FQ4272"/>
      <c r="FR4272"/>
      <c r="FS4272"/>
      <c r="FT4272"/>
      <c r="FU4272"/>
      <c r="FV4272"/>
      <c r="FW4272"/>
      <c r="FX4272"/>
      <c r="FY4272"/>
      <c r="FZ4272"/>
      <c r="GA4272"/>
      <c r="GB4272"/>
      <c r="GC4272"/>
      <c r="GD4272"/>
      <c r="GE4272"/>
      <c r="GF4272"/>
      <c r="GG4272"/>
      <c r="GH4272"/>
      <c r="GI4272"/>
      <c r="GJ4272"/>
      <c r="GK4272"/>
      <c r="GL4272"/>
      <c r="GM4272"/>
      <c r="GN4272"/>
      <c r="GO4272"/>
    </row>
    <row r="4273" spans="107:197">
      <c r="DC4273"/>
      <c r="FH4273"/>
      <c r="FI4273"/>
      <c r="FJ4273"/>
      <c r="FK4273"/>
      <c r="FL4273"/>
      <c r="FM4273"/>
      <c r="FN4273"/>
      <c r="FO4273"/>
      <c r="FP4273"/>
      <c r="FQ4273"/>
      <c r="FR4273"/>
      <c r="FS4273"/>
      <c r="FT4273"/>
      <c r="FU4273"/>
      <c r="FV4273"/>
      <c r="FW4273"/>
      <c r="FX4273"/>
      <c r="FY4273"/>
      <c r="FZ4273"/>
      <c r="GA4273"/>
      <c r="GB4273"/>
      <c r="GC4273"/>
      <c r="GD4273"/>
      <c r="GE4273"/>
      <c r="GF4273"/>
      <c r="GG4273"/>
      <c r="GH4273"/>
      <c r="GI4273"/>
      <c r="GJ4273"/>
      <c r="GK4273"/>
      <c r="GL4273"/>
      <c r="GM4273"/>
      <c r="GN4273"/>
      <c r="GO4273"/>
    </row>
    <row r="4274" spans="107:197">
      <c r="DC4274"/>
      <c r="FH4274"/>
      <c r="FI4274"/>
      <c r="FJ4274"/>
      <c r="FK4274"/>
      <c r="FL4274"/>
      <c r="FM4274"/>
      <c r="FN4274"/>
      <c r="FO4274"/>
      <c r="FP4274"/>
      <c r="FQ4274"/>
      <c r="FR4274"/>
      <c r="FS4274"/>
      <c r="FT4274"/>
      <c r="FU4274"/>
      <c r="FV4274"/>
      <c r="FW4274"/>
      <c r="FX4274"/>
      <c r="FY4274"/>
      <c r="FZ4274"/>
      <c r="GA4274"/>
      <c r="GB4274"/>
      <c r="GC4274"/>
      <c r="GD4274"/>
      <c r="GE4274"/>
      <c r="GF4274"/>
      <c r="GG4274"/>
      <c r="GH4274"/>
      <c r="GI4274"/>
      <c r="GJ4274"/>
      <c r="GK4274"/>
      <c r="GL4274"/>
      <c r="GM4274"/>
      <c r="GN4274"/>
      <c r="GO4274"/>
    </row>
    <row r="4275" spans="107:197">
      <c r="DC4275"/>
      <c r="FH4275"/>
      <c r="FI4275"/>
      <c r="FJ4275"/>
      <c r="FK4275"/>
      <c r="FL4275"/>
      <c r="FM4275"/>
      <c r="FN4275"/>
      <c r="FO4275"/>
      <c r="FP4275"/>
      <c r="FQ4275"/>
      <c r="FR4275"/>
      <c r="FS4275"/>
      <c r="FT4275"/>
      <c r="FU4275"/>
      <c r="FV4275"/>
      <c r="FW4275"/>
      <c r="FX4275"/>
      <c r="FY4275"/>
      <c r="FZ4275"/>
      <c r="GA4275"/>
      <c r="GB4275"/>
      <c r="GC4275"/>
      <c r="GD4275"/>
      <c r="GE4275"/>
      <c r="GF4275"/>
      <c r="GG4275"/>
      <c r="GH4275"/>
      <c r="GI4275"/>
      <c r="GJ4275"/>
      <c r="GK4275"/>
      <c r="GL4275"/>
      <c r="GM4275"/>
      <c r="GN4275"/>
      <c r="GO4275"/>
    </row>
    <row r="4276" spans="107:197">
      <c r="DC4276"/>
      <c r="FH4276"/>
      <c r="FI4276"/>
      <c r="FJ4276"/>
      <c r="FK4276"/>
      <c r="FL4276"/>
      <c r="FM4276"/>
      <c r="FN4276"/>
      <c r="FO4276"/>
      <c r="FP4276"/>
      <c r="FQ4276"/>
      <c r="FR4276"/>
      <c r="FS4276"/>
      <c r="FT4276"/>
      <c r="FU4276"/>
      <c r="FV4276"/>
      <c r="FW4276"/>
      <c r="FX4276"/>
      <c r="FY4276"/>
      <c r="FZ4276"/>
      <c r="GA4276"/>
      <c r="GB4276"/>
      <c r="GC4276"/>
      <c r="GD4276"/>
      <c r="GE4276"/>
      <c r="GF4276"/>
      <c r="GG4276"/>
      <c r="GH4276"/>
      <c r="GI4276"/>
      <c r="GJ4276"/>
      <c r="GK4276"/>
      <c r="GL4276"/>
      <c r="GM4276"/>
      <c r="GN4276"/>
      <c r="GO4276"/>
    </row>
    <row r="4277" spans="107:197">
      <c r="DC4277"/>
      <c r="FH4277"/>
      <c r="FI4277"/>
      <c r="FJ4277"/>
      <c r="FK4277"/>
      <c r="FL4277"/>
      <c r="FM4277"/>
      <c r="FN4277"/>
      <c r="FO4277"/>
      <c r="FP4277"/>
      <c r="FQ4277"/>
      <c r="FR4277"/>
      <c r="FS4277"/>
      <c r="FT4277"/>
      <c r="FU4277"/>
      <c r="FV4277"/>
      <c r="FW4277"/>
      <c r="FX4277"/>
      <c r="FY4277"/>
      <c r="FZ4277"/>
      <c r="GA4277"/>
      <c r="GB4277"/>
      <c r="GC4277"/>
      <c r="GD4277"/>
      <c r="GE4277"/>
      <c r="GF4277"/>
      <c r="GG4277"/>
      <c r="GH4277"/>
      <c r="GI4277"/>
      <c r="GJ4277"/>
      <c r="GK4277"/>
      <c r="GL4277"/>
      <c r="GM4277"/>
      <c r="GN4277"/>
      <c r="GO4277"/>
    </row>
    <row r="4278" spans="107:197">
      <c r="DC4278"/>
      <c r="FH4278"/>
      <c r="FI4278"/>
      <c r="FJ4278"/>
      <c r="FK4278"/>
      <c r="FL4278"/>
      <c r="FM4278"/>
      <c r="FN4278"/>
      <c r="FO4278"/>
      <c r="FP4278"/>
      <c r="FQ4278"/>
      <c r="FR4278"/>
      <c r="FS4278"/>
      <c r="FT4278"/>
      <c r="FU4278"/>
      <c r="FV4278"/>
      <c r="FW4278"/>
      <c r="FX4278"/>
      <c r="FY4278"/>
      <c r="FZ4278"/>
      <c r="GA4278"/>
      <c r="GB4278"/>
      <c r="GC4278"/>
      <c r="GD4278"/>
      <c r="GE4278"/>
      <c r="GF4278"/>
      <c r="GG4278"/>
      <c r="GH4278"/>
      <c r="GI4278"/>
      <c r="GJ4278"/>
      <c r="GK4278"/>
      <c r="GL4278"/>
      <c r="GM4278"/>
      <c r="GN4278"/>
      <c r="GO4278"/>
    </row>
    <row r="4279" spans="107:197">
      <c r="DC4279"/>
      <c r="FH4279"/>
      <c r="FI4279"/>
      <c r="FJ4279"/>
      <c r="FK4279"/>
      <c r="FL4279"/>
      <c r="FM4279"/>
      <c r="FN4279"/>
      <c r="FO4279"/>
      <c r="FP4279"/>
      <c r="FQ4279"/>
      <c r="FR4279"/>
      <c r="FS4279"/>
      <c r="FT4279"/>
      <c r="FU4279"/>
      <c r="FV4279"/>
      <c r="FW4279"/>
      <c r="FX4279"/>
      <c r="FY4279"/>
      <c r="FZ4279"/>
      <c r="GA4279"/>
      <c r="GB4279"/>
      <c r="GC4279"/>
      <c r="GD4279"/>
      <c r="GE4279"/>
      <c r="GF4279"/>
      <c r="GG4279"/>
      <c r="GH4279"/>
      <c r="GI4279"/>
      <c r="GJ4279"/>
      <c r="GK4279"/>
      <c r="GL4279"/>
      <c r="GM4279"/>
      <c r="GN4279"/>
      <c r="GO4279"/>
    </row>
    <row r="4280" spans="107:197">
      <c r="DC4280"/>
      <c r="FH4280"/>
      <c r="FI4280"/>
      <c r="FJ4280"/>
      <c r="FK4280"/>
      <c r="FL4280"/>
      <c r="FM4280"/>
      <c r="FN4280"/>
      <c r="FO4280"/>
      <c r="FP4280"/>
      <c r="FQ4280"/>
      <c r="FR4280"/>
      <c r="FS4280"/>
      <c r="FT4280"/>
      <c r="FU4280"/>
      <c r="FV4280"/>
      <c r="FW4280"/>
      <c r="FX4280"/>
      <c r="FY4280"/>
      <c r="FZ4280"/>
      <c r="GA4280"/>
      <c r="GB4280"/>
      <c r="GC4280"/>
      <c r="GD4280"/>
      <c r="GE4280"/>
      <c r="GF4280"/>
      <c r="GG4280"/>
      <c r="GH4280"/>
      <c r="GI4280"/>
      <c r="GJ4280"/>
      <c r="GK4280"/>
      <c r="GL4280"/>
      <c r="GM4280"/>
      <c r="GN4280"/>
      <c r="GO4280"/>
    </row>
    <row r="4281" spans="107:197">
      <c r="DC4281"/>
      <c r="FH4281"/>
      <c r="FI4281"/>
      <c r="FJ4281"/>
      <c r="FK4281"/>
      <c r="FL4281"/>
      <c r="FM4281"/>
      <c r="FN4281"/>
      <c r="FO4281"/>
      <c r="FP4281"/>
      <c r="FQ4281"/>
      <c r="FR4281"/>
      <c r="FS4281"/>
      <c r="FT4281"/>
      <c r="FU4281"/>
      <c r="FV4281"/>
      <c r="FW4281"/>
      <c r="FX4281"/>
      <c r="FY4281"/>
      <c r="FZ4281"/>
      <c r="GA4281"/>
      <c r="GB4281"/>
      <c r="GC4281"/>
      <c r="GD4281"/>
      <c r="GE4281"/>
      <c r="GF4281"/>
      <c r="GG4281"/>
      <c r="GH4281"/>
      <c r="GI4281"/>
      <c r="GJ4281"/>
      <c r="GK4281"/>
      <c r="GL4281"/>
      <c r="GM4281"/>
      <c r="GN4281"/>
      <c r="GO4281"/>
    </row>
    <row r="4282" spans="107:197">
      <c r="DC4282"/>
      <c r="FH4282"/>
      <c r="FI4282"/>
      <c r="FJ4282"/>
      <c r="FK4282"/>
      <c r="FL4282"/>
      <c r="FM4282"/>
      <c r="FN4282"/>
      <c r="FO4282"/>
      <c r="FP4282"/>
      <c r="FQ4282"/>
      <c r="FR4282"/>
      <c r="FS4282"/>
      <c r="FT4282"/>
      <c r="FU4282"/>
      <c r="FV4282"/>
      <c r="FW4282"/>
      <c r="FX4282"/>
      <c r="FY4282"/>
      <c r="FZ4282"/>
      <c r="GA4282"/>
      <c r="GB4282"/>
      <c r="GC4282"/>
      <c r="GD4282"/>
      <c r="GE4282"/>
      <c r="GF4282"/>
      <c r="GG4282"/>
      <c r="GH4282"/>
      <c r="GI4282"/>
      <c r="GJ4282"/>
      <c r="GK4282"/>
      <c r="GL4282"/>
      <c r="GM4282"/>
      <c r="GN4282"/>
      <c r="GO4282"/>
    </row>
    <row r="4283" spans="107:197">
      <c r="DC4283"/>
      <c r="FH4283"/>
      <c r="FI4283"/>
      <c r="FJ4283"/>
      <c r="FK4283"/>
      <c r="FL4283"/>
      <c r="FM4283"/>
      <c r="FN4283"/>
      <c r="FO4283"/>
      <c r="FP4283"/>
      <c r="FQ4283"/>
      <c r="FR4283"/>
      <c r="FS4283"/>
      <c r="FT4283"/>
      <c r="FU4283"/>
      <c r="FV4283"/>
      <c r="FW4283"/>
      <c r="FX4283"/>
      <c r="FY4283"/>
      <c r="FZ4283"/>
      <c r="GA4283"/>
      <c r="GB4283"/>
      <c r="GC4283"/>
      <c r="GD4283"/>
      <c r="GE4283"/>
      <c r="GF4283"/>
      <c r="GG4283"/>
      <c r="GH4283"/>
      <c r="GI4283"/>
      <c r="GJ4283"/>
      <c r="GK4283"/>
      <c r="GL4283"/>
      <c r="GM4283"/>
      <c r="GN4283"/>
      <c r="GO4283"/>
    </row>
    <row r="4284" spans="107:197">
      <c r="DC4284"/>
      <c r="FH4284"/>
      <c r="FI4284"/>
      <c r="FJ4284"/>
      <c r="FK4284"/>
      <c r="FL4284"/>
      <c r="FM4284"/>
      <c r="FN4284"/>
      <c r="FO4284"/>
      <c r="FP4284"/>
      <c r="FQ4284"/>
      <c r="FR4284"/>
      <c r="FS4284"/>
      <c r="FT4284"/>
      <c r="FU4284"/>
      <c r="FV4284"/>
      <c r="FW4284"/>
      <c r="FX4284"/>
      <c r="FY4284"/>
      <c r="FZ4284"/>
      <c r="GA4284"/>
      <c r="GB4284"/>
      <c r="GC4284"/>
      <c r="GD4284"/>
      <c r="GE4284"/>
      <c r="GF4284"/>
      <c r="GG4284"/>
      <c r="GH4284"/>
      <c r="GI4284"/>
      <c r="GJ4284"/>
      <c r="GK4284"/>
      <c r="GL4284"/>
      <c r="GM4284"/>
      <c r="GN4284"/>
      <c r="GO4284"/>
    </row>
    <row r="4285" spans="107:197">
      <c r="DC4285"/>
      <c r="FH4285"/>
      <c r="FI4285"/>
      <c r="FJ4285"/>
      <c r="FK4285"/>
      <c r="FL4285"/>
      <c r="FM4285"/>
      <c r="FN4285"/>
      <c r="FO4285"/>
      <c r="FP4285"/>
      <c r="FQ4285"/>
      <c r="FR4285"/>
      <c r="FS4285"/>
      <c r="FT4285"/>
      <c r="FU4285"/>
      <c r="FV4285"/>
      <c r="FW4285"/>
      <c r="FX4285"/>
      <c r="FY4285"/>
      <c r="FZ4285"/>
      <c r="GA4285"/>
      <c r="GB4285"/>
      <c r="GC4285"/>
      <c r="GD4285"/>
      <c r="GE4285"/>
      <c r="GF4285"/>
      <c r="GG4285"/>
      <c r="GH4285"/>
      <c r="GI4285"/>
      <c r="GJ4285"/>
      <c r="GK4285"/>
      <c r="GL4285"/>
      <c r="GM4285"/>
      <c r="GN4285"/>
      <c r="GO4285"/>
    </row>
    <row r="4286" spans="107:197">
      <c r="DC4286"/>
      <c r="FH4286"/>
      <c r="FI4286"/>
      <c r="FJ4286"/>
      <c r="FK4286"/>
      <c r="FL4286"/>
      <c r="FM4286"/>
      <c r="FN4286"/>
      <c r="FO4286"/>
      <c r="FP4286"/>
      <c r="FQ4286"/>
      <c r="FR4286"/>
      <c r="FS4286"/>
      <c r="FT4286"/>
      <c r="FU4286"/>
      <c r="FV4286"/>
      <c r="FW4286"/>
      <c r="FX4286"/>
      <c r="FY4286"/>
      <c r="FZ4286"/>
      <c r="GA4286"/>
      <c r="GB4286"/>
      <c r="GC4286"/>
      <c r="GD4286"/>
      <c r="GE4286"/>
      <c r="GF4286"/>
      <c r="GG4286"/>
      <c r="GH4286"/>
      <c r="GI4286"/>
      <c r="GJ4286"/>
      <c r="GK4286"/>
      <c r="GL4286"/>
      <c r="GM4286"/>
      <c r="GN4286"/>
      <c r="GO4286"/>
    </row>
    <row r="4287" spans="107:197">
      <c r="DC4287"/>
      <c r="FH4287"/>
      <c r="FI4287"/>
      <c r="FJ4287"/>
      <c r="FK4287"/>
      <c r="FL4287"/>
      <c r="FM4287"/>
      <c r="FN4287"/>
      <c r="FO4287"/>
      <c r="FP4287"/>
      <c r="FQ4287"/>
      <c r="FR4287"/>
      <c r="FS4287"/>
      <c r="FT4287"/>
      <c r="FU4287"/>
      <c r="FV4287"/>
      <c r="FW4287"/>
      <c r="FX4287"/>
      <c r="FY4287"/>
      <c r="FZ4287"/>
      <c r="GA4287"/>
      <c r="GB4287"/>
      <c r="GC4287"/>
      <c r="GD4287"/>
      <c r="GE4287"/>
      <c r="GF4287"/>
      <c r="GG4287"/>
      <c r="GH4287"/>
      <c r="GI4287"/>
      <c r="GJ4287"/>
      <c r="GK4287"/>
      <c r="GL4287"/>
      <c r="GM4287"/>
      <c r="GN4287"/>
      <c r="GO4287"/>
    </row>
    <row r="4288" spans="107:197">
      <c r="DC4288"/>
      <c r="FH4288"/>
      <c r="FI4288"/>
      <c r="FJ4288"/>
      <c r="FK4288"/>
      <c r="FL4288"/>
      <c r="FM4288"/>
      <c r="FN4288"/>
      <c r="FO4288"/>
      <c r="FP4288"/>
      <c r="FQ4288"/>
      <c r="FR4288"/>
      <c r="FS4288"/>
      <c r="FT4288"/>
      <c r="FU4288"/>
      <c r="FV4288"/>
      <c r="FW4288"/>
      <c r="FX4288"/>
      <c r="FY4288"/>
      <c r="FZ4288"/>
      <c r="GA4288"/>
      <c r="GB4288"/>
      <c r="GC4288"/>
      <c r="GD4288"/>
      <c r="GE4288"/>
      <c r="GF4288"/>
      <c r="GG4288"/>
      <c r="GH4288"/>
      <c r="GI4288"/>
      <c r="GJ4288"/>
      <c r="GK4288"/>
      <c r="GL4288"/>
      <c r="GM4288"/>
      <c r="GN4288"/>
      <c r="GO4288"/>
    </row>
    <row r="4289" spans="107:197">
      <c r="DC4289"/>
      <c r="FH4289"/>
      <c r="FI4289"/>
      <c r="FJ4289"/>
      <c r="FK4289"/>
      <c r="FL4289"/>
      <c r="FM4289"/>
      <c r="FN4289"/>
      <c r="FO4289"/>
      <c r="FP4289"/>
      <c r="FQ4289"/>
      <c r="FR4289"/>
      <c r="FS4289"/>
      <c r="FT4289"/>
      <c r="FU4289"/>
      <c r="FV4289"/>
      <c r="FW4289"/>
      <c r="FX4289"/>
      <c r="FY4289"/>
      <c r="FZ4289"/>
      <c r="GA4289"/>
      <c r="GB4289"/>
      <c r="GC4289"/>
      <c r="GD4289"/>
      <c r="GE4289"/>
      <c r="GF4289"/>
      <c r="GG4289"/>
      <c r="GH4289"/>
      <c r="GI4289"/>
      <c r="GJ4289"/>
      <c r="GK4289"/>
      <c r="GL4289"/>
      <c r="GM4289"/>
      <c r="GN4289"/>
      <c r="GO4289"/>
    </row>
    <row r="4290" spans="107:197">
      <c r="DC4290"/>
      <c r="FH4290"/>
      <c r="FI4290"/>
      <c r="FJ4290"/>
      <c r="FK4290"/>
      <c r="FL4290"/>
      <c r="FM4290"/>
      <c r="FN4290"/>
      <c r="FO4290"/>
      <c r="FP4290"/>
      <c r="FQ4290"/>
      <c r="FR4290"/>
      <c r="FS4290"/>
      <c r="FT4290"/>
      <c r="FU4290"/>
      <c r="FV4290"/>
      <c r="FW4290"/>
      <c r="FX4290"/>
      <c r="FY4290"/>
      <c r="FZ4290"/>
      <c r="GA4290"/>
      <c r="GB4290"/>
      <c r="GC4290"/>
      <c r="GD4290"/>
      <c r="GE4290"/>
      <c r="GF4290"/>
      <c r="GG4290"/>
      <c r="GH4290"/>
      <c r="GI4290"/>
      <c r="GJ4290"/>
      <c r="GK4290"/>
      <c r="GL4290"/>
      <c r="GM4290"/>
      <c r="GN4290"/>
      <c r="GO4290"/>
    </row>
    <row r="4291" spans="107:197">
      <c r="DC4291"/>
      <c r="FH4291"/>
      <c r="FI4291"/>
      <c r="FJ4291"/>
      <c r="FK4291"/>
      <c r="FL4291"/>
      <c r="FM4291"/>
      <c r="FN4291"/>
      <c r="FO4291"/>
      <c r="FP4291"/>
      <c r="FQ4291"/>
      <c r="FR4291"/>
      <c r="FS4291"/>
      <c r="FT4291"/>
      <c r="FU4291"/>
      <c r="FV4291"/>
      <c r="FW4291"/>
      <c r="FX4291"/>
      <c r="FY4291"/>
      <c r="FZ4291"/>
      <c r="GA4291"/>
      <c r="GB4291"/>
      <c r="GC4291"/>
      <c r="GD4291"/>
      <c r="GE4291"/>
      <c r="GF4291"/>
      <c r="GG4291"/>
      <c r="GH4291"/>
      <c r="GI4291"/>
      <c r="GJ4291"/>
      <c r="GK4291"/>
      <c r="GL4291"/>
      <c r="GM4291"/>
      <c r="GN4291"/>
      <c r="GO4291"/>
    </row>
    <row r="4292" spans="107:197">
      <c r="DC4292"/>
      <c r="FH4292"/>
      <c r="FI4292"/>
      <c r="FJ4292"/>
      <c r="FK4292"/>
      <c r="FL4292"/>
      <c r="FM4292"/>
      <c r="FN4292"/>
      <c r="FO4292"/>
      <c r="FP4292"/>
      <c r="FQ4292"/>
      <c r="FR4292"/>
      <c r="FS4292"/>
      <c r="FT4292"/>
      <c r="FU4292"/>
      <c r="FV4292"/>
      <c r="FW4292"/>
      <c r="FX4292"/>
      <c r="FY4292"/>
      <c r="FZ4292"/>
      <c r="GA4292"/>
      <c r="GB4292"/>
      <c r="GC4292"/>
      <c r="GD4292"/>
      <c r="GE4292"/>
      <c r="GF4292"/>
      <c r="GG4292"/>
      <c r="GH4292"/>
      <c r="GI4292"/>
      <c r="GJ4292"/>
      <c r="GK4292"/>
      <c r="GL4292"/>
      <c r="GM4292"/>
      <c r="GN4292"/>
      <c r="GO4292"/>
    </row>
    <row r="4293" spans="107:197">
      <c r="DC4293"/>
      <c r="FH4293"/>
      <c r="FI4293"/>
      <c r="FJ4293"/>
      <c r="FK4293"/>
      <c r="FL4293"/>
      <c r="FM4293"/>
      <c r="FN4293"/>
      <c r="FO4293"/>
      <c r="FP4293"/>
      <c r="FQ4293"/>
      <c r="FR4293"/>
      <c r="FS4293"/>
      <c r="FT4293"/>
      <c r="FU4293"/>
      <c r="FV4293"/>
      <c r="FW4293"/>
      <c r="FX4293"/>
      <c r="FY4293"/>
      <c r="FZ4293"/>
      <c r="GA4293"/>
      <c r="GB4293"/>
      <c r="GC4293"/>
      <c r="GD4293"/>
      <c r="GE4293"/>
      <c r="GF4293"/>
      <c r="GG4293"/>
      <c r="GH4293"/>
      <c r="GI4293"/>
      <c r="GJ4293"/>
      <c r="GK4293"/>
      <c r="GL4293"/>
      <c r="GM4293"/>
      <c r="GN4293"/>
      <c r="GO4293"/>
    </row>
    <row r="4294" spans="107:197">
      <c r="DC4294"/>
      <c r="FH4294"/>
      <c r="FI4294"/>
      <c r="FJ4294"/>
      <c r="FK4294"/>
      <c r="FL4294"/>
      <c r="FM4294"/>
      <c r="FN4294"/>
      <c r="FO4294"/>
      <c r="FP4294"/>
      <c r="FQ4294"/>
      <c r="FR4294"/>
      <c r="FS4294"/>
      <c r="FT4294"/>
      <c r="FU4294"/>
      <c r="FV4294"/>
      <c r="FW4294"/>
      <c r="FX4294"/>
      <c r="FY4294"/>
      <c r="FZ4294"/>
      <c r="GA4294"/>
      <c r="GB4294"/>
      <c r="GC4294"/>
      <c r="GD4294"/>
      <c r="GE4294"/>
      <c r="GF4294"/>
      <c r="GG4294"/>
      <c r="GH4294"/>
      <c r="GI4294"/>
      <c r="GJ4294"/>
      <c r="GK4294"/>
      <c r="GL4294"/>
      <c r="GM4294"/>
      <c r="GN4294"/>
      <c r="GO4294"/>
    </row>
    <row r="4295" spans="107:197">
      <c r="DC4295"/>
      <c r="FH4295"/>
      <c r="FI4295"/>
      <c r="FJ4295"/>
      <c r="FK4295"/>
      <c r="FL4295"/>
      <c r="FM4295"/>
      <c r="FN4295"/>
      <c r="FO4295"/>
      <c r="FP4295"/>
      <c r="FQ4295"/>
      <c r="FR4295"/>
      <c r="FS4295"/>
      <c r="FT4295"/>
      <c r="FU4295"/>
      <c r="FV4295"/>
      <c r="FW4295"/>
      <c r="FX4295"/>
      <c r="FY4295"/>
      <c r="FZ4295"/>
      <c r="GA4295"/>
      <c r="GB4295"/>
      <c r="GC4295"/>
      <c r="GD4295"/>
      <c r="GE4295"/>
      <c r="GF4295"/>
      <c r="GG4295"/>
      <c r="GH4295"/>
      <c r="GI4295"/>
      <c r="GJ4295"/>
      <c r="GK4295"/>
      <c r="GL4295"/>
      <c r="GM4295"/>
      <c r="GN4295"/>
      <c r="GO4295"/>
    </row>
    <row r="4296" spans="107:197">
      <c r="DC4296"/>
      <c r="FH4296"/>
      <c r="FI4296"/>
      <c r="FJ4296"/>
      <c r="FK4296"/>
      <c r="FL4296"/>
      <c r="FM4296"/>
      <c r="FN4296"/>
      <c r="FO4296"/>
      <c r="FP4296"/>
      <c r="FQ4296"/>
      <c r="FR4296"/>
      <c r="FS4296"/>
      <c r="FT4296"/>
      <c r="FU4296"/>
      <c r="FV4296"/>
      <c r="FW4296"/>
      <c r="FX4296"/>
      <c r="FY4296"/>
      <c r="FZ4296"/>
      <c r="GA4296"/>
      <c r="GB4296"/>
      <c r="GC4296"/>
      <c r="GD4296"/>
      <c r="GE4296"/>
      <c r="GF4296"/>
      <c r="GG4296"/>
      <c r="GH4296"/>
      <c r="GI4296"/>
      <c r="GJ4296"/>
      <c r="GK4296"/>
      <c r="GL4296"/>
      <c r="GM4296"/>
      <c r="GN4296"/>
      <c r="GO4296"/>
    </row>
    <row r="4297" spans="107:197">
      <c r="DC4297"/>
      <c r="FH4297"/>
      <c r="FI4297"/>
      <c r="FJ4297"/>
      <c r="FK4297"/>
      <c r="FL4297"/>
      <c r="FM4297"/>
      <c r="FN4297"/>
      <c r="FO4297"/>
      <c r="FP4297"/>
      <c r="FQ4297"/>
      <c r="FR4297"/>
      <c r="FS4297"/>
      <c r="FT4297"/>
      <c r="FU4297"/>
      <c r="FV4297"/>
      <c r="FW4297"/>
      <c r="FX4297"/>
      <c r="FY4297"/>
      <c r="FZ4297"/>
      <c r="GA4297"/>
      <c r="GB4297"/>
      <c r="GC4297"/>
      <c r="GD4297"/>
      <c r="GE4297"/>
      <c r="GF4297"/>
      <c r="GG4297"/>
      <c r="GH4297"/>
      <c r="GI4297"/>
      <c r="GJ4297"/>
      <c r="GK4297"/>
      <c r="GL4297"/>
      <c r="GM4297"/>
      <c r="GN4297"/>
      <c r="GO4297"/>
    </row>
    <row r="4298" spans="107:197">
      <c r="DC4298"/>
      <c r="FH4298"/>
      <c r="FI4298"/>
      <c r="FJ4298"/>
      <c r="FK4298"/>
      <c r="FL4298"/>
      <c r="FM4298"/>
      <c r="FN4298"/>
      <c r="FO4298"/>
      <c r="FP4298"/>
      <c r="FQ4298"/>
      <c r="FR4298"/>
      <c r="FS4298"/>
      <c r="FT4298"/>
      <c r="FU4298"/>
      <c r="FV4298"/>
      <c r="FW4298"/>
      <c r="FX4298"/>
      <c r="FY4298"/>
      <c r="FZ4298"/>
      <c r="GA4298"/>
      <c r="GB4298"/>
      <c r="GC4298"/>
      <c r="GD4298"/>
      <c r="GE4298"/>
      <c r="GF4298"/>
      <c r="GG4298"/>
      <c r="GH4298"/>
      <c r="GI4298"/>
      <c r="GJ4298"/>
      <c r="GK4298"/>
      <c r="GL4298"/>
      <c r="GM4298"/>
      <c r="GN4298"/>
      <c r="GO4298"/>
    </row>
    <row r="4299" spans="107:197">
      <c r="DC4299"/>
      <c r="FH4299"/>
      <c r="FI4299"/>
      <c r="FJ4299"/>
      <c r="FK4299"/>
      <c r="FL4299"/>
      <c r="FM4299"/>
      <c r="FN4299"/>
      <c r="FO4299"/>
      <c r="FP4299"/>
      <c r="FQ4299"/>
      <c r="FR4299"/>
      <c r="FS4299"/>
      <c r="FT4299"/>
      <c r="FU4299"/>
      <c r="FV4299"/>
      <c r="FW4299"/>
      <c r="FX4299"/>
      <c r="FY4299"/>
      <c r="FZ4299"/>
      <c r="GA4299"/>
      <c r="GB4299"/>
      <c r="GC4299"/>
      <c r="GD4299"/>
      <c r="GE4299"/>
      <c r="GF4299"/>
      <c r="GG4299"/>
      <c r="GH4299"/>
      <c r="GI4299"/>
      <c r="GJ4299"/>
      <c r="GK4299"/>
      <c r="GL4299"/>
      <c r="GM4299"/>
      <c r="GN4299"/>
      <c r="GO4299"/>
    </row>
    <row r="4300" spans="107:197">
      <c r="DC4300"/>
      <c r="FH4300"/>
      <c r="FI4300"/>
      <c r="FJ4300"/>
      <c r="FK4300"/>
      <c r="FL4300"/>
      <c r="FM4300"/>
      <c r="FN4300"/>
      <c r="FO4300"/>
      <c r="FP4300"/>
      <c r="FQ4300"/>
      <c r="FR4300"/>
      <c r="FS4300"/>
      <c r="FT4300"/>
      <c r="FU4300"/>
      <c r="FV4300"/>
      <c r="FW4300"/>
      <c r="FX4300"/>
      <c r="FY4300"/>
      <c r="FZ4300"/>
      <c r="GA4300"/>
      <c r="GB4300"/>
      <c r="GC4300"/>
      <c r="GD4300"/>
      <c r="GE4300"/>
      <c r="GF4300"/>
      <c r="GG4300"/>
      <c r="GH4300"/>
      <c r="GI4300"/>
      <c r="GJ4300"/>
      <c r="GK4300"/>
      <c r="GL4300"/>
      <c r="GM4300"/>
      <c r="GN4300"/>
      <c r="GO4300"/>
    </row>
    <row r="4301" spans="107:197">
      <c r="DC4301"/>
      <c r="FH4301"/>
      <c r="FI4301"/>
      <c r="FJ4301"/>
      <c r="FK4301"/>
      <c r="FL4301"/>
      <c r="FM4301"/>
      <c r="FN4301"/>
      <c r="FO4301"/>
      <c r="FP4301"/>
      <c r="FQ4301"/>
      <c r="FR4301"/>
      <c r="FS4301"/>
      <c r="FT4301"/>
      <c r="FU4301"/>
      <c r="FV4301"/>
      <c r="FW4301"/>
      <c r="FX4301"/>
      <c r="FY4301"/>
      <c r="FZ4301"/>
      <c r="GA4301"/>
      <c r="GB4301"/>
      <c r="GC4301"/>
      <c r="GD4301"/>
      <c r="GE4301"/>
      <c r="GF4301"/>
      <c r="GG4301"/>
      <c r="GH4301"/>
      <c r="GI4301"/>
      <c r="GJ4301"/>
      <c r="GK4301"/>
      <c r="GL4301"/>
      <c r="GM4301"/>
      <c r="GN4301"/>
      <c r="GO4301"/>
    </row>
    <row r="4302" spans="107:197">
      <c r="DC4302"/>
      <c r="FH4302"/>
      <c r="FI4302"/>
      <c r="FJ4302"/>
      <c r="FK4302"/>
      <c r="FL4302"/>
      <c r="FM4302"/>
      <c r="FN4302"/>
      <c r="FO4302"/>
      <c r="FP4302"/>
      <c r="FQ4302"/>
      <c r="FR4302"/>
      <c r="FS4302"/>
      <c r="FT4302"/>
      <c r="FU4302"/>
      <c r="FV4302"/>
      <c r="FW4302"/>
      <c r="FX4302"/>
      <c r="FY4302"/>
      <c r="FZ4302"/>
      <c r="GA4302"/>
      <c r="GB4302"/>
      <c r="GC4302"/>
      <c r="GD4302"/>
      <c r="GE4302"/>
      <c r="GF4302"/>
      <c r="GG4302"/>
      <c r="GH4302"/>
      <c r="GI4302"/>
      <c r="GJ4302"/>
      <c r="GK4302"/>
      <c r="GL4302"/>
      <c r="GM4302"/>
      <c r="GN4302"/>
      <c r="GO4302"/>
    </row>
    <row r="4303" spans="107:197">
      <c r="DC4303"/>
      <c r="FH4303"/>
      <c r="FI4303"/>
      <c r="FJ4303"/>
      <c r="FK4303"/>
      <c r="FL4303"/>
      <c r="FM4303"/>
      <c r="FN4303"/>
      <c r="FO4303"/>
      <c r="FP4303"/>
      <c r="FQ4303"/>
      <c r="FR4303"/>
      <c r="FS4303"/>
      <c r="FT4303"/>
      <c r="FU4303"/>
      <c r="FV4303"/>
      <c r="FW4303"/>
      <c r="FX4303"/>
      <c r="FY4303"/>
      <c r="FZ4303"/>
      <c r="GA4303"/>
      <c r="GB4303"/>
      <c r="GC4303"/>
      <c r="GD4303"/>
      <c r="GE4303"/>
      <c r="GF4303"/>
      <c r="GG4303"/>
      <c r="GH4303"/>
      <c r="GI4303"/>
      <c r="GJ4303"/>
      <c r="GK4303"/>
      <c r="GL4303"/>
      <c r="GM4303"/>
      <c r="GN4303"/>
      <c r="GO4303"/>
    </row>
    <row r="4304" spans="107:197">
      <c r="DC4304"/>
      <c r="FH4304"/>
      <c r="FI4304"/>
      <c r="FJ4304"/>
      <c r="FK4304"/>
      <c r="FL4304"/>
      <c r="FM4304"/>
      <c r="FN4304"/>
      <c r="FO4304"/>
      <c r="FP4304"/>
      <c r="FQ4304"/>
      <c r="FR4304"/>
      <c r="FS4304"/>
      <c r="FT4304"/>
      <c r="FU4304"/>
      <c r="FV4304"/>
      <c r="FW4304"/>
      <c r="FX4304"/>
      <c r="FY4304"/>
      <c r="FZ4304"/>
      <c r="GA4304"/>
      <c r="GB4304"/>
      <c r="GC4304"/>
      <c r="GD4304"/>
      <c r="GE4304"/>
      <c r="GF4304"/>
      <c r="GG4304"/>
      <c r="GH4304"/>
      <c r="GI4304"/>
      <c r="GJ4304"/>
      <c r="GK4304"/>
      <c r="GL4304"/>
      <c r="GM4304"/>
      <c r="GN4304"/>
      <c r="GO4304"/>
    </row>
    <row r="4305" spans="107:197">
      <c r="DC4305"/>
      <c r="FH4305"/>
      <c r="FI4305"/>
      <c r="FJ4305"/>
      <c r="FK4305"/>
      <c r="FL4305"/>
      <c r="FM4305"/>
      <c r="FN4305"/>
      <c r="FO4305"/>
      <c r="FP4305"/>
      <c r="FQ4305"/>
      <c r="FR4305"/>
      <c r="FS4305"/>
      <c r="FT4305"/>
      <c r="FU4305"/>
      <c r="FV4305"/>
      <c r="FW4305"/>
      <c r="FX4305"/>
      <c r="FY4305"/>
      <c r="FZ4305"/>
      <c r="GA4305"/>
      <c r="GB4305"/>
      <c r="GC4305"/>
      <c r="GD4305"/>
      <c r="GE4305"/>
      <c r="GF4305"/>
      <c r="GG4305"/>
      <c r="GH4305"/>
      <c r="GI4305"/>
      <c r="GJ4305"/>
      <c r="GK4305"/>
      <c r="GL4305"/>
      <c r="GM4305"/>
      <c r="GN4305"/>
      <c r="GO4305"/>
    </row>
    <row r="4306" spans="107:197">
      <c r="DC4306"/>
      <c r="FH4306"/>
      <c r="FI4306"/>
      <c r="FJ4306"/>
      <c r="FK4306"/>
      <c r="FL4306"/>
      <c r="FM4306"/>
      <c r="FN4306"/>
      <c r="FO4306"/>
      <c r="FP4306"/>
      <c r="FQ4306"/>
      <c r="FR4306"/>
      <c r="FS4306"/>
      <c r="FT4306"/>
      <c r="FU4306"/>
      <c r="FV4306"/>
      <c r="FW4306"/>
      <c r="FX4306"/>
      <c r="FY4306"/>
      <c r="FZ4306"/>
      <c r="GA4306"/>
      <c r="GB4306"/>
      <c r="GC4306"/>
      <c r="GD4306"/>
      <c r="GE4306"/>
      <c r="GF4306"/>
      <c r="GG4306"/>
      <c r="GH4306"/>
      <c r="GI4306"/>
      <c r="GJ4306"/>
      <c r="GK4306"/>
      <c r="GL4306"/>
      <c r="GM4306"/>
      <c r="GN4306"/>
      <c r="GO4306"/>
    </row>
    <row r="4307" spans="107:197">
      <c r="DC4307"/>
      <c r="FH4307"/>
      <c r="FI4307"/>
      <c r="FJ4307"/>
      <c r="FK4307"/>
      <c r="FL4307"/>
      <c r="FM4307"/>
      <c r="FN4307"/>
      <c r="FO4307"/>
      <c r="FP4307"/>
      <c r="FQ4307"/>
      <c r="FR4307"/>
      <c r="FS4307"/>
      <c r="FT4307"/>
      <c r="FU4307"/>
      <c r="FV4307"/>
      <c r="FW4307"/>
      <c r="FX4307"/>
      <c r="FY4307"/>
      <c r="FZ4307"/>
      <c r="GA4307"/>
      <c r="GB4307"/>
      <c r="GC4307"/>
      <c r="GD4307"/>
      <c r="GE4307"/>
      <c r="GF4307"/>
      <c r="GG4307"/>
      <c r="GH4307"/>
      <c r="GI4307"/>
      <c r="GJ4307"/>
      <c r="GK4307"/>
      <c r="GL4307"/>
      <c r="GM4307"/>
      <c r="GN4307"/>
      <c r="GO4307"/>
    </row>
    <row r="4308" spans="107:197">
      <c r="DC4308"/>
      <c r="FH4308"/>
      <c r="FI4308"/>
      <c r="FJ4308"/>
      <c r="FK4308"/>
      <c r="FL4308"/>
      <c r="FM4308"/>
      <c r="FN4308"/>
      <c r="FO4308"/>
      <c r="FP4308"/>
      <c r="FQ4308"/>
      <c r="FR4308"/>
      <c r="FS4308"/>
      <c r="FT4308"/>
      <c r="FU4308"/>
      <c r="FV4308"/>
      <c r="FW4308"/>
      <c r="FX4308"/>
      <c r="FY4308"/>
      <c r="FZ4308"/>
      <c r="GA4308"/>
      <c r="GB4308"/>
      <c r="GC4308"/>
      <c r="GD4308"/>
      <c r="GE4308"/>
      <c r="GF4308"/>
      <c r="GG4308"/>
      <c r="GH4308"/>
      <c r="GI4308"/>
      <c r="GJ4308"/>
      <c r="GK4308"/>
      <c r="GL4308"/>
      <c r="GM4308"/>
      <c r="GN4308"/>
      <c r="GO4308"/>
    </row>
    <row r="4309" spans="107:197">
      <c r="DC4309"/>
      <c r="FH4309"/>
      <c r="FI4309"/>
      <c r="FJ4309"/>
      <c r="FK4309"/>
      <c r="FL4309"/>
      <c r="FM4309"/>
      <c r="FN4309"/>
      <c r="FO4309"/>
      <c r="FP4309"/>
      <c r="FQ4309"/>
      <c r="FR4309"/>
      <c r="FS4309"/>
      <c r="FT4309"/>
      <c r="FU4309"/>
      <c r="FV4309"/>
      <c r="FW4309"/>
      <c r="FX4309"/>
      <c r="FY4309"/>
      <c r="FZ4309"/>
      <c r="GA4309"/>
      <c r="GB4309"/>
      <c r="GC4309"/>
      <c r="GD4309"/>
      <c r="GE4309"/>
      <c r="GF4309"/>
      <c r="GG4309"/>
      <c r="GH4309"/>
      <c r="GI4309"/>
      <c r="GJ4309"/>
      <c r="GK4309"/>
      <c r="GL4309"/>
      <c r="GM4309"/>
      <c r="GN4309"/>
      <c r="GO4309"/>
    </row>
    <row r="4310" spans="107:197">
      <c r="DC4310"/>
      <c r="FH4310"/>
      <c r="FI4310"/>
      <c r="FJ4310"/>
      <c r="FK4310"/>
      <c r="FL4310"/>
      <c r="FM4310"/>
      <c r="FN4310"/>
      <c r="FO4310"/>
      <c r="FP4310"/>
      <c r="FQ4310"/>
      <c r="FR4310"/>
      <c r="FS4310"/>
      <c r="FT4310"/>
      <c r="FU4310"/>
      <c r="FV4310"/>
      <c r="FW4310"/>
      <c r="FX4310"/>
      <c r="FY4310"/>
      <c r="FZ4310"/>
      <c r="GA4310"/>
      <c r="GB4310"/>
      <c r="GC4310"/>
      <c r="GD4310"/>
      <c r="GE4310"/>
      <c r="GF4310"/>
      <c r="GG4310"/>
      <c r="GH4310"/>
      <c r="GI4310"/>
      <c r="GJ4310"/>
      <c r="GK4310"/>
      <c r="GL4310"/>
      <c r="GM4310"/>
      <c r="GN4310"/>
      <c r="GO4310"/>
    </row>
    <row r="4311" spans="107:197">
      <c r="DC4311"/>
      <c r="FH4311"/>
      <c r="FI4311"/>
      <c r="FJ4311"/>
      <c r="FK4311"/>
      <c r="FL4311"/>
      <c r="FM4311"/>
      <c r="FN4311"/>
      <c r="FO4311"/>
      <c r="FP4311"/>
      <c r="FQ4311"/>
      <c r="FR4311"/>
      <c r="FS4311"/>
      <c r="FT4311"/>
      <c r="FU4311"/>
      <c r="FV4311"/>
      <c r="FW4311"/>
      <c r="FX4311"/>
      <c r="FY4311"/>
      <c r="FZ4311"/>
      <c r="GA4311"/>
      <c r="GB4311"/>
      <c r="GC4311"/>
      <c r="GD4311"/>
      <c r="GE4311"/>
      <c r="GF4311"/>
      <c r="GG4311"/>
      <c r="GH4311"/>
      <c r="GI4311"/>
      <c r="GJ4311"/>
      <c r="GK4311"/>
      <c r="GL4311"/>
      <c r="GM4311"/>
      <c r="GN4311"/>
      <c r="GO4311"/>
    </row>
    <row r="4312" spans="107:197">
      <c r="DC4312"/>
      <c r="FH4312"/>
      <c r="FI4312"/>
      <c r="FJ4312"/>
      <c r="FK4312"/>
      <c r="FL4312"/>
      <c r="FM4312"/>
      <c r="FN4312"/>
      <c r="FO4312"/>
      <c r="FP4312"/>
      <c r="FQ4312"/>
      <c r="FR4312"/>
      <c r="FS4312"/>
      <c r="FT4312"/>
      <c r="FU4312"/>
      <c r="FV4312"/>
      <c r="FW4312"/>
      <c r="FX4312"/>
      <c r="FY4312"/>
      <c r="FZ4312"/>
      <c r="GA4312"/>
      <c r="GB4312"/>
      <c r="GC4312"/>
      <c r="GD4312"/>
      <c r="GE4312"/>
      <c r="GF4312"/>
      <c r="GG4312"/>
      <c r="GH4312"/>
      <c r="GI4312"/>
      <c r="GJ4312"/>
      <c r="GK4312"/>
      <c r="GL4312"/>
      <c r="GM4312"/>
      <c r="GN4312"/>
      <c r="GO4312"/>
    </row>
    <row r="4313" spans="107:197">
      <c r="DC4313"/>
      <c r="FH4313"/>
      <c r="FI4313"/>
      <c r="FJ4313"/>
      <c r="FK4313"/>
      <c r="FL4313"/>
      <c r="FM4313"/>
      <c r="FN4313"/>
      <c r="FO4313"/>
      <c r="FP4313"/>
      <c r="FQ4313"/>
      <c r="FR4313"/>
      <c r="FS4313"/>
      <c r="FT4313"/>
      <c r="FU4313"/>
      <c r="FV4313"/>
      <c r="FW4313"/>
      <c r="FX4313"/>
      <c r="FY4313"/>
      <c r="FZ4313"/>
      <c r="GA4313"/>
      <c r="GB4313"/>
      <c r="GC4313"/>
      <c r="GD4313"/>
      <c r="GE4313"/>
      <c r="GF4313"/>
      <c r="GG4313"/>
      <c r="GH4313"/>
      <c r="GI4313"/>
      <c r="GJ4313"/>
      <c r="GK4313"/>
      <c r="GL4313"/>
      <c r="GM4313"/>
      <c r="GN4313"/>
      <c r="GO4313"/>
    </row>
    <row r="4314" spans="107:197">
      <c r="DC4314"/>
      <c r="FH4314"/>
      <c r="FI4314"/>
      <c r="FJ4314"/>
      <c r="FK4314"/>
      <c r="FL4314"/>
      <c r="FM4314"/>
      <c r="FN4314"/>
      <c r="FO4314"/>
      <c r="FP4314"/>
      <c r="FQ4314"/>
      <c r="FR4314"/>
      <c r="FS4314"/>
      <c r="FT4314"/>
      <c r="FU4314"/>
      <c r="FV4314"/>
      <c r="FW4314"/>
      <c r="FX4314"/>
      <c r="FY4314"/>
      <c r="FZ4314"/>
      <c r="GA4314"/>
      <c r="GB4314"/>
      <c r="GC4314"/>
      <c r="GD4314"/>
      <c r="GE4314"/>
      <c r="GF4314"/>
      <c r="GG4314"/>
      <c r="GH4314"/>
      <c r="GI4314"/>
      <c r="GJ4314"/>
      <c r="GK4314"/>
      <c r="GL4314"/>
      <c r="GM4314"/>
      <c r="GN4314"/>
      <c r="GO4314"/>
    </row>
    <row r="4315" spans="107:197">
      <c r="DC4315"/>
      <c r="FH4315"/>
      <c r="FI4315"/>
      <c r="FJ4315"/>
      <c r="FK4315"/>
      <c r="FL4315"/>
      <c r="FM4315"/>
      <c r="FN4315"/>
      <c r="FO4315"/>
      <c r="FP4315"/>
      <c r="FQ4315"/>
      <c r="FR4315"/>
      <c r="FS4315"/>
      <c r="FT4315"/>
      <c r="FU4315"/>
      <c r="FV4315"/>
      <c r="FW4315"/>
      <c r="FX4315"/>
      <c r="FY4315"/>
      <c r="FZ4315"/>
      <c r="GA4315"/>
      <c r="GB4315"/>
      <c r="GC4315"/>
      <c r="GD4315"/>
      <c r="GE4315"/>
      <c r="GF4315"/>
      <c r="GG4315"/>
      <c r="GH4315"/>
      <c r="GI4315"/>
      <c r="GJ4315"/>
      <c r="GK4315"/>
      <c r="GL4315"/>
      <c r="GM4315"/>
      <c r="GN4315"/>
      <c r="GO4315"/>
    </row>
    <row r="4316" spans="107:197">
      <c r="DC4316"/>
      <c r="FH4316"/>
      <c r="FI4316"/>
      <c r="FJ4316"/>
      <c r="FK4316"/>
      <c r="FL4316"/>
      <c r="FM4316"/>
      <c r="FN4316"/>
      <c r="FO4316"/>
      <c r="FP4316"/>
      <c r="FQ4316"/>
      <c r="FR4316"/>
      <c r="FS4316"/>
      <c r="FT4316"/>
      <c r="FU4316"/>
      <c r="FV4316"/>
      <c r="FW4316"/>
      <c r="FX4316"/>
      <c r="FY4316"/>
      <c r="FZ4316"/>
      <c r="GA4316"/>
      <c r="GB4316"/>
      <c r="GC4316"/>
      <c r="GD4316"/>
      <c r="GE4316"/>
      <c r="GF4316"/>
      <c r="GG4316"/>
      <c r="GH4316"/>
      <c r="GI4316"/>
      <c r="GJ4316"/>
      <c r="GK4316"/>
      <c r="GL4316"/>
      <c r="GM4316"/>
      <c r="GN4316"/>
      <c r="GO4316"/>
    </row>
    <row r="4317" spans="107:197">
      <c r="DC4317"/>
      <c r="FH4317"/>
      <c r="FI4317"/>
      <c r="FJ4317"/>
      <c r="FK4317"/>
      <c r="FL4317"/>
      <c r="FM4317"/>
      <c r="FN4317"/>
      <c r="FO4317"/>
      <c r="FP4317"/>
      <c r="FQ4317"/>
      <c r="FR4317"/>
      <c r="FS4317"/>
      <c r="FT4317"/>
      <c r="FU4317"/>
      <c r="FV4317"/>
      <c r="FW4317"/>
      <c r="FX4317"/>
      <c r="FY4317"/>
      <c r="FZ4317"/>
      <c r="GA4317"/>
      <c r="GB4317"/>
      <c r="GC4317"/>
      <c r="GD4317"/>
      <c r="GE4317"/>
      <c r="GF4317"/>
      <c r="GG4317"/>
      <c r="GH4317"/>
      <c r="GI4317"/>
      <c r="GJ4317"/>
      <c r="GK4317"/>
      <c r="GL4317"/>
      <c r="GM4317"/>
      <c r="GN4317"/>
      <c r="GO4317"/>
    </row>
    <row r="4318" spans="107:197">
      <c r="DC4318"/>
      <c r="FH4318"/>
      <c r="FI4318"/>
      <c r="FJ4318"/>
      <c r="FK4318"/>
      <c r="FL4318"/>
      <c r="FM4318"/>
      <c r="FN4318"/>
      <c r="FO4318"/>
      <c r="FP4318"/>
      <c r="FQ4318"/>
      <c r="FR4318"/>
      <c r="FS4318"/>
      <c r="FT4318"/>
      <c r="FU4318"/>
      <c r="FV4318"/>
      <c r="FW4318"/>
      <c r="FX4318"/>
      <c r="FY4318"/>
      <c r="FZ4318"/>
      <c r="GA4318"/>
      <c r="GB4318"/>
      <c r="GC4318"/>
      <c r="GD4318"/>
      <c r="GE4318"/>
      <c r="GF4318"/>
      <c r="GG4318"/>
      <c r="GH4318"/>
      <c r="GI4318"/>
      <c r="GJ4318"/>
      <c r="GK4318"/>
      <c r="GL4318"/>
      <c r="GM4318"/>
      <c r="GN4318"/>
      <c r="GO4318"/>
    </row>
    <row r="4319" spans="107:197">
      <c r="DC4319"/>
      <c r="FH4319"/>
      <c r="FI4319"/>
      <c r="FJ4319"/>
      <c r="FK4319"/>
      <c r="FL4319"/>
      <c r="FM4319"/>
      <c r="FN4319"/>
      <c r="FO4319"/>
      <c r="FP4319"/>
      <c r="FQ4319"/>
      <c r="FR4319"/>
      <c r="FS4319"/>
      <c r="FT4319"/>
      <c r="FU4319"/>
      <c r="FV4319"/>
      <c r="FW4319"/>
      <c r="FX4319"/>
      <c r="FY4319"/>
      <c r="FZ4319"/>
      <c r="GA4319"/>
      <c r="GB4319"/>
      <c r="GC4319"/>
      <c r="GD4319"/>
      <c r="GE4319"/>
      <c r="GF4319"/>
      <c r="GG4319"/>
      <c r="GH4319"/>
      <c r="GI4319"/>
      <c r="GJ4319"/>
      <c r="GK4319"/>
      <c r="GL4319"/>
      <c r="GM4319"/>
      <c r="GN4319"/>
      <c r="GO4319"/>
    </row>
    <row r="4320" spans="107:197">
      <c r="DC4320"/>
      <c r="FH4320"/>
      <c r="FI4320"/>
      <c r="FJ4320"/>
      <c r="FK4320"/>
      <c r="FL4320"/>
      <c r="FM4320"/>
      <c r="FN4320"/>
      <c r="FO4320"/>
      <c r="FP4320"/>
      <c r="FQ4320"/>
      <c r="FR4320"/>
      <c r="FS4320"/>
      <c r="FT4320"/>
      <c r="FU4320"/>
      <c r="FV4320"/>
      <c r="FW4320"/>
      <c r="FX4320"/>
      <c r="FY4320"/>
      <c r="FZ4320"/>
      <c r="GA4320"/>
      <c r="GB4320"/>
      <c r="GC4320"/>
      <c r="GD4320"/>
      <c r="GE4320"/>
      <c r="GF4320"/>
      <c r="GG4320"/>
      <c r="GH4320"/>
      <c r="GI4320"/>
      <c r="GJ4320"/>
      <c r="GK4320"/>
      <c r="GL4320"/>
      <c r="GM4320"/>
      <c r="GN4320"/>
      <c r="GO4320"/>
    </row>
    <row r="4321" spans="107:197">
      <c r="DC4321"/>
      <c r="FH4321"/>
      <c r="FI4321"/>
      <c r="FJ4321"/>
      <c r="FK4321"/>
      <c r="FL4321"/>
      <c r="FM4321"/>
      <c r="FN4321"/>
      <c r="FO4321"/>
      <c r="FP4321"/>
      <c r="FQ4321"/>
      <c r="FR4321"/>
      <c r="FS4321"/>
      <c r="FT4321"/>
      <c r="FU4321"/>
      <c r="FV4321"/>
      <c r="FW4321"/>
      <c r="FX4321"/>
      <c r="FY4321"/>
      <c r="FZ4321"/>
      <c r="GA4321"/>
      <c r="GB4321"/>
      <c r="GC4321"/>
      <c r="GD4321"/>
      <c r="GE4321"/>
      <c r="GF4321"/>
      <c r="GG4321"/>
      <c r="GH4321"/>
      <c r="GI4321"/>
      <c r="GJ4321"/>
      <c r="GK4321"/>
      <c r="GL4321"/>
      <c r="GM4321"/>
      <c r="GN4321"/>
      <c r="GO4321"/>
    </row>
    <row r="4322" spans="107:197">
      <c r="DC4322"/>
      <c r="FH4322"/>
      <c r="FI4322"/>
      <c r="FJ4322"/>
      <c r="FK4322"/>
      <c r="FL4322"/>
      <c r="FM4322"/>
      <c r="FN4322"/>
      <c r="FO4322"/>
      <c r="FP4322"/>
      <c r="FQ4322"/>
      <c r="FR4322"/>
      <c r="FS4322"/>
      <c r="FT4322"/>
      <c r="FU4322"/>
      <c r="FV4322"/>
      <c r="FW4322"/>
      <c r="FX4322"/>
      <c r="FY4322"/>
      <c r="FZ4322"/>
      <c r="GA4322"/>
      <c r="GB4322"/>
      <c r="GC4322"/>
      <c r="GD4322"/>
      <c r="GE4322"/>
      <c r="GF4322"/>
      <c r="GG4322"/>
      <c r="GH4322"/>
      <c r="GI4322"/>
      <c r="GJ4322"/>
      <c r="GK4322"/>
      <c r="GL4322"/>
      <c r="GM4322"/>
      <c r="GN4322"/>
      <c r="GO4322"/>
    </row>
    <row r="4323" spans="107:197">
      <c r="DC4323"/>
      <c r="FH4323"/>
      <c r="FI4323"/>
      <c r="FJ4323"/>
      <c r="FK4323"/>
      <c r="FL4323"/>
      <c r="FM4323"/>
      <c r="FN4323"/>
      <c r="FO4323"/>
      <c r="FP4323"/>
      <c r="FQ4323"/>
      <c r="FR4323"/>
      <c r="FS4323"/>
      <c r="FT4323"/>
      <c r="FU4323"/>
      <c r="FV4323"/>
      <c r="FW4323"/>
      <c r="FX4323"/>
      <c r="FY4323"/>
      <c r="FZ4323"/>
      <c r="GA4323"/>
      <c r="GB4323"/>
      <c r="GC4323"/>
      <c r="GD4323"/>
      <c r="GE4323"/>
      <c r="GF4323"/>
      <c r="GG4323"/>
      <c r="GH4323"/>
      <c r="GI4323"/>
      <c r="GJ4323"/>
      <c r="GK4323"/>
      <c r="GL4323"/>
      <c r="GM4323"/>
      <c r="GN4323"/>
      <c r="GO4323"/>
    </row>
    <row r="4324" spans="107:197">
      <c r="DC4324"/>
      <c r="FH4324"/>
      <c r="FI4324"/>
      <c r="FJ4324"/>
      <c r="FK4324"/>
      <c r="FL4324"/>
      <c r="FM4324"/>
      <c r="FN4324"/>
      <c r="FO4324"/>
      <c r="FP4324"/>
      <c r="FQ4324"/>
      <c r="FR4324"/>
      <c r="FS4324"/>
      <c r="FT4324"/>
      <c r="FU4324"/>
      <c r="FV4324"/>
      <c r="FW4324"/>
      <c r="FX4324"/>
      <c r="FY4324"/>
      <c r="FZ4324"/>
      <c r="GA4324"/>
      <c r="GB4324"/>
      <c r="GC4324"/>
      <c r="GD4324"/>
      <c r="GE4324"/>
      <c r="GF4324"/>
      <c r="GG4324"/>
      <c r="GH4324"/>
      <c r="GI4324"/>
      <c r="GJ4324"/>
      <c r="GK4324"/>
      <c r="GL4324"/>
      <c r="GM4324"/>
      <c r="GN4324"/>
      <c r="GO4324"/>
    </row>
    <row r="4325" spans="107:197">
      <c r="DC4325"/>
      <c r="FH4325"/>
      <c r="FI4325"/>
      <c r="FJ4325"/>
      <c r="FK4325"/>
      <c r="FL4325"/>
      <c r="FM4325"/>
      <c r="FN4325"/>
      <c r="FO4325"/>
      <c r="FP4325"/>
      <c r="FQ4325"/>
      <c r="FR4325"/>
      <c r="FS4325"/>
      <c r="FT4325"/>
      <c r="FU4325"/>
      <c r="FV4325"/>
      <c r="FW4325"/>
      <c r="FX4325"/>
      <c r="FY4325"/>
      <c r="FZ4325"/>
      <c r="GA4325"/>
      <c r="GB4325"/>
      <c r="GC4325"/>
      <c r="GD4325"/>
      <c r="GE4325"/>
      <c r="GF4325"/>
      <c r="GG4325"/>
      <c r="GH4325"/>
      <c r="GI4325"/>
      <c r="GJ4325"/>
      <c r="GK4325"/>
      <c r="GL4325"/>
      <c r="GM4325"/>
      <c r="GN4325"/>
      <c r="GO4325"/>
    </row>
    <row r="4326" spans="107:197">
      <c r="DC4326"/>
      <c r="FH4326"/>
      <c r="FI4326"/>
      <c r="FJ4326"/>
      <c r="FK4326"/>
      <c r="FL4326"/>
      <c r="FM4326"/>
      <c r="FN4326"/>
      <c r="FO4326"/>
      <c r="FP4326"/>
      <c r="FQ4326"/>
      <c r="FR4326"/>
      <c r="FS4326"/>
      <c r="FT4326"/>
      <c r="FU4326"/>
      <c r="FV4326"/>
      <c r="FW4326"/>
      <c r="FX4326"/>
      <c r="FY4326"/>
      <c r="FZ4326"/>
      <c r="GA4326"/>
      <c r="GB4326"/>
      <c r="GC4326"/>
      <c r="GD4326"/>
      <c r="GE4326"/>
      <c r="GF4326"/>
      <c r="GG4326"/>
      <c r="GH4326"/>
      <c r="GI4326"/>
      <c r="GJ4326"/>
      <c r="GK4326"/>
      <c r="GL4326"/>
      <c r="GM4326"/>
      <c r="GN4326"/>
      <c r="GO4326"/>
    </row>
    <row r="4327" spans="107:197">
      <c r="DC4327"/>
      <c r="FH4327"/>
      <c r="FI4327"/>
      <c r="FJ4327"/>
      <c r="FK4327"/>
      <c r="FL4327"/>
      <c r="FM4327"/>
      <c r="FN4327"/>
      <c r="FO4327"/>
      <c r="FP4327"/>
      <c r="FQ4327"/>
      <c r="FR4327"/>
      <c r="FS4327"/>
      <c r="FT4327"/>
      <c r="FU4327"/>
      <c r="FV4327"/>
      <c r="FW4327"/>
      <c r="FX4327"/>
      <c r="FY4327"/>
      <c r="FZ4327"/>
      <c r="GA4327"/>
      <c r="GB4327"/>
      <c r="GC4327"/>
      <c r="GD4327"/>
      <c r="GE4327"/>
      <c r="GF4327"/>
      <c r="GG4327"/>
      <c r="GH4327"/>
      <c r="GI4327"/>
      <c r="GJ4327"/>
      <c r="GK4327"/>
      <c r="GL4327"/>
      <c r="GM4327"/>
      <c r="GN4327"/>
      <c r="GO4327"/>
    </row>
    <row r="4328" spans="107:197">
      <c r="DC4328"/>
      <c r="FH4328"/>
      <c r="FI4328"/>
      <c r="FJ4328"/>
      <c r="FK4328"/>
      <c r="FL4328"/>
      <c r="FM4328"/>
      <c r="FN4328"/>
      <c r="FO4328"/>
      <c r="FP4328"/>
      <c r="FQ4328"/>
      <c r="FR4328"/>
      <c r="FS4328"/>
      <c r="FT4328"/>
      <c r="FU4328"/>
      <c r="FV4328"/>
      <c r="FW4328"/>
      <c r="FX4328"/>
      <c r="FY4328"/>
      <c r="FZ4328"/>
      <c r="GA4328"/>
      <c r="GB4328"/>
      <c r="GC4328"/>
      <c r="GD4328"/>
      <c r="GE4328"/>
      <c r="GF4328"/>
      <c r="GG4328"/>
      <c r="GH4328"/>
      <c r="GI4328"/>
      <c r="GJ4328"/>
      <c r="GK4328"/>
      <c r="GL4328"/>
      <c r="GM4328"/>
      <c r="GN4328"/>
      <c r="GO4328"/>
    </row>
    <row r="4329" spans="107:197">
      <c r="DC4329"/>
      <c r="FH4329"/>
      <c r="FI4329"/>
      <c r="FJ4329"/>
      <c r="FK4329"/>
      <c r="FL4329"/>
      <c r="FM4329"/>
      <c r="FN4329"/>
      <c r="FO4329"/>
      <c r="FP4329"/>
      <c r="FQ4329"/>
      <c r="FR4329"/>
      <c r="FS4329"/>
      <c r="FT4329"/>
      <c r="FU4329"/>
      <c r="FV4329"/>
      <c r="FW4329"/>
      <c r="FX4329"/>
      <c r="FY4329"/>
      <c r="FZ4329"/>
      <c r="GA4329"/>
      <c r="GB4329"/>
      <c r="GC4329"/>
      <c r="GD4329"/>
      <c r="GE4329"/>
      <c r="GF4329"/>
      <c r="GG4329"/>
      <c r="GH4329"/>
      <c r="GI4329"/>
      <c r="GJ4329"/>
      <c r="GK4329"/>
      <c r="GL4329"/>
      <c r="GM4329"/>
      <c r="GN4329"/>
      <c r="GO4329"/>
    </row>
    <row r="4330" spans="107:197">
      <c r="DC4330"/>
      <c r="FH4330"/>
      <c r="FI4330"/>
      <c r="FJ4330"/>
      <c r="FK4330"/>
      <c r="FL4330"/>
      <c r="FM4330"/>
      <c r="FN4330"/>
      <c r="FO4330"/>
      <c r="FP4330"/>
      <c r="FQ4330"/>
      <c r="FR4330"/>
      <c r="FS4330"/>
      <c r="FT4330"/>
      <c r="FU4330"/>
      <c r="FV4330"/>
      <c r="FW4330"/>
      <c r="FX4330"/>
      <c r="FY4330"/>
      <c r="FZ4330"/>
      <c r="GA4330"/>
      <c r="GB4330"/>
      <c r="GC4330"/>
      <c r="GD4330"/>
      <c r="GE4330"/>
      <c r="GF4330"/>
      <c r="GG4330"/>
      <c r="GH4330"/>
      <c r="GI4330"/>
      <c r="GJ4330"/>
      <c r="GK4330"/>
      <c r="GL4330"/>
      <c r="GM4330"/>
      <c r="GN4330"/>
      <c r="GO4330"/>
    </row>
    <row r="4331" spans="107:197">
      <c r="DC4331"/>
      <c r="FH4331"/>
      <c r="FI4331"/>
      <c r="FJ4331"/>
      <c r="FK4331"/>
      <c r="FL4331"/>
      <c r="FM4331"/>
      <c r="FN4331"/>
      <c r="FO4331"/>
      <c r="FP4331"/>
      <c r="FQ4331"/>
      <c r="FR4331"/>
      <c r="FS4331"/>
      <c r="FT4331"/>
      <c r="FU4331"/>
      <c r="FV4331"/>
      <c r="FW4331"/>
      <c r="FX4331"/>
      <c r="FY4331"/>
      <c r="FZ4331"/>
      <c r="GA4331"/>
      <c r="GB4331"/>
      <c r="GC4331"/>
      <c r="GD4331"/>
      <c r="GE4331"/>
      <c r="GF4331"/>
      <c r="GG4331"/>
      <c r="GH4331"/>
      <c r="GI4331"/>
      <c r="GJ4331"/>
      <c r="GK4331"/>
      <c r="GL4331"/>
      <c r="GM4331"/>
      <c r="GN4331"/>
      <c r="GO4331"/>
    </row>
    <row r="4332" spans="107:197">
      <c r="DC4332"/>
      <c r="FH4332"/>
      <c r="FI4332"/>
      <c r="FJ4332"/>
      <c r="FK4332"/>
      <c r="FL4332"/>
      <c r="FM4332"/>
      <c r="FN4332"/>
      <c r="FO4332"/>
      <c r="FP4332"/>
      <c r="FQ4332"/>
      <c r="FR4332"/>
      <c r="FS4332"/>
      <c r="FT4332"/>
      <c r="FU4332"/>
      <c r="FV4332"/>
      <c r="FW4332"/>
      <c r="FX4332"/>
      <c r="FY4332"/>
      <c r="FZ4332"/>
      <c r="GA4332"/>
      <c r="GB4332"/>
      <c r="GC4332"/>
      <c r="GD4332"/>
      <c r="GE4332"/>
      <c r="GF4332"/>
      <c r="GG4332"/>
      <c r="GH4332"/>
      <c r="GI4332"/>
      <c r="GJ4332"/>
      <c r="GK4332"/>
      <c r="GL4332"/>
      <c r="GM4332"/>
      <c r="GN4332"/>
      <c r="GO4332"/>
    </row>
    <row r="4333" spans="107:197">
      <c r="DC4333"/>
      <c r="FH4333"/>
      <c r="FI4333"/>
      <c r="FJ4333"/>
      <c r="FK4333"/>
      <c r="FL4333"/>
      <c r="FM4333"/>
      <c r="FN4333"/>
      <c r="FO4333"/>
      <c r="FP4333"/>
      <c r="FQ4333"/>
      <c r="FR4333"/>
      <c r="FS4333"/>
      <c r="FT4333"/>
      <c r="FU4333"/>
      <c r="FV4333"/>
      <c r="FW4333"/>
      <c r="FX4333"/>
      <c r="FY4333"/>
      <c r="FZ4333"/>
      <c r="GA4333"/>
      <c r="GB4333"/>
      <c r="GC4333"/>
      <c r="GD4333"/>
      <c r="GE4333"/>
      <c r="GF4333"/>
      <c r="GG4333"/>
      <c r="GH4333"/>
      <c r="GI4333"/>
      <c r="GJ4333"/>
      <c r="GK4333"/>
      <c r="GL4333"/>
      <c r="GM4333"/>
      <c r="GN4333"/>
      <c r="GO4333"/>
    </row>
    <row r="4334" spans="107:197">
      <c r="DC4334"/>
      <c r="FH4334"/>
      <c r="FI4334"/>
      <c r="FJ4334"/>
      <c r="FK4334"/>
      <c r="FL4334"/>
      <c r="FM4334"/>
      <c r="FN4334"/>
      <c r="FO4334"/>
      <c r="FP4334"/>
      <c r="FQ4334"/>
      <c r="FR4334"/>
      <c r="FS4334"/>
      <c r="FT4334"/>
      <c r="FU4334"/>
      <c r="FV4334"/>
      <c r="FW4334"/>
      <c r="FX4334"/>
      <c r="FY4334"/>
      <c r="FZ4334"/>
      <c r="GA4334"/>
      <c r="GB4334"/>
      <c r="GC4334"/>
      <c r="GD4334"/>
      <c r="GE4334"/>
      <c r="GF4334"/>
      <c r="GG4334"/>
      <c r="GH4334"/>
      <c r="GI4334"/>
      <c r="GJ4334"/>
      <c r="GK4334"/>
      <c r="GL4334"/>
      <c r="GM4334"/>
      <c r="GN4334"/>
      <c r="GO4334"/>
    </row>
    <row r="4335" spans="107:197">
      <c r="DC4335"/>
      <c r="FH4335"/>
      <c r="FI4335"/>
      <c r="FJ4335"/>
      <c r="FK4335"/>
      <c r="FL4335"/>
      <c r="FM4335"/>
      <c r="FN4335"/>
      <c r="FO4335"/>
      <c r="FP4335"/>
      <c r="FQ4335"/>
      <c r="FR4335"/>
      <c r="FS4335"/>
      <c r="FT4335"/>
      <c r="FU4335"/>
      <c r="FV4335"/>
      <c r="FW4335"/>
      <c r="FX4335"/>
      <c r="FY4335"/>
      <c r="FZ4335"/>
      <c r="GA4335"/>
      <c r="GB4335"/>
      <c r="GC4335"/>
      <c r="GD4335"/>
      <c r="GE4335"/>
      <c r="GF4335"/>
      <c r="GG4335"/>
      <c r="GH4335"/>
      <c r="GI4335"/>
      <c r="GJ4335"/>
      <c r="GK4335"/>
      <c r="GL4335"/>
      <c r="GM4335"/>
      <c r="GN4335"/>
      <c r="GO4335"/>
    </row>
    <row r="4336" spans="107:197">
      <c r="DC4336"/>
      <c r="FH4336"/>
      <c r="FI4336"/>
      <c r="FJ4336"/>
      <c r="FK4336"/>
      <c r="FL4336"/>
      <c r="FM4336"/>
      <c r="FN4336"/>
      <c r="FO4336"/>
      <c r="FP4336"/>
      <c r="FQ4336"/>
      <c r="FR4336"/>
      <c r="FS4336"/>
      <c r="FT4336"/>
      <c r="FU4336"/>
      <c r="FV4336"/>
      <c r="FW4336"/>
      <c r="FX4336"/>
      <c r="FY4336"/>
      <c r="FZ4336"/>
      <c r="GA4336"/>
      <c r="GB4336"/>
      <c r="GC4336"/>
      <c r="GD4336"/>
      <c r="GE4336"/>
      <c r="GF4336"/>
      <c r="GG4336"/>
      <c r="GH4336"/>
      <c r="GI4336"/>
      <c r="GJ4336"/>
      <c r="GK4336"/>
      <c r="GL4336"/>
      <c r="GM4336"/>
      <c r="GN4336"/>
      <c r="GO4336"/>
    </row>
    <row r="4337" spans="107:197">
      <c r="DC4337"/>
      <c r="FH4337"/>
      <c r="FI4337"/>
      <c r="FJ4337"/>
      <c r="FK4337"/>
      <c r="FL4337"/>
      <c r="FM4337"/>
      <c r="FN4337"/>
      <c r="FO4337"/>
      <c r="FP4337"/>
      <c r="FQ4337"/>
      <c r="FR4337"/>
      <c r="FS4337"/>
      <c r="FT4337"/>
      <c r="FU4337"/>
      <c r="FV4337"/>
      <c r="FW4337"/>
      <c r="FX4337"/>
      <c r="FY4337"/>
      <c r="FZ4337"/>
      <c r="GA4337"/>
      <c r="GB4337"/>
      <c r="GC4337"/>
      <c r="GD4337"/>
      <c r="GE4337"/>
      <c r="GF4337"/>
      <c r="GG4337"/>
      <c r="GH4337"/>
      <c r="GI4337"/>
      <c r="GJ4337"/>
      <c r="GK4337"/>
      <c r="GL4337"/>
      <c r="GM4337"/>
      <c r="GN4337"/>
      <c r="GO4337"/>
    </row>
    <row r="4338" spans="107:197">
      <c r="DC4338"/>
      <c r="FH4338"/>
      <c r="FI4338"/>
      <c r="FJ4338"/>
      <c r="FK4338"/>
      <c r="FL4338"/>
      <c r="FM4338"/>
      <c r="FN4338"/>
      <c r="FO4338"/>
      <c r="FP4338"/>
      <c r="FQ4338"/>
      <c r="FR4338"/>
      <c r="FS4338"/>
      <c r="FT4338"/>
      <c r="FU4338"/>
      <c r="FV4338"/>
      <c r="FW4338"/>
      <c r="FX4338"/>
      <c r="FY4338"/>
      <c r="FZ4338"/>
      <c r="GA4338"/>
      <c r="GB4338"/>
      <c r="GC4338"/>
      <c r="GD4338"/>
      <c r="GE4338"/>
      <c r="GF4338"/>
      <c r="GG4338"/>
      <c r="GH4338"/>
      <c r="GI4338"/>
      <c r="GJ4338"/>
      <c r="GK4338"/>
      <c r="GL4338"/>
      <c r="GM4338"/>
      <c r="GN4338"/>
      <c r="GO4338"/>
    </row>
    <row r="4339" spans="107:197">
      <c r="DC4339"/>
      <c r="FH4339"/>
      <c r="FI4339"/>
      <c r="FJ4339"/>
      <c r="FK4339"/>
      <c r="FL4339"/>
      <c r="FM4339"/>
      <c r="FN4339"/>
      <c r="FO4339"/>
      <c r="FP4339"/>
      <c r="FQ4339"/>
      <c r="FR4339"/>
      <c r="FS4339"/>
      <c r="FT4339"/>
      <c r="FU4339"/>
      <c r="FV4339"/>
      <c r="FW4339"/>
      <c r="FX4339"/>
      <c r="FY4339"/>
      <c r="FZ4339"/>
      <c r="GA4339"/>
      <c r="GB4339"/>
      <c r="GC4339"/>
      <c r="GD4339"/>
      <c r="GE4339"/>
      <c r="GF4339"/>
      <c r="GG4339"/>
      <c r="GH4339"/>
      <c r="GI4339"/>
      <c r="GJ4339"/>
      <c r="GK4339"/>
      <c r="GL4339"/>
      <c r="GM4339"/>
      <c r="GN4339"/>
      <c r="GO4339"/>
    </row>
    <row r="4340" spans="107:197">
      <c r="DC4340"/>
      <c r="FH4340"/>
      <c r="FI4340"/>
      <c r="FJ4340"/>
      <c r="FK4340"/>
      <c r="FL4340"/>
      <c r="FM4340"/>
      <c r="FN4340"/>
      <c r="FO4340"/>
      <c r="FP4340"/>
      <c r="FQ4340"/>
      <c r="FR4340"/>
      <c r="FS4340"/>
      <c r="FT4340"/>
      <c r="FU4340"/>
      <c r="FV4340"/>
      <c r="FW4340"/>
      <c r="FX4340"/>
      <c r="FY4340"/>
      <c r="FZ4340"/>
      <c r="GA4340"/>
      <c r="GB4340"/>
      <c r="GC4340"/>
      <c r="GD4340"/>
      <c r="GE4340"/>
      <c r="GF4340"/>
      <c r="GG4340"/>
      <c r="GH4340"/>
      <c r="GI4340"/>
      <c r="GJ4340"/>
      <c r="GK4340"/>
      <c r="GL4340"/>
      <c r="GM4340"/>
      <c r="GN4340"/>
      <c r="GO4340"/>
    </row>
    <row r="4341" spans="107:197">
      <c r="DC4341"/>
      <c r="FH4341"/>
      <c r="FI4341"/>
      <c r="FJ4341"/>
      <c r="FK4341"/>
      <c r="FL4341"/>
      <c r="FM4341"/>
      <c r="FN4341"/>
      <c r="FO4341"/>
      <c r="FP4341"/>
      <c r="FQ4341"/>
      <c r="FR4341"/>
      <c r="FS4341"/>
      <c r="FT4341"/>
      <c r="FU4341"/>
      <c r="FV4341"/>
      <c r="FW4341"/>
      <c r="FX4341"/>
      <c r="FY4341"/>
      <c r="FZ4341"/>
      <c r="GA4341"/>
      <c r="GB4341"/>
      <c r="GC4341"/>
      <c r="GD4341"/>
      <c r="GE4341"/>
      <c r="GF4341"/>
      <c r="GG4341"/>
      <c r="GH4341"/>
      <c r="GI4341"/>
      <c r="GJ4341"/>
      <c r="GK4341"/>
      <c r="GL4341"/>
      <c r="GM4341"/>
      <c r="GN4341"/>
      <c r="GO4341"/>
    </row>
    <row r="4342" spans="107:197">
      <c r="DC4342"/>
      <c r="FH4342"/>
      <c r="FI4342"/>
      <c r="FJ4342"/>
      <c r="FK4342"/>
      <c r="FL4342"/>
      <c r="FM4342"/>
      <c r="FN4342"/>
      <c r="FO4342"/>
      <c r="FP4342"/>
      <c r="FQ4342"/>
      <c r="FR4342"/>
      <c r="FS4342"/>
      <c r="FT4342"/>
      <c r="FU4342"/>
      <c r="FV4342"/>
      <c r="FW4342"/>
      <c r="FX4342"/>
      <c r="FY4342"/>
      <c r="FZ4342"/>
      <c r="GA4342"/>
      <c r="GB4342"/>
      <c r="GC4342"/>
      <c r="GD4342"/>
      <c r="GE4342"/>
      <c r="GF4342"/>
      <c r="GG4342"/>
      <c r="GH4342"/>
      <c r="GI4342"/>
      <c r="GJ4342"/>
      <c r="GK4342"/>
      <c r="GL4342"/>
      <c r="GM4342"/>
      <c r="GN4342"/>
      <c r="GO4342"/>
    </row>
    <row r="4343" spans="107:197">
      <c r="DC4343"/>
      <c r="FH4343"/>
      <c r="FI4343"/>
      <c r="FJ4343"/>
      <c r="FK4343"/>
      <c r="FL4343"/>
      <c r="FM4343"/>
      <c r="FN4343"/>
      <c r="FO4343"/>
      <c r="FP4343"/>
      <c r="FQ4343"/>
      <c r="FR4343"/>
      <c r="FS4343"/>
      <c r="FT4343"/>
      <c r="FU4343"/>
      <c r="FV4343"/>
      <c r="FW4343"/>
      <c r="FX4343"/>
      <c r="FY4343"/>
      <c r="FZ4343"/>
      <c r="GA4343"/>
      <c r="GB4343"/>
      <c r="GC4343"/>
      <c r="GD4343"/>
      <c r="GE4343"/>
      <c r="GF4343"/>
      <c r="GG4343"/>
      <c r="GH4343"/>
      <c r="GI4343"/>
      <c r="GJ4343"/>
      <c r="GK4343"/>
      <c r="GL4343"/>
      <c r="GM4343"/>
      <c r="GN4343"/>
      <c r="GO4343"/>
    </row>
    <row r="4344" spans="107:197">
      <c r="DC4344"/>
      <c r="FH4344"/>
      <c r="FI4344"/>
      <c r="FJ4344"/>
      <c r="FK4344"/>
      <c r="FL4344"/>
      <c r="FM4344"/>
      <c r="FN4344"/>
      <c r="FO4344"/>
      <c r="FP4344"/>
      <c r="FQ4344"/>
      <c r="FR4344"/>
      <c r="FS4344"/>
      <c r="FT4344"/>
      <c r="FU4344"/>
      <c r="FV4344"/>
      <c r="FW4344"/>
      <c r="FX4344"/>
      <c r="FY4344"/>
      <c r="FZ4344"/>
      <c r="GA4344"/>
      <c r="GB4344"/>
      <c r="GC4344"/>
      <c r="GD4344"/>
      <c r="GE4344"/>
      <c r="GF4344"/>
      <c r="GG4344"/>
      <c r="GH4344"/>
      <c r="GI4344"/>
      <c r="GJ4344"/>
      <c r="GK4344"/>
      <c r="GL4344"/>
      <c r="GM4344"/>
      <c r="GN4344"/>
      <c r="GO4344"/>
    </row>
    <row r="4345" spans="107:197">
      <c r="DC4345"/>
      <c r="FH4345"/>
      <c r="FI4345"/>
      <c r="FJ4345"/>
      <c r="FK4345"/>
      <c r="FL4345"/>
      <c r="FM4345"/>
      <c r="FN4345"/>
      <c r="FO4345"/>
      <c r="FP4345"/>
      <c r="FQ4345"/>
      <c r="FR4345"/>
      <c r="FS4345"/>
      <c r="FT4345"/>
      <c r="FU4345"/>
      <c r="FV4345"/>
      <c r="FW4345"/>
      <c r="FX4345"/>
      <c r="FY4345"/>
      <c r="FZ4345"/>
      <c r="GA4345"/>
      <c r="GB4345"/>
      <c r="GC4345"/>
      <c r="GD4345"/>
      <c r="GE4345"/>
      <c r="GF4345"/>
      <c r="GG4345"/>
      <c r="GH4345"/>
      <c r="GI4345"/>
      <c r="GJ4345"/>
      <c r="GK4345"/>
      <c r="GL4345"/>
      <c r="GM4345"/>
      <c r="GN4345"/>
      <c r="GO4345"/>
    </row>
    <row r="4346" spans="107:197">
      <c r="DC4346"/>
      <c r="FH4346"/>
      <c r="FI4346"/>
      <c r="FJ4346"/>
      <c r="FK4346"/>
      <c r="FL4346"/>
      <c r="FM4346"/>
      <c r="FN4346"/>
      <c r="FO4346"/>
      <c r="FP4346"/>
      <c r="FQ4346"/>
      <c r="FR4346"/>
      <c r="FS4346"/>
      <c r="FT4346"/>
      <c r="FU4346"/>
      <c r="FV4346"/>
      <c r="FW4346"/>
      <c r="FX4346"/>
      <c r="FY4346"/>
      <c r="FZ4346"/>
      <c r="GA4346"/>
      <c r="GB4346"/>
      <c r="GC4346"/>
      <c r="GD4346"/>
      <c r="GE4346"/>
      <c r="GF4346"/>
      <c r="GG4346"/>
      <c r="GH4346"/>
      <c r="GI4346"/>
      <c r="GJ4346"/>
      <c r="GK4346"/>
      <c r="GL4346"/>
      <c r="GM4346"/>
      <c r="GN4346"/>
      <c r="GO4346"/>
    </row>
    <row r="4347" spans="107:197">
      <c r="DC4347"/>
      <c r="FH4347"/>
      <c r="FI4347"/>
      <c r="FJ4347"/>
      <c r="FK4347"/>
      <c r="FL4347"/>
      <c r="FM4347"/>
      <c r="FN4347"/>
      <c r="FO4347"/>
      <c r="FP4347"/>
      <c r="FQ4347"/>
      <c r="FR4347"/>
      <c r="FS4347"/>
      <c r="FT4347"/>
      <c r="FU4347"/>
      <c r="FV4347"/>
      <c r="FW4347"/>
      <c r="FX4347"/>
      <c r="FY4347"/>
      <c r="FZ4347"/>
      <c r="GA4347"/>
      <c r="GB4347"/>
      <c r="GC4347"/>
      <c r="GD4347"/>
      <c r="GE4347"/>
      <c r="GF4347"/>
      <c r="GG4347"/>
      <c r="GH4347"/>
      <c r="GI4347"/>
      <c r="GJ4347"/>
      <c r="GK4347"/>
      <c r="GL4347"/>
      <c r="GM4347"/>
      <c r="GN4347"/>
      <c r="GO4347"/>
    </row>
    <row r="4348" spans="107:197">
      <c r="DC4348"/>
      <c r="FH4348"/>
      <c r="FI4348"/>
      <c r="FJ4348"/>
      <c r="FK4348"/>
      <c r="FL4348"/>
      <c r="FM4348"/>
      <c r="FN4348"/>
      <c r="FO4348"/>
      <c r="FP4348"/>
      <c r="FQ4348"/>
      <c r="FR4348"/>
      <c r="FS4348"/>
      <c r="FT4348"/>
      <c r="FU4348"/>
      <c r="FV4348"/>
      <c r="FW4348"/>
      <c r="FX4348"/>
      <c r="FY4348"/>
      <c r="FZ4348"/>
      <c r="GA4348"/>
      <c r="GB4348"/>
      <c r="GC4348"/>
      <c r="GD4348"/>
      <c r="GE4348"/>
      <c r="GF4348"/>
      <c r="GG4348"/>
      <c r="GH4348"/>
      <c r="GI4348"/>
      <c r="GJ4348"/>
      <c r="GK4348"/>
      <c r="GL4348"/>
      <c r="GM4348"/>
      <c r="GN4348"/>
      <c r="GO4348"/>
    </row>
    <row r="4349" spans="107:197">
      <c r="DC4349"/>
      <c r="FH4349"/>
      <c r="FI4349"/>
      <c r="FJ4349"/>
      <c r="FK4349"/>
      <c r="FL4349"/>
      <c r="FM4349"/>
      <c r="FN4349"/>
      <c r="FO4349"/>
      <c r="FP4349"/>
      <c r="FQ4349"/>
      <c r="FR4349"/>
      <c r="FS4349"/>
      <c r="FT4349"/>
      <c r="FU4349"/>
      <c r="FV4349"/>
      <c r="FW4349"/>
      <c r="FX4349"/>
      <c r="FY4349"/>
      <c r="FZ4349"/>
      <c r="GA4349"/>
      <c r="GB4349"/>
      <c r="GC4349"/>
      <c r="GD4349"/>
      <c r="GE4349"/>
      <c r="GF4349"/>
      <c r="GG4349"/>
      <c r="GH4349"/>
      <c r="GI4349"/>
      <c r="GJ4349"/>
      <c r="GK4349"/>
      <c r="GL4349"/>
      <c r="GM4349"/>
      <c r="GN4349"/>
      <c r="GO4349"/>
    </row>
    <row r="4350" spans="107:197">
      <c r="DC4350"/>
      <c r="FH4350"/>
      <c r="FI4350"/>
      <c r="FJ4350"/>
      <c r="FK4350"/>
      <c r="FL4350"/>
      <c r="FM4350"/>
      <c r="FN4350"/>
      <c r="FO4350"/>
      <c r="FP4350"/>
      <c r="FQ4350"/>
      <c r="FR4350"/>
      <c r="FS4350"/>
      <c r="FT4350"/>
      <c r="FU4350"/>
      <c r="FV4350"/>
      <c r="FW4350"/>
      <c r="FX4350"/>
      <c r="FY4350"/>
      <c r="FZ4350"/>
      <c r="GA4350"/>
      <c r="GB4350"/>
      <c r="GC4350"/>
      <c r="GD4350"/>
      <c r="GE4350"/>
      <c r="GF4350"/>
      <c r="GG4350"/>
      <c r="GH4350"/>
      <c r="GI4350"/>
      <c r="GJ4350"/>
      <c r="GK4350"/>
      <c r="GL4350"/>
      <c r="GM4350"/>
      <c r="GN4350"/>
      <c r="GO4350"/>
    </row>
    <row r="4351" spans="107:197">
      <c r="DC4351"/>
      <c r="FH4351"/>
      <c r="FI4351"/>
      <c r="FJ4351"/>
      <c r="FK4351"/>
      <c r="FL4351"/>
      <c r="FM4351"/>
      <c r="FN4351"/>
      <c r="FO4351"/>
      <c r="FP4351"/>
      <c r="FQ4351"/>
      <c r="FR4351"/>
      <c r="FS4351"/>
      <c r="FT4351"/>
      <c r="FU4351"/>
      <c r="FV4351"/>
      <c r="FW4351"/>
      <c r="FX4351"/>
      <c r="FY4351"/>
      <c r="FZ4351"/>
      <c r="GA4351"/>
      <c r="GB4351"/>
      <c r="GC4351"/>
      <c r="GD4351"/>
      <c r="GE4351"/>
      <c r="GF4351"/>
      <c r="GG4351"/>
      <c r="GH4351"/>
      <c r="GI4351"/>
      <c r="GJ4351"/>
      <c r="GK4351"/>
      <c r="GL4351"/>
      <c r="GM4351"/>
      <c r="GN4351"/>
      <c r="GO4351"/>
    </row>
    <row r="4352" spans="107:197">
      <c r="DC4352"/>
      <c r="FH4352"/>
      <c r="FI4352"/>
      <c r="FJ4352"/>
      <c r="FK4352"/>
      <c r="FL4352"/>
      <c r="FM4352"/>
      <c r="FN4352"/>
      <c r="FO4352"/>
      <c r="FP4352"/>
      <c r="FQ4352"/>
      <c r="FR4352"/>
      <c r="FS4352"/>
      <c r="FT4352"/>
      <c r="FU4352"/>
      <c r="FV4352"/>
      <c r="FW4352"/>
      <c r="FX4352"/>
      <c r="FY4352"/>
      <c r="FZ4352"/>
      <c r="GA4352"/>
      <c r="GB4352"/>
      <c r="GC4352"/>
      <c r="GD4352"/>
      <c r="GE4352"/>
      <c r="GF4352"/>
      <c r="GG4352"/>
      <c r="GH4352"/>
      <c r="GI4352"/>
      <c r="GJ4352"/>
      <c r="GK4352"/>
      <c r="GL4352"/>
      <c r="GM4352"/>
      <c r="GN4352"/>
      <c r="GO4352"/>
    </row>
    <row r="4353" spans="107:197">
      <c r="DC4353"/>
      <c r="FH4353"/>
      <c r="FI4353"/>
      <c r="FJ4353"/>
      <c r="FK4353"/>
      <c r="FL4353"/>
      <c r="FM4353"/>
      <c r="FN4353"/>
      <c r="FO4353"/>
      <c r="FP4353"/>
      <c r="FQ4353"/>
      <c r="FR4353"/>
      <c r="FS4353"/>
      <c r="FT4353"/>
      <c r="FU4353"/>
      <c r="FV4353"/>
      <c r="FW4353"/>
      <c r="FX4353"/>
      <c r="FY4353"/>
      <c r="FZ4353"/>
      <c r="GA4353"/>
      <c r="GB4353"/>
      <c r="GC4353"/>
      <c r="GD4353"/>
      <c r="GE4353"/>
      <c r="GF4353"/>
      <c r="GG4353"/>
      <c r="GH4353"/>
      <c r="GI4353"/>
      <c r="GJ4353"/>
      <c r="GK4353"/>
      <c r="GL4353"/>
      <c r="GM4353"/>
      <c r="GN4353"/>
      <c r="GO4353"/>
    </row>
    <row r="4354" spans="107:197">
      <c r="DC4354"/>
      <c r="FH4354"/>
      <c r="FI4354"/>
      <c r="FJ4354"/>
      <c r="FK4354"/>
      <c r="FL4354"/>
      <c r="FM4354"/>
      <c r="FN4354"/>
      <c r="FO4354"/>
      <c r="FP4354"/>
      <c r="FQ4354"/>
      <c r="FR4354"/>
      <c r="FS4354"/>
      <c r="FT4354"/>
      <c r="FU4354"/>
      <c r="FV4354"/>
      <c r="FW4354"/>
      <c r="FX4354"/>
      <c r="FY4354"/>
      <c r="FZ4354"/>
      <c r="GA4354"/>
      <c r="GB4354"/>
      <c r="GC4354"/>
      <c r="GD4354"/>
      <c r="GE4354"/>
      <c r="GF4354"/>
      <c r="GG4354"/>
      <c r="GH4354"/>
      <c r="GI4354"/>
      <c r="GJ4354"/>
      <c r="GK4354"/>
      <c r="GL4354"/>
      <c r="GM4354"/>
      <c r="GN4354"/>
      <c r="GO4354"/>
    </row>
    <row r="4355" spans="107:197">
      <c r="DC4355"/>
      <c r="FH4355"/>
      <c r="FI4355"/>
      <c r="FJ4355"/>
      <c r="FK4355"/>
      <c r="FL4355"/>
      <c r="FM4355"/>
      <c r="FN4355"/>
      <c r="FO4355"/>
      <c r="FP4355"/>
      <c r="FQ4355"/>
      <c r="FR4355"/>
      <c r="FS4355"/>
      <c r="FT4355"/>
      <c r="FU4355"/>
      <c r="FV4355"/>
      <c r="FW4355"/>
      <c r="FX4355"/>
      <c r="FY4355"/>
      <c r="FZ4355"/>
      <c r="GA4355"/>
      <c r="GB4355"/>
      <c r="GC4355"/>
      <c r="GD4355"/>
      <c r="GE4355"/>
      <c r="GF4355"/>
      <c r="GG4355"/>
      <c r="GH4355"/>
      <c r="GI4355"/>
      <c r="GJ4355"/>
      <c r="GK4355"/>
      <c r="GL4355"/>
      <c r="GM4355"/>
      <c r="GN4355"/>
      <c r="GO4355"/>
    </row>
    <row r="4356" spans="107:197">
      <c r="DC4356"/>
      <c r="FH4356"/>
      <c r="FI4356"/>
      <c r="FJ4356"/>
      <c r="FK4356"/>
      <c r="FL4356"/>
      <c r="FM4356"/>
      <c r="FN4356"/>
      <c r="FO4356"/>
      <c r="FP4356"/>
      <c r="FQ4356"/>
      <c r="FR4356"/>
      <c r="FS4356"/>
      <c r="FT4356"/>
      <c r="FU4356"/>
      <c r="FV4356"/>
      <c r="FW4356"/>
      <c r="FX4356"/>
      <c r="FY4356"/>
      <c r="FZ4356"/>
      <c r="GA4356"/>
      <c r="GB4356"/>
      <c r="GC4356"/>
      <c r="GD4356"/>
      <c r="GE4356"/>
      <c r="GF4356"/>
      <c r="GG4356"/>
      <c r="GH4356"/>
      <c r="GI4356"/>
      <c r="GJ4356"/>
      <c r="GK4356"/>
      <c r="GL4356"/>
      <c r="GM4356"/>
      <c r="GN4356"/>
      <c r="GO4356"/>
    </row>
    <row r="4357" spans="107:197">
      <c r="DC4357"/>
      <c r="FH4357"/>
      <c r="FI4357"/>
      <c r="FJ4357"/>
      <c r="FK4357"/>
      <c r="FL4357"/>
      <c r="FM4357"/>
      <c r="FN4357"/>
      <c r="FO4357"/>
      <c r="FP4357"/>
      <c r="FQ4357"/>
      <c r="FR4357"/>
      <c r="FS4357"/>
      <c r="FT4357"/>
      <c r="FU4357"/>
      <c r="FV4357"/>
      <c r="FW4357"/>
      <c r="FX4357"/>
      <c r="FY4357"/>
      <c r="FZ4357"/>
      <c r="GA4357"/>
      <c r="GB4357"/>
      <c r="GC4357"/>
      <c r="GD4357"/>
      <c r="GE4357"/>
      <c r="GF4357"/>
      <c r="GG4357"/>
      <c r="GH4357"/>
      <c r="GI4357"/>
      <c r="GJ4357"/>
      <c r="GK4357"/>
      <c r="GL4357"/>
      <c r="GM4357"/>
      <c r="GN4357"/>
      <c r="GO4357"/>
    </row>
    <row r="4358" spans="107:197">
      <c r="DC4358"/>
      <c r="FH4358"/>
      <c r="FI4358"/>
      <c r="FJ4358"/>
      <c r="FK4358"/>
      <c r="FL4358"/>
      <c r="FM4358"/>
      <c r="FN4358"/>
      <c r="FO4358"/>
      <c r="FP4358"/>
      <c r="FQ4358"/>
      <c r="FR4358"/>
      <c r="FS4358"/>
      <c r="FT4358"/>
      <c r="FU4358"/>
      <c r="FV4358"/>
      <c r="FW4358"/>
      <c r="FX4358"/>
      <c r="FY4358"/>
      <c r="FZ4358"/>
      <c r="GA4358"/>
      <c r="GB4358"/>
      <c r="GC4358"/>
      <c r="GD4358"/>
      <c r="GE4358"/>
      <c r="GF4358"/>
      <c r="GG4358"/>
      <c r="GH4358"/>
      <c r="GI4358"/>
      <c r="GJ4358"/>
      <c r="GK4358"/>
      <c r="GL4358"/>
      <c r="GM4358"/>
      <c r="GN4358"/>
      <c r="GO4358"/>
    </row>
    <row r="4359" spans="107:197">
      <c r="DC4359"/>
      <c r="FH4359"/>
      <c r="FI4359"/>
      <c r="FJ4359"/>
      <c r="FK4359"/>
      <c r="FL4359"/>
      <c r="FM4359"/>
      <c r="FN4359"/>
      <c r="FO4359"/>
      <c r="FP4359"/>
      <c r="FQ4359"/>
      <c r="FR4359"/>
      <c r="FS4359"/>
      <c r="FT4359"/>
      <c r="FU4359"/>
      <c r="FV4359"/>
      <c r="FW4359"/>
      <c r="FX4359"/>
      <c r="FY4359"/>
      <c r="FZ4359"/>
      <c r="GA4359"/>
      <c r="GB4359"/>
      <c r="GC4359"/>
      <c r="GD4359"/>
      <c r="GE4359"/>
      <c r="GF4359"/>
      <c r="GG4359"/>
      <c r="GH4359"/>
      <c r="GI4359"/>
      <c r="GJ4359"/>
      <c r="GK4359"/>
      <c r="GL4359"/>
      <c r="GM4359"/>
      <c r="GN4359"/>
      <c r="GO4359"/>
    </row>
    <row r="4360" spans="107:197">
      <c r="DC4360"/>
      <c r="FH4360"/>
      <c r="FI4360"/>
      <c r="FJ4360"/>
      <c r="FK4360"/>
      <c r="FL4360"/>
      <c r="FM4360"/>
      <c r="FN4360"/>
      <c r="FO4360"/>
      <c r="FP4360"/>
      <c r="FQ4360"/>
      <c r="FR4360"/>
      <c r="FS4360"/>
      <c r="FT4360"/>
      <c r="FU4360"/>
      <c r="FV4360"/>
      <c r="FW4360"/>
      <c r="FX4360"/>
      <c r="FY4360"/>
      <c r="FZ4360"/>
      <c r="GA4360"/>
      <c r="GB4360"/>
      <c r="GC4360"/>
      <c r="GD4360"/>
      <c r="GE4360"/>
      <c r="GF4360"/>
      <c r="GG4360"/>
      <c r="GH4360"/>
      <c r="GI4360"/>
      <c r="GJ4360"/>
      <c r="GK4360"/>
      <c r="GL4360"/>
      <c r="GM4360"/>
      <c r="GN4360"/>
      <c r="GO4360"/>
    </row>
    <row r="4361" spans="107:197">
      <c r="DC4361"/>
      <c r="FH4361"/>
      <c r="FI4361"/>
      <c r="FJ4361"/>
      <c r="FK4361"/>
      <c r="FL4361"/>
      <c r="FM4361"/>
      <c r="FN4361"/>
      <c r="FO4361"/>
      <c r="FP4361"/>
      <c r="FQ4361"/>
      <c r="FR4361"/>
      <c r="FS4361"/>
      <c r="FT4361"/>
      <c r="FU4361"/>
      <c r="FV4361"/>
      <c r="FW4361"/>
      <c r="FX4361"/>
      <c r="FY4361"/>
      <c r="FZ4361"/>
      <c r="GA4361"/>
      <c r="GB4361"/>
      <c r="GC4361"/>
      <c r="GD4361"/>
      <c r="GE4361"/>
      <c r="GF4361"/>
      <c r="GG4361"/>
      <c r="GH4361"/>
      <c r="GI4361"/>
      <c r="GJ4361"/>
      <c r="GK4361"/>
      <c r="GL4361"/>
      <c r="GM4361"/>
      <c r="GN4361"/>
      <c r="GO4361"/>
    </row>
    <row r="4362" spans="107:197">
      <c r="DC4362"/>
      <c r="FH4362"/>
      <c r="FI4362"/>
      <c r="FJ4362"/>
      <c r="FK4362"/>
      <c r="FL4362"/>
      <c r="FM4362"/>
      <c r="FN4362"/>
      <c r="FO4362"/>
      <c r="FP4362"/>
      <c r="FQ4362"/>
      <c r="FR4362"/>
      <c r="FS4362"/>
      <c r="FT4362"/>
      <c r="FU4362"/>
      <c r="FV4362"/>
      <c r="FW4362"/>
      <c r="FX4362"/>
      <c r="FY4362"/>
      <c r="FZ4362"/>
      <c r="GA4362"/>
      <c r="GB4362"/>
      <c r="GC4362"/>
      <c r="GD4362"/>
      <c r="GE4362"/>
      <c r="GF4362"/>
      <c r="GG4362"/>
      <c r="GH4362"/>
      <c r="GI4362"/>
      <c r="GJ4362"/>
      <c r="GK4362"/>
      <c r="GL4362"/>
      <c r="GM4362"/>
      <c r="GN4362"/>
      <c r="GO4362"/>
    </row>
    <row r="4363" spans="107:197">
      <c r="DC4363"/>
      <c r="FH4363"/>
      <c r="FI4363"/>
      <c r="FJ4363"/>
      <c r="FK4363"/>
      <c r="FL4363"/>
      <c r="FM4363"/>
      <c r="FN4363"/>
      <c r="FO4363"/>
      <c r="FP4363"/>
      <c r="FQ4363"/>
      <c r="FR4363"/>
      <c r="FS4363"/>
      <c r="FT4363"/>
      <c r="FU4363"/>
      <c r="FV4363"/>
      <c r="FW4363"/>
      <c r="FX4363"/>
      <c r="FY4363"/>
      <c r="FZ4363"/>
      <c r="GA4363"/>
      <c r="GB4363"/>
      <c r="GC4363"/>
      <c r="GD4363"/>
      <c r="GE4363"/>
      <c r="GF4363"/>
      <c r="GG4363"/>
      <c r="GH4363"/>
      <c r="GI4363"/>
      <c r="GJ4363"/>
      <c r="GK4363"/>
      <c r="GL4363"/>
      <c r="GM4363"/>
      <c r="GN4363"/>
      <c r="GO4363"/>
    </row>
    <row r="4364" spans="107:197">
      <c r="DC4364"/>
      <c r="FH4364"/>
      <c r="FI4364"/>
      <c r="FJ4364"/>
      <c r="FK4364"/>
      <c r="FL4364"/>
      <c r="FM4364"/>
      <c r="FN4364"/>
      <c r="FO4364"/>
      <c r="FP4364"/>
      <c r="FQ4364"/>
      <c r="FR4364"/>
      <c r="FS4364"/>
      <c r="FT4364"/>
      <c r="FU4364"/>
      <c r="FV4364"/>
      <c r="FW4364"/>
      <c r="FX4364"/>
      <c r="FY4364"/>
      <c r="FZ4364"/>
      <c r="GA4364"/>
      <c r="GB4364"/>
      <c r="GC4364"/>
      <c r="GD4364"/>
      <c r="GE4364"/>
      <c r="GF4364"/>
      <c r="GG4364"/>
      <c r="GH4364"/>
      <c r="GI4364"/>
      <c r="GJ4364"/>
      <c r="GK4364"/>
      <c r="GL4364"/>
      <c r="GM4364"/>
      <c r="GN4364"/>
      <c r="GO4364"/>
    </row>
    <row r="4365" spans="107:197">
      <c r="DC4365"/>
      <c r="FH4365"/>
      <c r="FI4365"/>
      <c r="FJ4365"/>
      <c r="FK4365"/>
      <c r="FL4365"/>
      <c r="FM4365"/>
      <c r="FN4365"/>
      <c r="FO4365"/>
      <c r="FP4365"/>
      <c r="FQ4365"/>
      <c r="FR4365"/>
      <c r="FS4365"/>
      <c r="FT4365"/>
      <c r="FU4365"/>
      <c r="FV4365"/>
      <c r="FW4365"/>
      <c r="FX4365"/>
      <c r="FY4365"/>
      <c r="FZ4365"/>
      <c r="GA4365"/>
      <c r="GB4365"/>
      <c r="GC4365"/>
      <c r="GD4365"/>
      <c r="GE4365"/>
      <c r="GF4365"/>
      <c r="GG4365"/>
      <c r="GH4365"/>
      <c r="GI4365"/>
      <c r="GJ4365"/>
      <c r="GK4365"/>
      <c r="GL4365"/>
      <c r="GM4365"/>
      <c r="GN4365"/>
      <c r="GO4365"/>
    </row>
    <row r="4366" spans="107:197">
      <c r="DC4366"/>
      <c r="FH4366"/>
      <c r="FI4366"/>
      <c r="FJ4366"/>
      <c r="FK4366"/>
      <c r="FL4366"/>
      <c r="FM4366"/>
      <c r="FN4366"/>
      <c r="FO4366"/>
      <c r="FP4366"/>
      <c r="FQ4366"/>
      <c r="FR4366"/>
      <c r="FS4366"/>
      <c r="FT4366"/>
      <c r="FU4366"/>
      <c r="FV4366"/>
      <c r="FW4366"/>
      <c r="FX4366"/>
      <c r="FY4366"/>
      <c r="FZ4366"/>
      <c r="GA4366"/>
      <c r="GB4366"/>
      <c r="GC4366"/>
      <c r="GD4366"/>
      <c r="GE4366"/>
      <c r="GF4366"/>
      <c r="GG4366"/>
      <c r="GH4366"/>
      <c r="GI4366"/>
      <c r="GJ4366"/>
      <c r="GK4366"/>
      <c r="GL4366"/>
      <c r="GM4366"/>
      <c r="GN4366"/>
      <c r="GO4366"/>
    </row>
    <row r="4367" spans="107:197">
      <c r="DC4367"/>
      <c r="FH4367"/>
      <c r="FI4367"/>
      <c r="FJ4367"/>
      <c r="FK4367"/>
      <c r="FL4367"/>
      <c r="FM4367"/>
      <c r="FN4367"/>
      <c r="FO4367"/>
      <c r="FP4367"/>
      <c r="FQ4367"/>
      <c r="FR4367"/>
      <c r="FS4367"/>
      <c r="FT4367"/>
      <c r="FU4367"/>
      <c r="FV4367"/>
      <c r="FW4367"/>
      <c r="FX4367"/>
      <c r="FY4367"/>
      <c r="FZ4367"/>
      <c r="GA4367"/>
      <c r="GB4367"/>
      <c r="GC4367"/>
      <c r="GD4367"/>
      <c r="GE4367"/>
      <c r="GF4367"/>
      <c r="GG4367"/>
      <c r="GH4367"/>
      <c r="GI4367"/>
      <c r="GJ4367"/>
      <c r="GK4367"/>
      <c r="GL4367"/>
      <c r="GM4367"/>
      <c r="GN4367"/>
      <c r="GO4367"/>
    </row>
    <row r="4368" spans="107:197">
      <c r="DC4368"/>
      <c r="FH4368"/>
      <c r="FI4368"/>
      <c r="FJ4368"/>
      <c r="FK4368"/>
      <c r="FL4368"/>
      <c r="FM4368"/>
      <c r="FN4368"/>
      <c r="FO4368"/>
      <c r="FP4368"/>
      <c r="FQ4368"/>
      <c r="FR4368"/>
      <c r="FS4368"/>
      <c r="FT4368"/>
      <c r="FU4368"/>
      <c r="FV4368"/>
      <c r="FW4368"/>
      <c r="FX4368"/>
      <c r="FY4368"/>
      <c r="FZ4368"/>
      <c r="GA4368"/>
      <c r="GB4368"/>
      <c r="GC4368"/>
      <c r="GD4368"/>
      <c r="GE4368"/>
      <c r="GF4368"/>
      <c r="GG4368"/>
      <c r="GH4368"/>
      <c r="GI4368"/>
      <c r="GJ4368"/>
      <c r="GK4368"/>
      <c r="GL4368"/>
      <c r="GM4368"/>
      <c r="GN4368"/>
      <c r="GO4368"/>
    </row>
    <row r="4369" spans="107:197">
      <c r="DC4369"/>
      <c r="FH4369"/>
      <c r="FI4369"/>
      <c r="FJ4369"/>
      <c r="FK4369"/>
      <c r="FL4369"/>
      <c r="FM4369"/>
      <c r="FN4369"/>
      <c r="FO4369"/>
      <c r="FP4369"/>
      <c r="FQ4369"/>
      <c r="FR4369"/>
      <c r="FS4369"/>
      <c r="FT4369"/>
      <c r="FU4369"/>
      <c r="FV4369"/>
      <c r="FW4369"/>
      <c r="FX4369"/>
      <c r="FY4369"/>
      <c r="FZ4369"/>
      <c r="GA4369"/>
      <c r="GB4369"/>
      <c r="GC4369"/>
      <c r="GD4369"/>
      <c r="GE4369"/>
      <c r="GF4369"/>
      <c r="GG4369"/>
      <c r="GH4369"/>
      <c r="GI4369"/>
      <c r="GJ4369"/>
      <c r="GK4369"/>
      <c r="GL4369"/>
      <c r="GM4369"/>
      <c r="GN4369"/>
      <c r="GO4369"/>
    </row>
    <row r="4370" spans="107:197">
      <c r="DC4370"/>
      <c r="FH4370"/>
      <c r="FI4370"/>
      <c r="FJ4370"/>
      <c r="FK4370"/>
      <c r="FL4370"/>
      <c r="FM4370"/>
      <c r="FN4370"/>
      <c r="FO4370"/>
      <c r="FP4370"/>
      <c r="FQ4370"/>
      <c r="FR4370"/>
      <c r="FS4370"/>
      <c r="FT4370"/>
      <c r="FU4370"/>
      <c r="FV4370"/>
      <c r="FW4370"/>
      <c r="FX4370"/>
      <c r="FY4370"/>
      <c r="FZ4370"/>
      <c r="GA4370"/>
      <c r="GB4370"/>
      <c r="GC4370"/>
      <c r="GD4370"/>
      <c r="GE4370"/>
      <c r="GF4370"/>
      <c r="GG4370"/>
      <c r="GH4370"/>
      <c r="GI4370"/>
      <c r="GJ4370"/>
      <c r="GK4370"/>
      <c r="GL4370"/>
      <c r="GM4370"/>
      <c r="GN4370"/>
      <c r="GO4370"/>
    </row>
    <row r="4371" spans="107:197">
      <c r="DC4371"/>
      <c r="FH4371"/>
      <c r="FI4371"/>
      <c r="FJ4371"/>
      <c r="FK4371"/>
      <c r="FL4371"/>
      <c r="FM4371"/>
      <c r="FN4371"/>
      <c r="FO4371"/>
      <c r="FP4371"/>
      <c r="FQ4371"/>
      <c r="FR4371"/>
      <c r="FS4371"/>
      <c r="FT4371"/>
      <c r="FU4371"/>
      <c r="FV4371"/>
      <c r="FW4371"/>
      <c r="FX4371"/>
      <c r="FY4371"/>
      <c r="FZ4371"/>
      <c r="GA4371"/>
      <c r="GB4371"/>
      <c r="GC4371"/>
      <c r="GD4371"/>
      <c r="GE4371"/>
      <c r="GF4371"/>
      <c r="GG4371"/>
      <c r="GH4371"/>
      <c r="GI4371"/>
      <c r="GJ4371"/>
      <c r="GK4371"/>
      <c r="GL4371"/>
      <c r="GM4371"/>
      <c r="GN4371"/>
      <c r="GO4371"/>
    </row>
    <row r="4372" spans="107:197">
      <c r="DC4372"/>
      <c r="FH4372"/>
      <c r="FI4372"/>
      <c r="FJ4372"/>
      <c r="FK4372"/>
      <c r="FL4372"/>
      <c r="FM4372"/>
      <c r="FN4372"/>
      <c r="FO4372"/>
      <c r="FP4372"/>
      <c r="FQ4372"/>
      <c r="FR4372"/>
      <c r="FS4372"/>
      <c r="FT4372"/>
      <c r="FU4372"/>
      <c r="FV4372"/>
      <c r="FW4372"/>
      <c r="FX4372"/>
      <c r="FY4372"/>
      <c r="FZ4372"/>
      <c r="GA4372"/>
      <c r="GB4372"/>
      <c r="GC4372"/>
      <c r="GD4372"/>
      <c r="GE4372"/>
      <c r="GF4372"/>
      <c r="GG4372"/>
      <c r="GH4372"/>
      <c r="GI4372"/>
      <c r="GJ4372"/>
      <c r="GK4372"/>
      <c r="GL4372"/>
      <c r="GM4372"/>
      <c r="GN4372"/>
      <c r="GO4372"/>
    </row>
    <row r="4373" spans="107:197">
      <c r="DC4373"/>
      <c r="FH4373"/>
      <c r="FI4373"/>
      <c r="FJ4373"/>
      <c r="FK4373"/>
      <c r="FL4373"/>
      <c r="FM4373"/>
      <c r="FN4373"/>
      <c r="FO4373"/>
      <c r="FP4373"/>
      <c r="FQ4373"/>
      <c r="FR4373"/>
      <c r="FS4373"/>
      <c r="FT4373"/>
      <c r="FU4373"/>
      <c r="FV4373"/>
      <c r="FW4373"/>
      <c r="FX4373"/>
      <c r="FY4373"/>
      <c r="FZ4373"/>
      <c r="GA4373"/>
      <c r="GB4373"/>
      <c r="GC4373"/>
      <c r="GD4373"/>
      <c r="GE4373"/>
      <c r="GF4373"/>
      <c r="GG4373"/>
      <c r="GH4373"/>
      <c r="GI4373"/>
      <c r="GJ4373"/>
      <c r="GK4373"/>
      <c r="GL4373"/>
      <c r="GM4373"/>
      <c r="GN4373"/>
      <c r="GO4373"/>
    </row>
    <row r="4374" spans="107:197">
      <c r="DC4374"/>
      <c r="FH4374"/>
      <c r="FI4374"/>
      <c r="FJ4374"/>
      <c r="FK4374"/>
      <c r="FL4374"/>
      <c r="FM4374"/>
      <c r="FN4374"/>
      <c r="FO4374"/>
      <c r="FP4374"/>
      <c r="FQ4374"/>
      <c r="FR4374"/>
      <c r="FS4374"/>
      <c r="FT4374"/>
      <c r="FU4374"/>
      <c r="FV4374"/>
      <c r="FW4374"/>
      <c r="FX4374"/>
      <c r="FY4374"/>
      <c r="FZ4374"/>
      <c r="GA4374"/>
      <c r="GB4374"/>
      <c r="GC4374"/>
      <c r="GD4374"/>
      <c r="GE4374"/>
      <c r="GF4374"/>
      <c r="GG4374"/>
      <c r="GH4374"/>
      <c r="GI4374"/>
      <c r="GJ4374"/>
      <c r="GK4374"/>
      <c r="GL4374"/>
      <c r="GM4374"/>
      <c r="GN4374"/>
      <c r="GO4374"/>
    </row>
    <row r="4375" spans="107:197">
      <c r="DC4375"/>
      <c r="FH4375"/>
      <c r="FI4375"/>
      <c r="FJ4375"/>
      <c r="FK4375"/>
      <c r="FL4375"/>
      <c r="FM4375"/>
      <c r="FN4375"/>
      <c r="FO4375"/>
      <c r="FP4375"/>
      <c r="FQ4375"/>
      <c r="FR4375"/>
      <c r="FS4375"/>
      <c r="FT4375"/>
      <c r="FU4375"/>
      <c r="FV4375"/>
      <c r="FW4375"/>
      <c r="FX4375"/>
      <c r="FY4375"/>
      <c r="FZ4375"/>
      <c r="GA4375"/>
      <c r="GB4375"/>
      <c r="GC4375"/>
      <c r="GD4375"/>
      <c r="GE4375"/>
      <c r="GF4375"/>
      <c r="GG4375"/>
      <c r="GH4375"/>
      <c r="GI4375"/>
      <c r="GJ4375"/>
      <c r="GK4375"/>
      <c r="GL4375"/>
      <c r="GM4375"/>
      <c r="GN4375"/>
      <c r="GO4375"/>
    </row>
    <row r="4376" spans="107:197">
      <c r="DC4376"/>
      <c r="FH4376"/>
      <c r="FI4376"/>
      <c r="FJ4376"/>
      <c r="FK4376"/>
      <c r="FL4376"/>
      <c r="FM4376"/>
      <c r="FN4376"/>
      <c r="FO4376"/>
      <c r="FP4376"/>
      <c r="FQ4376"/>
      <c r="FR4376"/>
      <c r="FS4376"/>
      <c r="FT4376"/>
      <c r="FU4376"/>
      <c r="FV4376"/>
      <c r="FW4376"/>
      <c r="FX4376"/>
      <c r="FY4376"/>
      <c r="FZ4376"/>
      <c r="GA4376"/>
      <c r="GB4376"/>
      <c r="GC4376"/>
      <c r="GD4376"/>
      <c r="GE4376"/>
      <c r="GF4376"/>
      <c r="GG4376"/>
      <c r="GH4376"/>
      <c r="GI4376"/>
      <c r="GJ4376"/>
      <c r="GK4376"/>
      <c r="GL4376"/>
      <c r="GM4376"/>
      <c r="GN4376"/>
      <c r="GO4376"/>
    </row>
    <row r="4377" spans="107:197">
      <c r="DC4377"/>
      <c r="FH4377"/>
      <c r="FI4377"/>
      <c r="FJ4377"/>
      <c r="FK4377"/>
      <c r="FL4377"/>
      <c r="FM4377"/>
      <c r="FN4377"/>
      <c r="FO4377"/>
      <c r="FP4377"/>
      <c r="FQ4377"/>
      <c r="FR4377"/>
      <c r="FS4377"/>
      <c r="FT4377"/>
      <c r="FU4377"/>
      <c r="FV4377"/>
      <c r="FW4377"/>
      <c r="FX4377"/>
      <c r="FY4377"/>
      <c r="FZ4377"/>
      <c r="GA4377"/>
      <c r="GB4377"/>
      <c r="GC4377"/>
      <c r="GD4377"/>
      <c r="GE4377"/>
      <c r="GF4377"/>
      <c r="GG4377"/>
      <c r="GH4377"/>
      <c r="GI4377"/>
      <c r="GJ4377"/>
      <c r="GK4377"/>
      <c r="GL4377"/>
      <c r="GM4377"/>
      <c r="GN4377"/>
      <c r="GO4377"/>
    </row>
    <row r="4378" spans="107:197">
      <c r="DC4378"/>
      <c r="FH4378"/>
      <c r="FI4378"/>
      <c r="FJ4378"/>
      <c r="FK4378"/>
      <c r="FL4378"/>
      <c r="FM4378"/>
      <c r="FN4378"/>
      <c r="FO4378"/>
      <c r="FP4378"/>
      <c r="FQ4378"/>
      <c r="FR4378"/>
      <c r="FS4378"/>
      <c r="FT4378"/>
      <c r="FU4378"/>
      <c r="FV4378"/>
      <c r="FW4378"/>
      <c r="FX4378"/>
      <c r="FY4378"/>
      <c r="FZ4378"/>
      <c r="GA4378"/>
      <c r="GB4378"/>
      <c r="GC4378"/>
      <c r="GD4378"/>
      <c r="GE4378"/>
      <c r="GF4378"/>
      <c r="GG4378"/>
      <c r="GH4378"/>
      <c r="GI4378"/>
      <c r="GJ4378"/>
      <c r="GK4378"/>
      <c r="GL4378"/>
      <c r="GM4378"/>
      <c r="GN4378"/>
      <c r="GO4378"/>
    </row>
    <row r="4379" spans="107:197">
      <c r="DC4379"/>
      <c r="FH4379"/>
      <c r="FI4379"/>
      <c r="FJ4379"/>
      <c r="FK4379"/>
      <c r="FL4379"/>
      <c r="FM4379"/>
      <c r="FN4379"/>
      <c r="FO4379"/>
      <c r="FP4379"/>
      <c r="FQ4379"/>
      <c r="FR4379"/>
      <c r="FS4379"/>
      <c r="FT4379"/>
      <c r="FU4379"/>
      <c r="FV4379"/>
      <c r="FW4379"/>
      <c r="FX4379"/>
      <c r="FY4379"/>
      <c r="FZ4379"/>
      <c r="GA4379"/>
      <c r="GB4379"/>
      <c r="GC4379"/>
      <c r="GD4379"/>
      <c r="GE4379"/>
      <c r="GF4379"/>
      <c r="GG4379"/>
      <c r="GH4379"/>
      <c r="GI4379"/>
      <c r="GJ4379"/>
      <c r="GK4379"/>
      <c r="GL4379"/>
      <c r="GM4379"/>
      <c r="GN4379"/>
      <c r="GO4379"/>
    </row>
    <row r="4380" spans="107:197">
      <c r="DC4380"/>
      <c r="FH4380"/>
      <c r="FI4380"/>
      <c r="FJ4380"/>
      <c r="FK4380"/>
      <c r="FL4380"/>
      <c r="FM4380"/>
      <c r="FN4380"/>
      <c r="FO4380"/>
      <c r="FP4380"/>
      <c r="FQ4380"/>
      <c r="FR4380"/>
      <c r="FS4380"/>
      <c r="FT4380"/>
      <c r="FU4380"/>
      <c r="FV4380"/>
      <c r="FW4380"/>
      <c r="FX4380"/>
      <c r="FY4380"/>
      <c r="FZ4380"/>
      <c r="GA4380"/>
      <c r="GB4380"/>
      <c r="GC4380"/>
      <c r="GD4380"/>
      <c r="GE4380"/>
      <c r="GF4380"/>
      <c r="GG4380"/>
      <c r="GH4380"/>
      <c r="GI4380"/>
      <c r="GJ4380"/>
      <c r="GK4380"/>
      <c r="GL4380"/>
      <c r="GM4380"/>
      <c r="GN4380"/>
      <c r="GO4380"/>
    </row>
    <row r="4381" spans="107:197">
      <c r="DC4381"/>
      <c r="FH4381"/>
      <c r="FI4381"/>
      <c r="FJ4381"/>
      <c r="FK4381"/>
      <c r="FL4381"/>
      <c r="FM4381"/>
      <c r="FN4381"/>
      <c r="FO4381"/>
      <c r="FP4381"/>
      <c r="FQ4381"/>
      <c r="FR4381"/>
      <c r="FS4381"/>
      <c r="FT4381"/>
      <c r="FU4381"/>
      <c r="FV4381"/>
      <c r="FW4381"/>
      <c r="FX4381"/>
      <c r="FY4381"/>
      <c r="FZ4381"/>
      <c r="GA4381"/>
      <c r="GB4381"/>
      <c r="GC4381"/>
      <c r="GD4381"/>
      <c r="GE4381"/>
      <c r="GF4381"/>
      <c r="GG4381"/>
      <c r="GH4381"/>
      <c r="GI4381"/>
      <c r="GJ4381"/>
      <c r="GK4381"/>
      <c r="GL4381"/>
      <c r="GM4381"/>
      <c r="GN4381"/>
      <c r="GO4381"/>
    </row>
    <row r="4382" spans="107:197">
      <c r="DC4382"/>
      <c r="FH4382"/>
      <c r="FI4382"/>
      <c r="FJ4382"/>
      <c r="FK4382"/>
      <c r="FL4382"/>
      <c r="FM4382"/>
      <c r="FN4382"/>
      <c r="FO4382"/>
      <c r="FP4382"/>
      <c r="FQ4382"/>
      <c r="FR4382"/>
      <c r="FS4382"/>
      <c r="FT4382"/>
      <c r="FU4382"/>
      <c r="FV4382"/>
      <c r="FW4382"/>
      <c r="FX4382"/>
      <c r="FY4382"/>
      <c r="FZ4382"/>
      <c r="GA4382"/>
      <c r="GB4382"/>
      <c r="GC4382"/>
      <c r="GD4382"/>
      <c r="GE4382"/>
      <c r="GF4382"/>
      <c r="GG4382"/>
      <c r="GH4382"/>
      <c r="GI4382"/>
      <c r="GJ4382"/>
      <c r="GK4382"/>
      <c r="GL4382"/>
      <c r="GM4382"/>
      <c r="GN4382"/>
      <c r="GO4382"/>
    </row>
    <row r="4383" spans="107:197">
      <c r="DC4383"/>
      <c r="FH4383"/>
      <c r="FI4383"/>
      <c r="FJ4383"/>
      <c r="FK4383"/>
      <c r="FL4383"/>
      <c r="FM4383"/>
      <c r="FN4383"/>
      <c r="FO4383"/>
      <c r="FP4383"/>
      <c r="FQ4383"/>
      <c r="FR4383"/>
      <c r="FS4383"/>
      <c r="FT4383"/>
      <c r="FU4383"/>
      <c r="FV4383"/>
      <c r="FW4383"/>
      <c r="FX4383"/>
      <c r="FY4383"/>
      <c r="FZ4383"/>
      <c r="GA4383"/>
      <c r="GB4383"/>
      <c r="GC4383"/>
      <c r="GD4383"/>
      <c r="GE4383"/>
      <c r="GF4383"/>
      <c r="GG4383"/>
      <c r="GH4383"/>
      <c r="GI4383"/>
      <c r="GJ4383"/>
      <c r="GK4383"/>
      <c r="GL4383"/>
      <c r="GM4383"/>
      <c r="GN4383"/>
      <c r="GO4383"/>
    </row>
    <row r="4384" spans="107:197">
      <c r="DC4384"/>
      <c r="FH4384"/>
      <c r="FI4384"/>
      <c r="FJ4384"/>
      <c r="FK4384"/>
      <c r="FL4384"/>
      <c r="FM4384"/>
      <c r="FN4384"/>
      <c r="FO4384"/>
      <c r="FP4384"/>
      <c r="FQ4384"/>
      <c r="FR4384"/>
      <c r="FS4384"/>
      <c r="FT4384"/>
      <c r="FU4384"/>
      <c r="FV4384"/>
      <c r="FW4384"/>
      <c r="FX4384"/>
      <c r="FY4384"/>
      <c r="FZ4384"/>
      <c r="GA4384"/>
      <c r="GB4384"/>
      <c r="GC4384"/>
      <c r="GD4384"/>
      <c r="GE4384"/>
      <c r="GF4384"/>
      <c r="GG4384"/>
      <c r="GH4384"/>
      <c r="GI4384"/>
      <c r="GJ4384"/>
      <c r="GK4384"/>
      <c r="GL4384"/>
      <c r="GM4384"/>
      <c r="GN4384"/>
      <c r="GO4384"/>
    </row>
    <row r="4385" spans="107:197">
      <c r="DC4385"/>
      <c r="FH4385"/>
      <c r="FI4385"/>
      <c r="FJ4385"/>
      <c r="FK4385"/>
      <c r="FL4385"/>
      <c r="FM4385"/>
      <c r="FN4385"/>
      <c r="FO4385"/>
      <c r="FP4385"/>
      <c r="FQ4385"/>
      <c r="FR4385"/>
      <c r="FS4385"/>
      <c r="FT4385"/>
      <c r="FU4385"/>
      <c r="FV4385"/>
      <c r="FW4385"/>
      <c r="FX4385"/>
      <c r="FY4385"/>
      <c r="FZ4385"/>
      <c r="GA4385"/>
      <c r="GB4385"/>
      <c r="GC4385"/>
      <c r="GD4385"/>
      <c r="GE4385"/>
      <c r="GF4385"/>
      <c r="GG4385"/>
      <c r="GH4385"/>
      <c r="GI4385"/>
      <c r="GJ4385"/>
      <c r="GK4385"/>
      <c r="GL4385"/>
      <c r="GM4385"/>
      <c r="GN4385"/>
      <c r="GO4385"/>
    </row>
    <row r="4386" spans="107:197">
      <c r="DC4386"/>
      <c r="FH4386"/>
      <c r="FI4386"/>
      <c r="FJ4386"/>
      <c r="FK4386"/>
      <c r="FL4386"/>
      <c r="FM4386"/>
      <c r="FN4386"/>
      <c r="FO4386"/>
      <c r="FP4386"/>
      <c r="FQ4386"/>
      <c r="FR4386"/>
      <c r="FS4386"/>
      <c r="FT4386"/>
      <c r="FU4386"/>
      <c r="FV4386"/>
      <c r="FW4386"/>
      <c r="FX4386"/>
      <c r="FY4386"/>
      <c r="FZ4386"/>
      <c r="GA4386"/>
      <c r="GB4386"/>
      <c r="GC4386"/>
      <c r="GD4386"/>
      <c r="GE4386"/>
      <c r="GF4386"/>
      <c r="GG4386"/>
      <c r="GH4386"/>
      <c r="GI4386"/>
      <c r="GJ4386"/>
      <c r="GK4386"/>
      <c r="GL4386"/>
      <c r="GM4386"/>
      <c r="GN4386"/>
      <c r="GO4386"/>
    </row>
    <row r="4387" spans="107:197">
      <c r="DC4387"/>
      <c r="FH4387"/>
      <c r="FI4387"/>
      <c r="FJ4387"/>
      <c r="FK4387"/>
      <c r="FL4387"/>
      <c r="FM4387"/>
      <c r="FN4387"/>
      <c r="FO4387"/>
      <c r="FP4387"/>
      <c r="FQ4387"/>
      <c r="FR4387"/>
      <c r="FS4387"/>
      <c r="FT4387"/>
      <c r="FU4387"/>
      <c r="FV4387"/>
      <c r="FW4387"/>
      <c r="FX4387"/>
      <c r="FY4387"/>
      <c r="FZ4387"/>
      <c r="GA4387"/>
      <c r="GB4387"/>
      <c r="GC4387"/>
      <c r="GD4387"/>
      <c r="GE4387"/>
      <c r="GF4387"/>
      <c r="GG4387"/>
      <c r="GH4387"/>
      <c r="GI4387"/>
      <c r="GJ4387"/>
      <c r="GK4387"/>
      <c r="GL4387"/>
      <c r="GM4387"/>
      <c r="GN4387"/>
      <c r="GO4387"/>
    </row>
    <row r="4388" spans="107:197">
      <c r="DC4388"/>
      <c r="FH4388"/>
      <c r="FI4388"/>
      <c r="FJ4388"/>
      <c r="FK4388"/>
      <c r="FL4388"/>
      <c r="FM4388"/>
      <c r="FN4388"/>
      <c r="FO4388"/>
      <c r="FP4388"/>
      <c r="FQ4388"/>
      <c r="FR4388"/>
      <c r="FS4388"/>
      <c r="FT4388"/>
      <c r="FU4388"/>
      <c r="FV4388"/>
      <c r="FW4388"/>
      <c r="FX4388"/>
      <c r="FY4388"/>
      <c r="FZ4388"/>
      <c r="GA4388"/>
      <c r="GB4388"/>
      <c r="GC4388"/>
      <c r="GD4388"/>
      <c r="GE4388"/>
      <c r="GF4388"/>
      <c r="GG4388"/>
      <c r="GH4388"/>
      <c r="GI4388"/>
      <c r="GJ4388"/>
      <c r="GK4388"/>
      <c r="GL4388"/>
      <c r="GM4388"/>
      <c r="GN4388"/>
      <c r="GO4388"/>
    </row>
    <row r="4389" spans="107:197">
      <c r="DC4389"/>
      <c r="FH4389"/>
      <c r="FI4389"/>
      <c r="FJ4389"/>
      <c r="FK4389"/>
      <c r="FL4389"/>
      <c r="FM4389"/>
      <c r="FN4389"/>
      <c r="FO4389"/>
      <c r="FP4389"/>
      <c r="FQ4389"/>
      <c r="FR4389"/>
      <c r="FS4389"/>
      <c r="FT4389"/>
      <c r="FU4389"/>
      <c r="FV4389"/>
      <c r="FW4389"/>
      <c r="FX4389"/>
      <c r="FY4389"/>
      <c r="FZ4389"/>
      <c r="GA4389"/>
      <c r="GB4389"/>
      <c r="GC4389"/>
      <c r="GD4389"/>
      <c r="GE4389"/>
      <c r="GF4389"/>
      <c r="GG4389"/>
      <c r="GH4389"/>
      <c r="GI4389"/>
      <c r="GJ4389"/>
      <c r="GK4389"/>
      <c r="GL4389"/>
      <c r="GM4389"/>
      <c r="GN4389"/>
      <c r="GO4389"/>
    </row>
    <row r="4390" spans="107:197">
      <c r="DC4390"/>
      <c r="FH4390"/>
      <c r="FI4390"/>
      <c r="FJ4390"/>
      <c r="FK4390"/>
      <c r="FL4390"/>
      <c r="FM4390"/>
      <c r="FN4390"/>
      <c r="FO4390"/>
      <c r="FP4390"/>
      <c r="FQ4390"/>
      <c r="FR4390"/>
      <c r="FS4390"/>
      <c r="FT4390"/>
      <c r="FU4390"/>
      <c r="FV4390"/>
      <c r="FW4390"/>
      <c r="FX4390"/>
      <c r="FY4390"/>
      <c r="FZ4390"/>
      <c r="GA4390"/>
      <c r="GB4390"/>
      <c r="GC4390"/>
      <c r="GD4390"/>
      <c r="GE4390"/>
      <c r="GF4390"/>
      <c r="GG4390"/>
      <c r="GH4390"/>
      <c r="GI4390"/>
      <c r="GJ4390"/>
      <c r="GK4390"/>
      <c r="GL4390"/>
      <c r="GM4390"/>
      <c r="GN4390"/>
      <c r="GO4390"/>
    </row>
    <row r="4391" spans="107:197">
      <c r="DC4391"/>
      <c r="FH4391"/>
      <c r="FI4391"/>
      <c r="FJ4391"/>
      <c r="FK4391"/>
      <c r="FL4391"/>
      <c r="FM4391"/>
      <c r="FN4391"/>
      <c r="FO4391"/>
      <c r="FP4391"/>
      <c r="FQ4391"/>
      <c r="FR4391"/>
      <c r="FS4391"/>
      <c r="FT4391"/>
      <c r="FU4391"/>
      <c r="FV4391"/>
      <c r="FW4391"/>
      <c r="FX4391"/>
      <c r="FY4391"/>
      <c r="FZ4391"/>
      <c r="GA4391"/>
      <c r="GB4391"/>
      <c r="GC4391"/>
      <c r="GD4391"/>
      <c r="GE4391"/>
      <c r="GF4391"/>
      <c r="GG4391"/>
      <c r="GH4391"/>
      <c r="GI4391"/>
      <c r="GJ4391"/>
      <c r="GK4391"/>
      <c r="GL4391"/>
      <c r="GM4391"/>
      <c r="GN4391"/>
      <c r="GO4391"/>
    </row>
    <row r="4392" spans="107:197">
      <c r="DC4392"/>
      <c r="FH4392"/>
      <c r="FI4392"/>
      <c r="FJ4392"/>
      <c r="FK4392"/>
      <c r="FL4392"/>
      <c r="FM4392"/>
      <c r="FN4392"/>
      <c r="FO4392"/>
      <c r="FP4392"/>
      <c r="FQ4392"/>
      <c r="FR4392"/>
      <c r="FS4392"/>
      <c r="FT4392"/>
      <c r="FU4392"/>
      <c r="FV4392"/>
      <c r="FW4392"/>
      <c r="FX4392"/>
      <c r="FY4392"/>
      <c r="FZ4392"/>
      <c r="GA4392"/>
      <c r="GB4392"/>
      <c r="GC4392"/>
      <c r="GD4392"/>
      <c r="GE4392"/>
      <c r="GF4392"/>
      <c r="GG4392"/>
      <c r="GH4392"/>
      <c r="GI4392"/>
      <c r="GJ4392"/>
      <c r="GK4392"/>
      <c r="GL4392"/>
      <c r="GM4392"/>
      <c r="GN4392"/>
      <c r="GO4392"/>
    </row>
    <row r="4393" spans="107:197">
      <c r="DC4393"/>
      <c r="FH4393"/>
      <c r="FI4393"/>
      <c r="FJ4393"/>
      <c r="FK4393"/>
      <c r="FL4393"/>
      <c r="FM4393"/>
      <c r="FN4393"/>
      <c r="FO4393"/>
      <c r="FP4393"/>
      <c r="FQ4393"/>
      <c r="FR4393"/>
      <c r="FS4393"/>
      <c r="FT4393"/>
      <c r="FU4393"/>
      <c r="FV4393"/>
      <c r="FW4393"/>
      <c r="FX4393"/>
      <c r="FY4393"/>
      <c r="FZ4393"/>
      <c r="GA4393"/>
      <c r="GB4393"/>
      <c r="GC4393"/>
      <c r="GD4393"/>
      <c r="GE4393"/>
      <c r="GF4393"/>
      <c r="GG4393"/>
      <c r="GH4393"/>
      <c r="GI4393"/>
      <c r="GJ4393"/>
      <c r="GK4393"/>
      <c r="GL4393"/>
      <c r="GM4393"/>
      <c r="GN4393"/>
      <c r="GO4393"/>
    </row>
    <row r="4394" spans="107:197">
      <c r="DC4394"/>
      <c r="FH4394"/>
      <c r="FI4394"/>
      <c r="FJ4394"/>
      <c r="FK4394"/>
      <c r="FL4394"/>
      <c r="FM4394"/>
      <c r="FN4394"/>
      <c r="FO4394"/>
      <c r="FP4394"/>
      <c r="FQ4394"/>
      <c r="FR4394"/>
      <c r="FS4394"/>
      <c r="FT4394"/>
      <c r="FU4394"/>
      <c r="FV4394"/>
      <c r="FW4394"/>
      <c r="FX4394"/>
      <c r="FY4394"/>
      <c r="FZ4394"/>
      <c r="GA4394"/>
      <c r="GB4394"/>
      <c r="GC4394"/>
      <c r="GD4394"/>
      <c r="GE4394"/>
      <c r="GF4394"/>
      <c r="GG4394"/>
      <c r="GH4394"/>
      <c r="GI4394"/>
      <c r="GJ4394"/>
      <c r="GK4394"/>
      <c r="GL4394"/>
      <c r="GM4394"/>
      <c r="GN4394"/>
      <c r="GO4394"/>
    </row>
    <row r="4395" spans="107:197">
      <c r="DC4395"/>
      <c r="FH4395"/>
      <c r="FI4395"/>
      <c r="FJ4395"/>
      <c r="FK4395"/>
      <c r="FL4395"/>
      <c r="FM4395"/>
      <c r="FN4395"/>
      <c r="FO4395"/>
      <c r="FP4395"/>
      <c r="FQ4395"/>
      <c r="FR4395"/>
      <c r="FS4395"/>
      <c r="FT4395"/>
      <c r="FU4395"/>
      <c r="FV4395"/>
      <c r="FW4395"/>
      <c r="FX4395"/>
      <c r="FY4395"/>
      <c r="FZ4395"/>
      <c r="GA4395"/>
      <c r="GB4395"/>
      <c r="GC4395"/>
      <c r="GD4395"/>
      <c r="GE4395"/>
      <c r="GF4395"/>
      <c r="GG4395"/>
      <c r="GH4395"/>
      <c r="GI4395"/>
      <c r="GJ4395"/>
      <c r="GK4395"/>
      <c r="GL4395"/>
      <c r="GM4395"/>
      <c r="GN4395"/>
      <c r="GO4395"/>
    </row>
    <row r="4396" spans="107:197">
      <c r="DC4396"/>
      <c r="FH4396"/>
      <c r="FI4396"/>
      <c r="FJ4396"/>
      <c r="FK4396"/>
      <c r="FL4396"/>
      <c r="FM4396"/>
      <c r="FN4396"/>
      <c r="FO4396"/>
      <c r="FP4396"/>
      <c r="FQ4396"/>
      <c r="FR4396"/>
      <c r="FS4396"/>
      <c r="FT4396"/>
      <c r="FU4396"/>
      <c r="FV4396"/>
      <c r="FW4396"/>
      <c r="FX4396"/>
      <c r="FY4396"/>
      <c r="FZ4396"/>
      <c r="GA4396"/>
      <c r="GB4396"/>
      <c r="GC4396"/>
      <c r="GD4396"/>
      <c r="GE4396"/>
      <c r="GF4396"/>
      <c r="GG4396"/>
      <c r="GH4396"/>
      <c r="GI4396"/>
      <c r="GJ4396"/>
      <c r="GK4396"/>
      <c r="GL4396"/>
      <c r="GM4396"/>
      <c r="GN4396"/>
      <c r="GO4396"/>
    </row>
    <row r="4397" spans="107:197">
      <c r="DC4397"/>
      <c r="FH4397"/>
      <c r="FI4397"/>
      <c r="FJ4397"/>
      <c r="FK4397"/>
      <c r="FL4397"/>
      <c r="FM4397"/>
      <c r="FN4397"/>
      <c r="FO4397"/>
      <c r="FP4397"/>
      <c r="FQ4397"/>
      <c r="FR4397"/>
      <c r="FS4397"/>
      <c r="FT4397"/>
      <c r="FU4397"/>
      <c r="FV4397"/>
      <c r="FW4397"/>
      <c r="FX4397"/>
      <c r="FY4397"/>
      <c r="FZ4397"/>
      <c r="GA4397"/>
      <c r="GB4397"/>
      <c r="GC4397"/>
      <c r="GD4397"/>
      <c r="GE4397"/>
      <c r="GF4397"/>
      <c r="GG4397"/>
      <c r="GH4397"/>
      <c r="GI4397"/>
      <c r="GJ4397"/>
      <c r="GK4397"/>
      <c r="GL4397"/>
      <c r="GM4397"/>
      <c r="GN4397"/>
      <c r="GO4397"/>
    </row>
    <row r="4398" spans="107:197">
      <c r="DC4398"/>
      <c r="FH4398"/>
      <c r="FI4398"/>
      <c r="FJ4398"/>
      <c r="FK4398"/>
      <c r="FL4398"/>
      <c r="FM4398"/>
      <c r="FN4398"/>
      <c r="FO4398"/>
      <c r="FP4398"/>
      <c r="FQ4398"/>
      <c r="FR4398"/>
      <c r="FS4398"/>
      <c r="FT4398"/>
      <c r="FU4398"/>
      <c r="FV4398"/>
      <c r="FW4398"/>
      <c r="FX4398"/>
      <c r="FY4398"/>
      <c r="FZ4398"/>
      <c r="GA4398"/>
      <c r="GB4398"/>
      <c r="GC4398"/>
      <c r="GD4398"/>
      <c r="GE4398"/>
      <c r="GF4398"/>
      <c r="GG4398"/>
      <c r="GH4398"/>
      <c r="GI4398"/>
      <c r="GJ4398"/>
      <c r="GK4398"/>
      <c r="GL4398"/>
      <c r="GM4398"/>
      <c r="GN4398"/>
      <c r="GO4398"/>
    </row>
    <row r="4399" spans="107:197">
      <c r="DC4399"/>
      <c r="FH4399"/>
      <c r="FI4399"/>
      <c r="FJ4399"/>
      <c r="FK4399"/>
      <c r="FL4399"/>
      <c r="FM4399"/>
      <c r="FN4399"/>
      <c r="FO4399"/>
      <c r="FP4399"/>
      <c r="FQ4399"/>
      <c r="FR4399"/>
      <c r="FS4399"/>
      <c r="FT4399"/>
      <c r="FU4399"/>
      <c r="FV4399"/>
      <c r="FW4399"/>
      <c r="FX4399"/>
      <c r="FY4399"/>
      <c r="FZ4399"/>
      <c r="GA4399"/>
      <c r="GB4399"/>
      <c r="GC4399"/>
      <c r="GD4399"/>
      <c r="GE4399"/>
      <c r="GF4399"/>
      <c r="GG4399"/>
      <c r="GH4399"/>
      <c r="GI4399"/>
      <c r="GJ4399"/>
      <c r="GK4399"/>
      <c r="GL4399"/>
      <c r="GM4399"/>
      <c r="GN4399"/>
      <c r="GO4399"/>
    </row>
    <row r="4400" spans="107:197">
      <c r="DC4400"/>
      <c r="FH4400"/>
      <c r="FI4400"/>
      <c r="FJ4400"/>
      <c r="FK4400"/>
      <c r="FL4400"/>
      <c r="FM4400"/>
      <c r="FN4400"/>
      <c r="FO4400"/>
      <c r="FP4400"/>
      <c r="FQ4400"/>
      <c r="FR4400"/>
      <c r="FS4400"/>
      <c r="FT4400"/>
      <c r="FU4400"/>
      <c r="FV4400"/>
      <c r="FW4400"/>
      <c r="FX4400"/>
      <c r="FY4400"/>
      <c r="FZ4400"/>
      <c r="GA4400"/>
      <c r="GB4400"/>
      <c r="GC4400"/>
      <c r="GD4400"/>
      <c r="GE4400"/>
      <c r="GF4400"/>
      <c r="GG4400"/>
      <c r="GH4400"/>
      <c r="GI4400"/>
      <c r="GJ4400"/>
      <c r="GK4400"/>
      <c r="GL4400"/>
      <c r="GM4400"/>
      <c r="GN4400"/>
      <c r="GO4400"/>
    </row>
    <row r="4401" spans="107:197">
      <c r="DC4401"/>
      <c r="FH4401"/>
      <c r="FI4401"/>
      <c r="FJ4401"/>
      <c r="FK4401"/>
      <c r="FL4401"/>
      <c r="FM4401"/>
      <c r="FN4401"/>
      <c r="FO4401"/>
      <c r="FP4401"/>
      <c r="FQ4401"/>
      <c r="FR4401"/>
      <c r="FS4401"/>
      <c r="FT4401"/>
      <c r="FU4401"/>
      <c r="FV4401"/>
      <c r="FW4401"/>
      <c r="FX4401"/>
      <c r="FY4401"/>
      <c r="FZ4401"/>
      <c r="GA4401"/>
      <c r="GB4401"/>
      <c r="GC4401"/>
      <c r="GD4401"/>
      <c r="GE4401"/>
      <c r="GF4401"/>
      <c r="GG4401"/>
      <c r="GH4401"/>
      <c r="GI4401"/>
      <c r="GJ4401"/>
      <c r="GK4401"/>
      <c r="GL4401"/>
      <c r="GM4401"/>
      <c r="GN4401"/>
      <c r="GO4401"/>
    </row>
    <row r="4402" spans="107:197">
      <c r="DC4402"/>
      <c r="FH4402"/>
      <c r="FI4402"/>
      <c r="FJ4402"/>
      <c r="FK4402"/>
      <c r="FL4402"/>
      <c r="FM4402"/>
      <c r="FN4402"/>
      <c r="FO4402"/>
      <c r="FP4402"/>
      <c r="FQ4402"/>
      <c r="FR4402"/>
      <c r="FS4402"/>
      <c r="FT4402"/>
      <c r="FU4402"/>
      <c r="FV4402"/>
      <c r="FW4402"/>
      <c r="FX4402"/>
      <c r="FY4402"/>
      <c r="FZ4402"/>
      <c r="GA4402"/>
      <c r="GB4402"/>
      <c r="GC4402"/>
      <c r="GD4402"/>
      <c r="GE4402"/>
      <c r="GF4402"/>
      <c r="GG4402"/>
      <c r="GH4402"/>
      <c r="GI4402"/>
      <c r="GJ4402"/>
      <c r="GK4402"/>
      <c r="GL4402"/>
      <c r="GM4402"/>
      <c r="GN4402"/>
      <c r="GO4402"/>
    </row>
    <row r="4403" spans="107:197">
      <c r="DC4403"/>
      <c r="FH4403"/>
      <c r="FI4403"/>
      <c r="FJ4403"/>
      <c r="FK4403"/>
      <c r="FL4403"/>
      <c r="FM4403"/>
      <c r="FN4403"/>
      <c r="FO4403"/>
      <c r="FP4403"/>
      <c r="FQ4403"/>
      <c r="FR4403"/>
      <c r="FS4403"/>
      <c r="FT4403"/>
      <c r="FU4403"/>
      <c r="FV4403"/>
      <c r="FW4403"/>
      <c r="FX4403"/>
      <c r="FY4403"/>
      <c r="FZ4403"/>
      <c r="GA4403"/>
      <c r="GB4403"/>
      <c r="GC4403"/>
      <c r="GD4403"/>
      <c r="GE4403"/>
      <c r="GF4403"/>
      <c r="GG4403"/>
      <c r="GH4403"/>
      <c r="GI4403"/>
      <c r="GJ4403"/>
      <c r="GK4403"/>
      <c r="GL4403"/>
      <c r="GM4403"/>
      <c r="GN4403"/>
      <c r="GO4403"/>
    </row>
    <row r="4404" spans="107:197">
      <c r="DC4404"/>
      <c r="FH4404"/>
      <c r="FI4404"/>
      <c r="FJ4404"/>
      <c r="FK4404"/>
      <c r="FL4404"/>
      <c r="FM4404"/>
      <c r="FN4404"/>
      <c r="FO4404"/>
      <c r="FP4404"/>
      <c r="FQ4404"/>
      <c r="FR4404"/>
      <c r="FS4404"/>
      <c r="FT4404"/>
      <c r="FU4404"/>
      <c r="FV4404"/>
      <c r="FW4404"/>
      <c r="FX4404"/>
      <c r="FY4404"/>
      <c r="FZ4404"/>
      <c r="GA4404"/>
      <c r="GB4404"/>
      <c r="GC4404"/>
      <c r="GD4404"/>
      <c r="GE4404"/>
      <c r="GF4404"/>
      <c r="GG4404"/>
      <c r="GH4404"/>
      <c r="GI4404"/>
      <c r="GJ4404"/>
      <c r="GK4404"/>
      <c r="GL4404"/>
      <c r="GM4404"/>
      <c r="GN4404"/>
      <c r="GO4404"/>
    </row>
    <row r="4405" spans="107:197">
      <c r="DC4405"/>
      <c r="FH4405"/>
      <c r="FI4405"/>
      <c r="FJ4405"/>
      <c r="FK4405"/>
      <c r="FL4405"/>
      <c r="FM4405"/>
      <c r="FN4405"/>
      <c r="FO4405"/>
      <c r="FP4405"/>
      <c r="FQ4405"/>
      <c r="FR4405"/>
      <c r="FS4405"/>
      <c r="FT4405"/>
      <c r="FU4405"/>
      <c r="FV4405"/>
      <c r="FW4405"/>
      <c r="FX4405"/>
      <c r="FY4405"/>
      <c r="FZ4405"/>
      <c r="GA4405"/>
      <c r="GB4405"/>
      <c r="GC4405"/>
      <c r="GD4405"/>
      <c r="GE4405"/>
      <c r="GF4405"/>
      <c r="GG4405"/>
      <c r="GH4405"/>
      <c r="GI4405"/>
      <c r="GJ4405"/>
      <c r="GK4405"/>
      <c r="GL4405"/>
      <c r="GM4405"/>
      <c r="GN4405"/>
      <c r="GO4405"/>
    </row>
    <row r="4406" spans="107:197">
      <c r="DC4406"/>
      <c r="FH4406"/>
      <c r="FI4406"/>
      <c r="FJ4406"/>
      <c r="FK4406"/>
      <c r="FL4406"/>
      <c r="FM4406"/>
      <c r="FN4406"/>
      <c r="FO4406"/>
      <c r="FP4406"/>
      <c r="FQ4406"/>
      <c r="FR4406"/>
      <c r="FS4406"/>
      <c r="FT4406"/>
      <c r="FU4406"/>
      <c r="FV4406"/>
      <c r="FW4406"/>
      <c r="FX4406"/>
      <c r="FY4406"/>
      <c r="FZ4406"/>
      <c r="GA4406"/>
      <c r="GB4406"/>
      <c r="GC4406"/>
      <c r="GD4406"/>
      <c r="GE4406"/>
      <c r="GF4406"/>
      <c r="GG4406"/>
      <c r="GH4406"/>
      <c r="GI4406"/>
      <c r="GJ4406"/>
      <c r="GK4406"/>
      <c r="GL4406"/>
      <c r="GM4406"/>
      <c r="GN4406"/>
      <c r="GO4406"/>
    </row>
    <row r="4407" spans="107:197">
      <c r="DC4407"/>
      <c r="FH4407"/>
      <c r="FI4407"/>
      <c r="FJ4407"/>
      <c r="FK4407"/>
      <c r="FL4407"/>
      <c r="FM4407"/>
      <c r="FN4407"/>
      <c r="FO4407"/>
      <c r="FP4407"/>
      <c r="FQ4407"/>
      <c r="FR4407"/>
      <c r="FS4407"/>
      <c r="FT4407"/>
      <c r="FU4407"/>
      <c r="FV4407"/>
      <c r="FW4407"/>
      <c r="FX4407"/>
      <c r="FY4407"/>
      <c r="FZ4407"/>
      <c r="GA4407"/>
      <c r="GB4407"/>
      <c r="GC4407"/>
      <c r="GD4407"/>
      <c r="GE4407"/>
      <c r="GF4407"/>
      <c r="GG4407"/>
      <c r="GH4407"/>
      <c r="GI4407"/>
      <c r="GJ4407"/>
      <c r="GK4407"/>
      <c r="GL4407"/>
      <c r="GM4407"/>
      <c r="GN4407"/>
      <c r="GO4407"/>
    </row>
    <row r="4408" spans="107:197">
      <c r="DC4408"/>
      <c r="FH4408"/>
      <c r="FI4408"/>
      <c r="FJ4408"/>
      <c r="FK4408"/>
      <c r="FL4408"/>
      <c r="FM4408"/>
      <c r="FN4408"/>
      <c r="FO4408"/>
      <c r="FP4408"/>
      <c r="FQ4408"/>
      <c r="FR4408"/>
      <c r="FS4408"/>
      <c r="FT4408"/>
      <c r="FU4408"/>
      <c r="FV4408"/>
      <c r="FW4408"/>
      <c r="FX4408"/>
      <c r="FY4408"/>
      <c r="FZ4408"/>
      <c r="GA4408"/>
      <c r="GB4408"/>
      <c r="GC4408"/>
      <c r="GD4408"/>
      <c r="GE4408"/>
      <c r="GF4408"/>
      <c r="GG4408"/>
      <c r="GH4408"/>
      <c r="GI4408"/>
      <c r="GJ4408"/>
      <c r="GK4408"/>
      <c r="GL4408"/>
      <c r="GM4408"/>
      <c r="GN4408"/>
      <c r="GO4408"/>
    </row>
    <row r="4409" spans="107:197">
      <c r="DC4409"/>
      <c r="FH4409"/>
      <c r="FI4409"/>
      <c r="FJ4409"/>
      <c r="FK4409"/>
      <c r="FL4409"/>
      <c r="FM4409"/>
      <c r="FN4409"/>
      <c r="FO4409"/>
      <c r="FP4409"/>
      <c r="FQ4409"/>
      <c r="FR4409"/>
      <c r="FS4409"/>
      <c r="FT4409"/>
      <c r="FU4409"/>
      <c r="FV4409"/>
      <c r="FW4409"/>
      <c r="FX4409"/>
      <c r="FY4409"/>
      <c r="FZ4409"/>
      <c r="GA4409"/>
      <c r="GB4409"/>
      <c r="GC4409"/>
      <c r="GD4409"/>
      <c r="GE4409"/>
      <c r="GF4409"/>
      <c r="GG4409"/>
      <c r="GH4409"/>
      <c r="GI4409"/>
      <c r="GJ4409"/>
      <c r="GK4409"/>
      <c r="GL4409"/>
      <c r="GM4409"/>
      <c r="GN4409"/>
      <c r="GO4409"/>
    </row>
    <row r="4410" spans="107:197">
      <c r="DC4410"/>
      <c r="FH4410"/>
      <c r="FI4410"/>
      <c r="FJ4410"/>
      <c r="FK4410"/>
      <c r="FL4410"/>
      <c r="FM4410"/>
      <c r="FN4410"/>
      <c r="FO4410"/>
      <c r="FP4410"/>
      <c r="FQ4410"/>
      <c r="FR4410"/>
      <c r="FS4410"/>
      <c r="FT4410"/>
      <c r="FU4410"/>
      <c r="FV4410"/>
      <c r="FW4410"/>
      <c r="FX4410"/>
      <c r="FY4410"/>
      <c r="FZ4410"/>
      <c r="GA4410"/>
      <c r="GB4410"/>
      <c r="GC4410"/>
      <c r="GD4410"/>
      <c r="GE4410"/>
      <c r="GF4410"/>
      <c r="GG4410"/>
      <c r="GH4410"/>
      <c r="GI4410"/>
      <c r="GJ4410"/>
      <c r="GK4410"/>
      <c r="GL4410"/>
      <c r="GM4410"/>
      <c r="GN4410"/>
      <c r="GO4410"/>
    </row>
    <row r="4411" spans="107:197">
      <c r="DC4411"/>
      <c r="FH4411"/>
      <c r="FI4411"/>
      <c r="FJ4411"/>
      <c r="FK4411"/>
      <c r="FL4411"/>
      <c r="FM4411"/>
      <c r="FN4411"/>
      <c r="FO4411"/>
      <c r="FP4411"/>
      <c r="FQ4411"/>
      <c r="FR4411"/>
      <c r="FS4411"/>
      <c r="FT4411"/>
      <c r="FU4411"/>
      <c r="FV4411"/>
      <c r="FW4411"/>
      <c r="FX4411"/>
      <c r="FY4411"/>
      <c r="FZ4411"/>
      <c r="GA4411"/>
      <c r="GB4411"/>
      <c r="GC4411"/>
      <c r="GD4411"/>
      <c r="GE4411"/>
      <c r="GF4411"/>
      <c r="GG4411"/>
      <c r="GH4411"/>
      <c r="GI4411"/>
      <c r="GJ4411"/>
      <c r="GK4411"/>
      <c r="GL4411"/>
      <c r="GM4411"/>
      <c r="GN4411"/>
      <c r="GO4411"/>
    </row>
    <row r="4412" spans="107:197">
      <c r="DC4412"/>
      <c r="FH4412"/>
      <c r="FI4412"/>
      <c r="FJ4412"/>
      <c r="FK4412"/>
      <c r="FL4412"/>
      <c r="FM4412"/>
      <c r="FN4412"/>
      <c r="FO4412"/>
      <c r="FP4412"/>
      <c r="FQ4412"/>
      <c r="FR4412"/>
      <c r="FS4412"/>
      <c r="FT4412"/>
      <c r="FU4412"/>
      <c r="FV4412"/>
      <c r="FW4412"/>
      <c r="FX4412"/>
      <c r="FY4412"/>
      <c r="FZ4412"/>
      <c r="GA4412"/>
      <c r="GB4412"/>
      <c r="GC4412"/>
      <c r="GD4412"/>
      <c r="GE4412"/>
      <c r="GF4412"/>
      <c r="GG4412"/>
      <c r="GH4412"/>
      <c r="GI4412"/>
      <c r="GJ4412"/>
      <c r="GK4412"/>
      <c r="GL4412"/>
      <c r="GM4412"/>
      <c r="GN4412"/>
      <c r="GO4412"/>
    </row>
    <row r="4413" spans="107:197">
      <c r="DC4413"/>
      <c r="FH4413"/>
      <c r="FI4413"/>
      <c r="FJ4413"/>
      <c r="FK4413"/>
      <c r="FL4413"/>
      <c r="FM4413"/>
      <c r="FN4413"/>
      <c r="FO4413"/>
      <c r="FP4413"/>
      <c r="FQ4413"/>
      <c r="FR4413"/>
      <c r="FS4413"/>
      <c r="FT4413"/>
      <c r="FU4413"/>
      <c r="FV4413"/>
      <c r="FW4413"/>
      <c r="FX4413"/>
      <c r="FY4413"/>
      <c r="FZ4413"/>
      <c r="GA4413"/>
      <c r="GB4413"/>
      <c r="GC4413"/>
      <c r="GD4413"/>
      <c r="GE4413"/>
      <c r="GF4413"/>
      <c r="GG4413"/>
      <c r="GH4413"/>
      <c r="GI4413"/>
      <c r="GJ4413"/>
      <c r="GK4413"/>
      <c r="GL4413"/>
      <c r="GM4413"/>
      <c r="GN4413"/>
      <c r="GO4413"/>
    </row>
    <row r="4414" spans="107:197">
      <c r="DC4414"/>
      <c r="FH4414"/>
      <c r="FI4414"/>
      <c r="FJ4414"/>
      <c r="FK4414"/>
      <c r="FL4414"/>
      <c r="FM4414"/>
      <c r="FN4414"/>
      <c r="FO4414"/>
      <c r="FP4414"/>
      <c r="FQ4414"/>
      <c r="FR4414"/>
      <c r="FS4414"/>
      <c r="FT4414"/>
      <c r="FU4414"/>
      <c r="FV4414"/>
      <c r="FW4414"/>
      <c r="FX4414"/>
      <c r="FY4414"/>
      <c r="FZ4414"/>
      <c r="GA4414"/>
      <c r="GB4414"/>
      <c r="GC4414"/>
      <c r="GD4414"/>
      <c r="GE4414"/>
      <c r="GF4414"/>
      <c r="GG4414"/>
      <c r="GH4414"/>
      <c r="GI4414"/>
      <c r="GJ4414"/>
      <c r="GK4414"/>
      <c r="GL4414"/>
      <c r="GM4414"/>
      <c r="GN4414"/>
      <c r="GO4414"/>
    </row>
    <row r="4415" spans="107:197">
      <c r="DC4415"/>
      <c r="FH4415"/>
      <c r="FI4415"/>
      <c r="FJ4415"/>
      <c r="FK4415"/>
      <c r="FL4415"/>
      <c r="FM4415"/>
      <c r="FN4415"/>
      <c r="FO4415"/>
      <c r="FP4415"/>
      <c r="FQ4415"/>
      <c r="FR4415"/>
      <c r="FS4415"/>
      <c r="FT4415"/>
      <c r="FU4415"/>
      <c r="FV4415"/>
      <c r="FW4415"/>
      <c r="FX4415"/>
      <c r="FY4415"/>
      <c r="FZ4415"/>
      <c r="GA4415"/>
      <c r="GB4415"/>
      <c r="GC4415"/>
      <c r="GD4415"/>
      <c r="GE4415"/>
      <c r="GF4415"/>
      <c r="GG4415"/>
      <c r="GH4415"/>
      <c r="GI4415"/>
      <c r="GJ4415"/>
      <c r="GK4415"/>
      <c r="GL4415"/>
      <c r="GM4415"/>
      <c r="GN4415"/>
      <c r="GO4415"/>
    </row>
    <row r="4416" spans="107:197">
      <c r="DC4416"/>
      <c r="FH4416"/>
      <c r="FI4416"/>
      <c r="FJ4416"/>
      <c r="FK4416"/>
      <c r="FL4416"/>
      <c r="FM4416"/>
      <c r="FN4416"/>
      <c r="FO4416"/>
      <c r="FP4416"/>
      <c r="FQ4416"/>
      <c r="FR4416"/>
      <c r="FS4416"/>
      <c r="FT4416"/>
      <c r="FU4416"/>
      <c r="FV4416"/>
      <c r="FW4416"/>
      <c r="FX4416"/>
      <c r="FY4416"/>
      <c r="FZ4416"/>
      <c r="GA4416"/>
      <c r="GB4416"/>
      <c r="GC4416"/>
      <c r="GD4416"/>
      <c r="GE4416"/>
      <c r="GF4416"/>
      <c r="GG4416"/>
      <c r="GH4416"/>
      <c r="GI4416"/>
      <c r="GJ4416"/>
      <c r="GK4416"/>
      <c r="GL4416"/>
      <c r="GM4416"/>
      <c r="GN4416"/>
      <c r="GO4416"/>
    </row>
    <row r="4417" spans="107:197">
      <c r="DC4417"/>
      <c r="FH4417"/>
      <c r="FI4417"/>
      <c r="FJ4417"/>
      <c r="FK4417"/>
      <c r="FL4417"/>
      <c r="FM4417"/>
      <c r="FN4417"/>
      <c r="FO4417"/>
      <c r="FP4417"/>
      <c r="FQ4417"/>
      <c r="FR4417"/>
      <c r="FS4417"/>
      <c r="FT4417"/>
      <c r="FU4417"/>
      <c r="FV4417"/>
      <c r="FW4417"/>
      <c r="FX4417"/>
      <c r="FY4417"/>
      <c r="FZ4417"/>
      <c r="GA4417"/>
      <c r="GB4417"/>
      <c r="GC4417"/>
      <c r="GD4417"/>
      <c r="GE4417"/>
      <c r="GF4417"/>
      <c r="GG4417"/>
      <c r="GH4417"/>
      <c r="GI4417"/>
      <c r="GJ4417"/>
      <c r="GK4417"/>
      <c r="GL4417"/>
      <c r="GM4417"/>
      <c r="GN4417"/>
      <c r="GO4417"/>
    </row>
    <row r="4418" spans="107:197">
      <c r="DC4418"/>
      <c r="FH4418"/>
      <c r="FI4418"/>
      <c r="FJ4418"/>
      <c r="FK4418"/>
      <c r="FL4418"/>
      <c r="FM4418"/>
      <c r="FN4418"/>
      <c r="FO4418"/>
      <c r="FP4418"/>
      <c r="FQ4418"/>
      <c r="FR4418"/>
      <c r="FS4418"/>
      <c r="FT4418"/>
      <c r="FU4418"/>
      <c r="FV4418"/>
      <c r="FW4418"/>
      <c r="FX4418"/>
      <c r="FY4418"/>
      <c r="FZ4418"/>
      <c r="GA4418"/>
      <c r="GB4418"/>
      <c r="GC4418"/>
      <c r="GD4418"/>
      <c r="GE4418"/>
      <c r="GF4418"/>
      <c r="GG4418"/>
      <c r="GH4418"/>
      <c r="GI4418"/>
      <c r="GJ4418"/>
      <c r="GK4418"/>
      <c r="GL4418"/>
      <c r="GM4418"/>
      <c r="GN4418"/>
      <c r="GO4418"/>
    </row>
    <row r="4419" spans="107:197">
      <c r="DC4419"/>
      <c r="FH4419"/>
      <c r="FI4419"/>
      <c r="FJ4419"/>
      <c r="FK4419"/>
      <c r="FL4419"/>
      <c r="FM4419"/>
      <c r="FN4419"/>
      <c r="FO4419"/>
      <c r="FP4419"/>
      <c r="FQ4419"/>
      <c r="FR4419"/>
      <c r="FS4419"/>
      <c r="FT4419"/>
      <c r="FU4419"/>
      <c r="FV4419"/>
      <c r="FW4419"/>
      <c r="FX4419"/>
      <c r="FY4419"/>
      <c r="FZ4419"/>
      <c r="GA4419"/>
      <c r="GB4419"/>
      <c r="GC4419"/>
      <c r="GD4419"/>
      <c r="GE4419"/>
      <c r="GF4419"/>
      <c r="GG4419"/>
      <c r="GH4419"/>
      <c r="GI4419"/>
      <c r="GJ4419"/>
      <c r="GK4419"/>
      <c r="GL4419"/>
      <c r="GM4419"/>
      <c r="GN4419"/>
      <c r="GO4419"/>
    </row>
    <row r="4420" spans="107:197">
      <c r="DC4420"/>
      <c r="FH4420"/>
      <c r="FI4420"/>
      <c r="FJ4420"/>
      <c r="FK4420"/>
      <c r="FL4420"/>
      <c r="FM4420"/>
      <c r="FN4420"/>
      <c r="FO4420"/>
      <c r="FP4420"/>
      <c r="FQ4420"/>
      <c r="FR4420"/>
      <c r="FS4420"/>
      <c r="FT4420"/>
      <c r="FU4420"/>
      <c r="FV4420"/>
      <c r="FW4420"/>
      <c r="FX4420"/>
      <c r="FY4420"/>
      <c r="FZ4420"/>
      <c r="GA4420"/>
      <c r="GB4420"/>
      <c r="GC4420"/>
      <c r="GD4420"/>
      <c r="GE4420"/>
      <c r="GF4420"/>
      <c r="GG4420"/>
      <c r="GH4420"/>
      <c r="GI4420"/>
      <c r="GJ4420"/>
      <c r="GK4420"/>
      <c r="GL4420"/>
      <c r="GM4420"/>
      <c r="GN4420"/>
      <c r="GO4420"/>
    </row>
    <row r="4421" spans="107:197">
      <c r="DC4421"/>
      <c r="FH4421"/>
      <c r="FI4421"/>
      <c r="FJ4421"/>
      <c r="FK4421"/>
      <c r="FL4421"/>
      <c r="FM4421"/>
      <c r="FN4421"/>
      <c r="FO4421"/>
      <c r="FP4421"/>
      <c r="FQ4421"/>
      <c r="FR4421"/>
      <c r="FS4421"/>
      <c r="FT4421"/>
      <c r="FU4421"/>
      <c r="FV4421"/>
      <c r="FW4421"/>
      <c r="FX4421"/>
      <c r="FY4421"/>
      <c r="FZ4421"/>
      <c r="GA4421"/>
      <c r="GB4421"/>
      <c r="GC4421"/>
      <c r="GD4421"/>
      <c r="GE4421"/>
      <c r="GF4421"/>
      <c r="GG4421"/>
      <c r="GH4421"/>
      <c r="GI4421"/>
      <c r="GJ4421"/>
      <c r="GK4421"/>
      <c r="GL4421"/>
      <c r="GM4421"/>
      <c r="GN4421"/>
      <c r="GO4421"/>
    </row>
    <row r="4422" spans="107:197">
      <c r="DC4422"/>
      <c r="FH4422"/>
      <c r="FI4422"/>
      <c r="FJ4422"/>
      <c r="FK4422"/>
      <c r="FL4422"/>
      <c r="FM4422"/>
      <c r="FN4422"/>
      <c r="FO4422"/>
      <c r="FP4422"/>
      <c r="FQ4422"/>
      <c r="FR4422"/>
      <c r="FS4422"/>
      <c r="FT4422"/>
      <c r="FU4422"/>
      <c r="FV4422"/>
      <c r="FW4422"/>
      <c r="FX4422"/>
      <c r="FY4422"/>
      <c r="FZ4422"/>
      <c r="GA4422"/>
      <c r="GB4422"/>
      <c r="GC4422"/>
      <c r="GD4422"/>
      <c r="GE4422"/>
      <c r="GF4422"/>
      <c r="GG4422"/>
      <c r="GH4422"/>
      <c r="GI4422"/>
      <c r="GJ4422"/>
      <c r="GK4422"/>
      <c r="GL4422"/>
      <c r="GM4422"/>
      <c r="GN4422"/>
      <c r="GO4422"/>
    </row>
    <row r="4423" spans="107:197">
      <c r="DC4423"/>
      <c r="FH4423"/>
      <c r="FI4423"/>
      <c r="FJ4423"/>
      <c r="FK4423"/>
      <c r="FL4423"/>
      <c r="FM4423"/>
      <c r="FN4423"/>
      <c r="FO4423"/>
      <c r="FP4423"/>
      <c r="FQ4423"/>
      <c r="FR4423"/>
      <c r="FS4423"/>
      <c r="FT4423"/>
      <c r="FU4423"/>
      <c r="FV4423"/>
      <c r="FW4423"/>
      <c r="FX4423"/>
      <c r="FY4423"/>
      <c r="FZ4423"/>
      <c r="GA4423"/>
      <c r="GB4423"/>
      <c r="GC4423"/>
      <c r="GD4423"/>
      <c r="GE4423"/>
      <c r="GF4423"/>
      <c r="GG4423"/>
      <c r="GH4423"/>
      <c r="GI4423"/>
      <c r="GJ4423"/>
      <c r="GK4423"/>
      <c r="GL4423"/>
      <c r="GM4423"/>
      <c r="GN4423"/>
      <c r="GO4423"/>
    </row>
    <row r="4424" spans="107:197">
      <c r="DC4424"/>
      <c r="FH4424"/>
      <c r="FI4424"/>
      <c r="FJ4424"/>
      <c r="FK4424"/>
      <c r="FL4424"/>
      <c r="FM4424"/>
      <c r="FN4424"/>
      <c r="FO4424"/>
      <c r="FP4424"/>
      <c r="FQ4424"/>
      <c r="FR4424"/>
      <c r="FS4424"/>
      <c r="FT4424"/>
      <c r="FU4424"/>
      <c r="FV4424"/>
      <c r="FW4424"/>
      <c r="FX4424"/>
      <c r="FY4424"/>
      <c r="FZ4424"/>
      <c r="GA4424"/>
      <c r="GB4424"/>
      <c r="GC4424"/>
      <c r="GD4424"/>
      <c r="GE4424"/>
      <c r="GF4424"/>
      <c r="GG4424"/>
      <c r="GH4424"/>
      <c r="GI4424"/>
      <c r="GJ4424"/>
      <c r="GK4424"/>
      <c r="GL4424"/>
      <c r="GM4424"/>
      <c r="GN4424"/>
      <c r="GO4424"/>
    </row>
    <row r="4425" spans="107:197">
      <c r="DC4425"/>
      <c r="FH4425"/>
      <c r="FI4425"/>
      <c r="FJ4425"/>
      <c r="FK4425"/>
      <c r="FL4425"/>
      <c r="FM4425"/>
      <c r="FN4425"/>
      <c r="FO4425"/>
      <c r="FP4425"/>
      <c r="FQ4425"/>
      <c r="FR4425"/>
      <c r="FS4425"/>
      <c r="FT4425"/>
      <c r="FU4425"/>
      <c r="FV4425"/>
      <c r="FW4425"/>
      <c r="FX4425"/>
      <c r="FY4425"/>
      <c r="FZ4425"/>
      <c r="GA4425"/>
      <c r="GB4425"/>
      <c r="GC4425"/>
      <c r="GD4425"/>
      <c r="GE4425"/>
      <c r="GF4425"/>
      <c r="GG4425"/>
      <c r="GH4425"/>
      <c r="GI4425"/>
      <c r="GJ4425"/>
      <c r="GK4425"/>
      <c r="GL4425"/>
      <c r="GM4425"/>
      <c r="GN4425"/>
      <c r="GO4425"/>
    </row>
    <row r="4426" spans="107:197">
      <c r="DC4426"/>
      <c r="FH4426"/>
      <c r="FI4426"/>
      <c r="FJ4426"/>
      <c r="FK4426"/>
      <c r="FL4426"/>
      <c r="FM4426"/>
      <c r="FN4426"/>
      <c r="FO4426"/>
      <c r="FP4426"/>
      <c r="FQ4426"/>
      <c r="FR4426"/>
      <c r="FS4426"/>
      <c r="FT4426"/>
      <c r="FU4426"/>
      <c r="FV4426"/>
      <c r="FW4426"/>
      <c r="FX4426"/>
      <c r="FY4426"/>
      <c r="FZ4426"/>
      <c r="GA4426"/>
      <c r="GB4426"/>
      <c r="GC4426"/>
      <c r="GD4426"/>
      <c r="GE4426"/>
      <c r="GF4426"/>
      <c r="GG4426"/>
      <c r="GH4426"/>
      <c r="GI4426"/>
      <c r="GJ4426"/>
      <c r="GK4426"/>
      <c r="GL4426"/>
      <c r="GM4426"/>
      <c r="GN4426"/>
      <c r="GO4426"/>
    </row>
    <row r="4427" spans="107:197">
      <c r="DC4427"/>
      <c r="FH4427"/>
      <c r="FI4427"/>
      <c r="FJ4427"/>
      <c r="FK4427"/>
      <c r="FL4427"/>
      <c r="FM4427"/>
      <c r="FN4427"/>
      <c r="FO4427"/>
      <c r="FP4427"/>
      <c r="FQ4427"/>
      <c r="FR4427"/>
      <c r="FS4427"/>
      <c r="FT4427"/>
      <c r="FU4427"/>
      <c r="FV4427"/>
      <c r="FW4427"/>
      <c r="FX4427"/>
      <c r="FY4427"/>
      <c r="FZ4427"/>
      <c r="GA4427"/>
      <c r="GB4427"/>
      <c r="GC4427"/>
      <c r="GD4427"/>
      <c r="GE4427"/>
      <c r="GF4427"/>
      <c r="GG4427"/>
      <c r="GH4427"/>
      <c r="GI4427"/>
      <c r="GJ4427"/>
      <c r="GK4427"/>
      <c r="GL4427"/>
      <c r="GM4427"/>
      <c r="GN4427"/>
      <c r="GO4427"/>
    </row>
    <row r="4428" spans="107:197">
      <c r="DC4428"/>
      <c r="FH4428"/>
      <c r="FI4428"/>
      <c r="FJ4428"/>
      <c r="FK4428"/>
      <c r="FL4428"/>
      <c r="FM4428"/>
      <c r="FN4428"/>
      <c r="FO4428"/>
      <c r="FP4428"/>
      <c r="FQ4428"/>
      <c r="FR4428"/>
      <c r="FS4428"/>
      <c r="FT4428"/>
      <c r="FU4428"/>
      <c r="FV4428"/>
      <c r="FW4428"/>
      <c r="FX4428"/>
      <c r="FY4428"/>
      <c r="FZ4428"/>
      <c r="GA4428"/>
      <c r="GB4428"/>
      <c r="GC4428"/>
      <c r="GD4428"/>
      <c r="GE4428"/>
      <c r="GF4428"/>
      <c r="GG4428"/>
      <c r="GH4428"/>
      <c r="GI4428"/>
      <c r="GJ4428"/>
      <c r="GK4428"/>
      <c r="GL4428"/>
      <c r="GM4428"/>
      <c r="GN4428"/>
      <c r="GO4428"/>
    </row>
    <row r="4429" spans="107:197">
      <c r="DC4429"/>
      <c r="FH4429"/>
      <c r="FI4429"/>
      <c r="FJ4429"/>
      <c r="FK4429"/>
      <c r="FL4429"/>
      <c r="FM4429"/>
      <c r="FN4429"/>
      <c r="FO4429"/>
      <c r="FP4429"/>
      <c r="FQ4429"/>
      <c r="FR4429"/>
      <c r="FS4429"/>
      <c r="FT4429"/>
      <c r="FU4429"/>
      <c r="FV4429"/>
      <c r="FW4429"/>
      <c r="FX4429"/>
      <c r="FY4429"/>
      <c r="FZ4429"/>
      <c r="GA4429"/>
      <c r="GB4429"/>
      <c r="GC4429"/>
      <c r="GD4429"/>
      <c r="GE4429"/>
      <c r="GF4429"/>
      <c r="GG4429"/>
      <c r="GH4429"/>
      <c r="GI4429"/>
      <c r="GJ4429"/>
      <c r="GK4429"/>
      <c r="GL4429"/>
      <c r="GM4429"/>
      <c r="GN4429"/>
      <c r="GO4429"/>
    </row>
    <row r="4430" spans="107:197">
      <c r="DC4430"/>
      <c r="FH4430"/>
      <c r="FI4430"/>
      <c r="FJ4430"/>
      <c r="FK4430"/>
      <c r="FL4430"/>
      <c r="FM4430"/>
      <c r="FN4430"/>
      <c r="FO4430"/>
      <c r="FP4430"/>
      <c r="FQ4430"/>
      <c r="FR4430"/>
      <c r="FS4430"/>
      <c r="FT4430"/>
      <c r="FU4430"/>
      <c r="FV4430"/>
      <c r="FW4430"/>
      <c r="FX4430"/>
      <c r="FY4430"/>
      <c r="FZ4430"/>
      <c r="GA4430"/>
      <c r="GB4430"/>
      <c r="GC4430"/>
      <c r="GD4430"/>
      <c r="GE4430"/>
      <c r="GF4430"/>
      <c r="GG4430"/>
      <c r="GH4430"/>
      <c r="GI4430"/>
      <c r="GJ4430"/>
      <c r="GK4430"/>
      <c r="GL4430"/>
      <c r="GM4430"/>
      <c r="GN4430"/>
      <c r="GO4430"/>
    </row>
    <row r="4431" spans="107:197">
      <c r="DC4431"/>
      <c r="FH4431"/>
      <c r="FI4431"/>
      <c r="FJ4431"/>
      <c r="FK4431"/>
      <c r="FL4431"/>
      <c r="FM4431"/>
      <c r="FN4431"/>
      <c r="FO4431"/>
      <c r="FP4431"/>
      <c r="FQ4431"/>
      <c r="FR4431"/>
      <c r="FS4431"/>
      <c r="FT4431"/>
      <c r="FU4431"/>
      <c r="FV4431"/>
      <c r="FW4431"/>
      <c r="FX4431"/>
      <c r="FY4431"/>
      <c r="FZ4431"/>
      <c r="GA4431"/>
      <c r="GB4431"/>
      <c r="GC4431"/>
      <c r="GD4431"/>
      <c r="GE4431"/>
      <c r="GF4431"/>
      <c r="GG4431"/>
      <c r="GH4431"/>
      <c r="GI4431"/>
      <c r="GJ4431"/>
      <c r="GK4431"/>
      <c r="GL4431"/>
      <c r="GM4431"/>
      <c r="GN4431"/>
      <c r="GO4431"/>
    </row>
    <row r="4432" spans="107:197">
      <c r="DC4432"/>
      <c r="FH4432"/>
      <c r="FI4432"/>
      <c r="FJ4432"/>
      <c r="FK4432"/>
      <c r="FL4432"/>
      <c r="FM4432"/>
      <c r="FN4432"/>
      <c r="FO4432"/>
      <c r="FP4432"/>
      <c r="FQ4432"/>
      <c r="FR4432"/>
      <c r="FS4432"/>
      <c r="FT4432"/>
      <c r="FU4432"/>
      <c r="FV4432"/>
      <c r="FW4432"/>
      <c r="FX4432"/>
      <c r="FY4432"/>
      <c r="FZ4432"/>
      <c r="GA4432"/>
      <c r="GB4432"/>
      <c r="GC4432"/>
      <c r="GD4432"/>
      <c r="GE4432"/>
      <c r="GF4432"/>
      <c r="GG4432"/>
      <c r="GH4432"/>
      <c r="GI4432"/>
      <c r="GJ4432"/>
      <c r="GK4432"/>
      <c r="GL4432"/>
      <c r="GM4432"/>
      <c r="GN4432"/>
      <c r="GO4432"/>
    </row>
    <row r="4433" spans="107:197">
      <c r="DC4433"/>
      <c r="FH4433"/>
      <c r="FI4433"/>
      <c r="FJ4433"/>
      <c r="FK4433"/>
      <c r="FL4433"/>
      <c r="FM4433"/>
      <c r="FN4433"/>
      <c r="FO4433"/>
      <c r="FP4433"/>
      <c r="FQ4433"/>
      <c r="FR4433"/>
      <c r="FS4433"/>
      <c r="FT4433"/>
      <c r="FU4433"/>
      <c r="FV4433"/>
      <c r="FW4433"/>
      <c r="FX4433"/>
      <c r="FY4433"/>
      <c r="FZ4433"/>
      <c r="GA4433"/>
      <c r="GB4433"/>
      <c r="GC4433"/>
      <c r="GD4433"/>
      <c r="GE4433"/>
      <c r="GF4433"/>
      <c r="GG4433"/>
      <c r="GH4433"/>
      <c r="GI4433"/>
      <c r="GJ4433"/>
      <c r="GK4433"/>
      <c r="GL4433"/>
      <c r="GM4433"/>
      <c r="GN4433"/>
      <c r="GO4433"/>
    </row>
    <row r="4434" spans="107:197">
      <c r="DC4434"/>
      <c r="FH4434"/>
      <c r="FI4434"/>
      <c r="FJ4434"/>
      <c r="FK4434"/>
      <c r="FL4434"/>
      <c r="FM4434"/>
      <c r="FN4434"/>
      <c r="FO4434"/>
      <c r="FP4434"/>
      <c r="FQ4434"/>
      <c r="FR4434"/>
      <c r="FS4434"/>
      <c r="FT4434"/>
      <c r="FU4434"/>
      <c r="FV4434"/>
      <c r="FW4434"/>
      <c r="FX4434"/>
      <c r="FY4434"/>
      <c r="FZ4434"/>
      <c r="GA4434"/>
      <c r="GB4434"/>
      <c r="GC4434"/>
      <c r="GD4434"/>
      <c r="GE4434"/>
      <c r="GF4434"/>
      <c r="GG4434"/>
      <c r="GH4434"/>
      <c r="GI4434"/>
      <c r="GJ4434"/>
      <c r="GK4434"/>
      <c r="GL4434"/>
      <c r="GM4434"/>
      <c r="GN4434"/>
      <c r="GO4434"/>
    </row>
    <row r="4435" spans="107:197">
      <c r="DC4435"/>
      <c r="FH4435"/>
      <c r="FI4435"/>
      <c r="FJ4435"/>
      <c r="FK4435"/>
      <c r="FL4435"/>
      <c r="FM4435"/>
      <c r="FN4435"/>
      <c r="FO4435"/>
      <c r="FP4435"/>
      <c r="FQ4435"/>
      <c r="FR4435"/>
      <c r="FS4435"/>
      <c r="FT4435"/>
      <c r="FU4435"/>
      <c r="FV4435"/>
      <c r="FW4435"/>
      <c r="FX4435"/>
      <c r="FY4435"/>
      <c r="FZ4435"/>
      <c r="GA4435"/>
      <c r="GB4435"/>
      <c r="GC4435"/>
      <c r="GD4435"/>
      <c r="GE4435"/>
      <c r="GF4435"/>
      <c r="GG4435"/>
      <c r="GH4435"/>
      <c r="GI4435"/>
      <c r="GJ4435"/>
      <c r="GK4435"/>
      <c r="GL4435"/>
      <c r="GM4435"/>
      <c r="GN4435"/>
      <c r="GO4435"/>
    </row>
    <row r="4436" spans="107:197">
      <c r="DC4436"/>
      <c r="FH4436"/>
      <c r="FI4436"/>
      <c r="FJ4436"/>
      <c r="FK4436"/>
      <c r="FL4436"/>
      <c r="FM4436"/>
      <c r="FN4436"/>
      <c r="FO4436"/>
      <c r="FP4436"/>
      <c r="FQ4436"/>
      <c r="FR4436"/>
      <c r="FS4436"/>
      <c r="FT4436"/>
      <c r="FU4436"/>
      <c r="FV4436"/>
      <c r="FW4436"/>
      <c r="FX4436"/>
      <c r="FY4436"/>
      <c r="FZ4436"/>
      <c r="GA4436"/>
      <c r="GB4436"/>
      <c r="GC4436"/>
      <c r="GD4436"/>
      <c r="GE4436"/>
      <c r="GF4436"/>
      <c r="GG4436"/>
      <c r="GH4436"/>
      <c r="GI4436"/>
      <c r="GJ4436"/>
      <c r="GK4436"/>
      <c r="GL4436"/>
      <c r="GM4436"/>
      <c r="GN4436"/>
      <c r="GO4436"/>
    </row>
    <row r="4437" spans="107:197">
      <c r="DC4437"/>
      <c r="FH4437"/>
      <c r="FI4437"/>
      <c r="FJ4437"/>
      <c r="FK4437"/>
      <c r="FL4437"/>
      <c r="FM4437"/>
      <c r="FN4437"/>
      <c r="FO4437"/>
      <c r="FP4437"/>
      <c r="FQ4437"/>
      <c r="FR4437"/>
      <c r="FS4437"/>
      <c r="FT4437"/>
      <c r="FU4437"/>
      <c r="FV4437"/>
      <c r="FW4437"/>
      <c r="FX4437"/>
      <c r="FY4437"/>
      <c r="FZ4437"/>
      <c r="GA4437"/>
      <c r="GB4437"/>
      <c r="GC4437"/>
      <c r="GD4437"/>
      <c r="GE4437"/>
      <c r="GF4437"/>
      <c r="GG4437"/>
      <c r="GH4437"/>
      <c r="GI4437"/>
      <c r="GJ4437"/>
      <c r="GK4437"/>
      <c r="GL4437"/>
      <c r="GM4437"/>
      <c r="GN4437"/>
      <c r="GO4437"/>
    </row>
    <row r="4438" spans="107:197">
      <c r="DC4438"/>
      <c r="FH4438"/>
      <c r="FI4438"/>
      <c r="FJ4438"/>
      <c r="FK4438"/>
      <c r="FL4438"/>
      <c r="FM4438"/>
      <c r="FN4438"/>
      <c r="FO4438"/>
      <c r="FP4438"/>
      <c r="FQ4438"/>
      <c r="FR4438"/>
      <c r="FS4438"/>
      <c r="FT4438"/>
      <c r="FU4438"/>
      <c r="FV4438"/>
      <c r="FW4438"/>
      <c r="FX4438"/>
      <c r="FY4438"/>
      <c r="FZ4438"/>
      <c r="GA4438"/>
      <c r="GB4438"/>
      <c r="GC4438"/>
      <c r="GD4438"/>
      <c r="GE4438"/>
      <c r="GF4438"/>
      <c r="GG4438"/>
      <c r="GH4438"/>
      <c r="GI4438"/>
      <c r="GJ4438"/>
      <c r="GK4438"/>
      <c r="GL4438"/>
      <c r="GM4438"/>
      <c r="GN4438"/>
      <c r="GO4438"/>
    </row>
    <row r="4439" spans="107:197">
      <c r="DC4439"/>
      <c r="FH4439"/>
      <c r="FI4439"/>
      <c r="FJ4439"/>
      <c r="FK4439"/>
      <c r="FL4439"/>
      <c r="FM4439"/>
      <c r="FN4439"/>
      <c r="FO4439"/>
      <c r="FP4439"/>
      <c r="FQ4439"/>
      <c r="FR4439"/>
      <c r="FS4439"/>
      <c r="FT4439"/>
      <c r="FU4439"/>
      <c r="FV4439"/>
      <c r="FW4439"/>
      <c r="FX4439"/>
      <c r="FY4439"/>
      <c r="FZ4439"/>
      <c r="GA4439"/>
      <c r="GB4439"/>
      <c r="GC4439"/>
      <c r="GD4439"/>
      <c r="GE4439"/>
      <c r="GF4439"/>
      <c r="GG4439"/>
      <c r="GH4439"/>
      <c r="GI4439"/>
      <c r="GJ4439"/>
      <c r="GK4439"/>
      <c r="GL4439"/>
      <c r="GM4439"/>
      <c r="GN4439"/>
      <c r="GO4439"/>
    </row>
    <row r="4440" spans="107:197">
      <c r="DC4440"/>
      <c r="FH4440"/>
      <c r="FI4440"/>
      <c r="FJ4440"/>
      <c r="FK4440"/>
      <c r="FL4440"/>
      <c r="FM4440"/>
      <c r="FN4440"/>
      <c r="FO4440"/>
      <c r="FP4440"/>
      <c r="FQ4440"/>
      <c r="FR4440"/>
      <c r="FS4440"/>
      <c r="FT4440"/>
      <c r="FU4440"/>
      <c r="FV4440"/>
      <c r="FW4440"/>
      <c r="FX4440"/>
      <c r="FY4440"/>
      <c r="FZ4440"/>
      <c r="GA4440"/>
      <c r="GB4440"/>
      <c r="GC4440"/>
      <c r="GD4440"/>
      <c r="GE4440"/>
      <c r="GF4440"/>
      <c r="GG4440"/>
      <c r="GH4440"/>
      <c r="GI4440"/>
      <c r="GJ4440"/>
      <c r="GK4440"/>
      <c r="GL4440"/>
      <c r="GM4440"/>
      <c r="GN4440"/>
      <c r="GO4440"/>
    </row>
    <row r="4441" spans="107:197">
      <c r="DC4441"/>
      <c r="FH4441"/>
      <c r="FI4441"/>
      <c r="FJ4441"/>
      <c r="FK4441"/>
      <c r="FL4441"/>
      <c r="FM4441"/>
      <c r="FN4441"/>
      <c r="FO4441"/>
      <c r="FP4441"/>
      <c r="FQ4441"/>
      <c r="FR4441"/>
      <c r="FS4441"/>
      <c r="FT4441"/>
      <c r="FU4441"/>
      <c r="FV4441"/>
      <c r="FW4441"/>
      <c r="FX4441"/>
      <c r="FY4441"/>
      <c r="FZ4441"/>
      <c r="GA4441"/>
      <c r="GB4441"/>
      <c r="GC4441"/>
      <c r="GD4441"/>
      <c r="GE4441"/>
      <c r="GF4441"/>
      <c r="GG4441"/>
      <c r="GH4441"/>
      <c r="GI4441"/>
      <c r="GJ4441"/>
      <c r="GK4441"/>
      <c r="GL4441"/>
      <c r="GM4441"/>
      <c r="GN4441"/>
      <c r="GO4441"/>
    </row>
    <row r="4442" spans="107:197">
      <c r="DC4442"/>
      <c r="FH4442"/>
      <c r="FI4442"/>
      <c r="FJ4442"/>
      <c r="FK4442"/>
      <c r="FL4442"/>
      <c r="FM4442"/>
      <c r="FN4442"/>
      <c r="FO4442"/>
      <c r="FP4442"/>
      <c r="FQ4442"/>
      <c r="FR4442"/>
      <c r="FS4442"/>
      <c r="FT4442"/>
      <c r="FU4442"/>
      <c r="FV4442"/>
      <c r="FW4442"/>
      <c r="FX4442"/>
      <c r="FY4442"/>
      <c r="FZ4442"/>
      <c r="GA4442"/>
      <c r="GB4442"/>
      <c r="GC4442"/>
      <c r="GD4442"/>
      <c r="GE4442"/>
      <c r="GF4442"/>
      <c r="GG4442"/>
      <c r="GH4442"/>
      <c r="GI4442"/>
      <c r="GJ4442"/>
      <c r="GK4442"/>
      <c r="GL4442"/>
      <c r="GM4442"/>
      <c r="GN4442"/>
      <c r="GO4442"/>
    </row>
    <row r="4443" spans="107:197">
      <c r="DC4443"/>
      <c r="FH4443"/>
      <c r="FI4443"/>
      <c r="FJ4443"/>
      <c r="FK4443"/>
      <c r="FL4443"/>
      <c r="FM4443"/>
      <c r="FN4443"/>
      <c r="FO4443"/>
      <c r="FP4443"/>
      <c r="FQ4443"/>
      <c r="FR4443"/>
      <c r="FS4443"/>
      <c r="FT4443"/>
      <c r="FU4443"/>
      <c r="FV4443"/>
      <c r="FW4443"/>
      <c r="FX4443"/>
      <c r="FY4443"/>
      <c r="FZ4443"/>
      <c r="GA4443"/>
      <c r="GB4443"/>
      <c r="GC4443"/>
      <c r="GD4443"/>
      <c r="GE4443"/>
      <c r="GF4443"/>
      <c r="GG4443"/>
      <c r="GH4443"/>
      <c r="GI4443"/>
      <c r="GJ4443"/>
      <c r="GK4443"/>
      <c r="GL4443"/>
      <c r="GM4443"/>
      <c r="GN4443"/>
      <c r="GO4443"/>
    </row>
    <row r="4444" spans="107:197">
      <c r="DC4444"/>
      <c r="FH4444"/>
      <c r="FI4444"/>
      <c r="FJ4444"/>
      <c r="FK4444"/>
      <c r="FL4444"/>
      <c r="FM4444"/>
      <c r="FN4444"/>
      <c r="FO4444"/>
      <c r="FP4444"/>
      <c r="FQ4444"/>
      <c r="FR4444"/>
      <c r="FS4444"/>
      <c r="FT4444"/>
      <c r="FU4444"/>
      <c r="FV4444"/>
      <c r="FW4444"/>
      <c r="FX4444"/>
      <c r="FY4444"/>
      <c r="FZ4444"/>
      <c r="GA4444"/>
      <c r="GB4444"/>
      <c r="GC4444"/>
      <c r="GD4444"/>
      <c r="GE4444"/>
      <c r="GF4444"/>
      <c r="GG4444"/>
      <c r="GH4444"/>
      <c r="GI4444"/>
      <c r="GJ4444"/>
      <c r="GK4444"/>
      <c r="GL4444"/>
      <c r="GM4444"/>
      <c r="GN4444"/>
      <c r="GO4444"/>
    </row>
    <row r="4445" spans="107:197">
      <c r="DC4445"/>
      <c r="FH4445"/>
      <c r="FI4445"/>
      <c r="FJ4445"/>
      <c r="FK4445"/>
      <c r="FL4445"/>
      <c r="FM4445"/>
      <c r="FN4445"/>
      <c r="FO4445"/>
      <c r="FP4445"/>
      <c r="FQ4445"/>
      <c r="FR4445"/>
      <c r="FS4445"/>
      <c r="FT4445"/>
      <c r="FU4445"/>
      <c r="FV4445"/>
      <c r="FW4445"/>
      <c r="FX4445"/>
      <c r="FY4445"/>
      <c r="FZ4445"/>
      <c r="GA4445"/>
      <c r="GB4445"/>
      <c r="GC4445"/>
      <c r="GD4445"/>
      <c r="GE4445"/>
      <c r="GF4445"/>
      <c r="GG4445"/>
      <c r="GH4445"/>
      <c r="GI4445"/>
      <c r="GJ4445"/>
      <c r="GK4445"/>
      <c r="GL4445"/>
      <c r="GM4445"/>
      <c r="GN4445"/>
      <c r="GO4445"/>
    </row>
    <row r="4446" spans="107:197">
      <c r="DC4446"/>
      <c r="FH4446"/>
      <c r="FI4446"/>
      <c r="FJ4446"/>
      <c r="FK4446"/>
      <c r="FL4446"/>
      <c r="FM4446"/>
      <c r="FN4446"/>
      <c r="FO4446"/>
      <c r="FP4446"/>
      <c r="FQ4446"/>
      <c r="FR4446"/>
      <c r="FS4446"/>
      <c r="FT4446"/>
      <c r="FU4446"/>
      <c r="FV4446"/>
      <c r="FW4446"/>
      <c r="FX4446"/>
      <c r="FY4446"/>
      <c r="FZ4446"/>
      <c r="GA4446"/>
      <c r="GB4446"/>
      <c r="GC4446"/>
      <c r="GD4446"/>
      <c r="GE4446"/>
      <c r="GF4446"/>
      <c r="GG4446"/>
      <c r="GH4446"/>
      <c r="GI4446"/>
      <c r="GJ4446"/>
      <c r="GK4446"/>
      <c r="GL4446"/>
      <c r="GM4446"/>
      <c r="GN4446"/>
      <c r="GO4446"/>
    </row>
    <row r="4447" spans="107:197">
      <c r="DC4447"/>
      <c r="FH4447"/>
      <c r="FI4447"/>
      <c r="FJ4447"/>
      <c r="FK4447"/>
      <c r="FL4447"/>
      <c r="FM4447"/>
      <c r="FN4447"/>
      <c r="FO4447"/>
      <c r="FP4447"/>
      <c r="FQ4447"/>
      <c r="FR4447"/>
      <c r="FS4447"/>
      <c r="FT4447"/>
      <c r="FU4447"/>
      <c r="FV4447"/>
      <c r="FW4447"/>
      <c r="FX4447"/>
      <c r="FY4447"/>
      <c r="FZ4447"/>
      <c r="GA4447"/>
      <c r="GB4447"/>
      <c r="GC4447"/>
      <c r="GD4447"/>
      <c r="GE4447"/>
      <c r="GF4447"/>
      <c r="GG4447"/>
      <c r="GH4447"/>
      <c r="GI4447"/>
      <c r="GJ4447"/>
      <c r="GK4447"/>
      <c r="GL4447"/>
      <c r="GM4447"/>
      <c r="GN4447"/>
      <c r="GO4447"/>
    </row>
    <row r="4448" spans="107:197">
      <c r="DC4448"/>
      <c r="FH4448"/>
      <c r="FI4448"/>
      <c r="FJ4448"/>
      <c r="FK4448"/>
      <c r="FL4448"/>
      <c r="FM4448"/>
      <c r="FN4448"/>
      <c r="FO4448"/>
      <c r="FP4448"/>
      <c r="FQ4448"/>
      <c r="FR4448"/>
      <c r="FS4448"/>
      <c r="FT4448"/>
      <c r="FU4448"/>
      <c r="FV4448"/>
      <c r="FW4448"/>
      <c r="FX4448"/>
      <c r="FY4448"/>
      <c r="FZ4448"/>
      <c r="GA4448"/>
      <c r="GB4448"/>
      <c r="GC4448"/>
      <c r="GD4448"/>
      <c r="GE4448"/>
      <c r="GF4448"/>
      <c r="GG4448"/>
      <c r="GH4448"/>
      <c r="GI4448"/>
      <c r="GJ4448"/>
      <c r="GK4448"/>
      <c r="GL4448"/>
      <c r="GM4448"/>
      <c r="GN4448"/>
      <c r="GO4448"/>
    </row>
    <row r="4449" spans="107:197">
      <c r="DC4449"/>
      <c r="FH4449"/>
      <c r="FI4449"/>
      <c r="FJ4449"/>
      <c r="FK4449"/>
      <c r="FL4449"/>
      <c r="FM4449"/>
      <c r="FN4449"/>
      <c r="FO4449"/>
      <c r="FP4449"/>
      <c r="FQ4449"/>
      <c r="FR4449"/>
      <c r="FS4449"/>
      <c r="FT4449"/>
      <c r="FU4449"/>
      <c r="FV4449"/>
      <c r="FW4449"/>
      <c r="FX4449"/>
      <c r="FY4449"/>
      <c r="FZ4449"/>
      <c r="GA4449"/>
      <c r="GB4449"/>
      <c r="GC4449"/>
      <c r="GD4449"/>
      <c r="GE4449"/>
      <c r="GF4449"/>
      <c r="GG4449"/>
      <c r="GH4449"/>
      <c r="GI4449"/>
      <c r="GJ4449"/>
      <c r="GK4449"/>
      <c r="GL4449"/>
      <c r="GM4449"/>
      <c r="GN4449"/>
      <c r="GO4449"/>
    </row>
    <row r="4450" spans="107:197">
      <c r="DC4450"/>
      <c r="FH4450"/>
      <c r="FI4450"/>
      <c r="FJ4450"/>
      <c r="FK4450"/>
      <c r="FL4450"/>
      <c r="FM4450"/>
      <c r="FN4450"/>
      <c r="FO4450"/>
      <c r="FP4450"/>
      <c r="FQ4450"/>
      <c r="FR4450"/>
      <c r="FS4450"/>
      <c r="FT4450"/>
      <c r="FU4450"/>
      <c r="FV4450"/>
      <c r="FW4450"/>
      <c r="FX4450"/>
      <c r="FY4450"/>
      <c r="FZ4450"/>
      <c r="GA4450"/>
      <c r="GB4450"/>
      <c r="GC4450"/>
      <c r="GD4450"/>
      <c r="GE4450"/>
      <c r="GF4450"/>
      <c r="GG4450"/>
      <c r="GH4450"/>
      <c r="GI4450"/>
      <c r="GJ4450"/>
      <c r="GK4450"/>
      <c r="GL4450"/>
      <c r="GM4450"/>
      <c r="GN4450"/>
      <c r="GO4450"/>
    </row>
    <row r="4451" spans="107:197">
      <c r="DC4451"/>
      <c r="FH4451"/>
      <c r="FI4451"/>
      <c r="FJ4451"/>
      <c r="FK4451"/>
      <c r="FL4451"/>
      <c r="FM4451"/>
      <c r="FN4451"/>
      <c r="FO4451"/>
      <c r="FP4451"/>
      <c r="FQ4451"/>
      <c r="FR4451"/>
      <c r="FS4451"/>
      <c r="FT4451"/>
      <c r="FU4451"/>
      <c r="FV4451"/>
      <c r="FW4451"/>
      <c r="FX4451"/>
      <c r="FY4451"/>
      <c r="FZ4451"/>
      <c r="GA4451"/>
      <c r="GB4451"/>
      <c r="GC4451"/>
      <c r="GD4451"/>
      <c r="GE4451"/>
      <c r="GF4451"/>
      <c r="GG4451"/>
      <c r="GH4451"/>
      <c r="GI4451"/>
      <c r="GJ4451"/>
      <c r="GK4451"/>
      <c r="GL4451"/>
      <c r="GM4451"/>
      <c r="GN4451"/>
      <c r="GO4451"/>
    </row>
    <row r="4452" spans="107:197">
      <c r="DC4452"/>
      <c r="FH4452"/>
      <c r="FI4452"/>
      <c r="FJ4452"/>
      <c r="FK4452"/>
      <c r="FL4452"/>
      <c r="FM4452"/>
      <c r="FN4452"/>
      <c r="FO4452"/>
      <c r="FP4452"/>
      <c r="FQ4452"/>
      <c r="FR4452"/>
      <c r="FS4452"/>
      <c r="FT4452"/>
      <c r="FU4452"/>
      <c r="FV4452"/>
      <c r="FW4452"/>
      <c r="FX4452"/>
      <c r="FY4452"/>
      <c r="FZ4452"/>
      <c r="GA4452"/>
      <c r="GB4452"/>
      <c r="GC4452"/>
      <c r="GD4452"/>
      <c r="GE4452"/>
      <c r="GF4452"/>
      <c r="GG4452"/>
      <c r="GH4452"/>
      <c r="GI4452"/>
      <c r="GJ4452"/>
      <c r="GK4452"/>
      <c r="GL4452"/>
      <c r="GM4452"/>
      <c r="GN4452"/>
      <c r="GO4452"/>
    </row>
    <row r="4453" spans="107:197">
      <c r="DC4453"/>
      <c r="FH4453"/>
      <c r="FI4453"/>
      <c r="FJ4453"/>
      <c r="FK4453"/>
      <c r="FL4453"/>
      <c r="FM4453"/>
      <c r="FN4453"/>
      <c r="FO4453"/>
      <c r="FP4453"/>
      <c r="FQ4453"/>
      <c r="FR4453"/>
      <c r="FS4453"/>
      <c r="FT4453"/>
      <c r="FU4453"/>
      <c r="FV4453"/>
      <c r="FW4453"/>
      <c r="FX4453"/>
      <c r="FY4453"/>
      <c r="FZ4453"/>
      <c r="GA4453"/>
      <c r="GB4453"/>
      <c r="GC4453"/>
      <c r="GD4453"/>
      <c r="GE4453"/>
      <c r="GF4453"/>
      <c r="GG4453"/>
      <c r="GH4453"/>
      <c r="GI4453"/>
      <c r="GJ4453"/>
      <c r="GK4453"/>
      <c r="GL4453"/>
      <c r="GM4453"/>
      <c r="GN4453"/>
      <c r="GO4453"/>
    </row>
    <row r="4454" spans="107:197">
      <c r="DC4454"/>
      <c r="FH4454"/>
      <c r="FI4454"/>
      <c r="FJ4454"/>
      <c r="FK4454"/>
      <c r="FL4454"/>
      <c r="FM4454"/>
      <c r="FN4454"/>
      <c r="FO4454"/>
      <c r="FP4454"/>
      <c r="FQ4454"/>
      <c r="FR4454"/>
      <c r="FS4454"/>
      <c r="FT4454"/>
      <c r="FU4454"/>
      <c r="FV4454"/>
      <c r="FW4454"/>
      <c r="FX4454"/>
      <c r="FY4454"/>
      <c r="FZ4454"/>
      <c r="GA4454"/>
      <c r="GB4454"/>
      <c r="GC4454"/>
      <c r="GD4454"/>
      <c r="GE4454"/>
      <c r="GF4454"/>
      <c r="GG4454"/>
      <c r="GH4454"/>
      <c r="GI4454"/>
      <c r="GJ4454"/>
      <c r="GK4454"/>
      <c r="GL4454"/>
      <c r="GM4454"/>
      <c r="GN4454"/>
      <c r="GO4454"/>
    </row>
    <row r="4455" spans="107:197">
      <c r="DC4455"/>
      <c r="FH4455"/>
      <c r="FI4455"/>
      <c r="FJ4455"/>
      <c r="FK4455"/>
      <c r="FL4455"/>
      <c r="FM4455"/>
      <c r="FN4455"/>
      <c r="FO4455"/>
      <c r="FP4455"/>
      <c r="FQ4455"/>
      <c r="FR4455"/>
      <c r="FS4455"/>
      <c r="FT4455"/>
      <c r="FU4455"/>
      <c r="FV4455"/>
      <c r="FW4455"/>
      <c r="FX4455"/>
      <c r="FY4455"/>
      <c r="FZ4455"/>
      <c r="GA4455"/>
      <c r="GB4455"/>
      <c r="GC4455"/>
      <c r="GD4455"/>
      <c r="GE4455"/>
      <c r="GF4455"/>
      <c r="GG4455"/>
      <c r="GH4455"/>
      <c r="GI4455"/>
      <c r="GJ4455"/>
      <c r="GK4455"/>
      <c r="GL4455"/>
      <c r="GM4455"/>
      <c r="GN4455"/>
      <c r="GO4455"/>
    </row>
    <row r="4456" spans="107:197">
      <c r="DC4456"/>
      <c r="FH4456"/>
      <c r="FI4456"/>
      <c r="FJ4456"/>
      <c r="FK4456"/>
      <c r="FL4456"/>
      <c r="FM4456"/>
      <c r="FN4456"/>
      <c r="FO4456"/>
      <c r="FP4456"/>
      <c r="FQ4456"/>
      <c r="FR4456"/>
      <c r="FS4456"/>
      <c r="FT4456"/>
      <c r="FU4456"/>
      <c r="FV4456"/>
      <c r="FW4456"/>
      <c r="FX4456"/>
      <c r="FY4456"/>
      <c r="FZ4456"/>
      <c r="GA4456"/>
      <c r="GB4456"/>
      <c r="GC4456"/>
      <c r="GD4456"/>
      <c r="GE4456"/>
      <c r="GF4456"/>
      <c r="GG4456"/>
      <c r="GH4456"/>
      <c r="GI4456"/>
      <c r="GJ4456"/>
      <c r="GK4456"/>
      <c r="GL4456"/>
      <c r="GM4456"/>
      <c r="GN4456"/>
      <c r="GO4456"/>
    </row>
    <row r="4457" spans="107:197">
      <c r="DC4457"/>
      <c r="FH4457"/>
      <c r="FI4457"/>
      <c r="FJ4457"/>
      <c r="FK4457"/>
      <c r="FL4457"/>
      <c r="FM4457"/>
      <c r="FN4457"/>
      <c r="FO4457"/>
      <c r="FP4457"/>
      <c r="FQ4457"/>
      <c r="FR4457"/>
      <c r="FS4457"/>
      <c r="FT4457"/>
      <c r="FU4457"/>
      <c r="FV4457"/>
      <c r="FW4457"/>
      <c r="FX4457"/>
      <c r="FY4457"/>
      <c r="FZ4457"/>
      <c r="GA4457"/>
      <c r="GB4457"/>
      <c r="GC4457"/>
      <c r="GD4457"/>
      <c r="GE4457"/>
      <c r="GF4457"/>
      <c r="GG4457"/>
      <c r="GH4457"/>
      <c r="GI4457"/>
      <c r="GJ4457"/>
      <c r="GK4457"/>
      <c r="GL4457"/>
      <c r="GM4457"/>
      <c r="GN4457"/>
      <c r="GO4457"/>
    </row>
    <row r="4458" spans="107:197">
      <c r="DC4458"/>
      <c r="FH4458"/>
      <c r="FI4458"/>
      <c r="FJ4458"/>
      <c r="FK4458"/>
      <c r="FL4458"/>
      <c r="FM4458"/>
      <c r="FN4458"/>
      <c r="FO4458"/>
      <c r="FP4458"/>
      <c r="FQ4458"/>
      <c r="FR4458"/>
      <c r="FS4458"/>
      <c r="FT4458"/>
      <c r="FU4458"/>
      <c r="FV4458"/>
      <c r="FW4458"/>
      <c r="FX4458"/>
      <c r="FY4458"/>
      <c r="FZ4458"/>
      <c r="GA4458"/>
      <c r="GB4458"/>
      <c r="GC4458"/>
      <c r="GD4458"/>
      <c r="GE4458"/>
      <c r="GF4458"/>
      <c r="GG4458"/>
      <c r="GH4458"/>
      <c r="GI4458"/>
      <c r="GJ4458"/>
      <c r="GK4458"/>
      <c r="GL4458"/>
      <c r="GM4458"/>
      <c r="GN4458"/>
      <c r="GO4458"/>
    </row>
    <row r="4459" spans="107:197">
      <c r="DC4459"/>
      <c r="FH4459"/>
      <c r="FI4459"/>
      <c r="FJ4459"/>
      <c r="FK4459"/>
      <c r="FL4459"/>
      <c r="FM4459"/>
      <c r="FN4459"/>
      <c r="FO4459"/>
      <c r="FP4459"/>
      <c r="FQ4459"/>
      <c r="FR4459"/>
      <c r="FS4459"/>
      <c r="FT4459"/>
      <c r="FU4459"/>
      <c r="FV4459"/>
      <c r="FW4459"/>
      <c r="FX4459"/>
      <c r="FY4459"/>
      <c r="FZ4459"/>
      <c r="GA4459"/>
      <c r="GB4459"/>
      <c r="GC4459"/>
      <c r="GD4459"/>
      <c r="GE4459"/>
      <c r="GF4459"/>
      <c r="GG4459"/>
      <c r="GH4459"/>
      <c r="GI4459"/>
      <c r="GJ4459"/>
      <c r="GK4459"/>
      <c r="GL4459"/>
      <c r="GM4459"/>
      <c r="GN4459"/>
      <c r="GO4459"/>
    </row>
    <row r="4460" spans="107:197">
      <c r="DC4460"/>
      <c r="FH4460"/>
      <c r="FI4460"/>
      <c r="FJ4460"/>
      <c r="FK4460"/>
      <c r="FL4460"/>
      <c r="FM4460"/>
      <c r="FN4460"/>
      <c r="FO4460"/>
      <c r="FP4460"/>
      <c r="FQ4460"/>
      <c r="FR4460"/>
      <c r="FS4460"/>
      <c r="FT4460"/>
      <c r="FU4460"/>
      <c r="FV4460"/>
      <c r="FW4460"/>
      <c r="FX4460"/>
      <c r="FY4460"/>
      <c r="FZ4460"/>
      <c r="GA4460"/>
      <c r="GB4460"/>
      <c r="GC4460"/>
      <c r="GD4460"/>
      <c r="GE4460"/>
      <c r="GF4460"/>
      <c r="GG4460"/>
      <c r="GH4460"/>
      <c r="GI4460"/>
      <c r="GJ4460"/>
      <c r="GK4460"/>
      <c r="GL4460"/>
      <c r="GM4460"/>
      <c r="GN4460"/>
      <c r="GO4460"/>
    </row>
    <row r="4461" spans="107:197">
      <c r="DC4461"/>
      <c r="FH4461"/>
      <c r="FI4461"/>
      <c r="FJ4461"/>
      <c r="FK4461"/>
      <c r="FL4461"/>
      <c r="FM4461"/>
      <c r="FN4461"/>
      <c r="FO4461"/>
      <c r="FP4461"/>
      <c r="FQ4461"/>
      <c r="FR4461"/>
      <c r="FS4461"/>
      <c r="FT4461"/>
      <c r="FU4461"/>
      <c r="FV4461"/>
      <c r="FW4461"/>
      <c r="FX4461"/>
      <c r="FY4461"/>
      <c r="FZ4461"/>
      <c r="GA4461"/>
      <c r="GB4461"/>
      <c r="GC4461"/>
      <c r="GD4461"/>
      <c r="GE4461"/>
      <c r="GF4461"/>
      <c r="GG4461"/>
      <c r="GH4461"/>
      <c r="GI4461"/>
      <c r="GJ4461"/>
      <c r="GK4461"/>
      <c r="GL4461"/>
      <c r="GM4461"/>
      <c r="GN4461"/>
      <c r="GO4461"/>
    </row>
    <row r="4462" spans="107:197">
      <c r="DC4462"/>
      <c r="FH4462"/>
      <c r="FI4462"/>
      <c r="FJ4462"/>
      <c r="FK4462"/>
      <c r="FL4462"/>
      <c r="FM4462"/>
      <c r="FN4462"/>
      <c r="FO4462"/>
      <c r="FP4462"/>
      <c r="FQ4462"/>
      <c r="FR4462"/>
      <c r="FS4462"/>
      <c r="FT4462"/>
      <c r="FU4462"/>
      <c r="FV4462"/>
      <c r="FW4462"/>
      <c r="FX4462"/>
      <c r="FY4462"/>
      <c r="FZ4462"/>
      <c r="GA4462"/>
      <c r="GB4462"/>
      <c r="GC4462"/>
      <c r="GD4462"/>
      <c r="GE4462"/>
      <c r="GF4462"/>
      <c r="GG4462"/>
      <c r="GH4462"/>
      <c r="GI4462"/>
      <c r="GJ4462"/>
      <c r="GK4462"/>
      <c r="GL4462"/>
      <c r="GM4462"/>
      <c r="GN4462"/>
      <c r="GO4462"/>
    </row>
    <row r="4463" spans="107:197">
      <c r="DC4463"/>
      <c r="FH4463"/>
      <c r="FI4463"/>
      <c r="FJ4463"/>
      <c r="FK4463"/>
      <c r="FL4463"/>
      <c r="FM4463"/>
      <c r="FN4463"/>
      <c r="FO4463"/>
      <c r="FP4463"/>
      <c r="FQ4463"/>
      <c r="FR4463"/>
      <c r="FS4463"/>
      <c r="FT4463"/>
      <c r="FU4463"/>
      <c r="FV4463"/>
      <c r="FW4463"/>
      <c r="FX4463"/>
      <c r="FY4463"/>
      <c r="FZ4463"/>
      <c r="GA4463"/>
      <c r="GB4463"/>
      <c r="GC4463"/>
      <c r="GD4463"/>
      <c r="GE4463"/>
      <c r="GF4463"/>
      <c r="GG4463"/>
      <c r="GH4463"/>
      <c r="GI4463"/>
      <c r="GJ4463"/>
      <c r="GK4463"/>
      <c r="GL4463"/>
      <c r="GM4463"/>
      <c r="GN4463"/>
      <c r="GO4463"/>
    </row>
    <row r="4464" spans="107:197">
      <c r="DC4464"/>
      <c r="FH4464"/>
      <c r="FI4464"/>
      <c r="FJ4464"/>
      <c r="FK4464"/>
      <c r="FL4464"/>
      <c r="FM4464"/>
      <c r="FN4464"/>
      <c r="FO4464"/>
      <c r="FP4464"/>
      <c r="FQ4464"/>
      <c r="FR4464"/>
      <c r="FS4464"/>
      <c r="FT4464"/>
      <c r="FU4464"/>
      <c r="FV4464"/>
      <c r="FW4464"/>
      <c r="FX4464"/>
      <c r="FY4464"/>
      <c r="FZ4464"/>
      <c r="GA4464"/>
      <c r="GB4464"/>
      <c r="GC4464"/>
      <c r="GD4464"/>
      <c r="GE4464"/>
      <c r="GF4464"/>
      <c r="GG4464"/>
      <c r="GH4464"/>
      <c r="GI4464"/>
      <c r="GJ4464"/>
      <c r="GK4464"/>
      <c r="GL4464"/>
      <c r="GM4464"/>
      <c r="GN4464"/>
      <c r="GO4464"/>
    </row>
    <row r="4465" spans="107:197">
      <c r="DC4465"/>
      <c r="FH4465"/>
      <c r="FI4465"/>
      <c r="FJ4465"/>
      <c r="FK4465"/>
      <c r="FL4465"/>
      <c r="FM4465"/>
      <c r="FN4465"/>
      <c r="FO4465"/>
      <c r="FP4465"/>
      <c r="FQ4465"/>
      <c r="FR4465"/>
      <c r="FS4465"/>
      <c r="FT4465"/>
      <c r="FU4465"/>
      <c r="FV4465"/>
      <c r="FW4465"/>
      <c r="FX4465"/>
      <c r="FY4465"/>
      <c r="FZ4465"/>
      <c r="GA4465"/>
      <c r="GB4465"/>
      <c r="GC4465"/>
      <c r="GD4465"/>
      <c r="GE4465"/>
      <c r="GF4465"/>
      <c r="GG4465"/>
      <c r="GH4465"/>
      <c r="GI4465"/>
      <c r="GJ4465"/>
      <c r="GK4465"/>
      <c r="GL4465"/>
      <c r="GM4465"/>
      <c r="GN4465"/>
      <c r="GO4465"/>
    </row>
    <row r="4466" spans="107:197">
      <c r="DC4466"/>
      <c r="FH4466"/>
      <c r="FI4466"/>
      <c r="FJ4466"/>
      <c r="FK4466"/>
      <c r="FL4466"/>
      <c r="FM4466"/>
      <c r="FN4466"/>
      <c r="FO4466"/>
      <c r="FP4466"/>
      <c r="FQ4466"/>
      <c r="FR4466"/>
      <c r="FS4466"/>
      <c r="FT4466"/>
      <c r="FU4466"/>
      <c r="FV4466"/>
      <c r="FW4466"/>
      <c r="FX4466"/>
      <c r="FY4466"/>
      <c r="FZ4466"/>
      <c r="GA4466"/>
      <c r="GB4466"/>
      <c r="GC4466"/>
      <c r="GD4466"/>
      <c r="GE4466"/>
      <c r="GF4466"/>
      <c r="GG4466"/>
      <c r="GH4466"/>
      <c r="GI4466"/>
      <c r="GJ4466"/>
      <c r="GK4466"/>
      <c r="GL4466"/>
      <c r="GM4466"/>
      <c r="GN4466"/>
      <c r="GO4466"/>
    </row>
    <row r="4467" spans="107:197">
      <c r="DC4467"/>
      <c r="FH4467"/>
      <c r="FI4467"/>
      <c r="FJ4467"/>
      <c r="FK4467"/>
      <c r="FL4467"/>
      <c r="FM4467"/>
      <c r="FN4467"/>
      <c r="FO4467"/>
      <c r="FP4467"/>
      <c r="FQ4467"/>
      <c r="FR4467"/>
      <c r="FS4467"/>
      <c r="FT4467"/>
      <c r="FU4467"/>
      <c r="FV4467"/>
      <c r="FW4467"/>
      <c r="FX4467"/>
      <c r="FY4467"/>
      <c r="FZ4467"/>
      <c r="GA4467"/>
      <c r="GB4467"/>
      <c r="GC4467"/>
      <c r="GD4467"/>
      <c r="GE4467"/>
      <c r="GF4467"/>
      <c r="GG4467"/>
      <c r="GH4467"/>
      <c r="GI4467"/>
      <c r="GJ4467"/>
      <c r="GK4467"/>
      <c r="GL4467"/>
      <c r="GM4467"/>
      <c r="GN4467"/>
      <c r="GO4467"/>
    </row>
    <row r="4468" spans="107:197">
      <c r="DC4468"/>
      <c r="FH4468"/>
      <c r="FI4468"/>
      <c r="FJ4468"/>
      <c r="FK4468"/>
      <c r="FL4468"/>
      <c r="FM4468"/>
      <c r="FN4468"/>
      <c r="FO4468"/>
      <c r="FP4468"/>
      <c r="FQ4468"/>
      <c r="FR4468"/>
      <c r="FS4468"/>
      <c r="FT4468"/>
      <c r="FU4468"/>
      <c r="FV4468"/>
      <c r="FW4468"/>
      <c r="FX4468"/>
      <c r="FY4468"/>
      <c r="FZ4468"/>
      <c r="GA4468"/>
      <c r="GB4468"/>
      <c r="GC4468"/>
      <c r="GD4468"/>
      <c r="GE4468"/>
      <c r="GF4468"/>
      <c r="GG4468"/>
      <c r="GH4468"/>
      <c r="GI4468"/>
      <c r="GJ4468"/>
      <c r="GK4468"/>
      <c r="GL4468"/>
      <c r="GM4468"/>
      <c r="GN4468"/>
      <c r="GO4468"/>
    </row>
    <row r="4469" spans="107:197">
      <c r="DC4469"/>
      <c r="FH4469"/>
      <c r="FI4469"/>
      <c r="FJ4469"/>
      <c r="FK4469"/>
      <c r="FL4469"/>
      <c r="FM4469"/>
      <c r="FN4469"/>
      <c r="FO4469"/>
      <c r="FP4469"/>
      <c r="FQ4469"/>
      <c r="FR4469"/>
      <c r="FS4469"/>
      <c r="FT4469"/>
      <c r="FU4469"/>
      <c r="FV4469"/>
      <c r="FW4469"/>
      <c r="FX4469"/>
      <c r="FY4469"/>
      <c r="FZ4469"/>
      <c r="GA4469"/>
      <c r="GB4469"/>
      <c r="GC4469"/>
      <c r="GD4469"/>
      <c r="GE4469"/>
      <c r="GF4469"/>
      <c r="GG4469"/>
      <c r="GH4469"/>
      <c r="GI4469"/>
      <c r="GJ4469"/>
      <c r="GK4469"/>
      <c r="GL4469"/>
      <c r="GM4469"/>
      <c r="GN4469"/>
      <c r="GO4469"/>
    </row>
    <row r="4470" spans="107:197">
      <c r="DC4470"/>
      <c r="FH4470"/>
      <c r="FI4470"/>
      <c r="FJ4470"/>
      <c r="FK4470"/>
      <c r="FL4470"/>
      <c r="FM4470"/>
      <c r="FN4470"/>
      <c r="FO4470"/>
      <c r="FP4470"/>
      <c r="FQ4470"/>
      <c r="FR4470"/>
      <c r="FS4470"/>
      <c r="FT4470"/>
      <c r="FU4470"/>
      <c r="FV4470"/>
      <c r="FW4470"/>
      <c r="FX4470"/>
      <c r="FY4470"/>
      <c r="FZ4470"/>
      <c r="GA4470"/>
      <c r="GB4470"/>
      <c r="GC4470"/>
      <c r="GD4470"/>
      <c r="GE4470"/>
      <c r="GF4470"/>
      <c r="GG4470"/>
      <c r="GH4470"/>
      <c r="GI4470"/>
      <c r="GJ4470"/>
      <c r="GK4470"/>
      <c r="GL4470"/>
      <c r="GM4470"/>
      <c r="GN4470"/>
      <c r="GO4470"/>
    </row>
    <row r="4471" spans="107:197">
      <c r="DC4471"/>
      <c r="FH4471"/>
      <c r="FI4471"/>
      <c r="FJ4471"/>
      <c r="FK4471"/>
      <c r="FL4471"/>
      <c r="FM4471"/>
      <c r="FN4471"/>
      <c r="FO4471"/>
      <c r="FP4471"/>
      <c r="FQ4471"/>
      <c r="FR4471"/>
      <c r="FS4471"/>
      <c r="FT4471"/>
      <c r="FU4471"/>
      <c r="FV4471"/>
      <c r="FW4471"/>
      <c r="FX4471"/>
      <c r="FY4471"/>
      <c r="FZ4471"/>
      <c r="GA4471"/>
      <c r="GB4471"/>
      <c r="GC4471"/>
      <c r="GD4471"/>
      <c r="GE4471"/>
      <c r="GF4471"/>
      <c r="GG4471"/>
      <c r="GH4471"/>
      <c r="GI4471"/>
      <c r="GJ4471"/>
      <c r="GK4471"/>
      <c r="GL4471"/>
      <c r="GM4471"/>
      <c r="GN4471"/>
      <c r="GO4471"/>
    </row>
    <row r="4472" spans="107:197">
      <c r="DC4472"/>
      <c r="FH4472"/>
      <c r="FI4472"/>
      <c r="FJ4472"/>
      <c r="FK4472"/>
      <c r="FL4472"/>
      <c r="FM4472"/>
      <c r="FN4472"/>
      <c r="FO4472"/>
      <c r="FP4472"/>
      <c r="FQ4472"/>
      <c r="FR4472"/>
      <c r="FS4472"/>
      <c r="FT4472"/>
      <c r="FU4472"/>
      <c r="FV4472"/>
      <c r="FW4472"/>
      <c r="FX4472"/>
      <c r="FY4472"/>
      <c r="FZ4472"/>
      <c r="GA4472"/>
      <c r="GB4472"/>
      <c r="GC4472"/>
      <c r="GD4472"/>
      <c r="GE4472"/>
      <c r="GF4472"/>
      <c r="GG4472"/>
      <c r="GH4472"/>
      <c r="GI4472"/>
      <c r="GJ4472"/>
      <c r="GK4472"/>
      <c r="GL4472"/>
      <c r="GM4472"/>
      <c r="GN4472"/>
      <c r="GO4472"/>
    </row>
    <row r="4473" spans="107:197">
      <c r="DC4473"/>
      <c r="FH4473"/>
      <c r="FI4473"/>
      <c r="FJ4473"/>
      <c r="FK4473"/>
      <c r="FL4473"/>
      <c r="FM4473"/>
      <c r="FN4473"/>
      <c r="FO4473"/>
      <c r="FP4473"/>
      <c r="FQ4473"/>
      <c r="FR4473"/>
      <c r="FS4473"/>
      <c r="FT4473"/>
      <c r="FU4473"/>
      <c r="FV4473"/>
      <c r="FW4473"/>
      <c r="FX4473"/>
      <c r="FY4473"/>
      <c r="FZ4473"/>
      <c r="GA4473"/>
      <c r="GB4473"/>
      <c r="GC4473"/>
      <c r="GD4473"/>
      <c r="GE4473"/>
      <c r="GF4473"/>
      <c r="GG4473"/>
      <c r="GH4473"/>
      <c r="GI4473"/>
      <c r="GJ4473"/>
      <c r="GK4473"/>
      <c r="GL4473"/>
      <c r="GM4473"/>
      <c r="GN4473"/>
      <c r="GO4473"/>
    </row>
    <row r="4474" spans="107:197">
      <c r="DC4474"/>
      <c r="FH4474"/>
      <c r="FI4474"/>
      <c r="FJ4474"/>
      <c r="FK4474"/>
      <c r="FL4474"/>
      <c r="FM4474"/>
      <c r="FN4474"/>
      <c r="FO4474"/>
      <c r="FP4474"/>
      <c r="FQ4474"/>
      <c r="FR4474"/>
      <c r="FS4474"/>
      <c r="FT4474"/>
      <c r="FU4474"/>
      <c r="FV4474"/>
      <c r="FW4474"/>
      <c r="FX4474"/>
      <c r="FY4474"/>
      <c r="FZ4474"/>
      <c r="GA4474"/>
      <c r="GB4474"/>
      <c r="GC4474"/>
      <c r="GD4474"/>
      <c r="GE4474"/>
      <c r="GF4474"/>
      <c r="GG4474"/>
      <c r="GH4474"/>
      <c r="GI4474"/>
      <c r="GJ4474"/>
      <c r="GK4474"/>
      <c r="GL4474"/>
      <c r="GM4474"/>
      <c r="GN4474"/>
      <c r="GO4474"/>
    </row>
    <row r="4475" spans="107:197">
      <c r="DC4475"/>
      <c r="FH4475"/>
      <c r="FI4475"/>
      <c r="FJ4475"/>
      <c r="FK4475"/>
      <c r="FL4475"/>
      <c r="FM4475"/>
      <c r="FN4475"/>
      <c r="FO4475"/>
      <c r="FP4475"/>
      <c r="FQ4475"/>
      <c r="FR4475"/>
      <c r="FS4475"/>
      <c r="FT4475"/>
      <c r="FU4475"/>
      <c r="FV4475"/>
      <c r="FW4475"/>
      <c r="FX4475"/>
      <c r="FY4475"/>
      <c r="FZ4475"/>
      <c r="GA4475"/>
      <c r="GB4475"/>
      <c r="GC4475"/>
      <c r="GD4475"/>
      <c r="GE4475"/>
      <c r="GF4475"/>
      <c r="GG4475"/>
      <c r="GH4475"/>
      <c r="GI4475"/>
      <c r="GJ4475"/>
      <c r="GK4475"/>
      <c r="GL4475"/>
      <c r="GM4475"/>
      <c r="GN4475"/>
      <c r="GO4475"/>
    </row>
    <row r="4476" spans="107:197">
      <c r="DC4476"/>
      <c r="FH4476"/>
      <c r="FI4476"/>
      <c r="FJ4476"/>
      <c r="FK4476"/>
      <c r="FL4476"/>
      <c r="FM4476"/>
      <c r="FN4476"/>
      <c r="FO4476"/>
      <c r="FP4476"/>
      <c r="FQ4476"/>
      <c r="FR4476"/>
      <c r="FS4476"/>
      <c r="FT4476"/>
      <c r="FU4476"/>
      <c r="FV4476"/>
      <c r="FW4476"/>
      <c r="FX4476"/>
      <c r="FY4476"/>
      <c r="FZ4476"/>
      <c r="GA4476"/>
      <c r="GB4476"/>
      <c r="GC4476"/>
      <c r="GD4476"/>
      <c r="GE4476"/>
      <c r="GF4476"/>
      <c r="GG4476"/>
      <c r="GH4476"/>
      <c r="GI4476"/>
      <c r="GJ4476"/>
      <c r="GK4476"/>
      <c r="GL4476"/>
      <c r="GM4476"/>
      <c r="GN4476"/>
      <c r="GO4476"/>
    </row>
    <row r="4477" spans="107:197">
      <c r="DC4477"/>
      <c r="FH4477"/>
      <c r="FI4477"/>
      <c r="FJ4477"/>
      <c r="FK4477"/>
      <c r="FL4477"/>
      <c r="FM4477"/>
      <c r="FN4477"/>
      <c r="FO4477"/>
      <c r="FP4477"/>
      <c r="FQ4477"/>
      <c r="FR4477"/>
      <c r="FS4477"/>
      <c r="FT4477"/>
      <c r="FU4477"/>
      <c r="FV4477"/>
      <c r="FW4477"/>
      <c r="FX4477"/>
      <c r="FY4477"/>
      <c r="FZ4477"/>
      <c r="GA4477"/>
      <c r="GB4477"/>
      <c r="GC4477"/>
      <c r="GD4477"/>
      <c r="GE4477"/>
      <c r="GF4477"/>
      <c r="GG4477"/>
      <c r="GH4477"/>
      <c r="GI4477"/>
      <c r="GJ4477"/>
      <c r="GK4477"/>
      <c r="GL4477"/>
      <c r="GM4477"/>
      <c r="GN4477"/>
      <c r="GO4477"/>
    </row>
    <row r="4478" spans="107:197">
      <c r="DC4478"/>
      <c r="FH4478"/>
      <c r="FI4478"/>
      <c r="FJ4478"/>
      <c r="FK4478"/>
      <c r="FL4478"/>
      <c r="FM4478"/>
      <c r="FN4478"/>
      <c r="FO4478"/>
      <c r="FP4478"/>
      <c r="FQ4478"/>
      <c r="FR4478"/>
      <c r="FS4478"/>
      <c r="FT4478"/>
      <c r="FU4478"/>
      <c r="FV4478"/>
      <c r="FW4478"/>
      <c r="FX4478"/>
      <c r="FY4478"/>
      <c r="FZ4478"/>
      <c r="GA4478"/>
      <c r="GB4478"/>
      <c r="GC4478"/>
      <c r="GD4478"/>
      <c r="GE4478"/>
      <c r="GF4478"/>
      <c r="GG4478"/>
      <c r="GH4478"/>
      <c r="GI4478"/>
      <c r="GJ4478"/>
      <c r="GK4478"/>
      <c r="GL4478"/>
      <c r="GM4478"/>
      <c r="GN4478"/>
      <c r="GO4478"/>
    </row>
    <row r="4479" spans="107:197">
      <c r="DC4479"/>
      <c r="FH4479"/>
      <c r="FI4479"/>
      <c r="FJ4479"/>
      <c r="FK4479"/>
      <c r="FL4479"/>
      <c r="FM4479"/>
      <c r="FN4479"/>
      <c r="FO4479"/>
      <c r="FP4479"/>
      <c r="FQ4479"/>
      <c r="FR4479"/>
      <c r="FS4479"/>
      <c r="FT4479"/>
      <c r="FU4479"/>
      <c r="FV4479"/>
      <c r="FW4479"/>
      <c r="FX4479"/>
      <c r="FY4479"/>
      <c r="FZ4479"/>
      <c r="GA4479"/>
      <c r="GB4479"/>
      <c r="GC4479"/>
      <c r="GD4479"/>
      <c r="GE4479"/>
      <c r="GF4479"/>
      <c r="GG4479"/>
      <c r="GH4479"/>
      <c r="GI4479"/>
      <c r="GJ4479"/>
      <c r="GK4479"/>
      <c r="GL4479"/>
      <c r="GM4479"/>
      <c r="GN4479"/>
      <c r="GO4479"/>
    </row>
    <row r="4480" spans="107:197">
      <c r="DC4480"/>
      <c r="FH4480"/>
      <c r="FI4480"/>
      <c r="FJ4480"/>
      <c r="FK4480"/>
      <c r="FL4480"/>
      <c r="FM4480"/>
      <c r="FN4480"/>
      <c r="FO4480"/>
      <c r="FP4480"/>
      <c r="FQ4480"/>
      <c r="FR4480"/>
      <c r="FS4480"/>
      <c r="FT4480"/>
      <c r="FU4480"/>
      <c r="FV4480"/>
      <c r="FW4480"/>
      <c r="FX4480"/>
      <c r="FY4480"/>
      <c r="FZ4480"/>
      <c r="GA4480"/>
      <c r="GB4480"/>
      <c r="GC4480"/>
      <c r="GD4480"/>
      <c r="GE4480"/>
      <c r="GF4480"/>
      <c r="GG4480"/>
      <c r="GH4480"/>
      <c r="GI4480"/>
      <c r="GJ4480"/>
      <c r="GK4480"/>
      <c r="GL4480"/>
      <c r="GM4480"/>
      <c r="GN4480"/>
      <c r="GO4480"/>
    </row>
    <row r="4481" spans="107:197">
      <c r="DC4481"/>
      <c r="FH4481"/>
      <c r="FI4481"/>
      <c r="FJ4481"/>
      <c r="FK4481"/>
      <c r="FL4481"/>
      <c r="FM4481"/>
      <c r="FN4481"/>
      <c r="FO4481"/>
      <c r="FP4481"/>
      <c r="FQ4481"/>
      <c r="FR4481"/>
      <c r="FS4481"/>
      <c r="FT4481"/>
      <c r="FU4481"/>
      <c r="FV4481"/>
      <c r="FW4481"/>
      <c r="FX4481"/>
      <c r="FY4481"/>
      <c r="FZ4481"/>
      <c r="GA4481"/>
      <c r="GB4481"/>
      <c r="GC4481"/>
      <c r="GD4481"/>
      <c r="GE4481"/>
      <c r="GF4481"/>
      <c r="GG4481"/>
      <c r="GH4481"/>
      <c r="GI4481"/>
      <c r="GJ4481"/>
      <c r="GK4481"/>
      <c r="GL4481"/>
      <c r="GM4481"/>
      <c r="GN4481"/>
      <c r="GO4481"/>
    </row>
    <row r="4482" spans="107:197">
      <c r="DC4482"/>
      <c r="FH4482"/>
      <c r="FI4482"/>
      <c r="FJ4482"/>
      <c r="FK4482"/>
      <c r="FL4482"/>
      <c r="FM4482"/>
      <c r="FN4482"/>
      <c r="FO4482"/>
      <c r="FP4482"/>
      <c r="FQ4482"/>
      <c r="FR4482"/>
      <c r="FS4482"/>
      <c r="FT4482"/>
      <c r="FU4482"/>
      <c r="FV4482"/>
      <c r="FW4482"/>
      <c r="FX4482"/>
      <c r="FY4482"/>
      <c r="FZ4482"/>
      <c r="GA4482"/>
      <c r="GB4482"/>
      <c r="GC4482"/>
      <c r="GD4482"/>
      <c r="GE4482"/>
      <c r="GF4482"/>
      <c r="GG4482"/>
      <c r="GH4482"/>
      <c r="GI4482"/>
      <c r="GJ4482"/>
      <c r="GK4482"/>
      <c r="GL4482"/>
      <c r="GM4482"/>
      <c r="GN4482"/>
      <c r="GO4482"/>
    </row>
    <row r="4483" spans="107:197">
      <c r="DC4483"/>
      <c r="FH4483"/>
      <c r="FI4483"/>
      <c r="FJ4483"/>
      <c r="FK4483"/>
      <c r="FL4483"/>
      <c r="FM4483"/>
      <c r="FN4483"/>
      <c r="FO4483"/>
      <c r="FP4483"/>
      <c r="FQ4483"/>
      <c r="FR4483"/>
      <c r="FS4483"/>
      <c r="FT4483"/>
      <c r="FU4483"/>
      <c r="FV4483"/>
      <c r="FW4483"/>
      <c r="FX4483"/>
      <c r="FY4483"/>
      <c r="FZ4483"/>
      <c r="GA4483"/>
      <c r="GB4483"/>
      <c r="GC4483"/>
      <c r="GD4483"/>
      <c r="GE4483"/>
      <c r="GF4483"/>
      <c r="GG4483"/>
      <c r="GH4483"/>
      <c r="GI4483"/>
      <c r="GJ4483"/>
      <c r="GK4483"/>
      <c r="GL4483"/>
      <c r="GM4483"/>
      <c r="GN4483"/>
      <c r="GO4483"/>
    </row>
    <row r="4484" spans="107:197">
      <c r="DC4484"/>
      <c r="FH4484"/>
      <c r="FI4484"/>
      <c r="FJ4484"/>
      <c r="FK4484"/>
      <c r="FL4484"/>
      <c r="FM4484"/>
      <c r="FN4484"/>
      <c r="FO4484"/>
      <c r="FP4484"/>
      <c r="FQ4484"/>
      <c r="FR4484"/>
      <c r="FS4484"/>
      <c r="FT4484"/>
      <c r="FU4484"/>
      <c r="FV4484"/>
      <c r="FW4484"/>
      <c r="FX4484"/>
      <c r="FY4484"/>
      <c r="FZ4484"/>
      <c r="GA4484"/>
      <c r="GB4484"/>
      <c r="GC4484"/>
      <c r="GD4484"/>
      <c r="GE4484"/>
      <c r="GF4484"/>
      <c r="GG4484"/>
      <c r="GH4484"/>
      <c r="GI4484"/>
      <c r="GJ4484"/>
      <c r="GK4484"/>
      <c r="GL4484"/>
      <c r="GM4484"/>
      <c r="GN4484"/>
      <c r="GO4484"/>
    </row>
    <row r="4485" spans="107:197">
      <c r="DC4485"/>
      <c r="FH4485"/>
      <c r="FI4485"/>
      <c r="FJ4485"/>
      <c r="FK4485"/>
      <c r="FL4485"/>
      <c r="FM4485"/>
      <c r="FN4485"/>
      <c r="FO4485"/>
      <c r="FP4485"/>
      <c r="FQ4485"/>
      <c r="FR4485"/>
      <c r="FS4485"/>
      <c r="FT4485"/>
      <c r="FU4485"/>
      <c r="FV4485"/>
      <c r="FW4485"/>
      <c r="FX4485"/>
      <c r="FY4485"/>
      <c r="FZ4485"/>
      <c r="GA4485"/>
      <c r="GB4485"/>
      <c r="GC4485"/>
      <c r="GD4485"/>
      <c r="GE4485"/>
      <c r="GF4485"/>
      <c r="GG4485"/>
      <c r="GH4485"/>
      <c r="GI4485"/>
      <c r="GJ4485"/>
      <c r="GK4485"/>
      <c r="GL4485"/>
      <c r="GM4485"/>
      <c r="GN4485"/>
      <c r="GO4485"/>
    </row>
    <row r="4486" spans="107:197">
      <c r="DC4486"/>
      <c r="FH4486"/>
      <c r="FI4486"/>
      <c r="FJ4486"/>
      <c r="FK4486"/>
      <c r="FL4486"/>
      <c r="FM4486"/>
      <c r="FN4486"/>
      <c r="FO4486"/>
      <c r="FP4486"/>
      <c r="FQ4486"/>
      <c r="FR4486"/>
      <c r="FS4486"/>
      <c r="FT4486"/>
      <c r="FU4486"/>
      <c r="FV4486"/>
      <c r="FW4486"/>
      <c r="FX4486"/>
      <c r="FY4486"/>
      <c r="FZ4486"/>
      <c r="GA4486"/>
      <c r="GB4486"/>
      <c r="GC4486"/>
      <c r="GD4486"/>
      <c r="GE4486"/>
      <c r="GF4486"/>
      <c r="GG4486"/>
      <c r="GH4486"/>
      <c r="GI4486"/>
      <c r="GJ4486"/>
      <c r="GK4486"/>
      <c r="GL4486"/>
      <c r="GM4486"/>
      <c r="GN4486"/>
      <c r="GO4486"/>
    </row>
    <row r="4487" spans="107:197">
      <c r="DC4487"/>
      <c r="FH4487"/>
      <c r="FI4487"/>
      <c r="FJ4487"/>
      <c r="FK4487"/>
      <c r="FL4487"/>
      <c r="FM4487"/>
      <c r="FN4487"/>
      <c r="FO4487"/>
      <c r="FP4487"/>
      <c r="FQ4487"/>
      <c r="FR4487"/>
      <c r="FS4487"/>
      <c r="FT4487"/>
      <c r="FU4487"/>
      <c r="FV4487"/>
      <c r="FW4487"/>
      <c r="FX4487"/>
      <c r="FY4487"/>
      <c r="FZ4487"/>
      <c r="GA4487"/>
      <c r="GB4487"/>
      <c r="GC4487"/>
      <c r="GD4487"/>
      <c r="GE4487"/>
      <c r="GF4487"/>
      <c r="GG4487"/>
      <c r="GH4487"/>
      <c r="GI4487"/>
      <c r="GJ4487"/>
      <c r="GK4487"/>
      <c r="GL4487"/>
      <c r="GM4487"/>
      <c r="GN4487"/>
      <c r="GO4487"/>
    </row>
    <row r="4488" spans="107:197">
      <c r="DC4488"/>
      <c r="FH4488"/>
      <c r="FI4488"/>
      <c r="FJ4488"/>
      <c r="FK4488"/>
      <c r="FL4488"/>
      <c r="FM4488"/>
      <c r="FN4488"/>
      <c r="FO4488"/>
      <c r="FP4488"/>
      <c r="FQ4488"/>
      <c r="FR4488"/>
      <c r="FS4488"/>
      <c r="FT4488"/>
      <c r="FU4488"/>
      <c r="FV4488"/>
      <c r="FW4488"/>
      <c r="FX4488"/>
      <c r="FY4488"/>
      <c r="FZ4488"/>
      <c r="GA4488"/>
      <c r="GB4488"/>
      <c r="GC4488"/>
      <c r="GD4488"/>
      <c r="GE4488"/>
      <c r="GF4488"/>
      <c r="GG4488"/>
      <c r="GH4488"/>
      <c r="GI4488"/>
      <c r="GJ4488"/>
      <c r="GK4488"/>
      <c r="GL4488"/>
      <c r="GM4488"/>
      <c r="GN4488"/>
      <c r="GO4488"/>
    </row>
    <row r="4489" spans="107:197">
      <c r="DC4489"/>
      <c r="FH4489"/>
      <c r="FI4489"/>
      <c r="FJ4489"/>
      <c r="FK4489"/>
      <c r="FL4489"/>
      <c r="FM4489"/>
      <c r="FN4489"/>
      <c r="FO4489"/>
      <c r="FP4489"/>
      <c r="FQ4489"/>
      <c r="FR4489"/>
      <c r="FS4489"/>
      <c r="FT4489"/>
      <c r="FU4489"/>
      <c r="FV4489"/>
      <c r="FW4489"/>
      <c r="FX4489"/>
      <c r="FY4489"/>
      <c r="FZ4489"/>
      <c r="GA4489"/>
      <c r="GB4489"/>
      <c r="GC4489"/>
      <c r="GD4489"/>
      <c r="GE4489"/>
      <c r="GF4489"/>
      <c r="GG4489"/>
      <c r="GH4489"/>
      <c r="GI4489"/>
      <c r="GJ4489"/>
      <c r="GK4489"/>
      <c r="GL4489"/>
      <c r="GM4489"/>
      <c r="GN4489"/>
      <c r="GO4489"/>
    </row>
    <row r="4490" spans="107:197">
      <c r="DC4490"/>
      <c r="FH4490"/>
      <c r="FI4490"/>
      <c r="FJ4490"/>
      <c r="FK4490"/>
      <c r="FL4490"/>
      <c r="FM4490"/>
      <c r="FN4490"/>
      <c r="FO4490"/>
      <c r="FP4490"/>
      <c r="FQ4490"/>
      <c r="FR4490"/>
      <c r="FS4490"/>
      <c r="FT4490"/>
      <c r="FU4490"/>
      <c r="FV4490"/>
      <c r="FW4490"/>
      <c r="FX4490"/>
      <c r="FY4490"/>
      <c r="FZ4490"/>
      <c r="GA4490"/>
      <c r="GB4490"/>
      <c r="GC4490"/>
      <c r="GD4490"/>
      <c r="GE4490"/>
      <c r="GF4490"/>
      <c r="GG4490"/>
      <c r="GH4490"/>
      <c r="GI4490"/>
      <c r="GJ4490"/>
      <c r="GK4490"/>
      <c r="GL4490"/>
      <c r="GM4490"/>
      <c r="GN4490"/>
      <c r="GO4490"/>
    </row>
    <row r="4491" spans="107:197">
      <c r="DC4491"/>
      <c r="FH4491"/>
      <c r="FI4491"/>
      <c r="FJ4491"/>
      <c r="FK4491"/>
      <c r="FL4491"/>
      <c r="FM4491"/>
      <c r="FN4491"/>
      <c r="FO4491"/>
      <c r="FP4491"/>
      <c r="FQ4491"/>
      <c r="FR4491"/>
      <c r="FS4491"/>
      <c r="FT4491"/>
      <c r="FU4491"/>
      <c r="FV4491"/>
      <c r="FW4491"/>
      <c r="FX4491"/>
      <c r="FY4491"/>
      <c r="FZ4491"/>
      <c r="GA4491"/>
      <c r="GB4491"/>
      <c r="GC4491"/>
      <c r="GD4491"/>
      <c r="GE4491"/>
      <c r="GF4491"/>
      <c r="GG4491"/>
      <c r="GH4491"/>
      <c r="GI4491"/>
      <c r="GJ4491"/>
      <c r="GK4491"/>
      <c r="GL4491"/>
      <c r="GM4491"/>
      <c r="GN4491"/>
      <c r="GO4491"/>
    </row>
    <row r="4492" spans="107:197">
      <c r="DC4492"/>
      <c r="FH4492"/>
      <c r="FI4492"/>
      <c r="FJ4492"/>
      <c r="FK4492"/>
      <c r="FL4492"/>
      <c r="FM4492"/>
      <c r="FN4492"/>
      <c r="FO4492"/>
      <c r="FP4492"/>
      <c r="FQ4492"/>
      <c r="FR4492"/>
      <c r="FS4492"/>
      <c r="FT4492"/>
      <c r="FU4492"/>
      <c r="FV4492"/>
      <c r="FW4492"/>
      <c r="FX4492"/>
      <c r="FY4492"/>
      <c r="FZ4492"/>
      <c r="GA4492"/>
      <c r="GB4492"/>
      <c r="GC4492"/>
      <c r="GD4492"/>
      <c r="GE4492"/>
      <c r="GF4492"/>
      <c r="GG4492"/>
      <c r="GH4492"/>
      <c r="GI4492"/>
      <c r="GJ4492"/>
      <c r="GK4492"/>
      <c r="GL4492"/>
      <c r="GM4492"/>
      <c r="GN4492"/>
      <c r="GO4492"/>
    </row>
    <row r="4493" spans="107:197">
      <c r="DC4493"/>
      <c r="FH4493"/>
      <c r="FI4493"/>
      <c r="FJ4493"/>
      <c r="FK4493"/>
      <c r="FL4493"/>
      <c r="FM4493"/>
      <c r="FN4493"/>
      <c r="FO4493"/>
      <c r="FP4493"/>
      <c r="FQ4493"/>
      <c r="FR4493"/>
      <c r="FS4493"/>
      <c r="FT4493"/>
      <c r="FU4493"/>
      <c r="FV4493"/>
      <c r="FW4493"/>
      <c r="FX4493"/>
      <c r="FY4493"/>
      <c r="FZ4493"/>
      <c r="GA4493"/>
      <c r="GB4493"/>
      <c r="GC4493"/>
      <c r="GD4493"/>
      <c r="GE4493"/>
      <c r="GF4493"/>
      <c r="GG4493"/>
      <c r="GH4493"/>
      <c r="GI4493"/>
      <c r="GJ4493"/>
      <c r="GK4493"/>
      <c r="GL4493"/>
      <c r="GM4493"/>
      <c r="GN4493"/>
      <c r="GO4493"/>
    </row>
    <row r="4494" spans="107:197">
      <c r="DC4494"/>
      <c r="FH4494"/>
      <c r="FI4494"/>
      <c r="FJ4494"/>
      <c r="FK4494"/>
      <c r="FL4494"/>
      <c r="FM4494"/>
      <c r="FN4494"/>
      <c r="FO4494"/>
      <c r="FP4494"/>
      <c r="FQ4494"/>
      <c r="FR4494"/>
      <c r="FS4494"/>
      <c r="FT4494"/>
      <c r="FU4494"/>
      <c r="FV4494"/>
      <c r="FW4494"/>
      <c r="FX4494"/>
      <c r="FY4494"/>
      <c r="FZ4494"/>
      <c r="GA4494"/>
      <c r="GB4494"/>
      <c r="GC4494"/>
      <c r="GD4494"/>
      <c r="GE4494"/>
      <c r="GF4494"/>
      <c r="GG4494"/>
      <c r="GH4494"/>
      <c r="GI4494"/>
      <c r="GJ4494"/>
      <c r="GK4494"/>
      <c r="GL4494"/>
      <c r="GM4494"/>
      <c r="GN4494"/>
      <c r="GO4494"/>
    </row>
    <row r="4495" spans="107:197">
      <c r="DC4495"/>
      <c r="FH4495"/>
      <c r="FI4495"/>
      <c r="FJ4495"/>
      <c r="FK4495"/>
      <c r="FL4495"/>
      <c r="FM4495"/>
      <c r="FN4495"/>
      <c r="FO4495"/>
      <c r="FP4495"/>
      <c r="FQ4495"/>
      <c r="FR4495"/>
      <c r="FS4495"/>
      <c r="FT4495"/>
      <c r="FU4495"/>
      <c r="FV4495"/>
      <c r="FW4495"/>
      <c r="FX4495"/>
      <c r="FY4495"/>
      <c r="FZ4495"/>
      <c r="GA4495"/>
      <c r="GB4495"/>
      <c r="GC4495"/>
      <c r="GD4495"/>
      <c r="GE4495"/>
      <c r="GF4495"/>
      <c r="GG4495"/>
      <c r="GH4495"/>
      <c r="GI4495"/>
      <c r="GJ4495"/>
      <c r="GK4495"/>
      <c r="GL4495"/>
      <c r="GM4495"/>
      <c r="GN4495"/>
      <c r="GO4495"/>
    </row>
    <row r="4496" spans="107:197">
      <c r="DC4496"/>
      <c r="FH4496"/>
      <c r="FI4496"/>
      <c r="FJ4496"/>
      <c r="FK4496"/>
      <c r="FL4496"/>
      <c r="FM4496"/>
      <c r="FN4496"/>
      <c r="FO4496"/>
      <c r="FP4496"/>
      <c r="FQ4496"/>
      <c r="FR4496"/>
      <c r="FS4496"/>
      <c r="FT4496"/>
      <c r="FU4496"/>
      <c r="FV4496"/>
      <c r="FW4496"/>
      <c r="FX4496"/>
      <c r="FY4496"/>
      <c r="FZ4496"/>
      <c r="GA4496"/>
      <c r="GB4496"/>
      <c r="GC4496"/>
      <c r="GD4496"/>
      <c r="GE4496"/>
      <c r="GF4496"/>
      <c r="GG4496"/>
      <c r="GH4496"/>
      <c r="GI4496"/>
      <c r="GJ4496"/>
      <c r="GK4496"/>
      <c r="GL4496"/>
      <c r="GM4496"/>
      <c r="GN4496"/>
      <c r="GO4496"/>
    </row>
    <row r="4497" spans="107:197">
      <c r="DC4497"/>
      <c r="FH4497"/>
      <c r="FI4497"/>
      <c r="FJ4497"/>
      <c r="FK4497"/>
      <c r="FL4497"/>
      <c r="FM4497"/>
      <c r="FN4497"/>
      <c r="FO4497"/>
      <c r="FP4497"/>
      <c r="FQ4497"/>
      <c r="FR4497"/>
      <c r="FS4497"/>
      <c r="FT4497"/>
      <c r="FU4497"/>
      <c r="FV4497"/>
      <c r="FW4497"/>
      <c r="FX4497"/>
      <c r="FY4497"/>
      <c r="FZ4497"/>
      <c r="GA4497"/>
      <c r="GB4497"/>
      <c r="GC4497"/>
      <c r="GD4497"/>
      <c r="GE4497"/>
      <c r="GF4497"/>
      <c r="GG4497"/>
      <c r="GH4497"/>
      <c r="GI4497"/>
      <c r="GJ4497"/>
      <c r="GK4497"/>
      <c r="GL4497"/>
      <c r="GM4497"/>
      <c r="GN4497"/>
      <c r="GO4497"/>
    </row>
    <row r="4498" spans="107:197">
      <c r="DC4498"/>
      <c r="FH4498"/>
      <c r="FI4498"/>
      <c r="FJ4498"/>
      <c r="FK4498"/>
      <c r="FL4498"/>
      <c r="FM4498"/>
      <c r="FN4498"/>
      <c r="FO4498"/>
      <c r="FP4498"/>
      <c r="FQ4498"/>
      <c r="FR4498"/>
      <c r="FS4498"/>
      <c r="FT4498"/>
      <c r="FU4498"/>
      <c r="FV4498"/>
      <c r="FW4498"/>
      <c r="FX4498"/>
      <c r="FY4498"/>
      <c r="FZ4498"/>
      <c r="GA4498"/>
      <c r="GB4498"/>
      <c r="GC4498"/>
      <c r="GD4498"/>
      <c r="GE4498"/>
      <c r="GF4498"/>
      <c r="GG4498"/>
      <c r="GH4498"/>
      <c r="GI4498"/>
      <c r="GJ4498"/>
      <c r="GK4498"/>
      <c r="GL4498"/>
      <c r="GM4498"/>
      <c r="GN4498"/>
      <c r="GO4498"/>
    </row>
    <row r="4499" spans="107:197">
      <c r="DC4499"/>
      <c r="FH4499"/>
      <c r="FI4499"/>
      <c r="FJ4499"/>
      <c r="FK4499"/>
      <c r="FL4499"/>
      <c r="FM4499"/>
      <c r="FN4499"/>
      <c r="FO4499"/>
      <c r="FP4499"/>
      <c r="FQ4499"/>
      <c r="FR4499"/>
      <c r="FS4499"/>
      <c r="FT4499"/>
      <c r="FU4499"/>
      <c r="FV4499"/>
      <c r="FW4499"/>
      <c r="FX4499"/>
      <c r="FY4499"/>
      <c r="FZ4499"/>
      <c r="GA4499"/>
      <c r="GB4499"/>
      <c r="GC4499"/>
      <c r="GD4499"/>
      <c r="GE4499"/>
      <c r="GF4499"/>
      <c r="GG4499"/>
      <c r="GH4499"/>
      <c r="GI4499"/>
      <c r="GJ4499"/>
      <c r="GK4499"/>
      <c r="GL4499"/>
      <c r="GM4499"/>
      <c r="GN4499"/>
      <c r="GO4499"/>
    </row>
    <row r="4500" spans="107:197">
      <c r="DC4500"/>
      <c r="FH4500"/>
      <c r="FI4500"/>
      <c r="FJ4500"/>
      <c r="FK4500"/>
      <c r="FL4500"/>
      <c r="FM4500"/>
      <c r="FN4500"/>
      <c r="FO4500"/>
      <c r="FP4500"/>
      <c r="FQ4500"/>
      <c r="FR4500"/>
      <c r="FS4500"/>
      <c r="FT4500"/>
      <c r="FU4500"/>
      <c r="FV4500"/>
      <c r="FW4500"/>
      <c r="FX4500"/>
      <c r="FY4500"/>
      <c r="FZ4500"/>
      <c r="GA4500"/>
      <c r="GB4500"/>
      <c r="GC4500"/>
      <c r="GD4500"/>
      <c r="GE4500"/>
      <c r="GF4500"/>
      <c r="GG4500"/>
      <c r="GH4500"/>
      <c r="GI4500"/>
      <c r="GJ4500"/>
      <c r="GK4500"/>
      <c r="GL4500"/>
      <c r="GM4500"/>
      <c r="GN4500"/>
      <c r="GO4500"/>
    </row>
    <row r="4501" spans="107:197">
      <c r="DC4501"/>
      <c r="FH4501"/>
      <c r="FI4501"/>
      <c r="FJ4501"/>
      <c r="FK4501"/>
      <c r="FL4501"/>
      <c r="FM4501"/>
      <c r="FN4501"/>
      <c r="FO4501"/>
      <c r="FP4501"/>
      <c r="FQ4501"/>
      <c r="FR4501"/>
      <c r="FS4501"/>
      <c r="FT4501"/>
      <c r="FU4501"/>
      <c r="FV4501"/>
      <c r="FW4501"/>
      <c r="FX4501"/>
      <c r="FY4501"/>
      <c r="FZ4501"/>
      <c r="GA4501"/>
      <c r="GB4501"/>
      <c r="GC4501"/>
      <c r="GD4501"/>
      <c r="GE4501"/>
      <c r="GF4501"/>
      <c r="GG4501"/>
      <c r="GH4501"/>
      <c r="GI4501"/>
      <c r="GJ4501"/>
      <c r="GK4501"/>
      <c r="GL4501"/>
      <c r="GM4501"/>
      <c r="GN4501"/>
      <c r="GO4501"/>
    </row>
    <row r="4502" spans="107:197">
      <c r="DC4502"/>
      <c r="FH4502"/>
      <c r="FI4502"/>
      <c r="FJ4502"/>
      <c r="FK4502"/>
      <c r="FL4502"/>
      <c r="FM4502"/>
      <c r="FN4502"/>
      <c r="FO4502"/>
      <c r="FP4502"/>
      <c r="FQ4502"/>
      <c r="FR4502"/>
      <c r="FS4502"/>
      <c r="FT4502"/>
      <c r="FU4502"/>
      <c r="FV4502"/>
      <c r="FW4502"/>
      <c r="FX4502"/>
      <c r="FY4502"/>
      <c r="FZ4502"/>
      <c r="GA4502"/>
      <c r="GB4502"/>
      <c r="GC4502"/>
      <c r="GD4502"/>
      <c r="GE4502"/>
      <c r="GF4502"/>
      <c r="GG4502"/>
      <c r="GH4502"/>
      <c r="GI4502"/>
      <c r="GJ4502"/>
      <c r="GK4502"/>
      <c r="GL4502"/>
      <c r="GM4502"/>
      <c r="GN4502"/>
      <c r="GO4502"/>
    </row>
    <row r="4503" spans="107:197">
      <c r="DC4503"/>
      <c r="FH4503"/>
      <c r="FI4503"/>
      <c r="FJ4503"/>
      <c r="FK4503"/>
      <c r="FL4503"/>
      <c r="FM4503"/>
      <c r="FN4503"/>
      <c r="FO4503"/>
      <c r="FP4503"/>
      <c r="FQ4503"/>
      <c r="FR4503"/>
      <c r="FS4503"/>
      <c r="FT4503"/>
      <c r="FU4503"/>
      <c r="FV4503"/>
      <c r="FW4503"/>
      <c r="FX4503"/>
      <c r="FY4503"/>
      <c r="FZ4503"/>
      <c r="GA4503"/>
      <c r="GB4503"/>
      <c r="GC4503"/>
      <c r="GD4503"/>
      <c r="GE4503"/>
      <c r="GF4503"/>
      <c r="GG4503"/>
      <c r="GH4503"/>
      <c r="GI4503"/>
      <c r="GJ4503"/>
      <c r="GK4503"/>
      <c r="GL4503"/>
      <c r="GM4503"/>
      <c r="GN4503"/>
      <c r="GO4503"/>
    </row>
    <row r="4504" spans="107:197">
      <c r="DC4504"/>
      <c r="FH4504"/>
      <c r="FI4504"/>
      <c r="FJ4504"/>
      <c r="FK4504"/>
      <c r="FL4504"/>
      <c r="FM4504"/>
      <c r="FN4504"/>
      <c r="FO4504"/>
      <c r="FP4504"/>
      <c r="FQ4504"/>
      <c r="FR4504"/>
      <c r="FS4504"/>
      <c r="FT4504"/>
      <c r="FU4504"/>
      <c r="FV4504"/>
      <c r="FW4504"/>
      <c r="FX4504"/>
      <c r="FY4504"/>
      <c r="FZ4504"/>
      <c r="GA4504"/>
      <c r="GB4504"/>
      <c r="GC4504"/>
      <c r="GD4504"/>
      <c r="GE4504"/>
      <c r="GF4504"/>
      <c r="GG4504"/>
      <c r="GH4504"/>
      <c r="GI4504"/>
      <c r="GJ4504"/>
      <c r="GK4504"/>
      <c r="GL4504"/>
      <c r="GM4504"/>
      <c r="GN4504"/>
      <c r="GO4504"/>
    </row>
    <row r="4505" spans="107:197">
      <c r="DC4505"/>
      <c r="FH4505"/>
      <c r="FI4505"/>
      <c r="FJ4505"/>
      <c r="FK4505"/>
      <c r="FL4505"/>
      <c r="FM4505"/>
      <c r="FN4505"/>
      <c r="FO4505"/>
      <c r="FP4505"/>
      <c r="FQ4505"/>
      <c r="FR4505"/>
      <c r="FS4505"/>
      <c r="FT4505"/>
      <c r="FU4505"/>
      <c r="FV4505"/>
      <c r="FW4505"/>
      <c r="FX4505"/>
      <c r="FY4505"/>
      <c r="FZ4505"/>
      <c r="GA4505"/>
      <c r="GB4505"/>
      <c r="GC4505"/>
      <c r="GD4505"/>
      <c r="GE4505"/>
      <c r="GF4505"/>
      <c r="GG4505"/>
      <c r="GH4505"/>
      <c r="GI4505"/>
      <c r="GJ4505"/>
      <c r="GK4505"/>
      <c r="GL4505"/>
      <c r="GM4505"/>
      <c r="GN4505"/>
      <c r="GO4505"/>
    </row>
    <row r="4506" spans="107:197">
      <c r="DC4506"/>
      <c r="FH4506"/>
      <c r="FI4506"/>
      <c r="FJ4506"/>
      <c r="FK4506"/>
      <c r="FL4506"/>
      <c r="FM4506"/>
      <c r="FN4506"/>
      <c r="FO4506"/>
      <c r="FP4506"/>
      <c r="FQ4506"/>
      <c r="FR4506"/>
      <c r="FS4506"/>
      <c r="FT4506"/>
      <c r="FU4506"/>
      <c r="FV4506"/>
      <c r="FW4506"/>
      <c r="FX4506"/>
      <c r="FY4506"/>
      <c r="FZ4506"/>
      <c r="GA4506"/>
      <c r="GB4506"/>
      <c r="GC4506"/>
      <c r="GD4506"/>
      <c r="GE4506"/>
      <c r="GF4506"/>
      <c r="GG4506"/>
      <c r="GH4506"/>
      <c r="GI4506"/>
      <c r="GJ4506"/>
      <c r="GK4506"/>
      <c r="GL4506"/>
      <c r="GM4506"/>
      <c r="GN4506"/>
      <c r="GO4506"/>
    </row>
    <row r="4507" spans="107:197">
      <c r="DC4507"/>
      <c r="FH4507"/>
      <c r="FI4507"/>
      <c r="FJ4507"/>
      <c r="FK4507"/>
      <c r="FL4507"/>
      <c r="FM4507"/>
      <c r="FN4507"/>
      <c r="FO4507"/>
      <c r="FP4507"/>
      <c r="FQ4507"/>
      <c r="FR4507"/>
      <c r="FS4507"/>
      <c r="FT4507"/>
      <c r="FU4507"/>
      <c r="FV4507"/>
      <c r="FW4507"/>
      <c r="FX4507"/>
      <c r="FY4507"/>
      <c r="FZ4507"/>
      <c r="GA4507"/>
      <c r="GB4507"/>
      <c r="GC4507"/>
      <c r="GD4507"/>
      <c r="GE4507"/>
      <c r="GF4507"/>
      <c r="GG4507"/>
      <c r="GH4507"/>
      <c r="GI4507"/>
      <c r="GJ4507"/>
      <c r="GK4507"/>
      <c r="GL4507"/>
      <c r="GM4507"/>
      <c r="GN4507"/>
      <c r="GO4507"/>
    </row>
    <row r="4508" spans="107:197">
      <c r="DC4508"/>
      <c r="FH4508"/>
      <c r="FI4508"/>
      <c r="FJ4508"/>
      <c r="FK4508"/>
      <c r="FL4508"/>
      <c r="FM4508"/>
      <c r="FN4508"/>
      <c r="FO4508"/>
      <c r="FP4508"/>
      <c r="FQ4508"/>
      <c r="FR4508"/>
      <c r="FS4508"/>
      <c r="FT4508"/>
      <c r="FU4508"/>
      <c r="FV4508"/>
      <c r="FW4508"/>
      <c r="FX4508"/>
      <c r="FY4508"/>
      <c r="FZ4508"/>
      <c r="GA4508"/>
      <c r="GB4508"/>
      <c r="GC4508"/>
      <c r="GD4508"/>
      <c r="GE4508"/>
      <c r="GF4508"/>
      <c r="GG4508"/>
      <c r="GH4508"/>
      <c r="GI4508"/>
      <c r="GJ4508"/>
      <c r="GK4508"/>
      <c r="GL4508"/>
      <c r="GM4508"/>
      <c r="GN4508"/>
      <c r="GO4508"/>
    </row>
    <row r="4509" spans="107:197">
      <c r="DC4509"/>
      <c r="FH4509"/>
      <c r="FI4509"/>
      <c r="FJ4509"/>
      <c r="FK4509"/>
      <c r="FL4509"/>
      <c r="FM4509"/>
      <c r="FN4509"/>
      <c r="FO4509"/>
      <c r="FP4509"/>
      <c r="FQ4509"/>
      <c r="FR4509"/>
      <c r="FS4509"/>
      <c r="FT4509"/>
      <c r="FU4509"/>
      <c r="FV4509"/>
      <c r="FW4509"/>
      <c r="FX4509"/>
      <c r="FY4509"/>
      <c r="FZ4509"/>
      <c r="GA4509"/>
      <c r="GB4509"/>
      <c r="GC4509"/>
      <c r="GD4509"/>
      <c r="GE4509"/>
      <c r="GF4509"/>
      <c r="GG4509"/>
      <c r="GH4509"/>
      <c r="GI4509"/>
      <c r="GJ4509"/>
      <c r="GK4509"/>
      <c r="GL4509"/>
      <c r="GM4509"/>
      <c r="GN4509"/>
      <c r="GO4509"/>
    </row>
    <row r="4510" spans="107:197">
      <c r="DC4510"/>
      <c r="FH4510"/>
      <c r="FI4510"/>
      <c r="FJ4510"/>
      <c r="FK4510"/>
      <c r="FL4510"/>
      <c r="FM4510"/>
      <c r="FN4510"/>
      <c r="FO4510"/>
      <c r="FP4510"/>
      <c r="FQ4510"/>
      <c r="FR4510"/>
      <c r="FS4510"/>
      <c r="FT4510"/>
      <c r="FU4510"/>
      <c r="FV4510"/>
      <c r="FW4510"/>
      <c r="FX4510"/>
      <c r="FY4510"/>
      <c r="FZ4510"/>
      <c r="GA4510"/>
      <c r="GB4510"/>
      <c r="GC4510"/>
      <c r="GD4510"/>
      <c r="GE4510"/>
      <c r="GF4510"/>
      <c r="GG4510"/>
      <c r="GH4510"/>
      <c r="GI4510"/>
      <c r="GJ4510"/>
      <c r="GK4510"/>
      <c r="GL4510"/>
      <c r="GM4510"/>
      <c r="GN4510"/>
      <c r="GO4510"/>
    </row>
    <row r="4511" spans="107:197">
      <c r="DC4511"/>
      <c r="FH4511"/>
      <c r="FI4511"/>
      <c r="FJ4511"/>
      <c r="FK4511"/>
      <c r="FL4511"/>
      <c r="FM4511"/>
      <c r="FN4511"/>
      <c r="FO4511"/>
      <c r="FP4511"/>
      <c r="FQ4511"/>
      <c r="FR4511"/>
      <c r="FS4511"/>
      <c r="FT4511"/>
      <c r="FU4511"/>
      <c r="FV4511"/>
      <c r="FW4511"/>
      <c r="FX4511"/>
      <c r="FY4511"/>
      <c r="FZ4511"/>
      <c r="GA4511"/>
      <c r="GB4511"/>
      <c r="GC4511"/>
      <c r="GD4511"/>
      <c r="GE4511"/>
      <c r="GF4511"/>
      <c r="GG4511"/>
      <c r="GH4511"/>
      <c r="GI4511"/>
      <c r="GJ4511"/>
      <c r="GK4511"/>
      <c r="GL4511"/>
      <c r="GM4511"/>
      <c r="GN4511"/>
      <c r="GO4511"/>
    </row>
    <row r="4512" spans="107:197">
      <c r="DC4512"/>
      <c r="FH4512"/>
      <c r="FI4512"/>
      <c r="FJ4512"/>
      <c r="FK4512"/>
      <c r="FL4512"/>
      <c r="FM4512"/>
      <c r="FN4512"/>
      <c r="FO4512"/>
      <c r="FP4512"/>
      <c r="FQ4512"/>
      <c r="FR4512"/>
      <c r="FS4512"/>
      <c r="FT4512"/>
      <c r="FU4512"/>
      <c r="FV4512"/>
      <c r="FW4512"/>
      <c r="FX4512"/>
      <c r="FY4512"/>
      <c r="FZ4512"/>
      <c r="GA4512"/>
      <c r="GB4512"/>
      <c r="GC4512"/>
      <c r="GD4512"/>
      <c r="GE4512"/>
      <c r="GF4512"/>
      <c r="GG4512"/>
      <c r="GH4512"/>
      <c r="GI4512"/>
      <c r="GJ4512"/>
      <c r="GK4512"/>
      <c r="GL4512"/>
      <c r="GM4512"/>
      <c r="GN4512"/>
      <c r="GO4512"/>
    </row>
    <row r="4513" spans="107:197">
      <c r="DC4513"/>
      <c r="FH4513"/>
      <c r="FI4513"/>
      <c r="FJ4513"/>
      <c r="FK4513"/>
      <c r="FL4513"/>
      <c r="FM4513"/>
      <c r="FN4513"/>
      <c r="FO4513"/>
      <c r="FP4513"/>
      <c r="FQ4513"/>
      <c r="FR4513"/>
      <c r="FS4513"/>
      <c r="FT4513"/>
      <c r="FU4513"/>
      <c r="FV4513"/>
      <c r="FW4513"/>
      <c r="FX4513"/>
      <c r="FY4513"/>
      <c r="FZ4513"/>
      <c r="GA4513"/>
      <c r="GB4513"/>
      <c r="GC4513"/>
      <c r="GD4513"/>
      <c r="GE4513"/>
      <c r="GF4513"/>
      <c r="GG4513"/>
      <c r="GH4513"/>
      <c r="GI4513"/>
      <c r="GJ4513"/>
      <c r="GK4513"/>
      <c r="GL4513"/>
      <c r="GM4513"/>
      <c r="GN4513"/>
      <c r="GO4513"/>
    </row>
    <row r="4514" spans="107:197">
      <c r="DC4514"/>
      <c r="FH4514"/>
      <c r="FI4514"/>
      <c r="FJ4514"/>
      <c r="FK4514"/>
      <c r="FL4514"/>
      <c r="FM4514"/>
      <c r="FN4514"/>
      <c r="FO4514"/>
      <c r="FP4514"/>
      <c r="FQ4514"/>
      <c r="FR4514"/>
      <c r="FS4514"/>
      <c r="FT4514"/>
      <c r="FU4514"/>
      <c r="FV4514"/>
      <c r="FW4514"/>
      <c r="FX4514"/>
      <c r="FY4514"/>
      <c r="FZ4514"/>
      <c r="GA4514"/>
      <c r="GB4514"/>
      <c r="GC4514"/>
      <c r="GD4514"/>
      <c r="GE4514"/>
      <c r="GF4514"/>
      <c r="GG4514"/>
      <c r="GH4514"/>
      <c r="GI4514"/>
      <c r="GJ4514"/>
      <c r="GK4514"/>
      <c r="GL4514"/>
      <c r="GM4514"/>
      <c r="GN4514"/>
      <c r="GO4514"/>
    </row>
    <row r="4515" spans="107:197">
      <c r="DC4515"/>
      <c r="FH4515"/>
      <c r="FI4515"/>
      <c r="FJ4515"/>
      <c r="FK4515"/>
      <c r="FL4515"/>
      <c r="FM4515"/>
      <c r="FN4515"/>
      <c r="FO4515"/>
      <c r="FP4515"/>
      <c r="FQ4515"/>
      <c r="FR4515"/>
      <c r="FS4515"/>
      <c r="FT4515"/>
      <c r="FU4515"/>
      <c r="FV4515"/>
      <c r="FW4515"/>
      <c r="FX4515"/>
      <c r="FY4515"/>
      <c r="FZ4515"/>
      <c r="GA4515"/>
      <c r="GB4515"/>
      <c r="GC4515"/>
      <c r="GD4515"/>
      <c r="GE4515"/>
      <c r="GF4515"/>
      <c r="GG4515"/>
      <c r="GH4515"/>
      <c r="GI4515"/>
      <c r="GJ4515"/>
      <c r="GK4515"/>
      <c r="GL4515"/>
      <c r="GM4515"/>
      <c r="GN4515"/>
      <c r="GO4515"/>
    </row>
    <row r="4516" spans="107:197">
      <c r="DC4516"/>
      <c r="FH4516"/>
      <c r="FI4516"/>
      <c r="FJ4516"/>
      <c r="FK4516"/>
      <c r="FL4516"/>
      <c r="FM4516"/>
      <c r="FN4516"/>
      <c r="FO4516"/>
      <c r="FP4516"/>
      <c r="FQ4516"/>
      <c r="FR4516"/>
      <c r="FS4516"/>
      <c r="FT4516"/>
      <c r="FU4516"/>
      <c r="FV4516"/>
      <c r="FW4516"/>
      <c r="FX4516"/>
      <c r="FY4516"/>
      <c r="FZ4516"/>
      <c r="GA4516"/>
      <c r="GB4516"/>
      <c r="GC4516"/>
      <c r="GD4516"/>
      <c r="GE4516"/>
      <c r="GF4516"/>
      <c r="GG4516"/>
      <c r="GH4516"/>
      <c r="GI4516"/>
      <c r="GJ4516"/>
      <c r="GK4516"/>
      <c r="GL4516"/>
      <c r="GM4516"/>
      <c r="GN4516"/>
      <c r="GO4516"/>
    </row>
    <row r="4517" spans="107:197">
      <c r="DC4517"/>
      <c r="FH4517"/>
      <c r="FI4517"/>
      <c r="FJ4517"/>
      <c r="FK4517"/>
      <c r="FL4517"/>
      <c r="FM4517"/>
      <c r="FN4517"/>
      <c r="FO4517"/>
      <c r="FP4517"/>
      <c r="FQ4517"/>
      <c r="FR4517"/>
      <c r="FS4517"/>
      <c r="FT4517"/>
      <c r="FU4517"/>
      <c r="FV4517"/>
      <c r="FW4517"/>
      <c r="FX4517"/>
      <c r="FY4517"/>
      <c r="FZ4517"/>
      <c r="GA4517"/>
      <c r="GB4517"/>
      <c r="GC4517"/>
      <c r="GD4517"/>
      <c r="GE4517"/>
      <c r="GF4517"/>
      <c r="GG4517"/>
      <c r="GH4517"/>
      <c r="GI4517"/>
      <c r="GJ4517"/>
      <c r="GK4517"/>
      <c r="GL4517"/>
      <c r="GM4517"/>
      <c r="GN4517"/>
      <c r="GO4517"/>
    </row>
    <row r="4518" spans="107:197">
      <c r="DC4518"/>
      <c r="FH4518"/>
      <c r="FI4518"/>
      <c r="FJ4518"/>
      <c r="FK4518"/>
      <c r="FL4518"/>
      <c r="FM4518"/>
      <c r="FN4518"/>
      <c r="FO4518"/>
      <c r="FP4518"/>
      <c r="FQ4518"/>
      <c r="FR4518"/>
      <c r="FS4518"/>
      <c r="FT4518"/>
      <c r="FU4518"/>
      <c r="FV4518"/>
      <c r="FW4518"/>
      <c r="FX4518"/>
      <c r="FY4518"/>
      <c r="FZ4518"/>
      <c r="GA4518"/>
      <c r="GB4518"/>
      <c r="GC4518"/>
      <c r="GD4518"/>
      <c r="GE4518"/>
      <c r="GF4518"/>
      <c r="GG4518"/>
      <c r="GH4518"/>
      <c r="GI4518"/>
      <c r="GJ4518"/>
      <c r="GK4518"/>
      <c r="GL4518"/>
      <c r="GM4518"/>
      <c r="GN4518"/>
      <c r="GO4518"/>
    </row>
    <row r="4519" spans="107:197">
      <c r="DC4519"/>
      <c r="FH4519"/>
      <c r="FI4519"/>
      <c r="FJ4519"/>
      <c r="FK4519"/>
      <c r="FL4519"/>
      <c r="FM4519"/>
      <c r="FN4519"/>
      <c r="FO4519"/>
      <c r="FP4519"/>
      <c r="FQ4519"/>
      <c r="FR4519"/>
      <c r="FS4519"/>
      <c r="FT4519"/>
      <c r="FU4519"/>
      <c r="FV4519"/>
      <c r="FW4519"/>
      <c r="FX4519"/>
      <c r="FY4519"/>
      <c r="FZ4519"/>
      <c r="GA4519"/>
      <c r="GB4519"/>
      <c r="GC4519"/>
      <c r="GD4519"/>
      <c r="GE4519"/>
      <c r="GF4519"/>
      <c r="GG4519"/>
      <c r="GH4519"/>
      <c r="GI4519"/>
      <c r="GJ4519"/>
      <c r="GK4519"/>
      <c r="GL4519"/>
      <c r="GM4519"/>
      <c r="GN4519"/>
      <c r="GO4519"/>
    </row>
    <row r="4520" spans="107:197">
      <c r="DC4520"/>
      <c r="FH4520"/>
      <c r="FI4520"/>
      <c r="FJ4520"/>
      <c r="FK4520"/>
      <c r="FL4520"/>
      <c r="FM4520"/>
      <c r="FN4520"/>
      <c r="FO4520"/>
      <c r="FP4520"/>
      <c r="FQ4520"/>
      <c r="FR4520"/>
      <c r="FS4520"/>
      <c r="FT4520"/>
      <c r="FU4520"/>
      <c r="FV4520"/>
      <c r="FW4520"/>
      <c r="FX4520"/>
      <c r="FY4520"/>
      <c r="FZ4520"/>
      <c r="GA4520"/>
      <c r="GB4520"/>
      <c r="GC4520"/>
      <c r="GD4520"/>
      <c r="GE4520"/>
      <c r="GF4520"/>
      <c r="GG4520"/>
      <c r="GH4520"/>
      <c r="GI4520"/>
      <c r="GJ4520"/>
      <c r="GK4520"/>
      <c r="GL4520"/>
      <c r="GM4520"/>
      <c r="GN4520"/>
      <c r="GO4520"/>
    </row>
    <row r="4521" spans="107:197">
      <c r="DC4521"/>
      <c r="FH4521"/>
      <c r="FI4521"/>
      <c r="FJ4521"/>
      <c r="FK4521"/>
      <c r="FL4521"/>
      <c r="FM4521"/>
      <c r="FN4521"/>
      <c r="FO4521"/>
      <c r="FP4521"/>
      <c r="FQ4521"/>
      <c r="FR4521"/>
      <c r="FS4521"/>
      <c r="FT4521"/>
      <c r="FU4521"/>
      <c r="FV4521"/>
      <c r="FW4521"/>
      <c r="FX4521"/>
      <c r="FY4521"/>
      <c r="FZ4521"/>
      <c r="GA4521"/>
      <c r="GB4521"/>
      <c r="GC4521"/>
      <c r="GD4521"/>
      <c r="GE4521"/>
      <c r="GF4521"/>
      <c r="GG4521"/>
      <c r="GH4521"/>
      <c r="GI4521"/>
      <c r="GJ4521"/>
      <c r="GK4521"/>
      <c r="GL4521"/>
      <c r="GM4521"/>
      <c r="GN4521"/>
      <c r="GO4521"/>
    </row>
    <row r="4522" spans="107:197">
      <c r="DC4522"/>
      <c r="FH4522"/>
      <c r="FI4522"/>
      <c r="FJ4522"/>
      <c r="FK4522"/>
      <c r="FL4522"/>
      <c r="FM4522"/>
      <c r="FN4522"/>
      <c r="FO4522"/>
      <c r="FP4522"/>
      <c r="FQ4522"/>
      <c r="FR4522"/>
      <c r="FS4522"/>
      <c r="FT4522"/>
      <c r="FU4522"/>
      <c r="FV4522"/>
      <c r="FW4522"/>
      <c r="FX4522"/>
      <c r="FY4522"/>
      <c r="FZ4522"/>
      <c r="GA4522"/>
      <c r="GB4522"/>
      <c r="GC4522"/>
      <c r="GD4522"/>
      <c r="GE4522"/>
      <c r="GF4522"/>
      <c r="GG4522"/>
      <c r="GH4522"/>
      <c r="GI4522"/>
      <c r="GJ4522"/>
      <c r="GK4522"/>
      <c r="GL4522"/>
      <c r="GM4522"/>
      <c r="GN4522"/>
      <c r="GO4522"/>
    </row>
    <row r="4523" spans="107:197">
      <c r="DC4523"/>
      <c r="FH4523"/>
      <c r="FI4523"/>
      <c r="FJ4523"/>
      <c r="FK4523"/>
      <c r="FL4523"/>
      <c r="FM4523"/>
      <c r="FN4523"/>
      <c r="FO4523"/>
      <c r="FP4523"/>
      <c r="FQ4523"/>
      <c r="FR4523"/>
      <c r="FS4523"/>
      <c r="FT4523"/>
      <c r="FU4523"/>
      <c r="FV4523"/>
      <c r="FW4523"/>
      <c r="FX4523"/>
      <c r="FY4523"/>
      <c r="FZ4523"/>
      <c r="GA4523"/>
      <c r="GB4523"/>
      <c r="GC4523"/>
      <c r="GD4523"/>
      <c r="GE4523"/>
      <c r="GF4523"/>
      <c r="GG4523"/>
      <c r="GH4523"/>
      <c r="GI4523"/>
      <c r="GJ4523"/>
      <c r="GK4523"/>
      <c r="GL4523"/>
      <c r="GM4523"/>
      <c r="GN4523"/>
      <c r="GO4523"/>
    </row>
    <row r="4524" spans="107:197">
      <c r="DC4524"/>
      <c r="FH4524"/>
      <c r="FI4524"/>
      <c r="FJ4524"/>
      <c r="FK4524"/>
      <c r="FL4524"/>
      <c r="FM4524"/>
      <c r="FN4524"/>
      <c r="FO4524"/>
      <c r="FP4524"/>
      <c r="FQ4524"/>
      <c r="FR4524"/>
      <c r="FS4524"/>
      <c r="FT4524"/>
      <c r="FU4524"/>
      <c r="FV4524"/>
      <c r="FW4524"/>
      <c r="FX4524"/>
      <c r="FY4524"/>
      <c r="FZ4524"/>
      <c r="GA4524"/>
      <c r="GB4524"/>
      <c r="GC4524"/>
      <c r="GD4524"/>
      <c r="GE4524"/>
      <c r="GF4524"/>
      <c r="GG4524"/>
      <c r="GH4524"/>
      <c r="GI4524"/>
      <c r="GJ4524"/>
      <c r="GK4524"/>
      <c r="GL4524"/>
      <c r="GM4524"/>
      <c r="GN4524"/>
      <c r="GO4524"/>
    </row>
    <row r="4525" spans="107:197">
      <c r="DC4525"/>
      <c r="FH4525"/>
      <c r="FI4525"/>
      <c r="FJ4525"/>
      <c r="FK4525"/>
      <c r="FL4525"/>
      <c r="FM4525"/>
      <c r="FN4525"/>
      <c r="FO4525"/>
      <c r="FP4525"/>
      <c r="FQ4525"/>
      <c r="FR4525"/>
      <c r="FS4525"/>
      <c r="FT4525"/>
      <c r="FU4525"/>
      <c r="FV4525"/>
      <c r="FW4525"/>
      <c r="FX4525"/>
      <c r="FY4525"/>
      <c r="FZ4525"/>
      <c r="GA4525"/>
      <c r="GB4525"/>
      <c r="GC4525"/>
      <c r="GD4525"/>
      <c r="GE4525"/>
      <c r="GF4525"/>
      <c r="GG4525"/>
      <c r="GH4525"/>
      <c r="GI4525"/>
      <c r="GJ4525"/>
      <c r="GK4525"/>
      <c r="GL4525"/>
      <c r="GM4525"/>
      <c r="GN4525"/>
      <c r="GO4525"/>
    </row>
    <row r="4526" spans="107:197">
      <c r="DC4526"/>
      <c r="FH4526"/>
      <c r="FI4526"/>
      <c r="FJ4526"/>
      <c r="FK4526"/>
      <c r="FL4526"/>
      <c r="FM4526"/>
      <c r="FN4526"/>
      <c r="FO4526"/>
      <c r="FP4526"/>
      <c r="FQ4526"/>
      <c r="FR4526"/>
      <c r="FS4526"/>
      <c r="FT4526"/>
      <c r="FU4526"/>
      <c r="FV4526"/>
      <c r="FW4526"/>
      <c r="FX4526"/>
      <c r="FY4526"/>
      <c r="FZ4526"/>
      <c r="GA4526"/>
      <c r="GB4526"/>
      <c r="GC4526"/>
      <c r="GD4526"/>
      <c r="GE4526"/>
      <c r="GF4526"/>
      <c r="GG4526"/>
      <c r="GH4526"/>
      <c r="GI4526"/>
      <c r="GJ4526"/>
      <c r="GK4526"/>
      <c r="GL4526"/>
      <c r="GM4526"/>
      <c r="GN4526"/>
      <c r="GO4526"/>
    </row>
    <row r="4527" spans="107:197">
      <c r="DC4527"/>
      <c r="FH4527"/>
      <c r="FI4527"/>
      <c r="FJ4527"/>
      <c r="FK4527"/>
      <c r="FL4527"/>
      <c r="FM4527"/>
      <c r="FN4527"/>
      <c r="FO4527"/>
      <c r="FP4527"/>
      <c r="FQ4527"/>
      <c r="FR4527"/>
      <c r="FS4527"/>
      <c r="FT4527"/>
      <c r="FU4527"/>
      <c r="FV4527"/>
      <c r="FW4527"/>
      <c r="FX4527"/>
      <c r="FY4527"/>
      <c r="FZ4527"/>
      <c r="GA4527"/>
      <c r="GB4527"/>
      <c r="GC4527"/>
      <c r="GD4527"/>
      <c r="GE4527"/>
      <c r="GF4527"/>
      <c r="GG4527"/>
      <c r="GH4527"/>
      <c r="GI4527"/>
      <c r="GJ4527"/>
      <c r="GK4527"/>
      <c r="GL4527"/>
      <c r="GM4527"/>
      <c r="GN4527"/>
      <c r="GO4527"/>
    </row>
    <row r="4528" spans="107:197">
      <c r="DC4528"/>
      <c r="FH4528"/>
      <c r="FI4528"/>
      <c r="FJ4528"/>
      <c r="FK4528"/>
      <c r="FL4528"/>
      <c r="FM4528"/>
      <c r="FN4528"/>
      <c r="FO4528"/>
      <c r="FP4528"/>
      <c r="FQ4528"/>
      <c r="FR4528"/>
      <c r="FS4528"/>
      <c r="FT4528"/>
      <c r="FU4528"/>
      <c r="FV4528"/>
      <c r="FW4528"/>
      <c r="FX4528"/>
      <c r="FY4528"/>
      <c r="FZ4528"/>
      <c r="GA4528"/>
      <c r="GB4528"/>
      <c r="GC4528"/>
      <c r="GD4528"/>
      <c r="GE4528"/>
      <c r="GF4528"/>
      <c r="GG4528"/>
      <c r="GH4528"/>
      <c r="GI4528"/>
      <c r="GJ4528"/>
      <c r="GK4528"/>
      <c r="GL4528"/>
      <c r="GM4528"/>
      <c r="GN4528"/>
      <c r="GO4528"/>
    </row>
    <row r="4529" spans="107:197">
      <c r="DC4529"/>
      <c r="FH4529"/>
      <c r="FI4529"/>
      <c r="FJ4529"/>
      <c r="FK4529"/>
      <c r="FL4529"/>
      <c r="FM4529"/>
      <c r="FN4529"/>
      <c r="FO4529"/>
      <c r="FP4529"/>
      <c r="FQ4529"/>
      <c r="FR4529"/>
      <c r="FS4529"/>
      <c r="FT4529"/>
      <c r="FU4529"/>
      <c r="FV4529"/>
      <c r="FW4529"/>
      <c r="FX4529"/>
      <c r="FY4529"/>
      <c r="FZ4529"/>
      <c r="GA4529"/>
      <c r="GB4529"/>
      <c r="GC4529"/>
      <c r="GD4529"/>
      <c r="GE4529"/>
      <c r="GF4529"/>
      <c r="GG4529"/>
      <c r="GH4529"/>
      <c r="GI4529"/>
      <c r="GJ4529"/>
      <c r="GK4529"/>
      <c r="GL4529"/>
      <c r="GM4529"/>
      <c r="GN4529"/>
      <c r="GO4529"/>
    </row>
    <row r="4530" spans="107:197">
      <c r="DC4530"/>
      <c r="FH4530"/>
      <c r="FI4530"/>
      <c r="FJ4530"/>
      <c r="FK4530"/>
      <c r="FL4530"/>
      <c r="FM4530"/>
      <c r="FN4530"/>
      <c r="FO4530"/>
      <c r="FP4530"/>
      <c r="FQ4530"/>
      <c r="FR4530"/>
      <c r="FS4530"/>
      <c r="FT4530"/>
      <c r="FU4530"/>
      <c r="FV4530"/>
      <c r="FW4530"/>
      <c r="FX4530"/>
      <c r="FY4530"/>
      <c r="FZ4530"/>
      <c r="GA4530"/>
      <c r="GB4530"/>
      <c r="GC4530"/>
      <c r="GD4530"/>
      <c r="GE4530"/>
      <c r="GF4530"/>
      <c r="GG4530"/>
      <c r="GH4530"/>
      <c r="GI4530"/>
      <c r="GJ4530"/>
      <c r="GK4530"/>
      <c r="GL4530"/>
      <c r="GM4530"/>
      <c r="GN4530"/>
      <c r="GO4530"/>
    </row>
    <row r="4531" spans="107:197">
      <c r="DC4531"/>
      <c r="FH4531"/>
      <c r="FI4531"/>
      <c r="FJ4531"/>
      <c r="FK4531"/>
      <c r="FL4531"/>
      <c r="FM4531"/>
      <c r="FN4531"/>
      <c r="FO4531"/>
      <c r="FP4531"/>
      <c r="FQ4531"/>
      <c r="FR4531"/>
      <c r="FS4531"/>
      <c r="FT4531"/>
      <c r="FU4531"/>
      <c r="FV4531"/>
      <c r="FW4531"/>
      <c r="FX4531"/>
      <c r="FY4531"/>
      <c r="FZ4531"/>
      <c r="GA4531"/>
      <c r="GB4531"/>
      <c r="GC4531"/>
      <c r="GD4531"/>
      <c r="GE4531"/>
      <c r="GF4531"/>
      <c r="GG4531"/>
      <c r="GH4531"/>
      <c r="GI4531"/>
      <c r="GJ4531"/>
      <c r="GK4531"/>
      <c r="GL4531"/>
      <c r="GM4531"/>
      <c r="GN4531"/>
      <c r="GO4531"/>
    </row>
    <row r="4532" spans="107:197">
      <c r="DC4532"/>
      <c r="FH4532"/>
      <c r="FI4532"/>
      <c r="FJ4532"/>
      <c r="FK4532"/>
      <c r="FL4532"/>
      <c r="FM4532"/>
      <c r="FN4532"/>
      <c r="FO4532"/>
      <c r="FP4532"/>
      <c r="FQ4532"/>
      <c r="FR4532"/>
      <c r="FS4532"/>
      <c r="FT4532"/>
      <c r="FU4532"/>
      <c r="FV4532"/>
      <c r="FW4532"/>
      <c r="FX4532"/>
      <c r="FY4532"/>
      <c r="FZ4532"/>
      <c r="GA4532"/>
      <c r="GB4532"/>
      <c r="GC4532"/>
      <c r="GD4532"/>
      <c r="GE4532"/>
      <c r="GF4532"/>
      <c r="GG4532"/>
      <c r="GH4532"/>
      <c r="GI4532"/>
      <c r="GJ4532"/>
      <c r="GK4532"/>
      <c r="GL4532"/>
      <c r="GM4532"/>
      <c r="GN4532"/>
      <c r="GO4532"/>
    </row>
    <row r="4533" spans="107:197">
      <c r="DC4533"/>
      <c r="FH4533"/>
      <c r="FI4533"/>
      <c r="FJ4533"/>
      <c r="FK4533"/>
      <c r="FL4533"/>
      <c r="FM4533"/>
      <c r="FN4533"/>
      <c r="FO4533"/>
      <c r="FP4533"/>
      <c r="FQ4533"/>
      <c r="FR4533"/>
      <c r="FS4533"/>
      <c r="FT4533"/>
      <c r="FU4533"/>
      <c r="FV4533"/>
      <c r="FW4533"/>
      <c r="FX4533"/>
      <c r="FY4533"/>
      <c r="FZ4533"/>
      <c r="GA4533"/>
      <c r="GB4533"/>
      <c r="GC4533"/>
      <c r="GD4533"/>
      <c r="GE4533"/>
      <c r="GF4533"/>
      <c r="GG4533"/>
      <c r="GH4533"/>
      <c r="GI4533"/>
      <c r="GJ4533"/>
      <c r="GK4533"/>
      <c r="GL4533"/>
      <c r="GM4533"/>
      <c r="GN4533"/>
      <c r="GO4533"/>
    </row>
    <row r="4534" spans="107:197">
      <c r="DC4534"/>
      <c r="FH4534"/>
      <c r="FI4534"/>
      <c r="FJ4534"/>
      <c r="FK4534"/>
      <c r="FL4534"/>
      <c r="FM4534"/>
      <c r="FN4534"/>
      <c r="FO4534"/>
      <c r="FP4534"/>
      <c r="FQ4534"/>
      <c r="FR4534"/>
      <c r="FS4534"/>
      <c r="FT4534"/>
      <c r="FU4534"/>
      <c r="FV4534"/>
      <c r="FW4534"/>
      <c r="FX4534"/>
      <c r="FY4534"/>
      <c r="FZ4534"/>
      <c r="GA4534"/>
      <c r="GB4534"/>
      <c r="GC4534"/>
      <c r="GD4534"/>
      <c r="GE4534"/>
      <c r="GF4534"/>
      <c r="GG4534"/>
      <c r="GH4534"/>
      <c r="GI4534"/>
      <c r="GJ4534"/>
      <c r="GK4534"/>
      <c r="GL4534"/>
      <c r="GM4534"/>
      <c r="GN4534"/>
      <c r="GO4534"/>
    </row>
    <row r="4535" spans="107:197">
      <c r="DC4535"/>
      <c r="FH4535"/>
      <c r="FI4535"/>
      <c r="FJ4535"/>
      <c r="FK4535"/>
      <c r="FL4535"/>
      <c r="FM4535"/>
      <c r="FN4535"/>
      <c r="FO4535"/>
      <c r="FP4535"/>
      <c r="FQ4535"/>
      <c r="FR4535"/>
      <c r="FS4535"/>
      <c r="FT4535"/>
      <c r="FU4535"/>
      <c r="FV4535"/>
      <c r="FW4535"/>
      <c r="FX4535"/>
      <c r="FY4535"/>
      <c r="FZ4535"/>
      <c r="GA4535"/>
      <c r="GB4535"/>
      <c r="GC4535"/>
      <c r="GD4535"/>
      <c r="GE4535"/>
      <c r="GF4535"/>
      <c r="GG4535"/>
      <c r="GH4535"/>
      <c r="GI4535"/>
      <c r="GJ4535"/>
      <c r="GK4535"/>
      <c r="GL4535"/>
      <c r="GM4535"/>
      <c r="GN4535"/>
      <c r="GO4535"/>
    </row>
    <row r="4536" spans="107:197">
      <c r="DC4536"/>
      <c r="FH4536"/>
      <c r="FI4536"/>
      <c r="FJ4536"/>
      <c r="FK4536"/>
      <c r="FL4536"/>
      <c r="FM4536"/>
      <c r="FN4536"/>
      <c r="FO4536"/>
      <c r="FP4536"/>
      <c r="FQ4536"/>
      <c r="FR4536"/>
      <c r="FS4536"/>
      <c r="FT4536"/>
      <c r="FU4536"/>
      <c r="FV4536"/>
      <c r="FW4536"/>
      <c r="FX4536"/>
      <c r="FY4536"/>
      <c r="FZ4536"/>
      <c r="GA4536"/>
      <c r="GB4536"/>
      <c r="GC4536"/>
      <c r="GD4536"/>
      <c r="GE4536"/>
      <c r="GF4536"/>
      <c r="GG4536"/>
      <c r="GH4536"/>
      <c r="GI4536"/>
      <c r="GJ4536"/>
      <c r="GK4536"/>
      <c r="GL4536"/>
      <c r="GM4536"/>
      <c r="GN4536"/>
      <c r="GO4536"/>
    </row>
    <row r="4537" spans="107:197">
      <c r="DC4537"/>
      <c r="FH4537"/>
      <c r="FI4537"/>
      <c r="FJ4537"/>
      <c r="FK4537"/>
      <c r="FL4537"/>
      <c r="FM4537"/>
      <c r="FN4537"/>
      <c r="FO4537"/>
      <c r="FP4537"/>
      <c r="FQ4537"/>
      <c r="FR4537"/>
      <c r="FS4537"/>
      <c r="FT4537"/>
      <c r="FU4537"/>
      <c r="FV4537"/>
      <c r="FW4537"/>
      <c r="FX4537"/>
      <c r="FY4537"/>
      <c r="FZ4537"/>
      <c r="GA4537"/>
      <c r="GB4537"/>
      <c r="GC4537"/>
      <c r="GD4537"/>
      <c r="GE4537"/>
      <c r="GF4537"/>
      <c r="GG4537"/>
      <c r="GH4537"/>
      <c r="GI4537"/>
      <c r="GJ4537"/>
      <c r="GK4537"/>
      <c r="GL4537"/>
      <c r="GM4537"/>
      <c r="GN4537"/>
      <c r="GO4537"/>
    </row>
    <row r="4538" spans="107:197">
      <c r="DC4538"/>
      <c r="FH4538"/>
      <c r="FI4538"/>
      <c r="FJ4538"/>
      <c r="FK4538"/>
      <c r="FL4538"/>
      <c r="FM4538"/>
      <c r="FN4538"/>
      <c r="FO4538"/>
      <c r="FP4538"/>
      <c r="FQ4538"/>
      <c r="FR4538"/>
      <c r="FS4538"/>
      <c r="FT4538"/>
      <c r="FU4538"/>
      <c r="FV4538"/>
      <c r="FW4538"/>
      <c r="FX4538"/>
      <c r="FY4538"/>
      <c r="FZ4538"/>
      <c r="GA4538"/>
      <c r="GB4538"/>
      <c r="GC4538"/>
      <c r="GD4538"/>
      <c r="GE4538"/>
      <c r="GF4538"/>
      <c r="GG4538"/>
      <c r="GH4538"/>
      <c r="GI4538"/>
      <c r="GJ4538"/>
      <c r="GK4538"/>
      <c r="GL4538"/>
      <c r="GM4538"/>
      <c r="GN4538"/>
      <c r="GO4538"/>
    </row>
    <row r="4539" spans="107:197">
      <c r="DC4539"/>
      <c r="FH4539"/>
      <c r="FI4539"/>
      <c r="FJ4539"/>
      <c r="FK4539"/>
      <c r="FL4539"/>
      <c r="FM4539"/>
      <c r="FN4539"/>
      <c r="FO4539"/>
      <c r="FP4539"/>
      <c r="FQ4539"/>
      <c r="FR4539"/>
      <c r="FS4539"/>
      <c r="FT4539"/>
      <c r="FU4539"/>
      <c r="FV4539"/>
      <c r="FW4539"/>
      <c r="FX4539"/>
      <c r="FY4539"/>
      <c r="FZ4539"/>
      <c r="GA4539"/>
      <c r="GB4539"/>
      <c r="GC4539"/>
      <c r="GD4539"/>
      <c r="GE4539"/>
      <c r="GF4539"/>
      <c r="GG4539"/>
      <c r="GH4539"/>
      <c r="GI4539"/>
      <c r="GJ4539"/>
      <c r="GK4539"/>
      <c r="GL4539"/>
      <c r="GM4539"/>
      <c r="GN4539"/>
      <c r="GO4539"/>
    </row>
    <row r="4540" spans="107:197">
      <c r="DC4540"/>
      <c r="FH4540"/>
      <c r="FI4540"/>
      <c r="FJ4540"/>
      <c r="FK4540"/>
      <c r="FL4540"/>
      <c r="FM4540"/>
      <c r="FN4540"/>
      <c r="FO4540"/>
      <c r="FP4540"/>
      <c r="FQ4540"/>
      <c r="FR4540"/>
      <c r="FS4540"/>
      <c r="FT4540"/>
      <c r="FU4540"/>
      <c r="FV4540"/>
      <c r="FW4540"/>
      <c r="FX4540"/>
      <c r="FY4540"/>
      <c r="FZ4540"/>
      <c r="GA4540"/>
      <c r="GB4540"/>
      <c r="GC4540"/>
      <c r="GD4540"/>
      <c r="GE4540"/>
      <c r="GF4540"/>
      <c r="GG4540"/>
      <c r="GH4540"/>
      <c r="GI4540"/>
      <c r="GJ4540"/>
      <c r="GK4540"/>
      <c r="GL4540"/>
      <c r="GM4540"/>
      <c r="GN4540"/>
      <c r="GO4540"/>
    </row>
    <row r="4541" spans="107:197">
      <c r="DC4541"/>
      <c r="FH4541"/>
      <c r="FI4541"/>
      <c r="FJ4541"/>
      <c r="FK4541"/>
      <c r="FL4541"/>
      <c r="FM4541"/>
      <c r="FN4541"/>
      <c r="FO4541"/>
      <c r="FP4541"/>
      <c r="FQ4541"/>
      <c r="FR4541"/>
      <c r="FS4541"/>
      <c r="FT4541"/>
      <c r="FU4541"/>
      <c r="FV4541"/>
      <c r="FW4541"/>
      <c r="FX4541"/>
      <c r="FY4541"/>
      <c r="FZ4541"/>
      <c r="GA4541"/>
      <c r="GB4541"/>
      <c r="GC4541"/>
      <c r="GD4541"/>
      <c r="GE4541"/>
      <c r="GF4541"/>
      <c r="GG4541"/>
      <c r="GH4541"/>
      <c r="GI4541"/>
      <c r="GJ4541"/>
      <c r="GK4541"/>
      <c r="GL4541"/>
      <c r="GM4541"/>
      <c r="GN4541"/>
      <c r="GO4541"/>
    </row>
    <row r="4542" spans="107:197">
      <c r="DC4542"/>
      <c r="FH4542"/>
      <c r="FI4542"/>
      <c r="FJ4542"/>
      <c r="FK4542"/>
      <c r="FL4542"/>
      <c r="FM4542"/>
      <c r="FN4542"/>
      <c r="FO4542"/>
      <c r="FP4542"/>
      <c r="FQ4542"/>
      <c r="FR4542"/>
      <c r="FS4542"/>
      <c r="FT4542"/>
      <c r="FU4542"/>
      <c r="FV4542"/>
      <c r="FW4542"/>
      <c r="FX4542"/>
      <c r="FY4542"/>
      <c r="FZ4542"/>
      <c r="GA4542"/>
      <c r="GB4542"/>
      <c r="GC4542"/>
      <c r="GD4542"/>
      <c r="GE4542"/>
      <c r="GF4542"/>
      <c r="GG4542"/>
      <c r="GH4542"/>
      <c r="GI4542"/>
      <c r="GJ4542"/>
      <c r="GK4542"/>
      <c r="GL4542"/>
      <c r="GM4542"/>
      <c r="GN4542"/>
      <c r="GO4542"/>
    </row>
    <row r="4543" spans="107:197">
      <c r="DC4543"/>
      <c r="FH4543"/>
      <c r="FI4543"/>
      <c r="FJ4543"/>
      <c r="FK4543"/>
      <c r="FL4543"/>
      <c r="FM4543"/>
      <c r="FN4543"/>
      <c r="FO4543"/>
      <c r="FP4543"/>
      <c r="FQ4543"/>
      <c r="FR4543"/>
      <c r="FS4543"/>
      <c r="FT4543"/>
      <c r="FU4543"/>
      <c r="FV4543"/>
      <c r="FW4543"/>
      <c r="FX4543"/>
      <c r="FY4543"/>
      <c r="FZ4543"/>
      <c r="GA4543"/>
      <c r="GB4543"/>
      <c r="GC4543"/>
      <c r="GD4543"/>
      <c r="GE4543"/>
      <c r="GF4543"/>
      <c r="GG4543"/>
      <c r="GH4543"/>
      <c r="GI4543"/>
      <c r="GJ4543"/>
      <c r="GK4543"/>
      <c r="GL4543"/>
      <c r="GM4543"/>
      <c r="GN4543"/>
      <c r="GO4543"/>
    </row>
    <row r="4544" spans="107:197">
      <c r="DC4544"/>
      <c r="FH4544"/>
      <c r="FI4544"/>
      <c r="FJ4544"/>
      <c r="FK4544"/>
      <c r="FL4544"/>
      <c r="FM4544"/>
      <c r="FN4544"/>
      <c r="FO4544"/>
      <c r="FP4544"/>
      <c r="FQ4544"/>
      <c r="FR4544"/>
      <c r="FS4544"/>
      <c r="FT4544"/>
      <c r="FU4544"/>
      <c r="FV4544"/>
      <c r="FW4544"/>
      <c r="FX4544"/>
      <c r="FY4544"/>
      <c r="FZ4544"/>
      <c r="GA4544"/>
      <c r="GB4544"/>
      <c r="GC4544"/>
      <c r="GD4544"/>
      <c r="GE4544"/>
      <c r="GF4544"/>
      <c r="GG4544"/>
      <c r="GH4544"/>
      <c r="GI4544"/>
      <c r="GJ4544"/>
      <c r="GK4544"/>
      <c r="GL4544"/>
      <c r="GM4544"/>
      <c r="GN4544"/>
      <c r="GO4544"/>
    </row>
    <row r="4545" spans="107:197">
      <c r="DC4545"/>
      <c r="FH4545"/>
      <c r="FI4545"/>
      <c r="FJ4545"/>
      <c r="FK4545"/>
      <c r="FL4545"/>
      <c r="FM4545"/>
      <c r="FN4545"/>
      <c r="FO4545"/>
      <c r="FP4545"/>
      <c r="FQ4545"/>
      <c r="FR4545"/>
      <c r="FS4545"/>
      <c r="FT4545"/>
      <c r="FU4545"/>
      <c r="FV4545"/>
      <c r="FW4545"/>
      <c r="FX4545"/>
      <c r="FY4545"/>
      <c r="FZ4545"/>
      <c r="GA4545"/>
      <c r="GB4545"/>
      <c r="GC4545"/>
      <c r="GD4545"/>
      <c r="GE4545"/>
      <c r="GF4545"/>
      <c r="GG4545"/>
      <c r="GH4545"/>
      <c r="GI4545"/>
      <c r="GJ4545"/>
      <c r="GK4545"/>
      <c r="GL4545"/>
      <c r="GM4545"/>
      <c r="GN4545"/>
      <c r="GO4545"/>
    </row>
    <row r="4546" spans="107:197">
      <c r="DC4546"/>
      <c r="FH4546"/>
      <c r="FI4546"/>
      <c r="FJ4546"/>
      <c r="FK4546"/>
      <c r="FL4546"/>
      <c r="FM4546"/>
      <c r="FN4546"/>
      <c r="FO4546"/>
      <c r="FP4546"/>
      <c r="FQ4546"/>
      <c r="FR4546"/>
      <c r="FS4546"/>
      <c r="FT4546"/>
      <c r="FU4546"/>
      <c r="FV4546"/>
      <c r="FW4546"/>
      <c r="FX4546"/>
      <c r="FY4546"/>
      <c r="FZ4546"/>
      <c r="GA4546"/>
      <c r="GB4546"/>
      <c r="GC4546"/>
      <c r="GD4546"/>
      <c r="GE4546"/>
      <c r="GF4546"/>
      <c r="GG4546"/>
      <c r="GH4546"/>
      <c r="GI4546"/>
      <c r="GJ4546"/>
      <c r="GK4546"/>
      <c r="GL4546"/>
      <c r="GM4546"/>
      <c r="GN4546"/>
      <c r="GO4546"/>
    </row>
    <row r="4547" spans="107:197">
      <c r="DC4547"/>
      <c r="FH4547"/>
      <c r="FI4547"/>
      <c r="FJ4547"/>
      <c r="FK4547"/>
      <c r="FL4547"/>
      <c r="FM4547"/>
      <c r="FN4547"/>
      <c r="FO4547"/>
      <c r="FP4547"/>
      <c r="FQ4547"/>
      <c r="FR4547"/>
      <c r="FS4547"/>
      <c r="FT4547"/>
      <c r="FU4547"/>
      <c r="FV4547"/>
      <c r="FW4547"/>
      <c r="FX4547"/>
      <c r="FY4547"/>
      <c r="FZ4547"/>
      <c r="GA4547"/>
      <c r="GB4547"/>
      <c r="GC4547"/>
      <c r="GD4547"/>
      <c r="GE4547"/>
      <c r="GF4547"/>
      <c r="GG4547"/>
      <c r="GH4547"/>
      <c r="GI4547"/>
      <c r="GJ4547"/>
      <c r="GK4547"/>
      <c r="GL4547"/>
      <c r="GM4547"/>
      <c r="GN4547"/>
      <c r="GO4547"/>
    </row>
    <row r="4548" spans="107:197">
      <c r="DC4548"/>
      <c r="FH4548"/>
      <c r="FI4548"/>
      <c r="FJ4548"/>
      <c r="FK4548"/>
      <c r="FL4548"/>
      <c r="FM4548"/>
      <c r="FN4548"/>
      <c r="FO4548"/>
      <c r="FP4548"/>
      <c r="FQ4548"/>
      <c r="FR4548"/>
      <c r="FS4548"/>
      <c r="FT4548"/>
      <c r="FU4548"/>
      <c r="FV4548"/>
      <c r="FW4548"/>
      <c r="FX4548"/>
      <c r="FY4548"/>
      <c r="FZ4548"/>
      <c r="GA4548"/>
      <c r="GB4548"/>
      <c r="GC4548"/>
      <c r="GD4548"/>
      <c r="GE4548"/>
      <c r="GF4548"/>
      <c r="GG4548"/>
      <c r="GH4548"/>
      <c r="GI4548"/>
      <c r="GJ4548"/>
      <c r="GK4548"/>
      <c r="GL4548"/>
      <c r="GM4548"/>
      <c r="GN4548"/>
      <c r="GO4548"/>
    </row>
    <row r="4549" spans="107:197">
      <c r="DC4549"/>
      <c r="FH4549"/>
      <c r="FI4549"/>
      <c r="FJ4549"/>
      <c r="FK4549"/>
      <c r="FL4549"/>
      <c r="FM4549"/>
      <c r="FN4549"/>
      <c r="FO4549"/>
      <c r="FP4549"/>
      <c r="FQ4549"/>
      <c r="FR4549"/>
      <c r="FS4549"/>
      <c r="FT4549"/>
      <c r="FU4549"/>
      <c r="FV4549"/>
      <c r="FW4549"/>
      <c r="FX4549"/>
      <c r="FY4549"/>
      <c r="FZ4549"/>
      <c r="GA4549"/>
      <c r="GB4549"/>
      <c r="GC4549"/>
      <c r="GD4549"/>
      <c r="GE4549"/>
      <c r="GF4549"/>
      <c r="GG4549"/>
      <c r="GH4549"/>
      <c r="GI4549"/>
      <c r="GJ4549"/>
      <c r="GK4549"/>
      <c r="GL4549"/>
      <c r="GM4549"/>
      <c r="GN4549"/>
      <c r="GO4549"/>
    </row>
    <row r="4550" spans="107:197">
      <c r="DC4550"/>
      <c r="FH4550"/>
      <c r="FI4550"/>
      <c r="FJ4550"/>
      <c r="FK4550"/>
      <c r="FL4550"/>
      <c r="FM4550"/>
      <c r="FN4550"/>
      <c r="FO4550"/>
      <c r="FP4550"/>
      <c r="FQ4550"/>
      <c r="FR4550"/>
      <c r="FS4550"/>
      <c r="FT4550"/>
      <c r="FU4550"/>
      <c r="FV4550"/>
      <c r="FW4550"/>
      <c r="FX4550"/>
      <c r="FY4550"/>
      <c r="FZ4550"/>
      <c r="GA4550"/>
      <c r="GB4550"/>
      <c r="GC4550"/>
      <c r="GD4550"/>
      <c r="GE4550"/>
      <c r="GF4550"/>
      <c r="GG4550"/>
      <c r="GH4550"/>
      <c r="GI4550"/>
      <c r="GJ4550"/>
      <c r="GK4550"/>
      <c r="GL4550"/>
      <c r="GM4550"/>
      <c r="GN4550"/>
      <c r="GO4550"/>
    </row>
    <row r="4551" spans="107:197">
      <c r="DC4551"/>
      <c r="FH4551"/>
      <c r="FI4551"/>
      <c r="FJ4551"/>
      <c r="FK4551"/>
      <c r="FL4551"/>
      <c r="FM4551"/>
      <c r="FN4551"/>
      <c r="FO4551"/>
      <c r="FP4551"/>
      <c r="FQ4551"/>
      <c r="FR4551"/>
      <c r="FS4551"/>
      <c r="FT4551"/>
      <c r="FU4551"/>
      <c r="FV4551"/>
      <c r="FW4551"/>
      <c r="FX4551"/>
      <c r="FY4551"/>
      <c r="FZ4551"/>
      <c r="GA4551"/>
      <c r="GB4551"/>
      <c r="GC4551"/>
      <c r="GD4551"/>
      <c r="GE4551"/>
      <c r="GF4551"/>
      <c r="GG4551"/>
      <c r="GH4551"/>
      <c r="GI4551"/>
      <c r="GJ4551"/>
      <c r="GK4551"/>
      <c r="GL4551"/>
      <c r="GM4551"/>
      <c r="GN4551"/>
      <c r="GO4551"/>
    </row>
    <row r="4552" spans="107:197">
      <c r="DC4552"/>
      <c r="FH4552"/>
      <c r="FI4552"/>
      <c r="FJ4552"/>
      <c r="FK4552"/>
      <c r="FL4552"/>
      <c r="FM4552"/>
      <c r="FN4552"/>
      <c r="FO4552"/>
      <c r="FP4552"/>
      <c r="FQ4552"/>
      <c r="FR4552"/>
      <c r="FS4552"/>
      <c r="FT4552"/>
      <c r="FU4552"/>
      <c r="FV4552"/>
      <c r="FW4552"/>
      <c r="FX4552"/>
      <c r="FY4552"/>
      <c r="FZ4552"/>
      <c r="GA4552"/>
      <c r="GB4552"/>
      <c r="GC4552"/>
      <c r="GD4552"/>
      <c r="GE4552"/>
      <c r="GF4552"/>
      <c r="GG4552"/>
      <c r="GH4552"/>
      <c r="GI4552"/>
      <c r="GJ4552"/>
      <c r="GK4552"/>
      <c r="GL4552"/>
      <c r="GM4552"/>
      <c r="GN4552"/>
      <c r="GO4552"/>
    </row>
    <row r="4553" spans="107:197">
      <c r="DC4553"/>
      <c r="FH4553"/>
      <c r="FI4553"/>
      <c r="FJ4553"/>
      <c r="FK4553"/>
      <c r="FL4553"/>
      <c r="FM4553"/>
      <c r="FN4553"/>
      <c r="FO4553"/>
      <c r="FP4553"/>
      <c r="FQ4553"/>
      <c r="FR4553"/>
      <c r="FS4553"/>
      <c r="FT4553"/>
      <c r="FU4553"/>
      <c r="FV4553"/>
      <c r="FW4553"/>
      <c r="FX4553"/>
      <c r="FY4553"/>
      <c r="FZ4553"/>
      <c r="GA4553"/>
      <c r="GB4553"/>
      <c r="GC4553"/>
      <c r="GD4553"/>
      <c r="GE4553"/>
      <c r="GF4553"/>
      <c r="GG4553"/>
      <c r="GH4553"/>
      <c r="GI4553"/>
      <c r="GJ4553"/>
      <c r="GK4553"/>
      <c r="GL4553"/>
      <c r="GM4553"/>
      <c r="GN4553"/>
      <c r="GO4553"/>
    </row>
    <row r="4554" spans="107:197">
      <c r="DC4554"/>
      <c r="FH4554"/>
      <c r="FI4554"/>
      <c r="FJ4554"/>
      <c r="FK4554"/>
      <c r="FL4554"/>
      <c r="FM4554"/>
      <c r="FN4554"/>
      <c r="FO4554"/>
      <c r="FP4554"/>
      <c r="FQ4554"/>
      <c r="FR4554"/>
      <c r="FS4554"/>
      <c r="FT4554"/>
      <c r="FU4554"/>
      <c r="FV4554"/>
      <c r="FW4554"/>
      <c r="FX4554"/>
      <c r="FY4554"/>
      <c r="FZ4554"/>
      <c r="GA4554"/>
      <c r="GB4554"/>
      <c r="GC4554"/>
      <c r="GD4554"/>
      <c r="GE4554"/>
      <c r="GF4554"/>
      <c r="GG4554"/>
      <c r="GH4554"/>
      <c r="GI4554"/>
      <c r="GJ4554"/>
      <c r="GK4554"/>
      <c r="GL4554"/>
      <c r="GM4554"/>
      <c r="GN4554"/>
      <c r="GO4554"/>
    </row>
    <row r="4555" spans="107:197">
      <c r="DC4555"/>
      <c r="FH4555"/>
      <c r="FI4555"/>
      <c r="FJ4555"/>
      <c r="FK4555"/>
      <c r="FL4555"/>
      <c r="FM4555"/>
      <c r="FN4555"/>
      <c r="FO4555"/>
      <c r="FP4555"/>
      <c r="FQ4555"/>
      <c r="FR4555"/>
      <c r="FS4555"/>
      <c r="FT4555"/>
      <c r="FU4555"/>
      <c r="FV4555"/>
      <c r="FW4555"/>
      <c r="FX4555"/>
      <c r="FY4555"/>
      <c r="FZ4555"/>
      <c r="GA4555"/>
      <c r="GB4555"/>
      <c r="GC4555"/>
      <c r="GD4555"/>
      <c r="GE4555"/>
      <c r="GF4555"/>
      <c r="GG4555"/>
      <c r="GH4555"/>
      <c r="GI4555"/>
      <c r="GJ4555"/>
      <c r="GK4555"/>
      <c r="GL4555"/>
      <c r="GM4555"/>
      <c r="GN4555"/>
      <c r="GO4555"/>
    </row>
    <row r="4556" spans="107:197">
      <c r="DC4556"/>
      <c r="FH4556"/>
      <c r="FI4556"/>
      <c r="FJ4556"/>
      <c r="FK4556"/>
      <c r="FL4556"/>
      <c r="FM4556"/>
      <c r="FN4556"/>
      <c r="FO4556"/>
      <c r="FP4556"/>
      <c r="FQ4556"/>
      <c r="FR4556"/>
      <c r="FS4556"/>
      <c r="FT4556"/>
      <c r="FU4556"/>
      <c r="FV4556"/>
      <c r="FW4556"/>
      <c r="FX4556"/>
      <c r="FY4556"/>
      <c r="FZ4556"/>
      <c r="GA4556"/>
      <c r="GB4556"/>
      <c r="GC4556"/>
      <c r="GD4556"/>
      <c r="GE4556"/>
      <c r="GF4556"/>
      <c r="GG4556"/>
      <c r="GH4556"/>
      <c r="GI4556"/>
      <c r="GJ4556"/>
      <c r="GK4556"/>
      <c r="GL4556"/>
      <c r="GM4556"/>
      <c r="GN4556"/>
      <c r="GO4556"/>
    </row>
    <row r="4557" spans="107:197">
      <c r="DC4557"/>
      <c r="FH4557"/>
      <c r="FI4557"/>
      <c r="FJ4557"/>
      <c r="FK4557"/>
      <c r="FL4557"/>
      <c r="FM4557"/>
      <c r="FN4557"/>
      <c r="FO4557"/>
      <c r="FP4557"/>
      <c r="FQ4557"/>
      <c r="FR4557"/>
      <c r="FS4557"/>
      <c r="FT4557"/>
      <c r="FU4557"/>
      <c r="FV4557"/>
      <c r="FW4557"/>
      <c r="FX4557"/>
      <c r="FY4557"/>
      <c r="FZ4557"/>
      <c r="GA4557"/>
      <c r="GB4557"/>
      <c r="GC4557"/>
      <c r="GD4557"/>
      <c r="GE4557"/>
      <c r="GF4557"/>
      <c r="GG4557"/>
      <c r="GH4557"/>
      <c r="GI4557"/>
      <c r="GJ4557"/>
      <c r="GK4557"/>
      <c r="GL4557"/>
      <c r="GM4557"/>
      <c r="GN4557"/>
      <c r="GO4557"/>
    </row>
    <row r="4558" spans="107:197">
      <c r="DC4558"/>
      <c r="FH4558"/>
      <c r="FI4558"/>
      <c r="FJ4558"/>
      <c r="FK4558"/>
      <c r="FL4558"/>
      <c r="FM4558"/>
      <c r="FN4558"/>
      <c r="FO4558"/>
      <c r="FP4558"/>
      <c r="FQ4558"/>
      <c r="FR4558"/>
      <c r="FS4558"/>
      <c r="FT4558"/>
      <c r="FU4558"/>
      <c r="FV4558"/>
      <c r="FW4558"/>
      <c r="FX4558"/>
      <c r="FY4558"/>
      <c r="FZ4558"/>
      <c r="GA4558"/>
      <c r="GB4558"/>
      <c r="GC4558"/>
      <c r="GD4558"/>
      <c r="GE4558"/>
      <c r="GF4558"/>
      <c r="GG4558"/>
      <c r="GH4558"/>
      <c r="GI4558"/>
      <c r="GJ4558"/>
      <c r="GK4558"/>
      <c r="GL4558"/>
      <c r="GM4558"/>
      <c r="GN4558"/>
      <c r="GO4558"/>
    </row>
    <row r="4559" spans="107:197">
      <c r="DC4559"/>
      <c r="FH4559"/>
      <c r="FI4559"/>
      <c r="FJ4559"/>
      <c r="FK4559"/>
      <c r="FL4559"/>
      <c r="FM4559"/>
      <c r="FN4559"/>
      <c r="FO4559"/>
      <c r="FP4559"/>
      <c r="FQ4559"/>
      <c r="FR4559"/>
      <c r="FS4559"/>
      <c r="FT4559"/>
      <c r="FU4559"/>
      <c r="FV4559"/>
      <c r="FW4559"/>
      <c r="FX4559"/>
      <c r="FY4559"/>
      <c r="FZ4559"/>
      <c r="GA4559"/>
      <c r="GB4559"/>
      <c r="GC4559"/>
      <c r="GD4559"/>
      <c r="GE4559"/>
      <c r="GF4559"/>
      <c r="GG4559"/>
      <c r="GH4559"/>
      <c r="GI4559"/>
      <c r="GJ4559"/>
      <c r="GK4559"/>
      <c r="GL4559"/>
      <c r="GM4559"/>
      <c r="GN4559"/>
      <c r="GO4559"/>
    </row>
    <row r="4560" spans="107:197">
      <c r="DC4560"/>
      <c r="FH4560"/>
      <c r="FI4560"/>
      <c r="FJ4560"/>
      <c r="FK4560"/>
      <c r="FL4560"/>
      <c r="FM4560"/>
      <c r="FN4560"/>
      <c r="FO4560"/>
      <c r="FP4560"/>
      <c r="FQ4560"/>
      <c r="FR4560"/>
      <c r="FS4560"/>
      <c r="FT4560"/>
      <c r="FU4560"/>
      <c r="FV4560"/>
      <c r="FW4560"/>
      <c r="FX4560"/>
      <c r="FY4560"/>
      <c r="FZ4560"/>
      <c r="GA4560"/>
      <c r="GB4560"/>
      <c r="GC4560"/>
      <c r="GD4560"/>
      <c r="GE4560"/>
      <c r="GF4560"/>
      <c r="GG4560"/>
      <c r="GH4560"/>
      <c r="GI4560"/>
      <c r="GJ4560"/>
      <c r="GK4560"/>
      <c r="GL4560"/>
      <c r="GM4560"/>
      <c r="GN4560"/>
      <c r="GO4560"/>
    </row>
    <row r="4561" spans="107:197">
      <c r="DC4561"/>
      <c r="FH4561"/>
      <c r="FI4561"/>
      <c r="FJ4561"/>
      <c r="FK4561"/>
      <c r="FL4561"/>
      <c r="FM4561"/>
      <c r="FN4561"/>
      <c r="FO4561"/>
      <c r="FP4561"/>
      <c r="FQ4561"/>
      <c r="FR4561"/>
      <c r="FS4561"/>
      <c r="FT4561"/>
      <c r="FU4561"/>
      <c r="FV4561"/>
      <c r="FW4561"/>
      <c r="FX4561"/>
      <c r="FY4561"/>
      <c r="FZ4561"/>
      <c r="GA4561"/>
      <c r="GB4561"/>
      <c r="GC4561"/>
      <c r="GD4561"/>
      <c r="GE4561"/>
      <c r="GF4561"/>
      <c r="GG4561"/>
      <c r="GH4561"/>
      <c r="GI4561"/>
      <c r="GJ4561"/>
      <c r="GK4561"/>
      <c r="GL4561"/>
      <c r="GM4561"/>
      <c r="GN4561"/>
      <c r="GO4561"/>
    </row>
    <row r="4562" spans="107:197">
      <c r="DC4562"/>
      <c r="FH4562"/>
      <c r="FI4562"/>
      <c r="FJ4562"/>
      <c r="FK4562"/>
      <c r="FL4562"/>
      <c r="FM4562"/>
      <c r="FN4562"/>
      <c r="FO4562"/>
      <c r="FP4562"/>
      <c r="FQ4562"/>
      <c r="FR4562"/>
      <c r="FS4562"/>
      <c r="FT4562"/>
      <c r="FU4562"/>
      <c r="FV4562"/>
      <c r="FW4562"/>
      <c r="FX4562"/>
      <c r="FY4562"/>
      <c r="FZ4562"/>
      <c r="GA4562"/>
      <c r="GB4562"/>
      <c r="GC4562"/>
      <c r="GD4562"/>
      <c r="GE4562"/>
      <c r="GF4562"/>
      <c r="GG4562"/>
      <c r="GH4562"/>
      <c r="GI4562"/>
      <c r="GJ4562"/>
      <c r="GK4562"/>
      <c r="GL4562"/>
      <c r="GM4562"/>
      <c r="GN4562"/>
      <c r="GO4562"/>
    </row>
    <row r="4563" spans="107:197">
      <c r="DC4563"/>
      <c r="FH4563"/>
      <c r="FI4563"/>
      <c r="FJ4563"/>
      <c r="FK4563"/>
      <c r="FL4563"/>
      <c r="FM4563"/>
      <c r="FN4563"/>
      <c r="FO4563"/>
      <c r="FP4563"/>
      <c r="FQ4563"/>
      <c r="FR4563"/>
      <c r="FS4563"/>
      <c r="FT4563"/>
      <c r="FU4563"/>
      <c r="FV4563"/>
      <c r="FW4563"/>
      <c r="FX4563"/>
      <c r="FY4563"/>
      <c r="FZ4563"/>
      <c r="GA4563"/>
      <c r="GB4563"/>
      <c r="GC4563"/>
      <c r="GD4563"/>
      <c r="GE4563"/>
      <c r="GF4563"/>
      <c r="GG4563"/>
      <c r="GH4563"/>
      <c r="GI4563"/>
      <c r="GJ4563"/>
      <c r="GK4563"/>
      <c r="GL4563"/>
      <c r="GM4563"/>
      <c r="GN4563"/>
      <c r="GO4563"/>
    </row>
    <row r="4564" spans="107:197">
      <c r="DC4564"/>
      <c r="FH4564"/>
      <c r="FI4564"/>
      <c r="FJ4564"/>
      <c r="FK4564"/>
      <c r="FL4564"/>
      <c r="FM4564"/>
      <c r="FN4564"/>
      <c r="FO4564"/>
      <c r="FP4564"/>
      <c r="FQ4564"/>
      <c r="FR4564"/>
      <c r="FS4564"/>
      <c r="FT4564"/>
      <c r="FU4564"/>
      <c r="FV4564"/>
      <c r="FW4564"/>
      <c r="FX4564"/>
      <c r="FY4564"/>
      <c r="FZ4564"/>
      <c r="GA4564"/>
      <c r="GB4564"/>
      <c r="GC4564"/>
      <c r="GD4564"/>
      <c r="GE4564"/>
      <c r="GF4564"/>
      <c r="GG4564"/>
      <c r="GH4564"/>
      <c r="GI4564"/>
      <c r="GJ4564"/>
      <c r="GK4564"/>
      <c r="GL4564"/>
      <c r="GM4564"/>
      <c r="GN4564"/>
      <c r="GO4564"/>
    </row>
    <row r="4565" spans="107:197">
      <c r="DC4565"/>
      <c r="FH4565"/>
      <c r="FI4565"/>
      <c r="FJ4565"/>
      <c r="FK4565"/>
      <c r="FL4565"/>
      <c r="FM4565"/>
      <c r="FN4565"/>
      <c r="FO4565"/>
      <c r="FP4565"/>
      <c r="FQ4565"/>
      <c r="FR4565"/>
      <c r="FS4565"/>
      <c r="FT4565"/>
      <c r="FU4565"/>
      <c r="FV4565"/>
      <c r="FW4565"/>
      <c r="FX4565"/>
      <c r="FY4565"/>
      <c r="FZ4565"/>
      <c r="GA4565"/>
      <c r="GB4565"/>
      <c r="GC4565"/>
      <c r="GD4565"/>
      <c r="GE4565"/>
      <c r="GF4565"/>
      <c r="GG4565"/>
      <c r="GH4565"/>
      <c r="GI4565"/>
      <c r="GJ4565"/>
      <c r="GK4565"/>
      <c r="GL4565"/>
      <c r="GM4565"/>
      <c r="GN4565"/>
      <c r="GO4565"/>
    </row>
    <row r="4566" spans="107:197">
      <c r="DC4566"/>
      <c r="FH4566"/>
      <c r="FI4566"/>
      <c r="FJ4566"/>
      <c r="FK4566"/>
      <c r="FL4566"/>
      <c r="FM4566"/>
      <c r="FN4566"/>
      <c r="FO4566"/>
      <c r="FP4566"/>
      <c r="FQ4566"/>
      <c r="FR4566"/>
      <c r="FS4566"/>
      <c r="FT4566"/>
      <c r="FU4566"/>
      <c r="FV4566"/>
      <c r="FW4566"/>
      <c r="FX4566"/>
      <c r="FY4566"/>
      <c r="FZ4566"/>
      <c r="GA4566"/>
      <c r="GB4566"/>
      <c r="GC4566"/>
      <c r="GD4566"/>
      <c r="GE4566"/>
      <c r="GF4566"/>
      <c r="GG4566"/>
      <c r="GH4566"/>
      <c r="GI4566"/>
      <c r="GJ4566"/>
      <c r="GK4566"/>
      <c r="GL4566"/>
      <c r="GM4566"/>
      <c r="GN4566"/>
      <c r="GO4566"/>
    </row>
    <row r="4567" spans="107:197">
      <c r="DC4567"/>
      <c r="FH4567"/>
      <c r="FI4567"/>
      <c r="FJ4567"/>
      <c r="FK4567"/>
      <c r="FL4567"/>
      <c r="FM4567"/>
      <c r="FN4567"/>
      <c r="FO4567"/>
      <c r="FP4567"/>
      <c r="FQ4567"/>
      <c r="FR4567"/>
      <c r="FS4567"/>
      <c r="FT4567"/>
      <c r="FU4567"/>
      <c r="FV4567"/>
      <c r="FW4567"/>
      <c r="FX4567"/>
      <c r="FY4567"/>
      <c r="FZ4567"/>
      <c r="GA4567"/>
      <c r="GB4567"/>
      <c r="GC4567"/>
      <c r="GD4567"/>
      <c r="GE4567"/>
      <c r="GF4567"/>
      <c r="GG4567"/>
      <c r="GH4567"/>
      <c r="GI4567"/>
      <c r="GJ4567"/>
      <c r="GK4567"/>
      <c r="GL4567"/>
      <c r="GM4567"/>
      <c r="GN4567"/>
      <c r="GO4567"/>
    </row>
    <row r="4568" spans="107:197">
      <c r="DC4568"/>
      <c r="FH4568"/>
      <c r="FI4568"/>
      <c r="FJ4568"/>
      <c r="FK4568"/>
      <c r="FL4568"/>
      <c r="FM4568"/>
      <c r="FN4568"/>
      <c r="FO4568"/>
      <c r="FP4568"/>
      <c r="FQ4568"/>
      <c r="FR4568"/>
      <c r="FS4568"/>
      <c r="FT4568"/>
      <c r="FU4568"/>
      <c r="FV4568"/>
      <c r="FW4568"/>
      <c r="FX4568"/>
      <c r="FY4568"/>
      <c r="FZ4568"/>
      <c r="GA4568"/>
      <c r="GB4568"/>
      <c r="GC4568"/>
      <c r="GD4568"/>
      <c r="GE4568"/>
      <c r="GF4568"/>
      <c r="GG4568"/>
      <c r="GH4568"/>
      <c r="GI4568"/>
      <c r="GJ4568"/>
      <c r="GK4568"/>
      <c r="GL4568"/>
      <c r="GM4568"/>
      <c r="GN4568"/>
      <c r="GO4568"/>
    </row>
    <row r="4569" spans="107:197">
      <c r="DC4569"/>
      <c r="FH4569"/>
      <c r="FI4569"/>
      <c r="FJ4569"/>
      <c r="FK4569"/>
      <c r="FL4569"/>
      <c r="FM4569"/>
      <c r="FN4569"/>
      <c r="FO4569"/>
      <c r="FP4569"/>
      <c r="FQ4569"/>
      <c r="FR4569"/>
      <c r="FS4569"/>
      <c r="FT4569"/>
      <c r="FU4569"/>
      <c r="FV4569"/>
      <c r="FW4569"/>
      <c r="FX4569"/>
      <c r="FY4569"/>
      <c r="FZ4569"/>
      <c r="GA4569"/>
      <c r="GB4569"/>
      <c r="GC4569"/>
      <c r="GD4569"/>
      <c r="GE4569"/>
      <c r="GF4569"/>
      <c r="GG4569"/>
      <c r="GH4569"/>
      <c r="GI4569"/>
      <c r="GJ4569"/>
      <c r="GK4569"/>
      <c r="GL4569"/>
      <c r="GM4569"/>
      <c r="GN4569"/>
      <c r="GO4569"/>
    </row>
    <row r="4570" spans="107:197">
      <c r="DC4570"/>
      <c r="FH4570"/>
      <c r="FI4570"/>
      <c r="FJ4570"/>
      <c r="FK4570"/>
      <c r="FL4570"/>
      <c r="FM4570"/>
      <c r="FN4570"/>
      <c r="FO4570"/>
      <c r="FP4570"/>
      <c r="FQ4570"/>
      <c r="FR4570"/>
      <c r="FS4570"/>
      <c r="FT4570"/>
      <c r="FU4570"/>
      <c r="FV4570"/>
      <c r="FW4570"/>
      <c r="FX4570"/>
      <c r="FY4570"/>
      <c r="FZ4570"/>
      <c r="GA4570"/>
      <c r="GB4570"/>
      <c r="GC4570"/>
      <c r="GD4570"/>
      <c r="GE4570"/>
      <c r="GF4570"/>
      <c r="GG4570"/>
      <c r="GH4570"/>
      <c r="GI4570"/>
      <c r="GJ4570"/>
      <c r="GK4570"/>
      <c r="GL4570"/>
      <c r="GM4570"/>
      <c r="GN4570"/>
      <c r="GO4570"/>
    </row>
    <row r="4571" spans="107:197">
      <c r="DC4571"/>
      <c r="FH4571"/>
      <c r="FI4571"/>
      <c r="FJ4571"/>
      <c r="FK4571"/>
      <c r="FL4571"/>
      <c r="FM4571"/>
      <c r="FN4571"/>
      <c r="FO4571"/>
      <c r="FP4571"/>
      <c r="FQ4571"/>
      <c r="FR4571"/>
      <c r="FS4571"/>
      <c r="FT4571"/>
      <c r="FU4571"/>
      <c r="FV4571"/>
      <c r="FW4571"/>
      <c r="FX4571"/>
      <c r="FY4571"/>
      <c r="FZ4571"/>
      <c r="GA4571"/>
      <c r="GB4571"/>
      <c r="GC4571"/>
      <c r="GD4571"/>
      <c r="GE4571"/>
      <c r="GF4571"/>
      <c r="GG4571"/>
      <c r="GH4571"/>
      <c r="GI4571"/>
      <c r="GJ4571"/>
      <c r="GK4571"/>
      <c r="GL4571"/>
      <c r="GM4571"/>
      <c r="GN4571"/>
      <c r="GO4571"/>
    </row>
    <row r="4572" spans="107:197">
      <c r="DC4572"/>
      <c r="FH4572"/>
      <c r="FI4572"/>
      <c r="FJ4572"/>
      <c r="FK4572"/>
      <c r="FL4572"/>
      <c r="FM4572"/>
      <c r="FN4572"/>
      <c r="FO4572"/>
      <c r="FP4572"/>
      <c r="FQ4572"/>
      <c r="FR4572"/>
      <c r="FS4572"/>
      <c r="FT4572"/>
      <c r="FU4572"/>
      <c r="FV4572"/>
      <c r="FW4572"/>
      <c r="FX4572"/>
      <c r="FY4572"/>
      <c r="FZ4572"/>
      <c r="GA4572"/>
      <c r="GB4572"/>
      <c r="GC4572"/>
      <c r="GD4572"/>
      <c r="GE4572"/>
      <c r="GF4572"/>
      <c r="GG4572"/>
      <c r="GH4572"/>
      <c r="GI4572"/>
      <c r="GJ4572"/>
      <c r="GK4572"/>
      <c r="GL4572"/>
      <c r="GM4572"/>
      <c r="GN4572"/>
      <c r="GO4572"/>
    </row>
    <row r="4573" spans="107:197">
      <c r="DC4573"/>
      <c r="FH4573"/>
      <c r="FI4573"/>
      <c r="FJ4573"/>
      <c r="FK4573"/>
      <c r="FL4573"/>
      <c r="FM4573"/>
      <c r="FN4573"/>
      <c r="FO4573"/>
      <c r="FP4573"/>
      <c r="FQ4573"/>
      <c r="FR4573"/>
      <c r="FS4573"/>
      <c r="FT4573"/>
      <c r="FU4573"/>
      <c r="FV4573"/>
      <c r="FW4573"/>
      <c r="FX4573"/>
      <c r="FY4573"/>
      <c r="FZ4573"/>
      <c r="GA4573"/>
      <c r="GB4573"/>
      <c r="GC4573"/>
      <c r="GD4573"/>
      <c r="GE4573"/>
      <c r="GF4573"/>
      <c r="GG4573"/>
      <c r="GH4573"/>
      <c r="GI4573"/>
      <c r="GJ4573"/>
      <c r="GK4573"/>
      <c r="GL4573"/>
      <c r="GM4573"/>
      <c r="GN4573"/>
      <c r="GO4573"/>
    </row>
    <row r="4574" spans="107:197">
      <c r="DC4574"/>
      <c r="FH4574"/>
      <c r="FI4574"/>
      <c r="FJ4574"/>
      <c r="FK4574"/>
      <c r="FL4574"/>
      <c r="FM4574"/>
      <c r="FN4574"/>
      <c r="FO4574"/>
      <c r="FP4574"/>
      <c r="FQ4574"/>
      <c r="FR4574"/>
      <c r="FS4574"/>
      <c r="FT4574"/>
      <c r="FU4574"/>
      <c r="FV4574"/>
      <c r="FW4574"/>
      <c r="FX4574"/>
      <c r="FY4574"/>
      <c r="FZ4574"/>
      <c r="GA4574"/>
      <c r="GB4574"/>
      <c r="GC4574"/>
      <c r="GD4574"/>
      <c r="GE4574"/>
      <c r="GF4574"/>
      <c r="GG4574"/>
      <c r="GH4574"/>
      <c r="GI4574"/>
      <c r="GJ4574"/>
      <c r="GK4574"/>
      <c r="GL4574"/>
      <c r="GM4574"/>
      <c r="GN4574"/>
      <c r="GO4574"/>
    </row>
    <row r="4575" spans="107:197">
      <c r="DC4575"/>
      <c r="FH4575"/>
      <c r="FI4575"/>
      <c r="FJ4575"/>
      <c r="FK4575"/>
      <c r="FL4575"/>
      <c r="FM4575"/>
      <c r="FN4575"/>
      <c r="FO4575"/>
      <c r="FP4575"/>
      <c r="FQ4575"/>
      <c r="FR4575"/>
      <c r="FS4575"/>
      <c r="FT4575"/>
      <c r="FU4575"/>
      <c r="FV4575"/>
      <c r="FW4575"/>
      <c r="FX4575"/>
      <c r="FY4575"/>
      <c r="FZ4575"/>
      <c r="GA4575"/>
      <c r="GB4575"/>
      <c r="GC4575"/>
      <c r="GD4575"/>
      <c r="GE4575"/>
      <c r="GF4575"/>
      <c r="GG4575"/>
      <c r="GH4575"/>
      <c r="GI4575"/>
      <c r="GJ4575"/>
      <c r="GK4575"/>
      <c r="GL4575"/>
      <c r="GM4575"/>
      <c r="GN4575"/>
      <c r="GO4575"/>
    </row>
    <row r="4576" spans="107:197">
      <c r="DC4576"/>
      <c r="FH4576"/>
      <c r="FI4576"/>
      <c r="FJ4576"/>
      <c r="FK4576"/>
      <c r="FL4576"/>
      <c r="FM4576"/>
      <c r="FN4576"/>
      <c r="FO4576"/>
      <c r="FP4576"/>
      <c r="FQ4576"/>
      <c r="FR4576"/>
      <c r="FS4576"/>
      <c r="FT4576"/>
      <c r="FU4576"/>
      <c r="FV4576"/>
      <c r="FW4576"/>
      <c r="FX4576"/>
      <c r="FY4576"/>
      <c r="FZ4576"/>
      <c r="GA4576"/>
      <c r="GB4576"/>
      <c r="GC4576"/>
      <c r="GD4576"/>
      <c r="GE4576"/>
      <c r="GF4576"/>
      <c r="GG4576"/>
      <c r="GH4576"/>
      <c r="GI4576"/>
      <c r="GJ4576"/>
      <c r="GK4576"/>
      <c r="GL4576"/>
      <c r="GM4576"/>
      <c r="GN4576"/>
      <c r="GO4576"/>
    </row>
    <row r="4577" spans="107:197">
      <c r="DC4577"/>
      <c r="FH4577"/>
      <c r="FI4577"/>
      <c r="FJ4577"/>
      <c r="FK4577"/>
      <c r="FL4577"/>
      <c r="FM4577"/>
      <c r="FN4577"/>
      <c r="FO4577"/>
      <c r="FP4577"/>
      <c r="FQ4577"/>
      <c r="FR4577"/>
      <c r="FS4577"/>
      <c r="FT4577"/>
      <c r="FU4577"/>
      <c r="FV4577"/>
      <c r="FW4577"/>
      <c r="FX4577"/>
      <c r="FY4577"/>
      <c r="FZ4577"/>
      <c r="GA4577"/>
      <c r="GB4577"/>
      <c r="GC4577"/>
      <c r="GD4577"/>
      <c r="GE4577"/>
      <c r="GF4577"/>
      <c r="GG4577"/>
      <c r="GH4577"/>
      <c r="GI4577"/>
      <c r="GJ4577"/>
      <c r="GK4577"/>
      <c r="GL4577"/>
      <c r="GM4577"/>
      <c r="GN4577"/>
      <c r="GO4577"/>
    </row>
    <row r="4578" spans="107:197">
      <c r="DC4578"/>
      <c r="FH4578"/>
      <c r="FI4578"/>
      <c r="FJ4578"/>
      <c r="FK4578"/>
      <c r="FL4578"/>
      <c r="FM4578"/>
      <c r="FN4578"/>
      <c r="FO4578"/>
      <c r="FP4578"/>
      <c r="FQ4578"/>
      <c r="FR4578"/>
      <c r="FS4578"/>
      <c r="FT4578"/>
      <c r="FU4578"/>
      <c r="FV4578"/>
      <c r="FW4578"/>
      <c r="FX4578"/>
      <c r="FY4578"/>
      <c r="FZ4578"/>
      <c r="GA4578"/>
      <c r="GB4578"/>
      <c r="GC4578"/>
      <c r="GD4578"/>
      <c r="GE4578"/>
      <c r="GF4578"/>
      <c r="GG4578"/>
      <c r="GH4578"/>
      <c r="GI4578"/>
      <c r="GJ4578"/>
      <c r="GK4578"/>
      <c r="GL4578"/>
      <c r="GM4578"/>
      <c r="GN4578"/>
      <c r="GO4578"/>
    </row>
    <row r="4579" spans="107:197">
      <c r="DC4579"/>
      <c r="FH4579"/>
      <c r="FI4579"/>
      <c r="FJ4579"/>
      <c r="FK4579"/>
      <c r="FL4579"/>
      <c r="FM4579"/>
      <c r="FN4579"/>
      <c r="FO4579"/>
      <c r="FP4579"/>
      <c r="FQ4579"/>
      <c r="FR4579"/>
      <c r="FS4579"/>
      <c r="FT4579"/>
      <c r="FU4579"/>
      <c r="FV4579"/>
      <c r="FW4579"/>
      <c r="FX4579"/>
      <c r="FY4579"/>
      <c r="FZ4579"/>
      <c r="GA4579"/>
      <c r="GB4579"/>
      <c r="GC4579"/>
      <c r="GD4579"/>
      <c r="GE4579"/>
      <c r="GF4579"/>
      <c r="GG4579"/>
      <c r="GH4579"/>
      <c r="GI4579"/>
      <c r="GJ4579"/>
      <c r="GK4579"/>
      <c r="GL4579"/>
      <c r="GM4579"/>
      <c r="GN4579"/>
      <c r="GO4579"/>
    </row>
    <row r="4580" spans="107:197">
      <c r="DC4580"/>
      <c r="FH4580"/>
      <c r="FI4580"/>
      <c r="FJ4580"/>
      <c r="FK4580"/>
      <c r="FL4580"/>
      <c r="FM4580"/>
      <c r="FN4580"/>
      <c r="FO4580"/>
      <c r="FP4580"/>
      <c r="FQ4580"/>
      <c r="FR4580"/>
      <c r="FS4580"/>
      <c r="FT4580"/>
      <c r="FU4580"/>
      <c r="FV4580"/>
      <c r="FW4580"/>
      <c r="FX4580"/>
      <c r="FY4580"/>
      <c r="FZ4580"/>
      <c r="GA4580"/>
      <c r="GB4580"/>
      <c r="GC4580"/>
      <c r="GD4580"/>
      <c r="GE4580"/>
      <c r="GF4580"/>
      <c r="GG4580"/>
      <c r="GH4580"/>
      <c r="GI4580"/>
      <c r="GJ4580"/>
      <c r="GK4580"/>
      <c r="GL4580"/>
      <c r="GM4580"/>
      <c r="GN4580"/>
      <c r="GO4580"/>
    </row>
    <row r="4581" spans="107:197">
      <c r="DC4581"/>
      <c r="FH4581"/>
      <c r="FI4581"/>
      <c r="FJ4581"/>
      <c r="FK4581"/>
      <c r="FL4581"/>
      <c r="FM4581"/>
      <c r="FN4581"/>
      <c r="FO4581"/>
      <c r="FP4581"/>
      <c r="FQ4581"/>
      <c r="FR4581"/>
      <c r="FS4581"/>
      <c r="FT4581"/>
      <c r="FU4581"/>
      <c r="FV4581"/>
      <c r="FW4581"/>
      <c r="FX4581"/>
      <c r="FY4581"/>
      <c r="FZ4581"/>
      <c r="GA4581"/>
      <c r="GB4581"/>
      <c r="GC4581"/>
      <c r="GD4581"/>
      <c r="GE4581"/>
      <c r="GF4581"/>
      <c r="GG4581"/>
      <c r="GH4581"/>
      <c r="GI4581"/>
      <c r="GJ4581"/>
      <c r="GK4581"/>
      <c r="GL4581"/>
      <c r="GM4581"/>
      <c r="GN4581"/>
      <c r="GO4581"/>
    </row>
    <row r="4582" spans="107:197">
      <c r="DC4582"/>
      <c r="FH4582"/>
      <c r="FI4582"/>
      <c r="FJ4582"/>
      <c r="FK4582"/>
      <c r="FL4582"/>
      <c r="FM4582"/>
      <c r="FN4582"/>
      <c r="FO4582"/>
      <c r="FP4582"/>
      <c r="FQ4582"/>
      <c r="FR4582"/>
      <c r="FS4582"/>
      <c r="FT4582"/>
      <c r="FU4582"/>
      <c r="FV4582"/>
      <c r="FW4582"/>
      <c r="FX4582"/>
      <c r="FY4582"/>
      <c r="FZ4582"/>
      <c r="GA4582"/>
      <c r="GB4582"/>
      <c r="GC4582"/>
      <c r="GD4582"/>
      <c r="GE4582"/>
      <c r="GF4582"/>
      <c r="GG4582"/>
      <c r="GH4582"/>
      <c r="GI4582"/>
      <c r="GJ4582"/>
      <c r="GK4582"/>
      <c r="GL4582"/>
      <c r="GM4582"/>
      <c r="GN4582"/>
      <c r="GO4582"/>
    </row>
    <row r="4583" spans="107:197">
      <c r="DC4583"/>
      <c r="FH4583"/>
      <c r="FI4583"/>
      <c r="FJ4583"/>
      <c r="FK4583"/>
      <c r="FL4583"/>
      <c r="FM4583"/>
      <c r="FN4583"/>
      <c r="FO4583"/>
      <c r="FP4583"/>
      <c r="FQ4583"/>
      <c r="FR4583"/>
      <c r="FS4583"/>
      <c r="FT4583"/>
      <c r="FU4583"/>
      <c r="FV4583"/>
      <c r="FW4583"/>
      <c r="FX4583"/>
      <c r="FY4583"/>
      <c r="FZ4583"/>
      <c r="GA4583"/>
      <c r="GB4583"/>
      <c r="GC4583"/>
      <c r="GD4583"/>
      <c r="GE4583"/>
      <c r="GF4583"/>
      <c r="GG4583"/>
      <c r="GH4583"/>
      <c r="GI4583"/>
      <c r="GJ4583"/>
      <c r="GK4583"/>
      <c r="GL4583"/>
      <c r="GM4583"/>
      <c r="GN4583"/>
      <c r="GO4583"/>
    </row>
    <row r="4584" spans="107:197">
      <c r="DC4584"/>
      <c r="FH4584"/>
      <c r="FI4584"/>
      <c r="FJ4584"/>
      <c r="FK4584"/>
      <c r="FL4584"/>
      <c r="FM4584"/>
      <c r="FN4584"/>
      <c r="FO4584"/>
      <c r="FP4584"/>
      <c r="FQ4584"/>
      <c r="FR4584"/>
      <c r="FS4584"/>
      <c r="FT4584"/>
      <c r="FU4584"/>
      <c r="FV4584"/>
      <c r="FW4584"/>
      <c r="FX4584"/>
      <c r="FY4584"/>
      <c r="FZ4584"/>
      <c r="GA4584"/>
      <c r="GB4584"/>
      <c r="GC4584"/>
      <c r="GD4584"/>
      <c r="GE4584"/>
      <c r="GF4584"/>
      <c r="GG4584"/>
      <c r="GH4584"/>
      <c r="GI4584"/>
      <c r="GJ4584"/>
      <c r="GK4584"/>
      <c r="GL4584"/>
      <c r="GM4584"/>
      <c r="GN4584"/>
      <c r="GO4584"/>
    </row>
    <row r="4585" spans="107:197">
      <c r="DC4585"/>
      <c r="FH4585"/>
      <c r="FI4585"/>
      <c r="FJ4585"/>
      <c r="FK4585"/>
      <c r="FL4585"/>
      <c r="FM4585"/>
      <c r="FN4585"/>
      <c r="FO4585"/>
      <c r="FP4585"/>
      <c r="FQ4585"/>
      <c r="FR4585"/>
      <c r="FS4585"/>
      <c r="FT4585"/>
      <c r="FU4585"/>
      <c r="FV4585"/>
      <c r="FW4585"/>
      <c r="FX4585"/>
      <c r="FY4585"/>
      <c r="FZ4585"/>
      <c r="GA4585"/>
      <c r="GB4585"/>
      <c r="GC4585"/>
      <c r="GD4585"/>
      <c r="GE4585"/>
      <c r="GF4585"/>
      <c r="GG4585"/>
      <c r="GH4585"/>
      <c r="GI4585"/>
      <c r="GJ4585"/>
      <c r="GK4585"/>
      <c r="GL4585"/>
      <c r="GM4585"/>
      <c r="GN4585"/>
      <c r="GO4585"/>
    </row>
    <row r="4586" spans="107:197">
      <c r="DC4586"/>
      <c r="FH4586"/>
      <c r="FI4586"/>
      <c r="FJ4586"/>
      <c r="FK4586"/>
      <c r="FL4586"/>
      <c r="FM4586"/>
      <c r="FN4586"/>
      <c r="FO4586"/>
      <c r="FP4586"/>
      <c r="FQ4586"/>
      <c r="FR4586"/>
      <c r="FS4586"/>
      <c r="FT4586"/>
      <c r="FU4586"/>
      <c r="FV4586"/>
      <c r="FW4586"/>
      <c r="FX4586"/>
      <c r="FY4586"/>
      <c r="FZ4586"/>
      <c r="GA4586"/>
      <c r="GB4586"/>
      <c r="GC4586"/>
      <c r="GD4586"/>
      <c r="GE4586"/>
      <c r="GF4586"/>
      <c r="GG4586"/>
      <c r="GH4586"/>
      <c r="GI4586"/>
      <c r="GJ4586"/>
      <c r="GK4586"/>
      <c r="GL4586"/>
      <c r="GM4586"/>
      <c r="GN4586"/>
      <c r="GO4586"/>
    </row>
    <row r="4587" spans="107:197">
      <c r="DC4587"/>
      <c r="FH4587"/>
      <c r="FI4587"/>
      <c r="FJ4587"/>
      <c r="FK4587"/>
      <c r="FL4587"/>
      <c r="FM4587"/>
      <c r="FN4587"/>
      <c r="FO4587"/>
      <c r="FP4587"/>
      <c r="FQ4587"/>
      <c r="FR4587"/>
      <c r="FS4587"/>
      <c r="FT4587"/>
      <c r="FU4587"/>
      <c r="FV4587"/>
      <c r="FW4587"/>
      <c r="FX4587"/>
      <c r="FY4587"/>
      <c r="FZ4587"/>
      <c r="GA4587"/>
      <c r="GB4587"/>
      <c r="GC4587"/>
      <c r="GD4587"/>
      <c r="GE4587"/>
      <c r="GF4587"/>
      <c r="GG4587"/>
      <c r="GH4587"/>
      <c r="GI4587"/>
      <c r="GJ4587"/>
      <c r="GK4587"/>
      <c r="GL4587"/>
      <c r="GM4587"/>
      <c r="GN4587"/>
      <c r="GO4587"/>
    </row>
    <row r="4588" spans="107:197">
      <c r="DC4588"/>
      <c r="FH4588"/>
      <c r="FI4588"/>
      <c r="FJ4588"/>
      <c r="FK4588"/>
      <c r="FL4588"/>
      <c r="FM4588"/>
      <c r="FN4588"/>
      <c r="FO4588"/>
      <c r="FP4588"/>
      <c r="FQ4588"/>
      <c r="FR4588"/>
      <c r="FS4588"/>
      <c r="FT4588"/>
      <c r="FU4588"/>
      <c r="FV4588"/>
      <c r="FW4588"/>
      <c r="FX4588"/>
      <c r="FY4588"/>
      <c r="FZ4588"/>
      <c r="GA4588"/>
      <c r="GB4588"/>
      <c r="GC4588"/>
      <c r="GD4588"/>
      <c r="GE4588"/>
      <c r="GF4588"/>
      <c r="GG4588"/>
      <c r="GH4588"/>
      <c r="GI4588"/>
      <c r="GJ4588"/>
      <c r="GK4588"/>
      <c r="GL4588"/>
      <c r="GM4588"/>
      <c r="GN4588"/>
      <c r="GO4588"/>
    </row>
    <row r="4589" spans="107:197">
      <c r="DC4589"/>
      <c r="FH4589"/>
      <c r="FI4589"/>
      <c r="FJ4589"/>
      <c r="FK4589"/>
      <c r="FL4589"/>
      <c r="FM4589"/>
      <c r="FN4589"/>
      <c r="FO4589"/>
      <c r="FP4589"/>
      <c r="FQ4589"/>
      <c r="FR4589"/>
      <c r="FS4589"/>
      <c r="FT4589"/>
      <c r="FU4589"/>
      <c r="FV4589"/>
      <c r="FW4589"/>
      <c r="FX4589"/>
      <c r="FY4589"/>
      <c r="FZ4589"/>
      <c r="GA4589"/>
      <c r="GB4589"/>
      <c r="GC4589"/>
      <c r="GD4589"/>
      <c r="GE4589"/>
      <c r="GF4589"/>
      <c r="GG4589"/>
      <c r="GH4589"/>
      <c r="GI4589"/>
      <c r="GJ4589"/>
      <c r="GK4589"/>
      <c r="GL4589"/>
      <c r="GM4589"/>
      <c r="GN4589"/>
      <c r="GO4589"/>
    </row>
    <row r="4590" spans="107:197">
      <c r="DC4590"/>
      <c r="FH4590"/>
      <c r="FI4590"/>
      <c r="FJ4590"/>
      <c r="FK4590"/>
      <c r="FL4590"/>
      <c r="FM4590"/>
      <c r="FN4590"/>
      <c r="FO4590"/>
      <c r="FP4590"/>
      <c r="FQ4590"/>
      <c r="FR4590"/>
      <c r="FS4590"/>
      <c r="FT4590"/>
      <c r="FU4590"/>
      <c r="FV4590"/>
      <c r="FW4590"/>
      <c r="FX4590"/>
      <c r="FY4590"/>
      <c r="FZ4590"/>
      <c r="GA4590"/>
      <c r="GB4590"/>
      <c r="GC4590"/>
      <c r="GD4590"/>
      <c r="GE4590"/>
      <c r="GF4590"/>
      <c r="GG4590"/>
      <c r="GH4590"/>
      <c r="GI4590"/>
      <c r="GJ4590"/>
      <c r="GK4590"/>
      <c r="GL4590"/>
      <c r="GM4590"/>
      <c r="GN4590"/>
      <c r="GO4590"/>
    </row>
    <row r="4591" spans="107:197">
      <c r="DC4591"/>
      <c r="FH4591"/>
      <c r="FI4591"/>
      <c r="FJ4591"/>
      <c r="FK4591"/>
      <c r="FL4591"/>
      <c r="FM4591"/>
      <c r="FN4591"/>
      <c r="FO4591"/>
      <c r="FP4591"/>
      <c r="FQ4591"/>
      <c r="FR4591"/>
      <c r="FS4591"/>
      <c r="FT4591"/>
      <c r="FU4591"/>
      <c r="FV4591"/>
      <c r="FW4591"/>
      <c r="FX4591"/>
      <c r="FY4591"/>
      <c r="FZ4591"/>
      <c r="GA4591"/>
      <c r="GB4591"/>
      <c r="GC4591"/>
      <c r="GD4591"/>
      <c r="GE4591"/>
      <c r="GF4591"/>
      <c r="GG4591"/>
      <c r="GH4591"/>
      <c r="GI4591"/>
      <c r="GJ4591"/>
      <c r="GK4591"/>
      <c r="GL4591"/>
      <c r="GM4591"/>
      <c r="GN4591"/>
      <c r="GO4591"/>
    </row>
    <row r="4592" spans="107:197">
      <c r="DC4592"/>
      <c r="FH4592"/>
      <c r="FI4592"/>
      <c r="FJ4592"/>
      <c r="FK4592"/>
      <c r="FL4592"/>
      <c r="FM4592"/>
      <c r="FN4592"/>
      <c r="FO4592"/>
      <c r="FP4592"/>
      <c r="FQ4592"/>
      <c r="FR4592"/>
      <c r="FS4592"/>
      <c r="FT4592"/>
      <c r="FU4592"/>
      <c r="FV4592"/>
      <c r="FW4592"/>
      <c r="FX4592"/>
      <c r="FY4592"/>
      <c r="FZ4592"/>
      <c r="GA4592"/>
      <c r="GB4592"/>
      <c r="GC4592"/>
      <c r="GD4592"/>
      <c r="GE4592"/>
      <c r="GF4592"/>
      <c r="GG4592"/>
      <c r="GH4592"/>
      <c r="GI4592"/>
      <c r="GJ4592"/>
      <c r="GK4592"/>
      <c r="GL4592"/>
      <c r="GM4592"/>
      <c r="GN4592"/>
      <c r="GO4592"/>
    </row>
    <row r="4593" spans="107:197">
      <c r="DC4593"/>
      <c r="FH4593"/>
      <c r="FI4593"/>
      <c r="FJ4593"/>
      <c r="FK4593"/>
      <c r="FL4593"/>
      <c r="FM4593"/>
      <c r="FN4593"/>
      <c r="FO4593"/>
      <c r="FP4593"/>
      <c r="FQ4593"/>
      <c r="FR4593"/>
      <c r="FS4593"/>
      <c r="FT4593"/>
      <c r="FU4593"/>
      <c r="FV4593"/>
      <c r="FW4593"/>
      <c r="FX4593"/>
      <c r="FY4593"/>
      <c r="FZ4593"/>
      <c r="GA4593"/>
      <c r="GB4593"/>
      <c r="GC4593"/>
      <c r="GD4593"/>
      <c r="GE4593"/>
      <c r="GF4593"/>
      <c r="GG4593"/>
      <c r="GH4593"/>
      <c r="GI4593"/>
      <c r="GJ4593"/>
      <c r="GK4593"/>
      <c r="GL4593"/>
      <c r="GM4593"/>
      <c r="GN4593"/>
      <c r="GO4593"/>
    </row>
    <row r="4594" spans="107:197">
      <c r="DC4594"/>
      <c r="FH4594"/>
      <c r="FI4594"/>
      <c r="FJ4594"/>
      <c r="FK4594"/>
      <c r="FL4594"/>
      <c r="FM4594"/>
      <c r="FN4594"/>
      <c r="FO4594"/>
      <c r="FP4594"/>
      <c r="FQ4594"/>
      <c r="FR4594"/>
      <c r="FS4594"/>
      <c r="FT4594"/>
      <c r="FU4594"/>
      <c r="FV4594"/>
      <c r="FW4594"/>
      <c r="FX4594"/>
      <c r="FY4594"/>
      <c r="FZ4594"/>
      <c r="GA4594"/>
      <c r="GB4594"/>
      <c r="GC4594"/>
      <c r="GD4594"/>
      <c r="GE4594"/>
      <c r="GF4594"/>
      <c r="GG4594"/>
      <c r="GH4594"/>
      <c r="GI4594"/>
      <c r="GJ4594"/>
      <c r="GK4594"/>
      <c r="GL4594"/>
      <c r="GM4594"/>
      <c r="GN4594"/>
      <c r="GO4594"/>
    </row>
    <row r="4595" spans="107:197">
      <c r="DC4595"/>
      <c r="FH4595"/>
      <c r="FI4595"/>
      <c r="FJ4595"/>
      <c r="FK4595"/>
      <c r="FL4595"/>
      <c r="FM4595"/>
      <c r="FN4595"/>
      <c r="FO4595"/>
      <c r="FP4595"/>
      <c r="FQ4595"/>
      <c r="FR4595"/>
      <c r="FS4595"/>
      <c r="FT4595"/>
      <c r="FU4595"/>
      <c r="FV4595"/>
      <c r="FW4595"/>
      <c r="FX4595"/>
      <c r="FY4595"/>
      <c r="FZ4595"/>
      <c r="GA4595"/>
      <c r="GB4595"/>
      <c r="GC4595"/>
      <c r="GD4595"/>
      <c r="GE4595"/>
      <c r="GF4595"/>
      <c r="GG4595"/>
      <c r="GH4595"/>
      <c r="GI4595"/>
      <c r="GJ4595"/>
      <c r="GK4595"/>
      <c r="GL4595"/>
      <c r="GM4595"/>
      <c r="GN4595"/>
      <c r="GO4595"/>
    </row>
    <row r="4596" spans="107:197">
      <c r="DC4596"/>
      <c r="FH4596"/>
      <c r="FI4596"/>
      <c r="FJ4596"/>
      <c r="FK4596"/>
      <c r="FL4596"/>
      <c r="FM4596"/>
      <c r="FN4596"/>
      <c r="FO4596"/>
      <c r="FP4596"/>
      <c r="FQ4596"/>
      <c r="FR4596"/>
      <c r="FS4596"/>
      <c r="FT4596"/>
      <c r="FU4596"/>
      <c r="FV4596"/>
      <c r="FW4596"/>
      <c r="FX4596"/>
      <c r="FY4596"/>
      <c r="FZ4596"/>
      <c r="GA4596"/>
      <c r="GB4596"/>
      <c r="GC4596"/>
      <c r="GD4596"/>
      <c r="GE4596"/>
      <c r="GF4596"/>
      <c r="GG4596"/>
      <c r="GH4596"/>
      <c r="GI4596"/>
      <c r="GJ4596"/>
      <c r="GK4596"/>
      <c r="GL4596"/>
      <c r="GM4596"/>
      <c r="GN4596"/>
      <c r="GO4596"/>
    </row>
    <row r="4597" spans="107:197">
      <c r="DC4597"/>
      <c r="FH4597"/>
      <c r="FI4597"/>
      <c r="FJ4597"/>
      <c r="FK4597"/>
      <c r="FL4597"/>
      <c r="FM4597"/>
      <c r="FN4597"/>
      <c r="FO4597"/>
      <c r="FP4597"/>
      <c r="FQ4597"/>
      <c r="FR4597"/>
      <c r="FS4597"/>
      <c r="FT4597"/>
      <c r="FU4597"/>
      <c r="FV4597"/>
      <c r="FW4597"/>
      <c r="FX4597"/>
      <c r="FY4597"/>
      <c r="FZ4597"/>
      <c r="GA4597"/>
      <c r="GB4597"/>
      <c r="GC4597"/>
      <c r="GD4597"/>
      <c r="GE4597"/>
      <c r="GF4597"/>
      <c r="GG4597"/>
      <c r="GH4597"/>
      <c r="GI4597"/>
      <c r="GJ4597"/>
      <c r="GK4597"/>
      <c r="GL4597"/>
      <c r="GM4597"/>
      <c r="GN4597"/>
      <c r="GO4597"/>
    </row>
    <row r="4598" spans="107:197">
      <c r="DC4598"/>
      <c r="FH4598"/>
      <c r="FI4598"/>
      <c r="FJ4598"/>
      <c r="FK4598"/>
      <c r="FL4598"/>
      <c r="FM4598"/>
      <c r="FN4598"/>
      <c r="FO4598"/>
      <c r="FP4598"/>
      <c r="FQ4598"/>
      <c r="FR4598"/>
      <c r="FS4598"/>
      <c r="FT4598"/>
      <c r="FU4598"/>
      <c r="FV4598"/>
      <c r="FW4598"/>
      <c r="FX4598"/>
      <c r="FY4598"/>
      <c r="FZ4598"/>
      <c r="GA4598"/>
      <c r="GB4598"/>
      <c r="GC4598"/>
      <c r="GD4598"/>
      <c r="GE4598"/>
      <c r="GF4598"/>
      <c r="GG4598"/>
      <c r="GH4598"/>
      <c r="GI4598"/>
      <c r="GJ4598"/>
      <c r="GK4598"/>
      <c r="GL4598"/>
      <c r="GM4598"/>
      <c r="GN4598"/>
      <c r="GO4598"/>
    </row>
    <row r="4599" spans="107:197">
      <c r="DC4599"/>
      <c r="FH4599"/>
      <c r="FI4599"/>
      <c r="FJ4599"/>
      <c r="FK4599"/>
      <c r="FL4599"/>
      <c r="FM4599"/>
      <c r="FN4599"/>
      <c r="FO4599"/>
      <c r="FP4599"/>
      <c r="FQ4599"/>
      <c r="FR4599"/>
      <c r="FS4599"/>
      <c r="FT4599"/>
      <c r="FU4599"/>
      <c r="FV4599"/>
      <c r="FW4599"/>
      <c r="FX4599"/>
      <c r="FY4599"/>
      <c r="FZ4599"/>
      <c r="GA4599"/>
      <c r="GB4599"/>
      <c r="GC4599"/>
      <c r="GD4599"/>
      <c r="GE4599"/>
      <c r="GF4599"/>
      <c r="GG4599"/>
      <c r="GH4599"/>
      <c r="GI4599"/>
      <c r="GJ4599"/>
      <c r="GK4599"/>
      <c r="GL4599"/>
      <c r="GM4599"/>
      <c r="GN4599"/>
      <c r="GO4599"/>
    </row>
    <row r="4600" spans="107:197">
      <c r="DC4600"/>
      <c r="FH4600"/>
      <c r="FI4600"/>
      <c r="FJ4600"/>
      <c r="FK4600"/>
      <c r="FL4600"/>
      <c r="FM4600"/>
      <c r="FN4600"/>
      <c r="FO4600"/>
      <c r="FP4600"/>
      <c r="FQ4600"/>
      <c r="FR4600"/>
      <c r="FS4600"/>
      <c r="FT4600"/>
      <c r="FU4600"/>
      <c r="FV4600"/>
      <c r="FW4600"/>
      <c r="FX4600"/>
      <c r="FY4600"/>
      <c r="FZ4600"/>
      <c r="GA4600"/>
      <c r="GB4600"/>
      <c r="GC4600"/>
      <c r="GD4600"/>
      <c r="GE4600"/>
      <c r="GF4600"/>
      <c r="GG4600"/>
      <c r="GH4600"/>
      <c r="GI4600"/>
      <c r="GJ4600"/>
      <c r="GK4600"/>
      <c r="GL4600"/>
      <c r="GM4600"/>
      <c r="GN4600"/>
      <c r="GO4600"/>
    </row>
    <row r="4601" spans="107:197">
      <c r="DC4601"/>
      <c r="FH4601"/>
      <c r="FI4601"/>
      <c r="FJ4601"/>
      <c r="FK4601"/>
      <c r="FL4601"/>
      <c r="FM4601"/>
      <c r="FN4601"/>
      <c r="FO4601"/>
      <c r="FP4601"/>
      <c r="FQ4601"/>
      <c r="FR4601"/>
      <c r="FS4601"/>
      <c r="FT4601"/>
      <c r="FU4601"/>
      <c r="FV4601"/>
      <c r="FW4601"/>
      <c r="FX4601"/>
      <c r="FY4601"/>
      <c r="FZ4601"/>
      <c r="GA4601"/>
      <c r="GB4601"/>
      <c r="GC4601"/>
      <c r="GD4601"/>
      <c r="GE4601"/>
      <c r="GF4601"/>
      <c r="GG4601"/>
      <c r="GH4601"/>
      <c r="GI4601"/>
      <c r="GJ4601"/>
      <c r="GK4601"/>
      <c r="GL4601"/>
      <c r="GM4601"/>
      <c r="GN4601"/>
      <c r="GO4601"/>
    </row>
    <row r="4602" spans="107:197">
      <c r="DC4602"/>
      <c r="FH4602"/>
      <c r="FI4602"/>
      <c r="FJ4602"/>
      <c r="FK4602"/>
      <c r="FL4602"/>
      <c r="FM4602"/>
      <c r="FN4602"/>
      <c r="FO4602"/>
      <c r="FP4602"/>
      <c r="FQ4602"/>
      <c r="FR4602"/>
      <c r="FS4602"/>
      <c r="FT4602"/>
      <c r="FU4602"/>
      <c r="FV4602"/>
      <c r="FW4602"/>
      <c r="FX4602"/>
      <c r="FY4602"/>
      <c r="FZ4602"/>
      <c r="GA4602"/>
      <c r="GB4602"/>
      <c r="GC4602"/>
      <c r="GD4602"/>
      <c r="GE4602"/>
      <c r="GF4602"/>
      <c r="GG4602"/>
      <c r="GH4602"/>
      <c r="GI4602"/>
      <c r="GJ4602"/>
      <c r="GK4602"/>
      <c r="GL4602"/>
      <c r="GM4602"/>
      <c r="GN4602"/>
      <c r="GO4602"/>
    </row>
    <row r="4603" spans="107:197">
      <c r="DC4603"/>
      <c r="FH4603"/>
      <c r="FI4603"/>
      <c r="FJ4603"/>
      <c r="FK4603"/>
      <c r="FL4603"/>
      <c r="FM4603"/>
      <c r="FN4603"/>
      <c r="FO4603"/>
      <c r="FP4603"/>
      <c r="FQ4603"/>
      <c r="FR4603"/>
      <c r="FS4603"/>
      <c r="FT4603"/>
      <c r="FU4603"/>
      <c r="FV4603"/>
      <c r="FW4603"/>
      <c r="FX4603"/>
      <c r="FY4603"/>
      <c r="FZ4603"/>
      <c r="GA4603"/>
      <c r="GB4603"/>
      <c r="GC4603"/>
      <c r="GD4603"/>
      <c r="GE4603"/>
      <c r="GF4603"/>
      <c r="GG4603"/>
      <c r="GH4603"/>
      <c r="GI4603"/>
      <c r="GJ4603"/>
      <c r="GK4603"/>
      <c r="GL4603"/>
      <c r="GM4603"/>
      <c r="GN4603"/>
      <c r="GO4603"/>
    </row>
    <row r="4604" spans="107:197">
      <c r="DC4604"/>
      <c r="FH4604"/>
      <c r="FI4604"/>
      <c r="FJ4604"/>
      <c r="FK4604"/>
      <c r="FL4604"/>
      <c r="FM4604"/>
      <c r="FN4604"/>
      <c r="FO4604"/>
      <c r="FP4604"/>
      <c r="FQ4604"/>
      <c r="FR4604"/>
      <c r="FS4604"/>
      <c r="FT4604"/>
      <c r="FU4604"/>
      <c r="FV4604"/>
      <c r="FW4604"/>
      <c r="FX4604"/>
      <c r="FY4604"/>
      <c r="FZ4604"/>
      <c r="GA4604"/>
      <c r="GB4604"/>
      <c r="GC4604"/>
      <c r="GD4604"/>
      <c r="GE4604"/>
      <c r="GF4604"/>
      <c r="GG4604"/>
      <c r="GH4604"/>
      <c r="GI4604"/>
      <c r="GJ4604"/>
      <c r="GK4604"/>
      <c r="GL4604"/>
      <c r="GM4604"/>
      <c r="GN4604"/>
      <c r="GO4604"/>
    </row>
    <row r="4605" spans="107:197">
      <c r="DC4605"/>
      <c r="FH4605"/>
      <c r="FI4605"/>
      <c r="FJ4605"/>
      <c r="FK4605"/>
      <c r="FL4605"/>
      <c r="FM4605"/>
      <c r="FN4605"/>
      <c r="FO4605"/>
      <c r="FP4605"/>
      <c r="FQ4605"/>
      <c r="FR4605"/>
      <c r="FS4605"/>
      <c r="FT4605"/>
      <c r="FU4605"/>
      <c r="FV4605"/>
      <c r="FW4605"/>
      <c r="FX4605"/>
      <c r="FY4605"/>
      <c r="FZ4605"/>
      <c r="GA4605"/>
      <c r="GB4605"/>
      <c r="GC4605"/>
      <c r="GD4605"/>
      <c r="GE4605"/>
      <c r="GF4605"/>
      <c r="GG4605"/>
      <c r="GH4605"/>
      <c r="GI4605"/>
      <c r="GJ4605"/>
      <c r="GK4605"/>
      <c r="GL4605"/>
      <c r="GM4605"/>
      <c r="GN4605"/>
      <c r="GO4605"/>
    </row>
    <row r="4606" spans="107:197">
      <c r="DC4606"/>
      <c r="FH4606"/>
      <c r="FI4606"/>
      <c r="FJ4606"/>
      <c r="FK4606"/>
      <c r="FL4606"/>
      <c r="FM4606"/>
      <c r="FN4606"/>
      <c r="FO4606"/>
      <c r="FP4606"/>
      <c r="FQ4606"/>
      <c r="FR4606"/>
      <c r="FS4606"/>
      <c r="FT4606"/>
      <c r="FU4606"/>
      <c r="FV4606"/>
      <c r="FW4606"/>
      <c r="FX4606"/>
      <c r="FY4606"/>
      <c r="FZ4606"/>
      <c r="GA4606"/>
      <c r="GB4606"/>
      <c r="GC4606"/>
      <c r="GD4606"/>
      <c r="GE4606"/>
      <c r="GF4606"/>
      <c r="GG4606"/>
      <c r="GH4606"/>
      <c r="GI4606"/>
      <c r="GJ4606"/>
      <c r="GK4606"/>
      <c r="GL4606"/>
      <c r="GM4606"/>
      <c r="GN4606"/>
      <c r="GO4606"/>
    </row>
    <row r="4607" spans="107:197">
      <c r="DC4607"/>
      <c r="FH4607"/>
      <c r="FI4607"/>
      <c r="FJ4607"/>
      <c r="FK4607"/>
      <c r="FL4607"/>
      <c r="FM4607"/>
      <c r="FN4607"/>
      <c r="FO4607"/>
      <c r="FP4607"/>
      <c r="FQ4607"/>
      <c r="FR4607"/>
      <c r="FS4607"/>
      <c r="FT4607"/>
      <c r="FU4607"/>
      <c r="FV4607"/>
      <c r="FW4607"/>
      <c r="FX4607"/>
      <c r="FY4607"/>
      <c r="FZ4607"/>
      <c r="GA4607"/>
      <c r="GB4607"/>
      <c r="GC4607"/>
      <c r="GD4607"/>
      <c r="GE4607"/>
      <c r="GF4607"/>
      <c r="GG4607"/>
      <c r="GH4607"/>
      <c r="GI4607"/>
      <c r="GJ4607"/>
      <c r="GK4607"/>
      <c r="GL4607"/>
      <c r="GM4607"/>
      <c r="GN4607"/>
      <c r="GO4607"/>
    </row>
    <row r="4608" spans="107:197">
      <c r="DC4608"/>
      <c r="FH4608"/>
      <c r="FI4608"/>
      <c r="FJ4608"/>
      <c r="FK4608"/>
      <c r="FL4608"/>
      <c r="FM4608"/>
      <c r="FN4608"/>
      <c r="FO4608"/>
      <c r="FP4608"/>
      <c r="FQ4608"/>
      <c r="FR4608"/>
      <c r="FS4608"/>
      <c r="FT4608"/>
      <c r="FU4608"/>
      <c r="FV4608"/>
      <c r="FW4608"/>
      <c r="FX4608"/>
      <c r="FY4608"/>
      <c r="FZ4608"/>
      <c r="GA4608"/>
      <c r="GB4608"/>
      <c r="GC4608"/>
      <c r="GD4608"/>
      <c r="GE4608"/>
      <c r="GF4608"/>
      <c r="GG4608"/>
      <c r="GH4608"/>
      <c r="GI4608"/>
      <c r="GJ4608"/>
      <c r="GK4608"/>
      <c r="GL4608"/>
      <c r="GM4608"/>
      <c r="GN4608"/>
      <c r="GO4608"/>
    </row>
    <row r="4609" spans="107:197">
      <c r="DC4609"/>
      <c r="FH4609"/>
      <c r="FI4609"/>
      <c r="FJ4609"/>
      <c r="FK4609"/>
      <c r="FL4609"/>
      <c r="FM4609"/>
      <c r="FN4609"/>
      <c r="FO4609"/>
      <c r="FP4609"/>
      <c r="FQ4609"/>
      <c r="FR4609"/>
      <c r="FS4609"/>
      <c r="FT4609"/>
      <c r="FU4609"/>
      <c r="FV4609"/>
      <c r="FW4609"/>
      <c r="FX4609"/>
      <c r="FY4609"/>
      <c r="FZ4609"/>
      <c r="GA4609"/>
      <c r="GB4609"/>
      <c r="GC4609"/>
      <c r="GD4609"/>
      <c r="GE4609"/>
      <c r="GF4609"/>
      <c r="GG4609"/>
      <c r="GH4609"/>
      <c r="GI4609"/>
      <c r="GJ4609"/>
      <c r="GK4609"/>
      <c r="GL4609"/>
      <c r="GM4609"/>
      <c r="GN4609"/>
      <c r="GO4609"/>
    </row>
    <row r="4610" spans="107:197">
      <c r="DC4610"/>
      <c r="FH4610"/>
      <c r="FI4610"/>
      <c r="FJ4610"/>
      <c r="FK4610"/>
      <c r="FL4610"/>
      <c r="FM4610"/>
      <c r="FN4610"/>
      <c r="FO4610"/>
      <c r="FP4610"/>
      <c r="FQ4610"/>
      <c r="FR4610"/>
      <c r="FS4610"/>
      <c r="FT4610"/>
      <c r="FU4610"/>
      <c r="FV4610"/>
      <c r="FW4610"/>
      <c r="FX4610"/>
      <c r="FY4610"/>
      <c r="FZ4610"/>
      <c r="GA4610"/>
      <c r="GB4610"/>
      <c r="GC4610"/>
      <c r="GD4610"/>
      <c r="GE4610"/>
      <c r="GF4610"/>
      <c r="GG4610"/>
      <c r="GH4610"/>
      <c r="GI4610"/>
      <c r="GJ4610"/>
      <c r="GK4610"/>
      <c r="GL4610"/>
      <c r="GM4610"/>
      <c r="GN4610"/>
      <c r="GO4610"/>
    </row>
    <row r="4611" spans="107:197">
      <c r="DC4611"/>
      <c r="FH4611"/>
      <c r="FI4611"/>
      <c r="FJ4611"/>
      <c r="FK4611"/>
      <c r="FL4611"/>
      <c r="FM4611"/>
      <c r="FN4611"/>
      <c r="FO4611"/>
      <c r="FP4611"/>
      <c r="FQ4611"/>
      <c r="FR4611"/>
      <c r="FS4611"/>
      <c r="FT4611"/>
      <c r="FU4611"/>
      <c r="FV4611"/>
      <c r="FW4611"/>
      <c r="FX4611"/>
      <c r="FY4611"/>
      <c r="FZ4611"/>
      <c r="GA4611"/>
      <c r="GB4611"/>
      <c r="GC4611"/>
      <c r="GD4611"/>
      <c r="GE4611"/>
      <c r="GF4611"/>
      <c r="GG4611"/>
      <c r="GH4611"/>
      <c r="GI4611"/>
      <c r="GJ4611"/>
      <c r="GK4611"/>
      <c r="GL4611"/>
      <c r="GM4611"/>
      <c r="GN4611"/>
      <c r="GO4611"/>
    </row>
    <row r="4612" spans="107:197">
      <c r="DC4612"/>
      <c r="FH4612"/>
      <c r="FI4612"/>
      <c r="FJ4612"/>
      <c r="FK4612"/>
      <c r="FL4612"/>
      <c r="FM4612"/>
      <c r="FN4612"/>
      <c r="FO4612"/>
      <c r="FP4612"/>
      <c r="FQ4612"/>
      <c r="FR4612"/>
      <c r="FS4612"/>
      <c r="FT4612"/>
      <c r="FU4612"/>
      <c r="FV4612"/>
      <c r="FW4612"/>
      <c r="FX4612"/>
      <c r="FY4612"/>
      <c r="FZ4612"/>
      <c r="GA4612"/>
      <c r="GB4612"/>
      <c r="GC4612"/>
      <c r="GD4612"/>
      <c r="GE4612"/>
      <c r="GF4612"/>
      <c r="GG4612"/>
      <c r="GH4612"/>
      <c r="GI4612"/>
      <c r="GJ4612"/>
      <c r="GK4612"/>
      <c r="GL4612"/>
      <c r="GM4612"/>
      <c r="GN4612"/>
      <c r="GO4612"/>
    </row>
    <row r="4613" spans="107:197">
      <c r="DC4613"/>
      <c r="FH4613"/>
      <c r="FI4613"/>
      <c r="FJ4613"/>
      <c r="FK4613"/>
      <c r="FL4613"/>
      <c r="FM4613"/>
      <c r="FN4613"/>
      <c r="FO4613"/>
      <c r="FP4613"/>
      <c r="FQ4613"/>
      <c r="FR4613"/>
      <c r="FS4613"/>
      <c r="FT4613"/>
      <c r="FU4613"/>
      <c r="FV4613"/>
      <c r="FW4613"/>
      <c r="FX4613"/>
      <c r="FY4613"/>
      <c r="FZ4613"/>
      <c r="GA4613"/>
      <c r="GB4613"/>
      <c r="GC4613"/>
      <c r="GD4613"/>
      <c r="GE4613"/>
      <c r="GF4613"/>
      <c r="GG4613"/>
      <c r="GH4613"/>
      <c r="GI4613"/>
      <c r="GJ4613"/>
      <c r="GK4613"/>
      <c r="GL4613"/>
      <c r="GM4613"/>
      <c r="GN4613"/>
      <c r="GO4613"/>
    </row>
    <row r="4614" spans="107:197">
      <c r="DC4614"/>
      <c r="FH4614"/>
      <c r="FI4614"/>
      <c r="FJ4614"/>
      <c r="FK4614"/>
      <c r="FL4614"/>
      <c r="FM4614"/>
      <c r="FN4614"/>
      <c r="FO4614"/>
      <c r="FP4614"/>
      <c r="FQ4614"/>
      <c r="FR4614"/>
      <c r="FS4614"/>
      <c r="FT4614"/>
      <c r="FU4614"/>
      <c r="FV4614"/>
      <c r="FW4614"/>
      <c r="FX4614"/>
      <c r="FY4614"/>
      <c r="FZ4614"/>
      <c r="GA4614"/>
      <c r="GB4614"/>
      <c r="GC4614"/>
      <c r="GD4614"/>
      <c r="GE4614"/>
      <c r="GF4614"/>
      <c r="GG4614"/>
      <c r="GH4614"/>
      <c r="GI4614"/>
      <c r="GJ4614"/>
      <c r="GK4614"/>
      <c r="GL4614"/>
      <c r="GM4614"/>
      <c r="GN4614"/>
      <c r="GO4614"/>
    </row>
    <row r="4615" spans="107:197">
      <c r="DC4615"/>
      <c r="FH4615"/>
      <c r="FI4615"/>
      <c r="FJ4615"/>
      <c r="FK4615"/>
      <c r="FL4615"/>
      <c r="FM4615"/>
      <c r="FN4615"/>
      <c r="FO4615"/>
      <c r="FP4615"/>
      <c r="FQ4615"/>
      <c r="FR4615"/>
      <c r="FS4615"/>
      <c r="FT4615"/>
      <c r="FU4615"/>
      <c r="FV4615"/>
      <c r="FW4615"/>
      <c r="FX4615"/>
      <c r="FY4615"/>
      <c r="FZ4615"/>
      <c r="GA4615"/>
      <c r="GB4615"/>
      <c r="GC4615"/>
      <c r="GD4615"/>
      <c r="GE4615"/>
      <c r="GF4615"/>
      <c r="GG4615"/>
      <c r="GH4615"/>
      <c r="GI4615"/>
      <c r="GJ4615"/>
      <c r="GK4615"/>
      <c r="GL4615"/>
      <c r="GM4615"/>
      <c r="GN4615"/>
      <c r="GO4615"/>
    </row>
    <row r="4616" spans="107:197">
      <c r="DC4616"/>
      <c r="FH4616"/>
      <c r="FI4616"/>
      <c r="FJ4616"/>
      <c r="FK4616"/>
      <c r="FL4616"/>
      <c r="FM4616"/>
      <c r="FN4616"/>
      <c r="FO4616"/>
      <c r="FP4616"/>
      <c r="FQ4616"/>
      <c r="FR4616"/>
      <c r="FS4616"/>
      <c r="FT4616"/>
      <c r="FU4616"/>
      <c r="FV4616"/>
      <c r="FW4616"/>
      <c r="FX4616"/>
      <c r="FY4616"/>
      <c r="FZ4616"/>
      <c r="GA4616"/>
      <c r="GB4616"/>
      <c r="GC4616"/>
      <c r="GD4616"/>
      <c r="GE4616"/>
      <c r="GF4616"/>
      <c r="GG4616"/>
      <c r="GH4616"/>
      <c r="GI4616"/>
      <c r="GJ4616"/>
      <c r="GK4616"/>
      <c r="GL4616"/>
      <c r="GM4616"/>
      <c r="GN4616"/>
      <c r="GO4616"/>
    </row>
    <row r="4617" spans="107:197">
      <c r="DC4617"/>
      <c r="FH4617"/>
      <c r="FI4617"/>
      <c r="FJ4617"/>
      <c r="FK4617"/>
      <c r="FL4617"/>
      <c r="FM4617"/>
      <c r="FN4617"/>
      <c r="FO4617"/>
      <c r="FP4617"/>
      <c r="FQ4617"/>
      <c r="FR4617"/>
      <c r="FS4617"/>
      <c r="FT4617"/>
      <c r="FU4617"/>
      <c r="FV4617"/>
      <c r="FW4617"/>
      <c r="FX4617"/>
      <c r="FY4617"/>
      <c r="FZ4617"/>
      <c r="GA4617"/>
      <c r="GB4617"/>
      <c r="GC4617"/>
      <c r="GD4617"/>
      <c r="GE4617"/>
      <c r="GF4617"/>
      <c r="GG4617"/>
      <c r="GH4617"/>
      <c r="GI4617"/>
      <c r="GJ4617"/>
      <c r="GK4617"/>
      <c r="GL4617"/>
      <c r="GM4617"/>
      <c r="GN4617"/>
      <c r="GO4617"/>
    </row>
    <row r="4618" spans="107:197">
      <c r="DC4618"/>
      <c r="FH4618"/>
      <c r="FI4618"/>
      <c r="FJ4618"/>
      <c r="FK4618"/>
      <c r="FL4618"/>
      <c r="FM4618"/>
      <c r="FN4618"/>
      <c r="FO4618"/>
      <c r="FP4618"/>
      <c r="FQ4618"/>
      <c r="FR4618"/>
      <c r="FS4618"/>
      <c r="FT4618"/>
      <c r="FU4618"/>
      <c r="FV4618"/>
      <c r="FW4618"/>
      <c r="FX4618"/>
      <c r="FY4618"/>
      <c r="FZ4618"/>
      <c r="GA4618"/>
      <c r="GB4618"/>
      <c r="GC4618"/>
      <c r="GD4618"/>
      <c r="GE4618"/>
      <c r="GF4618"/>
      <c r="GG4618"/>
      <c r="GH4618"/>
      <c r="GI4618"/>
      <c r="GJ4618"/>
      <c r="GK4618"/>
      <c r="GL4618"/>
      <c r="GM4618"/>
      <c r="GN4618"/>
      <c r="GO4618"/>
    </row>
    <row r="4619" spans="107:197">
      <c r="DC4619"/>
      <c r="FH4619"/>
      <c r="FI4619"/>
      <c r="FJ4619"/>
      <c r="FK4619"/>
      <c r="FL4619"/>
      <c r="FM4619"/>
      <c r="FN4619"/>
      <c r="FO4619"/>
      <c r="FP4619"/>
      <c r="FQ4619"/>
      <c r="FR4619"/>
      <c r="FS4619"/>
      <c r="FT4619"/>
      <c r="FU4619"/>
      <c r="FV4619"/>
      <c r="FW4619"/>
      <c r="FX4619"/>
      <c r="FY4619"/>
      <c r="FZ4619"/>
      <c r="GA4619"/>
      <c r="GB4619"/>
      <c r="GC4619"/>
      <c r="GD4619"/>
      <c r="GE4619"/>
      <c r="GF4619"/>
      <c r="GG4619"/>
      <c r="GH4619"/>
      <c r="GI4619"/>
      <c r="GJ4619"/>
      <c r="GK4619"/>
      <c r="GL4619"/>
      <c r="GM4619"/>
      <c r="GN4619"/>
      <c r="GO4619"/>
    </row>
    <row r="4620" spans="107:197">
      <c r="DC4620"/>
      <c r="FH4620"/>
      <c r="FI4620"/>
      <c r="FJ4620"/>
      <c r="FK4620"/>
      <c r="FL4620"/>
      <c r="FM4620"/>
      <c r="FN4620"/>
      <c r="FO4620"/>
      <c r="FP4620"/>
      <c r="FQ4620"/>
      <c r="FR4620"/>
      <c r="FS4620"/>
      <c r="FT4620"/>
      <c r="FU4620"/>
      <c r="FV4620"/>
      <c r="FW4620"/>
      <c r="FX4620"/>
      <c r="FY4620"/>
      <c r="FZ4620"/>
      <c r="GA4620"/>
      <c r="GB4620"/>
      <c r="GC4620"/>
      <c r="GD4620"/>
      <c r="GE4620"/>
      <c r="GF4620"/>
      <c r="GG4620"/>
      <c r="GH4620"/>
      <c r="GI4620"/>
      <c r="GJ4620"/>
      <c r="GK4620"/>
      <c r="GL4620"/>
      <c r="GM4620"/>
      <c r="GN4620"/>
      <c r="GO4620"/>
    </row>
    <row r="4621" spans="107:197">
      <c r="DC4621"/>
      <c r="FH4621"/>
      <c r="FI4621"/>
      <c r="FJ4621"/>
      <c r="FK4621"/>
      <c r="FL4621"/>
      <c r="FM4621"/>
      <c r="FN4621"/>
      <c r="FO4621"/>
      <c r="FP4621"/>
      <c r="FQ4621"/>
      <c r="FR4621"/>
      <c r="FS4621"/>
      <c r="FT4621"/>
      <c r="FU4621"/>
      <c r="FV4621"/>
      <c r="FW4621"/>
      <c r="FX4621"/>
      <c r="FY4621"/>
      <c r="FZ4621"/>
      <c r="GA4621"/>
      <c r="GB4621"/>
      <c r="GC4621"/>
      <c r="GD4621"/>
      <c r="GE4621"/>
      <c r="GF4621"/>
      <c r="GG4621"/>
      <c r="GH4621"/>
      <c r="GI4621"/>
      <c r="GJ4621"/>
      <c r="GK4621"/>
      <c r="GL4621"/>
      <c r="GM4621"/>
      <c r="GN4621"/>
      <c r="GO4621"/>
    </row>
    <row r="4622" spans="107:197">
      <c r="DC4622"/>
      <c r="FH4622"/>
      <c r="FI4622"/>
      <c r="FJ4622"/>
      <c r="FK4622"/>
      <c r="FL4622"/>
      <c r="FM4622"/>
      <c r="FN4622"/>
      <c r="FO4622"/>
      <c r="FP4622"/>
      <c r="FQ4622"/>
      <c r="FR4622"/>
      <c r="FS4622"/>
      <c r="FT4622"/>
      <c r="FU4622"/>
      <c r="FV4622"/>
      <c r="FW4622"/>
      <c r="FX4622"/>
      <c r="FY4622"/>
      <c r="FZ4622"/>
      <c r="GA4622"/>
      <c r="GB4622"/>
      <c r="GC4622"/>
      <c r="GD4622"/>
      <c r="GE4622"/>
      <c r="GF4622"/>
      <c r="GG4622"/>
      <c r="GH4622"/>
      <c r="GI4622"/>
      <c r="GJ4622"/>
      <c r="GK4622"/>
      <c r="GL4622"/>
      <c r="GM4622"/>
      <c r="GN4622"/>
      <c r="GO4622"/>
    </row>
    <row r="4623" spans="107:197">
      <c r="DC4623"/>
      <c r="FH4623"/>
      <c r="FI4623"/>
      <c r="FJ4623"/>
      <c r="FK4623"/>
      <c r="FL4623"/>
      <c r="FM4623"/>
      <c r="FN4623"/>
      <c r="FO4623"/>
      <c r="FP4623"/>
      <c r="FQ4623"/>
      <c r="FR4623"/>
      <c r="FS4623"/>
      <c r="FT4623"/>
      <c r="FU4623"/>
      <c r="FV4623"/>
      <c r="FW4623"/>
      <c r="FX4623"/>
      <c r="FY4623"/>
      <c r="FZ4623"/>
      <c r="GA4623"/>
      <c r="GB4623"/>
      <c r="GC4623"/>
      <c r="GD4623"/>
      <c r="GE4623"/>
      <c r="GF4623"/>
      <c r="GG4623"/>
      <c r="GH4623"/>
      <c r="GI4623"/>
      <c r="GJ4623"/>
      <c r="GK4623"/>
      <c r="GL4623"/>
      <c r="GM4623"/>
      <c r="GN4623"/>
      <c r="GO4623"/>
    </row>
    <row r="4624" spans="107:197">
      <c r="DC4624"/>
      <c r="FH4624"/>
      <c r="FI4624"/>
      <c r="FJ4624"/>
      <c r="FK4624"/>
      <c r="FL4624"/>
      <c r="FM4624"/>
      <c r="FN4624"/>
      <c r="FO4624"/>
      <c r="FP4624"/>
      <c r="FQ4624"/>
      <c r="FR4624"/>
      <c r="FS4624"/>
      <c r="FT4624"/>
      <c r="FU4624"/>
      <c r="FV4624"/>
      <c r="FW4624"/>
      <c r="FX4624"/>
      <c r="FY4624"/>
      <c r="FZ4624"/>
      <c r="GA4624"/>
      <c r="GB4624"/>
      <c r="GC4624"/>
      <c r="GD4624"/>
      <c r="GE4624"/>
      <c r="GF4624"/>
      <c r="GG4624"/>
      <c r="GH4624"/>
      <c r="GI4624"/>
      <c r="GJ4624"/>
      <c r="GK4624"/>
      <c r="GL4624"/>
      <c r="GM4624"/>
      <c r="GN4624"/>
      <c r="GO4624"/>
    </row>
    <row r="4625" spans="107:197">
      <c r="DC4625"/>
      <c r="FH4625"/>
      <c r="FI4625"/>
      <c r="FJ4625"/>
      <c r="FK4625"/>
      <c r="FL4625"/>
      <c r="FM4625"/>
      <c r="FN4625"/>
      <c r="FO4625"/>
      <c r="FP4625"/>
      <c r="FQ4625"/>
      <c r="FR4625"/>
      <c r="FS4625"/>
      <c r="FT4625"/>
      <c r="FU4625"/>
      <c r="FV4625"/>
      <c r="FW4625"/>
      <c r="FX4625"/>
      <c r="FY4625"/>
      <c r="FZ4625"/>
      <c r="GA4625"/>
      <c r="GB4625"/>
      <c r="GC4625"/>
      <c r="GD4625"/>
      <c r="GE4625"/>
      <c r="GF4625"/>
      <c r="GG4625"/>
      <c r="GH4625"/>
      <c r="GI4625"/>
      <c r="GJ4625"/>
      <c r="GK4625"/>
      <c r="GL4625"/>
      <c r="GM4625"/>
      <c r="GN4625"/>
      <c r="GO4625"/>
    </row>
    <row r="4626" spans="107:197">
      <c r="DC4626"/>
      <c r="FH4626"/>
      <c r="FI4626"/>
      <c r="FJ4626"/>
      <c r="FK4626"/>
      <c r="FL4626"/>
      <c r="FM4626"/>
      <c r="FN4626"/>
      <c r="FO4626"/>
      <c r="FP4626"/>
      <c r="FQ4626"/>
      <c r="FR4626"/>
      <c r="FS4626"/>
      <c r="FT4626"/>
      <c r="FU4626"/>
      <c r="FV4626"/>
      <c r="FW4626"/>
      <c r="FX4626"/>
      <c r="FY4626"/>
      <c r="FZ4626"/>
      <c r="GA4626"/>
      <c r="GB4626"/>
      <c r="GC4626"/>
      <c r="GD4626"/>
      <c r="GE4626"/>
      <c r="GF4626"/>
      <c r="GG4626"/>
      <c r="GH4626"/>
      <c r="GI4626"/>
      <c r="GJ4626"/>
      <c r="GK4626"/>
      <c r="GL4626"/>
      <c r="GM4626"/>
      <c r="GN4626"/>
      <c r="GO4626"/>
    </row>
    <row r="4627" spans="107:197">
      <c r="DC4627"/>
      <c r="FH4627"/>
      <c r="FI4627"/>
      <c r="FJ4627"/>
      <c r="FK4627"/>
      <c r="FL4627"/>
      <c r="FM4627"/>
      <c r="FN4627"/>
      <c r="FO4627"/>
      <c r="FP4627"/>
      <c r="FQ4627"/>
      <c r="FR4627"/>
      <c r="FS4627"/>
      <c r="FT4627"/>
      <c r="FU4627"/>
      <c r="FV4627"/>
      <c r="FW4627"/>
      <c r="FX4627"/>
      <c r="FY4627"/>
      <c r="FZ4627"/>
      <c r="GA4627"/>
      <c r="GB4627"/>
      <c r="GC4627"/>
      <c r="GD4627"/>
      <c r="GE4627"/>
      <c r="GF4627"/>
      <c r="GG4627"/>
      <c r="GH4627"/>
      <c r="GI4627"/>
      <c r="GJ4627"/>
      <c r="GK4627"/>
      <c r="GL4627"/>
      <c r="GM4627"/>
      <c r="GN4627"/>
      <c r="GO4627"/>
    </row>
    <row r="4628" spans="107:197">
      <c r="DC4628"/>
      <c r="FH4628"/>
      <c r="FI4628"/>
      <c r="FJ4628"/>
      <c r="FK4628"/>
      <c r="FL4628"/>
      <c r="FM4628"/>
      <c r="FN4628"/>
      <c r="FO4628"/>
      <c r="FP4628"/>
      <c r="FQ4628"/>
      <c r="FR4628"/>
      <c r="FS4628"/>
      <c r="FT4628"/>
      <c r="FU4628"/>
      <c r="FV4628"/>
      <c r="FW4628"/>
      <c r="FX4628"/>
      <c r="FY4628"/>
      <c r="FZ4628"/>
      <c r="GA4628"/>
      <c r="GB4628"/>
      <c r="GC4628"/>
      <c r="GD4628"/>
      <c r="GE4628"/>
      <c r="GF4628"/>
      <c r="GG4628"/>
      <c r="GH4628"/>
      <c r="GI4628"/>
      <c r="GJ4628"/>
      <c r="GK4628"/>
      <c r="GL4628"/>
      <c r="GM4628"/>
      <c r="GN4628"/>
      <c r="GO4628"/>
    </row>
    <row r="4629" spans="107:197">
      <c r="DC4629"/>
      <c r="FH4629"/>
      <c r="FI4629"/>
      <c r="FJ4629"/>
      <c r="FK4629"/>
      <c r="FL4629"/>
      <c r="FM4629"/>
      <c r="FN4629"/>
      <c r="FO4629"/>
      <c r="FP4629"/>
      <c r="FQ4629"/>
      <c r="FR4629"/>
      <c r="FS4629"/>
      <c r="FT4629"/>
      <c r="FU4629"/>
      <c r="FV4629"/>
      <c r="FW4629"/>
      <c r="FX4629"/>
      <c r="FY4629"/>
      <c r="FZ4629"/>
      <c r="GA4629"/>
      <c r="GB4629"/>
      <c r="GC4629"/>
      <c r="GD4629"/>
      <c r="GE4629"/>
      <c r="GF4629"/>
      <c r="GG4629"/>
      <c r="GH4629"/>
      <c r="GI4629"/>
      <c r="GJ4629"/>
      <c r="GK4629"/>
      <c r="GL4629"/>
      <c r="GM4629"/>
      <c r="GN4629"/>
      <c r="GO4629"/>
    </row>
    <row r="4630" spans="107:197">
      <c r="DC4630"/>
      <c r="FH4630"/>
      <c r="FI4630"/>
      <c r="FJ4630"/>
      <c r="FK4630"/>
      <c r="FL4630"/>
      <c r="FM4630"/>
      <c r="FN4630"/>
      <c r="FO4630"/>
      <c r="FP4630"/>
      <c r="FQ4630"/>
      <c r="FR4630"/>
      <c r="FS4630"/>
      <c r="FT4630"/>
      <c r="FU4630"/>
      <c r="FV4630"/>
      <c r="FW4630"/>
      <c r="FX4630"/>
      <c r="FY4630"/>
      <c r="FZ4630"/>
      <c r="GA4630"/>
      <c r="GB4630"/>
      <c r="GC4630"/>
      <c r="GD4630"/>
      <c r="GE4630"/>
      <c r="GF4630"/>
      <c r="GG4630"/>
      <c r="GH4630"/>
      <c r="GI4630"/>
      <c r="GJ4630"/>
      <c r="GK4630"/>
      <c r="GL4630"/>
      <c r="GM4630"/>
      <c r="GN4630"/>
      <c r="GO4630"/>
    </row>
    <row r="4631" spans="107:197">
      <c r="DC4631"/>
      <c r="FH4631"/>
      <c r="FI4631"/>
      <c r="FJ4631"/>
      <c r="FK4631"/>
      <c r="FL4631"/>
      <c r="FM4631"/>
      <c r="FN4631"/>
      <c r="FO4631"/>
      <c r="FP4631"/>
      <c r="FQ4631"/>
      <c r="FR4631"/>
      <c r="FS4631"/>
      <c r="FT4631"/>
      <c r="FU4631"/>
      <c r="FV4631"/>
      <c r="FW4631"/>
      <c r="FX4631"/>
      <c r="FY4631"/>
      <c r="FZ4631"/>
      <c r="GA4631"/>
      <c r="GB4631"/>
      <c r="GC4631"/>
      <c r="GD4631"/>
      <c r="GE4631"/>
      <c r="GF4631"/>
      <c r="GG4631"/>
      <c r="GH4631"/>
      <c r="GI4631"/>
      <c r="GJ4631"/>
      <c r="GK4631"/>
      <c r="GL4631"/>
      <c r="GM4631"/>
      <c r="GN4631"/>
      <c r="GO4631"/>
    </row>
    <row r="4632" spans="107:197">
      <c r="DC4632"/>
      <c r="FH4632"/>
      <c r="FI4632"/>
      <c r="FJ4632"/>
      <c r="FK4632"/>
      <c r="FL4632"/>
      <c r="FM4632"/>
      <c r="FN4632"/>
      <c r="FO4632"/>
      <c r="FP4632"/>
      <c r="FQ4632"/>
      <c r="FR4632"/>
      <c r="FS4632"/>
      <c r="FT4632"/>
      <c r="FU4632"/>
      <c r="FV4632"/>
      <c r="FW4632"/>
      <c r="FX4632"/>
      <c r="FY4632"/>
      <c r="FZ4632"/>
      <c r="GA4632"/>
      <c r="GB4632"/>
      <c r="GC4632"/>
      <c r="GD4632"/>
      <c r="GE4632"/>
      <c r="GF4632"/>
      <c r="GG4632"/>
      <c r="GH4632"/>
      <c r="GI4632"/>
      <c r="GJ4632"/>
      <c r="GK4632"/>
      <c r="GL4632"/>
      <c r="GM4632"/>
      <c r="GN4632"/>
      <c r="GO4632"/>
    </row>
    <row r="4633" spans="107:197">
      <c r="DC4633"/>
      <c r="FH4633"/>
      <c r="FI4633"/>
      <c r="FJ4633"/>
      <c r="FK4633"/>
      <c r="FL4633"/>
      <c r="FM4633"/>
      <c r="FN4633"/>
      <c r="FO4633"/>
      <c r="FP4633"/>
      <c r="FQ4633"/>
      <c r="FR4633"/>
      <c r="FS4633"/>
      <c r="FT4633"/>
      <c r="FU4633"/>
      <c r="FV4633"/>
      <c r="FW4633"/>
      <c r="FX4633"/>
      <c r="FY4633"/>
      <c r="FZ4633"/>
      <c r="GA4633"/>
      <c r="GB4633"/>
      <c r="GC4633"/>
      <c r="GD4633"/>
      <c r="GE4633"/>
      <c r="GF4633"/>
      <c r="GG4633"/>
      <c r="GH4633"/>
      <c r="GI4633"/>
      <c r="GJ4633"/>
      <c r="GK4633"/>
      <c r="GL4633"/>
      <c r="GM4633"/>
      <c r="GN4633"/>
      <c r="GO4633"/>
    </row>
    <row r="4634" spans="107:197">
      <c r="DC4634"/>
      <c r="FH4634"/>
      <c r="FI4634"/>
      <c r="FJ4634"/>
      <c r="FK4634"/>
      <c r="FL4634"/>
      <c r="FM4634"/>
      <c r="FN4634"/>
      <c r="FO4634"/>
      <c r="FP4634"/>
      <c r="FQ4634"/>
      <c r="FR4634"/>
      <c r="FS4634"/>
      <c r="FT4634"/>
      <c r="FU4634"/>
      <c r="FV4634"/>
      <c r="FW4634"/>
      <c r="FX4634"/>
      <c r="FY4634"/>
      <c r="FZ4634"/>
      <c r="GA4634"/>
      <c r="GB4634"/>
      <c r="GC4634"/>
      <c r="GD4634"/>
      <c r="GE4634"/>
      <c r="GF4634"/>
      <c r="GG4634"/>
      <c r="GH4634"/>
      <c r="GI4634"/>
      <c r="GJ4634"/>
      <c r="GK4634"/>
      <c r="GL4634"/>
      <c r="GM4634"/>
      <c r="GN4634"/>
      <c r="GO4634"/>
    </row>
    <row r="4635" spans="107:197">
      <c r="DC4635"/>
      <c r="FH4635"/>
      <c r="FI4635"/>
      <c r="FJ4635"/>
      <c r="FK4635"/>
      <c r="FL4635"/>
      <c r="FM4635"/>
      <c r="FN4635"/>
      <c r="FO4635"/>
      <c r="FP4635"/>
      <c r="FQ4635"/>
      <c r="FR4635"/>
      <c r="FS4635"/>
      <c r="FT4635"/>
      <c r="FU4635"/>
      <c r="FV4635"/>
      <c r="FW4635"/>
      <c r="FX4635"/>
      <c r="FY4635"/>
      <c r="FZ4635"/>
      <c r="GA4635"/>
      <c r="GB4635"/>
      <c r="GC4635"/>
      <c r="GD4635"/>
      <c r="GE4635"/>
      <c r="GF4635"/>
      <c r="GG4635"/>
      <c r="GH4635"/>
      <c r="GI4635"/>
      <c r="GJ4635"/>
      <c r="GK4635"/>
      <c r="GL4635"/>
      <c r="GM4635"/>
      <c r="GN4635"/>
      <c r="GO4635"/>
    </row>
    <row r="4636" spans="107:197">
      <c r="DC4636"/>
      <c r="FH4636"/>
      <c r="FI4636"/>
      <c r="FJ4636"/>
      <c r="FK4636"/>
      <c r="FL4636"/>
      <c r="FM4636"/>
      <c r="FN4636"/>
      <c r="FO4636"/>
      <c r="FP4636"/>
      <c r="FQ4636"/>
      <c r="FR4636"/>
      <c r="FS4636"/>
      <c r="FT4636"/>
      <c r="FU4636"/>
      <c r="FV4636"/>
      <c r="FW4636"/>
      <c r="FX4636"/>
      <c r="FY4636"/>
      <c r="FZ4636"/>
      <c r="GA4636"/>
      <c r="GB4636"/>
      <c r="GC4636"/>
      <c r="GD4636"/>
      <c r="GE4636"/>
      <c r="GF4636"/>
      <c r="GG4636"/>
      <c r="GH4636"/>
      <c r="GI4636"/>
      <c r="GJ4636"/>
      <c r="GK4636"/>
      <c r="GL4636"/>
      <c r="GM4636"/>
      <c r="GN4636"/>
      <c r="GO4636"/>
    </row>
    <row r="4637" spans="107:197">
      <c r="DC4637"/>
      <c r="FH4637"/>
      <c r="FI4637"/>
      <c r="FJ4637"/>
      <c r="FK4637"/>
      <c r="FL4637"/>
      <c r="FM4637"/>
      <c r="FN4637"/>
      <c r="FO4637"/>
      <c r="FP4637"/>
      <c r="FQ4637"/>
      <c r="FR4637"/>
      <c r="FS4637"/>
      <c r="FT4637"/>
      <c r="FU4637"/>
      <c r="FV4637"/>
      <c r="FW4637"/>
      <c r="FX4637"/>
      <c r="FY4637"/>
      <c r="FZ4637"/>
      <c r="GA4637"/>
      <c r="GB4637"/>
      <c r="GC4637"/>
      <c r="GD4637"/>
      <c r="GE4637"/>
      <c r="GF4637"/>
      <c r="GG4637"/>
      <c r="GH4637"/>
      <c r="GI4637"/>
      <c r="GJ4637"/>
      <c r="GK4637"/>
      <c r="GL4637"/>
      <c r="GM4637"/>
      <c r="GN4637"/>
      <c r="GO4637"/>
    </row>
    <row r="4638" spans="107:197">
      <c r="DC4638"/>
      <c r="FH4638"/>
      <c r="FI4638"/>
      <c r="FJ4638"/>
      <c r="FK4638"/>
      <c r="FL4638"/>
      <c r="FM4638"/>
      <c r="FN4638"/>
      <c r="FO4638"/>
      <c r="FP4638"/>
      <c r="FQ4638"/>
      <c r="FR4638"/>
      <c r="FS4638"/>
      <c r="FT4638"/>
      <c r="FU4638"/>
      <c r="FV4638"/>
      <c r="FW4638"/>
      <c r="FX4638"/>
      <c r="FY4638"/>
      <c r="FZ4638"/>
      <c r="GA4638"/>
      <c r="GB4638"/>
      <c r="GC4638"/>
      <c r="GD4638"/>
      <c r="GE4638"/>
      <c r="GF4638"/>
      <c r="GG4638"/>
      <c r="GH4638"/>
      <c r="GI4638"/>
      <c r="GJ4638"/>
      <c r="GK4638"/>
      <c r="GL4638"/>
      <c r="GM4638"/>
      <c r="GN4638"/>
      <c r="GO4638"/>
    </row>
    <row r="4639" spans="107:197">
      <c r="DC4639"/>
      <c r="FH4639"/>
      <c r="FI4639"/>
      <c r="FJ4639"/>
      <c r="FK4639"/>
      <c r="FL4639"/>
      <c r="FM4639"/>
      <c r="FN4639"/>
      <c r="FO4639"/>
      <c r="FP4639"/>
      <c r="FQ4639"/>
      <c r="FR4639"/>
      <c r="FS4639"/>
      <c r="FT4639"/>
      <c r="FU4639"/>
      <c r="FV4639"/>
      <c r="FW4639"/>
      <c r="FX4639"/>
      <c r="FY4639"/>
      <c r="FZ4639"/>
      <c r="GA4639"/>
      <c r="GB4639"/>
      <c r="GC4639"/>
      <c r="GD4639"/>
      <c r="GE4639"/>
      <c r="GF4639"/>
      <c r="GG4639"/>
      <c r="GH4639"/>
      <c r="GI4639"/>
      <c r="GJ4639"/>
      <c r="GK4639"/>
      <c r="GL4639"/>
      <c r="GM4639"/>
      <c r="GN4639"/>
      <c r="GO4639"/>
    </row>
    <row r="4640" spans="107:197">
      <c r="DC4640"/>
      <c r="FH4640"/>
      <c r="FI4640"/>
      <c r="FJ4640"/>
      <c r="FK4640"/>
      <c r="FL4640"/>
      <c r="FM4640"/>
      <c r="FN4640"/>
      <c r="FO4640"/>
      <c r="FP4640"/>
      <c r="FQ4640"/>
      <c r="FR4640"/>
      <c r="FS4640"/>
      <c r="FT4640"/>
      <c r="FU4640"/>
      <c r="FV4640"/>
      <c r="FW4640"/>
      <c r="FX4640"/>
      <c r="FY4640"/>
      <c r="FZ4640"/>
      <c r="GA4640"/>
      <c r="GB4640"/>
      <c r="GC4640"/>
      <c r="GD4640"/>
      <c r="GE4640"/>
      <c r="GF4640"/>
      <c r="GG4640"/>
      <c r="GH4640"/>
      <c r="GI4640"/>
      <c r="GJ4640"/>
      <c r="GK4640"/>
      <c r="GL4640"/>
      <c r="GM4640"/>
      <c r="GN4640"/>
      <c r="GO4640"/>
    </row>
    <row r="4641" spans="107:197">
      <c r="DC4641"/>
      <c r="FH4641"/>
      <c r="FI4641"/>
      <c r="FJ4641"/>
      <c r="FK4641"/>
      <c r="FL4641"/>
      <c r="FM4641"/>
      <c r="FN4641"/>
      <c r="FO4641"/>
      <c r="FP4641"/>
      <c r="FQ4641"/>
      <c r="FR4641"/>
      <c r="FS4641"/>
      <c r="FT4641"/>
      <c r="FU4641"/>
      <c r="FV4641"/>
      <c r="FW4641"/>
      <c r="FX4641"/>
      <c r="FY4641"/>
      <c r="FZ4641"/>
      <c r="GA4641"/>
      <c r="GB4641"/>
      <c r="GC4641"/>
      <c r="GD4641"/>
      <c r="GE4641"/>
      <c r="GF4641"/>
      <c r="GG4641"/>
      <c r="GH4641"/>
      <c r="GI4641"/>
      <c r="GJ4641"/>
      <c r="GK4641"/>
      <c r="GL4641"/>
      <c r="GM4641"/>
      <c r="GN4641"/>
      <c r="GO4641"/>
    </row>
    <row r="4642" spans="107:197">
      <c r="DC4642"/>
      <c r="FH4642"/>
      <c r="FI4642"/>
      <c r="FJ4642"/>
      <c r="FK4642"/>
      <c r="FL4642"/>
      <c r="FM4642"/>
      <c r="FN4642"/>
      <c r="FO4642"/>
      <c r="FP4642"/>
      <c r="FQ4642"/>
      <c r="FR4642"/>
      <c r="FS4642"/>
      <c r="FT4642"/>
      <c r="FU4642"/>
      <c r="FV4642"/>
      <c r="FW4642"/>
      <c r="FX4642"/>
      <c r="FY4642"/>
      <c r="FZ4642"/>
      <c r="GA4642"/>
      <c r="GB4642"/>
      <c r="GC4642"/>
      <c r="GD4642"/>
      <c r="GE4642"/>
      <c r="GF4642"/>
      <c r="GG4642"/>
      <c r="GH4642"/>
      <c r="GI4642"/>
      <c r="GJ4642"/>
      <c r="GK4642"/>
      <c r="GL4642"/>
      <c r="GM4642"/>
      <c r="GN4642"/>
      <c r="GO4642"/>
    </row>
    <row r="4643" spans="107:197">
      <c r="DC4643"/>
      <c r="FH4643"/>
      <c r="FI4643"/>
      <c r="FJ4643"/>
      <c r="FK4643"/>
      <c r="FL4643"/>
      <c r="FM4643"/>
      <c r="FN4643"/>
      <c r="FO4643"/>
      <c r="FP4643"/>
      <c r="FQ4643"/>
      <c r="FR4643"/>
      <c r="FS4643"/>
      <c r="FT4643"/>
      <c r="FU4643"/>
      <c r="FV4643"/>
      <c r="FW4643"/>
      <c r="FX4643"/>
      <c r="FY4643"/>
      <c r="FZ4643"/>
      <c r="GA4643"/>
      <c r="GB4643"/>
      <c r="GC4643"/>
      <c r="GD4643"/>
      <c r="GE4643"/>
      <c r="GF4643"/>
      <c r="GG4643"/>
      <c r="GH4643"/>
      <c r="GI4643"/>
      <c r="GJ4643"/>
      <c r="GK4643"/>
      <c r="GL4643"/>
      <c r="GM4643"/>
      <c r="GN4643"/>
      <c r="GO4643"/>
    </row>
    <row r="4644" spans="107:197">
      <c r="DC4644"/>
      <c r="FH4644"/>
      <c r="FI4644"/>
      <c r="FJ4644"/>
      <c r="FK4644"/>
      <c r="FL4644"/>
      <c r="FM4644"/>
      <c r="FN4644"/>
      <c r="FO4644"/>
      <c r="FP4644"/>
      <c r="FQ4644"/>
      <c r="FR4644"/>
      <c r="FS4644"/>
      <c r="FT4644"/>
      <c r="FU4644"/>
      <c r="FV4644"/>
      <c r="FW4644"/>
      <c r="FX4644"/>
      <c r="FY4644"/>
      <c r="FZ4644"/>
      <c r="GA4644"/>
      <c r="GB4644"/>
      <c r="GC4644"/>
      <c r="GD4644"/>
      <c r="GE4644"/>
      <c r="GF4644"/>
      <c r="GG4644"/>
      <c r="GH4644"/>
      <c r="GI4644"/>
      <c r="GJ4644"/>
      <c r="GK4644"/>
      <c r="GL4644"/>
      <c r="GM4644"/>
      <c r="GN4644"/>
      <c r="GO4644"/>
    </row>
    <row r="4645" spans="107:197">
      <c r="DC4645"/>
      <c r="FH4645"/>
      <c r="FI4645"/>
      <c r="FJ4645"/>
      <c r="FK4645"/>
      <c r="FL4645"/>
      <c r="FM4645"/>
      <c r="FN4645"/>
      <c r="FO4645"/>
      <c r="FP4645"/>
      <c r="FQ4645"/>
      <c r="FR4645"/>
      <c r="FS4645"/>
      <c r="FT4645"/>
      <c r="FU4645"/>
      <c r="FV4645"/>
      <c r="FW4645"/>
      <c r="FX4645"/>
      <c r="FY4645"/>
      <c r="FZ4645"/>
      <c r="GA4645"/>
      <c r="GB4645"/>
      <c r="GC4645"/>
      <c r="GD4645"/>
      <c r="GE4645"/>
      <c r="GF4645"/>
      <c r="GG4645"/>
      <c r="GH4645"/>
      <c r="GI4645"/>
      <c r="GJ4645"/>
      <c r="GK4645"/>
      <c r="GL4645"/>
      <c r="GM4645"/>
      <c r="GN4645"/>
      <c r="GO4645"/>
    </row>
    <row r="4646" spans="107:197">
      <c r="DC4646"/>
      <c r="FH4646"/>
      <c r="FI4646"/>
      <c r="FJ4646"/>
      <c r="FK4646"/>
      <c r="FL4646"/>
      <c r="FM4646"/>
      <c r="FN4646"/>
      <c r="FO4646"/>
      <c r="FP4646"/>
      <c r="FQ4646"/>
      <c r="FR4646"/>
      <c r="FS4646"/>
      <c r="FT4646"/>
      <c r="FU4646"/>
      <c r="FV4646"/>
      <c r="FW4646"/>
      <c r="FX4646"/>
      <c r="FY4646"/>
      <c r="FZ4646"/>
      <c r="GA4646"/>
      <c r="GB4646"/>
      <c r="GC4646"/>
      <c r="GD4646"/>
      <c r="GE4646"/>
      <c r="GF4646"/>
      <c r="GG4646"/>
      <c r="GH4646"/>
      <c r="GI4646"/>
      <c r="GJ4646"/>
      <c r="GK4646"/>
      <c r="GL4646"/>
      <c r="GM4646"/>
      <c r="GN4646"/>
      <c r="GO4646"/>
    </row>
    <row r="4647" spans="107:197">
      <c r="DC4647"/>
      <c r="FH4647"/>
      <c r="FI4647"/>
      <c r="FJ4647"/>
      <c r="FK4647"/>
      <c r="FL4647"/>
      <c r="FM4647"/>
      <c r="FN4647"/>
      <c r="FO4647"/>
      <c r="FP4647"/>
      <c r="FQ4647"/>
      <c r="FR4647"/>
      <c r="FS4647"/>
      <c r="FT4647"/>
      <c r="FU4647"/>
      <c r="FV4647"/>
      <c r="FW4647"/>
      <c r="FX4647"/>
      <c r="FY4647"/>
      <c r="FZ4647"/>
      <c r="GA4647"/>
      <c r="GB4647"/>
      <c r="GC4647"/>
      <c r="GD4647"/>
      <c r="GE4647"/>
      <c r="GF4647"/>
      <c r="GG4647"/>
      <c r="GH4647"/>
      <c r="GI4647"/>
      <c r="GJ4647"/>
      <c r="GK4647"/>
      <c r="GL4647"/>
      <c r="GM4647"/>
      <c r="GN4647"/>
      <c r="GO4647"/>
    </row>
    <row r="4648" spans="107:197">
      <c r="DC4648"/>
      <c r="FH4648"/>
      <c r="FI4648"/>
      <c r="FJ4648"/>
      <c r="FK4648"/>
      <c r="FL4648"/>
      <c r="FM4648"/>
      <c r="FN4648"/>
      <c r="FO4648"/>
      <c r="FP4648"/>
      <c r="FQ4648"/>
      <c r="FR4648"/>
      <c r="FS4648"/>
      <c r="FT4648"/>
      <c r="FU4648"/>
      <c r="FV4648"/>
      <c r="FW4648"/>
      <c r="FX4648"/>
      <c r="FY4648"/>
      <c r="FZ4648"/>
      <c r="GA4648"/>
      <c r="GB4648"/>
      <c r="GC4648"/>
      <c r="GD4648"/>
      <c r="GE4648"/>
      <c r="GF4648"/>
      <c r="GG4648"/>
      <c r="GH4648"/>
      <c r="GI4648"/>
      <c r="GJ4648"/>
      <c r="GK4648"/>
      <c r="GL4648"/>
      <c r="GM4648"/>
      <c r="GN4648"/>
      <c r="GO4648"/>
    </row>
    <row r="4649" spans="107:197">
      <c r="DC4649"/>
      <c r="FH4649"/>
      <c r="FI4649"/>
      <c r="FJ4649"/>
      <c r="FK4649"/>
      <c r="FL4649"/>
      <c r="FM4649"/>
      <c r="FN4649"/>
      <c r="FO4649"/>
      <c r="FP4649"/>
      <c r="FQ4649"/>
      <c r="FR4649"/>
      <c r="FS4649"/>
      <c r="FT4649"/>
      <c r="FU4649"/>
      <c r="FV4649"/>
      <c r="FW4649"/>
      <c r="FX4649"/>
      <c r="FY4649"/>
      <c r="FZ4649"/>
      <c r="GA4649"/>
      <c r="GB4649"/>
      <c r="GC4649"/>
      <c r="GD4649"/>
      <c r="GE4649"/>
      <c r="GF4649"/>
      <c r="GG4649"/>
      <c r="GH4649"/>
      <c r="GI4649"/>
      <c r="GJ4649"/>
      <c r="GK4649"/>
      <c r="GL4649"/>
      <c r="GM4649"/>
      <c r="GN4649"/>
      <c r="GO4649"/>
    </row>
    <row r="4650" spans="107:197">
      <c r="DC4650"/>
      <c r="FH4650"/>
      <c r="FI4650"/>
      <c r="FJ4650"/>
      <c r="FK4650"/>
      <c r="FL4650"/>
      <c r="FM4650"/>
      <c r="FN4650"/>
      <c r="FO4650"/>
      <c r="FP4650"/>
      <c r="FQ4650"/>
      <c r="FR4650"/>
      <c r="FS4650"/>
      <c r="FT4650"/>
      <c r="FU4650"/>
      <c r="FV4650"/>
      <c r="FW4650"/>
      <c r="FX4650"/>
      <c r="FY4650"/>
      <c r="FZ4650"/>
      <c r="GA4650"/>
      <c r="GB4650"/>
      <c r="GC4650"/>
      <c r="GD4650"/>
      <c r="GE4650"/>
      <c r="GF4650"/>
      <c r="GG4650"/>
      <c r="GH4650"/>
      <c r="GI4650"/>
      <c r="GJ4650"/>
      <c r="GK4650"/>
      <c r="GL4650"/>
      <c r="GM4650"/>
      <c r="GN4650"/>
      <c r="GO4650"/>
    </row>
    <row r="4651" spans="107:197">
      <c r="DC4651"/>
      <c r="FH4651"/>
      <c r="FI4651"/>
      <c r="FJ4651"/>
      <c r="FK4651"/>
      <c r="FL4651"/>
      <c r="FM4651"/>
      <c r="FN4651"/>
      <c r="FO4651"/>
      <c r="FP4651"/>
      <c r="FQ4651"/>
      <c r="FR4651"/>
      <c r="FS4651"/>
      <c r="FT4651"/>
      <c r="FU4651"/>
      <c r="FV4651"/>
      <c r="FW4651"/>
      <c r="FX4651"/>
      <c r="FY4651"/>
      <c r="FZ4651"/>
      <c r="GA4651"/>
      <c r="GB4651"/>
      <c r="GC4651"/>
      <c r="GD4651"/>
      <c r="GE4651"/>
      <c r="GF4651"/>
      <c r="GG4651"/>
      <c r="GH4651"/>
      <c r="GI4651"/>
      <c r="GJ4651"/>
      <c r="GK4651"/>
      <c r="GL4651"/>
      <c r="GM4651"/>
      <c r="GN4651"/>
      <c r="GO4651"/>
    </row>
    <row r="4652" spans="107:197">
      <c r="DC4652"/>
      <c r="FH4652"/>
      <c r="FI4652"/>
      <c r="FJ4652"/>
      <c r="FK4652"/>
      <c r="FL4652"/>
      <c r="FM4652"/>
      <c r="FN4652"/>
      <c r="FO4652"/>
      <c r="FP4652"/>
      <c r="FQ4652"/>
      <c r="FR4652"/>
      <c r="FS4652"/>
      <c r="FT4652"/>
      <c r="FU4652"/>
      <c r="FV4652"/>
      <c r="FW4652"/>
      <c r="FX4652"/>
      <c r="FY4652"/>
      <c r="FZ4652"/>
      <c r="GA4652"/>
      <c r="GB4652"/>
      <c r="GC4652"/>
      <c r="GD4652"/>
      <c r="GE4652"/>
      <c r="GF4652"/>
      <c r="GG4652"/>
      <c r="GH4652"/>
      <c r="GI4652"/>
      <c r="GJ4652"/>
      <c r="GK4652"/>
      <c r="GL4652"/>
      <c r="GM4652"/>
      <c r="GN4652"/>
      <c r="GO4652"/>
    </row>
    <row r="4653" spans="107:197">
      <c r="DC4653"/>
      <c r="FH4653"/>
      <c r="FI4653"/>
      <c r="FJ4653"/>
      <c r="FK4653"/>
      <c r="FL4653"/>
      <c r="FM4653"/>
      <c r="FN4653"/>
      <c r="FO4653"/>
      <c r="FP4653"/>
      <c r="FQ4653"/>
      <c r="FR4653"/>
      <c r="FS4653"/>
      <c r="FT4653"/>
      <c r="FU4653"/>
      <c r="FV4653"/>
      <c r="FW4653"/>
      <c r="FX4653"/>
      <c r="FY4653"/>
      <c r="FZ4653"/>
      <c r="GA4653"/>
      <c r="GB4653"/>
      <c r="GC4653"/>
      <c r="GD4653"/>
      <c r="GE4653"/>
      <c r="GF4653"/>
      <c r="GG4653"/>
      <c r="GH4653"/>
      <c r="GI4653"/>
      <c r="GJ4653"/>
      <c r="GK4653"/>
      <c r="GL4653"/>
      <c r="GM4653"/>
      <c r="GN4653"/>
      <c r="GO4653"/>
    </row>
    <row r="4654" spans="107:197">
      <c r="DC4654"/>
      <c r="FH4654"/>
      <c r="FI4654"/>
      <c r="FJ4654"/>
      <c r="FK4654"/>
      <c r="FL4654"/>
      <c r="FM4654"/>
      <c r="FN4654"/>
      <c r="FO4654"/>
      <c r="FP4654"/>
      <c r="FQ4654"/>
      <c r="FR4654"/>
      <c r="FS4654"/>
      <c r="FT4654"/>
      <c r="FU4654"/>
      <c r="FV4654"/>
      <c r="FW4654"/>
      <c r="FX4654"/>
      <c r="FY4654"/>
      <c r="FZ4654"/>
      <c r="GA4654"/>
      <c r="GB4654"/>
      <c r="GC4654"/>
      <c r="GD4654"/>
      <c r="GE4654"/>
      <c r="GF4654"/>
      <c r="GG4654"/>
      <c r="GH4654"/>
      <c r="GI4654"/>
      <c r="GJ4654"/>
      <c r="GK4654"/>
      <c r="GL4654"/>
      <c r="GM4654"/>
      <c r="GN4654"/>
      <c r="GO4654"/>
    </row>
    <row r="4655" spans="107:197">
      <c r="DC4655"/>
      <c r="FH4655"/>
      <c r="FI4655"/>
      <c r="FJ4655"/>
      <c r="FK4655"/>
      <c r="FL4655"/>
      <c r="FM4655"/>
      <c r="FN4655"/>
      <c r="FO4655"/>
      <c r="FP4655"/>
      <c r="FQ4655"/>
      <c r="FR4655"/>
      <c r="FS4655"/>
      <c r="FT4655"/>
      <c r="FU4655"/>
      <c r="FV4655"/>
      <c r="FW4655"/>
      <c r="FX4655"/>
      <c r="FY4655"/>
      <c r="FZ4655"/>
      <c r="GA4655"/>
      <c r="GB4655"/>
      <c r="GC4655"/>
      <c r="GD4655"/>
      <c r="GE4655"/>
      <c r="GF4655"/>
      <c r="GG4655"/>
      <c r="GH4655"/>
      <c r="GI4655"/>
      <c r="GJ4655"/>
      <c r="GK4655"/>
      <c r="GL4655"/>
      <c r="GM4655"/>
      <c r="GN4655"/>
      <c r="GO4655"/>
    </row>
    <row r="4656" spans="107:197">
      <c r="DC4656"/>
      <c r="FH4656"/>
      <c r="FI4656"/>
      <c r="FJ4656"/>
      <c r="FK4656"/>
      <c r="FL4656"/>
      <c r="FM4656"/>
      <c r="FN4656"/>
      <c r="FO4656"/>
      <c r="FP4656"/>
      <c r="FQ4656"/>
      <c r="FR4656"/>
      <c r="FS4656"/>
      <c r="FT4656"/>
      <c r="FU4656"/>
      <c r="FV4656"/>
      <c r="FW4656"/>
      <c r="FX4656"/>
      <c r="FY4656"/>
      <c r="FZ4656"/>
      <c r="GA4656"/>
      <c r="GB4656"/>
      <c r="GC4656"/>
      <c r="GD4656"/>
      <c r="GE4656"/>
      <c r="GF4656"/>
      <c r="GG4656"/>
      <c r="GH4656"/>
      <c r="GI4656"/>
      <c r="GJ4656"/>
      <c r="GK4656"/>
      <c r="GL4656"/>
      <c r="GM4656"/>
      <c r="GN4656"/>
      <c r="GO4656"/>
    </row>
    <row r="4657" spans="107:197">
      <c r="DC4657"/>
      <c r="FH4657"/>
      <c r="FI4657"/>
      <c r="FJ4657"/>
      <c r="FK4657"/>
      <c r="FL4657"/>
      <c r="FM4657"/>
      <c r="FN4657"/>
      <c r="FO4657"/>
      <c r="FP4657"/>
      <c r="FQ4657"/>
      <c r="FR4657"/>
      <c r="FS4657"/>
      <c r="FT4657"/>
      <c r="FU4657"/>
      <c r="FV4657"/>
      <c r="FW4657"/>
      <c r="FX4657"/>
      <c r="FY4657"/>
      <c r="FZ4657"/>
      <c r="GA4657"/>
      <c r="GB4657"/>
      <c r="GC4657"/>
      <c r="GD4657"/>
      <c r="GE4657"/>
      <c r="GF4657"/>
      <c r="GG4657"/>
      <c r="GH4657"/>
      <c r="GI4657"/>
      <c r="GJ4657"/>
      <c r="GK4657"/>
      <c r="GL4657"/>
      <c r="GM4657"/>
      <c r="GN4657"/>
      <c r="GO4657"/>
    </row>
    <row r="4658" spans="107:197">
      <c r="DC4658"/>
      <c r="FH4658"/>
      <c r="FI4658"/>
      <c r="FJ4658"/>
      <c r="FK4658"/>
      <c r="FL4658"/>
      <c r="FM4658"/>
      <c r="FN4658"/>
      <c r="FO4658"/>
      <c r="FP4658"/>
      <c r="FQ4658"/>
      <c r="FR4658"/>
      <c r="FS4658"/>
      <c r="FT4658"/>
      <c r="FU4658"/>
      <c r="FV4658"/>
      <c r="FW4658"/>
      <c r="FX4658"/>
      <c r="FY4658"/>
      <c r="FZ4658"/>
      <c r="GA4658"/>
      <c r="GB4658"/>
      <c r="GC4658"/>
      <c r="GD4658"/>
      <c r="GE4658"/>
      <c r="GF4658"/>
      <c r="GG4658"/>
      <c r="GH4658"/>
      <c r="GI4658"/>
      <c r="GJ4658"/>
      <c r="GK4658"/>
      <c r="GL4658"/>
      <c r="GM4658"/>
      <c r="GN4658"/>
      <c r="GO4658"/>
    </row>
    <row r="4659" spans="107:197">
      <c r="DC4659"/>
      <c r="FH4659"/>
      <c r="FI4659"/>
      <c r="FJ4659"/>
      <c r="FK4659"/>
      <c r="FL4659"/>
      <c r="FM4659"/>
      <c r="FN4659"/>
      <c r="FO4659"/>
      <c r="FP4659"/>
      <c r="FQ4659"/>
      <c r="FR4659"/>
      <c r="FS4659"/>
      <c r="FT4659"/>
      <c r="FU4659"/>
      <c r="FV4659"/>
      <c r="FW4659"/>
      <c r="FX4659"/>
      <c r="FY4659"/>
      <c r="FZ4659"/>
      <c r="GA4659"/>
      <c r="GB4659"/>
      <c r="GC4659"/>
      <c r="GD4659"/>
      <c r="GE4659"/>
      <c r="GF4659"/>
      <c r="GG4659"/>
      <c r="GH4659"/>
      <c r="GI4659"/>
      <c r="GJ4659"/>
      <c r="GK4659"/>
      <c r="GL4659"/>
      <c r="GM4659"/>
      <c r="GN4659"/>
      <c r="GO4659"/>
    </row>
    <row r="4660" spans="107:197">
      <c r="DC4660"/>
      <c r="FH4660"/>
      <c r="FI4660"/>
      <c r="FJ4660"/>
      <c r="FK4660"/>
      <c r="FL4660"/>
      <c r="FM4660"/>
      <c r="FN4660"/>
      <c r="FO4660"/>
      <c r="FP4660"/>
      <c r="FQ4660"/>
      <c r="FR4660"/>
      <c r="FS4660"/>
      <c r="FT4660"/>
      <c r="FU4660"/>
      <c r="FV4660"/>
      <c r="FW4660"/>
      <c r="FX4660"/>
      <c r="FY4660"/>
      <c r="FZ4660"/>
      <c r="GA4660"/>
      <c r="GB4660"/>
      <c r="GC4660"/>
      <c r="GD4660"/>
      <c r="GE4660"/>
      <c r="GF4660"/>
      <c r="GG4660"/>
      <c r="GH4660"/>
      <c r="GI4660"/>
      <c r="GJ4660"/>
      <c r="GK4660"/>
      <c r="GL4660"/>
      <c r="GM4660"/>
      <c r="GN4660"/>
      <c r="GO4660"/>
    </row>
    <row r="4661" spans="107:197">
      <c r="DC4661"/>
      <c r="FH4661"/>
      <c r="FI4661"/>
      <c r="FJ4661"/>
      <c r="FK4661"/>
      <c r="FL4661"/>
      <c r="FM4661"/>
      <c r="FN4661"/>
      <c r="FO4661"/>
      <c r="FP4661"/>
      <c r="FQ4661"/>
      <c r="FR4661"/>
      <c r="FS4661"/>
      <c r="FT4661"/>
      <c r="FU4661"/>
      <c r="FV4661"/>
      <c r="FW4661"/>
      <c r="FX4661"/>
      <c r="FY4661"/>
      <c r="FZ4661"/>
      <c r="GA4661"/>
      <c r="GB4661"/>
      <c r="GC4661"/>
      <c r="GD4661"/>
      <c r="GE4661"/>
      <c r="GF4661"/>
      <c r="GG4661"/>
      <c r="GH4661"/>
      <c r="GI4661"/>
      <c r="GJ4661"/>
      <c r="GK4661"/>
      <c r="GL4661"/>
      <c r="GM4661"/>
      <c r="GN4661"/>
      <c r="GO4661"/>
    </row>
    <row r="4662" spans="107:197">
      <c r="DC4662"/>
      <c r="FH4662"/>
      <c r="FI4662"/>
      <c r="FJ4662"/>
      <c r="FK4662"/>
      <c r="FL4662"/>
      <c r="FM4662"/>
      <c r="FN4662"/>
      <c r="FO4662"/>
      <c r="FP4662"/>
      <c r="FQ4662"/>
      <c r="FR4662"/>
      <c r="FS4662"/>
      <c r="FT4662"/>
      <c r="FU4662"/>
      <c r="FV4662"/>
      <c r="FW4662"/>
      <c r="FX4662"/>
      <c r="FY4662"/>
      <c r="FZ4662"/>
      <c r="GA4662"/>
      <c r="GB4662"/>
      <c r="GC4662"/>
      <c r="GD4662"/>
      <c r="GE4662"/>
      <c r="GF4662"/>
      <c r="GG4662"/>
      <c r="GH4662"/>
      <c r="GI4662"/>
      <c r="GJ4662"/>
      <c r="GK4662"/>
      <c r="GL4662"/>
      <c r="GM4662"/>
      <c r="GN4662"/>
      <c r="GO4662"/>
    </row>
    <row r="4663" spans="107:197">
      <c r="DC4663"/>
      <c r="FH4663"/>
      <c r="FI4663"/>
      <c r="FJ4663"/>
      <c r="FK4663"/>
      <c r="FL4663"/>
      <c r="FM4663"/>
      <c r="FN4663"/>
      <c r="FO4663"/>
      <c r="FP4663"/>
      <c r="FQ4663"/>
      <c r="FR4663"/>
      <c r="FS4663"/>
      <c r="FT4663"/>
      <c r="FU4663"/>
      <c r="FV4663"/>
      <c r="FW4663"/>
      <c r="FX4663"/>
      <c r="FY4663"/>
      <c r="FZ4663"/>
      <c r="GA4663"/>
      <c r="GB4663"/>
      <c r="GC4663"/>
      <c r="GD4663"/>
      <c r="GE4663"/>
      <c r="GF4663"/>
      <c r="GG4663"/>
      <c r="GH4663"/>
      <c r="GI4663"/>
      <c r="GJ4663"/>
      <c r="GK4663"/>
      <c r="GL4663"/>
      <c r="GM4663"/>
      <c r="GN4663"/>
      <c r="GO4663"/>
    </row>
    <row r="4664" spans="107:197">
      <c r="DC4664"/>
      <c r="FH4664"/>
      <c r="FI4664"/>
      <c r="FJ4664"/>
      <c r="FK4664"/>
      <c r="FL4664"/>
      <c r="FM4664"/>
      <c r="FN4664"/>
      <c r="FO4664"/>
      <c r="FP4664"/>
      <c r="FQ4664"/>
      <c r="FR4664"/>
      <c r="FS4664"/>
      <c r="FT4664"/>
      <c r="FU4664"/>
      <c r="FV4664"/>
      <c r="FW4664"/>
      <c r="FX4664"/>
      <c r="FY4664"/>
      <c r="FZ4664"/>
      <c r="GA4664"/>
      <c r="GB4664"/>
      <c r="GC4664"/>
      <c r="GD4664"/>
      <c r="GE4664"/>
      <c r="GF4664"/>
      <c r="GG4664"/>
      <c r="GH4664"/>
      <c r="GI4664"/>
      <c r="GJ4664"/>
      <c r="GK4664"/>
      <c r="GL4664"/>
      <c r="GM4664"/>
      <c r="GN4664"/>
      <c r="GO4664"/>
    </row>
    <row r="4665" spans="107:197">
      <c r="DC4665"/>
      <c r="FH4665"/>
      <c r="FI4665"/>
      <c r="FJ4665"/>
      <c r="FK4665"/>
      <c r="FL4665"/>
      <c r="FM4665"/>
      <c r="FN4665"/>
      <c r="FO4665"/>
      <c r="FP4665"/>
      <c r="FQ4665"/>
      <c r="FR4665"/>
      <c r="FS4665"/>
      <c r="FT4665"/>
      <c r="FU4665"/>
      <c r="FV4665"/>
      <c r="FW4665"/>
      <c r="FX4665"/>
      <c r="FY4665"/>
      <c r="FZ4665"/>
      <c r="GA4665"/>
      <c r="GB4665"/>
      <c r="GC4665"/>
      <c r="GD4665"/>
      <c r="GE4665"/>
      <c r="GF4665"/>
      <c r="GG4665"/>
      <c r="GH4665"/>
      <c r="GI4665"/>
      <c r="GJ4665"/>
      <c r="GK4665"/>
      <c r="GL4665"/>
      <c r="GM4665"/>
      <c r="GN4665"/>
      <c r="GO4665"/>
    </row>
    <row r="4666" spans="107:197">
      <c r="DC4666"/>
      <c r="FH4666"/>
      <c r="FI4666"/>
      <c r="FJ4666"/>
      <c r="FK4666"/>
      <c r="FL4666"/>
      <c r="FM4666"/>
      <c r="FN4666"/>
      <c r="FO4666"/>
      <c r="FP4666"/>
      <c r="FQ4666"/>
      <c r="FR4666"/>
      <c r="FS4666"/>
      <c r="FT4666"/>
      <c r="FU4666"/>
      <c r="FV4666"/>
      <c r="FW4666"/>
      <c r="FX4666"/>
      <c r="FY4666"/>
      <c r="FZ4666"/>
      <c r="GA4666"/>
      <c r="GB4666"/>
      <c r="GC4666"/>
      <c r="GD4666"/>
      <c r="GE4666"/>
      <c r="GF4666"/>
      <c r="GG4666"/>
      <c r="GH4666"/>
      <c r="GI4666"/>
      <c r="GJ4666"/>
      <c r="GK4666"/>
      <c r="GL4666"/>
      <c r="GM4666"/>
      <c r="GN4666"/>
      <c r="GO4666"/>
    </row>
    <row r="4667" spans="107:197">
      <c r="DC4667"/>
      <c r="FH4667"/>
      <c r="FI4667"/>
      <c r="FJ4667"/>
      <c r="FK4667"/>
      <c r="FL4667"/>
      <c r="FM4667"/>
      <c r="FN4667"/>
      <c r="FO4667"/>
      <c r="FP4667"/>
      <c r="FQ4667"/>
      <c r="FR4667"/>
      <c r="FS4667"/>
      <c r="FT4667"/>
      <c r="FU4667"/>
      <c r="FV4667"/>
      <c r="FW4667"/>
      <c r="FX4667"/>
      <c r="FY4667"/>
      <c r="FZ4667"/>
      <c r="GA4667"/>
      <c r="GB4667"/>
      <c r="GC4667"/>
      <c r="GD4667"/>
      <c r="GE4667"/>
      <c r="GF4667"/>
      <c r="GG4667"/>
      <c r="GH4667"/>
      <c r="GI4667"/>
      <c r="GJ4667"/>
      <c r="GK4667"/>
      <c r="GL4667"/>
      <c r="GM4667"/>
      <c r="GN4667"/>
      <c r="GO4667"/>
    </row>
    <row r="4668" spans="107:197">
      <c r="DC4668"/>
      <c r="FH4668"/>
      <c r="FI4668"/>
      <c r="FJ4668"/>
      <c r="FK4668"/>
      <c r="FL4668"/>
      <c r="FM4668"/>
      <c r="FN4668"/>
      <c r="FO4668"/>
      <c r="FP4668"/>
      <c r="FQ4668"/>
      <c r="FR4668"/>
      <c r="FS4668"/>
      <c r="FT4668"/>
      <c r="FU4668"/>
      <c r="FV4668"/>
      <c r="FW4668"/>
      <c r="FX4668"/>
      <c r="FY4668"/>
      <c r="FZ4668"/>
      <c r="GA4668"/>
      <c r="GB4668"/>
      <c r="GC4668"/>
      <c r="GD4668"/>
      <c r="GE4668"/>
      <c r="GF4668"/>
      <c r="GG4668"/>
      <c r="GH4668"/>
      <c r="GI4668"/>
      <c r="GJ4668"/>
      <c r="GK4668"/>
      <c r="GL4668"/>
      <c r="GM4668"/>
      <c r="GN4668"/>
      <c r="GO4668"/>
    </row>
    <row r="4669" spans="107:197">
      <c r="DC4669"/>
      <c r="FH4669"/>
      <c r="FI4669"/>
      <c r="FJ4669"/>
      <c r="FK4669"/>
      <c r="FL4669"/>
      <c r="FM4669"/>
      <c r="FN4669"/>
      <c r="FO4669"/>
      <c r="FP4669"/>
      <c r="FQ4669"/>
      <c r="FR4669"/>
      <c r="FS4669"/>
      <c r="FT4669"/>
      <c r="FU4669"/>
      <c r="FV4669"/>
      <c r="FW4669"/>
      <c r="FX4669"/>
      <c r="FY4669"/>
      <c r="FZ4669"/>
      <c r="GA4669"/>
      <c r="GB4669"/>
      <c r="GC4669"/>
      <c r="GD4669"/>
      <c r="GE4669"/>
      <c r="GF4669"/>
      <c r="GG4669"/>
      <c r="GH4669"/>
      <c r="GI4669"/>
      <c r="GJ4669"/>
      <c r="GK4669"/>
      <c r="GL4669"/>
      <c r="GM4669"/>
      <c r="GN4669"/>
      <c r="GO4669"/>
    </row>
    <row r="4670" spans="107:197">
      <c r="DC4670"/>
      <c r="FH4670"/>
      <c r="FI4670"/>
      <c r="FJ4670"/>
      <c r="FK4670"/>
      <c r="FL4670"/>
      <c r="FM4670"/>
      <c r="FN4670"/>
      <c r="FO4670"/>
      <c r="FP4670"/>
      <c r="FQ4670"/>
      <c r="FR4670"/>
      <c r="FS4670"/>
      <c r="FT4670"/>
      <c r="FU4670"/>
      <c r="FV4670"/>
      <c r="FW4670"/>
      <c r="FX4670"/>
      <c r="FY4670"/>
      <c r="FZ4670"/>
      <c r="GA4670"/>
      <c r="GB4670"/>
      <c r="GC4670"/>
      <c r="GD4670"/>
      <c r="GE4670"/>
      <c r="GF4670"/>
      <c r="GG4670"/>
      <c r="GH4670"/>
      <c r="GI4670"/>
      <c r="GJ4670"/>
      <c r="GK4670"/>
      <c r="GL4670"/>
      <c r="GM4670"/>
      <c r="GN4670"/>
      <c r="GO4670"/>
    </row>
    <row r="4671" spans="107:197">
      <c r="DC4671"/>
      <c r="FH4671"/>
      <c r="FI4671"/>
      <c r="FJ4671"/>
      <c r="FK4671"/>
      <c r="FL4671"/>
      <c r="FM4671"/>
      <c r="FN4671"/>
      <c r="FO4671"/>
      <c r="FP4671"/>
      <c r="FQ4671"/>
      <c r="FR4671"/>
      <c r="FS4671"/>
      <c r="FT4671"/>
      <c r="FU4671"/>
      <c r="FV4671"/>
      <c r="FW4671"/>
      <c r="FX4671"/>
      <c r="FY4671"/>
      <c r="FZ4671"/>
      <c r="GA4671"/>
      <c r="GB4671"/>
      <c r="GC4671"/>
      <c r="GD4671"/>
      <c r="GE4671"/>
      <c r="GF4671"/>
      <c r="GG4671"/>
      <c r="GH4671"/>
      <c r="GI4671"/>
      <c r="GJ4671"/>
      <c r="GK4671"/>
      <c r="GL4671"/>
      <c r="GM4671"/>
      <c r="GN4671"/>
      <c r="GO4671"/>
    </row>
    <row r="4672" spans="107:197">
      <c r="DC4672"/>
      <c r="FH4672"/>
      <c r="FI4672"/>
      <c r="FJ4672"/>
      <c r="FK4672"/>
      <c r="FL4672"/>
      <c r="FM4672"/>
      <c r="FN4672"/>
      <c r="FO4672"/>
      <c r="FP4672"/>
      <c r="FQ4672"/>
      <c r="FR4672"/>
      <c r="FS4672"/>
      <c r="FT4672"/>
      <c r="FU4672"/>
      <c r="FV4672"/>
      <c r="FW4672"/>
      <c r="FX4672"/>
      <c r="FY4672"/>
      <c r="FZ4672"/>
      <c r="GA4672"/>
      <c r="GB4672"/>
      <c r="GC4672"/>
      <c r="GD4672"/>
      <c r="GE4672"/>
      <c r="GF4672"/>
      <c r="GG4672"/>
      <c r="GH4672"/>
      <c r="GI4672"/>
      <c r="GJ4672"/>
      <c r="GK4672"/>
      <c r="GL4672"/>
      <c r="GM4672"/>
      <c r="GN4672"/>
      <c r="GO4672"/>
    </row>
    <row r="4673" spans="107:197">
      <c r="DC4673"/>
      <c r="FH4673"/>
      <c r="FI4673"/>
      <c r="FJ4673"/>
      <c r="FK4673"/>
      <c r="FL4673"/>
      <c r="FM4673"/>
      <c r="FN4673"/>
      <c r="FO4673"/>
      <c r="FP4673"/>
      <c r="FQ4673"/>
      <c r="FR4673"/>
      <c r="FS4673"/>
      <c r="FT4673"/>
      <c r="FU4673"/>
      <c r="FV4673"/>
      <c r="FW4673"/>
      <c r="FX4673"/>
      <c r="FY4673"/>
      <c r="FZ4673"/>
      <c r="GA4673"/>
      <c r="GB4673"/>
      <c r="GC4673"/>
      <c r="GD4673"/>
      <c r="GE4673"/>
      <c r="GF4673"/>
      <c r="GG4673"/>
      <c r="GH4673"/>
      <c r="GI4673"/>
      <c r="GJ4673"/>
      <c r="GK4673"/>
      <c r="GL4673"/>
      <c r="GM4673"/>
      <c r="GN4673"/>
      <c r="GO4673"/>
    </row>
    <row r="4674" spans="107:197">
      <c r="DC4674"/>
      <c r="FH4674"/>
      <c r="FI4674"/>
      <c r="FJ4674"/>
      <c r="FK4674"/>
      <c r="FL4674"/>
      <c r="FM4674"/>
      <c r="FN4674"/>
      <c r="FO4674"/>
      <c r="FP4674"/>
      <c r="FQ4674"/>
      <c r="FR4674"/>
      <c r="FS4674"/>
      <c r="FT4674"/>
      <c r="FU4674"/>
      <c r="FV4674"/>
      <c r="FW4674"/>
      <c r="FX4674"/>
      <c r="FY4674"/>
      <c r="FZ4674"/>
      <c r="GA4674"/>
      <c r="GB4674"/>
      <c r="GC4674"/>
      <c r="GD4674"/>
      <c r="GE4674"/>
      <c r="GF4674"/>
      <c r="GG4674"/>
      <c r="GH4674"/>
      <c r="GI4674"/>
      <c r="GJ4674"/>
      <c r="GK4674"/>
      <c r="GL4674"/>
      <c r="GM4674"/>
      <c r="GN4674"/>
      <c r="GO4674"/>
    </row>
    <row r="4675" spans="107:197">
      <c r="DC4675"/>
      <c r="FH4675"/>
      <c r="FI4675"/>
      <c r="FJ4675"/>
      <c r="FK4675"/>
      <c r="FL4675"/>
      <c r="FM4675"/>
      <c r="FN4675"/>
      <c r="FO4675"/>
      <c r="FP4675"/>
      <c r="FQ4675"/>
      <c r="FR4675"/>
      <c r="FS4675"/>
      <c r="FT4675"/>
      <c r="FU4675"/>
      <c r="FV4675"/>
      <c r="FW4675"/>
      <c r="FX4675"/>
      <c r="FY4675"/>
      <c r="FZ4675"/>
      <c r="GA4675"/>
      <c r="GB4675"/>
      <c r="GC4675"/>
      <c r="GD4675"/>
      <c r="GE4675"/>
      <c r="GF4675"/>
      <c r="GG4675"/>
      <c r="GH4675"/>
      <c r="GI4675"/>
      <c r="GJ4675"/>
      <c r="GK4675"/>
      <c r="GL4675"/>
      <c r="GM4675"/>
      <c r="GN4675"/>
      <c r="GO4675"/>
    </row>
    <row r="4676" spans="107:197">
      <c r="DC4676"/>
      <c r="FH4676"/>
      <c r="FI4676"/>
      <c r="FJ4676"/>
      <c r="FK4676"/>
      <c r="FL4676"/>
      <c r="FM4676"/>
      <c r="FN4676"/>
      <c r="FO4676"/>
      <c r="FP4676"/>
      <c r="FQ4676"/>
      <c r="FR4676"/>
      <c r="FS4676"/>
      <c r="FT4676"/>
      <c r="FU4676"/>
      <c r="FV4676"/>
      <c r="FW4676"/>
      <c r="FX4676"/>
      <c r="FY4676"/>
      <c r="FZ4676"/>
      <c r="GA4676"/>
      <c r="GB4676"/>
      <c r="GC4676"/>
      <c r="GD4676"/>
      <c r="GE4676"/>
      <c r="GF4676"/>
      <c r="GG4676"/>
      <c r="GH4676"/>
      <c r="GI4676"/>
      <c r="GJ4676"/>
      <c r="GK4676"/>
      <c r="GL4676"/>
      <c r="GM4676"/>
      <c r="GN4676"/>
      <c r="GO4676"/>
    </row>
    <row r="4677" spans="107:197">
      <c r="DC4677"/>
      <c r="FH4677"/>
      <c r="FI4677"/>
      <c r="FJ4677"/>
      <c r="FK4677"/>
      <c r="FL4677"/>
      <c r="FM4677"/>
      <c r="FN4677"/>
      <c r="FO4677"/>
      <c r="FP4677"/>
      <c r="FQ4677"/>
      <c r="FR4677"/>
      <c r="FS4677"/>
      <c r="FT4677"/>
      <c r="FU4677"/>
      <c r="FV4677"/>
      <c r="FW4677"/>
      <c r="FX4677"/>
      <c r="FY4677"/>
      <c r="FZ4677"/>
      <c r="GA4677"/>
      <c r="GB4677"/>
      <c r="GC4677"/>
      <c r="GD4677"/>
      <c r="GE4677"/>
      <c r="GF4677"/>
      <c r="GG4677"/>
      <c r="GH4677"/>
      <c r="GI4677"/>
      <c r="GJ4677"/>
      <c r="GK4677"/>
      <c r="GL4677"/>
      <c r="GM4677"/>
      <c r="GN4677"/>
      <c r="GO4677"/>
    </row>
    <row r="4678" spans="107:197">
      <c r="DC4678"/>
      <c r="FH4678"/>
      <c r="FI4678"/>
      <c r="FJ4678"/>
      <c r="FK4678"/>
      <c r="FL4678"/>
      <c r="FM4678"/>
      <c r="FN4678"/>
      <c r="FO4678"/>
      <c r="FP4678"/>
      <c r="FQ4678"/>
      <c r="FR4678"/>
      <c r="FS4678"/>
      <c r="FT4678"/>
      <c r="FU4678"/>
      <c r="FV4678"/>
      <c r="FW4678"/>
      <c r="FX4678"/>
      <c r="FY4678"/>
      <c r="FZ4678"/>
      <c r="GA4678"/>
      <c r="GB4678"/>
      <c r="GC4678"/>
      <c r="GD4678"/>
      <c r="GE4678"/>
      <c r="GF4678"/>
      <c r="GG4678"/>
      <c r="GH4678"/>
      <c r="GI4678"/>
      <c r="GJ4678"/>
      <c r="GK4678"/>
      <c r="GL4678"/>
      <c r="GM4678"/>
      <c r="GN4678"/>
      <c r="GO4678"/>
    </row>
    <row r="4679" spans="107:197">
      <c r="DC4679"/>
      <c r="FH4679"/>
      <c r="FI4679"/>
      <c r="FJ4679"/>
      <c r="FK4679"/>
      <c r="FL4679"/>
      <c r="FM4679"/>
      <c r="FN4679"/>
      <c r="FO4679"/>
      <c r="FP4679"/>
      <c r="FQ4679"/>
      <c r="FR4679"/>
      <c r="FS4679"/>
      <c r="FT4679"/>
      <c r="FU4679"/>
      <c r="FV4679"/>
      <c r="FW4679"/>
      <c r="FX4679"/>
      <c r="FY4679"/>
      <c r="FZ4679"/>
      <c r="GA4679"/>
      <c r="GB4679"/>
      <c r="GC4679"/>
      <c r="GD4679"/>
      <c r="GE4679"/>
      <c r="GF4679"/>
      <c r="GG4679"/>
      <c r="GH4679"/>
      <c r="GI4679"/>
      <c r="GJ4679"/>
      <c r="GK4679"/>
      <c r="GL4679"/>
      <c r="GM4679"/>
      <c r="GN4679"/>
      <c r="GO4679"/>
    </row>
    <row r="4680" spans="107:197">
      <c r="DC4680"/>
      <c r="FH4680"/>
      <c r="FI4680"/>
      <c r="FJ4680"/>
      <c r="FK4680"/>
      <c r="FL4680"/>
      <c r="FM4680"/>
      <c r="FN4680"/>
      <c r="FO4680"/>
      <c r="FP4680"/>
      <c r="FQ4680"/>
      <c r="FR4680"/>
      <c r="FS4680"/>
      <c r="FT4680"/>
      <c r="FU4680"/>
      <c r="FV4680"/>
      <c r="FW4680"/>
      <c r="FX4680"/>
      <c r="FY4680"/>
      <c r="FZ4680"/>
      <c r="GA4680"/>
      <c r="GB4680"/>
      <c r="GC4680"/>
      <c r="GD4680"/>
      <c r="GE4680"/>
      <c r="GF4680"/>
      <c r="GG4680"/>
      <c r="GH4680"/>
      <c r="GI4680"/>
      <c r="GJ4680"/>
      <c r="GK4680"/>
      <c r="GL4680"/>
      <c r="GM4680"/>
      <c r="GN4680"/>
      <c r="GO4680"/>
    </row>
    <row r="4681" spans="107:197">
      <c r="DC4681"/>
      <c r="FH4681"/>
      <c r="FI4681"/>
      <c r="FJ4681"/>
      <c r="FK4681"/>
      <c r="FL4681"/>
      <c r="FM4681"/>
      <c r="FN4681"/>
      <c r="FO4681"/>
      <c r="FP4681"/>
      <c r="FQ4681"/>
      <c r="FR4681"/>
      <c r="FS4681"/>
      <c r="FT4681"/>
      <c r="FU4681"/>
      <c r="FV4681"/>
      <c r="FW4681"/>
      <c r="FX4681"/>
      <c r="FY4681"/>
      <c r="FZ4681"/>
      <c r="GA4681"/>
      <c r="GB4681"/>
      <c r="GC4681"/>
      <c r="GD4681"/>
      <c r="GE4681"/>
      <c r="GF4681"/>
      <c r="GG4681"/>
      <c r="GH4681"/>
      <c r="GI4681"/>
      <c r="GJ4681"/>
      <c r="GK4681"/>
      <c r="GL4681"/>
      <c r="GM4681"/>
      <c r="GN4681"/>
      <c r="GO4681"/>
    </row>
    <row r="4682" spans="107:197">
      <c r="DC4682"/>
      <c r="FH4682"/>
      <c r="FI4682"/>
      <c r="FJ4682"/>
      <c r="FK4682"/>
      <c r="FL4682"/>
      <c r="FM4682"/>
      <c r="FN4682"/>
      <c r="FO4682"/>
      <c r="FP4682"/>
      <c r="FQ4682"/>
      <c r="FR4682"/>
      <c r="FS4682"/>
      <c r="FT4682"/>
      <c r="FU4682"/>
      <c r="FV4682"/>
      <c r="FW4682"/>
      <c r="FX4682"/>
      <c r="FY4682"/>
      <c r="FZ4682"/>
      <c r="GA4682"/>
      <c r="GB4682"/>
      <c r="GC4682"/>
      <c r="GD4682"/>
      <c r="GE4682"/>
      <c r="GF4682"/>
      <c r="GG4682"/>
      <c r="GH4682"/>
      <c r="GI4682"/>
      <c r="GJ4682"/>
      <c r="GK4682"/>
      <c r="GL4682"/>
      <c r="GM4682"/>
      <c r="GN4682"/>
      <c r="GO4682"/>
    </row>
    <row r="4683" spans="107:197">
      <c r="DC4683"/>
      <c r="FH4683"/>
      <c r="FI4683"/>
      <c r="FJ4683"/>
      <c r="FK4683"/>
      <c r="FL4683"/>
      <c r="FM4683"/>
      <c r="FN4683"/>
      <c r="FO4683"/>
      <c r="FP4683"/>
      <c r="FQ4683"/>
      <c r="FR4683"/>
      <c r="FS4683"/>
      <c r="FT4683"/>
      <c r="FU4683"/>
      <c r="FV4683"/>
      <c r="FW4683"/>
      <c r="FX4683"/>
      <c r="FY4683"/>
      <c r="FZ4683"/>
      <c r="GA4683"/>
      <c r="GB4683"/>
      <c r="GC4683"/>
      <c r="GD4683"/>
      <c r="GE4683"/>
      <c r="GF4683"/>
      <c r="GG4683"/>
      <c r="GH4683"/>
      <c r="GI4683"/>
      <c r="GJ4683"/>
      <c r="GK4683"/>
      <c r="GL4683"/>
      <c r="GM4683"/>
      <c r="GN4683"/>
      <c r="GO4683"/>
    </row>
    <row r="4684" spans="107:197">
      <c r="DC4684"/>
      <c r="FH4684"/>
      <c r="FI4684"/>
      <c r="FJ4684"/>
      <c r="FK4684"/>
      <c r="FL4684"/>
      <c r="FM4684"/>
      <c r="FN4684"/>
      <c r="FO4684"/>
      <c r="FP4684"/>
      <c r="FQ4684"/>
      <c r="FR4684"/>
      <c r="FS4684"/>
      <c r="FT4684"/>
      <c r="FU4684"/>
      <c r="FV4684"/>
      <c r="FW4684"/>
      <c r="FX4684"/>
      <c r="FY4684"/>
      <c r="FZ4684"/>
      <c r="GA4684"/>
      <c r="GB4684"/>
      <c r="GC4684"/>
      <c r="GD4684"/>
      <c r="GE4684"/>
      <c r="GF4684"/>
      <c r="GG4684"/>
      <c r="GH4684"/>
      <c r="GI4684"/>
      <c r="GJ4684"/>
      <c r="GK4684"/>
      <c r="GL4684"/>
      <c r="GM4684"/>
      <c r="GN4684"/>
      <c r="GO4684"/>
    </row>
    <row r="4685" spans="107:197">
      <c r="DC4685"/>
      <c r="FH4685"/>
      <c r="FI4685"/>
      <c r="FJ4685"/>
      <c r="FK4685"/>
      <c r="FL4685"/>
      <c r="FM4685"/>
      <c r="FN4685"/>
      <c r="FO4685"/>
      <c r="FP4685"/>
      <c r="FQ4685"/>
      <c r="FR4685"/>
      <c r="FS4685"/>
      <c r="FT4685"/>
      <c r="FU4685"/>
      <c r="FV4685"/>
      <c r="FW4685"/>
      <c r="FX4685"/>
      <c r="FY4685"/>
      <c r="FZ4685"/>
      <c r="GA4685"/>
      <c r="GB4685"/>
      <c r="GC4685"/>
      <c r="GD4685"/>
      <c r="GE4685"/>
      <c r="GF4685"/>
      <c r="GG4685"/>
      <c r="GH4685"/>
      <c r="GI4685"/>
      <c r="GJ4685"/>
      <c r="GK4685"/>
      <c r="GL4685"/>
      <c r="GM4685"/>
      <c r="GN4685"/>
      <c r="GO4685"/>
    </row>
    <row r="4686" spans="107:197">
      <c r="DC4686"/>
      <c r="FH4686"/>
      <c r="FI4686"/>
      <c r="FJ4686"/>
      <c r="FK4686"/>
      <c r="FL4686"/>
      <c r="FM4686"/>
      <c r="FN4686"/>
      <c r="FO4686"/>
      <c r="FP4686"/>
      <c r="FQ4686"/>
      <c r="FR4686"/>
      <c r="FS4686"/>
      <c r="FT4686"/>
      <c r="FU4686"/>
      <c r="FV4686"/>
      <c r="FW4686"/>
      <c r="FX4686"/>
      <c r="FY4686"/>
      <c r="FZ4686"/>
      <c r="GA4686"/>
      <c r="GB4686"/>
      <c r="GC4686"/>
      <c r="GD4686"/>
      <c r="GE4686"/>
      <c r="GF4686"/>
      <c r="GG4686"/>
      <c r="GH4686"/>
      <c r="GI4686"/>
      <c r="GJ4686"/>
      <c r="GK4686"/>
      <c r="GL4686"/>
      <c r="GM4686"/>
      <c r="GN4686"/>
      <c r="GO4686"/>
    </row>
    <row r="4687" spans="107:197">
      <c r="DC4687"/>
      <c r="FH4687"/>
      <c r="FI4687"/>
      <c r="FJ4687"/>
      <c r="FK4687"/>
      <c r="FL4687"/>
      <c r="FM4687"/>
      <c r="FN4687"/>
      <c r="FO4687"/>
      <c r="FP4687"/>
      <c r="FQ4687"/>
      <c r="FR4687"/>
      <c r="FS4687"/>
      <c r="FT4687"/>
      <c r="FU4687"/>
      <c r="FV4687"/>
      <c r="FW4687"/>
      <c r="FX4687"/>
      <c r="FY4687"/>
      <c r="FZ4687"/>
      <c r="GA4687"/>
      <c r="GB4687"/>
      <c r="GC4687"/>
      <c r="GD4687"/>
      <c r="GE4687"/>
      <c r="GF4687"/>
      <c r="GG4687"/>
      <c r="GH4687"/>
      <c r="GI4687"/>
      <c r="GJ4687"/>
      <c r="GK4687"/>
      <c r="GL4687"/>
      <c r="GM4687"/>
      <c r="GN4687"/>
      <c r="GO4687"/>
    </row>
    <row r="4688" spans="107:197">
      <c r="DC4688"/>
      <c r="FH4688"/>
      <c r="FI4688"/>
      <c r="FJ4688"/>
      <c r="FK4688"/>
      <c r="FL4688"/>
      <c r="FM4688"/>
      <c r="FN4688"/>
      <c r="FO4688"/>
      <c r="FP4688"/>
      <c r="FQ4688"/>
      <c r="FR4688"/>
      <c r="FS4688"/>
      <c r="FT4688"/>
      <c r="FU4688"/>
      <c r="FV4688"/>
      <c r="FW4688"/>
      <c r="FX4688"/>
      <c r="FY4688"/>
      <c r="FZ4688"/>
      <c r="GA4688"/>
      <c r="GB4688"/>
      <c r="GC4688"/>
      <c r="GD4688"/>
      <c r="GE4688"/>
      <c r="GF4688"/>
      <c r="GG4688"/>
      <c r="GH4688"/>
      <c r="GI4688"/>
      <c r="GJ4688"/>
      <c r="GK4688"/>
      <c r="GL4688"/>
      <c r="GM4688"/>
      <c r="GN4688"/>
      <c r="GO4688"/>
    </row>
    <row r="4689" spans="107:197">
      <c r="DC4689"/>
      <c r="FH4689"/>
      <c r="FI4689"/>
      <c r="FJ4689"/>
      <c r="FK4689"/>
      <c r="FL4689"/>
      <c r="FM4689"/>
      <c r="FN4689"/>
      <c r="FO4689"/>
      <c r="FP4689"/>
      <c r="FQ4689"/>
      <c r="FR4689"/>
      <c r="FS4689"/>
      <c r="FT4689"/>
      <c r="FU4689"/>
      <c r="FV4689"/>
      <c r="FW4689"/>
      <c r="FX4689"/>
      <c r="FY4689"/>
      <c r="FZ4689"/>
      <c r="GA4689"/>
      <c r="GB4689"/>
      <c r="GC4689"/>
      <c r="GD4689"/>
      <c r="GE4689"/>
      <c r="GF4689"/>
      <c r="GG4689"/>
      <c r="GH4689"/>
      <c r="GI4689"/>
      <c r="GJ4689"/>
      <c r="GK4689"/>
      <c r="GL4689"/>
      <c r="GM4689"/>
      <c r="GN4689"/>
      <c r="GO4689"/>
    </row>
    <row r="4690" spans="107:197">
      <c r="DC4690"/>
      <c r="FH4690"/>
      <c r="FI4690"/>
      <c r="FJ4690"/>
      <c r="FK4690"/>
      <c r="FL4690"/>
      <c r="FM4690"/>
      <c r="FN4690"/>
      <c r="FO4690"/>
      <c r="FP4690"/>
      <c r="FQ4690"/>
      <c r="FR4690"/>
      <c r="FS4690"/>
      <c r="FT4690"/>
      <c r="FU4690"/>
      <c r="FV4690"/>
      <c r="FW4690"/>
      <c r="FX4690"/>
      <c r="FY4690"/>
      <c r="FZ4690"/>
      <c r="GA4690"/>
      <c r="GB4690"/>
      <c r="GC4690"/>
      <c r="GD4690"/>
      <c r="GE4690"/>
      <c r="GF4690"/>
      <c r="GG4690"/>
      <c r="GH4690"/>
      <c r="GI4690"/>
      <c r="GJ4690"/>
      <c r="GK4690"/>
      <c r="GL4690"/>
      <c r="GM4690"/>
      <c r="GN4690"/>
      <c r="GO4690"/>
    </row>
    <row r="4691" spans="107:197">
      <c r="DC4691"/>
      <c r="FH4691"/>
      <c r="FI4691"/>
      <c r="FJ4691"/>
      <c r="FK4691"/>
      <c r="FL4691"/>
      <c r="FM4691"/>
      <c r="FN4691"/>
      <c r="FO4691"/>
      <c r="FP4691"/>
      <c r="FQ4691"/>
      <c r="FR4691"/>
      <c r="FS4691"/>
      <c r="FT4691"/>
      <c r="FU4691"/>
      <c r="FV4691"/>
      <c r="FW4691"/>
      <c r="FX4691"/>
      <c r="FY4691"/>
      <c r="FZ4691"/>
      <c r="GA4691"/>
      <c r="GB4691"/>
      <c r="GC4691"/>
      <c r="GD4691"/>
      <c r="GE4691"/>
      <c r="GF4691"/>
      <c r="GG4691"/>
      <c r="GH4691"/>
      <c r="GI4691"/>
      <c r="GJ4691"/>
      <c r="GK4691"/>
      <c r="GL4691"/>
      <c r="GM4691"/>
      <c r="GN4691"/>
      <c r="GO4691"/>
    </row>
    <row r="4692" spans="107:197">
      <c r="DC4692"/>
      <c r="FH4692"/>
      <c r="FI4692"/>
      <c r="FJ4692"/>
      <c r="FK4692"/>
      <c r="FL4692"/>
      <c r="FM4692"/>
      <c r="FN4692"/>
      <c r="FO4692"/>
      <c r="FP4692"/>
      <c r="FQ4692"/>
      <c r="FR4692"/>
      <c r="FS4692"/>
      <c r="FT4692"/>
      <c r="FU4692"/>
      <c r="FV4692"/>
      <c r="FW4692"/>
      <c r="FX4692"/>
      <c r="FY4692"/>
      <c r="FZ4692"/>
      <c r="GA4692"/>
      <c r="GB4692"/>
      <c r="GC4692"/>
      <c r="GD4692"/>
      <c r="GE4692"/>
      <c r="GF4692"/>
      <c r="GG4692"/>
      <c r="GH4692"/>
      <c r="GI4692"/>
      <c r="GJ4692"/>
      <c r="GK4692"/>
      <c r="GL4692"/>
      <c r="GM4692"/>
      <c r="GN4692"/>
      <c r="GO4692"/>
    </row>
    <row r="4693" spans="107:197">
      <c r="DC4693"/>
      <c r="FH4693"/>
      <c r="FI4693"/>
      <c r="FJ4693"/>
      <c r="FK4693"/>
      <c r="FL4693"/>
      <c r="FM4693"/>
      <c r="FN4693"/>
      <c r="FO4693"/>
      <c r="FP4693"/>
      <c r="FQ4693"/>
      <c r="FR4693"/>
      <c r="FS4693"/>
      <c r="FT4693"/>
      <c r="FU4693"/>
      <c r="FV4693"/>
      <c r="FW4693"/>
      <c r="FX4693"/>
      <c r="FY4693"/>
      <c r="FZ4693"/>
      <c r="GA4693"/>
      <c r="GB4693"/>
      <c r="GC4693"/>
      <c r="GD4693"/>
      <c r="GE4693"/>
      <c r="GF4693"/>
      <c r="GG4693"/>
      <c r="GH4693"/>
      <c r="GI4693"/>
      <c r="GJ4693"/>
      <c r="GK4693"/>
      <c r="GL4693"/>
      <c r="GM4693"/>
      <c r="GN4693"/>
      <c r="GO4693"/>
    </row>
    <row r="4694" spans="107:197">
      <c r="DC4694"/>
      <c r="FH4694"/>
      <c r="FI4694"/>
      <c r="FJ4694"/>
      <c r="FK4694"/>
      <c r="FL4694"/>
      <c r="FM4694"/>
      <c r="FN4694"/>
      <c r="FO4694"/>
      <c r="FP4694"/>
      <c r="FQ4694"/>
      <c r="FR4694"/>
      <c r="FS4694"/>
      <c r="FT4694"/>
      <c r="FU4694"/>
      <c r="FV4694"/>
      <c r="FW4694"/>
      <c r="FX4694"/>
      <c r="FY4694"/>
      <c r="FZ4694"/>
      <c r="GA4694"/>
      <c r="GB4694"/>
      <c r="GC4694"/>
      <c r="GD4694"/>
      <c r="GE4694"/>
      <c r="GF4694"/>
      <c r="GG4694"/>
      <c r="GH4694"/>
      <c r="GI4694"/>
      <c r="GJ4694"/>
      <c r="GK4694"/>
      <c r="GL4694"/>
      <c r="GM4694"/>
      <c r="GN4694"/>
      <c r="GO4694"/>
    </row>
    <row r="4695" spans="107:197">
      <c r="DC4695"/>
      <c r="FH4695"/>
      <c r="FI4695"/>
      <c r="FJ4695"/>
      <c r="FK4695"/>
      <c r="FL4695"/>
      <c r="FM4695"/>
      <c r="FN4695"/>
      <c r="FO4695"/>
      <c r="FP4695"/>
      <c r="FQ4695"/>
      <c r="FR4695"/>
      <c r="FS4695"/>
      <c r="FT4695"/>
      <c r="FU4695"/>
      <c r="FV4695"/>
      <c r="FW4695"/>
      <c r="FX4695"/>
      <c r="FY4695"/>
      <c r="FZ4695"/>
      <c r="GA4695"/>
      <c r="GB4695"/>
      <c r="GC4695"/>
      <c r="GD4695"/>
      <c r="GE4695"/>
      <c r="GF4695"/>
      <c r="GG4695"/>
      <c r="GH4695"/>
      <c r="GI4695"/>
      <c r="GJ4695"/>
      <c r="GK4695"/>
      <c r="GL4695"/>
      <c r="GM4695"/>
      <c r="GN4695"/>
      <c r="GO4695"/>
    </row>
    <row r="4696" spans="107:197">
      <c r="DC4696"/>
      <c r="FH4696"/>
      <c r="FI4696"/>
      <c r="FJ4696"/>
      <c r="FK4696"/>
      <c r="FL4696"/>
      <c r="FM4696"/>
      <c r="FN4696"/>
      <c r="FO4696"/>
      <c r="FP4696"/>
      <c r="FQ4696"/>
      <c r="FR4696"/>
      <c r="FS4696"/>
      <c r="FT4696"/>
      <c r="FU4696"/>
      <c r="FV4696"/>
      <c r="FW4696"/>
      <c r="FX4696"/>
      <c r="FY4696"/>
      <c r="FZ4696"/>
      <c r="GA4696"/>
      <c r="GB4696"/>
      <c r="GC4696"/>
      <c r="GD4696"/>
      <c r="GE4696"/>
      <c r="GF4696"/>
      <c r="GG4696"/>
      <c r="GH4696"/>
      <c r="GI4696"/>
      <c r="GJ4696"/>
      <c r="GK4696"/>
      <c r="GL4696"/>
      <c r="GM4696"/>
      <c r="GN4696"/>
      <c r="GO4696"/>
    </row>
    <row r="4697" spans="107:197">
      <c r="DC4697"/>
      <c r="FH4697"/>
      <c r="FI4697"/>
      <c r="FJ4697"/>
      <c r="FK4697"/>
      <c r="FL4697"/>
      <c r="FM4697"/>
      <c r="FN4697"/>
      <c r="FO4697"/>
      <c r="FP4697"/>
      <c r="FQ4697"/>
      <c r="FR4697"/>
      <c r="FS4697"/>
      <c r="FT4697"/>
      <c r="FU4697"/>
      <c r="FV4697"/>
      <c r="FW4697"/>
      <c r="FX4697"/>
      <c r="FY4697"/>
      <c r="FZ4697"/>
      <c r="GA4697"/>
      <c r="GB4697"/>
      <c r="GC4697"/>
      <c r="GD4697"/>
      <c r="GE4697"/>
      <c r="GF4697"/>
      <c r="GG4697"/>
      <c r="GH4697"/>
      <c r="GI4697"/>
      <c r="GJ4697"/>
      <c r="GK4697"/>
      <c r="GL4697"/>
      <c r="GM4697"/>
      <c r="GN4697"/>
      <c r="GO4697"/>
    </row>
    <row r="4698" spans="107:197">
      <c r="DC4698"/>
      <c r="FH4698"/>
      <c r="FI4698"/>
      <c r="FJ4698"/>
      <c r="FK4698"/>
      <c r="FL4698"/>
      <c r="FM4698"/>
      <c r="FN4698"/>
      <c r="FO4698"/>
      <c r="FP4698"/>
      <c r="FQ4698"/>
      <c r="FR4698"/>
      <c r="FS4698"/>
      <c r="FT4698"/>
      <c r="FU4698"/>
      <c r="FV4698"/>
      <c r="FW4698"/>
      <c r="FX4698"/>
      <c r="FY4698"/>
      <c r="FZ4698"/>
      <c r="GA4698"/>
      <c r="GB4698"/>
      <c r="GC4698"/>
      <c r="GD4698"/>
      <c r="GE4698"/>
      <c r="GF4698"/>
      <c r="GG4698"/>
      <c r="GH4698"/>
      <c r="GI4698"/>
      <c r="GJ4698"/>
      <c r="GK4698"/>
      <c r="GL4698"/>
      <c r="GM4698"/>
      <c r="GN4698"/>
      <c r="GO4698"/>
    </row>
    <row r="4699" spans="107:197">
      <c r="DC4699"/>
      <c r="FH4699"/>
      <c r="FI4699"/>
      <c r="FJ4699"/>
      <c r="FK4699"/>
      <c r="FL4699"/>
      <c r="FM4699"/>
      <c r="FN4699"/>
      <c r="FO4699"/>
      <c r="FP4699"/>
      <c r="FQ4699"/>
      <c r="FR4699"/>
      <c r="FS4699"/>
      <c r="FT4699"/>
      <c r="FU4699"/>
      <c r="FV4699"/>
      <c r="FW4699"/>
      <c r="FX4699"/>
      <c r="FY4699"/>
      <c r="FZ4699"/>
      <c r="GA4699"/>
      <c r="GB4699"/>
      <c r="GC4699"/>
      <c r="GD4699"/>
      <c r="GE4699"/>
      <c r="GF4699"/>
      <c r="GG4699"/>
      <c r="GH4699"/>
      <c r="GI4699"/>
      <c r="GJ4699"/>
      <c r="GK4699"/>
      <c r="GL4699"/>
      <c r="GM4699"/>
      <c r="GN4699"/>
      <c r="GO4699"/>
    </row>
    <row r="4700" spans="107:197">
      <c r="DC4700"/>
      <c r="FH4700"/>
      <c r="FI4700"/>
      <c r="FJ4700"/>
      <c r="FK4700"/>
      <c r="FL4700"/>
      <c r="FM4700"/>
      <c r="FN4700"/>
      <c r="FO4700"/>
      <c r="FP4700"/>
      <c r="FQ4700"/>
      <c r="FR4700"/>
      <c r="FS4700"/>
      <c r="FT4700"/>
      <c r="FU4700"/>
      <c r="FV4700"/>
      <c r="FW4700"/>
      <c r="FX4700"/>
      <c r="FY4700"/>
      <c r="FZ4700"/>
      <c r="GA4700"/>
      <c r="GB4700"/>
      <c r="GC4700"/>
      <c r="GD4700"/>
      <c r="GE4700"/>
      <c r="GF4700"/>
      <c r="GG4700"/>
      <c r="GH4700"/>
      <c r="GI4700"/>
      <c r="GJ4700"/>
      <c r="GK4700"/>
      <c r="GL4700"/>
      <c r="GM4700"/>
      <c r="GN4700"/>
      <c r="GO4700"/>
    </row>
    <row r="4701" spans="107:197">
      <c r="DC4701"/>
      <c r="FH4701"/>
      <c r="FI4701"/>
      <c r="FJ4701"/>
      <c r="FK4701"/>
      <c r="FL4701"/>
      <c r="FM4701"/>
      <c r="FN4701"/>
      <c r="FO4701"/>
      <c r="FP4701"/>
      <c r="FQ4701"/>
      <c r="FR4701"/>
      <c r="FS4701"/>
      <c r="FT4701"/>
      <c r="FU4701"/>
      <c r="FV4701"/>
      <c r="FW4701"/>
      <c r="FX4701"/>
      <c r="FY4701"/>
      <c r="FZ4701"/>
      <c r="GA4701"/>
      <c r="GB4701"/>
      <c r="GC4701"/>
      <c r="GD4701"/>
      <c r="GE4701"/>
      <c r="GF4701"/>
      <c r="GG4701"/>
      <c r="GH4701"/>
      <c r="GI4701"/>
      <c r="GJ4701"/>
      <c r="GK4701"/>
      <c r="GL4701"/>
      <c r="GM4701"/>
      <c r="GN4701"/>
      <c r="GO4701"/>
    </row>
    <row r="4702" spans="107:197">
      <c r="DC4702"/>
      <c r="FH4702"/>
      <c r="FI4702"/>
      <c r="FJ4702"/>
      <c r="FK4702"/>
      <c r="FL4702"/>
      <c r="FM4702"/>
      <c r="FN4702"/>
      <c r="FO4702"/>
      <c r="FP4702"/>
      <c r="FQ4702"/>
      <c r="FR4702"/>
      <c r="FS4702"/>
      <c r="FT4702"/>
      <c r="FU4702"/>
      <c r="FV4702"/>
      <c r="FW4702"/>
      <c r="FX4702"/>
      <c r="FY4702"/>
      <c r="FZ4702"/>
      <c r="GA4702"/>
      <c r="GB4702"/>
      <c r="GC4702"/>
      <c r="GD4702"/>
      <c r="GE4702"/>
      <c r="GF4702"/>
      <c r="GG4702"/>
      <c r="GH4702"/>
      <c r="GI4702"/>
      <c r="GJ4702"/>
      <c r="GK4702"/>
      <c r="GL4702"/>
      <c r="GM4702"/>
      <c r="GN4702"/>
      <c r="GO4702"/>
    </row>
    <row r="4703" spans="107:197">
      <c r="DC4703"/>
      <c r="FH4703"/>
      <c r="FI4703"/>
      <c r="FJ4703"/>
      <c r="FK4703"/>
      <c r="FL4703"/>
      <c r="FM4703"/>
      <c r="FN4703"/>
      <c r="FO4703"/>
      <c r="FP4703"/>
      <c r="FQ4703"/>
      <c r="FR4703"/>
      <c r="FS4703"/>
      <c r="FT4703"/>
      <c r="FU4703"/>
      <c r="FV4703"/>
      <c r="FW4703"/>
      <c r="FX4703"/>
      <c r="FY4703"/>
      <c r="FZ4703"/>
      <c r="GA4703"/>
      <c r="GB4703"/>
      <c r="GC4703"/>
      <c r="GD4703"/>
      <c r="GE4703"/>
      <c r="GF4703"/>
      <c r="GG4703"/>
      <c r="GH4703"/>
      <c r="GI4703"/>
      <c r="GJ4703"/>
      <c r="GK4703"/>
      <c r="GL4703"/>
      <c r="GM4703"/>
      <c r="GN4703"/>
      <c r="GO4703"/>
    </row>
    <row r="4704" spans="107:197">
      <c r="DC4704"/>
      <c r="FH4704"/>
      <c r="FI4704"/>
      <c r="FJ4704"/>
      <c r="FK4704"/>
      <c r="FL4704"/>
      <c r="FM4704"/>
      <c r="FN4704"/>
      <c r="FO4704"/>
      <c r="FP4704"/>
      <c r="FQ4704"/>
      <c r="FR4704"/>
      <c r="FS4704"/>
      <c r="FT4704"/>
      <c r="FU4704"/>
      <c r="FV4704"/>
      <c r="FW4704"/>
      <c r="FX4704"/>
      <c r="FY4704"/>
      <c r="FZ4704"/>
      <c r="GA4704"/>
      <c r="GB4704"/>
      <c r="GC4704"/>
      <c r="GD4704"/>
      <c r="GE4704"/>
      <c r="GF4704"/>
      <c r="GG4704"/>
      <c r="GH4704"/>
      <c r="GI4704"/>
      <c r="GJ4704"/>
      <c r="GK4704"/>
      <c r="GL4704"/>
      <c r="GM4704"/>
      <c r="GN4704"/>
      <c r="GO4704"/>
    </row>
    <row r="4705" spans="107:197">
      <c r="DC4705"/>
      <c r="FH4705"/>
      <c r="FI4705"/>
      <c r="FJ4705"/>
      <c r="FK4705"/>
      <c r="FL4705"/>
      <c r="FM4705"/>
      <c r="FN4705"/>
      <c r="FO4705"/>
      <c r="FP4705"/>
      <c r="FQ4705"/>
      <c r="FR4705"/>
      <c r="FS4705"/>
      <c r="FT4705"/>
      <c r="FU4705"/>
      <c r="FV4705"/>
      <c r="FW4705"/>
      <c r="FX4705"/>
      <c r="FY4705"/>
      <c r="FZ4705"/>
      <c r="GA4705"/>
      <c r="GB4705"/>
      <c r="GC4705"/>
      <c r="GD4705"/>
      <c r="GE4705"/>
      <c r="GF4705"/>
      <c r="GG4705"/>
      <c r="GH4705"/>
      <c r="GI4705"/>
      <c r="GJ4705"/>
      <c r="GK4705"/>
      <c r="GL4705"/>
      <c r="GM4705"/>
      <c r="GN4705"/>
      <c r="GO4705"/>
    </row>
    <row r="4706" spans="107:197">
      <c r="DC4706"/>
      <c r="FH4706"/>
      <c r="FI4706"/>
      <c r="FJ4706"/>
      <c r="FK4706"/>
      <c r="FL4706"/>
      <c r="FM4706"/>
      <c r="FN4706"/>
      <c r="FO4706"/>
      <c r="FP4706"/>
      <c r="FQ4706"/>
      <c r="FR4706"/>
      <c r="FS4706"/>
      <c r="FT4706"/>
      <c r="FU4706"/>
      <c r="FV4706"/>
      <c r="FW4706"/>
      <c r="FX4706"/>
      <c r="FY4706"/>
      <c r="FZ4706"/>
      <c r="GA4706"/>
      <c r="GB4706"/>
      <c r="GC4706"/>
      <c r="GD4706"/>
      <c r="GE4706"/>
      <c r="GF4706"/>
      <c r="GG4706"/>
      <c r="GH4706"/>
      <c r="GI4706"/>
      <c r="GJ4706"/>
      <c r="GK4706"/>
      <c r="GL4706"/>
      <c r="GM4706"/>
      <c r="GN4706"/>
      <c r="GO4706"/>
    </row>
    <row r="4707" spans="107:197">
      <c r="DC4707"/>
      <c r="FH4707"/>
      <c r="FI4707"/>
      <c r="FJ4707"/>
      <c r="FK4707"/>
      <c r="FL4707"/>
      <c r="FM4707"/>
      <c r="FN4707"/>
      <c r="FO4707"/>
      <c r="FP4707"/>
      <c r="FQ4707"/>
      <c r="FR4707"/>
      <c r="FS4707"/>
      <c r="FT4707"/>
      <c r="FU4707"/>
      <c r="FV4707"/>
      <c r="FW4707"/>
      <c r="FX4707"/>
      <c r="FY4707"/>
      <c r="FZ4707"/>
      <c r="GA4707"/>
      <c r="GB4707"/>
      <c r="GC4707"/>
      <c r="GD4707"/>
      <c r="GE4707"/>
      <c r="GF4707"/>
      <c r="GG4707"/>
      <c r="GH4707"/>
      <c r="GI4707"/>
      <c r="GJ4707"/>
      <c r="GK4707"/>
      <c r="GL4707"/>
      <c r="GM4707"/>
      <c r="GN4707"/>
      <c r="GO4707"/>
    </row>
    <row r="4708" spans="107:197">
      <c r="DC4708"/>
      <c r="FH4708"/>
      <c r="FI4708"/>
      <c r="FJ4708"/>
      <c r="FK4708"/>
      <c r="FL4708"/>
      <c r="FM4708"/>
      <c r="FN4708"/>
      <c r="FO4708"/>
      <c r="FP4708"/>
      <c r="FQ4708"/>
      <c r="FR4708"/>
      <c r="FS4708"/>
      <c r="FT4708"/>
      <c r="FU4708"/>
      <c r="FV4708"/>
      <c r="FW4708"/>
      <c r="FX4708"/>
      <c r="FY4708"/>
      <c r="FZ4708"/>
      <c r="GA4708"/>
      <c r="GB4708"/>
      <c r="GC4708"/>
      <c r="GD4708"/>
      <c r="GE4708"/>
      <c r="GF4708"/>
      <c r="GG4708"/>
      <c r="GH4708"/>
      <c r="GI4708"/>
      <c r="GJ4708"/>
      <c r="GK4708"/>
      <c r="GL4708"/>
      <c r="GM4708"/>
      <c r="GN4708"/>
      <c r="GO4708"/>
    </row>
    <row r="4709" spans="107:197">
      <c r="DC4709"/>
      <c r="FH4709"/>
      <c r="FI4709"/>
      <c r="FJ4709"/>
      <c r="FK4709"/>
      <c r="FL4709"/>
      <c r="FM4709"/>
      <c r="FN4709"/>
      <c r="FO4709"/>
      <c r="FP4709"/>
      <c r="FQ4709"/>
      <c r="FR4709"/>
      <c r="FS4709"/>
      <c r="FT4709"/>
      <c r="FU4709"/>
      <c r="FV4709"/>
      <c r="FW4709"/>
      <c r="FX4709"/>
      <c r="FY4709"/>
      <c r="FZ4709"/>
      <c r="GA4709"/>
      <c r="GB4709"/>
      <c r="GC4709"/>
      <c r="GD4709"/>
      <c r="GE4709"/>
      <c r="GF4709"/>
      <c r="GG4709"/>
      <c r="GH4709"/>
      <c r="GI4709"/>
      <c r="GJ4709"/>
      <c r="GK4709"/>
      <c r="GL4709"/>
      <c r="GM4709"/>
      <c r="GN4709"/>
      <c r="GO4709"/>
    </row>
    <row r="4710" spans="107:197">
      <c r="DC4710"/>
      <c r="FH4710"/>
      <c r="FI4710"/>
      <c r="FJ4710"/>
      <c r="FK4710"/>
      <c r="FL4710"/>
      <c r="FM4710"/>
      <c r="FN4710"/>
      <c r="FO4710"/>
      <c r="FP4710"/>
      <c r="FQ4710"/>
      <c r="FR4710"/>
      <c r="FS4710"/>
      <c r="FT4710"/>
      <c r="FU4710"/>
      <c r="FV4710"/>
      <c r="FW4710"/>
      <c r="FX4710"/>
      <c r="FY4710"/>
      <c r="FZ4710"/>
      <c r="GA4710"/>
      <c r="GB4710"/>
      <c r="GC4710"/>
      <c r="GD4710"/>
      <c r="GE4710"/>
      <c r="GF4710"/>
      <c r="GG4710"/>
      <c r="GH4710"/>
      <c r="GI4710"/>
      <c r="GJ4710"/>
      <c r="GK4710"/>
      <c r="GL4710"/>
      <c r="GM4710"/>
      <c r="GN4710"/>
      <c r="GO4710"/>
    </row>
    <row r="4711" spans="107:197">
      <c r="DC4711"/>
      <c r="FH4711"/>
      <c r="FI4711"/>
      <c r="FJ4711"/>
      <c r="FK4711"/>
      <c r="FL4711"/>
      <c r="FM4711"/>
      <c r="FN4711"/>
      <c r="FO4711"/>
      <c r="FP4711"/>
      <c r="FQ4711"/>
      <c r="FR4711"/>
      <c r="FS4711"/>
      <c r="FT4711"/>
      <c r="FU4711"/>
      <c r="FV4711"/>
      <c r="FW4711"/>
      <c r="FX4711"/>
      <c r="FY4711"/>
      <c r="FZ4711"/>
      <c r="GA4711"/>
      <c r="GB4711"/>
      <c r="GC4711"/>
      <c r="GD4711"/>
      <c r="GE4711"/>
      <c r="GF4711"/>
      <c r="GG4711"/>
      <c r="GH4711"/>
      <c r="GI4711"/>
      <c r="GJ4711"/>
      <c r="GK4711"/>
      <c r="GL4711"/>
      <c r="GM4711"/>
      <c r="GN4711"/>
      <c r="GO4711"/>
    </row>
    <row r="4712" spans="107:197">
      <c r="DC4712"/>
      <c r="FH4712"/>
      <c r="FI4712"/>
      <c r="FJ4712"/>
      <c r="FK4712"/>
      <c r="FL4712"/>
      <c r="FM4712"/>
      <c r="FN4712"/>
      <c r="FO4712"/>
      <c r="FP4712"/>
      <c r="FQ4712"/>
      <c r="FR4712"/>
      <c r="FS4712"/>
      <c r="FT4712"/>
      <c r="FU4712"/>
      <c r="FV4712"/>
      <c r="FW4712"/>
      <c r="FX4712"/>
      <c r="FY4712"/>
      <c r="FZ4712"/>
      <c r="GA4712"/>
      <c r="GB4712"/>
      <c r="GC4712"/>
      <c r="GD4712"/>
      <c r="GE4712"/>
      <c r="GF4712"/>
      <c r="GG4712"/>
      <c r="GH4712"/>
      <c r="GI4712"/>
      <c r="GJ4712"/>
      <c r="GK4712"/>
      <c r="GL4712"/>
      <c r="GM4712"/>
      <c r="GN4712"/>
      <c r="GO4712"/>
    </row>
    <row r="4713" spans="107:197">
      <c r="DC4713"/>
      <c r="FH4713"/>
      <c r="FI4713"/>
      <c r="FJ4713"/>
      <c r="FK4713"/>
      <c r="FL4713"/>
      <c r="FM4713"/>
      <c r="FN4713"/>
      <c r="FO4713"/>
      <c r="FP4713"/>
      <c r="FQ4713"/>
      <c r="FR4713"/>
      <c r="FS4713"/>
      <c r="FT4713"/>
      <c r="FU4713"/>
      <c r="FV4713"/>
      <c r="FW4713"/>
      <c r="FX4713"/>
      <c r="FY4713"/>
      <c r="FZ4713"/>
      <c r="GA4713"/>
      <c r="GB4713"/>
      <c r="GC4713"/>
      <c r="GD4713"/>
      <c r="GE4713"/>
      <c r="GF4713"/>
      <c r="GG4713"/>
      <c r="GH4713"/>
      <c r="GI4713"/>
      <c r="GJ4713"/>
      <c r="GK4713"/>
      <c r="GL4713"/>
      <c r="GM4713"/>
      <c r="GN4713"/>
      <c r="GO4713"/>
    </row>
    <row r="4714" spans="107:197">
      <c r="DC4714"/>
      <c r="FH4714"/>
      <c r="FI4714"/>
      <c r="FJ4714"/>
      <c r="FK4714"/>
      <c r="FL4714"/>
      <c r="FM4714"/>
      <c r="FN4714"/>
      <c r="FO4714"/>
      <c r="FP4714"/>
      <c r="FQ4714"/>
      <c r="FR4714"/>
      <c r="FS4714"/>
      <c r="FT4714"/>
      <c r="FU4714"/>
      <c r="FV4714"/>
      <c r="FW4714"/>
      <c r="FX4714"/>
      <c r="FY4714"/>
      <c r="FZ4714"/>
      <c r="GA4714"/>
      <c r="GB4714"/>
      <c r="GC4714"/>
      <c r="GD4714"/>
      <c r="GE4714"/>
      <c r="GF4714"/>
      <c r="GG4714"/>
      <c r="GH4714"/>
      <c r="GI4714"/>
      <c r="GJ4714"/>
      <c r="GK4714"/>
      <c r="GL4714"/>
      <c r="GM4714"/>
      <c r="GN4714"/>
      <c r="GO4714"/>
    </row>
    <row r="4715" spans="107:197">
      <c r="DC4715"/>
      <c r="FH4715"/>
      <c r="FI4715"/>
      <c r="FJ4715"/>
      <c r="FK4715"/>
      <c r="FL4715"/>
      <c r="FM4715"/>
      <c r="FN4715"/>
      <c r="FO4715"/>
      <c r="FP4715"/>
      <c r="FQ4715"/>
      <c r="FR4715"/>
      <c r="FS4715"/>
      <c r="FT4715"/>
      <c r="FU4715"/>
      <c r="FV4715"/>
      <c r="FW4715"/>
      <c r="FX4715"/>
      <c r="FY4715"/>
      <c r="FZ4715"/>
      <c r="GA4715"/>
      <c r="GB4715"/>
      <c r="GC4715"/>
      <c r="GD4715"/>
      <c r="GE4715"/>
      <c r="GF4715"/>
      <c r="GG4715"/>
      <c r="GH4715"/>
      <c r="GI4715"/>
      <c r="GJ4715"/>
      <c r="GK4715"/>
      <c r="GL4715"/>
      <c r="GM4715"/>
      <c r="GN4715"/>
      <c r="GO4715"/>
    </row>
    <row r="4716" spans="107:197">
      <c r="DC4716"/>
      <c r="FH4716"/>
      <c r="FI4716"/>
      <c r="FJ4716"/>
      <c r="FK4716"/>
      <c r="FL4716"/>
      <c r="FM4716"/>
      <c r="FN4716"/>
      <c r="FO4716"/>
      <c r="FP4716"/>
      <c r="FQ4716"/>
      <c r="FR4716"/>
      <c r="FS4716"/>
      <c r="FT4716"/>
      <c r="FU4716"/>
      <c r="FV4716"/>
      <c r="FW4716"/>
      <c r="FX4716"/>
      <c r="FY4716"/>
      <c r="FZ4716"/>
      <c r="GA4716"/>
      <c r="GB4716"/>
      <c r="GC4716"/>
      <c r="GD4716"/>
      <c r="GE4716"/>
      <c r="GF4716"/>
      <c r="GG4716"/>
      <c r="GH4716"/>
      <c r="GI4716"/>
      <c r="GJ4716"/>
      <c r="GK4716"/>
      <c r="GL4716"/>
      <c r="GM4716"/>
      <c r="GN4716"/>
      <c r="GO4716"/>
    </row>
    <row r="4717" spans="107:197">
      <c r="DC4717"/>
      <c r="FH4717"/>
      <c r="FI4717"/>
      <c r="FJ4717"/>
      <c r="FK4717"/>
      <c r="FL4717"/>
      <c r="FM4717"/>
      <c r="FN4717"/>
      <c r="FO4717"/>
      <c r="FP4717"/>
      <c r="FQ4717"/>
      <c r="FR4717"/>
      <c r="FS4717"/>
      <c r="FT4717"/>
      <c r="FU4717"/>
      <c r="FV4717"/>
      <c r="FW4717"/>
      <c r="FX4717"/>
      <c r="FY4717"/>
      <c r="FZ4717"/>
      <c r="GA4717"/>
      <c r="GB4717"/>
      <c r="GC4717"/>
      <c r="GD4717"/>
      <c r="GE4717"/>
      <c r="GF4717"/>
      <c r="GG4717"/>
      <c r="GH4717"/>
      <c r="GI4717"/>
      <c r="GJ4717"/>
      <c r="GK4717"/>
      <c r="GL4717"/>
      <c r="GM4717"/>
      <c r="GN4717"/>
      <c r="GO4717"/>
    </row>
    <row r="4718" spans="107:197">
      <c r="DC4718"/>
      <c r="FH4718"/>
      <c r="FI4718"/>
      <c r="FJ4718"/>
      <c r="FK4718"/>
      <c r="FL4718"/>
      <c r="FM4718"/>
      <c r="FN4718"/>
      <c r="FO4718"/>
      <c r="FP4718"/>
      <c r="FQ4718"/>
      <c r="FR4718"/>
      <c r="FS4718"/>
      <c r="FT4718"/>
      <c r="FU4718"/>
      <c r="FV4718"/>
      <c r="FW4718"/>
      <c r="FX4718"/>
      <c r="FY4718"/>
      <c r="FZ4718"/>
      <c r="GA4718"/>
      <c r="GB4718"/>
      <c r="GC4718"/>
      <c r="GD4718"/>
      <c r="GE4718"/>
      <c r="GF4718"/>
      <c r="GG4718"/>
      <c r="GH4718"/>
      <c r="GI4718"/>
      <c r="GJ4718"/>
      <c r="GK4718"/>
      <c r="GL4718"/>
      <c r="GM4718"/>
      <c r="GN4718"/>
      <c r="GO4718"/>
    </row>
    <row r="4719" spans="107:197">
      <c r="DC4719"/>
      <c r="FH4719"/>
      <c r="FI4719"/>
      <c r="FJ4719"/>
      <c r="FK4719"/>
      <c r="FL4719"/>
      <c r="FM4719"/>
      <c r="FN4719"/>
      <c r="FO4719"/>
      <c r="FP4719"/>
      <c r="FQ4719"/>
      <c r="FR4719"/>
      <c r="FS4719"/>
      <c r="FT4719"/>
      <c r="FU4719"/>
      <c r="FV4719"/>
      <c r="FW4719"/>
      <c r="FX4719"/>
      <c r="FY4719"/>
      <c r="FZ4719"/>
      <c r="GA4719"/>
      <c r="GB4719"/>
      <c r="GC4719"/>
      <c r="GD4719"/>
      <c r="GE4719"/>
      <c r="GF4719"/>
      <c r="GG4719"/>
      <c r="GH4719"/>
      <c r="GI4719"/>
      <c r="GJ4719"/>
      <c r="GK4719"/>
      <c r="GL4719"/>
      <c r="GM4719"/>
      <c r="GN4719"/>
      <c r="GO4719"/>
    </row>
    <row r="4720" spans="107:197">
      <c r="DC4720"/>
      <c r="FH4720"/>
      <c r="FI4720"/>
      <c r="FJ4720"/>
      <c r="FK4720"/>
      <c r="FL4720"/>
      <c r="FM4720"/>
      <c r="FN4720"/>
      <c r="FO4720"/>
      <c r="FP4720"/>
      <c r="FQ4720"/>
      <c r="FR4720"/>
      <c r="FS4720"/>
      <c r="FT4720"/>
      <c r="FU4720"/>
      <c r="FV4720"/>
      <c r="FW4720"/>
      <c r="FX4720"/>
      <c r="FY4720"/>
      <c r="FZ4720"/>
      <c r="GA4720"/>
      <c r="GB4720"/>
      <c r="GC4720"/>
      <c r="GD4720"/>
      <c r="GE4720"/>
      <c r="GF4720"/>
      <c r="GG4720"/>
      <c r="GH4720"/>
      <c r="GI4720"/>
      <c r="GJ4720"/>
      <c r="GK4720"/>
      <c r="GL4720"/>
      <c r="GM4720"/>
      <c r="GN4720"/>
      <c r="GO4720"/>
    </row>
    <row r="4721" spans="107:197">
      <c r="DC4721"/>
      <c r="FH4721"/>
      <c r="FI4721"/>
      <c r="FJ4721"/>
      <c r="FK4721"/>
      <c r="FL4721"/>
      <c r="FM4721"/>
      <c r="FN4721"/>
      <c r="FO4721"/>
      <c r="FP4721"/>
      <c r="FQ4721"/>
      <c r="FR4721"/>
      <c r="FS4721"/>
      <c r="FT4721"/>
      <c r="FU4721"/>
      <c r="FV4721"/>
      <c r="FW4721"/>
      <c r="FX4721"/>
      <c r="FY4721"/>
      <c r="FZ4721"/>
      <c r="GA4721"/>
      <c r="GB4721"/>
      <c r="GC4721"/>
      <c r="GD4721"/>
      <c r="GE4721"/>
      <c r="GF4721"/>
      <c r="GG4721"/>
      <c r="GH4721"/>
      <c r="GI4721"/>
      <c r="GJ4721"/>
      <c r="GK4721"/>
      <c r="GL4721"/>
      <c r="GM4721"/>
      <c r="GN4721"/>
      <c r="GO4721"/>
    </row>
    <row r="4722" spans="107:197">
      <c r="DC4722"/>
      <c r="FH4722"/>
      <c r="FI4722"/>
      <c r="FJ4722"/>
      <c r="FK4722"/>
      <c r="FL4722"/>
      <c r="FM4722"/>
      <c r="FN4722"/>
      <c r="FO4722"/>
      <c r="FP4722"/>
      <c r="FQ4722"/>
      <c r="FR4722"/>
      <c r="FS4722"/>
      <c r="FT4722"/>
      <c r="FU4722"/>
      <c r="FV4722"/>
      <c r="FW4722"/>
      <c r="FX4722"/>
      <c r="FY4722"/>
      <c r="FZ4722"/>
      <c r="GA4722"/>
      <c r="GB4722"/>
      <c r="GC4722"/>
      <c r="GD4722"/>
      <c r="GE4722"/>
      <c r="GF4722"/>
      <c r="GG4722"/>
      <c r="GH4722"/>
      <c r="GI4722"/>
      <c r="GJ4722"/>
      <c r="GK4722"/>
      <c r="GL4722"/>
      <c r="GM4722"/>
      <c r="GN4722"/>
      <c r="GO4722"/>
    </row>
    <row r="4723" spans="107:197">
      <c r="DC4723"/>
      <c r="FH4723"/>
      <c r="FI4723"/>
      <c r="FJ4723"/>
      <c r="FK4723"/>
      <c r="FL4723"/>
      <c r="FM4723"/>
      <c r="FN4723"/>
      <c r="FO4723"/>
      <c r="FP4723"/>
      <c r="FQ4723"/>
      <c r="FR4723"/>
      <c r="FS4723"/>
      <c r="FT4723"/>
      <c r="FU4723"/>
      <c r="FV4723"/>
      <c r="FW4723"/>
      <c r="FX4723"/>
      <c r="FY4723"/>
      <c r="FZ4723"/>
      <c r="GA4723"/>
      <c r="GB4723"/>
      <c r="GC4723"/>
      <c r="GD4723"/>
      <c r="GE4723"/>
      <c r="GF4723"/>
      <c r="GG4723"/>
      <c r="GH4723"/>
      <c r="GI4723"/>
      <c r="GJ4723"/>
      <c r="GK4723"/>
      <c r="GL4723"/>
      <c r="GM4723"/>
      <c r="GN4723"/>
      <c r="GO4723"/>
    </row>
    <row r="4724" spans="107:197">
      <c r="DC4724"/>
      <c r="FH4724"/>
      <c r="FI4724"/>
      <c r="FJ4724"/>
      <c r="FK4724"/>
      <c r="FL4724"/>
      <c r="FM4724"/>
      <c r="FN4724"/>
      <c r="FO4724"/>
      <c r="FP4724"/>
      <c r="FQ4724"/>
      <c r="FR4724"/>
      <c r="FS4724"/>
      <c r="FT4724"/>
      <c r="FU4724"/>
      <c r="FV4724"/>
      <c r="FW4724"/>
      <c r="FX4724"/>
      <c r="FY4724"/>
      <c r="FZ4724"/>
      <c r="GA4724"/>
      <c r="GB4724"/>
      <c r="GC4724"/>
      <c r="GD4724"/>
      <c r="GE4724"/>
      <c r="GF4724"/>
      <c r="GG4724"/>
      <c r="GH4724"/>
      <c r="GI4724"/>
      <c r="GJ4724"/>
      <c r="GK4724"/>
      <c r="GL4724"/>
      <c r="GM4724"/>
      <c r="GN4724"/>
      <c r="GO4724"/>
    </row>
    <row r="4725" spans="107:197">
      <c r="DC4725"/>
      <c r="FH4725"/>
      <c r="FI4725"/>
      <c r="FJ4725"/>
      <c r="FK4725"/>
      <c r="FL4725"/>
      <c r="FM4725"/>
      <c r="FN4725"/>
      <c r="FO4725"/>
      <c r="FP4725"/>
      <c r="FQ4725"/>
      <c r="FR4725"/>
      <c r="FS4725"/>
      <c r="FT4725"/>
      <c r="FU4725"/>
      <c r="FV4725"/>
      <c r="FW4725"/>
      <c r="FX4725"/>
      <c r="FY4725"/>
      <c r="FZ4725"/>
      <c r="GA4725"/>
      <c r="GB4725"/>
      <c r="GC4725"/>
      <c r="GD4725"/>
      <c r="GE4725"/>
      <c r="GF4725"/>
      <c r="GG4725"/>
      <c r="GH4725"/>
      <c r="GI4725"/>
      <c r="GJ4725"/>
      <c r="GK4725"/>
      <c r="GL4725"/>
      <c r="GM4725"/>
      <c r="GN4725"/>
      <c r="GO4725"/>
    </row>
    <row r="4726" spans="107:197">
      <c r="DC4726"/>
      <c r="FH4726"/>
      <c r="FI4726"/>
      <c r="FJ4726"/>
      <c r="FK4726"/>
      <c r="FL4726"/>
      <c r="FM4726"/>
      <c r="FN4726"/>
      <c r="FO4726"/>
      <c r="FP4726"/>
      <c r="FQ4726"/>
      <c r="FR4726"/>
      <c r="FS4726"/>
      <c r="FT4726"/>
      <c r="FU4726"/>
      <c r="FV4726"/>
      <c r="FW4726"/>
      <c r="FX4726"/>
      <c r="FY4726"/>
      <c r="FZ4726"/>
      <c r="GA4726"/>
      <c r="GB4726"/>
      <c r="GC4726"/>
      <c r="GD4726"/>
      <c r="GE4726"/>
      <c r="GF4726"/>
      <c r="GG4726"/>
      <c r="GH4726"/>
      <c r="GI4726"/>
      <c r="GJ4726"/>
      <c r="GK4726"/>
      <c r="GL4726"/>
      <c r="GM4726"/>
      <c r="GN4726"/>
      <c r="GO4726"/>
    </row>
    <row r="4727" spans="107:197">
      <c r="DC4727"/>
      <c r="FH4727"/>
      <c r="FI4727"/>
      <c r="FJ4727"/>
      <c r="FK4727"/>
      <c r="FL4727"/>
      <c r="FM4727"/>
      <c r="FN4727"/>
      <c r="FO4727"/>
      <c r="FP4727"/>
      <c r="FQ4727"/>
      <c r="FR4727"/>
      <c r="FS4727"/>
      <c r="FT4727"/>
      <c r="FU4727"/>
      <c r="FV4727"/>
      <c r="FW4727"/>
      <c r="FX4727"/>
      <c r="FY4727"/>
      <c r="FZ4727"/>
      <c r="GA4727"/>
      <c r="GB4727"/>
      <c r="GC4727"/>
      <c r="GD4727"/>
      <c r="GE4727"/>
      <c r="GF4727"/>
      <c r="GG4727"/>
      <c r="GH4727"/>
      <c r="GI4727"/>
      <c r="GJ4727"/>
      <c r="GK4727"/>
      <c r="GL4727"/>
      <c r="GM4727"/>
      <c r="GN4727"/>
      <c r="GO4727"/>
    </row>
    <row r="4728" spans="107:197">
      <c r="DC4728"/>
      <c r="FH4728"/>
      <c r="FI4728"/>
      <c r="FJ4728"/>
      <c r="FK4728"/>
      <c r="FL4728"/>
      <c r="FM4728"/>
      <c r="FN4728"/>
      <c r="FO4728"/>
      <c r="FP4728"/>
      <c r="FQ4728"/>
      <c r="FR4728"/>
      <c r="FS4728"/>
      <c r="FT4728"/>
      <c r="FU4728"/>
      <c r="FV4728"/>
      <c r="FW4728"/>
      <c r="FX4728"/>
      <c r="FY4728"/>
      <c r="FZ4728"/>
      <c r="GA4728"/>
      <c r="GB4728"/>
      <c r="GC4728"/>
      <c r="GD4728"/>
      <c r="GE4728"/>
      <c r="GF4728"/>
      <c r="GG4728"/>
      <c r="GH4728"/>
      <c r="GI4728"/>
      <c r="GJ4728"/>
      <c r="GK4728"/>
      <c r="GL4728"/>
      <c r="GM4728"/>
      <c r="GN4728"/>
      <c r="GO4728"/>
    </row>
    <row r="4729" spans="107:197">
      <c r="DC4729"/>
      <c r="FH4729"/>
      <c r="FI4729"/>
      <c r="FJ4729"/>
      <c r="FK4729"/>
      <c r="FL4729"/>
      <c r="FM4729"/>
      <c r="FN4729"/>
      <c r="FO4729"/>
      <c r="FP4729"/>
      <c r="FQ4729"/>
      <c r="FR4729"/>
      <c r="FS4729"/>
      <c r="FT4729"/>
      <c r="FU4729"/>
      <c r="FV4729"/>
      <c r="FW4729"/>
      <c r="FX4729"/>
      <c r="FY4729"/>
      <c r="FZ4729"/>
      <c r="GA4729"/>
      <c r="GB4729"/>
      <c r="GC4729"/>
      <c r="GD4729"/>
      <c r="GE4729"/>
      <c r="GF4729"/>
      <c r="GG4729"/>
      <c r="GH4729"/>
      <c r="GI4729"/>
      <c r="GJ4729"/>
      <c r="GK4729"/>
      <c r="GL4729"/>
      <c r="GM4729"/>
      <c r="GN4729"/>
      <c r="GO4729"/>
    </row>
    <row r="4730" spans="107:197">
      <c r="DC4730"/>
      <c r="FH4730"/>
      <c r="FI4730"/>
      <c r="FJ4730"/>
      <c r="FK4730"/>
      <c r="FL4730"/>
      <c r="FM4730"/>
      <c r="FN4730"/>
      <c r="FO4730"/>
      <c r="FP4730"/>
      <c r="FQ4730"/>
      <c r="FR4730"/>
      <c r="FS4730"/>
      <c r="FT4730"/>
      <c r="FU4730"/>
      <c r="FV4730"/>
      <c r="FW4730"/>
      <c r="FX4730"/>
      <c r="FY4730"/>
      <c r="FZ4730"/>
      <c r="GA4730"/>
      <c r="GB4730"/>
      <c r="GC4730"/>
      <c r="GD4730"/>
      <c r="GE4730"/>
      <c r="GF4730"/>
      <c r="GG4730"/>
      <c r="GH4730"/>
      <c r="GI4730"/>
      <c r="GJ4730"/>
      <c r="GK4730"/>
      <c r="GL4730"/>
      <c r="GM4730"/>
      <c r="GN4730"/>
      <c r="GO4730"/>
    </row>
    <row r="4731" spans="107:197">
      <c r="DC4731"/>
      <c r="FH4731"/>
      <c r="FI4731"/>
      <c r="FJ4731"/>
      <c r="FK4731"/>
      <c r="FL4731"/>
      <c r="FM4731"/>
      <c r="FN4731"/>
      <c r="FO4731"/>
      <c r="FP4731"/>
      <c r="FQ4731"/>
      <c r="FR4731"/>
      <c r="FS4731"/>
      <c r="FT4731"/>
      <c r="FU4731"/>
      <c r="FV4731"/>
      <c r="FW4731"/>
      <c r="FX4731"/>
      <c r="FY4731"/>
      <c r="FZ4731"/>
      <c r="GA4731"/>
      <c r="GB4731"/>
      <c r="GC4731"/>
      <c r="GD4731"/>
      <c r="GE4731"/>
      <c r="GF4731"/>
      <c r="GG4731"/>
      <c r="GH4731"/>
      <c r="GI4731"/>
      <c r="GJ4731"/>
      <c r="GK4731"/>
      <c r="GL4731"/>
      <c r="GM4731"/>
      <c r="GN4731"/>
      <c r="GO4731"/>
    </row>
    <row r="4732" spans="107:197">
      <c r="DC4732"/>
      <c r="FH4732"/>
      <c r="FI4732"/>
      <c r="FJ4732"/>
      <c r="FK4732"/>
      <c r="FL4732"/>
      <c r="FM4732"/>
      <c r="FN4732"/>
      <c r="FO4732"/>
      <c r="FP4732"/>
      <c r="FQ4732"/>
      <c r="FR4732"/>
      <c r="FS4732"/>
      <c r="FT4732"/>
      <c r="FU4732"/>
      <c r="FV4732"/>
      <c r="FW4732"/>
      <c r="FX4732"/>
      <c r="FY4732"/>
      <c r="FZ4732"/>
      <c r="GA4732"/>
      <c r="GB4732"/>
      <c r="GC4732"/>
      <c r="GD4732"/>
      <c r="GE4732"/>
      <c r="GF4732"/>
      <c r="GG4732"/>
      <c r="GH4732"/>
      <c r="GI4732"/>
      <c r="GJ4732"/>
      <c r="GK4732"/>
      <c r="GL4732"/>
      <c r="GM4732"/>
      <c r="GN4732"/>
      <c r="GO4732"/>
    </row>
    <row r="4733" spans="107:197">
      <c r="DC4733"/>
      <c r="FH4733"/>
      <c r="FI4733"/>
      <c r="FJ4733"/>
      <c r="FK4733"/>
      <c r="FL4733"/>
      <c r="FM4733"/>
      <c r="FN4733"/>
      <c r="FO4733"/>
      <c r="FP4733"/>
      <c r="FQ4733"/>
      <c r="FR4733"/>
      <c r="FS4733"/>
      <c r="FT4733"/>
      <c r="FU4733"/>
      <c r="FV4733"/>
      <c r="FW4733"/>
      <c r="FX4733"/>
      <c r="FY4733"/>
      <c r="FZ4733"/>
      <c r="GA4733"/>
      <c r="GB4733"/>
      <c r="GC4733"/>
      <c r="GD4733"/>
      <c r="GE4733"/>
      <c r="GF4733"/>
      <c r="GG4733"/>
      <c r="GH4733"/>
      <c r="GI4733"/>
      <c r="GJ4733"/>
      <c r="GK4733"/>
      <c r="GL4733"/>
      <c r="GM4733"/>
      <c r="GN4733"/>
      <c r="GO4733"/>
    </row>
    <row r="4734" spans="107:197">
      <c r="DC4734"/>
      <c r="FH4734"/>
      <c r="FI4734"/>
      <c r="FJ4734"/>
      <c r="FK4734"/>
      <c r="FL4734"/>
      <c r="FM4734"/>
      <c r="FN4734"/>
      <c r="FO4734"/>
      <c r="FP4734"/>
      <c r="FQ4734"/>
      <c r="FR4734"/>
      <c r="FS4734"/>
      <c r="FT4734"/>
      <c r="FU4734"/>
      <c r="FV4734"/>
      <c r="FW4734"/>
      <c r="FX4734"/>
      <c r="FY4734"/>
      <c r="FZ4734"/>
      <c r="GA4734"/>
      <c r="GB4734"/>
      <c r="GC4734"/>
      <c r="GD4734"/>
      <c r="GE4734"/>
      <c r="GF4734"/>
      <c r="GG4734"/>
      <c r="GH4734"/>
      <c r="GI4734"/>
      <c r="GJ4734"/>
      <c r="GK4734"/>
      <c r="GL4734"/>
      <c r="GM4734"/>
      <c r="GN4734"/>
      <c r="GO4734"/>
    </row>
    <row r="4735" spans="107:197">
      <c r="DC4735"/>
      <c r="FH4735"/>
      <c r="FI4735"/>
      <c r="FJ4735"/>
      <c r="FK4735"/>
      <c r="FL4735"/>
      <c r="FM4735"/>
      <c r="FN4735"/>
      <c r="FO4735"/>
      <c r="FP4735"/>
      <c r="FQ4735"/>
      <c r="FR4735"/>
      <c r="FS4735"/>
      <c r="FT4735"/>
      <c r="FU4735"/>
      <c r="FV4735"/>
      <c r="FW4735"/>
      <c r="FX4735"/>
      <c r="FY4735"/>
      <c r="FZ4735"/>
      <c r="GA4735"/>
      <c r="GB4735"/>
      <c r="GC4735"/>
      <c r="GD4735"/>
      <c r="GE4735"/>
      <c r="GF4735"/>
      <c r="GG4735"/>
      <c r="GH4735"/>
      <c r="GI4735"/>
      <c r="GJ4735"/>
      <c r="GK4735"/>
      <c r="GL4735"/>
      <c r="GM4735"/>
      <c r="GN4735"/>
      <c r="GO4735"/>
    </row>
    <row r="4736" spans="107:197">
      <c r="DC4736"/>
      <c r="FH4736"/>
      <c r="FI4736"/>
      <c r="FJ4736"/>
      <c r="FK4736"/>
      <c r="FL4736"/>
      <c r="FM4736"/>
      <c r="FN4736"/>
      <c r="FO4736"/>
      <c r="FP4736"/>
      <c r="FQ4736"/>
      <c r="FR4736"/>
      <c r="FS4736"/>
      <c r="FT4736"/>
      <c r="FU4736"/>
      <c r="FV4736"/>
      <c r="FW4736"/>
      <c r="FX4736"/>
      <c r="FY4736"/>
      <c r="FZ4736"/>
      <c r="GA4736"/>
      <c r="GB4736"/>
      <c r="GC4736"/>
      <c r="GD4736"/>
      <c r="GE4736"/>
      <c r="GF4736"/>
      <c r="GG4736"/>
      <c r="GH4736"/>
      <c r="GI4736"/>
      <c r="GJ4736"/>
      <c r="GK4736"/>
      <c r="GL4736"/>
      <c r="GM4736"/>
      <c r="GN4736"/>
      <c r="GO4736"/>
    </row>
    <row r="4737" spans="107:197">
      <c r="DC4737"/>
      <c r="FH4737"/>
      <c r="FI4737"/>
      <c r="FJ4737"/>
      <c r="FK4737"/>
      <c r="FL4737"/>
      <c r="FM4737"/>
      <c r="FN4737"/>
      <c r="FO4737"/>
      <c r="FP4737"/>
      <c r="FQ4737"/>
      <c r="FR4737"/>
      <c r="FS4737"/>
      <c r="FT4737"/>
      <c r="FU4737"/>
      <c r="FV4737"/>
      <c r="FW4737"/>
      <c r="FX4737"/>
      <c r="FY4737"/>
      <c r="FZ4737"/>
      <c r="GA4737"/>
      <c r="GB4737"/>
      <c r="GC4737"/>
      <c r="GD4737"/>
      <c r="GE4737"/>
      <c r="GF4737"/>
      <c r="GG4737"/>
      <c r="GH4737"/>
      <c r="GI4737"/>
      <c r="GJ4737"/>
      <c r="GK4737"/>
      <c r="GL4737"/>
      <c r="GM4737"/>
      <c r="GN4737"/>
      <c r="GO4737"/>
    </row>
    <row r="4738" spans="107:197">
      <c r="DC4738"/>
      <c r="FH4738"/>
      <c r="FI4738"/>
      <c r="FJ4738"/>
      <c r="FK4738"/>
      <c r="FL4738"/>
      <c r="FM4738"/>
      <c r="FN4738"/>
      <c r="FO4738"/>
      <c r="FP4738"/>
      <c r="FQ4738"/>
      <c r="FR4738"/>
      <c r="FS4738"/>
      <c r="FT4738"/>
      <c r="FU4738"/>
      <c r="FV4738"/>
      <c r="FW4738"/>
      <c r="FX4738"/>
      <c r="FY4738"/>
      <c r="FZ4738"/>
      <c r="GA4738"/>
      <c r="GB4738"/>
      <c r="GC4738"/>
      <c r="GD4738"/>
      <c r="GE4738"/>
      <c r="GF4738"/>
      <c r="GG4738"/>
      <c r="GH4738"/>
      <c r="GI4738"/>
      <c r="GJ4738"/>
      <c r="GK4738"/>
      <c r="GL4738"/>
      <c r="GM4738"/>
      <c r="GN4738"/>
      <c r="GO4738"/>
    </row>
    <row r="4739" spans="107:197">
      <c r="DC4739"/>
      <c r="FH4739"/>
      <c r="FI4739"/>
      <c r="FJ4739"/>
      <c r="FK4739"/>
      <c r="FL4739"/>
      <c r="FM4739"/>
      <c r="FN4739"/>
      <c r="FO4739"/>
      <c r="FP4739"/>
      <c r="FQ4739"/>
      <c r="FR4739"/>
      <c r="FS4739"/>
      <c r="FT4739"/>
      <c r="FU4739"/>
      <c r="FV4739"/>
      <c r="FW4739"/>
      <c r="FX4739"/>
      <c r="FY4739"/>
      <c r="FZ4739"/>
      <c r="GA4739"/>
      <c r="GB4739"/>
      <c r="GC4739"/>
      <c r="GD4739"/>
      <c r="GE4739"/>
      <c r="GF4739"/>
      <c r="GG4739"/>
      <c r="GH4739"/>
      <c r="GI4739"/>
      <c r="GJ4739"/>
      <c r="GK4739"/>
      <c r="GL4739"/>
      <c r="GM4739"/>
      <c r="GN4739"/>
      <c r="GO4739"/>
    </row>
    <row r="4740" spans="107:197">
      <c r="DC4740"/>
      <c r="FH4740"/>
      <c r="FI4740"/>
      <c r="FJ4740"/>
      <c r="FK4740"/>
      <c r="FL4740"/>
      <c r="FM4740"/>
      <c r="FN4740"/>
      <c r="FO4740"/>
      <c r="FP4740"/>
      <c r="FQ4740"/>
      <c r="FR4740"/>
      <c r="FS4740"/>
      <c r="FT4740"/>
      <c r="FU4740"/>
      <c r="FV4740"/>
      <c r="FW4740"/>
      <c r="FX4740"/>
      <c r="FY4740"/>
      <c r="FZ4740"/>
      <c r="GA4740"/>
      <c r="GB4740"/>
      <c r="GC4740"/>
      <c r="GD4740"/>
      <c r="GE4740"/>
      <c r="GF4740"/>
      <c r="GG4740"/>
      <c r="GH4740"/>
      <c r="GI4740"/>
      <c r="GJ4740"/>
      <c r="GK4740"/>
      <c r="GL4740"/>
      <c r="GM4740"/>
      <c r="GN4740"/>
      <c r="GO4740"/>
    </row>
    <row r="4741" spans="107:197">
      <c r="DC4741"/>
      <c r="FH4741"/>
      <c r="FI4741"/>
      <c r="FJ4741"/>
      <c r="FK4741"/>
      <c r="FL4741"/>
      <c r="FM4741"/>
      <c r="FN4741"/>
      <c r="FO4741"/>
      <c r="FP4741"/>
      <c r="FQ4741"/>
      <c r="FR4741"/>
      <c r="FS4741"/>
      <c r="FT4741"/>
      <c r="FU4741"/>
      <c r="FV4741"/>
      <c r="FW4741"/>
      <c r="FX4741"/>
      <c r="FY4741"/>
      <c r="FZ4741"/>
      <c r="GA4741"/>
      <c r="GB4741"/>
      <c r="GC4741"/>
      <c r="GD4741"/>
      <c r="GE4741"/>
      <c r="GF4741"/>
      <c r="GG4741"/>
      <c r="GH4741"/>
      <c r="GI4741"/>
      <c r="GJ4741"/>
      <c r="GK4741"/>
      <c r="GL4741"/>
      <c r="GM4741"/>
      <c r="GN4741"/>
      <c r="GO4741"/>
    </row>
    <row r="4742" spans="107:197">
      <c r="DC4742"/>
      <c r="FH4742"/>
      <c r="FI4742"/>
      <c r="FJ4742"/>
      <c r="FK4742"/>
      <c r="FL4742"/>
      <c r="FM4742"/>
      <c r="FN4742"/>
      <c r="FO4742"/>
      <c r="FP4742"/>
      <c r="FQ4742"/>
      <c r="FR4742"/>
      <c r="FS4742"/>
      <c r="FT4742"/>
      <c r="FU4742"/>
      <c r="FV4742"/>
      <c r="FW4742"/>
      <c r="FX4742"/>
      <c r="FY4742"/>
      <c r="FZ4742"/>
      <c r="GA4742"/>
      <c r="GB4742"/>
      <c r="GC4742"/>
      <c r="GD4742"/>
      <c r="GE4742"/>
      <c r="GF4742"/>
      <c r="GG4742"/>
      <c r="GH4742"/>
      <c r="GI4742"/>
      <c r="GJ4742"/>
      <c r="GK4742"/>
      <c r="GL4742"/>
      <c r="GM4742"/>
      <c r="GN4742"/>
      <c r="GO4742"/>
    </row>
    <row r="4743" spans="107:197">
      <c r="DC4743"/>
      <c r="FH4743"/>
      <c r="FI4743"/>
      <c r="FJ4743"/>
      <c r="FK4743"/>
      <c r="FL4743"/>
      <c r="FM4743"/>
      <c r="FN4743"/>
      <c r="FO4743"/>
      <c r="FP4743"/>
      <c r="FQ4743"/>
      <c r="FR4743"/>
      <c r="FS4743"/>
      <c r="FT4743"/>
      <c r="FU4743"/>
      <c r="FV4743"/>
      <c r="FW4743"/>
      <c r="FX4743"/>
      <c r="FY4743"/>
      <c r="FZ4743"/>
      <c r="GA4743"/>
      <c r="GB4743"/>
      <c r="GC4743"/>
      <c r="GD4743"/>
      <c r="GE4743"/>
      <c r="GF4743"/>
      <c r="GG4743"/>
      <c r="GH4743"/>
      <c r="GI4743"/>
      <c r="GJ4743"/>
      <c r="GK4743"/>
      <c r="GL4743"/>
      <c r="GM4743"/>
      <c r="GN4743"/>
      <c r="GO4743"/>
    </row>
    <row r="4744" spans="107:197">
      <c r="DC4744"/>
      <c r="FH4744"/>
      <c r="FI4744"/>
      <c r="FJ4744"/>
      <c r="FK4744"/>
      <c r="FL4744"/>
      <c r="FM4744"/>
      <c r="FN4744"/>
      <c r="FO4744"/>
      <c r="FP4744"/>
      <c r="FQ4744"/>
      <c r="FR4744"/>
      <c r="FS4744"/>
      <c r="FT4744"/>
      <c r="FU4744"/>
      <c r="FV4744"/>
      <c r="FW4744"/>
      <c r="FX4744"/>
      <c r="FY4744"/>
      <c r="FZ4744"/>
      <c r="GA4744"/>
      <c r="GB4744"/>
      <c r="GC4744"/>
      <c r="GD4744"/>
      <c r="GE4744"/>
      <c r="GF4744"/>
      <c r="GG4744"/>
      <c r="GH4744"/>
      <c r="GI4744"/>
      <c r="GJ4744"/>
      <c r="GK4744"/>
      <c r="GL4744"/>
      <c r="GM4744"/>
      <c r="GN4744"/>
      <c r="GO4744"/>
    </row>
    <row r="4745" spans="107:197">
      <c r="DC4745"/>
      <c r="FH4745"/>
      <c r="FI4745"/>
      <c r="FJ4745"/>
      <c r="FK4745"/>
      <c r="FL4745"/>
      <c r="FM4745"/>
      <c r="FN4745"/>
      <c r="FO4745"/>
      <c r="FP4745"/>
      <c r="FQ4745"/>
      <c r="FR4745"/>
      <c r="FS4745"/>
      <c r="FT4745"/>
      <c r="FU4745"/>
      <c r="FV4745"/>
      <c r="FW4745"/>
      <c r="FX4745"/>
      <c r="FY4745"/>
      <c r="FZ4745"/>
      <c r="GA4745"/>
      <c r="GB4745"/>
      <c r="GC4745"/>
      <c r="GD4745"/>
      <c r="GE4745"/>
      <c r="GF4745"/>
      <c r="GG4745"/>
      <c r="GH4745"/>
      <c r="GI4745"/>
      <c r="GJ4745"/>
      <c r="GK4745"/>
      <c r="GL4745"/>
      <c r="GM4745"/>
      <c r="GN4745"/>
      <c r="GO4745"/>
    </row>
    <row r="4746" spans="107:197">
      <c r="DC4746"/>
      <c r="FH4746"/>
      <c r="FI4746"/>
      <c r="FJ4746"/>
      <c r="FK4746"/>
      <c r="FL4746"/>
      <c r="FM4746"/>
      <c r="FN4746"/>
      <c r="FO4746"/>
      <c r="FP4746"/>
      <c r="FQ4746"/>
      <c r="FR4746"/>
      <c r="FS4746"/>
      <c r="FT4746"/>
      <c r="FU4746"/>
      <c r="FV4746"/>
      <c r="FW4746"/>
      <c r="FX4746"/>
      <c r="FY4746"/>
      <c r="FZ4746"/>
      <c r="GA4746"/>
      <c r="GB4746"/>
      <c r="GC4746"/>
      <c r="GD4746"/>
      <c r="GE4746"/>
      <c r="GF4746"/>
      <c r="GG4746"/>
      <c r="GH4746"/>
      <c r="GI4746"/>
      <c r="GJ4746"/>
      <c r="GK4746"/>
      <c r="GL4746"/>
      <c r="GM4746"/>
      <c r="GN4746"/>
      <c r="GO4746"/>
    </row>
    <row r="4747" spans="107:197">
      <c r="DC4747"/>
      <c r="FH4747"/>
      <c r="FI4747"/>
      <c r="FJ4747"/>
      <c r="FK4747"/>
      <c r="FL4747"/>
      <c r="FM4747"/>
      <c r="FN4747"/>
      <c r="FO4747"/>
      <c r="FP4747"/>
      <c r="FQ4747"/>
      <c r="FR4747"/>
      <c r="FS4747"/>
      <c r="FT4747"/>
      <c r="FU4747"/>
      <c r="FV4747"/>
      <c r="FW4747"/>
      <c r="FX4747"/>
      <c r="FY4747"/>
      <c r="FZ4747"/>
      <c r="GA4747"/>
      <c r="GB4747"/>
      <c r="GC4747"/>
      <c r="GD4747"/>
      <c r="GE4747"/>
      <c r="GF4747"/>
      <c r="GG4747"/>
      <c r="GH4747"/>
      <c r="GI4747"/>
      <c r="GJ4747"/>
      <c r="GK4747"/>
      <c r="GL4747"/>
      <c r="GM4747"/>
      <c r="GN4747"/>
      <c r="GO4747"/>
    </row>
    <row r="4748" spans="107:197">
      <c r="DC4748"/>
      <c r="FH4748"/>
      <c r="FI4748"/>
      <c r="FJ4748"/>
      <c r="FK4748"/>
      <c r="FL4748"/>
      <c r="FM4748"/>
      <c r="FN4748"/>
      <c r="FO4748"/>
      <c r="FP4748"/>
      <c r="FQ4748"/>
      <c r="FR4748"/>
      <c r="FS4748"/>
      <c r="FT4748"/>
      <c r="FU4748"/>
      <c r="FV4748"/>
      <c r="FW4748"/>
      <c r="FX4748"/>
      <c r="FY4748"/>
      <c r="FZ4748"/>
      <c r="GA4748"/>
      <c r="GB4748"/>
      <c r="GC4748"/>
      <c r="GD4748"/>
      <c r="GE4748"/>
      <c r="GF4748"/>
      <c r="GG4748"/>
      <c r="GH4748"/>
      <c r="GI4748"/>
      <c r="GJ4748"/>
      <c r="GK4748"/>
      <c r="GL4748"/>
      <c r="GM4748"/>
      <c r="GN4748"/>
      <c r="GO4748"/>
    </row>
    <row r="4749" spans="107:197">
      <c r="DC4749"/>
      <c r="FH4749"/>
      <c r="FI4749"/>
      <c r="FJ4749"/>
      <c r="FK4749"/>
      <c r="FL4749"/>
      <c r="FM4749"/>
      <c r="FN4749"/>
      <c r="FO4749"/>
      <c r="FP4749"/>
      <c r="FQ4749"/>
      <c r="FR4749"/>
      <c r="FS4749"/>
      <c r="FT4749"/>
      <c r="FU4749"/>
      <c r="FV4749"/>
      <c r="FW4749"/>
      <c r="FX4749"/>
      <c r="FY4749"/>
      <c r="FZ4749"/>
      <c r="GA4749"/>
      <c r="GB4749"/>
      <c r="GC4749"/>
      <c r="GD4749"/>
      <c r="GE4749"/>
      <c r="GF4749"/>
      <c r="GG4749"/>
      <c r="GH4749"/>
      <c r="GI4749"/>
      <c r="GJ4749"/>
      <c r="GK4749"/>
      <c r="GL4749"/>
      <c r="GM4749"/>
      <c r="GN4749"/>
      <c r="GO4749"/>
    </row>
    <row r="4750" spans="107:197">
      <c r="DC4750"/>
      <c r="FH4750"/>
      <c r="FI4750"/>
      <c r="FJ4750"/>
      <c r="FK4750"/>
      <c r="FL4750"/>
      <c r="FM4750"/>
      <c r="FN4750"/>
      <c r="FO4750"/>
      <c r="FP4750"/>
      <c r="FQ4750"/>
      <c r="FR4750"/>
      <c r="FS4750"/>
      <c r="FT4750"/>
      <c r="FU4750"/>
      <c r="FV4750"/>
      <c r="FW4750"/>
      <c r="FX4750"/>
      <c r="FY4750"/>
      <c r="FZ4750"/>
      <c r="GA4750"/>
      <c r="GB4750"/>
      <c r="GC4750"/>
      <c r="GD4750"/>
      <c r="GE4750"/>
      <c r="GF4750"/>
      <c r="GG4750"/>
      <c r="GH4750"/>
      <c r="GI4750"/>
      <c r="GJ4750"/>
      <c r="GK4750"/>
      <c r="GL4750"/>
      <c r="GM4750"/>
      <c r="GN4750"/>
      <c r="GO4750"/>
    </row>
    <row r="4751" spans="107:197">
      <c r="DC4751"/>
      <c r="FH4751"/>
      <c r="FI4751"/>
      <c r="FJ4751"/>
      <c r="FK4751"/>
      <c r="FL4751"/>
      <c r="FM4751"/>
      <c r="FN4751"/>
      <c r="FO4751"/>
      <c r="FP4751"/>
      <c r="FQ4751"/>
      <c r="FR4751"/>
      <c r="FS4751"/>
      <c r="FT4751"/>
      <c r="FU4751"/>
      <c r="FV4751"/>
      <c r="FW4751"/>
      <c r="FX4751"/>
      <c r="FY4751"/>
      <c r="FZ4751"/>
      <c r="GA4751"/>
      <c r="GB4751"/>
      <c r="GC4751"/>
      <c r="GD4751"/>
      <c r="GE4751"/>
      <c r="GF4751"/>
      <c r="GG4751"/>
      <c r="GH4751"/>
      <c r="GI4751"/>
      <c r="GJ4751"/>
      <c r="GK4751"/>
      <c r="GL4751"/>
      <c r="GM4751"/>
      <c r="GN4751"/>
      <c r="GO4751"/>
    </row>
    <row r="4752" spans="107:197">
      <c r="DC4752"/>
      <c r="FH4752"/>
      <c r="FI4752"/>
      <c r="FJ4752"/>
      <c r="FK4752"/>
      <c r="FL4752"/>
      <c r="FM4752"/>
      <c r="FN4752"/>
      <c r="FO4752"/>
      <c r="FP4752"/>
      <c r="FQ4752"/>
      <c r="FR4752"/>
      <c r="FS4752"/>
      <c r="FT4752"/>
      <c r="FU4752"/>
      <c r="FV4752"/>
      <c r="FW4752"/>
      <c r="FX4752"/>
      <c r="FY4752"/>
      <c r="FZ4752"/>
      <c r="GA4752"/>
      <c r="GB4752"/>
      <c r="GC4752"/>
      <c r="GD4752"/>
      <c r="GE4752"/>
      <c r="GF4752"/>
      <c r="GG4752"/>
      <c r="GH4752"/>
      <c r="GI4752"/>
      <c r="GJ4752"/>
      <c r="GK4752"/>
      <c r="GL4752"/>
      <c r="GM4752"/>
      <c r="GN4752"/>
      <c r="GO4752"/>
    </row>
    <row r="4753" spans="107:197">
      <c r="DC4753"/>
      <c r="FH4753"/>
      <c r="FI4753"/>
      <c r="FJ4753"/>
      <c r="FK4753"/>
      <c r="FL4753"/>
      <c r="FM4753"/>
      <c r="FN4753"/>
      <c r="FO4753"/>
      <c r="FP4753"/>
      <c r="FQ4753"/>
      <c r="FR4753"/>
      <c r="FS4753"/>
      <c r="FT4753"/>
      <c r="FU4753"/>
      <c r="FV4753"/>
      <c r="FW4753"/>
      <c r="FX4753"/>
      <c r="FY4753"/>
      <c r="FZ4753"/>
      <c r="GA4753"/>
      <c r="GB4753"/>
      <c r="GC4753"/>
      <c r="GD4753"/>
      <c r="GE4753"/>
      <c r="GF4753"/>
      <c r="GG4753"/>
      <c r="GH4753"/>
      <c r="GI4753"/>
      <c r="GJ4753"/>
      <c r="GK4753"/>
      <c r="GL4753"/>
      <c r="GM4753"/>
      <c r="GN4753"/>
      <c r="GO4753"/>
    </row>
    <row r="4754" spans="107:197">
      <c r="DC4754"/>
      <c r="FH4754"/>
      <c r="FI4754"/>
      <c r="FJ4754"/>
      <c r="FK4754"/>
      <c r="FL4754"/>
      <c r="FM4754"/>
      <c r="FN4754"/>
      <c r="FO4754"/>
      <c r="FP4754"/>
      <c r="FQ4754"/>
      <c r="FR4754"/>
      <c r="FS4754"/>
      <c r="FT4754"/>
      <c r="FU4754"/>
      <c r="FV4754"/>
      <c r="FW4754"/>
      <c r="FX4754"/>
      <c r="FY4754"/>
      <c r="FZ4754"/>
      <c r="GA4754"/>
      <c r="GB4754"/>
      <c r="GC4754"/>
      <c r="GD4754"/>
      <c r="GE4754"/>
      <c r="GF4754"/>
      <c r="GG4754"/>
      <c r="GH4754"/>
      <c r="GI4754"/>
      <c r="GJ4754"/>
      <c r="GK4754"/>
      <c r="GL4754"/>
      <c r="GM4754"/>
      <c r="GN4754"/>
      <c r="GO4754"/>
    </row>
    <row r="4755" spans="107:197">
      <c r="DC4755"/>
      <c r="FH4755"/>
      <c r="FI4755"/>
      <c r="FJ4755"/>
      <c r="FK4755"/>
      <c r="FL4755"/>
      <c r="FM4755"/>
      <c r="FN4755"/>
      <c r="FO4755"/>
      <c r="FP4755"/>
      <c r="FQ4755"/>
      <c r="FR4755"/>
      <c r="FS4755"/>
      <c r="FT4755"/>
      <c r="FU4755"/>
      <c r="FV4755"/>
      <c r="FW4755"/>
      <c r="FX4755"/>
      <c r="FY4755"/>
      <c r="FZ4755"/>
      <c r="GA4755"/>
      <c r="GB4755"/>
      <c r="GC4755"/>
      <c r="GD4755"/>
      <c r="GE4755"/>
      <c r="GF4755"/>
      <c r="GG4755"/>
      <c r="GH4755"/>
      <c r="GI4755"/>
      <c r="GJ4755"/>
      <c r="GK4755"/>
      <c r="GL4755"/>
      <c r="GM4755"/>
      <c r="GN4755"/>
      <c r="GO4755"/>
    </row>
    <row r="4756" spans="107:197">
      <c r="DC4756"/>
      <c r="FH4756"/>
      <c r="FI4756"/>
      <c r="FJ4756"/>
      <c r="FK4756"/>
      <c r="FL4756"/>
      <c r="FM4756"/>
      <c r="FN4756"/>
      <c r="FO4756"/>
      <c r="FP4756"/>
      <c r="FQ4756"/>
      <c r="FR4756"/>
      <c r="FS4756"/>
      <c r="FT4756"/>
      <c r="FU4756"/>
      <c r="FV4756"/>
      <c r="FW4756"/>
      <c r="FX4756"/>
      <c r="FY4756"/>
      <c r="FZ4756"/>
      <c r="GA4756"/>
      <c r="GB4756"/>
      <c r="GC4756"/>
      <c r="GD4756"/>
      <c r="GE4756"/>
      <c r="GF4756"/>
      <c r="GG4756"/>
      <c r="GH4756"/>
      <c r="GI4756"/>
      <c r="GJ4756"/>
      <c r="GK4756"/>
      <c r="GL4756"/>
      <c r="GM4756"/>
      <c r="GN4756"/>
      <c r="GO4756"/>
    </row>
    <row r="4757" spans="107:197">
      <c r="DC4757"/>
      <c r="FH4757"/>
      <c r="FI4757"/>
      <c r="FJ4757"/>
      <c r="FK4757"/>
      <c r="FL4757"/>
      <c r="FM4757"/>
      <c r="FN4757"/>
      <c r="FO4757"/>
      <c r="FP4757"/>
      <c r="FQ4757"/>
      <c r="FR4757"/>
      <c r="FS4757"/>
      <c r="FT4757"/>
      <c r="FU4757"/>
      <c r="FV4757"/>
      <c r="FW4757"/>
      <c r="FX4757"/>
      <c r="FY4757"/>
      <c r="FZ4757"/>
      <c r="GA4757"/>
      <c r="GB4757"/>
      <c r="GC4757"/>
      <c r="GD4757"/>
      <c r="GE4757"/>
      <c r="GF4757"/>
      <c r="GG4757"/>
      <c r="GH4757"/>
      <c r="GI4757"/>
      <c r="GJ4757"/>
      <c r="GK4757"/>
      <c r="GL4757"/>
      <c r="GM4757"/>
      <c r="GN4757"/>
      <c r="GO4757"/>
    </row>
    <row r="4758" spans="107:197">
      <c r="DC4758"/>
      <c r="FH4758"/>
      <c r="FI4758"/>
      <c r="FJ4758"/>
      <c r="FK4758"/>
      <c r="FL4758"/>
      <c r="FM4758"/>
      <c r="FN4758"/>
      <c r="FO4758"/>
      <c r="FP4758"/>
      <c r="FQ4758"/>
      <c r="FR4758"/>
      <c r="FS4758"/>
      <c r="FT4758"/>
      <c r="FU4758"/>
      <c r="FV4758"/>
      <c r="FW4758"/>
      <c r="FX4758"/>
      <c r="FY4758"/>
      <c r="FZ4758"/>
      <c r="GA4758"/>
      <c r="GB4758"/>
      <c r="GC4758"/>
      <c r="GD4758"/>
      <c r="GE4758"/>
      <c r="GF4758"/>
      <c r="GG4758"/>
      <c r="GH4758"/>
      <c r="GI4758"/>
      <c r="GJ4758"/>
      <c r="GK4758"/>
      <c r="GL4758"/>
      <c r="GM4758"/>
      <c r="GN4758"/>
      <c r="GO4758"/>
    </row>
    <row r="4759" spans="107:197">
      <c r="DC4759"/>
      <c r="FH4759"/>
      <c r="FI4759"/>
      <c r="FJ4759"/>
      <c r="FK4759"/>
      <c r="FL4759"/>
      <c r="FM4759"/>
      <c r="FN4759"/>
      <c r="FO4759"/>
      <c r="FP4759"/>
      <c r="FQ4759"/>
      <c r="FR4759"/>
      <c r="FS4759"/>
      <c r="FT4759"/>
      <c r="FU4759"/>
      <c r="FV4759"/>
      <c r="FW4759"/>
      <c r="FX4759"/>
      <c r="FY4759"/>
      <c r="FZ4759"/>
      <c r="GA4759"/>
      <c r="GB4759"/>
      <c r="GC4759"/>
      <c r="GD4759"/>
      <c r="GE4759"/>
      <c r="GF4759"/>
      <c r="GG4759"/>
      <c r="GH4759"/>
      <c r="GI4759"/>
      <c r="GJ4759"/>
      <c r="GK4759"/>
      <c r="GL4759"/>
      <c r="GM4759"/>
      <c r="GN4759"/>
      <c r="GO4759"/>
    </row>
    <row r="4760" spans="107:197">
      <c r="DC4760"/>
      <c r="FH4760"/>
      <c r="FI4760"/>
      <c r="FJ4760"/>
      <c r="FK4760"/>
      <c r="FL4760"/>
      <c r="FM4760"/>
      <c r="FN4760"/>
      <c r="FO4760"/>
      <c r="FP4760"/>
      <c r="FQ4760"/>
      <c r="FR4760"/>
      <c r="FS4760"/>
      <c r="FT4760"/>
      <c r="FU4760"/>
      <c r="FV4760"/>
      <c r="FW4760"/>
      <c r="FX4760"/>
      <c r="FY4760"/>
      <c r="FZ4760"/>
      <c r="GA4760"/>
      <c r="GB4760"/>
      <c r="GC4760"/>
      <c r="GD4760"/>
      <c r="GE4760"/>
      <c r="GF4760"/>
      <c r="GG4760"/>
      <c r="GH4760"/>
      <c r="GI4760"/>
      <c r="GJ4760"/>
      <c r="GK4760"/>
      <c r="GL4760"/>
      <c r="GM4760"/>
      <c r="GN4760"/>
      <c r="GO4760"/>
    </row>
    <row r="4761" spans="107:197">
      <c r="DC4761"/>
      <c r="FH4761"/>
      <c r="FI4761"/>
      <c r="FJ4761"/>
      <c r="FK4761"/>
      <c r="FL4761"/>
      <c r="FM4761"/>
      <c r="FN4761"/>
      <c r="FO4761"/>
      <c r="FP4761"/>
      <c r="FQ4761"/>
      <c r="FR4761"/>
      <c r="FS4761"/>
      <c r="FT4761"/>
      <c r="FU4761"/>
      <c r="FV4761"/>
      <c r="FW4761"/>
      <c r="FX4761"/>
      <c r="FY4761"/>
      <c r="FZ4761"/>
      <c r="GA4761"/>
      <c r="GB4761"/>
      <c r="GC4761"/>
      <c r="GD4761"/>
      <c r="GE4761"/>
      <c r="GF4761"/>
      <c r="GG4761"/>
      <c r="GH4761"/>
      <c r="GI4761"/>
      <c r="GJ4761"/>
      <c r="GK4761"/>
      <c r="GL4761"/>
      <c r="GM4761"/>
      <c r="GN4761"/>
      <c r="GO4761"/>
    </row>
    <row r="4762" spans="107:197">
      <c r="DC4762"/>
      <c r="FH4762"/>
      <c r="FI4762"/>
      <c r="FJ4762"/>
      <c r="FK4762"/>
      <c r="FL4762"/>
      <c r="FM4762"/>
      <c r="FN4762"/>
      <c r="FO4762"/>
      <c r="FP4762"/>
      <c r="FQ4762"/>
      <c r="FR4762"/>
      <c r="FS4762"/>
      <c r="FT4762"/>
      <c r="FU4762"/>
      <c r="FV4762"/>
      <c r="FW4762"/>
      <c r="FX4762"/>
      <c r="FY4762"/>
      <c r="FZ4762"/>
      <c r="GA4762"/>
      <c r="GB4762"/>
      <c r="GC4762"/>
      <c r="GD4762"/>
      <c r="GE4762"/>
      <c r="GF4762"/>
      <c r="GG4762"/>
      <c r="GH4762"/>
      <c r="GI4762"/>
      <c r="GJ4762"/>
      <c r="GK4762"/>
      <c r="GL4762"/>
      <c r="GM4762"/>
      <c r="GN4762"/>
      <c r="GO4762"/>
    </row>
    <row r="4763" spans="107:197">
      <c r="DC4763"/>
      <c r="FH4763"/>
      <c r="FI4763"/>
      <c r="FJ4763"/>
      <c r="FK4763"/>
      <c r="FL4763"/>
      <c r="FM4763"/>
      <c r="FN4763"/>
      <c r="FO4763"/>
      <c r="FP4763"/>
      <c r="FQ4763"/>
      <c r="FR4763"/>
      <c r="FS4763"/>
      <c r="FT4763"/>
      <c r="FU4763"/>
      <c r="FV4763"/>
      <c r="FW4763"/>
      <c r="FX4763"/>
      <c r="FY4763"/>
      <c r="FZ4763"/>
      <c r="GA4763"/>
      <c r="GB4763"/>
      <c r="GC4763"/>
      <c r="GD4763"/>
      <c r="GE4763"/>
      <c r="GF4763"/>
      <c r="GG4763"/>
      <c r="GH4763"/>
      <c r="GI4763"/>
      <c r="GJ4763"/>
      <c r="GK4763"/>
      <c r="GL4763"/>
      <c r="GM4763"/>
      <c r="GN4763"/>
      <c r="GO4763"/>
    </row>
    <row r="4764" spans="107:197">
      <c r="DC4764"/>
      <c r="FH4764"/>
      <c r="FI4764"/>
      <c r="FJ4764"/>
      <c r="FK4764"/>
      <c r="FL4764"/>
      <c r="FM4764"/>
      <c r="FN4764"/>
      <c r="FO4764"/>
      <c r="FP4764"/>
      <c r="FQ4764"/>
      <c r="FR4764"/>
      <c r="FS4764"/>
      <c r="FT4764"/>
      <c r="FU4764"/>
      <c r="FV4764"/>
      <c r="FW4764"/>
      <c r="FX4764"/>
      <c r="FY4764"/>
      <c r="FZ4764"/>
      <c r="GA4764"/>
      <c r="GB4764"/>
      <c r="GC4764"/>
      <c r="GD4764"/>
      <c r="GE4764"/>
      <c r="GF4764"/>
      <c r="GG4764"/>
      <c r="GH4764"/>
      <c r="GI4764"/>
      <c r="GJ4764"/>
      <c r="GK4764"/>
      <c r="GL4764"/>
      <c r="GM4764"/>
      <c r="GN4764"/>
      <c r="GO4764"/>
    </row>
    <row r="4765" spans="107:197">
      <c r="DC4765"/>
      <c r="FH4765"/>
      <c r="FI4765"/>
      <c r="FJ4765"/>
      <c r="FK4765"/>
      <c r="FL4765"/>
      <c r="FM4765"/>
      <c r="FN4765"/>
      <c r="FO4765"/>
      <c r="FP4765"/>
      <c r="FQ4765"/>
      <c r="FR4765"/>
      <c r="FS4765"/>
      <c r="FT4765"/>
      <c r="FU4765"/>
      <c r="FV4765"/>
      <c r="FW4765"/>
      <c r="FX4765"/>
      <c r="FY4765"/>
      <c r="FZ4765"/>
      <c r="GA4765"/>
      <c r="GB4765"/>
      <c r="GC4765"/>
      <c r="GD4765"/>
      <c r="GE4765"/>
      <c r="GF4765"/>
      <c r="GG4765"/>
      <c r="GH4765"/>
      <c r="GI4765"/>
      <c r="GJ4765"/>
      <c r="GK4765"/>
      <c r="GL4765"/>
      <c r="GM4765"/>
      <c r="GN4765"/>
      <c r="GO4765"/>
    </row>
    <row r="4766" spans="107:197">
      <c r="DC4766"/>
      <c r="FH4766"/>
      <c r="FI4766"/>
      <c r="FJ4766"/>
      <c r="FK4766"/>
      <c r="FL4766"/>
      <c r="FM4766"/>
      <c r="FN4766"/>
      <c r="FO4766"/>
      <c r="FP4766"/>
      <c r="FQ4766"/>
      <c r="FR4766"/>
      <c r="FS4766"/>
      <c r="FT4766"/>
      <c r="FU4766"/>
      <c r="FV4766"/>
      <c r="FW4766"/>
      <c r="FX4766"/>
      <c r="FY4766"/>
      <c r="FZ4766"/>
      <c r="GA4766"/>
      <c r="GB4766"/>
      <c r="GC4766"/>
      <c r="GD4766"/>
      <c r="GE4766"/>
      <c r="GF4766"/>
      <c r="GG4766"/>
      <c r="GH4766"/>
      <c r="GI4766"/>
      <c r="GJ4766"/>
      <c r="GK4766"/>
      <c r="GL4766"/>
      <c r="GM4766"/>
      <c r="GN4766"/>
      <c r="GO4766"/>
    </row>
    <row r="4767" spans="107:197">
      <c r="DC4767"/>
      <c r="FH4767"/>
      <c r="FI4767"/>
      <c r="FJ4767"/>
      <c r="FK4767"/>
      <c r="FL4767"/>
      <c r="FM4767"/>
      <c r="FN4767"/>
      <c r="FO4767"/>
      <c r="FP4767"/>
      <c r="FQ4767"/>
      <c r="FR4767"/>
      <c r="FS4767"/>
      <c r="FT4767"/>
      <c r="FU4767"/>
      <c r="FV4767"/>
      <c r="FW4767"/>
      <c r="FX4767"/>
      <c r="FY4767"/>
      <c r="FZ4767"/>
      <c r="GA4767"/>
      <c r="GB4767"/>
      <c r="GC4767"/>
      <c r="GD4767"/>
      <c r="GE4767"/>
      <c r="GF4767"/>
      <c r="GG4767"/>
      <c r="GH4767"/>
      <c r="GI4767"/>
      <c r="GJ4767"/>
      <c r="GK4767"/>
      <c r="GL4767"/>
      <c r="GM4767"/>
      <c r="GN4767"/>
      <c r="GO4767"/>
    </row>
    <row r="4768" spans="107:197">
      <c r="DC4768"/>
      <c r="FH4768"/>
      <c r="FI4768"/>
      <c r="FJ4768"/>
      <c r="FK4768"/>
      <c r="FL4768"/>
      <c r="FM4768"/>
      <c r="FN4768"/>
      <c r="FO4768"/>
      <c r="FP4768"/>
      <c r="FQ4768"/>
      <c r="FR4768"/>
      <c r="FS4768"/>
      <c r="FT4768"/>
      <c r="FU4768"/>
      <c r="FV4768"/>
      <c r="FW4768"/>
      <c r="FX4768"/>
      <c r="FY4768"/>
      <c r="FZ4768"/>
      <c r="GA4768"/>
      <c r="GB4768"/>
      <c r="GC4768"/>
      <c r="GD4768"/>
      <c r="GE4768"/>
      <c r="GF4768"/>
      <c r="GG4768"/>
      <c r="GH4768"/>
      <c r="GI4768"/>
      <c r="GJ4768"/>
      <c r="GK4768"/>
      <c r="GL4768"/>
      <c r="GM4768"/>
      <c r="GN4768"/>
      <c r="GO4768"/>
    </row>
    <row r="4769" spans="107:197">
      <c r="DC4769"/>
      <c r="FH4769"/>
      <c r="FI4769"/>
      <c r="FJ4769"/>
      <c r="FK4769"/>
      <c r="FL4769"/>
      <c r="FM4769"/>
      <c r="FN4769"/>
      <c r="FO4769"/>
      <c r="FP4769"/>
      <c r="FQ4769"/>
      <c r="FR4769"/>
      <c r="FS4769"/>
      <c r="FT4769"/>
      <c r="FU4769"/>
      <c r="FV4769"/>
      <c r="FW4769"/>
      <c r="FX4769"/>
      <c r="FY4769"/>
      <c r="FZ4769"/>
      <c r="GA4769"/>
      <c r="GB4769"/>
      <c r="GC4769"/>
      <c r="GD4769"/>
      <c r="GE4769"/>
      <c r="GF4769"/>
      <c r="GG4769"/>
      <c r="GH4769"/>
      <c r="GI4769"/>
      <c r="GJ4769"/>
      <c r="GK4769"/>
      <c r="GL4769"/>
      <c r="GM4769"/>
      <c r="GN4769"/>
      <c r="GO4769"/>
    </row>
    <row r="4770" spans="107:197">
      <c r="DC4770"/>
      <c r="FH4770"/>
      <c r="FI4770"/>
      <c r="FJ4770"/>
      <c r="FK4770"/>
      <c r="FL4770"/>
      <c r="FM4770"/>
      <c r="FN4770"/>
      <c r="FO4770"/>
      <c r="FP4770"/>
      <c r="FQ4770"/>
      <c r="FR4770"/>
      <c r="FS4770"/>
      <c r="FT4770"/>
      <c r="FU4770"/>
      <c r="FV4770"/>
      <c r="FW4770"/>
      <c r="FX4770"/>
      <c r="FY4770"/>
      <c r="FZ4770"/>
      <c r="GA4770"/>
      <c r="GB4770"/>
      <c r="GC4770"/>
      <c r="GD4770"/>
      <c r="GE4770"/>
      <c r="GF4770"/>
      <c r="GG4770"/>
      <c r="GH4770"/>
      <c r="GI4770"/>
      <c r="GJ4770"/>
      <c r="GK4770"/>
      <c r="GL4770"/>
      <c r="GM4770"/>
      <c r="GN4770"/>
      <c r="GO4770"/>
    </row>
    <row r="4771" spans="107:197">
      <c r="DC4771"/>
      <c r="FH4771"/>
      <c r="FI4771"/>
      <c r="FJ4771"/>
      <c r="FK4771"/>
      <c r="FL4771"/>
      <c r="FM4771"/>
      <c r="FN4771"/>
      <c r="FO4771"/>
      <c r="FP4771"/>
      <c r="FQ4771"/>
      <c r="FR4771"/>
      <c r="FS4771"/>
      <c r="FT4771"/>
      <c r="FU4771"/>
      <c r="FV4771"/>
      <c r="FW4771"/>
      <c r="FX4771"/>
      <c r="FY4771"/>
      <c r="FZ4771"/>
      <c r="GA4771"/>
      <c r="GB4771"/>
      <c r="GC4771"/>
      <c r="GD4771"/>
      <c r="GE4771"/>
      <c r="GF4771"/>
      <c r="GG4771"/>
      <c r="GH4771"/>
      <c r="GI4771"/>
      <c r="GJ4771"/>
      <c r="GK4771"/>
      <c r="GL4771"/>
      <c r="GM4771"/>
      <c r="GN4771"/>
      <c r="GO4771"/>
    </row>
    <row r="4772" spans="107:197">
      <c r="DC4772"/>
      <c r="FH4772"/>
      <c r="FI4772"/>
      <c r="FJ4772"/>
      <c r="FK4772"/>
      <c r="FL4772"/>
      <c r="FM4772"/>
      <c r="FN4772"/>
      <c r="FO4772"/>
      <c r="FP4772"/>
      <c r="FQ4772"/>
      <c r="FR4772"/>
      <c r="FS4772"/>
      <c r="FT4772"/>
      <c r="FU4772"/>
      <c r="FV4772"/>
      <c r="FW4772"/>
      <c r="FX4772"/>
      <c r="FY4772"/>
      <c r="FZ4772"/>
      <c r="GA4772"/>
      <c r="GB4772"/>
      <c r="GC4772"/>
      <c r="GD4772"/>
      <c r="GE4772"/>
      <c r="GF4772"/>
      <c r="GG4772"/>
      <c r="GH4772"/>
      <c r="GI4772"/>
      <c r="GJ4772"/>
      <c r="GK4772"/>
      <c r="GL4772"/>
      <c r="GM4772"/>
      <c r="GN4772"/>
      <c r="GO4772"/>
    </row>
    <row r="4773" spans="107:197">
      <c r="DC4773"/>
      <c r="FH4773"/>
      <c r="FI4773"/>
      <c r="FJ4773"/>
      <c r="FK4773"/>
      <c r="FL4773"/>
      <c r="FM4773"/>
      <c r="FN4773"/>
      <c r="FO4773"/>
      <c r="FP4773"/>
      <c r="FQ4773"/>
      <c r="FR4773"/>
      <c r="FS4773"/>
      <c r="FT4773"/>
      <c r="FU4773"/>
      <c r="FV4773"/>
      <c r="FW4773"/>
      <c r="FX4773"/>
      <c r="FY4773"/>
      <c r="FZ4773"/>
      <c r="GA4773"/>
      <c r="GB4773"/>
      <c r="GC4773"/>
      <c r="GD4773"/>
      <c r="GE4773"/>
      <c r="GF4773"/>
      <c r="GG4773"/>
      <c r="GH4773"/>
      <c r="GI4773"/>
      <c r="GJ4773"/>
      <c r="GK4773"/>
      <c r="GL4773"/>
      <c r="GM4773"/>
      <c r="GN4773"/>
      <c r="GO4773"/>
    </row>
    <row r="4774" spans="107:197">
      <c r="DC4774"/>
      <c r="FH4774"/>
      <c r="FI4774"/>
      <c r="FJ4774"/>
      <c r="FK4774"/>
      <c r="FL4774"/>
      <c r="FM4774"/>
      <c r="FN4774"/>
      <c r="FO4774"/>
      <c r="FP4774"/>
      <c r="FQ4774"/>
      <c r="FR4774"/>
      <c r="FS4774"/>
      <c r="FT4774"/>
      <c r="FU4774"/>
      <c r="FV4774"/>
      <c r="FW4774"/>
      <c r="FX4774"/>
      <c r="FY4774"/>
      <c r="FZ4774"/>
      <c r="GA4774"/>
      <c r="GB4774"/>
      <c r="GC4774"/>
      <c r="GD4774"/>
      <c r="GE4774"/>
      <c r="GF4774"/>
      <c r="GG4774"/>
      <c r="GH4774"/>
      <c r="GI4774"/>
      <c r="GJ4774"/>
      <c r="GK4774"/>
      <c r="GL4774"/>
      <c r="GM4774"/>
      <c r="GN4774"/>
      <c r="GO4774"/>
    </row>
    <row r="4775" spans="107:197">
      <c r="DC4775"/>
      <c r="FH4775"/>
      <c r="FI4775"/>
      <c r="FJ4775"/>
      <c r="FK4775"/>
      <c r="FL4775"/>
      <c r="FM4775"/>
      <c r="FN4775"/>
      <c r="FO4775"/>
      <c r="FP4775"/>
      <c r="FQ4775"/>
      <c r="FR4775"/>
      <c r="FS4775"/>
      <c r="FT4775"/>
      <c r="FU4775"/>
      <c r="FV4775"/>
      <c r="FW4775"/>
      <c r="FX4775"/>
      <c r="FY4775"/>
      <c r="FZ4775"/>
      <c r="GA4775"/>
      <c r="GB4775"/>
      <c r="GC4775"/>
      <c r="GD4775"/>
      <c r="GE4775"/>
      <c r="GF4775"/>
      <c r="GG4775"/>
      <c r="GH4775"/>
      <c r="GI4775"/>
      <c r="GJ4775"/>
      <c r="GK4775"/>
      <c r="GL4775"/>
      <c r="GM4775"/>
      <c r="GN4775"/>
      <c r="GO4775"/>
    </row>
    <row r="4776" spans="107:197">
      <c r="DC4776"/>
      <c r="FH4776"/>
      <c r="FI4776"/>
      <c r="FJ4776"/>
      <c r="FK4776"/>
      <c r="FL4776"/>
      <c r="FM4776"/>
      <c r="FN4776"/>
      <c r="FO4776"/>
      <c r="FP4776"/>
      <c r="FQ4776"/>
      <c r="FR4776"/>
      <c r="FS4776"/>
      <c r="FT4776"/>
      <c r="FU4776"/>
      <c r="FV4776"/>
      <c r="FW4776"/>
      <c r="FX4776"/>
      <c r="FY4776"/>
      <c r="FZ4776"/>
      <c r="GA4776"/>
      <c r="GB4776"/>
      <c r="GC4776"/>
      <c r="GD4776"/>
      <c r="GE4776"/>
      <c r="GF4776"/>
      <c r="GG4776"/>
      <c r="GH4776"/>
      <c r="GI4776"/>
      <c r="GJ4776"/>
      <c r="GK4776"/>
      <c r="GL4776"/>
      <c r="GM4776"/>
      <c r="GN4776"/>
      <c r="GO4776"/>
    </row>
    <row r="4777" spans="107:197">
      <c r="DC4777"/>
      <c r="FH4777"/>
      <c r="FI4777"/>
      <c r="FJ4777"/>
      <c r="FK4777"/>
      <c r="FL4777"/>
      <c r="FM4777"/>
      <c r="FN4777"/>
      <c r="FO4777"/>
      <c r="FP4777"/>
      <c r="FQ4777"/>
      <c r="FR4777"/>
      <c r="FS4777"/>
      <c r="FT4777"/>
      <c r="FU4777"/>
      <c r="FV4777"/>
      <c r="FW4777"/>
      <c r="FX4777"/>
      <c r="FY4777"/>
      <c r="FZ4777"/>
      <c r="GA4777"/>
      <c r="GB4777"/>
      <c r="GC4777"/>
      <c r="GD4777"/>
      <c r="GE4777"/>
      <c r="GF4777"/>
      <c r="GG4777"/>
      <c r="GH4777"/>
      <c r="GI4777"/>
      <c r="GJ4777"/>
      <c r="GK4777"/>
      <c r="GL4777"/>
      <c r="GM4777"/>
      <c r="GN4777"/>
      <c r="GO4777"/>
    </row>
    <row r="4778" spans="107:197">
      <c r="DC4778"/>
      <c r="FH4778"/>
      <c r="FI4778"/>
      <c r="FJ4778"/>
      <c r="FK4778"/>
      <c r="FL4778"/>
      <c r="FM4778"/>
      <c r="FN4778"/>
      <c r="FO4778"/>
      <c r="FP4778"/>
      <c r="FQ4778"/>
      <c r="FR4778"/>
      <c r="FS4778"/>
      <c r="FT4778"/>
      <c r="FU4778"/>
      <c r="FV4778"/>
      <c r="FW4778"/>
      <c r="FX4778"/>
      <c r="FY4778"/>
      <c r="FZ4778"/>
      <c r="GA4778"/>
      <c r="GB4778"/>
      <c r="GC4778"/>
      <c r="GD4778"/>
      <c r="GE4778"/>
      <c r="GF4778"/>
      <c r="GG4778"/>
      <c r="GH4778"/>
      <c r="GI4778"/>
      <c r="GJ4778"/>
      <c r="GK4778"/>
      <c r="GL4778"/>
      <c r="GM4778"/>
      <c r="GN4778"/>
      <c r="GO4778"/>
    </row>
    <row r="4779" spans="107:197">
      <c r="DC4779"/>
      <c r="FH4779"/>
      <c r="FI4779"/>
      <c r="FJ4779"/>
      <c r="FK4779"/>
      <c r="FL4779"/>
      <c r="FM4779"/>
      <c r="FN4779"/>
      <c r="FO4779"/>
      <c r="FP4779"/>
      <c r="FQ4779"/>
      <c r="FR4779"/>
      <c r="FS4779"/>
      <c r="FT4779"/>
      <c r="FU4779"/>
      <c r="FV4779"/>
      <c r="FW4779"/>
      <c r="FX4779"/>
      <c r="FY4779"/>
      <c r="FZ4779"/>
      <c r="GA4779"/>
      <c r="GB4779"/>
      <c r="GC4779"/>
      <c r="GD4779"/>
      <c r="GE4779"/>
      <c r="GF4779"/>
      <c r="GG4779"/>
      <c r="GH4779"/>
      <c r="GI4779"/>
      <c r="GJ4779"/>
      <c r="GK4779"/>
      <c r="GL4779"/>
      <c r="GM4779"/>
      <c r="GN4779"/>
      <c r="GO4779"/>
    </row>
    <row r="4780" spans="107:197">
      <c r="DC4780"/>
      <c r="FH4780"/>
      <c r="FI4780"/>
      <c r="FJ4780"/>
      <c r="FK4780"/>
      <c r="FL4780"/>
      <c r="FM4780"/>
      <c r="FN4780"/>
      <c r="FO4780"/>
      <c r="FP4780"/>
      <c r="FQ4780"/>
      <c r="FR4780"/>
      <c r="FS4780"/>
      <c r="FT4780"/>
      <c r="FU4780"/>
      <c r="FV4780"/>
      <c r="FW4780"/>
      <c r="FX4780"/>
      <c r="FY4780"/>
      <c r="FZ4780"/>
      <c r="GA4780"/>
      <c r="GB4780"/>
      <c r="GC4780"/>
      <c r="GD4780"/>
      <c r="GE4780"/>
      <c r="GF4780"/>
      <c r="GG4780"/>
      <c r="GH4780"/>
      <c r="GI4780"/>
      <c r="GJ4780"/>
      <c r="GK4780"/>
      <c r="GL4780"/>
      <c r="GM4780"/>
      <c r="GN4780"/>
      <c r="GO4780"/>
    </row>
    <row r="4781" spans="107:197">
      <c r="DC4781"/>
      <c r="FH4781"/>
      <c r="FI4781"/>
      <c r="FJ4781"/>
      <c r="FK4781"/>
      <c r="FL4781"/>
      <c r="FM4781"/>
      <c r="FN4781"/>
      <c r="FO4781"/>
      <c r="FP4781"/>
      <c r="FQ4781"/>
      <c r="FR4781"/>
      <c r="FS4781"/>
      <c r="FT4781"/>
      <c r="FU4781"/>
      <c r="FV4781"/>
      <c r="FW4781"/>
      <c r="FX4781"/>
      <c r="FY4781"/>
      <c r="FZ4781"/>
      <c r="GA4781"/>
      <c r="GB4781"/>
      <c r="GC4781"/>
      <c r="GD4781"/>
      <c r="GE4781"/>
      <c r="GF4781"/>
      <c r="GG4781"/>
      <c r="GH4781"/>
      <c r="GI4781"/>
      <c r="GJ4781"/>
      <c r="GK4781"/>
      <c r="GL4781"/>
      <c r="GM4781"/>
      <c r="GN4781"/>
      <c r="GO4781"/>
    </row>
    <row r="4782" spans="107:197">
      <c r="DC4782"/>
      <c r="FH4782"/>
      <c r="FI4782"/>
      <c r="FJ4782"/>
      <c r="FK4782"/>
      <c r="FL4782"/>
      <c r="FM4782"/>
      <c r="FN4782"/>
      <c r="FO4782"/>
      <c r="FP4782"/>
      <c r="FQ4782"/>
      <c r="FR4782"/>
      <c r="FS4782"/>
      <c r="FT4782"/>
      <c r="FU4782"/>
      <c r="FV4782"/>
      <c r="FW4782"/>
      <c r="FX4782"/>
      <c r="FY4782"/>
      <c r="FZ4782"/>
      <c r="GA4782"/>
      <c r="GB4782"/>
      <c r="GC4782"/>
      <c r="GD4782"/>
      <c r="GE4782"/>
      <c r="GF4782"/>
      <c r="GG4782"/>
      <c r="GH4782"/>
      <c r="GI4782"/>
      <c r="GJ4782"/>
      <c r="GK4782"/>
      <c r="GL4782"/>
      <c r="GM4782"/>
      <c r="GN4782"/>
      <c r="GO4782"/>
    </row>
    <row r="4783" spans="107:197">
      <c r="DC4783"/>
      <c r="FH4783"/>
      <c r="FI4783"/>
      <c r="FJ4783"/>
      <c r="FK4783"/>
      <c r="FL4783"/>
      <c r="FM4783"/>
      <c r="FN4783"/>
      <c r="FO4783"/>
      <c r="FP4783"/>
      <c r="FQ4783"/>
      <c r="FR4783"/>
      <c r="FS4783"/>
      <c r="FT4783"/>
      <c r="FU4783"/>
      <c r="FV4783"/>
      <c r="FW4783"/>
      <c r="FX4783"/>
      <c r="FY4783"/>
      <c r="FZ4783"/>
      <c r="GA4783"/>
      <c r="GB4783"/>
      <c r="GC4783"/>
      <c r="GD4783"/>
      <c r="GE4783"/>
      <c r="GF4783"/>
      <c r="GG4783"/>
      <c r="GH4783"/>
      <c r="GI4783"/>
      <c r="GJ4783"/>
      <c r="GK4783"/>
      <c r="GL4783"/>
      <c r="GM4783"/>
      <c r="GN4783"/>
      <c r="GO4783"/>
    </row>
    <row r="4784" spans="107:197">
      <c r="DC4784"/>
      <c r="FH4784"/>
      <c r="FI4784"/>
      <c r="FJ4784"/>
      <c r="FK4784"/>
      <c r="FL4784"/>
      <c r="FM4784"/>
      <c r="FN4784"/>
      <c r="FO4784"/>
      <c r="FP4784"/>
      <c r="FQ4784"/>
      <c r="FR4784"/>
      <c r="FS4784"/>
      <c r="FT4784"/>
      <c r="FU4784"/>
      <c r="FV4784"/>
      <c r="FW4784"/>
      <c r="FX4784"/>
      <c r="FY4784"/>
      <c r="FZ4784"/>
      <c r="GA4784"/>
      <c r="GB4784"/>
      <c r="GC4784"/>
      <c r="GD4784"/>
      <c r="GE4784"/>
      <c r="GF4784"/>
      <c r="GG4784"/>
      <c r="GH4784"/>
      <c r="GI4784"/>
      <c r="GJ4784"/>
      <c r="GK4784"/>
      <c r="GL4784"/>
      <c r="GM4784"/>
      <c r="GN4784"/>
      <c r="GO4784"/>
    </row>
    <row r="4785" spans="107:197">
      <c r="DC4785"/>
      <c r="FH4785"/>
      <c r="FI4785"/>
      <c r="FJ4785"/>
      <c r="FK4785"/>
      <c r="FL4785"/>
      <c r="FM4785"/>
      <c r="FN4785"/>
      <c r="FO4785"/>
      <c r="FP4785"/>
      <c r="FQ4785"/>
      <c r="FR4785"/>
      <c r="FS4785"/>
      <c r="FT4785"/>
      <c r="FU4785"/>
      <c r="FV4785"/>
      <c r="FW4785"/>
      <c r="FX4785"/>
      <c r="FY4785"/>
      <c r="FZ4785"/>
      <c r="GA4785"/>
      <c r="GB4785"/>
      <c r="GC4785"/>
      <c r="GD4785"/>
      <c r="GE4785"/>
      <c r="GF4785"/>
      <c r="GG4785"/>
      <c r="GH4785"/>
      <c r="GI4785"/>
      <c r="GJ4785"/>
      <c r="GK4785"/>
      <c r="GL4785"/>
      <c r="GM4785"/>
      <c r="GN4785"/>
      <c r="GO4785"/>
    </row>
    <row r="4786" spans="107:197">
      <c r="DC4786"/>
      <c r="FH4786"/>
      <c r="FI4786"/>
      <c r="FJ4786"/>
      <c r="FK4786"/>
      <c r="FL4786"/>
      <c r="FM4786"/>
      <c r="FN4786"/>
      <c r="FO4786"/>
      <c r="FP4786"/>
      <c r="FQ4786"/>
      <c r="FR4786"/>
      <c r="FS4786"/>
      <c r="FT4786"/>
      <c r="FU4786"/>
      <c r="FV4786"/>
      <c r="FW4786"/>
      <c r="FX4786"/>
      <c r="FY4786"/>
      <c r="FZ4786"/>
      <c r="GA4786"/>
      <c r="GB4786"/>
      <c r="GC4786"/>
      <c r="GD4786"/>
      <c r="GE4786"/>
      <c r="GF4786"/>
      <c r="GG4786"/>
      <c r="GH4786"/>
      <c r="GI4786"/>
      <c r="GJ4786"/>
      <c r="GK4786"/>
      <c r="GL4786"/>
      <c r="GM4786"/>
      <c r="GN4786"/>
      <c r="GO4786"/>
    </row>
    <row r="4787" spans="107:197">
      <c r="DC4787"/>
      <c r="FH4787"/>
      <c r="FI4787"/>
      <c r="FJ4787"/>
      <c r="FK4787"/>
      <c r="FL4787"/>
      <c r="FM4787"/>
      <c r="FN4787"/>
      <c r="FO4787"/>
      <c r="FP4787"/>
      <c r="FQ4787"/>
      <c r="FR4787"/>
      <c r="FS4787"/>
      <c r="FT4787"/>
      <c r="FU4787"/>
      <c r="FV4787"/>
      <c r="FW4787"/>
      <c r="FX4787"/>
      <c r="FY4787"/>
      <c r="FZ4787"/>
      <c r="GA4787"/>
      <c r="GB4787"/>
      <c r="GC4787"/>
      <c r="GD4787"/>
      <c r="GE4787"/>
      <c r="GF4787"/>
      <c r="GG4787"/>
      <c r="GH4787"/>
      <c r="GI4787"/>
      <c r="GJ4787"/>
      <c r="GK4787"/>
      <c r="GL4787"/>
      <c r="GM4787"/>
      <c r="GN4787"/>
      <c r="GO4787"/>
    </row>
    <row r="4788" spans="107:197">
      <c r="DC4788"/>
      <c r="FH4788"/>
      <c r="FI4788"/>
      <c r="FJ4788"/>
      <c r="FK4788"/>
      <c r="FL4788"/>
      <c r="FM4788"/>
      <c r="FN4788"/>
      <c r="FO4788"/>
      <c r="FP4788"/>
      <c r="FQ4788"/>
      <c r="FR4788"/>
      <c r="FS4788"/>
      <c r="FT4788"/>
      <c r="FU4788"/>
      <c r="FV4788"/>
      <c r="FW4788"/>
      <c r="FX4788"/>
      <c r="FY4788"/>
      <c r="FZ4788"/>
      <c r="GA4788"/>
      <c r="GB4788"/>
      <c r="GC4788"/>
      <c r="GD4788"/>
      <c r="GE4788"/>
      <c r="GF4788"/>
      <c r="GG4788"/>
      <c r="GH4788"/>
      <c r="GI4788"/>
      <c r="GJ4788"/>
      <c r="GK4788"/>
      <c r="GL4788"/>
      <c r="GM4788"/>
      <c r="GN4788"/>
      <c r="GO4788"/>
    </row>
    <row r="4789" spans="107:197">
      <c r="DC4789"/>
      <c r="FH4789"/>
      <c r="FI4789"/>
      <c r="FJ4789"/>
      <c r="FK4789"/>
      <c r="FL4789"/>
      <c r="FM4789"/>
      <c r="FN4789"/>
      <c r="FO4789"/>
      <c r="FP4789"/>
      <c r="FQ4789"/>
      <c r="FR4789"/>
      <c r="FS4789"/>
      <c r="FT4789"/>
      <c r="FU4789"/>
      <c r="FV4789"/>
      <c r="FW4789"/>
      <c r="FX4789"/>
      <c r="FY4789"/>
      <c r="FZ4789"/>
      <c r="GA4789"/>
      <c r="GB4789"/>
      <c r="GC4789"/>
      <c r="GD4789"/>
      <c r="GE4789"/>
      <c r="GF4789"/>
      <c r="GG4789"/>
      <c r="GH4789"/>
      <c r="GI4789"/>
      <c r="GJ4789"/>
      <c r="GK4789"/>
      <c r="GL4789"/>
      <c r="GM4789"/>
      <c r="GN4789"/>
      <c r="GO4789"/>
    </row>
    <row r="4790" spans="107:197">
      <c r="DC4790"/>
      <c r="FH4790"/>
      <c r="FI4790"/>
      <c r="FJ4790"/>
      <c r="FK4790"/>
      <c r="FL4790"/>
      <c r="FM4790"/>
      <c r="FN4790"/>
      <c r="FO4790"/>
      <c r="FP4790"/>
      <c r="FQ4790"/>
      <c r="FR4790"/>
      <c r="FS4790"/>
      <c r="FT4790"/>
      <c r="FU4790"/>
      <c r="FV4790"/>
      <c r="FW4790"/>
      <c r="FX4790"/>
      <c r="FY4790"/>
      <c r="FZ4790"/>
      <c r="GA4790"/>
      <c r="GB4790"/>
      <c r="GC4790"/>
      <c r="GD4790"/>
      <c r="GE4790"/>
      <c r="GF4790"/>
      <c r="GG4790"/>
      <c r="GH4790"/>
      <c r="GI4790"/>
      <c r="GJ4790"/>
      <c r="GK4790"/>
      <c r="GL4790"/>
      <c r="GM4790"/>
      <c r="GN4790"/>
      <c r="GO4790"/>
    </row>
    <row r="4791" spans="107:197">
      <c r="DC4791"/>
      <c r="FH4791"/>
      <c r="FI4791"/>
      <c r="FJ4791"/>
      <c r="FK4791"/>
      <c r="FL4791"/>
      <c r="FM4791"/>
      <c r="FN4791"/>
      <c r="FO4791"/>
      <c r="FP4791"/>
      <c r="FQ4791"/>
      <c r="FR4791"/>
      <c r="FS4791"/>
      <c r="FT4791"/>
      <c r="FU4791"/>
      <c r="FV4791"/>
      <c r="FW4791"/>
      <c r="FX4791"/>
      <c r="FY4791"/>
      <c r="FZ4791"/>
      <c r="GA4791"/>
      <c r="GB4791"/>
      <c r="GC4791"/>
      <c r="GD4791"/>
      <c r="GE4791"/>
      <c r="GF4791"/>
      <c r="GG4791"/>
      <c r="GH4791"/>
      <c r="GI4791"/>
      <c r="GJ4791"/>
      <c r="GK4791"/>
      <c r="GL4791"/>
      <c r="GM4791"/>
      <c r="GN4791"/>
      <c r="GO4791"/>
    </row>
    <row r="4792" spans="107:197">
      <c r="DC4792"/>
      <c r="FH4792"/>
      <c r="FI4792"/>
      <c r="FJ4792"/>
      <c r="FK4792"/>
      <c r="FL4792"/>
      <c r="FM4792"/>
      <c r="FN4792"/>
      <c r="FO4792"/>
      <c r="FP4792"/>
      <c r="FQ4792"/>
      <c r="FR4792"/>
      <c r="FS4792"/>
      <c r="FT4792"/>
      <c r="FU4792"/>
      <c r="FV4792"/>
      <c r="FW4792"/>
      <c r="FX4792"/>
      <c r="FY4792"/>
      <c r="FZ4792"/>
      <c r="GA4792"/>
      <c r="GB4792"/>
      <c r="GC4792"/>
      <c r="GD4792"/>
      <c r="GE4792"/>
      <c r="GF4792"/>
      <c r="GG4792"/>
      <c r="GH4792"/>
      <c r="GI4792"/>
      <c r="GJ4792"/>
      <c r="GK4792"/>
      <c r="GL4792"/>
      <c r="GM4792"/>
      <c r="GN4792"/>
      <c r="GO4792"/>
    </row>
    <row r="4793" spans="107:197">
      <c r="DC4793"/>
      <c r="FH4793"/>
      <c r="FI4793"/>
      <c r="FJ4793"/>
      <c r="FK4793"/>
      <c r="FL4793"/>
      <c r="FM4793"/>
      <c r="FN4793"/>
      <c r="FO4793"/>
      <c r="FP4793"/>
      <c r="FQ4793"/>
      <c r="FR4793"/>
      <c r="FS4793"/>
      <c r="FT4793"/>
      <c r="FU4793"/>
      <c r="FV4793"/>
      <c r="FW4793"/>
      <c r="FX4793"/>
      <c r="FY4793"/>
      <c r="FZ4793"/>
      <c r="GA4793"/>
      <c r="GB4793"/>
      <c r="GC4793"/>
      <c r="GD4793"/>
      <c r="GE4793"/>
      <c r="GF4793"/>
      <c r="GG4793"/>
      <c r="GH4793"/>
      <c r="GI4793"/>
      <c r="GJ4793"/>
      <c r="GK4793"/>
      <c r="GL4793"/>
      <c r="GM4793"/>
      <c r="GN4793"/>
      <c r="GO4793"/>
    </row>
    <row r="4794" spans="107:197">
      <c r="DC4794"/>
      <c r="FH4794"/>
      <c r="FI4794"/>
      <c r="FJ4794"/>
      <c r="FK4794"/>
      <c r="FL4794"/>
      <c r="FM4794"/>
      <c r="FN4794"/>
      <c r="FO4794"/>
      <c r="FP4794"/>
      <c r="FQ4794"/>
      <c r="FR4794"/>
      <c r="FS4794"/>
      <c r="FT4794"/>
      <c r="FU4794"/>
      <c r="FV4794"/>
      <c r="FW4794"/>
      <c r="FX4794"/>
      <c r="FY4794"/>
      <c r="FZ4794"/>
      <c r="GA4794"/>
      <c r="GB4794"/>
      <c r="GC4794"/>
      <c r="GD4794"/>
      <c r="GE4794"/>
      <c r="GF4794"/>
      <c r="GG4794"/>
      <c r="GH4794"/>
      <c r="GI4794"/>
      <c r="GJ4794"/>
      <c r="GK4794"/>
      <c r="GL4794"/>
      <c r="GM4794"/>
      <c r="GN4794"/>
      <c r="GO4794"/>
    </row>
    <row r="4795" spans="107:197">
      <c r="DC4795"/>
      <c r="FH4795"/>
      <c r="FI4795"/>
      <c r="FJ4795"/>
      <c r="FK4795"/>
      <c r="FL4795"/>
      <c r="FM4795"/>
      <c r="FN4795"/>
      <c r="FO4795"/>
      <c r="FP4795"/>
      <c r="FQ4795"/>
      <c r="FR4795"/>
      <c r="FS4795"/>
      <c r="FT4795"/>
      <c r="FU4795"/>
      <c r="FV4795"/>
      <c r="FW4795"/>
      <c r="FX4795"/>
      <c r="FY4795"/>
      <c r="FZ4795"/>
      <c r="GA4795"/>
      <c r="GB4795"/>
      <c r="GC4795"/>
      <c r="GD4795"/>
      <c r="GE4795"/>
      <c r="GF4795"/>
      <c r="GG4795"/>
      <c r="GH4795"/>
      <c r="GI4795"/>
      <c r="GJ4795"/>
      <c r="GK4795"/>
      <c r="GL4795"/>
      <c r="GM4795"/>
      <c r="GN4795"/>
      <c r="GO4795"/>
    </row>
    <row r="4796" spans="107:197">
      <c r="DC4796"/>
      <c r="FH4796"/>
      <c r="FI4796"/>
      <c r="FJ4796"/>
      <c r="FK4796"/>
      <c r="FL4796"/>
      <c r="FM4796"/>
      <c r="FN4796"/>
      <c r="FO4796"/>
      <c r="FP4796"/>
      <c r="FQ4796"/>
      <c r="FR4796"/>
      <c r="FS4796"/>
      <c r="FT4796"/>
      <c r="FU4796"/>
      <c r="FV4796"/>
      <c r="FW4796"/>
      <c r="FX4796"/>
      <c r="FY4796"/>
      <c r="FZ4796"/>
      <c r="GA4796"/>
      <c r="GB4796"/>
      <c r="GC4796"/>
      <c r="GD4796"/>
      <c r="GE4796"/>
      <c r="GF4796"/>
      <c r="GG4796"/>
      <c r="GH4796"/>
      <c r="GI4796"/>
      <c r="GJ4796"/>
      <c r="GK4796"/>
      <c r="GL4796"/>
      <c r="GM4796"/>
      <c r="GN4796"/>
      <c r="GO4796"/>
    </row>
    <row r="4797" spans="107:197">
      <c r="DC4797"/>
      <c r="FH4797"/>
      <c r="FI4797"/>
      <c r="FJ4797"/>
      <c r="FK4797"/>
      <c r="FL4797"/>
      <c r="FM4797"/>
      <c r="FN4797"/>
      <c r="FO4797"/>
      <c r="FP4797"/>
      <c r="FQ4797"/>
      <c r="FR4797"/>
      <c r="FS4797"/>
      <c r="FT4797"/>
      <c r="FU4797"/>
      <c r="FV4797"/>
      <c r="FW4797"/>
      <c r="FX4797"/>
      <c r="FY4797"/>
      <c r="FZ4797"/>
      <c r="GA4797"/>
      <c r="GB4797"/>
      <c r="GC4797"/>
      <c r="GD4797"/>
      <c r="GE4797"/>
      <c r="GF4797"/>
      <c r="GG4797"/>
      <c r="GH4797"/>
      <c r="GI4797"/>
      <c r="GJ4797"/>
      <c r="GK4797"/>
      <c r="GL4797"/>
      <c r="GM4797"/>
      <c r="GN4797"/>
      <c r="GO4797"/>
    </row>
    <row r="4798" spans="107:197">
      <c r="DC4798"/>
      <c r="FH4798"/>
      <c r="FI4798"/>
      <c r="FJ4798"/>
      <c r="FK4798"/>
      <c r="FL4798"/>
      <c r="FM4798"/>
      <c r="FN4798"/>
      <c r="FO4798"/>
      <c r="FP4798"/>
      <c r="FQ4798"/>
      <c r="FR4798"/>
      <c r="FS4798"/>
      <c r="FT4798"/>
      <c r="FU4798"/>
      <c r="FV4798"/>
      <c r="FW4798"/>
      <c r="FX4798"/>
      <c r="FY4798"/>
      <c r="FZ4798"/>
      <c r="GA4798"/>
      <c r="GB4798"/>
      <c r="GC4798"/>
      <c r="GD4798"/>
      <c r="GE4798"/>
      <c r="GF4798"/>
      <c r="GG4798"/>
      <c r="GH4798"/>
      <c r="GI4798"/>
      <c r="GJ4798"/>
      <c r="GK4798"/>
      <c r="GL4798"/>
      <c r="GM4798"/>
      <c r="GN4798"/>
      <c r="GO4798"/>
    </row>
    <row r="4799" spans="107:197">
      <c r="DC4799"/>
      <c r="FH4799"/>
      <c r="FI4799"/>
      <c r="FJ4799"/>
      <c r="FK4799"/>
      <c r="FL4799"/>
      <c r="FM4799"/>
      <c r="FN4799"/>
      <c r="FO4799"/>
      <c r="FP4799"/>
      <c r="FQ4799"/>
      <c r="FR4799"/>
      <c r="FS4799"/>
      <c r="FT4799"/>
      <c r="FU4799"/>
      <c r="FV4799"/>
      <c r="FW4799"/>
      <c r="FX4799"/>
      <c r="FY4799"/>
      <c r="FZ4799"/>
      <c r="GA4799"/>
      <c r="GB4799"/>
      <c r="GC4799"/>
      <c r="GD4799"/>
      <c r="GE4799"/>
      <c r="GF4799"/>
      <c r="GG4799"/>
      <c r="GH4799"/>
      <c r="GI4799"/>
      <c r="GJ4799"/>
      <c r="GK4799"/>
      <c r="GL4799"/>
      <c r="GM4799"/>
      <c r="GN4799"/>
      <c r="GO4799"/>
    </row>
    <row r="4800" spans="107:197">
      <c r="DC4800"/>
      <c r="FH4800"/>
      <c r="FI4800"/>
      <c r="FJ4800"/>
      <c r="FK4800"/>
      <c r="FL4800"/>
      <c r="FM4800"/>
      <c r="FN4800"/>
      <c r="FO4800"/>
      <c r="FP4800"/>
      <c r="FQ4800"/>
      <c r="FR4800"/>
      <c r="FS4800"/>
      <c r="FT4800"/>
      <c r="FU4800"/>
      <c r="FV4800"/>
      <c r="FW4800"/>
      <c r="FX4800"/>
      <c r="FY4800"/>
      <c r="FZ4800"/>
      <c r="GA4800"/>
      <c r="GB4800"/>
      <c r="GC4800"/>
      <c r="GD4800"/>
      <c r="GE4800"/>
      <c r="GF4800"/>
      <c r="GG4800"/>
      <c r="GH4800"/>
      <c r="GI4800"/>
      <c r="GJ4800"/>
      <c r="GK4800"/>
      <c r="GL4800"/>
      <c r="GM4800"/>
      <c r="GN4800"/>
      <c r="GO4800"/>
    </row>
    <row r="4801" spans="107:197">
      <c r="DC4801"/>
      <c r="FH4801"/>
      <c r="FI4801"/>
      <c r="FJ4801"/>
      <c r="FK4801"/>
      <c r="FL4801"/>
      <c r="FM4801"/>
      <c r="FN4801"/>
      <c r="FO4801"/>
      <c r="FP4801"/>
      <c r="FQ4801"/>
      <c r="FR4801"/>
      <c r="FS4801"/>
      <c r="FT4801"/>
      <c r="FU4801"/>
      <c r="FV4801"/>
      <c r="FW4801"/>
      <c r="FX4801"/>
      <c r="FY4801"/>
      <c r="FZ4801"/>
      <c r="GA4801"/>
      <c r="GB4801"/>
      <c r="GC4801"/>
      <c r="GD4801"/>
      <c r="GE4801"/>
      <c r="GF4801"/>
      <c r="GG4801"/>
      <c r="GH4801"/>
      <c r="GI4801"/>
      <c r="GJ4801"/>
      <c r="GK4801"/>
      <c r="GL4801"/>
      <c r="GM4801"/>
      <c r="GN4801"/>
      <c r="GO4801"/>
    </row>
    <row r="4802" spans="107:197">
      <c r="DC4802"/>
      <c r="FH4802"/>
      <c r="FI4802"/>
      <c r="FJ4802"/>
      <c r="FK4802"/>
      <c r="FL4802"/>
      <c r="FM4802"/>
      <c r="FN4802"/>
      <c r="FO4802"/>
      <c r="FP4802"/>
      <c r="FQ4802"/>
      <c r="FR4802"/>
      <c r="FS4802"/>
      <c r="FT4802"/>
      <c r="FU4802"/>
      <c r="FV4802"/>
      <c r="FW4802"/>
      <c r="FX4802"/>
      <c r="FY4802"/>
      <c r="FZ4802"/>
      <c r="GA4802"/>
      <c r="GB4802"/>
      <c r="GC4802"/>
      <c r="GD4802"/>
      <c r="GE4802"/>
      <c r="GF4802"/>
      <c r="GG4802"/>
      <c r="GH4802"/>
      <c r="GI4802"/>
      <c r="GJ4802"/>
      <c r="GK4802"/>
      <c r="GL4802"/>
      <c r="GM4802"/>
      <c r="GN4802"/>
      <c r="GO4802"/>
    </row>
    <row r="4803" spans="107:197">
      <c r="DC4803"/>
      <c r="FH4803"/>
      <c r="FI4803"/>
      <c r="FJ4803"/>
      <c r="FK4803"/>
      <c r="FL4803"/>
      <c r="FM4803"/>
      <c r="FN4803"/>
      <c r="FO4803"/>
      <c r="FP4803"/>
      <c r="FQ4803"/>
      <c r="FR4803"/>
      <c r="FS4803"/>
      <c r="FT4803"/>
      <c r="FU4803"/>
      <c r="FV4803"/>
      <c r="FW4803"/>
      <c r="FX4803"/>
      <c r="FY4803"/>
      <c r="FZ4803"/>
      <c r="GA4803"/>
      <c r="GB4803"/>
      <c r="GC4803"/>
      <c r="GD4803"/>
      <c r="GE4803"/>
      <c r="GF4803"/>
      <c r="GG4803"/>
      <c r="GH4803"/>
      <c r="GI4803"/>
      <c r="GJ4803"/>
      <c r="GK4803"/>
      <c r="GL4803"/>
      <c r="GM4803"/>
      <c r="GN4803"/>
      <c r="GO4803"/>
    </row>
    <row r="4804" spans="107:197">
      <c r="DC4804"/>
      <c r="FH4804"/>
      <c r="FI4804"/>
      <c r="FJ4804"/>
      <c r="FK4804"/>
      <c r="FL4804"/>
      <c r="FM4804"/>
      <c r="FN4804"/>
      <c r="FO4804"/>
      <c r="FP4804"/>
      <c r="FQ4804"/>
      <c r="FR4804"/>
      <c r="FS4804"/>
      <c r="FT4804"/>
      <c r="FU4804"/>
      <c r="FV4804"/>
      <c r="FW4804"/>
      <c r="FX4804"/>
      <c r="FY4804"/>
      <c r="FZ4804"/>
      <c r="GA4804"/>
      <c r="GB4804"/>
      <c r="GC4804"/>
      <c r="GD4804"/>
      <c r="GE4804"/>
      <c r="GF4804"/>
      <c r="GG4804"/>
      <c r="GH4804"/>
      <c r="GI4804"/>
      <c r="GJ4804"/>
      <c r="GK4804"/>
      <c r="GL4804"/>
      <c r="GM4804"/>
      <c r="GN4804"/>
      <c r="GO4804"/>
    </row>
    <row r="4805" spans="107:197">
      <c r="DC4805"/>
      <c r="FH4805"/>
      <c r="FI4805"/>
      <c r="FJ4805"/>
      <c r="FK4805"/>
      <c r="FL4805"/>
      <c r="FM4805"/>
      <c r="FN4805"/>
      <c r="FO4805"/>
      <c r="FP4805"/>
      <c r="FQ4805"/>
      <c r="FR4805"/>
      <c r="FS4805"/>
      <c r="FT4805"/>
      <c r="FU4805"/>
      <c r="FV4805"/>
      <c r="FW4805"/>
      <c r="FX4805"/>
      <c r="FY4805"/>
      <c r="FZ4805"/>
      <c r="GA4805"/>
      <c r="GB4805"/>
      <c r="GC4805"/>
      <c r="GD4805"/>
      <c r="GE4805"/>
      <c r="GF4805"/>
      <c r="GG4805"/>
      <c r="GH4805"/>
      <c r="GI4805"/>
      <c r="GJ4805"/>
      <c r="GK4805"/>
      <c r="GL4805"/>
      <c r="GM4805"/>
      <c r="GN4805"/>
      <c r="GO4805"/>
    </row>
    <row r="4806" spans="107:197">
      <c r="DC4806"/>
      <c r="FH4806"/>
      <c r="FI4806"/>
      <c r="FJ4806"/>
      <c r="FK4806"/>
      <c r="FL4806"/>
      <c r="FM4806"/>
      <c r="FN4806"/>
      <c r="FO4806"/>
      <c r="FP4806"/>
      <c r="FQ4806"/>
      <c r="FR4806"/>
      <c r="FS4806"/>
      <c r="FT4806"/>
      <c r="FU4806"/>
      <c r="FV4806"/>
      <c r="FW4806"/>
      <c r="FX4806"/>
      <c r="FY4806"/>
      <c r="FZ4806"/>
      <c r="GA4806"/>
      <c r="GB4806"/>
      <c r="GC4806"/>
      <c r="GD4806"/>
      <c r="GE4806"/>
      <c r="GF4806"/>
      <c r="GG4806"/>
      <c r="GH4806"/>
      <c r="GI4806"/>
      <c r="GJ4806"/>
      <c r="GK4806"/>
      <c r="GL4806"/>
      <c r="GM4806"/>
      <c r="GN4806"/>
      <c r="GO4806"/>
    </row>
    <row r="4807" spans="107:197">
      <c r="DC4807"/>
      <c r="FH4807"/>
      <c r="FI4807"/>
      <c r="FJ4807"/>
      <c r="FK4807"/>
      <c r="FL4807"/>
      <c r="FM4807"/>
      <c r="FN4807"/>
      <c r="FO4807"/>
      <c r="FP4807"/>
      <c r="FQ4807"/>
      <c r="FR4807"/>
      <c r="FS4807"/>
      <c r="FT4807"/>
      <c r="FU4807"/>
      <c r="FV4807"/>
      <c r="FW4807"/>
      <c r="FX4807"/>
      <c r="FY4807"/>
      <c r="FZ4807"/>
      <c r="GA4807"/>
      <c r="GB4807"/>
      <c r="GC4807"/>
      <c r="GD4807"/>
      <c r="GE4807"/>
      <c r="GF4807"/>
      <c r="GG4807"/>
      <c r="GH4807"/>
      <c r="GI4807"/>
      <c r="GJ4807"/>
      <c r="GK4807"/>
      <c r="GL4807"/>
      <c r="GM4807"/>
      <c r="GN4807"/>
      <c r="GO4807"/>
    </row>
    <row r="4808" spans="107:197">
      <c r="DC4808"/>
      <c r="FH4808"/>
      <c r="FI4808"/>
      <c r="FJ4808"/>
      <c r="FK4808"/>
      <c r="FL4808"/>
      <c r="FM4808"/>
      <c r="FN4808"/>
      <c r="FO4808"/>
      <c r="FP4808"/>
      <c r="FQ4808"/>
      <c r="FR4808"/>
      <c r="FS4808"/>
      <c r="FT4808"/>
      <c r="FU4808"/>
      <c r="FV4808"/>
      <c r="FW4808"/>
      <c r="FX4808"/>
      <c r="FY4808"/>
      <c r="FZ4808"/>
      <c r="GA4808"/>
      <c r="GB4808"/>
      <c r="GC4808"/>
      <c r="GD4808"/>
      <c r="GE4808"/>
      <c r="GF4808"/>
      <c r="GG4808"/>
      <c r="GH4808"/>
      <c r="GI4808"/>
      <c r="GJ4808"/>
      <c r="GK4808"/>
      <c r="GL4808"/>
      <c r="GM4808"/>
      <c r="GN4808"/>
      <c r="GO4808"/>
    </row>
    <row r="4809" spans="107:197">
      <c r="DC4809"/>
      <c r="FH4809"/>
      <c r="FI4809"/>
      <c r="FJ4809"/>
      <c r="FK4809"/>
      <c r="FL4809"/>
      <c r="FM4809"/>
      <c r="FN4809"/>
      <c r="FO4809"/>
      <c r="FP4809"/>
      <c r="FQ4809"/>
      <c r="FR4809"/>
      <c r="FS4809"/>
      <c r="FT4809"/>
      <c r="FU4809"/>
      <c r="FV4809"/>
      <c r="FW4809"/>
      <c r="FX4809"/>
      <c r="FY4809"/>
      <c r="FZ4809"/>
      <c r="GA4809"/>
      <c r="GB4809"/>
      <c r="GC4809"/>
      <c r="GD4809"/>
      <c r="GE4809"/>
      <c r="GF4809"/>
      <c r="GG4809"/>
      <c r="GH4809"/>
      <c r="GI4809"/>
      <c r="GJ4809"/>
      <c r="GK4809"/>
      <c r="GL4809"/>
      <c r="GM4809"/>
      <c r="GN4809"/>
      <c r="GO4809"/>
    </row>
    <row r="4810" spans="107:197">
      <c r="DC4810"/>
      <c r="FH4810"/>
      <c r="FI4810"/>
      <c r="FJ4810"/>
      <c r="FK4810"/>
      <c r="FL4810"/>
      <c r="FM4810"/>
      <c r="FN4810"/>
      <c r="FO4810"/>
      <c r="FP4810"/>
      <c r="FQ4810"/>
      <c r="FR4810"/>
      <c r="FS4810"/>
      <c r="FT4810"/>
      <c r="FU4810"/>
      <c r="FV4810"/>
      <c r="FW4810"/>
      <c r="FX4810"/>
      <c r="FY4810"/>
      <c r="FZ4810"/>
      <c r="GA4810"/>
      <c r="GB4810"/>
      <c r="GC4810"/>
      <c r="GD4810"/>
      <c r="GE4810"/>
      <c r="GF4810"/>
      <c r="GG4810"/>
      <c r="GH4810"/>
      <c r="GI4810"/>
      <c r="GJ4810"/>
      <c r="GK4810"/>
      <c r="GL4810"/>
      <c r="GM4810"/>
      <c r="GN4810"/>
      <c r="GO4810"/>
    </row>
    <row r="4811" spans="107:197">
      <c r="DC4811"/>
      <c r="FH4811"/>
      <c r="FI4811"/>
      <c r="FJ4811"/>
      <c r="FK4811"/>
      <c r="FL4811"/>
      <c r="FM4811"/>
      <c r="FN4811"/>
      <c r="FO4811"/>
      <c r="FP4811"/>
      <c r="FQ4811"/>
      <c r="FR4811"/>
      <c r="FS4811"/>
      <c r="FT4811"/>
      <c r="FU4811"/>
      <c r="FV4811"/>
      <c r="FW4811"/>
      <c r="FX4811"/>
      <c r="FY4811"/>
      <c r="FZ4811"/>
      <c r="GA4811"/>
      <c r="GB4811"/>
      <c r="GC4811"/>
      <c r="GD4811"/>
      <c r="GE4811"/>
      <c r="GF4811"/>
      <c r="GG4811"/>
      <c r="GH4811"/>
      <c r="GI4811"/>
      <c r="GJ4811"/>
      <c r="GK4811"/>
      <c r="GL4811"/>
      <c r="GM4811"/>
      <c r="GN4811"/>
      <c r="GO4811"/>
    </row>
    <row r="4812" spans="107:197">
      <c r="DC4812"/>
      <c r="FH4812"/>
      <c r="FI4812"/>
      <c r="FJ4812"/>
      <c r="FK4812"/>
      <c r="FL4812"/>
      <c r="FM4812"/>
      <c r="FN4812"/>
      <c r="FO4812"/>
      <c r="FP4812"/>
      <c r="FQ4812"/>
      <c r="FR4812"/>
      <c r="FS4812"/>
      <c r="FT4812"/>
      <c r="FU4812"/>
      <c r="FV4812"/>
      <c r="FW4812"/>
      <c r="FX4812"/>
      <c r="FY4812"/>
      <c r="FZ4812"/>
      <c r="GA4812"/>
      <c r="GB4812"/>
      <c r="GC4812"/>
      <c r="GD4812"/>
      <c r="GE4812"/>
      <c r="GF4812"/>
      <c r="GG4812"/>
      <c r="GH4812"/>
      <c r="GI4812"/>
      <c r="GJ4812"/>
      <c r="GK4812"/>
      <c r="GL4812"/>
      <c r="GM4812"/>
      <c r="GN4812"/>
      <c r="GO4812"/>
    </row>
    <row r="4813" spans="107:197">
      <c r="DC4813"/>
      <c r="FH4813"/>
      <c r="FI4813"/>
      <c r="FJ4813"/>
      <c r="FK4813"/>
      <c r="FL4813"/>
      <c r="FM4813"/>
      <c r="FN4813"/>
      <c r="FO4813"/>
      <c r="FP4813"/>
      <c r="FQ4813"/>
      <c r="FR4813"/>
      <c r="FS4813"/>
      <c r="FT4813"/>
      <c r="FU4813"/>
      <c r="FV4813"/>
      <c r="FW4813"/>
      <c r="FX4813"/>
      <c r="FY4813"/>
      <c r="FZ4813"/>
      <c r="GA4813"/>
      <c r="GB4813"/>
      <c r="GC4813"/>
      <c r="GD4813"/>
      <c r="GE4813"/>
      <c r="GF4813"/>
      <c r="GG4813"/>
      <c r="GH4813"/>
      <c r="GI4813"/>
      <c r="GJ4813"/>
      <c r="GK4813"/>
      <c r="GL4813"/>
      <c r="GM4813"/>
      <c r="GN4813"/>
      <c r="GO4813"/>
    </row>
    <row r="4814" spans="107:197">
      <c r="DC4814"/>
      <c r="FH4814"/>
      <c r="FI4814"/>
      <c r="FJ4814"/>
      <c r="FK4814"/>
      <c r="FL4814"/>
      <c r="FM4814"/>
      <c r="FN4814"/>
      <c r="FO4814"/>
      <c r="FP4814"/>
      <c r="FQ4814"/>
      <c r="FR4814"/>
      <c r="FS4814"/>
      <c r="FT4814"/>
      <c r="FU4814"/>
      <c r="FV4814"/>
      <c r="FW4814"/>
      <c r="FX4814"/>
      <c r="FY4814"/>
      <c r="FZ4814"/>
      <c r="GA4814"/>
      <c r="GB4814"/>
      <c r="GC4814"/>
      <c r="GD4814"/>
      <c r="GE4814"/>
      <c r="GF4814"/>
      <c r="GG4814"/>
      <c r="GH4814"/>
      <c r="GI4814"/>
      <c r="GJ4814"/>
      <c r="GK4814"/>
      <c r="GL4814"/>
      <c r="GM4814"/>
      <c r="GN4814"/>
      <c r="GO4814"/>
    </row>
    <row r="4815" spans="107:197">
      <c r="DC4815"/>
      <c r="FH4815"/>
      <c r="FI4815"/>
      <c r="FJ4815"/>
      <c r="FK4815"/>
      <c r="FL4815"/>
      <c r="FM4815"/>
      <c r="FN4815"/>
      <c r="FO4815"/>
      <c r="FP4815"/>
      <c r="FQ4815"/>
      <c r="FR4815"/>
      <c r="FS4815"/>
      <c r="FT4815"/>
      <c r="FU4815"/>
      <c r="FV4815"/>
      <c r="FW4815"/>
      <c r="FX4815"/>
      <c r="FY4815"/>
      <c r="FZ4815"/>
      <c r="GA4815"/>
      <c r="GB4815"/>
      <c r="GC4815"/>
      <c r="GD4815"/>
      <c r="GE4815"/>
      <c r="GF4815"/>
      <c r="GG4815"/>
      <c r="GH4815"/>
      <c r="GI4815"/>
      <c r="GJ4815"/>
      <c r="GK4815"/>
      <c r="GL4815"/>
      <c r="GM4815"/>
      <c r="GN4815"/>
      <c r="GO4815"/>
    </row>
    <row r="4816" spans="107:197">
      <c r="DC4816"/>
      <c r="FH4816"/>
      <c r="FI4816"/>
      <c r="FJ4816"/>
      <c r="FK4816"/>
      <c r="FL4816"/>
      <c r="FM4816"/>
      <c r="FN4816"/>
      <c r="FO4816"/>
      <c r="FP4816"/>
      <c r="FQ4816"/>
      <c r="FR4816"/>
      <c r="FS4816"/>
      <c r="FT4816"/>
      <c r="FU4816"/>
      <c r="FV4816"/>
      <c r="FW4816"/>
      <c r="FX4816"/>
      <c r="FY4816"/>
      <c r="FZ4816"/>
      <c r="GA4816"/>
      <c r="GB4816"/>
      <c r="GC4816"/>
      <c r="GD4816"/>
      <c r="GE4816"/>
      <c r="GF4816"/>
      <c r="GG4816"/>
      <c r="GH4816"/>
      <c r="GI4816"/>
      <c r="GJ4816"/>
      <c r="GK4816"/>
      <c r="GL4816"/>
      <c r="GM4816"/>
      <c r="GN4816"/>
      <c r="GO4816"/>
    </row>
    <row r="4817" spans="107:197">
      <c r="DC4817"/>
      <c r="FH4817"/>
      <c r="FI4817"/>
      <c r="FJ4817"/>
      <c r="FK4817"/>
      <c r="FL4817"/>
      <c r="FM4817"/>
      <c r="FN4817"/>
      <c r="FO4817"/>
      <c r="FP4817"/>
      <c r="FQ4817"/>
      <c r="FR4817"/>
      <c r="FS4817"/>
      <c r="FT4817"/>
      <c r="FU4817"/>
      <c r="FV4817"/>
      <c r="FW4817"/>
      <c r="FX4817"/>
      <c r="FY4817"/>
      <c r="FZ4817"/>
      <c r="GA4817"/>
      <c r="GB4817"/>
      <c r="GC4817"/>
      <c r="GD4817"/>
      <c r="GE4817"/>
      <c r="GF4817"/>
      <c r="GG4817"/>
      <c r="GH4817"/>
      <c r="GI4817"/>
      <c r="GJ4817"/>
      <c r="GK4817"/>
      <c r="GL4817"/>
      <c r="GM4817"/>
      <c r="GN4817"/>
      <c r="GO4817"/>
    </row>
    <row r="4818" spans="107:197">
      <c r="DC4818"/>
      <c r="FH4818"/>
      <c r="FI4818"/>
      <c r="FJ4818"/>
      <c r="FK4818"/>
      <c r="FL4818"/>
      <c r="FM4818"/>
      <c r="FN4818"/>
      <c r="FO4818"/>
      <c r="FP4818"/>
      <c r="FQ4818"/>
      <c r="FR4818"/>
      <c r="FS4818"/>
      <c r="FT4818"/>
      <c r="FU4818"/>
      <c r="FV4818"/>
      <c r="FW4818"/>
      <c r="FX4818"/>
      <c r="FY4818"/>
      <c r="FZ4818"/>
      <c r="GA4818"/>
      <c r="GB4818"/>
      <c r="GC4818"/>
      <c r="GD4818"/>
      <c r="GE4818"/>
      <c r="GF4818"/>
      <c r="GG4818"/>
      <c r="GH4818"/>
      <c r="GI4818"/>
      <c r="GJ4818"/>
      <c r="GK4818"/>
      <c r="GL4818"/>
      <c r="GM4818"/>
      <c r="GN4818"/>
      <c r="GO4818"/>
    </row>
    <row r="4819" spans="107:197">
      <c r="DC4819"/>
      <c r="FH4819"/>
      <c r="FI4819"/>
      <c r="FJ4819"/>
      <c r="FK4819"/>
      <c r="FL4819"/>
      <c r="FM4819"/>
      <c r="FN4819"/>
      <c r="FO4819"/>
      <c r="FP4819"/>
      <c r="FQ4819"/>
      <c r="FR4819"/>
      <c r="FS4819"/>
      <c r="FT4819"/>
      <c r="FU4819"/>
      <c r="FV4819"/>
      <c r="FW4819"/>
      <c r="FX4819"/>
      <c r="FY4819"/>
      <c r="FZ4819"/>
      <c r="GA4819"/>
      <c r="GB4819"/>
      <c r="GC4819"/>
      <c r="GD4819"/>
      <c r="GE4819"/>
      <c r="GF4819"/>
      <c r="GG4819"/>
      <c r="GH4819"/>
      <c r="GI4819"/>
      <c r="GJ4819"/>
      <c r="GK4819"/>
      <c r="GL4819"/>
      <c r="GM4819"/>
      <c r="GN4819"/>
      <c r="GO4819"/>
    </row>
    <row r="4820" spans="107:197">
      <c r="DC4820"/>
      <c r="FH4820"/>
      <c r="FI4820"/>
      <c r="FJ4820"/>
      <c r="FK4820"/>
      <c r="FL4820"/>
      <c r="FM4820"/>
      <c r="FN4820"/>
      <c r="FO4820"/>
      <c r="FP4820"/>
      <c r="FQ4820"/>
      <c r="FR4820"/>
      <c r="FS4820"/>
      <c r="FT4820"/>
      <c r="FU4820"/>
      <c r="FV4820"/>
      <c r="FW4820"/>
      <c r="FX4820"/>
      <c r="FY4820"/>
      <c r="FZ4820"/>
      <c r="GA4820"/>
      <c r="GB4820"/>
      <c r="GC4820"/>
      <c r="GD4820"/>
      <c r="GE4820"/>
      <c r="GF4820"/>
      <c r="GG4820"/>
      <c r="GH4820"/>
      <c r="GI4820"/>
      <c r="GJ4820"/>
      <c r="GK4820"/>
      <c r="GL4820"/>
      <c r="GM4820"/>
      <c r="GN4820"/>
      <c r="GO4820"/>
    </row>
    <row r="4821" spans="107:197">
      <c r="DC4821"/>
      <c r="FH4821"/>
      <c r="FI4821"/>
      <c r="FJ4821"/>
      <c r="FK4821"/>
      <c r="FL4821"/>
      <c r="FM4821"/>
      <c r="FN4821"/>
      <c r="FO4821"/>
      <c r="FP4821"/>
      <c r="FQ4821"/>
      <c r="FR4821"/>
      <c r="FS4821"/>
      <c r="FT4821"/>
      <c r="FU4821"/>
      <c r="FV4821"/>
      <c r="FW4821"/>
      <c r="FX4821"/>
      <c r="FY4821"/>
      <c r="FZ4821"/>
      <c r="GA4821"/>
      <c r="GB4821"/>
      <c r="GC4821"/>
      <c r="GD4821"/>
      <c r="GE4821"/>
      <c r="GF4821"/>
      <c r="GG4821"/>
      <c r="GH4821"/>
      <c r="GI4821"/>
      <c r="GJ4821"/>
      <c r="GK4821"/>
      <c r="GL4821"/>
      <c r="GM4821"/>
      <c r="GN4821"/>
      <c r="GO4821"/>
    </row>
    <row r="4822" spans="107:197">
      <c r="DC4822"/>
      <c r="FH4822"/>
      <c r="FI4822"/>
      <c r="FJ4822"/>
      <c r="FK4822"/>
      <c r="FL4822"/>
      <c r="FM4822"/>
      <c r="FN4822"/>
      <c r="FO4822"/>
      <c r="FP4822"/>
      <c r="FQ4822"/>
      <c r="FR4822"/>
      <c r="FS4822"/>
      <c r="FT4822"/>
      <c r="FU4822"/>
      <c r="FV4822"/>
      <c r="FW4822"/>
      <c r="FX4822"/>
      <c r="FY4822"/>
      <c r="FZ4822"/>
      <c r="GA4822"/>
      <c r="GB4822"/>
      <c r="GC4822"/>
      <c r="GD4822"/>
      <c r="GE4822"/>
      <c r="GF4822"/>
      <c r="GG4822"/>
      <c r="GH4822"/>
      <c r="GI4822"/>
      <c r="GJ4822"/>
      <c r="GK4822"/>
      <c r="GL4822"/>
      <c r="GM4822"/>
      <c r="GN4822"/>
      <c r="GO4822"/>
    </row>
    <row r="4823" spans="107:197">
      <c r="DC4823"/>
      <c r="FH4823"/>
      <c r="FI4823"/>
      <c r="FJ4823"/>
      <c r="FK4823"/>
      <c r="FL4823"/>
      <c r="FM4823"/>
      <c r="FN4823"/>
      <c r="FO4823"/>
      <c r="FP4823"/>
      <c r="FQ4823"/>
      <c r="FR4823"/>
      <c r="FS4823"/>
      <c r="FT4823"/>
      <c r="FU4823"/>
      <c r="FV4823"/>
      <c r="FW4823"/>
      <c r="FX4823"/>
      <c r="FY4823"/>
      <c r="FZ4823"/>
      <c r="GA4823"/>
      <c r="GB4823"/>
      <c r="GC4823"/>
      <c r="GD4823"/>
      <c r="GE4823"/>
      <c r="GF4823"/>
      <c r="GG4823"/>
      <c r="GH4823"/>
      <c r="GI4823"/>
      <c r="GJ4823"/>
      <c r="GK4823"/>
      <c r="GL4823"/>
      <c r="GM4823"/>
      <c r="GN4823"/>
      <c r="GO4823"/>
    </row>
    <row r="4824" spans="107:197">
      <c r="DC4824"/>
      <c r="FH4824"/>
      <c r="FI4824"/>
      <c r="FJ4824"/>
      <c r="FK4824"/>
      <c r="FL4824"/>
      <c r="FM4824"/>
      <c r="FN4824"/>
      <c r="FO4824"/>
      <c r="FP4824"/>
      <c r="FQ4824"/>
      <c r="FR4824"/>
      <c r="FS4824"/>
      <c r="FT4824"/>
      <c r="FU4824"/>
      <c r="FV4824"/>
      <c r="FW4824"/>
      <c r="FX4824"/>
      <c r="FY4824"/>
      <c r="FZ4824"/>
      <c r="GA4824"/>
      <c r="GB4824"/>
      <c r="GC4824"/>
      <c r="GD4824"/>
      <c r="GE4824"/>
      <c r="GF4824"/>
      <c r="GG4824"/>
      <c r="GH4824"/>
      <c r="GI4824"/>
      <c r="GJ4824"/>
      <c r="GK4824"/>
      <c r="GL4824"/>
      <c r="GM4824"/>
      <c r="GN4824"/>
      <c r="GO4824"/>
    </row>
    <row r="4825" spans="107:197">
      <c r="DC4825"/>
      <c r="FH4825"/>
      <c r="FI4825"/>
      <c r="FJ4825"/>
      <c r="FK4825"/>
      <c r="FL4825"/>
      <c r="FM4825"/>
      <c r="FN4825"/>
      <c r="FO4825"/>
      <c r="FP4825"/>
      <c r="FQ4825"/>
      <c r="FR4825"/>
      <c r="FS4825"/>
      <c r="FT4825"/>
      <c r="FU4825"/>
      <c r="FV4825"/>
      <c r="FW4825"/>
      <c r="FX4825"/>
      <c r="FY4825"/>
      <c r="FZ4825"/>
      <c r="GA4825"/>
      <c r="GB4825"/>
      <c r="GC4825"/>
      <c r="GD4825"/>
      <c r="GE4825"/>
      <c r="GF4825"/>
      <c r="GG4825"/>
      <c r="GH4825"/>
      <c r="GI4825"/>
      <c r="GJ4825"/>
      <c r="GK4825"/>
      <c r="GL4825"/>
      <c r="GM4825"/>
      <c r="GN4825"/>
      <c r="GO4825"/>
    </row>
    <row r="4826" spans="107:197">
      <c r="DC4826"/>
      <c r="FH4826"/>
      <c r="FI4826"/>
      <c r="FJ4826"/>
      <c r="FK4826"/>
      <c r="FL4826"/>
      <c r="FM4826"/>
      <c r="FN4826"/>
      <c r="FO4826"/>
      <c r="FP4826"/>
      <c r="FQ4826"/>
      <c r="FR4826"/>
      <c r="FS4826"/>
      <c r="FT4826"/>
      <c r="FU4826"/>
      <c r="FV4826"/>
      <c r="FW4826"/>
      <c r="FX4826"/>
      <c r="FY4826"/>
      <c r="FZ4826"/>
      <c r="GA4826"/>
      <c r="GB4826"/>
      <c r="GC4826"/>
      <c r="GD4826"/>
      <c r="GE4826"/>
      <c r="GF4826"/>
      <c r="GG4826"/>
      <c r="GH4826"/>
      <c r="GI4826"/>
      <c r="GJ4826"/>
      <c r="GK4826"/>
      <c r="GL4826"/>
      <c r="GM4826"/>
      <c r="GN4826"/>
      <c r="GO4826"/>
    </row>
    <row r="4827" spans="107:197">
      <c r="DC4827"/>
      <c r="FH4827"/>
      <c r="FI4827"/>
      <c r="FJ4827"/>
      <c r="FK4827"/>
      <c r="FL4827"/>
      <c r="FM4827"/>
      <c r="FN4827"/>
      <c r="FO4827"/>
      <c r="FP4827"/>
      <c r="FQ4827"/>
      <c r="FR4827"/>
      <c r="FS4827"/>
      <c r="FT4827"/>
      <c r="FU4827"/>
      <c r="FV4827"/>
      <c r="FW4827"/>
      <c r="FX4827"/>
      <c r="FY4827"/>
      <c r="FZ4827"/>
      <c r="GA4827"/>
      <c r="GB4827"/>
      <c r="GC4827"/>
      <c r="GD4827"/>
      <c r="GE4827"/>
      <c r="GF4827"/>
      <c r="GG4827"/>
      <c r="GH4827"/>
      <c r="GI4827"/>
      <c r="GJ4827"/>
      <c r="GK4827"/>
      <c r="GL4827"/>
      <c r="GM4827"/>
      <c r="GN4827"/>
      <c r="GO4827"/>
    </row>
    <row r="4828" spans="107:197">
      <c r="DC4828"/>
      <c r="FH4828"/>
      <c r="FI4828"/>
      <c r="FJ4828"/>
      <c r="FK4828"/>
      <c r="FL4828"/>
      <c r="FM4828"/>
      <c r="FN4828"/>
      <c r="FO4828"/>
      <c r="FP4828"/>
      <c r="FQ4828"/>
      <c r="FR4828"/>
      <c r="FS4828"/>
      <c r="FT4828"/>
      <c r="FU4828"/>
      <c r="FV4828"/>
      <c r="FW4828"/>
      <c r="FX4828"/>
      <c r="FY4828"/>
      <c r="FZ4828"/>
      <c r="GA4828"/>
      <c r="GB4828"/>
      <c r="GC4828"/>
      <c r="GD4828"/>
      <c r="GE4828"/>
      <c r="GF4828"/>
      <c r="GG4828"/>
      <c r="GH4828"/>
      <c r="GI4828"/>
      <c r="GJ4828"/>
      <c r="GK4828"/>
      <c r="GL4828"/>
      <c r="GM4828"/>
      <c r="GN4828"/>
      <c r="GO4828"/>
    </row>
    <row r="4829" spans="107:197">
      <c r="DC4829"/>
      <c r="FH4829"/>
      <c r="FI4829"/>
      <c r="FJ4829"/>
      <c r="FK4829"/>
      <c r="FL4829"/>
      <c r="FM4829"/>
      <c r="FN4829"/>
      <c r="FO4829"/>
      <c r="FP4829"/>
      <c r="FQ4829"/>
      <c r="FR4829"/>
      <c r="FS4829"/>
      <c r="FT4829"/>
      <c r="FU4829"/>
      <c r="FV4829"/>
      <c r="FW4829"/>
      <c r="FX4829"/>
      <c r="FY4829"/>
      <c r="FZ4829"/>
      <c r="GA4829"/>
      <c r="GB4829"/>
      <c r="GC4829"/>
      <c r="GD4829"/>
      <c r="GE4829"/>
      <c r="GF4829"/>
      <c r="GG4829"/>
      <c r="GH4829"/>
      <c r="GI4829"/>
      <c r="GJ4829"/>
      <c r="GK4829"/>
      <c r="GL4829"/>
      <c r="GM4829"/>
      <c r="GN4829"/>
      <c r="GO4829"/>
    </row>
    <row r="4830" spans="107:197">
      <c r="DC4830"/>
      <c r="FH4830"/>
      <c r="FI4830"/>
      <c r="FJ4830"/>
      <c r="FK4830"/>
      <c r="FL4830"/>
      <c r="FM4830"/>
      <c r="FN4830"/>
      <c r="FO4830"/>
      <c r="FP4830"/>
      <c r="FQ4830"/>
      <c r="FR4830"/>
      <c r="FS4830"/>
      <c r="FT4830"/>
      <c r="FU4830"/>
      <c r="FV4830"/>
      <c r="FW4830"/>
      <c r="FX4830"/>
      <c r="FY4830"/>
      <c r="FZ4830"/>
      <c r="GA4830"/>
      <c r="GB4830"/>
      <c r="GC4830"/>
      <c r="GD4830"/>
      <c r="GE4830"/>
      <c r="GF4830"/>
      <c r="GG4830"/>
      <c r="GH4830"/>
      <c r="GI4830"/>
      <c r="GJ4830"/>
      <c r="GK4830"/>
      <c r="GL4830"/>
      <c r="GM4830"/>
      <c r="GN4830"/>
      <c r="GO4830"/>
    </row>
    <row r="4831" spans="107:197">
      <c r="DC4831"/>
      <c r="FH4831"/>
      <c r="FI4831"/>
      <c r="FJ4831"/>
      <c r="FK4831"/>
      <c r="FL4831"/>
      <c r="FM4831"/>
      <c r="FN4831"/>
      <c r="FO4831"/>
      <c r="FP4831"/>
      <c r="FQ4831"/>
      <c r="FR4831"/>
      <c r="FS4831"/>
      <c r="FT4831"/>
      <c r="FU4831"/>
      <c r="FV4831"/>
      <c r="FW4831"/>
      <c r="FX4831"/>
      <c r="FY4831"/>
      <c r="FZ4831"/>
      <c r="GA4831"/>
      <c r="GB4831"/>
      <c r="GC4831"/>
      <c r="GD4831"/>
      <c r="GE4831"/>
      <c r="GF4831"/>
      <c r="GG4831"/>
      <c r="GH4831"/>
      <c r="GI4831"/>
      <c r="GJ4831"/>
      <c r="GK4831"/>
      <c r="GL4831"/>
      <c r="GM4831"/>
      <c r="GN4831"/>
      <c r="GO4831"/>
    </row>
    <row r="4832" spans="107:197">
      <c r="DC4832"/>
      <c r="FH4832"/>
      <c r="FI4832"/>
      <c r="FJ4832"/>
      <c r="FK4832"/>
      <c r="FL4832"/>
      <c r="FM4832"/>
      <c r="FN4832"/>
      <c r="FO4832"/>
      <c r="FP4832"/>
      <c r="FQ4832"/>
      <c r="FR4832"/>
      <c r="FS4832"/>
      <c r="FT4832"/>
      <c r="FU4832"/>
      <c r="FV4832"/>
      <c r="FW4832"/>
      <c r="FX4832"/>
      <c r="FY4832"/>
      <c r="FZ4832"/>
      <c r="GA4832"/>
      <c r="GB4832"/>
      <c r="GC4832"/>
      <c r="GD4832"/>
      <c r="GE4832"/>
      <c r="GF4832"/>
      <c r="GG4832"/>
      <c r="GH4832"/>
      <c r="GI4832"/>
      <c r="GJ4832"/>
      <c r="GK4832"/>
      <c r="GL4832"/>
      <c r="GM4832"/>
      <c r="GN4832"/>
      <c r="GO4832"/>
    </row>
    <row r="4833" spans="107:197">
      <c r="DC4833"/>
      <c r="FH4833"/>
      <c r="FI4833"/>
      <c r="FJ4833"/>
      <c r="FK4833"/>
      <c r="FL4833"/>
      <c r="FM4833"/>
      <c r="FN4833"/>
      <c r="FO4833"/>
      <c r="FP4833"/>
      <c r="FQ4833"/>
      <c r="FR4833"/>
      <c r="FS4833"/>
      <c r="FT4833"/>
      <c r="FU4833"/>
      <c r="FV4833"/>
      <c r="FW4833"/>
      <c r="FX4833"/>
      <c r="FY4833"/>
      <c r="FZ4833"/>
      <c r="GA4833"/>
      <c r="GB4833"/>
      <c r="GC4833"/>
      <c r="GD4833"/>
      <c r="GE4833"/>
      <c r="GF4833"/>
      <c r="GG4833"/>
      <c r="GH4833"/>
      <c r="GI4833"/>
      <c r="GJ4833"/>
      <c r="GK4833"/>
      <c r="GL4833"/>
      <c r="GM4833"/>
      <c r="GN4833"/>
      <c r="GO4833"/>
    </row>
    <row r="4834" spans="107:197">
      <c r="DC4834"/>
      <c r="FH4834"/>
      <c r="FI4834"/>
      <c r="FJ4834"/>
      <c r="FK4834"/>
      <c r="FL4834"/>
      <c r="FM4834"/>
      <c r="FN4834"/>
      <c r="FO4834"/>
      <c r="FP4834"/>
      <c r="FQ4834"/>
      <c r="FR4834"/>
      <c r="FS4834"/>
      <c r="FT4834"/>
      <c r="FU4834"/>
      <c r="FV4834"/>
      <c r="FW4834"/>
      <c r="FX4834"/>
      <c r="FY4834"/>
      <c r="FZ4834"/>
      <c r="GA4834"/>
      <c r="GB4834"/>
      <c r="GC4834"/>
      <c r="GD4834"/>
      <c r="GE4834"/>
      <c r="GF4834"/>
      <c r="GG4834"/>
      <c r="GH4834"/>
      <c r="GI4834"/>
      <c r="GJ4834"/>
      <c r="GK4834"/>
      <c r="GL4834"/>
      <c r="GM4834"/>
      <c r="GN4834"/>
      <c r="GO4834"/>
    </row>
    <row r="4835" spans="107:197">
      <c r="DC4835"/>
      <c r="FH4835"/>
      <c r="FI4835"/>
      <c r="FJ4835"/>
      <c r="FK4835"/>
      <c r="FL4835"/>
      <c r="FM4835"/>
      <c r="FN4835"/>
      <c r="FO4835"/>
      <c r="FP4835"/>
      <c r="FQ4835"/>
      <c r="FR4835"/>
      <c r="FS4835"/>
      <c r="FT4835"/>
      <c r="FU4835"/>
      <c r="FV4835"/>
      <c r="FW4835"/>
      <c r="FX4835"/>
      <c r="FY4835"/>
      <c r="FZ4835"/>
      <c r="GA4835"/>
      <c r="GB4835"/>
      <c r="GC4835"/>
      <c r="GD4835"/>
      <c r="GE4835"/>
      <c r="GF4835"/>
      <c r="GG4835"/>
      <c r="GH4835"/>
      <c r="GI4835"/>
      <c r="GJ4835"/>
      <c r="GK4835"/>
      <c r="GL4835"/>
      <c r="GM4835"/>
      <c r="GN4835"/>
      <c r="GO4835"/>
    </row>
    <row r="4836" spans="107:197">
      <c r="DC4836"/>
      <c r="FH4836"/>
      <c r="FI4836"/>
      <c r="FJ4836"/>
      <c r="FK4836"/>
      <c r="FL4836"/>
      <c r="FM4836"/>
      <c r="FN4836"/>
      <c r="FO4836"/>
      <c r="FP4836"/>
      <c r="FQ4836"/>
      <c r="FR4836"/>
      <c r="FS4836"/>
      <c r="FT4836"/>
      <c r="FU4836"/>
      <c r="FV4836"/>
      <c r="FW4836"/>
      <c r="FX4836"/>
      <c r="FY4836"/>
      <c r="FZ4836"/>
      <c r="GA4836"/>
      <c r="GB4836"/>
      <c r="GC4836"/>
      <c r="GD4836"/>
      <c r="GE4836"/>
      <c r="GF4836"/>
      <c r="GG4836"/>
      <c r="GH4836"/>
      <c r="GI4836"/>
      <c r="GJ4836"/>
      <c r="GK4836"/>
      <c r="GL4836"/>
      <c r="GM4836"/>
      <c r="GN4836"/>
      <c r="GO4836"/>
    </row>
    <row r="4837" spans="107:197">
      <c r="DC4837"/>
      <c r="FH4837"/>
      <c r="FI4837"/>
      <c r="FJ4837"/>
      <c r="FK4837"/>
      <c r="FL4837"/>
      <c r="FM4837"/>
      <c r="FN4837"/>
      <c r="FO4837"/>
      <c r="FP4837"/>
      <c r="FQ4837"/>
      <c r="FR4837"/>
      <c r="FS4837"/>
      <c r="FT4837"/>
      <c r="FU4837"/>
      <c r="FV4837"/>
      <c r="FW4837"/>
      <c r="FX4837"/>
      <c r="FY4837"/>
      <c r="FZ4837"/>
      <c r="GA4837"/>
      <c r="GB4837"/>
      <c r="GC4837"/>
      <c r="GD4837"/>
      <c r="GE4837"/>
      <c r="GF4837"/>
      <c r="GG4837"/>
      <c r="GH4837"/>
      <c r="GI4837"/>
      <c r="GJ4837"/>
      <c r="GK4837"/>
      <c r="GL4837"/>
      <c r="GM4837"/>
      <c r="GN4837"/>
      <c r="GO4837"/>
    </row>
    <row r="4838" spans="107:197">
      <c r="DC4838"/>
      <c r="FH4838"/>
      <c r="FI4838"/>
      <c r="FJ4838"/>
      <c r="FK4838"/>
      <c r="FL4838"/>
      <c r="FM4838"/>
      <c r="FN4838"/>
      <c r="FO4838"/>
      <c r="FP4838"/>
      <c r="FQ4838"/>
      <c r="FR4838"/>
      <c r="FS4838"/>
      <c r="FT4838"/>
      <c r="FU4838"/>
      <c r="FV4838"/>
      <c r="FW4838"/>
      <c r="FX4838"/>
      <c r="FY4838"/>
      <c r="FZ4838"/>
      <c r="GA4838"/>
      <c r="GB4838"/>
      <c r="GC4838"/>
      <c r="GD4838"/>
      <c r="GE4838"/>
      <c r="GF4838"/>
      <c r="GG4838"/>
      <c r="GH4838"/>
      <c r="GI4838"/>
      <c r="GJ4838"/>
      <c r="GK4838"/>
      <c r="GL4838"/>
      <c r="GM4838"/>
      <c r="GN4838"/>
      <c r="GO4838"/>
    </row>
    <row r="4839" spans="107:197">
      <c r="DC4839"/>
      <c r="FH4839"/>
      <c r="FI4839"/>
      <c r="FJ4839"/>
      <c r="FK4839"/>
      <c r="FL4839"/>
      <c r="FM4839"/>
      <c r="FN4839"/>
      <c r="FO4839"/>
      <c r="FP4839"/>
      <c r="FQ4839"/>
      <c r="FR4839"/>
      <c r="FS4839"/>
      <c r="FT4839"/>
      <c r="FU4839"/>
      <c r="FV4839"/>
      <c r="FW4839"/>
      <c r="FX4839"/>
      <c r="FY4839"/>
      <c r="FZ4839"/>
      <c r="GA4839"/>
      <c r="GB4839"/>
      <c r="GC4839"/>
      <c r="GD4839"/>
      <c r="GE4839"/>
      <c r="GF4839"/>
      <c r="GG4839"/>
      <c r="GH4839"/>
      <c r="GI4839"/>
      <c r="GJ4839"/>
      <c r="GK4839"/>
      <c r="GL4839"/>
      <c r="GM4839"/>
      <c r="GN4839"/>
      <c r="GO4839"/>
    </row>
    <row r="4840" spans="107:197">
      <c r="DC4840"/>
      <c r="FH4840"/>
      <c r="FI4840"/>
      <c r="FJ4840"/>
      <c r="FK4840"/>
      <c r="FL4840"/>
      <c r="FM4840"/>
      <c r="FN4840"/>
      <c r="FO4840"/>
      <c r="FP4840"/>
      <c r="FQ4840"/>
      <c r="FR4840"/>
      <c r="FS4840"/>
      <c r="FT4840"/>
      <c r="FU4840"/>
      <c r="FV4840"/>
      <c r="FW4840"/>
      <c r="FX4840"/>
      <c r="FY4840"/>
      <c r="FZ4840"/>
      <c r="GA4840"/>
      <c r="GB4840"/>
      <c r="GC4840"/>
      <c r="GD4840"/>
      <c r="GE4840"/>
      <c r="GF4840"/>
      <c r="GG4840"/>
      <c r="GH4840"/>
      <c r="GI4840"/>
      <c r="GJ4840"/>
      <c r="GK4840"/>
      <c r="GL4840"/>
      <c r="GM4840"/>
      <c r="GN4840"/>
      <c r="GO4840"/>
    </row>
    <row r="4841" spans="107:197">
      <c r="DC4841"/>
      <c r="FH4841"/>
      <c r="FI4841"/>
      <c r="FJ4841"/>
      <c r="FK4841"/>
      <c r="FL4841"/>
      <c r="FM4841"/>
      <c r="FN4841"/>
      <c r="FO4841"/>
      <c r="FP4841"/>
      <c r="FQ4841"/>
      <c r="FR4841"/>
      <c r="FS4841"/>
      <c r="FT4841"/>
      <c r="FU4841"/>
      <c r="FV4841"/>
      <c r="FW4841"/>
      <c r="FX4841"/>
      <c r="FY4841"/>
      <c r="FZ4841"/>
      <c r="GA4841"/>
      <c r="GB4841"/>
      <c r="GC4841"/>
      <c r="GD4841"/>
      <c r="GE4841"/>
      <c r="GF4841"/>
      <c r="GG4841"/>
      <c r="GH4841"/>
      <c r="GI4841"/>
      <c r="GJ4841"/>
      <c r="GK4841"/>
      <c r="GL4841"/>
      <c r="GM4841"/>
      <c r="GN4841"/>
      <c r="GO4841"/>
    </row>
    <row r="4842" spans="107:197">
      <c r="DC4842"/>
      <c r="FH4842"/>
      <c r="FI4842"/>
      <c r="FJ4842"/>
      <c r="FK4842"/>
      <c r="FL4842"/>
      <c r="FM4842"/>
      <c r="FN4842"/>
      <c r="FO4842"/>
      <c r="FP4842"/>
      <c r="FQ4842"/>
      <c r="FR4842"/>
      <c r="FS4842"/>
      <c r="FT4842"/>
      <c r="FU4842"/>
      <c r="FV4842"/>
      <c r="FW4842"/>
      <c r="FX4842"/>
      <c r="FY4842"/>
      <c r="FZ4842"/>
      <c r="GA4842"/>
      <c r="GB4842"/>
      <c r="GC4842"/>
      <c r="GD4842"/>
      <c r="GE4842"/>
      <c r="GF4842"/>
      <c r="GG4842"/>
      <c r="GH4842"/>
      <c r="GI4842"/>
      <c r="GJ4842"/>
      <c r="GK4842"/>
      <c r="GL4842"/>
      <c r="GM4842"/>
      <c r="GN4842"/>
      <c r="GO4842"/>
    </row>
    <row r="4843" spans="107:197">
      <c r="DC4843"/>
      <c r="FH4843"/>
      <c r="FI4843"/>
      <c r="FJ4843"/>
      <c r="FK4843"/>
      <c r="FL4843"/>
      <c r="FM4843"/>
      <c r="FN4843"/>
      <c r="FO4843"/>
      <c r="FP4843"/>
      <c r="FQ4843"/>
      <c r="FR4843"/>
      <c r="FS4843"/>
      <c r="FT4843"/>
      <c r="FU4843"/>
      <c r="FV4843"/>
      <c r="FW4843"/>
      <c r="FX4843"/>
      <c r="FY4843"/>
      <c r="FZ4843"/>
      <c r="GA4843"/>
      <c r="GB4843"/>
      <c r="GC4843"/>
      <c r="GD4843"/>
      <c r="GE4843"/>
      <c r="GF4843"/>
      <c r="GG4843"/>
      <c r="GH4843"/>
      <c r="GI4843"/>
      <c r="GJ4843"/>
      <c r="GK4843"/>
      <c r="GL4843"/>
      <c r="GM4843"/>
      <c r="GN4843"/>
      <c r="GO4843"/>
    </row>
    <row r="4844" spans="107:197">
      <c r="DC4844"/>
      <c r="FH4844"/>
      <c r="FI4844"/>
      <c r="FJ4844"/>
      <c r="FK4844"/>
      <c r="FL4844"/>
      <c r="FM4844"/>
      <c r="FN4844"/>
      <c r="FO4844"/>
      <c r="FP4844"/>
      <c r="FQ4844"/>
      <c r="FR4844"/>
      <c r="FS4844"/>
      <c r="FT4844"/>
      <c r="FU4844"/>
      <c r="FV4844"/>
      <c r="FW4844"/>
      <c r="FX4844"/>
      <c r="FY4844"/>
      <c r="FZ4844"/>
      <c r="GA4844"/>
      <c r="GB4844"/>
      <c r="GC4844"/>
      <c r="GD4844"/>
      <c r="GE4844"/>
      <c r="GF4844"/>
      <c r="GG4844"/>
      <c r="GH4844"/>
      <c r="GI4844"/>
      <c r="GJ4844"/>
      <c r="GK4844"/>
      <c r="GL4844"/>
      <c r="GM4844"/>
      <c r="GN4844"/>
      <c r="GO4844"/>
    </row>
    <row r="4845" spans="107:197">
      <c r="DC4845"/>
      <c r="FH4845"/>
      <c r="FI4845"/>
      <c r="FJ4845"/>
      <c r="FK4845"/>
      <c r="FL4845"/>
      <c r="FM4845"/>
      <c r="FN4845"/>
      <c r="FO4845"/>
      <c r="FP4845"/>
      <c r="FQ4845"/>
      <c r="FR4845"/>
      <c r="FS4845"/>
      <c r="FT4845"/>
      <c r="FU4845"/>
      <c r="FV4845"/>
      <c r="FW4845"/>
      <c r="FX4845"/>
      <c r="FY4845"/>
      <c r="FZ4845"/>
      <c r="GA4845"/>
      <c r="GB4845"/>
      <c r="GC4845"/>
      <c r="GD4845"/>
      <c r="GE4845"/>
      <c r="GF4845"/>
      <c r="GG4845"/>
      <c r="GH4845"/>
      <c r="GI4845"/>
      <c r="GJ4845"/>
      <c r="GK4845"/>
      <c r="GL4845"/>
      <c r="GM4845"/>
      <c r="GN4845"/>
      <c r="GO4845"/>
    </row>
    <row r="4846" spans="107:197">
      <c r="DC4846"/>
      <c r="FH4846"/>
      <c r="FI4846"/>
      <c r="FJ4846"/>
      <c r="FK4846"/>
      <c r="FL4846"/>
      <c r="FM4846"/>
      <c r="FN4846"/>
      <c r="FO4846"/>
      <c r="FP4846"/>
      <c r="FQ4846"/>
      <c r="FR4846"/>
      <c r="FS4846"/>
      <c r="FT4846"/>
      <c r="FU4846"/>
      <c r="FV4846"/>
      <c r="FW4846"/>
      <c r="FX4846"/>
      <c r="FY4846"/>
      <c r="FZ4846"/>
      <c r="GA4846"/>
      <c r="GB4846"/>
      <c r="GC4846"/>
      <c r="GD4846"/>
      <c r="GE4846"/>
      <c r="GF4846"/>
      <c r="GG4846"/>
      <c r="GH4846"/>
      <c r="GI4846"/>
      <c r="GJ4846"/>
      <c r="GK4846"/>
      <c r="GL4846"/>
      <c r="GM4846"/>
      <c r="GN4846"/>
      <c r="GO4846"/>
    </row>
    <row r="4847" spans="107:197">
      <c r="DC4847"/>
      <c r="FH4847"/>
      <c r="FI4847"/>
      <c r="FJ4847"/>
      <c r="FK4847"/>
      <c r="FL4847"/>
      <c r="FM4847"/>
      <c r="FN4847"/>
      <c r="FO4847"/>
      <c r="FP4847"/>
      <c r="FQ4847"/>
      <c r="FR4847"/>
      <c r="FS4847"/>
      <c r="FT4847"/>
      <c r="FU4847"/>
      <c r="FV4847"/>
      <c r="FW4847"/>
      <c r="FX4847"/>
      <c r="FY4847"/>
      <c r="FZ4847"/>
      <c r="GA4847"/>
      <c r="GB4847"/>
      <c r="GC4847"/>
      <c r="GD4847"/>
      <c r="GE4847"/>
      <c r="GF4847"/>
      <c r="GG4847"/>
      <c r="GH4847"/>
      <c r="GI4847"/>
      <c r="GJ4847"/>
      <c r="GK4847"/>
      <c r="GL4847"/>
      <c r="GM4847"/>
      <c r="GN4847"/>
      <c r="GO4847"/>
    </row>
    <row r="4848" spans="107:197">
      <c r="DC4848"/>
      <c r="FH4848"/>
      <c r="FI4848"/>
      <c r="FJ4848"/>
      <c r="FK4848"/>
      <c r="FL4848"/>
      <c r="FM4848"/>
      <c r="FN4848"/>
      <c r="FO4848"/>
      <c r="FP4848"/>
      <c r="FQ4848"/>
      <c r="FR4848"/>
      <c r="FS4848"/>
      <c r="FT4848"/>
      <c r="FU4848"/>
      <c r="FV4848"/>
      <c r="FW4848"/>
      <c r="FX4848"/>
      <c r="FY4848"/>
      <c r="FZ4848"/>
      <c r="GA4848"/>
      <c r="GB4848"/>
      <c r="GC4848"/>
      <c r="GD4848"/>
      <c r="GE4848"/>
      <c r="GF4848"/>
      <c r="GG4848"/>
      <c r="GH4848"/>
      <c r="GI4848"/>
      <c r="GJ4848"/>
      <c r="GK4848"/>
      <c r="GL4848"/>
      <c r="GM4848"/>
      <c r="GN4848"/>
      <c r="GO4848"/>
    </row>
    <row r="4849" spans="107:197">
      <c r="DC4849"/>
      <c r="FH4849"/>
      <c r="FI4849"/>
      <c r="FJ4849"/>
      <c r="FK4849"/>
      <c r="FL4849"/>
      <c r="FM4849"/>
      <c r="FN4849"/>
      <c r="FO4849"/>
      <c r="FP4849"/>
      <c r="FQ4849"/>
      <c r="FR4849"/>
      <c r="FS4849"/>
      <c r="FT4849"/>
      <c r="FU4849"/>
      <c r="FV4849"/>
      <c r="FW4849"/>
      <c r="FX4849"/>
      <c r="FY4849"/>
      <c r="FZ4849"/>
      <c r="GA4849"/>
      <c r="GB4849"/>
      <c r="GC4849"/>
      <c r="GD4849"/>
      <c r="GE4849"/>
      <c r="GF4849"/>
      <c r="GG4849"/>
      <c r="GH4849"/>
      <c r="GI4849"/>
      <c r="GJ4849"/>
      <c r="GK4849"/>
      <c r="GL4849"/>
      <c r="GM4849"/>
      <c r="GN4849"/>
      <c r="GO4849"/>
    </row>
    <row r="4850" spans="107:197">
      <c r="DC4850"/>
      <c r="FH4850"/>
      <c r="FI4850"/>
      <c r="FJ4850"/>
      <c r="FK4850"/>
      <c r="FL4850"/>
      <c r="FM4850"/>
      <c r="FN4850"/>
      <c r="FO4850"/>
      <c r="FP4850"/>
      <c r="FQ4850"/>
      <c r="FR4850"/>
      <c r="FS4850"/>
      <c r="FT4850"/>
      <c r="FU4850"/>
      <c r="FV4850"/>
      <c r="FW4850"/>
      <c r="FX4850"/>
      <c r="FY4850"/>
      <c r="FZ4850"/>
      <c r="GA4850"/>
      <c r="GB4850"/>
      <c r="GC4850"/>
      <c r="GD4850"/>
      <c r="GE4850"/>
      <c r="GF4850"/>
      <c r="GG4850"/>
      <c r="GH4850"/>
      <c r="GI4850"/>
      <c r="GJ4850"/>
      <c r="GK4850"/>
      <c r="GL4850"/>
      <c r="GM4850"/>
      <c r="GN4850"/>
      <c r="GO4850"/>
    </row>
    <row r="4851" spans="107:197">
      <c r="DC4851"/>
      <c r="FH4851"/>
      <c r="FI4851"/>
      <c r="FJ4851"/>
      <c r="FK4851"/>
      <c r="FL4851"/>
      <c r="FM4851"/>
      <c r="FN4851"/>
      <c r="FO4851"/>
      <c r="FP4851"/>
      <c r="FQ4851"/>
      <c r="FR4851"/>
      <c r="FS4851"/>
      <c r="FT4851"/>
      <c r="FU4851"/>
      <c r="FV4851"/>
      <c r="FW4851"/>
      <c r="FX4851"/>
      <c r="FY4851"/>
      <c r="FZ4851"/>
      <c r="GA4851"/>
      <c r="GB4851"/>
      <c r="GC4851"/>
      <c r="GD4851"/>
      <c r="GE4851"/>
      <c r="GF4851"/>
      <c r="GG4851"/>
      <c r="GH4851"/>
      <c r="GI4851"/>
      <c r="GJ4851"/>
      <c r="GK4851"/>
      <c r="GL4851"/>
      <c r="GM4851"/>
      <c r="GN4851"/>
      <c r="GO4851"/>
    </row>
    <row r="4852" spans="107:197">
      <c r="DC4852"/>
      <c r="FH4852"/>
      <c r="FI4852"/>
      <c r="FJ4852"/>
      <c r="FK4852"/>
      <c r="FL4852"/>
      <c r="FM4852"/>
      <c r="FN4852"/>
      <c r="FO4852"/>
      <c r="FP4852"/>
      <c r="FQ4852"/>
      <c r="FR4852"/>
      <c r="FS4852"/>
      <c r="FT4852"/>
      <c r="FU4852"/>
      <c r="FV4852"/>
      <c r="FW4852"/>
      <c r="FX4852"/>
      <c r="FY4852"/>
      <c r="FZ4852"/>
      <c r="GA4852"/>
      <c r="GB4852"/>
      <c r="GC4852"/>
      <c r="GD4852"/>
      <c r="GE4852"/>
      <c r="GF4852"/>
      <c r="GG4852"/>
      <c r="GH4852"/>
      <c r="GI4852"/>
      <c r="GJ4852"/>
      <c r="GK4852"/>
      <c r="GL4852"/>
      <c r="GM4852"/>
      <c r="GN4852"/>
      <c r="GO4852"/>
    </row>
    <row r="4853" spans="107:197">
      <c r="DC4853"/>
      <c r="FH4853"/>
      <c r="FI4853"/>
      <c r="FJ4853"/>
      <c r="FK4853"/>
      <c r="FL4853"/>
      <c r="FM4853"/>
      <c r="FN4853"/>
      <c r="FO4853"/>
      <c r="FP4853"/>
      <c r="FQ4853"/>
      <c r="FR4853"/>
      <c r="FS4853"/>
      <c r="FT4853"/>
      <c r="FU4853"/>
      <c r="FV4853"/>
      <c r="FW4853"/>
      <c r="FX4853"/>
      <c r="FY4853"/>
      <c r="FZ4853"/>
      <c r="GA4853"/>
      <c r="GB4853"/>
      <c r="GC4853"/>
      <c r="GD4853"/>
      <c r="GE4853"/>
      <c r="GF4853"/>
      <c r="GG4853"/>
      <c r="GH4853"/>
      <c r="GI4853"/>
      <c r="GJ4853"/>
      <c r="GK4853"/>
      <c r="GL4853"/>
      <c r="GM4853"/>
      <c r="GN4853"/>
      <c r="GO4853"/>
    </row>
    <row r="4854" spans="107:197">
      <c r="DC4854"/>
      <c r="FH4854"/>
      <c r="FI4854"/>
      <c r="FJ4854"/>
      <c r="FK4854"/>
      <c r="FL4854"/>
      <c r="FM4854"/>
      <c r="FN4854"/>
      <c r="FO4854"/>
      <c r="FP4854"/>
      <c r="FQ4854"/>
      <c r="FR4854"/>
      <c r="FS4854"/>
      <c r="FT4854"/>
      <c r="FU4854"/>
      <c r="FV4854"/>
      <c r="FW4854"/>
      <c r="FX4854"/>
      <c r="FY4854"/>
      <c r="FZ4854"/>
      <c r="GA4854"/>
      <c r="GB4854"/>
      <c r="GC4854"/>
      <c r="GD4854"/>
      <c r="GE4854"/>
      <c r="GF4854"/>
      <c r="GG4854"/>
      <c r="GH4854"/>
      <c r="GI4854"/>
      <c r="GJ4854"/>
      <c r="GK4854"/>
      <c r="GL4854"/>
      <c r="GM4854"/>
      <c r="GN4854"/>
      <c r="GO4854"/>
    </row>
    <row r="4855" spans="107:197">
      <c r="DC4855"/>
      <c r="FH4855"/>
      <c r="FI4855"/>
      <c r="FJ4855"/>
      <c r="FK4855"/>
      <c r="FL4855"/>
      <c r="FM4855"/>
      <c r="FN4855"/>
      <c r="FO4855"/>
      <c r="FP4855"/>
      <c r="FQ4855"/>
      <c r="FR4855"/>
      <c r="FS4855"/>
      <c r="FT4855"/>
      <c r="FU4855"/>
      <c r="FV4855"/>
      <c r="FW4855"/>
      <c r="FX4855"/>
      <c r="FY4855"/>
      <c r="FZ4855"/>
      <c r="GA4855"/>
      <c r="GB4855"/>
      <c r="GC4855"/>
      <c r="GD4855"/>
      <c r="GE4855"/>
      <c r="GF4855"/>
      <c r="GG4855"/>
      <c r="GH4855"/>
      <c r="GI4855"/>
      <c r="GJ4855"/>
      <c r="GK4855"/>
      <c r="GL4855"/>
      <c r="GM4855"/>
      <c r="GN4855"/>
      <c r="GO4855"/>
    </row>
    <row r="4856" spans="107:197">
      <c r="DC4856"/>
      <c r="FH4856"/>
      <c r="FI4856"/>
      <c r="FJ4856"/>
      <c r="FK4856"/>
      <c r="FL4856"/>
      <c r="FM4856"/>
      <c r="FN4856"/>
      <c r="FO4856"/>
      <c r="FP4856"/>
      <c r="FQ4856"/>
      <c r="FR4856"/>
      <c r="FS4856"/>
      <c r="FT4856"/>
      <c r="FU4856"/>
      <c r="FV4856"/>
      <c r="FW4856"/>
      <c r="FX4856"/>
      <c r="FY4856"/>
      <c r="FZ4856"/>
      <c r="GA4856"/>
      <c r="GB4856"/>
      <c r="GC4856"/>
      <c r="GD4856"/>
      <c r="GE4856"/>
      <c r="GF4856"/>
      <c r="GG4856"/>
      <c r="GH4856"/>
      <c r="GI4856"/>
      <c r="GJ4856"/>
      <c r="GK4856"/>
      <c r="GL4856"/>
      <c r="GM4856"/>
      <c r="GN4856"/>
      <c r="GO4856"/>
    </row>
    <row r="4857" spans="107:197">
      <c r="DC4857"/>
      <c r="FH4857"/>
      <c r="FI4857"/>
      <c r="FJ4857"/>
      <c r="FK4857"/>
      <c r="FL4857"/>
      <c r="FM4857"/>
      <c r="FN4857"/>
      <c r="FO4857"/>
      <c r="FP4857"/>
      <c r="FQ4857"/>
      <c r="FR4857"/>
      <c r="FS4857"/>
      <c r="FT4857"/>
      <c r="FU4857"/>
      <c r="FV4857"/>
      <c r="FW4857"/>
      <c r="FX4857"/>
      <c r="FY4857"/>
      <c r="FZ4857"/>
      <c r="GA4857"/>
      <c r="GB4857"/>
      <c r="GC4857"/>
      <c r="GD4857"/>
      <c r="GE4857"/>
      <c r="GF4857"/>
      <c r="GG4857"/>
      <c r="GH4857"/>
      <c r="GI4857"/>
      <c r="GJ4857"/>
      <c r="GK4857"/>
      <c r="GL4857"/>
      <c r="GM4857"/>
      <c r="GN4857"/>
      <c r="GO4857"/>
    </row>
    <row r="4858" spans="107:197">
      <c r="DC4858"/>
      <c r="FH4858"/>
      <c r="FI4858"/>
      <c r="FJ4858"/>
      <c r="FK4858"/>
      <c r="FL4858"/>
      <c r="FM4858"/>
      <c r="FN4858"/>
      <c r="FO4858"/>
      <c r="FP4858"/>
      <c r="FQ4858"/>
      <c r="FR4858"/>
      <c r="FS4858"/>
      <c r="FT4858"/>
      <c r="FU4858"/>
      <c r="FV4858"/>
      <c r="FW4858"/>
      <c r="FX4858"/>
      <c r="FY4858"/>
      <c r="FZ4858"/>
      <c r="GA4858"/>
      <c r="GB4858"/>
      <c r="GC4858"/>
      <c r="GD4858"/>
      <c r="GE4858"/>
      <c r="GF4858"/>
      <c r="GG4858"/>
      <c r="GH4858"/>
      <c r="GI4858"/>
      <c r="GJ4858"/>
      <c r="GK4858"/>
      <c r="GL4858"/>
      <c r="GM4858"/>
      <c r="GN4858"/>
      <c r="GO4858"/>
    </row>
    <row r="4859" spans="107:197">
      <c r="DC4859"/>
      <c r="FH4859"/>
      <c r="FI4859"/>
      <c r="FJ4859"/>
      <c r="FK4859"/>
      <c r="FL4859"/>
      <c r="FM4859"/>
      <c r="FN4859"/>
      <c r="FO4859"/>
      <c r="FP4859"/>
      <c r="FQ4859"/>
      <c r="FR4859"/>
      <c r="FS4859"/>
      <c r="FT4859"/>
      <c r="FU4859"/>
      <c r="FV4859"/>
      <c r="FW4859"/>
      <c r="FX4859"/>
      <c r="FY4859"/>
      <c r="FZ4859"/>
      <c r="GA4859"/>
      <c r="GB4859"/>
      <c r="GC4859"/>
      <c r="GD4859"/>
      <c r="GE4859"/>
      <c r="GF4859"/>
      <c r="GG4859"/>
      <c r="GH4859"/>
      <c r="GI4859"/>
      <c r="GJ4859"/>
      <c r="GK4859"/>
      <c r="GL4859"/>
      <c r="GM4859"/>
      <c r="GN4859"/>
      <c r="GO4859"/>
    </row>
    <row r="4860" spans="107:197">
      <c r="DC4860"/>
      <c r="FH4860"/>
      <c r="FI4860"/>
      <c r="FJ4860"/>
      <c r="FK4860"/>
      <c r="FL4860"/>
      <c r="FM4860"/>
      <c r="FN4860"/>
      <c r="FO4860"/>
      <c r="FP4860"/>
      <c r="FQ4860"/>
      <c r="FR4860"/>
      <c r="FS4860"/>
      <c r="FT4860"/>
      <c r="FU4860"/>
      <c r="FV4860"/>
      <c r="FW4860"/>
      <c r="FX4860"/>
      <c r="FY4860"/>
      <c r="FZ4860"/>
      <c r="GA4860"/>
      <c r="GB4860"/>
      <c r="GC4860"/>
      <c r="GD4860"/>
      <c r="GE4860"/>
      <c r="GF4860"/>
      <c r="GG4860"/>
      <c r="GH4860"/>
      <c r="GI4860"/>
      <c r="GJ4860"/>
      <c r="GK4860"/>
      <c r="GL4860"/>
      <c r="GM4860"/>
      <c r="GN4860"/>
      <c r="GO4860"/>
    </row>
    <row r="4861" spans="107:197">
      <c r="DC4861"/>
      <c r="FH4861"/>
      <c r="FI4861"/>
      <c r="FJ4861"/>
      <c r="FK4861"/>
      <c r="FL4861"/>
      <c r="FM4861"/>
      <c r="FN4861"/>
      <c r="FO4861"/>
      <c r="FP4861"/>
      <c r="FQ4861"/>
      <c r="FR4861"/>
      <c r="FS4861"/>
      <c r="FT4861"/>
      <c r="FU4861"/>
      <c r="FV4861"/>
      <c r="FW4861"/>
      <c r="FX4861"/>
      <c r="FY4861"/>
      <c r="FZ4861"/>
      <c r="GA4861"/>
      <c r="GB4861"/>
      <c r="GC4861"/>
      <c r="GD4861"/>
      <c r="GE4861"/>
      <c r="GF4861"/>
      <c r="GG4861"/>
      <c r="GH4861"/>
      <c r="GI4861"/>
      <c r="GJ4861"/>
      <c r="GK4861"/>
      <c r="GL4861"/>
      <c r="GM4861"/>
      <c r="GN4861"/>
      <c r="GO4861"/>
    </row>
    <row r="4862" spans="107:197">
      <c r="DC4862"/>
      <c r="FH4862"/>
      <c r="FI4862"/>
      <c r="FJ4862"/>
      <c r="FK4862"/>
      <c r="FL4862"/>
      <c r="FM4862"/>
      <c r="FN4862"/>
      <c r="FO4862"/>
      <c r="FP4862"/>
      <c r="FQ4862"/>
      <c r="FR4862"/>
      <c r="FS4862"/>
      <c r="FT4862"/>
      <c r="FU4862"/>
      <c r="FV4862"/>
      <c r="FW4862"/>
      <c r="FX4862"/>
      <c r="FY4862"/>
      <c r="FZ4862"/>
      <c r="GA4862"/>
      <c r="GB4862"/>
      <c r="GC4862"/>
      <c r="GD4862"/>
      <c r="GE4862"/>
      <c r="GF4862"/>
      <c r="GG4862"/>
      <c r="GH4862"/>
      <c r="GI4862"/>
      <c r="GJ4862"/>
      <c r="GK4862"/>
      <c r="GL4862"/>
      <c r="GM4862"/>
      <c r="GN4862"/>
      <c r="GO4862"/>
    </row>
    <row r="4863" spans="107:197">
      <c r="DC4863"/>
      <c r="FH4863"/>
      <c r="FI4863"/>
      <c r="FJ4863"/>
      <c r="FK4863"/>
      <c r="FL4863"/>
      <c r="FM4863"/>
      <c r="FN4863"/>
      <c r="FO4863"/>
      <c r="FP4863"/>
      <c r="FQ4863"/>
      <c r="FR4863"/>
      <c r="FS4863"/>
      <c r="FT4863"/>
      <c r="FU4863"/>
      <c r="FV4863"/>
      <c r="FW4863"/>
      <c r="FX4863"/>
      <c r="FY4863"/>
      <c r="FZ4863"/>
      <c r="GA4863"/>
      <c r="GB4863"/>
      <c r="GC4863"/>
      <c r="GD4863"/>
      <c r="GE4863"/>
      <c r="GF4863"/>
      <c r="GG4863"/>
      <c r="GH4863"/>
      <c r="GI4863"/>
      <c r="GJ4863"/>
      <c r="GK4863"/>
      <c r="GL4863"/>
      <c r="GM4863"/>
      <c r="GN4863"/>
      <c r="GO4863"/>
    </row>
    <row r="4864" spans="107:197">
      <c r="DC4864"/>
      <c r="FH4864"/>
      <c r="FI4864"/>
      <c r="FJ4864"/>
      <c r="FK4864"/>
      <c r="FL4864"/>
      <c r="FM4864"/>
      <c r="FN4864"/>
      <c r="FO4864"/>
      <c r="FP4864"/>
      <c r="FQ4864"/>
      <c r="FR4864"/>
      <c r="FS4864"/>
      <c r="FT4864"/>
      <c r="FU4864"/>
      <c r="FV4864"/>
      <c r="FW4864"/>
      <c r="FX4864"/>
      <c r="FY4864"/>
      <c r="FZ4864"/>
      <c r="GA4864"/>
      <c r="GB4864"/>
      <c r="GC4864"/>
      <c r="GD4864"/>
      <c r="GE4864"/>
      <c r="GF4864"/>
      <c r="GG4864"/>
      <c r="GH4864"/>
      <c r="GI4864"/>
      <c r="GJ4864"/>
      <c r="GK4864"/>
      <c r="GL4864"/>
      <c r="GM4864"/>
      <c r="GN4864"/>
      <c r="GO4864"/>
    </row>
    <row r="4865" spans="107:197">
      <c r="DC4865"/>
      <c r="FH4865"/>
      <c r="FI4865"/>
      <c r="FJ4865"/>
      <c r="FK4865"/>
      <c r="FL4865"/>
      <c r="FM4865"/>
      <c r="FN4865"/>
      <c r="FO4865"/>
      <c r="FP4865"/>
      <c r="FQ4865"/>
      <c r="FR4865"/>
      <c r="FS4865"/>
      <c r="FT4865"/>
      <c r="FU4865"/>
      <c r="FV4865"/>
      <c r="FW4865"/>
      <c r="FX4865"/>
      <c r="FY4865"/>
      <c r="FZ4865"/>
      <c r="GA4865"/>
      <c r="GB4865"/>
      <c r="GC4865"/>
      <c r="GD4865"/>
      <c r="GE4865"/>
      <c r="GF4865"/>
      <c r="GG4865"/>
      <c r="GH4865"/>
      <c r="GI4865"/>
      <c r="GJ4865"/>
      <c r="GK4865"/>
      <c r="GL4865"/>
      <c r="GM4865"/>
      <c r="GN4865"/>
      <c r="GO4865"/>
    </row>
    <row r="4866" spans="107:197">
      <c r="DC4866"/>
      <c r="FH4866"/>
      <c r="FI4866"/>
      <c r="FJ4866"/>
      <c r="FK4866"/>
      <c r="FL4866"/>
      <c r="FM4866"/>
      <c r="FN4866"/>
      <c r="FO4866"/>
      <c r="FP4866"/>
      <c r="FQ4866"/>
      <c r="FR4866"/>
      <c r="FS4866"/>
      <c r="FT4866"/>
      <c r="FU4866"/>
      <c r="FV4866"/>
      <c r="FW4866"/>
      <c r="FX4866"/>
      <c r="FY4866"/>
      <c r="FZ4866"/>
      <c r="GA4866"/>
      <c r="GB4866"/>
      <c r="GC4866"/>
      <c r="GD4866"/>
      <c r="GE4866"/>
      <c r="GF4866"/>
      <c r="GG4866"/>
      <c r="GH4866"/>
      <c r="GI4866"/>
      <c r="GJ4866"/>
      <c r="GK4866"/>
      <c r="GL4866"/>
      <c r="GM4866"/>
      <c r="GN4866"/>
      <c r="GO4866"/>
    </row>
    <row r="4867" spans="107:197">
      <c r="DC4867"/>
      <c r="FH4867"/>
      <c r="FI4867"/>
      <c r="FJ4867"/>
      <c r="FK4867"/>
      <c r="FL4867"/>
      <c r="FM4867"/>
      <c r="FN4867"/>
      <c r="FO4867"/>
      <c r="FP4867"/>
      <c r="FQ4867"/>
      <c r="FR4867"/>
      <c r="FS4867"/>
      <c r="FT4867"/>
      <c r="FU4867"/>
      <c r="FV4867"/>
      <c r="FW4867"/>
      <c r="FX4867"/>
      <c r="FY4867"/>
      <c r="FZ4867"/>
      <c r="GA4867"/>
      <c r="GB4867"/>
      <c r="GC4867"/>
      <c r="GD4867"/>
      <c r="GE4867"/>
      <c r="GF4867"/>
      <c r="GG4867"/>
      <c r="GH4867"/>
      <c r="GI4867"/>
      <c r="GJ4867"/>
      <c r="GK4867"/>
      <c r="GL4867"/>
      <c r="GM4867"/>
      <c r="GN4867"/>
      <c r="GO4867"/>
    </row>
    <row r="4868" spans="107:197">
      <c r="DC4868"/>
      <c r="FH4868"/>
      <c r="FI4868"/>
      <c r="FJ4868"/>
      <c r="FK4868"/>
      <c r="FL4868"/>
      <c r="FM4868"/>
      <c r="FN4868"/>
      <c r="FO4868"/>
      <c r="FP4868"/>
      <c r="FQ4868"/>
      <c r="FR4868"/>
      <c r="FS4868"/>
      <c r="FT4868"/>
      <c r="FU4868"/>
      <c r="FV4868"/>
      <c r="FW4868"/>
      <c r="FX4868"/>
      <c r="FY4868"/>
      <c r="FZ4868"/>
      <c r="GA4868"/>
      <c r="GB4868"/>
      <c r="GC4868"/>
      <c r="GD4868"/>
      <c r="GE4868"/>
      <c r="GF4868"/>
      <c r="GG4868"/>
      <c r="GH4868"/>
      <c r="GI4868"/>
      <c r="GJ4868"/>
      <c r="GK4868"/>
      <c r="GL4868"/>
      <c r="GM4868"/>
      <c r="GN4868"/>
      <c r="GO4868"/>
    </row>
    <row r="4869" spans="107:197">
      <c r="DC4869"/>
      <c r="FH4869"/>
      <c r="FI4869"/>
      <c r="FJ4869"/>
      <c r="FK4869"/>
      <c r="FL4869"/>
      <c r="FM4869"/>
      <c r="FN4869"/>
      <c r="FO4869"/>
      <c r="FP4869"/>
      <c r="FQ4869"/>
      <c r="FR4869"/>
      <c r="FS4869"/>
      <c r="FT4869"/>
      <c r="FU4869"/>
      <c r="FV4869"/>
      <c r="FW4869"/>
      <c r="FX4869"/>
      <c r="FY4869"/>
      <c r="FZ4869"/>
      <c r="GA4869"/>
      <c r="GB4869"/>
      <c r="GC4869"/>
      <c r="GD4869"/>
      <c r="GE4869"/>
      <c r="GF4869"/>
      <c r="GG4869"/>
      <c r="GH4869"/>
      <c r="GI4869"/>
      <c r="GJ4869"/>
      <c r="GK4869"/>
      <c r="GL4869"/>
      <c r="GM4869"/>
      <c r="GN4869"/>
      <c r="GO4869"/>
    </row>
    <row r="4870" spans="107:197">
      <c r="DC4870"/>
      <c r="FH4870"/>
      <c r="FI4870"/>
      <c r="FJ4870"/>
      <c r="FK4870"/>
      <c r="FL4870"/>
      <c r="FM4870"/>
      <c r="FN4870"/>
      <c r="FO4870"/>
      <c r="FP4870"/>
      <c r="FQ4870"/>
      <c r="FR4870"/>
      <c r="FS4870"/>
      <c r="FT4870"/>
      <c r="FU4870"/>
      <c r="FV4870"/>
      <c r="FW4870"/>
      <c r="FX4870"/>
      <c r="FY4870"/>
      <c r="FZ4870"/>
      <c r="GA4870"/>
      <c r="GB4870"/>
      <c r="GC4870"/>
      <c r="GD4870"/>
      <c r="GE4870"/>
      <c r="GF4870"/>
      <c r="GG4870"/>
      <c r="GH4870"/>
      <c r="GI4870"/>
      <c r="GJ4870"/>
      <c r="GK4870"/>
      <c r="GL4870"/>
      <c r="GM4870"/>
      <c r="GN4870"/>
      <c r="GO4870"/>
    </row>
    <row r="4871" spans="107:197">
      <c r="DC4871"/>
      <c r="FH4871"/>
      <c r="FI4871"/>
      <c r="FJ4871"/>
      <c r="FK4871"/>
      <c r="FL4871"/>
      <c r="FM4871"/>
      <c r="FN4871"/>
      <c r="FO4871"/>
      <c r="FP4871"/>
      <c r="FQ4871"/>
      <c r="FR4871"/>
      <c r="FS4871"/>
      <c r="FT4871"/>
      <c r="FU4871"/>
      <c r="FV4871"/>
      <c r="FW4871"/>
      <c r="FX4871"/>
      <c r="FY4871"/>
      <c r="FZ4871"/>
      <c r="GA4871"/>
      <c r="GB4871"/>
      <c r="GC4871"/>
      <c r="GD4871"/>
      <c r="GE4871"/>
      <c r="GF4871"/>
      <c r="GG4871"/>
      <c r="GH4871"/>
      <c r="GI4871"/>
      <c r="GJ4871"/>
      <c r="GK4871"/>
      <c r="GL4871"/>
      <c r="GM4871"/>
      <c r="GN4871"/>
      <c r="GO4871"/>
    </row>
    <row r="4872" spans="107:197">
      <c r="DC4872"/>
      <c r="FH4872"/>
      <c r="FI4872"/>
      <c r="FJ4872"/>
      <c r="FK4872"/>
      <c r="FL4872"/>
      <c r="FM4872"/>
      <c r="FN4872"/>
      <c r="FO4872"/>
      <c r="FP4872"/>
      <c r="FQ4872"/>
      <c r="FR4872"/>
      <c r="FS4872"/>
      <c r="FT4872"/>
      <c r="FU4872"/>
      <c r="FV4872"/>
      <c r="FW4872"/>
      <c r="FX4872"/>
      <c r="FY4872"/>
      <c r="FZ4872"/>
      <c r="GA4872"/>
      <c r="GB4872"/>
      <c r="GC4872"/>
      <c r="GD4872"/>
      <c r="GE4872"/>
      <c r="GF4872"/>
      <c r="GG4872"/>
      <c r="GH4872"/>
      <c r="GI4872"/>
      <c r="GJ4872"/>
      <c r="GK4872"/>
      <c r="GL4872"/>
      <c r="GM4872"/>
      <c r="GN4872"/>
      <c r="GO4872"/>
    </row>
    <row r="4873" spans="107:197">
      <c r="DC4873"/>
      <c r="FH4873"/>
      <c r="FI4873"/>
      <c r="FJ4873"/>
      <c r="FK4873"/>
      <c r="FL4873"/>
      <c r="FM4873"/>
      <c r="FN4873"/>
      <c r="FO4873"/>
      <c r="FP4873"/>
      <c r="FQ4873"/>
      <c r="FR4873"/>
      <c r="FS4873"/>
      <c r="FT4873"/>
      <c r="FU4873"/>
      <c r="FV4873"/>
      <c r="FW4873"/>
      <c r="FX4873"/>
      <c r="FY4873"/>
      <c r="FZ4873"/>
      <c r="GA4873"/>
      <c r="GB4873"/>
      <c r="GC4873"/>
      <c r="GD4873"/>
      <c r="GE4873"/>
      <c r="GF4873"/>
      <c r="GG4873"/>
      <c r="GH4873"/>
      <c r="GI4873"/>
      <c r="GJ4873"/>
      <c r="GK4873"/>
      <c r="GL4873"/>
      <c r="GM4873"/>
      <c r="GN4873"/>
      <c r="GO4873"/>
    </row>
    <row r="4874" spans="107:197">
      <c r="DC4874"/>
      <c r="FH4874"/>
      <c r="FI4874"/>
      <c r="FJ4874"/>
      <c r="FK4874"/>
      <c r="FL4874"/>
      <c r="FM4874"/>
      <c r="FN4874"/>
      <c r="FO4874"/>
      <c r="FP4874"/>
      <c r="FQ4874"/>
      <c r="FR4874"/>
      <c r="FS4874"/>
      <c r="FT4874"/>
      <c r="FU4874"/>
      <c r="FV4874"/>
      <c r="FW4874"/>
      <c r="FX4874"/>
      <c r="FY4874"/>
      <c r="FZ4874"/>
      <c r="GA4874"/>
      <c r="GB4874"/>
      <c r="GC4874"/>
      <c r="GD4874"/>
      <c r="GE4874"/>
      <c r="GF4874"/>
      <c r="GG4874"/>
      <c r="GH4874"/>
      <c r="GI4874"/>
      <c r="GJ4874"/>
      <c r="GK4874"/>
      <c r="GL4874"/>
      <c r="GM4874"/>
      <c r="GN4874"/>
      <c r="GO4874"/>
    </row>
    <row r="4875" spans="107:197">
      <c r="DC4875"/>
      <c r="FH4875"/>
      <c r="FI4875"/>
      <c r="FJ4875"/>
      <c r="FK4875"/>
      <c r="FL4875"/>
      <c r="FM4875"/>
      <c r="FN4875"/>
      <c r="FO4875"/>
      <c r="FP4875"/>
      <c r="FQ4875"/>
      <c r="FR4875"/>
      <c r="FS4875"/>
      <c r="FT4875"/>
      <c r="FU4875"/>
      <c r="FV4875"/>
      <c r="FW4875"/>
      <c r="FX4875"/>
      <c r="FY4875"/>
      <c r="FZ4875"/>
      <c r="GA4875"/>
      <c r="GB4875"/>
      <c r="GC4875"/>
      <c r="GD4875"/>
      <c r="GE4875"/>
      <c r="GF4875"/>
      <c r="GG4875"/>
      <c r="GH4875"/>
      <c r="GI4875"/>
      <c r="GJ4875"/>
      <c r="GK4875"/>
      <c r="GL4875"/>
      <c r="GM4875"/>
      <c r="GN4875"/>
      <c r="GO4875"/>
    </row>
    <row r="4876" spans="107:197">
      <c r="DC4876"/>
      <c r="FH4876"/>
      <c r="FI4876"/>
      <c r="FJ4876"/>
      <c r="FK4876"/>
      <c r="FL4876"/>
      <c r="FM4876"/>
      <c r="FN4876"/>
      <c r="FO4876"/>
      <c r="FP4876"/>
      <c r="FQ4876"/>
      <c r="FR4876"/>
      <c r="FS4876"/>
      <c r="FT4876"/>
      <c r="FU4876"/>
      <c r="FV4876"/>
      <c r="FW4876"/>
      <c r="FX4876"/>
      <c r="FY4876"/>
      <c r="FZ4876"/>
      <c r="GA4876"/>
      <c r="GB4876"/>
      <c r="GC4876"/>
      <c r="GD4876"/>
      <c r="GE4876"/>
      <c r="GF4876"/>
      <c r="GG4876"/>
      <c r="GH4876"/>
      <c r="GI4876"/>
      <c r="GJ4876"/>
      <c r="GK4876"/>
      <c r="GL4876"/>
      <c r="GM4876"/>
      <c r="GN4876"/>
      <c r="GO4876"/>
    </row>
    <row r="4877" spans="107:197">
      <c r="DC4877"/>
      <c r="FH4877"/>
      <c r="FI4877"/>
      <c r="FJ4877"/>
      <c r="FK4877"/>
      <c r="FL4877"/>
      <c r="FM4877"/>
      <c r="FN4877"/>
      <c r="FO4877"/>
      <c r="FP4877"/>
      <c r="FQ4877"/>
      <c r="FR4877"/>
      <c r="FS4877"/>
      <c r="FT4877"/>
      <c r="FU4877"/>
      <c r="FV4877"/>
      <c r="FW4877"/>
      <c r="FX4877"/>
      <c r="FY4877"/>
      <c r="FZ4877"/>
      <c r="GA4877"/>
      <c r="GB4877"/>
      <c r="GC4877"/>
      <c r="GD4877"/>
      <c r="GE4877"/>
      <c r="GF4877"/>
      <c r="GG4877"/>
      <c r="GH4877"/>
      <c r="GI4877"/>
      <c r="GJ4877"/>
      <c r="GK4877"/>
      <c r="GL4877"/>
      <c r="GM4877"/>
      <c r="GN4877"/>
      <c r="GO4877"/>
    </row>
    <row r="4878" spans="107:197">
      <c r="DC4878"/>
      <c r="FH4878"/>
      <c r="FI4878"/>
      <c r="FJ4878"/>
      <c r="FK4878"/>
      <c r="FL4878"/>
      <c r="FM4878"/>
      <c r="FN4878"/>
      <c r="FO4878"/>
      <c r="FP4878"/>
      <c r="FQ4878"/>
      <c r="FR4878"/>
      <c r="FS4878"/>
      <c r="FT4878"/>
      <c r="FU4878"/>
      <c r="FV4878"/>
      <c r="FW4878"/>
      <c r="FX4878"/>
      <c r="FY4878"/>
      <c r="FZ4878"/>
      <c r="GA4878"/>
      <c r="GB4878"/>
      <c r="GC4878"/>
      <c r="GD4878"/>
      <c r="GE4878"/>
      <c r="GF4878"/>
      <c r="GG4878"/>
      <c r="GH4878"/>
      <c r="GI4878"/>
      <c r="GJ4878"/>
      <c r="GK4878"/>
      <c r="GL4878"/>
      <c r="GM4878"/>
      <c r="GN4878"/>
      <c r="GO4878"/>
    </row>
    <row r="4879" spans="107:197">
      <c r="DC4879"/>
      <c r="FH4879"/>
      <c r="FI4879"/>
      <c r="FJ4879"/>
      <c r="FK4879"/>
      <c r="FL4879"/>
      <c r="FM4879"/>
      <c r="FN4879"/>
      <c r="FO4879"/>
      <c r="FP4879"/>
      <c r="FQ4879"/>
      <c r="FR4879"/>
      <c r="FS4879"/>
      <c r="FT4879"/>
      <c r="FU4879"/>
      <c r="FV4879"/>
      <c r="FW4879"/>
      <c r="FX4879"/>
      <c r="FY4879"/>
      <c r="FZ4879"/>
      <c r="GA4879"/>
      <c r="GB4879"/>
      <c r="GC4879"/>
      <c r="GD4879"/>
      <c r="GE4879"/>
      <c r="GF4879"/>
      <c r="GG4879"/>
      <c r="GH4879"/>
      <c r="GI4879"/>
      <c r="GJ4879"/>
      <c r="GK4879"/>
      <c r="GL4879"/>
      <c r="GM4879"/>
      <c r="GN4879"/>
      <c r="GO4879"/>
    </row>
    <row r="4880" spans="107:197">
      <c r="DC4880"/>
      <c r="FH4880"/>
      <c r="FI4880"/>
      <c r="FJ4880"/>
      <c r="FK4880"/>
      <c r="FL4880"/>
      <c r="FM4880"/>
      <c r="FN4880"/>
      <c r="FO4880"/>
      <c r="FP4880"/>
      <c r="FQ4880"/>
      <c r="FR4880"/>
      <c r="FS4880"/>
      <c r="FT4880"/>
      <c r="FU4880"/>
      <c r="FV4880"/>
      <c r="FW4880"/>
      <c r="FX4880"/>
      <c r="FY4880"/>
      <c r="FZ4880"/>
      <c r="GA4880"/>
      <c r="GB4880"/>
      <c r="GC4880"/>
      <c r="GD4880"/>
      <c r="GE4880"/>
      <c r="GF4880"/>
      <c r="GG4880"/>
      <c r="GH4880"/>
      <c r="GI4880"/>
      <c r="GJ4880"/>
      <c r="GK4880"/>
      <c r="GL4880"/>
      <c r="GM4880"/>
      <c r="GN4880"/>
      <c r="GO4880"/>
    </row>
    <row r="4881" spans="107:197">
      <c r="DC4881"/>
      <c r="FH4881"/>
      <c r="FI4881"/>
      <c r="FJ4881"/>
      <c r="FK4881"/>
      <c r="FL4881"/>
      <c r="FM4881"/>
      <c r="FN4881"/>
      <c r="FO4881"/>
      <c r="FP4881"/>
      <c r="FQ4881"/>
      <c r="FR4881"/>
      <c r="FS4881"/>
      <c r="FT4881"/>
      <c r="FU4881"/>
      <c r="FV4881"/>
      <c r="FW4881"/>
      <c r="FX4881"/>
      <c r="FY4881"/>
      <c r="FZ4881"/>
      <c r="GA4881"/>
      <c r="GB4881"/>
      <c r="GC4881"/>
      <c r="GD4881"/>
      <c r="GE4881"/>
      <c r="GF4881"/>
      <c r="GG4881"/>
      <c r="GH4881"/>
      <c r="GI4881"/>
      <c r="GJ4881"/>
      <c r="GK4881"/>
      <c r="GL4881"/>
      <c r="GM4881"/>
      <c r="GN4881"/>
      <c r="GO4881"/>
    </row>
    <row r="4882" spans="107:197">
      <c r="DC4882"/>
      <c r="FH4882"/>
      <c r="FI4882"/>
      <c r="FJ4882"/>
      <c r="FK4882"/>
      <c r="FL4882"/>
      <c r="FM4882"/>
      <c r="FN4882"/>
      <c r="FO4882"/>
      <c r="FP4882"/>
      <c r="FQ4882"/>
      <c r="FR4882"/>
      <c r="FS4882"/>
      <c r="FT4882"/>
      <c r="FU4882"/>
      <c r="FV4882"/>
      <c r="FW4882"/>
      <c r="FX4882"/>
      <c r="FY4882"/>
      <c r="FZ4882"/>
      <c r="GA4882"/>
      <c r="GB4882"/>
      <c r="GC4882"/>
      <c r="GD4882"/>
      <c r="GE4882"/>
      <c r="GF4882"/>
      <c r="GG4882"/>
      <c r="GH4882"/>
      <c r="GI4882"/>
      <c r="GJ4882"/>
      <c r="GK4882"/>
      <c r="GL4882"/>
      <c r="GM4882"/>
      <c r="GN4882"/>
      <c r="GO4882"/>
    </row>
    <row r="4883" spans="107:197">
      <c r="DC4883"/>
      <c r="FH4883"/>
      <c r="FI4883"/>
      <c r="FJ4883"/>
      <c r="FK4883"/>
      <c r="FL4883"/>
      <c r="FM4883"/>
      <c r="FN4883"/>
      <c r="FO4883"/>
      <c r="FP4883"/>
      <c r="FQ4883"/>
      <c r="FR4883"/>
      <c r="FS4883"/>
      <c r="FT4883"/>
      <c r="FU4883"/>
      <c r="FV4883"/>
      <c r="FW4883"/>
      <c r="FX4883"/>
      <c r="FY4883"/>
      <c r="FZ4883"/>
      <c r="GA4883"/>
      <c r="GB4883"/>
      <c r="GC4883"/>
      <c r="GD4883"/>
      <c r="GE4883"/>
      <c r="GF4883"/>
      <c r="GG4883"/>
      <c r="GH4883"/>
      <c r="GI4883"/>
      <c r="GJ4883"/>
      <c r="GK4883"/>
      <c r="GL4883"/>
      <c r="GM4883"/>
      <c r="GN4883"/>
      <c r="GO4883"/>
    </row>
    <row r="4884" spans="107:197">
      <c r="DC4884"/>
      <c r="FH4884"/>
      <c r="FI4884"/>
      <c r="FJ4884"/>
      <c r="FK4884"/>
      <c r="FL4884"/>
      <c r="FM4884"/>
      <c r="FN4884"/>
      <c r="FO4884"/>
      <c r="FP4884"/>
      <c r="FQ4884"/>
      <c r="FR4884"/>
      <c r="FS4884"/>
      <c r="FT4884"/>
      <c r="FU4884"/>
      <c r="FV4884"/>
      <c r="FW4884"/>
      <c r="FX4884"/>
      <c r="FY4884"/>
      <c r="FZ4884"/>
      <c r="GA4884"/>
      <c r="GB4884"/>
      <c r="GC4884"/>
      <c r="GD4884"/>
      <c r="GE4884"/>
      <c r="GF4884"/>
      <c r="GG4884"/>
      <c r="GH4884"/>
      <c r="GI4884"/>
      <c r="GJ4884"/>
      <c r="GK4884"/>
      <c r="GL4884"/>
      <c r="GM4884"/>
      <c r="GN4884"/>
      <c r="GO4884"/>
    </row>
    <row r="4885" spans="107:197">
      <c r="DC4885"/>
      <c r="FH4885"/>
      <c r="FI4885"/>
      <c r="FJ4885"/>
      <c r="FK4885"/>
      <c r="FL4885"/>
      <c r="FM4885"/>
      <c r="FN4885"/>
      <c r="FO4885"/>
      <c r="FP4885"/>
      <c r="FQ4885"/>
      <c r="FR4885"/>
      <c r="FS4885"/>
      <c r="FT4885"/>
      <c r="FU4885"/>
      <c r="FV4885"/>
      <c r="FW4885"/>
      <c r="FX4885"/>
      <c r="FY4885"/>
      <c r="FZ4885"/>
      <c r="GA4885"/>
      <c r="GB4885"/>
      <c r="GC4885"/>
      <c r="GD4885"/>
      <c r="GE4885"/>
      <c r="GF4885"/>
      <c r="GG4885"/>
      <c r="GH4885"/>
      <c r="GI4885"/>
      <c r="GJ4885"/>
      <c r="GK4885"/>
      <c r="GL4885"/>
      <c r="GM4885"/>
      <c r="GN4885"/>
      <c r="GO4885"/>
    </row>
    <row r="4886" spans="107:197">
      <c r="DC4886"/>
      <c r="FH4886"/>
      <c r="FI4886"/>
      <c r="FJ4886"/>
      <c r="FK4886"/>
      <c r="FL4886"/>
      <c r="FM4886"/>
      <c r="FN4886"/>
      <c r="FO4886"/>
      <c r="FP4886"/>
      <c r="FQ4886"/>
      <c r="FR4886"/>
      <c r="FS4886"/>
      <c r="FT4886"/>
      <c r="FU4886"/>
      <c r="FV4886"/>
      <c r="FW4886"/>
      <c r="FX4886"/>
      <c r="FY4886"/>
      <c r="FZ4886"/>
      <c r="GA4886"/>
      <c r="GB4886"/>
      <c r="GC4886"/>
      <c r="GD4886"/>
      <c r="GE4886"/>
      <c r="GF4886"/>
      <c r="GG4886"/>
      <c r="GH4886"/>
      <c r="GI4886"/>
      <c r="GJ4886"/>
      <c r="GK4886"/>
      <c r="GL4886"/>
      <c r="GM4886"/>
      <c r="GN4886"/>
      <c r="GO4886"/>
    </row>
    <row r="4887" spans="107:197">
      <c r="DC4887"/>
      <c r="FH4887"/>
      <c r="FI4887"/>
      <c r="FJ4887"/>
      <c r="FK4887"/>
      <c r="FL4887"/>
      <c r="FM4887"/>
      <c r="FN4887"/>
      <c r="FO4887"/>
      <c r="FP4887"/>
      <c r="FQ4887"/>
      <c r="FR4887"/>
      <c r="FS4887"/>
      <c r="FT4887"/>
      <c r="FU4887"/>
      <c r="FV4887"/>
      <c r="FW4887"/>
      <c r="FX4887"/>
      <c r="FY4887"/>
      <c r="FZ4887"/>
      <c r="GA4887"/>
      <c r="GB4887"/>
      <c r="GC4887"/>
      <c r="GD4887"/>
      <c r="GE4887"/>
      <c r="GF4887"/>
      <c r="GG4887"/>
      <c r="GH4887"/>
      <c r="GI4887"/>
      <c r="GJ4887"/>
      <c r="GK4887"/>
      <c r="GL4887"/>
      <c r="GM4887"/>
      <c r="GN4887"/>
      <c r="GO4887"/>
    </row>
    <row r="4888" spans="107:197">
      <c r="DC4888"/>
      <c r="FH4888"/>
      <c r="FI4888"/>
      <c r="FJ4888"/>
      <c r="FK4888"/>
      <c r="FL4888"/>
      <c r="FM4888"/>
      <c r="FN4888"/>
      <c r="FO4888"/>
      <c r="FP4888"/>
      <c r="FQ4888"/>
      <c r="FR4888"/>
      <c r="FS4888"/>
      <c r="FT4888"/>
      <c r="FU4888"/>
      <c r="FV4888"/>
      <c r="FW4888"/>
      <c r="FX4888"/>
      <c r="FY4888"/>
      <c r="FZ4888"/>
      <c r="GA4888"/>
      <c r="GB4888"/>
      <c r="GC4888"/>
      <c r="GD4888"/>
      <c r="GE4888"/>
      <c r="GF4888"/>
      <c r="GG4888"/>
      <c r="GH4888"/>
      <c r="GI4888"/>
      <c r="GJ4888"/>
      <c r="GK4888"/>
      <c r="GL4888"/>
      <c r="GM4888"/>
      <c r="GN4888"/>
      <c r="GO4888"/>
    </row>
    <row r="4889" spans="107:197">
      <c r="DC4889"/>
      <c r="FH4889"/>
      <c r="FI4889"/>
      <c r="FJ4889"/>
      <c r="FK4889"/>
      <c r="FL4889"/>
      <c r="FM4889"/>
      <c r="FN4889"/>
      <c r="FO4889"/>
      <c r="FP4889"/>
      <c r="FQ4889"/>
      <c r="FR4889"/>
      <c r="FS4889"/>
      <c r="FT4889"/>
      <c r="FU4889"/>
      <c r="FV4889"/>
      <c r="FW4889"/>
      <c r="FX4889"/>
      <c r="FY4889"/>
      <c r="FZ4889"/>
      <c r="GA4889"/>
      <c r="GB4889"/>
      <c r="GC4889"/>
      <c r="GD4889"/>
      <c r="GE4889"/>
      <c r="GF4889"/>
      <c r="GG4889"/>
      <c r="GH4889"/>
      <c r="GI4889"/>
      <c r="GJ4889"/>
      <c r="GK4889"/>
      <c r="GL4889"/>
      <c r="GM4889"/>
      <c r="GN4889"/>
      <c r="GO4889"/>
    </row>
    <row r="4890" spans="107:197">
      <c r="DC4890"/>
      <c r="FH4890"/>
      <c r="FI4890"/>
      <c r="FJ4890"/>
      <c r="FK4890"/>
      <c r="FL4890"/>
      <c r="FM4890"/>
      <c r="FN4890"/>
      <c r="FO4890"/>
      <c r="FP4890"/>
      <c r="FQ4890"/>
      <c r="FR4890"/>
      <c r="FS4890"/>
      <c r="FT4890"/>
      <c r="FU4890"/>
      <c r="FV4890"/>
      <c r="FW4890"/>
      <c r="FX4890"/>
      <c r="FY4890"/>
      <c r="FZ4890"/>
      <c r="GA4890"/>
      <c r="GB4890"/>
      <c r="GC4890"/>
      <c r="GD4890"/>
      <c r="GE4890"/>
      <c r="GF4890"/>
      <c r="GG4890"/>
      <c r="GH4890"/>
      <c r="GI4890"/>
      <c r="GJ4890"/>
      <c r="GK4890"/>
      <c r="GL4890"/>
      <c r="GM4890"/>
      <c r="GN4890"/>
      <c r="GO4890"/>
    </row>
    <row r="4891" spans="107:197">
      <c r="DC4891"/>
      <c r="FH4891"/>
      <c r="FI4891"/>
      <c r="FJ4891"/>
      <c r="FK4891"/>
      <c r="FL4891"/>
      <c r="FM4891"/>
      <c r="FN4891"/>
      <c r="FO4891"/>
      <c r="FP4891"/>
      <c r="FQ4891"/>
      <c r="FR4891"/>
      <c r="FS4891"/>
      <c r="FT4891"/>
      <c r="FU4891"/>
      <c r="FV4891"/>
      <c r="FW4891"/>
      <c r="FX4891"/>
      <c r="FY4891"/>
      <c r="FZ4891"/>
      <c r="GA4891"/>
      <c r="GB4891"/>
      <c r="GC4891"/>
      <c r="GD4891"/>
      <c r="GE4891"/>
      <c r="GF4891"/>
      <c r="GG4891"/>
      <c r="GH4891"/>
      <c r="GI4891"/>
      <c r="GJ4891"/>
      <c r="GK4891"/>
      <c r="GL4891"/>
      <c r="GM4891"/>
      <c r="GN4891"/>
      <c r="GO4891"/>
    </row>
    <row r="4892" spans="107:197">
      <c r="DC4892"/>
      <c r="FH4892"/>
      <c r="FI4892"/>
      <c r="FJ4892"/>
      <c r="FK4892"/>
      <c r="FL4892"/>
      <c r="FM4892"/>
      <c r="FN4892"/>
      <c r="FO4892"/>
      <c r="FP4892"/>
      <c r="FQ4892"/>
      <c r="FR4892"/>
      <c r="FS4892"/>
      <c r="FT4892"/>
      <c r="FU4892"/>
      <c r="FV4892"/>
      <c r="FW4892"/>
      <c r="FX4892"/>
      <c r="FY4892"/>
      <c r="FZ4892"/>
      <c r="GA4892"/>
      <c r="GB4892"/>
      <c r="GC4892"/>
      <c r="GD4892"/>
      <c r="GE4892"/>
      <c r="GF4892"/>
      <c r="GG4892"/>
      <c r="GH4892"/>
      <c r="GI4892"/>
      <c r="GJ4892"/>
      <c r="GK4892"/>
      <c r="GL4892"/>
      <c r="GM4892"/>
      <c r="GN4892"/>
      <c r="GO4892"/>
    </row>
    <row r="4893" spans="107:197">
      <c r="DC4893"/>
      <c r="FH4893"/>
      <c r="FI4893"/>
      <c r="FJ4893"/>
      <c r="FK4893"/>
      <c r="FL4893"/>
      <c r="FM4893"/>
      <c r="FN4893"/>
      <c r="FO4893"/>
      <c r="FP4893"/>
      <c r="FQ4893"/>
      <c r="FR4893"/>
      <c r="FS4893"/>
      <c r="FT4893"/>
      <c r="FU4893"/>
      <c r="FV4893"/>
      <c r="FW4893"/>
      <c r="FX4893"/>
      <c r="FY4893"/>
      <c r="FZ4893"/>
      <c r="GA4893"/>
      <c r="GB4893"/>
      <c r="GC4893"/>
      <c r="GD4893"/>
      <c r="GE4893"/>
      <c r="GF4893"/>
      <c r="GG4893"/>
      <c r="GH4893"/>
      <c r="GI4893"/>
      <c r="GJ4893"/>
      <c r="GK4893"/>
      <c r="GL4893"/>
      <c r="GM4893"/>
      <c r="GN4893"/>
      <c r="GO4893"/>
    </row>
    <row r="4894" spans="107:197">
      <c r="DC4894"/>
      <c r="FH4894"/>
      <c r="FI4894"/>
      <c r="FJ4894"/>
      <c r="FK4894"/>
      <c r="FL4894"/>
      <c r="FM4894"/>
      <c r="FN4894"/>
      <c r="FO4894"/>
      <c r="FP4894"/>
      <c r="FQ4894"/>
      <c r="FR4894"/>
      <c r="FS4894"/>
      <c r="FT4894"/>
      <c r="FU4894"/>
      <c r="FV4894"/>
      <c r="FW4894"/>
      <c r="FX4894"/>
      <c r="FY4894"/>
      <c r="FZ4894"/>
      <c r="GA4894"/>
      <c r="GB4894"/>
      <c r="GC4894"/>
      <c r="GD4894"/>
      <c r="GE4894"/>
      <c r="GF4894"/>
      <c r="GG4894"/>
      <c r="GH4894"/>
      <c r="GI4894"/>
      <c r="GJ4894"/>
      <c r="GK4894"/>
      <c r="GL4894"/>
      <c r="GM4894"/>
      <c r="GN4894"/>
      <c r="GO4894"/>
    </row>
    <row r="4895" spans="107:197">
      <c r="DC4895"/>
      <c r="FH4895"/>
      <c r="FI4895"/>
      <c r="FJ4895"/>
      <c r="FK4895"/>
      <c r="FL4895"/>
      <c r="FM4895"/>
      <c r="FN4895"/>
      <c r="FO4895"/>
      <c r="FP4895"/>
      <c r="FQ4895"/>
      <c r="FR4895"/>
      <c r="FS4895"/>
      <c r="FT4895"/>
      <c r="FU4895"/>
      <c r="FV4895"/>
      <c r="FW4895"/>
      <c r="FX4895"/>
      <c r="FY4895"/>
      <c r="FZ4895"/>
      <c r="GA4895"/>
      <c r="GB4895"/>
      <c r="GC4895"/>
      <c r="GD4895"/>
      <c r="GE4895"/>
      <c r="GF4895"/>
      <c r="GG4895"/>
      <c r="GH4895"/>
      <c r="GI4895"/>
      <c r="GJ4895"/>
      <c r="GK4895"/>
      <c r="GL4895"/>
      <c r="GM4895"/>
      <c r="GN4895"/>
      <c r="GO4895"/>
    </row>
    <row r="4896" spans="107:197">
      <c r="DC4896"/>
      <c r="FH4896"/>
      <c r="FI4896"/>
      <c r="FJ4896"/>
      <c r="FK4896"/>
      <c r="FL4896"/>
      <c r="FM4896"/>
      <c r="FN4896"/>
      <c r="FO4896"/>
      <c r="FP4896"/>
      <c r="FQ4896"/>
      <c r="FR4896"/>
      <c r="FS4896"/>
      <c r="FT4896"/>
      <c r="FU4896"/>
      <c r="FV4896"/>
      <c r="FW4896"/>
      <c r="FX4896"/>
      <c r="FY4896"/>
      <c r="FZ4896"/>
      <c r="GA4896"/>
      <c r="GB4896"/>
      <c r="GC4896"/>
      <c r="GD4896"/>
      <c r="GE4896"/>
      <c r="GF4896"/>
      <c r="GG4896"/>
      <c r="GH4896"/>
      <c r="GI4896"/>
      <c r="GJ4896"/>
      <c r="GK4896"/>
      <c r="GL4896"/>
      <c r="GM4896"/>
      <c r="GN4896"/>
      <c r="GO4896"/>
    </row>
    <row r="4897" spans="107:197">
      <c r="DC4897"/>
      <c r="FH4897"/>
      <c r="FI4897"/>
      <c r="FJ4897"/>
      <c r="FK4897"/>
      <c r="FL4897"/>
      <c r="FM4897"/>
      <c r="FN4897"/>
      <c r="FO4897"/>
      <c r="FP4897"/>
      <c r="FQ4897"/>
      <c r="FR4897"/>
      <c r="FS4897"/>
      <c r="FT4897"/>
      <c r="FU4897"/>
      <c r="FV4897"/>
      <c r="FW4897"/>
      <c r="FX4897"/>
      <c r="FY4897"/>
      <c r="FZ4897"/>
      <c r="GA4897"/>
      <c r="GB4897"/>
      <c r="GC4897"/>
      <c r="GD4897"/>
      <c r="GE4897"/>
      <c r="GF4897"/>
      <c r="GG4897"/>
      <c r="GH4897"/>
      <c r="GI4897"/>
      <c r="GJ4897"/>
      <c r="GK4897"/>
      <c r="GL4897"/>
      <c r="GM4897"/>
      <c r="GN4897"/>
      <c r="GO4897"/>
    </row>
    <row r="4898" spans="107:197">
      <c r="DC4898"/>
      <c r="FH4898"/>
      <c r="FI4898"/>
      <c r="FJ4898"/>
      <c r="FK4898"/>
      <c r="FL4898"/>
      <c r="FM4898"/>
      <c r="FN4898"/>
      <c r="FO4898"/>
      <c r="FP4898"/>
      <c r="FQ4898"/>
      <c r="FR4898"/>
      <c r="FS4898"/>
      <c r="FT4898"/>
      <c r="FU4898"/>
      <c r="FV4898"/>
      <c r="FW4898"/>
      <c r="FX4898"/>
      <c r="FY4898"/>
      <c r="FZ4898"/>
      <c r="GA4898"/>
      <c r="GB4898"/>
      <c r="GC4898"/>
      <c r="GD4898"/>
      <c r="GE4898"/>
      <c r="GF4898"/>
      <c r="GG4898"/>
      <c r="GH4898"/>
      <c r="GI4898"/>
      <c r="GJ4898"/>
      <c r="GK4898"/>
      <c r="GL4898"/>
      <c r="GM4898"/>
      <c r="GN4898"/>
      <c r="GO4898"/>
    </row>
    <row r="4899" spans="107:197">
      <c r="DC4899"/>
      <c r="FH4899"/>
      <c r="FI4899"/>
      <c r="FJ4899"/>
      <c r="FK4899"/>
      <c r="FL4899"/>
      <c r="FM4899"/>
      <c r="FN4899"/>
      <c r="FO4899"/>
      <c r="FP4899"/>
      <c r="FQ4899"/>
      <c r="FR4899"/>
      <c r="FS4899"/>
      <c r="FT4899"/>
      <c r="FU4899"/>
      <c r="FV4899"/>
      <c r="FW4899"/>
      <c r="FX4899"/>
      <c r="FY4899"/>
      <c r="FZ4899"/>
      <c r="GA4899"/>
      <c r="GB4899"/>
      <c r="GC4899"/>
      <c r="GD4899"/>
      <c r="GE4899"/>
      <c r="GF4899"/>
      <c r="GG4899"/>
      <c r="GH4899"/>
      <c r="GI4899"/>
      <c r="GJ4899"/>
      <c r="GK4899"/>
      <c r="GL4899"/>
      <c r="GM4899"/>
      <c r="GN4899"/>
      <c r="GO4899"/>
    </row>
    <row r="4900" spans="107:197">
      <c r="DC4900"/>
      <c r="FH4900"/>
      <c r="FI4900"/>
      <c r="FJ4900"/>
      <c r="FK4900"/>
      <c r="FL4900"/>
      <c r="FM4900"/>
      <c r="FN4900"/>
      <c r="FO4900"/>
      <c r="FP4900"/>
      <c r="FQ4900"/>
      <c r="FR4900"/>
      <c r="FS4900"/>
      <c r="FT4900"/>
      <c r="FU4900"/>
      <c r="FV4900"/>
      <c r="FW4900"/>
      <c r="FX4900"/>
      <c r="FY4900"/>
      <c r="FZ4900"/>
      <c r="GA4900"/>
      <c r="GB4900"/>
      <c r="GC4900"/>
      <c r="GD4900"/>
      <c r="GE4900"/>
      <c r="GF4900"/>
      <c r="GG4900"/>
      <c r="GH4900"/>
      <c r="GI4900"/>
      <c r="GJ4900"/>
      <c r="GK4900"/>
      <c r="GL4900"/>
      <c r="GM4900"/>
      <c r="GN4900"/>
      <c r="GO4900"/>
    </row>
    <row r="4901" spans="107:197">
      <c r="DC4901"/>
      <c r="FH4901"/>
      <c r="FI4901"/>
      <c r="FJ4901"/>
      <c r="FK4901"/>
      <c r="FL4901"/>
      <c r="FM4901"/>
      <c r="FN4901"/>
      <c r="FO4901"/>
      <c r="FP4901"/>
      <c r="FQ4901"/>
      <c r="FR4901"/>
      <c r="FS4901"/>
      <c r="FT4901"/>
      <c r="FU4901"/>
      <c r="FV4901"/>
      <c r="FW4901"/>
      <c r="FX4901"/>
      <c r="FY4901"/>
      <c r="FZ4901"/>
      <c r="GA4901"/>
      <c r="GB4901"/>
      <c r="GC4901"/>
      <c r="GD4901"/>
      <c r="GE4901"/>
      <c r="GF4901"/>
      <c r="GG4901"/>
      <c r="GH4901"/>
      <c r="GI4901"/>
      <c r="GJ4901"/>
      <c r="GK4901"/>
      <c r="GL4901"/>
      <c r="GM4901"/>
      <c r="GN4901"/>
      <c r="GO4901"/>
    </row>
    <row r="4902" spans="107:197">
      <c r="DC4902"/>
      <c r="FH4902"/>
      <c r="FI4902"/>
      <c r="FJ4902"/>
      <c r="FK4902"/>
      <c r="FL4902"/>
      <c r="FM4902"/>
      <c r="FN4902"/>
      <c r="FO4902"/>
      <c r="FP4902"/>
      <c r="FQ4902"/>
      <c r="FR4902"/>
      <c r="FS4902"/>
      <c r="FT4902"/>
      <c r="FU4902"/>
      <c r="FV4902"/>
      <c r="FW4902"/>
      <c r="FX4902"/>
      <c r="FY4902"/>
      <c r="FZ4902"/>
      <c r="GA4902"/>
      <c r="GB4902"/>
      <c r="GC4902"/>
      <c r="GD4902"/>
      <c r="GE4902"/>
      <c r="GF4902"/>
      <c r="GG4902"/>
      <c r="GH4902"/>
      <c r="GI4902"/>
      <c r="GJ4902"/>
      <c r="GK4902"/>
      <c r="GL4902"/>
      <c r="GM4902"/>
      <c r="GN4902"/>
      <c r="GO4902"/>
    </row>
    <row r="4903" spans="107:197">
      <c r="DC4903"/>
      <c r="FH4903"/>
      <c r="FI4903"/>
      <c r="FJ4903"/>
      <c r="FK4903"/>
      <c r="FL4903"/>
      <c r="FM4903"/>
      <c r="FN4903"/>
      <c r="FO4903"/>
      <c r="FP4903"/>
      <c r="FQ4903"/>
      <c r="FR4903"/>
      <c r="FS4903"/>
      <c r="FT4903"/>
      <c r="FU4903"/>
      <c r="FV4903"/>
      <c r="FW4903"/>
      <c r="FX4903"/>
      <c r="FY4903"/>
      <c r="FZ4903"/>
      <c r="GA4903"/>
      <c r="GB4903"/>
      <c r="GC4903"/>
      <c r="GD4903"/>
      <c r="GE4903"/>
      <c r="GF4903"/>
      <c r="GG4903"/>
      <c r="GH4903"/>
      <c r="GI4903"/>
      <c r="GJ4903"/>
      <c r="GK4903"/>
      <c r="GL4903"/>
      <c r="GM4903"/>
      <c r="GN4903"/>
      <c r="GO4903"/>
    </row>
    <row r="4904" spans="107:197">
      <c r="DC4904"/>
      <c r="FH4904"/>
      <c r="FI4904"/>
      <c r="FJ4904"/>
      <c r="FK4904"/>
      <c r="FL4904"/>
      <c r="FM4904"/>
      <c r="FN4904"/>
      <c r="FO4904"/>
      <c r="FP4904"/>
      <c r="FQ4904"/>
      <c r="FR4904"/>
      <c r="FS4904"/>
      <c r="FT4904"/>
      <c r="FU4904"/>
      <c r="FV4904"/>
      <c r="FW4904"/>
      <c r="FX4904"/>
      <c r="FY4904"/>
      <c r="FZ4904"/>
      <c r="GA4904"/>
      <c r="GB4904"/>
      <c r="GC4904"/>
      <c r="GD4904"/>
      <c r="GE4904"/>
      <c r="GF4904"/>
      <c r="GG4904"/>
      <c r="GH4904"/>
      <c r="GI4904"/>
      <c r="GJ4904"/>
      <c r="GK4904"/>
      <c r="GL4904"/>
      <c r="GM4904"/>
      <c r="GN4904"/>
      <c r="GO4904"/>
    </row>
    <row r="4905" spans="107:197">
      <c r="DC4905"/>
      <c r="FH4905"/>
      <c r="FI4905"/>
      <c r="FJ4905"/>
      <c r="FK4905"/>
      <c r="FL4905"/>
      <c r="FM4905"/>
      <c r="FN4905"/>
      <c r="FO4905"/>
      <c r="FP4905"/>
      <c r="FQ4905"/>
      <c r="FR4905"/>
      <c r="FS4905"/>
      <c r="FT4905"/>
      <c r="FU4905"/>
      <c r="FV4905"/>
      <c r="FW4905"/>
      <c r="FX4905"/>
      <c r="FY4905"/>
      <c r="FZ4905"/>
      <c r="GA4905"/>
      <c r="GB4905"/>
      <c r="GC4905"/>
      <c r="GD4905"/>
      <c r="GE4905"/>
      <c r="GF4905"/>
      <c r="GG4905"/>
      <c r="GH4905"/>
      <c r="GI4905"/>
      <c r="GJ4905"/>
      <c r="GK4905"/>
      <c r="GL4905"/>
      <c r="GM4905"/>
      <c r="GN4905"/>
      <c r="GO4905"/>
    </row>
    <row r="4906" spans="107:197">
      <c r="DC4906"/>
      <c r="FH4906"/>
      <c r="FI4906"/>
      <c r="FJ4906"/>
      <c r="FK4906"/>
      <c r="FL4906"/>
      <c r="FM4906"/>
      <c r="FN4906"/>
      <c r="FO4906"/>
      <c r="FP4906"/>
      <c r="FQ4906"/>
      <c r="FR4906"/>
      <c r="FS4906"/>
      <c r="FT4906"/>
      <c r="FU4906"/>
      <c r="FV4906"/>
      <c r="FW4906"/>
      <c r="FX4906"/>
      <c r="FY4906"/>
      <c r="FZ4906"/>
      <c r="GA4906"/>
      <c r="GB4906"/>
      <c r="GC4906"/>
      <c r="GD4906"/>
      <c r="GE4906"/>
      <c r="GF4906"/>
      <c r="GG4906"/>
      <c r="GH4906"/>
      <c r="GI4906"/>
      <c r="GJ4906"/>
      <c r="GK4906"/>
      <c r="GL4906"/>
      <c r="GM4906"/>
      <c r="GN4906"/>
      <c r="GO4906"/>
    </row>
    <row r="4907" spans="107:197">
      <c r="DC4907"/>
      <c r="FH4907"/>
      <c r="FI4907"/>
      <c r="FJ4907"/>
      <c r="FK4907"/>
      <c r="FL4907"/>
      <c r="FM4907"/>
      <c r="FN4907"/>
      <c r="FO4907"/>
      <c r="FP4907"/>
      <c r="FQ4907"/>
      <c r="FR4907"/>
      <c r="FS4907"/>
      <c r="FT4907"/>
      <c r="FU4907"/>
      <c r="FV4907"/>
      <c r="FW4907"/>
      <c r="FX4907"/>
      <c r="FY4907"/>
      <c r="FZ4907"/>
      <c r="GA4907"/>
      <c r="GB4907"/>
      <c r="GC4907"/>
      <c r="GD4907"/>
      <c r="GE4907"/>
      <c r="GF4907"/>
      <c r="GG4907"/>
      <c r="GH4907"/>
      <c r="GI4907"/>
      <c r="GJ4907"/>
      <c r="GK4907"/>
      <c r="GL4907"/>
      <c r="GM4907"/>
      <c r="GN4907"/>
      <c r="GO4907"/>
    </row>
    <row r="4908" spans="107:197">
      <c r="DC4908"/>
      <c r="FH4908"/>
      <c r="FI4908"/>
      <c r="FJ4908"/>
      <c r="FK4908"/>
      <c r="FL4908"/>
      <c r="FM4908"/>
      <c r="FN4908"/>
      <c r="FO4908"/>
      <c r="FP4908"/>
      <c r="FQ4908"/>
      <c r="FR4908"/>
      <c r="FS4908"/>
      <c r="FT4908"/>
      <c r="FU4908"/>
      <c r="FV4908"/>
      <c r="FW4908"/>
      <c r="FX4908"/>
      <c r="FY4908"/>
      <c r="FZ4908"/>
      <c r="GA4908"/>
      <c r="GB4908"/>
      <c r="GC4908"/>
      <c r="GD4908"/>
      <c r="GE4908"/>
      <c r="GF4908"/>
      <c r="GG4908"/>
      <c r="GH4908"/>
      <c r="GI4908"/>
      <c r="GJ4908"/>
      <c r="GK4908"/>
      <c r="GL4908"/>
      <c r="GM4908"/>
      <c r="GN4908"/>
      <c r="GO4908"/>
    </row>
    <row r="4909" spans="107:197">
      <c r="DC4909"/>
      <c r="FH4909"/>
      <c r="FI4909"/>
      <c r="FJ4909"/>
      <c r="FK4909"/>
      <c r="FL4909"/>
      <c r="FM4909"/>
      <c r="FN4909"/>
      <c r="FO4909"/>
      <c r="FP4909"/>
      <c r="FQ4909"/>
      <c r="FR4909"/>
      <c r="FS4909"/>
      <c r="FT4909"/>
      <c r="FU4909"/>
      <c r="FV4909"/>
      <c r="FW4909"/>
      <c r="FX4909"/>
      <c r="FY4909"/>
      <c r="FZ4909"/>
      <c r="GA4909"/>
      <c r="GB4909"/>
      <c r="GC4909"/>
      <c r="GD4909"/>
      <c r="GE4909"/>
      <c r="GF4909"/>
      <c r="GG4909"/>
      <c r="GH4909"/>
      <c r="GI4909"/>
      <c r="GJ4909"/>
      <c r="GK4909"/>
      <c r="GL4909"/>
      <c r="GM4909"/>
      <c r="GN4909"/>
      <c r="GO4909"/>
    </row>
    <row r="4910" spans="107:197">
      <c r="DC4910"/>
      <c r="FH4910"/>
      <c r="FI4910"/>
      <c r="FJ4910"/>
      <c r="FK4910"/>
      <c r="FL4910"/>
      <c r="FM4910"/>
      <c r="FN4910"/>
      <c r="FO4910"/>
      <c r="FP4910"/>
      <c r="FQ4910"/>
      <c r="FR4910"/>
      <c r="FS4910"/>
      <c r="FT4910"/>
      <c r="FU4910"/>
      <c r="FV4910"/>
      <c r="FW4910"/>
      <c r="FX4910"/>
      <c r="FY4910"/>
      <c r="FZ4910"/>
      <c r="GA4910"/>
      <c r="GB4910"/>
      <c r="GC4910"/>
      <c r="GD4910"/>
      <c r="GE4910"/>
      <c r="GF4910"/>
      <c r="GG4910"/>
      <c r="GH4910"/>
      <c r="GI4910"/>
      <c r="GJ4910"/>
      <c r="GK4910"/>
      <c r="GL4910"/>
      <c r="GM4910"/>
      <c r="GN4910"/>
      <c r="GO4910"/>
    </row>
    <row r="4911" spans="107:197">
      <c r="DC4911"/>
      <c r="FH4911"/>
      <c r="FI4911"/>
      <c r="FJ4911"/>
      <c r="FK4911"/>
      <c r="FL4911"/>
      <c r="FM4911"/>
      <c r="FN4911"/>
      <c r="FO4911"/>
      <c r="FP4911"/>
      <c r="FQ4911"/>
      <c r="FR4911"/>
      <c r="FS4911"/>
      <c r="FT4911"/>
      <c r="FU4911"/>
      <c r="FV4911"/>
      <c r="FW4911"/>
      <c r="FX4911"/>
      <c r="FY4911"/>
      <c r="FZ4911"/>
      <c r="GA4911"/>
      <c r="GB4911"/>
      <c r="GC4911"/>
      <c r="GD4911"/>
      <c r="GE4911"/>
      <c r="GF4911"/>
      <c r="GG4911"/>
      <c r="GH4911"/>
      <c r="GI4911"/>
      <c r="GJ4911"/>
      <c r="GK4911"/>
      <c r="GL4911"/>
      <c r="GM4911"/>
      <c r="GN4911"/>
      <c r="GO4911"/>
    </row>
    <row r="4912" spans="107:197">
      <c r="DC4912"/>
      <c r="FH4912"/>
      <c r="FI4912"/>
      <c r="FJ4912"/>
      <c r="FK4912"/>
      <c r="FL4912"/>
      <c r="FM4912"/>
      <c r="FN4912"/>
      <c r="FO4912"/>
      <c r="FP4912"/>
      <c r="FQ4912"/>
      <c r="FR4912"/>
      <c r="FS4912"/>
      <c r="FT4912"/>
      <c r="FU4912"/>
      <c r="FV4912"/>
      <c r="FW4912"/>
      <c r="FX4912"/>
      <c r="FY4912"/>
      <c r="FZ4912"/>
      <c r="GA4912"/>
      <c r="GB4912"/>
      <c r="GC4912"/>
      <c r="GD4912"/>
      <c r="GE4912"/>
      <c r="GF4912"/>
      <c r="GG4912"/>
      <c r="GH4912"/>
      <c r="GI4912"/>
      <c r="GJ4912"/>
      <c r="GK4912"/>
      <c r="GL4912"/>
      <c r="GM4912"/>
      <c r="GN4912"/>
      <c r="GO4912"/>
    </row>
    <row r="4913" spans="107:197">
      <c r="DC4913"/>
      <c r="FH4913"/>
      <c r="FI4913"/>
      <c r="FJ4913"/>
      <c r="FK4913"/>
      <c r="FL4913"/>
      <c r="FM4913"/>
      <c r="FN4913"/>
      <c r="FO4913"/>
      <c r="FP4913"/>
      <c r="FQ4913"/>
      <c r="FR4913"/>
      <c r="FS4913"/>
      <c r="FT4913"/>
      <c r="FU4913"/>
      <c r="FV4913"/>
      <c r="FW4913"/>
      <c r="FX4913"/>
      <c r="FY4913"/>
      <c r="FZ4913"/>
      <c r="GA4913"/>
      <c r="GB4913"/>
      <c r="GC4913"/>
      <c r="GD4913"/>
      <c r="GE4913"/>
      <c r="GF4913"/>
      <c r="GG4913"/>
      <c r="GH4913"/>
      <c r="GI4913"/>
      <c r="GJ4913"/>
      <c r="GK4913"/>
      <c r="GL4913"/>
      <c r="GM4913"/>
      <c r="GN4913"/>
      <c r="GO4913"/>
    </row>
    <row r="4914" spans="107:197">
      <c r="DC4914"/>
      <c r="FH4914"/>
      <c r="FI4914"/>
      <c r="FJ4914"/>
      <c r="FK4914"/>
      <c r="FL4914"/>
      <c r="FM4914"/>
      <c r="FN4914"/>
      <c r="FO4914"/>
      <c r="FP4914"/>
      <c r="FQ4914"/>
      <c r="FR4914"/>
      <c r="FS4914"/>
      <c r="FT4914"/>
      <c r="FU4914"/>
      <c r="FV4914"/>
      <c r="FW4914"/>
      <c r="FX4914"/>
      <c r="FY4914"/>
      <c r="FZ4914"/>
      <c r="GA4914"/>
      <c r="GB4914"/>
      <c r="GC4914"/>
      <c r="GD4914"/>
      <c r="GE4914"/>
      <c r="GF4914"/>
      <c r="GG4914"/>
      <c r="GH4914"/>
      <c r="GI4914"/>
      <c r="GJ4914"/>
      <c r="GK4914"/>
      <c r="GL4914"/>
      <c r="GM4914"/>
      <c r="GN4914"/>
      <c r="GO4914"/>
    </row>
    <row r="4915" spans="107:197">
      <c r="DC4915"/>
      <c r="FH4915"/>
      <c r="FI4915"/>
      <c r="FJ4915"/>
      <c r="FK4915"/>
      <c r="FL4915"/>
      <c r="FM4915"/>
      <c r="FN4915"/>
      <c r="FO4915"/>
      <c r="FP4915"/>
      <c r="FQ4915"/>
      <c r="FR4915"/>
      <c r="FS4915"/>
      <c r="FT4915"/>
      <c r="FU4915"/>
      <c r="FV4915"/>
      <c r="FW4915"/>
      <c r="FX4915"/>
      <c r="FY4915"/>
      <c r="FZ4915"/>
      <c r="GA4915"/>
      <c r="GB4915"/>
      <c r="GC4915"/>
      <c r="GD4915"/>
      <c r="GE4915"/>
      <c r="GF4915"/>
      <c r="GG4915"/>
      <c r="GH4915"/>
      <c r="GI4915"/>
      <c r="GJ4915"/>
      <c r="GK4915"/>
      <c r="GL4915"/>
      <c r="GM4915"/>
      <c r="GN4915"/>
      <c r="GO4915"/>
    </row>
    <row r="4916" spans="107:197">
      <c r="DC4916"/>
      <c r="FH4916"/>
      <c r="FI4916"/>
      <c r="FJ4916"/>
      <c r="FK4916"/>
      <c r="FL4916"/>
      <c r="FM4916"/>
      <c r="FN4916"/>
      <c r="FO4916"/>
      <c r="FP4916"/>
      <c r="FQ4916"/>
      <c r="FR4916"/>
      <c r="FS4916"/>
      <c r="FT4916"/>
      <c r="FU4916"/>
      <c r="FV4916"/>
      <c r="FW4916"/>
      <c r="FX4916"/>
      <c r="FY4916"/>
      <c r="FZ4916"/>
      <c r="GA4916"/>
      <c r="GB4916"/>
      <c r="GC4916"/>
      <c r="GD4916"/>
      <c r="GE4916"/>
      <c r="GF4916"/>
      <c r="GG4916"/>
      <c r="GH4916"/>
      <c r="GI4916"/>
      <c r="GJ4916"/>
      <c r="GK4916"/>
      <c r="GL4916"/>
      <c r="GM4916"/>
      <c r="GN4916"/>
      <c r="GO4916"/>
    </row>
    <row r="4917" spans="107:197">
      <c r="DC4917"/>
      <c r="FH4917"/>
      <c r="FI4917"/>
      <c r="FJ4917"/>
      <c r="FK4917"/>
      <c r="FL4917"/>
      <c r="FM4917"/>
      <c r="FN4917"/>
      <c r="FO4917"/>
      <c r="FP4917"/>
      <c r="FQ4917"/>
      <c r="FR4917"/>
      <c r="FS4917"/>
      <c r="FT4917"/>
      <c r="FU4917"/>
      <c r="FV4917"/>
      <c r="FW4917"/>
      <c r="FX4917"/>
      <c r="FY4917"/>
      <c r="FZ4917"/>
      <c r="GA4917"/>
      <c r="GB4917"/>
      <c r="GC4917"/>
      <c r="GD4917"/>
      <c r="GE4917"/>
      <c r="GF4917"/>
      <c r="GG4917"/>
      <c r="GH4917"/>
      <c r="GI4917"/>
      <c r="GJ4917"/>
      <c r="GK4917"/>
      <c r="GL4917"/>
      <c r="GM4917"/>
      <c r="GN4917"/>
      <c r="GO4917"/>
    </row>
    <row r="4918" spans="107:197">
      <c r="DC4918"/>
      <c r="FH4918"/>
      <c r="FI4918"/>
      <c r="FJ4918"/>
      <c r="FK4918"/>
      <c r="FL4918"/>
      <c r="FM4918"/>
      <c r="FN4918"/>
      <c r="FO4918"/>
      <c r="FP4918"/>
      <c r="FQ4918"/>
      <c r="FR4918"/>
      <c r="FS4918"/>
      <c r="FT4918"/>
      <c r="FU4918"/>
      <c r="FV4918"/>
      <c r="FW4918"/>
      <c r="FX4918"/>
      <c r="FY4918"/>
      <c r="FZ4918"/>
      <c r="GA4918"/>
      <c r="GB4918"/>
      <c r="GC4918"/>
      <c r="GD4918"/>
      <c r="GE4918"/>
      <c r="GF4918"/>
      <c r="GG4918"/>
      <c r="GH4918"/>
      <c r="GI4918"/>
      <c r="GJ4918"/>
      <c r="GK4918"/>
      <c r="GL4918"/>
      <c r="GM4918"/>
      <c r="GN4918"/>
      <c r="GO4918"/>
    </row>
    <row r="4919" spans="107:197">
      <c r="DC4919"/>
      <c r="FH4919"/>
      <c r="FI4919"/>
      <c r="FJ4919"/>
      <c r="FK4919"/>
      <c r="FL4919"/>
      <c r="FM4919"/>
      <c r="FN4919"/>
      <c r="FO4919"/>
      <c r="FP4919"/>
      <c r="FQ4919"/>
      <c r="FR4919"/>
      <c r="FS4919"/>
      <c r="FT4919"/>
      <c r="FU4919"/>
      <c r="FV4919"/>
      <c r="FW4919"/>
      <c r="FX4919"/>
      <c r="FY4919"/>
      <c r="FZ4919"/>
      <c r="GA4919"/>
      <c r="GB4919"/>
      <c r="GC4919"/>
      <c r="GD4919"/>
      <c r="GE4919"/>
      <c r="GF4919"/>
      <c r="GG4919"/>
      <c r="GH4919"/>
      <c r="GI4919"/>
      <c r="GJ4919"/>
      <c r="GK4919"/>
      <c r="GL4919"/>
      <c r="GM4919"/>
      <c r="GN4919"/>
      <c r="GO4919"/>
    </row>
    <row r="4920" spans="107:197">
      <c r="DC4920"/>
      <c r="FH4920"/>
      <c r="FI4920"/>
      <c r="FJ4920"/>
      <c r="FK4920"/>
      <c r="FL4920"/>
      <c r="FM4920"/>
      <c r="FN4920"/>
      <c r="FO4920"/>
      <c r="FP4920"/>
      <c r="FQ4920"/>
      <c r="FR4920"/>
      <c r="FS4920"/>
      <c r="FT4920"/>
      <c r="FU4920"/>
      <c r="FV4920"/>
      <c r="FW4920"/>
      <c r="FX4920"/>
      <c r="FY4920"/>
      <c r="FZ4920"/>
      <c r="GA4920"/>
      <c r="GB4920"/>
      <c r="GC4920"/>
      <c r="GD4920"/>
      <c r="GE4920"/>
      <c r="GF4920"/>
      <c r="GG4920"/>
      <c r="GH4920"/>
      <c r="GI4920"/>
      <c r="GJ4920"/>
      <c r="GK4920"/>
      <c r="GL4920"/>
      <c r="GM4920"/>
      <c r="GN4920"/>
      <c r="GO4920"/>
    </row>
    <row r="4921" spans="107:197">
      <c r="DC4921"/>
      <c r="FH4921"/>
      <c r="FI4921"/>
      <c r="FJ4921"/>
      <c r="FK4921"/>
      <c r="FL4921"/>
      <c r="FM4921"/>
      <c r="FN4921"/>
      <c r="FO4921"/>
      <c r="FP4921"/>
      <c r="FQ4921"/>
      <c r="FR4921"/>
      <c r="FS4921"/>
      <c r="FT4921"/>
      <c r="FU4921"/>
      <c r="FV4921"/>
      <c r="FW4921"/>
      <c r="FX4921"/>
      <c r="FY4921"/>
      <c r="FZ4921"/>
      <c r="GA4921"/>
      <c r="GB4921"/>
      <c r="GC4921"/>
      <c r="GD4921"/>
      <c r="GE4921"/>
      <c r="GF4921"/>
      <c r="GG4921"/>
      <c r="GH4921"/>
      <c r="GI4921"/>
      <c r="GJ4921"/>
      <c r="GK4921"/>
      <c r="GL4921"/>
      <c r="GM4921"/>
      <c r="GN4921"/>
      <c r="GO4921"/>
    </row>
    <row r="4922" spans="107:197">
      <c r="DC4922"/>
      <c r="FH4922"/>
      <c r="FI4922"/>
      <c r="FJ4922"/>
      <c r="FK4922"/>
      <c r="FL4922"/>
      <c r="FM4922"/>
      <c r="FN4922"/>
      <c r="FO4922"/>
      <c r="FP4922"/>
      <c r="FQ4922"/>
      <c r="FR4922"/>
      <c r="FS4922"/>
      <c r="FT4922"/>
      <c r="FU4922"/>
      <c r="FV4922"/>
      <c r="FW4922"/>
      <c r="FX4922"/>
      <c r="FY4922"/>
      <c r="FZ4922"/>
      <c r="GA4922"/>
      <c r="GB4922"/>
      <c r="GC4922"/>
      <c r="GD4922"/>
      <c r="GE4922"/>
      <c r="GF4922"/>
      <c r="GG4922"/>
      <c r="GH4922"/>
      <c r="GI4922"/>
      <c r="GJ4922"/>
      <c r="GK4922"/>
      <c r="GL4922"/>
      <c r="GM4922"/>
      <c r="GN4922"/>
      <c r="GO4922"/>
    </row>
    <row r="4923" spans="107:197">
      <c r="DC4923"/>
      <c r="FH4923"/>
      <c r="FI4923"/>
      <c r="FJ4923"/>
      <c r="FK4923"/>
      <c r="FL4923"/>
      <c r="FM4923"/>
      <c r="FN4923"/>
      <c r="FO4923"/>
      <c r="FP4923"/>
      <c r="FQ4923"/>
      <c r="FR4923"/>
      <c r="FS4923"/>
      <c r="FT4923"/>
      <c r="FU4923"/>
      <c r="FV4923"/>
      <c r="FW4923"/>
      <c r="FX4923"/>
      <c r="FY4923"/>
      <c r="FZ4923"/>
      <c r="GA4923"/>
      <c r="GB4923"/>
      <c r="GC4923"/>
      <c r="GD4923"/>
      <c r="GE4923"/>
      <c r="GF4923"/>
      <c r="GG4923"/>
      <c r="GH4923"/>
      <c r="GI4923"/>
      <c r="GJ4923"/>
      <c r="GK4923"/>
      <c r="GL4923"/>
      <c r="GM4923"/>
      <c r="GN4923"/>
      <c r="GO4923"/>
    </row>
    <row r="4924" spans="107:197">
      <c r="DC4924"/>
      <c r="FH4924"/>
      <c r="FI4924"/>
      <c r="FJ4924"/>
      <c r="FK4924"/>
      <c r="FL4924"/>
      <c r="FM4924"/>
      <c r="FN4924"/>
      <c r="FO4924"/>
      <c r="FP4924"/>
      <c r="FQ4924"/>
      <c r="FR4924"/>
      <c r="FS4924"/>
      <c r="FT4924"/>
      <c r="FU4924"/>
      <c r="FV4924"/>
      <c r="FW4924"/>
      <c r="FX4924"/>
      <c r="FY4924"/>
      <c r="FZ4924"/>
      <c r="GA4924"/>
      <c r="GB4924"/>
      <c r="GC4924"/>
      <c r="GD4924"/>
      <c r="GE4924"/>
      <c r="GF4924"/>
      <c r="GG4924"/>
      <c r="GH4924"/>
      <c r="GI4924"/>
      <c r="GJ4924"/>
      <c r="GK4924"/>
      <c r="GL4924"/>
      <c r="GM4924"/>
      <c r="GN4924"/>
      <c r="GO4924"/>
    </row>
    <row r="4925" spans="107:197">
      <c r="DC4925"/>
      <c r="FH4925"/>
      <c r="FI4925"/>
      <c r="FJ4925"/>
      <c r="FK4925"/>
      <c r="FL4925"/>
      <c r="FM4925"/>
      <c r="FN4925"/>
      <c r="FO4925"/>
      <c r="FP4925"/>
      <c r="FQ4925"/>
      <c r="FR4925"/>
      <c r="FS4925"/>
      <c r="FT4925"/>
      <c r="FU4925"/>
      <c r="FV4925"/>
      <c r="FW4925"/>
      <c r="FX4925"/>
      <c r="FY4925"/>
      <c r="FZ4925"/>
      <c r="GA4925"/>
      <c r="GB4925"/>
      <c r="GC4925"/>
      <c r="GD4925"/>
      <c r="GE4925"/>
      <c r="GF4925"/>
      <c r="GG4925"/>
      <c r="GH4925"/>
      <c r="GI4925"/>
      <c r="GJ4925"/>
      <c r="GK4925"/>
      <c r="GL4925"/>
      <c r="GM4925"/>
      <c r="GN4925"/>
      <c r="GO4925"/>
    </row>
    <row r="4926" spans="107:197">
      <c r="DC4926"/>
      <c r="FH4926"/>
      <c r="FI4926"/>
      <c r="FJ4926"/>
      <c r="FK4926"/>
      <c r="FL4926"/>
      <c r="FM4926"/>
      <c r="FN4926"/>
      <c r="FO4926"/>
      <c r="FP4926"/>
      <c r="FQ4926"/>
      <c r="FR4926"/>
      <c r="FS4926"/>
      <c r="FT4926"/>
      <c r="FU4926"/>
      <c r="FV4926"/>
      <c r="FW4926"/>
      <c r="FX4926"/>
      <c r="FY4926"/>
      <c r="FZ4926"/>
      <c r="GA4926"/>
      <c r="GB4926"/>
      <c r="GC4926"/>
      <c r="GD4926"/>
      <c r="GE4926"/>
      <c r="GF4926"/>
      <c r="GG4926"/>
      <c r="GH4926"/>
      <c r="GI4926"/>
      <c r="GJ4926"/>
      <c r="GK4926"/>
      <c r="GL4926"/>
      <c r="GM4926"/>
      <c r="GN4926"/>
      <c r="GO4926"/>
    </row>
    <row r="4927" spans="107:197">
      <c r="DC4927"/>
      <c r="FH4927"/>
      <c r="FI4927"/>
      <c r="FJ4927"/>
      <c r="FK4927"/>
      <c r="FL4927"/>
      <c r="FM4927"/>
      <c r="FN4927"/>
      <c r="FO4927"/>
      <c r="FP4927"/>
      <c r="FQ4927"/>
      <c r="FR4927"/>
      <c r="FS4927"/>
      <c r="FT4927"/>
      <c r="FU4927"/>
      <c r="FV4927"/>
      <c r="FW4927"/>
      <c r="FX4927"/>
      <c r="FY4927"/>
      <c r="FZ4927"/>
      <c r="GA4927"/>
      <c r="GB4927"/>
      <c r="GC4927"/>
      <c r="GD4927"/>
      <c r="GE4927"/>
      <c r="GF4927"/>
      <c r="GG4927"/>
      <c r="GH4927"/>
      <c r="GI4927"/>
      <c r="GJ4927"/>
      <c r="GK4927"/>
      <c r="GL4927"/>
      <c r="GM4927"/>
      <c r="GN4927"/>
      <c r="GO4927"/>
    </row>
    <row r="4928" spans="107:197">
      <c r="DC4928"/>
      <c r="FH4928"/>
      <c r="FI4928"/>
      <c r="FJ4928"/>
      <c r="FK4928"/>
      <c r="FL4928"/>
      <c r="FM4928"/>
      <c r="FN4928"/>
      <c r="FO4928"/>
      <c r="FP4928"/>
      <c r="FQ4928"/>
      <c r="FR4928"/>
      <c r="FS4928"/>
      <c r="FT4928"/>
      <c r="FU4928"/>
      <c r="FV4928"/>
      <c r="FW4928"/>
      <c r="FX4928"/>
      <c r="FY4928"/>
      <c r="FZ4928"/>
      <c r="GA4928"/>
      <c r="GB4928"/>
      <c r="GC4928"/>
      <c r="GD4928"/>
      <c r="GE4928"/>
      <c r="GF4928"/>
      <c r="GG4928"/>
      <c r="GH4928"/>
      <c r="GI4928"/>
      <c r="GJ4928"/>
      <c r="GK4928"/>
      <c r="GL4928"/>
      <c r="GM4928"/>
      <c r="GN4928"/>
      <c r="GO4928"/>
    </row>
    <row r="4929" spans="107:197">
      <c r="DC4929"/>
      <c r="FH4929"/>
      <c r="FI4929"/>
      <c r="FJ4929"/>
      <c r="FK4929"/>
      <c r="FL4929"/>
      <c r="FM4929"/>
      <c r="FN4929"/>
      <c r="FO4929"/>
      <c r="FP4929"/>
      <c r="FQ4929"/>
      <c r="FR4929"/>
      <c r="FS4929"/>
      <c r="FT4929"/>
      <c r="FU4929"/>
      <c r="FV4929"/>
      <c r="FW4929"/>
      <c r="FX4929"/>
      <c r="FY4929"/>
      <c r="FZ4929"/>
      <c r="GA4929"/>
      <c r="GB4929"/>
      <c r="GC4929"/>
      <c r="GD4929"/>
      <c r="GE4929"/>
      <c r="GF4929"/>
      <c r="GG4929"/>
      <c r="GH4929"/>
      <c r="GI4929"/>
      <c r="GJ4929"/>
      <c r="GK4929"/>
      <c r="GL4929"/>
      <c r="GM4929"/>
      <c r="GN4929"/>
      <c r="GO4929"/>
    </row>
    <row r="4930" spans="107:197">
      <c r="DC4930"/>
      <c r="FH4930"/>
      <c r="FI4930"/>
      <c r="FJ4930"/>
      <c r="FK4930"/>
      <c r="FL4930"/>
      <c r="FM4930"/>
      <c r="FN4930"/>
      <c r="FO4930"/>
      <c r="FP4930"/>
      <c r="FQ4930"/>
      <c r="FR4930"/>
      <c r="FS4930"/>
      <c r="FT4930"/>
      <c r="FU4930"/>
      <c r="FV4930"/>
      <c r="FW4930"/>
      <c r="FX4930"/>
      <c r="FY4930"/>
      <c r="FZ4930"/>
      <c r="GA4930"/>
      <c r="GB4930"/>
      <c r="GC4930"/>
      <c r="GD4930"/>
      <c r="GE4930"/>
      <c r="GF4930"/>
      <c r="GG4930"/>
      <c r="GH4930"/>
      <c r="GI4930"/>
      <c r="GJ4930"/>
      <c r="GK4930"/>
      <c r="GL4930"/>
      <c r="GM4930"/>
      <c r="GN4930"/>
      <c r="GO4930"/>
    </row>
    <row r="4931" spans="107:197">
      <c r="DC4931"/>
      <c r="FH4931"/>
      <c r="FI4931"/>
      <c r="FJ4931"/>
      <c r="FK4931"/>
      <c r="FL4931"/>
      <c r="FM4931"/>
      <c r="FN4931"/>
      <c r="FO4931"/>
      <c r="FP4931"/>
      <c r="FQ4931"/>
      <c r="FR4931"/>
      <c r="FS4931"/>
      <c r="FT4931"/>
      <c r="FU4931"/>
      <c r="FV4931"/>
      <c r="FW4931"/>
      <c r="FX4931"/>
      <c r="FY4931"/>
      <c r="FZ4931"/>
      <c r="GA4931"/>
      <c r="GB4931"/>
      <c r="GC4931"/>
      <c r="GD4931"/>
      <c r="GE4931"/>
      <c r="GF4931"/>
      <c r="GG4931"/>
      <c r="GH4931"/>
      <c r="GI4931"/>
      <c r="GJ4931"/>
      <c r="GK4931"/>
      <c r="GL4931"/>
      <c r="GM4931"/>
      <c r="GN4931"/>
      <c r="GO4931"/>
    </row>
    <row r="4932" spans="107:197">
      <c r="DC4932"/>
      <c r="FH4932"/>
      <c r="FI4932"/>
      <c r="FJ4932"/>
      <c r="FK4932"/>
      <c r="FL4932"/>
      <c r="FM4932"/>
      <c r="FN4932"/>
      <c r="FO4932"/>
      <c r="FP4932"/>
      <c r="FQ4932"/>
      <c r="FR4932"/>
      <c r="FS4932"/>
      <c r="FT4932"/>
      <c r="FU4932"/>
      <c r="FV4932"/>
      <c r="FW4932"/>
      <c r="FX4932"/>
      <c r="FY4932"/>
      <c r="FZ4932"/>
      <c r="GA4932"/>
      <c r="GB4932"/>
      <c r="GC4932"/>
      <c r="GD4932"/>
      <c r="GE4932"/>
      <c r="GF4932"/>
      <c r="GG4932"/>
      <c r="GH4932"/>
      <c r="GI4932"/>
      <c r="GJ4932"/>
      <c r="GK4932"/>
      <c r="GL4932"/>
      <c r="GM4932"/>
      <c r="GN4932"/>
      <c r="GO4932"/>
    </row>
    <row r="4933" spans="107:197">
      <c r="DC4933"/>
      <c r="FH4933"/>
      <c r="FI4933"/>
      <c r="FJ4933"/>
      <c r="FK4933"/>
      <c r="FL4933"/>
      <c r="FM4933"/>
      <c r="FN4933"/>
      <c r="FO4933"/>
      <c r="FP4933"/>
      <c r="FQ4933"/>
      <c r="FR4933"/>
      <c r="FS4933"/>
      <c r="FT4933"/>
      <c r="FU4933"/>
      <c r="FV4933"/>
      <c r="FW4933"/>
      <c r="FX4933"/>
      <c r="FY4933"/>
      <c r="FZ4933"/>
      <c r="GA4933"/>
      <c r="GB4933"/>
      <c r="GC4933"/>
      <c r="GD4933"/>
      <c r="GE4933"/>
      <c r="GF4933"/>
      <c r="GG4933"/>
      <c r="GH4933"/>
      <c r="GI4933"/>
      <c r="GJ4933"/>
      <c r="GK4933"/>
      <c r="GL4933"/>
      <c r="GM4933"/>
      <c r="GN4933"/>
      <c r="GO4933"/>
    </row>
    <row r="4934" spans="107:197">
      <c r="DC4934"/>
      <c r="FH4934"/>
      <c r="FI4934"/>
      <c r="FJ4934"/>
      <c r="FK4934"/>
      <c r="FL4934"/>
      <c r="FM4934"/>
      <c r="FN4934"/>
      <c r="FO4934"/>
      <c r="FP4934"/>
      <c r="FQ4934"/>
      <c r="FR4934"/>
      <c r="FS4934"/>
      <c r="FT4934"/>
      <c r="FU4934"/>
      <c r="FV4934"/>
      <c r="FW4934"/>
      <c r="FX4934"/>
      <c r="FY4934"/>
      <c r="FZ4934"/>
      <c r="GA4934"/>
      <c r="GB4934"/>
      <c r="GC4934"/>
      <c r="GD4934"/>
      <c r="GE4934"/>
      <c r="GF4934"/>
      <c r="GG4934"/>
      <c r="GH4934"/>
      <c r="GI4934"/>
      <c r="GJ4934"/>
      <c r="GK4934"/>
      <c r="GL4934"/>
      <c r="GM4934"/>
      <c r="GN4934"/>
      <c r="GO4934"/>
    </row>
    <row r="4935" spans="107:197">
      <c r="DC4935"/>
      <c r="FH4935"/>
      <c r="FI4935"/>
      <c r="FJ4935"/>
      <c r="FK4935"/>
      <c r="FL4935"/>
      <c r="FM4935"/>
      <c r="FN4935"/>
      <c r="FO4935"/>
      <c r="FP4935"/>
      <c r="FQ4935"/>
      <c r="FR4935"/>
      <c r="FS4935"/>
      <c r="FT4935"/>
      <c r="FU4935"/>
      <c r="FV4935"/>
      <c r="FW4935"/>
      <c r="FX4935"/>
      <c r="FY4935"/>
      <c r="FZ4935"/>
      <c r="GA4935"/>
      <c r="GB4935"/>
      <c r="GC4935"/>
      <c r="GD4935"/>
      <c r="GE4935"/>
      <c r="GF4935"/>
      <c r="GG4935"/>
      <c r="GH4935"/>
      <c r="GI4935"/>
      <c r="GJ4935"/>
      <c r="GK4935"/>
      <c r="GL4935"/>
      <c r="GM4935"/>
      <c r="GN4935"/>
      <c r="GO4935"/>
    </row>
    <row r="4936" spans="107:197">
      <c r="DC4936"/>
      <c r="FH4936"/>
      <c r="FI4936"/>
      <c r="FJ4936"/>
      <c r="FK4936"/>
      <c r="FL4936"/>
      <c r="FM4936"/>
      <c r="FN4936"/>
      <c r="FO4936"/>
      <c r="FP4936"/>
      <c r="FQ4936"/>
      <c r="FR4936"/>
      <c r="FS4936"/>
      <c r="FT4936"/>
      <c r="FU4936"/>
      <c r="FV4936"/>
      <c r="FW4936"/>
      <c r="FX4936"/>
      <c r="FY4936"/>
      <c r="FZ4936"/>
      <c r="GA4936"/>
      <c r="GB4936"/>
      <c r="GC4936"/>
      <c r="GD4936"/>
      <c r="GE4936"/>
      <c r="GF4936"/>
      <c r="GG4936"/>
      <c r="GH4936"/>
      <c r="GI4936"/>
      <c r="GJ4936"/>
      <c r="GK4936"/>
      <c r="GL4936"/>
      <c r="GM4936"/>
      <c r="GN4936"/>
      <c r="GO4936"/>
    </row>
    <row r="4937" spans="107:197">
      <c r="DC4937"/>
      <c r="FH4937"/>
      <c r="FI4937"/>
      <c r="FJ4937"/>
      <c r="FK4937"/>
      <c r="FL4937"/>
      <c r="FM4937"/>
      <c r="FN4937"/>
      <c r="FO4937"/>
      <c r="FP4937"/>
      <c r="FQ4937"/>
      <c r="FR4937"/>
      <c r="FS4937"/>
      <c r="FT4937"/>
      <c r="FU4937"/>
      <c r="FV4937"/>
      <c r="FW4937"/>
      <c r="FX4937"/>
      <c r="FY4937"/>
      <c r="FZ4937"/>
      <c r="GA4937"/>
      <c r="GB4937"/>
      <c r="GC4937"/>
      <c r="GD4937"/>
      <c r="GE4937"/>
      <c r="GF4937"/>
      <c r="GG4937"/>
      <c r="GH4937"/>
      <c r="GI4937"/>
      <c r="GJ4937"/>
      <c r="GK4937"/>
      <c r="GL4937"/>
      <c r="GM4937"/>
      <c r="GN4937"/>
      <c r="GO4937"/>
    </row>
    <row r="4938" spans="107:197">
      <c r="DC4938"/>
      <c r="FH4938"/>
      <c r="FI4938"/>
      <c r="FJ4938"/>
      <c r="FK4938"/>
      <c r="FL4938"/>
      <c r="FM4938"/>
      <c r="FN4938"/>
      <c r="FO4938"/>
      <c r="FP4938"/>
      <c r="FQ4938"/>
      <c r="FR4938"/>
      <c r="FS4938"/>
      <c r="FT4938"/>
      <c r="FU4938"/>
      <c r="FV4938"/>
      <c r="FW4938"/>
      <c r="FX4938"/>
      <c r="FY4938"/>
      <c r="FZ4938"/>
      <c r="GA4938"/>
      <c r="GB4938"/>
      <c r="GC4938"/>
      <c r="GD4938"/>
      <c r="GE4938"/>
      <c r="GF4938"/>
      <c r="GG4938"/>
      <c r="GH4938"/>
      <c r="GI4938"/>
      <c r="GJ4938"/>
      <c r="GK4938"/>
      <c r="GL4938"/>
      <c r="GM4938"/>
      <c r="GN4938"/>
      <c r="GO4938"/>
    </row>
    <row r="4939" spans="107:197">
      <c r="DC4939"/>
      <c r="FH4939"/>
      <c r="FI4939"/>
      <c r="FJ4939"/>
      <c r="FK4939"/>
      <c r="FL4939"/>
      <c r="FM4939"/>
      <c r="FN4939"/>
      <c r="FO4939"/>
      <c r="FP4939"/>
      <c r="FQ4939"/>
      <c r="FR4939"/>
      <c r="FS4939"/>
      <c r="FT4939"/>
      <c r="FU4939"/>
      <c r="FV4939"/>
      <c r="FW4939"/>
      <c r="FX4939"/>
      <c r="FY4939"/>
      <c r="FZ4939"/>
      <c r="GA4939"/>
      <c r="GB4939"/>
      <c r="GC4939"/>
      <c r="GD4939"/>
      <c r="GE4939"/>
      <c r="GF4939"/>
      <c r="GG4939"/>
      <c r="GH4939"/>
      <c r="GI4939"/>
      <c r="GJ4939"/>
      <c r="GK4939"/>
      <c r="GL4939"/>
      <c r="GM4939"/>
      <c r="GN4939"/>
      <c r="GO4939"/>
    </row>
    <row r="4940" spans="107:197">
      <c r="DC4940"/>
      <c r="FH4940"/>
      <c r="FI4940"/>
      <c r="FJ4940"/>
      <c r="FK4940"/>
      <c r="FL4940"/>
      <c r="FM4940"/>
      <c r="FN4940"/>
      <c r="FO4940"/>
      <c r="FP4940"/>
      <c r="FQ4940"/>
      <c r="FR4940"/>
      <c r="FS4940"/>
      <c r="FT4940"/>
      <c r="FU4940"/>
      <c r="FV4940"/>
      <c r="FW4940"/>
      <c r="FX4940"/>
      <c r="FY4940"/>
      <c r="FZ4940"/>
      <c r="GA4940"/>
      <c r="GB4940"/>
      <c r="GC4940"/>
      <c r="GD4940"/>
      <c r="GE4940"/>
      <c r="GF4940"/>
      <c r="GG4940"/>
      <c r="GH4940"/>
      <c r="GI4940"/>
      <c r="GJ4940"/>
      <c r="GK4940"/>
      <c r="GL4940"/>
      <c r="GM4940"/>
      <c r="GN4940"/>
      <c r="GO4940"/>
    </row>
    <row r="4941" spans="107:197">
      <c r="DC4941"/>
      <c r="FH4941"/>
      <c r="FI4941"/>
      <c r="FJ4941"/>
      <c r="FK4941"/>
      <c r="FL4941"/>
      <c r="FM4941"/>
      <c r="FN4941"/>
      <c r="FO4941"/>
      <c r="FP4941"/>
      <c r="FQ4941"/>
      <c r="FR4941"/>
      <c r="FS4941"/>
      <c r="FT4941"/>
      <c r="FU4941"/>
      <c r="FV4941"/>
      <c r="FW4941"/>
      <c r="FX4941"/>
      <c r="FY4941"/>
      <c r="FZ4941"/>
      <c r="GA4941"/>
      <c r="GB4941"/>
      <c r="GC4941"/>
      <c r="GD4941"/>
      <c r="GE4941"/>
      <c r="GF4941"/>
      <c r="GG4941"/>
      <c r="GH4941"/>
      <c r="GI4941"/>
      <c r="GJ4941"/>
      <c r="GK4941"/>
      <c r="GL4941"/>
      <c r="GM4941"/>
      <c r="GN4941"/>
      <c r="GO4941"/>
    </row>
    <row r="4942" spans="107:197">
      <c r="DC4942"/>
      <c r="FH4942"/>
      <c r="FI4942"/>
      <c r="FJ4942"/>
      <c r="FK4942"/>
      <c r="FL4942"/>
      <c r="FM4942"/>
      <c r="FN4942"/>
      <c r="FO4942"/>
      <c r="FP4942"/>
      <c r="FQ4942"/>
      <c r="FR4942"/>
      <c r="FS4942"/>
      <c r="FT4942"/>
      <c r="FU4942"/>
      <c r="FV4942"/>
      <c r="FW4942"/>
      <c r="FX4942"/>
      <c r="FY4942"/>
      <c r="FZ4942"/>
      <c r="GA4942"/>
      <c r="GB4942"/>
      <c r="GC4942"/>
      <c r="GD4942"/>
      <c r="GE4942"/>
      <c r="GF4942"/>
      <c r="GG4942"/>
      <c r="GH4942"/>
      <c r="GI4942"/>
      <c r="GJ4942"/>
      <c r="GK4942"/>
      <c r="GL4942"/>
      <c r="GM4942"/>
      <c r="GN4942"/>
      <c r="GO4942"/>
    </row>
    <row r="4943" spans="107:197">
      <c r="DC4943"/>
      <c r="FH4943"/>
      <c r="FI4943"/>
      <c r="FJ4943"/>
      <c r="FK4943"/>
      <c r="FL4943"/>
      <c r="FM4943"/>
      <c r="FN4943"/>
      <c r="FO4943"/>
      <c r="FP4943"/>
      <c r="FQ4943"/>
      <c r="FR4943"/>
      <c r="FS4943"/>
      <c r="FT4943"/>
      <c r="FU4943"/>
      <c r="FV4943"/>
      <c r="FW4943"/>
      <c r="FX4943"/>
      <c r="FY4943"/>
      <c r="FZ4943"/>
      <c r="GA4943"/>
      <c r="GB4943"/>
      <c r="GC4943"/>
      <c r="GD4943"/>
      <c r="GE4943"/>
      <c r="GF4943"/>
      <c r="GG4943"/>
      <c r="GH4943"/>
      <c r="GI4943"/>
      <c r="GJ4943"/>
      <c r="GK4943"/>
      <c r="GL4943"/>
      <c r="GM4943"/>
      <c r="GN4943"/>
      <c r="GO4943"/>
    </row>
    <row r="4944" spans="107:197">
      <c r="DC4944"/>
      <c r="FH4944"/>
      <c r="FI4944"/>
      <c r="FJ4944"/>
      <c r="FK4944"/>
      <c r="FL4944"/>
      <c r="FM4944"/>
      <c r="FN4944"/>
      <c r="FO4944"/>
      <c r="FP4944"/>
      <c r="FQ4944"/>
      <c r="FR4944"/>
      <c r="FS4944"/>
      <c r="FT4944"/>
      <c r="FU4944"/>
      <c r="FV4944"/>
      <c r="FW4944"/>
      <c r="FX4944"/>
      <c r="FY4944"/>
      <c r="FZ4944"/>
      <c r="GA4944"/>
      <c r="GB4944"/>
      <c r="GC4944"/>
      <c r="GD4944"/>
      <c r="GE4944"/>
      <c r="GF4944"/>
      <c r="GG4944"/>
      <c r="GH4944"/>
      <c r="GI4944"/>
      <c r="GJ4944"/>
      <c r="GK4944"/>
      <c r="GL4944"/>
      <c r="GM4944"/>
      <c r="GN4944"/>
      <c r="GO4944"/>
    </row>
    <row r="4945" spans="107:197">
      <c r="DC4945"/>
      <c r="FH4945"/>
      <c r="FI4945"/>
      <c r="FJ4945"/>
      <c r="FK4945"/>
      <c r="FL4945"/>
      <c r="FM4945"/>
      <c r="FN4945"/>
      <c r="FO4945"/>
      <c r="FP4945"/>
      <c r="FQ4945"/>
      <c r="FR4945"/>
      <c r="FS4945"/>
      <c r="FT4945"/>
      <c r="FU4945"/>
      <c r="FV4945"/>
      <c r="FW4945"/>
      <c r="FX4945"/>
      <c r="FY4945"/>
      <c r="FZ4945"/>
      <c r="GA4945"/>
      <c r="GB4945"/>
      <c r="GC4945"/>
      <c r="GD4945"/>
      <c r="GE4945"/>
      <c r="GF4945"/>
      <c r="GG4945"/>
      <c r="GH4945"/>
      <c r="GI4945"/>
      <c r="GJ4945"/>
      <c r="GK4945"/>
      <c r="GL4945"/>
      <c r="GM4945"/>
      <c r="GN4945"/>
      <c r="GO4945"/>
    </row>
    <row r="4946" spans="107:197">
      <c r="DC4946"/>
      <c r="FH4946"/>
      <c r="FI4946"/>
      <c r="FJ4946"/>
      <c r="FK4946"/>
      <c r="FL4946"/>
      <c r="FM4946"/>
      <c r="FN4946"/>
      <c r="FO4946"/>
      <c r="FP4946"/>
      <c r="FQ4946"/>
      <c r="FR4946"/>
      <c r="FS4946"/>
      <c r="FT4946"/>
      <c r="FU4946"/>
      <c r="FV4946"/>
      <c r="FW4946"/>
      <c r="FX4946"/>
      <c r="FY4946"/>
      <c r="FZ4946"/>
      <c r="GA4946"/>
      <c r="GB4946"/>
      <c r="GC4946"/>
      <c r="GD4946"/>
      <c r="GE4946"/>
      <c r="GF4946"/>
      <c r="GG4946"/>
      <c r="GH4946"/>
      <c r="GI4946"/>
      <c r="GJ4946"/>
      <c r="GK4946"/>
      <c r="GL4946"/>
      <c r="GM4946"/>
      <c r="GN4946"/>
      <c r="GO4946"/>
    </row>
    <row r="4947" spans="107:197">
      <c r="DC4947"/>
      <c r="FH4947"/>
      <c r="FI4947"/>
      <c r="FJ4947"/>
      <c r="FK4947"/>
      <c r="FL4947"/>
      <c r="FM4947"/>
      <c r="FN4947"/>
      <c r="FO4947"/>
      <c r="FP4947"/>
      <c r="FQ4947"/>
      <c r="FR4947"/>
      <c r="FS4947"/>
      <c r="FT4947"/>
      <c r="FU4947"/>
      <c r="FV4947"/>
      <c r="FW4947"/>
      <c r="FX4947"/>
      <c r="FY4947"/>
      <c r="FZ4947"/>
      <c r="GA4947"/>
      <c r="GB4947"/>
      <c r="GC4947"/>
      <c r="GD4947"/>
      <c r="GE4947"/>
      <c r="GF4947"/>
      <c r="GG4947"/>
      <c r="GH4947"/>
      <c r="GI4947"/>
      <c r="GJ4947"/>
      <c r="GK4947"/>
      <c r="GL4947"/>
      <c r="GM4947"/>
      <c r="GN4947"/>
      <c r="GO4947"/>
    </row>
    <row r="4948" spans="107:197">
      <c r="DC4948"/>
      <c r="FH4948"/>
      <c r="FI4948"/>
      <c r="FJ4948"/>
      <c r="FK4948"/>
      <c r="FL4948"/>
      <c r="FM4948"/>
      <c r="FN4948"/>
      <c r="FO4948"/>
      <c r="FP4948"/>
      <c r="FQ4948"/>
      <c r="FR4948"/>
      <c r="FS4948"/>
      <c r="FT4948"/>
      <c r="FU4948"/>
      <c r="FV4948"/>
      <c r="FW4948"/>
      <c r="FX4948"/>
      <c r="FY4948"/>
      <c r="FZ4948"/>
      <c r="GA4948"/>
      <c r="GB4948"/>
      <c r="GC4948"/>
      <c r="GD4948"/>
      <c r="GE4948"/>
      <c r="GF4948"/>
      <c r="GG4948"/>
      <c r="GH4948"/>
      <c r="GI4948"/>
      <c r="GJ4948"/>
      <c r="GK4948"/>
      <c r="GL4948"/>
      <c r="GM4948"/>
      <c r="GN4948"/>
      <c r="GO4948"/>
    </row>
    <row r="4949" spans="107:197">
      <c r="DC4949"/>
      <c r="FH4949"/>
      <c r="FI4949"/>
      <c r="FJ4949"/>
      <c r="FK4949"/>
      <c r="FL4949"/>
      <c r="FM4949"/>
      <c r="FN4949"/>
      <c r="FO4949"/>
      <c r="FP4949"/>
      <c r="FQ4949"/>
      <c r="FR4949"/>
      <c r="FS4949"/>
      <c r="FT4949"/>
      <c r="FU4949"/>
      <c r="FV4949"/>
      <c r="FW4949"/>
      <c r="FX4949"/>
      <c r="FY4949"/>
      <c r="FZ4949"/>
      <c r="GA4949"/>
      <c r="GB4949"/>
      <c r="GC4949"/>
      <c r="GD4949"/>
      <c r="GE4949"/>
      <c r="GF4949"/>
      <c r="GG4949"/>
      <c r="GH4949"/>
      <c r="GI4949"/>
      <c r="GJ4949"/>
      <c r="GK4949"/>
      <c r="GL4949"/>
      <c r="GM4949"/>
      <c r="GN4949"/>
      <c r="GO4949"/>
    </row>
    <row r="4950" spans="107:197">
      <c r="DC4950"/>
      <c r="FH4950"/>
      <c r="FI4950"/>
      <c r="FJ4950"/>
      <c r="FK4950"/>
      <c r="FL4950"/>
      <c r="FM4950"/>
      <c r="FN4950"/>
      <c r="FO4950"/>
      <c r="FP4950"/>
      <c r="FQ4950"/>
      <c r="FR4950"/>
      <c r="FS4950"/>
      <c r="FT4950"/>
      <c r="FU4950"/>
      <c r="FV4950"/>
      <c r="FW4950"/>
      <c r="FX4950"/>
      <c r="FY4950"/>
      <c r="FZ4950"/>
      <c r="GA4950"/>
      <c r="GB4950"/>
      <c r="GC4950"/>
      <c r="GD4950"/>
      <c r="GE4950"/>
      <c r="GF4950"/>
      <c r="GG4950"/>
      <c r="GH4950"/>
      <c r="GI4950"/>
      <c r="GJ4950"/>
      <c r="GK4950"/>
      <c r="GL4950"/>
      <c r="GM4950"/>
      <c r="GN4950"/>
      <c r="GO4950"/>
    </row>
    <row r="4951" spans="107:197">
      <c r="DC4951"/>
      <c r="FH4951"/>
      <c r="FI4951"/>
      <c r="FJ4951"/>
      <c r="FK4951"/>
      <c r="FL4951"/>
      <c r="FM4951"/>
      <c r="FN4951"/>
      <c r="FO4951"/>
      <c r="FP4951"/>
      <c r="FQ4951"/>
      <c r="FR4951"/>
      <c r="FS4951"/>
      <c r="FT4951"/>
      <c r="FU4951"/>
      <c r="FV4951"/>
      <c r="FW4951"/>
      <c r="FX4951"/>
      <c r="FY4951"/>
      <c r="FZ4951"/>
      <c r="GA4951"/>
      <c r="GB4951"/>
      <c r="GC4951"/>
      <c r="GD4951"/>
      <c r="GE4951"/>
      <c r="GF4951"/>
      <c r="GG4951"/>
      <c r="GH4951"/>
      <c r="GI4951"/>
      <c r="GJ4951"/>
      <c r="GK4951"/>
      <c r="GL4951"/>
      <c r="GM4951"/>
      <c r="GN4951"/>
      <c r="GO4951"/>
    </row>
    <row r="4952" spans="107:197">
      <c r="DC4952"/>
      <c r="FH4952"/>
      <c r="FI4952"/>
      <c r="FJ4952"/>
      <c r="FK4952"/>
      <c r="FL4952"/>
      <c r="FM4952"/>
      <c r="FN4952"/>
      <c r="FO4952"/>
      <c r="FP4952"/>
      <c r="FQ4952"/>
      <c r="FR4952"/>
      <c r="FS4952"/>
      <c r="FT4952"/>
      <c r="FU4952"/>
      <c r="FV4952"/>
      <c r="FW4952"/>
      <c r="FX4952"/>
      <c r="FY4952"/>
      <c r="FZ4952"/>
      <c r="GA4952"/>
      <c r="GB4952"/>
      <c r="GC4952"/>
      <c r="GD4952"/>
      <c r="GE4952"/>
      <c r="GF4952"/>
      <c r="GG4952"/>
      <c r="GH4952"/>
      <c r="GI4952"/>
      <c r="GJ4952"/>
      <c r="GK4952"/>
      <c r="GL4952"/>
      <c r="GM4952"/>
      <c r="GN4952"/>
      <c r="GO4952"/>
    </row>
    <row r="4953" spans="107:197">
      <c r="DC4953"/>
      <c r="FH4953"/>
      <c r="FI4953"/>
      <c r="FJ4953"/>
      <c r="FK4953"/>
      <c r="FL4953"/>
      <c r="FM4953"/>
      <c r="FN4953"/>
      <c r="FO4953"/>
      <c r="FP4953"/>
      <c r="FQ4953"/>
      <c r="FR4953"/>
      <c r="FS4953"/>
      <c r="FT4953"/>
      <c r="FU4953"/>
      <c r="FV4953"/>
      <c r="FW4953"/>
      <c r="FX4953"/>
      <c r="FY4953"/>
      <c r="FZ4953"/>
      <c r="GA4953"/>
      <c r="GB4953"/>
      <c r="GC4953"/>
      <c r="GD4953"/>
      <c r="GE4953"/>
      <c r="GF4953"/>
      <c r="GG4953"/>
      <c r="GH4953"/>
      <c r="GI4953"/>
      <c r="GJ4953"/>
      <c r="GK4953"/>
      <c r="GL4953"/>
      <c r="GM4953"/>
      <c r="GN4953"/>
      <c r="GO4953"/>
    </row>
    <row r="4954" spans="107:197">
      <c r="DC4954"/>
      <c r="FH4954"/>
      <c r="FI4954"/>
      <c r="FJ4954"/>
      <c r="FK4954"/>
      <c r="FL4954"/>
      <c r="FM4954"/>
      <c r="FN4954"/>
      <c r="FO4954"/>
      <c r="FP4954"/>
      <c r="FQ4954"/>
      <c r="FR4954"/>
      <c r="FS4954"/>
      <c r="FT4954"/>
      <c r="FU4954"/>
      <c r="FV4954"/>
      <c r="FW4954"/>
      <c r="FX4954"/>
      <c r="FY4954"/>
      <c r="FZ4954"/>
      <c r="GA4954"/>
      <c r="GB4954"/>
      <c r="GC4954"/>
      <c r="GD4954"/>
      <c r="GE4954"/>
      <c r="GF4954"/>
      <c r="GG4954"/>
      <c r="GH4954"/>
      <c r="GI4954"/>
      <c r="GJ4954"/>
      <c r="GK4954"/>
      <c r="GL4954"/>
      <c r="GM4954"/>
      <c r="GN4954"/>
      <c r="GO4954"/>
    </row>
    <row r="4955" spans="107:197">
      <c r="DC4955"/>
      <c r="FH4955"/>
      <c r="FI4955"/>
      <c r="FJ4955"/>
      <c r="FK4955"/>
      <c r="FL4955"/>
      <c r="FM4955"/>
      <c r="FN4955"/>
      <c r="FO4955"/>
      <c r="FP4955"/>
      <c r="FQ4955"/>
      <c r="FR4955"/>
      <c r="FS4955"/>
      <c r="FT4955"/>
      <c r="FU4955"/>
      <c r="FV4955"/>
      <c r="FW4955"/>
      <c r="FX4955"/>
      <c r="FY4955"/>
      <c r="FZ4955"/>
      <c r="GA4955"/>
      <c r="GB4955"/>
      <c r="GC4955"/>
      <c r="GD4955"/>
      <c r="GE4955"/>
      <c r="GF4955"/>
      <c r="GG4955"/>
      <c r="GH4955"/>
      <c r="GI4955"/>
      <c r="GJ4955"/>
      <c r="GK4955"/>
      <c r="GL4955"/>
      <c r="GM4955"/>
      <c r="GN4955"/>
      <c r="GO4955"/>
    </row>
    <row r="4956" spans="107:197">
      <c r="DC4956"/>
      <c r="FH4956"/>
      <c r="FI4956"/>
      <c r="FJ4956"/>
      <c r="FK4956"/>
      <c r="FL4956"/>
      <c r="FM4956"/>
      <c r="FN4956"/>
      <c r="FO4956"/>
      <c r="FP4956"/>
      <c r="FQ4956"/>
      <c r="FR4956"/>
      <c r="FS4956"/>
      <c r="FT4956"/>
      <c r="FU4956"/>
      <c r="FV4956"/>
      <c r="FW4956"/>
      <c r="FX4956"/>
      <c r="FY4956"/>
      <c r="FZ4956"/>
      <c r="GA4956"/>
      <c r="GB4956"/>
      <c r="GC4956"/>
      <c r="GD4956"/>
      <c r="GE4956"/>
      <c r="GF4956"/>
      <c r="GG4956"/>
      <c r="GH4956"/>
      <c r="GI4956"/>
      <c r="GJ4956"/>
      <c r="GK4956"/>
      <c r="GL4956"/>
      <c r="GM4956"/>
      <c r="GN4956"/>
      <c r="GO4956"/>
    </row>
    <row r="4957" spans="107:197">
      <c r="DC4957"/>
      <c r="FH4957"/>
      <c r="FI4957"/>
      <c r="FJ4957"/>
      <c r="FK4957"/>
      <c r="FL4957"/>
      <c r="FM4957"/>
      <c r="FN4957"/>
      <c r="FO4957"/>
      <c r="FP4957"/>
      <c r="FQ4957"/>
      <c r="FR4957"/>
      <c r="FS4957"/>
      <c r="FT4957"/>
      <c r="FU4957"/>
      <c r="FV4957"/>
      <c r="FW4957"/>
      <c r="FX4957"/>
      <c r="FY4957"/>
      <c r="FZ4957"/>
      <c r="GA4957"/>
      <c r="GB4957"/>
      <c r="GC4957"/>
      <c r="GD4957"/>
      <c r="GE4957"/>
      <c r="GF4957"/>
      <c r="GG4957"/>
      <c r="GH4957"/>
      <c r="GI4957"/>
      <c r="GJ4957"/>
      <c r="GK4957"/>
      <c r="GL4957"/>
      <c r="GM4957"/>
      <c r="GN4957"/>
      <c r="GO4957"/>
    </row>
    <row r="4958" spans="107:197">
      <c r="DC4958"/>
      <c r="FH4958"/>
      <c r="FI4958"/>
      <c r="FJ4958"/>
      <c r="FK4958"/>
      <c r="FL4958"/>
      <c r="FM4958"/>
      <c r="FN4958"/>
      <c r="FO4958"/>
      <c r="FP4958"/>
      <c r="FQ4958"/>
      <c r="FR4958"/>
      <c r="FS4958"/>
      <c r="FT4958"/>
      <c r="FU4958"/>
      <c r="FV4958"/>
      <c r="FW4958"/>
      <c r="FX4958"/>
      <c r="FY4958"/>
      <c r="FZ4958"/>
      <c r="GA4958"/>
      <c r="GB4958"/>
      <c r="GC4958"/>
      <c r="GD4958"/>
      <c r="GE4958"/>
      <c r="GF4958"/>
      <c r="GG4958"/>
      <c r="GH4958"/>
      <c r="GI4958"/>
      <c r="GJ4958"/>
      <c r="GK4958"/>
      <c r="GL4958"/>
      <c r="GM4958"/>
      <c r="GN4958"/>
      <c r="GO4958"/>
    </row>
    <row r="4959" spans="107:197">
      <c r="DC4959"/>
      <c r="FH4959"/>
      <c r="FI4959"/>
      <c r="FJ4959"/>
      <c r="FK4959"/>
      <c r="FL4959"/>
      <c r="FM4959"/>
      <c r="FN4959"/>
      <c r="FO4959"/>
      <c r="FP4959"/>
      <c r="FQ4959"/>
      <c r="FR4959"/>
      <c r="FS4959"/>
      <c r="FT4959"/>
      <c r="FU4959"/>
      <c r="FV4959"/>
      <c r="FW4959"/>
      <c r="FX4959"/>
      <c r="FY4959"/>
      <c r="FZ4959"/>
      <c r="GA4959"/>
      <c r="GB4959"/>
      <c r="GC4959"/>
      <c r="GD4959"/>
      <c r="GE4959"/>
      <c r="GF4959"/>
      <c r="GG4959"/>
      <c r="GH4959"/>
      <c r="GI4959"/>
      <c r="GJ4959"/>
      <c r="GK4959"/>
      <c r="GL4959"/>
      <c r="GM4959"/>
      <c r="GN4959"/>
      <c r="GO4959"/>
    </row>
    <row r="4960" spans="107:197">
      <c r="DC4960"/>
      <c r="FH4960"/>
      <c r="FI4960"/>
      <c r="FJ4960"/>
      <c r="FK4960"/>
      <c r="FL4960"/>
      <c r="FM4960"/>
      <c r="FN4960"/>
      <c r="FO4960"/>
      <c r="FP4960"/>
      <c r="FQ4960"/>
      <c r="FR4960"/>
      <c r="FS4960"/>
      <c r="FT4960"/>
      <c r="FU4960"/>
      <c r="FV4960"/>
      <c r="FW4960"/>
      <c r="FX4960"/>
      <c r="FY4960"/>
      <c r="FZ4960"/>
      <c r="GA4960"/>
      <c r="GB4960"/>
      <c r="GC4960"/>
      <c r="GD4960"/>
      <c r="GE4960"/>
      <c r="GF4960"/>
      <c r="GG4960"/>
      <c r="GH4960"/>
      <c r="GI4960"/>
      <c r="GJ4960"/>
      <c r="GK4960"/>
      <c r="GL4960"/>
      <c r="GM4960"/>
      <c r="GN4960"/>
      <c r="GO4960"/>
    </row>
    <row r="4961" spans="107:197">
      <c r="DC4961"/>
      <c r="FH4961"/>
      <c r="FI4961"/>
      <c r="FJ4961"/>
      <c r="FK4961"/>
      <c r="FL4961"/>
      <c r="FM4961"/>
      <c r="FN4961"/>
      <c r="FO4961"/>
      <c r="FP4961"/>
      <c r="FQ4961"/>
      <c r="FR4961"/>
      <c r="FS4961"/>
      <c r="FT4961"/>
      <c r="FU4961"/>
      <c r="FV4961"/>
      <c r="FW4961"/>
      <c r="FX4961"/>
      <c r="FY4961"/>
      <c r="FZ4961"/>
      <c r="GA4961"/>
      <c r="GB4961"/>
      <c r="GC4961"/>
      <c r="GD4961"/>
      <c r="GE4961"/>
      <c r="GF4961"/>
      <c r="GG4961"/>
      <c r="GH4961"/>
      <c r="GI4961"/>
      <c r="GJ4961"/>
      <c r="GK4961"/>
      <c r="GL4961"/>
      <c r="GM4961"/>
      <c r="GN4961"/>
      <c r="GO4961"/>
    </row>
    <row r="4962" spans="107:197">
      <c r="DC4962"/>
      <c r="FH4962"/>
      <c r="FI4962"/>
      <c r="FJ4962"/>
      <c r="FK4962"/>
      <c r="FL4962"/>
      <c r="FM4962"/>
      <c r="FN4962"/>
      <c r="FO4962"/>
      <c r="FP4962"/>
      <c r="FQ4962"/>
      <c r="FR4962"/>
      <c r="FS4962"/>
      <c r="FT4962"/>
      <c r="FU4962"/>
      <c r="FV4962"/>
      <c r="FW4962"/>
      <c r="FX4962"/>
      <c r="FY4962"/>
      <c r="FZ4962"/>
      <c r="GA4962"/>
      <c r="GB4962"/>
      <c r="GC4962"/>
      <c r="GD4962"/>
      <c r="GE4962"/>
      <c r="GF4962"/>
      <c r="GG4962"/>
      <c r="GH4962"/>
      <c r="GI4962"/>
      <c r="GJ4962"/>
      <c r="GK4962"/>
      <c r="GL4962"/>
      <c r="GM4962"/>
      <c r="GN4962"/>
      <c r="GO4962"/>
    </row>
    <row r="4963" spans="107:197">
      <c r="DC4963"/>
      <c r="FH4963"/>
      <c r="FI4963"/>
      <c r="FJ4963"/>
      <c r="FK4963"/>
      <c r="FL4963"/>
      <c r="FM4963"/>
      <c r="FN4963"/>
      <c r="FO4963"/>
      <c r="FP4963"/>
      <c r="FQ4963"/>
      <c r="FR4963"/>
      <c r="FS4963"/>
      <c r="FT4963"/>
      <c r="FU4963"/>
      <c r="FV4963"/>
      <c r="FW4963"/>
      <c r="FX4963"/>
      <c r="FY4963"/>
      <c r="FZ4963"/>
      <c r="GA4963"/>
      <c r="GB4963"/>
      <c r="GC4963"/>
      <c r="GD4963"/>
      <c r="GE4963"/>
      <c r="GF4963"/>
      <c r="GG4963"/>
      <c r="GH4963"/>
      <c r="GI4963"/>
      <c r="GJ4963"/>
      <c r="GK4963"/>
      <c r="GL4963"/>
      <c r="GM4963"/>
      <c r="GN4963"/>
      <c r="GO4963"/>
    </row>
    <row r="4964" spans="107:197">
      <c r="DC4964"/>
      <c r="FH4964"/>
      <c r="FI4964"/>
      <c r="FJ4964"/>
      <c r="FK4964"/>
      <c r="FL4964"/>
      <c r="FM4964"/>
      <c r="FN4964"/>
      <c r="FO4964"/>
      <c r="FP4964"/>
      <c r="FQ4964"/>
      <c r="FR4964"/>
      <c r="FS4964"/>
      <c r="FT4964"/>
      <c r="FU4964"/>
      <c r="FV4964"/>
      <c r="FW4964"/>
      <c r="FX4964"/>
      <c r="FY4964"/>
      <c r="FZ4964"/>
      <c r="GA4964"/>
      <c r="GB4964"/>
      <c r="GC4964"/>
      <c r="GD4964"/>
      <c r="GE4964"/>
      <c r="GF4964"/>
      <c r="GG4964"/>
      <c r="GH4964"/>
      <c r="GI4964"/>
      <c r="GJ4964"/>
      <c r="GK4964"/>
      <c r="GL4964"/>
      <c r="GM4964"/>
      <c r="GN4964"/>
      <c r="GO4964"/>
    </row>
    <row r="4965" spans="107:197">
      <c r="DC4965"/>
      <c r="FH4965"/>
      <c r="FI4965"/>
      <c r="FJ4965"/>
      <c r="FK4965"/>
      <c r="FL4965"/>
      <c r="FM4965"/>
      <c r="FN4965"/>
      <c r="FO4965"/>
      <c r="FP4965"/>
      <c r="FQ4965"/>
      <c r="FR4965"/>
      <c r="FS4965"/>
      <c r="FT4965"/>
      <c r="FU4965"/>
      <c r="FV4965"/>
      <c r="FW4965"/>
      <c r="FX4965"/>
      <c r="FY4965"/>
      <c r="FZ4965"/>
      <c r="GA4965"/>
      <c r="GB4965"/>
      <c r="GC4965"/>
      <c r="GD4965"/>
      <c r="GE4965"/>
      <c r="GF4965"/>
      <c r="GG4965"/>
      <c r="GH4965"/>
      <c r="GI4965"/>
      <c r="GJ4965"/>
      <c r="GK4965"/>
      <c r="GL4965"/>
      <c r="GM4965"/>
      <c r="GN4965"/>
      <c r="GO4965"/>
    </row>
    <row r="4966" spans="107:197">
      <c r="DC4966"/>
      <c r="FH4966"/>
      <c r="FI4966"/>
      <c r="FJ4966"/>
      <c r="FK4966"/>
      <c r="FL4966"/>
      <c r="FM4966"/>
      <c r="FN4966"/>
      <c r="FO4966"/>
      <c r="FP4966"/>
      <c r="FQ4966"/>
      <c r="FR4966"/>
      <c r="FS4966"/>
      <c r="FT4966"/>
      <c r="FU4966"/>
      <c r="FV4966"/>
      <c r="FW4966"/>
      <c r="FX4966"/>
      <c r="FY4966"/>
      <c r="FZ4966"/>
      <c r="GA4966"/>
      <c r="GB4966"/>
      <c r="GC4966"/>
      <c r="GD4966"/>
      <c r="GE4966"/>
      <c r="GF4966"/>
      <c r="GG4966"/>
      <c r="GH4966"/>
      <c r="GI4966"/>
      <c r="GJ4966"/>
      <c r="GK4966"/>
      <c r="GL4966"/>
      <c r="GM4966"/>
      <c r="GN4966"/>
      <c r="GO4966"/>
    </row>
    <row r="4967" spans="107:197">
      <c r="DC4967"/>
      <c r="FH4967"/>
      <c r="FI4967"/>
      <c r="FJ4967"/>
      <c r="FK4967"/>
      <c r="FL4967"/>
      <c r="FM4967"/>
      <c r="FN4967"/>
      <c r="FO4967"/>
      <c r="FP4967"/>
      <c r="FQ4967"/>
      <c r="FR4967"/>
      <c r="FS4967"/>
      <c r="FT4967"/>
      <c r="FU4967"/>
      <c r="FV4967"/>
      <c r="FW4967"/>
      <c r="FX4967"/>
      <c r="FY4967"/>
      <c r="FZ4967"/>
      <c r="GA4967"/>
      <c r="GB4967"/>
      <c r="GC4967"/>
      <c r="GD4967"/>
      <c r="GE4967"/>
      <c r="GF4967"/>
      <c r="GG4967"/>
      <c r="GH4967"/>
      <c r="GI4967"/>
      <c r="GJ4967"/>
      <c r="GK4967"/>
      <c r="GL4967"/>
      <c r="GM4967"/>
      <c r="GN4967"/>
      <c r="GO4967"/>
    </row>
    <row r="4968" spans="107:197">
      <c r="DC4968"/>
      <c r="FH4968"/>
      <c r="FI4968"/>
      <c r="FJ4968"/>
      <c r="FK4968"/>
      <c r="FL4968"/>
      <c r="FM4968"/>
      <c r="FN4968"/>
      <c r="FO4968"/>
      <c r="FP4968"/>
      <c r="FQ4968"/>
      <c r="FR4968"/>
      <c r="FS4968"/>
      <c r="FT4968"/>
      <c r="FU4968"/>
      <c r="FV4968"/>
      <c r="FW4968"/>
      <c r="FX4968"/>
      <c r="FY4968"/>
      <c r="FZ4968"/>
      <c r="GA4968"/>
      <c r="GB4968"/>
      <c r="GC4968"/>
      <c r="GD4968"/>
      <c r="GE4968"/>
      <c r="GF4968"/>
      <c r="GG4968"/>
      <c r="GH4968"/>
      <c r="GI4968"/>
      <c r="GJ4968"/>
      <c r="GK4968"/>
      <c r="GL4968"/>
      <c r="GM4968"/>
      <c r="GN4968"/>
      <c r="GO4968"/>
    </row>
    <row r="4969" spans="107:197">
      <c r="DC4969"/>
      <c r="FH4969"/>
      <c r="FI4969"/>
      <c r="FJ4969"/>
      <c r="FK4969"/>
      <c r="FL4969"/>
      <c r="FM4969"/>
      <c r="FN4969"/>
      <c r="FO4969"/>
      <c r="FP4969"/>
      <c r="FQ4969"/>
      <c r="FR4969"/>
      <c r="FS4969"/>
      <c r="FT4969"/>
      <c r="FU4969"/>
      <c r="FV4969"/>
      <c r="FW4969"/>
      <c r="FX4969"/>
      <c r="FY4969"/>
      <c r="FZ4969"/>
      <c r="GA4969"/>
      <c r="GB4969"/>
      <c r="GC4969"/>
      <c r="GD4969"/>
      <c r="GE4969"/>
      <c r="GF4969"/>
      <c r="GG4969"/>
      <c r="GH4969"/>
      <c r="GI4969"/>
      <c r="GJ4969"/>
      <c r="GK4969"/>
      <c r="GL4969"/>
      <c r="GM4969"/>
      <c r="GN4969"/>
      <c r="GO4969"/>
    </row>
    <row r="4970" spans="107:197">
      <c r="DC4970"/>
      <c r="FH4970"/>
      <c r="FI4970"/>
      <c r="FJ4970"/>
      <c r="FK4970"/>
      <c r="FL4970"/>
      <c r="FM4970"/>
      <c r="FN4970"/>
      <c r="FO4970"/>
      <c r="FP4970"/>
      <c r="FQ4970"/>
      <c r="FR4970"/>
      <c r="FS4970"/>
      <c r="FT4970"/>
      <c r="FU4970"/>
      <c r="FV4970"/>
      <c r="FW4970"/>
      <c r="FX4970"/>
      <c r="FY4970"/>
      <c r="FZ4970"/>
      <c r="GA4970"/>
      <c r="GB4970"/>
      <c r="GC4970"/>
      <c r="GD4970"/>
      <c r="GE4970"/>
      <c r="GF4970"/>
      <c r="GG4970"/>
      <c r="GH4970"/>
      <c r="GI4970"/>
      <c r="GJ4970"/>
      <c r="GK4970"/>
      <c r="GL4970"/>
      <c r="GM4970"/>
      <c r="GN4970"/>
      <c r="GO4970"/>
    </row>
    <row r="4971" spans="107:197">
      <c r="DC4971"/>
      <c r="FH4971"/>
      <c r="FI4971"/>
      <c r="FJ4971"/>
      <c r="FK4971"/>
      <c r="FL4971"/>
      <c r="FM4971"/>
      <c r="FN4971"/>
      <c r="FO4971"/>
      <c r="FP4971"/>
      <c r="FQ4971"/>
      <c r="FR4971"/>
      <c r="FS4971"/>
      <c r="FT4971"/>
      <c r="FU4971"/>
      <c r="FV4971"/>
      <c r="FW4971"/>
      <c r="FX4971"/>
      <c r="FY4971"/>
      <c r="FZ4971"/>
      <c r="GA4971"/>
      <c r="GB4971"/>
      <c r="GC4971"/>
      <c r="GD4971"/>
      <c r="GE4971"/>
      <c r="GF4971"/>
      <c r="GG4971"/>
      <c r="GH4971"/>
      <c r="GI4971"/>
      <c r="GJ4971"/>
      <c r="GK4971"/>
      <c r="GL4971"/>
      <c r="GM4971"/>
      <c r="GN4971"/>
      <c r="GO4971"/>
    </row>
    <row r="4972" spans="107:197">
      <c r="DC4972"/>
      <c r="FH4972"/>
      <c r="FI4972"/>
      <c r="FJ4972"/>
      <c r="FK4972"/>
      <c r="FL4972"/>
      <c r="FM4972"/>
      <c r="FN4972"/>
      <c r="FO4972"/>
      <c r="FP4972"/>
      <c r="FQ4972"/>
      <c r="FR4972"/>
      <c r="FS4972"/>
      <c r="FT4972"/>
      <c r="FU4972"/>
      <c r="FV4972"/>
      <c r="FW4972"/>
      <c r="FX4972"/>
      <c r="FY4972"/>
      <c r="FZ4972"/>
      <c r="GA4972"/>
      <c r="GB4972"/>
      <c r="GC4972"/>
      <c r="GD4972"/>
      <c r="GE4972"/>
      <c r="GF4972"/>
      <c r="GG4972"/>
      <c r="GH4972"/>
      <c r="GI4972"/>
      <c r="GJ4972"/>
      <c r="GK4972"/>
      <c r="GL4972"/>
      <c r="GM4972"/>
      <c r="GN4972"/>
      <c r="GO4972"/>
    </row>
    <row r="4973" spans="107:197">
      <c r="DC4973"/>
      <c r="FH4973"/>
      <c r="FI4973"/>
      <c r="FJ4973"/>
      <c r="FK4973"/>
      <c r="FL4973"/>
      <c r="FM4973"/>
      <c r="FN4973"/>
      <c r="FO4973"/>
      <c r="FP4973"/>
      <c r="FQ4973"/>
      <c r="FR4973"/>
      <c r="FS4973"/>
      <c r="FT4973"/>
      <c r="FU4973"/>
      <c r="FV4973"/>
      <c r="FW4973"/>
      <c r="FX4973"/>
      <c r="FY4973"/>
      <c r="FZ4973"/>
      <c r="GA4973"/>
      <c r="GB4973"/>
      <c r="GC4973"/>
      <c r="GD4973"/>
      <c r="GE4973"/>
      <c r="GF4973"/>
      <c r="GG4973"/>
      <c r="GH4973"/>
      <c r="GI4973"/>
      <c r="GJ4973"/>
      <c r="GK4973"/>
      <c r="GL4973"/>
      <c r="GM4973"/>
      <c r="GN4973"/>
      <c r="GO4973"/>
    </row>
    <row r="4974" spans="107:197">
      <c r="DC4974"/>
      <c r="FH4974"/>
      <c r="FI4974"/>
      <c r="FJ4974"/>
      <c r="FK4974"/>
      <c r="FL4974"/>
      <c r="FM4974"/>
      <c r="FN4974"/>
      <c r="FO4974"/>
      <c r="FP4974"/>
      <c r="FQ4974"/>
      <c r="FR4974"/>
      <c r="FS4974"/>
      <c r="FT4974"/>
      <c r="FU4974"/>
      <c r="FV4974"/>
      <c r="FW4974"/>
      <c r="FX4974"/>
      <c r="FY4974"/>
      <c r="FZ4974"/>
      <c r="GA4974"/>
      <c r="GB4974"/>
      <c r="GC4974"/>
      <c r="GD4974"/>
      <c r="GE4974"/>
      <c r="GF4974"/>
      <c r="GG4974"/>
      <c r="GH4974"/>
      <c r="GI4974"/>
      <c r="GJ4974"/>
      <c r="GK4974"/>
      <c r="GL4974"/>
      <c r="GM4974"/>
      <c r="GN4974"/>
      <c r="GO4974"/>
    </row>
    <row r="4975" spans="107:197">
      <c r="DC4975"/>
      <c r="FH4975"/>
      <c r="FI4975"/>
      <c r="FJ4975"/>
      <c r="FK4975"/>
      <c r="FL4975"/>
      <c r="FM4975"/>
      <c r="FN4975"/>
      <c r="FO4975"/>
      <c r="FP4975"/>
      <c r="FQ4975"/>
      <c r="FR4975"/>
      <c r="FS4975"/>
      <c r="FT4975"/>
      <c r="FU4975"/>
      <c r="FV4975"/>
      <c r="FW4975"/>
      <c r="FX4975"/>
      <c r="FY4975"/>
      <c r="FZ4975"/>
      <c r="GA4975"/>
      <c r="GB4975"/>
      <c r="GC4975"/>
      <c r="GD4975"/>
      <c r="GE4975"/>
      <c r="GF4975"/>
      <c r="GG4975"/>
      <c r="GH4975"/>
      <c r="GI4975"/>
      <c r="GJ4975"/>
      <c r="GK4975"/>
      <c r="GL4975"/>
      <c r="GM4975"/>
      <c r="GN4975"/>
      <c r="GO4975"/>
    </row>
    <row r="4976" spans="107:197">
      <c r="DC4976"/>
      <c r="FH4976"/>
      <c r="FI4976"/>
      <c r="FJ4976"/>
      <c r="FK4976"/>
      <c r="FL4976"/>
      <c r="FM4976"/>
      <c r="FN4976"/>
      <c r="FO4976"/>
      <c r="FP4976"/>
      <c r="FQ4976"/>
      <c r="FR4976"/>
      <c r="FS4976"/>
      <c r="FT4976"/>
      <c r="FU4976"/>
      <c r="FV4976"/>
      <c r="FW4976"/>
      <c r="FX4976"/>
      <c r="FY4976"/>
      <c r="FZ4976"/>
      <c r="GA4976"/>
      <c r="GB4976"/>
      <c r="GC4976"/>
      <c r="GD4976"/>
      <c r="GE4976"/>
      <c r="GF4976"/>
      <c r="GG4976"/>
      <c r="GH4976"/>
      <c r="GI4976"/>
      <c r="GJ4976"/>
      <c r="GK4976"/>
      <c r="GL4976"/>
      <c r="GM4976"/>
      <c r="GN4976"/>
      <c r="GO4976"/>
    </row>
    <row r="4977" spans="107:197">
      <c r="DC4977"/>
      <c r="FH4977"/>
      <c r="FI4977"/>
      <c r="FJ4977"/>
      <c r="FK4977"/>
      <c r="FL4977"/>
      <c r="FM4977"/>
      <c r="FN4977"/>
      <c r="FO4977"/>
      <c r="FP4977"/>
      <c r="FQ4977"/>
      <c r="FR4977"/>
      <c r="FS4977"/>
      <c r="FT4977"/>
      <c r="FU4977"/>
      <c r="FV4977"/>
      <c r="FW4977"/>
      <c r="FX4977"/>
      <c r="FY4977"/>
      <c r="FZ4977"/>
      <c r="GA4977"/>
      <c r="GB4977"/>
      <c r="GC4977"/>
      <c r="GD4977"/>
      <c r="GE4977"/>
      <c r="GF4977"/>
      <c r="GG4977"/>
      <c r="GH4977"/>
      <c r="GI4977"/>
      <c r="GJ4977"/>
      <c r="GK4977"/>
      <c r="GL4977"/>
      <c r="GM4977"/>
      <c r="GN4977"/>
      <c r="GO4977"/>
    </row>
    <row r="4978" spans="107:197">
      <c r="DC4978"/>
      <c r="FH4978"/>
      <c r="FI4978"/>
      <c r="FJ4978"/>
      <c r="FK4978"/>
      <c r="FL4978"/>
      <c r="FM4978"/>
      <c r="FN4978"/>
      <c r="FO4978"/>
      <c r="FP4978"/>
      <c r="FQ4978"/>
      <c r="FR4978"/>
      <c r="FS4978"/>
      <c r="FT4978"/>
      <c r="FU4978"/>
      <c r="FV4978"/>
      <c r="FW4978"/>
      <c r="FX4978"/>
      <c r="FY4978"/>
      <c r="FZ4978"/>
      <c r="GA4978"/>
      <c r="GB4978"/>
      <c r="GC4978"/>
      <c r="GD4978"/>
      <c r="GE4978"/>
      <c r="GF4978"/>
      <c r="GG4978"/>
      <c r="GH4978"/>
      <c r="GI4978"/>
      <c r="GJ4978"/>
      <c r="GK4978"/>
      <c r="GL4978"/>
      <c r="GM4978"/>
      <c r="GN4978"/>
      <c r="GO4978"/>
    </row>
    <row r="4979" spans="107:197">
      <c r="DC4979"/>
      <c r="FH4979"/>
      <c r="FI4979"/>
      <c r="FJ4979"/>
      <c r="FK4979"/>
      <c r="FL4979"/>
      <c r="FM4979"/>
      <c r="FN4979"/>
      <c r="FO4979"/>
      <c r="FP4979"/>
      <c r="FQ4979"/>
      <c r="FR4979"/>
      <c r="FS4979"/>
      <c r="FT4979"/>
      <c r="FU4979"/>
      <c r="FV4979"/>
      <c r="FW4979"/>
      <c r="FX4979"/>
      <c r="FY4979"/>
      <c r="FZ4979"/>
      <c r="GA4979"/>
      <c r="GB4979"/>
      <c r="GC4979"/>
      <c r="GD4979"/>
      <c r="GE4979"/>
      <c r="GF4979"/>
      <c r="GG4979"/>
      <c r="GH4979"/>
      <c r="GI4979"/>
      <c r="GJ4979"/>
      <c r="GK4979"/>
      <c r="GL4979"/>
      <c r="GM4979"/>
      <c r="GN4979"/>
      <c r="GO4979"/>
    </row>
    <row r="4980" spans="107:197">
      <c r="DC4980"/>
      <c r="FH4980"/>
      <c r="FI4980"/>
      <c r="FJ4980"/>
      <c r="FK4980"/>
      <c r="FL4980"/>
      <c r="FM4980"/>
      <c r="FN4980"/>
      <c r="FO4980"/>
      <c r="FP4980"/>
      <c r="FQ4980"/>
      <c r="FR4980"/>
      <c r="FS4980"/>
      <c r="FT4980"/>
      <c r="FU4980"/>
      <c r="FV4980"/>
      <c r="FW4980"/>
      <c r="FX4980"/>
      <c r="FY4980"/>
      <c r="FZ4980"/>
      <c r="GA4980"/>
      <c r="GB4980"/>
      <c r="GC4980"/>
      <c r="GD4980"/>
      <c r="GE4980"/>
      <c r="GF4980"/>
      <c r="GG4980"/>
      <c r="GH4980"/>
      <c r="GI4980"/>
      <c r="GJ4980"/>
      <c r="GK4980"/>
      <c r="GL4980"/>
      <c r="GM4980"/>
      <c r="GN4980"/>
      <c r="GO4980"/>
    </row>
    <row r="4981" spans="107:197">
      <c r="DC4981"/>
      <c r="FH4981"/>
      <c r="FI4981"/>
      <c r="FJ4981"/>
      <c r="FK4981"/>
      <c r="FL4981"/>
      <c r="FM4981"/>
      <c r="FN4981"/>
      <c r="FO4981"/>
      <c r="FP4981"/>
      <c r="FQ4981"/>
      <c r="FR4981"/>
      <c r="FS4981"/>
      <c r="FT4981"/>
      <c r="FU4981"/>
      <c r="FV4981"/>
      <c r="FW4981"/>
      <c r="FX4981"/>
      <c r="FY4981"/>
      <c r="FZ4981"/>
      <c r="GA4981"/>
      <c r="GB4981"/>
      <c r="GC4981"/>
      <c r="GD4981"/>
      <c r="GE4981"/>
      <c r="GF4981"/>
      <c r="GG4981"/>
      <c r="GH4981"/>
      <c r="GI4981"/>
      <c r="GJ4981"/>
      <c r="GK4981"/>
      <c r="GL4981"/>
      <c r="GM4981"/>
      <c r="GN4981"/>
      <c r="GO4981"/>
    </row>
    <row r="4982" spans="107:197">
      <c r="DC4982"/>
      <c r="FH4982"/>
      <c r="FI4982"/>
      <c r="FJ4982"/>
      <c r="FK4982"/>
      <c r="FL4982"/>
      <c r="FM4982"/>
      <c r="FN4982"/>
      <c r="FO4982"/>
      <c r="FP4982"/>
      <c r="FQ4982"/>
      <c r="FR4982"/>
      <c r="FS4982"/>
      <c r="FT4982"/>
      <c r="FU4982"/>
      <c r="FV4982"/>
      <c r="FW4982"/>
      <c r="FX4982"/>
      <c r="FY4982"/>
      <c r="FZ4982"/>
      <c r="GA4982"/>
      <c r="GB4982"/>
      <c r="GC4982"/>
      <c r="GD4982"/>
      <c r="GE4982"/>
      <c r="GF4982"/>
      <c r="GG4982"/>
      <c r="GH4982"/>
      <c r="GI4982"/>
      <c r="GJ4982"/>
      <c r="GK4982"/>
      <c r="GL4982"/>
      <c r="GM4982"/>
      <c r="GN4982"/>
      <c r="GO4982"/>
    </row>
    <row r="4983" spans="107:197">
      <c r="DC4983"/>
      <c r="FH4983"/>
      <c r="FI4983"/>
      <c r="FJ4983"/>
      <c r="FK4983"/>
      <c r="FL4983"/>
      <c r="FM4983"/>
      <c r="FN4983"/>
      <c r="FO4983"/>
      <c r="FP4983"/>
      <c r="FQ4983"/>
      <c r="FR4983"/>
      <c r="FS4983"/>
      <c r="FT4983"/>
      <c r="FU4983"/>
      <c r="FV4983"/>
      <c r="FW4983"/>
      <c r="FX4983"/>
      <c r="FY4983"/>
      <c r="FZ4983"/>
      <c r="GA4983"/>
      <c r="GB4983"/>
      <c r="GC4983"/>
      <c r="GD4983"/>
      <c r="GE4983"/>
      <c r="GF4983"/>
      <c r="GG4983"/>
      <c r="GH4983"/>
      <c r="GI4983"/>
      <c r="GJ4983"/>
      <c r="GK4983"/>
      <c r="GL4983"/>
      <c r="GM4983"/>
      <c r="GN4983"/>
      <c r="GO4983"/>
    </row>
    <row r="4984" spans="107:197">
      <c r="DC4984"/>
      <c r="FH4984"/>
      <c r="FI4984"/>
      <c r="FJ4984"/>
      <c r="FK4984"/>
      <c r="FL4984"/>
      <c r="FM4984"/>
      <c r="FN4984"/>
      <c r="FO4984"/>
      <c r="FP4984"/>
      <c r="FQ4984"/>
      <c r="FR4984"/>
      <c r="FS4984"/>
      <c r="FT4984"/>
      <c r="FU4984"/>
      <c r="FV4984"/>
      <c r="FW4984"/>
      <c r="FX4984"/>
      <c r="FY4984"/>
      <c r="FZ4984"/>
      <c r="GA4984"/>
      <c r="GB4984"/>
      <c r="GC4984"/>
      <c r="GD4984"/>
      <c r="GE4984"/>
      <c r="GF4984"/>
      <c r="GG4984"/>
      <c r="GH4984"/>
      <c r="GI4984"/>
      <c r="GJ4984"/>
      <c r="GK4984"/>
      <c r="GL4984"/>
      <c r="GM4984"/>
      <c r="GN4984"/>
      <c r="GO4984"/>
    </row>
    <row r="4985" spans="107:197">
      <c r="DC4985"/>
      <c r="FH4985"/>
      <c r="FI4985"/>
      <c r="FJ4985"/>
      <c r="FK4985"/>
      <c r="FL4985"/>
      <c r="FM4985"/>
      <c r="FN4985"/>
      <c r="FO4985"/>
      <c r="FP4985"/>
      <c r="FQ4985"/>
      <c r="FR4985"/>
      <c r="FS4985"/>
      <c r="FT4985"/>
      <c r="FU4985"/>
      <c r="FV4985"/>
      <c r="FW4985"/>
      <c r="FX4985"/>
      <c r="FY4985"/>
      <c r="FZ4985"/>
      <c r="GA4985"/>
      <c r="GB4985"/>
      <c r="GC4985"/>
      <c r="GD4985"/>
      <c r="GE4985"/>
      <c r="GF4985"/>
      <c r="GG4985"/>
      <c r="GH4985"/>
      <c r="GI4985"/>
      <c r="GJ4985"/>
      <c r="GK4985"/>
      <c r="GL4985"/>
      <c r="GM4985"/>
      <c r="GN4985"/>
      <c r="GO4985"/>
    </row>
    <row r="4986" spans="107:197">
      <c r="DC4986"/>
      <c r="FH4986"/>
      <c r="FI4986"/>
      <c r="FJ4986"/>
      <c r="FK4986"/>
      <c r="FL4986"/>
      <c r="FM4986"/>
      <c r="FN4986"/>
      <c r="FO4986"/>
      <c r="FP4986"/>
      <c r="FQ4986"/>
      <c r="FR4986"/>
      <c r="FS4986"/>
      <c r="FT4986"/>
      <c r="FU4986"/>
      <c r="FV4986"/>
      <c r="FW4986"/>
      <c r="FX4986"/>
      <c r="FY4986"/>
      <c r="FZ4986"/>
      <c r="GA4986"/>
      <c r="GB4986"/>
      <c r="GC4986"/>
      <c r="GD4986"/>
      <c r="GE4986"/>
      <c r="GF4986"/>
      <c r="GG4986"/>
      <c r="GH4986"/>
      <c r="GI4986"/>
      <c r="GJ4986"/>
      <c r="GK4986"/>
      <c r="GL4986"/>
      <c r="GM4986"/>
      <c r="GN4986"/>
      <c r="GO4986"/>
    </row>
    <row r="4987" spans="107:197">
      <c r="DC4987"/>
      <c r="FH4987"/>
      <c r="FI4987"/>
      <c r="FJ4987"/>
      <c r="FK4987"/>
      <c r="FL4987"/>
      <c r="FM4987"/>
      <c r="FN4987"/>
      <c r="FO4987"/>
      <c r="FP4987"/>
      <c r="FQ4987"/>
      <c r="FR4987"/>
      <c r="FS4987"/>
      <c r="FT4987"/>
      <c r="FU4987"/>
      <c r="FV4987"/>
      <c r="FW4987"/>
      <c r="FX4987"/>
      <c r="FY4987"/>
      <c r="FZ4987"/>
      <c r="GA4987"/>
      <c r="GB4987"/>
      <c r="GC4987"/>
      <c r="GD4987"/>
      <c r="GE4987"/>
      <c r="GF4987"/>
      <c r="GG4987"/>
      <c r="GH4987"/>
      <c r="GI4987"/>
      <c r="GJ4987"/>
      <c r="GK4987"/>
      <c r="GL4987"/>
      <c r="GM4987"/>
      <c r="GN4987"/>
      <c r="GO4987"/>
    </row>
    <row r="4988" spans="107:197">
      <c r="DC4988"/>
      <c r="FH4988"/>
      <c r="FI4988"/>
      <c r="FJ4988"/>
      <c r="FK4988"/>
      <c r="FL4988"/>
      <c r="FM4988"/>
      <c r="FN4988"/>
      <c r="FO4988"/>
      <c r="FP4988"/>
      <c r="FQ4988"/>
      <c r="FR4988"/>
      <c r="FS4988"/>
      <c r="FT4988"/>
      <c r="FU4988"/>
      <c r="FV4988"/>
      <c r="FW4988"/>
      <c r="FX4988"/>
      <c r="FY4988"/>
      <c r="FZ4988"/>
      <c r="GA4988"/>
      <c r="GB4988"/>
      <c r="GC4988"/>
      <c r="GD4988"/>
      <c r="GE4988"/>
      <c r="GF4988"/>
      <c r="GG4988"/>
      <c r="GH4988"/>
      <c r="GI4988"/>
      <c r="GJ4988"/>
      <c r="GK4988"/>
      <c r="GL4988"/>
      <c r="GM4988"/>
      <c r="GN4988"/>
      <c r="GO4988"/>
    </row>
    <row r="4989" spans="107:197">
      <c r="DC4989"/>
      <c r="FH4989"/>
      <c r="FI4989"/>
      <c r="FJ4989"/>
      <c r="FK4989"/>
      <c r="FL4989"/>
      <c r="FM4989"/>
      <c r="FN4989"/>
      <c r="FO4989"/>
      <c r="FP4989"/>
      <c r="FQ4989"/>
      <c r="FR4989"/>
      <c r="FS4989"/>
      <c r="FT4989"/>
      <c r="FU4989"/>
      <c r="FV4989"/>
      <c r="FW4989"/>
      <c r="FX4989"/>
      <c r="FY4989"/>
      <c r="FZ4989"/>
      <c r="GA4989"/>
      <c r="GB4989"/>
      <c r="GC4989"/>
      <c r="GD4989"/>
      <c r="GE4989"/>
      <c r="GF4989"/>
      <c r="GG4989"/>
      <c r="GH4989"/>
      <c r="GI4989"/>
      <c r="GJ4989"/>
      <c r="GK4989"/>
      <c r="GL4989"/>
      <c r="GM4989"/>
      <c r="GN4989"/>
      <c r="GO4989"/>
    </row>
    <row r="4990" spans="107:197">
      <c r="DC4990"/>
      <c r="FH4990"/>
      <c r="FI4990"/>
      <c r="FJ4990"/>
      <c r="FK4990"/>
      <c r="FL4990"/>
      <c r="FM4990"/>
      <c r="FN4990"/>
      <c r="FO4990"/>
      <c r="FP4990"/>
      <c r="FQ4990"/>
      <c r="FR4990"/>
      <c r="FS4990"/>
      <c r="FT4990"/>
      <c r="FU4990"/>
      <c r="FV4990"/>
      <c r="FW4990"/>
      <c r="FX4990"/>
      <c r="FY4990"/>
      <c r="FZ4990"/>
      <c r="GA4990"/>
      <c r="GB4990"/>
      <c r="GC4990"/>
      <c r="GD4990"/>
      <c r="GE4990"/>
      <c r="GF4990"/>
      <c r="GG4990"/>
      <c r="GH4990"/>
      <c r="GI4990"/>
      <c r="GJ4990"/>
      <c r="GK4990"/>
      <c r="GL4990"/>
      <c r="GM4990"/>
      <c r="GN4990"/>
      <c r="GO4990"/>
    </row>
    <row r="4991" spans="107:197">
      <c r="DC4991"/>
      <c r="FH4991"/>
      <c r="FI4991"/>
      <c r="FJ4991"/>
      <c r="FK4991"/>
      <c r="FL4991"/>
      <c r="FM4991"/>
      <c r="FN4991"/>
      <c r="FO4991"/>
      <c r="FP4991"/>
      <c r="FQ4991"/>
      <c r="FR4991"/>
      <c r="FS4991"/>
      <c r="FT4991"/>
      <c r="FU4991"/>
      <c r="FV4991"/>
      <c r="FW4991"/>
      <c r="FX4991"/>
      <c r="FY4991"/>
      <c r="FZ4991"/>
      <c r="GA4991"/>
      <c r="GB4991"/>
      <c r="GC4991"/>
      <c r="GD4991"/>
      <c r="GE4991"/>
      <c r="GF4991"/>
      <c r="GG4991"/>
      <c r="GH4991"/>
      <c r="GI4991"/>
      <c r="GJ4991"/>
      <c r="GK4991"/>
      <c r="GL4991"/>
      <c r="GM4991"/>
      <c r="GN4991"/>
      <c r="GO4991"/>
    </row>
    <row r="4992" spans="107:197">
      <c r="DC4992"/>
      <c r="FH4992"/>
      <c r="FI4992"/>
      <c r="FJ4992"/>
      <c r="FK4992"/>
      <c r="FL4992"/>
      <c r="FM4992"/>
      <c r="FN4992"/>
      <c r="FO4992"/>
      <c r="FP4992"/>
      <c r="FQ4992"/>
      <c r="FR4992"/>
      <c r="FS4992"/>
      <c r="FT4992"/>
      <c r="FU4992"/>
      <c r="FV4992"/>
      <c r="FW4992"/>
      <c r="FX4992"/>
      <c r="FY4992"/>
      <c r="FZ4992"/>
      <c r="GA4992"/>
      <c r="GB4992"/>
      <c r="GC4992"/>
      <c r="GD4992"/>
      <c r="GE4992"/>
      <c r="GF4992"/>
      <c r="GG4992"/>
      <c r="GH4992"/>
      <c r="GI4992"/>
      <c r="GJ4992"/>
      <c r="GK4992"/>
      <c r="GL4992"/>
      <c r="GM4992"/>
      <c r="GN4992"/>
      <c r="GO4992"/>
    </row>
    <row r="4993" spans="107:197">
      <c r="DC4993"/>
      <c r="FH4993"/>
      <c r="FI4993"/>
      <c r="FJ4993"/>
      <c r="FK4993"/>
      <c r="FL4993"/>
      <c r="FM4993"/>
      <c r="FN4993"/>
      <c r="FO4993"/>
      <c r="FP4993"/>
      <c r="FQ4993"/>
      <c r="FR4993"/>
      <c r="FS4993"/>
      <c r="FT4993"/>
      <c r="FU4993"/>
      <c r="FV4993"/>
      <c r="FW4993"/>
      <c r="FX4993"/>
      <c r="FY4993"/>
      <c r="FZ4993"/>
      <c r="GA4993"/>
      <c r="GB4993"/>
      <c r="GC4993"/>
      <c r="GD4993"/>
      <c r="GE4993"/>
      <c r="GF4993"/>
      <c r="GG4993"/>
      <c r="GH4993"/>
      <c r="GI4993"/>
      <c r="GJ4993"/>
      <c r="GK4993"/>
      <c r="GL4993"/>
      <c r="GM4993"/>
      <c r="GN4993"/>
      <c r="GO4993"/>
    </row>
    <row r="4994" spans="107:197">
      <c r="DC4994"/>
      <c r="FH4994"/>
      <c r="FI4994"/>
      <c r="FJ4994"/>
      <c r="FK4994"/>
      <c r="FL4994"/>
      <c r="FM4994"/>
      <c r="FN4994"/>
      <c r="FO4994"/>
      <c r="FP4994"/>
      <c r="FQ4994"/>
      <c r="FR4994"/>
      <c r="FS4994"/>
      <c r="FT4994"/>
      <c r="FU4994"/>
      <c r="FV4994"/>
      <c r="FW4994"/>
      <c r="FX4994"/>
      <c r="FY4994"/>
      <c r="FZ4994"/>
      <c r="GA4994"/>
      <c r="GB4994"/>
      <c r="GC4994"/>
      <c r="GD4994"/>
      <c r="GE4994"/>
      <c r="GF4994"/>
      <c r="GG4994"/>
      <c r="GH4994"/>
      <c r="GI4994"/>
      <c r="GJ4994"/>
      <c r="GK4994"/>
      <c r="GL4994"/>
      <c r="GM4994"/>
      <c r="GN4994"/>
      <c r="GO4994"/>
    </row>
    <row r="4995" spans="107:197">
      <c r="DC4995"/>
      <c r="FH4995"/>
      <c r="FI4995"/>
      <c r="FJ4995"/>
      <c r="FK4995"/>
      <c r="FL4995"/>
      <c r="FM4995"/>
      <c r="FN4995"/>
      <c r="FO4995"/>
      <c r="FP4995"/>
      <c r="FQ4995"/>
      <c r="FR4995"/>
      <c r="FS4995"/>
      <c r="FT4995"/>
      <c r="FU4995"/>
      <c r="FV4995"/>
      <c r="FW4995"/>
      <c r="FX4995"/>
      <c r="FY4995"/>
      <c r="FZ4995"/>
      <c r="GA4995"/>
      <c r="GB4995"/>
      <c r="GC4995"/>
      <c r="GD4995"/>
      <c r="GE4995"/>
      <c r="GF4995"/>
      <c r="GG4995"/>
      <c r="GH4995"/>
      <c r="GI4995"/>
      <c r="GJ4995"/>
      <c r="GK4995"/>
      <c r="GL4995"/>
      <c r="GM4995"/>
      <c r="GN4995"/>
      <c r="GO4995"/>
    </row>
    <row r="4996" spans="107:197">
      <c r="DC4996"/>
      <c r="FH4996"/>
      <c r="FI4996"/>
      <c r="FJ4996"/>
      <c r="FK4996"/>
      <c r="FL4996"/>
      <c r="FM4996"/>
      <c r="FN4996"/>
      <c r="FO4996"/>
      <c r="FP4996"/>
      <c r="FQ4996"/>
      <c r="FR4996"/>
      <c r="FS4996"/>
      <c r="FT4996"/>
      <c r="FU4996"/>
      <c r="FV4996"/>
      <c r="FW4996"/>
      <c r="FX4996"/>
      <c r="FY4996"/>
      <c r="FZ4996"/>
      <c r="GA4996"/>
      <c r="GB4996"/>
      <c r="GC4996"/>
      <c r="GD4996"/>
      <c r="GE4996"/>
      <c r="GF4996"/>
      <c r="GG4996"/>
      <c r="GH4996"/>
      <c r="GI4996"/>
      <c r="GJ4996"/>
      <c r="GK4996"/>
      <c r="GL4996"/>
      <c r="GM4996"/>
      <c r="GN4996"/>
      <c r="GO4996"/>
    </row>
    <row r="4997" spans="107:197">
      <c r="DC4997"/>
      <c r="FH4997"/>
      <c r="FI4997"/>
      <c r="FJ4997"/>
      <c r="FK4997"/>
      <c r="FL4997"/>
      <c r="FM4997"/>
      <c r="FN4997"/>
      <c r="FO4997"/>
      <c r="FP4997"/>
      <c r="FQ4997"/>
      <c r="FR4997"/>
      <c r="FS4997"/>
      <c r="FT4997"/>
      <c r="FU4997"/>
      <c r="FV4997"/>
      <c r="FW4997"/>
      <c r="FX4997"/>
      <c r="FY4997"/>
      <c r="FZ4997"/>
      <c r="GA4997"/>
      <c r="GB4997"/>
      <c r="GC4997"/>
      <c r="GD4997"/>
      <c r="GE4997"/>
      <c r="GF4997"/>
      <c r="GG4997"/>
      <c r="GH4997"/>
      <c r="GI4997"/>
      <c r="GJ4997"/>
      <c r="GK4997"/>
      <c r="GL4997"/>
      <c r="GM4997"/>
      <c r="GN4997"/>
      <c r="GO4997"/>
    </row>
    <row r="4998" spans="107:197">
      <c r="DC4998"/>
      <c r="FH4998"/>
      <c r="FI4998"/>
      <c r="FJ4998"/>
      <c r="FK4998"/>
      <c r="FL4998"/>
      <c r="FM4998"/>
      <c r="FN4998"/>
      <c r="FO4998"/>
      <c r="FP4998"/>
      <c r="FQ4998"/>
      <c r="FR4998"/>
      <c r="FS4998"/>
      <c r="FT4998"/>
      <c r="FU4998"/>
      <c r="FV4998"/>
      <c r="FW4998"/>
      <c r="FX4998"/>
      <c r="FY4998"/>
      <c r="FZ4998"/>
      <c r="GA4998"/>
      <c r="GB4998"/>
      <c r="GC4998"/>
      <c r="GD4998"/>
      <c r="GE4998"/>
      <c r="GF4998"/>
      <c r="GG4998"/>
      <c r="GH4998"/>
      <c r="GI4998"/>
      <c r="GJ4998"/>
      <c r="GK4998"/>
      <c r="GL4998"/>
      <c r="GM4998"/>
      <c r="GN4998"/>
      <c r="GO4998"/>
    </row>
    <row r="4999" spans="107:197">
      <c r="DC4999"/>
      <c r="FH4999"/>
      <c r="FI4999"/>
      <c r="FJ4999"/>
      <c r="FK4999"/>
      <c r="FL4999"/>
      <c r="FM4999"/>
      <c r="FN4999"/>
      <c r="FO4999"/>
      <c r="FP4999"/>
      <c r="FQ4999"/>
      <c r="FR4999"/>
      <c r="FS4999"/>
      <c r="FT4999"/>
      <c r="FU4999"/>
      <c r="FV4999"/>
      <c r="FW4999"/>
      <c r="FX4999"/>
      <c r="FY4999"/>
      <c r="FZ4999"/>
      <c r="GA4999"/>
      <c r="GB4999"/>
      <c r="GC4999"/>
      <c r="GD4999"/>
      <c r="GE4999"/>
      <c r="GF4999"/>
      <c r="GG4999"/>
      <c r="GH4999"/>
      <c r="GI4999"/>
      <c r="GJ4999"/>
      <c r="GK4999"/>
      <c r="GL4999"/>
      <c r="GM4999"/>
      <c r="GN4999"/>
      <c r="GO4999"/>
    </row>
    <row r="5000" spans="107:197">
      <c r="DC5000"/>
      <c r="FH5000"/>
      <c r="FI5000"/>
      <c r="FJ5000"/>
      <c r="FK5000"/>
      <c r="FL5000"/>
      <c r="FM5000"/>
      <c r="FN5000"/>
      <c r="FO5000"/>
      <c r="FP5000"/>
      <c r="FQ5000"/>
      <c r="FR5000"/>
      <c r="FS5000"/>
      <c r="FT5000"/>
      <c r="FU5000"/>
      <c r="FV5000"/>
      <c r="FW5000"/>
      <c r="FX5000"/>
      <c r="FY5000"/>
      <c r="FZ5000"/>
      <c r="GA5000"/>
      <c r="GB5000"/>
      <c r="GC5000"/>
      <c r="GD5000"/>
      <c r="GE5000"/>
      <c r="GF5000"/>
      <c r="GG5000"/>
      <c r="GH5000"/>
      <c r="GI5000"/>
      <c r="GJ5000"/>
      <c r="GK5000"/>
      <c r="GL5000"/>
      <c r="GM5000"/>
      <c r="GN5000"/>
      <c r="GO5000"/>
    </row>
    <row r="5001" spans="107:197">
      <c r="DC5001"/>
      <c r="FH5001"/>
      <c r="FI5001"/>
      <c r="FJ5001"/>
      <c r="FK5001"/>
      <c r="FL5001"/>
      <c r="FM5001"/>
      <c r="FN5001"/>
      <c r="FO5001"/>
      <c r="FP5001"/>
      <c r="FQ5001"/>
      <c r="FR5001"/>
      <c r="FS5001"/>
      <c r="FT5001"/>
      <c r="FU5001"/>
      <c r="FV5001"/>
      <c r="FW5001"/>
      <c r="FX5001"/>
      <c r="FY5001"/>
      <c r="FZ5001"/>
      <c r="GA5001"/>
      <c r="GB5001"/>
      <c r="GC5001"/>
      <c r="GD5001"/>
      <c r="GE5001"/>
      <c r="GF5001"/>
      <c r="GG5001"/>
      <c r="GH5001"/>
      <c r="GI5001"/>
      <c r="GJ5001"/>
      <c r="GK5001"/>
      <c r="GL5001"/>
      <c r="GM5001"/>
      <c r="GN5001"/>
      <c r="GO5001"/>
    </row>
    <row r="5002" spans="107:197">
      <c r="DC5002"/>
      <c r="FH5002"/>
      <c r="FI5002"/>
      <c r="FJ5002"/>
      <c r="FK5002"/>
      <c r="FL5002"/>
      <c r="FM5002"/>
      <c r="FN5002"/>
      <c r="FO5002"/>
      <c r="FP5002"/>
      <c r="FQ5002"/>
      <c r="FR5002"/>
      <c r="FS5002"/>
      <c r="FT5002"/>
      <c r="FU5002"/>
      <c r="FV5002"/>
      <c r="FW5002"/>
      <c r="FX5002"/>
      <c r="FY5002"/>
      <c r="FZ5002"/>
      <c r="GA5002"/>
      <c r="GB5002"/>
      <c r="GC5002"/>
      <c r="GD5002"/>
      <c r="GE5002"/>
      <c r="GF5002"/>
      <c r="GG5002"/>
      <c r="GH5002"/>
      <c r="GI5002"/>
      <c r="GJ5002"/>
      <c r="GK5002"/>
      <c r="GL5002"/>
      <c r="GM5002"/>
      <c r="GN5002"/>
      <c r="GO5002"/>
    </row>
    <row r="5003" spans="107:197">
      <c r="DC5003"/>
      <c r="FH5003"/>
      <c r="FI5003"/>
      <c r="FJ5003"/>
      <c r="FK5003"/>
      <c r="FL5003"/>
      <c r="FM5003"/>
      <c r="FN5003"/>
      <c r="FO5003"/>
      <c r="FP5003"/>
      <c r="FQ5003"/>
      <c r="FR5003"/>
      <c r="FS5003"/>
      <c r="FT5003"/>
      <c r="FU5003"/>
      <c r="FV5003"/>
      <c r="FW5003"/>
      <c r="FX5003"/>
      <c r="FY5003"/>
      <c r="FZ5003"/>
      <c r="GA5003"/>
      <c r="GB5003"/>
      <c r="GC5003"/>
      <c r="GD5003"/>
      <c r="GE5003"/>
      <c r="GF5003"/>
      <c r="GG5003"/>
      <c r="GH5003"/>
      <c r="GI5003"/>
      <c r="GJ5003"/>
      <c r="GK5003"/>
      <c r="GL5003"/>
      <c r="GM5003"/>
      <c r="GN5003"/>
      <c r="GO5003"/>
    </row>
    <row r="5004" spans="107:197">
      <c r="DC5004"/>
      <c r="FH5004"/>
      <c r="FI5004"/>
      <c r="FJ5004"/>
      <c r="FK5004"/>
      <c r="FL5004"/>
      <c r="FM5004"/>
      <c r="FN5004"/>
      <c r="FO5004"/>
      <c r="FP5004"/>
      <c r="FQ5004"/>
      <c r="FR5004"/>
      <c r="FS5004"/>
      <c r="FT5004"/>
      <c r="FU5004"/>
      <c r="FV5004"/>
      <c r="FW5004"/>
      <c r="FX5004"/>
      <c r="FY5004"/>
      <c r="FZ5004"/>
      <c r="GA5004"/>
      <c r="GB5004"/>
      <c r="GC5004"/>
      <c r="GD5004"/>
      <c r="GE5004"/>
      <c r="GF5004"/>
      <c r="GG5004"/>
      <c r="GH5004"/>
      <c r="GI5004"/>
      <c r="GJ5004"/>
      <c r="GK5004"/>
      <c r="GL5004"/>
      <c r="GM5004"/>
      <c r="GN5004"/>
      <c r="GO5004"/>
    </row>
    <row r="5005" spans="107:197">
      <c r="DC5005"/>
      <c r="FH5005"/>
      <c r="FI5005"/>
      <c r="FJ5005"/>
      <c r="FK5005"/>
      <c r="FL5005"/>
      <c r="FM5005"/>
      <c r="FN5005"/>
      <c r="FO5005"/>
      <c r="FP5005"/>
      <c r="FQ5005"/>
      <c r="FR5005"/>
      <c r="FS5005"/>
      <c r="FT5005"/>
      <c r="FU5005"/>
      <c r="FV5005"/>
      <c r="FW5005"/>
      <c r="FX5005"/>
      <c r="FY5005"/>
      <c r="FZ5005"/>
      <c r="GA5005"/>
      <c r="GB5005"/>
      <c r="GC5005"/>
      <c r="GD5005"/>
      <c r="GE5005"/>
      <c r="GF5005"/>
      <c r="GG5005"/>
      <c r="GH5005"/>
      <c r="GI5005"/>
      <c r="GJ5005"/>
      <c r="GK5005"/>
      <c r="GL5005"/>
      <c r="GM5005"/>
      <c r="GN5005"/>
      <c r="GO5005"/>
    </row>
    <row r="5006" spans="107:197">
      <c r="DC5006"/>
      <c r="FH5006"/>
      <c r="FI5006"/>
      <c r="FJ5006"/>
      <c r="FK5006"/>
      <c r="FL5006"/>
      <c r="FM5006"/>
      <c r="FN5006"/>
      <c r="FO5006"/>
      <c r="FP5006"/>
      <c r="FQ5006"/>
      <c r="FR5006"/>
      <c r="FS5006"/>
      <c r="FT5006"/>
      <c r="FU5006"/>
      <c r="FV5006"/>
      <c r="FW5006"/>
      <c r="FX5006"/>
      <c r="FY5006"/>
      <c r="FZ5006"/>
      <c r="GA5006"/>
      <c r="GB5006"/>
      <c r="GC5006"/>
      <c r="GD5006"/>
      <c r="GE5006"/>
      <c r="GF5006"/>
      <c r="GG5006"/>
      <c r="GH5006"/>
      <c r="GI5006"/>
      <c r="GJ5006"/>
      <c r="GK5006"/>
      <c r="GL5006"/>
      <c r="GM5006"/>
      <c r="GN5006"/>
      <c r="GO5006"/>
    </row>
    <row r="5007" spans="107:197">
      <c r="DC5007"/>
      <c r="FH5007"/>
      <c r="FI5007"/>
      <c r="FJ5007"/>
      <c r="FK5007"/>
      <c r="FL5007"/>
      <c r="FM5007"/>
      <c r="FN5007"/>
      <c r="FO5007"/>
      <c r="FP5007"/>
      <c r="FQ5007"/>
      <c r="FR5007"/>
      <c r="FS5007"/>
      <c r="FT5007"/>
      <c r="FU5007"/>
      <c r="FV5007"/>
      <c r="FW5007"/>
      <c r="FX5007"/>
      <c r="FY5007"/>
      <c r="FZ5007"/>
      <c r="GA5007"/>
      <c r="GB5007"/>
      <c r="GC5007"/>
      <c r="GD5007"/>
      <c r="GE5007"/>
      <c r="GF5007"/>
      <c r="GG5007"/>
      <c r="GH5007"/>
      <c r="GI5007"/>
      <c r="GJ5007"/>
      <c r="GK5007"/>
      <c r="GL5007"/>
      <c r="GM5007"/>
      <c r="GN5007"/>
      <c r="GO5007"/>
    </row>
    <row r="5008" spans="107:197">
      <c r="DC5008"/>
      <c r="FH5008"/>
      <c r="FI5008"/>
      <c r="FJ5008"/>
      <c r="FK5008"/>
      <c r="FL5008"/>
      <c r="FM5008"/>
      <c r="FN5008"/>
      <c r="FO5008"/>
      <c r="FP5008"/>
      <c r="FQ5008"/>
      <c r="FR5008"/>
      <c r="FS5008"/>
      <c r="FT5008"/>
      <c r="FU5008"/>
      <c r="FV5008"/>
      <c r="FW5008"/>
      <c r="FX5008"/>
      <c r="FY5008"/>
      <c r="FZ5008"/>
      <c r="GA5008"/>
      <c r="GB5008"/>
      <c r="GC5008"/>
      <c r="GD5008"/>
      <c r="GE5008"/>
      <c r="GF5008"/>
      <c r="GG5008"/>
      <c r="GH5008"/>
      <c r="GI5008"/>
      <c r="GJ5008"/>
      <c r="GK5008"/>
      <c r="GL5008"/>
      <c r="GM5008"/>
      <c r="GN5008"/>
      <c r="GO5008"/>
    </row>
    <row r="5009" spans="107:197">
      <c r="DC5009"/>
      <c r="FH5009"/>
      <c r="FI5009"/>
      <c r="FJ5009"/>
      <c r="FK5009"/>
      <c r="FL5009"/>
      <c r="FM5009"/>
      <c r="FN5009"/>
      <c r="FO5009"/>
      <c r="FP5009"/>
      <c r="FQ5009"/>
      <c r="FR5009"/>
      <c r="FS5009"/>
      <c r="FT5009"/>
      <c r="FU5009"/>
      <c r="FV5009"/>
      <c r="FW5009"/>
      <c r="FX5009"/>
      <c r="FY5009"/>
      <c r="FZ5009"/>
      <c r="GA5009"/>
      <c r="GB5009"/>
      <c r="GC5009"/>
      <c r="GD5009"/>
      <c r="GE5009"/>
      <c r="GF5009"/>
      <c r="GG5009"/>
      <c r="GH5009"/>
      <c r="GI5009"/>
      <c r="GJ5009"/>
      <c r="GK5009"/>
      <c r="GL5009"/>
      <c r="GM5009"/>
      <c r="GN5009"/>
      <c r="GO5009"/>
    </row>
    <row r="5010" spans="107:197">
      <c r="DC5010"/>
      <c r="FH5010"/>
      <c r="FI5010"/>
      <c r="FJ5010"/>
      <c r="FK5010"/>
      <c r="FL5010"/>
      <c r="FM5010"/>
      <c r="FN5010"/>
      <c r="FO5010"/>
      <c r="FP5010"/>
      <c r="FQ5010"/>
      <c r="FR5010"/>
      <c r="FS5010"/>
      <c r="FT5010"/>
      <c r="FU5010"/>
      <c r="FV5010"/>
      <c r="FW5010"/>
      <c r="FX5010"/>
      <c r="FY5010"/>
      <c r="FZ5010"/>
      <c r="GA5010"/>
      <c r="GB5010"/>
      <c r="GC5010"/>
      <c r="GD5010"/>
      <c r="GE5010"/>
      <c r="GF5010"/>
      <c r="GG5010"/>
      <c r="GH5010"/>
      <c r="GI5010"/>
      <c r="GJ5010"/>
      <c r="GK5010"/>
      <c r="GL5010"/>
      <c r="GM5010"/>
      <c r="GN5010"/>
      <c r="GO5010"/>
    </row>
    <row r="5011" spans="107:197">
      <c r="DC5011"/>
      <c r="FH5011"/>
      <c r="FI5011"/>
      <c r="FJ5011"/>
      <c r="FK5011"/>
      <c r="FL5011"/>
      <c r="FM5011"/>
      <c r="FN5011"/>
      <c r="FO5011"/>
      <c r="FP5011"/>
      <c r="FQ5011"/>
      <c r="FR5011"/>
      <c r="FS5011"/>
      <c r="FT5011"/>
      <c r="FU5011"/>
      <c r="FV5011"/>
      <c r="FW5011"/>
      <c r="FX5011"/>
      <c r="FY5011"/>
      <c r="FZ5011"/>
      <c r="GA5011"/>
      <c r="GB5011"/>
      <c r="GC5011"/>
      <c r="GD5011"/>
      <c r="GE5011"/>
      <c r="GF5011"/>
      <c r="GG5011"/>
      <c r="GH5011"/>
      <c r="GI5011"/>
      <c r="GJ5011"/>
      <c r="GK5011"/>
      <c r="GL5011"/>
      <c r="GM5011"/>
      <c r="GN5011"/>
      <c r="GO5011"/>
    </row>
    <row r="5012" spans="107:197">
      <c r="DC5012"/>
      <c r="FH5012"/>
      <c r="FI5012"/>
      <c r="FJ5012"/>
      <c r="FK5012"/>
      <c r="FL5012"/>
      <c r="FM5012"/>
      <c r="FN5012"/>
      <c r="FO5012"/>
      <c r="FP5012"/>
      <c r="FQ5012"/>
      <c r="FR5012"/>
      <c r="FS5012"/>
      <c r="FT5012"/>
      <c r="FU5012"/>
      <c r="FV5012"/>
      <c r="FW5012"/>
      <c r="FX5012"/>
      <c r="FY5012"/>
      <c r="FZ5012"/>
      <c r="GA5012"/>
      <c r="GB5012"/>
      <c r="GC5012"/>
      <c r="GD5012"/>
      <c r="GE5012"/>
      <c r="GF5012"/>
      <c r="GG5012"/>
      <c r="GH5012"/>
      <c r="GI5012"/>
      <c r="GJ5012"/>
      <c r="GK5012"/>
      <c r="GL5012"/>
      <c r="GM5012"/>
      <c r="GN5012"/>
      <c r="GO5012"/>
    </row>
    <row r="5013" spans="107:197">
      <c r="DC5013"/>
      <c r="FH5013"/>
      <c r="FI5013"/>
      <c r="FJ5013"/>
      <c r="FK5013"/>
      <c r="FL5013"/>
      <c r="FM5013"/>
      <c r="FN5013"/>
      <c r="FO5013"/>
      <c r="FP5013"/>
      <c r="FQ5013"/>
      <c r="FR5013"/>
      <c r="FS5013"/>
      <c r="FT5013"/>
      <c r="FU5013"/>
      <c r="FV5013"/>
      <c r="FW5013"/>
      <c r="FX5013"/>
      <c r="FY5013"/>
      <c r="FZ5013"/>
      <c r="GA5013"/>
      <c r="GB5013"/>
      <c r="GC5013"/>
      <c r="GD5013"/>
      <c r="GE5013"/>
      <c r="GF5013"/>
      <c r="GG5013"/>
      <c r="GH5013"/>
      <c r="GI5013"/>
      <c r="GJ5013"/>
      <c r="GK5013"/>
      <c r="GL5013"/>
      <c r="GM5013"/>
      <c r="GN5013"/>
      <c r="GO5013"/>
    </row>
    <row r="5014" spans="107:197">
      <c r="DC5014"/>
      <c r="FH5014"/>
      <c r="FI5014"/>
      <c r="FJ5014"/>
      <c r="FK5014"/>
      <c r="FL5014"/>
      <c r="FM5014"/>
      <c r="FN5014"/>
      <c r="FO5014"/>
      <c r="FP5014"/>
      <c r="FQ5014"/>
      <c r="FR5014"/>
      <c r="FS5014"/>
      <c r="FT5014"/>
      <c r="FU5014"/>
      <c r="FV5014"/>
      <c r="FW5014"/>
      <c r="FX5014"/>
      <c r="FY5014"/>
      <c r="FZ5014"/>
      <c r="GA5014"/>
      <c r="GB5014"/>
      <c r="GC5014"/>
      <c r="GD5014"/>
      <c r="GE5014"/>
      <c r="GF5014"/>
      <c r="GG5014"/>
      <c r="GH5014"/>
      <c r="GI5014"/>
      <c r="GJ5014"/>
      <c r="GK5014"/>
      <c r="GL5014"/>
      <c r="GM5014"/>
      <c r="GN5014"/>
      <c r="GO5014"/>
    </row>
    <row r="5015" spans="107:197">
      <c r="DC5015"/>
      <c r="FH5015"/>
      <c r="FI5015"/>
      <c r="FJ5015"/>
      <c r="FK5015"/>
      <c r="FL5015"/>
      <c r="FM5015"/>
      <c r="FN5015"/>
      <c r="FO5015"/>
      <c r="FP5015"/>
      <c r="FQ5015"/>
      <c r="FR5015"/>
      <c r="FS5015"/>
      <c r="FT5015"/>
      <c r="FU5015"/>
      <c r="FV5015"/>
      <c r="FW5015"/>
      <c r="FX5015"/>
      <c r="FY5015"/>
      <c r="FZ5015"/>
      <c r="GA5015"/>
      <c r="GB5015"/>
      <c r="GC5015"/>
      <c r="GD5015"/>
      <c r="GE5015"/>
      <c r="GF5015"/>
      <c r="GG5015"/>
      <c r="GH5015"/>
      <c r="GI5015"/>
      <c r="GJ5015"/>
      <c r="GK5015"/>
      <c r="GL5015"/>
      <c r="GM5015"/>
      <c r="GN5015"/>
      <c r="GO5015"/>
    </row>
    <row r="5016" spans="107:197">
      <c r="DC5016"/>
      <c r="FH5016"/>
      <c r="FI5016"/>
      <c r="FJ5016"/>
      <c r="FK5016"/>
      <c r="FL5016"/>
      <c r="FM5016"/>
      <c r="FN5016"/>
      <c r="FO5016"/>
      <c r="FP5016"/>
      <c r="FQ5016"/>
      <c r="FR5016"/>
      <c r="FS5016"/>
      <c r="FT5016"/>
      <c r="FU5016"/>
      <c r="FV5016"/>
      <c r="FW5016"/>
      <c r="FX5016"/>
      <c r="FY5016"/>
      <c r="FZ5016"/>
      <c r="GA5016"/>
      <c r="GB5016"/>
      <c r="GC5016"/>
      <c r="GD5016"/>
      <c r="GE5016"/>
      <c r="GF5016"/>
      <c r="GG5016"/>
      <c r="GH5016"/>
      <c r="GI5016"/>
      <c r="GJ5016"/>
      <c r="GK5016"/>
      <c r="GL5016"/>
      <c r="GM5016"/>
      <c r="GN5016"/>
      <c r="GO5016"/>
    </row>
    <row r="5017" spans="107:197">
      <c r="DC5017"/>
      <c r="FH5017"/>
      <c r="FI5017"/>
      <c r="FJ5017"/>
      <c r="FK5017"/>
      <c r="FL5017"/>
      <c r="FM5017"/>
      <c r="FN5017"/>
      <c r="FO5017"/>
      <c r="FP5017"/>
      <c r="FQ5017"/>
      <c r="FR5017"/>
      <c r="FS5017"/>
      <c r="FT5017"/>
      <c r="FU5017"/>
      <c r="FV5017"/>
      <c r="FW5017"/>
      <c r="FX5017"/>
      <c r="FY5017"/>
      <c r="FZ5017"/>
      <c r="GA5017"/>
      <c r="GB5017"/>
      <c r="GC5017"/>
      <c r="GD5017"/>
      <c r="GE5017"/>
      <c r="GF5017"/>
      <c r="GG5017"/>
      <c r="GH5017"/>
      <c r="GI5017"/>
      <c r="GJ5017"/>
      <c r="GK5017"/>
      <c r="GL5017"/>
      <c r="GM5017"/>
      <c r="GN5017"/>
      <c r="GO5017"/>
    </row>
    <row r="5018" spans="107:197">
      <c r="DC5018"/>
      <c r="FH5018"/>
      <c r="FI5018"/>
      <c r="FJ5018"/>
      <c r="FK5018"/>
      <c r="FL5018"/>
      <c r="FM5018"/>
      <c r="FN5018"/>
      <c r="FO5018"/>
      <c r="FP5018"/>
      <c r="FQ5018"/>
      <c r="FR5018"/>
      <c r="FS5018"/>
      <c r="FT5018"/>
      <c r="FU5018"/>
      <c r="FV5018"/>
      <c r="FW5018"/>
      <c r="FX5018"/>
      <c r="FY5018"/>
      <c r="FZ5018"/>
      <c r="GA5018"/>
      <c r="GB5018"/>
      <c r="GC5018"/>
      <c r="GD5018"/>
      <c r="GE5018"/>
      <c r="GF5018"/>
      <c r="GG5018"/>
      <c r="GH5018"/>
      <c r="GI5018"/>
      <c r="GJ5018"/>
      <c r="GK5018"/>
      <c r="GL5018"/>
      <c r="GM5018"/>
      <c r="GN5018"/>
      <c r="GO5018"/>
    </row>
    <row r="5019" spans="107:197">
      <c r="DC5019"/>
      <c r="FH5019"/>
      <c r="FI5019"/>
      <c r="FJ5019"/>
      <c r="FK5019"/>
      <c r="FL5019"/>
      <c r="FM5019"/>
      <c r="FN5019"/>
      <c r="FO5019"/>
      <c r="FP5019"/>
      <c r="FQ5019"/>
      <c r="FR5019"/>
      <c r="FS5019"/>
      <c r="FT5019"/>
      <c r="FU5019"/>
      <c r="FV5019"/>
      <c r="FW5019"/>
      <c r="FX5019"/>
      <c r="FY5019"/>
      <c r="FZ5019"/>
      <c r="GA5019"/>
      <c r="GB5019"/>
      <c r="GC5019"/>
      <c r="GD5019"/>
      <c r="GE5019"/>
      <c r="GF5019"/>
      <c r="GG5019"/>
      <c r="GH5019"/>
      <c r="GI5019"/>
      <c r="GJ5019"/>
      <c r="GK5019"/>
      <c r="GL5019"/>
      <c r="GM5019"/>
      <c r="GN5019"/>
      <c r="GO5019"/>
    </row>
    <row r="5020" spans="107:197">
      <c r="DC5020"/>
      <c r="FH5020"/>
      <c r="FI5020"/>
      <c r="FJ5020"/>
      <c r="FK5020"/>
      <c r="FL5020"/>
      <c r="FM5020"/>
      <c r="FN5020"/>
      <c r="FO5020"/>
      <c r="FP5020"/>
      <c r="FQ5020"/>
      <c r="FR5020"/>
      <c r="FS5020"/>
      <c r="FT5020"/>
      <c r="FU5020"/>
      <c r="FV5020"/>
      <c r="FW5020"/>
      <c r="FX5020"/>
      <c r="FY5020"/>
      <c r="FZ5020"/>
      <c r="GA5020"/>
      <c r="GB5020"/>
      <c r="GC5020"/>
      <c r="GD5020"/>
      <c r="GE5020"/>
      <c r="GF5020"/>
      <c r="GG5020"/>
      <c r="GH5020"/>
      <c r="GI5020"/>
      <c r="GJ5020"/>
      <c r="GK5020"/>
      <c r="GL5020"/>
      <c r="GM5020"/>
      <c r="GN5020"/>
      <c r="GO5020"/>
    </row>
    <row r="5021" spans="107:197">
      <c r="DC5021"/>
      <c r="FH5021"/>
      <c r="FI5021"/>
      <c r="FJ5021"/>
      <c r="FK5021"/>
      <c r="FL5021"/>
      <c r="FM5021"/>
      <c r="FN5021"/>
      <c r="FO5021"/>
      <c r="FP5021"/>
      <c r="FQ5021"/>
      <c r="FR5021"/>
      <c r="FS5021"/>
      <c r="FT5021"/>
      <c r="FU5021"/>
      <c r="FV5021"/>
      <c r="FW5021"/>
      <c r="FX5021"/>
      <c r="FY5021"/>
      <c r="FZ5021"/>
      <c r="GA5021"/>
      <c r="GB5021"/>
      <c r="GC5021"/>
      <c r="GD5021"/>
      <c r="GE5021"/>
      <c r="GF5021"/>
      <c r="GG5021"/>
      <c r="GH5021"/>
      <c r="GI5021"/>
      <c r="GJ5021"/>
      <c r="GK5021"/>
      <c r="GL5021"/>
      <c r="GM5021"/>
      <c r="GN5021"/>
      <c r="GO5021"/>
    </row>
    <row r="5022" spans="107:197">
      <c r="DC5022"/>
      <c r="FH5022"/>
      <c r="FI5022"/>
      <c r="FJ5022"/>
      <c r="FK5022"/>
      <c r="FL5022"/>
      <c r="FM5022"/>
      <c r="FN5022"/>
      <c r="FO5022"/>
      <c r="FP5022"/>
      <c r="FQ5022"/>
      <c r="FR5022"/>
      <c r="FS5022"/>
      <c r="FT5022"/>
      <c r="FU5022"/>
      <c r="FV5022"/>
      <c r="FW5022"/>
      <c r="FX5022"/>
      <c r="FY5022"/>
      <c r="FZ5022"/>
      <c r="GA5022"/>
      <c r="GB5022"/>
      <c r="GC5022"/>
      <c r="GD5022"/>
      <c r="GE5022"/>
      <c r="GF5022"/>
      <c r="GG5022"/>
      <c r="GH5022"/>
      <c r="GI5022"/>
      <c r="GJ5022"/>
      <c r="GK5022"/>
      <c r="GL5022"/>
      <c r="GM5022"/>
      <c r="GN5022"/>
      <c r="GO5022"/>
    </row>
    <row r="5023" spans="107:197">
      <c r="DC5023"/>
      <c r="FH5023"/>
      <c r="FI5023"/>
      <c r="FJ5023"/>
      <c r="FK5023"/>
      <c r="FL5023"/>
      <c r="FM5023"/>
      <c r="FN5023"/>
      <c r="FO5023"/>
      <c r="FP5023"/>
      <c r="FQ5023"/>
      <c r="FR5023"/>
      <c r="FS5023"/>
      <c r="FT5023"/>
      <c r="FU5023"/>
      <c r="FV5023"/>
      <c r="FW5023"/>
      <c r="FX5023"/>
      <c r="FY5023"/>
      <c r="FZ5023"/>
      <c r="GA5023"/>
      <c r="GB5023"/>
      <c r="GC5023"/>
      <c r="GD5023"/>
      <c r="GE5023"/>
      <c r="GF5023"/>
      <c r="GG5023"/>
      <c r="GH5023"/>
      <c r="GI5023"/>
      <c r="GJ5023"/>
      <c r="GK5023"/>
      <c r="GL5023"/>
      <c r="GM5023"/>
      <c r="GN5023"/>
      <c r="GO5023"/>
    </row>
    <row r="5024" spans="107:197">
      <c r="DC5024"/>
      <c r="FH5024"/>
      <c r="FI5024"/>
      <c r="FJ5024"/>
      <c r="FK5024"/>
      <c r="FL5024"/>
      <c r="FM5024"/>
      <c r="FN5024"/>
      <c r="FO5024"/>
      <c r="FP5024"/>
      <c r="FQ5024"/>
      <c r="FR5024"/>
      <c r="FS5024"/>
      <c r="FT5024"/>
      <c r="FU5024"/>
      <c r="FV5024"/>
      <c r="FW5024"/>
      <c r="FX5024"/>
      <c r="FY5024"/>
      <c r="FZ5024"/>
      <c r="GA5024"/>
      <c r="GB5024"/>
      <c r="GC5024"/>
      <c r="GD5024"/>
      <c r="GE5024"/>
      <c r="GF5024"/>
      <c r="GG5024"/>
      <c r="GH5024"/>
      <c r="GI5024"/>
      <c r="GJ5024"/>
      <c r="GK5024"/>
      <c r="GL5024"/>
      <c r="GM5024"/>
      <c r="GN5024"/>
      <c r="GO5024"/>
    </row>
    <row r="5025" spans="107:197">
      <c r="DC5025"/>
      <c r="FH5025"/>
      <c r="FI5025"/>
      <c r="FJ5025"/>
      <c r="FK5025"/>
      <c r="FL5025"/>
      <c r="FM5025"/>
      <c r="FN5025"/>
      <c r="FO5025"/>
      <c r="FP5025"/>
      <c r="FQ5025"/>
      <c r="FR5025"/>
      <c r="FS5025"/>
      <c r="FT5025"/>
      <c r="FU5025"/>
      <c r="FV5025"/>
      <c r="FW5025"/>
      <c r="FX5025"/>
      <c r="FY5025"/>
      <c r="FZ5025"/>
      <c r="GA5025"/>
      <c r="GB5025"/>
      <c r="GC5025"/>
      <c r="GD5025"/>
      <c r="GE5025"/>
      <c r="GF5025"/>
      <c r="GG5025"/>
      <c r="GH5025"/>
      <c r="GI5025"/>
      <c r="GJ5025"/>
      <c r="GK5025"/>
      <c r="GL5025"/>
      <c r="GM5025"/>
      <c r="GN5025"/>
      <c r="GO5025"/>
    </row>
    <row r="5026" spans="107:197">
      <c r="DC5026"/>
      <c r="FH5026"/>
      <c r="FI5026"/>
      <c r="FJ5026"/>
      <c r="FK5026"/>
      <c r="FL5026"/>
      <c r="FM5026"/>
      <c r="FN5026"/>
      <c r="FO5026"/>
      <c r="FP5026"/>
      <c r="FQ5026"/>
      <c r="FR5026"/>
      <c r="FS5026"/>
      <c r="FT5026"/>
      <c r="FU5026"/>
      <c r="FV5026"/>
      <c r="FW5026"/>
      <c r="FX5026"/>
      <c r="FY5026"/>
      <c r="FZ5026"/>
      <c r="GA5026"/>
      <c r="GB5026"/>
      <c r="GC5026"/>
      <c r="GD5026"/>
      <c r="GE5026"/>
      <c r="GF5026"/>
      <c r="GG5026"/>
      <c r="GH5026"/>
      <c r="GI5026"/>
      <c r="GJ5026"/>
      <c r="GK5026"/>
      <c r="GL5026"/>
      <c r="GM5026"/>
      <c r="GN5026"/>
      <c r="GO5026"/>
    </row>
    <row r="5027" spans="107:197">
      <c r="DC5027"/>
      <c r="FH5027"/>
      <c r="FI5027"/>
      <c r="FJ5027"/>
      <c r="FK5027"/>
      <c r="FL5027"/>
      <c r="FM5027"/>
      <c r="FN5027"/>
      <c r="FO5027"/>
      <c r="FP5027"/>
      <c r="FQ5027"/>
      <c r="FR5027"/>
      <c r="FS5027"/>
      <c r="FT5027"/>
      <c r="FU5027"/>
      <c r="FV5027"/>
      <c r="FW5027"/>
      <c r="FX5027"/>
      <c r="FY5027"/>
      <c r="FZ5027"/>
      <c r="GA5027"/>
      <c r="GB5027"/>
      <c r="GC5027"/>
      <c r="GD5027"/>
      <c r="GE5027"/>
      <c r="GF5027"/>
      <c r="GG5027"/>
      <c r="GH5027"/>
      <c r="GI5027"/>
      <c r="GJ5027"/>
      <c r="GK5027"/>
      <c r="GL5027"/>
      <c r="GM5027"/>
      <c r="GN5027"/>
      <c r="GO5027"/>
    </row>
    <row r="5028" spans="107:197">
      <c r="DC5028"/>
      <c r="FH5028"/>
      <c r="FI5028"/>
      <c r="FJ5028"/>
      <c r="FK5028"/>
      <c r="FL5028"/>
      <c r="FM5028"/>
      <c r="FN5028"/>
      <c r="FO5028"/>
      <c r="FP5028"/>
      <c r="FQ5028"/>
      <c r="FR5028"/>
      <c r="FS5028"/>
      <c r="FT5028"/>
      <c r="FU5028"/>
      <c r="FV5028"/>
      <c r="FW5028"/>
      <c r="FX5028"/>
      <c r="FY5028"/>
      <c r="FZ5028"/>
      <c r="GA5028"/>
      <c r="GB5028"/>
      <c r="GC5028"/>
      <c r="GD5028"/>
      <c r="GE5028"/>
      <c r="GF5028"/>
      <c r="GG5028"/>
      <c r="GH5028"/>
      <c r="GI5028"/>
      <c r="GJ5028"/>
      <c r="GK5028"/>
      <c r="GL5028"/>
      <c r="GM5028"/>
      <c r="GN5028"/>
      <c r="GO5028"/>
    </row>
    <row r="5029" spans="107:197">
      <c r="DC5029"/>
      <c r="FH5029"/>
      <c r="FI5029"/>
      <c r="FJ5029"/>
      <c r="FK5029"/>
      <c r="FL5029"/>
      <c r="FM5029"/>
      <c r="FN5029"/>
      <c r="FO5029"/>
      <c r="FP5029"/>
      <c r="FQ5029"/>
      <c r="FR5029"/>
      <c r="FS5029"/>
      <c r="FT5029"/>
      <c r="FU5029"/>
      <c r="FV5029"/>
      <c r="FW5029"/>
      <c r="FX5029"/>
      <c r="FY5029"/>
      <c r="FZ5029"/>
      <c r="GA5029"/>
      <c r="GB5029"/>
      <c r="GC5029"/>
      <c r="GD5029"/>
      <c r="GE5029"/>
      <c r="GF5029"/>
      <c r="GG5029"/>
      <c r="GH5029"/>
      <c r="GI5029"/>
      <c r="GJ5029"/>
      <c r="GK5029"/>
      <c r="GL5029"/>
      <c r="GM5029"/>
      <c r="GN5029"/>
      <c r="GO5029"/>
    </row>
    <row r="5030" spans="107:197">
      <c r="DC5030"/>
      <c r="FH5030"/>
      <c r="FI5030"/>
      <c r="FJ5030"/>
      <c r="FK5030"/>
      <c r="FL5030"/>
      <c r="FM5030"/>
      <c r="FN5030"/>
      <c r="FO5030"/>
      <c r="FP5030"/>
      <c r="FQ5030"/>
      <c r="FR5030"/>
      <c r="FS5030"/>
      <c r="FT5030"/>
      <c r="FU5030"/>
      <c r="FV5030"/>
      <c r="FW5030"/>
      <c r="FX5030"/>
      <c r="FY5030"/>
      <c r="FZ5030"/>
      <c r="GA5030"/>
      <c r="GB5030"/>
      <c r="GC5030"/>
      <c r="GD5030"/>
      <c r="GE5030"/>
      <c r="GF5030"/>
      <c r="GG5030"/>
      <c r="GH5030"/>
      <c r="GI5030"/>
      <c r="GJ5030"/>
      <c r="GK5030"/>
      <c r="GL5030"/>
      <c r="GM5030"/>
      <c r="GN5030"/>
      <c r="GO5030"/>
    </row>
    <row r="5031" spans="107:197">
      <c r="DC5031"/>
      <c r="FH5031"/>
      <c r="FI5031"/>
      <c r="FJ5031"/>
      <c r="FK5031"/>
      <c r="FL5031"/>
      <c r="FM5031"/>
      <c r="FN5031"/>
      <c r="FO5031"/>
      <c r="FP5031"/>
      <c r="FQ5031"/>
      <c r="FR5031"/>
      <c r="FS5031"/>
      <c r="FT5031"/>
      <c r="FU5031"/>
      <c r="FV5031"/>
      <c r="FW5031"/>
      <c r="FX5031"/>
      <c r="FY5031"/>
      <c r="FZ5031"/>
      <c r="GA5031"/>
      <c r="GB5031"/>
      <c r="GC5031"/>
      <c r="GD5031"/>
      <c r="GE5031"/>
      <c r="GF5031"/>
      <c r="GG5031"/>
      <c r="GH5031"/>
      <c r="GI5031"/>
      <c r="GJ5031"/>
      <c r="GK5031"/>
      <c r="GL5031"/>
      <c r="GM5031"/>
      <c r="GN5031"/>
      <c r="GO5031"/>
    </row>
    <row r="5032" spans="107:197">
      <c r="DC5032"/>
      <c r="FH5032"/>
      <c r="FI5032"/>
      <c r="FJ5032"/>
      <c r="FK5032"/>
      <c r="FL5032"/>
      <c r="FM5032"/>
      <c r="FN5032"/>
      <c r="FO5032"/>
      <c r="FP5032"/>
      <c r="FQ5032"/>
      <c r="FR5032"/>
      <c r="FS5032"/>
      <c r="FT5032"/>
      <c r="FU5032"/>
      <c r="FV5032"/>
      <c r="FW5032"/>
      <c r="FX5032"/>
      <c r="FY5032"/>
      <c r="FZ5032"/>
      <c r="GA5032"/>
      <c r="GB5032"/>
      <c r="GC5032"/>
      <c r="GD5032"/>
      <c r="GE5032"/>
      <c r="GF5032"/>
      <c r="GG5032"/>
      <c r="GH5032"/>
      <c r="GI5032"/>
      <c r="GJ5032"/>
      <c r="GK5032"/>
      <c r="GL5032"/>
      <c r="GM5032"/>
      <c r="GN5032"/>
      <c r="GO5032"/>
    </row>
    <row r="5033" spans="107:197">
      <c r="DC5033"/>
      <c r="FH5033"/>
      <c r="FI5033"/>
      <c r="FJ5033"/>
      <c r="FK5033"/>
      <c r="FL5033"/>
      <c r="FM5033"/>
      <c r="FN5033"/>
      <c r="FO5033"/>
      <c r="FP5033"/>
      <c r="FQ5033"/>
      <c r="FR5033"/>
      <c r="FS5033"/>
      <c r="FT5033"/>
      <c r="FU5033"/>
      <c r="FV5033"/>
      <c r="FW5033"/>
      <c r="FX5033"/>
      <c r="FY5033"/>
      <c r="FZ5033"/>
      <c r="GA5033"/>
      <c r="GB5033"/>
      <c r="GC5033"/>
      <c r="GD5033"/>
      <c r="GE5033"/>
      <c r="GF5033"/>
      <c r="GG5033"/>
      <c r="GH5033"/>
      <c r="GI5033"/>
      <c r="GJ5033"/>
      <c r="GK5033"/>
      <c r="GL5033"/>
      <c r="GM5033"/>
      <c r="GN5033"/>
      <c r="GO5033"/>
    </row>
    <row r="5034" spans="107:197">
      <c r="DC5034"/>
      <c r="FH5034"/>
      <c r="FI5034"/>
      <c r="FJ5034"/>
      <c r="FK5034"/>
      <c r="FL5034"/>
      <c r="FM5034"/>
      <c r="FN5034"/>
      <c r="FO5034"/>
      <c r="FP5034"/>
      <c r="FQ5034"/>
      <c r="FR5034"/>
      <c r="FS5034"/>
      <c r="FT5034"/>
      <c r="FU5034"/>
      <c r="FV5034"/>
      <c r="FW5034"/>
      <c r="FX5034"/>
      <c r="FY5034"/>
      <c r="FZ5034"/>
      <c r="GA5034"/>
      <c r="GB5034"/>
      <c r="GC5034"/>
      <c r="GD5034"/>
      <c r="GE5034"/>
      <c r="GF5034"/>
      <c r="GG5034"/>
      <c r="GH5034"/>
      <c r="GI5034"/>
      <c r="GJ5034"/>
      <c r="GK5034"/>
      <c r="GL5034"/>
      <c r="GM5034"/>
      <c r="GN5034"/>
      <c r="GO5034"/>
    </row>
    <row r="5035" spans="107:197">
      <c r="DC5035"/>
      <c r="FH5035"/>
      <c r="FI5035"/>
      <c r="FJ5035"/>
      <c r="FK5035"/>
      <c r="FL5035"/>
      <c r="FM5035"/>
      <c r="FN5035"/>
      <c r="FO5035"/>
      <c r="FP5035"/>
      <c r="FQ5035"/>
      <c r="FR5035"/>
      <c r="FS5035"/>
      <c r="FT5035"/>
      <c r="FU5035"/>
      <c r="FV5035"/>
      <c r="FW5035"/>
      <c r="FX5035"/>
      <c r="FY5035"/>
      <c r="FZ5035"/>
      <c r="GA5035"/>
      <c r="GB5035"/>
      <c r="GC5035"/>
      <c r="GD5035"/>
      <c r="GE5035"/>
      <c r="GF5035"/>
      <c r="GG5035"/>
      <c r="GH5035"/>
      <c r="GI5035"/>
      <c r="GJ5035"/>
      <c r="GK5035"/>
      <c r="GL5035"/>
      <c r="GM5035"/>
      <c r="GN5035"/>
      <c r="GO5035"/>
    </row>
    <row r="5036" spans="107:197">
      <c r="DC5036"/>
      <c r="FH5036"/>
      <c r="FI5036"/>
      <c r="FJ5036"/>
      <c r="FK5036"/>
      <c r="FL5036"/>
      <c r="FM5036"/>
      <c r="FN5036"/>
      <c r="FO5036"/>
      <c r="FP5036"/>
      <c r="FQ5036"/>
      <c r="FR5036"/>
      <c r="FS5036"/>
      <c r="FT5036"/>
      <c r="FU5036"/>
      <c r="FV5036"/>
      <c r="FW5036"/>
      <c r="FX5036"/>
      <c r="FY5036"/>
      <c r="FZ5036"/>
      <c r="GA5036"/>
      <c r="GB5036"/>
      <c r="GC5036"/>
      <c r="GD5036"/>
      <c r="GE5036"/>
      <c r="GF5036"/>
      <c r="GG5036"/>
      <c r="GH5036"/>
      <c r="GI5036"/>
      <c r="GJ5036"/>
      <c r="GK5036"/>
      <c r="GL5036"/>
      <c r="GM5036"/>
      <c r="GN5036"/>
      <c r="GO5036"/>
    </row>
    <row r="5037" spans="107:197">
      <c r="DC5037"/>
      <c r="FH5037"/>
      <c r="FI5037"/>
      <c r="FJ5037"/>
      <c r="FK5037"/>
      <c r="FL5037"/>
      <c r="FM5037"/>
      <c r="FN5037"/>
      <c r="FO5037"/>
      <c r="FP5037"/>
      <c r="FQ5037"/>
      <c r="FR5037"/>
      <c r="FS5037"/>
      <c r="FT5037"/>
      <c r="FU5037"/>
      <c r="FV5037"/>
      <c r="FW5037"/>
      <c r="FX5037"/>
      <c r="FY5037"/>
      <c r="FZ5037"/>
      <c r="GA5037"/>
      <c r="GB5037"/>
      <c r="GC5037"/>
      <c r="GD5037"/>
      <c r="GE5037"/>
      <c r="GF5037"/>
      <c r="GG5037"/>
      <c r="GH5037"/>
      <c r="GI5037"/>
      <c r="GJ5037"/>
      <c r="GK5037"/>
      <c r="GL5037"/>
      <c r="GM5037"/>
      <c r="GN5037"/>
      <c r="GO5037"/>
    </row>
    <row r="5038" spans="107:197">
      <c r="DC5038"/>
      <c r="FH5038"/>
      <c r="FI5038"/>
      <c r="FJ5038"/>
      <c r="FK5038"/>
      <c r="FL5038"/>
      <c r="FM5038"/>
      <c r="FN5038"/>
      <c r="FO5038"/>
      <c r="FP5038"/>
      <c r="FQ5038"/>
      <c r="FR5038"/>
      <c r="FS5038"/>
      <c r="FT5038"/>
      <c r="FU5038"/>
      <c r="FV5038"/>
      <c r="FW5038"/>
      <c r="FX5038"/>
      <c r="FY5038"/>
      <c r="FZ5038"/>
      <c r="GA5038"/>
      <c r="GB5038"/>
      <c r="GC5038"/>
      <c r="GD5038"/>
      <c r="GE5038"/>
      <c r="GF5038"/>
      <c r="GG5038"/>
      <c r="GH5038"/>
      <c r="GI5038"/>
      <c r="GJ5038"/>
      <c r="GK5038"/>
      <c r="GL5038"/>
      <c r="GM5038"/>
      <c r="GN5038"/>
      <c r="GO5038"/>
    </row>
    <row r="5039" spans="107:197">
      <c r="DC5039"/>
      <c r="FH5039"/>
      <c r="FI5039"/>
      <c r="FJ5039"/>
      <c r="FK5039"/>
      <c r="FL5039"/>
      <c r="FM5039"/>
      <c r="FN5039"/>
      <c r="FO5039"/>
      <c r="FP5039"/>
      <c r="FQ5039"/>
      <c r="FR5039"/>
      <c r="FS5039"/>
      <c r="FT5039"/>
      <c r="FU5039"/>
      <c r="FV5039"/>
      <c r="FW5039"/>
      <c r="FX5039"/>
      <c r="FY5039"/>
      <c r="FZ5039"/>
      <c r="GA5039"/>
      <c r="GB5039"/>
      <c r="GC5039"/>
      <c r="GD5039"/>
      <c r="GE5039"/>
      <c r="GF5039"/>
      <c r="GG5039"/>
      <c r="GH5039"/>
      <c r="GI5039"/>
      <c r="GJ5039"/>
      <c r="GK5039"/>
      <c r="GL5039"/>
      <c r="GM5039"/>
      <c r="GN5039"/>
      <c r="GO5039"/>
    </row>
    <row r="5040" spans="107:197">
      <c r="DC5040"/>
      <c r="FH5040"/>
      <c r="FI5040"/>
      <c r="FJ5040"/>
      <c r="FK5040"/>
      <c r="FL5040"/>
      <c r="FM5040"/>
      <c r="FN5040"/>
      <c r="FO5040"/>
      <c r="FP5040"/>
      <c r="FQ5040"/>
      <c r="FR5040"/>
      <c r="FS5040"/>
      <c r="FT5040"/>
      <c r="FU5040"/>
      <c r="FV5040"/>
      <c r="FW5040"/>
      <c r="FX5040"/>
      <c r="FY5040"/>
      <c r="FZ5040"/>
      <c r="GA5040"/>
      <c r="GB5040"/>
      <c r="GC5040"/>
      <c r="GD5040"/>
      <c r="GE5040"/>
      <c r="GF5040"/>
      <c r="GG5040"/>
      <c r="GH5040"/>
      <c r="GI5040"/>
      <c r="GJ5040"/>
      <c r="GK5040"/>
      <c r="GL5040"/>
      <c r="GM5040"/>
      <c r="GN5040"/>
      <c r="GO5040"/>
    </row>
    <row r="5041" spans="107:197">
      <c r="DC5041"/>
      <c r="FH5041"/>
      <c r="FI5041"/>
      <c r="FJ5041"/>
      <c r="FK5041"/>
      <c r="FL5041"/>
      <c r="FM5041"/>
      <c r="FN5041"/>
      <c r="FO5041"/>
      <c r="FP5041"/>
      <c r="FQ5041"/>
      <c r="FR5041"/>
      <c r="FS5041"/>
      <c r="FT5041"/>
      <c r="FU5041"/>
      <c r="FV5041"/>
      <c r="FW5041"/>
      <c r="FX5041"/>
      <c r="FY5041"/>
      <c r="FZ5041"/>
      <c r="GA5041"/>
      <c r="GB5041"/>
      <c r="GC5041"/>
      <c r="GD5041"/>
      <c r="GE5041"/>
      <c r="GF5041"/>
      <c r="GG5041"/>
      <c r="GH5041"/>
      <c r="GI5041"/>
      <c r="GJ5041"/>
      <c r="GK5041"/>
      <c r="GL5041"/>
      <c r="GM5041"/>
      <c r="GN5041"/>
      <c r="GO5041"/>
    </row>
    <row r="5042" spans="107:197">
      <c r="DC5042"/>
      <c r="FH5042"/>
      <c r="FI5042"/>
      <c r="FJ5042"/>
      <c r="FK5042"/>
      <c r="FL5042"/>
      <c r="FM5042"/>
      <c r="FN5042"/>
      <c r="FO5042"/>
      <c r="FP5042"/>
      <c r="FQ5042"/>
      <c r="FR5042"/>
      <c r="FS5042"/>
      <c r="FT5042"/>
      <c r="FU5042"/>
      <c r="FV5042"/>
      <c r="FW5042"/>
      <c r="FX5042"/>
      <c r="FY5042"/>
      <c r="FZ5042"/>
      <c r="GA5042"/>
      <c r="GB5042"/>
      <c r="GC5042"/>
      <c r="GD5042"/>
      <c r="GE5042"/>
      <c r="GF5042"/>
      <c r="GG5042"/>
      <c r="GH5042"/>
      <c r="GI5042"/>
      <c r="GJ5042"/>
      <c r="GK5042"/>
      <c r="GL5042"/>
      <c r="GM5042"/>
      <c r="GN5042"/>
      <c r="GO5042"/>
    </row>
    <row r="5043" spans="107:197">
      <c r="DC5043"/>
      <c r="FH5043"/>
      <c r="FI5043"/>
      <c r="FJ5043"/>
      <c r="FK5043"/>
      <c r="FL5043"/>
      <c r="FM5043"/>
      <c r="FN5043"/>
      <c r="FO5043"/>
      <c r="FP5043"/>
      <c r="FQ5043"/>
      <c r="FR5043"/>
      <c r="FS5043"/>
      <c r="FT5043"/>
      <c r="FU5043"/>
      <c r="FV5043"/>
      <c r="FW5043"/>
      <c r="FX5043"/>
      <c r="FY5043"/>
      <c r="FZ5043"/>
      <c r="GA5043"/>
      <c r="GB5043"/>
      <c r="GC5043"/>
      <c r="GD5043"/>
      <c r="GE5043"/>
      <c r="GF5043"/>
      <c r="GG5043"/>
      <c r="GH5043"/>
      <c r="GI5043"/>
      <c r="GJ5043"/>
      <c r="GK5043"/>
      <c r="GL5043"/>
      <c r="GM5043"/>
      <c r="GN5043"/>
      <c r="GO5043"/>
    </row>
    <row r="5044" spans="107:197">
      <c r="DC5044"/>
      <c r="FH5044"/>
      <c r="FI5044"/>
      <c r="FJ5044"/>
      <c r="FK5044"/>
      <c r="FL5044"/>
      <c r="FM5044"/>
      <c r="FN5044"/>
      <c r="FO5044"/>
      <c r="FP5044"/>
      <c r="FQ5044"/>
      <c r="FR5044"/>
      <c r="FS5044"/>
      <c r="FT5044"/>
      <c r="FU5044"/>
      <c r="FV5044"/>
      <c r="FW5044"/>
      <c r="FX5044"/>
      <c r="FY5044"/>
      <c r="FZ5044"/>
      <c r="GA5044"/>
      <c r="GB5044"/>
      <c r="GC5044"/>
      <c r="GD5044"/>
      <c r="GE5044"/>
      <c r="GF5044"/>
      <c r="GG5044"/>
      <c r="GH5044"/>
      <c r="GI5044"/>
      <c r="GJ5044"/>
      <c r="GK5044"/>
      <c r="GL5044"/>
      <c r="GM5044"/>
      <c r="GN5044"/>
      <c r="GO5044"/>
    </row>
    <row r="5045" spans="107:197">
      <c r="DC5045"/>
      <c r="FH5045"/>
      <c r="FI5045"/>
      <c r="FJ5045"/>
      <c r="FK5045"/>
      <c r="FL5045"/>
      <c r="FM5045"/>
      <c r="FN5045"/>
      <c r="FO5045"/>
      <c r="FP5045"/>
      <c r="FQ5045"/>
      <c r="FR5045"/>
      <c r="FS5045"/>
      <c r="FT5045"/>
      <c r="FU5045"/>
      <c r="FV5045"/>
      <c r="FW5045"/>
      <c r="FX5045"/>
      <c r="FY5045"/>
      <c r="FZ5045"/>
      <c r="GA5045"/>
      <c r="GB5045"/>
      <c r="GC5045"/>
      <c r="GD5045"/>
      <c r="GE5045"/>
      <c r="GF5045"/>
      <c r="GG5045"/>
      <c r="GH5045"/>
      <c r="GI5045"/>
      <c r="GJ5045"/>
      <c r="GK5045"/>
      <c r="GL5045"/>
      <c r="GM5045"/>
      <c r="GN5045"/>
      <c r="GO5045"/>
    </row>
    <row r="5046" spans="107:197">
      <c r="DC5046"/>
      <c r="FH5046"/>
      <c r="FI5046"/>
      <c r="FJ5046"/>
      <c r="FK5046"/>
      <c r="FL5046"/>
      <c r="FM5046"/>
      <c r="FN5046"/>
      <c r="FO5046"/>
      <c r="FP5046"/>
      <c r="FQ5046"/>
      <c r="FR5046"/>
      <c r="FS5046"/>
      <c r="FT5046"/>
      <c r="FU5046"/>
      <c r="FV5046"/>
      <c r="FW5046"/>
      <c r="FX5046"/>
      <c r="FY5046"/>
      <c r="FZ5046"/>
      <c r="GA5046"/>
      <c r="GB5046"/>
      <c r="GC5046"/>
      <c r="GD5046"/>
      <c r="GE5046"/>
      <c r="GF5046"/>
      <c r="GG5046"/>
      <c r="GH5046"/>
      <c r="GI5046"/>
      <c r="GJ5046"/>
      <c r="GK5046"/>
      <c r="GL5046"/>
      <c r="GM5046"/>
      <c r="GN5046"/>
      <c r="GO5046"/>
    </row>
    <row r="5047" spans="107:197">
      <c r="DC5047"/>
      <c r="FH5047"/>
      <c r="FI5047"/>
      <c r="FJ5047"/>
      <c r="FK5047"/>
      <c r="FL5047"/>
      <c r="FM5047"/>
      <c r="FN5047"/>
      <c r="FO5047"/>
      <c r="FP5047"/>
      <c r="FQ5047"/>
      <c r="FR5047"/>
      <c r="FS5047"/>
      <c r="FT5047"/>
      <c r="FU5047"/>
      <c r="FV5047"/>
      <c r="FW5047"/>
      <c r="FX5047"/>
      <c r="FY5047"/>
      <c r="FZ5047"/>
      <c r="GA5047"/>
      <c r="GB5047"/>
      <c r="GC5047"/>
      <c r="GD5047"/>
      <c r="GE5047"/>
      <c r="GF5047"/>
      <c r="GG5047"/>
      <c r="GH5047"/>
      <c r="GI5047"/>
      <c r="GJ5047"/>
      <c r="GK5047"/>
      <c r="GL5047"/>
      <c r="GM5047"/>
      <c r="GN5047"/>
      <c r="GO5047"/>
    </row>
    <row r="5048" spans="107:197">
      <c r="DC5048"/>
      <c r="FH5048"/>
      <c r="FI5048"/>
      <c r="FJ5048"/>
      <c r="FK5048"/>
      <c r="FL5048"/>
      <c r="FM5048"/>
      <c r="FN5048"/>
      <c r="FO5048"/>
      <c r="FP5048"/>
      <c r="FQ5048"/>
      <c r="FR5048"/>
      <c r="FS5048"/>
      <c r="FT5048"/>
      <c r="FU5048"/>
      <c r="FV5048"/>
      <c r="FW5048"/>
      <c r="FX5048"/>
      <c r="FY5048"/>
      <c r="FZ5048"/>
      <c r="GA5048"/>
      <c r="GB5048"/>
      <c r="GC5048"/>
      <c r="GD5048"/>
      <c r="GE5048"/>
      <c r="GF5048"/>
      <c r="GG5048"/>
      <c r="GH5048"/>
      <c r="GI5048"/>
      <c r="GJ5048"/>
      <c r="GK5048"/>
      <c r="GL5048"/>
      <c r="GM5048"/>
      <c r="GN5048"/>
      <c r="GO5048"/>
    </row>
    <row r="5049" spans="107:197">
      <c r="DC5049"/>
      <c r="FH5049"/>
      <c r="FI5049"/>
      <c r="FJ5049"/>
      <c r="FK5049"/>
      <c r="FL5049"/>
      <c r="FM5049"/>
      <c r="FN5049"/>
      <c r="FO5049"/>
      <c r="FP5049"/>
      <c r="FQ5049"/>
      <c r="FR5049"/>
      <c r="FS5049"/>
      <c r="FT5049"/>
      <c r="FU5049"/>
      <c r="FV5049"/>
      <c r="FW5049"/>
      <c r="FX5049"/>
      <c r="FY5049"/>
      <c r="FZ5049"/>
      <c r="GA5049"/>
      <c r="GB5049"/>
      <c r="GC5049"/>
      <c r="GD5049"/>
      <c r="GE5049"/>
      <c r="GF5049"/>
      <c r="GG5049"/>
      <c r="GH5049"/>
      <c r="GI5049"/>
      <c r="GJ5049"/>
      <c r="GK5049"/>
      <c r="GL5049"/>
      <c r="GM5049"/>
      <c r="GN5049"/>
      <c r="GO5049"/>
    </row>
    <row r="5050" spans="107:197">
      <c r="DC5050"/>
      <c r="FH5050"/>
      <c r="FI5050"/>
      <c r="FJ5050"/>
      <c r="FK5050"/>
      <c r="FL5050"/>
      <c r="FM5050"/>
      <c r="FN5050"/>
      <c r="FO5050"/>
      <c r="FP5050"/>
      <c r="FQ5050"/>
      <c r="FR5050"/>
      <c r="FS5050"/>
      <c r="FT5050"/>
      <c r="FU5050"/>
      <c r="FV5050"/>
      <c r="FW5050"/>
      <c r="FX5050"/>
      <c r="FY5050"/>
      <c r="FZ5050"/>
      <c r="GA5050"/>
      <c r="GB5050"/>
      <c r="GC5050"/>
      <c r="GD5050"/>
      <c r="GE5050"/>
      <c r="GF5050"/>
      <c r="GG5050"/>
      <c r="GH5050"/>
      <c r="GI5050"/>
      <c r="GJ5050"/>
      <c r="GK5050"/>
      <c r="GL5050"/>
      <c r="GM5050"/>
      <c r="GN5050"/>
      <c r="GO5050"/>
    </row>
    <row r="5051" spans="107:197">
      <c r="DC5051"/>
      <c r="FH5051"/>
      <c r="FI5051"/>
      <c r="FJ5051"/>
      <c r="FK5051"/>
      <c r="FL5051"/>
      <c r="FM5051"/>
      <c r="FN5051"/>
      <c r="FO5051"/>
      <c r="FP5051"/>
      <c r="FQ5051"/>
      <c r="FR5051"/>
      <c r="FS5051"/>
      <c r="FT5051"/>
      <c r="FU5051"/>
      <c r="FV5051"/>
      <c r="FW5051"/>
      <c r="FX5051"/>
      <c r="FY5051"/>
      <c r="FZ5051"/>
      <c r="GA5051"/>
      <c r="GB5051"/>
      <c r="GC5051"/>
      <c r="GD5051"/>
      <c r="GE5051"/>
      <c r="GF5051"/>
      <c r="GG5051"/>
      <c r="GH5051"/>
      <c r="GI5051"/>
      <c r="GJ5051"/>
      <c r="GK5051"/>
      <c r="GL5051"/>
      <c r="GM5051"/>
      <c r="GN5051"/>
      <c r="GO5051"/>
    </row>
    <row r="5052" spans="107:197">
      <c r="DC5052"/>
      <c r="FH5052"/>
      <c r="FI5052"/>
      <c r="FJ5052"/>
      <c r="FK5052"/>
      <c r="FL5052"/>
      <c r="FM5052"/>
      <c r="FN5052"/>
      <c r="FO5052"/>
      <c r="FP5052"/>
      <c r="FQ5052"/>
      <c r="FR5052"/>
      <c r="FS5052"/>
      <c r="FT5052"/>
      <c r="FU5052"/>
      <c r="FV5052"/>
      <c r="FW5052"/>
      <c r="FX5052"/>
      <c r="FY5052"/>
      <c r="FZ5052"/>
      <c r="GA5052"/>
      <c r="GB5052"/>
      <c r="GC5052"/>
      <c r="GD5052"/>
      <c r="GE5052"/>
      <c r="GF5052"/>
      <c r="GG5052"/>
      <c r="GH5052"/>
      <c r="GI5052"/>
      <c r="GJ5052"/>
      <c r="GK5052"/>
      <c r="GL5052"/>
      <c r="GM5052"/>
      <c r="GN5052"/>
      <c r="GO5052"/>
    </row>
    <row r="5053" spans="107:197">
      <c r="DC5053"/>
      <c r="FH5053"/>
      <c r="FI5053"/>
      <c r="FJ5053"/>
      <c r="FK5053"/>
      <c r="FL5053"/>
      <c r="FM5053"/>
      <c r="FN5053"/>
      <c r="FO5053"/>
      <c r="FP5053"/>
      <c r="FQ5053"/>
      <c r="FR5053"/>
      <c r="FS5053"/>
      <c r="FT5053"/>
      <c r="FU5053"/>
      <c r="FV5053"/>
      <c r="FW5053"/>
      <c r="FX5053"/>
      <c r="FY5053"/>
      <c r="FZ5053"/>
      <c r="GA5053"/>
      <c r="GB5053"/>
      <c r="GC5053"/>
      <c r="GD5053"/>
      <c r="GE5053"/>
      <c r="GF5053"/>
      <c r="GG5053"/>
      <c r="GH5053"/>
      <c r="GI5053"/>
      <c r="GJ5053"/>
      <c r="GK5053"/>
      <c r="GL5053"/>
      <c r="GM5053"/>
      <c r="GN5053"/>
      <c r="GO5053"/>
    </row>
    <row r="5054" spans="107:197">
      <c r="DC5054"/>
      <c r="FH5054"/>
      <c r="FI5054"/>
      <c r="FJ5054"/>
      <c r="FK5054"/>
      <c r="FL5054"/>
      <c r="FM5054"/>
      <c r="FN5054"/>
      <c r="FO5054"/>
      <c r="FP5054"/>
      <c r="FQ5054"/>
      <c r="FR5054"/>
      <c r="FS5054"/>
      <c r="FT5054"/>
      <c r="FU5054"/>
      <c r="FV5054"/>
      <c r="FW5054"/>
      <c r="FX5054"/>
      <c r="FY5054"/>
      <c r="FZ5054"/>
      <c r="GA5054"/>
      <c r="GB5054"/>
      <c r="GC5054"/>
      <c r="GD5054"/>
      <c r="GE5054"/>
      <c r="GF5054"/>
      <c r="GG5054"/>
      <c r="GH5054"/>
      <c r="GI5054"/>
      <c r="GJ5054"/>
      <c r="GK5054"/>
      <c r="GL5054"/>
      <c r="GM5054"/>
      <c r="GN5054"/>
      <c r="GO5054"/>
    </row>
    <row r="5055" spans="107:197">
      <c r="DC5055"/>
      <c r="FH5055"/>
      <c r="FI5055"/>
      <c r="FJ5055"/>
      <c r="FK5055"/>
      <c r="FL5055"/>
      <c r="FM5055"/>
      <c r="FN5055"/>
      <c r="FO5055"/>
      <c r="FP5055"/>
      <c r="FQ5055"/>
      <c r="FR5055"/>
      <c r="FS5055"/>
      <c r="FT5055"/>
      <c r="FU5055"/>
      <c r="FV5055"/>
      <c r="FW5055"/>
      <c r="FX5055"/>
      <c r="FY5055"/>
      <c r="FZ5055"/>
      <c r="GA5055"/>
      <c r="GB5055"/>
      <c r="GC5055"/>
      <c r="GD5055"/>
      <c r="GE5055"/>
      <c r="GF5055"/>
      <c r="GG5055"/>
      <c r="GH5055"/>
      <c r="GI5055"/>
      <c r="GJ5055"/>
      <c r="GK5055"/>
      <c r="GL5055"/>
      <c r="GM5055"/>
      <c r="GN5055"/>
      <c r="GO5055"/>
    </row>
    <row r="5056" spans="107:197">
      <c r="DC5056"/>
      <c r="FH5056"/>
      <c r="FI5056"/>
      <c r="FJ5056"/>
      <c r="FK5056"/>
      <c r="FL5056"/>
      <c r="FM5056"/>
      <c r="FN5056"/>
      <c r="FO5056"/>
      <c r="FP5056"/>
      <c r="FQ5056"/>
      <c r="FR5056"/>
      <c r="FS5056"/>
      <c r="FT5056"/>
      <c r="FU5056"/>
      <c r="FV5056"/>
      <c r="FW5056"/>
      <c r="FX5056"/>
      <c r="FY5056"/>
      <c r="FZ5056"/>
      <c r="GA5056"/>
      <c r="GB5056"/>
      <c r="GC5056"/>
      <c r="GD5056"/>
      <c r="GE5056"/>
      <c r="GF5056"/>
      <c r="GG5056"/>
      <c r="GH5056"/>
      <c r="GI5056"/>
      <c r="GJ5056"/>
      <c r="GK5056"/>
      <c r="GL5056"/>
      <c r="GM5056"/>
      <c r="GN5056"/>
      <c r="GO5056"/>
    </row>
    <row r="5057" spans="107:197">
      <c r="DC5057"/>
      <c r="FH5057"/>
      <c r="FI5057"/>
      <c r="FJ5057"/>
      <c r="FK5057"/>
      <c r="FL5057"/>
      <c r="FM5057"/>
      <c r="FN5057"/>
      <c r="FO5057"/>
      <c r="FP5057"/>
      <c r="FQ5057"/>
      <c r="FR5057"/>
      <c r="FS5057"/>
      <c r="FT5057"/>
      <c r="FU5057"/>
      <c r="FV5057"/>
      <c r="FW5057"/>
      <c r="FX5057"/>
      <c r="FY5057"/>
      <c r="FZ5057"/>
      <c r="GA5057"/>
      <c r="GB5057"/>
      <c r="GC5057"/>
      <c r="GD5057"/>
      <c r="GE5057"/>
      <c r="GF5057"/>
      <c r="GG5057"/>
      <c r="GH5057"/>
      <c r="GI5057"/>
      <c r="GJ5057"/>
      <c r="GK5057"/>
      <c r="GL5057"/>
      <c r="GM5057"/>
      <c r="GN5057"/>
      <c r="GO5057"/>
    </row>
    <row r="5058" spans="107:197">
      <c r="DC5058"/>
      <c r="FH5058"/>
      <c r="FI5058"/>
      <c r="FJ5058"/>
      <c r="FK5058"/>
      <c r="FL5058"/>
      <c r="FM5058"/>
      <c r="FN5058"/>
      <c r="FO5058"/>
      <c r="FP5058"/>
      <c r="FQ5058"/>
      <c r="FR5058"/>
      <c r="FS5058"/>
      <c r="FT5058"/>
      <c r="FU5058"/>
      <c r="FV5058"/>
      <c r="FW5058"/>
      <c r="FX5058"/>
      <c r="FY5058"/>
      <c r="FZ5058"/>
      <c r="GA5058"/>
      <c r="GB5058"/>
      <c r="GC5058"/>
      <c r="GD5058"/>
      <c r="GE5058"/>
      <c r="GF5058"/>
      <c r="GG5058"/>
      <c r="GH5058"/>
      <c r="GI5058"/>
      <c r="GJ5058"/>
      <c r="GK5058"/>
      <c r="GL5058"/>
      <c r="GM5058"/>
      <c r="GN5058"/>
      <c r="GO5058"/>
    </row>
    <row r="5059" spans="107:197">
      <c r="DC5059"/>
      <c r="FH5059"/>
      <c r="FI5059"/>
      <c r="FJ5059"/>
      <c r="FK5059"/>
      <c r="FL5059"/>
      <c r="FM5059"/>
      <c r="FN5059"/>
      <c r="FO5059"/>
      <c r="FP5059"/>
      <c r="FQ5059"/>
      <c r="FR5059"/>
      <c r="FS5059"/>
      <c r="FT5059"/>
      <c r="FU5059"/>
      <c r="FV5059"/>
      <c r="FW5059"/>
      <c r="FX5059"/>
      <c r="FY5059"/>
      <c r="FZ5059"/>
      <c r="GA5059"/>
      <c r="GB5059"/>
      <c r="GC5059"/>
      <c r="GD5059"/>
      <c r="GE5059"/>
      <c r="GF5059"/>
      <c r="GG5059"/>
      <c r="GH5059"/>
      <c r="GI5059"/>
      <c r="GJ5059"/>
      <c r="GK5059"/>
      <c r="GL5059"/>
      <c r="GM5059"/>
      <c r="GN5059"/>
      <c r="GO5059"/>
    </row>
    <row r="5060" spans="107:197">
      <c r="DC5060"/>
      <c r="FH5060"/>
      <c r="FI5060"/>
      <c r="FJ5060"/>
      <c r="FK5060"/>
      <c r="FL5060"/>
      <c r="FM5060"/>
      <c r="FN5060"/>
      <c r="FO5060"/>
      <c r="FP5060"/>
      <c r="FQ5060"/>
      <c r="FR5060"/>
      <c r="FS5060"/>
      <c r="FT5060"/>
      <c r="FU5060"/>
      <c r="FV5060"/>
      <c r="FW5060"/>
      <c r="FX5060"/>
      <c r="FY5060"/>
      <c r="FZ5060"/>
      <c r="GA5060"/>
      <c r="GB5060"/>
      <c r="GC5060"/>
      <c r="GD5060"/>
      <c r="GE5060"/>
      <c r="GF5060"/>
      <c r="GG5060"/>
      <c r="GH5060"/>
      <c r="GI5060"/>
      <c r="GJ5060"/>
      <c r="GK5060"/>
      <c r="GL5060"/>
      <c r="GM5060"/>
      <c r="GN5060"/>
      <c r="GO5060"/>
    </row>
    <row r="5061" spans="107:197">
      <c r="DC5061"/>
      <c r="FH5061"/>
      <c r="FI5061"/>
      <c r="FJ5061"/>
      <c r="FK5061"/>
      <c r="FL5061"/>
      <c r="FM5061"/>
      <c r="FN5061"/>
      <c r="FO5061"/>
      <c r="FP5061"/>
      <c r="FQ5061"/>
      <c r="FR5061"/>
      <c r="FS5061"/>
      <c r="FT5061"/>
      <c r="FU5061"/>
      <c r="FV5061"/>
      <c r="FW5061"/>
      <c r="FX5061"/>
      <c r="FY5061"/>
      <c r="FZ5061"/>
      <c r="GA5061"/>
      <c r="GB5061"/>
      <c r="GC5061"/>
      <c r="GD5061"/>
      <c r="GE5061"/>
      <c r="GF5061"/>
      <c r="GG5061"/>
      <c r="GH5061"/>
      <c r="GI5061"/>
      <c r="GJ5061"/>
      <c r="GK5061"/>
      <c r="GL5061"/>
      <c r="GM5061"/>
      <c r="GN5061"/>
      <c r="GO5061"/>
    </row>
    <row r="5062" spans="107:197">
      <c r="DC5062"/>
      <c r="FH5062"/>
      <c r="FI5062"/>
      <c r="FJ5062"/>
      <c r="FK5062"/>
      <c r="FL5062"/>
      <c r="FM5062"/>
      <c r="FN5062"/>
      <c r="FO5062"/>
      <c r="FP5062"/>
      <c r="FQ5062"/>
      <c r="FR5062"/>
      <c r="FS5062"/>
      <c r="FT5062"/>
      <c r="FU5062"/>
      <c r="FV5062"/>
      <c r="FW5062"/>
      <c r="FX5062"/>
      <c r="FY5062"/>
      <c r="FZ5062"/>
      <c r="GA5062"/>
      <c r="GB5062"/>
      <c r="GC5062"/>
      <c r="GD5062"/>
      <c r="GE5062"/>
      <c r="GF5062"/>
      <c r="GG5062"/>
      <c r="GH5062"/>
      <c r="GI5062"/>
      <c r="GJ5062"/>
      <c r="GK5062"/>
      <c r="GL5062"/>
      <c r="GM5062"/>
      <c r="GN5062"/>
      <c r="GO5062"/>
    </row>
    <row r="5063" spans="107:197">
      <c r="DC5063"/>
      <c r="FH5063"/>
      <c r="FI5063"/>
      <c r="FJ5063"/>
      <c r="FK5063"/>
      <c r="FL5063"/>
      <c r="FM5063"/>
      <c r="FN5063"/>
      <c r="FO5063"/>
      <c r="FP5063"/>
      <c r="FQ5063"/>
      <c r="FR5063"/>
      <c r="FS5063"/>
      <c r="FT5063"/>
      <c r="FU5063"/>
      <c r="FV5063"/>
      <c r="FW5063"/>
      <c r="FX5063"/>
      <c r="FY5063"/>
      <c r="FZ5063"/>
      <c r="GA5063"/>
      <c r="GB5063"/>
      <c r="GC5063"/>
      <c r="GD5063"/>
      <c r="GE5063"/>
      <c r="GF5063"/>
      <c r="GG5063"/>
      <c r="GH5063"/>
      <c r="GI5063"/>
      <c r="GJ5063"/>
      <c r="GK5063"/>
      <c r="GL5063"/>
      <c r="GM5063"/>
      <c r="GN5063"/>
      <c r="GO5063"/>
    </row>
    <row r="5064" spans="107:197">
      <c r="DC5064"/>
      <c r="FH5064"/>
      <c r="FI5064"/>
      <c r="FJ5064"/>
      <c r="FK5064"/>
      <c r="FL5064"/>
      <c r="FM5064"/>
      <c r="FN5064"/>
      <c r="FO5064"/>
      <c r="FP5064"/>
      <c r="FQ5064"/>
      <c r="FR5064"/>
      <c r="FS5064"/>
      <c r="FT5064"/>
      <c r="FU5064"/>
      <c r="FV5064"/>
      <c r="FW5064"/>
      <c r="FX5064"/>
      <c r="FY5064"/>
      <c r="FZ5064"/>
      <c r="GA5064"/>
      <c r="GB5064"/>
      <c r="GC5064"/>
      <c r="GD5064"/>
      <c r="GE5064"/>
      <c r="GF5064"/>
      <c r="GG5064"/>
      <c r="GH5064"/>
      <c r="GI5064"/>
      <c r="GJ5064"/>
      <c r="GK5064"/>
      <c r="GL5064"/>
      <c r="GM5064"/>
      <c r="GN5064"/>
      <c r="GO5064"/>
    </row>
    <row r="5065" spans="107:197">
      <c r="DC5065"/>
      <c r="FH5065"/>
      <c r="FI5065"/>
      <c r="FJ5065"/>
      <c r="FK5065"/>
      <c r="FL5065"/>
      <c r="FM5065"/>
      <c r="FN5065"/>
      <c r="FO5065"/>
      <c r="FP5065"/>
      <c r="FQ5065"/>
      <c r="FR5065"/>
      <c r="FS5065"/>
      <c r="FT5065"/>
      <c r="FU5065"/>
      <c r="FV5065"/>
      <c r="FW5065"/>
      <c r="FX5065"/>
      <c r="FY5065"/>
      <c r="FZ5065"/>
      <c r="GA5065"/>
      <c r="GB5065"/>
      <c r="GC5065"/>
      <c r="GD5065"/>
      <c r="GE5065"/>
      <c r="GF5065"/>
      <c r="GG5065"/>
      <c r="GH5065"/>
      <c r="GI5065"/>
      <c r="GJ5065"/>
      <c r="GK5065"/>
      <c r="GL5065"/>
      <c r="GM5065"/>
      <c r="GN5065"/>
      <c r="GO5065"/>
    </row>
    <row r="5066" spans="107:197">
      <c r="DC5066"/>
      <c r="FH5066"/>
      <c r="FI5066"/>
      <c r="FJ5066"/>
      <c r="FK5066"/>
      <c r="FL5066"/>
      <c r="FM5066"/>
      <c r="FN5066"/>
      <c r="FO5066"/>
      <c r="FP5066"/>
      <c r="FQ5066"/>
      <c r="FR5066"/>
      <c r="FS5066"/>
      <c r="FT5066"/>
      <c r="FU5066"/>
      <c r="FV5066"/>
      <c r="FW5066"/>
      <c r="FX5066"/>
      <c r="FY5066"/>
      <c r="FZ5066"/>
      <c r="GA5066"/>
      <c r="GB5066"/>
      <c r="GC5066"/>
      <c r="GD5066"/>
      <c r="GE5066"/>
      <c r="GF5066"/>
      <c r="GG5066"/>
      <c r="GH5066"/>
      <c r="GI5066"/>
      <c r="GJ5066"/>
      <c r="GK5066"/>
      <c r="GL5066"/>
      <c r="GM5066"/>
      <c r="GN5066"/>
      <c r="GO5066"/>
    </row>
    <row r="5067" spans="107:197">
      <c r="DC5067"/>
      <c r="FH5067"/>
      <c r="FI5067"/>
      <c r="FJ5067"/>
      <c r="FK5067"/>
      <c r="FL5067"/>
      <c r="FM5067"/>
      <c r="FN5067"/>
      <c r="FO5067"/>
      <c r="FP5067"/>
      <c r="FQ5067"/>
      <c r="FR5067"/>
      <c r="FS5067"/>
      <c r="FT5067"/>
      <c r="FU5067"/>
      <c r="FV5067"/>
      <c r="FW5067"/>
      <c r="FX5067"/>
      <c r="FY5067"/>
      <c r="FZ5067"/>
      <c r="GA5067"/>
      <c r="GB5067"/>
      <c r="GC5067"/>
      <c r="GD5067"/>
      <c r="GE5067"/>
      <c r="GF5067"/>
      <c r="GG5067"/>
      <c r="GH5067"/>
      <c r="GI5067"/>
      <c r="GJ5067"/>
      <c r="GK5067"/>
      <c r="GL5067"/>
      <c r="GM5067"/>
      <c r="GN5067"/>
      <c r="GO5067"/>
    </row>
    <row r="5068" spans="107:197">
      <c r="DC5068"/>
      <c r="FH5068"/>
      <c r="FI5068"/>
      <c r="FJ5068"/>
      <c r="FK5068"/>
      <c r="FL5068"/>
      <c r="FM5068"/>
      <c r="FN5068"/>
      <c r="FO5068"/>
      <c r="FP5068"/>
      <c r="FQ5068"/>
      <c r="FR5068"/>
      <c r="FS5068"/>
      <c r="FT5068"/>
      <c r="FU5068"/>
      <c r="FV5068"/>
      <c r="FW5068"/>
      <c r="FX5068"/>
      <c r="FY5068"/>
      <c r="FZ5068"/>
      <c r="GA5068"/>
      <c r="GB5068"/>
      <c r="GC5068"/>
      <c r="GD5068"/>
      <c r="GE5068"/>
      <c r="GF5068"/>
      <c r="GG5068"/>
      <c r="GH5068"/>
      <c r="GI5068"/>
      <c r="GJ5068"/>
      <c r="GK5068"/>
      <c r="GL5068"/>
      <c r="GM5068"/>
      <c r="GN5068"/>
      <c r="GO5068"/>
    </row>
    <row r="5069" spans="107:197">
      <c r="DC5069"/>
      <c r="FH5069"/>
      <c r="FI5069"/>
      <c r="FJ5069"/>
      <c r="FK5069"/>
      <c r="FL5069"/>
      <c r="FM5069"/>
      <c r="FN5069"/>
      <c r="FO5069"/>
      <c r="FP5069"/>
      <c r="FQ5069"/>
      <c r="FR5069"/>
      <c r="FS5069"/>
      <c r="FT5069"/>
      <c r="FU5069"/>
      <c r="FV5069"/>
      <c r="FW5069"/>
      <c r="FX5069"/>
      <c r="FY5069"/>
      <c r="FZ5069"/>
      <c r="GA5069"/>
      <c r="GB5069"/>
      <c r="GC5069"/>
      <c r="GD5069"/>
      <c r="GE5069"/>
      <c r="GF5069"/>
      <c r="GG5069"/>
      <c r="GH5069"/>
      <c r="GI5069"/>
      <c r="GJ5069"/>
      <c r="GK5069"/>
      <c r="GL5069"/>
      <c r="GM5069"/>
      <c r="GN5069"/>
      <c r="GO5069"/>
    </row>
    <row r="5070" spans="107:197">
      <c r="DC5070"/>
      <c r="FH5070"/>
      <c r="FI5070"/>
      <c r="FJ5070"/>
      <c r="FK5070"/>
      <c r="FL5070"/>
      <c r="FM5070"/>
      <c r="FN5070"/>
      <c r="FO5070"/>
      <c r="FP5070"/>
      <c r="FQ5070"/>
      <c r="FR5070"/>
      <c r="FS5070"/>
      <c r="FT5070"/>
      <c r="FU5070"/>
      <c r="FV5070"/>
      <c r="FW5070"/>
      <c r="FX5070"/>
      <c r="FY5070"/>
      <c r="FZ5070"/>
      <c r="GA5070"/>
      <c r="GB5070"/>
      <c r="GC5070"/>
      <c r="GD5070"/>
      <c r="GE5070"/>
      <c r="GF5070"/>
      <c r="GG5070"/>
      <c r="GH5070"/>
      <c r="GI5070"/>
      <c r="GJ5070"/>
      <c r="GK5070"/>
      <c r="GL5070"/>
      <c r="GM5070"/>
      <c r="GN5070"/>
      <c r="GO5070"/>
    </row>
    <row r="5071" spans="107:197">
      <c r="DC5071"/>
      <c r="FH5071"/>
      <c r="FI5071"/>
      <c r="FJ5071"/>
      <c r="FK5071"/>
      <c r="FL5071"/>
      <c r="FM5071"/>
      <c r="FN5071"/>
      <c r="FO5071"/>
      <c r="FP5071"/>
      <c r="FQ5071"/>
      <c r="FR5071"/>
      <c r="FS5071"/>
      <c r="FT5071"/>
      <c r="FU5071"/>
      <c r="FV5071"/>
      <c r="FW5071"/>
      <c r="FX5071"/>
      <c r="FY5071"/>
      <c r="FZ5071"/>
      <c r="GA5071"/>
      <c r="GB5071"/>
      <c r="GC5071"/>
      <c r="GD5071"/>
      <c r="GE5071"/>
      <c r="GF5071"/>
      <c r="GG5071"/>
      <c r="GH5071"/>
      <c r="GI5071"/>
      <c r="GJ5071"/>
      <c r="GK5071"/>
      <c r="GL5071"/>
      <c r="GM5071"/>
      <c r="GN5071"/>
      <c r="GO5071"/>
    </row>
    <row r="5072" spans="107:197">
      <c r="DC5072"/>
      <c r="FH5072"/>
      <c r="FI5072"/>
      <c r="FJ5072"/>
      <c r="FK5072"/>
      <c r="FL5072"/>
      <c r="FM5072"/>
      <c r="FN5072"/>
      <c r="FO5072"/>
      <c r="FP5072"/>
      <c r="FQ5072"/>
      <c r="FR5072"/>
      <c r="FS5072"/>
      <c r="FT5072"/>
      <c r="FU5072"/>
      <c r="FV5072"/>
      <c r="FW5072"/>
      <c r="FX5072"/>
      <c r="FY5072"/>
      <c r="FZ5072"/>
      <c r="GA5072"/>
      <c r="GB5072"/>
      <c r="GC5072"/>
      <c r="GD5072"/>
      <c r="GE5072"/>
      <c r="GF5072"/>
      <c r="GG5072"/>
      <c r="GH5072"/>
      <c r="GI5072"/>
      <c r="GJ5072"/>
      <c r="GK5072"/>
      <c r="GL5072"/>
      <c r="GM5072"/>
      <c r="GN5072"/>
      <c r="GO5072"/>
    </row>
    <row r="5073" spans="107:197">
      <c r="DC5073"/>
      <c r="FH5073"/>
      <c r="FI5073"/>
      <c r="FJ5073"/>
      <c r="FK5073"/>
      <c r="FL5073"/>
      <c r="FM5073"/>
      <c r="FN5073"/>
      <c r="FO5073"/>
      <c r="FP5073"/>
      <c r="FQ5073"/>
      <c r="FR5073"/>
      <c r="FS5073"/>
      <c r="FT5073"/>
      <c r="FU5073"/>
      <c r="FV5073"/>
      <c r="FW5073"/>
      <c r="FX5073"/>
      <c r="FY5073"/>
      <c r="FZ5073"/>
      <c r="GA5073"/>
      <c r="GB5073"/>
      <c r="GC5073"/>
      <c r="GD5073"/>
      <c r="GE5073"/>
      <c r="GF5073"/>
      <c r="GG5073"/>
      <c r="GH5073"/>
      <c r="GI5073"/>
      <c r="GJ5073"/>
      <c r="GK5073"/>
      <c r="GL5073"/>
      <c r="GM5073"/>
      <c r="GN5073"/>
      <c r="GO5073"/>
    </row>
    <row r="5074" spans="107:197">
      <c r="DC5074"/>
      <c r="FH5074"/>
      <c r="FI5074"/>
      <c r="FJ5074"/>
      <c r="FK5074"/>
      <c r="FL5074"/>
      <c r="FM5074"/>
      <c r="FN5074"/>
      <c r="FO5074"/>
      <c r="FP5074"/>
      <c r="FQ5074"/>
      <c r="FR5074"/>
      <c r="FS5074"/>
      <c r="FT5074"/>
      <c r="FU5074"/>
      <c r="FV5074"/>
      <c r="FW5074"/>
      <c r="FX5074"/>
      <c r="FY5074"/>
      <c r="FZ5074"/>
      <c r="GA5074"/>
      <c r="GB5074"/>
      <c r="GC5074"/>
      <c r="GD5074"/>
      <c r="GE5074"/>
      <c r="GF5074"/>
      <c r="GG5074"/>
      <c r="GH5074"/>
      <c r="GI5074"/>
      <c r="GJ5074"/>
      <c r="GK5074"/>
      <c r="GL5074"/>
      <c r="GM5074"/>
      <c r="GN5074"/>
      <c r="GO5074"/>
    </row>
    <row r="5075" spans="107:197">
      <c r="DC5075"/>
      <c r="FH5075"/>
      <c r="FI5075"/>
      <c r="FJ5075"/>
      <c r="FK5075"/>
      <c r="FL5075"/>
      <c r="FM5075"/>
      <c r="FN5075"/>
      <c r="FO5075"/>
      <c r="FP5075"/>
      <c r="FQ5075"/>
      <c r="FR5075"/>
      <c r="FS5075"/>
      <c r="FT5075"/>
      <c r="FU5075"/>
      <c r="FV5075"/>
      <c r="FW5075"/>
      <c r="FX5075"/>
      <c r="FY5075"/>
      <c r="FZ5075"/>
      <c r="GA5075"/>
      <c r="GB5075"/>
      <c r="GC5075"/>
      <c r="GD5075"/>
      <c r="GE5075"/>
      <c r="GF5075"/>
      <c r="GG5075"/>
      <c r="GH5075"/>
      <c r="GI5075"/>
      <c r="GJ5075"/>
      <c r="GK5075"/>
      <c r="GL5075"/>
      <c r="GM5075"/>
      <c r="GN5075"/>
      <c r="GO5075"/>
    </row>
    <row r="5076" spans="107:197">
      <c r="DC5076"/>
      <c r="FH5076"/>
      <c r="FI5076"/>
      <c r="FJ5076"/>
      <c r="FK5076"/>
      <c r="FL5076"/>
      <c r="FM5076"/>
      <c r="FN5076"/>
      <c r="FO5076"/>
      <c r="FP5076"/>
      <c r="FQ5076"/>
      <c r="FR5076"/>
      <c r="FS5076"/>
      <c r="FT5076"/>
      <c r="FU5076"/>
      <c r="FV5076"/>
      <c r="FW5076"/>
      <c r="FX5076"/>
      <c r="FY5076"/>
      <c r="FZ5076"/>
      <c r="GA5076"/>
      <c r="GB5076"/>
      <c r="GC5076"/>
      <c r="GD5076"/>
      <c r="GE5076"/>
      <c r="GF5076"/>
      <c r="GG5076"/>
      <c r="GH5076"/>
      <c r="GI5076"/>
      <c r="GJ5076"/>
      <c r="GK5076"/>
      <c r="GL5076"/>
      <c r="GM5076"/>
      <c r="GN5076"/>
      <c r="GO5076"/>
    </row>
    <row r="5077" spans="107:197">
      <c r="DC5077"/>
      <c r="FH5077"/>
      <c r="FI5077"/>
      <c r="FJ5077"/>
      <c r="FK5077"/>
      <c r="FL5077"/>
      <c r="FM5077"/>
      <c r="FN5077"/>
      <c r="FO5077"/>
      <c r="FP5077"/>
      <c r="FQ5077"/>
      <c r="FR5077"/>
      <c r="FS5077"/>
      <c r="FT5077"/>
      <c r="FU5077"/>
      <c r="FV5077"/>
      <c r="FW5077"/>
      <c r="FX5077"/>
      <c r="FY5077"/>
      <c r="FZ5077"/>
      <c r="GA5077"/>
      <c r="GB5077"/>
      <c r="GC5077"/>
      <c r="GD5077"/>
      <c r="GE5077"/>
      <c r="GF5077"/>
      <c r="GG5077"/>
      <c r="GH5077"/>
      <c r="GI5077"/>
      <c r="GJ5077"/>
      <c r="GK5077"/>
      <c r="GL5077"/>
      <c r="GM5077"/>
      <c r="GN5077"/>
      <c r="GO5077"/>
    </row>
    <row r="5078" spans="107:197">
      <c r="DC5078"/>
      <c r="FH5078"/>
      <c r="FI5078"/>
      <c r="FJ5078"/>
      <c r="FK5078"/>
      <c r="FL5078"/>
      <c r="FM5078"/>
      <c r="FN5078"/>
      <c r="FO5078"/>
      <c r="FP5078"/>
      <c r="FQ5078"/>
      <c r="FR5078"/>
      <c r="FS5078"/>
      <c r="FT5078"/>
      <c r="FU5078"/>
      <c r="FV5078"/>
      <c r="FW5078"/>
      <c r="FX5078"/>
      <c r="FY5078"/>
      <c r="FZ5078"/>
      <c r="GA5078"/>
      <c r="GB5078"/>
      <c r="GC5078"/>
      <c r="GD5078"/>
      <c r="GE5078"/>
      <c r="GF5078"/>
      <c r="GG5078"/>
      <c r="GH5078"/>
      <c r="GI5078"/>
      <c r="GJ5078"/>
      <c r="GK5078"/>
      <c r="GL5078"/>
      <c r="GM5078"/>
      <c r="GN5078"/>
      <c r="GO5078"/>
    </row>
    <row r="5079" spans="107:197">
      <c r="DC5079"/>
      <c r="FH5079"/>
      <c r="FI5079"/>
      <c r="FJ5079"/>
      <c r="FK5079"/>
      <c r="FL5079"/>
      <c r="FM5079"/>
      <c r="FN5079"/>
      <c r="FO5079"/>
      <c r="FP5079"/>
      <c r="FQ5079"/>
      <c r="FR5079"/>
      <c r="FS5079"/>
      <c r="FT5079"/>
      <c r="FU5079"/>
      <c r="FV5079"/>
      <c r="FW5079"/>
      <c r="FX5079"/>
      <c r="FY5079"/>
      <c r="FZ5079"/>
      <c r="GA5079"/>
      <c r="GB5079"/>
      <c r="GC5079"/>
      <c r="GD5079"/>
      <c r="GE5079"/>
      <c r="GF5079"/>
      <c r="GG5079"/>
      <c r="GH5079"/>
      <c r="GI5079"/>
      <c r="GJ5079"/>
      <c r="GK5079"/>
      <c r="GL5079"/>
      <c r="GM5079"/>
      <c r="GN5079"/>
      <c r="GO5079"/>
    </row>
    <row r="5080" spans="107:197">
      <c r="DC5080"/>
      <c r="FH5080"/>
      <c r="FI5080"/>
      <c r="FJ5080"/>
      <c r="FK5080"/>
      <c r="FL5080"/>
      <c r="FM5080"/>
      <c r="FN5080"/>
      <c r="FO5080"/>
      <c r="FP5080"/>
      <c r="FQ5080"/>
      <c r="FR5080"/>
      <c r="FS5080"/>
      <c r="FT5080"/>
      <c r="FU5080"/>
      <c r="FV5080"/>
      <c r="FW5080"/>
      <c r="FX5080"/>
      <c r="FY5080"/>
      <c r="FZ5080"/>
      <c r="GA5080"/>
      <c r="GB5080"/>
      <c r="GC5080"/>
      <c r="GD5080"/>
      <c r="GE5080"/>
      <c r="GF5080"/>
      <c r="GG5080"/>
      <c r="GH5080"/>
      <c r="GI5080"/>
      <c r="GJ5080"/>
      <c r="GK5080"/>
      <c r="GL5080"/>
      <c r="GM5080"/>
      <c r="GN5080"/>
      <c r="GO5080"/>
    </row>
    <row r="5081" spans="107:197">
      <c r="DC5081"/>
      <c r="FH5081"/>
      <c r="FI5081"/>
      <c r="FJ5081"/>
      <c r="FK5081"/>
      <c r="FL5081"/>
      <c r="FM5081"/>
      <c r="FN5081"/>
      <c r="FO5081"/>
      <c r="FP5081"/>
      <c r="FQ5081"/>
      <c r="FR5081"/>
      <c r="FS5081"/>
      <c r="FT5081"/>
      <c r="FU5081"/>
      <c r="FV5081"/>
      <c r="FW5081"/>
      <c r="FX5081"/>
      <c r="FY5081"/>
      <c r="FZ5081"/>
      <c r="GA5081"/>
      <c r="GB5081"/>
      <c r="GC5081"/>
      <c r="GD5081"/>
      <c r="GE5081"/>
      <c r="GF5081"/>
      <c r="GG5081"/>
      <c r="GH5081"/>
      <c r="GI5081"/>
      <c r="GJ5081"/>
      <c r="GK5081"/>
      <c r="GL5081"/>
      <c r="GM5081"/>
      <c r="GN5081"/>
      <c r="GO5081"/>
    </row>
    <row r="5082" spans="107:197">
      <c r="DC5082"/>
      <c r="FH5082"/>
      <c r="FI5082"/>
      <c r="FJ5082"/>
      <c r="FK5082"/>
      <c r="FL5082"/>
      <c r="FM5082"/>
      <c r="FN5082"/>
      <c r="FO5082"/>
      <c r="FP5082"/>
      <c r="FQ5082"/>
      <c r="FR5082"/>
      <c r="FS5082"/>
      <c r="FT5082"/>
      <c r="FU5082"/>
      <c r="FV5082"/>
      <c r="FW5082"/>
      <c r="FX5082"/>
      <c r="FY5082"/>
      <c r="FZ5082"/>
      <c r="GA5082"/>
      <c r="GB5082"/>
      <c r="GC5082"/>
      <c r="GD5082"/>
      <c r="GE5082"/>
      <c r="GF5082"/>
      <c r="GG5082"/>
      <c r="GH5082"/>
      <c r="GI5082"/>
      <c r="GJ5082"/>
      <c r="GK5082"/>
      <c r="GL5082"/>
      <c r="GM5082"/>
      <c r="GN5082"/>
      <c r="GO5082"/>
    </row>
    <row r="5083" spans="107:197">
      <c r="DC5083"/>
      <c r="FH5083"/>
      <c r="FI5083"/>
      <c r="FJ5083"/>
      <c r="FK5083"/>
      <c r="FL5083"/>
      <c r="FM5083"/>
      <c r="FN5083"/>
      <c r="FO5083"/>
      <c r="FP5083"/>
      <c r="FQ5083"/>
      <c r="FR5083"/>
      <c r="FS5083"/>
      <c r="FT5083"/>
      <c r="FU5083"/>
      <c r="FV5083"/>
      <c r="FW5083"/>
      <c r="FX5083"/>
      <c r="FY5083"/>
      <c r="FZ5083"/>
      <c r="GA5083"/>
      <c r="GB5083"/>
      <c r="GC5083"/>
      <c r="GD5083"/>
      <c r="GE5083"/>
      <c r="GF5083"/>
      <c r="GG5083"/>
      <c r="GH5083"/>
      <c r="GI5083"/>
      <c r="GJ5083"/>
      <c r="GK5083"/>
      <c r="GL5083"/>
      <c r="GM5083"/>
      <c r="GN5083"/>
      <c r="GO5083"/>
    </row>
    <row r="5084" spans="107:197">
      <c r="DC5084"/>
      <c r="FH5084"/>
      <c r="FI5084"/>
      <c r="FJ5084"/>
      <c r="FK5084"/>
      <c r="FL5084"/>
      <c r="FM5084"/>
      <c r="FN5084"/>
      <c r="FO5084"/>
      <c r="FP5084"/>
      <c r="FQ5084"/>
      <c r="FR5084"/>
      <c r="FS5084"/>
      <c r="FT5084"/>
      <c r="FU5084"/>
      <c r="FV5084"/>
      <c r="FW5084"/>
      <c r="FX5084"/>
      <c r="FY5084"/>
      <c r="FZ5084"/>
      <c r="GA5084"/>
      <c r="GB5084"/>
      <c r="GC5084"/>
      <c r="GD5084"/>
      <c r="GE5084"/>
      <c r="GF5084"/>
      <c r="GG5084"/>
      <c r="GH5084"/>
      <c r="GI5084"/>
      <c r="GJ5084"/>
      <c r="GK5084"/>
      <c r="GL5084"/>
      <c r="GM5084"/>
      <c r="GN5084"/>
      <c r="GO5084"/>
    </row>
    <row r="5085" spans="107:197">
      <c r="DC5085"/>
      <c r="FH5085"/>
      <c r="FI5085"/>
      <c r="FJ5085"/>
      <c r="FK5085"/>
      <c r="FL5085"/>
      <c r="FM5085"/>
      <c r="FN5085"/>
      <c r="FO5085"/>
      <c r="FP5085"/>
      <c r="FQ5085"/>
      <c r="FR5085"/>
      <c r="FS5085"/>
      <c r="FT5085"/>
      <c r="FU5085"/>
      <c r="FV5085"/>
      <c r="FW5085"/>
      <c r="FX5085"/>
      <c r="FY5085"/>
      <c r="FZ5085"/>
      <c r="GA5085"/>
      <c r="GB5085"/>
      <c r="GC5085"/>
      <c r="GD5085"/>
      <c r="GE5085"/>
      <c r="GF5085"/>
      <c r="GG5085"/>
      <c r="GH5085"/>
      <c r="GI5085"/>
      <c r="GJ5085"/>
      <c r="GK5085"/>
      <c r="GL5085"/>
      <c r="GM5085"/>
      <c r="GN5085"/>
      <c r="GO5085"/>
    </row>
    <row r="5086" spans="107:197">
      <c r="DC5086"/>
      <c r="FH5086"/>
      <c r="FI5086"/>
      <c r="FJ5086"/>
      <c r="FK5086"/>
      <c r="FL5086"/>
      <c r="FM5086"/>
      <c r="FN5086"/>
      <c r="FO5086"/>
      <c r="FP5086"/>
      <c r="FQ5086"/>
      <c r="FR5086"/>
      <c r="FS5086"/>
      <c r="FT5086"/>
      <c r="FU5086"/>
      <c r="FV5086"/>
      <c r="FW5086"/>
      <c r="FX5086"/>
      <c r="FY5086"/>
      <c r="FZ5086"/>
      <c r="GA5086"/>
      <c r="GB5086"/>
      <c r="GC5086"/>
      <c r="GD5086"/>
      <c r="GE5086"/>
      <c r="GF5086"/>
      <c r="GG5086"/>
      <c r="GH5086"/>
      <c r="GI5086"/>
      <c r="GJ5086"/>
      <c r="GK5086"/>
      <c r="GL5086"/>
      <c r="GM5086"/>
      <c r="GN5086"/>
      <c r="GO5086"/>
    </row>
    <row r="5087" spans="107:197">
      <c r="DC5087"/>
      <c r="FH5087"/>
      <c r="FI5087"/>
      <c r="FJ5087"/>
      <c r="FK5087"/>
      <c r="FL5087"/>
      <c r="FM5087"/>
      <c r="FN5087"/>
      <c r="FO5087"/>
      <c r="FP5087"/>
      <c r="FQ5087"/>
      <c r="FR5087"/>
      <c r="FS5087"/>
      <c r="FT5087"/>
      <c r="FU5087"/>
      <c r="FV5087"/>
      <c r="FW5087"/>
      <c r="FX5087"/>
      <c r="FY5087"/>
      <c r="FZ5087"/>
      <c r="GA5087"/>
      <c r="GB5087"/>
      <c r="GC5087"/>
      <c r="GD5087"/>
      <c r="GE5087"/>
      <c r="GF5087"/>
      <c r="GG5087"/>
      <c r="GH5087"/>
      <c r="GI5087"/>
      <c r="GJ5087"/>
      <c r="GK5087"/>
      <c r="GL5087"/>
      <c r="GM5087"/>
      <c r="GN5087"/>
      <c r="GO5087"/>
    </row>
    <row r="5088" spans="107:197">
      <c r="DC5088"/>
      <c r="FH5088"/>
      <c r="FI5088"/>
      <c r="FJ5088"/>
      <c r="FK5088"/>
      <c r="FL5088"/>
      <c r="FM5088"/>
      <c r="FN5088"/>
      <c r="FO5088"/>
      <c r="FP5088"/>
      <c r="FQ5088"/>
      <c r="FR5088"/>
      <c r="FS5088"/>
      <c r="FT5088"/>
      <c r="FU5088"/>
      <c r="FV5088"/>
      <c r="FW5088"/>
      <c r="FX5088"/>
      <c r="FY5088"/>
      <c r="FZ5088"/>
      <c r="GA5088"/>
      <c r="GB5088"/>
      <c r="GC5088"/>
      <c r="GD5088"/>
      <c r="GE5088"/>
      <c r="GF5088"/>
      <c r="GG5088"/>
      <c r="GH5088"/>
      <c r="GI5088"/>
      <c r="GJ5088"/>
      <c r="GK5088"/>
      <c r="GL5088"/>
      <c r="GM5088"/>
      <c r="GN5088"/>
      <c r="GO5088"/>
    </row>
    <row r="5089" spans="107:197">
      <c r="DC5089"/>
      <c r="FH5089"/>
      <c r="FI5089"/>
      <c r="FJ5089"/>
      <c r="FK5089"/>
      <c r="FL5089"/>
      <c r="FM5089"/>
      <c r="FN5089"/>
      <c r="FO5089"/>
      <c r="FP5089"/>
      <c r="FQ5089"/>
      <c r="FR5089"/>
      <c r="FS5089"/>
      <c r="FT5089"/>
      <c r="FU5089"/>
      <c r="FV5089"/>
      <c r="FW5089"/>
      <c r="FX5089"/>
      <c r="FY5089"/>
      <c r="FZ5089"/>
      <c r="GA5089"/>
      <c r="GB5089"/>
      <c r="GC5089"/>
      <c r="GD5089"/>
      <c r="GE5089"/>
      <c r="GF5089"/>
      <c r="GG5089"/>
      <c r="GH5089"/>
      <c r="GI5089"/>
      <c r="GJ5089"/>
      <c r="GK5089"/>
      <c r="GL5089"/>
      <c r="GM5089"/>
      <c r="GN5089"/>
      <c r="GO5089"/>
    </row>
    <row r="5090" spans="107:197">
      <c r="DC5090"/>
      <c r="FH5090"/>
      <c r="FI5090"/>
      <c r="FJ5090"/>
      <c r="FK5090"/>
      <c r="FL5090"/>
      <c r="FM5090"/>
      <c r="FN5090"/>
      <c r="FO5090"/>
      <c r="FP5090"/>
      <c r="FQ5090"/>
      <c r="FR5090"/>
      <c r="FS5090"/>
      <c r="FT5090"/>
      <c r="FU5090"/>
      <c r="FV5090"/>
      <c r="FW5090"/>
      <c r="FX5090"/>
      <c r="FY5090"/>
      <c r="FZ5090"/>
      <c r="GA5090"/>
      <c r="GB5090"/>
      <c r="GC5090"/>
      <c r="GD5090"/>
      <c r="GE5090"/>
      <c r="GF5090"/>
      <c r="GG5090"/>
      <c r="GH5090"/>
      <c r="GI5090"/>
      <c r="GJ5090"/>
      <c r="GK5090"/>
      <c r="GL5090"/>
      <c r="GM5090"/>
      <c r="GN5090"/>
      <c r="GO5090"/>
    </row>
    <row r="5091" spans="107:197">
      <c r="DC5091"/>
      <c r="FH5091"/>
      <c r="FI5091"/>
      <c r="FJ5091"/>
      <c r="FK5091"/>
      <c r="FL5091"/>
      <c r="FM5091"/>
      <c r="FN5091"/>
      <c r="FO5091"/>
      <c r="FP5091"/>
      <c r="FQ5091"/>
      <c r="FR5091"/>
      <c r="FS5091"/>
      <c r="FT5091"/>
      <c r="FU5091"/>
      <c r="FV5091"/>
      <c r="FW5091"/>
      <c r="FX5091"/>
      <c r="FY5091"/>
      <c r="FZ5091"/>
      <c r="GA5091"/>
      <c r="GB5091"/>
      <c r="GC5091"/>
      <c r="GD5091"/>
      <c r="GE5091"/>
      <c r="GF5091"/>
      <c r="GG5091"/>
      <c r="GH5091"/>
      <c r="GI5091"/>
      <c r="GJ5091"/>
      <c r="GK5091"/>
      <c r="GL5091"/>
      <c r="GM5091"/>
      <c r="GN5091"/>
      <c r="GO5091"/>
    </row>
    <row r="5092" spans="107:197">
      <c r="DC5092"/>
      <c r="FH5092"/>
      <c r="FI5092"/>
      <c r="FJ5092"/>
      <c r="FK5092"/>
      <c r="FL5092"/>
      <c r="FM5092"/>
      <c r="FN5092"/>
      <c r="FO5092"/>
      <c r="FP5092"/>
      <c r="FQ5092"/>
      <c r="FR5092"/>
      <c r="FS5092"/>
      <c r="FT5092"/>
      <c r="FU5092"/>
      <c r="FV5092"/>
      <c r="FW5092"/>
      <c r="FX5092"/>
      <c r="FY5092"/>
      <c r="FZ5092"/>
      <c r="GA5092"/>
      <c r="GB5092"/>
      <c r="GC5092"/>
      <c r="GD5092"/>
      <c r="GE5092"/>
      <c r="GF5092"/>
      <c r="GG5092"/>
      <c r="GH5092"/>
      <c r="GI5092"/>
      <c r="GJ5092"/>
      <c r="GK5092"/>
      <c r="GL5092"/>
      <c r="GM5092"/>
      <c r="GN5092"/>
      <c r="GO5092"/>
    </row>
    <row r="5093" spans="107:197">
      <c r="DC5093"/>
      <c r="FH5093"/>
      <c r="FI5093"/>
      <c r="FJ5093"/>
      <c r="FK5093"/>
      <c r="FL5093"/>
      <c r="FM5093"/>
      <c r="FN5093"/>
      <c r="FO5093"/>
      <c r="FP5093"/>
      <c r="FQ5093"/>
      <c r="FR5093"/>
      <c r="FS5093"/>
      <c r="FT5093"/>
      <c r="FU5093"/>
      <c r="FV5093"/>
      <c r="FW5093"/>
      <c r="FX5093"/>
      <c r="FY5093"/>
      <c r="FZ5093"/>
      <c r="GA5093"/>
      <c r="GB5093"/>
      <c r="GC5093"/>
      <c r="GD5093"/>
      <c r="GE5093"/>
      <c r="GF5093"/>
      <c r="GG5093"/>
      <c r="GH5093"/>
      <c r="GI5093"/>
      <c r="GJ5093"/>
      <c r="GK5093"/>
      <c r="GL5093"/>
      <c r="GM5093"/>
      <c r="GN5093"/>
      <c r="GO5093"/>
    </row>
    <row r="5094" spans="107:197">
      <c r="DC5094"/>
      <c r="FH5094"/>
      <c r="FI5094"/>
      <c r="FJ5094"/>
      <c r="FK5094"/>
      <c r="FL5094"/>
      <c r="FM5094"/>
      <c r="FN5094"/>
      <c r="FO5094"/>
      <c r="FP5094"/>
      <c r="FQ5094"/>
      <c r="FR5094"/>
      <c r="FS5094"/>
      <c r="FT5094"/>
      <c r="FU5094"/>
      <c r="FV5094"/>
      <c r="FW5094"/>
      <c r="FX5094"/>
      <c r="FY5094"/>
      <c r="FZ5094"/>
      <c r="GA5094"/>
      <c r="GB5094"/>
      <c r="GC5094"/>
      <c r="GD5094"/>
      <c r="GE5094"/>
      <c r="GF5094"/>
      <c r="GG5094"/>
      <c r="GH5094"/>
      <c r="GI5094"/>
      <c r="GJ5094"/>
      <c r="GK5094"/>
      <c r="GL5094"/>
      <c r="GM5094"/>
      <c r="GN5094"/>
      <c r="GO5094"/>
    </row>
    <row r="5095" spans="107:197">
      <c r="DC5095"/>
      <c r="FH5095"/>
      <c r="FI5095"/>
      <c r="FJ5095"/>
      <c r="FK5095"/>
      <c r="FL5095"/>
      <c r="FM5095"/>
      <c r="FN5095"/>
      <c r="FO5095"/>
      <c r="FP5095"/>
      <c r="FQ5095"/>
      <c r="FR5095"/>
      <c r="FS5095"/>
      <c r="FT5095"/>
      <c r="FU5095"/>
      <c r="FV5095"/>
      <c r="FW5095"/>
      <c r="FX5095"/>
      <c r="FY5095"/>
      <c r="FZ5095"/>
      <c r="GA5095"/>
      <c r="GB5095"/>
      <c r="GC5095"/>
      <c r="GD5095"/>
      <c r="GE5095"/>
      <c r="GF5095"/>
      <c r="GG5095"/>
      <c r="GH5095"/>
      <c r="GI5095"/>
      <c r="GJ5095"/>
      <c r="GK5095"/>
      <c r="GL5095"/>
      <c r="GM5095"/>
      <c r="GN5095"/>
      <c r="GO5095"/>
    </row>
    <row r="5096" spans="107:197">
      <c r="DC5096"/>
      <c r="FH5096"/>
      <c r="FI5096"/>
      <c r="FJ5096"/>
      <c r="FK5096"/>
      <c r="FL5096"/>
      <c r="FM5096"/>
      <c r="FN5096"/>
      <c r="FO5096"/>
      <c r="FP5096"/>
      <c r="FQ5096"/>
      <c r="FR5096"/>
      <c r="FS5096"/>
      <c r="FT5096"/>
      <c r="FU5096"/>
      <c r="FV5096"/>
      <c r="FW5096"/>
      <c r="FX5096"/>
      <c r="FY5096"/>
      <c r="FZ5096"/>
      <c r="GA5096"/>
      <c r="GB5096"/>
      <c r="GC5096"/>
      <c r="GD5096"/>
      <c r="GE5096"/>
      <c r="GF5096"/>
      <c r="GG5096"/>
      <c r="GH5096"/>
      <c r="GI5096"/>
      <c r="GJ5096"/>
      <c r="GK5096"/>
      <c r="GL5096"/>
      <c r="GM5096"/>
      <c r="GN5096"/>
      <c r="GO5096"/>
    </row>
    <row r="5097" spans="107:197">
      <c r="DC5097"/>
      <c r="FH5097"/>
      <c r="FI5097"/>
      <c r="FJ5097"/>
      <c r="FK5097"/>
      <c r="FL5097"/>
      <c r="FM5097"/>
      <c r="FN5097"/>
      <c r="FO5097"/>
      <c r="FP5097"/>
      <c r="FQ5097"/>
      <c r="FR5097"/>
      <c r="FS5097"/>
      <c r="FT5097"/>
      <c r="FU5097"/>
      <c r="FV5097"/>
      <c r="FW5097"/>
      <c r="FX5097"/>
      <c r="FY5097"/>
      <c r="FZ5097"/>
      <c r="GA5097"/>
      <c r="GB5097"/>
      <c r="GC5097"/>
      <c r="GD5097"/>
      <c r="GE5097"/>
      <c r="GF5097"/>
      <c r="GG5097"/>
      <c r="GH5097"/>
      <c r="GI5097"/>
      <c r="GJ5097"/>
      <c r="GK5097"/>
      <c r="GL5097"/>
      <c r="GM5097"/>
      <c r="GN5097"/>
      <c r="GO5097"/>
    </row>
    <row r="5098" spans="107:197">
      <c r="DC5098"/>
      <c r="FH5098"/>
      <c r="FI5098"/>
      <c r="FJ5098"/>
      <c r="FK5098"/>
      <c r="FL5098"/>
      <c r="FM5098"/>
      <c r="FN5098"/>
      <c r="FO5098"/>
      <c r="FP5098"/>
      <c r="FQ5098"/>
      <c r="FR5098"/>
      <c r="FS5098"/>
      <c r="FT5098"/>
      <c r="FU5098"/>
      <c r="FV5098"/>
      <c r="FW5098"/>
      <c r="FX5098"/>
      <c r="FY5098"/>
      <c r="FZ5098"/>
      <c r="GA5098"/>
      <c r="GB5098"/>
      <c r="GC5098"/>
      <c r="GD5098"/>
      <c r="GE5098"/>
      <c r="GF5098"/>
      <c r="GG5098"/>
      <c r="GH5098"/>
      <c r="GI5098"/>
      <c r="GJ5098"/>
      <c r="GK5098"/>
      <c r="GL5098"/>
      <c r="GM5098"/>
      <c r="GN5098"/>
      <c r="GO5098"/>
    </row>
    <row r="5099" spans="107:197">
      <c r="DC5099"/>
      <c r="FH5099"/>
      <c r="FI5099"/>
      <c r="FJ5099"/>
      <c r="FK5099"/>
      <c r="FL5099"/>
      <c r="FM5099"/>
      <c r="FN5099"/>
      <c r="FO5099"/>
      <c r="FP5099"/>
      <c r="FQ5099"/>
      <c r="FR5099"/>
      <c r="FS5099"/>
      <c r="FT5099"/>
      <c r="FU5099"/>
      <c r="FV5099"/>
      <c r="FW5099"/>
      <c r="FX5099"/>
      <c r="FY5099"/>
      <c r="FZ5099"/>
      <c r="GA5099"/>
      <c r="GB5099"/>
      <c r="GC5099"/>
      <c r="GD5099"/>
      <c r="GE5099"/>
      <c r="GF5099"/>
      <c r="GG5099"/>
      <c r="GH5099"/>
      <c r="GI5099"/>
      <c r="GJ5099"/>
      <c r="GK5099"/>
      <c r="GL5099"/>
      <c r="GM5099"/>
      <c r="GN5099"/>
      <c r="GO5099"/>
    </row>
    <row r="5100" spans="107:197">
      <c r="DC5100"/>
      <c r="FH5100"/>
      <c r="FI5100"/>
      <c r="FJ5100"/>
      <c r="FK5100"/>
      <c r="FL5100"/>
      <c r="FM5100"/>
      <c r="FN5100"/>
      <c r="FO5100"/>
      <c r="FP5100"/>
      <c r="FQ5100"/>
      <c r="FR5100"/>
      <c r="FS5100"/>
      <c r="FT5100"/>
      <c r="FU5100"/>
      <c r="FV5100"/>
      <c r="FW5100"/>
      <c r="FX5100"/>
      <c r="FY5100"/>
      <c r="FZ5100"/>
      <c r="GA5100"/>
      <c r="GB5100"/>
      <c r="GC5100"/>
      <c r="GD5100"/>
      <c r="GE5100"/>
      <c r="GF5100"/>
      <c r="GG5100"/>
      <c r="GH5100"/>
      <c r="GI5100"/>
      <c r="GJ5100"/>
      <c r="GK5100"/>
      <c r="GL5100"/>
      <c r="GM5100"/>
      <c r="GN5100"/>
      <c r="GO5100"/>
    </row>
    <row r="5101" spans="107:197">
      <c r="DC5101"/>
      <c r="FH5101"/>
      <c r="FI5101"/>
      <c r="FJ5101"/>
      <c r="FK5101"/>
      <c r="FL5101"/>
      <c r="FM5101"/>
      <c r="FN5101"/>
      <c r="FO5101"/>
      <c r="FP5101"/>
      <c r="FQ5101"/>
      <c r="FR5101"/>
      <c r="FS5101"/>
      <c r="FT5101"/>
      <c r="FU5101"/>
      <c r="FV5101"/>
      <c r="FW5101"/>
      <c r="FX5101"/>
      <c r="FY5101"/>
      <c r="FZ5101"/>
      <c r="GA5101"/>
      <c r="GB5101"/>
      <c r="GC5101"/>
      <c r="GD5101"/>
      <c r="GE5101"/>
      <c r="GF5101"/>
      <c r="GG5101"/>
      <c r="GH5101"/>
      <c r="GI5101"/>
      <c r="GJ5101"/>
      <c r="GK5101"/>
      <c r="GL5101"/>
      <c r="GM5101"/>
      <c r="GN5101"/>
      <c r="GO5101"/>
    </row>
    <row r="5102" spans="107:197">
      <c r="DC5102"/>
      <c r="FH5102"/>
      <c r="FI5102"/>
      <c r="FJ5102"/>
      <c r="FK5102"/>
      <c r="FL5102"/>
      <c r="FM5102"/>
      <c r="FN5102"/>
      <c r="FO5102"/>
      <c r="FP5102"/>
      <c r="FQ5102"/>
      <c r="FR5102"/>
      <c r="FS5102"/>
      <c r="FT5102"/>
      <c r="FU5102"/>
      <c r="FV5102"/>
      <c r="FW5102"/>
      <c r="FX5102"/>
      <c r="FY5102"/>
      <c r="FZ5102"/>
      <c r="GA5102"/>
      <c r="GB5102"/>
      <c r="GC5102"/>
      <c r="GD5102"/>
      <c r="GE5102"/>
      <c r="GF5102"/>
      <c r="GG5102"/>
      <c r="GH5102"/>
      <c r="GI5102"/>
      <c r="GJ5102"/>
      <c r="GK5102"/>
      <c r="GL5102"/>
      <c r="GM5102"/>
      <c r="GN5102"/>
      <c r="GO5102"/>
    </row>
    <row r="5103" spans="107:197">
      <c r="DC5103"/>
      <c r="FH5103"/>
      <c r="FI5103"/>
      <c r="FJ5103"/>
      <c r="FK5103"/>
      <c r="FL5103"/>
      <c r="FM5103"/>
      <c r="FN5103"/>
      <c r="FO5103"/>
      <c r="FP5103"/>
      <c r="FQ5103"/>
      <c r="FR5103"/>
      <c r="FS5103"/>
      <c r="FT5103"/>
      <c r="FU5103"/>
      <c r="FV5103"/>
      <c r="FW5103"/>
      <c r="FX5103"/>
      <c r="FY5103"/>
      <c r="FZ5103"/>
      <c r="GA5103"/>
      <c r="GB5103"/>
      <c r="GC5103"/>
      <c r="GD5103"/>
      <c r="GE5103"/>
      <c r="GF5103"/>
      <c r="GG5103"/>
      <c r="GH5103"/>
      <c r="GI5103"/>
      <c r="GJ5103"/>
      <c r="GK5103"/>
      <c r="GL5103"/>
      <c r="GM5103"/>
      <c r="GN5103"/>
      <c r="GO5103"/>
    </row>
    <row r="5104" spans="107:197">
      <c r="DC5104"/>
      <c r="FH5104"/>
      <c r="FI5104"/>
      <c r="FJ5104"/>
      <c r="FK5104"/>
      <c r="FL5104"/>
      <c r="FM5104"/>
      <c r="FN5104"/>
      <c r="FO5104"/>
      <c r="FP5104"/>
      <c r="FQ5104"/>
      <c r="FR5104"/>
      <c r="FS5104"/>
      <c r="FT5104"/>
      <c r="FU5104"/>
      <c r="FV5104"/>
      <c r="FW5104"/>
      <c r="FX5104"/>
      <c r="FY5104"/>
      <c r="FZ5104"/>
      <c r="GA5104"/>
      <c r="GB5104"/>
      <c r="GC5104"/>
      <c r="GD5104"/>
      <c r="GE5104"/>
      <c r="GF5104"/>
      <c r="GG5104"/>
      <c r="GH5104"/>
      <c r="GI5104"/>
      <c r="GJ5104"/>
      <c r="GK5104"/>
      <c r="GL5104"/>
      <c r="GM5104"/>
      <c r="GN5104"/>
      <c r="GO5104"/>
    </row>
    <row r="5105" spans="107:197">
      <c r="DC5105"/>
      <c r="FH5105"/>
      <c r="FI5105"/>
      <c r="FJ5105"/>
      <c r="FK5105"/>
      <c r="FL5105"/>
      <c r="FM5105"/>
      <c r="FN5105"/>
      <c r="FO5105"/>
      <c r="FP5105"/>
      <c r="FQ5105"/>
      <c r="FR5105"/>
      <c r="FS5105"/>
      <c r="FT5105"/>
      <c r="FU5105"/>
      <c r="FV5105"/>
      <c r="FW5105"/>
      <c r="FX5105"/>
      <c r="FY5105"/>
      <c r="FZ5105"/>
      <c r="GA5105"/>
      <c r="GB5105"/>
      <c r="GC5105"/>
      <c r="GD5105"/>
      <c r="GE5105"/>
      <c r="GF5105"/>
      <c r="GG5105"/>
      <c r="GH5105"/>
      <c r="GI5105"/>
      <c r="GJ5105"/>
      <c r="GK5105"/>
      <c r="GL5105"/>
      <c r="GM5105"/>
      <c r="GN5105"/>
      <c r="GO5105"/>
    </row>
    <row r="5106" spans="107:197">
      <c r="DC5106"/>
      <c r="FH5106"/>
      <c r="FI5106"/>
      <c r="FJ5106"/>
      <c r="FK5106"/>
      <c r="FL5106"/>
      <c r="FM5106"/>
      <c r="FN5106"/>
      <c r="FO5106"/>
      <c r="FP5106"/>
      <c r="FQ5106"/>
      <c r="FR5106"/>
      <c r="FS5106"/>
      <c r="FT5106"/>
      <c r="FU5106"/>
      <c r="FV5106"/>
      <c r="FW5106"/>
      <c r="FX5106"/>
      <c r="FY5106"/>
      <c r="FZ5106"/>
      <c r="GA5106"/>
      <c r="GB5106"/>
      <c r="GC5106"/>
      <c r="GD5106"/>
      <c r="GE5106"/>
      <c r="GF5106"/>
      <c r="GG5106"/>
      <c r="GH5106"/>
      <c r="GI5106"/>
      <c r="GJ5106"/>
      <c r="GK5106"/>
      <c r="GL5106"/>
      <c r="GM5106"/>
      <c r="GN5106"/>
      <c r="GO5106"/>
    </row>
    <row r="5107" spans="107:197">
      <c r="DC5107"/>
      <c r="FH5107"/>
      <c r="FI5107"/>
      <c r="FJ5107"/>
      <c r="FK5107"/>
      <c r="FL5107"/>
      <c r="FM5107"/>
      <c r="FN5107"/>
      <c r="FO5107"/>
      <c r="FP5107"/>
      <c r="FQ5107"/>
      <c r="FR5107"/>
      <c r="FS5107"/>
      <c r="FT5107"/>
      <c r="FU5107"/>
      <c r="FV5107"/>
      <c r="FW5107"/>
      <c r="FX5107"/>
      <c r="FY5107"/>
      <c r="FZ5107"/>
      <c r="GA5107"/>
      <c r="GB5107"/>
      <c r="GC5107"/>
      <c r="GD5107"/>
      <c r="GE5107"/>
      <c r="GF5107"/>
      <c r="GG5107"/>
      <c r="GH5107"/>
      <c r="GI5107"/>
      <c r="GJ5107"/>
      <c r="GK5107"/>
      <c r="GL5107"/>
      <c r="GM5107"/>
      <c r="GN5107"/>
      <c r="GO5107"/>
    </row>
    <row r="5108" spans="107:197">
      <c r="DC5108"/>
      <c r="FH5108"/>
      <c r="FI5108"/>
      <c r="FJ5108"/>
      <c r="FK5108"/>
      <c r="FL5108"/>
      <c r="FM5108"/>
      <c r="FN5108"/>
      <c r="FO5108"/>
      <c r="FP5108"/>
      <c r="FQ5108"/>
      <c r="FR5108"/>
      <c r="FS5108"/>
      <c r="FT5108"/>
      <c r="FU5108"/>
      <c r="FV5108"/>
      <c r="FW5108"/>
      <c r="FX5108"/>
      <c r="FY5108"/>
      <c r="FZ5108"/>
      <c r="GA5108"/>
      <c r="GB5108"/>
      <c r="GC5108"/>
      <c r="GD5108"/>
      <c r="GE5108"/>
      <c r="GF5108"/>
      <c r="GG5108"/>
      <c r="GH5108"/>
      <c r="GI5108"/>
      <c r="GJ5108"/>
      <c r="GK5108"/>
      <c r="GL5108"/>
      <c r="GM5108"/>
      <c r="GN5108"/>
      <c r="GO5108"/>
    </row>
    <row r="5109" spans="107:197">
      <c r="DC5109"/>
      <c r="FH5109"/>
      <c r="FI5109"/>
      <c r="FJ5109"/>
      <c r="FK5109"/>
      <c r="FL5109"/>
      <c r="FM5109"/>
      <c r="FN5109"/>
      <c r="FO5109"/>
      <c r="FP5109"/>
      <c r="FQ5109"/>
      <c r="FR5109"/>
      <c r="FS5109"/>
      <c r="FT5109"/>
      <c r="FU5109"/>
      <c r="FV5109"/>
      <c r="FW5109"/>
      <c r="FX5109"/>
      <c r="FY5109"/>
      <c r="FZ5109"/>
      <c r="GA5109"/>
      <c r="GB5109"/>
      <c r="GC5109"/>
      <c r="GD5109"/>
      <c r="GE5109"/>
      <c r="GF5109"/>
      <c r="GG5109"/>
      <c r="GH5109"/>
      <c r="GI5109"/>
      <c r="GJ5109"/>
      <c r="GK5109"/>
      <c r="GL5109"/>
      <c r="GM5109"/>
      <c r="GN5109"/>
      <c r="GO5109"/>
    </row>
    <row r="5110" spans="107:197">
      <c r="DC5110"/>
      <c r="FH5110"/>
      <c r="FI5110"/>
      <c r="FJ5110"/>
      <c r="FK5110"/>
      <c r="FL5110"/>
      <c r="FM5110"/>
      <c r="FN5110"/>
      <c r="FO5110"/>
      <c r="FP5110"/>
      <c r="FQ5110"/>
      <c r="FR5110"/>
      <c r="FS5110"/>
      <c r="FT5110"/>
      <c r="FU5110"/>
      <c r="FV5110"/>
      <c r="FW5110"/>
      <c r="FX5110"/>
      <c r="FY5110"/>
      <c r="FZ5110"/>
      <c r="GA5110"/>
      <c r="GB5110"/>
      <c r="GC5110"/>
      <c r="GD5110"/>
      <c r="GE5110"/>
      <c r="GF5110"/>
      <c r="GG5110"/>
      <c r="GH5110"/>
      <c r="GI5110"/>
      <c r="GJ5110"/>
      <c r="GK5110"/>
      <c r="GL5110"/>
      <c r="GM5110"/>
      <c r="GN5110"/>
      <c r="GO5110"/>
    </row>
    <row r="5111" spans="107:197">
      <c r="DC5111"/>
      <c r="FH5111"/>
      <c r="FI5111"/>
      <c r="FJ5111"/>
      <c r="FK5111"/>
      <c r="FL5111"/>
      <c r="FM5111"/>
      <c r="FN5111"/>
      <c r="FO5111"/>
      <c r="FP5111"/>
      <c r="FQ5111"/>
      <c r="FR5111"/>
      <c r="FS5111"/>
      <c r="FT5111"/>
      <c r="FU5111"/>
      <c r="FV5111"/>
      <c r="FW5111"/>
      <c r="FX5111"/>
      <c r="FY5111"/>
      <c r="FZ5111"/>
      <c r="GA5111"/>
      <c r="GB5111"/>
      <c r="GC5111"/>
      <c r="GD5111"/>
      <c r="GE5111"/>
      <c r="GF5111"/>
      <c r="GG5111"/>
      <c r="GH5111"/>
      <c r="GI5111"/>
      <c r="GJ5111"/>
      <c r="GK5111"/>
      <c r="GL5111"/>
      <c r="GM5111"/>
      <c r="GN5111"/>
      <c r="GO5111"/>
    </row>
    <row r="5112" spans="107:197">
      <c r="DC5112"/>
      <c r="FH5112"/>
      <c r="FI5112"/>
      <c r="FJ5112"/>
      <c r="FK5112"/>
      <c r="FL5112"/>
      <c r="FM5112"/>
      <c r="FN5112"/>
      <c r="FO5112"/>
      <c r="FP5112"/>
      <c r="FQ5112"/>
      <c r="FR5112"/>
      <c r="FS5112"/>
      <c r="FT5112"/>
      <c r="FU5112"/>
      <c r="FV5112"/>
      <c r="FW5112"/>
      <c r="FX5112"/>
      <c r="FY5112"/>
      <c r="FZ5112"/>
      <c r="GA5112"/>
      <c r="GB5112"/>
      <c r="GC5112"/>
      <c r="GD5112"/>
      <c r="GE5112"/>
      <c r="GF5112"/>
      <c r="GG5112"/>
      <c r="GH5112"/>
      <c r="GI5112"/>
      <c r="GJ5112"/>
      <c r="GK5112"/>
      <c r="GL5112"/>
      <c r="GM5112"/>
      <c r="GN5112"/>
      <c r="GO5112"/>
    </row>
    <row r="5113" spans="107:197">
      <c r="DC5113"/>
      <c r="FH5113"/>
      <c r="FI5113"/>
      <c r="FJ5113"/>
      <c r="FK5113"/>
      <c r="FL5113"/>
      <c r="FM5113"/>
      <c r="FN5113"/>
      <c r="FO5113"/>
      <c r="FP5113"/>
      <c r="FQ5113"/>
      <c r="FR5113"/>
      <c r="FS5113"/>
      <c r="FT5113"/>
      <c r="FU5113"/>
      <c r="FV5113"/>
      <c r="FW5113"/>
      <c r="FX5113"/>
      <c r="FY5113"/>
      <c r="FZ5113"/>
      <c r="GA5113"/>
      <c r="GB5113"/>
      <c r="GC5113"/>
      <c r="GD5113"/>
      <c r="GE5113"/>
      <c r="GF5113"/>
      <c r="GG5113"/>
      <c r="GH5113"/>
      <c r="GI5113"/>
      <c r="GJ5113"/>
      <c r="GK5113"/>
      <c r="GL5113"/>
      <c r="GM5113"/>
      <c r="GN5113"/>
      <c r="GO5113"/>
    </row>
    <row r="5114" spans="107:197">
      <c r="DC5114"/>
      <c r="FH5114"/>
      <c r="FI5114"/>
      <c r="FJ5114"/>
      <c r="FK5114"/>
      <c r="FL5114"/>
      <c r="FM5114"/>
      <c r="FN5114"/>
      <c r="FO5114"/>
      <c r="FP5114"/>
      <c r="FQ5114"/>
      <c r="FR5114"/>
      <c r="FS5114"/>
      <c r="FT5114"/>
      <c r="FU5114"/>
      <c r="FV5114"/>
      <c r="FW5114"/>
      <c r="FX5114"/>
      <c r="FY5114"/>
      <c r="FZ5114"/>
      <c r="GA5114"/>
      <c r="GB5114"/>
      <c r="GC5114"/>
      <c r="GD5114"/>
      <c r="GE5114"/>
      <c r="GF5114"/>
      <c r="GG5114"/>
      <c r="GH5114"/>
      <c r="GI5114"/>
      <c r="GJ5114"/>
      <c r="GK5114"/>
      <c r="GL5114"/>
      <c r="GM5114"/>
      <c r="GN5114"/>
      <c r="GO5114"/>
    </row>
    <row r="5115" spans="107:197">
      <c r="DC5115"/>
      <c r="FH5115"/>
      <c r="FI5115"/>
      <c r="FJ5115"/>
      <c r="FK5115"/>
      <c r="FL5115"/>
      <c r="FM5115"/>
      <c r="FN5115"/>
      <c r="FO5115"/>
      <c r="FP5115"/>
      <c r="FQ5115"/>
      <c r="FR5115"/>
      <c r="FS5115"/>
      <c r="FT5115"/>
      <c r="FU5115"/>
      <c r="FV5115"/>
      <c r="FW5115"/>
      <c r="FX5115"/>
      <c r="FY5115"/>
      <c r="FZ5115"/>
      <c r="GA5115"/>
      <c r="GB5115"/>
      <c r="GC5115"/>
      <c r="GD5115"/>
      <c r="GE5115"/>
      <c r="GF5115"/>
      <c r="GG5115"/>
      <c r="GH5115"/>
      <c r="GI5115"/>
      <c r="GJ5115"/>
      <c r="GK5115"/>
      <c r="GL5115"/>
      <c r="GM5115"/>
      <c r="GN5115"/>
      <c r="GO5115"/>
    </row>
    <row r="5116" spans="107:197">
      <c r="DC5116"/>
      <c r="FH5116"/>
      <c r="FI5116"/>
      <c r="FJ5116"/>
      <c r="FK5116"/>
      <c r="FL5116"/>
      <c r="FM5116"/>
      <c r="FN5116"/>
      <c r="FO5116"/>
      <c r="FP5116"/>
      <c r="FQ5116"/>
      <c r="FR5116"/>
      <c r="FS5116"/>
      <c r="FT5116"/>
      <c r="FU5116"/>
      <c r="FV5116"/>
      <c r="FW5116"/>
      <c r="FX5116"/>
      <c r="FY5116"/>
      <c r="FZ5116"/>
      <c r="GA5116"/>
      <c r="GB5116"/>
      <c r="GC5116"/>
      <c r="GD5116"/>
      <c r="GE5116"/>
      <c r="GF5116"/>
      <c r="GG5116"/>
      <c r="GH5116"/>
      <c r="GI5116"/>
      <c r="GJ5116"/>
      <c r="GK5116"/>
      <c r="GL5116"/>
      <c r="GM5116"/>
      <c r="GN5116"/>
      <c r="GO5116"/>
    </row>
    <row r="5117" spans="107:197">
      <c r="DC5117"/>
      <c r="FH5117"/>
      <c r="FI5117"/>
      <c r="FJ5117"/>
      <c r="FK5117"/>
      <c r="FL5117"/>
      <c r="FM5117"/>
      <c r="FN5117"/>
      <c r="FO5117"/>
      <c r="FP5117"/>
      <c r="FQ5117"/>
      <c r="FR5117"/>
      <c r="FS5117"/>
      <c r="FT5117"/>
      <c r="FU5117"/>
      <c r="FV5117"/>
      <c r="FW5117"/>
      <c r="FX5117"/>
      <c r="FY5117"/>
      <c r="FZ5117"/>
      <c r="GA5117"/>
      <c r="GB5117"/>
      <c r="GC5117"/>
      <c r="GD5117"/>
      <c r="GE5117"/>
      <c r="GF5117"/>
      <c r="GG5117"/>
      <c r="GH5117"/>
      <c r="GI5117"/>
      <c r="GJ5117"/>
      <c r="GK5117"/>
      <c r="GL5117"/>
      <c r="GM5117"/>
      <c r="GN5117"/>
      <c r="GO5117"/>
    </row>
    <row r="5118" spans="107:197">
      <c r="DC5118"/>
      <c r="FH5118"/>
      <c r="FI5118"/>
      <c r="FJ5118"/>
      <c r="FK5118"/>
      <c r="FL5118"/>
      <c r="FM5118"/>
      <c r="FN5118"/>
      <c r="FO5118"/>
      <c r="FP5118"/>
      <c r="FQ5118"/>
      <c r="FR5118"/>
      <c r="FS5118"/>
      <c r="FT5118"/>
      <c r="FU5118"/>
      <c r="FV5118"/>
      <c r="FW5118"/>
      <c r="FX5118"/>
      <c r="FY5118"/>
      <c r="FZ5118"/>
      <c r="GA5118"/>
      <c r="GB5118"/>
      <c r="GC5118"/>
      <c r="GD5118"/>
      <c r="GE5118"/>
      <c r="GF5118"/>
      <c r="GG5118"/>
      <c r="GH5118"/>
      <c r="GI5118"/>
      <c r="GJ5118"/>
      <c r="GK5118"/>
      <c r="GL5118"/>
      <c r="GM5118"/>
      <c r="GN5118"/>
      <c r="GO5118"/>
    </row>
    <row r="5119" spans="107:197">
      <c r="DC5119"/>
      <c r="FH5119"/>
      <c r="FI5119"/>
      <c r="FJ5119"/>
      <c r="FK5119"/>
      <c r="FL5119"/>
      <c r="FM5119"/>
      <c r="FN5119"/>
      <c r="FO5119"/>
      <c r="FP5119"/>
      <c r="FQ5119"/>
      <c r="FR5119"/>
      <c r="FS5119"/>
      <c r="FT5119"/>
      <c r="FU5119"/>
      <c r="FV5119"/>
      <c r="FW5119"/>
      <c r="FX5119"/>
      <c r="FY5119"/>
      <c r="FZ5119"/>
      <c r="GA5119"/>
      <c r="GB5119"/>
      <c r="GC5119"/>
      <c r="GD5119"/>
      <c r="GE5119"/>
      <c r="GF5119"/>
      <c r="GG5119"/>
      <c r="GH5119"/>
      <c r="GI5119"/>
      <c r="GJ5119"/>
      <c r="GK5119"/>
      <c r="GL5119"/>
      <c r="GM5119"/>
      <c r="GN5119"/>
      <c r="GO5119"/>
    </row>
    <row r="5120" spans="107:197">
      <c r="DC5120"/>
      <c r="FH5120"/>
      <c r="FI5120"/>
      <c r="FJ5120"/>
      <c r="FK5120"/>
      <c r="FL5120"/>
      <c r="FM5120"/>
      <c r="FN5120"/>
      <c r="FO5120"/>
      <c r="FP5120"/>
      <c r="FQ5120"/>
      <c r="FR5120"/>
      <c r="FS5120"/>
      <c r="FT5120"/>
      <c r="FU5120"/>
      <c r="FV5120"/>
      <c r="FW5120"/>
      <c r="FX5120"/>
      <c r="FY5120"/>
      <c r="FZ5120"/>
      <c r="GA5120"/>
      <c r="GB5120"/>
      <c r="GC5120"/>
      <c r="GD5120"/>
      <c r="GE5120"/>
      <c r="GF5120"/>
      <c r="GG5120"/>
      <c r="GH5120"/>
      <c r="GI5120"/>
      <c r="GJ5120"/>
      <c r="GK5120"/>
      <c r="GL5120"/>
      <c r="GM5120"/>
      <c r="GN5120"/>
      <c r="GO5120"/>
    </row>
    <row r="5121" spans="107:197">
      <c r="DC5121"/>
      <c r="FH5121"/>
      <c r="FI5121"/>
      <c r="FJ5121"/>
      <c r="FK5121"/>
      <c r="FL5121"/>
      <c r="FM5121"/>
      <c r="FN5121"/>
      <c r="FO5121"/>
      <c r="FP5121"/>
      <c r="FQ5121"/>
      <c r="FR5121"/>
      <c r="FS5121"/>
      <c r="FT5121"/>
      <c r="FU5121"/>
      <c r="FV5121"/>
      <c r="FW5121"/>
      <c r="FX5121"/>
      <c r="FY5121"/>
      <c r="FZ5121"/>
      <c r="GA5121"/>
      <c r="GB5121"/>
      <c r="GC5121"/>
      <c r="GD5121"/>
      <c r="GE5121"/>
      <c r="GF5121"/>
      <c r="GG5121"/>
      <c r="GH5121"/>
      <c r="GI5121"/>
      <c r="GJ5121"/>
      <c r="GK5121"/>
      <c r="GL5121"/>
      <c r="GM5121"/>
      <c r="GN5121"/>
      <c r="GO5121"/>
    </row>
    <row r="5122" spans="107:197">
      <c r="DC5122"/>
      <c r="FH5122"/>
      <c r="FI5122"/>
      <c r="FJ5122"/>
      <c r="FK5122"/>
      <c r="FL5122"/>
      <c r="FM5122"/>
      <c r="FN5122"/>
      <c r="FO5122"/>
      <c r="FP5122"/>
      <c r="FQ5122"/>
      <c r="FR5122"/>
      <c r="FS5122"/>
      <c r="FT5122"/>
      <c r="FU5122"/>
      <c r="FV5122"/>
      <c r="FW5122"/>
      <c r="FX5122"/>
      <c r="FY5122"/>
      <c r="FZ5122"/>
      <c r="GA5122"/>
      <c r="GB5122"/>
      <c r="GC5122"/>
      <c r="GD5122"/>
      <c r="GE5122"/>
      <c r="GF5122"/>
      <c r="GG5122"/>
      <c r="GH5122"/>
      <c r="GI5122"/>
      <c r="GJ5122"/>
      <c r="GK5122"/>
      <c r="GL5122"/>
      <c r="GM5122"/>
      <c r="GN5122"/>
      <c r="GO5122"/>
    </row>
    <row r="5123" spans="107:197">
      <c r="DC5123"/>
      <c r="FH5123"/>
      <c r="FI5123"/>
      <c r="FJ5123"/>
      <c r="FK5123"/>
      <c r="FL5123"/>
      <c r="FM5123"/>
      <c r="FN5123"/>
      <c r="FO5123"/>
      <c r="FP5123"/>
      <c r="FQ5123"/>
      <c r="FR5123"/>
      <c r="FS5123"/>
      <c r="FT5123"/>
      <c r="FU5123"/>
      <c r="FV5123"/>
      <c r="FW5123"/>
      <c r="FX5123"/>
      <c r="FY5123"/>
      <c r="FZ5123"/>
      <c r="GA5123"/>
      <c r="GB5123"/>
      <c r="GC5123"/>
      <c r="GD5123"/>
      <c r="GE5123"/>
      <c r="GF5123"/>
      <c r="GG5123"/>
      <c r="GH5123"/>
      <c r="GI5123"/>
      <c r="GJ5123"/>
      <c r="GK5123"/>
      <c r="GL5123"/>
      <c r="GM5123"/>
      <c r="GN5123"/>
      <c r="GO5123"/>
    </row>
    <row r="5124" spans="107:197">
      <c r="DC5124"/>
      <c r="FH5124"/>
      <c r="FI5124"/>
      <c r="FJ5124"/>
      <c r="FK5124"/>
      <c r="FL5124"/>
      <c r="FM5124"/>
      <c r="FN5124"/>
      <c r="FO5124"/>
      <c r="FP5124"/>
      <c r="FQ5124"/>
      <c r="FR5124"/>
      <c r="FS5124"/>
      <c r="FT5124"/>
      <c r="FU5124"/>
      <c r="FV5124"/>
      <c r="FW5124"/>
      <c r="FX5124"/>
      <c r="FY5124"/>
      <c r="FZ5124"/>
      <c r="GA5124"/>
      <c r="GB5124"/>
      <c r="GC5124"/>
      <c r="GD5124"/>
      <c r="GE5124"/>
      <c r="GF5124"/>
      <c r="GG5124"/>
      <c r="GH5124"/>
      <c r="GI5124"/>
      <c r="GJ5124"/>
      <c r="GK5124"/>
      <c r="GL5124"/>
      <c r="GM5124"/>
      <c r="GN5124"/>
      <c r="GO5124"/>
    </row>
    <row r="5125" spans="107:197">
      <c r="DC5125"/>
      <c r="FH5125"/>
      <c r="FI5125"/>
      <c r="FJ5125"/>
      <c r="FK5125"/>
      <c r="FL5125"/>
      <c r="FM5125"/>
      <c r="FN5125"/>
      <c r="FO5125"/>
      <c r="FP5125"/>
      <c r="FQ5125"/>
      <c r="FR5125"/>
      <c r="FS5125"/>
      <c r="FT5125"/>
      <c r="FU5125"/>
      <c r="FV5125"/>
      <c r="FW5125"/>
      <c r="FX5125"/>
      <c r="FY5125"/>
      <c r="FZ5125"/>
      <c r="GA5125"/>
      <c r="GB5125"/>
      <c r="GC5125"/>
      <c r="GD5125"/>
      <c r="GE5125"/>
      <c r="GF5125"/>
      <c r="GG5125"/>
      <c r="GH5125"/>
      <c r="GI5125"/>
      <c r="GJ5125"/>
      <c r="GK5125"/>
      <c r="GL5125"/>
      <c r="GM5125"/>
      <c r="GN5125"/>
      <c r="GO5125"/>
    </row>
    <row r="5126" spans="107:197">
      <c r="DC5126"/>
      <c r="FH5126"/>
      <c r="FI5126"/>
      <c r="FJ5126"/>
      <c r="FK5126"/>
      <c r="FL5126"/>
      <c r="FM5126"/>
      <c r="FN5126"/>
      <c r="FO5126"/>
      <c r="FP5126"/>
      <c r="FQ5126"/>
      <c r="FR5126"/>
      <c r="FS5126"/>
      <c r="FT5126"/>
      <c r="FU5126"/>
      <c r="FV5126"/>
      <c r="FW5126"/>
      <c r="FX5126"/>
      <c r="FY5126"/>
      <c r="FZ5126"/>
      <c r="GA5126"/>
      <c r="GB5126"/>
      <c r="GC5126"/>
      <c r="GD5126"/>
      <c r="GE5126"/>
      <c r="GF5126"/>
      <c r="GG5126"/>
      <c r="GH5126"/>
      <c r="GI5126"/>
      <c r="GJ5126"/>
      <c r="GK5126"/>
      <c r="GL5126"/>
      <c r="GM5126"/>
      <c r="GN5126"/>
      <c r="GO5126"/>
    </row>
    <row r="5127" spans="107:197">
      <c r="DC5127"/>
      <c r="FH5127"/>
      <c r="FI5127"/>
      <c r="FJ5127"/>
      <c r="FK5127"/>
      <c r="FL5127"/>
      <c r="FM5127"/>
      <c r="FN5127"/>
      <c r="FO5127"/>
      <c r="FP5127"/>
      <c r="FQ5127"/>
      <c r="FR5127"/>
      <c r="FS5127"/>
      <c r="FT5127"/>
      <c r="FU5127"/>
      <c r="FV5127"/>
      <c r="FW5127"/>
      <c r="FX5127"/>
      <c r="FY5127"/>
      <c r="FZ5127"/>
      <c r="GA5127"/>
      <c r="GB5127"/>
      <c r="GC5127"/>
      <c r="GD5127"/>
      <c r="GE5127"/>
      <c r="GF5127"/>
      <c r="GG5127"/>
      <c r="GH5127"/>
      <c r="GI5127"/>
      <c r="GJ5127"/>
      <c r="GK5127"/>
      <c r="GL5127"/>
      <c r="GM5127"/>
      <c r="GN5127"/>
      <c r="GO5127"/>
    </row>
    <row r="5128" spans="107:197">
      <c r="DC5128"/>
      <c r="FH5128"/>
      <c r="FI5128"/>
      <c r="FJ5128"/>
      <c r="FK5128"/>
      <c r="FL5128"/>
      <c r="FM5128"/>
      <c r="FN5128"/>
      <c r="FO5128"/>
      <c r="FP5128"/>
      <c r="FQ5128"/>
      <c r="FR5128"/>
      <c r="FS5128"/>
      <c r="FT5128"/>
      <c r="FU5128"/>
      <c r="FV5128"/>
      <c r="FW5128"/>
      <c r="FX5128"/>
      <c r="FY5128"/>
      <c r="FZ5128"/>
      <c r="GA5128"/>
      <c r="GB5128"/>
      <c r="GC5128"/>
      <c r="GD5128"/>
      <c r="GE5128"/>
      <c r="GF5128"/>
      <c r="GG5128"/>
      <c r="GH5128"/>
      <c r="GI5128"/>
      <c r="GJ5128"/>
      <c r="GK5128"/>
      <c r="GL5128"/>
      <c r="GM5128"/>
      <c r="GN5128"/>
      <c r="GO5128"/>
    </row>
    <row r="5129" spans="107:197">
      <c r="DC5129"/>
      <c r="FH5129"/>
      <c r="FI5129"/>
      <c r="FJ5129"/>
      <c r="FK5129"/>
      <c r="FL5129"/>
      <c r="FM5129"/>
      <c r="FN5129"/>
      <c r="FO5129"/>
      <c r="FP5129"/>
      <c r="FQ5129"/>
      <c r="FR5129"/>
      <c r="FS5129"/>
      <c r="FT5129"/>
      <c r="FU5129"/>
      <c r="FV5129"/>
      <c r="FW5129"/>
      <c r="FX5129"/>
      <c r="FY5129"/>
      <c r="FZ5129"/>
      <c r="GA5129"/>
      <c r="GB5129"/>
      <c r="GC5129"/>
      <c r="GD5129"/>
      <c r="GE5129"/>
      <c r="GF5129"/>
      <c r="GG5129"/>
      <c r="GH5129"/>
      <c r="GI5129"/>
      <c r="GJ5129"/>
      <c r="GK5129"/>
      <c r="GL5129"/>
      <c r="GM5129"/>
      <c r="GN5129"/>
      <c r="GO5129"/>
    </row>
    <row r="5130" spans="107:197">
      <c r="DC5130"/>
      <c r="FH5130"/>
      <c r="FI5130"/>
      <c r="FJ5130"/>
      <c r="FK5130"/>
      <c r="FL5130"/>
      <c r="FM5130"/>
      <c r="FN5130"/>
      <c r="FO5130"/>
      <c r="FP5130"/>
      <c r="FQ5130"/>
      <c r="FR5130"/>
      <c r="FS5130"/>
      <c r="FT5130"/>
      <c r="FU5130"/>
      <c r="FV5130"/>
      <c r="FW5130"/>
      <c r="FX5130"/>
      <c r="FY5130"/>
      <c r="FZ5130"/>
      <c r="GA5130"/>
      <c r="GB5130"/>
      <c r="GC5130"/>
      <c r="GD5130"/>
      <c r="GE5130"/>
      <c r="GF5130"/>
      <c r="GG5130"/>
      <c r="GH5130"/>
      <c r="GI5130"/>
      <c r="GJ5130"/>
      <c r="GK5130"/>
      <c r="GL5130"/>
      <c r="GM5130"/>
      <c r="GN5130"/>
      <c r="GO5130"/>
    </row>
    <row r="5131" spans="107:197">
      <c r="DC5131"/>
      <c r="FH5131"/>
      <c r="FI5131"/>
      <c r="FJ5131"/>
      <c r="FK5131"/>
      <c r="FL5131"/>
      <c r="FM5131"/>
      <c r="FN5131"/>
      <c r="FO5131"/>
      <c r="FP5131"/>
      <c r="FQ5131"/>
      <c r="FR5131"/>
      <c r="FS5131"/>
      <c r="FT5131"/>
      <c r="FU5131"/>
      <c r="FV5131"/>
      <c r="FW5131"/>
      <c r="FX5131"/>
      <c r="FY5131"/>
      <c r="FZ5131"/>
      <c r="GA5131"/>
      <c r="GB5131"/>
      <c r="GC5131"/>
      <c r="GD5131"/>
      <c r="GE5131"/>
      <c r="GF5131"/>
      <c r="GG5131"/>
      <c r="GH5131"/>
      <c r="GI5131"/>
      <c r="GJ5131"/>
      <c r="GK5131"/>
      <c r="GL5131"/>
      <c r="GM5131"/>
      <c r="GN5131"/>
      <c r="GO5131"/>
    </row>
    <row r="5132" spans="107:197">
      <c r="DC5132"/>
      <c r="FH5132"/>
      <c r="FI5132"/>
      <c r="FJ5132"/>
      <c r="FK5132"/>
      <c r="FL5132"/>
      <c r="FM5132"/>
      <c r="FN5132"/>
      <c r="FO5132"/>
      <c r="FP5132"/>
      <c r="FQ5132"/>
      <c r="FR5132"/>
      <c r="FS5132"/>
      <c r="FT5132"/>
      <c r="FU5132"/>
      <c r="FV5132"/>
      <c r="FW5132"/>
      <c r="FX5132"/>
      <c r="FY5132"/>
      <c r="FZ5132"/>
      <c r="GA5132"/>
      <c r="GB5132"/>
      <c r="GC5132"/>
      <c r="GD5132"/>
      <c r="GE5132"/>
      <c r="GF5132"/>
      <c r="GG5132"/>
      <c r="GH5132"/>
      <c r="GI5132"/>
      <c r="GJ5132"/>
      <c r="GK5132"/>
      <c r="GL5132"/>
      <c r="GM5132"/>
      <c r="GN5132"/>
      <c r="GO5132"/>
    </row>
    <row r="5133" spans="107:197">
      <c r="DC5133"/>
      <c r="FH5133"/>
      <c r="FI5133"/>
      <c r="FJ5133"/>
      <c r="FK5133"/>
      <c r="FL5133"/>
      <c r="FM5133"/>
      <c r="FN5133"/>
      <c r="FO5133"/>
      <c r="FP5133"/>
      <c r="FQ5133"/>
      <c r="FR5133"/>
      <c r="FS5133"/>
      <c r="FT5133"/>
      <c r="FU5133"/>
      <c r="FV5133"/>
      <c r="FW5133"/>
      <c r="FX5133"/>
      <c r="FY5133"/>
      <c r="FZ5133"/>
      <c r="GA5133"/>
      <c r="GB5133"/>
      <c r="GC5133"/>
      <c r="GD5133"/>
      <c r="GE5133"/>
      <c r="GF5133"/>
      <c r="GG5133"/>
      <c r="GH5133"/>
      <c r="GI5133"/>
      <c r="GJ5133"/>
      <c r="GK5133"/>
      <c r="GL5133"/>
      <c r="GM5133"/>
      <c r="GN5133"/>
      <c r="GO5133"/>
    </row>
    <row r="5134" spans="107:197">
      <c r="DC5134"/>
      <c r="FH5134"/>
      <c r="FI5134"/>
      <c r="FJ5134"/>
      <c r="FK5134"/>
      <c r="FL5134"/>
      <c r="FM5134"/>
      <c r="FN5134"/>
      <c r="FO5134"/>
      <c r="FP5134"/>
      <c r="FQ5134"/>
      <c r="FR5134"/>
      <c r="FS5134"/>
      <c r="FT5134"/>
      <c r="FU5134"/>
      <c r="FV5134"/>
      <c r="FW5134"/>
      <c r="FX5134"/>
      <c r="FY5134"/>
      <c r="FZ5134"/>
      <c r="GA5134"/>
      <c r="GB5134"/>
      <c r="GC5134"/>
      <c r="GD5134"/>
      <c r="GE5134"/>
      <c r="GF5134"/>
      <c r="GG5134"/>
      <c r="GH5134"/>
      <c r="GI5134"/>
      <c r="GJ5134"/>
      <c r="GK5134"/>
      <c r="GL5134"/>
      <c r="GM5134"/>
      <c r="GN5134"/>
      <c r="GO5134"/>
    </row>
    <row r="5135" spans="107:197">
      <c r="DC5135"/>
      <c r="FH5135"/>
      <c r="FI5135"/>
      <c r="FJ5135"/>
      <c r="FK5135"/>
      <c r="FL5135"/>
      <c r="FM5135"/>
      <c r="FN5135"/>
      <c r="FO5135"/>
      <c r="FP5135"/>
      <c r="FQ5135"/>
      <c r="FR5135"/>
      <c r="FS5135"/>
      <c r="FT5135"/>
      <c r="FU5135"/>
      <c r="FV5135"/>
      <c r="FW5135"/>
      <c r="FX5135"/>
      <c r="FY5135"/>
      <c r="FZ5135"/>
      <c r="GA5135"/>
      <c r="GB5135"/>
      <c r="GC5135"/>
      <c r="GD5135"/>
      <c r="GE5135"/>
      <c r="GF5135"/>
      <c r="GG5135"/>
      <c r="GH5135"/>
      <c r="GI5135"/>
      <c r="GJ5135"/>
      <c r="GK5135"/>
      <c r="GL5135"/>
      <c r="GM5135"/>
      <c r="GN5135"/>
      <c r="GO5135"/>
    </row>
    <row r="5136" spans="107:197">
      <c r="DC5136"/>
      <c r="FH5136"/>
      <c r="FI5136"/>
      <c r="FJ5136"/>
      <c r="FK5136"/>
      <c r="FL5136"/>
      <c r="FM5136"/>
      <c r="FN5136"/>
      <c r="FO5136"/>
      <c r="FP5136"/>
      <c r="FQ5136"/>
      <c r="FR5136"/>
      <c r="FS5136"/>
      <c r="FT5136"/>
      <c r="FU5136"/>
      <c r="FV5136"/>
      <c r="FW5136"/>
      <c r="FX5136"/>
      <c r="FY5136"/>
      <c r="FZ5136"/>
      <c r="GA5136"/>
      <c r="GB5136"/>
      <c r="GC5136"/>
      <c r="GD5136"/>
      <c r="GE5136"/>
      <c r="GF5136"/>
      <c r="GG5136"/>
      <c r="GH5136"/>
      <c r="GI5136"/>
      <c r="GJ5136"/>
      <c r="GK5136"/>
      <c r="GL5136"/>
      <c r="GM5136"/>
      <c r="GN5136"/>
      <c r="GO5136"/>
    </row>
    <row r="5137" spans="107:197">
      <c r="DC5137"/>
      <c r="FH5137"/>
      <c r="FI5137"/>
      <c r="FJ5137"/>
      <c r="FK5137"/>
      <c r="FL5137"/>
      <c r="FM5137"/>
      <c r="FN5137"/>
      <c r="FO5137"/>
      <c r="FP5137"/>
      <c r="FQ5137"/>
      <c r="FR5137"/>
      <c r="FS5137"/>
      <c r="FT5137"/>
      <c r="FU5137"/>
      <c r="FV5137"/>
      <c r="FW5137"/>
      <c r="FX5137"/>
      <c r="FY5137"/>
      <c r="FZ5137"/>
      <c r="GA5137"/>
      <c r="GB5137"/>
      <c r="GC5137"/>
      <c r="GD5137"/>
      <c r="GE5137"/>
      <c r="GF5137"/>
      <c r="GG5137"/>
      <c r="GH5137"/>
      <c r="GI5137"/>
      <c r="GJ5137"/>
      <c r="GK5137"/>
      <c r="GL5137"/>
      <c r="GM5137"/>
      <c r="GN5137"/>
      <c r="GO5137"/>
    </row>
    <row r="5138" spans="107:197">
      <c r="DC5138"/>
      <c r="FH5138"/>
      <c r="FI5138"/>
      <c r="FJ5138"/>
      <c r="FK5138"/>
      <c r="FL5138"/>
      <c r="FM5138"/>
      <c r="FN5138"/>
      <c r="FO5138"/>
      <c r="FP5138"/>
      <c r="FQ5138"/>
      <c r="FR5138"/>
      <c r="FS5138"/>
      <c r="FT5138"/>
      <c r="FU5138"/>
      <c r="FV5138"/>
      <c r="FW5138"/>
      <c r="FX5138"/>
      <c r="FY5138"/>
      <c r="FZ5138"/>
      <c r="GA5138"/>
      <c r="GB5138"/>
      <c r="GC5138"/>
      <c r="GD5138"/>
      <c r="GE5138"/>
      <c r="GF5138"/>
      <c r="GG5138"/>
      <c r="GH5138"/>
      <c r="GI5138"/>
      <c r="GJ5138"/>
      <c r="GK5138"/>
      <c r="GL5138"/>
      <c r="GM5138"/>
      <c r="GN5138"/>
      <c r="GO5138"/>
    </row>
    <row r="5139" spans="107:197">
      <c r="DC5139"/>
      <c r="FH5139"/>
      <c r="FI5139"/>
      <c r="FJ5139"/>
      <c r="FK5139"/>
      <c r="FL5139"/>
      <c r="FM5139"/>
      <c r="FN5139"/>
      <c r="FO5139"/>
      <c r="FP5139"/>
      <c r="FQ5139"/>
      <c r="FR5139"/>
      <c r="FS5139"/>
      <c r="FT5139"/>
      <c r="FU5139"/>
      <c r="FV5139"/>
      <c r="FW5139"/>
      <c r="FX5139"/>
      <c r="FY5139"/>
      <c r="FZ5139"/>
      <c r="GA5139"/>
      <c r="GB5139"/>
      <c r="GC5139"/>
      <c r="GD5139"/>
      <c r="GE5139"/>
      <c r="GF5139"/>
      <c r="GG5139"/>
      <c r="GH5139"/>
      <c r="GI5139"/>
      <c r="GJ5139"/>
      <c r="GK5139"/>
      <c r="GL5139"/>
      <c r="GM5139"/>
      <c r="GN5139"/>
      <c r="GO5139"/>
    </row>
    <row r="5140" spans="107:197">
      <c r="DC5140"/>
      <c r="FH5140"/>
      <c r="FI5140"/>
      <c r="FJ5140"/>
      <c r="FK5140"/>
      <c r="FL5140"/>
      <c r="FM5140"/>
      <c r="FN5140"/>
      <c r="FO5140"/>
      <c r="FP5140"/>
      <c r="FQ5140"/>
      <c r="FR5140"/>
      <c r="FS5140"/>
      <c r="FT5140"/>
      <c r="FU5140"/>
      <c r="FV5140"/>
      <c r="FW5140"/>
      <c r="FX5140"/>
      <c r="FY5140"/>
      <c r="FZ5140"/>
      <c r="GA5140"/>
      <c r="GB5140"/>
      <c r="GC5140"/>
      <c r="GD5140"/>
      <c r="GE5140"/>
      <c r="GF5140"/>
      <c r="GG5140"/>
      <c r="GH5140"/>
      <c r="GI5140"/>
      <c r="GJ5140"/>
      <c r="GK5140"/>
      <c r="GL5140"/>
      <c r="GM5140"/>
      <c r="GN5140"/>
      <c r="GO5140"/>
    </row>
    <row r="5141" spans="107:197">
      <c r="DC5141"/>
      <c r="FH5141"/>
      <c r="FI5141"/>
      <c r="FJ5141"/>
      <c r="FK5141"/>
      <c r="FL5141"/>
      <c r="FM5141"/>
      <c r="FN5141"/>
      <c r="FO5141"/>
      <c r="FP5141"/>
      <c r="FQ5141"/>
      <c r="FR5141"/>
      <c r="FS5141"/>
      <c r="FT5141"/>
      <c r="FU5141"/>
      <c r="FV5141"/>
      <c r="FW5141"/>
      <c r="FX5141"/>
      <c r="FY5141"/>
      <c r="FZ5141"/>
      <c r="GA5141"/>
      <c r="GB5141"/>
      <c r="GC5141"/>
      <c r="GD5141"/>
      <c r="GE5141"/>
      <c r="GF5141"/>
      <c r="GG5141"/>
      <c r="GH5141"/>
      <c r="GI5141"/>
      <c r="GJ5141"/>
      <c r="GK5141"/>
      <c r="GL5141"/>
      <c r="GM5141"/>
      <c r="GN5141"/>
      <c r="GO5141"/>
    </row>
    <row r="5142" spans="107:197">
      <c r="DC5142"/>
      <c r="FH5142"/>
      <c r="FI5142"/>
      <c r="FJ5142"/>
      <c r="FK5142"/>
      <c r="FL5142"/>
      <c r="FM5142"/>
      <c r="FN5142"/>
      <c r="FO5142"/>
      <c r="FP5142"/>
      <c r="FQ5142"/>
      <c r="FR5142"/>
      <c r="FS5142"/>
      <c r="FT5142"/>
      <c r="FU5142"/>
      <c r="FV5142"/>
      <c r="FW5142"/>
      <c r="FX5142"/>
      <c r="FY5142"/>
      <c r="FZ5142"/>
      <c r="GA5142"/>
      <c r="GB5142"/>
      <c r="GC5142"/>
      <c r="GD5142"/>
      <c r="GE5142"/>
      <c r="GF5142"/>
      <c r="GG5142"/>
      <c r="GH5142"/>
      <c r="GI5142"/>
      <c r="GJ5142"/>
      <c r="GK5142"/>
      <c r="GL5142"/>
      <c r="GM5142"/>
      <c r="GN5142"/>
      <c r="GO5142"/>
    </row>
    <row r="5143" spans="107:197">
      <c r="DC5143"/>
      <c r="FH5143"/>
      <c r="FI5143"/>
      <c r="FJ5143"/>
      <c r="FK5143"/>
      <c r="FL5143"/>
      <c r="FM5143"/>
      <c r="FN5143"/>
      <c r="FO5143"/>
      <c r="FP5143"/>
      <c r="FQ5143"/>
      <c r="FR5143"/>
      <c r="FS5143"/>
      <c r="FT5143"/>
      <c r="FU5143"/>
      <c r="FV5143"/>
      <c r="FW5143"/>
      <c r="FX5143"/>
      <c r="FY5143"/>
      <c r="FZ5143"/>
      <c r="GA5143"/>
      <c r="GB5143"/>
      <c r="GC5143"/>
      <c r="GD5143"/>
      <c r="GE5143"/>
      <c r="GF5143"/>
      <c r="GG5143"/>
      <c r="GH5143"/>
      <c r="GI5143"/>
      <c r="GJ5143"/>
      <c r="GK5143"/>
      <c r="GL5143"/>
      <c r="GM5143"/>
      <c r="GN5143"/>
      <c r="GO5143"/>
    </row>
    <row r="5144" spans="107:197">
      <c r="DC5144"/>
      <c r="FH5144"/>
      <c r="FI5144"/>
      <c r="FJ5144"/>
      <c r="FK5144"/>
      <c r="FL5144"/>
      <c r="FM5144"/>
      <c r="FN5144"/>
      <c r="FO5144"/>
      <c r="FP5144"/>
      <c r="FQ5144"/>
      <c r="FR5144"/>
      <c r="FS5144"/>
      <c r="FT5144"/>
      <c r="FU5144"/>
      <c r="FV5144"/>
      <c r="FW5144"/>
      <c r="FX5144"/>
      <c r="FY5144"/>
      <c r="FZ5144"/>
      <c r="GA5144"/>
      <c r="GB5144"/>
      <c r="GC5144"/>
      <c r="GD5144"/>
      <c r="GE5144"/>
      <c r="GF5144"/>
      <c r="GG5144"/>
      <c r="GH5144"/>
      <c r="GI5144"/>
      <c r="GJ5144"/>
      <c r="GK5144"/>
      <c r="GL5144"/>
      <c r="GM5144"/>
      <c r="GN5144"/>
      <c r="GO5144"/>
    </row>
    <row r="5145" spans="107:197">
      <c r="DC5145"/>
      <c r="FH5145"/>
      <c r="FI5145"/>
      <c r="FJ5145"/>
      <c r="FK5145"/>
      <c r="FL5145"/>
      <c r="FM5145"/>
      <c r="FN5145"/>
      <c r="FO5145"/>
      <c r="FP5145"/>
      <c r="FQ5145"/>
      <c r="FR5145"/>
      <c r="FS5145"/>
      <c r="FT5145"/>
      <c r="FU5145"/>
      <c r="FV5145"/>
      <c r="FW5145"/>
      <c r="FX5145"/>
      <c r="FY5145"/>
      <c r="FZ5145"/>
      <c r="GA5145"/>
      <c r="GB5145"/>
      <c r="GC5145"/>
      <c r="GD5145"/>
      <c r="GE5145"/>
      <c r="GF5145"/>
      <c r="GG5145"/>
      <c r="GH5145"/>
      <c r="GI5145"/>
      <c r="GJ5145"/>
      <c r="GK5145"/>
      <c r="GL5145"/>
      <c r="GM5145"/>
      <c r="GN5145"/>
      <c r="GO5145"/>
    </row>
    <row r="5146" spans="107:197">
      <c r="DC5146"/>
      <c r="FH5146"/>
      <c r="FI5146"/>
      <c r="FJ5146"/>
      <c r="FK5146"/>
      <c r="FL5146"/>
      <c r="FM5146"/>
      <c r="FN5146"/>
      <c r="FO5146"/>
      <c r="FP5146"/>
      <c r="FQ5146"/>
      <c r="FR5146"/>
      <c r="FS5146"/>
      <c r="FT5146"/>
      <c r="FU5146"/>
      <c r="FV5146"/>
      <c r="FW5146"/>
      <c r="FX5146"/>
      <c r="FY5146"/>
      <c r="FZ5146"/>
      <c r="GA5146"/>
      <c r="GB5146"/>
      <c r="GC5146"/>
      <c r="GD5146"/>
      <c r="GE5146"/>
      <c r="GF5146"/>
      <c r="GG5146"/>
      <c r="GH5146"/>
      <c r="GI5146"/>
      <c r="GJ5146"/>
      <c r="GK5146"/>
      <c r="GL5146"/>
      <c r="GM5146"/>
      <c r="GN5146"/>
      <c r="GO5146"/>
    </row>
    <row r="5147" spans="107:197">
      <c r="DC5147"/>
      <c r="FH5147"/>
      <c r="FI5147"/>
      <c r="FJ5147"/>
      <c r="FK5147"/>
      <c r="FL5147"/>
      <c r="FM5147"/>
      <c r="FN5147"/>
      <c r="FO5147"/>
      <c r="FP5147"/>
      <c r="FQ5147"/>
      <c r="FR5147"/>
      <c r="FS5147"/>
      <c r="FT5147"/>
      <c r="FU5147"/>
      <c r="FV5147"/>
      <c r="FW5147"/>
      <c r="FX5147"/>
      <c r="FY5147"/>
      <c r="FZ5147"/>
      <c r="GA5147"/>
      <c r="GB5147"/>
      <c r="GC5147"/>
      <c r="GD5147"/>
      <c r="GE5147"/>
      <c r="GF5147"/>
      <c r="GG5147"/>
      <c r="GH5147"/>
      <c r="GI5147"/>
      <c r="GJ5147"/>
      <c r="GK5147"/>
      <c r="GL5147"/>
      <c r="GM5147"/>
      <c r="GN5147"/>
      <c r="GO5147"/>
    </row>
    <row r="5148" spans="107:197">
      <c r="DC5148"/>
      <c r="FH5148"/>
      <c r="FI5148"/>
      <c r="FJ5148"/>
      <c r="FK5148"/>
      <c r="FL5148"/>
      <c r="FM5148"/>
      <c r="FN5148"/>
      <c r="FO5148"/>
      <c r="FP5148"/>
      <c r="FQ5148"/>
      <c r="FR5148"/>
      <c r="FS5148"/>
      <c r="FT5148"/>
      <c r="FU5148"/>
      <c r="FV5148"/>
      <c r="FW5148"/>
      <c r="FX5148"/>
      <c r="FY5148"/>
      <c r="FZ5148"/>
      <c r="GA5148"/>
      <c r="GB5148"/>
      <c r="GC5148"/>
      <c r="GD5148"/>
      <c r="GE5148"/>
      <c r="GF5148"/>
      <c r="GG5148"/>
      <c r="GH5148"/>
      <c r="GI5148"/>
      <c r="GJ5148"/>
      <c r="GK5148"/>
      <c r="GL5148"/>
      <c r="GM5148"/>
      <c r="GN5148"/>
      <c r="GO5148"/>
    </row>
    <row r="5149" spans="107:197">
      <c r="DC5149"/>
      <c r="FH5149"/>
      <c r="FI5149"/>
      <c r="FJ5149"/>
      <c r="FK5149"/>
      <c r="FL5149"/>
      <c r="FM5149"/>
      <c r="FN5149"/>
      <c r="FO5149"/>
      <c r="FP5149"/>
      <c r="FQ5149"/>
      <c r="FR5149"/>
      <c r="FS5149"/>
      <c r="FT5149"/>
      <c r="FU5149"/>
      <c r="FV5149"/>
      <c r="FW5149"/>
      <c r="FX5149"/>
      <c r="FY5149"/>
      <c r="FZ5149"/>
      <c r="GA5149"/>
      <c r="GB5149"/>
      <c r="GC5149"/>
      <c r="GD5149"/>
      <c r="GE5149"/>
      <c r="GF5149"/>
      <c r="GG5149"/>
      <c r="GH5149"/>
      <c r="GI5149"/>
      <c r="GJ5149"/>
      <c r="GK5149"/>
      <c r="GL5149"/>
      <c r="GM5149"/>
      <c r="GN5149"/>
      <c r="GO5149"/>
    </row>
    <row r="5150" spans="107:197">
      <c r="DC5150"/>
      <c r="FH5150"/>
      <c r="FI5150"/>
      <c r="FJ5150"/>
      <c r="FK5150"/>
      <c r="FL5150"/>
      <c r="FM5150"/>
      <c r="FN5150"/>
      <c r="FO5150"/>
      <c r="FP5150"/>
      <c r="FQ5150"/>
      <c r="FR5150"/>
      <c r="FS5150"/>
      <c r="FT5150"/>
      <c r="FU5150"/>
      <c r="FV5150"/>
      <c r="FW5150"/>
      <c r="FX5150"/>
      <c r="FY5150"/>
      <c r="FZ5150"/>
      <c r="GA5150"/>
      <c r="GB5150"/>
      <c r="GC5150"/>
      <c r="GD5150"/>
      <c r="GE5150"/>
      <c r="GF5150"/>
      <c r="GG5150"/>
      <c r="GH5150"/>
      <c r="GI5150"/>
      <c r="GJ5150"/>
      <c r="GK5150"/>
      <c r="GL5150"/>
      <c r="GM5150"/>
      <c r="GN5150"/>
      <c r="GO5150"/>
    </row>
    <row r="5151" spans="107:197">
      <c r="DC5151"/>
      <c r="FH5151"/>
      <c r="FI5151"/>
      <c r="FJ5151"/>
      <c r="FK5151"/>
      <c r="FL5151"/>
      <c r="FM5151"/>
      <c r="FN5151"/>
      <c r="FO5151"/>
      <c r="FP5151"/>
      <c r="FQ5151"/>
      <c r="FR5151"/>
      <c r="FS5151"/>
      <c r="FT5151"/>
      <c r="FU5151"/>
      <c r="FV5151"/>
      <c r="FW5151"/>
      <c r="FX5151"/>
      <c r="FY5151"/>
      <c r="FZ5151"/>
      <c r="GA5151"/>
      <c r="GB5151"/>
      <c r="GC5151"/>
      <c r="GD5151"/>
      <c r="GE5151"/>
      <c r="GF5151"/>
      <c r="GG5151"/>
      <c r="GH5151"/>
      <c r="GI5151"/>
      <c r="GJ5151"/>
      <c r="GK5151"/>
      <c r="GL5151"/>
      <c r="GM5151"/>
      <c r="GN5151"/>
      <c r="GO5151"/>
    </row>
    <row r="5152" spans="107:197">
      <c r="DC5152"/>
      <c r="FH5152"/>
      <c r="FI5152"/>
      <c r="FJ5152"/>
      <c r="FK5152"/>
      <c r="FL5152"/>
      <c r="FM5152"/>
      <c r="FN5152"/>
      <c r="FO5152"/>
      <c r="FP5152"/>
      <c r="FQ5152"/>
      <c r="FR5152"/>
      <c r="FS5152"/>
      <c r="FT5152"/>
      <c r="FU5152"/>
      <c r="FV5152"/>
      <c r="FW5152"/>
      <c r="FX5152"/>
      <c r="FY5152"/>
      <c r="FZ5152"/>
      <c r="GA5152"/>
      <c r="GB5152"/>
      <c r="GC5152"/>
      <c r="GD5152"/>
      <c r="GE5152"/>
      <c r="GF5152"/>
      <c r="GG5152"/>
      <c r="GH5152"/>
      <c r="GI5152"/>
      <c r="GJ5152"/>
      <c r="GK5152"/>
      <c r="GL5152"/>
      <c r="GM5152"/>
      <c r="GN5152"/>
      <c r="GO5152"/>
    </row>
    <row r="5153" spans="107:197">
      <c r="DC5153"/>
      <c r="FH5153"/>
      <c r="FI5153"/>
      <c r="FJ5153"/>
      <c r="FK5153"/>
      <c r="FL5153"/>
      <c r="FM5153"/>
      <c r="FN5153"/>
      <c r="FO5153"/>
      <c r="FP5153"/>
      <c r="FQ5153"/>
      <c r="FR5153"/>
      <c r="FS5153"/>
      <c r="FT5153"/>
      <c r="FU5153"/>
      <c r="FV5153"/>
      <c r="FW5153"/>
      <c r="FX5153"/>
      <c r="FY5153"/>
      <c r="FZ5153"/>
      <c r="GA5153"/>
      <c r="GB5153"/>
      <c r="GC5153"/>
      <c r="GD5153"/>
      <c r="GE5153"/>
      <c r="GF5153"/>
      <c r="GG5153"/>
      <c r="GH5153"/>
      <c r="GI5153"/>
      <c r="GJ5153"/>
      <c r="GK5153"/>
      <c r="GL5153"/>
      <c r="GM5153"/>
      <c r="GN5153"/>
      <c r="GO5153"/>
    </row>
    <row r="5154" spans="107:197">
      <c r="DC5154"/>
      <c r="FH5154"/>
      <c r="FI5154"/>
      <c r="FJ5154"/>
      <c r="FK5154"/>
      <c r="FL5154"/>
      <c r="FM5154"/>
      <c r="FN5154"/>
      <c r="FO5154"/>
      <c r="FP5154"/>
      <c r="FQ5154"/>
      <c r="FR5154"/>
      <c r="FS5154"/>
      <c r="FT5154"/>
      <c r="FU5154"/>
      <c r="FV5154"/>
      <c r="FW5154"/>
      <c r="FX5154"/>
      <c r="FY5154"/>
      <c r="FZ5154"/>
      <c r="GA5154"/>
      <c r="GB5154"/>
      <c r="GC5154"/>
      <c r="GD5154"/>
      <c r="GE5154"/>
      <c r="GF5154"/>
      <c r="GG5154"/>
      <c r="GH5154"/>
      <c r="GI5154"/>
      <c r="GJ5154"/>
      <c r="GK5154"/>
      <c r="GL5154"/>
      <c r="GM5154"/>
      <c r="GN5154"/>
      <c r="GO5154"/>
    </row>
    <row r="5155" spans="107:197">
      <c r="DC5155"/>
      <c r="FH5155"/>
      <c r="FI5155"/>
      <c r="FJ5155"/>
      <c r="FK5155"/>
      <c r="FL5155"/>
      <c r="FM5155"/>
      <c r="FN5155"/>
      <c r="FO5155"/>
      <c r="FP5155"/>
      <c r="FQ5155"/>
      <c r="FR5155"/>
      <c r="FS5155"/>
      <c r="FT5155"/>
      <c r="FU5155"/>
      <c r="FV5155"/>
      <c r="FW5155"/>
      <c r="FX5155"/>
      <c r="FY5155"/>
      <c r="FZ5155"/>
      <c r="GA5155"/>
      <c r="GB5155"/>
      <c r="GC5155"/>
      <c r="GD5155"/>
      <c r="GE5155"/>
      <c r="GF5155"/>
      <c r="GG5155"/>
      <c r="GH5155"/>
      <c r="GI5155"/>
      <c r="GJ5155"/>
      <c r="GK5155"/>
      <c r="GL5155"/>
      <c r="GM5155"/>
      <c r="GN5155"/>
      <c r="GO5155"/>
    </row>
    <row r="5156" spans="107:197">
      <c r="DC5156"/>
      <c r="FH5156"/>
      <c r="FI5156"/>
      <c r="FJ5156"/>
      <c r="FK5156"/>
      <c r="FL5156"/>
      <c r="FM5156"/>
      <c r="FN5156"/>
      <c r="FO5156"/>
      <c r="FP5156"/>
      <c r="FQ5156"/>
      <c r="FR5156"/>
      <c r="FS5156"/>
      <c r="FT5156"/>
      <c r="FU5156"/>
      <c r="FV5156"/>
      <c r="FW5156"/>
      <c r="FX5156"/>
      <c r="FY5156"/>
      <c r="FZ5156"/>
      <c r="GA5156"/>
      <c r="GB5156"/>
      <c r="GC5156"/>
      <c r="GD5156"/>
      <c r="GE5156"/>
      <c r="GF5156"/>
      <c r="GG5156"/>
      <c r="GH5156"/>
      <c r="GI5156"/>
      <c r="GJ5156"/>
      <c r="GK5156"/>
      <c r="GL5156"/>
      <c r="GM5156"/>
      <c r="GN5156"/>
      <c r="GO5156"/>
    </row>
    <row r="5157" spans="107:197">
      <c r="DC5157"/>
      <c r="FH5157"/>
      <c r="FI5157"/>
      <c r="FJ5157"/>
      <c r="FK5157"/>
      <c r="FL5157"/>
      <c r="FM5157"/>
      <c r="FN5157"/>
      <c r="FO5157"/>
      <c r="FP5157"/>
      <c r="FQ5157"/>
      <c r="FR5157"/>
      <c r="FS5157"/>
      <c r="FT5157"/>
      <c r="FU5157"/>
      <c r="FV5157"/>
      <c r="FW5157"/>
      <c r="FX5157"/>
      <c r="FY5157"/>
      <c r="FZ5157"/>
      <c r="GA5157"/>
      <c r="GB5157"/>
      <c r="GC5157"/>
      <c r="GD5157"/>
      <c r="GE5157"/>
      <c r="GF5157"/>
      <c r="GG5157"/>
      <c r="GH5157"/>
      <c r="GI5157"/>
      <c r="GJ5157"/>
      <c r="GK5157"/>
      <c r="GL5157"/>
      <c r="GM5157"/>
      <c r="GN5157"/>
      <c r="GO5157"/>
    </row>
    <row r="5158" spans="107:197">
      <c r="DC5158"/>
      <c r="FH5158"/>
      <c r="FI5158"/>
      <c r="FJ5158"/>
      <c r="FK5158"/>
      <c r="FL5158"/>
      <c r="FM5158"/>
      <c r="FN5158"/>
      <c r="FO5158"/>
      <c r="FP5158"/>
      <c r="FQ5158"/>
      <c r="FR5158"/>
      <c r="FS5158"/>
      <c r="FT5158"/>
      <c r="FU5158"/>
      <c r="FV5158"/>
      <c r="FW5158"/>
      <c r="FX5158"/>
      <c r="FY5158"/>
      <c r="FZ5158"/>
      <c r="GA5158"/>
      <c r="GB5158"/>
      <c r="GC5158"/>
      <c r="GD5158"/>
      <c r="GE5158"/>
      <c r="GF5158"/>
      <c r="GG5158"/>
      <c r="GH5158"/>
      <c r="GI5158"/>
      <c r="GJ5158"/>
      <c r="GK5158"/>
      <c r="GL5158"/>
      <c r="GM5158"/>
      <c r="GN5158"/>
      <c r="GO5158"/>
    </row>
    <row r="5159" spans="107:197">
      <c r="DC5159"/>
      <c r="FH5159"/>
      <c r="FI5159"/>
      <c r="FJ5159"/>
      <c r="FK5159"/>
      <c r="FL5159"/>
      <c r="FM5159"/>
      <c r="FN5159"/>
      <c r="FO5159"/>
      <c r="FP5159"/>
      <c r="FQ5159"/>
      <c r="FR5159"/>
      <c r="FS5159"/>
      <c r="FT5159"/>
      <c r="FU5159"/>
      <c r="FV5159"/>
      <c r="FW5159"/>
      <c r="FX5159"/>
      <c r="FY5159"/>
      <c r="FZ5159"/>
      <c r="GA5159"/>
      <c r="GB5159"/>
      <c r="GC5159"/>
      <c r="GD5159"/>
      <c r="GE5159"/>
      <c r="GF5159"/>
      <c r="GG5159"/>
      <c r="GH5159"/>
      <c r="GI5159"/>
      <c r="GJ5159"/>
      <c r="GK5159"/>
      <c r="GL5159"/>
      <c r="GM5159"/>
      <c r="GN5159"/>
      <c r="GO5159"/>
    </row>
    <row r="5160" spans="107:197">
      <c r="DC5160"/>
      <c r="FH5160"/>
      <c r="FI5160"/>
      <c r="FJ5160"/>
      <c r="FK5160"/>
      <c r="FL5160"/>
      <c r="FM5160"/>
      <c r="FN5160"/>
      <c r="FO5160"/>
      <c r="FP5160"/>
      <c r="FQ5160"/>
      <c r="FR5160"/>
      <c r="FS5160"/>
      <c r="FT5160"/>
      <c r="FU5160"/>
      <c r="FV5160"/>
      <c r="FW5160"/>
      <c r="FX5160"/>
      <c r="FY5160"/>
      <c r="FZ5160"/>
      <c r="GA5160"/>
      <c r="GB5160"/>
      <c r="GC5160"/>
      <c r="GD5160"/>
      <c r="GE5160"/>
      <c r="GF5160"/>
      <c r="GG5160"/>
      <c r="GH5160"/>
      <c r="GI5160"/>
      <c r="GJ5160"/>
      <c r="GK5160"/>
      <c r="GL5160"/>
      <c r="GM5160"/>
      <c r="GN5160"/>
      <c r="GO5160"/>
    </row>
    <row r="5161" spans="107:197">
      <c r="DC5161"/>
      <c r="FH5161"/>
      <c r="FI5161"/>
      <c r="FJ5161"/>
      <c r="FK5161"/>
      <c r="FL5161"/>
      <c r="FM5161"/>
      <c r="FN5161"/>
      <c r="FO5161"/>
      <c r="FP5161"/>
      <c r="FQ5161"/>
      <c r="FR5161"/>
      <c r="FS5161"/>
      <c r="FT5161"/>
      <c r="FU5161"/>
      <c r="FV5161"/>
      <c r="FW5161"/>
      <c r="FX5161"/>
      <c r="FY5161"/>
      <c r="FZ5161"/>
      <c r="GA5161"/>
      <c r="GB5161"/>
      <c r="GC5161"/>
      <c r="GD5161"/>
      <c r="GE5161"/>
      <c r="GF5161"/>
      <c r="GG5161"/>
      <c r="GH5161"/>
      <c r="GI5161"/>
      <c r="GJ5161"/>
      <c r="GK5161"/>
      <c r="GL5161"/>
      <c r="GM5161"/>
      <c r="GN5161"/>
      <c r="GO5161"/>
    </row>
    <row r="5162" spans="107:197">
      <c r="DC5162"/>
      <c r="FH5162"/>
      <c r="FI5162"/>
      <c r="FJ5162"/>
      <c r="FK5162"/>
      <c r="FL5162"/>
      <c r="FM5162"/>
      <c r="FN5162"/>
      <c r="FO5162"/>
      <c r="FP5162"/>
      <c r="FQ5162"/>
      <c r="FR5162"/>
      <c r="FS5162"/>
      <c r="FT5162"/>
      <c r="FU5162"/>
      <c r="FV5162"/>
      <c r="FW5162"/>
      <c r="FX5162"/>
      <c r="FY5162"/>
      <c r="FZ5162"/>
      <c r="GA5162"/>
      <c r="GB5162"/>
      <c r="GC5162"/>
      <c r="GD5162"/>
      <c r="GE5162"/>
      <c r="GF5162"/>
      <c r="GG5162"/>
      <c r="GH5162"/>
      <c r="GI5162"/>
      <c r="GJ5162"/>
      <c r="GK5162"/>
      <c r="GL5162"/>
      <c r="GM5162"/>
      <c r="GN5162"/>
      <c r="GO5162"/>
    </row>
    <row r="5163" spans="107:197">
      <c r="DC5163"/>
      <c r="FH5163"/>
      <c r="FI5163"/>
      <c r="FJ5163"/>
      <c r="FK5163"/>
      <c r="FL5163"/>
      <c r="FM5163"/>
      <c r="FN5163"/>
      <c r="FO5163"/>
      <c r="FP5163"/>
      <c r="FQ5163"/>
      <c r="FR5163"/>
      <c r="FS5163"/>
      <c r="FT5163"/>
      <c r="FU5163"/>
      <c r="FV5163"/>
      <c r="FW5163"/>
      <c r="FX5163"/>
      <c r="FY5163"/>
      <c r="FZ5163"/>
      <c r="GA5163"/>
      <c r="GB5163"/>
      <c r="GC5163"/>
      <c r="GD5163"/>
      <c r="GE5163"/>
      <c r="GF5163"/>
      <c r="GG5163"/>
      <c r="GH5163"/>
      <c r="GI5163"/>
      <c r="GJ5163"/>
      <c r="GK5163"/>
      <c r="GL5163"/>
      <c r="GM5163"/>
      <c r="GN5163"/>
      <c r="GO5163"/>
    </row>
    <row r="5164" spans="107:197">
      <c r="DC5164"/>
      <c r="FH5164"/>
      <c r="FI5164"/>
      <c r="FJ5164"/>
      <c r="FK5164"/>
      <c r="FL5164"/>
      <c r="FM5164"/>
      <c r="FN5164"/>
      <c r="FO5164"/>
      <c r="FP5164"/>
      <c r="FQ5164"/>
      <c r="FR5164"/>
      <c r="FS5164"/>
      <c r="FT5164"/>
      <c r="FU5164"/>
      <c r="FV5164"/>
      <c r="FW5164"/>
      <c r="FX5164"/>
      <c r="FY5164"/>
      <c r="FZ5164"/>
      <c r="GA5164"/>
      <c r="GB5164"/>
      <c r="GC5164"/>
      <c r="GD5164"/>
      <c r="GE5164"/>
      <c r="GF5164"/>
      <c r="GG5164"/>
      <c r="GH5164"/>
      <c r="GI5164"/>
      <c r="GJ5164"/>
      <c r="GK5164"/>
      <c r="GL5164"/>
      <c r="GM5164"/>
      <c r="GN5164"/>
      <c r="GO5164"/>
    </row>
    <row r="5165" spans="107:197">
      <c r="DC5165"/>
      <c r="FH5165"/>
      <c r="FI5165"/>
      <c r="FJ5165"/>
      <c r="FK5165"/>
      <c r="FL5165"/>
      <c r="FM5165"/>
      <c r="FN5165"/>
      <c r="FO5165"/>
      <c r="FP5165"/>
      <c r="FQ5165"/>
      <c r="FR5165"/>
      <c r="FS5165"/>
      <c r="FT5165"/>
      <c r="FU5165"/>
      <c r="FV5165"/>
      <c r="FW5165"/>
      <c r="FX5165"/>
      <c r="FY5165"/>
      <c r="FZ5165"/>
      <c r="GA5165"/>
      <c r="GB5165"/>
      <c r="GC5165"/>
      <c r="GD5165"/>
      <c r="GE5165"/>
      <c r="GF5165"/>
      <c r="GG5165"/>
      <c r="GH5165"/>
      <c r="GI5165"/>
      <c r="GJ5165"/>
      <c r="GK5165"/>
      <c r="GL5165"/>
      <c r="GM5165"/>
      <c r="GN5165"/>
      <c r="GO5165"/>
    </row>
    <row r="5166" spans="107:197">
      <c r="DC5166"/>
      <c r="FH5166"/>
      <c r="FI5166"/>
      <c r="FJ5166"/>
      <c r="FK5166"/>
      <c r="FL5166"/>
      <c r="FM5166"/>
      <c r="FN5166"/>
      <c r="FO5166"/>
      <c r="FP5166"/>
      <c r="FQ5166"/>
      <c r="FR5166"/>
      <c r="FS5166"/>
      <c r="FT5166"/>
      <c r="FU5166"/>
      <c r="FV5166"/>
      <c r="FW5166"/>
      <c r="FX5166"/>
      <c r="FY5166"/>
      <c r="FZ5166"/>
      <c r="GA5166"/>
      <c r="GB5166"/>
      <c r="GC5166"/>
      <c r="GD5166"/>
      <c r="GE5166"/>
      <c r="GF5166"/>
      <c r="GG5166"/>
      <c r="GH5166"/>
      <c r="GI5166"/>
      <c r="GJ5166"/>
      <c r="GK5166"/>
      <c r="GL5166"/>
      <c r="GM5166"/>
      <c r="GN5166"/>
      <c r="GO5166"/>
    </row>
    <row r="5167" spans="107:197">
      <c r="DC5167"/>
      <c r="FH5167"/>
      <c r="FI5167"/>
      <c r="FJ5167"/>
      <c r="FK5167"/>
      <c r="FL5167"/>
      <c r="FM5167"/>
      <c r="FN5167"/>
      <c r="FO5167"/>
      <c r="FP5167"/>
      <c r="FQ5167"/>
      <c r="FR5167"/>
      <c r="FS5167"/>
      <c r="FT5167"/>
      <c r="FU5167"/>
      <c r="FV5167"/>
      <c r="FW5167"/>
      <c r="FX5167"/>
      <c r="FY5167"/>
      <c r="FZ5167"/>
      <c r="GA5167"/>
      <c r="GB5167"/>
      <c r="GC5167"/>
      <c r="GD5167"/>
      <c r="GE5167"/>
      <c r="GF5167"/>
      <c r="GG5167"/>
      <c r="GH5167"/>
      <c r="GI5167"/>
      <c r="GJ5167"/>
      <c r="GK5167"/>
      <c r="GL5167"/>
      <c r="GM5167"/>
      <c r="GN5167"/>
      <c r="GO5167"/>
    </row>
    <row r="5168" spans="107:197">
      <c r="DC5168"/>
      <c r="FH5168"/>
      <c r="FI5168"/>
      <c r="FJ5168"/>
      <c r="FK5168"/>
      <c r="FL5168"/>
      <c r="FM5168"/>
      <c r="FN5168"/>
      <c r="FO5168"/>
      <c r="FP5168"/>
      <c r="FQ5168"/>
      <c r="FR5168"/>
      <c r="FS5168"/>
      <c r="FT5168"/>
      <c r="FU5168"/>
      <c r="FV5168"/>
      <c r="FW5168"/>
      <c r="FX5168"/>
      <c r="FY5168"/>
      <c r="FZ5168"/>
      <c r="GA5168"/>
      <c r="GB5168"/>
      <c r="GC5168"/>
      <c r="GD5168"/>
      <c r="GE5168"/>
      <c r="GF5168"/>
      <c r="GG5168"/>
      <c r="GH5168"/>
      <c r="GI5168"/>
      <c r="GJ5168"/>
      <c r="GK5168"/>
      <c r="GL5168"/>
      <c r="GM5168"/>
      <c r="GN5168"/>
      <c r="GO5168"/>
    </row>
    <row r="5169" spans="107:197">
      <c r="DC5169"/>
      <c r="FH5169"/>
      <c r="FI5169"/>
      <c r="FJ5169"/>
      <c r="FK5169"/>
      <c r="FL5169"/>
      <c r="FM5169"/>
      <c r="FN5169"/>
      <c r="FO5169"/>
      <c r="FP5169"/>
      <c r="FQ5169"/>
      <c r="FR5169"/>
      <c r="FS5169"/>
      <c r="FT5169"/>
      <c r="FU5169"/>
      <c r="FV5169"/>
      <c r="FW5169"/>
      <c r="FX5169"/>
      <c r="FY5169"/>
      <c r="FZ5169"/>
      <c r="GA5169"/>
      <c r="GB5169"/>
      <c r="GC5169"/>
      <c r="GD5169"/>
      <c r="GE5169"/>
      <c r="GF5169"/>
      <c r="GG5169"/>
      <c r="GH5169"/>
      <c r="GI5169"/>
      <c r="GJ5169"/>
      <c r="GK5169"/>
      <c r="GL5169"/>
      <c r="GM5169"/>
      <c r="GN5169"/>
      <c r="GO5169"/>
    </row>
    <row r="5170" spans="107:197">
      <c r="DC5170"/>
      <c r="FH5170"/>
      <c r="FI5170"/>
      <c r="FJ5170"/>
      <c r="FK5170"/>
      <c r="FL5170"/>
      <c r="FM5170"/>
      <c r="FN5170"/>
      <c r="FO5170"/>
      <c r="FP5170"/>
      <c r="FQ5170"/>
      <c r="FR5170"/>
      <c r="FS5170"/>
      <c r="FT5170"/>
      <c r="FU5170"/>
      <c r="FV5170"/>
      <c r="FW5170"/>
      <c r="FX5170"/>
      <c r="FY5170"/>
      <c r="FZ5170"/>
      <c r="GA5170"/>
      <c r="GB5170"/>
      <c r="GC5170"/>
      <c r="GD5170"/>
      <c r="GE5170"/>
      <c r="GF5170"/>
      <c r="GG5170"/>
      <c r="GH5170"/>
      <c r="GI5170"/>
      <c r="GJ5170"/>
      <c r="GK5170"/>
      <c r="GL5170"/>
      <c r="GM5170"/>
      <c r="GN5170"/>
      <c r="GO5170"/>
    </row>
    <row r="5171" spans="107:197">
      <c r="DC5171"/>
      <c r="FH5171"/>
      <c r="FI5171"/>
      <c r="FJ5171"/>
      <c r="FK5171"/>
      <c r="FL5171"/>
      <c r="FM5171"/>
      <c r="FN5171"/>
      <c r="FO5171"/>
      <c r="FP5171"/>
      <c r="FQ5171"/>
      <c r="FR5171"/>
      <c r="FS5171"/>
      <c r="FT5171"/>
      <c r="FU5171"/>
      <c r="FV5171"/>
      <c r="FW5171"/>
      <c r="FX5171"/>
      <c r="FY5171"/>
      <c r="FZ5171"/>
      <c r="GA5171"/>
      <c r="GB5171"/>
      <c r="GC5171"/>
      <c r="GD5171"/>
      <c r="GE5171"/>
      <c r="GF5171"/>
      <c r="GG5171"/>
      <c r="GH5171"/>
      <c r="GI5171"/>
      <c r="GJ5171"/>
      <c r="GK5171"/>
      <c r="GL5171"/>
      <c r="GM5171"/>
      <c r="GN5171"/>
      <c r="GO5171"/>
    </row>
    <row r="5172" spans="107:197">
      <c r="DC5172"/>
      <c r="FH5172"/>
      <c r="FI5172"/>
      <c r="FJ5172"/>
      <c r="FK5172"/>
      <c r="FL5172"/>
      <c r="FM5172"/>
      <c r="FN5172"/>
      <c r="FO5172"/>
      <c r="FP5172"/>
      <c r="FQ5172"/>
      <c r="FR5172"/>
      <c r="FS5172"/>
      <c r="FT5172"/>
      <c r="FU5172"/>
      <c r="FV5172"/>
      <c r="FW5172"/>
      <c r="FX5172"/>
      <c r="FY5172"/>
      <c r="FZ5172"/>
      <c r="GA5172"/>
      <c r="GB5172"/>
      <c r="GC5172"/>
      <c r="GD5172"/>
      <c r="GE5172"/>
      <c r="GF5172"/>
      <c r="GG5172"/>
      <c r="GH5172"/>
      <c r="GI5172"/>
      <c r="GJ5172"/>
      <c r="GK5172"/>
      <c r="GL5172"/>
      <c r="GM5172"/>
      <c r="GN5172"/>
      <c r="GO5172"/>
    </row>
    <row r="5173" spans="107:197">
      <c r="DC5173"/>
      <c r="FH5173"/>
      <c r="FI5173"/>
      <c r="FJ5173"/>
      <c r="FK5173"/>
      <c r="FL5173"/>
      <c r="FM5173"/>
      <c r="FN5173"/>
      <c r="FO5173"/>
      <c r="FP5173"/>
      <c r="FQ5173"/>
      <c r="FR5173"/>
      <c r="FS5173"/>
      <c r="FT5173"/>
      <c r="FU5173"/>
      <c r="FV5173"/>
      <c r="FW5173"/>
      <c r="FX5173"/>
      <c r="FY5173"/>
      <c r="FZ5173"/>
      <c r="GA5173"/>
      <c r="GB5173"/>
      <c r="GC5173"/>
      <c r="GD5173"/>
      <c r="GE5173"/>
      <c r="GF5173"/>
      <c r="GG5173"/>
      <c r="GH5173"/>
      <c r="GI5173"/>
      <c r="GJ5173"/>
      <c r="GK5173"/>
      <c r="GL5173"/>
      <c r="GM5173"/>
      <c r="GN5173"/>
      <c r="GO5173"/>
    </row>
    <row r="5174" spans="107:197">
      <c r="DC5174"/>
      <c r="FH5174"/>
      <c r="FI5174"/>
      <c r="FJ5174"/>
      <c r="FK5174"/>
      <c r="FL5174"/>
      <c r="FM5174"/>
      <c r="FN5174"/>
      <c r="FO5174"/>
      <c r="FP5174"/>
      <c r="FQ5174"/>
      <c r="FR5174"/>
      <c r="FS5174"/>
      <c r="FT5174"/>
      <c r="FU5174"/>
      <c r="FV5174"/>
      <c r="FW5174"/>
      <c r="FX5174"/>
      <c r="FY5174"/>
      <c r="FZ5174"/>
      <c r="GA5174"/>
      <c r="GB5174"/>
      <c r="GC5174"/>
      <c r="GD5174"/>
      <c r="GE5174"/>
      <c r="GF5174"/>
      <c r="GG5174"/>
      <c r="GH5174"/>
      <c r="GI5174"/>
      <c r="GJ5174"/>
      <c r="GK5174"/>
      <c r="GL5174"/>
      <c r="GM5174"/>
      <c r="GN5174"/>
      <c r="GO5174"/>
    </row>
    <row r="5175" spans="107:197">
      <c r="DC5175"/>
      <c r="FH5175"/>
      <c r="FI5175"/>
      <c r="FJ5175"/>
      <c r="FK5175"/>
      <c r="FL5175"/>
      <c r="FM5175"/>
      <c r="FN5175"/>
      <c r="FO5175"/>
      <c r="FP5175"/>
      <c r="FQ5175"/>
      <c r="FR5175"/>
      <c r="FS5175"/>
      <c r="FT5175"/>
      <c r="FU5175"/>
      <c r="FV5175"/>
      <c r="FW5175"/>
      <c r="FX5175"/>
      <c r="FY5175"/>
      <c r="FZ5175"/>
      <c r="GA5175"/>
      <c r="GB5175"/>
      <c r="GC5175"/>
      <c r="GD5175"/>
      <c r="GE5175"/>
      <c r="GF5175"/>
      <c r="GG5175"/>
      <c r="GH5175"/>
      <c r="GI5175"/>
      <c r="GJ5175"/>
      <c r="GK5175"/>
      <c r="GL5175"/>
      <c r="GM5175"/>
      <c r="GN5175"/>
      <c r="GO5175"/>
    </row>
    <row r="5176" spans="107:197">
      <c r="DC5176"/>
      <c r="FH5176"/>
      <c r="FI5176"/>
      <c r="FJ5176"/>
      <c r="FK5176"/>
      <c r="FL5176"/>
      <c r="FM5176"/>
      <c r="FN5176"/>
      <c r="FO5176"/>
      <c r="FP5176"/>
      <c r="FQ5176"/>
      <c r="FR5176"/>
      <c r="FS5176"/>
      <c r="FT5176"/>
      <c r="FU5176"/>
      <c r="FV5176"/>
      <c r="FW5176"/>
      <c r="FX5176"/>
      <c r="FY5176"/>
      <c r="FZ5176"/>
      <c r="GA5176"/>
      <c r="GB5176"/>
      <c r="GC5176"/>
      <c r="GD5176"/>
      <c r="GE5176"/>
      <c r="GF5176"/>
      <c r="GG5176"/>
      <c r="GH5176"/>
      <c r="GI5176"/>
      <c r="GJ5176"/>
      <c r="GK5176"/>
      <c r="GL5176"/>
      <c r="GM5176"/>
      <c r="GN5176"/>
      <c r="GO5176"/>
    </row>
    <row r="5177" spans="107:197">
      <c r="DC5177"/>
      <c r="FH5177"/>
      <c r="FI5177"/>
      <c r="FJ5177"/>
      <c r="FK5177"/>
      <c r="FL5177"/>
      <c r="FM5177"/>
      <c r="FN5177"/>
      <c r="FO5177"/>
      <c r="FP5177"/>
      <c r="FQ5177"/>
      <c r="FR5177"/>
      <c r="FS5177"/>
      <c r="FT5177"/>
      <c r="FU5177"/>
      <c r="FV5177"/>
      <c r="FW5177"/>
      <c r="FX5177"/>
      <c r="FY5177"/>
      <c r="FZ5177"/>
      <c r="GA5177"/>
      <c r="GB5177"/>
      <c r="GC5177"/>
      <c r="GD5177"/>
      <c r="GE5177"/>
      <c r="GF5177"/>
      <c r="GG5177"/>
      <c r="GH5177"/>
      <c r="GI5177"/>
      <c r="GJ5177"/>
      <c r="GK5177"/>
      <c r="GL5177"/>
      <c r="GM5177"/>
      <c r="GN5177"/>
      <c r="GO5177"/>
    </row>
    <row r="5178" spans="107:197">
      <c r="DC5178"/>
      <c r="FH5178"/>
      <c r="FI5178"/>
      <c r="FJ5178"/>
      <c r="FK5178"/>
      <c r="FL5178"/>
      <c r="FM5178"/>
      <c r="FN5178"/>
      <c r="FO5178"/>
      <c r="FP5178"/>
      <c r="FQ5178"/>
      <c r="FR5178"/>
      <c r="FS5178"/>
      <c r="FT5178"/>
      <c r="FU5178"/>
      <c r="FV5178"/>
      <c r="FW5178"/>
      <c r="FX5178"/>
      <c r="FY5178"/>
      <c r="FZ5178"/>
      <c r="GA5178"/>
      <c r="GB5178"/>
      <c r="GC5178"/>
      <c r="GD5178"/>
      <c r="GE5178"/>
      <c r="GF5178"/>
      <c r="GG5178"/>
      <c r="GH5178"/>
      <c r="GI5178"/>
      <c r="GJ5178"/>
      <c r="GK5178"/>
      <c r="GL5178"/>
      <c r="GM5178"/>
      <c r="GN5178"/>
      <c r="GO5178"/>
    </row>
    <row r="5179" spans="107:197">
      <c r="DC5179"/>
      <c r="FH5179"/>
      <c r="FI5179"/>
      <c r="FJ5179"/>
      <c r="FK5179"/>
      <c r="FL5179"/>
      <c r="FM5179"/>
      <c r="FN5179"/>
      <c r="FO5179"/>
      <c r="FP5179"/>
      <c r="FQ5179"/>
      <c r="FR5179"/>
      <c r="FS5179"/>
      <c r="FT5179"/>
      <c r="FU5179"/>
      <c r="FV5179"/>
      <c r="FW5179"/>
      <c r="FX5179"/>
      <c r="FY5179"/>
      <c r="FZ5179"/>
      <c r="GA5179"/>
      <c r="GB5179"/>
      <c r="GC5179"/>
      <c r="GD5179"/>
      <c r="GE5179"/>
      <c r="GF5179"/>
      <c r="GG5179"/>
      <c r="GH5179"/>
      <c r="GI5179"/>
      <c r="GJ5179"/>
      <c r="GK5179"/>
      <c r="GL5179"/>
      <c r="GM5179"/>
      <c r="GN5179"/>
      <c r="GO5179"/>
    </row>
    <row r="5180" spans="107:197">
      <c r="DC5180"/>
      <c r="FH5180"/>
      <c r="FI5180"/>
      <c r="FJ5180"/>
      <c r="FK5180"/>
      <c r="FL5180"/>
      <c r="FM5180"/>
      <c r="FN5180"/>
      <c r="FO5180"/>
      <c r="FP5180"/>
      <c r="FQ5180"/>
      <c r="FR5180"/>
      <c r="FS5180"/>
      <c r="FT5180"/>
      <c r="FU5180"/>
      <c r="FV5180"/>
      <c r="FW5180"/>
      <c r="FX5180"/>
      <c r="FY5180"/>
      <c r="FZ5180"/>
      <c r="GA5180"/>
      <c r="GB5180"/>
      <c r="GC5180"/>
      <c r="GD5180"/>
      <c r="GE5180"/>
      <c r="GF5180"/>
      <c r="GG5180"/>
      <c r="GH5180"/>
      <c r="GI5180"/>
      <c r="GJ5180"/>
      <c r="GK5180"/>
      <c r="GL5180"/>
      <c r="GM5180"/>
      <c r="GN5180"/>
      <c r="GO5180"/>
    </row>
    <row r="5181" spans="107:197">
      <c r="DC5181"/>
      <c r="FH5181"/>
      <c r="FI5181"/>
      <c r="FJ5181"/>
      <c r="FK5181"/>
      <c r="FL5181"/>
      <c r="FM5181"/>
      <c r="FN5181"/>
      <c r="FO5181"/>
      <c r="FP5181"/>
      <c r="FQ5181"/>
      <c r="FR5181"/>
      <c r="FS5181"/>
      <c r="FT5181"/>
      <c r="FU5181"/>
      <c r="FV5181"/>
      <c r="FW5181"/>
      <c r="FX5181"/>
      <c r="FY5181"/>
      <c r="FZ5181"/>
      <c r="GA5181"/>
      <c r="GB5181"/>
      <c r="GC5181"/>
      <c r="GD5181"/>
      <c r="GE5181"/>
      <c r="GF5181"/>
      <c r="GG5181"/>
      <c r="GH5181"/>
      <c r="GI5181"/>
      <c r="GJ5181"/>
      <c r="GK5181"/>
      <c r="GL5181"/>
      <c r="GM5181"/>
      <c r="GN5181"/>
      <c r="GO5181"/>
    </row>
    <row r="5182" spans="107:197">
      <c r="DC5182"/>
      <c r="FH5182"/>
      <c r="FI5182"/>
      <c r="FJ5182"/>
      <c r="FK5182"/>
      <c r="FL5182"/>
      <c r="FM5182"/>
      <c r="FN5182"/>
      <c r="FO5182"/>
      <c r="FP5182"/>
      <c r="FQ5182"/>
      <c r="FR5182"/>
      <c r="FS5182"/>
      <c r="FT5182"/>
      <c r="FU5182"/>
      <c r="FV5182"/>
      <c r="FW5182"/>
      <c r="FX5182"/>
      <c r="FY5182"/>
      <c r="FZ5182"/>
      <c r="GA5182"/>
      <c r="GB5182"/>
      <c r="GC5182"/>
      <c r="GD5182"/>
      <c r="GE5182"/>
      <c r="GF5182"/>
      <c r="GG5182"/>
      <c r="GH5182"/>
      <c r="GI5182"/>
      <c r="GJ5182"/>
      <c r="GK5182"/>
      <c r="GL5182"/>
      <c r="GM5182"/>
      <c r="GN5182"/>
      <c r="GO5182"/>
    </row>
    <row r="5183" spans="107:197">
      <c r="DC5183"/>
      <c r="FH5183"/>
      <c r="FI5183"/>
      <c r="FJ5183"/>
      <c r="FK5183"/>
      <c r="FL5183"/>
      <c r="FM5183"/>
      <c r="FN5183"/>
      <c r="FO5183"/>
      <c r="FP5183"/>
      <c r="FQ5183"/>
      <c r="FR5183"/>
      <c r="FS5183"/>
      <c r="FT5183"/>
      <c r="FU5183"/>
      <c r="FV5183"/>
      <c r="FW5183"/>
      <c r="FX5183"/>
      <c r="FY5183"/>
      <c r="FZ5183"/>
      <c r="GA5183"/>
      <c r="GB5183"/>
      <c r="GC5183"/>
      <c r="GD5183"/>
      <c r="GE5183"/>
      <c r="GF5183"/>
      <c r="GG5183"/>
      <c r="GH5183"/>
      <c r="GI5183"/>
      <c r="GJ5183"/>
      <c r="GK5183"/>
      <c r="GL5183"/>
      <c r="GM5183"/>
      <c r="GN5183"/>
      <c r="GO5183"/>
    </row>
    <row r="5184" spans="107:197">
      <c r="DC5184"/>
      <c r="FH5184"/>
      <c r="FI5184"/>
      <c r="FJ5184"/>
      <c r="FK5184"/>
      <c r="FL5184"/>
      <c r="FM5184"/>
      <c r="FN5184"/>
      <c r="FO5184"/>
      <c r="FP5184"/>
      <c r="FQ5184"/>
      <c r="FR5184"/>
      <c r="FS5184"/>
      <c r="FT5184"/>
      <c r="FU5184"/>
      <c r="FV5184"/>
      <c r="FW5184"/>
      <c r="FX5184"/>
      <c r="FY5184"/>
      <c r="FZ5184"/>
      <c r="GA5184"/>
      <c r="GB5184"/>
      <c r="GC5184"/>
      <c r="GD5184"/>
      <c r="GE5184"/>
      <c r="GF5184"/>
      <c r="GG5184"/>
      <c r="GH5184"/>
      <c r="GI5184"/>
      <c r="GJ5184"/>
      <c r="GK5184"/>
      <c r="GL5184"/>
      <c r="GM5184"/>
      <c r="GN5184"/>
      <c r="GO5184"/>
    </row>
    <row r="5185" spans="107:197">
      <c r="DC5185"/>
      <c r="FH5185"/>
      <c r="FI5185"/>
      <c r="FJ5185"/>
      <c r="FK5185"/>
      <c r="FL5185"/>
      <c r="FM5185"/>
      <c r="FN5185"/>
      <c r="FO5185"/>
      <c r="FP5185"/>
      <c r="FQ5185"/>
      <c r="FR5185"/>
      <c r="FS5185"/>
      <c r="FT5185"/>
      <c r="FU5185"/>
      <c r="FV5185"/>
      <c r="FW5185"/>
      <c r="FX5185"/>
      <c r="FY5185"/>
      <c r="FZ5185"/>
      <c r="GA5185"/>
      <c r="GB5185"/>
      <c r="GC5185"/>
      <c r="GD5185"/>
      <c r="GE5185"/>
      <c r="GF5185"/>
      <c r="GG5185"/>
      <c r="GH5185"/>
      <c r="GI5185"/>
      <c r="GJ5185"/>
      <c r="GK5185"/>
      <c r="GL5185"/>
      <c r="GM5185"/>
      <c r="GN5185"/>
      <c r="GO5185"/>
    </row>
    <row r="5186" spans="107:197">
      <c r="DC5186"/>
      <c r="FH5186"/>
      <c r="FI5186"/>
      <c r="FJ5186"/>
      <c r="FK5186"/>
      <c r="FL5186"/>
      <c r="FM5186"/>
      <c r="FN5186"/>
      <c r="FO5186"/>
      <c r="FP5186"/>
      <c r="FQ5186"/>
      <c r="FR5186"/>
      <c r="FS5186"/>
      <c r="FT5186"/>
      <c r="FU5186"/>
      <c r="FV5186"/>
      <c r="FW5186"/>
      <c r="FX5186"/>
      <c r="FY5186"/>
      <c r="FZ5186"/>
      <c r="GA5186"/>
      <c r="GB5186"/>
      <c r="GC5186"/>
      <c r="GD5186"/>
      <c r="GE5186"/>
      <c r="GF5186"/>
      <c r="GG5186"/>
      <c r="GH5186"/>
      <c r="GI5186"/>
      <c r="GJ5186"/>
      <c r="GK5186"/>
      <c r="GL5186"/>
      <c r="GM5186"/>
      <c r="GN5186"/>
      <c r="GO5186"/>
    </row>
    <row r="5187" spans="107:197">
      <c r="DC5187"/>
      <c r="FH5187"/>
      <c r="FI5187"/>
      <c r="FJ5187"/>
      <c r="FK5187"/>
      <c r="FL5187"/>
      <c r="FM5187"/>
      <c r="FN5187"/>
      <c r="FO5187"/>
      <c r="FP5187"/>
      <c r="FQ5187"/>
      <c r="FR5187"/>
      <c r="FS5187"/>
      <c r="FT5187"/>
      <c r="FU5187"/>
      <c r="FV5187"/>
      <c r="FW5187"/>
      <c r="FX5187"/>
      <c r="FY5187"/>
      <c r="FZ5187"/>
      <c r="GA5187"/>
      <c r="GB5187"/>
      <c r="GC5187"/>
      <c r="GD5187"/>
      <c r="GE5187"/>
      <c r="GF5187"/>
      <c r="GG5187"/>
      <c r="GH5187"/>
      <c r="GI5187"/>
      <c r="GJ5187"/>
      <c r="GK5187"/>
      <c r="GL5187"/>
      <c r="GM5187"/>
      <c r="GN5187"/>
      <c r="GO5187"/>
    </row>
    <row r="5188" spans="107:197">
      <c r="DC5188"/>
      <c r="FH5188"/>
      <c r="FI5188"/>
      <c r="FJ5188"/>
      <c r="FK5188"/>
      <c r="FL5188"/>
      <c r="FM5188"/>
      <c r="FN5188"/>
      <c r="FO5188"/>
      <c r="FP5188"/>
      <c r="FQ5188"/>
      <c r="FR5188"/>
      <c r="FS5188"/>
      <c r="FT5188"/>
      <c r="FU5188"/>
      <c r="FV5188"/>
      <c r="FW5188"/>
      <c r="FX5188"/>
      <c r="FY5188"/>
      <c r="FZ5188"/>
      <c r="GA5188"/>
      <c r="GB5188"/>
      <c r="GC5188"/>
      <c r="GD5188"/>
      <c r="GE5188"/>
      <c r="GF5188"/>
      <c r="GG5188"/>
      <c r="GH5188"/>
      <c r="GI5188"/>
      <c r="GJ5188"/>
      <c r="GK5188"/>
      <c r="GL5188"/>
      <c r="GM5188"/>
      <c r="GN5188"/>
      <c r="GO5188"/>
    </row>
    <row r="5189" spans="107:197">
      <c r="DC5189"/>
      <c r="FH5189"/>
      <c r="FI5189"/>
      <c r="FJ5189"/>
      <c r="FK5189"/>
      <c r="FL5189"/>
      <c r="FM5189"/>
      <c r="FN5189"/>
      <c r="FO5189"/>
      <c r="FP5189"/>
      <c r="FQ5189"/>
      <c r="FR5189"/>
      <c r="FS5189"/>
      <c r="FT5189"/>
      <c r="FU5189"/>
      <c r="FV5189"/>
      <c r="FW5189"/>
      <c r="FX5189"/>
      <c r="FY5189"/>
      <c r="FZ5189"/>
      <c r="GA5189"/>
      <c r="GB5189"/>
      <c r="GC5189"/>
      <c r="GD5189"/>
      <c r="GE5189"/>
      <c r="GF5189"/>
      <c r="GG5189"/>
      <c r="GH5189"/>
      <c r="GI5189"/>
      <c r="GJ5189"/>
      <c r="GK5189"/>
      <c r="GL5189"/>
      <c r="GM5189"/>
      <c r="GN5189"/>
      <c r="GO5189"/>
    </row>
    <row r="5190" spans="107:197">
      <c r="DC5190"/>
      <c r="FH5190"/>
      <c r="FI5190"/>
      <c r="FJ5190"/>
      <c r="FK5190"/>
      <c r="FL5190"/>
      <c r="FM5190"/>
      <c r="FN5190"/>
      <c r="FO5190"/>
      <c r="FP5190"/>
      <c r="FQ5190"/>
      <c r="FR5190"/>
      <c r="FS5190"/>
      <c r="FT5190"/>
      <c r="FU5190"/>
      <c r="FV5190"/>
      <c r="FW5190"/>
      <c r="FX5190"/>
      <c r="FY5190"/>
      <c r="FZ5190"/>
      <c r="GA5190"/>
      <c r="GB5190"/>
      <c r="GC5190"/>
      <c r="GD5190"/>
      <c r="GE5190"/>
      <c r="GF5190"/>
      <c r="GG5190"/>
      <c r="GH5190"/>
      <c r="GI5190"/>
      <c r="GJ5190"/>
      <c r="GK5190"/>
      <c r="GL5190"/>
      <c r="GM5190"/>
      <c r="GN5190"/>
      <c r="GO5190"/>
    </row>
    <row r="5191" spans="107:197">
      <c r="DC5191"/>
      <c r="FH5191"/>
      <c r="FI5191"/>
      <c r="FJ5191"/>
      <c r="FK5191"/>
      <c r="FL5191"/>
      <c r="FM5191"/>
      <c r="FN5191"/>
      <c r="FO5191"/>
      <c r="FP5191"/>
      <c r="FQ5191"/>
      <c r="FR5191"/>
      <c r="FS5191"/>
      <c r="FT5191"/>
      <c r="FU5191"/>
      <c r="FV5191"/>
      <c r="FW5191"/>
      <c r="FX5191"/>
      <c r="FY5191"/>
      <c r="FZ5191"/>
      <c r="GA5191"/>
      <c r="GB5191"/>
      <c r="GC5191"/>
      <c r="GD5191"/>
      <c r="GE5191"/>
      <c r="GF5191"/>
      <c r="GG5191"/>
      <c r="GH5191"/>
      <c r="GI5191"/>
      <c r="GJ5191"/>
      <c r="GK5191"/>
      <c r="GL5191"/>
      <c r="GM5191"/>
      <c r="GN5191"/>
      <c r="GO5191"/>
    </row>
    <row r="5192" spans="107:197">
      <c r="DC5192"/>
      <c r="FH5192"/>
      <c r="FI5192"/>
      <c r="FJ5192"/>
      <c r="FK5192"/>
      <c r="FL5192"/>
      <c r="FM5192"/>
      <c r="FN5192"/>
      <c r="FO5192"/>
      <c r="FP5192"/>
      <c r="FQ5192"/>
      <c r="FR5192"/>
      <c r="FS5192"/>
      <c r="FT5192"/>
      <c r="FU5192"/>
      <c r="FV5192"/>
      <c r="FW5192"/>
      <c r="FX5192"/>
      <c r="FY5192"/>
      <c r="FZ5192"/>
      <c r="GA5192"/>
      <c r="GB5192"/>
      <c r="GC5192"/>
      <c r="GD5192"/>
      <c r="GE5192"/>
      <c r="GF5192"/>
      <c r="GG5192"/>
      <c r="GH5192"/>
      <c r="GI5192"/>
      <c r="GJ5192"/>
      <c r="GK5192"/>
      <c r="GL5192"/>
      <c r="GM5192"/>
      <c r="GN5192"/>
      <c r="GO5192"/>
    </row>
    <row r="5193" spans="107:197">
      <c r="DC5193"/>
      <c r="FH5193"/>
      <c r="FI5193"/>
      <c r="FJ5193"/>
      <c r="FK5193"/>
      <c r="FL5193"/>
      <c r="FM5193"/>
      <c r="FN5193"/>
      <c r="FO5193"/>
      <c r="FP5193"/>
      <c r="FQ5193"/>
      <c r="FR5193"/>
      <c r="FS5193"/>
      <c r="FT5193"/>
      <c r="FU5193"/>
      <c r="FV5193"/>
      <c r="FW5193"/>
      <c r="FX5193"/>
      <c r="FY5193"/>
      <c r="FZ5193"/>
      <c r="GA5193"/>
      <c r="GB5193"/>
      <c r="GC5193"/>
      <c r="GD5193"/>
      <c r="GE5193"/>
      <c r="GF5193"/>
      <c r="GG5193"/>
      <c r="GH5193"/>
      <c r="GI5193"/>
      <c r="GJ5193"/>
      <c r="GK5193"/>
      <c r="GL5193"/>
      <c r="GM5193"/>
      <c r="GN5193"/>
      <c r="GO5193"/>
    </row>
    <row r="5194" spans="107:197">
      <c r="DC5194"/>
      <c r="FH5194"/>
      <c r="FI5194"/>
      <c r="FJ5194"/>
      <c r="FK5194"/>
      <c r="FL5194"/>
      <c r="FM5194"/>
      <c r="FN5194"/>
      <c r="FO5194"/>
      <c r="FP5194"/>
      <c r="FQ5194"/>
      <c r="FR5194"/>
      <c r="FS5194"/>
      <c r="FT5194"/>
      <c r="FU5194"/>
      <c r="FV5194"/>
      <c r="FW5194"/>
      <c r="FX5194"/>
      <c r="FY5194"/>
      <c r="FZ5194"/>
      <c r="GA5194"/>
      <c r="GB5194"/>
      <c r="GC5194"/>
      <c r="GD5194"/>
      <c r="GE5194"/>
      <c r="GF5194"/>
      <c r="GG5194"/>
      <c r="GH5194"/>
      <c r="GI5194"/>
      <c r="GJ5194"/>
      <c r="GK5194"/>
      <c r="GL5194"/>
      <c r="GM5194"/>
      <c r="GN5194"/>
      <c r="GO5194"/>
    </row>
    <row r="5195" spans="107:197">
      <c r="DC5195"/>
      <c r="FH5195"/>
      <c r="FI5195"/>
      <c r="FJ5195"/>
      <c r="FK5195"/>
      <c r="FL5195"/>
      <c r="FM5195"/>
      <c r="FN5195"/>
      <c r="FO5195"/>
      <c r="FP5195"/>
      <c r="FQ5195"/>
      <c r="FR5195"/>
      <c r="FS5195"/>
      <c r="FT5195"/>
      <c r="FU5195"/>
      <c r="FV5195"/>
      <c r="FW5195"/>
      <c r="FX5195"/>
      <c r="FY5195"/>
      <c r="FZ5195"/>
      <c r="GA5195"/>
      <c r="GB5195"/>
      <c r="GC5195"/>
      <c r="GD5195"/>
      <c r="GE5195"/>
      <c r="GF5195"/>
      <c r="GG5195"/>
      <c r="GH5195"/>
      <c r="GI5195"/>
      <c r="GJ5195"/>
      <c r="GK5195"/>
      <c r="GL5195"/>
      <c r="GM5195"/>
      <c r="GN5195"/>
      <c r="GO5195"/>
    </row>
    <row r="5196" spans="107:197">
      <c r="DC5196"/>
      <c r="FH5196"/>
      <c r="FI5196"/>
      <c r="FJ5196"/>
      <c r="FK5196"/>
      <c r="FL5196"/>
      <c r="FM5196"/>
      <c r="FN5196"/>
      <c r="FO5196"/>
      <c r="FP5196"/>
      <c r="FQ5196"/>
      <c r="FR5196"/>
      <c r="FS5196"/>
      <c r="FT5196"/>
      <c r="FU5196"/>
      <c r="FV5196"/>
      <c r="FW5196"/>
      <c r="FX5196"/>
      <c r="FY5196"/>
      <c r="FZ5196"/>
      <c r="GA5196"/>
      <c r="GB5196"/>
      <c r="GC5196"/>
      <c r="GD5196"/>
      <c r="GE5196"/>
      <c r="GF5196"/>
      <c r="GG5196"/>
      <c r="GH5196"/>
      <c r="GI5196"/>
      <c r="GJ5196"/>
      <c r="GK5196"/>
      <c r="GL5196"/>
      <c r="GM5196"/>
      <c r="GN5196"/>
      <c r="GO5196"/>
    </row>
    <row r="5197" spans="107:197">
      <c r="DC5197"/>
      <c r="FH5197"/>
      <c r="FI5197"/>
      <c r="FJ5197"/>
      <c r="FK5197"/>
      <c r="FL5197"/>
      <c r="FM5197"/>
      <c r="FN5197"/>
      <c r="FO5197"/>
      <c r="FP5197"/>
      <c r="FQ5197"/>
      <c r="FR5197"/>
      <c r="FS5197"/>
      <c r="FT5197"/>
      <c r="FU5197"/>
      <c r="FV5197"/>
      <c r="FW5197"/>
      <c r="FX5197"/>
      <c r="FY5197"/>
      <c r="FZ5197"/>
      <c r="GA5197"/>
      <c r="GB5197"/>
      <c r="GC5197"/>
      <c r="GD5197"/>
      <c r="GE5197"/>
      <c r="GF5197"/>
      <c r="GG5197"/>
      <c r="GH5197"/>
      <c r="GI5197"/>
      <c r="GJ5197"/>
      <c r="GK5197"/>
      <c r="GL5197"/>
      <c r="GM5197"/>
      <c r="GN5197"/>
      <c r="GO5197"/>
    </row>
    <row r="5198" spans="107:197">
      <c r="DC5198"/>
      <c r="FH5198"/>
      <c r="FI5198"/>
      <c r="FJ5198"/>
      <c r="FK5198"/>
      <c r="FL5198"/>
      <c r="FM5198"/>
      <c r="FN5198"/>
      <c r="FO5198"/>
      <c r="FP5198"/>
      <c r="FQ5198"/>
      <c r="FR5198"/>
      <c r="FS5198"/>
      <c r="FT5198"/>
      <c r="FU5198"/>
      <c r="FV5198"/>
      <c r="FW5198"/>
      <c r="FX5198"/>
      <c r="FY5198"/>
      <c r="FZ5198"/>
      <c r="GA5198"/>
      <c r="GB5198"/>
      <c r="GC5198"/>
      <c r="GD5198"/>
      <c r="GE5198"/>
      <c r="GF5198"/>
      <c r="GG5198"/>
      <c r="GH5198"/>
      <c r="GI5198"/>
      <c r="GJ5198"/>
      <c r="GK5198"/>
      <c r="GL5198"/>
      <c r="GM5198"/>
      <c r="GN5198"/>
      <c r="GO5198"/>
    </row>
    <row r="5199" spans="107:197">
      <c r="DC5199"/>
      <c r="FH5199"/>
      <c r="FI5199"/>
      <c r="FJ5199"/>
      <c r="FK5199"/>
      <c r="FL5199"/>
      <c r="FM5199"/>
      <c r="FN5199"/>
      <c r="FO5199"/>
      <c r="FP5199"/>
      <c r="FQ5199"/>
      <c r="FR5199"/>
      <c r="FS5199"/>
      <c r="FT5199"/>
      <c r="FU5199"/>
      <c r="FV5199"/>
      <c r="FW5199"/>
      <c r="FX5199"/>
      <c r="FY5199"/>
      <c r="FZ5199"/>
      <c r="GA5199"/>
      <c r="GB5199"/>
      <c r="GC5199"/>
      <c r="GD5199"/>
      <c r="GE5199"/>
      <c r="GF5199"/>
      <c r="GG5199"/>
      <c r="GH5199"/>
      <c r="GI5199"/>
      <c r="GJ5199"/>
      <c r="GK5199"/>
      <c r="GL5199"/>
      <c r="GM5199"/>
      <c r="GN5199"/>
      <c r="GO5199"/>
    </row>
    <row r="5200" spans="107:197">
      <c r="DC5200"/>
      <c r="FH5200"/>
      <c r="FI5200"/>
      <c r="FJ5200"/>
      <c r="FK5200"/>
      <c r="FL5200"/>
      <c r="FM5200"/>
      <c r="FN5200"/>
      <c r="FO5200"/>
      <c r="FP5200"/>
      <c r="FQ5200"/>
      <c r="FR5200"/>
      <c r="FS5200"/>
      <c r="FT5200"/>
      <c r="FU5200"/>
      <c r="FV5200"/>
      <c r="FW5200"/>
      <c r="FX5200"/>
      <c r="FY5200"/>
      <c r="FZ5200"/>
      <c r="GA5200"/>
      <c r="GB5200"/>
      <c r="GC5200"/>
      <c r="GD5200"/>
      <c r="GE5200"/>
      <c r="GF5200"/>
      <c r="GG5200"/>
      <c r="GH5200"/>
      <c r="GI5200"/>
      <c r="GJ5200"/>
      <c r="GK5200"/>
      <c r="GL5200"/>
      <c r="GM5200"/>
      <c r="GN5200"/>
      <c r="GO5200"/>
    </row>
    <row r="5201" spans="107:197">
      <c r="DC5201"/>
      <c r="FH5201"/>
      <c r="FI5201"/>
      <c r="FJ5201"/>
      <c r="FK5201"/>
      <c r="FL5201"/>
      <c r="FM5201"/>
      <c r="FN5201"/>
      <c r="FO5201"/>
      <c r="FP5201"/>
      <c r="FQ5201"/>
      <c r="FR5201"/>
      <c r="FS5201"/>
      <c r="FT5201"/>
      <c r="FU5201"/>
      <c r="FV5201"/>
      <c r="FW5201"/>
      <c r="FX5201"/>
      <c r="FY5201"/>
      <c r="FZ5201"/>
      <c r="GA5201"/>
      <c r="GB5201"/>
      <c r="GC5201"/>
      <c r="GD5201"/>
      <c r="GE5201"/>
      <c r="GF5201"/>
      <c r="GG5201"/>
      <c r="GH5201"/>
      <c r="GI5201"/>
      <c r="GJ5201"/>
      <c r="GK5201"/>
      <c r="GL5201"/>
      <c r="GM5201"/>
      <c r="GN5201"/>
      <c r="GO5201"/>
    </row>
    <row r="5202" spans="107:197">
      <c r="DC5202"/>
      <c r="FH5202"/>
      <c r="FI5202"/>
      <c r="FJ5202"/>
      <c r="FK5202"/>
      <c r="FL5202"/>
      <c r="FM5202"/>
      <c r="FN5202"/>
      <c r="FO5202"/>
      <c r="FP5202"/>
      <c r="FQ5202"/>
      <c r="FR5202"/>
      <c r="FS5202"/>
      <c r="FT5202"/>
      <c r="FU5202"/>
      <c r="FV5202"/>
      <c r="FW5202"/>
      <c r="FX5202"/>
      <c r="FY5202"/>
      <c r="FZ5202"/>
      <c r="GA5202"/>
      <c r="GB5202"/>
      <c r="GC5202"/>
      <c r="GD5202"/>
      <c r="GE5202"/>
      <c r="GF5202"/>
      <c r="GG5202"/>
      <c r="GH5202"/>
      <c r="GI5202"/>
      <c r="GJ5202"/>
      <c r="GK5202"/>
      <c r="GL5202"/>
      <c r="GM5202"/>
      <c r="GN5202"/>
      <c r="GO5202"/>
    </row>
    <row r="5203" spans="107:197">
      <c r="DC5203"/>
      <c r="FH5203"/>
      <c r="FI5203"/>
      <c r="FJ5203"/>
      <c r="FK5203"/>
      <c r="FL5203"/>
      <c r="FM5203"/>
      <c r="FN5203"/>
      <c r="FO5203"/>
      <c r="FP5203"/>
      <c r="FQ5203"/>
      <c r="FR5203"/>
      <c r="FS5203"/>
      <c r="FT5203"/>
      <c r="FU5203"/>
      <c r="FV5203"/>
      <c r="FW5203"/>
      <c r="FX5203"/>
      <c r="FY5203"/>
      <c r="FZ5203"/>
      <c r="GA5203"/>
      <c r="GB5203"/>
      <c r="GC5203"/>
      <c r="GD5203"/>
      <c r="GE5203"/>
      <c r="GF5203"/>
      <c r="GG5203"/>
      <c r="GH5203"/>
      <c r="GI5203"/>
      <c r="GJ5203"/>
      <c r="GK5203"/>
      <c r="GL5203"/>
      <c r="GM5203"/>
      <c r="GN5203"/>
      <c r="GO5203"/>
    </row>
    <row r="5204" spans="107:197">
      <c r="DC5204"/>
      <c r="FH5204"/>
      <c r="FI5204"/>
      <c r="FJ5204"/>
      <c r="FK5204"/>
      <c r="FL5204"/>
      <c r="FM5204"/>
      <c r="FN5204"/>
      <c r="FO5204"/>
      <c r="FP5204"/>
      <c r="FQ5204"/>
      <c r="FR5204"/>
      <c r="FS5204"/>
      <c r="FT5204"/>
      <c r="FU5204"/>
      <c r="FV5204"/>
      <c r="FW5204"/>
      <c r="FX5204"/>
      <c r="FY5204"/>
      <c r="FZ5204"/>
      <c r="GA5204"/>
      <c r="GB5204"/>
      <c r="GC5204"/>
      <c r="GD5204"/>
      <c r="GE5204"/>
      <c r="GF5204"/>
      <c r="GG5204"/>
      <c r="GH5204"/>
      <c r="GI5204"/>
      <c r="GJ5204"/>
      <c r="GK5204"/>
      <c r="GL5204"/>
      <c r="GM5204"/>
      <c r="GN5204"/>
      <c r="GO5204"/>
    </row>
    <row r="5205" spans="107:197">
      <c r="DC5205"/>
      <c r="FH5205"/>
      <c r="FI5205"/>
      <c r="FJ5205"/>
      <c r="FK5205"/>
      <c r="FL5205"/>
      <c r="FM5205"/>
      <c r="FN5205"/>
      <c r="FO5205"/>
      <c r="FP5205"/>
      <c r="FQ5205"/>
      <c r="FR5205"/>
      <c r="FS5205"/>
      <c r="FT5205"/>
      <c r="FU5205"/>
      <c r="FV5205"/>
      <c r="FW5205"/>
      <c r="FX5205"/>
      <c r="FY5205"/>
      <c r="FZ5205"/>
      <c r="GA5205"/>
      <c r="GB5205"/>
      <c r="GC5205"/>
      <c r="GD5205"/>
      <c r="GE5205"/>
      <c r="GF5205"/>
      <c r="GG5205"/>
      <c r="GH5205"/>
      <c r="GI5205"/>
      <c r="GJ5205"/>
      <c r="GK5205"/>
      <c r="GL5205"/>
      <c r="GM5205"/>
      <c r="GN5205"/>
      <c r="GO5205"/>
    </row>
    <row r="5206" spans="107:197">
      <c r="DC5206"/>
      <c r="FH5206"/>
      <c r="FI5206"/>
      <c r="FJ5206"/>
      <c r="FK5206"/>
      <c r="FL5206"/>
      <c r="FM5206"/>
      <c r="FN5206"/>
      <c r="FO5206"/>
      <c r="FP5206"/>
      <c r="FQ5206"/>
      <c r="FR5206"/>
      <c r="FS5206"/>
      <c r="FT5206"/>
      <c r="FU5206"/>
      <c r="FV5206"/>
      <c r="FW5206"/>
      <c r="FX5206"/>
      <c r="FY5206"/>
      <c r="FZ5206"/>
      <c r="GA5206"/>
      <c r="GB5206"/>
      <c r="GC5206"/>
      <c r="GD5206"/>
      <c r="GE5206"/>
      <c r="GF5206"/>
      <c r="GG5206"/>
      <c r="GH5206"/>
      <c r="GI5206"/>
      <c r="GJ5206"/>
      <c r="GK5206"/>
      <c r="GL5206"/>
      <c r="GM5206"/>
      <c r="GN5206"/>
      <c r="GO5206"/>
    </row>
    <row r="5207" spans="107:197">
      <c r="DC5207"/>
      <c r="FH5207"/>
      <c r="FI5207"/>
      <c r="FJ5207"/>
      <c r="FK5207"/>
      <c r="FL5207"/>
      <c r="FM5207"/>
      <c r="FN5207"/>
      <c r="FO5207"/>
      <c r="FP5207"/>
      <c r="FQ5207"/>
      <c r="FR5207"/>
      <c r="FS5207"/>
      <c r="FT5207"/>
      <c r="FU5207"/>
      <c r="FV5207"/>
      <c r="FW5207"/>
      <c r="FX5207"/>
      <c r="FY5207"/>
      <c r="FZ5207"/>
      <c r="GA5207"/>
      <c r="GB5207"/>
      <c r="GC5207"/>
      <c r="GD5207"/>
      <c r="GE5207"/>
      <c r="GF5207"/>
      <c r="GG5207"/>
      <c r="GH5207"/>
      <c r="GI5207"/>
      <c r="GJ5207"/>
      <c r="GK5207"/>
      <c r="GL5207"/>
      <c r="GM5207"/>
      <c r="GN5207"/>
      <c r="GO5207"/>
    </row>
    <row r="5208" spans="107:197">
      <c r="DC5208"/>
      <c r="FH5208"/>
      <c r="FI5208"/>
      <c r="FJ5208"/>
      <c r="FK5208"/>
      <c r="FL5208"/>
      <c r="FM5208"/>
      <c r="FN5208"/>
      <c r="FO5208"/>
      <c r="FP5208"/>
      <c r="FQ5208"/>
      <c r="FR5208"/>
      <c r="FS5208"/>
      <c r="FT5208"/>
      <c r="FU5208"/>
      <c r="FV5208"/>
      <c r="FW5208"/>
      <c r="FX5208"/>
      <c r="FY5208"/>
      <c r="FZ5208"/>
      <c r="GA5208"/>
      <c r="GB5208"/>
      <c r="GC5208"/>
      <c r="GD5208"/>
      <c r="GE5208"/>
      <c r="GF5208"/>
      <c r="GG5208"/>
      <c r="GH5208"/>
      <c r="GI5208"/>
      <c r="GJ5208"/>
      <c r="GK5208"/>
      <c r="GL5208"/>
      <c r="GM5208"/>
      <c r="GN5208"/>
      <c r="GO5208"/>
    </row>
    <row r="5209" spans="107:197">
      <c r="DC5209"/>
      <c r="FH5209"/>
      <c r="FI5209"/>
      <c r="FJ5209"/>
      <c r="FK5209"/>
      <c r="FL5209"/>
      <c r="FM5209"/>
      <c r="FN5209"/>
      <c r="FO5209"/>
      <c r="FP5209"/>
      <c r="FQ5209"/>
      <c r="FR5209"/>
      <c r="FS5209"/>
      <c r="FT5209"/>
      <c r="FU5209"/>
      <c r="FV5209"/>
      <c r="FW5209"/>
      <c r="FX5209"/>
      <c r="FY5209"/>
      <c r="FZ5209"/>
      <c r="GA5209"/>
      <c r="GB5209"/>
      <c r="GC5209"/>
      <c r="GD5209"/>
      <c r="GE5209"/>
      <c r="GF5209"/>
      <c r="GG5209"/>
      <c r="GH5209"/>
      <c r="GI5209"/>
      <c r="GJ5209"/>
      <c r="GK5209"/>
      <c r="GL5209"/>
      <c r="GM5209"/>
      <c r="GN5209"/>
      <c r="GO5209"/>
    </row>
    <row r="5210" spans="107:197">
      <c r="DC5210"/>
      <c r="FH5210"/>
      <c r="FI5210"/>
      <c r="FJ5210"/>
      <c r="FK5210"/>
      <c r="FL5210"/>
      <c r="FM5210"/>
      <c r="FN5210"/>
      <c r="FO5210"/>
      <c r="FP5210"/>
      <c r="FQ5210"/>
      <c r="FR5210"/>
      <c r="FS5210"/>
      <c r="FT5210"/>
      <c r="FU5210"/>
      <c r="FV5210"/>
      <c r="FW5210"/>
      <c r="FX5210"/>
      <c r="FY5210"/>
      <c r="FZ5210"/>
      <c r="GA5210"/>
      <c r="GB5210"/>
      <c r="GC5210"/>
      <c r="GD5210"/>
      <c r="GE5210"/>
      <c r="GF5210"/>
      <c r="GG5210"/>
      <c r="GH5210"/>
      <c r="GI5210"/>
      <c r="GJ5210"/>
      <c r="GK5210"/>
      <c r="GL5210"/>
      <c r="GM5210"/>
      <c r="GN5210"/>
      <c r="GO5210"/>
    </row>
    <row r="5211" spans="107:197">
      <c r="DC5211"/>
      <c r="FH5211"/>
      <c r="FI5211"/>
      <c r="FJ5211"/>
      <c r="FK5211"/>
      <c r="FL5211"/>
      <c r="FM5211"/>
      <c r="FN5211"/>
      <c r="FO5211"/>
      <c r="FP5211"/>
      <c r="FQ5211"/>
      <c r="FR5211"/>
      <c r="FS5211"/>
      <c r="FT5211"/>
      <c r="FU5211"/>
      <c r="FV5211"/>
      <c r="FW5211"/>
      <c r="FX5211"/>
      <c r="FY5211"/>
      <c r="FZ5211"/>
      <c r="GA5211"/>
      <c r="GB5211"/>
      <c r="GC5211"/>
      <c r="GD5211"/>
      <c r="GE5211"/>
      <c r="GF5211"/>
      <c r="GG5211"/>
      <c r="GH5211"/>
      <c r="GI5211"/>
      <c r="GJ5211"/>
      <c r="GK5211"/>
      <c r="GL5211"/>
      <c r="GM5211"/>
      <c r="GN5211"/>
      <c r="GO5211"/>
    </row>
    <row r="5212" spans="107:197">
      <c r="DC5212"/>
      <c r="FH5212"/>
      <c r="FI5212"/>
      <c r="FJ5212"/>
      <c r="FK5212"/>
      <c r="FL5212"/>
      <c r="FM5212"/>
      <c r="FN5212"/>
      <c r="FO5212"/>
      <c r="FP5212"/>
      <c r="FQ5212"/>
      <c r="FR5212"/>
      <c r="FS5212"/>
      <c r="FT5212"/>
      <c r="FU5212"/>
      <c r="FV5212"/>
      <c r="FW5212"/>
      <c r="FX5212"/>
      <c r="FY5212"/>
      <c r="FZ5212"/>
      <c r="GA5212"/>
      <c r="GB5212"/>
      <c r="GC5212"/>
      <c r="GD5212"/>
      <c r="GE5212"/>
      <c r="GF5212"/>
      <c r="GG5212"/>
      <c r="GH5212"/>
      <c r="GI5212"/>
      <c r="GJ5212"/>
      <c r="GK5212"/>
      <c r="GL5212"/>
      <c r="GM5212"/>
      <c r="GN5212"/>
      <c r="GO5212"/>
    </row>
    <row r="5213" spans="107:197">
      <c r="DC5213"/>
      <c r="FH5213"/>
      <c r="FI5213"/>
      <c r="FJ5213"/>
      <c r="FK5213"/>
      <c r="FL5213"/>
      <c r="FM5213"/>
      <c r="FN5213"/>
      <c r="FO5213"/>
      <c r="FP5213"/>
      <c r="FQ5213"/>
      <c r="FR5213"/>
      <c r="FS5213"/>
      <c r="FT5213"/>
      <c r="FU5213"/>
      <c r="FV5213"/>
      <c r="FW5213"/>
      <c r="FX5213"/>
      <c r="FY5213"/>
      <c r="FZ5213"/>
      <c r="GA5213"/>
      <c r="GB5213"/>
      <c r="GC5213"/>
      <c r="GD5213"/>
      <c r="GE5213"/>
      <c r="GF5213"/>
      <c r="GG5213"/>
      <c r="GH5213"/>
      <c r="GI5213"/>
      <c r="GJ5213"/>
      <c r="GK5213"/>
      <c r="GL5213"/>
      <c r="GM5213"/>
      <c r="GN5213"/>
      <c r="GO5213"/>
    </row>
    <row r="5214" spans="107:197">
      <c r="DC5214"/>
      <c r="FH5214"/>
      <c r="FI5214"/>
      <c r="FJ5214"/>
      <c r="FK5214"/>
      <c r="FL5214"/>
      <c r="FM5214"/>
      <c r="FN5214"/>
      <c r="FO5214"/>
      <c r="FP5214"/>
      <c r="FQ5214"/>
      <c r="FR5214"/>
      <c r="FS5214"/>
      <c r="FT5214"/>
      <c r="FU5214"/>
      <c r="FV5214"/>
      <c r="FW5214"/>
      <c r="FX5214"/>
      <c r="FY5214"/>
      <c r="FZ5214"/>
      <c r="GA5214"/>
      <c r="GB5214"/>
      <c r="GC5214"/>
      <c r="GD5214"/>
      <c r="GE5214"/>
      <c r="GF5214"/>
      <c r="GG5214"/>
      <c r="GH5214"/>
      <c r="GI5214"/>
      <c r="GJ5214"/>
      <c r="GK5214"/>
      <c r="GL5214"/>
      <c r="GM5214"/>
      <c r="GN5214"/>
      <c r="GO5214"/>
    </row>
    <row r="5215" spans="107:197">
      <c r="DC5215"/>
      <c r="FH5215"/>
      <c r="FI5215"/>
      <c r="FJ5215"/>
      <c r="FK5215"/>
      <c r="FL5215"/>
      <c r="FM5215"/>
      <c r="FN5215"/>
      <c r="FO5215"/>
      <c r="FP5215"/>
      <c r="FQ5215"/>
      <c r="FR5215"/>
      <c r="FS5215"/>
      <c r="FT5215"/>
      <c r="FU5215"/>
      <c r="FV5215"/>
      <c r="FW5215"/>
      <c r="FX5215"/>
      <c r="FY5215"/>
      <c r="FZ5215"/>
      <c r="GA5215"/>
      <c r="GB5215"/>
      <c r="GC5215"/>
      <c r="GD5215"/>
      <c r="GE5215"/>
      <c r="GF5215"/>
      <c r="GG5215"/>
      <c r="GH5215"/>
      <c r="GI5215"/>
      <c r="GJ5215"/>
      <c r="GK5215"/>
      <c r="GL5215"/>
      <c r="GM5215"/>
      <c r="GN5215"/>
      <c r="GO5215"/>
    </row>
    <row r="5216" spans="107:197">
      <c r="DC5216"/>
      <c r="FH5216"/>
      <c r="FI5216"/>
      <c r="FJ5216"/>
      <c r="FK5216"/>
      <c r="FL5216"/>
      <c r="FM5216"/>
      <c r="FN5216"/>
      <c r="FO5216"/>
      <c r="FP5216"/>
      <c r="FQ5216"/>
      <c r="FR5216"/>
      <c r="FS5216"/>
      <c r="FT5216"/>
      <c r="FU5216"/>
      <c r="FV5216"/>
      <c r="FW5216"/>
      <c r="FX5216"/>
      <c r="FY5216"/>
      <c r="FZ5216"/>
      <c r="GA5216"/>
      <c r="GB5216"/>
      <c r="GC5216"/>
      <c r="GD5216"/>
      <c r="GE5216"/>
      <c r="GF5216"/>
      <c r="GG5216"/>
      <c r="GH5216"/>
      <c r="GI5216"/>
      <c r="GJ5216"/>
      <c r="GK5216"/>
      <c r="GL5216"/>
      <c r="GM5216"/>
      <c r="GN5216"/>
      <c r="GO5216"/>
    </row>
    <row r="5217" spans="107:197">
      <c r="DC5217"/>
      <c r="FH5217"/>
      <c r="FI5217"/>
      <c r="FJ5217"/>
      <c r="FK5217"/>
      <c r="FL5217"/>
      <c r="FM5217"/>
      <c r="FN5217"/>
      <c r="FO5217"/>
      <c r="FP5217"/>
      <c r="FQ5217"/>
      <c r="FR5217"/>
      <c r="FS5217"/>
      <c r="FT5217"/>
      <c r="FU5217"/>
      <c r="FV5217"/>
      <c r="FW5217"/>
      <c r="FX5217"/>
      <c r="FY5217"/>
      <c r="FZ5217"/>
      <c r="GA5217"/>
      <c r="GB5217"/>
      <c r="GC5217"/>
      <c r="GD5217"/>
      <c r="GE5217"/>
      <c r="GF5217"/>
      <c r="GG5217"/>
      <c r="GH5217"/>
      <c r="GI5217"/>
      <c r="GJ5217"/>
      <c r="GK5217"/>
      <c r="GL5217"/>
      <c r="GM5217"/>
      <c r="GN5217"/>
      <c r="GO5217"/>
    </row>
    <row r="5218" spans="107:197">
      <c r="DC5218"/>
      <c r="FH5218"/>
      <c r="FI5218"/>
      <c r="FJ5218"/>
      <c r="FK5218"/>
      <c r="FL5218"/>
      <c r="FM5218"/>
      <c r="FN5218"/>
      <c r="FO5218"/>
      <c r="FP5218"/>
      <c r="FQ5218"/>
      <c r="FR5218"/>
      <c r="FS5218"/>
      <c r="FT5218"/>
      <c r="FU5218"/>
      <c r="FV5218"/>
      <c r="FW5218"/>
      <c r="FX5218"/>
      <c r="FY5218"/>
      <c r="FZ5218"/>
      <c r="GA5218"/>
      <c r="GB5218"/>
      <c r="GC5218"/>
      <c r="GD5218"/>
      <c r="GE5218"/>
      <c r="GF5218"/>
      <c r="GG5218"/>
      <c r="GH5218"/>
      <c r="GI5218"/>
      <c r="GJ5218"/>
      <c r="GK5218"/>
      <c r="GL5218"/>
      <c r="GM5218"/>
      <c r="GN5218"/>
      <c r="GO5218"/>
    </row>
    <row r="5219" spans="107:197">
      <c r="DC5219"/>
      <c r="FH5219"/>
      <c r="FI5219"/>
      <c r="FJ5219"/>
      <c r="FK5219"/>
      <c r="FL5219"/>
      <c r="FM5219"/>
      <c r="FN5219"/>
      <c r="FO5219"/>
      <c r="FP5219"/>
      <c r="FQ5219"/>
      <c r="FR5219"/>
      <c r="FS5219"/>
      <c r="FT5219"/>
      <c r="FU5219"/>
      <c r="FV5219"/>
      <c r="FW5219"/>
      <c r="FX5219"/>
      <c r="FY5219"/>
      <c r="FZ5219"/>
      <c r="GA5219"/>
      <c r="GB5219"/>
      <c r="GC5219"/>
      <c r="GD5219"/>
      <c r="GE5219"/>
      <c r="GF5219"/>
      <c r="GG5219"/>
      <c r="GH5219"/>
      <c r="GI5219"/>
      <c r="GJ5219"/>
      <c r="GK5219"/>
      <c r="GL5219"/>
      <c r="GM5219"/>
      <c r="GN5219"/>
      <c r="GO5219"/>
    </row>
    <row r="5220" spans="107:197">
      <c r="DC5220"/>
      <c r="FH5220"/>
      <c r="FI5220"/>
      <c r="FJ5220"/>
      <c r="FK5220"/>
      <c r="FL5220"/>
      <c r="FM5220"/>
      <c r="FN5220"/>
      <c r="FO5220"/>
      <c r="FP5220"/>
      <c r="FQ5220"/>
      <c r="FR5220"/>
      <c r="FS5220"/>
      <c r="FT5220"/>
      <c r="FU5220"/>
      <c r="FV5220"/>
      <c r="FW5220"/>
      <c r="FX5220"/>
      <c r="FY5220"/>
      <c r="FZ5220"/>
      <c r="GA5220"/>
      <c r="GB5220"/>
      <c r="GC5220"/>
      <c r="GD5220"/>
      <c r="GE5220"/>
      <c r="GF5220"/>
      <c r="GG5220"/>
      <c r="GH5220"/>
      <c r="GI5220"/>
      <c r="GJ5220"/>
      <c r="GK5220"/>
      <c r="GL5220"/>
      <c r="GM5220"/>
      <c r="GN5220"/>
      <c r="GO5220"/>
    </row>
    <row r="5221" spans="107:197">
      <c r="DC5221"/>
      <c r="FH5221"/>
      <c r="FI5221"/>
      <c r="FJ5221"/>
      <c r="FK5221"/>
      <c r="FL5221"/>
      <c r="FM5221"/>
      <c r="FN5221"/>
      <c r="FO5221"/>
      <c r="FP5221"/>
      <c r="FQ5221"/>
      <c r="FR5221"/>
      <c r="FS5221"/>
      <c r="FT5221"/>
      <c r="FU5221"/>
      <c r="FV5221"/>
      <c r="FW5221"/>
      <c r="FX5221"/>
      <c r="FY5221"/>
      <c r="FZ5221"/>
      <c r="GA5221"/>
      <c r="GB5221"/>
      <c r="GC5221"/>
      <c r="GD5221"/>
      <c r="GE5221"/>
      <c r="GF5221"/>
      <c r="GG5221"/>
      <c r="GH5221"/>
      <c r="GI5221"/>
      <c r="GJ5221"/>
      <c r="GK5221"/>
      <c r="GL5221"/>
      <c r="GM5221"/>
      <c r="GN5221"/>
      <c r="GO5221"/>
    </row>
    <row r="5222" spans="107:197">
      <c r="DC5222"/>
      <c r="FH5222"/>
      <c r="FI5222"/>
      <c r="FJ5222"/>
      <c r="FK5222"/>
      <c r="FL5222"/>
      <c r="FM5222"/>
      <c r="FN5222"/>
      <c r="FO5222"/>
      <c r="FP5222"/>
      <c r="FQ5222"/>
      <c r="FR5222"/>
      <c r="FS5222"/>
      <c r="FT5222"/>
      <c r="FU5222"/>
      <c r="FV5222"/>
      <c r="FW5222"/>
      <c r="FX5222"/>
      <c r="FY5222"/>
      <c r="FZ5222"/>
      <c r="GA5222"/>
      <c r="GB5222"/>
      <c r="GC5222"/>
      <c r="GD5222"/>
      <c r="GE5222"/>
      <c r="GF5222"/>
      <c r="GG5222"/>
      <c r="GH5222"/>
      <c r="GI5222"/>
      <c r="GJ5222"/>
      <c r="GK5222"/>
      <c r="GL5222"/>
      <c r="GM5222"/>
      <c r="GN5222"/>
      <c r="GO5222"/>
    </row>
    <row r="5223" spans="107:197">
      <c r="DC5223"/>
      <c r="FH5223"/>
      <c r="FI5223"/>
      <c r="FJ5223"/>
      <c r="FK5223"/>
      <c r="FL5223"/>
      <c r="FM5223"/>
      <c r="FN5223"/>
      <c r="FO5223"/>
      <c r="FP5223"/>
      <c r="FQ5223"/>
      <c r="FR5223"/>
      <c r="FS5223"/>
      <c r="FT5223"/>
      <c r="FU5223"/>
      <c r="FV5223"/>
      <c r="FW5223"/>
      <c r="FX5223"/>
      <c r="FY5223"/>
      <c r="FZ5223"/>
      <c r="GA5223"/>
      <c r="GB5223"/>
      <c r="GC5223"/>
      <c r="GD5223"/>
      <c r="GE5223"/>
      <c r="GF5223"/>
      <c r="GG5223"/>
      <c r="GH5223"/>
      <c r="GI5223"/>
      <c r="GJ5223"/>
      <c r="GK5223"/>
      <c r="GL5223"/>
      <c r="GM5223"/>
      <c r="GN5223"/>
      <c r="GO5223"/>
    </row>
    <row r="5224" spans="107:197">
      <c r="DC5224"/>
      <c r="FH5224"/>
      <c r="FI5224"/>
      <c r="FJ5224"/>
      <c r="FK5224"/>
      <c r="FL5224"/>
      <c r="FM5224"/>
      <c r="FN5224"/>
      <c r="FO5224"/>
      <c r="FP5224"/>
      <c r="FQ5224"/>
      <c r="FR5224"/>
      <c r="FS5224"/>
      <c r="FT5224"/>
      <c r="FU5224"/>
      <c r="FV5224"/>
      <c r="FW5224"/>
      <c r="FX5224"/>
      <c r="FY5224"/>
      <c r="FZ5224"/>
      <c r="GA5224"/>
      <c r="GB5224"/>
      <c r="GC5224"/>
      <c r="GD5224"/>
      <c r="GE5224"/>
      <c r="GF5224"/>
      <c r="GG5224"/>
      <c r="GH5224"/>
      <c r="GI5224"/>
      <c r="GJ5224"/>
      <c r="GK5224"/>
      <c r="GL5224"/>
      <c r="GM5224"/>
      <c r="GN5224"/>
      <c r="GO5224"/>
    </row>
    <row r="5225" spans="107:197">
      <c r="DC5225"/>
      <c r="FH5225"/>
      <c r="FI5225"/>
      <c r="FJ5225"/>
      <c r="FK5225"/>
      <c r="FL5225"/>
      <c r="FM5225"/>
      <c r="FN5225"/>
      <c r="FO5225"/>
      <c r="FP5225"/>
      <c r="FQ5225"/>
      <c r="FR5225"/>
      <c r="FS5225"/>
      <c r="FT5225"/>
      <c r="FU5225"/>
      <c r="FV5225"/>
      <c r="FW5225"/>
      <c r="FX5225"/>
      <c r="FY5225"/>
      <c r="FZ5225"/>
      <c r="GA5225"/>
      <c r="GB5225"/>
      <c r="GC5225"/>
      <c r="GD5225"/>
      <c r="GE5225"/>
      <c r="GF5225"/>
      <c r="GG5225"/>
      <c r="GH5225"/>
      <c r="GI5225"/>
      <c r="GJ5225"/>
      <c r="GK5225"/>
      <c r="GL5225"/>
      <c r="GM5225"/>
      <c r="GN5225"/>
      <c r="GO5225"/>
    </row>
    <row r="5226" spans="107:197">
      <c r="DC5226"/>
      <c r="FH5226"/>
      <c r="FI5226"/>
      <c r="FJ5226"/>
      <c r="FK5226"/>
      <c r="FL5226"/>
      <c r="FM5226"/>
      <c r="FN5226"/>
      <c r="FO5226"/>
      <c r="FP5226"/>
      <c r="FQ5226"/>
      <c r="FR5226"/>
      <c r="FS5226"/>
      <c r="FT5226"/>
      <c r="FU5226"/>
      <c r="FV5226"/>
      <c r="FW5226"/>
      <c r="FX5226"/>
      <c r="FY5226"/>
      <c r="FZ5226"/>
      <c r="GA5226"/>
      <c r="GB5226"/>
      <c r="GC5226"/>
      <c r="GD5226"/>
      <c r="GE5226"/>
      <c r="GF5226"/>
      <c r="GG5226"/>
      <c r="GH5226"/>
      <c r="GI5226"/>
      <c r="GJ5226"/>
      <c r="GK5226"/>
      <c r="GL5226"/>
      <c r="GM5226"/>
      <c r="GN5226"/>
      <c r="GO5226"/>
    </row>
    <row r="5227" spans="107:197">
      <c r="DC5227"/>
      <c r="FH5227"/>
      <c r="FI5227"/>
      <c r="FJ5227"/>
      <c r="FK5227"/>
      <c r="FL5227"/>
      <c r="FM5227"/>
      <c r="FN5227"/>
      <c r="FO5227"/>
      <c r="FP5227"/>
      <c r="FQ5227"/>
      <c r="FR5227"/>
      <c r="FS5227"/>
      <c r="FT5227"/>
      <c r="FU5227"/>
      <c r="FV5227"/>
      <c r="FW5227"/>
      <c r="FX5227"/>
      <c r="FY5227"/>
      <c r="FZ5227"/>
      <c r="GA5227"/>
      <c r="GB5227"/>
      <c r="GC5227"/>
      <c r="GD5227"/>
      <c r="GE5227"/>
      <c r="GF5227"/>
      <c r="GG5227"/>
      <c r="GH5227"/>
      <c r="GI5227"/>
      <c r="GJ5227"/>
      <c r="GK5227"/>
      <c r="GL5227"/>
      <c r="GM5227"/>
      <c r="GN5227"/>
      <c r="GO5227"/>
    </row>
    <row r="5228" spans="107:197">
      <c r="DC5228"/>
      <c r="FH5228"/>
      <c r="FI5228"/>
      <c r="FJ5228"/>
      <c r="FK5228"/>
      <c r="FL5228"/>
      <c r="FM5228"/>
      <c r="FN5228"/>
      <c r="FO5228"/>
      <c r="FP5228"/>
      <c r="FQ5228"/>
      <c r="FR5228"/>
      <c r="FS5228"/>
      <c r="FT5228"/>
      <c r="FU5228"/>
      <c r="FV5228"/>
      <c r="FW5228"/>
      <c r="FX5228"/>
      <c r="FY5228"/>
      <c r="FZ5228"/>
      <c r="GA5228"/>
      <c r="GB5228"/>
      <c r="GC5228"/>
      <c r="GD5228"/>
      <c r="GE5228"/>
      <c r="GF5228"/>
      <c r="GG5228"/>
      <c r="GH5228"/>
      <c r="GI5228"/>
      <c r="GJ5228"/>
      <c r="GK5228"/>
      <c r="GL5228"/>
      <c r="GM5228"/>
      <c r="GN5228"/>
      <c r="GO5228"/>
    </row>
    <row r="5229" spans="107:197">
      <c r="DC5229"/>
      <c r="FH5229"/>
      <c r="FI5229"/>
      <c r="FJ5229"/>
      <c r="FK5229"/>
      <c r="FL5229"/>
      <c r="FM5229"/>
      <c r="FN5229"/>
      <c r="FO5229"/>
      <c r="FP5229"/>
      <c r="FQ5229"/>
      <c r="FR5229"/>
      <c r="FS5229"/>
      <c r="FT5229"/>
      <c r="FU5229"/>
      <c r="FV5229"/>
      <c r="FW5229"/>
      <c r="FX5229"/>
      <c r="FY5229"/>
      <c r="FZ5229"/>
      <c r="GA5229"/>
      <c r="GB5229"/>
      <c r="GC5229"/>
      <c r="GD5229"/>
      <c r="GE5229"/>
      <c r="GF5229"/>
      <c r="GG5229"/>
      <c r="GH5229"/>
      <c r="GI5229"/>
      <c r="GJ5229"/>
      <c r="GK5229"/>
      <c r="GL5229"/>
      <c r="GM5229"/>
      <c r="GN5229"/>
      <c r="GO5229"/>
    </row>
    <row r="5230" spans="107:197">
      <c r="DC5230"/>
      <c r="FH5230"/>
      <c r="FI5230"/>
      <c r="FJ5230"/>
      <c r="FK5230"/>
      <c r="FL5230"/>
      <c r="FM5230"/>
      <c r="FN5230"/>
      <c r="FO5230"/>
      <c r="FP5230"/>
      <c r="FQ5230"/>
      <c r="FR5230"/>
      <c r="FS5230"/>
      <c r="FT5230"/>
      <c r="FU5230"/>
      <c r="FV5230"/>
      <c r="FW5230"/>
      <c r="FX5230"/>
      <c r="FY5230"/>
      <c r="FZ5230"/>
      <c r="GA5230"/>
      <c r="GB5230"/>
      <c r="GC5230"/>
      <c r="GD5230"/>
      <c r="GE5230"/>
      <c r="GF5230"/>
      <c r="GG5230"/>
      <c r="GH5230"/>
      <c r="GI5230"/>
      <c r="GJ5230"/>
      <c r="GK5230"/>
      <c r="GL5230"/>
      <c r="GM5230"/>
      <c r="GN5230"/>
      <c r="GO5230"/>
    </row>
    <row r="5231" spans="107:197">
      <c r="DC5231"/>
      <c r="FH5231"/>
      <c r="FI5231"/>
      <c r="FJ5231"/>
      <c r="FK5231"/>
      <c r="FL5231"/>
      <c r="FM5231"/>
      <c r="FN5231"/>
      <c r="FO5231"/>
      <c r="FP5231"/>
      <c r="FQ5231"/>
      <c r="FR5231"/>
      <c r="FS5231"/>
      <c r="FT5231"/>
      <c r="FU5231"/>
      <c r="FV5231"/>
      <c r="FW5231"/>
      <c r="FX5231"/>
      <c r="FY5231"/>
      <c r="FZ5231"/>
      <c r="GA5231"/>
      <c r="GB5231"/>
      <c r="GC5231"/>
      <c r="GD5231"/>
      <c r="GE5231"/>
      <c r="GF5231"/>
      <c r="GG5231"/>
      <c r="GH5231"/>
      <c r="GI5231"/>
      <c r="GJ5231"/>
      <c r="GK5231"/>
      <c r="GL5231"/>
      <c r="GM5231"/>
      <c r="GN5231"/>
      <c r="GO5231"/>
    </row>
    <row r="5232" spans="107:197">
      <c r="DC5232"/>
      <c r="FH5232"/>
      <c r="FI5232"/>
      <c r="FJ5232"/>
      <c r="FK5232"/>
      <c r="FL5232"/>
      <c r="FM5232"/>
      <c r="FN5232"/>
      <c r="FO5232"/>
      <c r="FP5232"/>
      <c r="FQ5232"/>
      <c r="FR5232"/>
      <c r="FS5232"/>
      <c r="FT5232"/>
      <c r="FU5232"/>
      <c r="FV5232"/>
      <c r="FW5232"/>
      <c r="FX5232"/>
      <c r="FY5232"/>
      <c r="FZ5232"/>
      <c r="GA5232"/>
      <c r="GB5232"/>
      <c r="GC5232"/>
      <c r="GD5232"/>
      <c r="GE5232"/>
      <c r="GF5232"/>
      <c r="GG5232"/>
      <c r="GH5232"/>
      <c r="GI5232"/>
      <c r="GJ5232"/>
      <c r="GK5232"/>
      <c r="GL5232"/>
      <c r="GM5232"/>
      <c r="GN5232"/>
      <c r="GO5232"/>
    </row>
    <row r="5233" spans="107:197">
      <c r="DC5233"/>
      <c r="FH5233"/>
      <c r="FI5233"/>
      <c r="FJ5233"/>
      <c r="FK5233"/>
      <c r="FL5233"/>
      <c r="FM5233"/>
      <c r="FN5233"/>
      <c r="FO5233"/>
      <c r="FP5233"/>
      <c r="FQ5233"/>
      <c r="FR5233"/>
      <c r="FS5233"/>
      <c r="FT5233"/>
      <c r="FU5233"/>
      <c r="FV5233"/>
      <c r="FW5233"/>
      <c r="FX5233"/>
      <c r="FY5233"/>
      <c r="FZ5233"/>
      <c r="GA5233"/>
      <c r="GB5233"/>
      <c r="GC5233"/>
      <c r="GD5233"/>
      <c r="GE5233"/>
      <c r="GF5233"/>
      <c r="GG5233"/>
      <c r="GH5233"/>
      <c r="GI5233"/>
      <c r="GJ5233"/>
      <c r="GK5233"/>
      <c r="GL5233"/>
      <c r="GM5233"/>
      <c r="GN5233"/>
      <c r="GO5233"/>
    </row>
    <row r="5234" spans="107:197">
      <c r="DC5234"/>
      <c r="FH5234"/>
      <c r="FI5234"/>
      <c r="FJ5234"/>
      <c r="FK5234"/>
      <c r="FL5234"/>
      <c r="FM5234"/>
      <c r="FN5234"/>
      <c r="FO5234"/>
      <c r="FP5234"/>
      <c r="FQ5234"/>
      <c r="FR5234"/>
      <c r="FS5234"/>
      <c r="FT5234"/>
      <c r="FU5234"/>
      <c r="FV5234"/>
      <c r="FW5234"/>
      <c r="FX5234"/>
      <c r="FY5234"/>
      <c r="FZ5234"/>
      <c r="GA5234"/>
      <c r="GB5234"/>
      <c r="GC5234"/>
      <c r="GD5234"/>
      <c r="GE5234"/>
      <c r="GF5234"/>
      <c r="GG5234"/>
      <c r="GH5234"/>
      <c r="GI5234"/>
      <c r="GJ5234"/>
      <c r="GK5234"/>
      <c r="GL5234"/>
      <c r="GM5234"/>
      <c r="GN5234"/>
      <c r="GO5234"/>
    </row>
    <row r="5235" spans="107:197">
      <c r="DC5235"/>
      <c r="FH5235"/>
      <c r="FI5235"/>
      <c r="FJ5235"/>
      <c r="FK5235"/>
      <c r="FL5235"/>
      <c r="FM5235"/>
      <c r="FN5235"/>
      <c r="FO5235"/>
      <c r="FP5235"/>
      <c r="FQ5235"/>
      <c r="FR5235"/>
      <c r="FS5235"/>
      <c r="FT5235"/>
      <c r="FU5235"/>
      <c r="FV5235"/>
      <c r="FW5235"/>
      <c r="FX5235"/>
      <c r="FY5235"/>
      <c r="FZ5235"/>
      <c r="GA5235"/>
      <c r="GB5235"/>
      <c r="GC5235"/>
      <c r="GD5235"/>
      <c r="GE5235"/>
      <c r="GF5235"/>
      <c r="GG5235"/>
      <c r="GH5235"/>
      <c r="GI5235"/>
      <c r="GJ5235"/>
      <c r="GK5235"/>
      <c r="GL5235"/>
      <c r="GM5235"/>
      <c r="GN5235"/>
      <c r="GO5235"/>
    </row>
    <row r="5236" spans="107:197">
      <c r="DC5236"/>
      <c r="FH5236"/>
      <c r="FI5236"/>
      <c r="FJ5236"/>
      <c r="FK5236"/>
      <c r="FL5236"/>
      <c r="FM5236"/>
      <c r="FN5236"/>
      <c r="FO5236"/>
      <c r="FP5236"/>
      <c r="FQ5236"/>
      <c r="FR5236"/>
      <c r="FS5236"/>
      <c r="FT5236"/>
      <c r="FU5236"/>
      <c r="FV5236"/>
      <c r="FW5236"/>
      <c r="FX5236"/>
      <c r="FY5236"/>
      <c r="FZ5236"/>
      <c r="GA5236"/>
      <c r="GB5236"/>
      <c r="GC5236"/>
      <c r="GD5236"/>
      <c r="GE5236"/>
      <c r="GF5236"/>
      <c r="GG5236"/>
      <c r="GH5236"/>
      <c r="GI5236"/>
      <c r="GJ5236"/>
      <c r="GK5236"/>
      <c r="GL5236"/>
      <c r="GM5236"/>
      <c r="GN5236"/>
      <c r="GO5236"/>
    </row>
    <row r="5237" spans="107:197">
      <c r="DC5237"/>
      <c r="FH5237"/>
      <c r="FI5237"/>
      <c r="FJ5237"/>
      <c r="FK5237"/>
      <c r="FL5237"/>
      <c r="FM5237"/>
      <c r="FN5237"/>
      <c r="FO5237"/>
      <c r="FP5237"/>
      <c r="FQ5237"/>
      <c r="FR5237"/>
      <c r="FS5237"/>
      <c r="FT5237"/>
      <c r="FU5237"/>
      <c r="FV5237"/>
      <c r="FW5237"/>
      <c r="FX5237"/>
      <c r="FY5237"/>
      <c r="FZ5237"/>
      <c r="GA5237"/>
      <c r="GB5237"/>
      <c r="GC5237"/>
      <c r="GD5237"/>
      <c r="GE5237"/>
      <c r="GF5237"/>
      <c r="GG5237"/>
      <c r="GH5237"/>
      <c r="GI5237"/>
      <c r="GJ5237"/>
      <c r="GK5237"/>
      <c r="GL5237"/>
      <c r="GM5237"/>
      <c r="GN5237"/>
      <c r="GO5237"/>
    </row>
    <row r="5238" spans="107:197">
      <c r="DC5238"/>
      <c r="FH5238"/>
      <c r="FI5238"/>
      <c r="FJ5238"/>
      <c r="FK5238"/>
      <c r="FL5238"/>
      <c r="FM5238"/>
      <c r="FN5238"/>
      <c r="FO5238"/>
      <c r="FP5238"/>
      <c r="FQ5238"/>
      <c r="FR5238"/>
      <c r="FS5238"/>
      <c r="FT5238"/>
      <c r="FU5238"/>
      <c r="FV5238"/>
      <c r="FW5238"/>
      <c r="FX5238"/>
      <c r="FY5238"/>
      <c r="FZ5238"/>
      <c r="GA5238"/>
      <c r="GB5238"/>
      <c r="GC5238"/>
      <c r="GD5238"/>
      <c r="GE5238"/>
      <c r="GF5238"/>
      <c r="GG5238"/>
      <c r="GH5238"/>
      <c r="GI5238"/>
      <c r="GJ5238"/>
      <c r="GK5238"/>
      <c r="GL5238"/>
      <c r="GM5238"/>
      <c r="GN5238"/>
      <c r="GO5238"/>
    </row>
    <row r="5239" spans="107:197">
      <c r="DC5239"/>
      <c r="FH5239"/>
      <c r="FI5239"/>
      <c r="FJ5239"/>
      <c r="FK5239"/>
      <c r="FL5239"/>
      <c r="FM5239"/>
      <c r="FN5239"/>
      <c r="FO5239"/>
      <c r="FP5239"/>
      <c r="FQ5239"/>
      <c r="FR5239"/>
      <c r="FS5239"/>
      <c r="FT5239"/>
      <c r="FU5239"/>
      <c r="FV5239"/>
      <c r="FW5239"/>
      <c r="FX5239"/>
      <c r="FY5239"/>
      <c r="FZ5239"/>
      <c r="GA5239"/>
      <c r="GB5239"/>
      <c r="GC5239"/>
      <c r="GD5239"/>
      <c r="GE5239"/>
      <c r="GF5239"/>
      <c r="GG5239"/>
      <c r="GH5239"/>
      <c r="GI5239"/>
      <c r="GJ5239"/>
      <c r="GK5239"/>
      <c r="GL5239"/>
      <c r="GM5239"/>
      <c r="GN5239"/>
      <c r="GO5239"/>
    </row>
    <row r="5240" spans="107:197">
      <c r="DC5240"/>
      <c r="FH5240"/>
      <c r="FI5240"/>
      <c r="FJ5240"/>
      <c r="FK5240"/>
      <c r="FL5240"/>
      <c r="FM5240"/>
      <c r="FN5240"/>
      <c r="FO5240"/>
      <c r="FP5240"/>
      <c r="FQ5240"/>
      <c r="FR5240"/>
      <c r="FS5240"/>
      <c r="FT5240"/>
      <c r="FU5240"/>
      <c r="FV5240"/>
      <c r="FW5240"/>
      <c r="FX5240"/>
      <c r="FY5240"/>
      <c r="FZ5240"/>
      <c r="GA5240"/>
      <c r="GB5240"/>
      <c r="GC5240"/>
      <c r="GD5240"/>
      <c r="GE5240"/>
      <c r="GF5240"/>
      <c r="GG5240"/>
      <c r="GH5240"/>
      <c r="GI5240"/>
      <c r="GJ5240"/>
      <c r="GK5240"/>
      <c r="GL5240"/>
      <c r="GM5240"/>
      <c r="GN5240"/>
      <c r="GO5240"/>
    </row>
    <row r="5241" spans="107:197">
      <c r="DC5241"/>
      <c r="FH5241"/>
      <c r="FI5241"/>
      <c r="FJ5241"/>
      <c r="FK5241"/>
      <c r="FL5241"/>
      <c r="FM5241"/>
      <c r="FN5241"/>
      <c r="FO5241"/>
      <c r="FP5241"/>
      <c r="FQ5241"/>
      <c r="FR5241"/>
      <c r="FS5241"/>
      <c r="FT5241"/>
      <c r="FU5241"/>
      <c r="FV5241"/>
      <c r="FW5241"/>
      <c r="FX5241"/>
      <c r="FY5241"/>
      <c r="FZ5241"/>
      <c r="GA5241"/>
      <c r="GB5241"/>
      <c r="GC5241"/>
      <c r="GD5241"/>
      <c r="GE5241"/>
      <c r="GF5241"/>
      <c r="GG5241"/>
      <c r="GH5241"/>
      <c r="GI5241"/>
      <c r="GJ5241"/>
      <c r="GK5241"/>
      <c r="GL5241"/>
      <c r="GM5241"/>
      <c r="GN5241"/>
      <c r="GO5241"/>
    </row>
    <row r="5242" spans="107:197">
      <c r="DC5242"/>
      <c r="FH5242"/>
      <c r="FI5242"/>
      <c r="FJ5242"/>
      <c r="FK5242"/>
      <c r="FL5242"/>
      <c r="FM5242"/>
      <c r="FN5242"/>
      <c r="FO5242"/>
      <c r="FP5242"/>
      <c r="FQ5242"/>
      <c r="FR5242"/>
      <c r="FS5242"/>
      <c r="FT5242"/>
      <c r="FU5242"/>
      <c r="FV5242"/>
      <c r="FW5242"/>
      <c r="FX5242"/>
      <c r="FY5242"/>
      <c r="FZ5242"/>
      <c r="GA5242"/>
      <c r="GB5242"/>
      <c r="GC5242"/>
      <c r="GD5242"/>
      <c r="GE5242"/>
      <c r="GF5242"/>
      <c r="GG5242"/>
      <c r="GH5242"/>
      <c r="GI5242"/>
      <c r="GJ5242"/>
      <c r="GK5242"/>
      <c r="GL5242"/>
      <c r="GM5242"/>
      <c r="GN5242"/>
      <c r="GO5242"/>
    </row>
    <row r="5243" spans="107:197">
      <c r="DC5243"/>
      <c r="FH5243"/>
      <c r="FI5243"/>
      <c r="FJ5243"/>
      <c r="FK5243"/>
      <c r="FL5243"/>
      <c r="FM5243"/>
      <c r="FN5243"/>
      <c r="FO5243"/>
      <c r="FP5243"/>
      <c r="FQ5243"/>
      <c r="FR5243"/>
      <c r="FS5243"/>
      <c r="FT5243"/>
      <c r="FU5243"/>
      <c r="FV5243"/>
      <c r="FW5243"/>
      <c r="FX5243"/>
      <c r="FY5243"/>
      <c r="FZ5243"/>
      <c r="GA5243"/>
      <c r="GB5243"/>
      <c r="GC5243"/>
      <c r="GD5243"/>
      <c r="GE5243"/>
      <c r="GF5243"/>
      <c r="GG5243"/>
      <c r="GH5243"/>
      <c r="GI5243"/>
      <c r="GJ5243"/>
      <c r="GK5243"/>
      <c r="GL5243"/>
      <c r="GM5243"/>
      <c r="GN5243"/>
      <c r="GO5243"/>
    </row>
    <row r="5244" spans="107:197">
      <c r="DC5244"/>
      <c r="FH5244"/>
      <c r="FI5244"/>
      <c r="FJ5244"/>
      <c r="FK5244"/>
      <c r="FL5244"/>
      <c r="FM5244"/>
      <c r="FN5244"/>
      <c r="FO5244"/>
      <c r="FP5244"/>
      <c r="FQ5244"/>
      <c r="FR5244"/>
      <c r="FS5244"/>
      <c r="FT5244"/>
      <c r="FU5244"/>
      <c r="FV5244"/>
      <c r="FW5244"/>
      <c r="FX5244"/>
      <c r="FY5244"/>
      <c r="FZ5244"/>
      <c r="GA5244"/>
      <c r="GB5244"/>
      <c r="GC5244"/>
      <c r="GD5244"/>
      <c r="GE5244"/>
      <c r="GF5244"/>
      <c r="GG5244"/>
      <c r="GH5244"/>
      <c r="GI5244"/>
      <c r="GJ5244"/>
      <c r="GK5244"/>
      <c r="GL5244"/>
      <c r="GM5244"/>
      <c r="GN5244"/>
      <c r="GO5244"/>
    </row>
    <row r="5245" spans="107:197">
      <c r="DC5245"/>
      <c r="FH5245"/>
      <c r="FI5245"/>
      <c r="FJ5245"/>
      <c r="FK5245"/>
      <c r="FL5245"/>
      <c r="FM5245"/>
      <c r="FN5245"/>
      <c r="FO5245"/>
      <c r="FP5245"/>
      <c r="FQ5245"/>
      <c r="FR5245"/>
      <c r="FS5245"/>
      <c r="FT5245"/>
      <c r="FU5245"/>
      <c r="FV5245"/>
      <c r="FW5245"/>
      <c r="FX5245"/>
      <c r="FY5245"/>
      <c r="FZ5245"/>
      <c r="GA5245"/>
      <c r="GB5245"/>
      <c r="GC5245"/>
      <c r="GD5245"/>
      <c r="GE5245"/>
      <c r="GF5245"/>
      <c r="GG5245"/>
      <c r="GH5245"/>
      <c r="GI5245"/>
      <c r="GJ5245"/>
      <c r="GK5245"/>
      <c r="GL5245"/>
      <c r="GM5245"/>
      <c r="GN5245"/>
      <c r="GO5245"/>
    </row>
    <row r="5246" spans="107:197">
      <c r="DC5246"/>
      <c r="FH5246"/>
      <c r="FI5246"/>
      <c r="FJ5246"/>
      <c r="FK5246"/>
      <c r="FL5246"/>
      <c r="FM5246"/>
      <c r="FN5246"/>
      <c r="FO5246"/>
      <c r="FP5246"/>
      <c r="FQ5246"/>
      <c r="FR5246"/>
      <c r="FS5246"/>
      <c r="FT5246"/>
      <c r="FU5246"/>
      <c r="FV5246"/>
      <c r="FW5246"/>
      <c r="FX5246"/>
      <c r="FY5246"/>
      <c r="FZ5246"/>
      <c r="GA5246"/>
      <c r="GB5246"/>
      <c r="GC5246"/>
      <c r="GD5246"/>
      <c r="GE5246"/>
      <c r="GF5246"/>
      <c r="GG5246"/>
      <c r="GH5246"/>
      <c r="GI5246"/>
      <c r="GJ5246"/>
      <c r="GK5246"/>
      <c r="GL5246"/>
      <c r="GM5246"/>
      <c r="GN5246"/>
      <c r="GO5246"/>
    </row>
    <row r="5247" spans="107:197">
      <c r="DC5247"/>
      <c r="FH5247"/>
      <c r="FI5247"/>
      <c r="FJ5247"/>
      <c r="FK5247"/>
      <c r="FL5247"/>
      <c r="FM5247"/>
      <c r="FN5247"/>
      <c r="FO5247"/>
      <c r="FP5247"/>
      <c r="FQ5247"/>
      <c r="FR5247"/>
      <c r="FS5247"/>
      <c r="FT5247"/>
      <c r="FU5247"/>
      <c r="FV5247"/>
      <c r="FW5247"/>
      <c r="FX5247"/>
      <c r="FY5247"/>
      <c r="FZ5247"/>
      <c r="GA5247"/>
      <c r="GB5247"/>
      <c r="GC5247"/>
      <c r="GD5247"/>
      <c r="GE5247"/>
      <c r="GF5247"/>
      <c r="GG5247"/>
      <c r="GH5247"/>
      <c r="GI5247"/>
      <c r="GJ5247"/>
      <c r="GK5247"/>
      <c r="GL5247"/>
      <c r="GM5247"/>
      <c r="GN5247"/>
      <c r="GO5247"/>
    </row>
    <row r="5248" spans="107:197">
      <c r="DC5248"/>
      <c r="FH5248"/>
      <c r="FI5248"/>
      <c r="FJ5248"/>
      <c r="FK5248"/>
      <c r="FL5248"/>
      <c r="FM5248"/>
      <c r="FN5248"/>
      <c r="FO5248"/>
      <c r="FP5248"/>
      <c r="FQ5248"/>
      <c r="FR5248"/>
      <c r="FS5248"/>
      <c r="FT5248"/>
      <c r="FU5248"/>
      <c r="FV5248"/>
      <c r="FW5248"/>
      <c r="FX5248"/>
      <c r="FY5248"/>
      <c r="FZ5248"/>
      <c r="GA5248"/>
      <c r="GB5248"/>
      <c r="GC5248"/>
      <c r="GD5248"/>
      <c r="GE5248"/>
      <c r="GF5248"/>
      <c r="GG5248"/>
      <c r="GH5248"/>
      <c r="GI5248"/>
      <c r="GJ5248"/>
      <c r="GK5248"/>
      <c r="GL5248"/>
      <c r="GM5248"/>
      <c r="GN5248"/>
      <c r="GO5248"/>
    </row>
    <row r="5249" spans="107:197">
      <c r="DC5249"/>
      <c r="FH5249"/>
      <c r="FI5249"/>
      <c r="FJ5249"/>
      <c r="FK5249"/>
      <c r="FL5249"/>
      <c r="FM5249"/>
      <c r="FN5249"/>
      <c r="FO5249"/>
      <c r="FP5249"/>
      <c r="FQ5249"/>
      <c r="FR5249"/>
      <c r="FS5249"/>
      <c r="FT5249"/>
      <c r="FU5249"/>
      <c r="FV5249"/>
      <c r="FW5249"/>
      <c r="FX5249"/>
      <c r="FY5249"/>
      <c r="FZ5249"/>
      <c r="GA5249"/>
      <c r="GB5249"/>
      <c r="GC5249"/>
      <c r="GD5249"/>
      <c r="GE5249"/>
      <c r="GF5249"/>
      <c r="GG5249"/>
      <c r="GH5249"/>
      <c r="GI5249"/>
      <c r="GJ5249"/>
      <c r="GK5249"/>
      <c r="GL5249"/>
      <c r="GM5249"/>
      <c r="GN5249"/>
      <c r="GO5249"/>
    </row>
    <row r="5250" spans="107:197">
      <c r="DC5250"/>
      <c r="FH5250"/>
      <c r="FI5250"/>
      <c r="FJ5250"/>
      <c r="FK5250"/>
      <c r="FL5250"/>
      <c r="FM5250"/>
      <c r="FN5250"/>
      <c r="FO5250"/>
      <c r="FP5250"/>
      <c r="FQ5250"/>
      <c r="FR5250"/>
      <c r="FS5250"/>
      <c r="FT5250"/>
      <c r="FU5250"/>
      <c r="FV5250"/>
      <c r="FW5250"/>
      <c r="FX5250"/>
      <c r="FY5250"/>
      <c r="FZ5250"/>
      <c r="GA5250"/>
      <c r="GB5250"/>
      <c r="GC5250"/>
      <c r="GD5250"/>
      <c r="GE5250"/>
      <c r="GF5250"/>
      <c r="GG5250"/>
      <c r="GH5250"/>
      <c r="GI5250"/>
      <c r="GJ5250"/>
      <c r="GK5250"/>
      <c r="GL5250"/>
      <c r="GM5250"/>
      <c r="GN5250"/>
      <c r="GO5250"/>
    </row>
    <row r="5251" spans="107:197">
      <c r="DC5251"/>
      <c r="FH5251"/>
      <c r="FI5251"/>
      <c r="FJ5251"/>
      <c r="FK5251"/>
      <c r="FL5251"/>
      <c r="FM5251"/>
      <c r="FN5251"/>
      <c r="FO5251"/>
      <c r="FP5251"/>
      <c r="FQ5251"/>
      <c r="FR5251"/>
      <c r="FS5251"/>
      <c r="FT5251"/>
      <c r="FU5251"/>
      <c r="FV5251"/>
      <c r="FW5251"/>
      <c r="FX5251"/>
      <c r="FY5251"/>
      <c r="FZ5251"/>
      <c r="GA5251"/>
      <c r="GB5251"/>
      <c r="GC5251"/>
      <c r="GD5251"/>
      <c r="GE5251"/>
      <c r="GF5251"/>
      <c r="GG5251"/>
      <c r="GH5251"/>
      <c r="GI5251"/>
      <c r="GJ5251"/>
      <c r="GK5251"/>
      <c r="GL5251"/>
      <c r="GM5251"/>
      <c r="GN5251"/>
      <c r="GO5251"/>
    </row>
    <row r="5252" spans="107:197">
      <c r="DC5252"/>
      <c r="FH5252"/>
      <c r="FI5252"/>
      <c r="FJ5252"/>
      <c r="FK5252"/>
      <c r="FL5252"/>
      <c r="FM5252"/>
      <c r="FN5252"/>
      <c r="FO5252"/>
      <c r="FP5252"/>
      <c r="FQ5252"/>
      <c r="FR5252"/>
      <c r="FS5252"/>
      <c r="FT5252"/>
      <c r="FU5252"/>
      <c r="FV5252"/>
      <c r="FW5252"/>
      <c r="FX5252"/>
      <c r="FY5252"/>
      <c r="FZ5252"/>
      <c r="GA5252"/>
      <c r="GB5252"/>
      <c r="GC5252"/>
      <c r="GD5252"/>
      <c r="GE5252"/>
      <c r="GF5252"/>
      <c r="GG5252"/>
      <c r="GH5252"/>
      <c r="GI5252"/>
      <c r="GJ5252"/>
      <c r="GK5252"/>
      <c r="GL5252"/>
      <c r="GM5252"/>
      <c r="GN5252"/>
      <c r="GO5252"/>
    </row>
    <row r="5253" spans="107:197">
      <c r="DC5253"/>
      <c r="FH5253"/>
      <c r="FI5253"/>
      <c r="FJ5253"/>
      <c r="FK5253"/>
      <c r="FL5253"/>
      <c r="FM5253"/>
      <c r="FN5253"/>
      <c r="FO5253"/>
      <c r="FP5253"/>
      <c r="FQ5253"/>
      <c r="FR5253"/>
      <c r="FS5253"/>
      <c r="FT5253"/>
      <c r="FU5253"/>
      <c r="FV5253"/>
      <c r="FW5253"/>
      <c r="FX5253"/>
      <c r="FY5253"/>
      <c r="FZ5253"/>
      <c r="GA5253"/>
      <c r="GB5253"/>
      <c r="GC5253"/>
      <c r="GD5253"/>
      <c r="GE5253"/>
      <c r="GF5253"/>
      <c r="GG5253"/>
      <c r="GH5253"/>
      <c r="GI5253"/>
      <c r="GJ5253"/>
      <c r="GK5253"/>
      <c r="GL5253"/>
      <c r="GM5253"/>
      <c r="GN5253"/>
      <c r="GO5253"/>
    </row>
    <row r="5254" spans="107:197">
      <c r="DC5254"/>
      <c r="FH5254"/>
      <c r="FI5254"/>
      <c r="FJ5254"/>
      <c r="FK5254"/>
      <c r="FL5254"/>
      <c r="FM5254"/>
      <c r="FN5254"/>
      <c r="FO5254"/>
      <c r="FP5254"/>
      <c r="FQ5254"/>
      <c r="FR5254"/>
      <c r="FS5254"/>
      <c r="FT5254"/>
      <c r="FU5254"/>
      <c r="FV5254"/>
      <c r="FW5254"/>
      <c r="FX5254"/>
      <c r="FY5254"/>
      <c r="FZ5254"/>
      <c r="GA5254"/>
      <c r="GB5254"/>
      <c r="GC5254"/>
      <c r="GD5254"/>
      <c r="GE5254"/>
      <c r="GF5254"/>
      <c r="GG5254"/>
      <c r="GH5254"/>
      <c r="GI5254"/>
      <c r="GJ5254"/>
      <c r="GK5254"/>
      <c r="GL5254"/>
      <c r="GM5254"/>
      <c r="GN5254"/>
      <c r="GO5254"/>
    </row>
    <row r="5255" spans="107:197">
      <c r="DC5255"/>
      <c r="FH5255"/>
      <c r="FI5255"/>
      <c r="FJ5255"/>
      <c r="FK5255"/>
      <c r="FL5255"/>
      <c r="FM5255"/>
      <c r="FN5255"/>
      <c r="FO5255"/>
      <c r="FP5255"/>
      <c r="FQ5255"/>
      <c r="FR5255"/>
      <c r="FS5255"/>
      <c r="FT5255"/>
      <c r="FU5255"/>
      <c r="FV5255"/>
      <c r="FW5255"/>
      <c r="FX5255"/>
      <c r="FY5255"/>
      <c r="FZ5255"/>
      <c r="GA5255"/>
      <c r="GB5255"/>
      <c r="GC5255"/>
      <c r="GD5255"/>
      <c r="GE5255"/>
      <c r="GF5255"/>
      <c r="GG5255"/>
      <c r="GH5255"/>
      <c r="GI5255"/>
      <c r="GJ5255"/>
      <c r="GK5255"/>
      <c r="GL5255"/>
      <c r="GM5255"/>
      <c r="GN5255"/>
      <c r="GO5255"/>
    </row>
    <row r="5256" spans="107:197">
      <c r="DC5256"/>
      <c r="FH5256"/>
      <c r="FI5256"/>
      <c r="FJ5256"/>
      <c r="FK5256"/>
      <c r="FL5256"/>
      <c r="FM5256"/>
      <c r="FN5256"/>
      <c r="FO5256"/>
      <c r="FP5256"/>
      <c r="FQ5256"/>
      <c r="FR5256"/>
      <c r="FS5256"/>
      <c r="FT5256"/>
      <c r="FU5256"/>
      <c r="FV5256"/>
      <c r="FW5256"/>
      <c r="FX5256"/>
      <c r="FY5256"/>
      <c r="FZ5256"/>
      <c r="GA5256"/>
      <c r="GB5256"/>
      <c r="GC5256"/>
      <c r="GD5256"/>
      <c r="GE5256"/>
      <c r="GF5256"/>
      <c r="GG5256"/>
      <c r="GH5256"/>
      <c r="GI5256"/>
      <c r="GJ5256"/>
      <c r="GK5256"/>
      <c r="GL5256"/>
      <c r="GM5256"/>
      <c r="GN5256"/>
      <c r="GO5256"/>
    </row>
    <row r="5257" spans="107:197">
      <c r="DC5257"/>
      <c r="FH5257"/>
      <c r="FI5257"/>
      <c r="FJ5257"/>
      <c r="FK5257"/>
      <c r="FL5257"/>
      <c r="FM5257"/>
      <c r="FN5257"/>
      <c r="FO5257"/>
      <c r="FP5257"/>
      <c r="FQ5257"/>
      <c r="FR5257"/>
      <c r="FS5257"/>
      <c r="FT5257"/>
      <c r="FU5257"/>
      <c r="FV5257"/>
      <c r="FW5257"/>
      <c r="FX5257"/>
      <c r="FY5257"/>
      <c r="FZ5257"/>
      <c r="GA5257"/>
      <c r="GB5257"/>
      <c r="GC5257"/>
      <c r="GD5257"/>
      <c r="GE5257"/>
      <c r="GF5257"/>
      <c r="GG5257"/>
      <c r="GH5257"/>
      <c r="GI5257"/>
      <c r="GJ5257"/>
      <c r="GK5257"/>
      <c r="GL5257"/>
      <c r="GM5257"/>
      <c r="GN5257"/>
      <c r="GO5257"/>
    </row>
    <row r="5258" spans="107:197">
      <c r="DC5258"/>
      <c r="FH5258"/>
      <c r="FI5258"/>
      <c r="FJ5258"/>
      <c r="FK5258"/>
      <c r="FL5258"/>
      <c r="FM5258"/>
      <c r="FN5258"/>
      <c r="FO5258"/>
      <c r="FP5258"/>
      <c r="FQ5258"/>
      <c r="FR5258"/>
      <c r="FS5258"/>
      <c r="FT5258"/>
      <c r="FU5258"/>
      <c r="FV5258"/>
      <c r="FW5258"/>
      <c r="FX5258"/>
      <c r="FY5258"/>
      <c r="FZ5258"/>
      <c r="GA5258"/>
      <c r="GB5258"/>
      <c r="GC5258"/>
      <c r="GD5258"/>
      <c r="GE5258"/>
      <c r="GF5258"/>
      <c r="GG5258"/>
      <c r="GH5258"/>
      <c r="GI5258"/>
      <c r="GJ5258"/>
      <c r="GK5258"/>
      <c r="GL5258"/>
      <c r="GM5258"/>
      <c r="GN5258"/>
      <c r="GO5258"/>
    </row>
    <row r="5259" spans="107:197">
      <c r="DC5259"/>
      <c r="FH5259"/>
      <c r="FI5259"/>
      <c r="FJ5259"/>
      <c r="FK5259"/>
      <c r="FL5259"/>
      <c r="FM5259"/>
      <c r="FN5259"/>
      <c r="FO5259"/>
      <c r="FP5259"/>
      <c r="FQ5259"/>
      <c r="FR5259"/>
      <c r="FS5259"/>
      <c r="FT5259"/>
      <c r="FU5259"/>
      <c r="FV5259"/>
      <c r="FW5259"/>
      <c r="FX5259"/>
      <c r="FY5259"/>
      <c r="FZ5259"/>
      <c r="GA5259"/>
      <c r="GB5259"/>
      <c r="GC5259"/>
      <c r="GD5259"/>
      <c r="GE5259"/>
      <c r="GF5259"/>
      <c r="GG5259"/>
      <c r="GH5259"/>
      <c r="GI5259"/>
      <c r="GJ5259"/>
      <c r="GK5259"/>
      <c r="GL5259"/>
      <c r="GM5259"/>
      <c r="GN5259"/>
      <c r="GO5259"/>
    </row>
    <row r="5260" spans="107:197">
      <c r="DC5260"/>
      <c r="FH5260"/>
      <c r="FI5260"/>
      <c r="FJ5260"/>
      <c r="FK5260"/>
      <c r="FL5260"/>
      <c r="FM5260"/>
      <c r="FN5260"/>
      <c r="FO5260"/>
      <c r="FP5260"/>
      <c r="FQ5260"/>
      <c r="FR5260"/>
      <c r="FS5260"/>
      <c r="FT5260"/>
      <c r="FU5260"/>
      <c r="FV5260"/>
      <c r="FW5260"/>
      <c r="FX5260"/>
      <c r="FY5260"/>
      <c r="FZ5260"/>
      <c r="GA5260"/>
      <c r="GB5260"/>
      <c r="GC5260"/>
      <c r="GD5260"/>
      <c r="GE5260"/>
      <c r="GF5260"/>
      <c r="GG5260"/>
      <c r="GH5260"/>
      <c r="GI5260"/>
      <c r="GJ5260"/>
      <c r="GK5260"/>
      <c r="GL5260"/>
      <c r="GM5260"/>
      <c r="GN5260"/>
      <c r="GO5260"/>
    </row>
    <row r="5261" spans="107:197">
      <c r="DC5261"/>
      <c r="FH5261"/>
      <c r="FI5261"/>
      <c r="FJ5261"/>
      <c r="FK5261"/>
      <c r="FL5261"/>
      <c r="FM5261"/>
      <c r="FN5261"/>
      <c r="FO5261"/>
      <c r="FP5261"/>
      <c r="FQ5261"/>
      <c r="FR5261"/>
      <c r="FS5261"/>
      <c r="FT5261"/>
      <c r="FU5261"/>
      <c r="FV5261"/>
      <c r="FW5261"/>
      <c r="FX5261"/>
      <c r="FY5261"/>
      <c r="FZ5261"/>
      <c r="GA5261"/>
      <c r="GB5261"/>
      <c r="GC5261"/>
      <c r="GD5261"/>
      <c r="GE5261"/>
      <c r="GF5261"/>
      <c r="GG5261"/>
      <c r="GH5261"/>
      <c r="GI5261"/>
      <c r="GJ5261"/>
      <c r="GK5261"/>
      <c r="GL5261"/>
      <c r="GM5261"/>
      <c r="GN5261"/>
      <c r="GO5261"/>
    </row>
    <row r="5262" spans="107:197">
      <c r="DC5262"/>
      <c r="FH5262"/>
      <c r="FI5262"/>
      <c r="FJ5262"/>
      <c r="FK5262"/>
      <c r="FL5262"/>
      <c r="FM5262"/>
      <c r="FN5262"/>
      <c r="FO5262"/>
      <c r="FP5262"/>
      <c r="FQ5262"/>
      <c r="FR5262"/>
      <c r="FS5262"/>
      <c r="FT5262"/>
      <c r="FU5262"/>
      <c r="FV5262"/>
      <c r="FW5262"/>
      <c r="FX5262"/>
      <c r="FY5262"/>
      <c r="FZ5262"/>
      <c r="GA5262"/>
      <c r="GB5262"/>
      <c r="GC5262"/>
      <c r="GD5262"/>
      <c r="GE5262"/>
      <c r="GF5262"/>
      <c r="GG5262"/>
      <c r="GH5262"/>
      <c r="GI5262"/>
      <c r="GJ5262"/>
      <c r="GK5262"/>
      <c r="GL5262"/>
      <c r="GM5262"/>
      <c r="GN5262"/>
      <c r="GO5262"/>
    </row>
    <row r="5263" spans="107:197">
      <c r="DC5263"/>
      <c r="FH5263"/>
      <c r="FI5263"/>
      <c r="FJ5263"/>
      <c r="FK5263"/>
      <c r="FL5263"/>
      <c r="FM5263"/>
      <c r="FN5263"/>
      <c r="FO5263"/>
      <c r="FP5263"/>
      <c r="FQ5263"/>
      <c r="FR5263"/>
      <c r="FS5263"/>
      <c r="FT5263"/>
      <c r="FU5263"/>
      <c r="FV5263"/>
      <c r="FW5263"/>
      <c r="FX5263"/>
      <c r="FY5263"/>
      <c r="FZ5263"/>
      <c r="GA5263"/>
      <c r="GB5263"/>
      <c r="GC5263"/>
      <c r="GD5263"/>
      <c r="GE5263"/>
      <c r="GF5263"/>
      <c r="GG5263"/>
      <c r="GH5263"/>
      <c r="GI5263"/>
      <c r="GJ5263"/>
      <c r="GK5263"/>
      <c r="GL5263"/>
      <c r="GM5263"/>
      <c r="GN5263"/>
      <c r="GO5263"/>
    </row>
    <row r="5264" spans="107:197">
      <c r="DC5264"/>
      <c r="FH5264"/>
      <c r="FI5264"/>
      <c r="FJ5264"/>
      <c r="FK5264"/>
      <c r="FL5264"/>
      <c r="FM5264"/>
      <c r="FN5264"/>
      <c r="FO5264"/>
      <c r="FP5264"/>
      <c r="FQ5264"/>
      <c r="FR5264"/>
      <c r="FS5264"/>
      <c r="FT5264"/>
      <c r="FU5264"/>
      <c r="FV5264"/>
      <c r="FW5264"/>
      <c r="FX5264"/>
      <c r="FY5264"/>
      <c r="FZ5264"/>
      <c r="GA5264"/>
      <c r="GB5264"/>
      <c r="GC5264"/>
      <c r="GD5264"/>
      <c r="GE5264"/>
      <c r="GF5264"/>
      <c r="GG5264"/>
      <c r="GH5264"/>
      <c r="GI5264"/>
      <c r="GJ5264"/>
      <c r="GK5264"/>
      <c r="GL5264"/>
      <c r="GM5264"/>
      <c r="GN5264"/>
      <c r="GO5264"/>
    </row>
    <row r="5265" spans="107:197">
      <c r="DC5265"/>
      <c r="FH5265"/>
      <c r="FI5265"/>
      <c r="FJ5265"/>
      <c r="FK5265"/>
      <c r="FL5265"/>
      <c r="FM5265"/>
      <c r="FN5265"/>
      <c r="FO5265"/>
      <c r="FP5265"/>
      <c r="FQ5265"/>
      <c r="FR5265"/>
      <c r="FS5265"/>
      <c r="FT5265"/>
      <c r="FU5265"/>
      <c r="FV5265"/>
      <c r="FW5265"/>
      <c r="FX5265"/>
      <c r="FY5265"/>
      <c r="FZ5265"/>
      <c r="GA5265"/>
      <c r="GB5265"/>
      <c r="GC5265"/>
      <c r="GD5265"/>
      <c r="GE5265"/>
      <c r="GF5265"/>
      <c r="GG5265"/>
      <c r="GH5265"/>
      <c r="GI5265"/>
      <c r="GJ5265"/>
      <c r="GK5265"/>
      <c r="GL5265"/>
      <c r="GM5265"/>
      <c r="GN5265"/>
      <c r="GO5265"/>
    </row>
    <row r="5266" spans="107:197">
      <c r="DC5266"/>
      <c r="FH5266"/>
      <c r="FI5266"/>
      <c r="FJ5266"/>
      <c r="FK5266"/>
      <c r="FL5266"/>
      <c r="FM5266"/>
      <c r="FN5266"/>
      <c r="FO5266"/>
      <c r="FP5266"/>
      <c r="FQ5266"/>
      <c r="FR5266"/>
      <c r="FS5266"/>
      <c r="FT5266"/>
      <c r="FU5266"/>
      <c r="FV5266"/>
      <c r="FW5266"/>
      <c r="FX5266"/>
      <c r="FY5266"/>
      <c r="FZ5266"/>
      <c r="GA5266"/>
      <c r="GB5266"/>
      <c r="GC5266"/>
      <c r="GD5266"/>
      <c r="GE5266"/>
      <c r="GF5266"/>
      <c r="GG5266"/>
      <c r="GH5266"/>
      <c r="GI5266"/>
      <c r="GJ5266"/>
      <c r="GK5266"/>
      <c r="GL5266"/>
      <c r="GM5266"/>
      <c r="GN5266"/>
      <c r="GO5266"/>
    </row>
    <row r="5267" spans="107:197">
      <c r="DC5267"/>
      <c r="FH5267"/>
      <c r="FI5267"/>
      <c r="FJ5267"/>
      <c r="FK5267"/>
      <c r="FL5267"/>
      <c r="FM5267"/>
      <c r="FN5267"/>
      <c r="FO5267"/>
      <c r="FP5267"/>
      <c r="FQ5267"/>
      <c r="FR5267"/>
      <c r="FS5267"/>
      <c r="FT5267"/>
      <c r="FU5267"/>
      <c r="FV5267"/>
      <c r="FW5267"/>
      <c r="FX5267"/>
      <c r="FY5267"/>
      <c r="FZ5267"/>
      <c r="GA5267"/>
      <c r="GB5267"/>
      <c r="GC5267"/>
      <c r="GD5267"/>
      <c r="GE5267"/>
      <c r="GF5267"/>
      <c r="GG5267"/>
      <c r="GH5267"/>
      <c r="GI5267"/>
      <c r="GJ5267"/>
      <c r="GK5267"/>
      <c r="GL5267"/>
      <c r="GM5267"/>
      <c r="GN5267"/>
      <c r="GO5267"/>
    </row>
    <row r="5268" spans="107:197">
      <c r="DC5268"/>
      <c r="FH5268"/>
      <c r="FI5268"/>
      <c r="FJ5268"/>
      <c r="FK5268"/>
      <c r="FL5268"/>
      <c r="FM5268"/>
      <c r="FN5268"/>
      <c r="FO5268"/>
      <c r="FP5268"/>
      <c r="FQ5268"/>
      <c r="FR5268"/>
      <c r="FS5268"/>
      <c r="FT5268"/>
      <c r="FU5268"/>
      <c r="FV5268"/>
      <c r="FW5268"/>
      <c r="FX5268"/>
      <c r="FY5268"/>
      <c r="FZ5268"/>
      <c r="GA5268"/>
      <c r="GB5268"/>
      <c r="GC5268"/>
      <c r="GD5268"/>
      <c r="GE5268"/>
      <c r="GF5268"/>
      <c r="GG5268"/>
      <c r="GH5268"/>
      <c r="GI5268"/>
      <c r="GJ5268"/>
      <c r="GK5268"/>
      <c r="GL5268"/>
      <c r="GM5268"/>
      <c r="GN5268"/>
      <c r="GO5268"/>
    </row>
    <row r="5269" spans="107:197">
      <c r="DC5269"/>
      <c r="FH5269"/>
      <c r="FI5269"/>
      <c r="FJ5269"/>
      <c r="FK5269"/>
      <c r="FL5269"/>
      <c r="FM5269"/>
      <c r="FN5269"/>
      <c r="FO5269"/>
      <c r="FP5269"/>
      <c r="FQ5269"/>
      <c r="FR5269"/>
      <c r="FS5269"/>
      <c r="FT5269"/>
      <c r="FU5269"/>
      <c r="FV5269"/>
      <c r="FW5269"/>
      <c r="FX5269"/>
      <c r="FY5269"/>
      <c r="FZ5269"/>
      <c r="GA5269"/>
      <c r="GB5269"/>
      <c r="GC5269"/>
      <c r="GD5269"/>
      <c r="GE5269"/>
      <c r="GF5269"/>
      <c r="GG5269"/>
      <c r="GH5269"/>
      <c r="GI5269"/>
      <c r="GJ5269"/>
      <c r="GK5269"/>
      <c r="GL5269"/>
      <c r="GM5269"/>
      <c r="GN5269"/>
      <c r="GO5269"/>
    </row>
    <row r="5270" spans="107:197">
      <c r="DC5270"/>
      <c r="FH5270"/>
      <c r="FI5270"/>
      <c r="FJ5270"/>
      <c r="FK5270"/>
      <c r="FL5270"/>
      <c r="FM5270"/>
      <c r="FN5270"/>
      <c r="FO5270"/>
      <c r="FP5270"/>
      <c r="FQ5270"/>
      <c r="FR5270"/>
      <c r="FS5270"/>
      <c r="FT5270"/>
      <c r="FU5270"/>
      <c r="FV5270"/>
      <c r="FW5270"/>
      <c r="FX5270"/>
      <c r="FY5270"/>
      <c r="FZ5270"/>
      <c r="GA5270"/>
      <c r="GB5270"/>
      <c r="GC5270"/>
      <c r="GD5270"/>
      <c r="GE5270"/>
      <c r="GF5270"/>
      <c r="GG5270"/>
      <c r="GH5270"/>
      <c r="GI5270"/>
      <c r="GJ5270"/>
      <c r="GK5270"/>
      <c r="GL5270"/>
      <c r="GM5270"/>
      <c r="GN5270"/>
      <c r="GO5270"/>
    </row>
    <row r="5271" spans="107:197">
      <c r="DC5271"/>
      <c r="FH5271"/>
      <c r="FI5271"/>
      <c r="FJ5271"/>
      <c r="FK5271"/>
      <c r="FL5271"/>
      <c r="FM5271"/>
      <c r="FN5271"/>
      <c r="FO5271"/>
      <c r="FP5271"/>
      <c r="FQ5271"/>
      <c r="FR5271"/>
      <c r="FS5271"/>
      <c r="FT5271"/>
      <c r="FU5271"/>
      <c r="FV5271"/>
      <c r="FW5271"/>
      <c r="FX5271"/>
      <c r="FY5271"/>
      <c r="FZ5271"/>
      <c r="GA5271"/>
      <c r="GB5271"/>
      <c r="GC5271"/>
      <c r="GD5271"/>
      <c r="GE5271"/>
      <c r="GF5271"/>
      <c r="GG5271"/>
      <c r="GH5271"/>
      <c r="GI5271"/>
      <c r="GJ5271"/>
      <c r="GK5271"/>
      <c r="GL5271"/>
      <c r="GM5271"/>
      <c r="GN5271"/>
      <c r="GO5271"/>
    </row>
    <row r="5272" spans="107:197">
      <c r="DC5272"/>
      <c r="FH5272"/>
      <c r="FI5272"/>
      <c r="FJ5272"/>
      <c r="FK5272"/>
      <c r="FL5272"/>
      <c r="FM5272"/>
      <c r="FN5272"/>
      <c r="FO5272"/>
      <c r="FP5272"/>
      <c r="FQ5272"/>
      <c r="FR5272"/>
      <c r="FS5272"/>
      <c r="FT5272"/>
      <c r="FU5272"/>
      <c r="FV5272"/>
      <c r="FW5272"/>
      <c r="FX5272"/>
      <c r="FY5272"/>
      <c r="FZ5272"/>
      <c r="GA5272"/>
      <c r="GB5272"/>
      <c r="GC5272"/>
      <c r="GD5272"/>
      <c r="GE5272"/>
      <c r="GF5272"/>
      <c r="GG5272"/>
      <c r="GH5272"/>
      <c r="GI5272"/>
      <c r="GJ5272"/>
      <c r="GK5272"/>
      <c r="GL5272"/>
      <c r="GM5272"/>
      <c r="GN5272"/>
      <c r="GO5272"/>
    </row>
    <row r="5273" spans="107:197">
      <c r="DC5273"/>
      <c r="FH5273"/>
      <c r="FI5273"/>
      <c r="FJ5273"/>
      <c r="FK5273"/>
      <c r="FL5273"/>
      <c r="FM5273"/>
      <c r="FN5273"/>
      <c r="FO5273"/>
      <c r="FP5273"/>
      <c r="FQ5273"/>
      <c r="FR5273"/>
      <c r="FS5273"/>
      <c r="FT5273"/>
      <c r="FU5273"/>
      <c r="FV5273"/>
      <c r="FW5273"/>
      <c r="FX5273"/>
      <c r="FY5273"/>
      <c r="FZ5273"/>
      <c r="GA5273"/>
      <c r="GB5273"/>
      <c r="GC5273"/>
      <c r="GD5273"/>
      <c r="GE5273"/>
      <c r="GF5273"/>
      <c r="GG5273"/>
      <c r="GH5273"/>
      <c r="GI5273"/>
      <c r="GJ5273"/>
      <c r="GK5273"/>
      <c r="GL5273"/>
      <c r="GM5273"/>
      <c r="GN5273"/>
      <c r="GO5273"/>
    </row>
    <row r="5274" spans="107:197">
      <c r="DC5274"/>
      <c r="FH5274"/>
      <c r="FI5274"/>
      <c r="FJ5274"/>
      <c r="FK5274"/>
      <c r="FL5274"/>
      <c r="FM5274"/>
      <c r="FN5274"/>
      <c r="FO5274"/>
      <c r="FP5274"/>
      <c r="FQ5274"/>
      <c r="FR5274"/>
      <c r="FS5274"/>
      <c r="FT5274"/>
      <c r="FU5274"/>
      <c r="FV5274"/>
      <c r="FW5274"/>
      <c r="FX5274"/>
      <c r="FY5274"/>
      <c r="FZ5274"/>
      <c r="GA5274"/>
      <c r="GB5274"/>
      <c r="GC5274"/>
      <c r="GD5274"/>
      <c r="GE5274"/>
      <c r="GF5274"/>
      <c r="GG5274"/>
      <c r="GH5274"/>
      <c r="GI5274"/>
      <c r="GJ5274"/>
      <c r="GK5274"/>
      <c r="GL5274"/>
      <c r="GM5274"/>
      <c r="GN5274"/>
      <c r="GO5274"/>
    </row>
    <row r="5275" spans="107:197">
      <c r="DC5275"/>
      <c r="FH5275"/>
      <c r="FI5275"/>
      <c r="FJ5275"/>
      <c r="FK5275"/>
      <c r="FL5275"/>
      <c r="FM5275"/>
      <c r="FN5275"/>
      <c r="FO5275"/>
      <c r="FP5275"/>
      <c r="FQ5275"/>
      <c r="FR5275"/>
      <c r="FS5275"/>
      <c r="FT5275"/>
      <c r="FU5275"/>
      <c r="FV5275"/>
      <c r="FW5275"/>
      <c r="FX5275"/>
      <c r="FY5275"/>
      <c r="FZ5275"/>
      <c r="GA5275"/>
      <c r="GB5275"/>
      <c r="GC5275"/>
      <c r="GD5275"/>
      <c r="GE5275"/>
      <c r="GF5275"/>
      <c r="GG5275"/>
      <c r="GH5275"/>
      <c r="GI5275"/>
      <c r="GJ5275"/>
      <c r="GK5275"/>
      <c r="GL5275"/>
      <c r="GM5275"/>
      <c r="GN5275"/>
      <c r="GO5275"/>
    </row>
    <row r="5276" spans="107:197">
      <c r="DC5276"/>
      <c r="FH5276"/>
      <c r="FI5276"/>
      <c r="FJ5276"/>
      <c r="FK5276"/>
      <c r="FL5276"/>
      <c r="FM5276"/>
      <c r="FN5276"/>
      <c r="FO5276"/>
      <c r="FP5276"/>
      <c r="FQ5276"/>
      <c r="FR5276"/>
      <c r="FS5276"/>
      <c r="FT5276"/>
      <c r="FU5276"/>
      <c r="FV5276"/>
      <c r="FW5276"/>
      <c r="FX5276"/>
      <c r="FY5276"/>
      <c r="FZ5276"/>
      <c r="GA5276"/>
      <c r="GB5276"/>
      <c r="GC5276"/>
      <c r="GD5276"/>
      <c r="GE5276"/>
      <c r="GF5276"/>
      <c r="GG5276"/>
      <c r="GH5276"/>
      <c r="GI5276"/>
      <c r="GJ5276"/>
      <c r="GK5276"/>
      <c r="GL5276"/>
      <c r="GM5276"/>
      <c r="GN5276"/>
      <c r="GO5276"/>
    </row>
    <row r="5277" spans="107:197">
      <c r="DC5277"/>
      <c r="FH5277"/>
      <c r="FI5277"/>
      <c r="FJ5277"/>
      <c r="FK5277"/>
      <c r="FL5277"/>
      <c r="FM5277"/>
      <c r="FN5277"/>
      <c r="FO5277"/>
      <c r="FP5277"/>
      <c r="FQ5277"/>
      <c r="FR5277"/>
      <c r="FS5277"/>
      <c r="FT5277"/>
      <c r="FU5277"/>
      <c r="FV5277"/>
      <c r="FW5277"/>
      <c r="FX5277"/>
      <c r="FY5277"/>
      <c r="FZ5277"/>
      <c r="GA5277"/>
      <c r="GB5277"/>
      <c r="GC5277"/>
      <c r="GD5277"/>
      <c r="GE5277"/>
      <c r="GF5277"/>
      <c r="GG5277"/>
      <c r="GH5277"/>
      <c r="GI5277"/>
      <c r="GJ5277"/>
      <c r="GK5277"/>
      <c r="GL5277"/>
      <c r="GM5277"/>
      <c r="GN5277"/>
      <c r="GO5277"/>
    </row>
    <row r="5278" spans="107:197">
      <c r="DC5278"/>
      <c r="FH5278"/>
      <c r="FI5278"/>
      <c r="FJ5278"/>
      <c r="FK5278"/>
      <c r="FL5278"/>
      <c r="FM5278"/>
      <c r="FN5278"/>
      <c r="FO5278"/>
      <c r="FP5278"/>
      <c r="FQ5278"/>
      <c r="FR5278"/>
      <c r="FS5278"/>
      <c r="FT5278"/>
      <c r="FU5278"/>
      <c r="FV5278"/>
      <c r="FW5278"/>
      <c r="FX5278"/>
      <c r="FY5278"/>
      <c r="FZ5278"/>
      <c r="GA5278"/>
      <c r="GB5278"/>
      <c r="GC5278"/>
      <c r="GD5278"/>
      <c r="GE5278"/>
      <c r="GF5278"/>
      <c r="GG5278"/>
      <c r="GH5278"/>
      <c r="GI5278"/>
      <c r="GJ5278"/>
      <c r="GK5278"/>
      <c r="GL5278"/>
      <c r="GM5278"/>
      <c r="GN5278"/>
      <c r="GO5278"/>
    </row>
    <row r="5279" spans="107:197">
      <c r="DC5279"/>
      <c r="FH5279"/>
      <c r="FI5279"/>
      <c r="FJ5279"/>
      <c r="FK5279"/>
      <c r="FL5279"/>
      <c r="FM5279"/>
      <c r="FN5279"/>
      <c r="FO5279"/>
      <c r="FP5279"/>
      <c r="FQ5279"/>
      <c r="FR5279"/>
      <c r="FS5279"/>
      <c r="FT5279"/>
      <c r="FU5279"/>
      <c r="FV5279"/>
      <c r="FW5279"/>
      <c r="FX5279"/>
      <c r="FY5279"/>
      <c r="FZ5279"/>
      <c r="GA5279"/>
      <c r="GB5279"/>
      <c r="GC5279"/>
      <c r="GD5279"/>
      <c r="GE5279"/>
      <c r="GF5279"/>
      <c r="GG5279"/>
      <c r="GH5279"/>
      <c r="GI5279"/>
      <c r="GJ5279"/>
      <c r="GK5279"/>
      <c r="GL5279"/>
      <c r="GM5279"/>
      <c r="GN5279"/>
      <c r="GO5279"/>
    </row>
    <row r="5280" spans="107:197">
      <c r="DC5280"/>
      <c r="FH5280"/>
      <c r="FI5280"/>
      <c r="FJ5280"/>
      <c r="FK5280"/>
      <c r="FL5280"/>
      <c r="FM5280"/>
      <c r="FN5280"/>
      <c r="FO5280"/>
      <c r="FP5280"/>
      <c r="FQ5280"/>
      <c r="FR5280"/>
      <c r="FS5280"/>
      <c r="FT5280"/>
      <c r="FU5280"/>
      <c r="FV5280"/>
      <c r="FW5280"/>
      <c r="FX5280"/>
      <c r="FY5280"/>
      <c r="FZ5280"/>
      <c r="GA5280"/>
      <c r="GB5280"/>
      <c r="GC5280"/>
      <c r="GD5280"/>
      <c r="GE5280"/>
      <c r="GF5280"/>
      <c r="GG5280"/>
      <c r="GH5280"/>
      <c r="GI5280"/>
      <c r="GJ5280"/>
      <c r="GK5280"/>
      <c r="GL5280"/>
      <c r="GM5280"/>
      <c r="GN5280"/>
      <c r="GO5280"/>
    </row>
    <row r="5281" spans="107:197">
      <c r="DC5281"/>
      <c r="FH5281"/>
      <c r="FI5281"/>
      <c r="FJ5281"/>
      <c r="FK5281"/>
      <c r="FL5281"/>
      <c r="FM5281"/>
      <c r="FN5281"/>
      <c r="FO5281"/>
      <c r="FP5281"/>
      <c r="FQ5281"/>
      <c r="FR5281"/>
      <c r="FS5281"/>
      <c r="FT5281"/>
      <c r="FU5281"/>
      <c r="FV5281"/>
      <c r="FW5281"/>
      <c r="FX5281"/>
      <c r="FY5281"/>
      <c r="FZ5281"/>
      <c r="GA5281"/>
      <c r="GB5281"/>
      <c r="GC5281"/>
      <c r="GD5281"/>
      <c r="GE5281"/>
      <c r="GF5281"/>
      <c r="GG5281"/>
      <c r="GH5281"/>
      <c r="GI5281"/>
      <c r="GJ5281"/>
      <c r="GK5281"/>
      <c r="GL5281"/>
      <c r="GM5281"/>
      <c r="GN5281"/>
      <c r="GO5281"/>
    </row>
    <row r="5282" spans="107:197">
      <c r="DC5282"/>
      <c r="FH5282"/>
      <c r="FI5282"/>
      <c r="FJ5282"/>
      <c r="FK5282"/>
      <c r="FL5282"/>
      <c r="FM5282"/>
      <c r="FN5282"/>
      <c r="FO5282"/>
      <c r="FP5282"/>
      <c r="FQ5282"/>
      <c r="FR5282"/>
      <c r="FS5282"/>
      <c r="FT5282"/>
      <c r="FU5282"/>
      <c r="FV5282"/>
      <c r="FW5282"/>
      <c r="FX5282"/>
      <c r="FY5282"/>
      <c r="FZ5282"/>
      <c r="GA5282"/>
      <c r="GB5282"/>
      <c r="GC5282"/>
      <c r="GD5282"/>
      <c r="GE5282"/>
      <c r="GF5282"/>
      <c r="GG5282"/>
      <c r="GH5282"/>
      <c r="GI5282"/>
      <c r="GJ5282"/>
      <c r="GK5282"/>
      <c r="GL5282"/>
      <c r="GM5282"/>
      <c r="GN5282"/>
      <c r="GO5282"/>
    </row>
    <row r="5283" spans="107:197">
      <c r="DC5283"/>
      <c r="FH5283"/>
      <c r="FI5283"/>
      <c r="FJ5283"/>
      <c r="FK5283"/>
      <c r="FL5283"/>
      <c r="FM5283"/>
      <c r="FN5283"/>
      <c r="FO5283"/>
      <c r="FP5283"/>
      <c r="FQ5283"/>
      <c r="FR5283"/>
      <c r="FS5283"/>
      <c r="FT5283"/>
      <c r="FU5283"/>
      <c r="FV5283"/>
      <c r="FW5283"/>
      <c r="FX5283"/>
      <c r="FY5283"/>
      <c r="FZ5283"/>
      <c r="GA5283"/>
      <c r="GB5283"/>
      <c r="GC5283"/>
      <c r="GD5283"/>
      <c r="GE5283"/>
      <c r="GF5283"/>
      <c r="GG5283"/>
      <c r="GH5283"/>
      <c r="GI5283"/>
      <c r="GJ5283"/>
      <c r="GK5283"/>
      <c r="GL5283"/>
      <c r="GM5283"/>
      <c r="GN5283"/>
      <c r="GO5283"/>
    </row>
    <row r="5284" spans="107:197">
      <c r="DC5284"/>
      <c r="FH5284"/>
      <c r="FI5284"/>
      <c r="FJ5284"/>
      <c r="FK5284"/>
      <c r="FL5284"/>
      <c r="FM5284"/>
      <c r="FN5284"/>
      <c r="FO5284"/>
      <c r="FP5284"/>
      <c r="FQ5284"/>
      <c r="FR5284"/>
      <c r="FS5284"/>
      <c r="FT5284"/>
      <c r="FU5284"/>
      <c r="FV5284"/>
      <c r="FW5284"/>
      <c r="FX5284"/>
      <c r="FY5284"/>
      <c r="FZ5284"/>
      <c r="GA5284"/>
      <c r="GB5284"/>
      <c r="GC5284"/>
      <c r="GD5284"/>
      <c r="GE5284"/>
      <c r="GF5284"/>
      <c r="GG5284"/>
      <c r="GH5284"/>
      <c r="GI5284"/>
      <c r="GJ5284"/>
      <c r="GK5284"/>
      <c r="GL5284"/>
      <c r="GM5284"/>
      <c r="GN5284"/>
      <c r="GO5284"/>
    </row>
    <row r="5285" spans="107:197">
      <c r="DC5285"/>
      <c r="FH5285"/>
      <c r="FI5285"/>
      <c r="FJ5285"/>
      <c r="FK5285"/>
      <c r="FL5285"/>
      <c r="FM5285"/>
      <c r="FN5285"/>
      <c r="FO5285"/>
      <c r="FP5285"/>
      <c r="FQ5285"/>
      <c r="FR5285"/>
      <c r="FS5285"/>
      <c r="FT5285"/>
      <c r="FU5285"/>
      <c r="FV5285"/>
      <c r="FW5285"/>
      <c r="FX5285"/>
      <c r="FY5285"/>
      <c r="FZ5285"/>
      <c r="GA5285"/>
      <c r="GB5285"/>
      <c r="GC5285"/>
      <c r="GD5285"/>
      <c r="GE5285"/>
      <c r="GF5285"/>
      <c r="GG5285"/>
      <c r="GH5285"/>
      <c r="GI5285"/>
      <c r="GJ5285"/>
      <c r="GK5285"/>
      <c r="GL5285"/>
      <c r="GM5285"/>
      <c r="GN5285"/>
      <c r="GO5285"/>
    </row>
    <row r="5286" spans="107:197">
      <c r="DC5286"/>
      <c r="FH5286"/>
      <c r="FI5286"/>
      <c r="FJ5286"/>
      <c r="FK5286"/>
      <c r="FL5286"/>
      <c r="FM5286"/>
      <c r="FN5286"/>
      <c r="FO5286"/>
      <c r="FP5286"/>
      <c r="FQ5286"/>
      <c r="FR5286"/>
      <c r="FS5286"/>
      <c r="FT5286"/>
      <c r="FU5286"/>
      <c r="FV5286"/>
      <c r="FW5286"/>
      <c r="FX5286"/>
      <c r="FY5286"/>
      <c r="FZ5286"/>
      <c r="GA5286"/>
      <c r="GB5286"/>
      <c r="GC5286"/>
      <c r="GD5286"/>
      <c r="GE5286"/>
      <c r="GF5286"/>
      <c r="GG5286"/>
      <c r="GH5286"/>
      <c r="GI5286"/>
      <c r="GJ5286"/>
      <c r="GK5286"/>
      <c r="GL5286"/>
      <c r="GM5286"/>
      <c r="GN5286"/>
      <c r="GO5286"/>
    </row>
    <row r="5287" spans="107:197">
      <c r="DC5287"/>
      <c r="FH5287"/>
      <c r="FI5287"/>
      <c r="FJ5287"/>
      <c r="FK5287"/>
      <c r="FL5287"/>
      <c r="FM5287"/>
      <c r="FN5287"/>
      <c r="FO5287"/>
      <c r="FP5287"/>
      <c r="FQ5287"/>
      <c r="FR5287"/>
      <c r="FS5287"/>
      <c r="FT5287"/>
      <c r="FU5287"/>
      <c r="FV5287"/>
      <c r="FW5287"/>
      <c r="FX5287"/>
      <c r="FY5287"/>
      <c r="FZ5287"/>
      <c r="GA5287"/>
      <c r="GB5287"/>
      <c r="GC5287"/>
      <c r="GD5287"/>
      <c r="GE5287"/>
      <c r="GF5287"/>
      <c r="GG5287"/>
      <c r="GH5287"/>
      <c r="GI5287"/>
      <c r="GJ5287"/>
      <c r="GK5287"/>
      <c r="GL5287"/>
      <c r="GM5287"/>
      <c r="GN5287"/>
      <c r="GO5287"/>
    </row>
    <row r="5288" spans="107:197">
      <c r="DC5288"/>
      <c r="FH5288"/>
      <c r="FI5288"/>
      <c r="FJ5288"/>
      <c r="FK5288"/>
      <c r="FL5288"/>
      <c r="FM5288"/>
      <c r="FN5288"/>
      <c r="FO5288"/>
      <c r="FP5288"/>
      <c r="FQ5288"/>
      <c r="FR5288"/>
      <c r="FS5288"/>
      <c r="FT5288"/>
      <c r="FU5288"/>
      <c r="FV5288"/>
      <c r="FW5288"/>
      <c r="FX5288"/>
      <c r="FY5288"/>
      <c r="FZ5288"/>
      <c r="GA5288"/>
      <c r="GB5288"/>
      <c r="GC5288"/>
      <c r="GD5288"/>
      <c r="GE5288"/>
      <c r="GF5288"/>
      <c r="GG5288"/>
      <c r="GH5288"/>
      <c r="GI5288"/>
      <c r="GJ5288"/>
      <c r="GK5288"/>
      <c r="GL5288"/>
      <c r="GM5288"/>
      <c r="GN5288"/>
      <c r="GO5288"/>
    </row>
    <row r="5289" spans="107:197">
      <c r="DC5289"/>
      <c r="FH5289"/>
      <c r="FI5289"/>
      <c r="FJ5289"/>
      <c r="FK5289"/>
      <c r="FL5289"/>
      <c r="FM5289"/>
      <c r="FN5289"/>
      <c r="FO5289"/>
      <c r="FP5289"/>
      <c r="FQ5289"/>
      <c r="FR5289"/>
      <c r="FS5289"/>
      <c r="FT5289"/>
      <c r="FU5289"/>
      <c r="FV5289"/>
      <c r="FW5289"/>
      <c r="FX5289"/>
      <c r="FY5289"/>
      <c r="FZ5289"/>
      <c r="GA5289"/>
      <c r="GB5289"/>
      <c r="GC5289"/>
      <c r="GD5289"/>
      <c r="GE5289"/>
      <c r="GF5289"/>
      <c r="GG5289"/>
      <c r="GH5289"/>
      <c r="GI5289"/>
      <c r="GJ5289"/>
      <c r="GK5289"/>
      <c r="GL5289"/>
      <c r="GM5289"/>
      <c r="GN5289"/>
      <c r="GO5289"/>
    </row>
    <row r="5290" spans="107:197">
      <c r="DC5290"/>
      <c r="FH5290"/>
      <c r="FI5290"/>
      <c r="FJ5290"/>
      <c r="FK5290"/>
      <c r="FL5290"/>
      <c r="FM5290"/>
      <c r="FN5290"/>
      <c r="FO5290"/>
      <c r="FP5290"/>
      <c r="FQ5290"/>
      <c r="FR5290"/>
      <c r="FS5290"/>
      <c r="FT5290"/>
      <c r="FU5290"/>
      <c r="FV5290"/>
      <c r="FW5290"/>
      <c r="FX5290"/>
      <c r="FY5290"/>
      <c r="FZ5290"/>
      <c r="GA5290"/>
      <c r="GB5290"/>
      <c r="GC5290"/>
      <c r="GD5290"/>
      <c r="GE5290"/>
      <c r="GF5290"/>
      <c r="GG5290"/>
      <c r="GH5290"/>
      <c r="GI5290"/>
      <c r="GJ5290"/>
      <c r="GK5290"/>
      <c r="GL5290"/>
      <c r="GM5290"/>
      <c r="GN5290"/>
      <c r="GO5290"/>
    </row>
    <row r="5291" spans="107:197">
      <c r="DC5291"/>
      <c r="FH5291"/>
      <c r="FI5291"/>
      <c r="FJ5291"/>
      <c r="FK5291"/>
      <c r="FL5291"/>
      <c r="FM5291"/>
      <c r="FN5291"/>
      <c r="FO5291"/>
      <c r="FP5291"/>
      <c r="FQ5291"/>
      <c r="FR5291"/>
      <c r="FS5291"/>
      <c r="FT5291"/>
      <c r="FU5291"/>
      <c r="FV5291"/>
      <c r="FW5291"/>
      <c r="FX5291"/>
      <c r="FY5291"/>
      <c r="FZ5291"/>
      <c r="GA5291"/>
      <c r="GB5291"/>
      <c r="GC5291"/>
      <c r="GD5291"/>
      <c r="GE5291"/>
      <c r="GF5291"/>
      <c r="GG5291"/>
      <c r="GH5291"/>
      <c r="GI5291"/>
      <c r="GJ5291"/>
      <c r="GK5291"/>
      <c r="GL5291"/>
      <c r="GM5291"/>
      <c r="GN5291"/>
      <c r="GO5291"/>
    </row>
    <row r="5292" spans="107:197">
      <c r="DC5292"/>
      <c r="FH5292"/>
      <c r="FI5292"/>
      <c r="FJ5292"/>
      <c r="FK5292"/>
      <c r="FL5292"/>
      <c r="FM5292"/>
      <c r="FN5292"/>
      <c r="FO5292"/>
      <c r="FP5292"/>
      <c r="FQ5292"/>
      <c r="FR5292"/>
      <c r="FS5292"/>
      <c r="FT5292"/>
      <c r="FU5292"/>
      <c r="FV5292"/>
      <c r="FW5292"/>
      <c r="FX5292"/>
      <c r="FY5292"/>
      <c r="FZ5292"/>
      <c r="GA5292"/>
      <c r="GB5292"/>
      <c r="GC5292"/>
      <c r="GD5292"/>
      <c r="GE5292"/>
      <c r="GF5292"/>
      <c r="GG5292"/>
      <c r="GH5292"/>
      <c r="GI5292"/>
      <c r="GJ5292"/>
      <c r="GK5292"/>
      <c r="GL5292"/>
      <c r="GM5292"/>
      <c r="GN5292"/>
      <c r="GO5292"/>
    </row>
    <row r="5293" spans="107:197">
      <c r="DC5293"/>
      <c r="FH5293"/>
      <c r="FI5293"/>
      <c r="FJ5293"/>
      <c r="FK5293"/>
      <c r="FL5293"/>
      <c r="FM5293"/>
      <c r="FN5293"/>
      <c r="FO5293"/>
      <c r="FP5293"/>
      <c r="FQ5293"/>
      <c r="FR5293"/>
      <c r="FS5293"/>
      <c r="FT5293"/>
      <c r="FU5293"/>
      <c r="FV5293"/>
      <c r="FW5293"/>
      <c r="FX5293"/>
      <c r="FY5293"/>
      <c r="FZ5293"/>
      <c r="GA5293"/>
      <c r="GB5293"/>
      <c r="GC5293"/>
      <c r="GD5293"/>
      <c r="GE5293"/>
      <c r="GF5293"/>
      <c r="GG5293"/>
      <c r="GH5293"/>
      <c r="GI5293"/>
      <c r="GJ5293"/>
      <c r="GK5293"/>
      <c r="GL5293"/>
      <c r="GM5293"/>
      <c r="GN5293"/>
      <c r="GO5293"/>
    </row>
    <row r="5294" spans="107:197">
      <c r="DC5294"/>
      <c r="FH5294"/>
      <c r="FI5294"/>
      <c r="FJ5294"/>
      <c r="FK5294"/>
      <c r="FL5294"/>
      <c r="FM5294"/>
      <c r="FN5294"/>
      <c r="FO5294"/>
      <c r="FP5294"/>
      <c r="FQ5294"/>
      <c r="FR5294"/>
      <c r="FS5294"/>
      <c r="FT5294"/>
      <c r="FU5294"/>
      <c r="FV5294"/>
      <c r="FW5294"/>
      <c r="FX5294"/>
      <c r="FY5294"/>
      <c r="FZ5294"/>
      <c r="GA5294"/>
      <c r="GB5294"/>
      <c r="GC5294"/>
      <c r="GD5294"/>
      <c r="GE5294"/>
      <c r="GF5294"/>
      <c r="GG5294"/>
      <c r="GH5294"/>
      <c r="GI5294"/>
      <c r="GJ5294"/>
      <c r="GK5294"/>
      <c r="GL5294"/>
      <c r="GM5294"/>
      <c r="GN5294"/>
      <c r="GO5294"/>
    </row>
    <row r="5295" spans="107:197">
      <c r="DC5295"/>
      <c r="FH5295"/>
      <c r="FI5295"/>
      <c r="FJ5295"/>
      <c r="FK5295"/>
      <c r="FL5295"/>
      <c r="FM5295"/>
      <c r="FN5295"/>
      <c r="FO5295"/>
      <c r="FP5295"/>
      <c r="FQ5295"/>
      <c r="FR5295"/>
      <c r="FS5295"/>
      <c r="FT5295"/>
      <c r="FU5295"/>
      <c r="FV5295"/>
      <c r="FW5295"/>
      <c r="FX5295"/>
      <c r="FY5295"/>
      <c r="FZ5295"/>
      <c r="GA5295"/>
      <c r="GB5295"/>
      <c r="GC5295"/>
      <c r="GD5295"/>
      <c r="GE5295"/>
      <c r="GF5295"/>
      <c r="GG5295"/>
      <c r="GH5295"/>
      <c r="GI5295"/>
      <c r="GJ5295"/>
      <c r="GK5295"/>
      <c r="GL5295"/>
      <c r="GM5295"/>
      <c r="GN5295"/>
      <c r="GO5295"/>
    </row>
    <row r="5296" spans="107:197">
      <c r="DC5296"/>
      <c r="FH5296"/>
      <c r="FI5296"/>
      <c r="FJ5296"/>
      <c r="FK5296"/>
      <c r="FL5296"/>
      <c r="FM5296"/>
      <c r="FN5296"/>
      <c r="FO5296"/>
      <c r="FP5296"/>
      <c r="FQ5296"/>
      <c r="FR5296"/>
      <c r="FS5296"/>
      <c r="FT5296"/>
      <c r="FU5296"/>
      <c r="FV5296"/>
      <c r="FW5296"/>
      <c r="FX5296"/>
      <c r="FY5296"/>
      <c r="FZ5296"/>
      <c r="GA5296"/>
      <c r="GB5296"/>
      <c r="GC5296"/>
      <c r="GD5296"/>
      <c r="GE5296"/>
      <c r="GF5296"/>
      <c r="GG5296"/>
      <c r="GH5296"/>
      <c r="GI5296"/>
      <c r="GJ5296"/>
      <c r="GK5296"/>
      <c r="GL5296"/>
      <c r="GM5296"/>
      <c r="GN5296"/>
      <c r="GO5296"/>
    </row>
    <row r="5297" spans="107:197">
      <c r="DC5297"/>
      <c r="FH5297"/>
      <c r="FI5297"/>
      <c r="FJ5297"/>
      <c r="FK5297"/>
      <c r="FL5297"/>
      <c r="FM5297"/>
      <c r="FN5297"/>
      <c r="FO5297"/>
      <c r="FP5297"/>
      <c r="FQ5297"/>
      <c r="FR5297"/>
      <c r="FS5297"/>
      <c r="FT5297"/>
      <c r="FU5297"/>
      <c r="FV5297"/>
      <c r="FW5297"/>
      <c r="FX5297"/>
      <c r="FY5297"/>
      <c r="FZ5297"/>
      <c r="GA5297"/>
      <c r="GB5297"/>
      <c r="GC5297"/>
      <c r="GD5297"/>
      <c r="GE5297"/>
      <c r="GF5297"/>
      <c r="GG5297"/>
      <c r="GH5297"/>
      <c r="GI5297"/>
      <c r="GJ5297"/>
      <c r="GK5297"/>
      <c r="GL5297"/>
      <c r="GM5297"/>
      <c r="GN5297"/>
      <c r="GO5297"/>
    </row>
    <row r="5298" spans="107:197">
      <c r="DC5298"/>
      <c r="FH5298"/>
      <c r="FI5298"/>
      <c r="FJ5298"/>
      <c r="FK5298"/>
      <c r="FL5298"/>
      <c r="FM5298"/>
      <c r="FN5298"/>
      <c r="FO5298"/>
      <c r="FP5298"/>
      <c r="FQ5298"/>
      <c r="FR5298"/>
      <c r="FS5298"/>
      <c r="FT5298"/>
      <c r="FU5298"/>
      <c r="FV5298"/>
      <c r="FW5298"/>
      <c r="FX5298"/>
      <c r="FY5298"/>
      <c r="FZ5298"/>
      <c r="GA5298"/>
      <c r="GB5298"/>
      <c r="GC5298"/>
      <c r="GD5298"/>
      <c r="GE5298"/>
      <c r="GF5298"/>
      <c r="GG5298"/>
      <c r="GH5298"/>
      <c r="GI5298"/>
      <c r="GJ5298"/>
      <c r="GK5298"/>
      <c r="GL5298"/>
      <c r="GM5298"/>
      <c r="GN5298"/>
      <c r="GO5298"/>
    </row>
    <row r="5299" spans="107:197">
      <c r="DC5299"/>
      <c r="FH5299"/>
      <c r="FI5299"/>
      <c r="FJ5299"/>
      <c r="FK5299"/>
      <c r="FL5299"/>
      <c r="FM5299"/>
      <c r="FN5299"/>
      <c r="FO5299"/>
      <c r="FP5299"/>
      <c r="FQ5299"/>
      <c r="FR5299"/>
      <c r="FS5299"/>
      <c r="FT5299"/>
      <c r="FU5299"/>
      <c r="FV5299"/>
      <c r="FW5299"/>
      <c r="FX5299"/>
      <c r="FY5299"/>
      <c r="FZ5299"/>
      <c r="GA5299"/>
      <c r="GB5299"/>
      <c r="GC5299"/>
      <c r="GD5299"/>
      <c r="GE5299"/>
      <c r="GF5299"/>
      <c r="GG5299"/>
      <c r="GH5299"/>
      <c r="GI5299"/>
      <c r="GJ5299"/>
      <c r="GK5299"/>
      <c r="GL5299"/>
      <c r="GM5299"/>
      <c r="GN5299"/>
      <c r="GO5299"/>
    </row>
    <row r="5300" spans="107:197">
      <c r="DC5300"/>
      <c r="FH5300"/>
      <c r="FI5300"/>
      <c r="FJ5300"/>
      <c r="FK5300"/>
      <c r="FL5300"/>
      <c r="FM5300"/>
      <c r="FN5300"/>
      <c r="FO5300"/>
      <c r="FP5300"/>
      <c r="FQ5300"/>
      <c r="FR5300"/>
      <c r="FS5300"/>
      <c r="FT5300"/>
      <c r="FU5300"/>
      <c r="FV5300"/>
      <c r="FW5300"/>
      <c r="FX5300"/>
      <c r="FY5300"/>
      <c r="FZ5300"/>
      <c r="GA5300"/>
      <c r="GB5300"/>
      <c r="GC5300"/>
      <c r="GD5300"/>
      <c r="GE5300"/>
      <c r="GF5300"/>
      <c r="GG5300"/>
      <c r="GH5300"/>
      <c r="GI5300"/>
      <c r="GJ5300"/>
      <c r="GK5300"/>
      <c r="GL5300"/>
      <c r="GM5300"/>
      <c r="GN5300"/>
      <c r="GO5300"/>
    </row>
    <row r="5301" spans="107:197">
      <c r="DC5301"/>
      <c r="FH5301"/>
      <c r="FI5301"/>
      <c r="FJ5301"/>
      <c r="FK5301"/>
      <c r="FL5301"/>
      <c r="FM5301"/>
      <c r="FN5301"/>
      <c r="FO5301"/>
      <c r="FP5301"/>
      <c r="FQ5301"/>
      <c r="FR5301"/>
      <c r="FS5301"/>
      <c r="FT5301"/>
      <c r="FU5301"/>
      <c r="FV5301"/>
      <c r="FW5301"/>
      <c r="FX5301"/>
      <c r="FY5301"/>
      <c r="FZ5301"/>
      <c r="GA5301"/>
      <c r="GB5301"/>
      <c r="GC5301"/>
      <c r="GD5301"/>
      <c r="GE5301"/>
      <c r="GF5301"/>
      <c r="GG5301"/>
      <c r="GH5301"/>
      <c r="GI5301"/>
      <c r="GJ5301"/>
      <c r="GK5301"/>
      <c r="GL5301"/>
      <c r="GM5301"/>
      <c r="GN5301"/>
      <c r="GO5301"/>
    </row>
    <row r="5302" spans="107:197">
      <c r="DC5302"/>
      <c r="FH5302"/>
      <c r="FI5302"/>
      <c r="FJ5302"/>
      <c r="FK5302"/>
      <c r="FL5302"/>
      <c r="FM5302"/>
      <c r="FN5302"/>
      <c r="FO5302"/>
      <c r="FP5302"/>
      <c r="FQ5302"/>
      <c r="FR5302"/>
      <c r="FS5302"/>
      <c r="FT5302"/>
      <c r="FU5302"/>
      <c r="FV5302"/>
      <c r="FW5302"/>
      <c r="FX5302"/>
      <c r="FY5302"/>
      <c r="FZ5302"/>
      <c r="GA5302"/>
      <c r="GB5302"/>
      <c r="GC5302"/>
      <c r="GD5302"/>
      <c r="GE5302"/>
      <c r="GF5302"/>
      <c r="GG5302"/>
      <c r="GH5302"/>
      <c r="GI5302"/>
      <c r="GJ5302"/>
      <c r="GK5302"/>
      <c r="GL5302"/>
      <c r="GM5302"/>
      <c r="GN5302"/>
      <c r="GO5302"/>
    </row>
    <row r="5303" spans="107:197">
      <c r="DC5303"/>
      <c r="FH5303"/>
      <c r="FI5303"/>
      <c r="FJ5303"/>
      <c r="FK5303"/>
      <c r="FL5303"/>
      <c r="FM5303"/>
      <c r="FN5303"/>
      <c r="FO5303"/>
      <c r="FP5303"/>
      <c r="FQ5303"/>
      <c r="FR5303"/>
      <c r="FS5303"/>
      <c r="FT5303"/>
      <c r="FU5303"/>
      <c r="FV5303"/>
      <c r="FW5303"/>
      <c r="FX5303"/>
      <c r="FY5303"/>
      <c r="FZ5303"/>
      <c r="GA5303"/>
      <c r="GB5303"/>
      <c r="GC5303"/>
      <c r="GD5303"/>
      <c r="GE5303"/>
      <c r="GF5303"/>
      <c r="GG5303"/>
      <c r="GH5303"/>
      <c r="GI5303"/>
      <c r="GJ5303"/>
      <c r="GK5303"/>
      <c r="GL5303"/>
      <c r="GM5303"/>
      <c r="GN5303"/>
      <c r="GO5303"/>
    </row>
    <row r="5304" spans="107:197">
      <c r="DC5304"/>
      <c r="FH5304"/>
      <c r="FI5304"/>
      <c r="FJ5304"/>
      <c r="FK5304"/>
      <c r="FL5304"/>
      <c r="FM5304"/>
      <c r="FN5304"/>
      <c r="FO5304"/>
      <c r="FP5304"/>
      <c r="FQ5304"/>
      <c r="FR5304"/>
      <c r="FS5304"/>
      <c r="FT5304"/>
      <c r="FU5304"/>
      <c r="FV5304"/>
      <c r="FW5304"/>
      <c r="FX5304"/>
      <c r="FY5304"/>
      <c r="FZ5304"/>
      <c r="GA5304"/>
      <c r="GB5304"/>
      <c r="GC5304"/>
      <c r="GD5304"/>
      <c r="GE5304"/>
      <c r="GF5304"/>
      <c r="GG5304"/>
      <c r="GH5304"/>
      <c r="GI5304"/>
      <c r="GJ5304"/>
      <c r="GK5304"/>
      <c r="GL5304"/>
      <c r="GM5304"/>
      <c r="GN5304"/>
      <c r="GO5304"/>
    </row>
    <row r="5305" spans="107:197">
      <c r="DC5305"/>
      <c r="FH5305"/>
      <c r="FI5305"/>
      <c r="FJ5305"/>
      <c r="FK5305"/>
      <c r="FL5305"/>
      <c r="FM5305"/>
      <c r="FN5305"/>
      <c r="FO5305"/>
      <c r="FP5305"/>
      <c r="FQ5305"/>
      <c r="FR5305"/>
      <c r="FS5305"/>
      <c r="FT5305"/>
      <c r="FU5305"/>
      <c r="FV5305"/>
      <c r="FW5305"/>
      <c r="FX5305"/>
      <c r="FY5305"/>
      <c r="FZ5305"/>
      <c r="GA5305"/>
      <c r="GB5305"/>
      <c r="GC5305"/>
      <c r="GD5305"/>
      <c r="GE5305"/>
      <c r="GF5305"/>
      <c r="GG5305"/>
      <c r="GH5305"/>
      <c r="GI5305"/>
      <c r="GJ5305"/>
      <c r="GK5305"/>
      <c r="GL5305"/>
      <c r="GM5305"/>
      <c r="GN5305"/>
      <c r="GO5305"/>
    </row>
    <row r="5306" spans="107:197">
      <c r="DC5306"/>
      <c r="FH5306"/>
      <c r="FI5306"/>
      <c r="FJ5306"/>
      <c r="FK5306"/>
      <c r="FL5306"/>
      <c r="FM5306"/>
      <c r="FN5306"/>
      <c r="FO5306"/>
      <c r="FP5306"/>
      <c r="FQ5306"/>
      <c r="FR5306"/>
      <c r="FS5306"/>
      <c r="FT5306"/>
      <c r="FU5306"/>
      <c r="FV5306"/>
      <c r="FW5306"/>
      <c r="FX5306"/>
      <c r="FY5306"/>
      <c r="FZ5306"/>
      <c r="GA5306"/>
      <c r="GB5306"/>
      <c r="GC5306"/>
      <c r="GD5306"/>
      <c r="GE5306"/>
      <c r="GF5306"/>
      <c r="GG5306"/>
      <c r="GH5306"/>
      <c r="GI5306"/>
      <c r="GJ5306"/>
      <c r="GK5306"/>
      <c r="GL5306"/>
      <c r="GM5306"/>
      <c r="GN5306"/>
      <c r="GO5306"/>
    </row>
    <row r="5307" spans="107:197">
      <c r="DC5307"/>
      <c r="FH5307"/>
      <c r="FI5307"/>
      <c r="FJ5307"/>
      <c r="FK5307"/>
      <c r="FL5307"/>
      <c r="FM5307"/>
      <c r="FN5307"/>
      <c r="FO5307"/>
      <c r="FP5307"/>
      <c r="FQ5307"/>
      <c r="FR5307"/>
      <c r="FS5307"/>
      <c r="FT5307"/>
      <c r="FU5307"/>
      <c r="FV5307"/>
      <c r="FW5307"/>
      <c r="FX5307"/>
      <c r="FY5307"/>
      <c r="FZ5307"/>
      <c r="GA5307"/>
      <c r="GB5307"/>
      <c r="GC5307"/>
      <c r="GD5307"/>
      <c r="GE5307"/>
      <c r="GF5307"/>
      <c r="GG5307"/>
      <c r="GH5307"/>
      <c r="GI5307"/>
      <c r="GJ5307"/>
      <c r="GK5307"/>
      <c r="GL5307"/>
      <c r="GM5307"/>
      <c r="GN5307"/>
      <c r="GO5307"/>
    </row>
    <row r="5308" spans="107:197">
      <c r="DC5308"/>
      <c r="FH5308"/>
      <c r="FI5308"/>
      <c r="FJ5308"/>
      <c r="FK5308"/>
      <c r="FL5308"/>
      <c r="FM5308"/>
      <c r="FN5308"/>
      <c r="FO5308"/>
      <c r="FP5308"/>
      <c r="FQ5308"/>
      <c r="FR5308"/>
      <c r="FS5308"/>
      <c r="FT5308"/>
      <c r="FU5308"/>
      <c r="FV5308"/>
      <c r="FW5308"/>
      <c r="FX5308"/>
      <c r="FY5308"/>
      <c r="FZ5308"/>
      <c r="GA5308"/>
      <c r="GB5308"/>
      <c r="GC5308"/>
      <c r="GD5308"/>
      <c r="GE5308"/>
      <c r="GF5308"/>
      <c r="GG5308"/>
      <c r="GH5308"/>
      <c r="GI5308"/>
      <c r="GJ5308"/>
      <c r="GK5308"/>
      <c r="GL5308"/>
      <c r="GM5308"/>
      <c r="GN5308"/>
      <c r="GO5308"/>
    </row>
    <row r="5309" spans="107:197">
      <c r="DC5309"/>
      <c r="FH5309"/>
      <c r="FI5309"/>
      <c r="FJ5309"/>
      <c r="FK5309"/>
      <c r="FL5309"/>
      <c r="FM5309"/>
      <c r="FN5309"/>
      <c r="FO5309"/>
      <c r="FP5309"/>
      <c r="FQ5309"/>
      <c r="FR5309"/>
      <c r="FS5309"/>
      <c r="FT5309"/>
      <c r="FU5309"/>
      <c r="FV5309"/>
      <c r="FW5309"/>
      <c r="FX5309"/>
      <c r="FY5309"/>
      <c r="FZ5309"/>
      <c r="GA5309"/>
      <c r="GB5309"/>
      <c r="GC5309"/>
      <c r="GD5309"/>
      <c r="GE5309"/>
      <c r="GF5309"/>
      <c r="GG5309"/>
      <c r="GH5309"/>
      <c r="GI5309"/>
      <c r="GJ5309"/>
      <c r="GK5309"/>
      <c r="GL5309"/>
      <c r="GM5309"/>
      <c r="GN5309"/>
      <c r="GO5309"/>
    </row>
    <row r="5310" spans="107:197">
      <c r="DC5310"/>
      <c r="FH5310"/>
      <c r="FI5310"/>
      <c r="FJ5310"/>
      <c r="FK5310"/>
      <c r="FL5310"/>
      <c r="FM5310"/>
      <c r="FN5310"/>
      <c r="FO5310"/>
      <c r="FP5310"/>
      <c r="FQ5310"/>
      <c r="FR5310"/>
      <c r="FS5310"/>
      <c r="FT5310"/>
      <c r="FU5310"/>
      <c r="FV5310"/>
      <c r="FW5310"/>
      <c r="FX5310"/>
      <c r="FY5310"/>
      <c r="FZ5310"/>
      <c r="GA5310"/>
      <c r="GB5310"/>
      <c r="GC5310"/>
      <c r="GD5310"/>
      <c r="GE5310"/>
      <c r="GF5310"/>
      <c r="GG5310"/>
      <c r="GH5310"/>
      <c r="GI5310"/>
      <c r="GJ5310"/>
      <c r="GK5310"/>
      <c r="GL5310"/>
      <c r="GM5310"/>
      <c r="GN5310"/>
      <c r="GO5310"/>
    </row>
    <row r="5311" spans="107:197">
      <c r="DC5311"/>
      <c r="FH5311"/>
      <c r="FI5311"/>
      <c r="FJ5311"/>
      <c r="FK5311"/>
      <c r="FL5311"/>
      <c r="FM5311"/>
      <c r="FN5311"/>
      <c r="FO5311"/>
      <c r="FP5311"/>
      <c r="FQ5311"/>
      <c r="FR5311"/>
      <c r="FS5311"/>
      <c r="FT5311"/>
      <c r="FU5311"/>
      <c r="FV5311"/>
      <c r="FW5311"/>
      <c r="FX5311"/>
      <c r="FY5311"/>
      <c r="FZ5311"/>
      <c r="GA5311"/>
      <c r="GB5311"/>
      <c r="GC5311"/>
      <c r="GD5311"/>
      <c r="GE5311"/>
      <c r="GF5311"/>
      <c r="GG5311"/>
      <c r="GH5311"/>
      <c r="GI5311"/>
      <c r="GJ5311"/>
      <c r="GK5311"/>
      <c r="GL5311"/>
      <c r="GM5311"/>
      <c r="GN5311"/>
      <c r="GO5311"/>
    </row>
    <row r="5312" spans="107:197">
      <c r="DC5312"/>
      <c r="FH5312"/>
      <c r="FI5312"/>
      <c r="FJ5312"/>
      <c r="FK5312"/>
      <c r="FL5312"/>
      <c r="FM5312"/>
      <c r="FN5312"/>
      <c r="FO5312"/>
      <c r="FP5312"/>
      <c r="FQ5312"/>
      <c r="FR5312"/>
      <c r="FS5312"/>
      <c r="FT5312"/>
      <c r="FU5312"/>
      <c r="FV5312"/>
      <c r="FW5312"/>
      <c r="FX5312"/>
      <c r="FY5312"/>
      <c r="FZ5312"/>
      <c r="GA5312"/>
      <c r="GB5312"/>
      <c r="GC5312"/>
      <c r="GD5312"/>
      <c r="GE5312"/>
      <c r="GF5312"/>
      <c r="GG5312"/>
      <c r="GH5312"/>
      <c r="GI5312"/>
      <c r="GJ5312"/>
      <c r="GK5312"/>
      <c r="GL5312"/>
      <c r="GM5312"/>
      <c r="GN5312"/>
      <c r="GO5312"/>
    </row>
    <row r="5313" spans="107:197">
      <c r="DC5313"/>
      <c r="FH5313"/>
      <c r="FI5313"/>
      <c r="FJ5313"/>
      <c r="FK5313"/>
      <c r="FL5313"/>
      <c r="FM5313"/>
      <c r="FN5313"/>
      <c r="FO5313"/>
      <c r="FP5313"/>
      <c r="FQ5313"/>
      <c r="FR5313"/>
      <c r="FS5313"/>
      <c r="FT5313"/>
      <c r="FU5313"/>
      <c r="FV5313"/>
      <c r="FW5313"/>
      <c r="FX5313"/>
      <c r="FY5313"/>
      <c r="FZ5313"/>
      <c r="GA5313"/>
      <c r="GB5313"/>
      <c r="GC5313"/>
      <c r="GD5313"/>
      <c r="GE5313"/>
      <c r="GF5313"/>
      <c r="GG5313"/>
      <c r="GH5313"/>
      <c r="GI5313"/>
      <c r="GJ5313"/>
      <c r="GK5313"/>
      <c r="GL5313"/>
      <c r="GM5313"/>
      <c r="GN5313"/>
      <c r="GO5313"/>
    </row>
    <row r="5314" spans="107:197">
      <c r="DC5314"/>
      <c r="FH5314"/>
      <c r="FI5314"/>
      <c r="FJ5314"/>
      <c r="FK5314"/>
      <c r="FL5314"/>
      <c r="FM5314"/>
      <c r="FN5314"/>
      <c r="FO5314"/>
      <c r="FP5314"/>
      <c r="FQ5314"/>
      <c r="FR5314"/>
      <c r="FS5314"/>
      <c r="FT5314"/>
      <c r="FU5314"/>
      <c r="FV5314"/>
      <c r="FW5314"/>
      <c r="FX5314"/>
      <c r="FY5314"/>
      <c r="FZ5314"/>
      <c r="GA5314"/>
      <c r="GB5314"/>
      <c r="GC5314"/>
      <c r="GD5314"/>
      <c r="GE5314"/>
      <c r="GF5314"/>
      <c r="GG5314"/>
      <c r="GH5314"/>
      <c r="GI5314"/>
      <c r="GJ5314"/>
      <c r="GK5314"/>
      <c r="GL5314"/>
      <c r="GM5314"/>
      <c r="GN5314"/>
      <c r="GO5314"/>
    </row>
    <row r="5315" spans="107:197">
      <c r="DC5315"/>
      <c r="FH5315"/>
      <c r="FI5315"/>
      <c r="FJ5315"/>
      <c r="FK5315"/>
      <c r="FL5315"/>
      <c r="FM5315"/>
      <c r="FN5315"/>
      <c r="FO5315"/>
      <c r="FP5315"/>
      <c r="FQ5315"/>
      <c r="FR5315"/>
      <c r="FS5315"/>
      <c r="FT5315"/>
      <c r="FU5315"/>
      <c r="FV5315"/>
      <c r="FW5315"/>
      <c r="FX5315"/>
      <c r="FY5315"/>
      <c r="FZ5315"/>
      <c r="GA5315"/>
      <c r="GB5315"/>
      <c r="GC5315"/>
      <c r="GD5315"/>
      <c r="GE5315"/>
      <c r="GF5315"/>
      <c r="GG5315"/>
      <c r="GH5315"/>
      <c r="GI5315"/>
      <c r="GJ5315"/>
      <c r="GK5315"/>
      <c r="GL5315"/>
      <c r="GM5315"/>
      <c r="GN5315"/>
      <c r="GO5315"/>
    </row>
    <row r="5316" spans="107:197">
      <c r="DC5316"/>
      <c r="FH5316"/>
      <c r="FI5316"/>
      <c r="FJ5316"/>
      <c r="FK5316"/>
      <c r="FL5316"/>
      <c r="FM5316"/>
      <c r="FN5316"/>
      <c r="FO5316"/>
      <c r="FP5316"/>
      <c r="FQ5316"/>
      <c r="FR5316"/>
      <c r="FS5316"/>
      <c r="FT5316"/>
      <c r="FU5316"/>
      <c r="FV5316"/>
      <c r="FW5316"/>
      <c r="FX5316"/>
      <c r="FY5316"/>
      <c r="FZ5316"/>
      <c r="GA5316"/>
      <c r="GB5316"/>
      <c r="GC5316"/>
      <c r="GD5316"/>
      <c r="GE5316"/>
      <c r="GF5316"/>
      <c r="GG5316"/>
      <c r="GH5316"/>
      <c r="GI5316"/>
      <c r="GJ5316"/>
      <c r="GK5316"/>
      <c r="GL5316"/>
      <c r="GM5316"/>
      <c r="GN5316"/>
      <c r="GO5316"/>
    </row>
    <row r="5317" spans="107:197">
      <c r="DC5317"/>
      <c r="FH5317"/>
      <c r="FI5317"/>
      <c r="FJ5317"/>
      <c r="FK5317"/>
      <c r="FL5317"/>
      <c r="FM5317"/>
      <c r="FN5317"/>
      <c r="FO5317"/>
      <c r="FP5317"/>
      <c r="FQ5317"/>
      <c r="FR5317"/>
      <c r="FS5317"/>
      <c r="FT5317"/>
      <c r="FU5317"/>
      <c r="FV5317"/>
      <c r="FW5317"/>
      <c r="FX5317"/>
      <c r="FY5317"/>
      <c r="FZ5317"/>
      <c r="GA5317"/>
      <c r="GB5317"/>
      <c r="GC5317"/>
      <c r="GD5317"/>
      <c r="GE5317"/>
      <c r="GF5317"/>
      <c r="GG5317"/>
      <c r="GH5317"/>
      <c r="GI5317"/>
      <c r="GJ5317"/>
      <c r="GK5317"/>
      <c r="GL5317"/>
      <c r="GM5317"/>
      <c r="GN5317"/>
      <c r="GO5317"/>
    </row>
    <row r="5318" spans="107:197">
      <c r="DC5318"/>
      <c r="FH5318"/>
      <c r="FI5318"/>
      <c r="FJ5318"/>
      <c r="FK5318"/>
      <c r="FL5318"/>
      <c r="FM5318"/>
      <c r="FN5318"/>
      <c r="FO5318"/>
      <c r="FP5318"/>
      <c r="FQ5318"/>
      <c r="FR5318"/>
      <c r="FS5318"/>
      <c r="FT5318"/>
      <c r="FU5318"/>
      <c r="FV5318"/>
      <c r="FW5318"/>
      <c r="FX5318"/>
      <c r="FY5318"/>
      <c r="FZ5318"/>
      <c r="GA5318"/>
      <c r="GB5318"/>
      <c r="GC5318"/>
      <c r="GD5318"/>
      <c r="GE5318"/>
      <c r="GF5318"/>
      <c r="GG5318"/>
      <c r="GH5318"/>
      <c r="GI5318"/>
      <c r="GJ5318"/>
      <c r="GK5318"/>
      <c r="GL5318"/>
      <c r="GM5318"/>
      <c r="GN5318"/>
      <c r="GO5318"/>
    </row>
    <row r="5319" spans="107:197">
      <c r="DC5319"/>
      <c r="FH5319"/>
      <c r="FI5319"/>
      <c r="FJ5319"/>
      <c r="FK5319"/>
      <c r="FL5319"/>
      <c r="FM5319"/>
      <c r="FN5319"/>
      <c r="FO5319"/>
      <c r="FP5319"/>
      <c r="FQ5319"/>
      <c r="FR5319"/>
      <c r="FS5319"/>
      <c r="FT5319"/>
      <c r="FU5319"/>
      <c r="FV5319"/>
      <c r="FW5319"/>
      <c r="FX5319"/>
      <c r="FY5319"/>
      <c r="FZ5319"/>
      <c r="GA5319"/>
      <c r="GB5319"/>
      <c r="GC5319"/>
      <c r="GD5319"/>
      <c r="GE5319"/>
      <c r="GF5319"/>
      <c r="GG5319"/>
      <c r="GH5319"/>
      <c r="GI5319"/>
      <c r="GJ5319"/>
      <c r="GK5319"/>
      <c r="GL5319"/>
      <c r="GM5319"/>
      <c r="GN5319"/>
      <c r="GO5319"/>
    </row>
    <row r="5320" spans="107:197">
      <c r="DC5320"/>
      <c r="FH5320"/>
      <c r="FI5320"/>
      <c r="FJ5320"/>
      <c r="FK5320"/>
      <c r="FL5320"/>
      <c r="FM5320"/>
      <c r="FN5320"/>
      <c r="FO5320"/>
      <c r="FP5320"/>
      <c r="FQ5320"/>
      <c r="FR5320"/>
      <c r="FS5320"/>
      <c r="FT5320"/>
      <c r="FU5320"/>
      <c r="FV5320"/>
      <c r="FW5320"/>
      <c r="FX5320"/>
      <c r="FY5320"/>
      <c r="FZ5320"/>
      <c r="GA5320"/>
      <c r="GB5320"/>
      <c r="GC5320"/>
      <c r="GD5320"/>
      <c r="GE5320"/>
      <c r="GF5320"/>
      <c r="GG5320"/>
      <c r="GH5320"/>
      <c r="GI5320"/>
      <c r="GJ5320"/>
      <c r="GK5320"/>
      <c r="GL5320"/>
      <c r="GM5320"/>
      <c r="GN5320"/>
      <c r="GO5320"/>
    </row>
    <row r="5321" spans="107:197">
      <c r="DC5321"/>
      <c r="FH5321"/>
      <c r="FI5321"/>
      <c r="FJ5321"/>
      <c r="FK5321"/>
      <c r="FL5321"/>
      <c r="FM5321"/>
      <c r="FN5321"/>
      <c r="FO5321"/>
      <c r="FP5321"/>
      <c r="FQ5321"/>
      <c r="FR5321"/>
      <c r="FS5321"/>
      <c r="FT5321"/>
      <c r="FU5321"/>
      <c r="FV5321"/>
      <c r="FW5321"/>
      <c r="FX5321"/>
      <c r="FY5321"/>
      <c r="FZ5321"/>
      <c r="GA5321"/>
      <c r="GB5321"/>
      <c r="GC5321"/>
      <c r="GD5321"/>
      <c r="GE5321"/>
      <c r="GF5321"/>
      <c r="GG5321"/>
      <c r="GH5321"/>
      <c r="GI5321"/>
      <c r="GJ5321"/>
      <c r="GK5321"/>
      <c r="GL5321"/>
      <c r="GM5321"/>
      <c r="GN5321"/>
      <c r="GO5321"/>
    </row>
    <row r="5322" spans="107:197">
      <c r="DC5322"/>
      <c r="FH5322"/>
      <c r="FI5322"/>
      <c r="FJ5322"/>
      <c r="FK5322"/>
      <c r="FL5322"/>
      <c r="FM5322"/>
      <c r="FN5322"/>
      <c r="FO5322"/>
      <c r="FP5322"/>
      <c r="FQ5322"/>
      <c r="FR5322"/>
      <c r="FS5322"/>
      <c r="FT5322"/>
      <c r="FU5322"/>
      <c r="FV5322"/>
      <c r="FW5322"/>
      <c r="FX5322"/>
      <c r="FY5322"/>
      <c r="FZ5322"/>
      <c r="GA5322"/>
      <c r="GB5322"/>
      <c r="GC5322"/>
      <c r="GD5322"/>
      <c r="GE5322"/>
      <c r="GF5322"/>
      <c r="GG5322"/>
      <c r="GH5322"/>
      <c r="GI5322"/>
      <c r="GJ5322"/>
      <c r="GK5322"/>
      <c r="GL5322"/>
      <c r="GM5322"/>
      <c r="GN5322"/>
      <c r="GO5322"/>
    </row>
    <row r="5323" spans="107:197">
      <c r="DC5323"/>
      <c r="FH5323"/>
      <c r="FI5323"/>
      <c r="FJ5323"/>
      <c r="FK5323"/>
      <c r="FL5323"/>
      <c r="FM5323"/>
      <c r="FN5323"/>
      <c r="FO5323"/>
      <c r="FP5323"/>
      <c r="FQ5323"/>
      <c r="FR5323"/>
      <c r="FS5323"/>
      <c r="FT5323"/>
      <c r="FU5323"/>
      <c r="FV5323"/>
      <c r="FW5323"/>
      <c r="FX5323"/>
      <c r="FY5323"/>
      <c r="FZ5323"/>
      <c r="GA5323"/>
      <c r="GB5323"/>
      <c r="GC5323"/>
      <c r="GD5323"/>
      <c r="GE5323"/>
      <c r="GF5323"/>
      <c r="GG5323"/>
      <c r="GH5323"/>
      <c r="GI5323"/>
      <c r="GJ5323"/>
      <c r="GK5323"/>
      <c r="GL5323"/>
      <c r="GM5323"/>
      <c r="GN5323"/>
      <c r="GO5323"/>
    </row>
    <row r="5324" spans="107:197">
      <c r="DC5324"/>
      <c r="FH5324"/>
      <c r="FI5324"/>
      <c r="FJ5324"/>
      <c r="FK5324"/>
      <c r="FL5324"/>
      <c r="FM5324"/>
      <c r="FN5324"/>
      <c r="FO5324"/>
      <c r="FP5324"/>
      <c r="FQ5324"/>
      <c r="FR5324"/>
      <c r="FS5324"/>
      <c r="FT5324"/>
      <c r="FU5324"/>
      <c r="FV5324"/>
      <c r="FW5324"/>
      <c r="FX5324"/>
      <c r="FY5324"/>
      <c r="FZ5324"/>
      <c r="GA5324"/>
      <c r="GB5324"/>
      <c r="GC5324"/>
      <c r="GD5324"/>
      <c r="GE5324"/>
      <c r="GF5324"/>
      <c r="GG5324"/>
      <c r="GH5324"/>
      <c r="GI5324"/>
      <c r="GJ5324"/>
      <c r="GK5324"/>
      <c r="GL5324"/>
      <c r="GM5324"/>
      <c r="GN5324"/>
      <c r="GO5324"/>
    </row>
    <row r="5325" spans="107:197">
      <c r="DC5325"/>
      <c r="FH5325"/>
      <c r="FI5325"/>
      <c r="FJ5325"/>
      <c r="FK5325"/>
      <c r="FL5325"/>
      <c r="FM5325"/>
      <c r="FN5325"/>
      <c r="FO5325"/>
      <c r="FP5325"/>
      <c r="FQ5325"/>
      <c r="FR5325"/>
      <c r="FS5325"/>
      <c r="FT5325"/>
      <c r="FU5325"/>
      <c r="FV5325"/>
      <c r="FW5325"/>
      <c r="FX5325"/>
      <c r="FY5325"/>
      <c r="FZ5325"/>
      <c r="GA5325"/>
      <c r="GB5325"/>
      <c r="GC5325"/>
      <c r="GD5325"/>
      <c r="GE5325"/>
      <c r="GF5325"/>
      <c r="GG5325"/>
      <c r="GH5325"/>
      <c r="GI5325"/>
      <c r="GJ5325"/>
      <c r="GK5325"/>
      <c r="GL5325"/>
      <c r="GM5325"/>
      <c r="GN5325"/>
      <c r="GO5325"/>
    </row>
    <row r="5326" spans="107:197">
      <c r="DC5326"/>
      <c r="FH5326"/>
      <c r="FI5326"/>
      <c r="FJ5326"/>
      <c r="FK5326"/>
      <c r="FL5326"/>
      <c r="FM5326"/>
      <c r="FN5326"/>
      <c r="FO5326"/>
      <c r="FP5326"/>
      <c r="FQ5326"/>
      <c r="FR5326"/>
      <c r="FS5326"/>
      <c r="FT5326"/>
      <c r="FU5326"/>
      <c r="FV5326"/>
      <c r="FW5326"/>
      <c r="FX5326"/>
      <c r="FY5326"/>
      <c r="FZ5326"/>
      <c r="GA5326"/>
      <c r="GB5326"/>
      <c r="GC5326"/>
      <c r="GD5326"/>
      <c r="GE5326"/>
      <c r="GF5326"/>
      <c r="GG5326"/>
      <c r="GH5326"/>
      <c r="GI5326"/>
      <c r="GJ5326"/>
      <c r="GK5326"/>
      <c r="GL5326"/>
      <c r="GM5326"/>
      <c r="GN5326"/>
      <c r="GO5326"/>
    </row>
    <row r="5327" spans="107:197">
      <c r="DC5327"/>
      <c r="FH5327"/>
      <c r="FI5327"/>
      <c r="FJ5327"/>
      <c r="FK5327"/>
      <c r="FL5327"/>
      <c r="FM5327"/>
      <c r="FN5327"/>
      <c r="FO5327"/>
      <c r="FP5327"/>
      <c r="FQ5327"/>
      <c r="FR5327"/>
      <c r="FS5327"/>
      <c r="FT5327"/>
      <c r="FU5327"/>
      <c r="FV5327"/>
      <c r="FW5327"/>
      <c r="FX5327"/>
      <c r="FY5327"/>
      <c r="FZ5327"/>
      <c r="GA5327"/>
      <c r="GB5327"/>
      <c r="GC5327"/>
      <c r="GD5327"/>
      <c r="GE5327"/>
      <c r="GF5327"/>
      <c r="GG5327"/>
      <c r="GH5327"/>
      <c r="GI5327"/>
      <c r="GJ5327"/>
      <c r="GK5327"/>
      <c r="GL5327"/>
      <c r="GM5327"/>
      <c r="GN5327"/>
      <c r="GO5327"/>
    </row>
    <row r="5328" spans="107:197">
      <c r="DC5328"/>
      <c r="FH5328"/>
      <c r="FI5328"/>
      <c r="FJ5328"/>
      <c r="FK5328"/>
      <c r="FL5328"/>
      <c r="FM5328"/>
      <c r="FN5328"/>
      <c r="FO5328"/>
      <c r="FP5328"/>
      <c r="FQ5328"/>
      <c r="FR5328"/>
      <c r="FS5328"/>
      <c r="FT5328"/>
      <c r="FU5328"/>
      <c r="FV5328"/>
      <c r="FW5328"/>
      <c r="FX5328"/>
      <c r="FY5328"/>
      <c r="FZ5328"/>
      <c r="GA5328"/>
      <c r="GB5328"/>
      <c r="GC5328"/>
      <c r="GD5328"/>
      <c r="GE5328"/>
      <c r="GF5328"/>
      <c r="GG5328"/>
      <c r="GH5328"/>
      <c r="GI5328"/>
      <c r="GJ5328"/>
      <c r="GK5328"/>
      <c r="GL5328"/>
      <c r="GM5328"/>
      <c r="GN5328"/>
      <c r="GO5328"/>
    </row>
    <row r="5329" spans="107:197">
      <c r="DC5329"/>
      <c r="FH5329"/>
      <c r="FI5329"/>
      <c r="FJ5329"/>
      <c r="FK5329"/>
      <c r="FL5329"/>
      <c r="FM5329"/>
      <c r="FN5329"/>
      <c r="FO5329"/>
      <c r="FP5329"/>
      <c r="FQ5329"/>
      <c r="FR5329"/>
      <c r="FS5329"/>
      <c r="FT5329"/>
      <c r="FU5329"/>
      <c r="FV5329"/>
      <c r="FW5329"/>
      <c r="FX5329"/>
      <c r="FY5329"/>
      <c r="FZ5329"/>
      <c r="GA5329"/>
      <c r="GB5329"/>
      <c r="GC5329"/>
      <c r="GD5329"/>
      <c r="GE5329"/>
      <c r="GF5329"/>
      <c r="GG5329"/>
      <c r="GH5329"/>
      <c r="GI5329"/>
      <c r="GJ5329"/>
      <c r="GK5329"/>
      <c r="GL5329"/>
      <c r="GM5329"/>
      <c r="GN5329"/>
      <c r="GO5329"/>
    </row>
    <row r="5330" spans="107:197">
      <c r="DC5330"/>
      <c r="FH5330"/>
      <c r="FI5330"/>
      <c r="FJ5330"/>
      <c r="FK5330"/>
      <c r="FL5330"/>
      <c r="FM5330"/>
      <c r="FN5330"/>
      <c r="FO5330"/>
      <c r="FP5330"/>
      <c r="FQ5330"/>
      <c r="FR5330"/>
      <c r="FS5330"/>
      <c r="FT5330"/>
      <c r="FU5330"/>
      <c r="FV5330"/>
      <c r="FW5330"/>
      <c r="FX5330"/>
      <c r="FY5330"/>
      <c r="FZ5330"/>
      <c r="GA5330"/>
      <c r="GB5330"/>
      <c r="GC5330"/>
      <c r="GD5330"/>
      <c r="GE5330"/>
      <c r="GF5330"/>
      <c r="GG5330"/>
      <c r="GH5330"/>
      <c r="GI5330"/>
      <c r="GJ5330"/>
      <c r="GK5330"/>
      <c r="GL5330"/>
      <c r="GM5330"/>
      <c r="GN5330"/>
      <c r="GO5330"/>
    </row>
    <row r="5331" spans="107:197">
      <c r="DC5331"/>
      <c r="FH5331"/>
      <c r="FI5331"/>
      <c r="FJ5331"/>
      <c r="FK5331"/>
      <c r="FL5331"/>
      <c r="FM5331"/>
      <c r="FN5331"/>
      <c r="FO5331"/>
      <c r="FP5331"/>
      <c r="FQ5331"/>
      <c r="FR5331"/>
      <c r="FS5331"/>
      <c r="FT5331"/>
      <c r="FU5331"/>
      <c r="FV5331"/>
      <c r="FW5331"/>
      <c r="FX5331"/>
      <c r="FY5331"/>
      <c r="FZ5331"/>
      <c r="GA5331"/>
      <c r="GB5331"/>
      <c r="GC5331"/>
      <c r="GD5331"/>
      <c r="GE5331"/>
      <c r="GF5331"/>
      <c r="GG5331"/>
      <c r="GH5331"/>
      <c r="GI5331"/>
      <c r="GJ5331"/>
      <c r="GK5331"/>
      <c r="GL5331"/>
      <c r="GM5331"/>
      <c r="GN5331"/>
      <c r="GO5331"/>
    </row>
    <row r="5332" spans="107:197">
      <c r="DC5332"/>
      <c r="FH5332"/>
      <c r="FI5332"/>
      <c r="FJ5332"/>
      <c r="FK5332"/>
      <c r="FL5332"/>
      <c r="FM5332"/>
      <c r="FN5332"/>
      <c r="FO5332"/>
      <c r="FP5332"/>
      <c r="FQ5332"/>
      <c r="FR5332"/>
      <c r="FS5332"/>
      <c r="FT5332"/>
      <c r="FU5332"/>
      <c r="FV5332"/>
      <c r="FW5332"/>
      <c r="FX5332"/>
      <c r="FY5332"/>
      <c r="FZ5332"/>
      <c r="GA5332"/>
      <c r="GB5332"/>
      <c r="GC5332"/>
      <c r="GD5332"/>
      <c r="GE5332"/>
      <c r="GF5332"/>
      <c r="GG5332"/>
      <c r="GH5332"/>
      <c r="GI5332"/>
      <c r="GJ5332"/>
      <c r="GK5332"/>
      <c r="GL5332"/>
      <c r="GM5332"/>
      <c r="GN5332"/>
      <c r="GO5332"/>
    </row>
    <row r="5333" spans="107:197">
      <c r="DC5333"/>
      <c r="FH5333"/>
      <c r="FI5333"/>
      <c r="FJ5333"/>
      <c r="FK5333"/>
      <c r="FL5333"/>
      <c r="FM5333"/>
      <c r="FN5333"/>
      <c r="FO5333"/>
      <c r="FP5333"/>
      <c r="FQ5333"/>
      <c r="FR5333"/>
      <c r="FS5333"/>
      <c r="FT5333"/>
      <c r="FU5333"/>
      <c r="FV5333"/>
      <c r="FW5333"/>
      <c r="FX5333"/>
      <c r="FY5333"/>
      <c r="FZ5333"/>
      <c r="GA5333"/>
      <c r="GB5333"/>
      <c r="GC5333"/>
      <c r="GD5333"/>
      <c r="GE5333"/>
      <c r="GF5333"/>
      <c r="GG5333"/>
      <c r="GH5333"/>
      <c r="GI5333"/>
      <c r="GJ5333"/>
      <c r="GK5333"/>
      <c r="GL5333"/>
      <c r="GM5333"/>
      <c r="GN5333"/>
      <c r="GO5333"/>
    </row>
    <row r="5334" spans="107:197">
      <c r="DC5334"/>
      <c r="FH5334"/>
      <c r="FI5334"/>
      <c r="FJ5334"/>
      <c r="FK5334"/>
      <c r="FL5334"/>
      <c r="FM5334"/>
      <c r="FN5334"/>
      <c r="FO5334"/>
      <c r="FP5334"/>
      <c r="FQ5334"/>
      <c r="FR5334"/>
      <c r="FS5334"/>
      <c r="FT5334"/>
      <c r="FU5334"/>
      <c r="FV5334"/>
      <c r="FW5334"/>
      <c r="FX5334"/>
      <c r="FY5334"/>
      <c r="FZ5334"/>
      <c r="GA5334"/>
      <c r="GB5334"/>
      <c r="GC5334"/>
      <c r="GD5334"/>
      <c r="GE5334"/>
      <c r="GF5334"/>
      <c r="GG5334"/>
      <c r="GH5334"/>
      <c r="GI5334"/>
      <c r="GJ5334"/>
      <c r="GK5334"/>
      <c r="GL5334"/>
      <c r="GM5334"/>
      <c r="GN5334"/>
      <c r="GO5334"/>
    </row>
    <row r="5335" spans="107:197">
      <c r="DC5335"/>
      <c r="FH5335"/>
      <c r="FI5335"/>
      <c r="FJ5335"/>
      <c r="FK5335"/>
      <c r="FL5335"/>
      <c r="FM5335"/>
      <c r="FN5335"/>
      <c r="FO5335"/>
      <c r="FP5335"/>
      <c r="FQ5335"/>
      <c r="FR5335"/>
      <c r="FS5335"/>
      <c r="FT5335"/>
      <c r="FU5335"/>
      <c r="FV5335"/>
      <c r="FW5335"/>
      <c r="FX5335"/>
      <c r="FY5335"/>
      <c r="FZ5335"/>
      <c r="GA5335"/>
      <c r="GB5335"/>
      <c r="GC5335"/>
      <c r="GD5335"/>
      <c r="GE5335"/>
      <c r="GF5335"/>
      <c r="GG5335"/>
      <c r="GH5335"/>
      <c r="GI5335"/>
      <c r="GJ5335"/>
      <c r="GK5335"/>
      <c r="GL5335"/>
      <c r="GM5335"/>
      <c r="GN5335"/>
      <c r="GO5335"/>
    </row>
    <row r="5336" spans="107:197">
      <c r="DC5336"/>
      <c r="FH5336"/>
      <c r="FI5336"/>
      <c r="FJ5336"/>
      <c r="FK5336"/>
      <c r="FL5336"/>
      <c r="FM5336"/>
      <c r="FN5336"/>
      <c r="FO5336"/>
      <c r="FP5336"/>
      <c r="FQ5336"/>
      <c r="FR5336"/>
      <c r="FS5336"/>
      <c r="FT5336"/>
      <c r="FU5336"/>
      <c r="FV5336"/>
      <c r="FW5336"/>
      <c r="FX5336"/>
      <c r="FY5336"/>
      <c r="FZ5336"/>
      <c r="GA5336"/>
      <c r="GB5336"/>
      <c r="GC5336"/>
      <c r="GD5336"/>
      <c r="GE5336"/>
      <c r="GF5336"/>
      <c r="GG5336"/>
      <c r="GH5336"/>
      <c r="GI5336"/>
      <c r="GJ5336"/>
      <c r="GK5336"/>
      <c r="GL5336"/>
      <c r="GM5336"/>
      <c r="GN5336"/>
      <c r="GO5336"/>
    </row>
    <row r="5337" spans="107:197">
      <c r="DC5337"/>
      <c r="FH5337"/>
      <c r="FI5337"/>
      <c r="FJ5337"/>
      <c r="FK5337"/>
      <c r="FL5337"/>
      <c r="FM5337"/>
      <c r="FN5337"/>
      <c r="FO5337"/>
      <c r="FP5337"/>
      <c r="FQ5337"/>
      <c r="FR5337"/>
      <c r="FS5337"/>
      <c r="FT5337"/>
      <c r="FU5337"/>
      <c r="FV5337"/>
      <c r="FW5337"/>
      <c r="FX5337"/>
      <c r="FY5337"/>
      <c r="FZ5337"/>
      <c r="GA5337"/>
      <c r="GB5337"/>
      <c r="GC5337"/>
      <c r="GD5337"/>
      <c r="GE5337"/>
      <c r="GF5337"/>
      <c r="GG5337"/>
      <c r="GH5337"/>
      <c r="GI5337"/>
      <c r="GJ5337"/>
      <c r="GK5337"/>
      <c r="GL5337"/>
      <c r="GM5337"/>
      <c r="GN5337"/>
      <c r="GO5337"/>
    </row>
    <row r="5338" spans="107:197">
      <c r="DC5338"/>
      <c r="FH5338"/>
      <c r="FI5338"/>
      <c r="FJ5338"/>
      <c r="FK5338"/>
      <c r="FL5338"/>
      <c r="FM5338"/>
      <c r="FN5338"/>
      <c r="FO5338"/>
      <c r="FP5338"/>
      <c r="FQ5338"/>
      <c r="FR5338"/>
      <c r="FS5338"/>
      <c r="FT5338"/>
      <c r="FU5338"/>
      <c r="FV5338"/>
      <c r="FW5338"/>
      <c r="FX5338"/>
      <c r="FY5338"/>
      <c r="FZ5338"/>
      <c r="GA5338"/>
      <c r="GB5338"/>
      <c r="GC5338"/>
      <c r="GD5338"/>
      <c r="GE5338"/>
      <c r="GF5338"/>
      <c r="GG5338"/>
      <c r="GH5338"/>
      <c r="GI5338"/>
      <c r="GJ5338"/>
      <c r="GK5338"/>
      <c r="GL5338"/>
      <c r="GM5338"/>
      <c r="GN5338"/>
      <c r="GO5338"/>
    </row>
    <row r="5339" spans="107:197">
      <c r="DC5339"/>
      <c r="FH5339"/>
      <c r="FI5339"/>
      <c r="FJ5339"/>
      <c r="FK5339"/>
      <c r="FL5339"/>
      <c r="FM5339"/>
      <c r="FN5339"/>
      <c r="FO5339"/>
      <c r="FP5339"/>
      <c r="FQ5339"/>
      <c r="FR5339"/>
      <c r="FS5339"/>
      <c r="FT5339"/>
      <c r="FU5339"/>
      <c r="FV5339"/>
      <c r="FW5339"/>
      <c r="FX5339"/>
      <c r="FY5339"/>
      <c r="FZ5339"/>
      <c r="GA5339"/>
      <c r="GB5339"/>
      <c r="GC5339"/>
      <c r="GD5339"/>
      <c r="GE5339"/>
      <c r="GF5339"/>
      <c r="GG5339"/>
      <c r="GH5339"/>
      <c r="GI5339"/>
      <c r="GJ5339"/>
      <c r="GK5339"/>
      <c r="GL5339"/>
      <c r="GM5339"/>
      <c r="GN5339"/>
      <c r="GO5339"/>
    </row>
    <row r="5340" spans="107:197">
      <c r="DC5340"/>
      <c r="FH5340"/>
      <c r="FI5340"/>
      <c r="FJ5340"/>
      <c r="FK5340"/>
      <c r="FL5340"/>
      <c r="FM5340"/>
      <c r="FN5340"/>
      <c r="FO5340"/>
      <c r="FP5340"/>
      <c r="FQ5340"/>
      <c r="FR5340"/>
      <c r="FS5340"/>
      <c r="FT5340"/>
      <c r="FU5340"/>
      <c r="FV5340"/>
      <c r="FW5340"/>
      <c r="FX5340"/>
      <c r="FY5340"/>
      <c r="FZ5340"/>
      <c r="GA5340"/>
      <c r="GB5340"/>
      <c r="GC5340"/>
      <c r="GD5340"/>
      <c r="GE5340"/>
      <c r="GF5340"/>
      <c r="GG5340"/>
      <c r="GH5340"/>
      <c r="GI5340"/>
      <c r="GJ5340"/>
      <c r="GK5340"/>
      <c r="GL5340"/>
      <c r="GM5340"/>
      <c r="GN5340"/>
      <c r="GO5340"/>
    </row>
    <row r="5341" spans="107:197">
      <c r="DC5341"/>
      <c r="FH5341"/>
      <c r="FI5341"/>
      <c r="FJ5341"/>
      <c r="FK5341"/>
      <c r="FL5341"/>
      <c r="FM5341"/>
      <c r="FN5341"/>
      <c r="FO5341"/>
      <c r="FP5341"/>
      <c r="FQ5341"/>
      <c r="FR5341"/>
      <c r="FS5341"/>
      <c r="FT5341"/>
      <c r="FU5341"/>
      <c r="FV5341"/>
      <c r="FW5341"/>
      <c r="FX5341"/>
      <c r="FY5341"/>
      <c r="FZ5341"/>
      <c r="GA5341"/>
      <c r="GB5341"/>
      <c r="GC5341"/>
      <c r="GD5341"/>
      <c r="GE5341"/>
      <c r="GF5341"/>
      <c r="GG5341"/>
      <c r="GH5341"/>
      <c r="GI5341"/>
      <c r="GJ5341"/>
      <c r="GK5341"/>
      <c r="GL5341"/>
      <c r="GM5341"/>
      <c r="GN5341"/>
      <c r="GO5341"/>
    </row>
    <row r="5342" spans="107:197">
      <c r="DC5342"/>
      <c r="FH5342"/>
      <c r="FI5342"/>
      <c r="FJ5342"/>
      <c r="FK5342"/>
      <c r="FL5342"/>
      <c r="FM5342"/>
      <c r="FN5342"/>
      <c r="FO5342"/>
      <c r="FP5342"/>
      <c r="FQ5342"/>
      <c r="FR5342"/>
      <c r="FS5342"/>
      <c r="FT5342"/>
      <c r="FU5342"/>
      <c r="FV5342"/>
      <c r="FW5342"/>
      <c r="FX5342"/>
      <c r="FY5342"/>
      <c r="FZ5342"/>
      <c r="GA5342"/>
      <c r="GB5342"/>
      <c r="GC5342"/>
      <c r="GD5342"/>
      <c r="GE5342"/>
      <c r="GF5342"/>
      <c r="GG5342"/>
      <c r="GH5342"/>
      <c r="GI5342"/>
      <c r="GJ5342"/>
      <c r="GK5342"/>
      <c r="GL5342"/>
      <c r="GM5342"/>
      <c r="GN5342"/>
      <c r="GO5342"/>
    </row>
    <row r="5343" spans="107:197">
      <c r="DC5343"/>
      <c r="FH5343"/>
      <c r="FI5343"/>
      <c r="FJ5343"/>
      <c r="FK5343"/>
      <c r="FL5343"/>
      <c r="FM5343"/>
      <c r="FN5343"/>
      <c r="FO5343"/>
      <c r="FP5343"/>
      <c r="FQ5343"/>
      <c r="FR5343"/>
      <c r="FS5343"/>
      <c r="FT5343"/>
      <c r="FU5343"/>
      <c r="FV5343"/>
      <c r="FW5343"/>
      <c r="FX5343"/>
      <c r="FY5343"/>
      <c r="FZ5343"/>
      <c r="GA5343"/>
      <c r="GB5343"/>
      <c r="GC5343"/>
      <c r="GD5343"/>
      <c r="GE5343"/>
      <c r="GF5343"/>
      <c r="GG5343"/>
      <c r="GH5343"/>
      <c r="GI5343"/>
      <c r="GJ5343"/>
      <c r="GK5343"/>
      <c r="GL5343"/>
      <c r="GM5343"/>
      <c r="GN5343"/>
      <c r="GO5343"/>
    </row>
    <row r="5344" spans="107:197">
      <c r="DC5344"/>
      <c r="FH5344"/>
      <c r="FI5344"/>
      <c r="FJ5344"/>
      <c r="FK5344"/>
      <c r="FL5344"/>
      <c r="FM5344"/>
      <c r="FN5344"/>
      <c r="FO5344"/>
      <c r="FP5344"/>
      <c r="FQ5344"/>
      <c r="FR5344"/>
      <c r="FS5344"/>
      <c r="FT5344"/>
      <c r="FU5344"/>
      <c r="FV5344"/>
      <c r="FW5344"/>
      <c r="FX5344"/>
      <c r="FY5344"/>
      <c r="FZ5344"/>
      <c r="GA5344"/>
      <c r="GB5344"/>
      <c r="GC5344"/>
      <c r="GD5344"/>
      <c r="GE5344"/>
      <c r="GF5344"/>
      <c r="GG5344"/>
      <c r="GH5344"/>
      <c r="GI5344"/>
      <c r="GJ5344"/>
      <c r="GK5344"/>
      <c r="GL5344"/>
      <c r="GM5344"/>
      <c r="GN5344"/>
      <c r="GO5344"/>
    </row>
    <row r="5345" spans="107:197">
      <c r="DC5345"/>
      <c r="FH5345"/>
      <c r="FI5345"/>
      <c r="FJ5345"/>
      <c r="FK5345"/>
      <c r="FL5345"/>
      <c r="FM5345"/>
      <c r="FN5345"/>
      <c r="FO5345"/>
      <c r="FP5345"/>
      <c r="FQ5345"/>
      <c r="FR5345"/>
      <c r="FS5345"/>
      <c r="FT5345"/>
      <c r="FU5345"/>
      <c r="FV5345"/>
      <c r="FW5345"/>
      <c r="FX5345"/>
      <c r="FY5345"/>
      <c r="FZ5345"/>
      <c r="GA5345"/>
      <c r="GB5345"/>
      <c r="GC5345"/>
      <c r="GD5345"/>
      <c r="GE5345"/>
      <c r="GF5345"/>
      <c r="GG5345"/>
      <c r="GH5345"/>
      <c r="GI5345"/>
      <c r="GJ5345"/>
      <c r="GK5345"/>
      <c r="GL5345"/>
      <c r="GM5345"/>
      <c r="GN5345"/>
      <c r="GO5345"/>
    </row>
    <row r="5346" spans="107:197">
      <c r="DC5346"/>
      <c r="FH5346"/>
      <c r="FI5346"/>
      <c r="FJ5346"/>
      <c r="FK5346"/>
      <c r="FL5346"/>
      <c r="FM5346"/>
      <c r="FN5346"/>
      <c r="FO5346"/>
      <c r="FP5346"/>
      <c r="FQ5346"/>
      <c r="FR5346"/>
      <c r="FS5346"/>
      <c r="FT5346"/>
      <c r="FU5346"/>
      <c r="FV5346"/>
      <c r="FW5346"/>
      <c r="FX5346"/>
      <c r="FY5346"/>
      <c r="FZ5346"/>
      <c r="GA5346"/>
      <c r="GB5346"/>
      <c r="GC5346"/>
      <c r="GD5346"/>
      <c r="GE5346"/>
      <c r="GF5346"/>
      <c r="GG5346"/>
      <c r="GH5346"/>
      <c r="GI5346"/>
      <c r="GJ5346"/>
      <c r="GK5346"/>
      <c r="GL5346"/>
      <c r="GM5346"/>
      <c r="GN5346"/>
      <c r="GO5346"/>
    </row>
    <row r="5347" spans="107:197">
      <c r="DC5347"/>
      <c r="FH5347"/>
      <c r="FI5347"/>
      <c r="FJ5347"/>
      <c r="FK5347"/>
      <c r="FL5347"/>
      <c r="FM5347"/>
      <c r="FN5347"/>
      <c r="FO5347"/>
      <c r="FP5347"/>
      <c r="FQ5347"/>
      <c r="FR5347"/>
      <c r="FS5347"/>
      <c r="FT5347"/>
      <c r="FU5347"/>
      <c r="FV5347"/>
      <c r="FW5347"/>
      <c r="FX5347"/>
      <c r="FY5347"/>
      <c r="FZ5347"/>
      <c r="GA5347"/>
      <c r="GB5347"/>
      <c r="GC5347"/>
      <c r="GD5347"/>
      <c r="GE5347"/>
      <c r="GF5347"/>
      <c r="GG5347"/>
      <c r="GH5347"/>
      <c r="GI5347"/>
      <c r="GJ5347"/>
      <c r="GK5347"/>
      <c r="GL5347"/>
      <c r="GM5347"/>
      <c r="GN5347"/>
      <c r="GO5347"/>
    </row>
    <row r="5348" spans="107:197">
      <c r="DC5348"/>
      <c r="FH5348"/>
      <c r="FI5348"/>
      <c r="FJ5348"/>
      <c r="FK5348"/>
      <c r="FL5348"/>
      <c r="FM5348"/>
      <c r="FN5348"/>
      <c r="FO5348"/>
      <c r="FP5348"/>
      <c r="FQ5348"/>
      <c r="FR5348"/>
      <c r="FS5348"/>
      <c r="FT5348"/>
      <c r="FU5348"/>
      <c r="FV5348"/>
      <c r="FW5348"/>
      <c r="FX5348"/>
      <c r="FY5348"/>
      <c r="FZ5348"/>
      <c r="GA5348"/>
      <c r="GB5348"/>
      <c r="GC5348"/>
      <c r="GD5348"/>
      <c r="GE5348"/>
      <c r="GF5348"/>
      <c r="GG5348"/>
      <c r="GH5348"/>
      <c r="GI5348"/>
      <c r="GJ5348"/>
      <c r="GK5348"/>
      <c r="GL5348"/>
      <c r="GM5348"/>
      <c r="GN5348"/>
      <c r="GO5348"/>
    </row>
    <row r="5349" spans="107:197">
      <c r="DC5349"/>
      <c r="FH5349"/>
      <c r="FI5349"/>
      <c r="FJ5349"/>
      <c r="FK5349"/>
      <c r="FL5349"/>
      <c r="FM5349"/>
      <c r="FN5349"/>
      <c r="FO5349"/>
      <c r="FP5349"/>
      <c r="FQ5349"/>
      <c r="FR5349"/>
      <c r="FS5349"/>
      <c r="FT5349"/>
      <c r="FU5349"/>
      <c r="FV5349"/>
      <c r="FW5349"/>
      <c r="FX5349"/>
      <c r="FY5349"/>
      <c r="FZ5349"/>
      <c r="GA5349"/>
      <c r="GB5349"/>
      <c r="GC5349"/>
      <c r="GD5349"/>
      <c r="GE5349"/>
      <c r="GF5349"/>
      <c r="GG5349"/>
      <c r="GH5349"/>
      <c r="GI5349"/>
      <c r="GJ5349"/>
      <c r="GK5349"/>
      <c r="GL5349"/>
      <c r="GM5349"/>
      <c r="GN5349"/>
      <c r="GO5349"/>
    </row>
    <row r="5350" spans="107:197">
      <c r="DC5350"/>
      <c r="FH5350"/>
      <c r="FI5350"/>
      <c r="FJ5350"/>
      <c r="FK5350"/>
      <c r="FL5350"/>
      <c r="FM5350"/>
      <c r="FN5350"/>
      <c r="FO5350"/>
      <c r="FP5350"/>
      <c r="FQ5350"/>
      <c r="FR5350"/>
      <c r="FS5350"/>
      <c r="FT5350"/>
      <c r="FU5350"/>
      <c r="FV5350"/>
      <c r="FW5350"/>
      <c r="FX5350"/>
      <c r="FY5350"/>
      <c r="FZ5350"/>
      <c r="GA5350"/>
      <c r="GB5350"/>
      <c r="GC5350"/>
      <c r="GD5350"/>
      <c r="GE5350"/>
      <c r="GF5350"/>
      <c r="GG5350"/>
      <c r="GH5350"/>
      <c r="GI5350"/>
      <c r="GJ5350"/>
      <c r="GK5350"/>
      <c r="GL5350"/>
      <c r="GM5350"/>
      <c r="GN5350"/>
      <c r="GO5350"/>
    </row>
    <row r="5351" spans="107:197">
      <c r="DC5351"/>
      <c r="FH5351"/>
      <c r="FI5351"/>
      <c r="FJ5351"/>
      <c r="FK5351"/>
      <c r="FL5351"/>
      <c r="FM5351"/>
      <c r="FN5351"/>
      <c r="FO5351"/>
      <c r="FP5351"/>
      <c r="FQ5351"/>
      <c r="FR5351"/>
      <c r="FS5351"/>
      <c r="FT5351"/>
      <c r="FU5351"/>
      <c r="FV5351"/>
      <c r="FW5351"/>
      <c r="FX5351"/>
      <c r="FY5351"/>
      <c r="FZ5351"/>
      <c r="GA5351"/>
      <c r="GB5351"/>
      <c r="GC5351"/>
      <c r="GD5351"/>
      <c r="GE5351"/>
      <c r="GF5351"/>
      <c r="GG5351"/>
      <c r="GH5351"/>
      <c r="GI5351"/>
      <c r="GJ5351"/>
      <c r="GK5351"/>
      <c r="GL5351"/>
      <c r="GM5351"/>
      <c r="GN5351"/>
      <c r="GO5351"/>
    </row>
    <row r="5352" spans="107:197">
      <c r="DC5352"/>
      <c r="FH5352"/>
      <c r="FI5352"/>
      <c r="FJ5352"/>
      <c r="FK5352"/>
      <c r="FL5352"/>
      <c r="FM5352"/>
      <c r="FN5352"/>
      <c r="FO5352"/>
      <c r="FP5352"/>
      <c r="FQ5352"/>
      <c r="FR5352"/>
      <c r="FS5352"/>
      <c r="FT5352"/>
      <c r="FU5352"/>
      <c r="FV5352"/>
      <c r="FW5352"/>
      <c r="FX5352"/>
      <c r="FY5352"/>
      <c r="FZ5352"/>
      <c r="GA5352"/>
      <c r="GB5352"/>
      <c r="GC5352"/>
      <c r="GD5352"/>
      <c r="GE5352"/>
      <c r="GF5352"/>
      <c r="GG5352"/>
      <c r="GH5352"/>
      <c r="GI5352"/>
      <c r="GJ5352"/>
      <c r="GK5352"/>
      <c r="GL5352"/>
      <c r="GM5352"/>
      <c r="GN5352"/>
      <c r="GO5352"/>
    </row>
    <row r="5353" spans="107:197">
      <c r="DC5353"/>
      <c r="FH5353"/>
      <c r="FI5353"/>
      <c r="FJ5353"/>
      <c r="FK5353"/>
      <c r="FL5353"/>
      <c r="FM5353"/>
      <c r="FN5353"/>
      <c r="FO5353"/>
      <c r="FP5353"/>
      <c r="FQ5353"/>
      <c r="FR5353"/>
      <c r="FS5353"/>
      <c r="FT5353"/>
      <c r="FU5353"/>
      <c r="FV5353"/>
      <c r="FW5353"/>
      <c r="FX5353"/>
      <c r="FY5353"/>
      <c r="FZ5353"/>
      <c r="GA5353"/>
      <c r="GB5353"/>
      <c r="GC5353"/>
      <c r="GD5353"/>
      <c r="GE5353"/>
      <c r="GF5353"/>
      <c r="GG5353"/>
      <c r="GH5353"/>
      <c r="GI5353"/>
      <c r="GJ5353"/>
      <c r="GK5353"/>
      <c r="GL5353"/>
      <c r="GM5353"/>
      <c r="GN5353"/>
      <c r="GO5353"/>
    </row>
    <row r="5354" spans="107:197">
      <c r="DC5354"/>
      <c r="FH5354"/>
      <c r="FI5354"/>
      <c r="FJ5354"/>
      <c r="FK5354"/>
      <c r="FL5354"/>
      <c r="FM5354"/>
      <c r="FN5354"/>
      <c r="FO5354"/>
      <c r="FP5354"/>
      <c r="FQ5354"/>
      <c r="FR5354"/>
      <c r="FS5354"/>
      <c r="FT5354"/>
      <c r="FU5354"/>
      <c r="FV5354"/>
      <c r="FW5354"/>
      <c r="FX5354"/>
      <c r="FY5354"/>
      <c r="FZ5354"/>
      <c r="GA5354"/>
      <c r="GB5354"/>
      <c r="GC5354"/>
      <c r="GD5354"/>
      <c r="GE5354"/>
      <c r="GF5354"/>
      <c r="GG5354"/>
      <c r="GH5354"/>
      <c r="GI5354"/>
      <c r="GJ5354"/>
      <c r="GK5354"/>
      <c r="GL5354"/>
      <c r="GM5354"/>
      <c r="GN5354"/>
      <c r="GO5354"/>
    </row>
    <row r="5355" spans="107:197">
      <c r="DC5355"/>
      <c r="FH5355"/>
      <c r="FI5355"/>
      <c r="FJ5355"/>
      <c r="FK5355"/>
      <c r="FL5355"/>
      <c r="FM5355"/>
      <c r="FN5355"/>
      <c r="FO5355"/>
      <c r="FP5355"/>
      <c r="FQ5355"/>
      <c r="FR5355"/>
      <c r="FS5355"/>
      <c r="FT5355"/>
      <c r="FU5355"/>
      <c r="FV5355"/>
      <c r="FW5355"/>
      <c r="FX5355"/>
      <c r="FY5355"/>
      <c r="FZ5355"/>
      <c r="GA5355"/>
      <c r="GB5355"/>
      <c r="GC5355"/>
      <c r="GD5355"/>
      <c r="GE5355"/>
      <c r="GF5355"/>
      <c r="GG5355"/>
      <c r="GH5355"/>
      <c r="GI5355"/>
      <c r="GJ5355"/>
      <c r="GK5355"/>
      <c r="GL5355"/>
      <c r="GM5355"/>
      <c r="GN5355"/>
      <c r="GO5355"/>
    </row>
    <row r="5356" spans="107:197">
      <c r="DC5356"/>
      <c r="FH5356"/>
      <c r="FI5356"/>
      <c r="FJ5356"/>
      <c r="FK5356"/>
      <c r="FL5356"/>
      <c r="FM5356"/>
      <c r="FN5356"/>
      <c r="FO5356"/>
      <c r="FP5356"/>
      <c r="FQ5356"/>
      <c r="FR5356"/>
      <c r="FS5356"/>
      <c r="FT5356"/>
      <c r="FU5356"/>
      <c r="FV5356"/>
      <c r="FW5356"/>
      <c r="FX5356"/>
      <c r="FY5356"/>
      <c r="FZ5356"/>
      <c r="GA5356"/>
      <c r="GB5356"/>
      <c r="GC5356"/>
      <c r="GD5356"/>
      <c r="GE5356"/>
      <c r="GF5356"/>
      <c r="GG5356"/>
      <c r="GH5356"/>
      <c r="GI5356"/>
      <c r="GJ5356"/>
      <c r="GK5356"/>
      <c r="GL5356"/>
      <c r="GM5356"/>
      <c r="GN5356"/>
      <c r="GO5356"/>
    </row>
    <row r="5357" spans="107:197">
      <c r="DC5357"/>
      <c r="FH5357"/>
      <c r="FI5357"/>
      <c r="FJ5357"/>
      <c r="FK5357"/>
      <c r="FL5357"/>
      <c r="FM5357"/>
      <c r="FN5357"/>
      <c r="FO5357"/>
      <c r="FP5357"/>
      <c r="FQ5357"/>
      <c r="FR5357"/>
      <c r="FS5357"/>
      <c r="FT5357"/>
      <c r="FU5357"/>
      <c r="FV5357"/>
      <c r="FW5357"/>
      <c r="FX5357"/>
      <c r="FY5357"/>
      <c r="FZ5357"/>
      <c r="GA5357"/>
      <c r="GB5357"/>
      <c r="GC5357"/>
      <c r="GD5357"/>
      <c r="GE5357"/>
      <c r="GF5357"/>
      <c r="GG5357"/>
      <c r="GH5357"/>
      <c r="GI5357"/>
      <c r="GJ5357"/>
      <c r="GK5357"/>
      <c r="GL5357"/>
      <c r="GM5357"/>
      <c r="GN5357"/>
      <c r="GO5357"/>
    </row>
    <row r="5358" spans="107:197">
      <c r="DC5358"/>
      <c r="FH5358"/>
      <c r="FI5358"/>
      <c r="FJ5358"/>
      <c r="FK5358"/>
      <c r="FL5358"/>
      <c r="FM5358"/>
      <c r="FN5358"/>
      <c r="FO5358"/>
      <c r="FP5358"/>
      <c r="FQ5358"/>
      <c r="FR5358"/>
      <c r="FS5358"/>
      <c r="FT5358"/>
      <c r="FU5358"/>
      <c r="FV5358"/>
      <c r="FW5358"/>
      <c r="FX5358"/>
      <c r="FY5358"/>
      <c r="FZ5358"/>
      <c r="GA5358"/>
      <c r="GB5358"/>
      <c r="GC5358"/>
      <c r="GD5358"/>
      <c r="GE5358"/>
      <c r="GF5358"/>
      <c r="GG5358"/>
      <c r="GH5358"/>
      <c r="GI5358"/>
      <c r="GJ5358"/>
      <c r="GK5358"/>
      <c r="GL5358"/>
      <c r="GM5358"/>
      <c r="GN5358"/>
      <c r="GO5358"/>
    </row>
    <row r="5359" spans="107:197">
      <c r="DC5359"/>
      <c r="FH5359"/>
      <c r="FI5359"/>
      <c r="FJ5359"/>
      <c r="FK5359"/>
      <c r="FL5359"/>
      <c r="FM5359"/>
      <c r="FN5359"/>
      <c r="FO5359"/>
      <c r="FP5359"/>
      <c r="FQ5359"/>
      <c r="FR5359"/>
      <c r="FS5359"/>
      <c r="FT5359"/>
      <c r="FU5359"/>
      <c r="FV5359"/>
      <c r="FW5359"/>
      <c r="FX5359"/>
      <c r="FY5359"/>
      <c r="FZ5359"/>
      <c r="GA5359"/>
      <c r="GB5359"/>
      <c r="GC5359"/>
      <c r="GD5359"/>
      <c r="GE5359"/>
      <c r="GF5359"/>
      <c r="GG5359"/>
      <c r="GH5359"/>
      <c r="GI5359"/>
      <c r="GJ5359"/>
      <c r="GK5359"/>
      <c r="GL5359"/>
      <c r="GM5359"/>
      <c r="GN5359"/>
      <c r="GO5359"/>
    </row>
    <row r="5360" spans="107:197">
      <c r="DC5360"/>
      <c r="FH5360"/>
      <c r="FI5360"/>
      <c r="FJ5360"/>
      <c r="FK5360"/>
      <c r="FL5360"/>
      <c r="FM5360"/>
      <c r="FN5360"/>
      <c r="FO5360"/>
      <c r="FP5360"/>
      <c r="FQ5360"/>
      <c r="FR5360"/>
      <c r="FS5360"/>
      <c r="FT5360"/>
      <c r="FU5360"/>
      <c r="FV5360"/>
      <c r="FW5360"/>
      <c r="FX5360"/>
      <c r="FY5360"/>
      <c r="FZ5360"/>
      <c r="GA5360"/>
      <c r="GB5360"/>
      <c r="GC5360"/>
      <c r="GD5360"/>
      <c r="GE5360"/>
      <c r="GF5360"/>
      <c r="GG5360"/>
      <c r="GH5360"/>
      <c r="GI5360"/>
      <c r="GJ5360"/>
      <c r="GK5360"/>
      <c r="GL5360"/>
      <c r="GM5360"/>
      <c r="GN5360"/>
      <c r="GO5360"/>
    </row>
    <row r="5361" spans="107:197">
      <c r="DC5361"/>
      <c r="FH5361"/>
      <c r="FI5361"/>
      <c r="FJ5361"/>
      <c r="FK5361"/>
      <c r="FL5361"/>
      <c r="FM5361"/>
      <c r="FN5361"/>
      <c r="FO5361"/>
      <c r="FP5361"/>
      <c r="FQ5361"/>
      <c r="FR5361"/>
      <c r="FS5361"/>
      <c r="FT5361"/>
      <c r="FU5361"/>
      <c r="FV5361"/>
      <c r="FW5361"/>
      <c r="FX5361"/>
      <c r="FY5361"/>
      <c r="FZ5361"/>
      <c r="GA5361"/>
      <c r="GB5361"/>
      <c r="GC5361"/>
      <c r="GD5361"/>
      <c r="GE5361"/>
      <c r="GF5361"/>
      <c r="GG5361"/>
      <c r="GH5361"/>
      <c r="GI5361"/>
      <c r="GJ5361"/>
      <c r="GK5361"/>
      <c r="GL5361"/>
      <c r="GM5361"/>
      <c r="GN5361"/>
      <c r="GO5361"/>
    </row>
    <row r="5362" spans="107:197">
      <c r="DC5362"/>
      <c r="FH5362"/>
      <c r="FI5362"/>
      <c r="FJ5362"/>
      <c r="FK5362"/>
      <c r="FL5362"/>
      <c r="FM5362"/>
      <c r="FN5362"/>
      <c r="FO5362"/>
      <c r="FP5362"/>
      <c r="FQ5362"/>
      <c r="FR5362"/>
      <c r="FS5362"/>
      <c r="FT5362"/>
      <c r="FU5362"/>
      <c r="FV5362"/>
      <c r="FW5362"/>
      <c r="FX5362"/>
      <c r="FY5362"/>
      <c r="FZ5362"/>
      <c r="GA5362"/>
      <c r="GB5362"/>
      <c r="GC5362"/>
      <c r="GD5362"/>
      <c r="GE5362"/>
      <c r="GF5362"/>
      <c r="GG5362"/>
      <c r="GH5362"/>
      <c r="GI5362"/>
      <c r="GJ5362"/>
      <c r="GK5362"/>
      <c r="GL5362"/>
      <c r="GM5362"/>
      <c r="GN5362"/>
      <c r="GO5362"/>
    </row>
    <row r="5363" spans="107:197">
      <c r="DC5363"/>
      <c r="FH5363"/>
      <c r="FI5363"/>
      <c r="FJ5363"/>
      <c r="FK5363"/>
      <c r="FL5363"/>
      <c r="FM5363"/>
      <c r="FN5363"/>
      <c r="FO5363"/>
      <c r="FP5363"/>
      <c r="FQ5363"/>
      <c r="FR5363"/>
      <c r="FS5363"/>
      <c r="FT5363"/>
      <c r="FU5363"/>
      <c r="FV5363"/>
      <c r="FW5363"/>
      <c r="FX5363"/>
      <c r="FY5363"/>
      <c r="FZ5363"/>
      <c r="GA5363"/>
      <c r="GB5363"/>
      <c r="GC5363"/>
      <c r="GD5363"/>
      <c r="GE5363"/>
      <c r="GF5363"/>
      <c r="GG5363"/>
      <c r="GH5363"/>
      <c r="GI5363"/>
      <c r="GJ5363"/>
      <c r="GK5363"/>
      <c r="GL5363"/>
      <c r="GM5363"/>
      <c r="GN5363"/>
      <c r="GO5363"/>
    </row>
    <row r="5364" spans="107:197">
      <c r="DC5364"/>
      <c r="FH5364"/>
      <c r="FI5364"/>
      <c r="FJ5364"/>
      <c r="FK5364"/>
      <c r="FL5364"/>
      <c r="FM5364"/>
      <c r="FN5364"/>
      <c r="FO5364"/>
      <c r="FP5364"/>
      <c r="FQ5364"/>
      <c r="FR5364"/>
      <c r="FS5364"/>
      <c r="FT5364"/>
      <c r="FU5364"/>
      <c r="FV5364"/>
      <c r="FW5364"/>
      <c r="FX5364"/>
      <c r="FY5364"/>
      <c r="FZ5364"/>
      <c r="GA5364"/>
      <c r="GB5364"/>
      <c r="GC5364"/>
      <c r="GD5364"/>
      <c r="GE5364"/>
      <c r="GF5364"/>
      <c r="GG5364"/>
      <c r="GH5364"/>
      <c r="GI5364"/>
      <c r="GJ5364"/>
      <c r="GK5364"/>
      <c r="GL5364"/>
      <c r="GM5364"/>
      <c r="GN5364"/>
      <c r="GO5364"/>
    </row>
    <row r="5365" spans="107:197">
      <c r="DC5365"/>
      <c r="FH5365"/>
      <c r="FI5365"/>
      <c r="FJ5365"/>
      <c r="FK5365"/>
      <c r="FL5365"/>
      <c r="FM5365"/>
      <c r="FN5365"/>
      <c r="FO5365"/>
      <c r="FP5365"/>
      <c r="FQ5365"/>
      <c r="FR5365"/>
      <c r="FS5365"/>
      <c r="FT5365"/>
      <c r="FU5365"/>
      <c r="FV5365"/>
      <c r="FW5365"/>
      <c r="FX5365"/>
      <c r="FY5365"/>
      <c r="FZ5365"/>
      <c r="GA5365"/>
      <c r="GB5365"/>
      <c r="GC5365"/>
      <c r="GD5365"/>
      <c r="GE5365"/>
      <c r="GF5365"/>
      <c r="GG5365"/>
      <c r="GH5365"/>
      <c r="GI5365"/>
      <c r="GJ5365"/>
      <c r="GK5365"/>
      <c r="GL5365"/>
      <c r="GM5365"/>
      <c r="GN5365"/>
      <c r="GO5365"/>
    </row>
    <row r="5366" spans="107:197">
      <c r="DC5366"/>
      <c r="FH5366"/>
      <c r="FI5366"/>
      <c r="FJ5366"/>
      <c r="FK5366"/>
      <c r="FL5366"/>
      <c r="FM5366"/>
      <c r="FN5366"/>
      <c r="FO5366"/>
      <c r="FP5366"/>
      <c r="FQ5366"/>
      <c r="FR5366"/>
      <c r="FS5366"/>
      <c r="FT5366"/>
      <c r="FU5366"/>
      <c r="FV5366"/>
      <c r="FW5366"/>
      <c r="FX5366"/>
      <c r="FY5366"/>
      <c r="FZ5366"/>
      <c r="GA5366"/>
      <c r="GB5366"/>
      <c r="GC5366"/>
      <c r="GD5366"/>
      <c r="GE5366"/>
      <c r="GF5366"/>
      <c r="GG5366"/>
      <c r="GH5366"/>
      <c r="GI5366"/>
      <c r="GJ5366"/>
      <c r="GK5366"/>
      <c r="GL5366"/>
      <c r="GM5366"/>
      <c r="GN5366"/>
      <c r="GO5366"/>
    </row>
    <row r="5367" spans="107:197">
      <c r="DC5367"/>
      <c r="FH5367"/>
      <c r="FI5367"/>
      <c r="FJ5367"/>
      <c r="FK5367"/>
      <c r="FL5367"/>
      <c r="FM5367"/>
      <c r="FN5367"/>
      <c r="FO5367"/>
      <c r="FP5367"/>
      <c r="FQ5367"/>
      <c r="FR5367"/>
      <c r="FS5367"/>
      <c r="FT5367"/>
      <c r="FU5367"/>
      <c r="FV5367"/>
      <c r="FW5367"/>
      <c r="FX5367"/>
      <c r="FY5367"/>
      <c r="FZ5367"/>
      <c r="GA5367"/>
      <c r="GB5367"/>
      <c r="GC5367"/>
      <c r="GD5367"/>
      <c r="GE5367"/>
      <c r="GF5367"/>
      <c r="GG5367"/>
      <c r="GH5367"/>
      <c r="GI5367"/>
      <c r="GJ5367"/>
      <c r="GK5367"/>
      <c r="GL5367"/>
      <c r="GM5367"/>
      <c r="GN5367"/>
      <c r="GO5367"/>
    </row>
    <row r="5368" spans="107:197">
      <c r="DC5368"/>
      <c r="FH5368"/>
      <c r="FI5368"/>
      <c r="FJ5368"/>
      <c r="FK5368"/>
      <c r="FL5368"/>
      <c r="FM5368"/>
      <c r="FN5368"/>
      <c r="FO5368"/>
      <c r="FP5368"/>
      <c r="FQ5368"/>
      <c r="FR5368"/>
      <c r="FS5368"/>
      <c r="FT5368"/>
      <c r="FU5368"/>
      <c r="FV5368"/>
      <c r="FW5368"/>
      <c r="FX5368"/>
      <c r="FY5368"/>
      <c r="FZ5368"/>
      <c r="GA5368"/>
      <c r="GB5368"/>
      <c r="GC5368"/>
      <c r="GD5368"/>
      <c r="GE5368"/>
      <c r="GF5368"/>
      <c r="GG5368"/>
      <c r="GH5368"/>
      <c r="GI5368"/>
      <c r="GJ5368"/>
      <c r="GK5368"/>
      <c r="GL5368"/>
      <c r="GM5368"/>
      <c r="GN5368"/>
      <c r="GO5368"/>
    </row>
    <row r="5369" spans="107:197">
      <c r="DC5369"/>
      <c r="FH5369"/>
      <c r="FI5369"/>
      <c r="FJ5369"/>
      <c r="FK5369"/>
      <c r="FL5369"/>
      <c r="FM5369"/>
      <c r="FN5369"/>
      <c r="FO5369"/>
      <c r="FP5369"/>
      <c r="FQ5369"/>
      <c r="FR5369"/>
      <c r="FS5369"/>
      <c r="FT5369"/>
      <c r="FU5369"/>
      <c r="FV5369"/>
      <c r="FW5369"/>
      <c r="FX5369"/>
      <c r="FY5369"/>
      <c r="FZ5369"/>
      <c r="GA5369"/>
      <c r="GB5369"/>
      <c r="GC5369"/>
      <c r="GD5369"/>
      <c r="GE5369"/>
      <c r="GF5369"/>
      <c r="GG5369"/>
      <c r="GH5369"/>
      <c r="GI5369"/>
      <c r="GJ5369"/>
      <c r="GK5369"/>
      <c r="GL5369"/>
      <c r="GM5369"/>
      <c r="GN5369"/>
      <c r="GO5369"/>
    </row>
    <row r="5370" spans="107:197">
      <c r="DC5370"/>
      <c r="FH5370"/>
      <c r="FI5370"/>
      <c r="FJ5370"/>
      <c r="FK5370"/>
      <c r="FL5370"/>
      <c r="FM5370"/>
      <c r="FN5370"/>
      <c r="FO5370"/>
      <c r="FP5370"/>
      <c r="FQ5370"/>
      <c r="FR5370"/>
      <c r="FS5370"/>
      <c r="FT5370"/>
      <c r="FU5370"/>
      <c r="FV5370"/>
      <c r="FW5370"/>
      <c r="FX5370"/>
      <c r="FY5370"/>
      <c r="FZ5370"/>
      <c r="GA5370"/>
      <c r="GB5370"/>
      <c r="GC5370"/>
      <c r="GD5370"/>
      <c r="GE5370"/>
      <c r="GF5370"/>
      <c r="GG5370"/>
      <c r="GH5370"/>
      <c r="GI5370"/>
      <c r="GJ5370"/>
      <c r="GK5370"/>
      <c r="GL5370"/>
      <c r="GM5370"/>
      <c r="GN5370"/>
      <c r="GO5370"/>
    </row>
    <row r="5371" spans="107:197">
      <c r="DC5371"/>
      <c r="FH5371"/>
      <c r="FI5371"/>
      <c r="FJ5371"/>
      <c r="FK5371"/>
      <c r="FL5371"/>
      <c r="FM5371"/>
      <c r="FN5371"/>
      <c r="FO5371"/>
      <c r="FP5371"/>
      <c r="FQ5371"/>
      <c r="FR5371"/>
      <c r="FS5371"/>
      <c r="FT5371"/>
      <c r="FU5371"/>
      <c r="FV5371"/>
      <c r="FW5371"/>
      <c r="FX5371"/>
      <c r="FY5371"/>
      <c r="FZ5371"/>
      <c r="GA5371"/>
      <c r="GB5371"/>
      <c r="GC5371"/>
      <c r="GD5371"/>
      <c r="GE5371"/>
      <c r="GF5371"/>
      <c r="GG5371"/>
      <c r="GH5371"/>
      <c r="GI5371"/>
      <c r="GJ5371"/>
      <c r="GK5371"/>
      <c r="GL5371"/>
      <c r="GM5371"/>
      <c r="GN5371"/>
      <c r="GO5371"/>
    </row>
    <row r="5372" spans="107:197">
      <c r="DC5372"/>
      <c r="FH5372"/>
      <c r="FI5372"/>
      <c r="FJ5372"/>
      <c r="FK5372"/>
      <c r="FL5372"/>
      <c r="FM5372"/>
      <c r="FN5372"/>
      <c r="FO5372"/>
      <c r="FP5372"/>
      <c r="FQ5372"/>
      <c r="FR5372"/>
      <c r="FS5372"/>
      <c r="FT5372"/>
      <c r="FU5372"/>
      <c r="FV5372"/>
      <c r="FW5372"/>
      <c r="FX5372"/>
      <c r="FY5372"/>
      <c r="FZ5372"/>
      <c r="GA5372"/>
      <c r="GB5372"/>
      <c r="GC5372"/>
      <c r="GD5372"/>
      <c r="GE5372"/>
      <c r="GF5372"/>
      <c r="GG5372"/>
      <c r="GH5372"/>
      <c r="GI5372"/>
      <c r="GJ5372"/>
      <c r="GK5372"/>
      <c r="GL5372"/>
      <c r="GM5372"/>
      <c r="GN5372"/>
      <c r="GO5372"/>
    </row>
    <row r="5373" spans="107:197">
      <c r="DC5373"/>
      <c r="FH5373"/>
      <c r="FI5373"/>
      <c r="FJ5373"/>
      <c r="FK5373"/>
      <c r="FL5373"/>
      <c r="FM5373"/>
      <c r="FN5373"/>
      <c r="FO5373"/>
      <c r="FP5373"/>
      <c r="FQ5373"/>
      <c r="FR5373"/>
      <c r="FS5373"/>
      <c r="FT5373"/>
      <c r="FU5373"/>
      <c r="FV5373"/>
      <c r="FW5373"/>
      <c r="FX5373"/>
      <c r="FY5373"/>
      <c r="FZ5373"/>
      <c r="GA5373"/>
      <c r="GB5373"/>
      <c r="GC5373"/>
      <c r="GD5373"/>
      <c r="GE5373"/>
      <c r="GF5373"/>
      <c r="GG5373"/>
      <c r="GH5373"/>
      <c r="GI5373"/>
      <c r="GJ5373"/>
      <c r="GK5373"/>
      <c r="GL5373"/>
      <c r="GM5373"/>
      <c r="GN5373"/>
      <c r="GO5373"/>
    </row>
    <row r="5374" spans="107:197">
      <c r="DC5374"/>
      <c r="FH5374"/>
      <c r="FI5374"/>
      <c r="FJ5374"/>
      <c r="FK5374"/>
      <c r="FL5374"/>
      <c r="FM5374"/>
      <c r="FN5374"/>
      <c r="FO5374"/>
      <c r="FP5374"/>
      <c r="FQ5374"/>
      <c r="FR5374"/>
      <c r="FS5374"/>
      <c r="FT5374"/>
      <c r="FU5374"/>
      <c r="FV5374"/>
      <c r="FW5374"/>
      <c r="FX5374"/>
      <c r="FY5374"/>
      <c r="FZ5374"/>
      <c r="GA5374"/>
      <c r="GB5374"/>
      <c r="GC5374"/>
      <c r="GD5374"/>
      <c r="GE5374"/>
      <c r="GF5374"/>
      <c r="GG5374"/>
      <c r="GH5374"/>
      <c r="GI5374"/>
      <c r="GJ5374"/>
      <c r="GK5374"/>
      <c r="GL5374"/>
      <c r="GM5374"/>
      <c r="GN5374"/>
      <c r="GO5374"/>
    </row>
    <row r="5375" spans="107:197">
      <c r="DC5375"/>
      <c r="FH5375"/>
      <c r="FI5375"/>
      <c r="FJ5375"/>
      <c r="FK5375"/>
      <c r="FL5375"/>
      <c r="FM5375"/>
      <c r="FN5375"/>
      <c r="FO5375"/>
      <c r="FP5375"/>
      <c r="FQ5375"/>
      <c r="FR5375"/>
      <c r="FS5375"/>
      <c r="FT5375"/>
      <c r="FU5375"/>
      <c r="FV5375"/>
      <c r="FW5375"/>
      <c r="FX5375"/>
      <c r="FY5375"/>
      <c r="FZ5375"/>
      <c r="GA5375"/>
      <c r="GB5375"/>
      <c r="GC5375"/>
      <c r="GD5375"/>
      <c r="GE5375"/>
      <c r="GF5375"/>
      <c r="GG5375"/>
      <c r="GH5375"/>
      <c r="GI5375"/>
      <c r="GJ5375"/>
      <c r="GK5375"/>
      <c r="GL5375"/>
      <c r="GM5375"/>
      <c r="GN5375"/>
      <c r="GO5375"/>
    </row>
    <row r="5376" spans="107:197">
      <c r="DC5376"/>
      <c r="FH5376"/>
      <c r="FI5376"/>
      <c r="FJ5376"/>
      <c r="FK5376"/>
      <c r="FL5376"/>
      <c r="FM5376"/>
      <c r="FN5376"/>
      <c r="FO5376"/>
      <c r="FP5376"/>
      <c r="FQ5376"/>
      <c r="FR5376"/>
      <c r="FS5376"/>
      <c r="FT5376"/>
      <c r="FU5376"/>
      <c r="FV5376"/>
      <c r="FW5376"/>
      <c r="FX5376"/>
      <c r="FY5376"/>
      <c r="FZ5376"/>
      <c r="GA5376"/>
      <c r="GB5376"/>
      <c r="GC5376"/>
      <c r="GD5376"/>
      <c r="GE5376"/>
      <c r="GF5376"/>
      <c r="GG5376"/>
      <c r="GH5376"/>
      <c r="GI5376"/>
      <c r="GJ5376"/>
      <c r="GK5376"/>
      <c r="GL5376"/>
      <c r="GM5376"/>
      <c r="GN5376"/>
      <c r="GO5376"/>
    </row>
    <row r="5377" spans="107:197">
      <c r="DC5377"/>
      <c r="FH5377"/>
      <c r="FI5377"/>
      <c r="FJ5377"/>
      <c r="FK5377"/>
      <c r="FL5377"/>
      <c r="FM5377"/>
      <c r="FN5377"/>
      <c r="FO5377"/>
      <c r="FP5377"/>
      <c r="FQ5377"/>
      <c r="FR5377"/>
      <c r="FS5377"/>
      <c r="FT5377"/>
      <c r="FU5377"/>
      <c r="FV5377"/>
      <c r="FW5377"/>
      <c r="FX5377"/>
      <c r="FY5377"/>
      <c r="FZ5377"/>
      <c r="GA5377"/>
      <c r="GB5377"/>
      <c r="GC5377"/>
      <c r="GD5377"/>
      <c r="GE5377"/>
      <c r="GF5377"/>
      <c r="GG5377"/>
      <c r="GH5377"/>
      <c r="GI5377"/>
      <c r="GJ5377"/>
      <c r="GK5377"/>
      <c r="GL5377"/>
      <c r="GM5377"/>
      <c r="GN5377"/>
      <c r="GO5377"/>
    </row>
    <row r="5378" spans="107:197">
      <c r="DC5378"/>
      <c r="FH5378"/>
      <c r="FI5378"/>
      <c r="FJ5378"/>
      <c r="FK5378"/>
      <c r="FL5378"/>
      <c r="FM5378"/>
      <c r="FN5378"/>
      <c r="FO5378"/>
      <c r="FP5378"/>
      <c r="FQ5378"/>
      <c r="FR5378"/>
      <c r="FS5378"/>
      <c r="FT5378"/>
      <c r="FU5378"/>
      <c r="FV5378"/>
      <c r="FW5378"/>
      <c r="FX5378"/>
      <c r="FY5378"/>
      <c r="FZ5378"/>
      <c r="GA5378"/>
      <c r="GB5378"/>
      <c r="GC5378"/>
      <c r="GD5378"/>
      <c r="GE5378"/>
      <c r="GF5378"/>
      <c r="GG5378"/>
      <c r="GH5378"/>
      <c r="GI5378"/>
      <c r="GJ5378"/>
      <c r="GK5378"/>
      <c r="GL5378"/>
      <c r="GM5378"/>
      <c r="GN5378"/>
      <c r="GO5378"/>
    </row>
    <row r="5379" spans="107:197">
      <c r="DC5379"/>
      <c r="FH5379"/>
      <c r="FI5379"/>
      <c r="FJ5379"/>
      <c r="FK5379"/>
      <c r="FL5379"/>
      <c r="FM5379"/>
      <c r="FN5379"/>
      <c r="FO5379"/>
      <c r="FP5379"/>
      <c r="FQ5379"/>
      <c r="FR5379"/>
      <c r="FS5379"/>
      <c r="FT5379"/>
      <c r="FU5379"/>
      <c r="FV5379"/>
      <c r="FW5379"/>
      <c r="FX5379"/>
      <c r="FY5379"/>
      <c r="FZ5379"/>
      <c r="GA5379"/>
      <c r="GB5379"/>
      <c r="GC5379"/>
      <c r="GD5379"/>
      <c r="GE5379"/>
      <c r="GF5379"/>
      <c r="GG5379"/>
      <c r="GH5379"/>
      <c r="GI5379"/>
      <c r="GJ5379"/>
      <c r="GK5379"/>
      <c r="GL5379"/>
      <c r="GM5379"/>
      <c r="GN5379"/>
      <c r="GO5379"/>
    </row>
    <row r="5380" spans="107:197">
      <c r="DC5380"/>
      <c r="FH5380"/>
      <c r="FI5380"/>
      <c r="FJ5380"/>
      <c r="FK5380"/>
      <c r="FL5380"/>
      <c r="FM5380"/>
      <c r="FN5380"/>
      <c r="FO5380"/>
      <c r="FP5380"/>
      <c r="FQ5380"/>
      <c r="FR5380"/>
      <c r="FS5380"/>
      <c r="FT5380"/>
      <c r="FU5380"/>
      <c r="FV5380"/>
      <c r="FW5380"/>
      <c r="FX5380"/>
      <c r="FY5380"/>
      <c r="FZ5380"/>
      <c r="GA5380"/>
      <c r="GB5380"/>
      <c r="GC5380"/>
      <c r="GD5380"/>
      <c r="GE5380"/>
      <c r="GF5380"/>
      <c r="GG5380"/>
      <c r="GH5380"/>
      <c r="GI5380"/>
      <c r="GJ5380"/>
      <c r="GK5380"/>
      <c r="GL5380"/>
      <c r="GM5380"/>
      <c r="GN5380"/>
      <c r="GO5380"/>
    </row>
    <row r="5381" spans="107:197">
      <c r="DC5381"/>
      <c r="FH5381"/>
      <c r="FI5381"/>
      <c r="FJ5381"/>
      <c r="FK5381"/>
      <c r="FL5381"/>
      <c r="FM5381"/>
      <c r="FN5381"/>
      <c r="FO5381"/>
      <c r="FP5381"/>
      <c r="FQ5381"/>
      <c r="FR5381"/>
      <c r="FS5381"/>
      <c r="FT5381"/>
      <c r="FU5381"/>
      <c r="FV5381"/>
      <c r="FW5381"/>
      <c r="FX5381"/>
      <c r="FY5381"/>
      <c r="FZ5381"/>
      <c r="GA5381"/>
      <c r="GB5381"/>
      <c r="GC5381"/>
      <c r="GD5381"/>
      <c r="GE5381"/>
      <c r="GF5381"/>
      <c r="GG5381"/>
      <c r="GH5381"/>
      <c r="GI5381"/>
      <c r="GJ5381"/>
      <c r="GK5381"/>
      <c r="GL5381"/>
      <c r="GM5381"/>
      <c r="GN5381"/>
      <c r="GO5381"/>
    </row>
    <row r="5382" spans="107:197">
      <c r="DC5382"/>
      <c r="FH5382"/>
      <c r="FI5382"/>
      <c r="FJ5382"/>
      <c r="FK5382"/>
      <c r="FL5382"/>
      <c r="FM5382"/>
      <c r="FN5382"/>
      <c r="FO5382"/>
      <c r="FP5382"/>
      <c r="FQ5382"/>
      <c r="FR5382"/>
      <c r="FS5382"/>
      <c r="FT5382"/>
      <c r="FU5382"/>
      <c r="FV5382"/>
      <c r="FW5382"/>
      <c r="FX5382"/>
      <c r="FY5382"/>
      <c r="FZ5382"/>
      <c r="GA5382"/>
      <c r="GB5382"/>
      <c r="GC5382"/>
      <c r="GD5382"/>
      <c r="GE5382"/>
      <c r="GF5382"/>
      <c r="GG5382"/>
      <c r="GH5382"/>
      <c r="GI5382"/>
      <c r="GJ5382"/>
      <c r="GK5382"/>
      <c r="GL5382"/>
      <c r="GM5382"/>
      <c r="GN5382"/>
      <c r="GO5382"/>
    </row>
    <row r="5383" spans="107:197">
      <c r="DC5383"/>
      <c r="FH5383"/>
      <c r="FI5383"/>
      <c r="FJ5383"/>
      <c r="FK5383"/>
      <c r="FL5383"/>
      <c r="FM5383"/>
      <c r="FN5383"/>
      <c r="FO5383"/>
      <c r="FP5383"/>
      <c r="FQ5383"/>
      <c r="FR5383"/>
      <c r="FS5383"/>
      <c r="FT5383"/>
      <c r="FU5383"/>
      <c r="FV5383"/>
      <c r="FW5383"/>
      <c r="FX5383"/>
      <c r="FY5383"/>
      <c r="FZ5383"/>
      <c r="GA5383"/>
      <c r="GB5383"/>
      <c r="GC5383"/>
      <c r="GD5383"/>
      <c r="GE5383"/>
      <c r="GF5383"/>
      <c r="GG5383"/>
      <c r="GH5383"/>
      <c r="GI5383"/>
      <c r="GJ5383"/>
      <c r="GK5383"/>
      <c r="GL5383"/>
      <c r="GM5383"/>
      <c r="GN5383"/>
      <c r="GO5383"/>
    </row>
    <row r="5384" spans="107:197">
      <c r="DC5384"/>
      <c r="FH5384"/>
      <c r="FI5384"/>
      <c r="FJ5384"/>
      <c r="FK5384"/>
      <c r="FL5384"/>
      <c r="FM5384"/>
      <c r="FN5384"/>
      <c r="FO5384"/>
      <c r="FP5384"/>
      <c r="FQ5384"/>
      <c r="FR5384"/>
      <c r="FS5384"/>
      <c r="FT5384"/>
      <c r="FU5384"/>
      <c r="FV5384"/>
      <c r="FW5384"/>
      <c r="FX5384"/>
      <c r="FY5384"/>
      <c r="FZ5384"/>
      <c r="GA5384"/>
      <c r="GB5384"/>
      <c r="GC5384"/>
      <c r="GD5384"/>
      <c r="GE5384"/>
      <c r="GF5384"/>
      <c r="GG5384"/>
      <c r="GH5384"/>
      <c r="GI5384"/>
      <c r="GJ5384"/>
      <c r="GK5384"/>
      <c r="GL5384"/>
      <c r="GM5384"/>
      <c r="GN5384"/>
      <c r="GO5384"/>
    </row>
    <row r="5385" spans="107:197">
      <c r="DC5385"/>
      <c r="FH5385"/>
      <c r="FI5385"/>
      <c r="FJ5385"/>
      <c r="FK5385"/>
      <c r="FL5385"/>
      <c r="FM5385"/>
      <c r="FN5385"/>
      <c r="FO5385"/>
      <c r="FP5385"/>
      <c r="FQ5385"/>
      <c r="FR5385"/>
      <c r="FS5385"/>
      <c r="FT5385"/>
      <c r="FU5385"/>
      <c r="FV5385"/>
      <c r="FW5385"/>
      <c r="FX5385"/>
      <c r="FY5385"/>
      <c r="FZ5385"/>
      <c r="GA5385"/>
      <c r="GB5385"/>
      <c r="GC5385"/>
      <c r="GD5385"/>
      <c r="GE5385"/>
      <c r="GF5385"/>
      <c r="GG5385"/>
      <c r="GH5385"/>
      <c r="GI5385"/>
      <c r="GJ5385"/>
      <c r="GK5385"/>
      <c r="GL5385"/>
      <c r="GM5385"/>
      <c r="GN5385"/>
      <c r="GO5385"/>
    </row>
    <row r="5386" spans="107:197">
      <c r="DC5386"/>
      <c r="FH5386"/>
      <c r="FI5386"/>
      <c r="FJ5386"/>
      <c r="FK5386"/>
      <c r="FL5386"/>
      <c r="FM5386"/>
      <c r="FN5386"/>
      <c r="FO5386"/>
      <c r="FP5386"/>
      <c r="FQ5386"/>
      <c r="FR5386"/>
      <c r="FS5386"/>
      <c r="FT5386"/>
      <c r="FU5386"/>
      <c r="FV5386"/>
      <c r="FW5386"/>
      <c r="FX5386"/>
      <c r="FY5386"/>
      <c r="FZ5386"/>
      <c r="GA5386"/>
      <c r="GB5386"/>
      <c r="GC5386"/>
      <c r="GD5386"/>
      <c r="GE5386"/>
      <c r="GF5386"/>
      <c r="GG5386"/>
      <c r="GH5386"/>
      <c r="GI5386"/>
      <c r="GJ5386"/>
      <c r="GK5386"/>
      <c r="GL5386"/>
      <c r="GM5386"/>
      <c r="GN5386"/>
      <c r="GO5386"/>
    </row>
    <row r="5387" spans="107:197">
      <c r="DC5387"/>
      <c r="FH5387"/>
      <c r="FI5387"/>
      <c r="FJ5387"/>
      <c r="FK5387"/>
      <c r="FL5387"/>
      <c r="FM5387"/>
      <c r="FN5387"/>
      <c r="FO5387"/>
      <c r="FP5387"/>
      <c r="FQ5387"/>
      <c r="FR5387"/>
      <c r="FS5387"/>
      <c r="FT5387"/>
      <c r="FU5387"/>
      <c r="FV5387"/>
      <c r="FW5387"/>
      <c r="FX5387"/>
      <c r="FY5387"/>
      <c r="FZ5387"/>
      <c r="GA5387"/>
      <c r="GB5387"/>
      <c r="GC5387"/>
      <c r="GD5387"/>
      <c r="GE5387"/>
      <c r="GF5387"/>
      <c r="GG5387"/>
      <c r="GH5387"/>
      <c r="GI5387"/>
      <c r="GJ5387"/>
      <c r="GK5387"/>
      <c r="GL5387"/>
      <c r="GM5387"/>
      <c r="GN5387"/>
      <c r="GO5387"/>
    </row>
    <row r="5388" spans="107:197">
      <c r="DC5388"/>
      <c r="FH5388"/>
      <c r="FI5388"/>
      <c r="FJ5388"/>
      <c r="FK5388"/>
      <c r="FL5388"/>
      <c r="FM5388"/>
      <c r="FN5388"/>
      <c r="FO5388"/>
      <c r="FP5388"/>
      <c r="FQ5388"/>
      <c r="FR5388"/>
      <c r="FS5388"/>
      <c r="FT5388"/>
      <c r="FU5388"/>
      <c r="FV5388"/>
      <c r="FW5388"/>
      <c r="FX5388"/>
      <c r="FY5388"/>
      <c r="FZ5388"/>
      <c r="GA5388"/>
      <c r="GB5388"/>
      <c r="GC5388"/>
      <c r="GD5388"/>
      <c r="GE5388"/>
      <c r="GF5388"/>
      <c r="GG5388"/>
      <c r="GH5388"/>
      <c r="GI5388"/>
      <c r="GJ5388"/>
      <c r="GK5388"/>
      <c r="GL5388"/>
      <c r="GM5388"/>
      <c r="GN5388"/>
      <c r="GO5388"/>
    </row>
    <row r="5389" spans="107:197">
      <c r="DC5389"/>
      <c r="FH5389"/>
      <c r="FI5389"/>
      <c r="FJ5389"/>
      <c r="FK5389"/>
      <c r="FL5389"/>
      <c r="FM5389"/>
      <c r="FN5389"/>
      <c r="FO5389"/>
      <c r="FP5389"/>
      <c r="FQ5389"/>
      <c r="FR5389"/>
      <c r="FS5389"/>
      <c r="FT5389"/>
      <c r="FU5389"/>
      <c r="FV5389"/>
      <c r="FW5389"/>
      <c r="FX5389"/>
      <c r="FY5389"/>
      <c r="FZ5389"/>
      <c r="GA5389"/>
      <c r="GB5389"/>
      <c r="GC5389"/>
      <c r="GD5389"/>
      <c r="GE5389"/>
      <c r="GF5389"/>
      <c r="GG5389"/>
      <c r="GH5389"/>
      <c r="GI5389"/>
      <c r="GJ5389"/>
      <c r="GK5389"/>
      <c r="GL5389"/>
      <c r="GM5389"/>
      <c r="GN5389"/>
      <c r="GO5389"/>
    </row>
    <row r="5390" spans="107:197">
      <c r="DC5390"/>
      <c r="FH5390"/>
      <c r="FI5390"/>
      <c r="FJ5390"/>
      <c r="FK5390"/>
      <c r="FL5390"/>
      <c r="FM5390"/>
      <c r="FN5390"/>
      <c r="FO5390"/>
      <c r="FP5390"/>
      <c r="FQ5390"/>
      <c r="FR5390"/>
      <c r="FS5390"/>
      <c r="FT5390"/>
      <c r="FU5390"/>
      <c r="FV5390"/>
      <c r="FW5390"/>
      <c r="FX5390"/>
      <c r="FY5390"/>
      <c r="FZ5390"/>
      <c r="GA5390"/>
      <c r="GB5390"/>
      <c r="GC5390"/>
      <c r="GD5390"/>
      <c r="GE5390"/>
      <c r="GF5390"/>
      <c r="GG5390"/>
      <c r="GH5390"/>
      <c r="GI5390"/>
      <c r="GJ5390"/>
      <c r="GK5390"/>
      <c r="GL5390"/>
      <c r="GM5390"/>
      <c r="GN5390"/>
      <c r="GO5390"/>
    </row>
    <row r="5391" spans="107:197">
      <c r="DC5391"/>
      <c r="FH5391"/>
      <c r="FI5391"/>
      <c r="FJ5391"/>
      <c r="FK5391"/>
      <c r="FL5391"/>
      <c r="FM5391"/>
      <c r="FN5391"/>
      <c r="FO5391"/>
      <c r="FP5391"/>
      <c r="FQ5391"/>
      <c r="FR5391"/>
      <c r="FS5391"/>
      <c r="FT5391"/>
      <c r="FU5391"/>
      <c r="FV5391"/>
      <c r="FW5391"/>
      <c r="FX5391"/>
      <c r="FY5391"/>
      <c r="FZ5391"/>
      <c r="GA5391"/>
      <c r="GB5391"/>
      <c r="GC5391"/>
      <c r="GD5391"/>
      <c r="GE5391"/>
      <c r="GF5391"/>
      <c r="GG5391"/>
      <c r="GH5391"/>
      <c r="GI5391"/>
      <c r="GJ5391"/>
      <c r="GK5391"/>
      <c r="GL5391"/>
      <c r="GM5391"/>
      <c r="GN5391"/>
      <c r="GO5391"/>
    </row>
    <row r="5392" spans="107:197">
      <c r="DC5392"/>
      <c r="FH5392"/>
      <c r="FI5392"/>
      <c r="FJ5392"/>
      <c r="FK5392"/>
      <c r="FL5392"/>
      <c r="FM5392"/>
      <c r="FN5392"/>
      <c r="FO5392"/>
      <c r="FP5392"/>
      <c r="FQ5392"/>
      <c r="FR5392"/>
      <c r="FS5392"/>
      <c r="FT5392"/>
      <c r="FU5392"/>
      <c r="FV5392"/>
      <c r="FW5392"/>
      <c r="FX5392"/>
      <c r="FY5392"/>
      <c r="FZ5392"/>
      <c r="GA5392"/>
      <c r="GB5392"/>
      <c r="GC5392"/>
      <c r="GD5392"/>
      <c r="GE5392"/>
      <c r="GF5392"/>
      <c r="GG5392"/>
      <c r="GH5392"/>
      <c r="GI5392"/>
      <c r="GJ5392"/>
      <c r="GK5392"/>
      <c r="GL5392"/>
      <c r="GM5392"/>
      <c r="GN5392"/>
      <c r="GO5392"/>
    </row>
    <row r="5393" spans="107:197">
      <c r="DC5393"/>
      <c r="FH5393"/>
      <c r="FI5393"/>
      <c r="FJ5393"/>
      <c r="FK5393"/>
      <c r="FL5393"/>
      <c r="FM5393"/>
      <c r="FN5393"/>
      <c r="FO5393"/>
      <c r="FP5393"/>
      <c r="FQ5393"/>
      <c r="FR5393"/>
      <c r="FS5393"/>
      <c r="FT5393"/>
      <c r="FU5393"/>
      <c r="FV5393"/>
      <c r="FW5393"/>
      <c r="FX5393"/>
      <c r="FY5393"/>
      <c r="FZ5393"/>
      <c r="GA5393"/>
      <c r="GB5393"/>
      <c r="GC5393"/>
      <c r="GD5393"/>
      <c r="GE5393"/>
      <c r="GF5393"/>
      <c r="GG5393"/>
      <c r="GH5393"/>
      <c r="GI5393"/>
      <c r="GJ5393"/>
      <c r="GK5393"/>
      <c r="GL5393"/>
      <c r="GM5393"/>
      <c r="GN5393"/>
      <c r="GO5393"/>
    </row>
    <row r="5394" spans="107:197">
      <c r="DC5394"/>
      <c r="FH5394"/>
      <c r="FI5394"/>
      <c r="FJ5394"/>
      <c r="FK5394"/>
      <c r="FL5394"/>
      <c r="FM5394"/>
      <c r="FN5394"/>
      <c r="FO5394"/>
      <c r="FP5394"/>
      <c r="FQ5394"/>
      <c r="FR5394"/>
      <c r="FS5394"/>
      <c r="FT5394"/>
      <c r="FU5394"/>
      <c r="FV5394"/>
      <c r="FW5394"/>
      <c r="FX5394"/>
      <c r="FY5394"/>
      <c r="FZ5394"/>
      <c r="GA5394"/>
      <c r="GB5394"/>
      <c r="GC5394"/>
      <c r="GD5394"/>
      <c r="GE5394"/>
      <c r="GF5394"/>
      <c r="GG5394"/>
      <c r="GH5394"/>
      <c r="GI5394"/>
      <c r="GJ5394"/>
      <c r="GK5394"/>
      <c r="GL5394"/>
      <c r="GM5394"/>
      <c r="GN5394"/>
      <c r="GO5394"/>
    </row>
    <row r="5395" spans="107:197">
      <c r="DC5395"/>
      <c r="FH5395"/>
      <c r="FI5395"/>
      <c r="FJ5395"/>
      <c r="FK5395"/>
      <c r="FL5395"/>
      <c r="FM5395"/>
      <c r="FN5395"/>
      <c r="FO5395"/>
      <c r="FP5395"/>
      <c r="FQ5395"/>
      <c r="FR5395"/>
      <c r="FS5395"/>
      <c r="FT5395"/>
      <c r="FU5395"/>
      <c r="FV5395"/>
      <c r="FW5395"/>
      <c r="FX5395"/>
      <c r="FY5395"/>
      <c r="FZ5395"/>
      <c r="GA5395"/>
      <c r="GB5395"/>
      <c r="GC5395"/>
      <c r="GD5395"/>
      <c r="GE5395"/>
      <c r="GF5395"/>
      <c r="GG5395"/>
      <c r="GH5395"/>
      <c r="GI5395"/>
      <c r="GJ5395"/>
      <c r="GK5395"/>
      <c r="GL5395"/>
      <c r="GM5395"/>
      <c r="GN5395"/>
      <c r="GO5395"/>
    </row>
    <row r="5396" spans="107:197">
      <c r="DC5396"/>
      <c r="FH5396"/>
      <c r="FI5396"/>
      <c r="FJ5396"/>
      <c r="FK5396"/>
      <c r="FL5396"/>
      <c r="FM5396"/>
      <c r="FN5396"/>
      <c r="FO5396"/>
      <c r="FP5396"/>
      <c r="FQ5396"/>
      <c r="FR5396"/>
      <c r="FS5396"/>
      <c r="FT5396"/>
      <c r="FU5396"/>
      <c r="FV5396"/>
      <c r="FW5396"/>
      <c r="FX5396"/>
      <c r="FY5396"/>
      <c r="FZ5396"/>
      <c r="GA5396"/>
      <c r="GB5396"/>
      <c r="GC5396"/>
      <c r="GD5396"/>
      <c r="GE5396"/>
      <c r="GF5396"/>
      <c r="GG5396"/>
      <c r="GH5396"/>
      <c r="GI5396"/>
      <c r="GJ5396"/>
      <c r="GK5396"/>
      <c r="GL5396"/>
      <c r="GM5396"/>
      <c r="GN5396"/>
      <c r="GO5396"/>
    </row>
    <row r="5397" spans="107:197">
      <c r="DC5397"/>
      <c r="FH5397"/>
      <c r="FI5397"/>
      <c r="FJ5397"/>
      <c r="FK5397"/>
      <c r="FL5397"/>
      <c r="FM5397"/>
      <c r="FN5397"/>
      <c r="FO5397"/>
      <c r="FP5397"/>
      <c r="FQ5397"/>
      <c r="FR5397"/>
      <c r="FS5397"/>
      <c r="FT5397"/>
      <c r="FU5397"/>
      <c r="FV5397"/>
      <c r="FW5397"/>
      <c r="FX5397"/>
      <c r="FY5397"/>
      <c r="FZ5397"/>
      <c r="GA5397"/>
      <c r="GB5397"/>
      <c r="GC5397"/>
      <c r="GD5397"/>
      <c r="GE5397"/>
      <c r="GF5397"/>
      <c r="GG5397"/>
      <c r="GH5397"/>
      <c r="GI5397"/>
      <c r="GJ5397"/>
      <c r="GK5397"/>
      <c r="GL5397"/>
      <c r="GM5397"/>
      <c r="GN5397"/>
      <c r="GO5397"/>
    </row>
    <row r="5398" spans="107:197">
      <c r="DC5398"/>
      <c r="FH5398"/>
      <c r="FI5398"/>
      <c r="FJ5398"/>
      <c r="FK5398"/>
      <c r="FL5398"/>
      <c r="FM5398"/>
      <c r="FN5398"/>
      <c r="FO5398"/>
      <c r="FP5398"/>
      <c r="FQ5398"/>
      <c r="FR5398"/>
      <c r="FS5398"/>
      <c r="FT5398"/>
      <c r="FU5398"/>
      <c r="FV5398"/>
      <c r="FW5398"/>
      <c r="FX5398"/>
      <c r="FY5398"/>
      <c r="FZ5398"/>
      <c r="GA5398"/>
      <c r="GB5398"/>
      <c r="GC5398"/>
      <c r="GD5398"/>
      <c r="GE5398"/>
      <c r="GF5398"/>
      <c r="GG5398"/>
      <c r="GH5398"/>
      <c r="GI5398"/>
      <c r="GJ5398"/>
      <c r="GK5398"/>
      <c r="GL5398"/>
      <c r="GM5398"/>
      <c r="GN5398"/>
      <c r="GO5398"/>
    </row>
    <row r="5399" spans="107:197">
      <c r="DC5399"/>
      <c r="FH5399"/>
      <c r="FI5399"/>
      <c r="FJ5399"/>
      <c r="FK5399"/>
      <c r="FL5399"/>
      <c r="FM5399"/>
      <c r="FN5399"/>
      <c r="FO5399"/>
      <c r="FP5399"/>
      <c r="FQ5399"/>
      <c r="FR5399"/>
      <c r="FS5399"/>
      <c r="FT5399"/>
      <c r="FU5399"/>
      <c r="FV5399"/>
      <c r="FW5399"/>
      <c r="FX5399"/>
      <c r="FY5399"/>
      <c r="FZ5399"/>
      <c r="GA5399"/>
      <c r="GB5399"/>
      <c r="GC5399"/>
      <c r="GD5399"/>
      <c r="GE5399"/>
      <c r="GF5399"/>
      <c r="GG5399"/>
      <c r="GH5399"/>
      <c r="GI5399"/>
      <c r="GJ5399"/>
      <c r="GK5399"/>
      <c r="GL5399"/>
      <c r="GM5399"/>
      <c r="GN5399"/>
      <c r="GO5399"/>
    </row>
    <row r="5400" spans="107:197">
      <c r="DC5400"/>
      <c r="FH5400"/>
      <c r="FI5400"/>
      <c r="FJ5400"/>
      <c r="FK5400"/>
      <c r="FL5400"/>
      <c r="FM5400"/>
      <c r="FN5400"/>
      <c r="FO5400"/>
      <c r="FP5400"/>
      <c r="FQ5400"/>
      <c r="FR5400"/>
      <c r="FS5400"/>
      <c r="FT5400"/>
      <c r="FU5400"/>
      <c r="FV5400"/>
      <c r="FW5400"/>
      <c r="FX5400"/>
      <c r="FY5400"/>
      <c r="FZ5400"/>
      <c r="GA5400"/>
      <c r="GB5400"/>
      <c r="GC5400"/>
      <c r="GD5400"/>
      <c r="GE5400"/>
      <c r="GF5400"/>
      <c r="GG5400"/>
      <c r="GH5400"/>
      <c r="GI5400"/>
      <c r="GJ5400"/>
      <c r="GK5400"/>
      <c r="GL5400"/>
      <c r="GM5400"/>
      <c r="GN5400"/>
      <c r="GO5400"/>
    </row>
    <row r="5401" spans="107:197">
      <c r="DC5401"/>
      <c r="FH5401"/>
      <c r="FI5401"/>
      <c r="FJ5401"/>
      <c r="FK5401"/>
      <c r="FL5401"/>
      <c r="FM5401"/>
      <c r="FN5401"/>
      <c r="FO5401"/>
      <c r="FP5401"/>
      <c r="FQ5401"/>
      <c r="FR5401"/>
      <c r="FS5401"/>
      <c r="FT5401"/>
      <c r="FU5401"/>
      <c r="FV5401"/>
      <c r="FW5401"/>
      <c r="FX5401"/>
      <c r="FY5401"/>
      <c r="FZ5401"/>
      <c r="GA5401"/>
      <c r="GB5401"/>
      <c r="GC5401"/>
      <c r="GD5401"/>
      <c r="GE5401"/>
      <c r="GF5401"/>
      <c r="GG5401"/>
      <c r="GH5401"/>
      <c r="GI5401"/>
      <c r="GJ5401"/>
      <c r="GK5401"/>
      <c r="GL5401"/>
      <c r="GM5401"/>
      <c r="GN5401"/>
      <c r="GO5401"/>
    </row>
    <row r="5402" spans="107:197">
      <c r="DC5402"/>
      <c r="FH5402"/>
      <c r="FI5402"/>
      <c r="FJ5402"/>
      <c r="FK5402"/>
      <c r="FL5402"/>
      <c r="FM5402"/>
      <c r="FN5402"/>
      <c r="FO5402"/>
      <c r="FP5402"/>
      <c r="FQ5402"/>
      <c r="FR5402"/>
      <c r="FS5402"/>
      <c r="FT5402"/>
      <c r="FU5402"/>
      <c r="FV5402"/>
      <c r="FW5402"/>
      <c r="FX5402"/>
      <c r="FY5402"/>
      <c r="FZ5402"/>
      <c r="GA5402"/>
      <c r="GB5402"/>
      <c r="GC5402"/>
      <c r="GD5402"/>
      <c r="GE5402"/>
      <c r="GF5402"/>
      <c r="GG5402"/>
      <c r="GH5402"/>
      <c r="GI5402"/>
      <c r="GJ5402"/>
      <c r="GK5402"/>
      <c r="GL5402"/>
      <c r="GM5402"/>
      <c r="GN5402"/>
      <c r="GO5402"/>
    </row>
    <row r="5403" spans="107:197">
      <c r="DC5403"/>
      <c r="FH5403"/>
      <c r="FI5403"/>
      <c r="FJ5403"/>
      <c r="FK5403"/>
      <c r="FL5403"/>
      <c r="FM5403"/>
      <c r="FN5403"/>
      <c r="FO5403"/>
      <c r="FP5403"/>
      <c r="FQ5403"/>
      <c r="FR5403"/>
      <c r="FS5403"/>
      <c r="FT5403"/>
      <c r="FU5403"/>
      <c r="FV5403"/>
      <c r="FW5403"/>
      <c r="FX5403"/>
      <c r="FY5403"/>
      <c r="FZ5403"/>
      <c r="GA5403"/>
      <c r="GB5403"/>
      <c r="GC5403"/>
      <c r="GD5403"/>
      <c r="GE5403"/>
      <c r="GF5403"/>
      <c r="GG5403"/>
      <c r="GH5403"/>
      <c r="GI5403"/>
      <c r="GJ5403"/>
      <c r="GK5403"/>
      <c r="GL5403"/>
      <c r="GM5403"/>
      <c r="GN5403"/>
      <c r="GO5403"/>
    </row>
    <row r="5404" spans="107:197">
      <c r="DC5404"/>
      <c r="FH5404"/>
      <c r="FI5404"/>
      <c r="FJ5404"/>
      <c r="FK5404"/>
      <c r="FL5404"/>
      <c r="FM5404"/>
      <c r="FN5404"/>
      <c r="FO5404"/>
      <c r="FP5404"/>
      <c r="FQ5404"/>
      <c r="FR5404"/>
      <c r="FS5404"/>
      <c r="FT5404"/>
      <c r="FU5404"/>
      <c r="FV5404"/>
      <c r="FW5404"/>
      <c r="FX5404"/>
      <c r="FY5404"/>
      <c r="FZ5404"/>
      <c r="GA5404"/>
      <c r="GB5404"/>
      <c r="GC5404"/>
      <c r="GD5404"/>
      <c r="GE5404"/>
      <c r="GF5404"/>
      <c r="GG5404"/>
      <c r="GH5404"/>
      <c r="GI5404"/>
      <c r="GJ5404"/>
      <c r="GK5404"/>
      <c r="GL5404"/>
      <c r="GM5404"/>
      <c r="GN5404"/>
      <c r="GO5404"/>
    </row>
    <row r="5405" spans="107:197">
      <c r="DC5405"/>
      <c r="FH5405"/>
      <c r="FI5405"/>
      <c r="FJ5405"/>
      <c r="FK5405"/>
      <c r="FL5405"/>
      <c r="FM5405"/>
      <c r="FN5405"/>
      <c r="FO5405"/>
      <c r="FP5405"/>
      <c r="FQ5405"/>
      <c r="FR5405"/>
      <c r="FS5405"/>
      <c r="FT5405"/>
      <c r="FU5405"/>
      <c r="FV5405"/>
      <c r="FW5405"/>
      <c r="FX5405"/>
      <c r="FY5405"/>
      <c r="FZ5405"/>
      <c r="GA5405"/>
      <c r="GB5405"/>
      <c r="GC5405"/>
      <c r="GD5405"/>
      <c r="GE5405"/>
      <c r="GF5405"/>
      <c r="GG5405"/>
      <c r="GH5405"/>
      <c r="GI5405"/>
      <c r="GJ5405"/>
      <c r="GK5405"/>
      <c r="GL5405"/>
      <c r="GM5405"/>
      <c r="GN5405"/>
      <c r="GO5405"/>
    </row>
    <row r="5406" spans="107:197">
      <c r="DC5406"/>
      <c r="FH5406"/>
      <c r="FI5406"/>
      <c r="FJ5406"/>
      <c r="FK5406"/>
      <c r="FL5406"/>
      <c r="FM5406"/>
      <c r="FN5406"/>
      <c r="FO5406"/>
      <c r="FP5406"/>
      <c r="FQ5406"/>
      <c r="FR5406"/>
      <c r="FS5406"/>
      <c r="FT5406"/>
      <c r="FU5406"/>
      <c r="FV5406"/>
      <c r="FW5406"/>
      <c r="FX5406"/>
      <c r="FY5406"/>
      <c r="FZ5406"/>
      <c r="GA5406"/>
      <c r="GB5406"/>
      <c r="GC5406"/>
      <c r="GD5406"/>
      <c r="GE5406"/>
      <c r="GF5406"/>
      <c r="GG5406"/>
      <c r="GH5406"/>
      <c r="GI5406"/>
      <c r="GJ5406"/>
      <c r="GK5406"/>
      <c r="GL5406"/>
      <c r="GM5406"/>
      <c r="GN5406"/>
      <c r="GO5406"/>
    </row>
    <row r="5407" spans="107:197">
      <c r="DC5407"/>
      <c r="FH5407"/>
      <c r="FI5407"/>
      <c r="FJ5407"/>
      <c r="FK5407"/>
      <c r="FL5407"/>
      <c r="FM5407"/>
      <c r="FN5407"/>
      <c r="FO5407"/>
      <c r="FP5407"/>
      <c r="FQ5407"/>
      <c r="FR5407"/>
      <c r="FS5407"/>
      <c r="FT5407"/>
      <c r="FU5407"/>
      <c r="FV5407"/>
      <c r="FW5407"/>
      <c r="FX5407"/>
      <c r="FY5407"/>
      <c r="FZ5407"/>
      <c r="GA5407"/>
      <c r="GB5407"/>
      <c r="GC5407"/>
      <c r="GD5407"/>
      <c r="GE5407"/>
      <c r="GF5407"/>
      <c r="GG5407"/>
      <c r="GH5407"/>
      <c r="GI5407"/>
      <c r="GJ5407"/>
      <c r="GK5407"/>
      <c r="GL5407"/>
      <c r="GM5407"/>
      <c r="GN5407"/>
      <c r="GO5407"/>
    </row>
    <row r="5408" spans="107:197">
      <c r="DC5408"/>
      <c r="FH5408"/>
      <c r="FI5408"/>
      <c r="FJ5408"/>
      <c r="FK5408"/>
      <c r="FL5408"/>
      <c r="FM5408"/>
      <c r="FN5408"/>
      <c r="FO5408"/>
      <c r="FP5408"/>
      <c r="FQ5408"/>
      <c r="FR5408"/>
      <c r="FS5408"/>
      <c r="FT5408"/>
      <c r="FU5408"/>
      <c r="FV5408"/>
      <c r="FW5408"/>
      <c r="FX5408"/>
      <c r="FY5408"/>
      <c r="FZ5408"/>
      <c r="GA5408"/>
      <c r="GB5408"/>
      <c r="GC5408"/>
      <c r="GD5408"/>
      <c r="GE5408"/>
      <c r="GF5408"/>
      <c r="GG5408"/>
      <c r="GH5408"/>
      <c r="GI5408"/>
      <c r="GJ5408"/>
      <c r="GK5408"/>
      <c r="GL5408"/>
      <c r="GM5408"/>
      <c r="GN5408"/>
      <c r="GO5408"/>
    </row>
    <row r="5409" spans="107:197">
      <c r="DC5409"/>
      <c r="FH5409"/>
      <c r="FI5409"/>
      <c r="FJ5409"/>
      <c r="FK5409"/>
      <c r="FL5409"/>
      <c r="FM5409"/>
      <c r="FN5409"/>
      <c r="FO5409"/>
      <c r="FP5409"/>
      <c r="FQ5409"/>
      <c r="FR5409"/>
      <c r="FS5409"/>
      <c r="FT5409"/>
      <c r="FU5409"/>
      <c r="FV5409"/>
      <c r="FW5409"/>
      <c r="FX5409"/>
      <c r="FY5409"/>
      <c r="FZ5409"/>
      <c r="GA5409"/>
      <c r="GB5409"/>
      <c r="GC5409"/>
      <c r="GD5409"/>
      <c r="GE5409"/>
      <c r="GF5409"/>
      <c r="GG5409"/>
      <c r="GH5409"/>
      <c r="GI5409"/>
      <c r="GJ5409"/>
      <c r="GK5409"/>
      <c r="GL5409"/>
      <c r="GM5409"/>
      <c r="GN5409"/>
      <c r="GO5409"/>
    </row>
    <row r="5410" spans="107:197">
      <c r="DC5410"/>
      <c r="FH5410"/>
      <c r="FI5410"/>
      <c r="FJ5410"/>
      <c r="FK5410"/>
      <c r="FL5410"/>
      <c r="FM5410"/>
      <c r="FN5410"/>
      <c r="FO5410"/>
      <c r="FP5410"/>
      <c r="FQ5410"/>
      <c r="FR5410"/>
      <c r="FS5410"/>
      <c r="FT5410"/>
      <c r="FU5410"/>
      <c r="FV5410"/>
      <c r="FW5410"/>
      <c r="FX5410"/>
      <c r="FY5410"/>
      <c r="FZ5410"/>
      <c r="GA5410"/>
      <c r="GB5410"/>
      <c r="GC5410"/>
      <c r="GD5410"/>
      <c r="GE5410"/>
      <c r="GF5410"/>
      <c r="GG5410"/>
      <c r="GH5410"/>
      <c r="GI5410"/>
      <c r="GJ5410"/>
      <c r="GK5410"/>
      <c r="GL5410"/>
      <c r="GM5410"/>
      <c r="GN5410"/>
      <c r="GO5410"/>
    </row>
    <row r="5411" spans="107:197">
      <c r="DC5411"/>
      <c r="FH5411"/>
      <c r="FI5411"/>
      <c r="FJ5411"/>
      <c r="FK5411"/>
      <c r="FL5411"/>
      <c r="FM5411"/>
      <c r="FN5411"/>
      <c r="FO5411"/>
      <c r="FP5411"/>
      <c r="FQ5411"/>
      <c r="FR5411"/>
      <c r="FS5411"/>
      <c r="FT5411"/>
      <c r="FU5411"/>
      <c r="FV5411"/>
      <c r="FW5411"/>
      <c r="FX5411"/>
      <c r="FY5411"/>
      <c r="FZ5411"/>
      <c r="GA5411"/>
      <c r="GB5411"/>
      <c r="GC5411"/>
      <c r="GD5411"/>
      <c r="GE5411"/>
      <c r="GF5411"/>
      <c r="GG5411"/>
      <c r="GH5411"/>
      <c r="GI5411"/>
      <c r="GJ5411"/>
      <c r="GK5411"/>
      <c r="GL5411"/>
      <c r="GM5411"/>
      <c r="GN5411"/>
      <c r="GO5411"/>
    </row>
    <row r="5412" spans="107:197">
      <c r="DC5412"/>
      <c r="FH5412"/>
      <c r="FI5412"/>
      <c r="FJ5412"/>
      <c r="FK5412"/>
      <c r="FL5412"/>
      <c r="FM5412"/>
      <c r="FN5412"/>
      <c r="FO5412"/>
      <c r="FP5412"/>
      <c r="FQ5412"/>
      <c r="FR5412"/>
      <c r="FS5412"/>
      <c r="FT5412"/>
      <c r="FU5412"/>
      <c r="FV5412"/>
      <c r="FW5412"/>
      <c r="FX5412"/>
      <c r="FY5412"/>
      <c r="FZ5412"/>
      <c r="GA5412"/>
      <c r="GB5412"/>
      <c r="GC5412"/>
      <c r="GD5412"/>
      <c r="GE5412"/>
      <c r="GF5412"/>
      <c r="GG5412"/>
      <c r="GH5412"/>
      <c r="GI5412"/>
      <c r="GJ5412"/>
      <c r="GK5412"/>
      <c r="GL5412"/>
      <c r="GM5412"/>
      <c r="GN5412"/>
      <c r="GO5412"/>
    </row>
    <row r="5413" spans="107:197">
      <c r="DC5413"/>
      <c r="FH5413"/>
      <c r="FI5413"/>
      <c r="FJ5413"/>
      <c r="FK5413"/>
      <c r="FL5413"/>
      <c r="FM5413"/>
      <c r="FN5413"/>
      <c r="FO5413"/>
      <c r="FP5413"/>
      <c r="FQ5413"/>
      <c r="FR5413"/>
      <c r="FS5413"/>
      <c r="FT5413"/>
      <c r="FU5413"/>
      <c r="FV5413"/>
      <c r="FW5413"/>
      <c r="FX5413"/>
      <c r="FY5413"/>
      <c r="FZ5413"/>
      <c r="GA5413"/>
      <c r="GB5413"/>
      <c r="GC5413"/>
      <c r="GD5413"/>
      <c r="GE5413"/>
      <c r="GF5413"/>
      <c r="GG5413"/>
      <c r="GH5413"/>
      <c r="GI5413"/>
      <c r="GJ5413"/>
      <c r="GK5413"/>
      <c r="GL5413"/>
      <c r="GM5413"/>
      <c r="GN5413"/>
      <c r="GO5413"/>
    </row>
    <row r="5414" spans="107:197">
      <c r="DC5414"/>
      <c r="FH5414"/>
      <c r="FI5414"/>
      <c r="FJ5414"/>
      <c r="FK5414"/>
      <c r="FL5414"/>
      <c r="FM5414"/>
      <c r="FN5414"/>
      <c r="FO5414"/>
      <c r="FP5414"/>
      <c r="FQ5414"/>
      <c r="FR5414"/>
      <c r="FS5414"/>
      <c r="FT5414"/>
      <c r="FU5414"/>
      <c r="FV5414"/>
      <c r="FW5414"/>
      <c r="FX5414"/>
      <c r="FY5414"/>
      <c r="FZ5414"/>
      <c r="GA5414"/>
      <c r="GB5414"/>
      <c r="GC5414"/>
      <c r="GD5414"/>
      <c r="GE5414"/>
      <c r="GF5414"/>
      <c r="GG5414"/>
      <c r="GH5414"/>
      <c r="GI5414"/>
      <c r="GJ5414"/>
      <c r="GK5414"/>
      <c r="GL5414"/>
      <c r="GM5414"/>
      <c r="GN5414"/>
      <c r="GO5414"/>
    </row>
    <row r="5415" spans="107:197">
      <c r="DC5415"/>
      <c r="FH5415"/>
      <c r="FI5415"/>
      <c r="FJ5415"/>
      <c r="FK5415"/>
      <c r="FL5415"/>
      <c r="FM5415"/>
      <c r="FN5415"/>
      <c r="FO5415"/>
      <c r="FP5415"/>
      <c r="FQ5415"/>
      <c r="FR5415"/>
      <c r="FS5415"/>
      <c r="FT5415"/>
      <c r="FU5415"/>
      <c r="FV5415"/>
      <c r="FW5415"/>
      <c r="FX5415"/>
      <c r="FY5415"/>
      <c r="FZ5415"/>
      <c r="GA5415"/>
      <c r="GB5415"/>
      <c r="GC5415"/>
      <c r="GD5415"/>
      <c r="GE5415"/>
      <c r="GF5415"/>
      <c r="GG5415"/>
      <c r="GH5415"/>
      <c r="GI5415"/>
      <c r="GJ5415"/>
      <c r="GK5415"/>
      <c r="GL5415"/>
      <c r="GM5415"/>
      <c r="GN5415"/>
      <c r="GO5415"/>
    </row>
    <row r="5416" spans="107:197">
      <c r="DC5416"/>
      <c r="FH5416"/>
      <c r="FI5416"/>
      <c r="FJ5416"/>
      <c r="FK5416"/>
      <c r="FL5416"/>
      <c r="FM5416"/>
      <c r="FN5416"/>
      <c r="FO5416"/>
      <c r="FP5416"/>
      <c r="FQ5416"/>
      <c r="FR5416"/>
      <c r="FS5416"/>
      <c r="FT5416"/>
      <c r="FU5416"/>
      <c r="FV5416"/>
      <c r="FW5416"/>
      <c r="FX5416"/>
      <c r="FY5416"/>
      <c r="FZ5416"/>
      <c r="GA5416"/>
      <c r="GB5416"/>
      <c r="GC5416"/>
      <c r="GD5416"/>
      <c r="GE5416"/>
      <c r="GF5416"/>
      <c r="GG5416"/>
      <c r="GH5416"/>
      <c r="GI5416"/>
      <c r="GJ5416"/>
      <c r="GK5416"/>
      <c r="GL5416"/>
      <c r="GM5416"/>
      <c r="GN5416"/>
      <c r="GO5416"/>
    </row>
    <row r="5417" spans="107:197">
      <c r="DC5417"/>
      <c r="FH5417"/>
      <c r="FI5417"/>
      <c r="FJ5417"/>
      <c r="FK5417"/>
      <c r="FL5417"/>
      <c r="FM5417"/>
      <c r="FN5417"/>
      <c r="FO5417"/>
      <c r="FP5417"/>
      <c r="FQ5417"/>
      <c r="FR5417"/>
      <c r="FS5417"/>
      <c r="FT5417"/>
      <c r="FU5417"/>
      <c r="FV5417"/>
      <c r="FW5417"/>
      <c r="FX5417"/>
      <c r="FY5417"/>
      <c r="FZ5417"/>
      <c r="GA5417"/>
      <c r="GB5417"/>
      <c r="GC5417"/>
      <c r="GD5417"/>
      <c r="GE5417"/>
      <c r="GF5417"/>
      <c r="GG5417"/>
      <c r="GH5417"/>
      <c r="GI5417"/>
      <c r="GJ5417"/>
      <c r="GK5417"/>
      <c r="GL5417"/>
      <c r="GM5417"/>
      <c r="GN5417"/>
      <c r="GO5417"/>
    </row>
    <row r="5418" spans="107:197">
      <c r="DC5418"/>
      <c r="FH5418"/>
      <c r="FI5418"/>
      <c r="FJ5418"/>
      <c r="FK5418"/>
      <c r="FL5418"/>
      <c r="FM5418"/>
      <c r="FN5418"/>
      <c r="FO5418"/>
      <c r="FP5418"/>
      <c r="FQ5418"/>
      <c r="FR5418"/>
      <c r="FS5418"/>
      <c r="FT5418"/>
      <c r="FU5418"/>
      <c r="FV5418"/>
      <c r="FW5418"/>
      <c r="FX5418"/>
      <c r="FY5418"/>
      <c r="FZ5418"/>
      <c r="GA5418"/>
      <c r="GB5418"/>
      <c r="GC5418"/>
      <c r="GD5418"/>
      <c r="GE5418"/>
      <c r="GF5418"/>
      <c r="GG5418"/>
      <c r="GH5418"/>
      <c r="GI5418"/>
      <c r="GJ5418"/>
      <c r="GK5418"/>
      <c r="GL5418"/>
      <c r="GM5418"/>
      <c r="GN5418"/>
      <c r="GO5418"/>
    </row>
    <row r="5419" spans="107:197">
      <c r="DC5419"/>
      <c r="FH5419"/>
      <c r="FI5419"/>
      <c r="FJ5419"/>
      <c r="FK5419"/>
      <c r="FL5419"/>
      <c r="FM5419"/>
      <c r="FN5419"/>
      <c r="FO5419"/>
      <c r="FP5419"/>
      <c r="FQ5419"/>
      <c r="FR5419"/>
      <c r="FS5419"/>
      <c r="FT5419"/>
      <c r="FU5419"/>
      <c r="FV5419"/>
      <c r="FW5419"/>
      <c r="FX5419"/>
      <c r="FY5419"/>
      <c r="FZ5419"/>
      <c r="GA5419"/>
      <c r="GB5419"/>
      <c r="GC5419"/>
      <c r="GD5419"/>
      <c r="GE5419"/>
      <c r="GF5419"/>
      <c r="GG5419"/>
      <c r="GH5419"/>
      <c r="GI5419"/>
      <c r="GJ5419"/>
      <c r="GK5419"/>
      <c r="GL5419"/>
      <c r="GM5419"/>
      <c r="GN5419"/>
      <c r="GO5419"/>
    </row>
    <row r="5420" spans="107:197">
      <c r="DC5420"/>
      <c r="FH5420"/>
      <c r="FI5420"/>
      <c r="FJ5420"/>
      <c r="FK5420"/>
      <c r="FL5420"/>
      <c r="FM5420"/>
      <c r="FN5420"/>
      <c r="FO5420"/>
      <c r="FP5420"/>
      <c r="FQ5420"/>
      <c r="FR5420"/>
      <c r="FS5420"/>
      <c r="FT5420"/>
      <c r="FU5420"/>
      <c r="FV5420"/>
      <c r="FW5420"/>
      <c r="FX5420"/>
      <c r="FY5420"/>
      <c r="FZ5420"/>
      <c r="GA5420"/>
      <c r="GB5420"/>
      <c r="GC5420"/>
      <c r="GD5420"/>
      <c r="GE5420"/>
      <c r="GF5420"/>
      <c r="GG5420"/>
      <c r="GH5420"/>
      <c r="GI5420"/>
      <c r="GJ5420"/>
      <c r="GK5420"/>
      <c r="GL5420"/>
      <c r="GM5420"/>
      <c r="GN5420"/>
      <c r="GO5420"/>
    </row>
    <row r="5421" spans="107:197">
      <c r="DC5421"/>
      <c r="FH5421"/>
      <c r="FI5421"/>
      <c r="FJ5421"/>
      <c r="FK5421"/>
      <c r="FL5421"/>
      <c r="FM5421"/>
      <c r="FN5421"/>
      <c r="FO5421"/>
      <c r="FP5421"/>
      <c r="FQ5421"/>
      <c r="FR5421"/>
      <c r="FS5421"/>
      <c r="FT5421"/>
      <c r="FU5421"/>
      <c r="FV5421"/>
      <c r="FW5421"/>
      <c r="FX5421"/>
      <c r="FY5421"/>
      <c r="FZ5421"/>
      <c r="GA5421"/>
      <c r="GB5421"/>
      <c r="GC5421"/>
      <c r="GD5421"/>
      <c r="GE5421"/>
      <c r="GF5421"/>
      <c r="GG5421"/>
      <c r="GH5421"/>
      <c r="GI5421"/>
      <c r="GJ5421"/>
      <c r="GK5421"/>
      <c r="GL5421"/>
      <c r="GM5421"/>
      <c r="GN5421"/>
      <c r="GO5421"/>
    </row>
    <row r="5422" spans="107:197">
      <c r="DC5422"/>
      <c r="FH5422"/>
      <c r="FI5422"/>
      <c r="FJ5422"/>
      <c r="FK5422"/>
      <c r="FL5422"/>
      <c r="FM5422"/>
      <c r="FN5422"/>
      <c r="FO5422"/>
      <c r="FP5422"/>
      <c r="FQ5422"/>
      <c r="FR5422"/>
      <c r="FS5422"/>
      <c r="FT5422"/>
      <c r="FU5422"/>
      <c r="FV5422"/>
      <c r="FW5422"/>
      <c r="FX5422"/>
      <c r="FY5422"/>
      <c r="FZ5422"/>
      <c r="GA5422"/>
      <c r="GB5422"/>
      <c r="GC5422"/>
      <c r="GD5422"/>
      <c r="GE5422"/>
      <c r="GF5422"/>
      <c r="GG5422"/>
      <c r="GH5422"/>
      <c r="GI5422"/>
      <c r="GJ5422"/>
      <c r="GK5422"/>
      <c r="GL5422"/>
      <c r="GM5422"/>
      <c r="GN5422"/>
      <c r="GO5422"/>
    </row>
    <row r="5423" spans="107:197">
      <c r="DC5423"/>
      <c r="FH5423"/>
      <c r="FI5423"/>
      <c r="FJ5423"/>
      <c r="FK5423"/>
      <c r="FL5423"/>
      <c r="FM5423"/>
      <c r="FN5423"/>
      <c r="FO5423"/>
      <c r="FP5423"/>
      <c r="FQ5423"/>
      <c r="FR5423"/>
      <c r="FS5423"/>
      <c r="FT5423"/>
      <c r="FU5423"/>
      <c r="FV5423"/>
      <c r="FW5423"/>
      <c r="FX5423"/>
      <c r="FY5423"/>
      <c r="FZ5423"/>
      <c r="GA5423"/>
      <c r="GB5423"/>
      <c r="GC5423"/>
      <c r="GD5423"/>
      <c r="GE5423"/>
      <c r="GF5423"/>
      <c r="GG5423"/>
      <c r="GH5423"/>
      <c r="GI5423"/>
      <c r="GJ5423"/>
      <c r="GK5423"/>
      <c r="GL5423"/>
      <c r="GM5423"/>
      <c r="GN5423"/>
      <c r="GO5423"/>
    </row>
    <row r="5424" spans="107:197">
      <c r="DC5424"/>
      <c r="FH5424"/>
      <c r="FI5424"/>
      <c r="FJ5424"/>
      <c r="FK5424"/>
      <c r="FL5424"/>
      <c r="FM5424"/>
      <c r="FN5424"/>
      <c r="FO5424"/>
      <c r="FP5424"/>
      <c r="FQ5424"/>
      <c r="FR5424"/>
      <c r="FS5424"/>
      <c r="FT5424"/>
      <c r="FU5424"/>
      <c r="FV5424"/>
      <c r="FW5424"/>
      <c r="FX5424"/>
      <c r="FY5424"/>
      <c r="FZ5424"/>
      <c r="GA5424"/>
      <c r="GB5424"/>
      <c r="GC5424"/>
      <c r="GD5424"/>
      <c r="GE5424"/>
      <c r="GF5424"/>
      <c r="GG5424"/>
      <c r="GH5424"/>
      <c r="GI5424"/>
      <c r="GJ5424"/>
      <c r="GK5424"/>
      <c r="GL5424"/>
      <c r="GM5424"/>
      <c r="GN5424"/>
      <c r="GO5424"/>
    </row>
    <row r="5425" spans="107:197">
      <c r="DC5425"/>
      <c r="FH5425"/>
      <c r="FI5425"/>
      <c r="FJ5425"/>
      <c r="FK5425"/>
      <c r="FL5425"/>
      <c r="FM5425"/>
      <c r="FN5425"/>
      <c r="FO5425"/>
      <c r="FP5425"/>
      <c r="FQ5425"/>
      <c r="FR5425"/>
      <c r="FS5425"/>
      <c r="FT5425"/>
      <c r="FU5425"/>
      <c r="FV5425"/>
      <c r="FW5425"/>
      <c r="FX5425"/>
      <c r="FY5425"/>
      <c r="FZ5425"/>
      <c r="GA5425"/>
      <c r="GB5425"/>
      <c r="GC5425"/>
      <c r="GD5425"/>
      <c r="GE5425"/>
      <c r="GF5425"/>
      <c r="GG5425"/>
      <c r="GH5425"/>
      <c r="GI5425"/>
      <c r="GJ5425"/>
      <c r="GK5425"/>
      <c r="GL5425"/>
      <c r="GM5425"/>
      <c r="GN5425"/>
      <c r="GO5425"/>
    </row>
    <row r="5426" spans="107:197">
      <c r="DC5426"/>
      <c r="FH5426"/>
      <c r="FI5426"/>
      <c r="FJ5426"/>
      <c r="FK5426"/>
      <c r="FL5426"/>
      <c r="FM5426"/>
      <c r="FN5426"/>
      <c r="FO5426"/>
      <c r="FP5426"/>
      <c r="FQ5426"/>
      <c r="FR5426"/>
      <c r="FS5426"/>
      <c r="FT5426"/>
      <c r="FU5426"/>
      <c r="FV5426"/>
      <c r="FW5426"/>
      <c r="FX5426"/>
      <c r="FY5426"/>
      <c r="FZ5426"/>
      <c r="GA5426"/>
      <c r="GB5426"/>
      <c r="GC5426"/>
      <c r="GD5426"/>
      <c r="GE5426"/>
      <c r="GF5426"/>
      <c r="GG5426"/>
      <c r="GH5426"/>
      <c r="GI5426"/>
      <c r="GJ5426"/>
      <c r="GK5426"/>
      <c r="GL5426"/>
      <c r="GM5426"/>
      <c r="GN5426"/>
      <c r="GO5426"/>
    </row>
    <row r="5427" spans="107:197">
      <c r="DC5427"/>
      <c r="FH5427"/>
      <c r="FI5427"/>
      <c r="FJ5427"/>
      <c r="FK5427"/>
      <c r="FL5427"/>
      <c r="FM5427"/>
      <c r="FN5427"/>
      <c r="FO5427"/>
      <c r="FP5427"/>
      <c r="FQ5427"/>
      <c r="FR5427"/>
      <c r="FS5427"/>
      <c r="FT5427"/>
      <c r="FU5427"/>
      <c r="FV5427"/>
      <c r="FW5427"/>
      <c r="FX5427"/>
      <c r="FY5427"/>
      <c r="FZ5427"/>
      <c r="GA5427"/>
      <c r="GB5427"/>
      <c r="GC5427"/>
      <c r="GD5427"/>
      <c r="GE5427"/>
      <c r="GF5427"/>
      <c r="GG5427"/>
      <c r="GH5427"/>
      <c r="GI5427"/>
      <c r="GJ5427"/>
      <c r="GK5427"/>
      <c r="GL5427"/>
      <c r="GM5427"/>
      <c r="GN5427"/>
      <c r="GO5427"/>
    </row>
    <row r="5428" spans="107:197">
      <c r="DC5428"/>
      <c r="FH5428"/>
      <c r="FI5428"/>
      <c r="FJ5428"/>
      <c r="FK5428"/>
      <c r="FL5428"/>
      <c r="FM5428"/>
      <c r="FN5428"/>
      <c r="FO5428"/>
      <c r="FP5428"/>
      <c r="FQ5428"/>
      <c r="FR5428"/>
      <c r="FS5428"/>
      <c r="FT5428"/>
      <c r="FU5428"/>
      <c r="FV5428"/>
      <c r="FW5428"/>
      <c r="FX5428"/>
      <c r="FY5428"/>
      <c r="FZ5428"/>
      <c r="GA5428"/>
      <c r="GB5428"/>
      <c r="GC5428"/>
      <c r="GD5428"/>
      <c r="GE5428"/>
      <c r="GF5428"/>
      <c r="GG5428"/>
      <c r="GH5428"/>
      <c r="GI5428"/>
      <c r="GJ5428"/>
      <c r="GK5428"/>
      <c r="GL5428"/>
      <c r="GM5428"/>
      <c r="GN5428"/>
      <c r="GO5428"/>
    </row>
    <row r="5429" spans="107:197">
      <c r="DC5429"/>
      <c r="FH5429"/>
      <c r="FI5429"/>
      <c r="FJ5429"/>
      <c r="FK5429"/>
      <c r="FL5429"/>
      <c r="FM5429"/>
      <c r="FN5429"/>
      <c r="FO5429"/>
      <c r="FP5429"/>
      <c r="FQ5429"/>
      <c r="FR5429"/>
      <c r="FS5429"/>
      <c r="FT5429"/>
      <c r="FU5429"/>
      <c r="FV5429"/>
      <c r="FW5429"/>
      <c r="FX5429"/>
      <c r="FY5429"/>
      <c r="FZ5429"/>
      <c r="GA5429"/>
      <c r="GB5429"/>
      <c r="GC5429"/>
      <c r="GD5429"/>
      <c r="GE5429"/>
      <c r="GF5429"/>
      <c r="GG5429"/>
      <c r="GH5429"/>
      <c r="GI5429"/>
      <c r="GJ5429"/>
      <c r="GK5429"/>
      <c r="GL5429"/>
      <c r="GM5429"/>
      <c r="GN5429"/>
      <c r="GO5429"/>
    </row>
    <row r="5430" spans="107:197">
      <c r="DC5430"/>
      <c r="FH5430"/>
      <c r="FI5430"/>
      <c r="FJ5430"/>
      <c r="FK5430"/>
      <c r="FL5430"/>
      <c r="FM5430"/>
      <c r="FN5430"/>
      <c r="FO5430"/>
      <c r="FP5430"/>
      <c r="FQ5430"/>
      <c r="FR5430"/>
      <c r="FS5430"/>
      <c r="FT5430"/>
      <c r="FU5430"/>
      <c r="FV5430"/>
      <c r="FW5430"/>
      <c r="FX5430"/>
      <c r="FY5430"/>
      <c r="FZ5430"/>
      <c r="GA5430"/>
      <c r="GB5430"/>
      <c r="GC5430"/>
      <c r="GD5430"/>
      <c r="GE5430"/>
      <c r="GF5430"/>
      <c r="GG5430"/>
      <c r="GH5430"/>
      <c r="GI5430"/>
      <c r="GJ5430"/>
      <c r="GK5430"/>
      <c r="GL5430"/>
      <c r="GM5430"/>
      <c r="GN5430"/>
      <c r="GO5430"/>
    </row>
    <row r="5431" spans="107:197">
      <c r="DC5431"/>
      <c r="FH5431"/>
      <c r="FI5431"/>
      <c r="FJ5431"/>
      <c r="FK5431"/>
      <c r="FL5431"/>
      <c r="FM5431"/>
      <c r="FN5431"/>
      <c r="FO5431"/>
      <c r="FP5431"/>
      <c r="FQ5431"/>
      <c r="FR5431"/>
      <c r="FS5431"/>
      <c r="FT5431"/>
      <c r="FU5431"/>
      <c r="FV5431"/>
      <c r="FW5431"/>
      <c r="FX5431"/>
      <c r="FY5431"/>
      <c r="FZ5431"/>
      <c r="GA5431"/>
      <c r="GB5431"/>
      <c r="GC5431"/>
      <c r="GD5431"/>
      <c r="GE5431"/>
      <c r="GF5431"/>
      <c r="GG5431"/>
      <c r="GH5431"/>
      <c r="GI5431"/>
      <c r="GJ5431"/>
      <c r="GK5431"/>
      <c r="GL5431"/>
      <c r="GM5431"/>
      <c r="GN5431"/>
      <c r="GO5431"/>
    </row>
    <row r="5432" spans="107:197">
      <c r="DC5432"/>
      <c r="FH5432"/>
      <c r="FI5432"/>
      <c r="FJ5432"/>
      <c r="FK5432"/>
      <c r="FL5432"/>
      <c r="FM5432"/>
      <c r="FN5432"/>
      <c r="FO5432"/>
      <c r="FP5432"/>
      <c r="FQ5432"/>
      <c r="FR5432"/>
      <c r="FS5432"/>
      <c r="FT5432"/>
      <c r="FU5432"/>
      <c r="FV5432"/>
      <c r="FW5432"/>
      <c r="FX5432"/>
      <c r="FY5432"/>
      <c r="FZ5432"/>
      <c r="GA5432"/>
      <c r="GB5432"/>
      <c r="GC5432"/>
      <c r="GD5432"/>
      <c r="GE5432"/>
      <c r="GF5432"/>
      <c r="GG5432"/>
      <c r="GH5432"/>
      <c r="GI5432"/>
      <c r="GJ5432"/>
      <c r="GK5432"/>
      <c r="GL5432"/>
      <c r="GM5432"/>
      <c r="GN5432"/>
      <c r="GO5432"/>
    </row>
    <row r="5433" spans="107:197">
      <c r="DC5433"/>
      <c r="FH5433"/>
      <c r="FI5433"/>
      <c r="FJ5433"/>
      <c r="FK5433"/>
      <c r="FL5433"/>
      <c r="FM5433"/>
      <c r="FN5433"/>
      <c r="FO5433"/>
      <c r="FP5433"/>
      <c r="FQ5433"/>
      <c r="FR5433"/>
      <c r="FS5433"/>
      <c r="FT5433"/>
      <c r="FU5433"/>
      <c r="FV5433"/>
      <c r="FW5433"/>
      <c r="FX5433"/>
      <c r="FY5433"/>
      <c r="FZ5433"/>
      <c r="GA5433"/>
      <c r="GB5433"/>
      <c r="GC5433"/>
      <c r="GD5433"/>
      <c r="GE5433"/>
      <c r="GF5433"/>
      <c r="GG5433"/>
      <c r="GH5433"/>
      <c r="GI5433"/>
      <c r="GJ5433"/>
      <c r="GK5433"/>
      <c r="GL5433"/>
      <c r="GM5433"/>
      <c r="GN5433"/>
      <c r="GO5433"/>
    </row>
    <row r="5434" spans="107:197">
      <c r="DC5434"/>
      <c r="FH5434"/>
      <c r="FI5434"/>
      <c r="FJ5434"/>
      <c r="FK5434"/>
      <c r="FL5434"/>
      <c r="FM5434"/>
      <c r="FN5434"/>
      <c r="FO5434"/>
      <c r="FP5434"/>
      <c r="FQ5434"/>
      <c r="FR5434"/>
      <c r="FS5434"/>
      <c r="FT5434"/>
      <c r="FU5434"/>
      <c r="FV5434"/>
      <c r="FW5434"/>
      <c r="FX5434"/>
      <c r="FY5434"/>
      <c r="FZ5434"/>
      <c r="GA5434"/>
      <c r="GB5434"/>
      <c r="GC5434"/>
      <c r="GD5434"/>
      <c r="GE5434"/>
      <c r="GF5434"/>
      <c r="GG5434"/>
      <c r="GH5434"/>
      <c r="GI5434"/>
      <c r="GJ5434"/>
      <c r="GK5434"/>
      <c r="GL5434"/>
      <c r="GM5434"/>
      <c r="GN5434"/>
      <c r="GO5434"/>
    </row>
    <row r="5435" spans="107:197">
      <c r="DC5435"/>
      <c r="FH5435"/>
      <c r="FI5435"/>
      <c r="FJ5435"/>
      <c r="FK5435"/>
      <c r="FL5435"/>
      <c r="FM5435"/>
      <c r="FN5435"/>
      <c r="FO5435"/>
      <c r="FP5435"/>
      <c r="FQ5435"/>
      <c r="FR5435"/>
      <c r="FS5435"/>
      <c r="FT5435"/>
      <c r="FU5435"/>
      <c r="FV5435"/>
      <c r="FW5435"/>
      <c r="FX5435"/>
      <c r="FY5435"/>
      <c r="FZ5435"/>
      <c r="GA5435"/>
      <c r="GB5435"/>
      <c r="GC5435"/>
      <c r="GD5435"/>
      <c r="GE5435"/>
      <c r="GF5435"/>
      <c r="GG5435"/>
      <c r="GH5435"/>
      <c r="GI5435"/>
      <c r="GJ5435"/>
      <c r="GK5435"/>
      <c r="GL5435"/>
      <c r="GM5435"/>
      <c r="GN5435"/>
      <c r="GO5435"/>
    </row>
    <row r="5436" spans="107:197">
      <c r="DC5436"/>
      <c r="FH5436"/>
      <c r="FI5436"/>
      <c r="FJ5436"/>
      <c r="FK5436"/>
      <c r="FL5436"/>
      <c r="FM5436"/>
      <c r="FN5436"/>
      <c r="FO5436"/>
      <c r="FP5436"/>
      <c r="FQ5436"/>
      <c r="FR5436"/>
      <c r="FS5436"/>
      <c r="FT5436"/>
      <c r="FU5436"/>
      <c r="FV5436"/>
      <c r="FW5436"/>
      <c r="FX5436"/>
      <c r="FY5436"/>
      <c r="FZ5436"/>
      <c r="GA5436"/>
      <c r="GB5436"/>
      <c r="GC5436"/>
      <c r="GD5436"/>
      <c r="GE5436"/>
      <c r="GF5436"/>
      <c r="GG5436"/>
      <c r="GH5436"/>
      <c r="GI5436"/>
      <c r="GJ5436"/>
      <c r="GK5436"/>
      <c r="GL5436"/>
      <c r="GM5436"/>
      <c r="GN5436"/>
      <c r="GO5436"/>
    </row>
    <row r="5437" spans="107:197">
      <c r="DC5437"/>
      <c r="FH5437"/>
      <c r="FI5437"/>
      <c r="FJ5437"/>
      <c r="FK5437"/>
      <c r="FL5437"/>
      <c r="FM5437"/>
      <c r="FN5437"/>
      <c r="FO5437"/>
      <c r="FP5437"/>
      <c r="FQ5437"/>
      <c r="FR5437"/>
      <c r="FS5437"/>
      <c r="FT5437"/>
      <c r="FU5437"/>
      <c r="FV5437"/>
      <c r="FW5437"/>
      <c r="FX5437"/>
      <c r="FY5437"/>
      <c r="FZ5437"/>
      <c r="GA5437"/>
      <c r="GB5437"/>
      <c r="GC5437"/>
      <c r="GD5437"/>
      <c r="GE5437"/>
      <c r="GF5437"/>
      <c r="GG5437"/>
      <c r="GH5437"/>
      <c r="GI5437"/>
      <c r="GJ5437"/>
      <c r="GK5437"/>
      <c r="GL5437"/>
      <c r="GM5437"/>
      <c r="GN5437"/>
      <c r="GO5437"/>
    </row>
    <row r="5438" spans="107:197">
      <c r="DC5438"/>
      <c r="FH5438"/>
      <c r="FI5438"/>
      <c r="FJ5438"/>
      <c r="FK5438"/>
      <c r="FL5438"/>
      <c r="FM5438"/>
      <c r="FN5438"/>
      <c r="FO5438"/>
      <c r="FP5438"/>
      <c r="FQ5438"/>
      <c r="FR5438"/>
      <c r="FS5438"/>
      <c r="FT5438"/>
      <c r="FU5438"/>
      <c r="FV5438"/>
      <c r="FW5438"/>
      <c r="FX5438"/>
      <c r="FY5438"/>
      <c r="FZ5438"/>
      <c r="GA5438"/>
      <c r="GB5438"/>
      <c r="GC5438"/>
      <c r="GD5438"/>
      <c r="GE5438"/>
      <c r="GF5438"/>
      <c r="GG5438"/>
      <c r="GH5438"/>
      <c r="GI5438"/>
      <c r="GJ5438"/>
      <c r="GK5438"/>
      <c r="GL5438"/>
      <c r="GM5438"/>
      <c r="GN5438"/>
      <c r="GO5438"/>
    </row>
    <row r="5439" spans="107:197">
      <c r="DC5439"/>
      <c r="FH5439"/>
      <c r="FI5439"/>
      <c r="FJ5439"/>
      <c r="FK5439"/>
      <c r="FL5439"/>
      <c r="FM5439"/>
      <c r="FN5439"/>
      <c r="FO5439"/>
      <c r="FP5439"/>
      <c r="FQ5439"/>
      <c r="FR5439"/>
      <c r="FS5439"/>
      <c r="FT5439"/>
      <c r="FU5439"/>
      <c r="FV5439"/>
      <c r="FW5439"/>
      <c r="FX5439"/>
      <c r="FY5439"/>
      <c r="FZ5439"/>
      <c r="GA5439"/>
      <c r="GB5439"/>
      <c r="GC5439"/>
      <c r="GD5439"/>
      <c r="GE5439"/>
      <c r="GF5439"/>
      <c r="GG5439"/>
      <c r="GH5439"/>
      <c r="GI5439"/>
      <c r="GJ5439"/>
      <c r="GK5439"/>
      <c r="GL5439"/>
      <c r="GM5439"/>
      <c r="GN5439"/>
      <c r="GO5439"/>
    </row>
    <row r="5440" spans="107:197">
      <c r="DC5440"/>
      <c r="FH5440"/>
      <c r="FI5440"/>
      <c r="FJ5440"/>
      <c r="FK5440"/>
      <c r="FL5440"/>
      <c r="FM5440"/>
      <c r="FN5440"/>
      <c r="FO5440"/>
      <c r="FP5440"/>
      <c r="FQ5440"/>
      <c r="FR5440"/>
      <c r="FS5440"/>
      <c r="FT5440"/>
      <c r="FU5440"/>
      <c r="FV5440"/>
      <c r="FW5440"/>
      <c r="FX5440"/>
      <c r="FY5440"/>
      <c r="FZ5440"/>
      <c r="GA5440"/>
      <c r="GB5440"/>
      <c r="GC5440"/>
      <c r="GD5440"/>
      <c r="GE5440"/>
      <c r="GF5440"/>
      <c r="GG5440"/>
      <c r="GH5440"/>
      <c r="GI5440"/>
      <c r="GJ5440"/>
      <c r="GK5440"/>
      <c r="GL5440"/>
      <c r="GM5440"/>
      <c r="GN5440"/>
      <c r="GO5440"/>
    </row>
    <row r="5441" spans="107:197">
      <c r="DC5441"/>
      <c r="FH5441"/>
      <c r="FI5441"/>
      <c r="FJ5441"/>
      <c r="FK5441"/>
      <c r="FL5441"/>
      <c r="FM5441"/>
      <c r="FN5441"/>
      <c r="FO5441"/>
      <c r="FP5441"/>
      <c r="FQ5441"/>
      <c r="FR5441"/>
      <c r="FS5441"/>
      <c r="FT5441"/>
      <c r="FU5441"/>
      <c r="FV5441"/>
      <c r="FW5441"/>
      <c r="FX5441"/>
      <c r="FY5441"/>
      <c r="FZ5441"/>
      <c r="GA5441"/>
      <c r="GB5441"/>
      <c r="GC5441"/>
      <c r="GD5441"/>
      <c r="GE5441"/>
      <c r="GF5441"/>
      <c r="GG5441"/>
      <c r="GH5441"/>
      <c r="GI5441"/>
      <c r="GJ5441"/>
      <c r="GK5441"/>
      <c r="GL5441"/>
      <c r="GM5441"/>
      <c r="GN5441"/>
      <c r="GO5441"/>
    </row>
    <row r="5442" spans="107:197">
      <c r="DC5442"/>
      <c r="FH5442"/>
      <c r="FI5442"/>
      <c r="FJ5442"/>
      <c r="FK5442"/>
      <c r="FL5442"/>
      <c r="FM5442"/>
      <c r="FN5442"/>
      <c r="FO5442"/>
      <c r="FP5442"/>
      <c r="FQ5442"/>
      <c r="FR5442"/>
      <c r="FS5442"/>
      <c r="FT5442"/>
      <c r="FU5442"/>
      <c r="FV5442"/>
      <c r="FW5442"/>
      <c r="FX5442"/>
      <c r="FY5442"/>
      <c r="FZ5442"/>
      <c r="GA5442"/>
      <c r="GB5442"/>
      <c r="GC5442"/>
      <c r="GD5442"/>
      <c r="GE5442"/>
      <c r="GF5442"/>
      <c r="GG5442"/>
      <c r="GH5442"/>
      <c r="GI5442"/>
      <c r="GJ5442"/>
      <c r="GK5442"/>
      <c r="GL5442"/>
      <c r="GM5442"/>
      <c r="GN5442"/>
      <c r="GO5442"/>
    </row>
    <row r="5443" spans="107:197">
      <c r="DC5443"/>
      <c r="FH5443"/>
      <c r="FI5443"/>
      <c r="FJ5443"/>
      <c r="FK5443"/>
      <c r="FL5443"/>
      <c r="FM5443"/>
      <c r="FN5443"/>
      <c r="FO5443"/>
      <c r="FP5443"/>
      <c r="FQ5443"/>
      <c r="FR5443"/>
      <c r="FS5443"/>
      <c r="FT5443"/>
      <c r="FU5443"/>
      <c r="FV5443"/>
      <c r="FW5443"/>
      <c r="FX5443"/>
      <c r="FY5443"/>
      <c r="FZ5443"/>
      <c r="GA5443"/>
      <c r="GB5443"/>
      <c r="GC5443"/>
      <c r="GD5443"/>
      <c r="GE5443"/>
      <c r="GF5443"/>
      <c r="GG5443"/>
      <c r="GH5443"/>
      <c r="GI5443"/>
      <c r="GJ5443"/>
      <c r="GK5443"/>
      <c r="GL5443"/>
      <c r="GM5443"/>
      <c r="GN5443"/>
      <c r="GO5443"/>
    </row>
    <row r="5444" spans="107:197">
      <c r="DC5444"/>
      <c r="FH5444"/>
      <c r="FI5444"/>
      <c r="FJ5444"/>
      <c r="FK5444"/>
      <c r="FL5444"/>
      <c r="FM5444"/>
      <c r="FN5444"/>
      <c r="FO5444"/>
      <c r="FP5444"/>
      <c r="FQ5444"/>
      <c r="FR5444"/>
      <c r="FS5444"/>
      <c r="FT5444"/>
      <c r="FU5444"/>
      <c r="FV5444"/>
      <c r="FW5444"/>
      <c r="FX5444"/>
      <c r="FY5444"/>
      <c r="FZ5444"/>
      <c r="GA5444"/>
      <c r="GB5444"/>
      <c r="GC5444"/>
      <c r="GD5444"/>
      <c r="GE5444"/>
      <c r="GF5444"/>
      <c r="GG5444"/>
      <c r="GH5444"/>
      <c r="GI5444"/>
      <c r="GJ5444"/>
      <c r="GK5444"/>
      <c r="GL5444"/>
      <c r="GM5444"/>
      <c r="GN5444"/>
      <c r="GO5444"/>
    </row>
    <row r="5445" spans="107:197">
      <c r="DC5445"/>
      <c r="FH5445"/>
      <c r="FI5445"/>
      <c r="FJ5445"/>
      <c r="FK5445"/>
      <c r="FL5445"/>
      <c r="FM5445"/>
      <c r="FN5445"/>
      <c r="FO5445"/>
      <c r="FP5445"/>
      <c r="FQ5445"/>
      <c r="FR5445"/>
      <c r="FS5445"/>
      <c r="FT5445"/>
      <c r="FU5445"/>
      <c r="FV5445"/>
      <c r="FW5445"/>
      <c r="FX5445"/>
      <c r="FY5445"/>
      <c r="FZ5445"/>
      <c r="GA5445"/>
      <c r="GB5445"/>
      <c r="GC5445"/>
      <c r="GD5445"/>
      <c r="GE5445"/>
      <c r="GF5445"/>
      <c r="GG5445"/>
      <c r="GH5445"/>
      <c r="GI5445"/>
      <c r="GJ5445"/>
      <c r="GK5445"/>
      <c r="GL5445"/>
      <c r="GM5445"/>
      <c r="GN5445"/>
      <c r="GO5445"/>
    </row>
    <row r="5446" spans="107:197">
      <c r="DC5446"/>
      <c r="FH5446"/>
      <c r="FI5446"/>
      <c r="FJ5446"/>
      <c r="FK5446"/>
      <c r="FL5446"/>
      <c r="FM5446"/>
      <c r="FN5446"/>
      <c r="FO5446"/>
      <c r="FP5446"/>
      <c r="FQ5446"/>
      <c r="FR5446"/>
      <c r="FS5446"/>
      <c r="FT5446"/>
      <c r="FU5446"/>
      <c r="FV5446"/>
      <c r="FW5446"/>
      <c r="FX5446"/>
      <c r="FY5446"/>
      <c r="FZ5446"/>
      <c r="GA5446"/>
      <c r="GB5446"/>
      <c r="GC5446"/>
      <c r="GD5446"/>
      <c r="GE5446"/>
      <c r="GF5446"/>
      <c r="GG5446"/>
      <c r="GH5446"/>
      <c r="GI5446"/>
      <c r="GJ5446"/>
      <c r="GK5446"/>
      <c r="GL5446"/>
      <c r="GM5446"/>
      <c r="GN5446"/>
      <c r="GO5446"/>
    </row>
    <row r="5447" spans="107:197">
      <c r="DC5447"/>
      <c r="FH5447"/>
      <c r="FI5447"/>
      <c r="FJ5447"/>
      <c r="FK5447"/>
      <c r="FL5447"/>
      <c r="FM5447"/>
      <c r="FN5447"/>
      <c r="FO5447"/>
      <c r="FP5447"/>
      <c r="FQ5447"/>
      <c r="FR5447"/>
      <c r="FS5447"/>
      <c r="FT5447"/>
      <c r="FU5447"/>
      <c r="FV5447"/>
      <c r="FW5447"/>
      <c r="FX5447"/>
      <c r="FY5447"/>
      <c r="FZ5447"/>
      <c r="GA5447"/>
      <c r="GB5447"/>
      <c r="GC5447"/>
      <c r="GD5447"/>
      <c r="GE5447"/>
      <c r="GF5447"/>
      <c r="GG5447"/>
      <c r="GH5447"/>
      <c r="GI5447"/>
      <c r="GJ5447"/>
      <c r="GK5447"/>
      <c r="GL5447"/>
      <c r="GM5447"/>
      <c r="GN5447"/>
      <c r="GO5447"/>
    </row>
    <row r="5448" spans="107:197">
      <c r="DC5448"/>
      <c r="FH5448"/>
      <c r="FI5448"/>
      <c r="FJ5448"/>
      <c r="FK5448"/>
      <c r="FL5448"/>
      <c r="FM5448"/>
      <c r="FN5448"/>
      <c r="FO5448"/>
      <c r="FP5448"/>
      <c r="FQ5448"/>
      <c r="FR5448"/>
      <c r="FS5448"/>
      <c r="FT5448"/>
      <c r="FU5448"/>
      <c r="FV5448"/>
      <c r="FW5448"/>
      <c r="FX5448"/>
      <c r="FY5448"/>
      <c r="FZ5448"/>
      <c r="GA5448"/>
      <c r="GB5448"/>
      <c r="GC5448"/>
      <c r="GD5448"/>
      <c r="GE5448"/>
      <c r="GF5448"/>
      <c r="GG5448"/>
      <c r="GH5448"/>
      <c r="GI5448"/>
      <c r="GJ5448"/>
      <c r="GK5448"/>
      <c r="GL5448"/>
      <c r="GM5448"/>
      <c r="GN5448"/>
      <c r="GO5448"/>
    </row>
    <row r="5449" spans="107:197">
      <c r="DC5449"/>
      <c r="FH5449"/>
      <c r="FI5449"/>
      <c r="FJ5449"/>
      <c r="FK5449"/>
      <c r="FL5449"/>
      <c r="FM5449"/>
      <c r="FN5449"/>
      <c r="FO5449"/>
      <c r="FP5449"/>
      <c r="FQ5449"/>
      <c r="FR5449"/>
      <c r="FS5449"/>
      <c r="FT5449"/>
      <c r="FU5449"/>
      <c r="FV5449"/>
      <c r="FW5449"/>
      <c r="FX5449"/>
      <c r="FY5449"/>
      <c r="FZ5449"/>
      <c r="GA5449"/>
      <c r="GB5449"/>
      <c r="GC5449"/>
      <c r="GD5449"/>
      <c r="GE5449"/>
      <c r="GF5449"/>
      <c r="GG5449"/>
      <c r="GH5449"/>
      <c r="GI5449"/>
      <c r="GJ5449"/>
      <c r="GK5449"/>
      <c r="GL5449"/>
      <c r="GM5449"/>
      <c r="GN5449"/>
      <c r="GO5449"/>
    </row>
    <row r="5450" spans="107:197">
      <c r="DC5450"/>
      <c r="FH5450"/>
      <c r="FI5450"/>
      <c r="FJ5450"/>
      <c r="FK5450"/>
      <c r="FL5450"/>
      <c r="FM5450"/>
      <c r="FN5450"/>
      <c r="FO5450"/>
      <c r="FP5450"/>
      <c r="FQ5450"/>
      <c r="FR5450"/>
      <c r="FS5450"/>
      <c r="FT5450"/>
      <c r="FU5450"/>
      <c r="FV5450"/>
      <c r="FW5450"/>
      <c r="FX5450"/>
      <c r="FY5450"/>
      <c r="FZ5450"/>
      <c r="GA5450"/>
      <c r="GB5450"/>
      <c r="GC5450"/>
      <c r="GD5450"/>
      <c r="GE5450"/>
      <c r="GF5450"/>
      <c r="GG5450"/>
      <c r="GH5450"/>
      <c r="GI5450"/>
      <c r="GJ5450"/>
      <c r="GK5450"/>
      <c r="GL5450"/>
      <c r="GM5450"/>
      <c r="GN5450"/>
      <c r="GO5450"/>
    </row>
    <row r="5451" spans="107:197">
      <c r="DC5451"/>
      <c r="FH5451"/>
      <c r="FI5451"/>
      <c r="FJ5451"/>
      <c r="FK5451"/>
      <c r="FL5451"/>
      <c r="FM5451"/>
      <c r="FN5451"/>
      <c r="FO5451"/>
      <c r="FP5451"/>
      <c r="FQ5451"/>
      <c r="FR5451"/>
      <c r="FS5451"/>
      <c r="FT5451"/>
      <c r="FU5451"/>
      <c r="FV5451"/>
      <c r="FW5451"/>
      <c r="FX5451"/>
      <c r="FY5451"/>
      <c r="FZ5451"/>
      <c r="GA5451"/>
      <c r="GB5451"/>
      <c r="GC5451"/>
      <c r="GD5451"/>
      <c r="GE5451"/>
      <c r="GF5451"/>
      <c r="GG5451"/>
      <c r="GH5451"/>
      <c r="GI5451"/>
      <c r="GJ5451"/>
      <c r="GK5451"/>
      <c r="GL5451"/>
      <c r="GM5451"/>
      <c r="GN5451"/>
      <c r="GO5451"/>
    </row>
    <row r="5452" spans="107:197">
      <c r="DC5452"/>
      <c r="FH5452"/>
      <c r="FI5452"/>
      <c r="FJ5452"/>
      <c r="FK5452"/>
      <c r="FL5452"/>
      <c r="FM5452"/>
      <c r="FN5452"/>
      <c r="FO5452"/>
      <c r="FP5452"/>
      <c r="FQ5452"/>
      <c r="FR5452"/>
      <c r="FS5452"/>
      <c r="FT5452"/>
      <c r="FU5452"/>
      <c r="FV5452"/>
      <c r="FW5452"/>
      <c r="FX5452"/>
      <c r="FY5452"/>
      <c r="FZ5452"/>
      <c r="GA5452"/>
      <c r="GB5452"/>
      <c r="GC5452"/>
      <c r="GD5452"/>
      <c r="GE5452"/>
      <c r="GF5452"/>
      <c r="GG5452"/>
      <c r="GH5452"/>
      <c r="GI5452"/>
      <c r="GJ5452"/>
      <c r="GK5452"/>
      <c r="GL5452"/>
      <c r="GM5452"/>
      <c r="GN5452"/>
      <c r="GO5452"/>
    </row>
    <row r="5453" spans="107:197">
      <c r="DC5453"/>
      <c r="FH5453"/>
      <c r="FI5453"/>
      <c r="FJ5453"/>
      <c r="FK5453"/>
      <c r="FL5453"/>
      <c r="FM5453"/>
      <c r="FN5453"/>
      <c r="FO5453"/>
      <c r="FP5453"/>
      <c r="FQ5453"/>
      <c r="FR5453"/>
      <c r="FS5453"/>
      <c r="FT5453"/>
      <c r="FU5453"/>
      <c r="FV5453"/>
      <c r="FW5453"/>
      <c r="FX5453"/>
      <c r="FY5453"/>
      <c r="FZ5453"/>
      <c r="GA5453"/>
      <c r="GB5453"/>
      <c r="GC5453"/>
      <c r="GD5453"/>
      <c r="GE5453"/>
      <c r="GF5453"/>
      <c r="GG5453"/>
      <c r="GH5453"/>
      <c r="GI5453"/>
      <c r="GJ5453"/>
      <c r="GK5453"/>
      <c r="GL5453"/>
      <c r="GM5453"/>
      <c r="GN5453"/>
      <c r="GO5453"/>
    </row>
    <row r="5454" spans="107:197">
      <c r="DC5454"/>
      <c r="FH5454"/>
      <c r="FI5454"/>
      <c r="FJ5454"/>
      <c r="FK5454"/>
      <c r="FL5454"/>
      <c r="FM5454"/>
      <c r="FN5454"/>
      <c r="FO5454"/>
      <c r="FP5454"/>
      <c r="FQ5454"/>
      <c r="FR5454"/>
      <c r="FS5454"/>
      <c r="FT5454"/>
      <c r="FU5454"/>
      <c r="FV5454"/>
      <c r="FW5454"/>
      <c r="FX5454"/>
      <c r="FY5454"/>
      <c r="FZ5454"/>
      <c r="GA5454"/>
      <c r="GB5454"/>
      <c r="GC5454"/>
      <c r="GD5454"/>
      <c r="GE5454"/>
      <c r="GF5454"/>
      <c r="GG5454"/>
      <c r="GH5454"/>
      <c r="GI5454"/>
      <c r="GJ5454"/>
      <c r="GK5454"/>
      <c r="GL5454"/>
      <c r="GM5454"/>
      <c r="GN5454"/>
      <c r="GO5454"/>
    </row>
    <row r="5455" spans="107:197">
      <c r="DC5455"/>
      <c r="FH5455"/>
      <c r="FI5455"/>
      <c r="FJ5455"/>
      <c r="FK5455"/>
      <c r="FL5455"/>
      <c r="FM5455"/>
      <c r="FN5455"/>
      <c r="FO5455"/>
      <c r="FP5455"/>
      <c r="FQ5455"/>
      <c r="FR5455"/>
      <c r="FS5455"/>
      <c r="FT5455"/>
      <c r="FU5455"/>
      <c r="FV5455"/>
      <c r="FW5455"/>
      <c r="FX5455"/>
      <c r="FY5455"/>
      <c r="FZ5455"/>
      <c r="GA5455"/>
      <c r="GB5455"/>
      <c r="GC5455"/>
      <c r="GD5455"/>
      <c r="GE5455"/>
      <c r="GF5455"/>
      <c r="GG5455"/>
      <c r="GH5455"/>
      <c r="GI5455"/>
      <c r="GJ5455"/>
      <c r="GK5455"/>
      <c r="GL5455"/>
      <c r="GM5455"/>
      <c r="GN5455"/>
      <c r="GO5455"/>
    </row>
    <row r="5456" spans="107:197">
      <c r="DC5456"/>
      <c r="FH5456"/>
      <c r="FI5456"/>
      <c r="FJ5456"/>
      <c r="FK5456"/>
      <c r="FL5456"/>
      <c r="FM5456"/>
      <c r="FN5456"/>
      <c r="FO5456"/>
      <c r="FP5456"/>
      <c r="FQ5456"/>
      <c r="FR5456"/>
      <c r="FS5456"/>
      <c r="FT5456"/>
      <c r="FU5456"/>
      <c r="FV5456"/>
      <c r="FW5456"/>
      <c r="FX5456"/>
      <c r="FY5456"/>
      <c r="FZ5456"/>
      <c r="GA5456"/>
      <c r="GB5456"/>
      <c r="GC5456"/>
      <c r="GD5456"/>
      <c r="GE5456"/>
      <c r="GF5456"/>
      <c r="GG5456"/>
      <c r="GH5456"/>
      <c r="GI5456"/>
      <c r="GJ5456"/>
      <c r="GK5456"/>
      <c r="GL5456"/>
      <c r="GM5456"/>
      <c r="GN5456"/>
      <c r="GO5456"/>
    </row>
    <row r="5457" spans="107:197">
      <c r="DC5457"/>
      <c r="FH5457"/>
      <c r="FI5457"/>
      <c r="FJ5457"/>
      <c r="FK5457"/>
      <c r="FL5457"/>
      <c r="FM5457"/>
      <c r="FN5457"/>
      <c r="FO5457"/>
      <c r="FP5457"/>
      <c r="FQ5457"/>
      <c r="FR5457"/>
      <c r="FS5457"/>
      <c r="FT5457"/>
      <c r="FU5457"/>
      <c r="FV5457"/>
      <c r="FW5457"/>
      <c r="FX5457"/>
      <c r="FY5457"/>
      <c r="FZ5457"/>
      <c r="GA5457"/>
      <c r="GB5457"/>
      <c r="GC5457"/>
      <c r="GD5457"/>
      <c r="GE5457"/>
      <c r="GF5457"/>
      <c r="GG5457"/>
      <c r="GH5457"/>
      <c r="GI5457"/>
      <c r="GJ5457"/>
      <c r="GK5457"/>
      <c r="GL5457"/>
      <c r="GM5457"/>
      <c r="GN5457"/>
      <c r="GO5457"/>
    </row>
    <row r="5458" spans="107:197">
      <c r="DC5458"/>
      <c r="FH5458"/>
      <c r="FI5458"/>
      <c r="FJ5458"/>
      <c r="FK5458"/>
      <c r="FL5458"/>
      <c r="FM5458"/>
      <c r="FN5458"/>
      <c r="FO5458"/>
      <c r="FP5458"/>
      <c r="FQ5458"/>
      <c r="FR5458"/>
      <c r="FS5458"/>
      <c r="FT5458"/>
      <c r="FU5458"/>
      <c r="FV5458"/>
      <c r="FW5458"/>
      <c r="FX5458"/>
      <c r="FY5458"/>
      <c r="FZ5458"/>
      <c r="GA5458"/>
      <c r="GB5458"/>
      <c r="GC5458"/>
      <c r="GD5458"/>
      <c r="GE5458"/>
      <c r="GF5458"/>
      <c r="GG5458"/>
      <c r="GH5458"/>
      <c r="GI5458"/>
      <c r="GJ5458"/>
      <c r="GK5458"/>
      <c r="GL5458"/>
      <c r="GM5458"/>
      <c r="GN5458"/>
      <c r="GO5458"/>
    </row>
    <row r="5459" spans="107:197">
      <c r="DC5459"/>
      <c r="FH5459"/>
      <c r="FI5459"/>
      <c r="FJ5459"/>
      <c r="FK5459"/>
      <c r="FL5459"/>
      <c r="FM5459"/>
      <c r="FN5459"/>
      <c r="FO5459"/>
      <c r="FP5459"/>
      <c r="FQ5459"/>
      <c r="FR5459"/>
      <c r="FS5459"/>
      <c r="FT5459"/>
      <c r="FU5459"/>
      <c r="FV5459"/>
      <c r="FW5459"/>
      <c r="FX5459"/>
      <c r="FY5459"/>
      <c r="FZ5459"/>
      <c r="GA5459"/>
      <c r="GB5459"/>
      <c r="GC5459"/>
      <c r="GD5459"/>
      <c r="GE5459"/>
      <c r="GF5459"/>
      <c r="GG5459"/>
      <c r="GH5459"/>
      <c r="GI5459"/>
      <c r="GJ5459"/>
      <c r="GK5459"/>
      <c r="GL5459"/>
      <c r="GM5459"/>
      <c r="GN5459"/>
      <c r="GO5459"/>
    </row>
    <row r="5460" spans="107:197">
      <c r="DC5460"/>
      <c r="FH5460"/>
      <c r="FI5460"/>
      <c r="FJ5460"/>
      <c r="FK5460"/>
      <c r="FL5460"/>
      <c r="FM5460"/>
      <c r="FN5460"/>
      <c r="FO5460"/>
      <c r="FP5460"/>
      <c r="FQ5460"/>
      <c r="FR5460"/>
      <c r="FS5460"/>
      <c r="FT5460"/>
      <c r="FU5460"/>
      <c r="FV5460"/>
      <c r="FW5460"/>
      <c r="FX5460"/>
      <c r="FY5460"/>
      <c r="FZ5460"/>
      <c r="GA5460"/>
      <c r="GB5460"/>
      <c r="GC5460"/>
      <c r="GD5460"/>
      <c r="GE5460"/>
      <c r="GF5460"/>
      <c r="GG5460"/>
      <c r="GH5460"/>
      <c r="GI5460"/>
      <c r="GJ5460"/>
      <c r="GK5460"/>
      <c r="GL5460"/>
      <c r="GM5460"/>
      <c r="GN5460"/>
      <c r="GO5460"/>
    </row>
    <row r="5461" spans="107:197">
      <c r="DC5461"/>
      <c r="FH5461"/>
      <c r="FI5461"/>
      <c r="FJ5461"/>
      <c r="FK5461"/>
      <c r="FL5461"/>
      <c r="FM5461"/>
      <c r="FN5461"/>
      <c r="FO5461"/>
      <c r="FP5461"/>
      <c r="FQ5461"/>
      <c r="FR5461"/>
      <c r="FS5461"/>
      <c r="FT5461"/>
      <c r="FU5461"/>
      <c r="FV5461"/>
      <c r="FW5461"/>
      <c r="FX5461"/>
      <c r="FY5461"/>
      <c r="FZ5461"/>
      <c r="GA5461"/>
      <c r="GB5461"/>
      <c r="GC5461"/>
      <c r="GD5461"/>
      <c r="GE5461"/>
      <c r="GF5461"/>
      <c r="GG5461"/>
      <c r="GH5461"/>
      <c r="GI5461"/>
      <c r="GJ5461"/>
      <c r="GK5461"/>
      <c r="GL5461"/>
      <c r="GM5461"/>
      <c r="GN5461"/>
      <c r="GO5461"/>
    </row>
    <row r="5462" spans="107:197">
      <c r="DC5462"/>
      <c r="FH5462"/>
      <c r="FI5462"/>
      <c r="FJ5462"/>
      <c r="FK5462"/>
      <c r="FL5462"/>
      <c r="FM5462"/>
      <c r="FN5462"/>
      <c r="FO5462"/>
      <c r="FP5462"/>
      <c r="FQ5462"/>
      <c r="FR5462"/>
      <c r="FS5462"/>
      <c r="FT5462"/>
      <c r="FU5462"/>
      <c r="FV5462"/>
      <c r="FW5462"/>
      <c r="FX5462"/>
      <c r="FY5462"/>
      <c r="FZ5462"/>
      <c r="GA5462"/>
      <c r="GB5462"/>
      <c r="GC5462"/>
      <c r="GD5462"/>
      <c r="GE5462"/>
      <c r="GF5462"/>
      <c r="GG5462"/>
      <c r="GH5462"/>
      <c r="GI5462"/>
      <c r="GJ5462"/>
      <c r="GK5462"/>
      <c r="GL5462"/>
      <c r="GM5462"/>
      <c r="GN5462"/>
      <c r="GO5462"/>
    </row>
    <row r="5463" spans="107:197">
      <c r="DC5463"/>
      <c r="FH5463"/>
      <c r="FI5463"/>
      <c r="FJ5463"/>
      <c r="FK5463"/>
      <c r="FL5463"/>
      <c r="FM5463"/>
      <c r="FN5463"/>
      <c r="FO5463"/>
      <c r="FP5463"/>
      <c r="FQ5463"/>
      <c r="FR5463"/>
      <c r="FS5463"/>
      <c r="FT5463"/>
      <c r="FU5463"/>
      <c r="FV5463"/>
      <c r="FW5463"/>
      <c r="FX5463"/>
      <c r="FY5463"/>
      <c r="FZ5463"/>
      <c r="GA5463"/>
      <c r="GB5463"/>
      <c r="GC5463"/>
      <c r="GD5463"/>
      <c r="GE5463"/>
      <c r="GF5463"/>
      <c r="GG5463"/>
      <c r="GH5463"/>
      <c r="GI5463"/>
      <c r="GJ5463"/>
      <c r="GK5463"/>
      <c r="GL5463"/>
      <c r="GM5463"/>
      <c r="GN5463"/>
      <c r="GO5463"/>
    </row>
    <row r="5464" spans="107:197">
      <c r="DC5464"/>
      <c r="FH5464"/>
      <c r="FI5464"/>
      <c r="FJ5464"/>
      <c r="FK5464"/>
      <c r="FL5464"/>
      <c r="FM5464"/>
      <c r="FN5464"/>
      <c r="FO5464"/>
      <c r="FP5464"/>
      <c r="FQ5464"/>
      <c r="FR5464"/>
      <c r="FS5464"/>
      <c r="FT5464"/>
      <c r="FU5464"/>
      <c r="FV5464"/>
      <c r="FW5464"/>
      <c r="FX5464"/>
      <c r="FY5464"/>
      <c r="FZ5464"/>
      <c r="GA5464"/>
      <c r="GB5464"/>
      <c r="GC5464"/>
      <c r="GD5464"/>
      <c r="GE5464"/>
      <c r="GF5464"/>
      <c r="GG5464"/>
      <c r="GH5464"/>
      <c r="GI5464"/>
      <c r="GJ5464"/>
      <c r="GK5464"/>
      <c r="GL5464"/>
      <c r="GM5464"/>
      <c r="GN5464"/>
      <c r="GO5464"/>
    </row>
    <row r="5465" spans="107:197">
      <c r="DC5465"/>
      <c r="FH5465"/>
      <c r="FI5465"/>
      <c r="FJ5465"/>
      <c r="FK5465"/>
      <c r="FL5465"/>
      <c r="FM5465"/>
      <c r="FN5465"/>
      <c r="FO5465"/>
      <c r="FP5465"/>
      <c r="FQ5465"/>
      <c r="FR5465"/>
      <c r="FS5465"/>
      <c r="FT5465"/>
      <c r="FU5465"/>
      <c r="FV5465"/>
      <c r="FW5465"/>
      <c r="FX5465"/>
      <c r="FY5465"/>
      <c r="FZ5465"/>
      <c r="GA5465"/>
      <c r="GB5465"/>
      <c r="GC5465"/>
      <c r="GD5465"/>
      <c r="GE5465"/>
      <c r="GF5465"/>
      <c r="GG5465"/>
      <c r="GH5465"/>
      <c r="GI5465"/>
      <c r="GJ5465"/>
      <c r="GK5465"/>
      <c r="GL5465"/>
      <c r="GM5465"/>
      <c r="GN5465"/>
      <c r="GO5465"/>
    </row>
    <row r="5466" spans="107:197">
      <c r="DC5466"/>
      <c r="FH5466"/>
      <c r="FI5466"/>
      <c r="FJ5466"/>
      <c r="FK5466"/>
      <c r="FL5466"/>
      <c r="FM5466"/>
      <c r="FN5466"/>
      <c r="FO5466"/>
      <c r="FP5466"/>
      <c r="FQ5466"/>
      <c r="FR5466"/>
      <c r="FS5466"/>
      <c r="FT5466"/>
      <c r="FU5466"/>
      <c r="FV5466"/>
      <c r="FW5466"/>
      <c r="FX5466"/>
      <c r="FY5466"/>
      <c r="FZ5466"/>
      <c r="GA5466"/>
      <c r="GB5466"/>
      <c r="GC5466"/>
      <c r="GD5466"/>
      <c r="GE5466"/>
      <c r="GF5466"/>
      <c r="GG5466"/>
      <c r="GH5466"/>
      <c r="GI5466"/>
      <c r="GJ5466"/>
      <c r="GK5466"/>
      <c r="GL5466"/>
      <c r="GM5466"/>
      <c r="GN5466"/>
      <c r="GO5466"/>
    </row>
    <row r="5467" spans="107:197">
      <c r="DC5467"/>
      <c r="FH5467"/>
      <c r="FI5467"/>
      <c r="FJ5467"/>
      <c r="FK5467"/>
      <c r="FL5467"/>
      <c r="FM5467"/>
      <c r="FN5467"/>
      <c r="FO5467"/>
      <c r="FP5467"/>
      <c r="FQ5467"/>
      <c r="FR5467"/>
      <c r="FS5467"/>
      <c r="FT5467"/>
      <c r="FU5467"/>
      <c r="FV5467"/>
      <c r="FW5467"/>
      <c r="FX5467"/>
      <c r="FY5467"/>
      <c r="FZ5467"/>
      <c r="GA5467"/>
      <c r="GB5467"/>
      <c r="GC5467"/>
      <c r="GD5467"/>
      <c r="GE5467"/>
      <c r="GF5467"/>
      <c r="GG5467"/>
      <c r="GH5467"/>
      <c r="GI5467"/>
      <c r="GJ5467"/>
      <c r="GK5467"/>
      <c r="GL5467"/>
      <c r="GM5467"/>
      <c r="GN5467"/>
      <c r="GO5467"/>
    </row>
    <row r="5468" spans="107:197">
      <c r="DC5468"/>
      <c r="FH5468"/>
      <c r="FI5468"/>
      <c r="FJ5468"/>
      <c r="FK5468"/>
      <c r="FL5468"/>
      <c r="FM5468"/>
      <c r="FN5468"/>
      <c r="FO5468"/>
      <c r="FP5468"/>
      <c r="FQ5468"/>
      <c r="FR5468"/>
      <c r="FS5468"/>
      <c r="FT5468"/>
      <c r="FU5468"/>
      <c r="FV5468"/>
      <c r="FW5468"/>
      <c r="FX5468"/>
      <c r="FY5468"/>
      <c r="FZ5468"/>
      <c r="GA5468"/>
      <c r="GB5468"/>
      <c r="GC5468"/>
      <c r="GD5468"/>
      <c r="GE5468"/>
      <c r="GF5468"/>
      <c r="GG5468"/>
      <c r="GH5468"/>
      <c r="GI5468"/>
      <c r="GJ5468"/>
      <c r="GK5468"/>
      <c r="GL5468"/>
      <c r="GM5468"/>
      <c r="GN5468"/>
      <c r="GO5468"/>
    </row>
    <row r="5469" spans="107:197">
      <c r="DC5469"/>
      <c r="FH5469"/>
      <c r="FI5469"/>
      <c r="FJ5469"/>
      <c r="FK5469"/>
      <c r="FL5469"/>
      <c r="FM5469"/>
      <c r="FN5469"/>
      <c r="FO5469"/>
      <c r="FP5469"/>
      <c r="FQ5469"/>
      <c r="FR5469"/>
      <c r="FS5469"/>
      <c r="FT5469"/>
      <c r="FU5469"/>
      <c r="FV5469"/>
      <c r="FW5469"/>
      <c r="FX5469"/>
      <c r="FY5469"/>
      <c r="FZ5469"/>
      <c r="GA5469"/>
      <c r="GB5469"/>
      <c r="GC5469"/>
      <c r="GD5469"/>
      <c r="GE5469"/>
      <c r="GF5469"/>
      <c r="GG5469"/>
      <c r="GH5469"/>
      <c r="GI5469"/>
      <c r="GJ5469"/>
      <c r="GK5469"/>
      <c r="GL5469"/>
      <c r="GM5469"/>
      <c r="GN5469"/>
      <c r="GO5469"/>
    </row>
    <row r="5470" spans="107:197">
      <c r="DC5470"/>
      <c r="FH5470"/>
      <c r="FI5470"/>
      <c r="FJ5470"/>
      <c r="FK5470"/>
      <c r="FL5470"/>
      <c r="FM5470"/>
      <c r="FN5470"/>
      <c r="FO5470"/>
      <c r="FP5470"/>
      <c r="FQ5470"/>
      <c r="FR5470"/>
      <c r="FS5470"/>
      <c r="FT5470"/>
      <c r="FU5470"/>
      <c r="FV5470"/>
      <c r="FW5470"/>
      <c r="FX5470"/>
      <c r="FY5470"/>
      <c r="FZ5470"/>
      <c r="GA5470"/>
      <c r="GB5470"/>
      <c r="GC5470"/>
      <c r="GD5470"/>
      <c r="GE5470"/>
      <c r="GF5470"/>
      <c r="GG5470"/>
      <c r="GH5470"/>
      <c r="GI5470"/>
      <c r="GJ5470"/>
      <c r="GK5470"/>
      <c r="GL5470"/>
      <c r="GM5470"/>
      <c r="GN5470"/>
      <c r="GO5470"/>
    </row>
    <row r="5471" spans="107:197">
      <c r="DC5471"/>
      <c r="FH5471"/>
      <c r="FI5471"/>
      <c r="FJ5471"/>
      <c r="FK5471"/>
      <c r="FL5471"/>
      <c r="FM5471"/>
      <c r="FN5471"/>
      <c r="FO5471"/>
      <c r="FP5471"/>
      <c r="FQ5471"/>
      <c r="FR5471"/>
      <c r="FS5471"/>
      <c r="FT5471"/>
      <c r="FU5471"/>
      <c r="FV5471"/>
      <c r="FW5471"/>
      <c r="FX5471"/>
      <c r="FY5471"/>
      <c r="FZ5471"/>
      <c r="GA5471"/>
      <c r="GB5471"/>
      <c r="GC5471"/>
      <c r="GD5471"/>
      <c r="GE5471"/>
      <c r="GF5471"/>
      <c r="GG5471"/>
      <c r="GH5471"/>
      <c r="GI5471"/>
      <c r="GJ5471"/>
      <c r="GK5471"/>
      <c r="GL5471"/>
      <c r="GM5471"/>
      <c r="GN5471"/>
      <c r="GO5471"/>
    </row>
    <row r="5472" spans="107:197">
      <c r="DC5472"/>
      <c r="FH5472"/>
      <c r="FI5472"/>
      <c r="FJ5472"/>
      <c r="FK5472"/>
      <c r="FL5472"/>
      <c r="FM5472"/>
      <c r="FN5472"/>
      <c r="FO5472"/>
      <c r="FP5472"/>
      <c r="FQ5472"/>
      <c r="FR5472"/>
      <c r="FS5472"/>
      <c r="FT5472"/>
      <c r="FU5472"/>
      <c r="FV5472"/>
      <c r="FW5472"/>
      <c r="FX5472"/>
      <c r="FY5472"/>
      <c r="FZ5472"/>
      <c r="GA5472"/>
      <c r="GB5472"/>
      <c r="GC5472"/>
      <c r="GD5472"/>
      <c r="GE5472"/>
      <c r="GF5472"/>
      <c r="GG5472"/>
      <c r="GH5472"/>
      <c r="GI5472"/>
      <c r="GJ5472"/>
      <c r="GK5472"/>
      <c r="GL5472"/>
      <c r="GM5472"/>
      <c r="GN5472"/>
      <c r="GO5472"/>
    </row>
    <row r="5473" spans="107:197">
      <c r="DC5473"/>
      <c r="FH5473"/>
      <c r="FI5473"/>
      <c r="FJ5473"/>
      <c r="FK5473"/>
      <c r="FL5473"/>
      <c r="FM5473"/>
      <c r="FN5473"/>
      <c r="FO5473"/>
      <c r="FP5473"/>
      <c r="FQ5473"/>
      <c r="FR5473"/>
      <c r="FS5473"/>
      <c r="FT5473"/>
      <c r="FU5473"/>
      <c r="FV5473"/>
      <c r="FW5473"/>
      <c r="FX5473"/>
      <c r="FY5473"/>
      <c r="FZ5473"/>
      <c r="GA5473"/>
      <c r="GB5473"/>
      <c r="GC5473"/>
      <c r="GD5473"/>
      <c r="GE5473"/>
      <c r="GF5473"/>
      <c r="GG5473"/>
      <c r="GH5473"/>
      <c r="GI5473"/>
      <c r="GJ5473"/>
      <c r="GK5473"/>
      <c r="GL5473"/>
      <c r="GM5473"/>
      <c r="GN5473"/>
      <c r="GO5473"/>
    </row>
    <row r="5474" spans="107:197">
      <c r="DC5474"/>
      <c r="FH5474"/>
      <c r="FI5474"/>
      <c r="FJ5474"/>
      <c r="FK5474"/>
      <c r="FL5474"/>
      <c r="FM5474"/>
      <c r="FN5474"/>
      <c r="FO5474"/>
      <c r="FP5474"/>
      <c r="FQ5474"/>
      <c r="FR5474"/>
      <c r="FS5474"/>
      <c r="FT5474"/>
      <c r="FU5474"/>
      <c r="FV5474"/>
      <c r="FW5474"/>
      <c r="FX5474"/>
      <c r="FY5474"/>
      <c r="FZ5474"/>
      <c r="GA5474"/>
      <c r="GB5474"/>
      <c r="GC5474"/>
      <c r="GD5474"/>
      <c r="GE5474"/>
      <c r="GF5474"/>
      <c r="GG5474"/>
      <c r="GH5474"/>
      <c r="GI5474"/>
      <c r="GJ5474"/>
      <c r="GK5474"/>
      <c r="GL5474"/>
      <c r="GM5474"/>
      <c r="GN5474"/>
      <c r="GO5474"/>
    </row>
    <row r="5475" spans="107:197">
      <c r="DC5475"/>
      <c r="FH5475"/>
      <c r="FI5475"/>
      <c r="FJ5475"/>
      <c r="FK5475"/>
      <c r="FL5475"/>
      <c r="FM5475"/>
      <c r="FN5475"/>
      <c r="FO5475"/>
      <c r="FP5475"/>
      <c r="FQ5475"/>
      <c r="FR5475"/>
      <c r="FS5475"/>
      <c r="FT5475"/>
      <c r="FU5475"/>
      <c r="FV5475"/>
      <c r="FW5475"/>
      <c r="FX5475"/>
      <c r="FY5475"/>
      <c r="FZ5475"/>
      <c r="GA5475"/>
      <c r="GB5475"/>
      <c r="GC5475"/>
      <c r="GD5475"/>
      <c r="GE5475"/>
      <c r="GF5475"/>
      <c r="GG5475"/>
      <c r="GH5475"/>
      <c r="GI5475"/>
      <c r="GJ5475"/>
      <c r="GK5475"/>
      <c r="GL5475"/>
      <c r="GM5475"/>
      <c r="GN5475"/>
      <c r="GO5475"/>
    </row>
    <row r="5476" spans="107:197">
      <c r="DC5476"/>
      <c r="FH5476"/>
      <c r="FI5476"/>
      <c r="FJ5476"/>
      <c r="FK5476"/>
      <c r="FL5476"/>
      <c r="FM5476"/>
      <c r="FN5476"/>
      <c r="FO5476"/>
      <c r="FP5476"/>
      <c r="FQ5476"/>
      <c r="FR5476"/>
      <c r="FS5476"/>
      <c r="FT5476"/>
      <c r="FU5476"/>
      <c r="FV5476"/>
      <c r="FW5476"/>
      <c r="FX5476"/>
      <c r="FY5476"/>
      <c r="FZ5476"/>
      <c r="GA5476"/>
      <c r="GB5476"/>
      <c r="GC5476"/>
      <c r="GD5476"/>
      <c r="GE5476"/>
      <c r="GF5476"/>
      <c r="GG5476"/>
      <c r="GH5476"/>
      <c r="GI5476"/>
      <c r="GJ5476"/>
      <c r="GK5476"/>
      <c r="GL5476"/>
      <c r="GM5476"/>
      <c r="GN5476"/>
      <c r="GO5476"/>
    </row>
    <row r="5477" spans="107:197">
      <c r="DC5477"/>
      <c r="FH5477"/>
      <c r="FI5477"/>
      <c r="FJ5477"/>
      <c r="FK5477"/>
      <c r="FL5477"/>
      <c r="FM5477"/>
      <c r="FN5477"/>
      <c r="FO5477"/>
      <c r="FP5477"/>
      <c r="FQ5477"/>
      <c r="FR5477"/>
      <c r="FS5477"/>
      <c r="FT5477"/>
      <c r="FU5477"/>
      <c r="FV5477"/>
      <c r="FW5477"/>
      <c r="FX5477"/>
      <c r="FY5477"/>
      <c r="FZ5477"/>
      <c r="GA5477"/>
      <c r="GB5477"/>
      <c r="GC5477"/>
      <c r="GD5477"/>
      <c r="GE5477"/>
      <c r="GF5477"/>
      <c r="GG5477"/>
      <c r="GH5477"/>
      <c r="GI5477"/>
      <c r="GJ5477"/>
      <c r="GK5477"/>
      <c r="GL5477"/>
      <c r="GM5477"/>
      <c r="GN5477"/>
      <c r="GO5477"/>
    </row>
    <row r="5478" spans="107:197">
      <c r="DC5478"/>
      <c r="FH5478"/>
      <c r="FI5478"/>
      <c r="FJ5478"/>
      <c r="FK5478"/>
      <c r="FL5478"/>
      <c r="FM5478"/>
      <c r="FN5478"/>
      <c r="FO5478"/>
      <c r="FP5478"/>
      <c r="FQ5478"/>
      <c r="FR5478"/>
      <c r="FS5478"/>
      <c r="FT5478"/>
      <c r="FU5478"/>
      <c r="FV5478"/>
      <c r="FW5478"/>
      <c r="FX5478"/>
      <c r="FY5478"/>
      <c r="FZ5478"/>
      <c r="GA5478"/>
      <c r="GB5478"/>
      <c r="GC5478"/>
      <c r="GD5478"/>
      <c r="GE5478"/>
      <c r="GF5478"/>
      <c r="GG5478"/>
      <c r="GH5478"/>
      <c r="GI5478"/>
      <c r="GJ5478"/>
      <c r="GK5478"/>
      <c r="GL5478"/>
      <c r="GM5478"/>
      <c r="GN5478"/>
      <c r="GO5478"/>
    </row>
    <row r="5479" spans="107:197">
      <c r="DC5479"/>
      <c r="FH5479"/>
      <c r="FI5479"/>
      <c r="FJ5479"/>
      <c r="FK5479"/>
      <c r="FL5479"/>
      <c r="FM5479"/>
      <c r="FN5479"/>
      <c r="FO5479"/>
      <c r="FP5479"/>
      <c r="FQ5479"/>
      <c r="FR5479"/>
      <c r="FS5479"/>
      <c r="FT5479"/>
      <c r="FU5479"/>
      <c r="FV5479"/>
      <c r="FW5479"/>
      <c r="FX5479"/>
      <c r="FY5479"/>
      <c r="FZ5479"/>
      <c r="GA5479"/>
      <c r="GB5479"/>
      <c r="GC5479"/>
      <c r="GD5479"/>
      <c r="GE5479"/>
      <c r="GF5479"/>
      <c r="GG5479"/>
      <c r="GH5479"/>
      <c r="GI5479"/>
      <c r="GJ5479"/>
      <c r="GK5479"/>
      <c r="GL5479"/>
      <c r="GM5479"/>
      <c r="GN5479"/>
      <c r="GO5479"/>
    </row>
    <row r="5480" spans="107:197">
      <c r="DC5480"/>
      <c r="FH5480"/>
      <c r="FI5480"/>
      <c r="FJ5480"/>
      <c r="FK5480"/>
      <c r="FL5480"/>
      <c r="FM5480"/>
      <c r="FN5480"/>
      <c r="FO5480"/>
      <c r="FP5480"/>
      <c r="FQ5480"/>
      <c r="FR5480"/>
      <c r="FS5480"/>
      <c r="FT5480"/>
      <c r="FU5480"/>
      <c r="FV5480"/>
      <c r="FW5480"/>
      <c r="FX5480"/>
      <c r="FY5480"/>
      <c r="FZ5480"/>
      <c r="GA5480"/>
      <c r="GB5480"/>
      <c r="GC5480"/>
      <c r="GD5480"/>
      <c r="GE5480"/>
      <c r="GF5480"/>
      <c r="GG5480"/>
      <c r="GH5480"/>
      <c r="GI5480"/>
      <c r="GJ5480"/>
      <c r="GK5480"/>
      <c r="GL5480"/>
      <c r="GM5480"/>
      <c r="GN5480"/>
      <c r="GO5480"/>
    </row>
    <row r="5481" spans="107:197">
      <c r="DC5481"/>
      <c r="FH5481"/>
      <c r="FI5481"/>
      <c r="FJ5481"/>
      <c r="FK5481"/>
      <c r="FL5481"/>
      <c r="FM5481"/>
      <c r="FN5481"/>
      <c r="FO5481"/>
      <c r="FP5481"/>
      <c r="FQ5481"/>
      <c r="FR5481"/>
      <c r="FS5481"/>
      <c r="FT5481"/>
      <c r="FU5481"/>
      <c r="FV5481"/>
      <c r="FW5481"/>
      <c r="FX5481"/>
      <c r="FY5481"/>
      <c r="FZ5481"/>
      <c r="GA5481"/>
      <c r="GB5481"/>
      <c r="GC5481"/>
      <c r="GD5481"/>
      <c r="GE5481"/>
      <c r="GF5481"/>
      <c r="GG5481"/>
      <c r="GH5481"/>
      <c r="GI5481"/>
      <c r="GJ5481"/>
      <c r="GK5481"/>
      <c r="GL5481"/>
      <c r="GM5481"/>
      <c r="GN5481"/>
      <c r="GO5481"/>
    </row>
    <row r="5482" spans="107:197">
      <c r="DC5482"/>
      <c r="FH5482"/>
      <c r="FI5482"/>
      <c r="FJ5482"/>
      <c r="FK5482"/>
      <c r="FL5482"/>
      <c r="FM5482"/>
      <c r="FN5482"/>
      <c r="FO5482"/>
      <c r="FP5482"/>
      <c r="FQ5482"/>
      <c r="FR5482"/>
      <c r="FS5482"/>
      <c r="FT5482"/>
      <c r="FU5482"/>
      <c r="FV5482"/>
      <c r="FW5482"/>
      <c r="FX5482"/>
      <c r="FY5482"/>
      <c r="FZ5482"/>
      <c r="GA5482"/>
      <c r="GB5482"/>
      <c r="GC5482"/>
      <c r="GD5482"/>
      <c r="GE5482"/>
      <c r="GF5482"/>
      <c r="GG5482"/>
      <c r="GH5482"/>
      <c r="GI5482"/>
      <c r="GJ5482"/>
      <c r="GK5482"/>
      <c r="GL5482"/>
      <c r="GM5482"/>
      <c r="GN5482"/>
      <c r="GO5482"/>
    </row>
    <row r="5483" spans="107:197">
      <c r="DC5483"/>
      <c r="FH5483"/>
      <c r="FI5483"/>
      <c r="FJ5483"/>
      <c r="FK5483"/>
      <c r="FL5483"/>
      <c r="FM5483"/>
      <c r="FN5483"/>
      <c r="FO5483"/>
      <c r="FP5483"/>
      <c r="FQ5483"/>
      <c r="FR5483"/>
      <c r="FS5483"/>
      <c r="FT5483"/>
      <c r="FU5483"/>
      <c r="FV5483"/>
      <c r="FW5483"/>
      <c r="FX5483"/>
      <c r="FY5483"/>
      <c r="FZ5483"/>
      <c r="GA5483"/>
      <c r="GB5483"/>
      <c r="GC5483"/>
      <c r="GD5483"/>
      <c r="GE5483"/>
      <c r="GF5483"/>
      <c r="GG5483"/>
      <c r="GH5483"/>
      <c r="GI5483"/>
      <c r="GJ5483"/>
      <c r="GK5483"/>
      <c r="GL5483"/>
      <c r="GM5483"/>
      <c r="GN5483"/>
      <c r="GO5483"/>
    </row>
    <row r="5484" spans="107:197">
      <c r="DC5484"/>
      <c r="FH5484"/>
      <c r="FI5484"/>
      <c r="FJ5484"/>
      <c r="FK5484"/>
      <c r="FL5484"/>
      <c r="FM5484"/>
      <c r="FN5484"/>
      <c r="FO5484"/>
      <c r="FP5484"/>
      <c r="FQ5484"/>
      <c r="FR5484"/>
      <c r="FS5484"/>
      <c r="FT5484"/>
      <c r="FU5484"/>
      <c r="FV5484"/>
      <c r="FW5484"/>
      <c r="FX5484"/>
      <c r="FY5484"/>
      <c r="FZ5484"/>
      <c r="GA5484"/>
      <c r="GB5484"/>
      <c r="GC5484"/>
      <c r="GD5484"/>
      <c r="GE5484"/>
      <c r="GF5484"/>
      <c r="GG5484"/>
      <c r="GH5484"/>
      <c r="GI5484"/>
      <c r="GJ5484"/>
      <c r="GK5484"/>
      <c r="GL5484"/>
      <c r="GM5484"/>
      <c r="GN5484"/>
      <c r="GO5484"/>
    </row>
    <row r="5485" spans="107:197">
      <c r="DC5485"/>
      <c r="FH5485"/>
      <c r="FI5485"/>
      <c r="FJ5485"/>
      <c r="FK5485"/>
      <c r="FL5485"/>
      <c r="FM5485"/>
      <c r="FN5485"/>
      <c r="FO5485"/>
      <c r="FP5485"/>
      <c r="FQ5485"/>
      <c r="FR5485"/>
      <c r="FS5485"/>
      <c r="FT5485"/>
      <c r="FU5485"/>
      <c r="FV5485"/>
      <c r="FW5485"/>
      <c r="FX5485"/>
      <c r="FY5485"/>
      <c r="FZ5485"/>
      <c r="GA5485"/>
      <c r="GB5485"/>
      <c r="GC5485"/>
      <c r="GD5485"/>
      <c r="GE5485"/>
      <c r="GF5485"/>
      <c r="GG5485"/>
      <c r="GH5485"/>
      <c r="GI5485"/>
      <c r="GJ5485"/>
      <c r="GK5485"/>
      <c r="GL5485"/>
      <c r="GM5485"/>
      <c r="GN5485"/>
      <c r="GO5485"/>
    </row>
    <row r="5486" spans="107:197">
      <c r="DC5486"/>
      <c r="FH5486"/>
      <c r="FI5486"/>
      <c r="FJ5486"/>
      <c r="FK5486"/>
      <c r="FL5486"/>
      <c r="FM5486"/>
      <c r="FN5486"/>
      <c r="FO5486"/>
      <c r="FP5486"/>
      <c r="FQ5486"/>
      <c r="FR5486"/>
      <c r="FS5486"/>
      <c r="FT5486"/>
      <c r="FU5486"/>
      <c r="FV5486"/>
      <c r="FW5486"/>
      <c r="FX5486"/>
      <c r="FY5486"/>
      <c r="FZ5486"/>
      <c r="GA5486"/>
      <c r="GB5486"/>
      <c r="GC5486"/>
      <c r="GD5486"/>
      <c r="GE5486"/>
      <c r="GF5486"/>
      <c r="GG5486"/>
      <c r="GH5486"/>
      <c r="GI5486"/>
      <c r="GJ5486"/>
      <c r="GK5486"/>
      <c r="GL5486"/>
      <c r="GM5486"/>
      <c r="GN5486"/>
      <c r="GO5486"/>
    </row>
    <row r="5487" spans="107:197">
      <c r="DC5487"/>
      <c r="FH5487"/>
      <c r="FI5487"/>
      <c r="FJ5487"/>
      <c r="FK5487"/>
      <c r="FL5487"/>
      <c r="FM5487"/>
      <c r="FN5487"/>
      <c r="FO5487"/>
      <c r="FP5487"/>
      <c r="FQ5487"/>
      <c r="FR5487"/>
      <c r="FS5487"/>
      <c r="FT5487"/>
      <c r="FU5487"/>
      <c r="FV5487"/>
      <c r="FW5487"/>
      <c r="FX5487"/>
      <c r="FY5487"/>
      <c r="FZ5487"/>
      <c r="GA5487"/>
      <c r="GB5487"/>
      <c r="GC5487"/>
      <c r="GD5487"/>
      <c r="GE5487"/>
      <c r="GF5487"/>
      <c r="GG5487"/>
      <c r="GH5487"/>
      <c r="GI5487"/>
      <c r="GJ5487"/>
      <c r="GK5487"/>
      <c r="GL5487"/>
      <c r="GM5487"/>
      <c r="GN5487"/>
      <c r="GO5487"/>
    </row>
    <row r="5488" spans="107:197">
      <c r="DC5488"/>
      <c r="FH5488"/>
      <c r="FI5488"/>
      <c r="FJ5488"/>
      <c r="FK5488"/>
      <c r="FL5488"/>
      <c r="FM5488"/>
      <c r="FN5488"/>
      <c r="FO5488"/>
      <c r="FP5488"/>
      <c r="FQ5488"/>
      <c r="FR5488"/>
      <c r="FS5488"/>
      <c r="FT5488"/>
      <c r="FU5488"/>
      <c r="FV5488"/>
      <c r="FW5488"/>
      <c r="FX5488"/>
      <c r="FY5488"/>
      <c r="FZ5488"/>
      <c r="GA5488"/>
      <c r="GB5488"/>
      <c r="GC5488"/>
      <c r="GD5488"/>
      <c r="GE5488"/>
      <c r="GF5488"/>
      <c r="GG5488"/>
      <c r="GH5488"/>
      <c r="GI5488"/>
      <c r="GJ5488"/>
      <c r="GK5488"/>
      <c r="GL5488"/>
      <c r="GM5488"/>
      <c r="GN5488"/>
      <c r="GO5488"/>
    </row>
    <row r="5489" spans="107:197">
      <c r="DC5489"/>
      <c r="FH5489"/>
      <c r="FI5489"/>
      <c r="FJ5489"/>
      <c r="FK5489"/>
      <c r="FL5489"/>
      <c r="FM5489"/>
      <c r="FN5489"/>
      <c r="FO5489"/>
      <c r="FP5489"/>
      <c r="FQ5489"/>
      <c r="FR5489"/>
      <c r="FS5489"/>
      <c r="FT5489"/>
      <c r="FU5489"/>
      <c r="FV5489"/>
      <c r="FW5489"/>
      <c r="FX5489"/>
      <c r="FY5489"/>
      <c r="FZ5489"/>
      <c r="GA5489"/>
      <c r="GB5489"/>
      <c r="GC5489"/>
      <c r="GD5489"/>
      <c r="GE5489"/>
      <c r="GF5489"/>
      <c r="GG5489"/>
      <c r="GH5489"/>
      <c r="GI5489"/>
      <c r="GJ5489"/>
      <c r="GK5489"/>
      <c r="GL5489"/>
      <c r="GM5489"/>
      <c r="GN5489"/>
      <c r="GO5489"/>
    </row>
    <row r="5490" spans="107:197">
      <c r="DC5490"/>
      <c r="FH5490"/>
      <c r="FI5490"/>
      <c r="FJ5490"/>
      <c r="FK5490"/>
      <c r="FL5490"/>
      <c r="FM5490"/>
      <c r="FN5490"/>
      <c r="FO5490"/>
      <c r="FP5490"/>
      <c r="FQ5490"/>
      <c r="FR5490"/>
      <c r="FS5490"/>
      <c r="FT5490"/>
      <c r="FU5490"/>
      <c r="FV5490"/>
      <c r="FW5490"/>
      <c r="FX5490"/>
      <c r="FY5490"/>
      <c r="FZ5490"/>
      <c r="GA5490"/>
      <c r="GB5490"/>
      <c r="GC5490"/>
      <c r="GD5490"/>
      <c r="GE5490"/>
      <c r="GF5490"/>
      <c r="GG5490"/>
      <c r="GH5490"/>
      <c r="GI5490"/>
      <c r="GJ5490"/>
      <c r="GK5490"/>
      <c r="GL5490"/>
      <c r="GM5490"/>
      <c r="GN5490"/>
      <c r="GO5490"/>
    </row>
    <row r="5491" spans="107:197">
      <c r="DC5491"/>
      <c r="FH5491"/>
      <c r="FI5491"/>
      <c r="FJ5491"/>
      <c r="FK5491"/>
      <c r="FL5491"/>
      <c r="FM5491"/>
      <c r="FN5491"/>
      <c r="FO5491"/>
      <c r="FP5491"/>
      <c r="FQ5491"/>
      <c r="FR5491"/>
      <c r="FS5491"/>
      <c r="FT5491"/>
      <c r="FU5491"/>
      <c r="FV5491"/>
      <c r="FW5491"/>
      <c r="FX5491"/>
      <c r="FY5491"/>
      <c r="FZ5491"/>
      <c r="GA5491"/>
      <c r="GB5491"/>
      <c r="GC5491"/>
      <c r="GD5491"/>
      <c r="GE5491"/>
      <c r="GF5491"/>
      <c r="GG5491"/>
      <c r="GH5491"/>
      <c r="GI5491"/>
      <c r="GJ5491"/>
      <c r="GK5491"/>
      <c r="GL5491"/>
      <c r="GM5491"/>
      <c r="GN5491"/>
      <c r="GO5491"/>
    </row>
    <row r="5492" spans="107:197">
      <c r="DC5492"/>
      <c r="FH5492"/>
      <c r="FI5492"/>
      <c r="FJ5492"/>
      <c r="FK5492"/>
      <c r="FL5492"/>
      <c r="FM5492"/>
      <c r="FN5492"/>
      <c r="FO5492"/>
      <c r="FP5492"/>
      <c r="FQ5492"/>
      <c r="FR5492"/>
      <c r="FS5492"/>
      <c r="FT5492"/>
      <c r="FU5492"/>
      <c r="FV5492"/>
      <c r="FW5492"/>
      <c r="FX5492"/>
      <c r="FY5492"/>
      <c r="FZ5492"/>
      <c r="GA5492"/>
      <c r="GB5492"/>
      <c r="GC5492"/>
      <c r="GD5492"/>
      <c r="GE5492"/>
      <c r="GF5492"/>
      <c r="GG5492"/>
      <c r="GH5492"/>
      <c r="GI5492"/>
      <c r="GJ5492"/>
      <c r="GK5492"/>
      <c r="GL5492"/>
      <c r="GM5492"/>
      <c r="GN5492"/>
      <c r="GO5492"/>
    </row>
    <row r="5493" spans="107:197">
      <c r="DC5493"/>
      <c r="FH5493"/>
      <c r="FI5493"/>
      <c r="FJ5493"/>
      <c r="FK5493"/>
      <c r="FL5493"/>
      <c r="FM5493"/>
      <c r="FN5493"/>
      <c r="FO5493"/>
      <c r="FP5493"/>
      <c r="FQ5493"/>
      <c r="FR5493"/>
      <c r="FS5493"/>
      <c r="FT5493"/>
      <c r="FU5493"/>
      <c r="FV5493"/>
      <c r="FW5493"/>
      <c r="FX5493"/>
      <c r="FY5493"/>
      <c r="FZ5493"/>
      <c r="GA5493"/>
      <c r="GB5493"/>
      <c r="GC5493"/>
      <c r="GD5493"/>
      <c r="GE5493"/>
      <c r="GF5493"/>
      <c r="GG5493"/>
      <c r="GH5493"/>
      <c r="GI5493"/>
      <c r="GJ5493"/>
      <c r="GK5493"/>
      <c r="GL5493"/>
      <c r="GM5493"/>
      <c r="GN5493"/>
      <c r="GO5493"/>
    </row>
    <row r="5494" spans="107:197">
      <c r="DC5494"/>
      <c r="FH5494"/>
      <c r="FI5494"/>
      <c r="FJ5494"/>
      <c r="FK5494"/>
      <c r="FL5494"/>
      <c r="FM5494"/>
      <c r="FN5494"/>
      <c r="FO5494"/>
      <c r="FP5494"/>
      <c r="FQ5494"/>
      <c r="FR5494"/>
      <c r="FS5494"/>
      <c r="FT5494"/>
      <c r="FU5494"/>
      <c r="FV5494"/>
      <c r="FW5494"/>
      <c r="FX5494"/>
      <c r="FY5494"/>
      <c r="FZ5494"/>
      <c r="GA5494"/>
      <c r="GB5494"/>
      <c r="GC5494"/>
      <c r="GD5494"/>
      <c r="GE5494"/>
      <c r="GF5494"/>
      <c r="GG5494"/>
      <c r="GH5494"/>
      <c r="GI5494"/>
      <c r="GJ5494"/>
      <c r="GK5494"/>
      <c r="GL5494"/>
      <c r="GM5494"/>
      <c r="GN5494"/>
      <c r="GO5494"/>
    </row>
    <row r="5495" spans="107:197">
      <c r="DC5495"/>
      <c r="FH5495"/>
      <c r="FI5495"/>
      <c r="FJ5495"/>
      <c r="FK5495"/>
      <c r="FL5495"/>
      <c r="FM5495"/>
      <c r="FN5495"/>
      <c r="FO5495"/>
      <c r="FP5495"/>
      <c r="FQ5495"/>
      <c r="FR5495"/>
      <c r="FS5495"/>
      <c r="FT5495"/>
      <c r="FU5495"/>
      <c r="FV5495"/>
      <c r="FW5495"/>
      <c r="FX5495"/>
      <c r="FY5495"/>
      <c r="FZ5495"/>
      <c r="GA5495"/>
      <c r="GB5495"/>
      <c r="GC5495"/>
      <c r="GD5495"/>
      <c r="GE5495"/>
      <c r="GF5495"/>
      <c r="GG5495"/>
      <c r="GH5495"/>
      <c r="GI5495"/>
      <c r="GJ5495"/>
      <c r="GK5495"/>
      <c r="GL5495"/>
      <c r="GM5495"/>
      <c r="GN5495"/>
      <c r="GO5495"/>
    </row>
    <row r="5496" spans="107:197">
      <c r="DC5496"/>
      <c r="FH5496"/>
      <c r="FI5496"/>
      <c r="FJ5496"/>
      <c r="FK5496"/>
      <c r="FL5496"/>
      <c r="FM5496"/>
      <c r="FN5496"/>
      <c r="FO5496"/>
      <c r="FP5496"/>
      <c r="FQ5496"/>
      <c r="FR5496"/>
      <c r="FS5496"/>
      <c r="FT5496"/>
      <c r="FU5496"/>
      <c r="FV5496"/>
      <c r="FW5496"/>
      <c r="FX5496"/>
      <c r="FY5496"/>
      <c r="FZ5496"/>
      <c r="GA5496"/>
      <c r="GB5496"/>
      <c r="GC5496"/>
      <c r="GD5496"/>
      <c r="GE5496"/>
      <c r="GF5496"/>
      <c r="GG5496"/>
      <c r="GH5496"/>
      <c r="GI5496"/>
      <c r="GJ5496"/>
      <c r="GK5496"/>
      <c r="GL5496"/>
      <c r="GM5496"/>
      <c r="GN5496"/>
      <c r="GO5496"/>
    </row>
    <row r="5497" spans="107:197">
      <c r="DC5497"/>
      <c r="FH5497"/>
      <c r="FI5497"/>
      <c r="FJ5497"/>
      <c r="FK5497"/>
      <c r="FL5497"/>
      <c r="FM5497"/>
      <c r="FN5497"/>
      <c r="FO5497"/>
      <c r="FP5497"/>
      <c r="FQ5497"/>
      <c r="FR5497"/>
      <c r="FS5497"/>
      <c r="FT5497"/>
      <c r="FU5497"/>
      <c r="FV5497"/>
      <c r="FW5497"/>
      <c r="FX5497"/>
      <c r="FY5497"/>
      <c r="FZ5497"/>
      <c r="GA5497"/>
      <c r="GB5497"/>
      <c r="GC5497"/>
      <c r="GD5497"/>
      <c r="GE5497"/>
      <c r="GF5497"/>
      <c r="GG5497"/>
      <c r="GH5497"/>
      <c r="GI5497"/>
      <c r="GJ5497"/>
      <c r="GK5497"/>
      <c r="GL5497"/>
      <c r="GM5497"/>
      <c r="GN5497"/>
      <c r="GO5497"/>
    </row>
    <row r="5498" spans="107:197">
      <c r="DC5498"/>
      <c r="FH5498"/>
      <c r="FI5498"/>
      <c r="FJ5498"/>
      <c r="FK5498"/>
      <c r="FL5498"/>
      <c r="FM5498"/>
      <c r="FN5498"/>
      <c r="FO5498"/>
      <c r="FP5498"/>
      <c r="FQ5498"/>
      <c r="FR5498"/>
      <c r="FS5498"/>
      <c r="FT5498"/>
      <c r="FU5498"/>
      <c r="FV5498"/>
      <c r="FW5498"/>
      <c r="FX5498"/>
      <c r="FY5498"/>
      <c r="FZ5498"/>
      <c r="GA5498"/>
      <c r="GB5498"/>
      <c r="GC5498"/>
      <c r="GD5498"/>
      <c r="GE5498"/>
      <c r="GF5498"/>
      <c r="GG5498"/>
      <c r="GH5498"/>
      <c r="GI5498"/>
      <c r="GJ5498"/>
      <c r="GK5498"/>
      <c r="GL5498"/>
      <c r="GM5498"/>
      <c r="GN5498"/>
      <c r="GO5498"/>
    </row>
    <row r="5499" spans="107:197">
      <c r="DC5499"/>
      <c r="FH5499"/>
      <c r="FI5499"/>
      <c r="FJ5499"/>
      <c r="FK5499"/>
      <c r="FL5499"/>
      <c r="FM5499"/>
      <c r="FN5499"/>
      <c r="FO5499"/>
      <c r="FP5499"/>
      <c r="FQ5499"/>
      <c r="FR5499"/>
      <c r="FS5499"/>
      <c r="FT5499"/>
      <c r="FU5499"/>
      <c r="FV5499"/>
      <c r="FW5499"/>
      <c r="FX5499"/>
      <c r="FY5499"/>
      <c r="FZ5499"/>
      <c r="GA5499"/>
      <c r="GB5499"/>
      <c r="GC5499"/>
      <c r="GD5499"/>
      <c r="GE5499"/>
      <c r="GF5499"/>
      <c r="GG5499"/>
      <c r="GH5499"/>
      <c r="GI5499"/>
      <c r="GJ5499"/>
      <c r="GK5499"/>
      <c r="GL5499"/>
      <c r="GM5499"/>
      <c r="GN5499"/>
      <c r="GO5499"/>
    </row>
    <row r="5500" spans="107:197">
      <c r="DC5500"/>
      <c r="FH5500"/>
      <c r="FI5500"/>
      <c r="FJ5500"/>
      <c r="FK5500"/>
      <c r="FL5500"/>
      <c r="FM5500"/>
      <c r="FN5500"/>
      <c r="FO5500"/>
      <c r="FP5500"/>
      <c r="FQ5500"/>
      <c r="FR5500"/>
      <c r="FS5500"/>
      <c r="FT5500"/>
      <c r="FU5500"/>
      <c r="FV5500"/>
      <c r="FW5500"/>
      <c r="FX5500"/>
      <c r="FY5500"/>
      <c r="FZ5500"/>
      <c r="GA5500"/>
      <c r="GB5500"/>
      <c r="GC5500"/>
      <c r="GD5500"/>
      <c r="GE5500"/>
      <c r="GF5500"/>
      <c r="GG5500"/>
      <c r="GH5500"/>
      <c r="GI5500"/>
      <c r="GJ5500"/>
      <c r="GK5500"/>
      <c r="GL5500"/>
      <c r="GM5500"/>
      <c r="GN5500"/>
      <c r="GO5500"/>
    </row>
    <row r="5501" spans="107:197">
      <c r="DC5501"/>
      <c r="FH5501"/>
      <c r="FI5501"/>
      <c r="FJ5501"/>
      <c r="FK5501"/>
      <c r="FL5501"/>
      <c r="FM5501"/>
      <c r="FN5501"/>
      <c r="FO5501"/>
      <c r="FP5501"/>
      <c r="FQ5501"/>
      <c r="FR5501"/>
      <c r="FS5501"/>
      <c r="FT5501"/>
      <c r="FU5501"/>
      <c r="FV5501"/>
      <c r="FW5501"/>
      <c r="FX5501"/>
      <c r="FY5501"/>
      <c r="FZ5501"/>
      <c r="GA5501"/>
      <c r="GB5501"/>
      <c r="GC5501"/>
      <c r="GD5501"/>
      <c r="GE5501"/>
      <c r="GF5501"/>
      <c r="GG5501"/>
      <c r="GH5501"/>
      <c r="GI5501"/>
      <c r="GJ5501"/>
      <c r="GK5501"/>
      <c r="GL5501"/>
      <c r="GM5501"/>
      <c r="GN5501"/>
      <c r="GO5501"/>
    </row>
    <row r="5502" spans="107:197">
      <c r="DC5502"/>
      <c r="FH5502"/>
      <c r="FI5502"/>
      <c r="FJ5502"/>
      <c r="FK5502"/>
      <c r="FL5502"/>
      <c r="FM5502"/>
      <c r="FN5502"/>
      <c r="FO5502"/>
      <c r="FP5502"/>
      <c r="FQ5502"/>
      <c r="FR5502"/>
      <c r="FS5502"/>
      <c r="FT5502"/>
      <c r="FU5502"/>
      <c r="FV5502"/>
      <c r="FW5502"/>
      <c r="FX5502"/>
      <c r="FY5502"/>
      <c r="FZ5502"/>
      <c r="GA5502"/>
      <c r="GB5502"/>
      <c r="GC5502"/>
      <c r="GD5502"/>
      <c r="GE5502"/>
      <c r="GF5502"/>
      <c r="GG5502"/>
      <c r="GH5502"/>
      <c r="GI5502"/>
      <c r="GJ5502"/>
      <c r="GK5502"/>
      <c r="GL5502"/>
      <c r="GM5502"/>
      <c r="GN5502"/>
      <c r="GO5502"/>
    </row>
    <row r="5503" spans="107:197">
      <c r="DC5503"/>
      <c r="FH5503"/>
      <c r="FI5503"/>
      <c r="FJ5503"/>
      <c r="FK5503"/>
      <c r="FL5503"/>
      <c r="FM5503"/>
      <c r="FN5503"/>
      <c r="FO5503"/>
      <c r="FP5503"/>
      <c r="FQ5503"/>
      <c r="FR5503"/>
      <c r="FS5503"/>
      <c r="FT5503"/>
      <c r="FU5503"/>
      <c r="FV5503"/>
      <c r="FW5503"/>
      <c r="FX5503"/>
      <c r="FY5503"/>
      <c r="FZ5503"/>
      <c r="GA5503"/>
      <c r="GB5503"/>
      <c r="GC5503"/>
      <c r="GD5503"/>
      <c r="GE5503"/>
      <c r="GF5503"/>
      <c r="GG5503"/>
      <c r="GH5503"/>
      <c r="GI5503"/>
      <c r="GJ5503"/>
      <c r="GK5503"/>
      <c r="GL5503"/>
      <c r="GM5503"/>
      <c r="GN5503"/>
      <c r="GO5503"/>
    </row>
    <row r="5504" spans="107:197">
      <c r="DC5504"/>
      <c r="FH5504"/>
      <c r="FI5504"/>
      <c r="FJ5504"/>
      <c r="FK5504"/>
      <c r="FL5504"/>
      <c r="FM5504"/>
      <c r="FN5504"/>
      <c r="FO5504"/>
      <c r="FP5504"/>
      <c r="FQ5504"/>
      <c r="FR5504"/>
      <c r="FS5504"/>
      <c r="FT5504"/>
      <c r="FU5504"/>
      <c r="FV5504"/>
      <c r="FW5504"/>
      <c r="FX5504"/>
      <c r="FY5504"/>
      <c r="FZ5504"/>
      <c r="GA5504"/>
      <c r="GB5504"/>
      <c r="GC5504"/>
      <c r="GD5504"/>
      <c r="GE5504"/>
      <c r="GF5504"/>
      <c r="GG5504"/>
      <c r="GH5504"/>
      <c r="GI5504"/>
      <c r="GJ5504"/>
      <c r="GK5504"/>
      <c r="GL5504"/>
      <c r="GM5504"/>
      <c r="GN5504"/>
      <c r="GO5504"/>
    </row>
    <row r="5505" spans="107:197">
      <c r="DC5505"/>
      <c r="FH5505"/>
      <c r="FI5505"/>
      <c r="FJ5505"/>
      <c r="FK5505"/>
      <c r="FL5505"/>
      <c r="FM5505"/>
      <c r="FN5505"/>
      <c r="FO5505"/>
      <c r="FP5505"/>
      <c r="FQ5505"/>
      <c r="FR5505"/>
      <c r="FS5505"/>
      <c r="FT5505"/>
      <c r="FU5505"/>
      <c r="FV5505"/>
      <c r="FW5505"/>
      <c r="FX5505"/>
      <c r="FY5505"/>
      <c r="FZ5505"/>
      <c r="GA5505"/>
      <c r="GB5505"/>
      <c r="GC5505"/>
      <c r="GD5505"/>
      <c r="GE5505"/>
      <c r="GF5505"/>
      <c r="GG5505"/>
      <c r="GH5505"/>
      <c r="GI5505"/>
      <c r="GJ5505"/>
      <c r="GK5505"/>
      <c r="GL5505"/>
      <c r="GM5505"/>
      <c r="GN5505"/>
      <c r="GO5505"/>
    </row>
    <row r="5506" spans="107:197">
      <c r="DC5506"/>
      <c r="FH5506"/>
      <c r="FI5506"/>
      <c r="FJ5506"/>
      <c r="FK5506"/>
      <c r="FL5506"/>
      <c r="FM5506"/>
      <c r="FN5506"/>
      <c r="FO5506"/>
      <c r="FP5506"/>
      <c r="FQ5506"/>
      <c r="FR5506"/>
      <c r="FS5506"/>
      <c r="FT5506"/>
      <c r="FU5506"/>
      <c r="FV5506"/>
      <c r="FW5506"/>
      <c r="FX5506"/>
      <c r="FY5506"/>
      <c r="FZ5506"/>
      <c r="GA5506"/>
      <c r="GB5506"/>
      <c r="GC5506"/>
      <c r="GD5506"/>
      <c r="GE5506"/>
      <c r="GF5506"/>
      <c r="GG5506"/>
      <c r="GH5506"/>
      <c r="GI5506"/>
      <c r="GJ5506"/>
      <c r="GK5506"/>
      <c r="GL5506"/>
      <c r="GM5506"/>
      <c r="GN5506"/>
      <c r="GO5506"/>
    </row>
    <row r="5507" spans="107:197">
      <c r="DC5507"/>
      <c r="FH5507"/>
      <c r="FI5507"/>
      <c r="FJ5507"/>
      <c r="FK5507"/>
      <c r="FL5507"/>
      <c r="FM5507"/>
      <c r="FN5507"/>
      <c r="FO5507"/>
      <c r="FP5507"/>
      <c r="FQ5507"/>
      <c r="FR5507"/>
      <c r="FS5507"/>
      <c r="FT5507"/>
      <c r="FU5507"/>
      <c r="FV5507"/>
      <c r="FW5507"/>
      <c r="FX5507"/>
      <c r="FY5507"/>
      <c r="FZ5507"/>
      <c r="GA5507"/>
      <c r="GB5507"/>
      <c r="GC5507"/>
      <c r="GD5507"/>
      <c r="GE5507"/>
      <c r="GF5507"/>
      <c r="GG5507"/>
      <c r="GH5507"/>
      <c r="GI5507"/>
      <c r="GJ5507"/>
      <c r="GK5507"/>
      <c r="GL5507"/>
      <c r="GM5507"/>
      <c r="GN5507"/>
      <c r="GO5507"/>
    </row>
    <row r="5508" spans="107:197">
      <c r="DC5508"/>
      <c r="FH5508"/>
      <c r="FI5508"/>
      <c r="FJ5508"/>
      <c r="FK5508"/>
      <c r="FL5508"/>
      <c r="FM5508"/>
      <c r="FN5508"/>
      <c r="FO5508"/>
      <c r="FP5508"/>
      <c r="FQ5508"/>
      <c r="FR5508"/>
      <c r="FS5508"/>
      <c r="FT5508"/>
      <c r="FU5508"/>
      <c r="FV5508"/>
      <c r="FW5508"/>
      <c r="FX5508"/>
      <c r="FY5508"/>
      <c r="FZ5508"/>
      <c r="GA5508"/>
      <c r="GB5508"/>
      <c r="GC5508"/>
      <c r="GD5508"/>
      <c r="GE5508"/>
      <c r="GF5508"/>
      <c r="GG5508"/>
      <c r="GH5508"/>
      <c r="GI5508"/>
      <c r="GJ5508"/>
      <c r="GK5508"/>
      <c r="GL5508"/>
      <c r="GM5508"/>
      <c r="GN5508"/>
      <c r="GO5508"/>
    </row>
    <row r="5509" spans="107:197">
      <c r="DC5509"/>
      <c r="FH5509"/>
      <c r="FI5509"/>
      <c r="FJ5509"/>
      <c r="FK5509"/>
      <c r="FL5509"/>
      <c r="FM5509"/>
      <c r="FN5509"/>
      <c r="FO5509"/>
      <c r="FP5509"/>
      <c r="FQ5509"/>
      <c r="FR5509"/>
      <c r="FS5509"/>
      <c r="FT5509"/>
      <c r="FU5509"/>
      <c r="FV5509"/>
      <c r="FW5509"/>
      <c r="FX5509"/>
      <c r="FY5509"/>
      <c r="FZ5509"/>
      <c r="GA5509"/>
      <c r="GB5509"/>
      <c r="GC5509"/>
      <c r="GD5509"/>
      <c r="GE5509"/>
      <c r="GF5509"/>
      <c r="GG5509"/>
      <c r="GH5509"/>
      <c r="GI5509"/>
      <c r="GJ5509"/>
      <c r="GK5509"/>
      <c r="GL5509"/>
      <c r="GM5509"/>
      <c r="GN5509"/>
      <c r="GO5509"/>
    </row>
    <row r="5510" spans="107:197">
      <c r="DC5510"/>
      <c r="FH5510"/>
      <c r="FI5510"/>
      <c r="FJ5510"/>
      <c r="FK5510"/>
      <c r="FL5510"/>
      <c r="FM5510"/>
      <c r="FN5510"/>
      <c r="FO5510"/>
      <c r="FP5510"/>
      <c r="FQ5510"/>
      <c r="FR5510"/>
      <c r="FS5510"/>
      <c r="FT5510"/>
      <c r="FU5510"/>
      <c r="FV5510"/>
      <c r="FW5510"/>
      <c r="FX5510"/>
      <c r="FY5510"/>
      <c r="FZ5510"/>
      <c r="GA5510"/>
      <c r="GB5510"/>
      <c r="GC5510"/>
      <c r="GD5510"/>
      <c r="GE5510"/>
      <c r="GF5510"/>
      <c r="GG5510"/>
      <c r="GH5510"/>
      <c r="GI5510"/>
      <c r="GJ5510"/>
      <c r="GK5510"/>
      <c r="GL5510"/>
      <c r="GM5510"/>
      <c r="GN5510"/>
      <c r="GO5510"/>
    </row>
    <row r="5511" spans="107:197">
      <c r="DC5511"/>
      <c r="FH5511"/>
      <c r="FI5511"/>
      <c r="FJ5511"/>
      <c r="FK5511"/>
      <c r="FL5511"/>
      <c r="FM5511"/>
      <c r="FN5511"/>
      <c r="FO5511"/>
      <c r="FP5511"/>
      <c r="FQ5511"/>
      <c r="FR5511"/>
      <c r="FS5511"/>
      <c r="FT5511"/>
      <c r="FU5511"/>
      <c r="FV5511"/>
      <c r="FW5511"/>
      <c r="FX5511"/>
      <c r="FY5511"/>
      <c r="FZ5511"/>
      <c r="GA5511"/>
      <c r="GB5511"/>
      <c r="GC5511"/>
      <c r="GD5511"/>
      <c r="GE5511"/>
      <c r="GF5511"/>
      <c r="GG5511"/>
      <c r="GH5511"/>
      <c r="GI5511"/>
      <c r="GJ5511"/>
      <c r="GK5511"/>
      <c r="GL5511"/>
      <c r="GM5511"/>
      <c r="GN5511"/>
      <c r="GO5511"/>
    </row>
    <row r="5512" spans="107:197">
      <c r="DC5512"/>
      <c r="FH5512"/>
      <c r="FI5512"/>
      <c r="FJ5512"/>
      <c r="FK5512"/>
      <c r="FL5512"/>
      <c r="FM5512"/>
      <c r="FN5512"/>
      <c r="FO5512"/>
      <c r="FP5512"/>
      <c r="FQ5512"/>
      <c r="FR5512"/>
      <c r="FS5512"/>
      <c r="FT5512"/>
      <c r="FU5512"/>
      <c r="FV5512"/>
      <c r="FW5512"/>
      <c r="FX5512"/>
      <c r="FY5512"/>
      <c r="FZ5512"/>
      <c r="GA5512"/>
      <c r="GB5512"/>
      <c r="GC5512"/>
      <c r="GD5512"/>
      <c r="GE5512"/>
      <c r="GF5512"/>
      <c r="GG5512"/>
      <c r="GH5512"/>
      <c r="GI5512"/>
      <c r="GJ5512"/>
      <c r="GK5512"/>
      <c r="GL5512"/>
      <c r="GM5512"/>
      <c r="GN5512"/>
      <c r="GO5512"/>
    </row>
    <row r="5513" spans="107:197">
      <c r="DC5513"/>
      <c r="FH5513"/>
      <c r="FI5513"/>
      <c r="FJ5513"/>
      <c r="FK5513"/>
      <c r="FL5513"/>
      <c r="FM5513"/>
      <c r="FN5513"/>
      <c r="FO5513"/>
      <c r="FP5513"/>
      <c r="FQ5513"/>
      <c r="FR5513"/>
      <c r="FS5513"/>
      <c r="FT5513"/>
      <c r="FU5513"/>
      <c r="FV5513"/>
      <c r="FW5513"/>
      <c r="FX5513"/>
      <c r="FY5513"/>
      <c r="FZ5513"/>
      <c r="GA5513"/>
      <c r="GB5513"/>
      <c r="GC5513"/>
      <c r="GD5513"/>
      <c r="GE5513"/>
      <c r="GF5513"/>
      <c r="GG5513"/>
      <c r="GH5513"/>
      <c r="GI5513"/>
      <c r="GJ5513"/>
      <c r="GK5513"/>
      <c r="GL5513"/>
      <c r="GM5513"/>
      <c r="GN5513"/>
      <c r="GO5513"/>
    </row>
    <row r="5514" spans="107:197">
      <c r="DC5514"/>
      <c r="FH5514"/>
      <c r="FI5514"/>
      <c r="FJ5514"/>
      <c r="FK5514"/>
      <c r="FL5514"/>
      <c r="FM5514"/>
      <c r="FN5514"/>
      <c r="FO5514"/>
      <c r="FP5514"/>
      <c r="FQ5514"/>
      <c r="FR5514"/>
      <c r="FS5514"/>
      <c r="FT5514"/>
      <c r="FU5514"/>
      <c r="FV5514"/>
      <c r="FW5514"/>
      <c r="FX5514"/>
      <c r="FY5514"/>
      <c r="FZ5514"/>
      <c r="GA5514"/>
      <c r="GB5514"/>
      <c r="GC5514"/>
      <c r="GD5514"/>
      <c r="GE5514"/>
      <c r="GF5514"/>
      <c r="GG5514"/>
      <c r="GH5514"/>
      <c r="GI5514"/>
      <c r="GJ5514"/>
      <c r="GK5514"/>
      <c r="GL5514"/>
      <c r="GM5514"/>
      <c r="GN5514"/>
      <c r="GO5514"/>
    </row>
    <row r="5515" spans="107:197">
      <c r="DC5515"/>
      <c r="FH5515"/>
      <c r="FI5515"/>
      <c r="FJ5515"/>
      <c r="FK5515"/>
      <c r="FL5515"/>
      <c r="FM5515"/>
      <c r="FN5515"/>
      <c r="FO5515"/>
      <c r="FP5515"/>
      <c r="FQ5515"/>
      <c r="FR5515"/>
      <c r="FS5515"/>
      <c r="FT5515"/>
      <c r="FU5515"/>
      <c r="FV5515"/>
      <c r="FW5515"/>
      <c r="FX5515"/>
      <c r="FY5515"/>
      <c r="FZ5515"/>
      <c r="GA5515"/>
      <c r="GB5515"/>
      <c r="GC5515"/>
      <c r="GD5515"/>
      <c r="GE5515"/>
      <c r="GF5515"/>
      <c r="GG5515"/>
      <c r="GH5515"/>
      <c r="GI5515"/>
      <c r="GJ5515"/>
      <c r="GK5515"/>
      <c r="GL5515"/>
      <c r="GM5515"/>
      <c r="GN5515"/>
      <c r="GO5515"/>
    </row>
    <row r="5516" spans="107:197">
      <c r="DC5516"/>
      <c r="FH5516"/>
      <c r="FI5516"/>
      <c r="FJ5516"/>
      <c r="FK5516"/>
      <c r="FL5516"/>
      <c r="FM5516"/>
      <c r="FN5516"/>
      <c r="FO5516"/>
      <c r="FP5516"/>
      <c r="FQ5516"/>
      <c r="FR5516"/>
      <c r="FS5516"/>
      <c r="FT5516"/>
      <c r="FU5516"/>
      <c r="FV5516"/>
      <c r="FW5516"/>
      <c r="FX5516"/>
      <c r="FY5516"/>
      <c r="FZ5516"/>
      <c r="GA5516"/>
      <c r="GB5516"/>
      <c r="GC5516"/>
      <c r="GD5516"/>
      <c r="GE5516"/>
      <c r="GF5516"/>
      <c r="GG5516"/>
      <c r="GH5516"/>
      <c r="GI5516"/>
      <c r="GJ5516"/>
      <c r="GK5516"/>
      <c r="GL5516"/>
      <c r="GM5516"/>
      <c r="GN5516"/>
      <c r="GO5516"/>
    </row>
    <row r="5517" spans="107:197">
      <c r="DC5517"/>
      <c r="FH5517"/>
      <c r="FI5517"/>
      <c r="FJ5517"/>
      <c r="FK5517"/>
      <c r="FL5517"/>
      <c r="FM5517"/>
      <c r="FN5517"/>
      <c r="FO5517"/>
      <c r="FP5517"/>
      <c r="FQ5517"/>
      <c r="FR5517"/>
      <c r="FS5517"/>
      <c r="FT5517"/>
      <c r="FU5517"/>
      <c r="FV5517"/>
      <c r="FW5517"/>
      <c r="FX5517"/>
      <c r="FY5517"/>
      <c r="FZ5517"/>
      <c r="GA5517"/>
      <c r="GB5517"/>
      <c r="GC5517"/>
      <c r="GD5517"/>
      <c r="GE5517"/>
      <c r="GF5517"/>
      <c r="GG5517"/>
      <c r="GH5517"/>
      <c r="GI5517"/>
      <c r="GJ5517"/>
      <c r="GK5517"/>
      <c r="GL5517"/>
      <c r="GM5517"/>
      <c r="GN5517"/>
      <c r="GO5517"/>
    </row>
    <row r="5518" spans="107:197">
      <c r="DC5518"/>
      <c r="FH5518"/>
      <c r="FI5518"/>
      <c r="FJ5518"/>
      <c r="FK5518"/>
      <c r="FL5518"/>
      <c r="FM5518"/>
      <c r="FN5518"/>
      <c r="FO5518"/>
      <c r="FP5518"/>
      <c r="FQ5518"/>
      <c r="FR5518"/>
      <c r="FS5518"/>
      <c r="FT5518"/>
      <c r="FU5518"/>
      <c r="FV5518"/>
      <c r="FW5518"/>
      <c r="FX5518"/>
      <c r="FY5518"/>
      <c r="FZ5518"/>
      <c r="GA5518"/>
      <c r="GB5518"/>
      <c r="GC5518"/>
      <c r="GD5518"/>
      <c r="GE5518"/>
      <c r="GF5518"/>
      <c r="GG5518"/>
      <c r="GH5518"/>
      <c r="GI5518"/>
      <c r="GJ5518"/>
      <c r="GK5518"/>
      <c r="GL5518"/>
      <c r="GM5518"/>
      <c r="GN5518"/>
      <c r="GO5518"/>
    </row>
    <row r="5519" spans="107:197">
      <c r="DC5519"/>
      <c r="FH5519"/>
      <c r="FI5519"/>
      <c r="FJ5519"/>
      <c r="FK5519"/>
      <c r="FL5519"/>
      <c r="FM5519"/>
      <c r="FN5519"/>
      <c r="FO5519"/>
      <c r="FP5519"/>
      <c r="FQ5519"/>
      <c r="FR5519"/>
      <c r="FS5519"/>
      <c r="FT5519"/>
      <c r="FU5519"/>
      <c r="FV5519"/>
      <c r="FW5519"/>
      <c r="FX5519"/>
      <c r="FY5519"/>
      <c r="FZ5519"/>
      <c r="GA5519"/>
      <c r="GB5519"/>
      <c r="GC5519"/>
      <c r="GD5519"/>
      <c r="GE5519"/>
      <c r="GF5519"/>
      <c r="GG5519"/>
      <c r="GH5519"/>
      <c r="GI5519"/>
      <c r="GJ5519"/>
      <c r="GK5519"/>
      <c r="GL5519"/>
      <c r="GM5519"/>
      <c r="GN5519"/>
      <c r="GO5519"/>
    </row>
    <row r="5520" spans="107:197">
      <c r="DC5520"/>
      <c r="FH5520"/>
      <c r="FI5520"/>
      <c r="FJ5520"/>
      <c r="FK5520"/>
      <c r="FL5520"/>
      <c r="FM5520"/>
      <c r="FN5520"/>
      <c r="FO5520"/>
      <c r="FP5520"/>
      <c r="FQ5520"/>
      <c r="FR5520"/>
      <c r="FS5520"/>
      <c r="FT5520"/>
      <c r="FU5520"/>
      <c r="FV5520"/>
      <c r="FW5520"/>
      <c r="FX5520"/>
      <c r="FY5520"/>
      <c r="FZ5520"/>
      <c r="GA5520"/>
      <c r="GB5520"/>
      <c r="GC5520"/>
      <c r="GD5520"/>
      <c r="GE5520"/>
      <c r="GF5520"/>
      <c r="GG5520"/>
      <c r="GH5520"/>
      <c r="GI5520"/>
      <c r="GJ5520"/>
      <c r="GK5520"/>
      <c r="GL5520"/>
      <c r="GM5520"/>
      <c r="GN5520"/>
      <c r="GO5520"/>
    </row>
    <row r="5521" spans="107:197">
      <c r="DC5521"/>
      <c r="FH5521"/>
      <c r="FI5521"/>
      <c r="FJ5521"/>
      <c r="FK5521"/>
      <c r="FL5521"/>
      <c r="FM5521"/>
      <c r="FN5521"/>
      <c r="FO5521"/>
      <c r="FP5521"/>
      <c r="FQ5521"/>
      <c r="FR5521"/>
      <c r="FS5521"/>
      <c r="FT5521"/>
      <c r="FU5521"/>
      <c r="FV5521"/>
      <c r="FW5521"/>
      <c r="FX5521"/>
      <c r="FY5521"/>
      <c r="FZ5521"/>
      <c r="GA5521"/>
      <c r="GB5521"/>
      <c r="GC5521"/>
      <c r="GD5521"/>
      <c r="GE5521"/>
      <c r="GF5521"/>
      <c r="GG5521"/>
      <c r="GH5521"/>
      <c r="GI5521"/>
      <c r="GJ5521"/>
      <c r="GK5521"/>
      <c r="GL5521"/>
      <c r="GM5521"/>
      <c r="GN5521"/>
      <c r="GO5521"/>
    </row>
    <row r="5522" spans="107:197">
      <c r="DC5522"/>
      <c r="FH5522"/>
      <c r="FI5522"/>
      <c r="FJ5522"/>
      <c r="FK5522"/>
      <c r="FL5522"/>
      <c r="FM5522"/>
      <c r="FN5522"/>
      <c r="FO5522"/>
      <c r="FP5522"/>
      <c r="FQ5522"/>
      <c r="FR5522"/>
      <c r="FS5522"/>
      <c r="FT5522"/>
      <c r="FU5522"/>
      <c r="FV5522"/>
      <c r="FW5522"/>
      <c r="FX5522"/>
      <c r="FY5522"/>
      <c r="FZ5522"/>
      <c r="GA5522"/>
      <c r="GB5522"/>
      <c r="GC5522"/>
      <c r="GD5522"/>
      <c r="GE5522"/>
      <c r="GF5522"/>
      <c r="GG5522"/>
      <c r="GH5522"/>
      <c r="GI5522"/>
      <c r="GJ5522"/>
      <c r="GK5522"/>
      <c r="GL5522"/>
      <c r="GM5522"/>
      <c r="GN5522"/>
      <c r="GO5522"/>
    </row>
    <row r="5523" spans="107:197">
      <c r="DC5523"/>
      <c r="FH5523"/>
      <c r="FI5523"/>
      <c r="FJ5523"/>
      <c r="FK5523"/>
      <c r="FL5523"/>
      <c r="FM5523"/>
      <c r="FN5523"/>
      <c r="FO5523"/>
      <c r="FP5523"/>
      <c r="FQ5523"/>
      <c r="FR5523"/>
      <c r="FS5523"/>
      <c r="FT5523"/>
      <c r="FU5523"/>
      <c r="FV5523"/>
      <c r="FW5523"/>
      <c r="FX5523"/>
      <c r="FY5523"/>
      <c r="FZ5523"/>
      <c r="GA5523"/>
      <c r="GB5523"/>
      <c r="GC5523"/>
      <c r="GD5523"/>
      <c r="GE5523"/>
      <c r="GF5523"/>
      <c r="GG5523"/>
      <c r="GH5523"/>
      <c r="GI5523"/>
      <c r="GJ5523"/>
      <c r="GK5523"/>
      <c r="GL5523"/>
      <c r="GM5523"/>
      <c r="GN5523"/>
      <c r="GO5523"/>
    </row>
    <row r="5524" spans="107:197">
      <c r="DC5524"/>
      <c r="FH5524"/>
      <c r="FI5524"/>
      <c r="FJ5524"/>
      <c r="FK5524"/>
      <c r="FL5524"/>
      <c r="FM5524"/>
      <c r="FN5524"/>
      <c r="FO5524"/>
      <c r="FP5524"/>
      <c r="FQ5524"/>
      <c r="FR5524"/>
      <c r="FS5524"/>
      <c r="FT5524"/>
      <c r="FU5524"/>
      <c r="FV5524"/>
      <c r="FW5524"/>
      <c r="FX5524"/>
      <c r="FY5524"/>
      <c r="FZ5524"/>
      <c r="GA5524"/>
      <c r="GB5524"/>
      <c r="GC5524"/>
      <c r="GD5524"/>
      <c r="GE5524"/>
      <c r="GF5524"/>
      <c r="GG5524"/>
      <c r="GH5524"/>
      <c r="GI5524"/>
      <c r="GJ5524"/>
      <c r="GK5524"/>
      <c r="GL5524"/>
      <c r="GM5524"/>
      <c r="GN5524"/>
      <c r="GO5524"/>
    </row>
    <row r="5525" spans="107:197">
      <c r="DC5525"/>
      <c r="FH5525"/>
      <c r="FI5525"/>
      <c r="FJ5525"/>
      <c r="FK5525"/>
      <c r="FL5525"/>
      <c r="FM5525"/>
      <c r="FN5525"/>
      <c r="FO5525"/>
      <c r="FP5525"/>
      <c r="FQ5525"/>
      <c r="FR5525"/>
      <c r="FS5525"/>
      <c r="FT5525"/>
      <c r="FU5525"/>
      <c r="FV5525"/>
      <c r="FW5525"/>
      <c r="FX5525"/>
      <c r="FY5525"/>
      <c r="FZ5525"/>
      <c r="GA5525"/>
      <c r="GB5525"/>
      <c r="GC5525"/>
      <c r="GD5525"/>
      <c r="GE5525"/>
      <c r="GF5525"/>
      <c r="GG5525"/>
      <c r="GH5525"/>
      <c r="GI5525"/>
      <c r="GJ5525"/>
      <c r="GK5525"/>
      <c r="GL5525"/>
      <c r="GM5525"/>
      <c r="GN5525"/>
      <c r="GO5525"/>
    </row>
    <row r="5526" spans="107:197">
      <c r="DC5526"/>
      <c r="FH5526"/>
      <c r="FI5526"/>
      <c r="FJ5526"/>
      <c r="FK5526"/>
      <c r="FL5526"/>
      <c r="FM5526"/>
      <c r="FN5526"/>
      <c r="FO5526"/>
      <c r="FP5526"/>
      <c r="FQ5526"/>
      <c r="FR5526"/>
      <c r="FS5526"/>
      <c r="FT5526"/>
      <c r="FU5526"/>
      <c r="FV5526"/>
      <c r="FW5526"/>
      <c r="FX5526"/>
      <c r="FY5526"/>
      <c r="FZ5526"/>
      <c r="GA5526"/>
      <c r="GB5526"/>
      <c r="GC5526"/>
      <c r="GD5526"/>
      <c r="GE5526"/>
      <c r="GF5526"/>
      <c r="GG5526"/>
      <c r="GH5526"/>
      <c r="GI5526"/>
      <c r="GJ5526"/>
      <c r="GK5526"/>
      <c r="GL5526"/>
      <c r="GM5526"/>
      <c r="GN5526"/>
      <c r="GO5526"/>
    </row>
    <row r="5527" spans="107:197">
      <c r="DC5527"/>
      <c r="FH5527"/>
      <c r="FI5527"/>
      <c r="FJ5527"/>
      <c r="FK5527"/>
      <c r="FL5527"/>
      <c r="FM5527"/>
      <c r="FN5527"/>
      <c r="FO5527"/>
      <c r="FP5527"/>
      <c r="FQ5527"/>
      <c r="FR5527"/>
      <c r="FS5527"/>
      <c r="FT5527"/>
      <c r="FU5527"/>
      <c r="FV5527"/>
      <c r="FW5527"/>
      <c r="FX5527"/>
      <c r="FY5527"/>
      <c r="FZ5527"/>
      <c r="GA5527"/>
      <c r="GB5527"/>
      <c r="GC5527"/>
      <c r="GD5527"/>
      <c r="GE5527"/>
      <c r="GF5527"/>
      <c r="GG5527"/>
      <c r="GH5527"/>
      <c r="GI5527"/>
      <c r="GJ5527"/>
      <c r="GK5527"/>
      <c r="GL5527"/>
      <c r="GM5527"/>
      <c r="GN5527"/>
      <c r="GO5527"/>
    </row>
    <row r="5528" spans="107:197">
      <c r="DC5528"/>
      <c r="FH5528"/>
      <c r="FI5528"/>
      <c r="FJ5528"/>
      <c r="FK5528"/>
      <c r="FL5528"/>
      <c r="FM5528"/>
      <c r="FN5528"/>
      <c r="FO5528"/>
      <c r="FP5528"/>
      <c r="FQ5528"/>
      <c r="FR5528"/>
      <c r="FS5528"/>
      <c r="FT5528"/>
      <c r="FU5528"/>
      <c r="FV5528"/>
      <c r="FW5528"/>
      <c r="FX5528"/>
      <c r="FY5528"/>
      <c r="FZ5528"/>
      <c r="GA5528"/>
      <c r="GB5528"/>
      <c r="GC5528"/>
      <c r="GD5528"/>
      <c r="GE5528"/>
      <c r="GF5528"/>
      <c r="GG5528"/>
      <c r="GH5528"/>
      <c r="GI5528"/>
      <c r="GJ5528"/>
      <c r="GK5528"/>
      <c r="GL5528"/>
      <c r="GM5528"/>
      <c r="GN5528"/>
      <c r="GO5528"/>
    </row>
    <row r="5529" spans="107:197">
      <c r="DC5529"/>
      <c r="FH5529"/>
      <c r="FI5529"/>
      <c r="FJ5529"/>
      <c r="FK5529"/>
      <c r="FL5529"/>
      <c r="FM5529"/>
      <c r="FN5529"/>
      <c r="FO5529"/>
      <c r="FP5529"/>
      <c r="FQ5529"/>
      <c r="FR5529"/>
      <c r="FS5529"/>
      <c r="FT5529"/>
      <c r="FU5529"/>
      <c r="FV5529"/>
      <c r="FW5529"/>
      <c r="FX5529"/>
      <c r="FY5529"/>
      <c r="FZ5529"/>
      <c r="GA5529"/>
      <c r="GB5529"/>
      <c r="GC5529"/>
      <c r="GD5529"/>
      <c r="GE5529"/>
      <c r="GF5529"/>
      <c r="GG5529"/>
      <c r="GH5529"/>
      <c r="GI5529"/>
      <c r="GJ5529"/>
      <c r="GK5529"/>
      <c r="GL5529"/>
      <c r="GM5529"/>
      <c r="GN5529"/>
      <c r="GO5529"/>
    </row>
    <row r="5530" spans="107:197">
      <c r="DC5530"/>
      <c r="FH5530"/>
      <c r="FI5530"/>
      <c r="FJ5530"/>
      <c r="FK5530"/>
      <c r="FL5530"/>
      <c r="FM5530"/>
      <c r="FN5530"/>
      <c r="FO5530"/>
      <c r="FP5530"/>
      <c r="FQ5530"/>
      <c r="FR5530"/>
      <c r="FS5530"/>
      <c r="FT5530"/>
      <c r="FU5530"/>
      <c r="FV5530"/>
      <c r="FW5530"/>
      <c r="FX5530"/>
      <c r="FY5530"/>
      <c r="FZ5530"/>
      <c r="GA5530"/>
      <c r="GB5530"/>
      <c r="GC5530"/>
      <c r="GD5530"/>
      <c r="GE5530"/>
      <c r="GF5530"/>
      <c r="GG5530"/>
      <c r="GH5530"/>
      <c r="GI5530"/>
      <c r="GJ5530"/>
      <c r="GK5530"/>
      <c r="GL5530"/>
      <c r="GM5530"/>
      <c r="GN5530"/>
      <c r="GO5530"/>
    </row>
    <row r="5531" spans="107:197">
      <c r="DC5531"/>
      <c r="FH5531"/>
      <c r="FI5531"/>
      <c r="FJ5531"/>
      <c r="FK5531"/>
      <c r="FL5531"/>
      <c r="FM5531"/>
      <c r="FN5531"/>
      <c r="FO5531"/>
      <c r="FP5531"/>
      <c r="FQ5531"/>
      <c r="FR5531"/>
      <c r="FS5531"/>
      <c r="FT5531"/>
      <c r="FU5531"/>
      <c r="FV5531"/>
      <c r="FW5531"/>
      <c r="FX5531"/>
      <c r="FY5531"/>
      <c r="FZ5531"/>
      <c r="GA5531"/>
      <c r="GB5531"/>
      <c r="GC5531"/>
      <c r="GD5531"/>
      <c r="GE5531"/>
      <c r="GF5531"/>
      <c r="GG5531"/>
      <c r="GH5531"/>
      <c r="GI5531"/>
      <c r="GJ5531"/>
      <c r="GK5531"/>
      <c r="GL5531"/>
      <c r="GM5531"/>
      <c r="GN5531"/>
      <c r="GO5531"/>
    </row>
    <row r="5532" spans="107:197">
      <c r="DC5532"/>
      <c r="FH5532"/>
      <c r="FI5532"/>
      <c r="FJ5532"/>
      <c r="FK5532"/>
      <c r="FL5532"/>
      <c r="FM5532"/>
      <c r="FN5532"/>
      <c r="FO5532"/>
      <c r="FP5532"/>
      <c r="FQ5532"/>
      <c r="FR5532"/>
      <c r="FS5532"/>
      <c r="FT5532"/>
      <c r="FU5532"/>
      <c r="FV5532"/>
      <c r="FW5532"/>
      <c r="FX5532"/>
      <c r="FY5532"/>
      <c r="FZ5532"/>
      <c r="GA5532"/>
      <c r="GB5532"/>
      <c r="GC5532"/>
      <c r="GD5532"/>
      <c r="GE5532"/>
      <c r="GF5532"/>
      <c r="GG5532"/>
      <c r="GH5532"/>
      <c r="GI5532"/>
      <c r="GJ5532"/>
      <c r="GK5532"/>
      <c r="GL5532"/>
      <c r="GM5532"/>
      <c r="GN5532"/>
      <c r="GO5532"/>
    </row>
    <row r="5533" spans="107:197">
      <c r="DC5533"/>
      <c r="FH5533"/>
      <c r="FI5533"/>
      <c r="FJ5533"/>
      <c r="FK5533"/>
      <c r="FL5533"/>
      <c r="FM5533"/>
      <c r="FN5533"/>
      <c r="FO5533"/>
      <c r="FP5533"/>
      <c r="FQ5533"/>
      <c r="FR5533"/>
      <c r="FS5533"/>
      <c r="FT5533"/>
      <c r="FU5533"/>
      <c r="FV5533"/>
      <c r="FW5533"/>
      <c r="FX5533"/>
      <c r="FY5533"/>
      <c r="FZ5533"/>
      <c r="GA5533"/>
      <c r="GB5533"/>
      <c r="GC5533"/>
      <c r="GD5533"/>
      <c r="GE5533"/>
      <c r="GF5533"/>
      <c r="GG5533"/>
      <c r="GH5533"/>
      <c r="GI5533"/>
      <c r="GJ5533"/>
      <c r="GK5533"/>
      <c r="GL5533"/>
      <c r="GM5533"/>
      <c r="GN5533"/>
      <c r="GO5533"/>
    </row>
    <row r="5534" spans="107:197">
      <c r="DC5534"/>
      <c r="FH5534"/>
      <c r="FI5534"/>
      <c r="FJ5534"/>
      <c r="FK5534"/>
      <c r="FL5534"/>
      <c r="FM5534"/>
      <c r="FN5534"/>
      <c r="FO5534"/>
      <c r="FP5534"/>
      <c r="FQ5534"/>
      <c r="FR5534"/>
      <c r="FS5534"/>
      <c r="FT5534"/>
      <c r="FU5534"/>
      <c r="FV5534"/>
      <c r="FW5534"/>
      <c r="FX5534"/>
      <c r="FY5534"/>
      <c r="FZ5534"/>
      <c r="GA5534"/>
      <c r="GB5534"/>
      <c r="GC5534"/>
      <c r="GD5534"/>
      <c r="GE5534"/>
      <c r="GF5534"/>
      <c r="GG5534"/>
      <c r="GH5534"/>
      <c r="GI5534"/>
      <c r="GJ5534"/>
      <c r="GK5534"/>
      <c r="GL5534"/>
      <c r="GM5534"/>
      <c r="GN5534"/>
      <c r="GO5534"/>
    </row>
    <row r="5535" spans="107:197">
      <c r="DC5535"/>
      <c r="FH5535"/>
      <c r="FI5535"/>
      <c r="FJ5535"/>
      <c r="FK5535"/>
      <c r="FL5535"/>
      <c r="FM5535"/>
      <c r="FN5535"/>
      <c r="FO5535"/>
      <c r="FP5535"/>
      <c r="FQ5535"/>
      <c r="FR5535"/>
      <c r="FS5535"/>
      <c r="FT5535"/>
      <c r="FU5535"/>
      <c r="FV5535"/>
      <c r="FW5535"/>
      <c r="FX5535"/>
      <c r="FY5535"/>
      <c r="FZ5535"/>
      <c r="GA5535"/>
      <c r="GB5535"/>
      <c r="GC5535"/>
      <c r="GD5535"/>
      <c r="GE5535"/>
      <c r="GF5535"/>
      <c r="GG5535"/>
      <c r="GH5535"/>
      <c r="GI5535"/>
      <c r="GJ5535"/>
      <c r="GK5535"/>
      <c r="GL5535"/>
      <c r="GM5535"/>
      <c r="GN5535"/>
      <c r="GO5535"/>
    </row>
    <row r="5536" spans="107:197">
      <c r="DC5536"/>
      <c r="FH5536"/>
      <c r="FI5536"/>
      <c r="FJ5536"/>
      <c r="FK5536"/>
      <c r="FL5536"/>
      <c r="FM5536"/>
      <c r="FN5536"/>
      <c r="FO5536"/>
      <c r="FP5536"/>
      <c r="FQ5536"/>
      <c r="FR5536"/>
      <c r="FS5536"/>
      <c r="FT5536"/>
      <c r="FU5536"/>
      <c r="FV5536"/>
      <c r="FW5536"/>
      <c r="FX5536"/>
      <c r="FY5536"/>
      <c r="FZ5536"/>
      <c r="GA5536"/>
      <c r="GB5536"/>
      <c r="GC5536"/>
      <c r="GD5536"/>
      <c r="GE5536"/>
      <c r="GF5536"/>
      <c r="GG5536"/>
      <c r="GH5536"/>
      <c r="GI5536"/>
      <c r="GJ5536"/>
      <c r="GK5536"/>
      <c r="GL5536"/>
      <c r="GM5536"/>
      <c r="GN5536"/>
      <c r="GO5536"/>
    </row>
    <row r="5537" spans="107:197">
      <c r="DC5537"/>
      <c r="FH5537"/>
      <c r="FI5537"/>
      <c r="FJ5537"/>
      <c r="FK5537"/>
      <c r="FL5537"/>
      <c r="FM5537"/>
      <c r="FN5537"/>
      <c r="FO5537"/>
      <c r="FP5537"/>
      <c r="FQ5537"/>
      <c r="FR5537"/>
      <c r="FS5537"/>
      <c r="FT5537"/>
      <c r="FU5537"/>
      <c r="FV5537"/>
      <c r="FW5537"/>
      <c r="FX5537"/>
      <c r="FY5537"/>
      <c r="FZ5537"/>
      <c r="GA5537"/>
      <c r="GB5537"/>
      <c r="GC5537"/>
      <c r="GD5537"/>
      <c r="GE5537"/>
      <c r="GF5537"/>
      <c r="GG5537"/>
      <c r="GH5537"/>
      <c r="GI5537"/>
      <c r="GJ5537"/>
      <c r="GK5537"/>
      <c r="GL5537"/>
      <c r="GM5537"/>
      <c r="GN5537"/>
      <c r="GO5537"/>
    </row>
    <row r="5538" spans="107:197">
      <c r="DC5538"/>
      <c r="FH5538"/>
      <c r="FI5538"/>
      <c r="FJ5538"/>
      <c r="FK5538"/>
      <c r="FL5538"/>
      <c r="FM5538"/>
      <c r="FN5538"/>
      <c r="FO5538"/>
      <c r="FP5538"/>
      <c r="FQ5538"/>
      <c r="FR5538"/>
      <c r="FS5538"/>
      <c r="FT5538"/>
      <c r="FU5538"/>
      <c r="FV5538"/>
      <c r="FW5538"/>
      <c r="FX5538"/>
      <c r="FY5538"/>
      <c r="FZ5538"/>
      <c r="GA5538"/>
      <c r="GB5538"/>
      <c r="GC5538"/>
      <c r="GD5538"/>
      <c r="GE5538"/>
      <c r="GF5538"/>
      <c r="GG5538"/>
      <c r="GH5538"/>
      <c r="GI5538"/>
      <c r="GJ5538"/>
      <c r="GK5538"/>
      <c r="GL5538"/>
      <c r="GM5538"/>
      <c r="GN5538"/>
      <c r="GO5538"/>
    </row>
    <row r="5539" spans="107:197">
      <c r="DC5539"/>
      <c r="FH5539"/>
      <c r="FI5539"/>
      <c r="FJ5539"/>
      <c r="FK5539"/>
      <c r="FL5539"/>
      <c r="FM5539"/>
      <c r="FN5539"/>
      <c r="FO5539"/>
      <c r="FP5539"/>
      <c r="FQ5539"/>
      <c r="FR5539"/>
      <c r="FS5539"/>
      <c r="FT5539"/>
      <c r="FU5539"/>
      <c r="FV5539"/>
      <c r="FW5539"/>
      <c r="FX5539"/>
      <c r="FY5539"/>
      <c r="FZ5539"/>
      <c r="GA5539"/>
      <c r="GB5539"/>
      <c r="GC5539"/>
      <c r="GD5539"/>
      <c r="GE5539"/>
      <c r="GF5539"/>
      <c r="GG5539"/>
      <c r="GH5539"/>
      <c r="GI5539"/>
      <c r="GJ5539"/>
      <c r="GK5539"/>
      <c r="GL5539"/>
      <c r="GM5539"/>
      <c r="GN5539"/>
      <c r="GO5539"/>
    </row>
    <row r="5540" spans="107:197">
      <c r="DC5540"/>
      <c r="FH5540"/>
      <c r="FI5540"/>
      <c r="FJ5540"/>
      <c r="FK5540"/>
      <c r="FL5540"/>
      <c r="FM5540"/>
      <c r="FN5540"/>
      <c r="FO5540"/>
      <c r="FP5540"/>
      <c r="FQ5540"/>
      <c r="FR5540"/>
      <c r="FS5540"/>
      <c r="FT5540"/>
      <c r="FU5540"/>
      <c r="FV5540"/>
      <c r="FW5540"/>
      <c r="FX5540"/>
      <c r="FY5540"/>
      <c r="FZ5540"/>
      <c r="GA5540"/>
      <c r="GB5540"/>
      <c r="GC5540"/>
      <c r="GD5540"/>
      <c r="GE5540"/>
      <c r="GF5540"/>
      <c r="GG5540"/>
      <c r="GH5540"/>
      <c r="GI5540"/>
      <c r="GJ5540"/>
      <c r="GK5540"/>
      <c r="GL5540"/>
      <c r="GM5540"/>
      <c r="GN5540"/>
      <c r="GO5540"/>
    </row>
    <row r="5541" spans="107:197">
      <c r="DC5541"/>
      <c r="FH5541"/>
      <c r="FI5541"/>
      <c r="FJ5541"/>
      <c r="FK5541"/>
      <c r="FL5541"/>
      <c r="FM5541"/>
      <c r="FN5541"/>
      <c r="FO5541"/>
      <c r="FP5541"/>
      <c r="FQ5541"/>
      <c r="FR5541"/>
      <c r="FS5541"/>
      <c r="FT5541"/>
      <c r="FU5541"/>
      <c r="FV5541"/>
      <c r="FW5541"/>
      <c r="FX5541"/>
      <c r="FY5541"/>
      <c r="FZ5541"/>
      <c r="GA5541"/>
      <c r="GB5541"/>
      <c r="GC5541"/>
      <c r="GD5541"/>
      <c r="GE5541"/>
      <c r="GF5541"/>
      <c r="GG5541"/>
      <c r="GH5541"/>
      <c r="GI5541"/>
      <c r="GJ5541"/>
      <c r="GK5541"/>
      <c r="GL5541"/>
      <c r="GM5541"/>
      <c r="GN5541"/>
      <c r="GO5541"/>
    </row>
    <row r="5542" spans="107:197">
      <c r="DC5542"/>
      <c r="FH5542"/>
      <c r="FI5542"/>
      <c r="FJ5542"/>
      <c r="FK5542"/>
      <c r="FL5542"/>
      <c r="FM5542"/>
      <c r="FN5542"/>
      <c r="FO5542"/>
      <c r="FP5542"/>
      <c r="FQ5542"/>
      <c r="FR5542"/>
      <c r="FS5542"/>
      <c r="FT5542"/>
      <c r="FU5542"/>
      <c r="FV5542"/>
      <c r="FW5542"/>
      <c r="FX5542"/>
      <c r="FY5542"/>
      <c r="FZ5542"/>
      <c r="GA5542"/>
      <c r="GB5542"/>
      <c r="GC5542"/>
      <c r="GD5542"/>
      <c r="GE5542"/>
      <c r="GF5542"/>
      <c r="GG5542"/>
      <c r="GH5542"/>
      <c r="GI5542"/>
      <c r="GJ5542"/>
      <c r="GK5542"/>
      <c r="GL5542"/>
      <c r="GM5542"/>
      <c r="GN5542"/>
      <c r="GO5542"/>
    </row>
    <row r="5543" spans="107:197">
      <c r="DC5543"/>
      <c r="FH5543"/>
      <c r="FI5543"/>
      <c r="FJ5543"/>
      <c r="FK5543"/>
      <c r="FL5543"/>
      <c r="FM5543"/>
      <c r="FN5543"/>
      <c r="FO5543"/>
      <c r="FP5543"/>
      <c r="FQ5543"/>
      <c r="FR5543"/>
      <c r="FS5543"/>
      <c r="FT5543"/>
      <c r="FU5543"/>
      <c r="FV5543"/>
      <c r="FW5543"/>
      <c r="FX5543"/>
      <c r="FY5543"/>
      <c r="FZ5543"/>
      <c r="GA5543"/>
      <c r="GB5543"/>
      <c r="GC5543"/>
      <c r="GD5543"/>
      <c r="GE5543"/>
      <c r="GF5543"/>
      <c r="GG5543"/>
      <c r="GH5543"/>
      <c r="GI5543"/>
      <c r="GJ5543"/>
      <c r="GK5543"/>
      <c r="GL5543"/>
      <c r="GM5543"/>
      <c r="GN5543"/>
      <c r="GO5543"/>
    </row>
    <row r="5544" spans="107:197">
      <c r="DC5544"/>
      <c r="FH5544"/>
      <c r="FI5544"/>
      <c r="FJ5544"/>
      <c r="FK5544"/>
      <c r="FL5544"/>
      <c r="FM5544"/>
      <c r="FN5544"/>
      <c r="FO5544"/>
      <c r="FP5544"/>
      <c r="FQ5544"/>
      <c r="FR5544"/>
      <c r="FS5544"/>
      <c r="FT5544"/>
      <c r="FU5544"/>
      <c r="FV5544"/>
      <c r="FW5544"/>
      <c r="FX5544"/>
      <c r="FY5544"/>
      <c r="FZ5544"/>
      <c r="GA5544"/>
      <c r="GB5544"/>
      <c r="GC5544"/>
      <c r="GD5544"/>
      <c r="GE5544"/>
      <c r="GF5544"/>
      <c r="GG5544"/>
      <c r="GH5544"/>
      <c r="GI5544"/>
      <c r="GJ5544"/>
      <c r="GK5544"/>
      <c r="GL5544"/>
      <c r="GM5544"/>
      <c r="GN5544"/>
      <c r="GO5544"/>
    </row>
    <row r="5545" spans="107:197">
      <c r="DC5545"/>
      <c r="FH5545"/>
      <c r="FI5545"/>
      <c r="FJ5545"/>
      <c r="FK5545"/>
      <c r="FL5545"/>
      <c r="FM5545"/>
      <c r="FN5545"/>
      <c r="FO5545"/>
      <c r="FP5545"/>
      <c r="FQ5545"/>
      <c r="FR5545"/>
      <c r="FS5545"/>
      <c r="FT5545"/>
      <c r="FU5545"/>
      <c r="FV5545"/>
      <c r="FW5545"/>
      <c r="FX5545"/>
      <c r="FY5545"/>
      <c r="FZ5545"/>
      <c r="GA5545"/>
      <c r="GB5545"/>
      <c r="GC5545"/>
      <c r="GD5545"/>
      <c r="GE5545"/>
      <c r="GF5545"/>
      <c r="GG5545"/>
      <c r="GH5545"/>
      <c r="GI5545"/>
      <c r="GJ5545"/>
      <c r="GK5545"/>
      <c r="GL5545"/>
      <c r="GM5545"/>
      <c r="GN5545"/>
      <c r="GO5545"/>
    </row>
    <row r="5546" spans="107:197">
      <c r="DC5546"/>
      <c r="FH5546"/>
      <c r="FI5546"/>
      <c r="FJ5546"/>
      <c r="FK5546"/>
      <c r="FL5546"/>
      <c r="FM5546"/>
      <c r="FN5546"/>
      <c r="FO5546"/>
      <c r="FP5546"/>
      <c r="FQ5546"/>
      <c r="FR5546"/>
      <c r="FS5546"/>
      <c r="FT5546"/>
      <c r="FU5546"/>
      <c r="FV5546"/>
      <c r="FW5546"/>
      <c r="FX5546"/>
      <c r="FY5546"/>
      <c r="FZ5546"/>
      <c r="GA5546"/>
      <c r="GB5546"/>
      <c r="GC5546"/>
      <c r="GD5546"/>
      <c r="GE5546"/>
      <c r="GF5546"/>
      <c r="GG5546"/>
      <c r="GH5546"/>
      <c r="GI5546"/>
      <c r="GJ5546"/>
      <c r="GK5546"/>
      <c r="GL5546"/>
      <c r="GM5546"/>
      <c r="GN5546"/>
      <c r="GO5546"/>
    </row>
    <row r="5547" spans="107:197">
      <c r="DC5547"/>
      <c r="FH5547"/>
      <c r="FI5547"/>
      <c r="FJ5547"/>
      <c r="FK5547"/>
      <c r="FL5547"/>
      <c r="FM5547"/>
      <c r="FN5547"/>
      <c r="FO5547"/>
      <c r="FP5547"/>
      <c r="FQ5547"/>
      <c r="FR5547"/>
      <c r="FS5547"/>
      <c r="FT5547"/>
      <c r="FU5547"/>
      <c r="FV5547"/>
      <c r="FW5547"/>
      <c r="FX5547"/>
      <c r="FY5547"/>
      <c r="FZ5547"/>
      <c r="GA5547"/>
      <c r="GB5547"/>
      <c r="GC5547"/>
      <c r="GD5547"/>
      <c r="GE5547"/>
      <c r="GF5547"/>
      <c r="GG5547"/>
      <c r="GH5547"/>
      <c r="GI5547"/>
      <c r="GJ5547"/>
      <c r="GK5547"/>
      <c r="GL5547"/>
      <c r="GM5547"/>
      <c r="GN5547"/>
      <c r="GO5547"/>
    </row>
    <row r="5548" spans="107:197">
      <c r="DC5548"/>
      <c r="FH5548"/>
      <c r="FI5548"/>
      <c r="FJ5548"/>
      <c r="FK5548"/>
      <c r="FL5548"/>
      <c r="FM5548"/>
      <c r="FN5548"/>
      <c r="FO5548"/>
      <c r="FP5548"/>
      <c r="FQ5548"/>
      <c r="FR5548"/>
      <c r="FS5548"/>
      <c r="FT5548"/>
      <c r="FU5548"/>
      <c r="FV5548"/>
      <c r="FW5548"/>
      <c r="FX5548"/>
      <c r="FY5548"/>
      <c r="FZ5548"/>
      <c r="GA5548"/>
      <c r="GB5548"/>
      <c r="GC5548"/>
      <c r="GD5548"/>
      <c r="GE5548"/>
      <c r="GF5548"/>
      <c r="GG5548"/>
      <c r="GH5548"/>
      <c r="GI5548"/>
      <c r="GJ5548"/>
      <c r="GK5548"/>
      <c r="GL5548"/>
      <c r="GM5548"/>
      <c r="GN5548"/>
      <c r="GO5548"/>
    </row>
    <row r="5549" spans="107:197">
      <c r="DC5549"/>
      <c r="FH5549"/>
      <c r="FI5549"/>
      <c r="FJ5549"/>
      <c r="FK5549"/>
      <c r="FL5549"/>
      <c r="FM5549"/>
      <c r="FN5549"/>
      <c r="FO5549"/>
      <c r="FP5549"/>
      <c r="FQ5549"/>
      <c r="FR5549"/>
      <c r="FS5549"/>
      <c r="FT5549"/>
      <c r="FU5549"/>
      <c r="FV5549"/>
      <c r="FW5549"/>
      <c r="FX5549"/>
      <c r="FY5549"/>
      <c r="FZ5549"/>
      <c r="GA5549"/>
      <c r="GB5549"/>
      <c r="GC5549"/>
      <c r="GD5549"/>
      <c r="GE5549"/>
      <c r="GF5549"/>
      <c r="GG5549"/>
      <c r="GH5549"/>
      <c r="GI5549"/>
      <c r="GJ5549"/>
      <c r="GK5549"/>
      <c r="GL5549"/>
      <c r="GM5549"/>
      <c r="GN5549"/>
      <c r="GO5549"/>
    </row>
    <row r="5550" spans="107:197">
      <c r="DC5550"/>
      <c r="FH5550"/>
      <c r="FI5550"/>
      <c r="FJ5550"/>
      <c r="FK5550"/>
      <c r="FL5550"/>
      <c r="FM5550"/>
      <c r="FN5550"/>
      <c r="FO5550"/>
      <c r="FP5550"/>
      <c r="FQ5550"/>
      <c r="FR5550"/>
      <c r="FS5550"/>
      <c r="FT5550"/>
      <c r="FU5550"/>
      <c r="FV5550"/>
      <c r="FW5550"/>
      <c r="FX5550"/>
      <c r="FY5550"/>
      <c r="FZ5550"/>
      <c r="GA5550"/>
      <c r="GB5550"/>
      <c r="GC5550"/>
      <c r="GD5550"/>
      <c r="GE5550"/>
      <c r="GF5550"/>
      <c r="GG5550"/>
      <c r="GH5550"/>
      <c r="GI5550"/>
      <c r="GJ5550"/>
      <c r="GK5550"/>
      <c r="GL5550"/>
      <c r="GM5550"/>
      <c r="GN5550"/>
      <c r="GO5550"/>
    </row>
    <row r="5551" spans="107:197">
      <c r="DC5551"/>
      <c r="FH5551"/>
      <c r="FI5551"/>
      <c r="FJ5551"/>
      <c r="FK5551"/>
      <c r="FL5551"/>
      <c r="FM5551"/>
      <c r="FN5551"/>
      <c r="FO5551"/>
      <c r="FP5551"/>
      <c r="FQ5551"/>
      <c r="FR5551"/>
      <c r="FS5551"/>
      <c r="FT5551"/>
      <c r="FU5551"/>
      <c r="FV5551"/>
      <c r="FW5551"/>
      <c r="FX5551"/>
      <c r="FY5551"/>
      <c r="FZ5551"/>
      <c r="GA5551"/>
      <c r="GB5551"/>
      <c r="GC5551"/>
      <c r="GD5551"/>
      <c r="GE5551"/>
      <c r="GF5551"/>
      <c r="GG5551"/>
      <c r="GH5551"/>
      <c r="GI5551"/>
      <c r="GJ5551"/>
      <c r="GK5551"/>
      <c r="GL5551"/>
      <c r="GM5551"/>
      <c r="GN5551"/>
      <c r="GO5551"/>
    </row>
    <row r="5552" spans="107:197">
      <c r="DC5552"/>
      <c r="FH5552"/>
      <c r="FI5552"/>
      <c r="FJ5552"/>
      <c r="FK5552"/>
      <c r="FL5552"/>
      <c r="FM5552"/>
      <c r="FN5552"/>
      <c r="FO5552"/>
      <c r="FP5552"/>
      <c r="FQ5552"/>
      <c r="FR5552"/>
      <c r="FS5552"/>
      <c r="FT5552"/>
      <c r="FU5552"/>
      <c r="FV5552"/>
      <c r="FW5552"/>
      <c r="FX5552"/>
      <c r="FY5552"/>
      <c r="FZ5552"/>
      <c r="GA5552"/>
      <c r="GB5552"/>
      <c r="GC5552"/>
      <c r="GD5552"/>
      <c r="GE5552"/>
      <c r="GF5552"/>
      <c r="GG5552"/>
      <c r="GH5552"/>
      <c r="GI5552"/>
      <c r="GJ5552"/>
      <c r="GK5552"/>
      <c r="GL5552"/>
      <c r="GM5552"/>
      <c r="GN5552"/>
      <c r="GO5552"/>
    </row>
    <row r="5553" spans="107:197">
      <c r="DC5553"/>
      <c r="FH5553"/>
      <c r="FI5553"/>
      <c r="FJ5553"/>
      <c r="FK5553"/>
      <c r="FL5553"/>
      <c r="FM5553"/>
      <c r="FN5553"/>
      <c r="FO5553"/>
      <c r="FP5553"/>
      <c r="FQ5553"/>
      <c r="FR5553"/>
      <c r="FS5553"/>
      <c r="FT5553"/>
      <c r="FU5553"/>
      <c r="FV5553"/>
      <c r="FW5553"/>
      <c r="FX5553"/>
      <c r="FY5553"/>
      <c r="FZ5553"/>
      <c r="GA5553"/>
      <c r="GB5553"/>
      <c r="GC5553"/>
      <c r="GD5553"/>
      <c r="GE5553"/>
      <c r="GF5553"/>
      <c r="GG5553"/>
      <c r="GH5553"/>
      <c r="GI5553"/>
      <c r="GJ5553"/>
      <c r="GK5553"/>
      <c r="GL5553"/>
      <c r="GM5553"/>
      <c r="GN5553"/>
      <c r="GO5553"/>
    </row>
    <row r="5554" spans="107:197">
      <c r="DC5554"/>
      <c r="FH5554"/>
      <c r="FI5554"/>
      <c r="FJ5554"/>
      <c r="FK5554"/>
      <c r="FL5554"/>
      <c r="FM5554"/>
      <c r="FN5554"/>
      <c r="FO5554"/>
      <c r="FP5554"/>
      <c r="FQ5554"/>
      <c r="FR5554"/>
      <c r="FS5554"/>
      <c r="FT5554"/>
      <c r="FU5554"/>
      <c r="FV5554"/>
      <c r="FW5554"/>
      <c r="FX5554"/>
      <c r="FY5554"/>
      <c r="FZ5554"/>
      <c r="GA5554"/>
      <c r="GB5554"/>
      <c r="GC5554"/>
      <c r="GD5554"/>
      <c r="GE5554"/>
      <c r="GF5554"/>
      <c r="GG5554"/>
      <c r="GH5554"/>
      <c r="GI5554"/>
      <c r="GJ5554"/>
      <c r="GK5554"/>
      <c r="GL5554"/>
      <c r="GM5554"/>
      <c r="GN5554"/>
      <c r="GO5554"/>
    </row>
    <row r="5555" spans="107:197">
      <c r="DC5555"/>
      <c r="FH5555"/>
      <c r="FI5555"/>
      <c r="FJ5555"/>
      <c r="FK5555"/>
      <c r="FL5555"/>
      <c r="FM5555"/>
      <c r="FN5555"/>
      <c r="FO5555"/>
      <c r="FP5555"/>
      <c r="FQ5555"/>
      <c r="FR5555"/>
      <c r="FS5555"/>
      <c r="FT5555"/>
      <c r="FU5555"/>
      <c r="FV5555"/>
      <c r="FW5555"/>
      <c r="FX5555"/>
      <c r="FY5555"/>
      <c r="FZ5555"/>
      <c r="GA5555"/>
      <c r="GB5555"/>
      <c r="GC5555"/>
      <c r="GD5555"/>
      <c r="GE5555"/>
      <c r="GF5555"/>
      <c r="GG5555"/>
      <c r="GH5555"/>
      <c r="GI5555"/>
      <c r="GJ5555"/>
      <c r="GK5555"/>
      <c r="GL5555"/>
      <c r="GM5555"/>
      <c r="GN5555"/>
      <c r="GO5555"/>
    </row>
    <row r="5556" spans="107:197">
      <c r="DC5556"/>
      <c r="FH5556"/>
      <c r="FI5556"/>
      <c r="FJ5556"/>
      <c r="FK5556"/>
      <c r="FL5556"/>
      <c r="FM5556"/>
      <c r="FN5556"/>
      <c r="FO5556"/>
      <c r="FP5556"/>
      <c r="FQ5556"/>
      <c r="FR5556"/>
      <c r="FS5556"/>
      <c r="FT5556"/>
      <c r="FU5556"/>
      <c r="FV5556"/>
      <c r="FW5556"/>
      <c r="FX5556"/>
      <c r="FY5556"/>
      <c r="FZ5556"/>
      <c r="GA5556"/>
      <c r="GB5556"/>
      <c r="GC5556"/>
      <c r="GD5556"/>
      <c r="GE5556"/>
      <c r="GF5556"/>
      <c r="GG5556"/>
      <c r="GH5556"/>
      <c r="GI5556"/>
      <c r="GJ5556"/>
      <c r="GK5556"/>
      <c r="GL5556"/>
      <c r="GM5556"/>
      <c r="GN5556"/>
      <c r="GO5556"/>
    </row>
    <row r="5557" spans="107:197">
      <c r="DC5557"/>
      <c r="FH5557"/>
      <c r="FI5557"/>
      <c r="FJ5557"/>
      <c r="FK5557"/>
      <c r="FL5557"/>
      <c r="FM5557"/>
      <c r="FN5557"/>
      <c r="FO5557"/>
      <c r="FP5557"/>
      <c r="FQ5557"/>
      <c r="FR5557"/>
      <c r="FS5557"/>
      <c r="FT5557"/>
      <c r="FU5557"/>
      <c r="FV5557"/>
      <c r="FW5557"/>
      <c r="FX5557"/>
      <c r="FY5557"/>
      <c r="FZ5557"/>
      <c r="GA5557"/>
      <c r="GB5557"/>
      <c r="GC5557"/>
      <c r="GD5557"/>
      <c r="GE5557"/>
      <c r="GF5557"/>
      <c r="GG5557"/>
      <c r="GH5557"/>
      <c r="GI5557"/>
      <c r="GJ5557"/>
      <c r="GK5557"/>
      <c r="GL5557"/>
      <c r="GM5557"/>
      <c r="GN5557"/>
      <c r="GO5557"/>
    </row>
    <row r="5558" spans="107:197">
      <c r="DC5558"/>
      <c r="FH5558"/>
      <c r="FI5558"/>
      <c r="FJ5558"/>
      <c r="FK5558"/>
      <c r="FL5558"/>
      <c r="FM5558"/>
      <c r="FN5558"/>
      <c r="FO5558"/>
      <c r="FP5558"/>
      <c r="FQ5558"/>
      <c r="FR5558"/>
      <c r="FS5558"/>
      <c r="FT5558"/>
      <c r="FU5558"/>
      <c r="FV5558"/>
      <c r="FW5558"/>
      <c r="FX5558"/>
      <c r="FY5558"/>
      <c r="FZ5558"/>
      <c r="GA5558"/>
      <c r="GB5558"/>
      <c r="GC5558"/>
      <c r="GD5558"/>
      <c r="GE5558"/>
      <c r="GF5558"/>
      <c r="GG5558"/>
      <c r="GH5558"/>
      <c r="GI5558"/>
      <c r="GJ5558"/>
      <c r="GK5558"/>
      <c r="GL5558"/>
      <c r="GM5558"/>
      <c r="GN5558"/>
      <c r="GO5558"/>
    </row>
    <row r="5559" spans="107:197">
      <c r="DC5559"/>
      <c r="FH5559"/>
      <c r="FI5559"/>
      <c r="FJ5559"/>
      <c r="FK5559"/>
      <c r="FL5559"/>
      <c r="FM5559"/>
      <c r="FN5559"/>
      <c r="FO5559"/>
      <c r="FP5559"/>
      <c r="FQ5559"/>
      <c r="FR5559"/>
      <c r="FS5559"/>
      <c r="FT5559"/>
      <c r="FU5559"/>
      <c r="FV5559"/>
      <c r="FW5559"/>
      <c r="FX5559"/>
      <c r="FY5559"/>
      <c r="FZ5559"/>
      <c r="GA5559"/>
      <c r="GB5559"/>
      <c r="GC5559"/>
      <c r="GD5559"/>
      <c r="GE5559"/>
      <c r="GF5559"/>
      <c r="GG5559"/>
      <c r="GH5559"/>
      <c r="GI5559"/>
      <c r="GJ5559"/>
      <c r="GK5559"/>
      <c r="GL5559"/>
      <c r="GM5559"/>
      <c r="GN5559"/>
      <c r="GO5559"/>
    </row>
    <row r="5560" spans="107:197">
      <c r="DC5560"/>
      <c r="FH5560"/>
      <c r="FI5560"/>
      <c r="FJ5560"/>
      <c r="FK5560"/>
      <c r="FL5560"/>
      <c r="FM5560"/>
      <c r="FN5560"/>
      <c r="FO5560"/>
      <c r="FP5560"/>
      <c r="FQ5560"/>
      <c r="FR5560"/>
      <c r="FS5560"/>
      <c r="FT5560"/>
      <c r="FU5560"/>
      <c r="FV5560"/>
      <c r="FW5560"/>
      <c r="FX5560"/>
      <c r="FY5560"/>
      <c r="FZ5560"/>
      <c r="GA5560"/>
      <c r="GB5560"/>
      <c r="GC5560"/>
      <c r="GD5560"/>
      <c r="GE5560"/>
      <c r="GF5560"/>
      <c r="GG5560"/>
      <c r="GH5560"/>
      <c r="GI5560"/>
      <c r="GJ5560"/>
      <c r="GK5560"/>
      <c r="GL5560"/>
      <c r="GM5560"/>
      <c r="GN5560"/>
      <c r="GO5560"/>
    </row>
    <row r="5561" spans="107:197">
      <c r="DC5561"/>
      <c r="FH5561"/>
      <c r="FI5561"/>
      <c r="FJ5561"/>
      <c r="FK5561"/>
      <c r="FL5561"/>
      <c r="FM5561"/>
      <c r="FN5561"/>
      <c r="FO5561"/>
      <c r="FP5561"/>
      <c r="FQ5561"/>
      <c r="FR5561"/>
      <c r="FS5561"/>
      <c r="FT5561"/>
      <c r="FU5561"/>
      <c r="FV5561"/>
      <c r="FW5561"/>
      <c r="FX5561"/>
      <c r="FY5561"/>
      <c r="FZ5561"/>
      <c r="GA5561"/>
      <c r="GB5561"/>
      <c r="GC5561"/>
      <c r="GD5561"/>
      <c r="GE5561"/>
      <c r="GF5561"/>
      <c r="GG5561"/>
      <c r="GH5561"/>
      <c r="GI5561"/>
      <c r="GJ5561"/>
      <c r="GK5561"/>
      <c r="GL5561"/>
      <c r="GM5561"/>
      <c r="GN5561"/>
      <c r="GO5561"/>
    </row>
    <row r="5562" spans="107:197">
      <c r="DC5562"/>
      <c r="FH5562"/>
      <c r="FI5562"/>
      <c r="FJ5562"/>
      <c r="FK5562"/>
      <c r="FL5562"/>
      <c r="FM5562"/>
      <c r="FN5562"/>
      <c r="FO5562"/>
      <c r="FP5562"/>
      <c r="FQ5562"/>
      <c r="FR5562"/>
      <c r="FS5562"/>
      <c r="FT5562"/>
      <c r="FU5562"/>
      <c r="FV5562"/>
      <c r="FW5562"/>
      <c r="FX5562"/>
      <c r="FY5562"/>
      <c r="FZ5562"/>
      <c r="GA5562"/>
      <c r="GB5562"/>
      <c r="GC5562"/>
      <c r="GD5562"/>
      <c r="GE5562"/>
      <c r="GF5562"/>
      <c r="GG5562"/>
      <c r="GH5562"/>
      <c r="GI5562"/>
      <c r="GJ5562"/>
      <c r="GK5562"/>
      <c r="GL5562"/>
      <c r="GM5562"/>
      <c r="GN5562"/>
      <c r="GO5562"/>
    </row>
    <row r="5563" spans="107:197">
      <c r="DC5563"/>
      <c r="FH5563"/>
      <c r="FI5563"/>
      <c r="FJ5563"/>
      <c r="FK5563"/>
      <c r="FL5563"/>
      <c r="FM5563"/>
      <c r="FN5563"/>
      <c r="FO5563"/>
      <c r="FP5563"/>
      <c r="FQ5563"/>
      <c r="FR5563"/>
      <c r="FS5563"/>
      <c r="FT5563"/>
      <c r="FU5563"/>
      <c r="FV5563"/>
      <c r="FW5563"/>
      <c r="FX5563"/>
      <c r="FY5563"/>
      <c r="FZ5563"/>
      <c r="GA5563"/>
      <c r="GB5563"/>
      <c r="GC5563"/>
      <c r="GD5563"/>
      <c r="GE5563"/>
      <c r="GF5563"/>
      <c r="GG5563"/>
      <c r="GH5563"/>
      <c r="GI5563"/>
      <c r="GJ5563"/>
      <c r="GK5563"/>
      <c r="GL5563"/>
      <c r="GM5563"/>
      <c r="GN5563"/>
      <c r="GO5563"/>
    </row>
    <row r="5564" spans="107:197">
      <c r="DC5564"/>
      <c r="FH5564"/>
      <c r="FI5564"/>
      <c r="FJ5564"/>
      <c r="FK5564"/>
      <c r="FL5564"/>
      <c r="FM5564"/>
      <c r="FN5564"/>
      <c r="FO5564"/>
      <c r="FP5564"/>
      <c r="FQ5564"/>
      <c r="FR5564"/>
      <c r="FS5564"/>
      <c r="FT5564"/>
      <c r="FU5564"/>
      <c r="FV5564"/>
      <c r="FW5564"/>
      <c r="FX5564"/>
      <c r="FY5564"/>
      <c r="FZ5564"/>
      <c r="GA5564"/>
      <c r="GB5564"/>
      <c r="GC5564"/>
      <c r="GD5564"/>
      <c r="GE5564"/>
      <c r="GF5564"/>
      <c r="GG5564"/>
      <c r="GH5564"/>
      <c r="GI5564"/>
      <c r="GJ5564"/>
      <c r="GK5564"/>
      <c r="GL5564"/>
      <c r="GM5564"/>
      <c r="GN5564"/>
      <c r="GO5564"/>
    </row>
    <row r="5565" spans="107:197">
      <c r="DC5565"/>
      <c r="FH5565"/>
      <c r="FI5565"/>
      <c r="FJ5565"/>
      <c r="FK5565"/>
      <c r="FL5565"/>
      <c r="FM5565"/>
      <c r="FN5565"/>
      <c r="FO5565"/>
      <c r="FP5565"/>
      <c r="FQ5565"/>
      <c r="FR5565"/>
      <c r="FS5565"/>
      <c r="FT5565"/>
      <c r="FU5565"/>
      <c r="FV5565"/>
      <c r="FW5565"/>
      <c r="FX5565"/>
      <c r="FY5565"/>
      <c r="FZ5565"/>
      <c r="GA5565"/>
      <c r="GB5565"/>
      <c r="GC5565"/>
      <c r="GD5565"/>
      <c r="GE5565"/>
      <c r="GF5565"/>
      <c r="GG5565"/>
      <c r="GH5565"/>
      <c r="GI5565"/>
      <c r="GJ5565"/>
      <c r="GK5565"/>
      <c r="GL5565"/>
      <c r="GM5565"/>
      <c r="GN5565"/>
      <c r="GO5565"/>
    </row>
    <row r="5566" spans="107:197">
      <c r="DC5566"/>
      <c r="FH5566"/>
      <c r="FI5566"/>
      <c r="FJ5566"/>
      <c r="FK5566"/>
      <c r="FL5566"/>
      <c r="FM5566"/>
      <c r="FN5566"/>
      <c r="FO5566"/>
      <c r="FP5566"/>
      <c r="FQ5566"/>
      <c r="FR5566"/>
      <c r="FS5566"/>
      <c r="FT5566"/>
      <c r="FU5566"/>
      <c r="FV5566"/>
      <c r="FW5566"/>
      <c r="FX5566"/>
      <c r="FY5566"/>
      <c r="FZ5566"/>
      <c r="GA5566"/>
      <c r="GB5566"/>
      <c r="GC5566"/>
      <c r="GD5566"/>
      <c r="GE5566"/>
      <c r="GF5566"/>
      <c r="GG5566"/>
      <c r="GH5566"/>
      <c r="GI5566"/>
      <c r="GJ5566"/>
      <c r="GK5566"/>
      <c r="GL5566"/>
      <c r="GM5566"/>
      <c r="GN5566"/>
      <c r="GO5566"/>
    </row>
    <row r="5567" spans="107:197">
      <c r="DC5567"/>
      <c r="FH5567"/>
      <c r="FI5567"/>
      <c r="FJ5567"/>
      <c r="FK5567"/>
      <c r="FL5567"/>
      <c r="FM5567"/>
      <c r="FN5567"/>
      <c r="FO5567"/>
      <c r="FP5567"/>
      <c r="FQ5567"/>
      <c r="FR5567"/>
      <c r="FS5567"/>
      <c r="FT5567"/>
      <c r="FU5567"/>
      <c r="FV5567"/>
      <c r="FW5567"/>
      <c r="FX5567"/>
      <c r="FY5567"/>
      <c r="FZ5567"/>
      <c r="GA5567"/>
      <c r="GB5567"/>
      <c r="GC5567"/>
      <c r="GD5567"/>
      <c r="GE5567"/>
      <c r="GF5567"/>
      <c r="GG5567"/>
      <c r="GH5567"/>
      <c r="GI5567"/>
      <c r="GJ5567"/>
      <c r="GK5567"/>
      <c r="GL5567"/>
      <c r="GM5567"/>
      <c r="GN5567"/>
      <c r="GO5567"/>
    </row>
    <row r="5568" spans="107:197">
      <c r="DC5568"/>
      <c r="FH5568"/>
      <c r="FI5568"/>
      <c r="FJ5568"/>
      <c r="FK5568"/>
      <c r="FL5568"/>
      <c r="FM5568"/>
      <c r="FN5568"/>
      <c r="FO5568"/>
      <c r="FP5568"/>
      <c r="FQ5568"/>
      <c r="FR5568"/>
      <c r="FS5568"/>
      <c r="FT5568"/>
      <c r="FU5568"/>
      <c r="FV5568"/>
      <c r="FW5568"/>
      <c r="FX5568"/>
      <c r="FY5568"/>
      <c r="FZ5568"/>
      <c r="GA5568"/>
      <c r="GB5568"/>
      <c r="GC5568"/>
      <c r="GD5568"/>
      <c r="GE5568"/>
      <c r="GF5568"/>
      <c r="GG5568"/>
      <c r="GH5568"/>
      <c r="GI5568"/>
      <c r="GJ5568"/>
      <c r="GK5568"/>
      <c r="GL5568"/>
      <c r="GM5568"/>
      <c r="GN5568"/>
      <c r="GO5568"/>
    </row>
    <row r="5569" spans="107:197">
      <c r="DC5569"/>
      <c r="FH5569"/>
      <c r="FI5569"/>
      <c r="FJ5569"/>
      <c r="FK5569"/>
      <c r="FL5569"/>
      <c r="FM5569"/>
      <c r="FN5569"/>
      <c r="FO5569"/>
      <c r="FP5569"/>
      <c r="FQ5569"/>
      <c r="FR5569"/>
      <c r="FS5569"/>
      <c r="FT5569"/>
      <c r="FU5569"/>
      <c r="FV5569"/>
      <c r="FW5569"/>
      <c r="FX5569"/>
      <c r="FY5569"/>
      <c r="FZ5569"/>
      <c r="GA5569"/>
      <c r="GB5569"/>
      <c r="GC5569"/>
      <c r="GD5569"/>
      <c r="GE5569"/>
      <c r="GF5569"/>
      <c r="GG5569"/>
      <c r="GH5569"/>
      <c r="GI5569"/>
      <c r="GJ5569"/>
      <c r="GK5569"/>
      <c r="GL5569"/>
      <c r="GM5569"/>
      <c r="GN5569"/>
      <c r="GO5569"/>
    </row>
    <row r="5570" spans="107:197">
      <c r="DC5570"/>
      <c r="FH5570"/>
      <c r="FI5570"/>
      <c r="FJ5570"/>
      <c r="FK5570"/>
      <c r="FL5570"/>
      <c r="FM5570"/>
      <c r="FN5570"/>
      <c r="FO5570"/>
      <c r="FP5570"/>
      <c r="FQ5570"/>
      <c r="FR5570"/>
      <c r="FS5570"/>
      <c r="FT5570"/>
      <c r="FU5570"/>
      <c r="FV5570"/>
      <c r="FW5570"/>
      <c r="FX5570"/>
      <c r="FY5570"/>
      <c r="FZ5570"/>
      <c r="GA5570"/>
      <c r="GB5570"/>
      <c r="GC5570"/>
      <c r="GD5570"/>
      <c r="GE5570"/>
      <c r="GF5570"/>
      <c r="GG5570"/>
      <c r="GH5570"/>
      <c r="GI5570"/>
      <c r="GJ5570"/>
      <c r="GK5570"/>
      <c r="GL5570"/>
      <c r="GM5570"/>
      <c r="GN5570"/>
      <c r="GO5570"/>
    </row>
    <row r="5571" spans="107:197">
      <c r="DC5571"/>
      <c r="FH5571"/>
      <c r="FI5571"/>
      <c r="FJ5571"/>
      <c r="FK5571"/>
      <c r="FL5571"/>
      <c r="FM5571"/>
      <c r="FN5571"/>
      <c r="FO5571"/>
      <c r="FP5571"/>
      <c r="FQ5571"/>
      <c r="FR5571"/>
      <c r="FS5571"/>
      <c r="FT5571"/>
      <c r="FU5571"/>
      <c r="FV5571"/>
      <c r="FW5571"/>
      <c r="FX5571"/>
      <c r="FY5571"/>
      <c r="FZ5571"/>
      <c r="GA5571"/>
      <c r="GB5571"/>
      <c r="GC5571"/>
      <c r="GD5571"/>
      <c r="GE5571"/>
      <c r="GF5571"/>
      <c r="GG5571"/>
      <c r="GH5571"/>
      <c r="GI5571"/>
      <c r="GJ5571"/>
      <c r="GK5571"/>
      <c r="GL5571"/>
      <c r="GM5571"/>
      <c r="GN5571"/>
      <c r="GO5571"/>
    </row>
    <row r="5572" spans="107:197">
      <c r="DC5572"/>
      <c r="FH5572"/>
      <c r="FI5572"/>
      <c r="FJ5572"/>
      <c r="FK5572"/>
      <c r="FL5572"/>
      <c r="FM5572"/>
      <c r="FN5572"/>
      <c r="FO5572"/>
      <c r="FP5572"/>
      <c r="FQ5572"/>
      <c r="FR5572"/>
      <c r="FS5572"/>
      <c r="FT5572"/>
      <c r="FU5572"/>
      <c r="FV5572"/>
      <c r="FW5572"/>
      <c r="FX5572"/>
      <c r="FY5572"/>
      <c r="FZ5572"/>
      <c r="GA5572"/>
      <c r="GB5572"/>
      <c r="GC5572"/>
      <c r="GD5572"/>
      <c r="GE5572"/>
      <c r="GF5572"/>
      <c r="GG5572"/>
      <c r="GH5572"/>
      <c r="GI5572"/>
      <c r="GJ5572"/>
      <c r="GK5572"/>
      <c r="GL5572"/>
      <c r="GM5572"/>
      <c r="GN5572"/>
      <c r="GO5572"/>
    </row>
    <row r="5573" spans="107:197">
      <c r="DC5573"/>
      <c r="FH5573"/>
      <c r="FI5573"/>
      <c r="FJ5573"/>
      <c r="FK5573"/>
      <c r="FL5573"/>
      <c r="FM5573"/>
      <c r="FN5573"/>
      <c r="FO5573"/>
      <c r="FP5573"/>
      <c r="FQ5573"/>
      <c r="FR5573"/>
      <c r="FS5573"/>
      <c r="FT5573"/>
      <c r="FU5573"/>
      <c r="FV5573"/>
      <c r="FW5573"/>
      <c r="FX5573"/>
      <c r="FY5573"/>
      <c r="FZ5573"/>
      <c r="GA5573"/>
      <c r="GB5573"/>
      <c r="GC5573"/>
      <c r="GD5573"/>
      <c r="GE5573"/>
      <c r="GF5573"/>
      <c r="GG5573"/>
      <c r="GH5573"/>
      <c r="GI5573"/>
      <c r="GJ5573"/>
      <c r="GK5573"/>
      <c r="GL5573"/>
      <c r="GM5573"/>
      <c r="GN5573"/>
      <c r="GO5573"/>
    </row>
    <row r="5574" spans="107:197">
      <c r="DC5574"/>
      <c r="FH5574"/>
      <c r="FI5574"/>
      <c r="FJ5574"/>
      <c r="FK5574"/>
      <c r="FL5574"/>
      <c r="FM5574"/>
      <c r="FN5574"/>
      <c r="FO5574"/>
      <c r="FP5574"/>
      <c r="FQ5574"/>
      <c r="FR5574"/>
      <c r="FS5574"/>
      <c r="FT5574"/>
      <c r="FU5574"/>
      <c r="FV5574"/>
      <c r="FW5574"/>
      <c r="FX5574"/>
      <c r="FY5574"/>
      <c r="FZ5574"/>
      <c r="GA5574"/>
      <c r="GB5574"/>
      <c r="GC5574"/>
      <c r="GD5574"/>
      <c r="GE5574"/>
      <c r="GF5574"/>
      <c r="GG5574"/>
      <c r="GH5574"/>
      <c r="GI5574"/>
      <c r="GJ5574"/>
      <c r="GK5574"/>
      <c r="GL5574"/>
      <c r="GM5574"/>
      <c r="GN5574"/>
      <c r="GO5574"/>
    </row>
    <row r="5575" spans="107:197">
      <c r="DC5575"/>
      <c r="FH5575"/>
      <c r="FI5575"/>
      <c r="FJ5575"/>
      <c r="FK5575"/>
      <c r="FL5575"/>
      <c r="FM5575"/>
      <c r="FN5575"/>
      <c r="FO5575"/>
      <c r="FP5575"/>
      <c r="FQ5575"/>
      <c r="FR5575"/>
      <c r="FS5575"/>
      <c r="FT5575"/>
      <c r="FU5575"/>
      <c r="FV5575"/>
      <c r="FW5575"/>
      <c r="FX5575"/>
      <c r="FY5575"/>
      <c r="FZ5575"/>
      <c r="GA5575"/>
      <c r="GB5575"/>
      <c r="GC5575"/>
      <c r="GD5575"/>
      <c r="GE5575"/>
      <c r="GF5575"/>
      <c r="GG5575"/>
      <c r="GH5575"/>
      <c r="GI5575"/>
      <c r="GJ5575"/>
      <c r="GK5575"/>
      <c r="GL5575"/>
      <c r="GM5575"/>
      <c r="GN5575"/>
      <c r="GO5575"/>
    </row>
    <row r="5576" spans="107:197">
      <c r="DC5576"/>
      <c r="FH5576"/>
      <c r="FI5576"/>
      <c r="FJ5576"/>
      <c r="FK5576"/>
      <c r="FL5576"/>
      <c r="FM5576"/>
      <c r="FN5576"/>
      <c r="FO5576"/>
      <c r="FP5576"/>
      <c r="FQ5576"/>
      <c r="FR5576"/>
      <c r="FS5576"/>
      <c r="FT5576"/>
      <c r="FU5576"/>
      <c r="FV5576"/>
      <c r="FW5576"/>
      <c r="FX5576"/>
      <c r="FY5576"/>
      <c r="FZ5576"/>
      <c r="GA5576"/>
      <c r="GB5576"/>
      <c r="GC5576"/>
      <c r="GD5576"/>
      <c r="GE5576"/>
      <c r="GF5576"/>
      <c r="GG5576"/>
      <c r="GH5576"/>
      <c r="GI5576"/>
      <c r="GJ5576"/>
      <c r="GK5576"/>
      <c r="GL5576"/>
      <c r="GM5576"/>
      <c r="GN5576"/>
      <c r="GO5576"/>
    </row>
    <row r="5577" spans="107:197">
      <c r="DC5577"/>
      <c r="FH5577"/>
      <c r="FI5577"/>
      <c r="FJ5577"/>
      <c r="FK5577"/>
      <c r="FL5577"/>
      <c r="FM5577"/>
      <c r="FN5577"/>
      <c r="FO5577"/>
      <c r="FP5577"/>
      <c r="FQ5577"/>
      <c r="FR5577"/>
      <c r="FS5577"/>
      <c r="FT5577"/>
      <c r="FU5577"/>
      <c r="FV5577"/>
      <c r="FW5577"/>
      <c r="FX5577"/>
      <c r="FY5577"/>
      <c r="FZ5577"/>
      <c r="GA5577"/>
      <c r="GB5577"/>
      <c r="GC5577"/>
      <c r="GD5577"/>
      <c r="GE5577"/>
      <c r="GF5577"/>
      <c r="GG5577"/>
      <c r="GH5577"/>
      <c r="GI5577"/>
      <c r="GJ5577"/>
      <c r="GK5577"/>
      <c r="GL5577"/>
      <c r="GM5577"/>
      <c r="GN5577"/>
      <c r="GO5577"/>
    </row>
    <row r="5578" spans="107:197">
      <c r="DC5578"/>
      <c r="FH5578"/>
      <c r="FI5578"/>
      <c r="FJ5578"/>
      <c r="FK5578"/>
      <c r="FL5578"/>
      <c r="FM5578"/>
      <c r="FN5578"/>
      <c r="FO5578"/>
      <c r="FP5578"/>
      <c r="FQ5578"/>
      <c r="FR5578"/>
      <c r="FS5578"/>
      <c r="FT5578"/>
      <c r="FU5578"/>
      <c r="FV5578"/>
      <c r="FW5578"/>
      <c r="FX5578"/>
      <c r="FY5578"/>
      <c r="FZ5578"/>
      <c r="GA5578"/>
      <c r="GB5578"/>
      <c r="GC5578"/>
      <c r="GD5578"/>
      <c r="GE5578"/>
      <c r="GF5578"/>
      <c r="GG5578"/>
      <c r="GH5578"/>
      <c r="GI5578"/>
      <c r="GJ5578"/>
      <c r="GK5578"/>
      <c r="GL5578"/>
      <c r="GM5578"/>
      <c r="GN5578"/>
      <c r="GO5578"/>
    </row>
    <row r="5579" spans="107:197">
      <c r="DC5579"/>
      <c r="FH5579"/>
      <c r="FI5579"/>
      <c r="FJ5579"/>
      <c r="FK5579"/>
      <c r="FL5579"/>
      <c r="FM5579"/>
      <c r="FN5579"/>
      <c r="FO5579"/>
      <c r="FP5579"/>
      <c r="FQ5579"/>
      <c r="FR5579"/>
      <c r="FS5579"/>
      <c r="FT5579"/>
      <c r="FU5579"/>
      <c r="FV5579"/>
      <c r="FW5579"/>
      <c r="FX5579"/>
      <c r="FY5579"/>
      <c r="FZ5579"/>
      <c r="GA5579"/>
      <c r="GB5579"/>
      <c r="GC5579"/>
      <c r="GD5579"/>
      <c r="GE5579"/>
      <c r="GF5579"/>
      <c r="GG5579"/>
      <c r="GH5579"/>
      <c r="GI5579"/>
      <c r="GJ5579"/>
      <c r="GK5579"/>
      <c r="GL5579"/>
      <c r="GM5579"/>
      <c r="GN5579"/>
      <c r="GO5579"/>
    </row>
    <row r="5580" spans="107:197">
      <c r="DC5580"/>
      <c r="FH5580"/>
      <c r="FI5580"/>
      <c r="FJ5580"/>
      <c r="FK5580"/>
      <c r="FL5580"/>
      <c r="FM5580"/>
      <c r="FN5580"/>
      <c r="FO5580"/>
      <c r="FP5580"/>
      <c r="FQ5580"/>
      <c r="FR5580"/>
      <c r="FS5580"/>
      <c r="FT5580"/>
      <c r="FU5580"/>
      <c r="FV5580"/>
      <c r="FW5580"/>
      <c r="FX5580"/>
      <c r="FY5580"/>
      <c r="FZ5580"/>
      <c r="GA5580"/>
      <c r="GB5580"/>
      <c r="GC5580"/>
      <c r="GD5580"/>
      <c r="GE5580"/>
      <c r="GF5580"/>
      <c r="GG5580"/>
      <c r="GH5580"/>
      <c r="GI5580"/>
      <c r="GJ5580"/>
      <c r="GK5580"/>
      <c r="GL5580"/>
      <c r="GM5580"/>
      <c r="GN5580"/>
      <c r="GO5580"/>
    </row>
    <row r="5581" spans="107:197">
      <c r="DC5581"/>
      <c r="FH5581"/>
      <c r="FI5581"/>
      <c r="FJ5581"/>
      <c r="FK5581"/>
      <c r="FL5581"/>
      <c r="FM5581"/>
      <c r="FN5581"/>
      <c r="FO5581"/>
      <c r="FP5581"/>
      <c r="FQ5581"/>
      <c r="FR5581"/>
      <c r="FS5581"/>
      <c r="FT5581"/>
      <c r="FU5581"/>
      <c r="FV5581"/>
      <c r="FW5581"/>
      <c r="FX5581"/>
      <c r="FY5581"/>
      <c r="FZ5581"/>
      <c r="GA5581"/>
      <c r="GB5581"/>
      <c r="GC5581"/>
      <c r="GD5581"/>
      <c r="GE5581"/>
      <c r="GF5581"/>
      <c r="GG5581"/>
      <c r="GH5581"/>
      <c r="GI5581"/>
      <c r="GJ5581"/>
      <c r="GK5581"/>
      <c r="GL5581"/>
      <c r="GM5581"/>
      <c r="GN5581"/>
      <c r="GO5581"/>
    </row>
    <row r="5582" spans="107:197">
      <c r="DC5582"/>
      <c r="FH5582"/>
      <c r="FI5582"/>
      <c r="FJ5582"/>
      <c r="FK5582"/>
      <c r="FL5582"/>
      <c r="FM5582"/>
      <c r="FN5582"/>
      <c r="FO5582"/>
      <c r="FP5582"/>
      <c r="FQ5582"/>
      <c r="FR5582"/>
      <c r="FS5582"/>
      <c r="FT5582"/>
      <c r="FU5582"/>
      <c r="FV5582"/>
      <c r="FW5582"/>
      <c r="FX5582"/>
      <c r="FY5582"/>
      <c r="FZ5582"/>
      <c r="GA5582"/>
      <c r="GB5582"/>
      <c r="GC5582"/>
      <c r="GD5582"/>
      <c r="GE5582"/>
      <c r="GF5582"/>
      <c r="GG5582"/>
      <c r="GH5582"/>
      <c r="GI5582"/>
      <c r="GJ5582"/>
      <c r="GK5582"/>
      <c r="GL5582"/>
      <c r="GM5582"/>
      <c r="GN5582"/>
      <c r="GO5582"/>
    </row>
    <row r="5583" spans="107:197">
      <c r="DC5583"/>
      <c r="FH5583"/>
      <c r="FI5583"/>
      <c r="FJ5583"/>
      <c r="FK5583"/>
      <c r="FL5583"/>
      <c r="FM5583"/>
      <c r="FN5583"/>
      <c r="FO5583"/>
      <c r="FP5583"/>
      <c r="FQ5583"/>
      <c r="FR5583"/>
      <c r="FS5583"/>
      <c r="FT5583"/>
      <c r="FU5583"/>
      <c r="FV5583"/>
      <c r="FW5583"/>
      <c r="FX5583"/>
      <c r="FY5583"/>
      <c r="FZ5583"/>
      <c r="GA5583"/>
      <c r="GB5583"/>
      <c r="GC5583"/>
      <c r="GD5583"/>
      <c r="GE5583"/>
      <c r="GF5583"/>
      <c r="GG5583"/>
      <c r="GH5583"/>
      <c r="GI5583"/>
      <c r="GJ5583"/>
      <c r="GK5583"/>
      <c r="GL5583"/>
      <c r="GM5583"/>
      <c r="GN5583"/>
      <c r="GO5583"/>
    </row>
    <row r="5584" spans="107:197">
      <c r="DC5584"/>
      <c r="FH5584"/>
      <c r="FI5584"/>
      <c r="FJ5584"/>
      <c r="FK5584"/>
      <c r="FL5584"/>
      <c r="FM5584"/>
      <c r="FN5584"/>
      <c r="FO5584"/>
      <c r="FP5584"/>
      <c r="FQ5584"/>
      <c r="FR5584"/>
      <c r="FS5584"/>
      <c r="FT5584"/>
      <c r="FU5584"/>
      <c r="FV5584"/>
      <c r="FW5584"/>
      <c r="FX5584"/>
      <c r="FY5584"/>
      <c r="FZ5584"/>
      <c r="GA5584"/>
      <c r="GB5584"/>
      <c r="GC5584"/>
      <c r="GD5584"/>
      <c r="GE5584"/>
      <c r="GF5584"/>
      <c r="GG5584"/>
      <c r="GH5584"/>
      <c r="GI5584"/>
      <c r="GJ5584"/>
      <c r="GK5584"/>
      <c r="GL5584"/>
      <c r="GM5584"/>
      <c r="GN5584"/>
      <c r="GO5584"/>
    </row>
    <row r="5585" spans="107:197">
      <c r="DC5585"/>
      <c r="FH5585"/>
      <c r="FI5585"/>
      <c r="FJ5585"/>
      <c r="FK5585"/>
      <c r="FL5585"/>
      <c r="FM5585"/>
      <c r="FN5585"/>
      <c r="FO5585"/>
      <c r="FP5585"/>
      <c r="FQ5585"/>
      <c r="FR5585"/>
      <c r="FS5585"/>
      <c r="FT5585"/>
      <c r="FU5585"/>
      <c r="FV5585"/>
      <c r="FW5585"/>
      <c r="FX5585"/>
      <c r="FY5585"/>
      <c r="FZ5585"/>
      <c r="GA5585"/>
      <c r="GB5585"/>
      <c r="GC5585"/>
      <c r="GD5585"/>
      <c r="GE5585"/>
      <c r="GF5585"/>
      <c r="GG5585"/>
      <c r="GH5585"/>
      <c r="GI5585"/>
      <c r="GJ5585"/>
      <c r="GK5585"/>
      <c r="GL5585"/>
      <c r="GM5585"/>
      <c r="GN5585"/>
      <c r="GO5585"/>
    </row>
    <row r="5586" spans="107:197">
      <c r="DC5586"/>
      <c r="FH5586"/>
      <c r="FI5586"/>
      <c r="FJ5586"/>
      <c r="FK5586"/>
      <c r="FL5586"/>
      <c r="FM5586"/>
      <c r="FN5586"/>
      <c r="FO5586"/>
      <c r="FP5586"/>
      <c r="FQ5586"/>
      <c r="FR5586"/>
      <c r="FS5586"/>
      <c r="FT5586"/>
      <c r="FU5586"/>
      <c r="FV5586"/>
      <c r="FW5586"/>
      <c r="FX5586"/>
      <c r="FY5586"/>
      <c r="FZ5586"/>
      <c r="GA5586"/>
      <c r="GB5586"/>
      <c r="GC5586"/>
      <c r="GD5586"/>
      <c r="GE5586"/>
      <c r="GF5586"/>
      <c r="GG5586"/>
      <c r="GH5586"/>
      <c r="GI5586"/>
      <c r="GJ5586"/>
      <c r="GK5586"/>
      <c r="GL5586"/>
      <c r="GM5586"/>
      <c r="GN5586"/>
      <c r="GO5586"/>
    </row>
    <row r="5587" spans="107:197">
      <c r="DC5587"/>
      <c r="FH5587"/>
      <c r="FI5587"/>
      <c r="FJ5587"/>
      <c r="FK5587"/>
      <c r="FL5587"/>
      <c r="FM5587"/>
      <c r="FN5587"/>
      <c r="FO5587"/>
      <c r="FP5587"/>
      <c r="FQ5587"/>
      <c r="FR5587"/>
      <c r="FS5587"/>
      <c r="FT5587"/>
      <c r="FU5587"/>
      <c r="FV5587"/>
      <c r="FW5587"/>
      <c r="FX5587"/>
      <c r="FY5587"/>
      <c r="FZ5587"/>
      <c r="GA5587"/>
      <c r="GB5587"/>
      <c r="GC5587"/>
      <c r="GD5587"/>
      <c r="GE5587"/>
      <c r="GF5587"/>
      <c r="GG5587"/>
      <c r="GH5587"/>
      <c r="GI5587"/>
      <c r="GJ5587"/>
      <c r="GK5587"/>
      <c r="GL5587"/>
      <c r="GM5587"/>
      <c r="GN5587"/>
      <c r="GO5587"/>
    </row>
    <row r="5588" spans="107:197">
      <c r="DC5588"/>
      <c r="FH5588"/>
      <c r="FI5588"/>
      <c r="FJ5588"/>
      <c r="FK5588"/>
      <c r="FL5588"/>
      <c r="FM5588"/>
      <c r="FN5588"/>
      <c r="FO5588"/>
      <c r="FP5588"/>
      <c r="FQ5588"/>
      <c r="FR5588"/>
      <c r="FS5588"/>
      <c r="FT5588"/>
      <c r="FU5588"/>
      <c r="FV5588"/>
      <c r="FW5588"/>
      <c r="FX5588"/>
      <c r="FY5588"/>
      <c r="FZ5588"/>
      <c r="GA5588"/>
      <c r="GB5588"/>
      <c r="GC5588"/>
      <c r="GD5588"/>
      <c r="GE5588"/>
      <c r="GF5588"/>
      <c r="GG5588"/>
      <c r="GH5588"/>
      <c r="GI5588"/>
      <c r="GJ5588"/>
      <c r="GK5588"/>
      <c r="GL5588"/>
      <c r="GM5588"/>
      <c r="GN5588"/>
      <c r="GO5588"/>
    </row>
    <row r="5589" spans="107:197">
      <c r="DC5589"/>
      <c r="FH5589"/>
      <c r="FI5589"/>
      <c r="FJ5589"/>
      <c r="FK5589"/>
      <c r="FL5589"/>
      <c r="FM5589"/>
      <c r="FN5589"/>
      <c r="FO5589"/>
      <c r="FP5589"/>
      <c r="FQ5589"/>
      <c r="FR5589"/>
      <c r="FS5589"/>
      <c r="FT5589"/>
      <c r="FU5589"/>
      <c r="FV5589"/>
      <c r="FW5589"/>
      <c r="FX5589"/>
      <c r="FY5589"/>
      <c r="FZ5589"/>
      <c r="GA5589"/>
      <c r="GB5589"/>
      <c r="GC5589"/>
      <c r="GD5589"/>
      <c r="GE5589"/>
      <c r="GF5589"/>
      <c r="GG5589"/>
      <c r="GH5589"/>
      <c r="GI5589"/>
      <c r="GJ5589"/>
      <c r="GK5589"/>
      <c r="GL5589"/>
      <c r="GM5589"/>
      <c r="GN5589"/>
      <c r="GO5589"/>
    </row>
    <row r="5590" spans="107:197">
      <c r="DC5590"/>
      <c r="FH5590"/>
      <c r="FI5590"/>
      <c r="FJ5590"/>
      <c r="FK5590"/>
      <c r="FL5590"/>
      <c r="FM5590"/>
      <c r="FN5590"/>
      <c r="FO5590"/>
      <c r="FP5590"/>
      <c r="FQ5590"/>
      <c r="FR5590"/>
      <c r="FS5590"/>
      <c r="FT5590"/>
      <c r="FU5590"/>
      <c r="FV5590"/>
      <c r="FW5590"/>
      <c r="FX5590"/>
      <c r="FY5590"/>
      <c r="FZ5590"/>
      <c r="GA5590"/>
      <c r="GB5590"/>
      <c r="GC5590"/>
      <c r="GD5590"/>
      <c r="GE5590"/>
      <c r="GF5590"/>
      <c r="GG5590"/>
      <c r="GH5590"/>
      <c r="GI5590"/>
      <c r="GJ5590"/>
      <c r="GK5590"/>
      <c r="GL5590"/>
      <c r="GM5590"/>
      <c r="GN5590"/>
      <c r="GO5590"/>
    </row>
    <row r="5591" spans="107:197">
      <c r="DC5591"/>
      <c r="FH5591"/>
      <c r="FI5591"/>
      <c r="FJ5591"/>
      <c r="FK5591"/>
      <c r="FL5591"/>
      <c r="FM5591"/>
      <c r="FN5591"/>
      <c r="FO5591"/>
      <c r="FP5591"/>
      <c r="FQ5591"/>
      <c r="FR5591"/>
      <c r="FS5591"/>
      <c r="FT5591"/>
      <c r="FU5591"/>
      <c r="FV5591"/>
      <c r="FW5591"/>
      <c r="FX5591"/>
      <c r="FY5591"/>
      <c r="FZ5591"/>
      <c r="GA5591"/>
      <c r="GB5591"/>
      <c r="GC5591"/>
      <c r="GD5591"/>
      <c r="GE5591"/>
      <c r="GF5591"/>
      <c r="GG5591"/>
      <c r="GH5591"/>
      <c r="GI5591"/>
      <c r="GJ5591"/>
      <c r="GK5591"/>
      <c r="GL5591"/>
      <c r="GM5591"/>
      <c r="GN5591"/>
      <c r="GO5591"/>
    </row>
    <row r="5592" spans="107:197">
      <c r="DC5592"/>
      <c r="FH5592"/>
      <c r="FI5592"/>
      <c r="FJ5592"/>
      <c r="FK5592"/>
      <c r="FL5592"/>
      <c r="FM5592"/>
      <c r="FN5592"/>
      <c r="FO5592"/>
      <c r="FP5592"/>
      <c r="FQ5592"/>
      <c r="FR5592"/>
      <c r="FS5592"/>
      <c r="FT5592"/>
      <c r="FU5592"/>
      <c r="FV5592"/>
      <c r="FW5592"/>
      <c r="FX5592"/>
      <c r="FY5592"/>
      <c r="FZ5592"/>
      <c r="GA5592"/>
      <c r="GB5592"/>
      <c r="GC5592"/>
      <c r="GD5592"/>
      <c r="GE5592"/>
      <c r="GF5592"/>
      <c r="GG5592"/>
      <c r="GH5592"/>
      <c r="GI5592"/>
      <c r="GJ5592"/>
      <c r="GK5592"/>
      <c r="GL5592"/>
      <c r="GM5592"/>
      <c r="GN5592"/>
      <c r="GO5592"/>
    </row>
    <row r="5593" spans="107:197">
      <c r="DC5593"/>
      <c r="FH5593"/>
      <c r="FI5593"/>
      <c r="FJ5593"/>
      <c r="FK5593"/>
      <c r="FL5593"/>
      <c r="FM5593"/>
      <c r="FN5593"/>
      <c r="FO5593"/>
      <c r="FP5593"/>
      <c r="FQ5593"/>
      <c r="FR5593"/>
      <c r="FS5593"/>
      <c r="FT5593"/>
      <c r="FU5593"/>
      <c r="FV5593"/>
      <c r="FW5593"/>
      <c r="FX5593"/>
      <c r="FY5593"/>
      <c r="FZ5593"/>
      <c r="GA5593"/>
      <c r="GB5593"/>
      <c r="GC5593"/>
      <c r="GD5593"/>
      <c r="GE5593"/>
      <c r="GF5593"/>
      <c r="GG5593"/>
      <c r="GH5593"/>
      <c r="GI5593"/>
      <c r="GJ5593"/>
      <c r="GK5593"/>
      <c r="GL5593"/>
      <c r="GM5593"/>
      <c r="GN5593"/>
      <c r="GO5593"/>
    </row>
    <row r="5594" spans="107:197">
      <c r="DC5594"/>
      <c r="FH5594"/>
      <c r="FI5594"/>
      <c r="FJ5594"/>
      <c r="FK5594"/>
      <c r="FL5594"/>
      <c r="FM5594"/>
      <c r="FN5594"/>
      <c r="FO5594"/>
      <c r="FP5594"/>
      <c r="FQ5594"/>
      <c r="FR5594"/>
      <c r="FS5594"/>
      <c r="FT5594"/>
      <c r="FU5594"/>
      <c r="FV5594"/>
      <c r="FW5594"/>
      <c r="FX5594"/>
      <c r="FY5594"/>
      <c r="FZ5594"/>
      <c r="GA5594"/>
      <c r="GB5594"/>
      <c r="GC5594"/>
      <c r="GD5594"/>
      <c r="GE5594"/>
      <c r="GF5594"/>
      <c r="GG5594"/>
      <c r="GH5594"/>
      <c r="GI5594"/>
      <c r="GJ5594"/>
      <c r="GK5594"/>
      <c r="GL5594"/>
      <c r="GM5594"/>
      <c r="GN5594"/>
      <c r="GO5594"/>
    </row>
    <row r="5595" spans="107:197">
      <c r="DC5595"/>
      <c r="FH5595"/>
      <c r="FI5595"/>
      <c r="FJ5595"/>
      <c r="FK5595"/>
      <c r="FL5595"/>
      <c r="FM5595"/>
      <c r="FN5595"/>
      <c r="FO5595"/>
      <c r="FP5595"/>
      <c r="FQ5595"/>
      <c r="FR5595"/>
      <c r="FS5595"/>
      <c r="FT5595"/>
      <c r="FU5595"/>
      <c r="FV5595"/>
      <c r="FW5595"/>
      <c r="FX5595"/>
      <c r="FY5595"/>
      <c r="FZ5595"/>
      <c r="GA5595"/>
      <c r="GB5595"/>
      <c r="GC5595"/>
      <c r="GD5595"/>
      <c r="GE5595"/>
      <c r="GF5595"/>
      <c r="GG5595"/>
      <c r="GH5595"/>
      <c r="GI5595"/>
      <c r="GJ5595"/>
      <c r="GK5595"/>
      <c r="GL5595"/>
      <c r="GM5595"/>
      <c r="GN5595"/>
      <c r="GO5595"/>
    </row>
    <row r="5596" spans="107:197">
      <c r="DC5596"/>
      <c r="FH5596"/>
      <c r="FI5596"/>
      <c r="FJ5596"/>
      <c r="FK5596"/>
      <c r="FL5596"/>
      <c r="FM5596"/>
      <c r="FN5596"/>
      <c r="FO5596"/>
      <c r="FP5596"/>
      <c r="FQ5596"/>
      <c r="FR5596"/>
      <c r="FS5596"/>
      <c r="FT5596"/>
      <c r="FU5596"/>
      <c r="FV5596"/>
      <c r="FW5596"/>
      <c r="FX5596"/>
      <c r="FY5596"/>
      <c r="FZ5596"/>
      <c r="GA5596"/>
      <c r="GB5596"/>
      <c r="GC5596"/>
      <c r="GD5596"/>
      <c r="GE5596"/>
      <c r="GF5596"/>
      <c r="GG5596"/>
      <c r="GH5596"/>
      <c r="GI5596"/>
      <c r="GJ5596"/>
      <c r="GK5596"/>
      <c r="GL5596"/>
      <c r="GM5596"/>
      <c r="GN5596"/>
      <c r="GO5596"/>
    </row>
    <row r="5597" spans="107:197">
      <c r="DC5597"/>
      <c r="FH5597"/>
      <c r="FI5597"/>
      <c r="FJ5597"/>
      <c r="FK5597"/>
      <c r="FL5597"/>
      <c r="FM5597"/>
      <c r="FN5597"/>
      <c r="FO5597"/>
      <c r="FP5597"/>
      <c r="FQ5597"/>
      <c r="FR5597"/>
      <c r="FS5597"/>
      <c r="FT5597"/>
      <c r="FU5597"/>
      <c r="FV5597"/>
      <c r="FW5597"/>
      <c r="FX5597"/>
      <c r="FY5597"/>
      <c r="FZ5597"/>
      <c r="GA5597"/>
      <c r="GB5597"/>
      <c r="GC5597"/>
      <c r="GD5597"/>
      <c r="GE5597"/>
      <c r="GF5597"/>
      <c r="GG5597"/>
      <c r="GH5597"/>
      <c r="GI5597"/>
      <c r="GJ5597"/>
      <c r="GK5597"/>
      <c r="GL5597"/>
      <c r="GM5597"/>
      <c r="GN5597"/>
      <c r="GO5597"/>
    </row>
    <row r="5598" spans="107:197">
      <c r="DC5598"/>
      <c r="FH5598"/>
      <c r="FI5598"/>
      <c r="FJ5598"/>
      <c r="FK5598"/>
      <c r="FL5598"/>
      <c r="FM5598"/>
      <c r="FN5598"/>
      <c r="FO5598"/>
      <c r="FP5598"/>
      <c r="FQ5598"/>
      <c r="FR5598"/>
      <c r="FS5598"/>
      <c r="FT5598"/>
      <c r="FU5598"/>
      <c r="FV5598"/>
      <c r="FW5598"/>
      <c r="FX5598"/>
      <c r="FY5598"/>
      <c r="FZ5598"/>
      <c r="GA5598"/>
      <c r="GB5598"/>
      <c r="GC5598"/>
      <c r="GD5598"/>
      <c r="GE5598"/>
      <c r="GF5598"/>
      <c r="GG5598"/>
      <c r="GH5598"/>
      <c r="GI5598"/>
      <c r="GJ5598"/>
      <c r="GK5598"/>
      <c r="GL5598"/>
      <c r="GM5598"/>
      <c r="GN5598"/>
      <c r="GO5598"/>
    </row>
    <row r="5599" spans="107:197">
      <c r="DC5599"/>
      <c r="FH5599"/>
      <c r="FI5599"/>
      <c r="FJ5599"/>
      <c r="FK5599"/>
      <c r="FL5599"/>
      <c r="FM5599"/>
      <c r="FN5599"/>
      <c r="FO5599"/>
      <c r="FP5599"/>
      <c r="FQ5599"/>
      <c r="FR5599"/>
      <c r="FS5599"/>
      <c r="FT5599"/>
      <c r="FU5599"/>
      <c r="FV5599"/>
      <c r="FW5599"/>
      <c r="FX5599"/>
      <c r="FY5599"/>
      <c r="FZ5599"/>
      <c r="GA5599"/>
      <c r="GB5599"/>
      <c r="GC5599"/>
      <c r="GD5599"/>
      <c r="GE5599"/>
      <c r="GF5599"/>
      <c r="GG5599"/>
      <c r="GH5599"/>
      <c r="GI5599"/>
      <c r="GJ5599"/>
      <c r="GK5599"/>
      <c r="GL5599"/>
      <c r="GM5599"/>
      <c r="GN5599"/>
      <c r="GO5599"/>
    </row>
    <row r="5600" spans="107:197">
      <c r="DC5600"/>
      <c r="FH5600"/>
      <c r="FI5600"/>
      <c r="FJ5600"/>
      <c r="FK5600"/>
      <c r="FL5600"/>
      <c r="FM5600"/>
      <c r="FN5600"/>
      <c r="FO5600"/>
      <c r="FP5600"/>
      <c r="FQ5600"/>
      <c r="FR5600"/>
      <c r="FS5600"/>
      <c r="FT5600"/>
      <c r="FU5600"/>
      <c r="FV5600"/>
      <c r="FW5600"/>
      <c r="FX5600"/>
      <c r="FY5600"/>
      <c r="FZ5600"/>
      <c r="GA5600"/>
      <c r="GB5600"/>
      <c r="GC5600"/>
      <c r="GD5600"/>
      <c r="GE5600"/>
      <c r="GF5600"/>
      <c r="GG5600"/>
      <c r="GH5600"/>
      <c r="GI5600"/>
      <c r="GJ5600"/>
      <c r="GK5600"/>
      <c r="GL5600"/>
      <c r="GM5600"/>
      <c r="GN5600"/>
      <c r="GO5600"/>
    </row>
    <row r="5601" spans="107:197">
      <c r="DC5601"/>
      <c r="FH5601"/>
      <c r="FI5601"/>
      <c r="FJ5601"/>
      <c r="FK5601"/>
      <c r="FL5601"/>
      <c r="FM5601"/>
      <c r="FN5601"/>
      <c r="FO5601"/>
      <c r="FP5601"/>
      <c r="FQ5601"/>
      <c r="FR5601"/>
      <c r="FS5601"/>
      <c r="FT5601"/>
      <c r="FU5601"/>
      <c r="FV5601"/>
      <c r="FW5601"/>
      <c r="FX5601"/>
      <c r="FY5601"/>
      <c r="FZ5601"/>
      <c r="GA5601"/>
      <c r="GB5601"/>
      <c r="GC5601"/>
      <c r="GD5601"/>
      <c r="GE5601"/>
      <c r="GF5601"/>
      <c r="GG5601"/>
      <c r="GH5601"/>
      <c r="GI5601"/>
      <c r="GJ5601"/>
      <c r="GK5601"/>
      <c r="GL5601"/>
      <c r="GM5601"/>
      <c r="GN5601"/>
      <c r="GO5601"/>
    </row>
    <row r="5602" spans="107:197">
      <c r="DC5602"/>
      <c r="FH5602"/>
      <c r="FI5602"/>
      <c r="FJ5602"/>
      <c r="FK5602"/>
      <c r="FL5602"/>
      <c r="FM5602"/>
      <c r="FN5602"/>
      <c r="FO5602"/>
      <c r="FP5602"/>
      <c r="FQ5602"/>
      <c r="FR5602"/>
      <c r="FS5602"/>
      <c r="FT5602"/>
      <c r="FU5602"/>
      <c r="FV5602"/>
      <c r="FW5602"/>
      <c r="FX5602"/>
      <c r="FY5602"/>
      <c r="FZ5602"/>
      <c r="GA5602"/>
      <c r="GB5602"/>
      <c r="GC5602"/>
      <c r="GD5602"/>
      <c r="GE5602"/>
      <c r="GF5602"/>
      <c r="GG5602"/>
      <c r="GH5602"/>
      <c r="GI5602"/>
      <c r="GJ5602"/>
      <c r="GK5602"/>
      <c r="GL5602"/>
      <c r="GM5602"/>
      <c r="GN5602"/>
      <c r="GO5602"/>
    </row>
    <row r="5603" spans="107:197">
      <c r="DC5603"/>
      <c r="FH5603"/>
      <c r="FI5603"/>
      <c r="FJ5603"/>
      <c r="FK5603"/>
      <c r="FL5603"/>
      <c r="FM5603"/>
      <c r="FN5603"/>
      <c r="FO5603"/>
      <c r="FP5603"/>
      <c r="FQ5603"/>
      <c r="FR5603"/>
      <c r="FS5603"/>
      <c r="FT5603"/>
      <c r="FU5603"/>
      <c r="FV5603"/>
      <c r="FW5603"/>
      <c r="FX5603"/>
      <c r="FY5603"/>
      <c r="FZ5603"/>
      <c r="GA5603"/>
      <c r="GB5603"/>
      <c r="GC5603"/>
      <c r="GD5603"/>
      <c r="GE5603"/>
      <c r="GF5603"/>
      <c r="GG5603"/>
      <c r="GH5603"/>
      <c r="GI5603"/>
      <c r="GJ5603"/>
      <c r="GK5603"/>
      <c r="GL5603"/>
      <c r="GM5603"/>
      <c r="GN5603"/>
      <c r="GO5603"/>
    </row>
    <row r="5604" spans="107:197">
      <c r="DC5604"/>
      <c r="FH5604"/>
      <c r="FI5604"/>
      <c r="FJ5604"/>
      <c r="FK5604"/>
      <c r="FL5604"/>
      <c r="FM5604"/>
      <c r="FN5604"/>
      <c r="FO5604"/>
      <c r="FP5604"/>
      <c r="FQ5604"/>
      <c r="FR5604"/>
      <c r="FS5604"/>
      <c r="FT5604"/>
      <c r="FU5604"/>
      <c r="FV5604"/>
      <c r="FW5604"/>
      <c r="FX5604"/>
      <c r="FY5604"/>
      <c r="FZ5604"/>
      <c r="GA5604"/>
      <c r="GB5604"/>
      <c r="GC5604"/>
      <c r="GD5604"/>
      <c r="GE5604"/>
      <c r="GF5604"/>
      <c r="GG5604"/>
      <c r="GH5604"/>
      <c r="GI5604"/>
      <c r="GJ5604"/>
      <c r="GK5604"/>
      <c r="GL5604"/>
      <c r="GM5604"/>
      <c r="GN5604"/>
      <c r="GO5604"/>
    </row>
    <row r="5605" spans="107:197">
      <c r="DC5605"/>
      <c r="FH5605"/>
      <c r="FI5605"/>
      <c r="FJ5605"/>
      <c r="FK5605"/>
      <c r="FL5605"/>
      <c r="FM5605"/>
      <c r="FN5605"/>
      <c r="FO5605"/>
      <c r="FP5605"/>
      <c r="FQ5605"/>
      <c r="FR5605"/>
      <c r="FS5605"/>
      <c r="FT5605"/>
      <c r="FU5605"/>
      <c r="FV5605"/>
      <c r="FW5605"/>
      <c r="FX5605"/>
      <c r="FY5605"/>
      <c r="FZ5605"/>
      <c r="GA5605"/>
      <c r="GB5605"/>
      <c r="GC5605"/>
      <c r="GD5605"/>
      <c r="GE5605"/>
      <c r="GF5605"/>
      <c r="GG5605"/>
      <c r="GH5605"/>
      <c r="GI5605"/>
      <c r="GJ5605"/>
      <c r="GK5605"/>
      <c r="GL5605"/>
      <c r="GM5605"/>
      <c r="GN5605"/>
      <c r="GO5605"/>
    </row>
    <row r="5606" spans="107:197">
      <c r="DC5606"/>
      <c r="FH5606"/>
      <c r="FI5606"/>
      <c r="FJ5606"/>
      <c r="FK5606"/>
      <c r="FL5606"/>
      <c r="FM5606"/>
      <c r="FN5606"/>
      <c r="FO5606"/>
      <c r="FP5606"/>
      <c r="FQ5606"/>
      <c r="FR5606"/>
      <c r="FS5606"/>
      <c r="FT5606"/>
      <c r="FU5606"/>
      <c r="FV5606"/>
      <c r="FW5606"/>
      <c r="FX5606"/>
      <c r="FY5606"/>
      <c r="FZ5606"/>
      <c r="GA5606"/>
      <c r="GB5606"/>
      <c r="GC5606"/>
      <c r="GD5606"/>
      <c r="GE5606"/>
      <c r="GF5606"/>
      <c r="GG5606"/>
      <c r="GH5606"/>
      <c r="GI5606"/>
      <c r="GJ5606"/>
      <c r="GK5606"/>
      <c r="GL5606"/>
      <c r="GM5606"/>
      <c r="GN5606"/>
      <c r="GO5606"/>
    </row>
    <row r="5607" spans="107:197">
      <c r="DC5607"/>
      <c r="FH5607"/>
      <c r="FI5607"/>
      <c r="FJ5607"/>
      <c r="FK5607"/>
      <c r="FL5607"/>
      <c r="FM5607"/>
      <c r="FN5607"/>
      <c r="FO5607"/>
      <c r="FP5607"/>
      <c r="FQ5607"/>
      <c r="FR5607"/>
      <c r="FS5607"/>
      <c r="FT5607"/>
      <c r="FU5607"/>
      <c r="FV5607"/>
      <c r="FW5607"/>
      <c r="FX5607"/>
      <c r="FY5607"/>
      <c r="FZ5607"/>
      <c r="GA5607"/>
      <c r="GB5607"/>
      <c r="GC5607"/>
      <c r="GD5607"/>
      <c r="GE5607"/>
      <c r="GF5607"/>
      <c r="GG5607"/>
      <c r="GH5607"/>
      <c r="GI5607"/>
      <c r="GJ5607"/>
      <c r="GK5607"/>
      <c r="GL5607"/>
      <c r="GM5607"/>
      <c r="GN5607"/>
      <c r="GO5607"/>
    </row>
    <row r="5608" spans="107:197">
      <c r="DC5608"/>
      <c r="FH5608"/>
      <c r="FI5608"/>
      <c r="FJ5608"/>
      <c r="FK5608"/>
      <c r="FL5608"/>
      <c r="FM5608"/>
      <c r="FN5608"/>
      <c r="FO5608"/>
      <c r="FP5608"/>
      <c r="FQ5608"/>
      <c r="FR5608"/>
      <c r="FS5608"/>
      <c r="FT5608"/>
      <c r="FU5608"/>
      <c r="FV5608"/>
      <c r="FW5608"/>
      <c r="FX5608"/>
      <c r="FY5608"/>
      <c r="FZ5608"/>
      <c r="GA5608"/>
      <c r="GB5608"/>
      <c r="GC5608"/>
      <c r="GD5608"/>
      <c r="GE5608"/>
      <c r="GF5608"/>
      <c r="GG5608"/>
      <c r="GH5608"/>
      <c r="GI5608"/>
      <c r="GJ5608"/>
      <c r="GK5608"/>
      <c r="GL5608"/>
      <c r="GM5608"/>
      <c r="GN5608"/>
      <c r="GO5608"/>
    </row>
    <row r="5609" spans="107:197">
      <c r="DC5609"/>
      <c r="FH5609"/>
      <c r="FI5609"/>
      <c r="FJ5609"/>
      <c r="FK5609"/>
      <c r="FL5609"/>
      <c r="FM5609"/>
      <c r="FN5609"/>
      <c r="FO5609"/>
      <c r="FP5609"/>
      <c r="FQ5609"/>
      <c r="FR5609"/>
      <c r="FS5609"/>
      <c r="FT5609"/>
      <c r="FU5609"/>
      <c r="FV5609"/>
      <c r="FW5609"/>
      <c r="FX5609"/>
      <c r="FY5609"/>
      <c r="FZ5609"/>
      <c r="GA5609"/>
      <c r="GB5609"/>
      <c r="GC5609"/>
      <c r="GD5609"/>
      <c r="GE5609"/>
      <c r="GF5609"/>
      <c r="GG5609"/>
      <c r="GH5609"/>
      <c r="GI5609"/>
      <c r="GJ5609"/>
      <c r="GK5609"/>
      <c r="GL5609"/>
      <c r="GM5609"/>
      <c r="GN5609"/>
      <c r="GO5609"/>
    </row>
    <row r="5610" spans="107:197">
      <c r="DC5610"/>
      <c r="FH5610"/>
      <c r="FI5610"/>
      <c r="FJ5610"/>
      <c r="FK5610"/>
      <c r="FL5610"/>
      <c r="FM5610"/>
      <c r="FN5610"/>
      <c r="FO5610"/>
      <c r="FP5610"/>
      <c r="FQ5610"/>
      <c r="FR5610"/>
      <c r="FS5610"/>
      <c r="FT5610"/>
      <c r="FU5610"/>
      <c r="FV5610"/>
      <c r="FW5610"/>
      <c r="FX5610"/>
      <c r="FY5610"/>
      <c r="FZ5610"/>
      <c r="GA5610"/>
      <c r="GB5610"/>
      <c r="GC5610"/>
      <c r="GD5610"/>
      <c r="GE5610"/>
      <c r="GF5610"/>
      <c r="GG5610"/>
      <c r="GH5610"/>
      <c r="GI5610"/>
      <c r="GJ5610"/>
      <c r="GK5610"/>
      <c r="GL5610"/>
      <c r="GM5610"/>
      <c r="GN5610"/>
      <c r="GO5610"/>
    </row>
    <row r="5611" spans="107:197">
      <c r="DC5611"/>
      <c r="FH5611"/>
      <c r="FI5611"/>
      <c r="FJ5611"/>
      <c r="FK5611"/>
      <c r="FL5611"/>
      <c r="FM5611"/>
      <c r="FN5611"/>
      <c r="FO5611"/>
      <c r="FP5611"/>
      <c r="FQ5611"/>
      <c r="FR5611"/>
      <c r="FS5611"/>
      <c r="FT5611"/>
      <c r="FU5611"/>
      <c r="FV5611"/>
      <c r="FW5611"/>
      <c r="FX5611"/>
      <c r="FY5611"/>
      <c r="FZ5611"/>
      <c r="GA5611"/>
      <c r="GB5611"/>
      <c r="GC5611"/>
      <c r="GD5611"/>
      <c r="GE5611"/>
      <c r="GF5611"/>
      <c r="GG5611"/>
      <c r="GH5611"/>
      <c r="GI5611"/>
      <c r="GJ5611"/>
      <c r="GK5611"/>
      <c r="GL5611"/>
      <c r="GM5611"/>
      <c r="GN5611"/>
      <c r="GO5611"/>
    </row>
    <row r="5612" spans="107:197">
      <c r="DC5612"/>
      <c r="FH5612"/>
      <c r="FI5612"/>
      <c r="FJ5612"/>
      <c r="FK5612"/>
      <c r="FL5612"/>
      <c r="FM5612"/>
      <c r="FN5612"/>
      <c r="FO5612"/>
      <c r="FP5612"/>
      <c r="FQ5612"/>
      <c r="FR5612"/>
      <c r="FS5612"/>
      <c r="FT5612"/>
      <c r="FU5612"/>
      <c r="FV5612"/>
      <c r="FW5612"/>
      <c r="FX5612"/>
      <c r="FY5612"/>
      <c r="FZ5612"/>
      <c r="GA5612"/>
      <c r="GB5612"/>
      <c r="GC5612"/>
      <c r="GD5612"/>
      <c r="GE5612"/>
      <c r="GF5612"/>
      <c r="GG5612"/>
      <c r="GH5612"/>
      <c r="GI5612"/>
      <c r="GJ5612"/>
      <c r="GK5612"/>
      <c r="GL5612"/>
      <c r="GM5612"/>
      <c r="GN5612"/>
      <c r="GO5612"/>
    </row>
    <row r="5613" spans="107:197">
      <c r="DC5613"/>
      <c r="FH5613"/>
      <c r="FI5613"/>
      <c r="FJ5613"/>
      <c r="FK5613"/>
      <c r="FL5613"/>
      <c r="FM5613"/>
      <c r="FN5613"/>
      <c r="FO5613"/>
      <c r="FP5613"/>
      <c r="FQ5613"/>
      <c r="FR5613"/>
      <c r="FS5613"/>
      <c r="FT5613"/>
      <c r="FU5613"/>
      <c r="FV5613"/>
      <c r="FW5613"/>
      <c r="FX5613"/>
      <c r="FY5613"/>
      <c r="FZ5613"/>
      <c r="GA5613"/>
      <c r="GB5613"/>
      <c r="GC5613"/>
      <c r="GD5613"/>
      <c r="GE5613"/>
      <c r="GF5613"/>
      <c r="GG5613"/>
      <c r="GH5613"/>
      <c r="GI5613"/>
      <c r="GJ5613"/>
      <c r="GK5613"/>
      <c r="GL5613"/>
      <c r="GM5613"/>
      <c r="GN5613"/>
      <c r="GO5613"/>
    </row>
    <row r="5614" spans="107:197">
      <c r="DC5614"/>
      <c r="FH5614"/>
      <c r="FI5614"/>
      <c r="FJ5614"/>
      <c r="FK5614"/>
      <c r="FL5614"/>
      <c r="FM5614"/>
      <c r="FN5614"/>
      <c r="FO5614"/>
      <c r="FP5614"/>
      <c r="FQ5614"/>
      <c r="FR5614"/>
      <c r="FS5614"/>
      <c r="FT5614"/>
      <c r="FU5614"/>
      <c r="FV5614"/>
      <c r="FW5614"/>
      <c r="FX5614"/>
      <c r="FY5614"/>
      <c r="FZ5614"/>
      <c r="GA5614"/>
      <c r="GB5614"/>
      <c r="GC5614"/>
      <c r="GD5614"/>
      <c r="GE5614"/>
      <c r="GF5614"/>
      <c r="GG5614"/>
      <c r="GH5614"/>
      <c r="GI5614"/>
      <c r="GJ5614"/>
      <c r="GK5614"/>
      <c r="GL5614"/>
      <c r="GM5614"/>
      <c r="GN5614"/>
      <c r="GO5614"/>
    </row>
    <row r="5615" spans="107:197">
      <c r="DC5615"/>
      <c r="FH5615"/>
      <c r="FI5615"/>
      <c r="FJ5615"/>
      <c r="FK5615"/>
      <c r="FL5615"/>
      <c r="FM5615"/>
      <c r="FN5615"/>
      <c r="FO5615"/>
      <c r="FP5615"/>
      <c r="FQ5615"/>
      <c r="FR5615"/>
      <c r="FS5615"/>
      <c r="FT5615"/>
      <c r="FU5615"/>
      <c r="FV5615"/>
      <c r="FW5615"/>
      <c r="FX5615"/>
      <c r="FY5615"/>
      <c r="FZ5615"/>
      <c r="GA5615"/>
      <c r="GB5615"/>
      <c r="GC5615"/>
      <c r="GD5615"/>
      <c r="GE5615"/>
      <c r="GF5615"/>
      <c r="GG5615"/>
      <c r="GH5615"/>
      <c r="GI5615"/>
      <c r="GJ5615"/>
      <c r="GK5615"/>
      <c r="GL5615"/>
      <c r="GM5615"/>
      <c r="GN5615"/>
      <c r="GO5615"/>
    </row>
    <row r="5616" spans="107:197">
      <c r="DC5616"/>
      <c r="FH5616"/>
      <c r="FI5616"/>
      <c r="FJ5616"/>
      <c r="FK5616"/>
      <c r="FL5616"/>
      <c r="FM5616"/>
      <c r="FN5616"/>
      <c r="FO5616"/>
      <c r="FP5616"/>
      <c r="FQ5616"/>
      <c r="FR5616"/>
      <c r="FS5616"/>
      <c r="FT5616"/>
      <c r="FU5616"/>
      <c r="FV5616"/>
      <c r="FW5616"/>
      <c r="FX5616"/>
      <c r="FY5616"/>
      <c r="FZ5616"/>
      <c r="GA5616"/>
      <c r="GB5616"/>
      <c r="GC5616"/>
      <c r="GD5616"/>
      <c r="GE5616"/>
      <c r="GF5616"/>
      <c r="GG5616"/>
      <c r="GH5616"/>
      <c r="GI5616"/>
      <c r="GJ5616"/>
      <c r="GK5616"/>
      <c r="GL5616"/>
      <c r="GM5616"/>
      <c r="GN5616"/>
      <c r="GO5616"/>
    </row>
    <row r="5617" spans="107:197">
      <c r="DC5617"/>
      <c r="FH5617"/>
      <c r="FI5617"/>
      <c r="FJ5617"/>
      <c r="FK5617"/>
      <c r="FL5617"/>
      <c r="FM5617"/>
      <c r="FN5617"/>
      <c r="FO5617"/>
      <c r="FP5617"/>
      <c r="FQ5617"/>
      <c r="FR5617"/>
      <c r="FS5617"/>
      <c r="FT5617"/>
      <c r="FU5617"/>
      <c r="FV5617"/>
      <c r="FW5617"/>
      <c r="FX5617"/>
      <c r="FY5617"/>
      <c r="FZ5617"/>
      <c r="GA5617"/>
      <c r="GB5617"/>
      <c r="GC5617"/>
      <c r="GD5617"/>
      <c r="GE5617"/>
      <c r="GF5617"/>
      <c r="GG5617"/>
      <c r="GH5617"/>
      <c r="GI5617"/>
      <c r="GJ5617"/>
      <c r="GK5617"/>
      <c r="GL5617"/>
      <c r="GM5617"/>
      <c r="GN5617"/>
      <c r="GO5617"/>
    </row>
    <row r="5618" spans="107:197">
      <c r="DC5618"/>
      <c r="FH5618"/>
      <c r="FI5618"/>
      <c r="FJ5618"/>
      <c r="FK5618"/>
      <c r="FL5618"/>
      <c r="FM5618"/>
      <c r="FN5618"/>
      <c r="FO5618"/>
      <c r="FP5618"/>
      <c r="FQ5618"/>
      <c r="FR5618"/>
      <c r="FS5618"/>
      <c r="FT5618"/>
      <c r="FU5618"/>
      <c r="FV5618"/>
      <c r="FW5618"/>
      <c r="FX5618"/>
      <c r="FY5618"/>
      <c r="FZ5618"/>
      <c r="GA5618"/>
      <c r="GB5618"/>
      <c r="GC5618"/>
      <c r="GD5618"/>
      <c r="GE5618"/>
      <c r="GF5618"/>
      <c r="GG5618"/>
      <c r="GH5618"/>
      <c r="GI5618"/>
      <c r="GJ5618"/>
      <c r="GK5618"/>
      <c r="GL5618"/>
      <c r="GM5618"/>
      <c r="GN5618"/>
      <c r="GO5618"/>
    </row>
    <row r="5619" spans="107:197">
      <c r="DC5619"/>
      <c r="FH5619"/>
      <c r="FI5619"/>
      <c r="FJ5619"/>
      <c r="FK5619"/>
      <c r="FL5619"/>
      <c r="FM5619"/>
      <c r="FN5619"/>
      <c r="FO5619"/>
      <c r="FP5619"/>
      <c r="FQ5619"/>
      <c r="FR5619"/>
      <c r="FS5619"/>
      <c r="FT5619"/>
      <c r="FU5619"/>
      <c r="FV5619"/>
      <c r="FW5619"/>
      <c r="FX5619"/>
      <c r="FY5619"/>
      <c r="FZ5619"/>
      <c r="GA5619"/>
      <c r="GB5619"/>
      <c r="GC5619"/>
      <c r="GD5619"/>
      <c r="GE5619"/>
      <c r="GF5619"/>
      <c r="GG5619"/>
      <c r="GH5619"/>
      <c r="GI5619"/>
      <c r="GJ5619"/>
      <c r="GK5619"/>
      <c r="GL5619"/>
      <c r="GM5619"/>
      <c r="GN5619"/>
      <c r="GO5619"/>
    </row>
    <row r="5620" spans="107:197">
      <c r="DC5620"/>
      <c r="FH5620"/>
      <c r="FI5620"/>
      <c r="FJ5620"/>
      <c r="FK5620"/>
      <c r="FL5620"/>
      <c r="FM5620"/>
      <c r="FN5620"/>
      <c r="FO5620"/>
      <c r="FP5620"/>
      <c r="FQ5620"/>
      <c r="FR5620"/>
      <c r="FS5620"/>
      <c r="FT5620"/>
      <c r="FU5620"/>
      <c r="FV5620"/>
      <c r="FW5620"/>
      <c r="FX5620"/>
      <c r="FY5620"/>
      <c r="FZ5620"/>
      <c r="GA5620"/>
      <c r="GB5620"/>
      <c r="GC5620"/>
      <c r="GD5620"/>
      <c r="GE5620"/>
      <c r="GF5620"/>
      <c r="GG5620"/>
      <c r="GH5620"/>
      <c r="GI5620"/>
      <c r="GJ5620"/>
      <c r="GK5620"/>
      <c r="GL5620"/>
      <c r="GM5620"/>
      <c r="GN5620"/>
      <c r="GO5620"/>
    </row>
    <row r="5621" spans="107:197">
      <c r="DC5621"/>
      <c r="FH5621"/>
      <c r="FI5621"/>
      <c r="FJ5621"/>
      <c r="FK5621"/>
      <c r="FL5621"/>
      <c r="FM5621"/>
      <c r="FN5621"/>
      <c r="FO5621"/>
      <c r="FP5621"/>
      <c r="FQ5621"/>
      <c r="FR5621"/>
      <c r="FS5621"/>
      <c r="FT5621"/>
      <c r="FU5621"/>
      <c r="FV5621"/>
      <c r="FW5621"/>
      <c r="FX5621"/>
      <c r="FY5621"/>
      <c r="FZ5621"/>
      <c r="GA5621"/>
      <c r="GB5621"/>
      <c r="GC5621"/>
      <c r="GD5621"/>
      <c r="GE5621"/>
      <c r="GF5621"/>
      <c r="GG5621"/>
      <c r="GH5621"/>
      <c r="GI5621"/>
      <c r="GJ5621"/>
      <c r="GK5621"/>
      <c r="GL5621"/>
      <c r="GM5621"/>
      <c r="GN5621"/>
      <c r="GO5621"/>
    </row>
    <row r="5622" spans="107:197">
      <c r="DC5622"/>
      <c r="FH5622"/>
      <c r="FI5622"/>
      <c r="FJ5622"/>
      <c r="FK5622"/>
      <c r="FL5622"/>
      <c r="FM5622"/>
      <c r="FN5622"/>
      <c r="FO5622"/>
      <c r="FP5622"/>
      <c r="FQ5622"/>
      <c r="FR5622"/>
      <c r="FS5622"/>
      <c r="FT5622"/>
      <c r="FU5622"/>
      <c r="FV5622"/>
      <c r="FW5622"/>
      <c r="FX5622"/>
      <c r="FY5622"/>
      <c r="FZ5622"/>
      <c r="GA5622"/>
      <c r="GB5622"/>
      <c r="GC5622"/>
      <c r="GD5622"/>
      <c r="GE5622"/>
      <c r="GF5622"/>
      <c r="GG5622"/>
      <c r="GH5622"/>
      <c r="GI5622"/>
      <c r="GJ5622"/>
      <c r="GK5622"/>
      <c r="GL5622"/>
      <c r="GM5622"/>
      <c r="GN5622"/>
      <c r="GO5622"/>
    </row>
    <row r="5623" spans="107:197">
      <c r="DC5623"/>
      <c r="FH5623"/>
      <c r="FI5623"/>
      <c r="FJ5623"/>
      <c r="FK5623"/>
      <c r="FL5623"/>
      <c r="FM5623"/>
      <c r="FN5623"/>
      <c r="FO5623"/>
      <c r="FP5623"/>
      <c r="FQ5623"/>
      <c r="FR5623"/>
      <c r="FS5623"/>
      <c r="FT5623"/>
      <c r="FU5623"/>
      <c r="FV5623"/>
      <c r="FW5623"/>
      <c r="FX5623"/>
      <c r="FY5623"/>
      <c r="FZ5623"/>
      <c r="GA5623"/>
      <c r="GB5623"/>
      <c r="GC5623"/>
      <c r="GD5623"/>
      <c r="GE5623"/>
      <c r="GF5623"/>
      <c r="GG5623"/>
      <c r="GH5623"/>
      <c r="GI5623"/>
      <c r="GJ5623"/>
      <c r="GK5623"/>
      <c r="GL5623"/>
      <c r="GM5623"/>
      <c r="GN5623"/>
      <c r="GO5623"/>
    </row>
    <row r="5624" spans="107:197">
      <c r="DC5624"/>
      <c r="FH5624"/>
      <c r="FI5624"/>
      <c r="FJ5624"/>
      <c r="FK5624"/>
      <c r="FL5624"/>
      <c r="FM5624"/>
      <c r="FN5624"/>
      <c r="FO5624"/>
      <c r="FP5624"/>
      <c r="FQ5624"/>
      <c r="FR5624"/>
      <c r="FS5624"/>
      <c r="FT5624"/>
      <c r="FU5624"/>
      <c r="FV5624"/>
      <c r="FW5624"/>
      <c r="FX5624"/>
      <c r="FY5624"/>
      <c r="FZ5624"/>
      <c r="GA5624"/>
      <c r="GB5624"/>
      <c r="GC5624"/>
      <c r="GD5624"/>
      <c r="GE5624"/>
      <c r="GF5624"/>
      <c r="GG5624"/>
      <c r="GH5624"/>
      <c r="GI5624"/>
      <c r="GJ5624"/>
      <c r="GK5624"/>
      <c r="GL5624"/>
      <c r="GM5624"/>
      <c r="GN5624"/>
      <c r="GO5624"/>
    </row>
    <row r="5625" spans="107:197">
      <c r="DC5625"/>
      <c r="FH5625"/>
      <c r="FI5625"/>
      <c r="FJ5625"/>
      <c r="FK5625"/>
      <c r="FL5625"/>
      <c r="FM5625"/>
      <c r="FN5625"/>
      <c r="FO5625"/>
      <c r="FP5625"/>
      <c r="FQ5625"/>
      <c r="FR5625"/>
      <c r="FS5625"/>
      <c r="FT5625"/>
      <c r="FU5625"/>
      <c r="FV5625"/>
      <c r="FW5625"/>
      <c r="FX5625"/>
      <c r="FY5625"/>
      <c r="FZ5625"/>
      <c r="GA5625"/>
      <c r="GB5625"/>
      <c r="GC5625"/>
      <c r="GD5625"/>
      <c r="GE5625"/>
      <c r="GF5625"/>
      <c r="GG5625"/>
      <c r="GH5625"/>
      <c r="GI5625"/>
      <c r="GJ5625"/>
      <c r="GK5625"/>
      <c r="GL5625"/>
      <c r="GM5625"/>
      <c r="GN5625"/>
      <c r="GO5625"/>
    </row>
    <row r="5626" spans="107:197">
      <c r="DC5626"/>
      <c r="FH5626"/>
      <c r="FI5626"/>
      <c r="FJ5626"/>
      <c r="FK5626"/>
      <c r="FL5626"/>
      <c r="FM5626"/>
      <c r="FN5626"/>
      <c r="FO5626"/>
      <c r="FP5626"/>
      <c r="FQ5626"/>
      <c r="FR5626"/>
      <c r="FS5626"/>
      <c r="FT5626"/>
      <c r="FU5626"/>
      <c r="FV5626"/>
      <c r="FW5626"/>
      <c r="FX5626"/>
      <c r="FY5626"/>
      <c r="FZ5626"/>
      <c r="GA5626"/>
      <c r="GB5626"/>
      <c r="GC5626"/>
      <c r="GD5626"/>
      <c r="GE5626"/>
      <c r="GF5626"/>
      <c r="GG5626"/>
      <c r="GH5626"/>
      <c r="GI5626"/>
      <c r="GJ5626"/>
      <c r="GK5626"/>
      <c r="GL5626"/>
      <c r="GM5626"/>
      <c r="GN5626"/>
      <c r="GO5626"/>
    </row>
    <row r="5627" spans="107:197">
      <c r="DC5627"/>
      <c r="FH5627"/>
      <c r="FI5627"/>
      <c r="FJ5627"/>
      <c r="FK5627"/>
      <c r="FL5627"/>
      <c r="FM5627"/>
      <c r="FN5627"/>
      <c r="FO5627"/>
      <c r="FP5627"/>
      <c r="FQ5627"/>
      <c r="FR5627"/>
      <c r="FS5627"/>
      <c r="FT5627"/>
      <c r="FU5627"/>
      <c r="FV5627"/>
      <c r="FW5627"/>
      <c r="FX5627"/>
      <c r="FY5627"/>
      <c r="FZ5627"/>
      <c r="GA5627"/>
      <c r="GB5627"/>
      <c r="GC5627"/>
      <c r="GD5627"/>
      <c r="GE5627"/>
      <c r="GF5627"/>
      <c r="GG5627"/>
      <c r="GH5627"/>
      <c r="GI5627"/>
      <c r="GJ5627"/>
      <c r="GK5627"/>
      <c r="GL5627"/>
      <c r="GM5627"/>
      <c r="GN5627"/>
      <c r="GO5627"/>
    </row>
    <row r="5628" spans="107:197">
      <c r="DC5628"/>
      <c r="FH5628"/>
      <c r="FI5628"/>
      <c r="FJ5628"/>
      <c r="FK5628"/>
      <c r="FL5628"/>
      <c r="FM5628"/>
      <c r="FN5628"/>
      <c r="FO5628"/>
      <c r="FP5628"/>
      <c r="FQ5628"/>
      <c r="FR5628"/>
      <c r="FS5628"/>
      <c r="FT5628"/>
      <c r="FU5628"/>
      <c r="FV5628"/>
      <c r="FW5628"/>
      <c r="FX5628"/>
      <c r="FY5628"/>
      <c r="FZ5628"/>
      <c r="GA5628"/>
      <c r="GB5628"/>
      <c r="GC5628"/>
      <c r="GD5628"/>
      <c r="GE5628"/>
      <c r="GF5628"/>
      <c r="GG5628"/>
      <c r="GH5628"/>
      <c r="GI5628"/>
      <c r="GJ5628"/>
      <c r="GK5628"/>
      <c r="GL5628"/>
      <c r="GM5628"/>
      <c r="GN5628"/>
      <c r="GO5628"/>
    </row>
    <row r="5629" spans="107:197">
      <c r="DC5629"/>
      <c r="FH5629"/>
      <c r="FI5629"/>
      <c r="FJ5629"/>
      <c r="FK5629"/>
      <c r="FL5629"/>
      <c r="FM5629"/>
      <c r="FN5629"/>
      <c r="FO5629"/>
      <c r="FP5629"/>
      <c r="FQ5629"/>
      <c r="FR5629"/>
      <c r="FS5629"/>
      <c r="FT5629"/>
      <c r="FU5629"/>
      <c r="FV5629"/>
      <c r="FW5629"/>
      <c r="FX5629"/>
      <c r="FY5629"/>
      <c r="FZ5629"/>
      <c r="GA5629"/>
      <c r="GB5629"/>
      <c r="GC5629"/>
      <c r="GD5629"/>
      <c r="GE5629"/>
      <c r="GF5629"/>
      <c r="GG5629"/>
      <c r="GH5629"/>
      <c r="GI5629"/>
      <c r="GJ5629"/>
      <c r="GK5629"/>
      <c r="GL5629"/>
      <c r="GM5629"/>
      <c r="GN5629"/>
      <c r="GO5629"/>
    </row>
    <row r="5630" spans="107:197">
      <c r="DC5630"/>
      <c r="FH5630"/>
      <c r="FI5630"/>
      <c r="FJ5630"/>
      <c r="FK5630"/>
      <c r="FL5630"/>
      <c r="FM5630"/>
      <c r="FN5630"/>
      <c r="FO5630"/>
      <c r="FP5630"/>
      <c r="FQ5630"/>
      <c r="FR5630"/>
      <c r="FS5630"/>
      <c r="FT5630"/>
      <c r="FU5630"/>
      <c r="FV5630"/>
      <c r="FW5630"/>
      <c r="FX5630"/>
      <c r="FY5630"/>
      <c r="FZ5630"/>
      <c r="GA5630"/>
      <c r="GB5630"/>
      <c r="GC5630"/>
      <c r="GD5630"/>
      <c r="GE5630"/>
      <c r="GF5630"/>
      <c r="GG5630"/>
      <c r="GH5630"/>
      <c r="GI5630"/>
      <c r="GJ5630"/>
      <c r="GK5630"/>
      <c r="GL5630"/>
      <c r="GM5630"/>
      <c r="GN5630"/>
      <c r="GO5630"/>
    </row>
    <row r="5631" spans="107:197">
      <c r="DC5631"/>
      <c r="FH5631"/>
      <c r="FI5631"/>
      <c r="FJ5631"/>
      <c r="FK5631"/>
      <c r="FL5631"/>
      <c r="FM5631"/>
      <c r="FN5631"/>
      <c r="FO5631"/>
      <c r="FP5631"/>
      <c r="FQ5631"/>
      <c r="FR5631"/>
      <c r="FS5631"/>
      <c r="FT5631"/>
      <c r="FU5631"/>
      <c r="FV5631"/>
      <c r="FW5631"/>
      <c r="FX5631"/>
      <c r="FY5631"/>
      <c r="FZ5631"/>
      <c r="GA5631"/>
      <c r="GB5631"/>
      <c r="GC5631"/>
      <c r="GD5631"/>
      <c r="GE5631"/>
      <c r="GF5631"/>
      <c r="GG5631"/>
      <c r="GH5631"/>
      <c r="GI5631"/>
      <c r="GJ5631"/>
      <c r="GK5631"/>
      <c r="GL5631"/>
      <c r="GM5631"/>
      <c r="GN5631"/>
      <c r="GO5631"/>
    </row>
    <row r="5632" spans="107:197">
      <c r="DC5632"/>
      <c r="FH5632"/>
      <c r="FI5632"/>
      <c r="FJ5632"/>
      <c r="FK5632"/>
      <c r="FL5632"/>
      <c r="FM5632"/>
      <c r="FN5632"/>
      <c r="FO5632"/>
      <c r="FP5632"/>
      <c r="FQ5632"/>
      <c r="FR5632"/>
      <c r="FS5632"/>
      <c r="FT5632"/>
      <c r="FU5632"/>
      <c r="FV5632"/>
      <c r="FW5632"/>
      <c r="FX5632"/>
      <c r="FY5632"/>
      <c r="FZ5632"/>
      <c r="GA5632"/>
      <c r="GB5632"/>
      <c r="GC5632"/>
      <c r="GD5632"/>
      <c r="GE5632"/>
      <c r="GF5632"/>
      <c r="GG5632"/>
      <c r="GH5632"/>
      <c r="GI5632"/>
      <c r="GJ5632"/>
      <c r="GK5632"/>
      <c r="GL5632"/>
      <c r="GM5632"/>
      <c r="GN5632"/>
      <c r="GO5632"/>
    </row>
    <row r="5633" spans="107:197">
      <c r="DC5633"/>
      <c r="FH5633"/>
      <c r="FI5633"/>
      <c r="FJ5633"/>
      <c r="FK5633"/>
      <c r="FL5633"/>
      <c r="FM5633"/>
      <c r="FN5633"/>
      <c r="FO5633"/>
      <c r="FP5633"/>
      <c r="FQ5633"/>
      <c r="FR5633"/>
      <c r="FS5633"/>
      <c r="FT5633"/>
      <c r="FU5633"/>
      <c r="FV5633"/>
      <c r="FW5633"/>
      <c r="FX5633"/>
      <c r="FY5633"/>
      <c r="FZ5633"/>
      <c r="GA5633"/>
      <c r="GB5633"/>
      <c r="GC5633"/>
      <c r="GD5633"/>
      <c r="GE5633"/>
      <c r="GF5633"/>
      <c r="GG5633"/>
      <c r="GH5633"/>
      <c r="GI5633"/>
      <c r="GJ5633"/>
      <c r="GK5633"/>
      <c r="GL5633"/>
      <c r="GM5633"/>
      <c r="GN5633"/>
      <c r="GO5633"/>
    </row>
    <row r="5634" spans="107:197">
      <c r="DC5634"/>
      <c r="FH5634"/>
      <c r="FI5634"/>
      <c r="FJ5634"/>
      <c r="FK5634"/>
      <c r="FL5634"/>
      <c r="FM5634"/>
      <c r="FN5634"/>
      <c r="FO5634"/>
      <c r="FP5634"/>
      <c r="FQ5634"/>
      <c r="FR5634"/>
      <c r="FS5634"/>
      <c r="FT5634"/>
      <c r="FU5634"/>
      <c r="FV5634"/>
      <c r="FW5634"/>
      <c r="FX5634"/>
      <c r="FY5634"/>
      <c r="FZ5634"/>
      <c r="GA5634"/>
      <c r="GB5634"/>
      <c r="GC5634"/>
      <c r="GD5634"/>
      <c r="GE5634"/>
      <c r="GF5634"/>
      <c r="GG5634"/>
      <c r="GH5634"/>
      <c r="GI5634"/>
      <c r="GJ5634"/>
      <c r="GK5634"/>
      <c r="GL5634"/>
      <c r="GM5634"/>
      <c r="GN5634"/>
      <c r="GO5634"/>
    </row>
    <row r="5635" spans="107:197">
      <c r="DC5635"/>
      <c r="FH5635"/>
      <c r="FI5635"/>
      <c r="FJ5635"/>
      <c r="FK5635"/>
      <c r="FL5635"/>
      <c r="FM5635"/>
      <c r="FN5635"/>
      <c r="FO5635"/>
      <c r="FP5635"/>
      <c r="FQ5635"/>
      <c r="FR5635"/>
      <c r="FS5635"/>
      <c r="FT5635"/>
      <c r="FU5635"/>
      <c r="FV5635"/>
      <c r="FW5635"/>
      <c r="FX5635"/>
      <c r="FY5635"/>
      <c r="FZ5635"/>
      <c r="GA5635"/>
      <c r="GB5635"/>
      <c r="GC5635"/>
      <c r="GD5635"/>
      <c r="GE5635"/>
      <c r="GF5635"/>
      <c r="GG5635"/>
      <c r="GH5635"/>
      <c r="GI5635"/>
      <c r="GJ5635"/>
      <c r="GK5635"/>
      <c r="GL5635"/>
      <c r="GM5635"/>
      <c r="GN5635"/>
      <c r="GO5635"/>
    </row>
    <row r="5636" spans="107:197">
      <c r="DC5636"/>
      <c r="FH5636"/>
      <c r="FI5636"/>
      <c r="FJ5636"/>
      <c r="FK5636"/>
      <c r="FL5636"/>
      <c r="FM5636"/>
      <c r="FN5636"/>
      <c r="FO5636"/>
      <c r="FP5636"/>
      <c r="FQ5636"/>
      <c r="FR5636"/>
      <c r="FS5636"/>
      <c r="FT5636"/>
      <c r="FU5636"/>
      <c r="FV5636"/>
      <c r="FW5636"/>
      <c r="FX5636"/>
      <c r="FY5636"/>
      <c r="FZ5636"/>
      <c r="GA5636"/>
      <c r="GB5636"/>
      <c r="GC5636"/>
      <c r="GD5636"/>
      <c r="GE5636"/>
      <c r="GF5636"/>
      <c r="GG5636"/>
      <c r="GH5636"/>
      <c r="GI5636"/>
      <c r="GJ5636"/>
      <c r="GK5636"/>
      <c r="GL5636"/>
      <c r="GM5636"/>
      <c r="GN5636"/>
      <c r="GO5636"/>
    </row>
    <row r="5637" spans="107:197">
      <c r="DC5637"/>
      <c r="FH5637"/>
      <c r="FI5637"/>
      <c r="FJ5637"/>
      <c r="FK5637"/>
      <c r="FL5637"/>
      <c r="FM5637"/>
      <c r="FN5637"/>
      <c r="FO5637"/>
      <c r="FP5637"/>
      <c r="FQ5637"/>
      <c r="FR5637"/>
      <c r="FS5637"/>
      <c r="FT5637"/>
      <c r="FU5637"/>
      <c r="FV5637"/>
      <c r="FW5637"/>
      <c r="FX5637"/>
      <c r="FY5637"/>
      <c r="FZ5637"/>
      <c r="GA5637"/>
      <c r="GB5637"/>
      <c r="GC5637"/>
      <c r="GD5637"/>
      <c r="GE5637"/>
      <c r="GF5637"/>
      <c r="GG5637"/>
      <c r="GH5637"/>
      <c r="GI5637"/>
      <c r="GJ5637"/>
      <c r="GK5637"/>
      <c r="GL5637"/>
      <c r="GM5637"/>
      <c r="GN5637"/>
      <c r="GO5637"/>
    </row>
    <row r="5638" spans="107:197">
      <c r="DC5638"/>
      <c r="FH5638"/>
      <c r="FI5638"/>
      <c r="FJ5638"/>
      <c r="FK5638"/>
      <c r="FL5638"/>
      <c r="FM5638"/>
      <c r="FN5638"/>
      <c r="FO5638"/>
      <c r="FP5638"/>
      <c r="FQ5638"/>
      <c r="FR5638"/>
      <c r="FS5638"/>
      <c r="FT5638"/>
      <c r="FU5638"/>
      <c r="FV5638"/>
      <c r="FW5638"/>
      <c r="FX5638"/>
      <c r="FY5638"/>
      <c r="FZ5638"/>
      <c r="GA5638"/>
      <c r="GB5638"/>
      <c r="GC5638"/>
      <c r="GD5638"/>
      <c r="GE5638"/>
      <c r="GF5638"/>
      <c r="GG5638"/>
      <c r="GH5638"/>
      <c r="GI5638"/>
      <c r="GJ5638"/>
      <c r="GK5638"/>
      <c r="GL5638"/>
      <c r="GM5638"/>
      <c r="GN5638"/>
      <c r="GO5638"/>
    </row>
    <row r="5639" spans="107:197">
      <c r="DC5639"/>
      <c r="FH5639"/>
      <c r="FI5639"/>
      <c r="FJ5639"/>
      <c r="FK5639"/>
      <c r="FL5639"/>
      <c r="FM5639"/>
      <c r="FN5639"/>
      <c r="FO5639"/>
      <c r="FP5639"/>
      <c r="FQ5639"/>
      <c r="FR5639"/>
      <c r="FS5639"/>
      <c r="FT5639"/>
      <c r="FU5639"/>
      <c r="FV5639"/>
      <c r="FW5639"/>
      <c r="FX5639"/>
      <c r="FY5639"/>
      <c r="FZ5639"/>
      <c r="GA5639"/>
      <c r="GB5639"/>
      <c r="GC5639"/>
      <c r="GD5639"/>
      <c r="GE5639"/>
      <c r="GF5639"/>
      <c r="GG5639"/>
      <c r="GH5639"/>
      <c r="GI5639"/>
      <c r="GJ5639"/>
      <c r="GK5639"/>
      <c r="GL5639"/>
      <c r="GM5639"/>
      <c r="GN5639"/>
      <c r="GO5639"/>
    </row>
    <row r="5640" spans="107:197">
      <c r="DC5640"/>
      <c r="FH5640"/>
      <c r="FI5640"/>
      <c r="FJ5640"/>
      <c r="FK5640"/>
      <c r="FL5640"/>
      <c r="FM5640"/>
      <c r="FN5640"/>
      <c r="FO5640"/>
      <c r="FP5640"/>
      <c r="FQ5640"/>
      <c r="FR5640"/>
      <c r="FS5640"/>
      <c r="FT5640"/>
      <c r="FU5640"/>
      <c r="FV5640"/>
      <c r="FW5640"/>
      <c r="FX5640"/>
      <c r="FY5640"/>
      <c r="FZ5640"/>
      <c r="GA5640"/>
      <c r="GB5640"/>
      <c r="GC5640"/>
      <c r="GD5640"/>
      <c r="GE5640"/>
      <c r="GF5640"/>
      <c r="GG5640"/>
      <c r="GH5640"/>
      <c r="GI5640"/>
      <c r="GJ5640"/>
      <c r="GK5640"/>
      <c r="GL5640"/>
      <c r="GM5640"/>
      <c r="GN5640"/>
      <c r="GO5640"/>
    </row>
    <row r="5641" spans="107:197">
      <c r="DC5641"/>
      <c r="FH5641"/>
      <c r="FI5641"/>
      <c r="FJ5641"/>
      <c r="FK5641"/>
      <c r="FL5641"/>
      <c r="FM5641"/>
      <c r="FN5641"/>
      <c r="FO5641"/>
      <c r="FP5641"/>
      <c r="FQ5641"/>
      <c r="FR5641"/>
      <c r="FS5641"/>
      <c r="FT5641"/>
      <c r="FU5641"/>
      <c r="FV5641"/>
      <c r="FW5641"/>
      <c r="FX5641"/>
      <c r="FY5641"/>
      <c r="FZ5641"/>
      <c r="GA5641"/>
      <c r="GB5641"/>
      <c r="GC5641"/>
      <c r="GD5641"/>
      <c r="GE5641"/>
      <c r="GF5641"/>
      <c r="GG5641"/>
      <c r="GH5641"/>
      <c r="GI5641"/>
      <c r="GJ5641"/>
      <c r="GK5641"/>
      <c r="GL5641"/>
      <c r="GM5641"/>
      <c r="GN5641"/>
      <c r="GO5641"/>
    </row>
    <row r="5642" spans="107:197">
      <c r="DC5642"/>
      <c r="FH5642"/>
      <c r="FI5642"/>
      <c r="FJ5642"/>
      <c r="FK5642"/>
      <c r="FL5642"/>
      <c r="FM5642"/>
      <c r="FN5642"/>
      <c r="FO5642"/>
      <c r="FP5642"/>
      <c r="FQ5642"/>
      <c r="FR5642"/>
      <c r="FS5642"/>
      <c r="FT5642"/>
      <c r="FU5642"/>
      <c r="FV5642"/>
      <c r="FW5642"/>
      <c r="FX5642"/>
      <c r="FY5642"/>
      <c r="FZ5642"/>
      <c r="GA5642"/>
      <c r="GB5642"/>
      <c r="GC5642"/>
      <c r="GD5642"/>
      <c r="GE5642"/>
      <c r="GF5642"/>
      <c r="GG5642"/>
      <c r="GH5642"/>
      <c r="GI5642"/>
      <c r="GJ5642"/>
      <c r="GK5642"/>
      <c r="GL5642"/>
      <c r="GM5642"/>
      <c r="GN5642"/>
      <c r="GO5642"/>
    </row>
    <row r="5643" spans="107:197">
      <c r="DC5643"/>
      <c r="FH5643"/>
      <c r="FI5643"/>
      <c r="FJ5643"/>
      <c r="FK5643"/>
      <c r="FL5643"/>
      <c r="FM5643"/>
      <c r="FN5643"/>
      <c r="FO5643"/>
      <c r="FP5643"/>
      <c r="FQ5643"/>
      <c r="FR5643"/>
      <c r="FS5643"/>
      <c r="FT5643"/>
      <c r="FU5643"/>
      <c r="FV5643"/>
      <c r="FW5643"/>
      <c r="FX5643"/>
      <c r="FY5643"/>
      <c r="FZ5643"/>
      <c r="GA5643"/>
      <c r="GB5643"/>
      <c r="GC5643"/>
      <c r="GD5643"/>
      <c r="GE5643"/>
      <c r="GF5643"/>
      <c r="GG5643"/>
      <c r="GH5643"/>
      <c r="GI5643"/>
      <c r="GJ5643"/>
      <c r="GK5643"/>
      <c r="GL5643"/>
      <c r="GM5643"/>
      <c r="GN5643"/>
      <c r="GO5643"/>
    </row>
    <row r="5644" spans="107:197">
      <c r="DC5644"/>
      <c r="FH5644"/>
      <c r="FI5644"/>
      <c r="FJ5644"/>
      <c r="FK5644"/>
      <c r="FL5644"/>
      <c r="FM5644"/>
      <c r="FN5644"/>
      <c r="FO5644"/>
      <c r="FP5644"/>
      <c r="FQ5644"/>
      <c r="FR5644"/>
      <c r="FS5644"/>
      <c r="FT5644"/>
      <c r="FU5644"/>
      <c r="FV5644"/>
      <c r="FW5644"/>
      <c r="FX5644"/>
      <c r="FY5644"/>
      <c r="FZ5644"/>
      <c r="GA5644"/>
      <c r="GB5644"/>
      <c r="GC5644"/>
      <c r="GD5644"/>
      <c r="GE5644"/>
      <c r="GF5644"/>
      <c r="GG5644"/>
      <c r="GH5644"/>
      <c r="GI5644"/>
      <c r="GJ5644"/>
      <c r="GK5644"/>
      <c r="GL5644"/>
      <c r="GM5644"/>
      <c r="GN5644"/>
      <c r="GO5644"/>
    </row>
    <row r="5645" spans="107:197">
      <c r="DC5645"/>
      <c r="FH5645"/>
      <c r="FI5645"/>
      <c r="FJ5645"/>
      <c r="FK5645"/>
      <c r="FL5645"/>
      <c r="FM5645"/>
      <c r="FN5645"/>
      <c r="FO5645"/>
      <c r="FP5645"/>
      <c r="FQ5645"/>
      <c r="FR5645"/>
      <c r="FS5645"/>
      <c r="FT5645"/>
      <c r="FU5645"/>
      <c r="FV5645"/>
      <c r="FW5645"/>
      <c r="FX5645"/>
      <c r="FY5645"/>
      <c r="FZ5645"/>
      <c r="GA5645"/>
      <c r="GB5645"/>
      <c r="GC5645"/>
      <c r="GD5645"/>
      <c r="GE5645"/>
      <c r="GF5645"/>
      <c r="GG5645"/>
      <c r="GH5645"/>
      <c r="GI5645"/>
      <c r="GJ5645"/>
      <c r="GK5645"/>
      <c r="GL5645"/>
      <c r="GM5645"/>
      <c r="GN5645"/>
      <c r="GO5645"/>
    </row>
    <row r="5646" spans="107:197">
      <c r="DC5646"/>
      <c r="FH5646"/>
      <c r="FI5646"/>
      <c r="FJ5646"/>
      <c r="FK5646"/>
      <c r="FL5646"/>
      <c r="FM5646"/>
      <c r="FN5646"/>
      <c r="FO5646"/>
      <c r="FP5646"/>
      <c r="FQ5646"/>
      <c r="FR5646"/>
      <c r="FS5646"/>
      <c r="FT5646"/>
      <c r="FU5646"/>
      <c r="FV5646"/>
      <c r="FW5646"/>
      <c r="FX5646"/>
      <c r="FY5646"/>
      <c r="FZ5646"/>
      <c r="GA5646"/>
      <c r="GB5646"/>
      <c r="GC5646"/>
      <c r="GD5646"/>
      <c r="GE5646"/>
      <c r="GF5646"/>
      <c r="GG5646"/>
      <c r="GH5646"/>
      <c r="GI5646"/>
      <c r="GJ5646"/>
      <c r="GK5646"/>
      <c r="GL5646"/>
      <c r="GM5646"/>
      <c r="GN5646"/>
      <c r="GO5646"/>
    </row>
    <row r="5647" spans="107:197">
      <c r="DC5647"/>
      <c r="FH5647"/>
      <c r="FI5647"/>
      <c r="FJ5647"/>
      <c r="FK5647"/>
      <c r="FL5647"/>
      <c r="FM5647"/>
      <c r="FN5647"/>
      <c r="FO5647"/>
      <c r="FP5647"/>
      <c r="FQ5647"/>
      <c r="FR5647"/>
      <c r="FS5647"/>
      <c r="FT5647"/>
      <c r="FU5647"/>
      <c r="FV5647"/>
      <c r="FW5647"/>
      <c r="FX5647"/>
      <c r="FY5647"/>
      <c r="FZ5647"/>
      <c r="GA5647"/>
      <c r="GB5647"/>
      <c r="GC5647"/>
      <c r="GD5647"/>
      <c r="GE5647"/>
      <c r="GF5647"/>
      <c r="GG5647"/>
      <c r="GH5647"/>
      <c r="GI5647"/>
      <c r="GJ5647"/>
      <c r="GK5647"/>
      <c r="GL5647"/>
      <c r="GM5647"/>
      <c r="GN5647"/>
      <c r="GO5647"/>
    </row>
    <row r="5648" spans="107:197">
      <c r="DC5648"/>
      <c r="FH5648"/>
      <c r="FI5648"/>
      <c r="FJ5648"/>
      <c r="FK5648"/>
      <c r="FL5648"/>
      <c r="FM5648"/>
      <c r="FN5648"/>
      <c r="FO5648"/>
      <c r="FP5648"/>
      <c r="FQ5648"/>
      <c r="FR5648"/>
      <c r="FS5648"/>
      <c r="FT5648"/>
      <c r="FU5648"/>
      <c r="FV5648"/>
      <c r="FW5648"/>
      <c r="FX5648"/>
      <c r="FY5648"/>
      <c r="FZ5648"/>
      <c r="GA5648"/>
      <c r="GB5648"/>
      <c r="GC5648"/>
      <c r="GD5648"/>
      <c r="GE5648"/>
      <c r="GF5648"/>
      <c r="GG5648"/>
      <c r="GH5648"/>
      <c r="GI5648"/>
      <c r="GJ5648"/>
      <c r="GK5648"/>
      <c r="GL5648"/>
      <c r="GM5648"/>
      <c r="GN5648"/>
      <c r="GO5648"/>
    </row>
    <row r="5649" spans="107:197">
      <c r="DC5649"/>
      <c r="FH5649"/>
      <c r="FI5649"/>
      <c r="FJ5649"/>
      <c r="FK5649"/>
      <c r="FL5649"/>
      <c r="FM5649"/>
      <c r="FN5649"/>
      <c r="FO5649"/>
      <c r="FP5649"/>
      <c r="FQ5649"/>
      <c r="FR5649"/>
      <c r="FS5649"/>
      <c r="FT5649"/>
      <c r="FU5649"/>
      <c r="FV5649"/>
      <c r="FW5649"/>
      <c r="FX5649"/>
      <c r="FY5649"/>
      <c r="FZ5649"/>
      <c r="GA5649"/>
      <c r="GB5649"/>
      <c r="GC5649"/>
      <c r="GD5649"/>
      <c r="GE5649"/>
      <c r="GF5649"/>
      <c r="GG5649"/>
      <c r="GH5649"/>
      <c r="GI5649"/>
      <c r="GJ5649"/>
      <c r="GK5649"/>
      <c r="GL5649"/>
      <c r="GM5649"/>
      <c r="GN5649"/>
      <c r="GO5649"/>
    </row>
    <row r="5650" spans="107:197">
      <c r="DC5650"/>
      <c r="FH5650"/>
      <c r="FI5650"/>
      <c r="FJ5650"/>
      <c r="FK5650"/>
      <c r="FL5650"/>
      <c r="FM5650"/>
      <c r="FN5650"/>
      <c r="FO5650"/>
      <c r="FP5650"/>
      <c r="FQ5650"/>
      <c r="FR5650"/>
      <c r="FS5650"/>
      <c r="FT5650"/>
      <c r="FU5650"/>
      <c r="FV5650"/>
      <c r="FW5650"/>
      <c r="FX5650"/>
      <c r="FY5650"/>
      <c r="FZ5650"/>
      <c r="GA5650"/>
      <c r="GB5650"/>
      <c r="GC5650"/>
      <c r="GD5650"/>
      <c r="GE5650"/>
      <c r="GF5650"/>
      <c r="GG5650"/>
      <c r="GH5650"/>
      <c r="GI5650"/>
      <c r="GJ5650"/>
      <c r="GK5650"/>
      <c r="GL5650"/>
      <c r="GM5650"/>
      <c r="GN5650"/>
      <c r="GO5650"/>
    </row>
    <row r="5651" spans="107:197">
      <c r="DC5651"/>
      <c r="FH5651"/>
      <c r="FI5651"/>
      <c r="FJ5651"/>
      <c r="FK5651"/>
      <c r="FL5651"/>
      <c r="FM5651"/>
      <c r="FN5651"/>
      <c r="FO5651"/>
      <c r="FP5651"/>
      <c r="FQ5651"/>
      <c r="FR5651"/>
      <c r="FS5651"/>
      <c r="FT5651"/>
      <c r="FU5651"/>
      <c r="FV5651"/>
      <c r="FW5651"/>
      <c r="FX5651"/>
      <c r="FY5651"/>
      <c r="FZ5651"/>
      <c r="GA5651"/>
      <c r="GB5651"/>
      <c r="GC5651"/>
      <c r="GD5651"/>
      <c r="GE5651"/>
      <c r="GF5651"/>
      <c r="GG5651"/>
      <c r="GH5651"/>
      <c r="GI5651"/>
      <c r="GJ5651"/>
      <c r="GK5651"/>
      <c r="GL5651"/>
      <c r="GM5651"/>
      <c r="GN5651"/>
      <c r="GO5651"/>
    </row>
    <row r="5652" spans="107:197">
      <c r="DC5652"/>
      <c r="FH5652"/>
      <c r="FI5652"/>
      <c r="FJ5652"/>
      <c r="FK5652"/>
      <c r="FL5652"/>
      <c r="FM5652"/>
      <c r="FN5652"/>
      <c r="FO5652"/>
      <c r="FP5652"/>
      <c r="FQ5652"/>
      <c r="FR5652"/>
      <c r="FS5652"/>
      <c r="FT5652"/>
      <c r="FU5652"/>
      <c r="FV5652"/>
      <c r="FW5652"/>
      <c r="FX5652"/>
      <c r="FY5652"/>
      <c r="FZ5652"/>
      <c r="GA5652"/>
      <c r="GB5652"/>
      <c r="GC5652"/>
      <c r="GD5652"/>
      <c r="GE5652"/>
      <c r="GF5652"/>
      <c r="GG5652"/>
      <c r="GH5652"/>
      <c r="GI5652"/>
      <c r="GJ5652"/>
      <c r="GK5652"/>
      <c r="GL5652"/>
      <c r="GM5652"/>
      <c r="GN5652"/>
      <c r="GO5652"/>
    </row>
    <row r="5653" spans="107:197">
      <c r="DC5653"/>
      <c r="FH5653"/>
      <c r="FI5653"/>
      <c r="FJ5653"/>
      <c r="FK5653"/>
      <c r="FL5653"/>
      <c r="FM5653"/>
      <c r="FN5653"/>
      <c r="FO5653"/>
      <c r="FP5653"/>
      <c r="FQ5653"/>
      <c r="FR5653"/>
      <c r="FS5653"/>
      <c r="FT5653"/>
      <c r="FU5653"/>
      <c r="FV5653"/>
      <c r="FW5653"/>
      <c r="FX5653"/>
      <c r="FY5653"/>
      <c r="FZ5653"/>
      <c r="GA5653"/>
      <c r="GB5653"/>
      <c r="GC5653"/>
      <c r="GD5653"/>
      <c r="GE5653"/>
      <c r="GF5653"/>
      <c r="GG5653"/>
      <c r="GH5653"/>
      <c r="GI5653"/>
      <c r="GJ5653"/>
      <c r="GK5653"/>
      <c r="GL5653"/>
      <c r="GM5653"/>
      <c r="GN5653"/>
      <c r="GO5653"/>
    </row>
    <row r="5654" spans="107:197">
      <c r="DC5654"/>
      <c r="FH5654"/>
      <c r="FI5654"/>
      <c r="FJ5654"/>
      <c r="FK5654"/>
      <c r="FL5654"/>
      <c r="FM5654"/>
      <c r="FN5654"/>
      <c r="FO5654"/>
      <c r="FP5654"/>
      <c r="FQ5654"/>
      <c r="FR5654"/>
      <c r="FS5654"/>
      <c r="FT5654"/>
      <c r="FU5654"/>
      <c r="FV5654"/>
      <c r="FW5654"/>
      <c r="FX5654"/>
      <c r="FY5654"/>
      <c r="FZ5654"/>
      <c r="GA5654"/>
      <c r="GB5654"/>
      <c r="GC5654"/>
      <c r="GD5654"/>
      <c r="GE5654"/>
      <c r="GF5654"/>
      <c r="GG5654"/>
      <c r="GH5654"/>
      <c r="GI5654"/>
      <c r="GJ5654"/>
      <c r="GK5654"/>
      <c r="GL5654"/>
      <c r="GM5654"/>
      <c r="GN5654"/>
      <c r="GO5654"/>
    </row>
    <row r="5655" spans="107:197">
      <c r="DC5655"/>
      <c r="FH5655"/>
      <c r="FI5655"/>
      <c r="FJ5655"/>
      <c r="FK5655"/>
      <c r="FL5655"/>
      <c r="FM5655"/>
      <c r="FN5655"/>
      <c r="FO5655"/>
      <c r="FP5655"/>
      <c r="FQ5655"/>
      <c r="FR5655"/>
      <c r="FS5655"/>
      <c r="FT5655"/>
      <c r="FU5655"/>
      <c r="FV5655"/>
      <c r="FW5655"/>
      <c r="FX5655"/>
      <c r="FY5655"/>
      <c r="FZ5655"/>
      <c r="GA5655"/>
      <c r="GB5655"/>
      <c r="GC5655"/>
      <c r="GD5655"/>
      <c r="GE5655"/>
      <c r="GF5655"/>
      <c r="GG5655"/>
      <c r="GH5655"/>
      <c r="GI5655"/>
      <c r="GJ5655"/>
      <c r="GK5655"/>
      <c r="GL5655"/>
      <c r="GM5655"/>
      <c r="GN5655"/>
      <c r="GO5655"/>
    </row>
    <row r="5656" spans="107:197">
      <c r="DC5656"/>
      <c r="FH5656"/>
      <c r="FI5656"/>
      <c r="FJ5656"/>
      <c r="FK5656"/>
      <c r="FL5656"/>
      <c r="FM5656"/>
      <c r="FN5656"/>
      <c r="FO5656"/>
      <c r="FP5656"/>
      <c r="FQ5656"/>
      <c r="FR5656"/>
      <c r="FS5656"/>
      <c r="FT5656"/>
      <c r="FU5656"/>
      <c r="FV5656"/>
      <c r="FW5656"/>
      <c r="FX5656"/>
      <c r="FY5656"/>
      <c r="FZ5656"/>
      <c r="GA5656"/>
      <c r="GB5656"/>
      <c r="GC5656"/>
      <c r="GD5656"/>
      <c r="GE5656"/>
      <c r="GF5656"/>
      <c r="GG5656"/>
      <c r="GH5656"/>
      <c r="GI5656"/>
      <c r="GJ5656"/>
      <c r="GK5656"/>
      <c r="GL5656"/>
      <c r="GM5656"/>
      <c r="GN5656"/>
      <c r="GO5656"/>
    </row>
    <row r="5657" spans="107:197">
      <c r="DC5657"/>
      <c r="FH5657"/>
      <c r="FI5657"/>
      <c r="FJ5657"/>
      <c r="FK5657"/>
      <c r="FL5657"/>
      <c r="FM5657"/>
      <c r="FN5657"/>
      <c r="FO5657"/>
      <c r="FP5657"/>
      <c r="FQ5657"/>
      <c r="FR5657"/>
      <c r="FS5657"/>
      <c r="FT5657"/>
      <c r="FU5657"/>
      <c r="FV5657"/>
      <c r="FW5657"/>
      <c r="FX5657"/>
      <c r="FY5657"/>
      <c r="FZ5657"/>
      <c r="GA5657"/>
      <c r="GB5657"/>
      <c r="GC5657"/>
      <c r="GD5657"/>
      <c r="GE5657"/>
      <c r="GF5657"/>
      <c r="GG5657"/>
      <c r="GH5657"/>
      <c r="GI5657"/>
      <c r="GJ5657"/>
      <c r="GK5657"/>
      <c r="GL5657"/>
      <c r="GM5657"/>
      <c r="GN5657"/>
      <c r="GO5657"/>
    </row>
    <row r="5658" spans="107:197">
      <c r="DC5658"/>
      <c r="FH5658"/>
      <c r="FI5658"/>
      <c r="FJ5658"/>
      <c r="FK5658"/>
      <c r="FL5658"/>
      <c r="FM5658"/>
      <c r="FN5658"/>
      <c r="FO5658"/>
      <c r="FP5658"/>
      <c r="FQ5658"/>
      <c r="FR5658"/>
      <c r="FS5658"/>
      <c r="FT5658"/>
      <c r="FU5658"/>
      <c r="FV5658"/>
      <c r="FW5658"/>
      <c r="FX5658"/>
      <c r="FY5658"/>
      <c r="FZ5658"/>
      <c r="GA5658"/>
      <c r="GB5658"/>
      <c r="GC5658"/>
      <c r="GD5658"/>
      <c r="GE5658"/>
      <c r="GF5658"/>
      <c r="GG5658"/>
      <c r="GH5658"/>
      <c r="GI5658"/>
      <c r="GJ5658"/>
      <c r="GK5658"/>
      <c r="GL5658"/>
      <c r="GM5658"/>
      <c r="GN5658"/>
      <c r="GO5658"/>
    </row>
    <row r="5659" spans="107:197">
      <c r="DC5659"/>
      <c r="FH5659"/>
      <c r="FI5659"/>
      <c r="FJ5659"/>
      <c r="FK5659"/>
      <c r="FL5659"/>
      <c r="FM5659"/>
      <c r="FN5659"/>
      <c r="FO5659"/>
      <c r="FP5659"/>
      <c r="FQ5659"/>
      <c r="FR5659"/>
      <c r="FS5659"/>
      <c r="FT5659"/>
      <c r="FU5659"/>
      <c r="FV5659"/>
      <c r="FW5659"/>
      <c r="FX5659"/>
      <c r="FY5659"/>
      <c r="FZ5659"/>
      <c r="GA5659"/>
      <c r="GB5659"/>
      <c r="GC5659"/>
      <c r="GD5659"/>
      <c r="GE5659"/>
      <c r="GF5659"/>
      <c r="GG5659"/>
      <c r="GH5659"/>
      <c r="GI5659"/>
      <c r="GJ5659"/>
      <c r="GK5659"/>
      <c r="GL5659"/>
      <c r="GM5659"/>
      <c r="GN5659"/>
      <c r="GO5659"/>
    </row>
    <row r="5660" spans="107:197">
      <c r="DC5660"/>
      <c r="FH5660"/>
      <c r="FI5660"/>
      <c r="FJ5660"/>
      <c r="FK5660"/>
      <c r="FL5660"/>
      <c r="FM5660"/>
      <c r="FN5660"/>
      <c r="FO5660"/>
      <c r="FP5660"/>
      <c r="FQ5660"/>
      <c r="FR5660"/>
      <c r="FS5660"/>
      <c r="FT5660"/>
      <c r="FU5660"/>
      <c r="FV5660"/>
      <c r="FW5660"/>
      <c r="FX5660"/>
      <c r="FY5660"/>
      <c r="FZ5660"/>
      <c r="GA5660"/>
      <c r="GB5660"/>
      <c r="GC5660"/>
      <c r="GD5660"/>
      <c r="GE5660"/>
      <c r="GF5660"/>
      <c r="GG5660"/>
      <c r="GH5660"/>
      <c r="GI5660"/>
      <c r="GJ5660"/>
      <c r="GK5660"/>
      <c r="GL5660"/>
      <c r="GM5660"/>
      <c r="GN5660"/>
      <c r="GO5660"/>
    </row>
    <row r="5661" spans="107:197">
      <c r="DC5661"/>
      <c r="FH5661"/>
      <c r="FI5661"/>
      <c r="FJ5661"/>
      <c r="FK5661"/>
      <c r="FL5661"/>
      <c r="FM5661"/>
      <c r="FN5661"/>
      <c r="FO5661"/>
      <c r="FP5661"/>
      <c r="FQ5661"/>
      <c r="FR5661"/>
      <c r="FS5661"/>
      <c r="FT5661"/>
      <c r="FU5661"/>
      <c r="FV5661"/>
      <c r="FW5661"/>
      <c r="FX5661"/>
      <c r="FY5661"/>
      <c r="FZ5661"/>
      <c r="GA5661"/>
      <c r="GB5661"/>
      <c r="GC5661"/>
      <c r="GD5661"/>
      <c r="GE5661"/>
      <c r="GF5661"/>
      <c r="GG5661"/>
      <c r="GH5661"/>
      <c r="GI5661"/>
      <c r="GJ5661"/>
      <c r="GK5661"/>
      <c r="GL5661"/>
      <c r="GM5661"/>
      <c r="GN5661"/>
      <c r="GO5661"/>
    </row>
    <row r="5662" spans="107:197">
      <c r="DC5662"/>
      <c r="FH5662"/>
      <c r="FI5662"/>
      <c r="FJ5662"/>
      <c r="FK5662"/>
      <c r="FL5662"/>
      <c r="FM5662"/>
      <c r="FN5662"/>
      <c r="FO5662"/>
      <c r="FP5662"/>
      <c r="FQ5662"/>
      <c r="FR5662"/>
      <c r="FS5662"/>
      <c r="FT5662"/>
      <c r="FU5662"/>
      <c r="FV5662"/>
      <c r="FW5662"/>
      <c r="FX5662"/>
      <c r="FY5662"/>
      <c r="FZ5662"/>
      <c r="GA5662"/>
      <c r="GB5662"/>
      <c r="GC5662"/>
      <c r="GD5662"/>
      <c r="GE5662"/>
      <c r="GF5662"/>
      <c r="GG5662"/>
      <c r="GH5662"/>
      <c r="GI5662"/>
      <c r="GJ5662"/>
      <c r="GK5662"/>
      <c r="GL5662"/>
      <c r="GM5662"/>
      <c r="GN5662"/>
      <c r="GO5662"/>
    </row>
    <row r="5663" spans="107:197">
      <c r="DC5663"/>
      <c r="FH5663"/>
      <c r="FI5663"/>
      <c r="FJ5663"/>
      <c r="FK5663"/>
      <c r="FL5663"/>
      <c r="FM5663"/>
      <c r="FN5663"/>
      <c r="FO5663"/>
      <c r="FP5663"/>
      <c r="FQ5663"/>
      <c r="FR5663"/>
      <c r="FS5663"/>
      <c r="FT5663"/>
      <c r="FU5663"/>
      <c r="FV5663"/>
      <c r="FW5663"/>
      <c r="FX5663"/>
      <c r="FY5663"/>
      <c r="FZ5663"/>
      <c r="GA5663"/>
      <c r="GB5663"/>
      <c r="GC5663"/>
      <c r="GD5663"/>
      <c r="GE5663"/>
      <c r="GF5663"/>
      <c r="GG5663"/>
      <c r="GH5663"/>
      <c r="GI5663"/>
      <c r="GJ5663"/>
      <c r="GK5663"/>
      <c r="GL5663"/>
      <c r="GM5663"/>
      <c r="GN5663"/>
      <c r="GO5663"/>
    </row>
    <row r="5664" spans="107:197">
      <c r="DC5664"/>
      <c r="FH5664"/>
      <c r="FI5664"/>
      <c r="FJ5664"/>
      <c r="FK5664"/>
      <c r="FL5664"/>
      <c r="FM5664"/>
      <c r="FN5664"/>
      <c r="FO5664"/>
      <c r="FP5664"/>
      <c r="FQ5664"/>
      <c r="FR5664"/>
      <c r="FS5664"/>
      <c r="FT5664"/>
      <c r="FU5664"/>
      <c r="FV5664"/>
      <c r="FW5664"/>
      <c r="FX5664"/>
      <c r="FY5664"/>
      <c r="FZ5664"/>
      <c r="GA5664"/>
      <c r="GB5664"/>
      <c r="GC5664"/>
      <c r="GD5664"/>
      <c r="GE5664"/>
      <c r="GF5664"/>
      <c r="GG5664"/>
      <c r="GH5664"/>
      <c r="GI5664"/>
      <c r="GJ5664"/>
      <c r="GK5664"/>
      <c r="GL5664"/>
      <c r="GM5664"/>
      <c r="GN5664"/>
      <c r="GO5664"/>
    </row>
    <row r="5665" spans="107:197">
      <c r="DC5665"/>
      <c r="FH5665"/>
      <c r="FI5665"/>
      <c r="FJ5665"/>
      <c r="FK5665"/>
      <c r="FL5665"/>
      <c r="FM5665"/>
      <c r="FN5665"/>
      <c r="FO5665"/>
      <c r="FP5665"/>
      <c r="FQ5665"/>
      <c r="FR5665"/>
      <c r="FS5665"/>
      <c r="FT5665"/>
      <c r="FU5665"/>
      <c r="FV5665"/>
      <c r="FW5665"/>
      <c r="FX5665"/>
      <c r="FY5665"/>
      <c r="FZ5665"/>
      <c r="GA5665"/>
      <c r="GB5665"/>
      <c r="GC5665"/>
      <c r="GD5665"/>
      <c r="GE5665"/>
      <c r="GF5665"/>
      <c r="GG5665"/>
      <c r="GH5665"/>
      <c r="GI5665"/>
      <c r="GJ5665"/>
      <c r="GK5665"/>
      <c r="GL5665"/>
      <c r="GM5665"/>
      <c r="GN5665"/>
      <c r="GO5665"/>
    </row>
    <row r="5666" spans="107:197">
      <c r="DC5666"/>
      <c r="FH5666"/>
      <c r="FI5666"/>
      <c r="FJ5666"/>
      <c r="FK5666"/>
      <c r="FL5666"/>
      <c r="FM5666"/>
      <c r="FN5666"/>
      <c r="FO5666"/>
      <c r="FP5666"/>
      <c r="FQ5666"/>
      <c r="FR5666"/>
      <c r="FS5666"/>
      <c r="FT5666"/>
      <c r="FU5666"/>
      <c r="FV5666"/>
      <c r="FW5666"/>
      <c r="FX5666"/>
      <c r="FY5666"/>
      <c r="FZ5666"/>
      <c r="GA5666"/>
      <c r="GB5666"/>
      <c r="GC5666"/>
      <c r="GD5666"/>
      <c r="GE5666"/>
      <c r="GF5666"/>
      <c r="GG5666"/>
      <c r="GH5666"/>
      <c r="GI5666"/>
      <c r="GJ5666"/>
      <c r="GK5666"/>
      <c r="GL5666"/>
      <c r="GM5666"/>
      <c r="GN5666"/>
      <c r="GO5666"/>
    </row>
    <row r="5667" spans="107:197">
      <c r="DC5667"/>
      <c r="FH5667"/>
      <c r="FI5667"/>
      <c r="FJ5667"/>
      <c r="FK5667"/>
      <c r="FL5667"/>
      <c r="FM5667"/>
      <c r="FN5667"/>
      <c r="FO5667"/>
      <c r="FP5667"/>
      <c r="FQ5667"/>
      <c r="FR5667"/>
      <c r="FS5667"/>
      <c r="FT5667"/>
      <c r="FU5667"/>
      <c r="FV5667"/>
      <c r="FW5667"/>
      <c r="FX5667"/>
      <c r="FY5667"/>
      <c r="FZ5667"/>
      <c r="GA5667"/>
      <c r="GB5667"/>
      <c r="GC5667"/>
      <c r="GD5667"/>
      <c r="GE5667"/>
      <c r="GF5667"/>
      <c r="GG5667"/>
      <c r="GH5667"/>
      <c r="GI5667"/>
      <c r="GJ5667"/>
      <c r="GK5667"/>
      <c r="GL5667"/>
      <c r="GM5667"/>
      <c r="GN5667"/>
      <c r="GO5667"/>
    </row>
    <row r="5668" spans="107:197">
      <c r="DC5668"/>
      <c r="FH5668"/>
      <c r="FI5668"/>
      <c r="FJ5668"/>
      <c r="FK5668"/>
      <c r="FL5668"/>
      <c r="FM5668"/>
      <c r="FN5668"/>
      <c r="FO5668"/>
      <c r="FP5668"/>
      <c r="FQ5668"/>
      <c r="FR5668"/>
      <c r="FS5668"/>
      <c r="FT5668"/>
      <c r="FU5668"/>
      <c r="FV5668"/>
      <c r="FW5668"/>
      <c r="FX5668"/>
      <c r="FY5668"/>
      <c r="FZ5668"/>
      <c r="GA5668"/>
      <c r="GB5668"/>
      <c r="GC5668"/>
      <c r="GD5668"/>
      <c r="GE5668"/>
      <c r="GF5668"/>
      <c r="GG5668"/>
      <c r="GH5668"/>
      <c r="GI5668"/>
      <c r="GJ5668"/>
      <c r="GK5668"/>
      <c r="GL5668"/>
      <c r="GM5668"/>
      <c r="GN5668"/>
      <c r="GO5668"/>
    </row>
    <row r="5669" spans="107:197">
      <c r="DC5669"/>
      <c r="FH5669"/>
      <c r="FI5669"/>
      <c r="FJ5669"/>
      <c r="FK5669"/>
      <c r="FL5669"/>
      <c r="FM5669"/>
      <c r="FN5669"/>
      <c r="FO5669"/>
      <c r="FP5669"/>
      <c r="FQ5669"/>
      <c r="FR5669"/>
      <c r="FS5669"/>
      <c r="FT5669"/>
      <c r="FU5669"/>
      <c r="FV5669"/>
      <c r="FW5669"/>
      <c r="FX5669"/>
      <c r="FY5669"/>
      <c r="FZ5669"/>
      <c r="GA5669"/>
      <c r="GB5669"/>
      <c r="GC5669"/>
      <c r="GD5669"/>
      <c r="GE5669"/>
      <c r="GF5669"/>
      <c r="GG5669"/>
      <c r="GH5669"/>
      <c r="GI5669"/>
      <c r="GJ5669"/>
      <c r="GK5669"/>
      <c r="GL5669"/>
      <c r="GM5669"/>
      <c r="GN5669"/>
      <c r="GO5669"/>
    </row>
    <row r="5670" spans="107:197">
      <c r="DC5670"/>
      <c r="FH5670"/>
      <c r="FI5670"/>
      <c r="FJ5670"/>
      <c r="FK5670"/>
      <c r="FL5670"/>
      <c r="FM5670"/>
      <c r="FN5670"/>
      <c r="FO5670"/>
      <c r="FP5670"/>
      <c r="FQ5670"/>
      <c r="FR5670"/>
      <c r="FS5670"/>
      <c r="FT5670"/>
      <c r="FU5670"/>
      <c r="FV5670"/>
      <c r="FW5670"/>
      <c r="FX5670"/>
      <c r="FY5670"/>
      <c r="FZ5670"/>
      <c r="GA5670"/>
      <c r="GB5670"/>
      <c r="GC5670"/>
      <c r="GD5670"/>
      <c r="GE5670"/>
      <c r="GF5670"/>
      <c r="GG5670"/>
      <c r="GH5670"/>
      <c r="GI5670"/>
      <c r="GJ5670"/>
      <c r="GK5670"/>
      <c r="GL5670"/>
      <c r="GM5670"/>
      <c r="GN5670"/>
      <c r="GO5670"/>
    </row>
    <row r="5671" spans="107:197">
      <c r="DC5671"/>
      <c r="FH5671"/>
      <c r="FI5671"/>
      <c r="FJ5671"/>
      <c r="FK5671"/>
      <c r="FL5671"/>
      <c r="FM5671"/>
      <c r="FN5671"/>
      <c r="FO5671"/>
      <c r="FP5671"/>
      <c r="FQ5671"/>
      <c r="FR5671"/>
      <c r="FS5671"/>
      <c r="FT5671"/>
      <c r="FU5671"/>
      <c r="FV5671"/>
      <c r="FW5671"/>
      <c r="FX5671"/>
      <c r="FY5671"/>
      <c r="FZ5671"/>
      <c r="GA5671"/>
      <c r="GB5671"/>
      <c r="GC5671"/>
      <c r="GD5671"/>
      <c r="GE5671"/>
      <c r="GF5671"/>
      <c r="GG5671"/>
      <c r="GH5671"/>
      <c r="GI5671"/>
      <c r="GJ5671"/>
      <c r="GK5671"/>
      <c r="GL5671"/>
      <c r="GM5671"/>
      <c r="GN5671"/>
      <c r="GO5671"/>
    </row>
    <row r="5672" spans="107:197">
      <c r="DC5672"/>
      <c r="FH5672"/>
      <c r="FI5672"/>
      <c r="FJ5672"/>
      <c r="FK5672"/>
      <c r="FL5672"/>
      <c r="FM5672"/>
      <c r="FN5672"/>
      <c r="FO5672"/>
      <c r="FP5672"/>
      <c r="FQ5672"/>
      <c r="FR5672"/>
      <c r="FS5672"/>
      <c r="FT5672"/>
      <c r="FU5672"/>
      <c r="FV5672"/>
      <c r="FW5672"/>
      <c r="FX5672"/>
      <c r="FY5672"/>
      <c r="FZ5672"/>
      <c r="GA5672"/>
      <c r="GB5672"/>
      <c r="GC5672"/>
      <c r="GD5672"/>
      <c r="GE5672"/>
      <c r="GF5672"/>
      <c r="GG5672"/>
      <c r="GH5672"/>
      <c r="GI5672"/>
      <c r="GJ5672"/>
      <c r="GK5672"/>
      <c r="GL5672"/>
      <c r="GM5672"/>
      <c r="GN5672"/>
      <c r="GO5672"/>
    </row>
    <row r="5673" spans="107:197">
      <c r="DC5673"/>
      <c r="FH5673"/>
      <c r="FI5673"/>
      <c r="FJ5673"/>
      <c r="FK5673"/>
      <c r="FL5673"/>
      <c r="FM5673"/>
      <c r="FN5673"/>
      <c r="FO5673"/>
      <c r="FP5673"/>
      <c r="FQ5673"/>
      <c r="FR5673"/>
      <c r="FS5673"/>
      <c r="FT5673"/>
      <c r="FU5673"/>
      <c r="FV5673"/>
      <c r="FW5673"/>
      <c r="FX5673"/>
      <c r="FY5673"/>
      <c r="FZ5673"/>
      <c r="GA5673"/>
      <c r="GB5673"/>
      <c r="GC5673"/>
      <c r="GD5673"/>
      <c r="GE5673"/>
      <c r="GF5673"/>
      <c r="GG5673"/>
      <c r="GH5673"/>
      <c r="GI5673"/>
      <c r="GJ5673"/>
      <c r="GK5673"/>
      <c r="GL5673"/>
      <c r="GM5673"/>
      <c r="GN5673"/>
      <c r="GO5673"/>
    </row>
    <row r="5674" spans="107:197">
      <c r="DC5674"/>
      <c r="FH5674"/>
      <c r="FI5674"/>
      <c r="FJ5674"/>
      <c r="FK5674"/>
      <c r="FL5674"/>
      <c r="FM5674"/>
      <c r="FN5674"/>
      <c r="FO5674"/>
      <c r="FP5674"/>
      <c r="FQ5674"/>
      <c r="FR5674"/>
      <c r="FS5674"/>
      <c r="FT5674"/>
      <c r="FU5674"/>
      <c r="FV5674"/>
      <c r="FW5674"/>
      <c r="FX5674"/>
      <c r="FY5674"/>
      <c r="FZ5674"/>
      <c r="GA5674"/>
      <c r="GB5674"/>
      <c r="GC5674"/>
      <c r="GD5674"/>
      <c r="GE5674"/>
      <c r="GF5674"/>
      <c r="GG5674"/>
      <c r="GH5674"/>
      <c r="GI5674"/>
      <c r="GJ5674"/>
      <c r="GK5674"/>
      <c r="GL5674"/>
      <c r="GM5674"/>
      <c r="GN5674"/>
      <c r="GO5674"/>
    </row>
    <row r="5675" spans="107:197">
      <c r="DC5675"/>
      <c r="FH5675"/>
      <c r="FI5675"/>
      <c r="FJ5675"/>
      <c r="FK5675"/>
      <c r="FL5675"/>
      <c r="FM5675"/>
      <c r="FN5675"/>
      <c r="FO5675"/>
      <c r="FP5675"/>
      <c r="FQ5675"/>
      <c r="FR5675"/>
      <c r="FS5675"/>
      <c r="FT5675"/>
      <c r="FU5675"/>
      <c r="FV5675"/>
      <c r="FW5675"/>
      <c r="FX5675"/>
      <c r="FY5675"/>
      <c r="FZ5675"/>
      <c r="GA5675"/>
      <c r="GB5675"/>
      <c r="GC5675"/>
      <c r="GD5675"/>
      <c r="GE5675"/>
      <c r="GF5675"/>
      <c r="GG5675"/>
      <c r="GH5675"/>
      <c r="GI5675"/>
      <c r="GJ5675"/>
      <c r="GK5675"/>
      <c r="GL5675"/>
      <c r="GM5675"/>
      <c r="GN5675"/>
      <c r="GO5675"/>
    </row>
    <row r="5676" spans="107:197">
      <c r="DC5676"/>
      <c r="FH5676"/>
      <c r="FI5676"/>
      <c r="FJ5676"/>
      <c r="FK5676"/>
      <c r="FL5676"/>
      <c r="FM5676"/>
      <c r="FN5676"/>
      <c r="FO5676"/>
      <c r="FP5676"/>
      <c r="FQ5676"/>
      <c r="FR5676"/>
      <c r="FS5676"/>
      <c r="FT5676"/>
      <c r="FU5676"/>
      <c r="FV5676"/>
      <c r="FW5676"/>
      <c r="FX5676"/>
      <c r="FY5676"/>
      <c r="FZ5676"/>
      <c r="GA5676"/>
      <c r="GB5676"/>
      <c r="GC5676"/>
      <c r="GD5676"/>
      <c r="GE5676"/>
      <c r="GF5676"/>
      <c r="GG5676"/>
      <c r="GH5676"/>
      <c r="GI5676"/>
      <c r="GJ5676"/>
      <c r="GK5676"/>
      <c r="GL5676"/>
      <c r="GM5676"/>
      <c r="GN5676"/>
      <c r="GO5676"/>
    </row>
    <row r="5677" spans="107:197">
      <c r="DC5677"/>
      <c r="FH5677"/>
      <c r="FI5677"/>
      <c r="FJ5677"/>
      <c r="FK5677"/>
      <c r="FL5677"/>
      <c r="FM5677"/>
      <c r="FN5677"/>
      <c r="FO5677"/>
      <c r="FP5677"/>
      <c r="FQ5677"/>
      <c r="FR5677"/>
      <c r="FS5677"/>
      <c r="FT5677"/>
      <c r="FU5677"/>
      <c r="FV5677"/>
      <c r="FW5677"/>
      <c r="FX5677"/>
      <c r="FY5677"/>
      <c r="FZ5677"/>
      <c r="GA5677"/>
      <c r="GB5677"/>
      <c r="GC5677"/>
      <c r="GD5677"/>
      <c r="GE5677"/>
      <c r="GF5677"/>
      <c r="GG5677"/>
      <c r="GH5677"/>
      <c r="GI5677"/>
      <c r="GJ5677"/>
      <c r="GK5677"/>
      <c r="GL5677"/>
      <c r="GM5677"/>
      <c r="GN5677"/>
      <c r="GO5677"/>
    </row>
    <row r="5678" spans="107:197">
      <c r="DC5678"/>
      <c r="FH5678"/>
      <c r="FI5678"/>
      <c r="FJ5678"/>
      <c r="FK5678"/>
      <c r="FL5678"/>
      <c r="FM5678"/>
      <c r="FN5678"/>
      <c r="FO5678"/>
      <c r="FP5678"/>
      <c r="FQ5678"/>
      <c r="FR5678"/>
      <c r="FS5678"/>
      <c r="FT5678"/>
      <c r="FU5678"/>
      <c r="FV5678"/>
      <c r="FW5678"/>
      <c r="FX5678"/>
      <c r="FY5678"/>
      <c r="FZ5678"/>
      <c r="GA5678"/>
      <c r="GB5678"/>
      <c r="GC5678"/>
      <c r="GD5678"/>
      <c r="GE5678"/>
      <c r="GF5678"/>
      <c r="GG5678"/>
      <c r="GH5678"/>
      <c r="GI5678"/>
      <c r="GJ5678"/>
      <c r="GK5678"/>
      <c r="GL5678"/>
      <c r="GM5678"/>
      <c r="GN5678"/>
      <c r="GO5678"/>
    </row>
    <row r="5679" spans="107:197">
      <c r="DC5679"/>
      <c r="FH5679"/>
      <c r="FI5679"/>
      <c r="FJ5679"/>
      <c r="FK5679"/>
      <c r="FL5679"/>
      <c r="FM5679"/>
      <c r="FN5679"/>
      <c r="FO5679"/>
      <c r="FP5679"/>
      <c r="FQ5679"/>
      <c r="FR5679"/>
      <c r="FS5679"/>
      <c r="FT5679"/>
      <c r="FU5679"/>
      <c r="FV5679"/>
      <c r="FW5679"/>
      <c r="FX5679"/>
      <c r="FY5679"/>
      <c r="FZ5679"/>
      <c r="GA5679"/>
      <c r="GB5679"/>
      <c r="GC5679"/>
      <c r="GD5679"/>
      <c r="GE5679"/>
      <c r="GF5679"/>
      <c r="GG5679"/>
      <c r="GH5679"/>
      <c r="GI5679"/>
      <c r="GJ5679"/>
      <c r="GK5679"/>
      <c r="GL5679"/>
      <c r="GM5679"/>
      <c r="GN5679"/>
      <c r="GO5679"/>
    </row>
    <row r="5680" spans="107:197">
      <c r="DC5680"/>
      <c r="FH5680"/>
      <c r="FI5680"/>
      <c r="FJ5680"/>
      <c r="FK5680"/>
      <c r="FL5680"/>
      <c r="FM5680"/>
      <c r="FN5680"/>
      <c r="FO5680"/>
      <c r="FP5680"/>
      <c r="FQ5680"/>
      <c r="FR5680"/>
      <c r="FS5680"/>
      <c r="FT5680"/>
      <c r="FU5680"/>
      <c r="FV5680"/>
      <c r="FW5680"/>
      <c r="FX5680"/>
      <c r="FY5680"/>
      <c r="FZ5680"/>
      <c r="GA5680"/>
      <c r="GB5680"/>
      <c r="GC5680"/>
      <c r="GD5680"/>
      <c r="GE5680"/>
      <c r="GF5680"/>
      <c r="GG5680"/>
      <c r="GH5680"/>
      <c r="GI5680"/>
      <c r="GJ5680"/>
      <c r="GK5680"/>
      <c r="GL5680"/>
      <c r="GM5680"/>
      <c r="GN5680"/>
      <c r="GO5680"/>
    </row>
    <row r="5681" spans="107:197">
      <c r="DC5681"/>
      <c r="FH5681"/>
      <c r="FI5681"/>
      <c r="FJ5681"/>
      <c r="FK5681"/>
      <c r="FL5681"/>
      <c r="FM5681"/>
      <c r="FN5681"/>
      <c r="FO5681"/>
      <c r="FP5681"/>
      <c r="FQ5681"/>
      <c r="FR5681"/>
      <c r="FS5681"/>
      <c r="FT5681"/>
      <c r="FU5681"/>
      <c r="FV5681"/>
      <c r="FW5681"/>
      <c r="FX5681"/>
      <c r="FY5681"/>
      <c r="FZ5681"/>
      <c r="GA5681"/>
      <c r="GB5681"/>
      <c r="GC5681"/>
      <c r="GD5681"/>
      <c r="GE5681"/>
      <c r="GF5681"/>
      <c r="GG5681"/>
      <c r="GH5681"/>
      <c r="GI5681"/>
      <c r="GJ5681"/>
      <c r="GK5681"/>
      <c r="GL5681"/>
      <c r="GM5681"/>
      <c r="GN5681"/>
      <c r="GO5681"/>
    </row>
    <row r="5682" spans="107:197">
      <c r="DC5682"/>
      <c r="FH5682"/>
      <c r="FI5682"/>
      <c r="FJ5682"/>
      <c r="FK5682"/>
      <c r="FL5682"/>
      <c r="FM5682"/>
      <c r="FN5682"/>
      <c r="FO5682"/>
      <c r="FP5682"/>
      <c r="FQ5682"/>
      <c r="FR5682"/>
      <c r="FS5682"/>
      <c r="FT5682"/>
      <c r="FU5682"/>
      <c r="FV5682"/>
      <c r="FW5682"/>
      <c r="FX5682"/>
      <c r="FY5682"/>
      <c r="FZ5682"/>
      <c r="GA5682"/>
      <c r="GB5682"/>
      <c r="GC5682"/>
      <c r="GD5682"/>
      <c r="GE5682"/>
      <c r="GF5682"/>
      <c r="GG5682"/>
      <c r="GH5682"/>
      <c r="GI5682"/>
      <c r="GJ5682"/>
      <c r="GK5682"/>
      <c r="GL5682"/>
      <c r="GM5682"/>
      <c r="GN5682"/>
      <c r="GO5682"/>
    </row>
    <row r="5683" spans="107:197">
      <c r="DC5683"/>
      <c r="FH5683"/>
      <c r="FI5683"/>
      <c r="FJ5683"/>
      <c r="FK5683"/>
      <c r="FL5683"/>
      <c r="FM5683"/>
      <c r="FN5683"/>
      <c r="FO5683"/>
      <c r="FP5683"/>
      <c r="FQ5683"/>
      <c r="FR5683"/>
      <c r="FS5683"/>
      <c r="FT5683"/>
      <c r="FU5683"/>
      <c r="FV5683"/>
      <c r="FW5683"/>
      <c r="FX5683"/>
      <c r="FY5683"/>
      <c r="FZ5683"/>
      <c r="GA5683"/>
      <c r="GB5683"/>
      <c r="GC5683"/>
      <c r="GD5683"/>
      <c r="GE5683"/>
      <c r="GF5683"/>
      <c r="GG5683"/>
      <c r="GH5683"/>
      <c r="GI5683"/>
      <c r="GJ5683"/>
      <c r="GK5683"/>
      <c r="GL5683"/>
      <c r="GM5683"/>
      <c r="GN5683"/>
      <c r="GO5683"/>
    </row>
    <row r="5684" spans="107:197">
      <c r="DC5684"/>
      <c r="FH5684"/>
      <c r="FI5684"/>
      <c r="FJ5684"/>
      <c r="FK5684"/>
      <c r="FL5684"/>
      <c r="FM5684"/>
      <c r="FN5684"/>
      <c r="FO5684"/>
      <c r="FP5684"/>
      <c r="FQ5684"/>
      <c r="FR5684"/>
      <c r="FS5684"/>
      <c r="FT5684"/>
      <c r="FU5684"/>
      <c r="FV5684"/>
      <c r="FW5684"/>
      <c r="FX5684"/>
      <c r="FY5684"/>
      <c r="FZ5684"/>
      <c r="GA5684"/>
      <c r="GB5684"/>
      <c r="GC5684"/>
      <c r="GD5684"/>
      <c r="GE5684"/>
      <c r="GF5684"/>
      <c r="GG5684"/>
      <c r="GH5684"/>
      <c r="GI5684"/>
      <c r="GJ5684"/>
      <c r="GK5684"/>
      <c r="GL5684"/>
      <c r="GM5684"/>
      <c r="GN5684"/>
      <c r="GO5684"/>
    </row>
    <row r="5685" spans="107:197">
      <c r="DC5685"/>
      <c r="FH5685"/>
      <c r="FI5685"/>
      <c r="FJ5685"/>
      <c r="FK5685"/>
      <c r="FL5685"/>
      <c r="FM5685"/>
      <c r="FN5685"/>
      <c r="FO5685"/>
      <c r="FP5685"/>
      <c r="FQ5685"/>
      <c r="FR5685"/>
      <c r="FS5685"/>
      <c r="FT5685"/>
      <c r="FU5685"/>
      <c r="FV5685"/>
      <c r="FW5685"/>
      <c r="FX5685"/>
      <c r="FY5685"/>
      <c r="FZ5685"/>
      <c r="GA5685"/>
      <c r="GB5685"/>
      <c r="GC5685"/>
      <c r="GD5685"/>
      <c r="GE5685"/>
      <c r="GF5685"/>
      <c r="GG5685"/>
      <c r="GH5685"/>
      <c r="GI5685"/>
      <c r="GJ5685"/>
      <c r="GK5685"/>
      <c r="GL5685"/>
      <c r="GM5685"/>
      <c r="GN5685"/>
      <c r="GO5685"/>
    </row>
    <row r="5686" spans="107:197">
      <c r="DC5686"/>
      <c r="FH5686"/>
      <c r="FI5686"/>
      <c r="FJ5686"/>
      <c r="FK5686"/>
      <c r="FL5686"/>
      <c r="FM5686"/>
      <c r="FN5686"/>
      <c r="FO5686"/>
      <c r="FP5686"/>
      <c r="FQ5686"/>
      <c r="FR5686"/>
      <c r="FS5686"/>
      <c r="FT5686"/>
      <c r="FU5686"/>
      <c r="FV5686"/>
      <c r="FW5686"/>
      <c r="FX5686"/>
      <c r="FY5686"/>
      <c r="FZ5686"/>
      <c r="GA5686"/>
      <c r="GB5686"/>
      <c r="GC5686"/>
      <c r="GD5686"/>
      <c r="GE5686"/>
      <c r="GF5686"/>
      <c r="GG5686"/>
      <c r="GH5686"/>
      <c r="GI5686"/>
      <c r="GJ5686"/>
      <c r="GK5686"/>
      <c r="GL5686"/>
      <c r="GM5686"/>
      <c r="GN5686"/>
      <c r="GO5686"/>
    </row>
    <row r="5687" spans="107:197">
      <c r="DC5687"/>
      <c r="FH5687"/>
      <c r="FI5687"/>
      <c r="FJ5687"/>
      <c r="FK5687"/>
      <c r="FL5687"/>
      <c r="FM5687"/>
      <c r="FN5687"/>
      <c r="FO5687"/>
      <c r="FP5687"/>
      <c r="FQ5687"/>
      <c r="FR5687"/>
      <c r="FS5687"/>
      <c r="FT5687"/>
      <c r="FU5687"/>
      <c r="FV5687"/>
      <c r="FW5687"/>
      <c r="FX5687"/>
      <c r="FY5687"/>
      <c r="FZ5687"/>
      <c r="GA5687"/>
      <c r="GB5687"/>
      <c r="GC5687"/>
      <c r="GD5687"/>
      <c r="GE5687"/>
      <c r="GF5687"/>
      <c r="GG5687"/>
      <c r="GH5687"/>
      <c r="GI5687"/>
      <c r="GJ5687"/>
      <c r="GK5687"/>
      <c r="GL5687"/>
      <c r="GM5687"/>
      <c r="GN5687"/>
      <c r="GO5687"/>
    </row>
    <row r="5688" spans="107:197">
      <c r="DC5688"/>
      <c r="FH5688"/>
      <c r="FI5688"/>
      <c r="FJ5688"/>
      <c r="FK5688"/>
      <c r="FL5688"/>
      <c r="FM5688"/>
      <c r="FN5688"/>
      <c r="FO5688"/>
      <c r="FP5688"/>
      <c r="FQ5688"/>
      <c r="FR5688"/>
      <c r="FS5688"/>
      <c r="FT5688"/>
      <c r="FU5688"/>
      <c r="FV5688"/>
      <c r="FW5688"/>
      <c r="FX5688"/>
      <c r="FY5688"/>
      <c r="FZ5688"/>
      <c r="GA5688"/>
      <c r="GB5688"/>
      <c r="GC5688"/>
      <c r="GD5688"/>
      <c r="GE5688"/>
      <c r="GF5688"/>
      <c r="GG5688"/>
      <c r="GH5688"/>
      <c r="GI5688"/>
      <c r="GJ5688"/>
      <c r="GK5688"/>
      <c r="GL5688"/>
      <c r="GM5688"/>
      <c r="GN5688"/>
      <c r="GO5688"/>
    </row>
    <row r="5689" spans="107:197">
      <c r="DC5689"/>
      <c r="FH5689"/>
      <c r="FI5689"/>
      <c r="FJ5689"/>
      <c r="FK5689"/>
      <c r="FL5689"/>
      <c r="FM5689"/>
      <c r="FN5689"/>
      <c r="FO5689"/>
      <c r="FP5689"/>
      <c r="FQ5689"/>
      <c r="FR5689"/>
      <c r="FS5689"/>
      <c r="FT5689"/>
      <c r="FU5689"/>
      <c r="FV5689"/>
      <c r="FW5689"/>
      <c r="FX5689"/>
      <c r="FY5689"/>
      <c r="FZ5689"/>
      <c r="GA5689"/>
      <c r="GB5689"/>
      <c r="GC5689"/>
      <c r="GD5689"/>
      <c r="GE5689"/>
      <c r="GF5689"/>
      <c r="GG5689"/>
      <c r="GH5689"/>
      <c r="GI5689"/>
      <c r="GJ5689"/>
      <c r="GK5689"/>
      <c r="GL5689"/>
      <c r="GM5689"/>
      <c r="GN5689"/>
      <c r="GO5689"/>
    </row>
    <row r="5690" spans="107:197">
      <c r="DC5690"/>
      <c r="FH5690"/>
      <c r="FI5690"/>
      <c r="FJ5690"/>
      <c r="FK5690"/>
      <c r="FL5690"/>
      <c r="FM5690"/>
      <c r="FN5690"/>
      <c r="FO5690"/>
      <c r="FP5690"/>
      <c r="FQ5690"/>
      <c r="FR5690"/>
      <c r="FS5690"/>
      <c r="FT5690"/>
      <c r="FU5690"/>
      <c r="FV5690"/>
      <c r="FW5690"/>
      <c r="FX5690"/>
      <c r="FY5690"/>
      <c r="FZ5690"/>
      <c r="GA5690"/>
      <c r="GB5690"/>
      <c r="GC5690"/>
      <c r="GD5690"/>
      <c r="GE5690"/>
      <c r="GF5690"/>
      <c r="GG5690"/>
      <c r="GH5690"/>
      <c r="GI5690"/>
      <c r="GJ5690"/>
      <c r="GK5690"/>
      <c r="GL5690"/>
      <c r="GM5690"/>
      <c r="GN5690"/>
      <c r="GO5690"/>
    </row>
    <row r="5691" spans="107:197">
      <c r="DC5691"/>
      <c r="FH5691"/>
      <c r="FI5691"/>
      <c r="FJ5691"/>
      <c r="FK5691"/>
      <c r="FL5691"/>
      <c r="FM5691"/>
      <c r="FN5691"/>
      <c r="FO5691"/>
      <c r="FP5691"/>
      <c r="FQ5691"/>
      <c r="FR5691"/>
      <c r="FS5691"/>
      <c r="FT5691"/>
      <c r="FU5691"/>
      <c r="FV5691"/>
      <c r="FW5691"/>
      <c r="FX5691"/>
      <c r="FY5691"/>
      <c r="FZ5691"/>
      <c r="GA5691"/>
      <c r="GB5691"/>
      <c r="GC5691"/>
      <c r="GD5691"/>
      <c r="GE5691"/>
      <c r="GF5691"/>
      <c r="GG5691"/>
      <c r="GH5691"/>
      <c r="GI5691"/>
      <c r="GJ5691"/>
      <c r="GK5691"/>
      <c r="GL5691"/>
      <c r="GM5691"/>
      <c r="GN5691"/>
      <c r="GO5691"/>
    </row>
    <row r="5692" spans="107:197">
      <c r="DC5692"/>
      <c r="FH5692"/>
      <c r="FI5692"/>
      <c r="FJ5692"/>
      <c r="FK5692"/>
      <c r="FL5692"/>
      <c r="FM5692"/>
      <c r="FN5692"/>
      <c r="FO5692"/>
      <c r="FP5692"/>
      <c r="FQ5692"/>
      <c r="FR5692"/>
      <c r="FS5692"/>
      <c r="FT5692"/>
      <c r="FU5692"/>
      <c r="FV5692"/>
      <c r="FW5692"/>
      <c r="FX5692"/>
      <c r="FY5692"/>
      <c r="FZ5692"/>
      <c r="GA5692"/>
      <c r="GB5692"/>
      <c r="GC5692"/>
      <c r="GD5692"/>
      <c r="GE5692"/>
      <c r="GF5692"/>
      <c r="GG5692"/>
      <c r="GH5692"/>
      <c r="GI5692"/>
      <c r="GJ5692"/>
      <c r="GK5692"/>
      <c r="GL5692"/>
      <c r="GM5692"/>
      <c r="GN5692"/>
      <c r="GO5692"/>
    </row>
    <row r="5693" spans="107:197">
      <c r="DC5693"/>
      <c r="FH5693"/>
      <c r="FI5693"/>
      <c r="FJ5693"/>
      <c r="FK5693"/>
      <c r="FL5693"/>
      <c r="FM5693"/>
      <c r="FN5693"/>
      <c r="FO5693"/>
      <c r="FP5693"/>
      <c r="FQ5693"/>
      <c r="FR5693"/>
      <c r="FS5693"/>
      <c r="FT5693"/>
      <c r="FU5693"/>
      <c r="FV5693"/>
      <c r="FW5693"/>
      <c r="FX5693"/>
      <c r="FY5693"/>
      <c r="FZ5693"/>
      <c r="GA5693"/>
      <c r="GB5693"/>
      <c r="GC5693"/>
      <c r="GD5693"/>
      <c r="GE5693"/>
      <c r="GF5693"/>
      <c r="GG5693"/>
      <c r="GH5693"/>
      <c r="GI5693"/>
      <c r="GJ5693"/>
      <c r="GK5693"/>
      <c r="GL5693"/>
      <c r="GM5693"/>
      <c r="GN5693"/>
      <c r="GO5693"/>
    </row>
    <row r="5694" spans="107:197">
      <c r="DC5694"/>
      <c r="FH5694"/>
      <c r="FI5694"/>
      <c r="FJ5694"/>
      <c r="FK5694"/>
      <c r="FL5694"/>
      <c r="FM5694"/>
      <c r="FN5694"/>
      <c r="FO5694"/>
      <c r="FP5694"/>
      <c r="FQ5694"/>
      <c r="FR5694"/>
      <c r="FS5694"/>
      <c r="FT5694"/>
      <c r="FU5694"/>
      <c r="FV5694"/>
      <c r="FW5694"/>
      <c r="FX5694"/>
      <c r="FY5694"/>
      <c r="FZ5694"/>
      <c r="GA5694"/>
      <c r="GB5694"/>
      <c r="GC5694"/>
      <c r="GD5694"/>
      <c r="GE5694"/>
      <c r="GF5694"/>
      <c r="GG5694"/>
      <c r="GH5694"/>
      <c r="GI5694"/>
      <c r="GJ5694"/>
      <c r="GK5694"/>
      <c r="GL5694"/>
      <c r="GM5694"/>
      <c r="GN5694"/>
      <c r="GO5694"/>
    </row>
    <row r="5695" spans="107:197">
      <c r="DC5695"/>
      <c r="FH5695"/>
      <c r="FI5695"/>
      <c r="FJ5695"/>
      <c r="FK5695"/>
      <c r="FL5695"/>
      <c r="FM5695"/>
      <c r="FN5695"/>
      <c r="FO5695"/>
      <c r="FP5695"/>
      <c r="FQ5695"/>
      <c r="FR5695"/>
      <c r="FS5695"/>
      <c r="FT5695"/>
      <c r="FU5695"/>
      <c r="FV5695"/>
      <c r="FW5695"/>
      <c r="FX5695"/>
      <c r="FY5695"/>
      <c r="FZ5695"/>
      <c r="GA5695"/>
      <c r="GB5695"/>
      <c r="GC5695"/>
      <c r="GD5695"/>
      <c r="GE5695"/>
      <c r="GF5695"/>
      <c r="GG5695"/>
      <c r="GH5695"/>
      <c r="GI5695"/>
      <c r="GJ5695"/>
      <c r="GK5695"/>
      <c r="GL5695"/>
      <c r="GM5695"/>
      <c r="GN5695"/>
      <c r="GO5695"/>
    </row>
    <row r="5696" spans="107:197">
      <c r="DC5696"/>
      <c r="FH5696"/>
      <c r="FI5696"/>
      <c r="FJ5696"/>
      <c r="FK5696"/>
      <c r="FL5696"/>
      <c r="FM5696"/>
      <c r="FN5696"/>
      <c r="FO5696"/>
      <c r="FP5696"/>
      <c r="FQ5696"/>
      <c r="FR5696"/>
      <c r="FS5696"/>
      <c r="FT5696"/>
      <c r="FU5696"/>
      <c r="FV5696"/>
      <c r="FW5696"/>
      <c r="FX5696"/>
      <c r="FY5696"/>
      <c r="FZ5696"/>
      <c r="GA5696"/>
      <c r="GB5696"/>
      <c r="GC5696"/>
      <c r="GD5696"/>
      <c r="GE5696"/>
      <c r="GF5696"/>
      <c r="GG5696"/>
      <c r="GH5696"/>
      <c r="GI5696"/>
      <c r="GJ5696"/>
      <c r="GK5696"/>
      <c r="GL5696"/>
      <c r="GM5696"/>
      <c r="GN5696"/>
      <c r="GO5696"/>
    </row>
    <row r="5697" spans="107:197">
      <c r="DC5697"/>
      <c r="FH5697"/>
      <c r="FI5697"/>
      <c r="FJ5697"/>
      <c r="FK5697"/>
      <c r="FL5697"/>
      <c r="FM5697"/>
      <c r="FN5697"/>
      <c r="FO5697"/>
      <c r="FP5697"/>
      <c r="FQ5697"/>
      <c r="FR5697"/>
      <c r="FS5697"/>
      <c r="FT5697"/>
      <c r="FU5697"/>
      <c r="FV5697"/>
      <c r="FW5697"/>
      <c r="FX5697"/>
      <c r="FY5697"/>
      <c r="FZ5697"/>
      <c r="GA5697"/>
      <c r="GB5697"/>
      <c r="GC5697"/>
      <c r="GD5697"/>
      <c r="GE5697"/>
      <c r="GF5697"/>
      <c r="GG5697"/>
      <c r="GH5697"/>
      <c r="GI5697"/>
      <c r="GJ5697"/>
      <c r="GK5697"/>
      <c r="GL5697"/>
      <c r="GM5697"/>
      <c r="GN5697"/>
      <c r="GO5697"/>
    </row>
    <row r="5698" spans="107:197">
      <c r="DC5698"/>
      <c r="FH5698"/>
      <c r="FI5698"/>
      <c r="FJ5698"/>
      <c r="FK5698"/>
      <c r="FL5698"/>
      <c r="FM5698"/>
      <c r="FN5698"/>
      <c r="FO5698"/>
      <c r="FP5698"/>
      <c r="FQ5698"/>
      <c r="FR5698"/>
      <c r="FS5698"/>
      <c r="FT5698"/>
      <c r="FU5698"/>
      <c r="FV5698"/>
      <c r="FW5698"/>
      <c r="FX5698"/>
      <c r="FY5698"/>
      <c r="FZ5698"/>
      <c r="GA5698"/>
      <c r="GB5698"/>
      <c r="GC5698"/>
      <c r="GD5698"/>
      <c r="GE5698"/>
      <c r="GF5698"/>
      <c r="GG5698"/>
      <c r="GH5698"/>
      <c r="GI5698"/>
      <c r="GJ5698"/>
      <c r="GK5698"/>
      <c r="GL5698"/>
      <c r="GM5698"/>
      <c r="GN5698"/>
      <c r="GO5698"/>
    </row>
    <row r="5699" spans="107:197">
      <c r="DC5699"/>
      <c r="FH5699"/>
      <c r="FI5699"/>
      <c r="FJ5699"/>
      <c r="FK5699"/>
      <c r="FL5699"/>
      <c r="FM5699"/>
      <c r="FN5699"/>
      <c r="FO5699"/>
      <c r="FP5699"/>
      <c r="FQ5699"/>
      <c r="FR5699"/>
      <c r="FS5699"/>
      <c r="FT5699"/>
      <c r="FU5699"/>
      <c r="FV5699"/>
      <c r="FW5699"/>
      <c r="FX5699"/>
      <c r="FY5699"/>
      <c r="FZ5699"/>
      <c r="GA5699"/>
      <c r="GB5699"/>
      <c r="GC5699"/>
      <c r="GD5699"/>
      <c r="GE5699"/>
      <c r="GF5699"/>
      <c r="GG5699"/>
      <c r="GH5699"/>
      <c r="GI5699"/>
      <c r="GJ5699"/>
      <c r="GK5699"/>
      <c r="GL5699"/>
      <c r="GM5699"/>
      <c r="GN5699"/>
      <c r="GO5699"/>
    </row>
    <row r="5700" spans="107:197">
      <c r="DC5700"/>
      <c r="FH5700"/>
      <c r="FI5700"/>
      <c r="FJ5700"/>
      <c r="FK5700"/>
      <c r="FL5700"/>
      <c r="FM5700"/>
      <c r="FN5700"/>
      <c r="FO5700"/>
      <c r="FP5700"/>
      <c r="FQ5700"/>
      <c r="FR5700"/>
      <c r="FS5700"/>
      <c r="FT5700"/>
      <c r="FU5700"/>
      <c r="FV5700"/>
      <c r="FW5700"/>
      <c r="FX5700"/>
      <c r="FY5700"/>
      <c r="FZ5700"/>
      <c r="GA5700"/>
      <c r="GB5700"/>
      <c r="GC5700"/>
      <c r="GD5700"/>
      <c r="GE5700"/>
      <c r="GF5700"/>
      <c r="GG5700"/>
      <c r="GH5700"/>
      <c r="GI5700"/>
      <c r="GJ5700"/>
      <c r="GK5700"/>
      <c r="GL5700"/>
      <c r="GM5700"/>
      <c r="GN5700"/>
      <c r="GO5700"/>
    </row>
    <row r="5701" spans="107:197">
      <c r="DC5701"/>
      <c r="FH5701"/>
      <c r="FI5701"/>
      <c r="FJ5701"/>
      <c r="FK5701"/>
      <c r="FL5701"/>
      <c r="FM5701"/>
      <c r="FN5701"/>
      <c r="FO5701"/>
      <c r="FP5701"/>
      <c r="FQ5701"/>
      <c r="FR5701"/>
      <c r="FS5701"/>
      <c r="FT5701"/>
      <c r="FU5701"/>
      <c r="FV5701"/>
      <c r="FW5701"/>
      <c r="FX5701"/>
      <c r="FY5701"/>
      <c r="FZ5701"/>
      <c r="GA5701"/>
      <c r="GB5701"/>
      <c r="GC5701"/>
      <c r="GD5701"/>
      <c r="GE5701"/>
      <c r="GF5701"/>
      <c r="GG5701"/>
      <c r="GH5701"/>
      <c r="GI5701"/>
      <c r="GJ5701"/>
      <c r="GK5701"/>
      <c r="GL5701"/>
      <c r="GM5701"/>
      <c r="GN5701"/>
      <c r="GO5701"/>
    </row>
    <row r="5702" spans="107:197">
      <c r="DC5702"/>
      <c r="FH5702"/>
      <c r="FI5702"/>
      <c r="FJ5702"/>
      <c r="FK5702"/>
      <c r="FL5702"/>
      <c r="FM5702"/>
      <c r="FN5702"/>
      <c r="FO5702"/>
      <c r="FP5702"/>
      <c r="FQ5702"/>
      <c r="FR5702"/>
      <c r="FS5702"/>
      <c r="FT5702"/>
      <c r="FU5702"/>
      <c r="FV5702"/>
      <c r="FW5702"/>
      <c r="FX5702"/>
      <c r="FY5702"/>
      <c r="FZ5702"/>
      <c r="GA5702"/>
      <c r="GB5702"/>
      <c r="GC5702"/>
      <c r="GD5702"/>
      <c r="GE5702"/>
      <c r="GF5702"/>
      <c r="GG5702"/>
      <c r="GH5702"/>
      <c r="GI5702"/>
      <c r="GJ5702"/>
      <c r="GK5702"/>
      <c r="GL5702"/>
      <c r="GM5702"/>
      <c r="GN5702"/>
      <c r="GO5702"/>
    </row>
    <row r="5703" spans="107:197">
      <c r="DC5703"/>
      <c r="FH5703"/>
      <c r="FI5703"/>
      <c r="FJ5703"/>
      <c r="FK5703"/>
      <c r="FL5703"/>
      <c r="FM5703"/>
      <c r="FN5703"/>
      <c r="FO5703"/>
      <c r="FP5703"/>
      <c r="FQ5703"/>
      <c r="FR5703"/>
      <c r="FS5703"/>
      <c r="FT5703"/>
      <c r="FU5703"/>
      <c r="FV5703"/>
      <c r="FW5703"/>
      <c r="FX5703"/>
      <c r="FY5703"/>
      <c r="FZ5703"/>
      <c r="GA5703"/>
      <c r="GB5703"/>
      <c r="GC5703"/>
      <c r="GD5703"/>
      <c r="GE5703"/>
      <c r="GF5703"/>
      <c r="GG5703"/>
      <c r="GH5703"/>
      <c r="GI5703"/>
      <c r="GJ5703"/>
      <c r="GK5703"/>
      <c r="GL5703"/>
      <c r="GM5703"/>
      <c r="GN5703"/>
      <c r="GO5703"/>
    </row>
    <row r="5704" spans="107:197">
      <c r="DC5704"/>
      <c r="FH5704"/>
      <c r="FI5704"/>
      <c r="FJ5704"/>
      <c r="FK5704"/>
      <c r="FL5704"/>
      <c r="FM5704"/>
      <c r="FN5704"/>
      <c r="FO5704"/>
      <c r="FP5704"/>
      <c r="FQ5704"/>
      <c r="FR5704"/>
      <c r="FS5704"/>
      <c r="FT5704"/>
      <c r="FU5704"/>
      <c r="FV5704"/>
      <c r="FW5704"/>
      <c r="FX5704"/>
      <c r="FY5704"/>
      <c r="FZ5704"/>
      <c r="GA5704"/>
      <c r="GB5704"/>
      <c r="GC5704"/>
      <c r="GD5704"/>
      <c r="GE5704"/>
      <c r="GF5704"/>
      <c r="GG5704"/>
      <c r="GH5704"/>
      <c r="GI5704"/>
      <c r="GJ5704"/>
      <c r="GK5704"/>
      <c r="GL5704"/>
      <c r="GM5704"/>
      <c r="GN5704"/>
      <c r="GO5704"/>
    </row>
    <row r="5705" spans="107:197">
      <c r="DC5705"/>
      <c r="FH5705"/>
      <c r="FI5705"/>
      <c r="FJ5705"/>
      <c r="FK5705"/>
      <c r="FL5705"/>
      <c r="FM5705"/>
      <c r="FN5705"/>
      <c r="FO5705"/>
      <c r="FP5705"/>
      <c r="FQ5705"/>
      <c r="FR5705"/>
      <c r="FS5705"/>
      <c r="FT5705"/>
      <c r="FU5705"/>
      <c r="FV5705"/>
      <c r="FW5705"/>
      <c r="FX5705"/>
      <c r="FY5705"/>
      <c r="FZ5705"/>
      <c r="GA5705"/>
      <c r="GB5705"/>
      <c r="GC5705"/>
      <c r="GD5705"/>
      <c r="GE5705"/>
      <c r="GF5705"/>
      <c r="GG5705"/>
      <c r="GH5705"/>
      <c r="GI5705"/>
      <c r="GJ5705"/>
      <c r="GK5705"/>
      <c r="GL5705"/>
      <c r="GM5705"/>
      <c r="GN5705"/>
      <c r="GO5705"/>
    </row>
    <row r="5706" spans="107:197">
      <c r="DC5706"/>
      <c r="FH5706"/>
      <c r="FI5706"/>
      <c r="FJ5706"/>
      <c r="FK5706"/>
      <c r="FL5706"/>
      <c r="FM5706"/>
      <c r="FN5706"/>
      <c r="FO5706"/>
      <c r="FP5706"/>
      <c r="FQ5706"/>
      <c r="FR5706"/>
      <c r="FS5706"/>
      <c r="FT5706"/>
      <c r="FU5706"/>
      <c r="FV5706"/>
      <c r="FW5706"/>
      <c r="FX5706"/>
      <c r="FY5706"/>
      <c r="FZ5706"/>
      <c r="GA5706"/>
      <c r="GB5706"/>
      <c r="GC5706"/>
      <c r="GD5706"/>
      <c r="GE5706"/>
      <c r="GF5706"/>
      <c r="GG5706"/>
      <c r="GH5706"/>
      <c r="GI5706"/>
      <c r="GJ5706"/>
      <c r="GK5706"/>
      <c r="GL5706"/>
      <c r="GM5706"/>
      <c r="GN5706"/>
      <c r="GO5706"/>
    </row>
    <row r="5707" spans="107:197">
      <c r="DC5707"/>
      <c r="FH5707"/>
      <c r="FI5707"/>
      <c r="FJ5707"/>
      <c r="FK5707"/>
      <c r="FL5707"/>
      <c r="FM5707"/>
      <c r="FN5707"/>
      <c r="FO5707"/>
      <c r="FP5707"/>
      <c r="FQ5707"/>
      <c r="FR5707"/>
      <c r="FS5707"/>
      <c r="FT5707"/>
      <c r="FU5707"/>
      <c r="FV5707"/>
      <c r="FW5707"/>
      <c r="FX5707"/>
      <c r="FY5707"/>
      <c r="FZ5707"/>
      <c r="GA5707"/>
      <c r="GB5707"/>
      <c r="GC5707"/>
      <c r="GD5707"/>
      <c r="GE5707"/>
      <c r="GF5707"/>
      <c r="GG5707"/>
      <c r="GH5707"/>
      <c r="GI5707"/>
      <c r="GJ5707"/>
      <c r="GK5707"/>
      <c r="GL5707"/>
      <c r="GM5707"/>
      <c r="GN5707"/>
      <c r="GO5707"/>
    </row>
    <row r="5708" spans="107:197">
      <c r="DC5708"/>
      <c r="FH5708"/>
      <c r="FI5708"/>
      <c r="FJ5708"/>
      <c r="FK5708"/>
      <c r="FL5708"/>
      <c r="FM5708"/>
      <c r="FN5708"/>
      <c r="FO5708"/>
      <c r="FP5708"/>
      <c r="FQ5708"/>
      <c r="FR5708"/>
      <c r="FS5708"/>
      <c r="FT5708"/>
      <c r="FU5708"/>
      <c r="FV5708"/>
      <c r="FW5708"/>
      <c r="FX5708"/>
      <c r="FY5708"/>
      <c r="FZ5708"/>
      <c r="GA5708"/>
      <c r="GB5708"/>
      <c r="GC5708"/>
      <c r="GD5708"/>
      <c r="GE5708"/>
      <c r="GF5708"/>
      <c r="GG5708"/>
      <c r="GH5708"/>
      <c r="GI5708"/>
      <c r="GJ5708"/>
      <c r="GK5708"/>
      <c r="GL5708"/>
      <c r="GM5708"/>
      <c r="GN5708"/>
      <c r="GO5708"/>
    </row>
    <row r="5709" spans="107:197">
      <c r="DC5709"/>
      <c r="FH5709"/>
      <c r="FI5709"/>
      <c r="FJ5709"/>
      <c r="FK5709"/>
      <c r="FL5709"/>
      <c r="FM5709"/>
      <c r="FN5709"/>
      <c r="FO5709"/>
      <c r="FP5709"/>
      <c r="FQ5709"/>
      <c r="FR5709"/>
      <c r="FS5709"/>
      <c r="FT5709"/>
      <c r="FU5709"/>
      <c r="FV5709"/>
      <c r="FW5709"/>
      <c r="FX5709"/>
      <c r="FY5709"/>
      <c r="FZ5709"/>
      <c r="GA5709"/>
      <c r="GB5709"/>
      <c r="GC5709"/>
      <c r="GD5709"/>
      <c r="GE5709"/>
      <c r="GF5709"/>
      <c r="GG5709"/>
      <c r="GH5709"/>
      <c r="GI5709"/>
      <c r="GJ5709"/>
      <c r="GK5709"/>
      <c r="GL5709"/>
      <c r="GM5709"/>
      <c r="GN5709"/>
      <c r="GO5709"/>
    </row>
    <row r="5710" spans="107:197">
      <c r="DC5710"/>
      <c r="FH5710"/>
      <c r="FI5710"/>
      <c r="FJ5710"/>
      <c r="FK5710"/>
      <c r="FL5710"/>
      <c r="FM5710"/>
      <c r="FN5710"/>
      <c r="FO5710"/>
      <c r="FP5710"/>
      <c r="FQ5710"/>
      <c r="FR5710"/>
      <c r="FS5710"/>
      <c r="FT5710"/>
      <c r="FU5710"/>
      <c r="FV5710"/>
      <c r="FW5710"/>
      <c r="FX5710"/>
      <c r="FY5710"/>
      <c r="FZ5710"/>
      <c r="GA5710"/>
      <c r="GB5710"/>
      <c r="GC5710"/>
      <c r="GD5710"/>
      <c r="GE5710"/>
      <c r="GF5710"/>
      <c r="GG5710"/>
      <c r="GH5710"/>
      <c r="GI5710"/>
      <c r="GJ5710"/>
      <c r="GK5710"/>
      <c r="GL5710"/>
      <c r="GM5710"/>
      <c r="GN5710"/>
      <c r="GO5710"/>
    </row>
    <row r="5711" spans="107:197">
      <c r="DC5711"/>
      <c r="FH5711"/>
      <c r="FI5711"/>
      <c r="FJ5711"/>
      <c r="FK5711"/>
      <c r="FL5711"/>
      <c r="FM5711"/>
      <c r="FN5711"/>
      <c r="FO5711"/>
      <c r="FP5711"/>
      <c r="FQ5711"/>
      <c r="FR5711"/>
      <c r="FS5711"/>
      <c r="FT5711"/>
      <c r="FU5711"/>
      <c r="FV5711"/>
      <c r="FW5711"/>
      <c r="FX5711"/>
      <c r="FY5711"/>
      <c r="FZ5711"/>
      <c r="GA5711"/>
      <c r="GB5711"/>
      <c r="GC5711"/>
      <c r="GD5711"/>
      <c r="GE5711"/>
      <c r="GF5711"/>
      <c r="GG5711"/>
      <c r="GH5711"/>
      <c r="GI5711"/>
      <c r="GJ5711"/>
      <c r="GK5711"/>
      <c r="GL5711"/>
      <c r="GM5711"/>
      <c r="GN5711"/>
      <c r="GO5711"/>
    </row>
    <row r="5712" spans="107:197">
      <c r="DC5712"/>
      <c r="FH5712"/>
      <c r="FI5712"/>
      <c r="FJ5712"/>
      <c r="FK5712"/>
      <c r="FL5712"/>
      <c r="FM5712"/>
      <c r="FN5712"/>
      <c r="FO5712"/>
      <c r="FP5712"/>
      <c r="FQ5712"/>
      <c r="FR5712"/>
      <c r="FS5712"/>
      <c r="FT5712"/>
      <c r="FU5712"/>
      <c r="FV5712"/>
      <c r="FW5712"/>
      <c r="FX5712"/>
      <c r="FY5712"/>
      <c r="FZ5712"/>
      <c r="GA5712"/>
      <c r="GB5712"/>
      <c r="GC5712"/>
      <c r="GD5712"/>
      <c r="GE5712"/>
      <c r="GF5712"/>
      <c r="GG5712"/>
      <c r="GH5712"/>
      <c r="GI5712"/>
      <c r="GJ5712"/>
      <c r="GK5712"/>
      <c r="GL5712"/>
      <c r="GM5712"/>
      <c r="GN5712"/>
      <c r="GO5712"/>
    </row>
    <row r="5713" spans="107:197">
      <c r="DC5713"/>
      <c r="FH5713"/>
      <c r="FI5713"/>
      <c r="FJ5713"/>
      <c r="FK5713"/>
      <c r="FL5713"/>
      <c r="FM5713"/>
      <c r="FN5713"/>
      <c r="FO5713"/>
      <c r="FP5713"/>
      <c r="FQ5713"/>
      <c r="FR5713"/>
      <c r="FS5713"/>
      <c r="FT5713"/>
      <c r="FU5713"/>
      <c r="FV5713"/>
      <c r="FW5713"/>
      <c r="FX5713"/>
      <c r="FY5713"/>
      <c r="FZ5713"/>
      <c r="GA5713"/>
      <c r="GB5713"/>
      <c r="GC5713"/>
      <c r="GD5713"/>
      <c r="GE5713"/>
      <c r="GF5713"/>
      <c r="GG5713"/>
      <c r="GH5713"/>
      <c r="GI5713"/>
      <c r="GJ5713"/>
      <c r="GK5713"/>
      <c r="GL5713"/>
      <c r="GM5713"/>
      <c r="GN5713"/>
      <c r="GO5713"/>
    </row>
    <row r="5714" spans="107:197">
      <c r="DC5714"/>
      <c r="FH5714"/>
      <c r="FI5714"/>
      <c r="FJ5714"/>
      <c r="FK5714"/>
      <c r="FL5714"/>
      <c r="FM5714"/>
      <c r="FN5714"/>
      <c r="FO5714"/>
      <c r="FP5714"/>
      <c r="FQ5714"/>
      <c r="FR5714"/>
      <c r="FS5714"/>
      <c r="FT5714"/>
      <c r="FU5714"/>
      <c r="FV5714"/>
      <c r="FW5714"/>
      <c r="FX5714"/>
      <c r="FY5714"/>
      <c r="FZ5714"/>
      <c r="GA5714"/>
      <c r="GB5714"/>
      <c r="GC5714"/>
      <c r="GD5714"/>
      <c r="GE5714"/>
      <c r="GF5714"/>
      <c r="GG5714"/>
      <c r="GH5714"/>
      <c r="GI5714"/>
      <c r="GJ5714"/>
      <c r="GK5714"/>
      <c r="GL5714"/>
      <c r="GM5714"/>
      <c r="GN5714"/>
      <c r="GO5714"/>
    </row>
    <row r="5715" spans="107:197">
      <c r="DC5715"/>
      <c r="FH5715"/>
      <c r="FI5715"/>
      <c r="FJ5715"/>
      <c r="FK5715"/>
      <c r="FL5715"/>
      <c r="FM5715"/>
      <c r="FN5715"/>
      <c r="FO5715"/>
      <c r="FP5715"/>
      <c r="FQ5715"/>
      <c r="FR5715"/>
      <c r="FS5715"/>
      <c r="FT5715"/>
      <c r="FU5715"/>
      <c r="FV5715"/>
      <c r="FW5715"/>
      <c r="FX5715"/>
      <c r="FY5715"/>
      <c r="FZ5715"/>
      <c r="GA5715"/>
      <c r="GB5715"/>
      <c r="GC5715"/>
      <c r="GD5715"/>
      <c r="GE5715"/>
      <c r="GF5715"/>
      <c r="GG5715"/>
      <c r="GH5715"/>
      <c r="GI5715"/>
      <c r="GJ5715"/>
      <c r="GK5715"/>
      <c r="GL5715"/>
      <c r="GM5715"/>
      <c r="GN5715"/>
      <c r="GO5715"/>
    </row>
    <row r="5716" spans="107:197">
      <c r="DC5716"/>
      <c r="FH5716"/>
      <c r="FI5716"/>
      <c r="FJ5716"/>
      <c r="FK5716"/>
      <c r="FL5716"/>
      <c r="FM5716"/>
      <c r="FN5716"/>
      <c r="FO5716"/>
      <c r="FP5716"/>
      <c r="FQ5716"/>
      <c r="FR5716"/>
      <c r="FS5716"/>
      <c r="FT5716"/>
      <c r="FU5716"/>
      <c r="FV5716"/>
      <c r="FW5716"/>
      <c r="FX5716"/>
      <c r="FY5716"/>
      <c r="FZ5716"/>
      <c r="GA5716"/>
      <c r="GB5716"/>
      <c r="GC5716"/>
      <c r="GD5716"/>
      <c r="GE5716"/>
      <c r="GF5716"/>
      <c r="GG5716"/>
      <c r="GH5716"/>
      <c r="GI5716"/>
      <c r="GJ5716"/>
      <c r="GK5716"/>
      <c r="GL5716"/>
      <c r="GM5716"/>
      <c r="GN5716"/>
      <c r="GO5716"/>
    </row>
    <row r="5717" spans="107:197">
      <c r="DC5717"/>
      <c r="FH5717"/>
      <c r="FI5717"/>
      <c r="FJ5717"/>
      <c r="FK5717"/>
      <c r="FL5717"/>
      <c r="FM5717"/>
      <c r="FN5717"/>
      <c r="FO5717"/>
      <c r="FP5717"/>
      <c r="FQ5717"/>
      <c r="FR5717"/>
      <c r="FS5717"/>
      <c r="FT5717"/>
      <c r="FU5717"/>
      <c r="FV5717"/>
      <c r="FW5717"/>
      <c r="FX5717"/>
      <c r="FY5717"/>
      <c r="FZ5717"/>
      <c r="GA5717"/>
      <c r="GB5717"/>
      <c r="GC5717"/>
      <c r="GD5717"/>
      <c r="GE5717"/>
      <c r="GF5717"/>
      <c r="GG5717"/>
      <c r="GH5717"/>
      <c r="GI5717"/>
      <c r="GJ5717"/>
      <c r="GK5717"/>
      <c r="GL5717"/>
      <c r="GM5717"/>
      <c r="GN5717"/>
      <c r="GO5717"/>
    </row>
    <row r="5718" spans="107:197">
      <c r="DC5718"/>
      <c r="FH5718"/>
      <c r="FI5718"/>
      <c r="FJ5718"/>
      <c r="FK5718"/>
      <c r="FL5718"/>
      <c r="FM5718"/>
      <c r="FN5718"/>
      <c r="FO5718"/>
      <c r="FP5718"/>
      <c r="FQ5718"/>
      <c r="FR5718"/>
      <c r="FS5718"/>
      <c r="FT5718"/>
      <c r="FU5718"/>
      <c r="FV5718"/>
      <c r="FW5718"/>
      <c r="FX5718"/>
      <c r="FY5718"/>
      <c r="FZ5718"/>
      <c r="GA5718"/>
      <c r="GB5718"/>
      <c r="GC5718"/>
      <c r="GD5718"/>
      <c r="GE5718"/>
      <c r="GF5718"/>
      <c r="GG5718"/>
      <c r="GH5718"/>
      <c r="GI5718"/>
      <c r="GJ5718"/>
      <c r="GK5718"/>
      <c r="GL5718"/>
      <c r="GM5718"/>
      <c r="GN5718"/>
      <c r="GO5718"/>
    </row>
    <row r="5719" spans="107:197">
      <c r="DC5719"/>
      <c r="FH5719"/>
      <c r="FI5719"/>
      <c r="FJ5719"/>
      <c r="FK5719"/>
      <c r="FL5719"/>
      <c r="FM5719"/>
      <c r="FN5719"/>
      <c r="FO5719"/>
      <c r="FP5719"/>
      <c r="FQ5719"/>
      <c r="FR5719"/>
      <c r="FS5719"/>
      <c r="FT5719"/>
      <c r="FU5719"/>
      <c r="FV5719"/>
      <c r="FW5719"/>
      <c r="FX5719"/>
      <c r="FY5719"/>
      <c r="FZ5719"/>
      <c r="GA5719"/>
      <c r="GB5719"/>
      <c r="GC5719"/>
      <c r="GD5719"/>
      <c r="GE5719"/>
      <c r="GF5719"/>
      <c r="GG5719"/>
      <c r="GH5719"/>
      <c r="GI5719"/>
      <c r="GJ5719"/>
      <c r="GK5719"/>
      <c r="GL5719"/>
      <c r="GM5719"/>
      <c r="GN5719"/>
      <c r="GO5719"/>
    </row>
    <row r="5720" spans="107:197">
      <c r="DC5720"/>
      <c r="FH5720"/>
      <c r="FI5720"/>
      <c r="FJ5720"/>
      <c r="FK5720"/>
      <c r="FL5720"/>
      <c r="FM5720"/>
      <c r="FN5720"/>
      <c r="FO5720"/>
      <c r="FP5720"/>
      <c r="FQ5720"/>
      <c r="FR5720"/>
      <c r="FS5720"/>
      <c r="FT5720"/>
      <c r="FU5720"/>
      <c r="FV5720"/>
      <c r="FW5720"/>
      <c r="FX5720"/>
      <c r="FY5720"/>
      <c r="FZ5720"/>
      <c r="GA5720"/>
      <c r="GB5720"/>
      <c r="GC5720"/>
      <c r="GD5720"/>
      <c r="GE5720"/>
      <c r="GF5720"/>
      <c r="GG5720"/>
      <c r="GH5720"/>
      <c r="GI5720"/>
      <c r="GJ5720"/>
      <c r="GK5720"/>
      <c r="GL5720"/>
      <c r="GM5720"/>
      <c r="GN5720"/>
      <c r="GO5720"/>
    </row>
    <row r="5721" spans="107:197">
      <c r="DC5721"/>
      <c r="FH5721"/>
      <c r="FI5721"/>
      <c r="FJ5721"/>
      <c r="FK5721"/>
      <c r="FL5721"/>
      <c r="FM5721"/>
      <c r="FN5721"/>
      <c r="FO5721"/>
      <c r="FP5721"/>
      <c r="FQ5721"/>
      <c r="FR5721"/>
      <c r="FS5721"/>
      <c r="FT5721"/>
      <c r="FU5721"/>
      <c r="FV5721"/>
      <c r="FW5721"/>
      <c r="FX5721"/>
      <c r="FY5721"/>
      <c r="FZ5721"/>
      <c r="GA5721"/>
      <c r="GB5721"/>
      <c r="GC5721"/>
      <c r="GD5721"/>
      <c r="GE5721"/>
      <c r="GF5721"/>
      <c r="GG5721"/>
      <c r="GH5721"/>
      <c r="GI5721"/>
      <c r="GJ5721"/>
      <c r="GK5721"/>
      <c r="GL5721"/>
      <c r="GM5721"/>
      <c r="GN5721"/>
      <c r="GO5721"/>
    </row>
    <row r="5722" spans="107:197">
      <c r="DC5722"/>
      <c r="FH5722"/>
      <c r="FI5722"/>
      <c r="FJ5722"/>
      <c r="FK5722"/>
      <c r="FL5722"/>
      <c r="FM5722"/>
      <c r="FN5722"/>
      <c r="FO5722"/>
      <c r="FP5722"/>
      <c r="FQ5722"/>
      <c r="FR5722"/>
      <c r="FS5722"/>
      <c r="FT5722"/>
      <c r="FU5722"/>
      <c r="FV5722"/>
      <c r="FW5722"/>
      <c r="FX5722"/>
      <c r="FY5722"/>
      <c r="FZ5722"/>
      <c r="GA5722"/>
      <c r="GB5722"/>
      <c r="GC5722"/>
      <c r="GD5722"/>
      <c r="GE5722"/>
      <c r="GF5722"/>
      <c r="GG5722"/>
      <c r="GH5722"/>
      <c r="GI5722"/>
      <c r="GJ5722"/>
      <c r="GK5722"/>
      <c r="GL5722"/>
      <c r="GM5722"/>
      <c r="GN5722"/>
      <c r="GO5722"/>
    </row>
    <row r="5723" spans="107:197">
      <c r="DC5723"/>
      <c r="FH5723"/>
      <c r="FI5723"/>
      <c r="FJ5723"/>
      <c r="FK5723"/>
      <c r="FL5723"/>
      <c r="FM5723"/>
      <c r="FN5723"/>
      <c r="FO5723"/>
      <c r="FP5723"/>
      <c r="FQ5723"/>
      <c r="FR5723"/>
      <c r="FS5723"/>
      <c r="FT5723"/>
      <c r="FU5723"/>
      <c r="FV5723"/>
      <c r="FW5723"/>
      <c r="FX5723"/>
      <c r="FY5723"/>
      <c r="FZ5723"/>
      <c r="GA5723"/>
      <c r="GB5723"/>
      <c r="GC5723"/>
      <c r="GD5723"/>
      <c r="GE5723"/>
      <c r="GF5723"/>
      <c r="GG5723"/>
      <c r="GH5723"/>
      <c r="GI5723"/>
      <c r="GJ5723"/>
      <c r="GK5723"/>
      <c r="GL5723"/>
      <c r="GM5723"/>
      <c r="GN5723"/>
      <c r="GO5723"/>
    </row>
    <row r="5724" spans="107:197">
      <c r="DC5724"/>
      <c r="FH5724"/>
      <c r="FI5724"/>
      <c r="FJ5724"/>
      <c r="FK5724"/>
      <c r="FL5724"/>
      <c r="FM5724"/>
      <c r="FN5724"/>
      <c r="FO5724"/>
      <c r="FP5724"/>
      <c r="FQ5724"/>
      <c r="FR5724"/>
      <c r="FS5724"/>
      <c r="FT5724"/>
      <c r="FU5724"/>
      <c r="FV5724"/>
      <c r="FW5724"/>
      <c r="FX5724"/>
      <c r="FY5724"/>
      <c r="FZ5724"/>
      <c r="GA5724"/>
      <c r="GB5724"/>
      <c r="GC5724"/>
      <c r="GD5724"/>
      <c r="GE5724"/>
      <c r="GF5724"/>
      <c r="GG5724"/>
      <c r="GH5724"/>
      <c r="GI5724"/>
      <c r="GJ5724"/>
      <c r="GK5724"/>
      <c r="GL5724"/>
      <c r="GM5724"/>
      <c r="GN5724"/>
      <c r="GO5724"/>
    </row>
    <row r="5725" spans="107:197">
      <c r="DC5725"/>
      <c r="FH5725"/>
      <c r="FI5725"/>
      <c r="FJ5725"/>
      <c r="FK5725"/>
      <c r="FL5725"/>
      <c r="FM5725"/>
      <c r="FN5725"/>
      <c r="FO5725"/>
      <c r="FP5725"/>
      <c r="FQ5725"/>
      <c r="FR5725"/>
      <c r="FS5725"/>
      <c r="FT5725"/>
      <c r="FU5725"/>
      <c r="FV5725"/>
      <c r="FW5725"/>
      <c r="FX5725"/>
      <c r="FY5725"/>
      <c r="FZ5725"/>
      <c r="GA5725"/>
      <c r="GB5725"/>
      <c r="GC5725"/>
      <c r="GD5725"/>
      <c r="GE5725"/>
      <c r="GF5725"/>
      <c r="GG5725"/>
      <c r="GH5725"/>
      <c r="GI5725"/>
      <c r="GJ5725"/>
      <c r="GK5725"/>
      <c r="GL5725"/>
      <c r="GM5725"/>
      <c r="GN5725"/>
      <c r="GO5725"/>
    </row>
    <row r="5726" spans="107:197">
      <c r="DC5726"/>
      <c r="FH5726"/>
      <c r="FI5726"/>
      <c r="FJ5726"/>
      <c r="FK5726"/>
      <c r="FL5726"/>
      <c r="FM5726"/>
      <c r="FN5726"/>
      <c r="FO5726"/>
      <c r="FP5726"/>
      <c r="FQ5726"/>
      <c r="FR5726"/>
      <c r="FS5726"/>
      <c r="FT5726"/>
      <c r="FU5726"/>
      <c r="FV5726"/>
      <c r="FW5726"/>
      <c r="FX5726"/>
      <c r="FY5726"/>
      <c r="FZ5726"/>
      <c r="GA5726"/>
      <c r="GB5726"/>
      <c r="GC5726"/>
      <c r="GD5726"/>
      <c r="GE5726"/>
      <c r="GF5726"/>
      <c r="GG5726"/>
      <c r="GH5726"/>
      <c r="GI5726"/>
      <c r="GJ5726"/>
      <c r="GK5726"/>
      <c r="GL5726"/>
      <c r="GM5726"/>
      <c r="GN5726"/>
      <c r="GO5726"/>
    </row>
    <row r="5727" spans="107:197">
      <c r="DC5727"/>
      <c r="FH5727"/>
      <c r="FI5727"/>
      <c r="FJ5727"/>
      <c r="FK5727"/>
      <c r="FL5727"/>
      <c r="FM5727"/>
      <c r="FN5727"/>
      <c r="FO5727"/>
      <c r="FP5727"/>
      <c r="FQ5727"/>
      <c r="FR5727"/>
      <c r="FS5727"/>
      <c r="FT5727"/>
      <c r="FU5727"/>
      <c r="FV5727"/>
      <c r="FW5727"/>
      <c r="FX5727"/>
      <c r="FY5727"/>
      <c r="FZ5727"/>
      <c r="GA5727"/>
      <c r="GB5727"/>
      <c r="GC5727"/>
      <c r="GD5727"/>
      <c r="GE5727"/>
      <c r="GF5727"/>
      <c r="GG5727"/>
      <c r="GH5727"/>
      <c r="GI5727"/>
      <c r="GJ5727"/>
      <c r="GK5727"/>
      <c r="GL5727"/>
      <c r="GM5727"/>
      <c r="GN5727"/>
      <c r="GO5727"/>
    </row>
    <row r="5728" spans="107:197">
      <c r="DC5728"/>
      <c r="FH5728"/>
      <c r="FI5728"/>
      <c r="FJ5728"/>
      <c r="FK5728"/>
      <c r="FL5728"/>
      <c r="FM5728"/>
      <c r="FN5728"/>
      <c r="FO5728"/>
      <c r="FP5728"/>
      <c r="FQ5728"/>
      <c r="FR5728"/>
      <c r="FS5728"/>
      <c r="FT5728"/>
      <c r="FU5728"/>
      <c r="FV5728"/>
      <c r="FW5728"/>
      <c r="FX5728"/>
      <c r="FY5728"/>
      <c r="FZ5728"/>
      <c r="GA5728"/>
      <c r="GB5728"/>
      <c r="GC5728"/>
      <c r="GD5728"/>
      <c r="GE5728"/>
      <c r="GF5728"/>
      <c r="GG5728"/>
      <c r="GH5728"/>
      <c r="GI5728"/>
      <c r="GJ5728"/>
      <c r="GK5728"/>
      <c r="GL5728"/>
      <c r="GM5728"/>
      <c r="GN5728"/>
      <c r="GO5728"/>
    </row>
    <row r="5729" spans="107:197">
      <c r="DC5729"/>
      <c r="FH5729"/>
      <c r="FI5729"/>
      <c r="FJ5729"/>
      <c r="FK5729"/>
      <c r="FL5729"/>
      <c r="FM5729"/>
      <c r="FN5729"/>
      <c r="FO5729"/>
      <c r="FP5729"/>
      <c r="FQ5729"/>
      <c r="FR5729"/>
      <c r="FS5729"/>
      <c r="FT5729"/>
      <c r="FU5729"/>
      <c r="FV5729"/>
      <c r="FW5729"/>
      <c r="FX5729"/>
      <c r="FY5729"/>
      <c r="FZ5729"/>
      <c r="GA5729"/>
      <c r="GB5729"/>
      <c r="GC5729"/>
      <c r="GD5729"/>
      <c r="GE5729"/>
      <c r="GF5729"/>
      <c r="GG5729"/>
      <c r="GH5729"/>
      <c r="GI5729"/>
      <c r="GJ5729"/>
      <c r="GK5729"/>
      <c r="GL5729"/>
      <c r="GM5729"/>
      <c r="GN5729"/>
      <c r="GO5729"/>
    </row>
    <row r="5730" spans="107:197">
      <c r="DC5730"/>
      <c r="FH5730"/>
      <c r="FI5730"/>
      <c r="FJ5730"/>
      <c r="FK5730"/>
      <c r="FL5730"/>
      <c r="FM5730"/>
      <c r="FN5730"/>
      <c r="FO5730"/>
      <c r="FP5730"/>
      <c r="FQ5730"/>
      <c r="FR5730"/>
      <c r="FS5730"/>
      <c r="FT5730"/>
      <c r="FU5730"/>
      <c r="FV5730"/>
      <c r="FW5730"/>
      <c r="FX5730"/>
      <c r="FY5730"/>
      <c r="FZ5730"/>
      <c r="GA5730"/>
      <c r="GB5730"/>
      <c r="GC5730"/>
      <c r="GD5730"/>
      <c r="GE5730"/>
      <c r="GF5730"/>
      <c r="GG5730"/>
      <c r="GH5730"/>
      <c r="GI5730"/>
      <c r="GJ5730"/>
      <c r="GK5730"/>
      <c r="GL5730"/>
      <c r="GM5730"/>
      <c r="GN5730"/>
      <c r="GO5730"/>
    </row>
    <row r="5731" spans="107:197">
      <c r="DC5731"/>
      <c r="FH5731"/>
      <c r="FI5731"/>
      <c r="FJ5731"/>
      <c r="FK5731"/>
      <c r="FL5731"/>
      <c r="FM5731"/>
      <c r="FN5731"/>
      <c r="FO5731"/>
      <c r="FP5731"/>
      <c r="FQ5731"/>
      <c r="FR5731"/>
      <c r="FS5731"/>
      <c r="FT5731"/>
      <c r="FU5731"/>
      <c r="FV5731"/>
      <c r="FW5731"/>
      <c r="FX5731"/>
      <c r="FY5731"/>
      <c r="FZ5731"/>
      <c r="GA5731"/>
      <c r="GB5731"/>
      <c r="GC5731"/>
      <c r="GD5731"/>
      <c r="GE5731"/>
      <c r="GF5731"/>
      <c r="GG5731"/>
      <c r="GH5731"/>
      <c r="GI5731"/>
      <c r="GJ5731"/>
      <c r="GK5731"/>
      <c r="GL5731"/>
      <c r="GM5731"/>
      <c r="GN5731"/>
      <c r="GO5731"/>
    </row>
    <row r="5732" spans="107:197">
      <c r="DC5732"/>
      <c r="FH5732"/>
      <c r="FI5732"/>
      <c r="FJ5732"/>
      <c r="FK5732"/>
      <c r="FL5732"/>
      <c r="FM5732"/>
      <c r="FN5732"/>
      <c r="FO5732"/>
      <c r="FP5732"/>
      <c r="FQ5732"/>
      <c r="FR5732"/>
      <c r="FS5732"/>
      <c r="FT5732"/>
      <c r="FU5732"/>
      <c r="FV5732"/>
      <c r="FW5732"/>
      <c r="FX5732"/>
      <c r="FY5732"/>
      <c r="FZ5732"/>
      <c r="GA5732"/>
      <c r="GB5732"/>
      <c r="GC5732"/>
      <c r="GD5732"/>
      <c r="GE5732"/>
      <c r="GF5732"/>
      <c r="GG5732"/>
      <c r="GH5732"/>
      <c r="GI5732"/>
      <c r="GJ5732"/>
      <c r="GK5732"/>
      <c r="GL5732"/>
      <c r="GM5732"/>
      <c r="GN5732"/>
      <c r="GO5732"/>
    </row>
    <row r="5733" spans="107:197">
      <c r="DC5733"/>
      <c r="FH5733"/>
      <c r="FI5733"/>
      <c r="FJ5733"/>
      <c r="FK5733"/>
      <c r="FL5733"/>
      <c r="FM5733"/>
      <c r="FN5733"/>
      <c r="FO5733"/>
      <c r="FP5733"/>
      <c r="FQ5733"/>
      <c r="FR5733"/>
      <c r="FS5733"/>
      <c r="FT5733"/>
      <c r="FU5733"/>
      <c r="FV5733"/>
      <c r="FW5733"/>
      <c r="FX5733"/>
      <c r="FY5733"/>
      <c r="FZ5733"/>
      <c r="GA5733"/>
      <c r="GB5733"/>
      <c r="GC5733"/>
      <c r="GD5733"/>
      <c r="GE5733"/>
      <c r="GF5733"/>
      <c r="GG5733"/>
      <c r="GH5733"/>
      <c r="GI5733"/>
      <c r="GJ5733"/>
      <c r="GK5733"/>
      <c r="GL5733"/>
      <c r="GM5733"/>
      <c r="GN5733"/>
      <c r="GO5733"/>
    </row>
    <row r="5734" spans="107:197">
      <c r="DC5734"/>
      <c r="FH5734"/>
      <c r="FI5734"/>
      <c r="FJ5734"/>
      <c r="FK5734"/>
      <c r="FL5734"/>
      <c r="FM5734"/>
      <c r="FN5734"/>
      <c r="FO5734"/>
      <c r="FP5734"/>
      <c r="FQ5734"/>
      <c r="FR5734"/>
      <c r="FS5734"/>
      <c r="FT5734"/>
      <c r="FU5734"/>
      <c r="FV5734"/>
      <c r="FW5734"/>
      <c r="FX5734"/>
      <c r="FY5734"/>
      <c r="FZ5734"/>
      <c r="GA5734"/>
      <c r="GB5734"/>
      <c r="GC5734"/>
      <c r="GD5734"/>
      <c r="GE5734"/>
      <c r="GF5734"/>
      <c r="GG5734"/>
      <c r="GH5734"/>
      <c r="GI5734"/>
      <c r="GJ5734"/>
      <c r="GK5734"/>
      <c r="GL5734"/>
      <c r="GM5734"/>
      <c r="GN5734"/>
      <c r="GO5734"/>
    </row>
    <row r="5735" spans="107:197">
      <c r="DC5735"/>
      <c r="FH5735"/>
      <c r="FI5735"/>
      <c r="FJ5735"/>
      <c r="FK5735"/>
      <c r="FL5735"/>
      <c r="FM5735"/>
      <c r="FN5735"/>
      <c r="FO5735"/>
      <c r="FP5735"/>
      <c r="FQ5735"/>
      <c r="FR5735"/>
      <c r="FS5735"/>
      <c r="FT5735"/>
      <c r="FU5735"/>
      <c r="FV5735"/>
      <c r="FW5735"/>
      <c r="FX5735"/>
      <c r="FY5735"/>
      <c r="FZ5735"/>
      <c r="GA5735"/>
      <c r="GB5735"/>
      <c r="GC5735"/>
      <c r="GD5735"/>
      <c r="GE5735"/>
      <c r="GF5735"/>
      <c r="GG5735"/>
      <c r="GH5735"/>
      <c r="GI5735"/>
      <c r="GJ5735"/>
      <c r="GK5735"/>
      <c r="GL5735"/>
      <c r="GM5735"/>
      <c r="GN5735"/>
      <c r="GO5735"/>
    </row>
    <row r="5736" spans="107:197">
      <c r="DC5736"/>
      <c r="FH5736"/>
      <c r="FI5736"/>
      <c r="FJ5736"/>
      <c r="FK5736"/>
      <c r="FL5736"/>
      <c r="FM5736"/>
      <c r="FN5736"/>
      <c r="FO5736"/>
      <c r="FP5736"/>
      <c r="FQ5736"/>
      <c r="FR5736"/>
      <c r="FS5736"/>
      <c r="FT5736"/>
      <c r="FU5736"/>
      <c r="FV5736"/>
      <c r="FW5736"/>
      <c r="FX5736"/>
      <c r="FY5736"/>
      <c r="FZ5736"/>
      <c r="GA5736"/>
      <c r="GB5736"/>
      <c r="GC5736"/>
      <c r="GD5736"/>
      <c r="GE5736"/>
      <c r="GF5736"/>
      <c r="GG5736"/>
      <c r="GH5736"/>
      <c r="GI5736"/>
      <c r="GJ5736"/>
      <c r="GK5736"/>
      <c r="GL5736"/>
      <c r="GM5736"/>
      <c r="GN5736"/>
      <c r="GO5736"/>
    </row>
    <row r="5737" spans="107:197">
      <c r="DC5737"/>
      <c r="FH5737"/>
      <c r="FI5737"/>
      <c r="FJ5737"/>
      <c r="FK5737"/>
      <c r="FL5737"/>
      <c r="FM5737"/>
      <c r="FN5737"/>
      <c r="FO5737"/>
      <c r="FP5737"/>
      <c r="FQ5737"/>
      <c r="FR5737"/>
      <c r="FS5737"/>
      <c r="FT5737"/>
      <c r="FU5737"/>
      <c r="FV5737"/>
      <c r="FW5737"/>
      <c r="FX5737"/>
      <c r="FY5737"/>
      <c r="FZ5737"/>
      <c r="GA5737"/>
      <c r="GB5737"/>
      <c r="GC5737"/>
      <c r="GD5737"/>
      <c r="GE5737"/>
      <c r="GF5737"/>
      <c r="GG5737"/>
      <c r="GH5737"/>
      <c r="GI5737"/>
      <c r="GJ5737"/>
      <c r="GK5737"/>
      <c r="GL5737"/>
      <c r="GM5737"/>
      <c r="GN5737"/>
      <c r="GO5737"/>
    </row>
    <row r="5738" spans="107:197">
      <c r="DC5738"/>
      <c r="FH5738"/>
      <c r="FI5738"/>
      <c r="FJ5738"/>
      <c r="FK5738"/>
      <c r="FL5738"/>
      <c r="FM5738"/>
      <c r="FN5738"/>
      <c r="FO5738"/>
      <c r="FP5738"/>
      <c r="FQ5738"/>
      <c r="FR5738"/>
      <c r="FS5738"/>
      <c r="FT5738"/>
      <c r="FU5738"/>
      <c r="FV5738"/>
      <c r="FW5738"/>
      <c r="FX5738"/>
      <c r="FY5738"/>
      <c r="FZ5738"/>
      <c r="GA5738"/>
      <c r="GB5738"/>
      <c r="GC5738"/>
      <c r="GD5738"/>
      <c r="GE5738"/>
      <c r="GF5738"/>
      <c r="GG5738"/>
      <c r="GH5738"/>
      <c r="GI5738"/>
      <c r="GJ5738"/>
      <c r="GK5738"/>
      <c r="GL5738"/>
      <c r="GM5738"/>
      <c r="GN5738"/>
      <c r="GO5738"/>
    </row>
    <row r="5739" spans="107:197">
      <c r="DC5739"/>
      <c r="FH5739"/>
      <c r="FI5739"/>
      <c r="FJ5739"/>
      <c r="FK5739"/>
      <c r="FL5739"/>
      <c r="FM5739"/>
      <c r="FN5739"/>
      <c r="FO5739"/>
      <c r="FP5739"/>
      <c r="FQ5739"/>
      <c r="FR5739"/>
      <c r="FS5739"/>
      <c r="FT5739"/>
      <c r="FU5739"/>
      <c r="FV5739"/>
      <c r="FW5739"/>
      <c r="FX5739"/>
      <c r="FY5739"/>
      <c r="FZ5739"/>
      <c r="GA5739"/>
      <c r="GB5739"/>
      <c r="GC5739"/>
      <c r="GD5739"/>
      <c r="GE5739"/>
      <c r="GF5739"/>
      <c r="GG5739"/>
      <c r="GH5739"/>
      <c r="GI5739"/>
      <c r="GJ5739"/>
      <c r="GK5739"/>
      <c r="GL5739"/>
      <c r="GM5739"/>
      <c r="GN5739"/>
      <c r="GO5739"/>
    </row>
    <row r="5740" spans="107:197">
      <c r="DC5740"/>
      <c r="FH5740"/>
      <c r="FI5740"/>
      <c r="FJ5740"/>
      <c r="FK5740"/>
      <c r="FL5740"/>
      <c r="FM5740"/>
      <c r="FN5740"/>
      <c r="FO5740"/>
      <c r="FP5740"/>
      <c r="FQ5740"/>
      <c r="FR5740"/>
      <c r="FS5740"/>
      <c r="FT5740"/>
      <c r="FU5740"/>
      <c r="FV5740"/>
      <c r="FW5740"/>
      <c r="FX5740"/>
      <c r="FY5740"/>
      <c r="FZ5740"/>
      <c r="GA5740"/>
      <c r="GB5740"/>
      <c r="GC5740"/>
      <c r="GD5740"/>
      <c r="GE5740"/>
      <c r="GF5740"/>
      <c r="GG5740"/>
      <c r="GH5740"/>
      <c r="GI5740"/>
      <c r="GJ5740"/>
      <c r="GK5740"/>
      <c r="GL5740"/>
      <c r="GM5740"/>
      <c r="GN5740"/>
      <c r="GO5740"/>
    </row>
    <row r="5741" spans="107:197">
      <c r="DC5741"/>
      <c r="FH5741"/>
      <c r="FI5741"/>
      <c r="FJ5741"/>
      <c r="FK5741"/>
      <c r="FL5741"/>
      <c r="FM5741"/>
      <c r="FN5741"/>
      <c r="FO5741"/>
      <c r="FP5741"/>
      <c r="FQ5741"/>
      <c r="FR5741"/>
      <c r="FS5741"/>
      <c r="FT5741"/>
      <c r="FU5741"/>
      <c r="FV5741"/>
      <c r="FW5741"/>
      <c r="FX5741"/>
      <c r="FY5741"/>
      <c r="FZ5741"/>
      <c r="GA5741"/>
      <c r="GB5741"/>
      <c r="GC5741"/>
      <c r="GD5741"/>
      <c r="GE5741"/>
      <c r="GF5741"/>
      <c r="GG5741"/>
      <c r="GH5741"/>
      <c r="GI5741"/>
      <c r="GJ5741"/>
      <c r="GK5741"/>
      <c r="GL5741"/>
      <c r="GM5741"/>
      <c r="GN5741"/>
      <c r="GO5741"/>
    </row>
    <row r="5742" spans="107:197">
      <c r="DC5742"/>
      <c r="FH5742"/>
      <c r="FI5742"/>
      <c r="FJ5742"/>
      <c r="FK5742"/>
      <c r="FL5742"/>
      <c r="FM5742"/>
      <c r="FN5742"/>
      <c r="FO5742"/>
      <c r="FP5742"/>
      <c r="FQ5742"/>
      <c r="FR5742"/>
      <c r="FS5742"/>
      <c r="FT5742"/>
      <c r="FU5742"/>
      <c r="FV5742"/>
      <c r="FW5742"/>
      <c r="FX5742"/>
      <c r="FY5742"/>
      <c r="FZ5742"/>
      <c r="GA5742"/>
      <c r="GB5742"/>
      <c r="GC5742"/>
      <c r="GD5742"/>
      <c r="GE5742"/>
      <c r="GF5742"/>
      <c r="GG5742"/>
      <c r="GH5742"/>
      <c r="GI5742"/>
      <c r="GJ5742"/>
      <c r="GK5742"/>
      <c r="GL5742"/>
      <c r="GM5742"/>
      <c r="GN5742"/>
      <c r="GO5742"/>
    </row>
    <row r="5743" spans="107:197">
      <c r="DC5743"/>
      <c r="FH5743"/>
      <c r="FI5743"/>
      <c r="FJ5743"/>
      <c r="FK5743"/>
      <c r="FL5743"/>
      <c r="FM5743"/>
      <c r="FN5743"/>
      <c r="FO5743"/>
      <c r="FP5743"/>
      <c r="FQ5743"/>
      <c r="FR5743"/>
      <c r="FS5743"/>
      <c r="FT5743"/>
      <c r="FU5743"/>
      <c r="FV5743"/>
      <c r="FW5743"/>
      <c r="FX5743"/>
      <c r="FY5743"/>
      <c r="FZ5743"/>
      <c r="GA5743"/>
      <c r="GB5743"/>
      <c r="GC5743"/>
      <c r="GD5743"/>
      <c r="GE5743"/>
      <c r="GF5743"/>
      <c r="GG5743"/>
      <c r="GH5743"/>
      <c r="GI5743"/>
      <c r="GJ5743"/>
      <c r="GK5743"/>
      <c r="GL5743"/>
      <c r="GM5743"/>
      <c r="GN5743"/>
      <c r="GO5743"/>
    </row>
    <row r="5744" spans="107:197">
      <c r="DC5744"/>
      <c r="FH5744"/>
      <c r="FI5744"/>
      <c r="FJ5744"/>
      <c r="FK5744"/>
      <c r="FL5744"/>
      <c r="FM5744"/>
      <c r="FN5744"/>
      <c r="FO5744"/>
      <c r="FP5744"/>
      <c r="FQ5744"/>
      <c r="FR5744"/>
      <c r="FS5744"/>
      <c r="FT5744"/>
      <c r="FU5744"/>
      <c r="FV5744"/>
      <c r="FW5744"/>
      <c r="FX5744"/>
      <c r="FY5744"/>
      <c r="FZ5744"/>
      <c r="GA5744"/>
      <c r="GB5744"/>
      <c r="GC5744"/>
      <c r="GD5744"/>
      <c r="GE5744"/>
      <c r="GF5744"/>
      <c r="GG5744"/>
      <c r="GH5744"/>
      <c r="GI5744"/>
      <c r="GJ5744"/>
      <c r="GK5744"/>
      <c r="GL5744"/>
      <c r="GM5744"/>
      <c r="GN5744"/>
      <c r="GO5744"/>
    </row>
    <row r="5745" spans="107:197">
      <c r="DC5745"/>
      <c r="FH5745"/>
      <c r="FI5745"/>
      <c r="FJ5745"/>
      <c r="FK5745"/>
      <c r="FL5745"/>
      <c r="FM5745"/>
      <c r="FN5745"/>
      <c r="FO5745"/>
      <c r="FP5745"/>
      <c r="FQ5745"/>
      <c r="FR5745"/>
      <c r="FS5745"/>
      <c r="FT5745"/>
      <c r="FU5745"/>
      <c r="FV5745"/>
      <c r="FW5745"/>
      <c r="FX5745"/>
      <c r="FY5745"/>
      <c r="FZ5745"/>
      <c r="GA5745"/>
      <c r="GB5745"/>
      <c r="GC5745"/>
      <c r="GD5745"/>
      <c r="GE5745"/>
      <c r="GF5745"/>
      <c r="GG5745"/>
      <c r="GH5745"/>
      <c r="GI5745"/>
      <c r="GJ5745"/>
      <c r="GK5745"/>
      <c r="GL5745"/>
      <c r="GM5745"/>
      <c r="GN5745"/>
      <c r="GO5745"/>
    </row>
    <row r="5746" spans="107:197">
      <c r="DC5746"/>
      <c r="FH5746"/>
      <c r="FI5746"/>
      <c r="FJ5746"/>
      <c r="FK5746"/>
      <c r="FL5746"/>
      <c r="FM5746"/>
      <c r="FN5746"/>
      <c r="FO5746"/>
      <c r="FP5746"/>
      <c r="FQ5746"/>
      <c r="FR5746"/>
      <c r="FS5746"/>
      <c r="FT5746"/>
      <c r="FU5746"/>
      <c r="FV5746"/>
      <c r="FW5746"/>
      <c r="FX5746"/>
      <c r="FY5746"/>
      <c r="FZ5746"/>
      <c r="GA5746"/>
      <c r="GB5746"/>
      <c r="GC5746"/>
      <c r="GD5746"/>
      <c r="GE5746"/>
      <c r="GF5746"/>
      <c r="GG5746"/>
      <c r="GH5746"/>
      <c r="GI5746"/>
      <c r="GJ5746"/>
      <c r="GK5746"/>
      <c r="GL5746"/>
      <c r="GM5746"/>
      <c r="GN5746"/>
      <c r="GO5746"/>
    </row>
    <row r="5747" spans="107:197">
      <c r="DC5747"/>
      <c r="FH5747"/>
      <c r="FI5747"/>
      <c r="FJ5747"/>
      <c r="FK5747"/>
      <c r="FL5747"/>
      <c r="FM5747"/>
      <c r="FN5747"/>
      <c r="FO5747"/>
      <c r="FP5747"/>
      <c r="FQ5747"/>
      <c r="FR5747"/>
      <c r="FS5747"/>
      <c r="FT5747"/>
      <c r="FU5747"/>
      <c r="FV5747"/>
      <c r="FW5747"/>
      <c r="FX5747"/>
      <c r="FY5747"/>
      <c r="FZ5747"/>
      <c r="GA5747"/>
      <c r="GB5747"/>
      <c r="GC5747"/>
      <c r="GD5747"/>
      <c r="GE5747"/>
      <c r="GF5747"/>
      <c r="GG5747"/>
      <c r="GH5747"/>
      <c r="GI5747"/>
      <c r="GJ5747"/>
      <c r="GK5747"/>
      <c r="GL5747"/>
      <c r="GM5747"/>
      <c r="GN5747"/>
      <c r="GO5747"/>
    </row>
    <row r="5748" spans="107:197">
      <c r="DC5748"/>
      <c r="FH5748"/>
      <c r="FI5748"/>
      <c r="FJ5748"/>
      <c r="FK5748"/>
      <c r="FL5748"/>
      <c r="FM5748"/>
      <c r="FN5748"/>
      <c r="FO5748"/>
      <c r="FP5748"/>
      <c r="FQ5748"/>
      <c r="FR5748"/>
      <c r="FS5748"/>
      <c r="FT5748"/>
      <c r="FU5748"/>
      <c r="FV5748"/>
      <c r="FW5748"/>
      <c r="FX5748"/>
      <c r="FY5748"/>
      <c r="FZ5748"/>
      <c r="GA5748"/>
      <c r="GB5748"/>
      <c r="GC5748"/>
      <c r="GD5748"/>
      <c r="GE5748"/>
      <c r="GF5748"/>
      <c r="GG5748"/>
      <c r="GH5748"/>
      <c r="GI5748"/>
      <c r="GJ5748"/>
      <c r="GK5748"/>
      <c r="GL5748"/>
      <c r="GM5748"/>
      <c r="GN5748"/>
      <c r="GO5748"/>
    </row>
    <row r="5749" spans="107:197">
      <c r="DC5749"/>
      <c r="FH5749"/>
      <c r="FI5749"/>
      <c r="FJ5749"/>
      <c r="FK5749"/>
      <c r="FL5749"/>
      <c r="FM5749"/>
      <c r="FN5749"/>
      <c r="FO5749"/>
      <c r="FP5749"/>
      <c r="FQ5749"/>
      <c r="FR5749"/>
      <c r="FS5749"/>
      <c r="FT5749"/>
      <c r="FU5749"/>
      <c r="FV5749"/>
      <c r="FW5749"/>
      <c r="FX5749"/>
      <c r="FY5749"/>
      <c r="FZ5749"/>
      <c r="GA5749"/>
      <c r="GB5749"/>
      <c r="GC5749"/>
      <c r="GD5749"/>
      <c r="GE5749"/>
      <c r="GF5749"/>
      <c r="GG5749"/>
      <c r="GH5749"/>
      <c r="GI5749"/>
      <c r="GJ5749"/>
      <c r="GK5749"/>
      <c r="GL5749"/>
      <c r="GM5749"/>
      <c r="GN5749"/>
      <c r="GO5749"/>
    </row>
    <row r="5750" spans="107:197">
      <c r="DC5750"/>
      <c r="FH5750"/>
      <c r="FI5750"/>
      <c r="FJ5750"/>
      <c r="FK5750"/>
      <c r="FL5750"/>
      <c r="FM5750"/>
      <c r="FN5750"/>
      <c r="FO5750"/>
      <c r="FP5750"/>
      <c r="FQ5750"/>
      <c r="FR5750"/>
      <c r="FS5750"/>
      <c r="FT5750"/>
      <c r="FU5750"/>
      <c r="FV5750"/>
      <c r="FW5750"/>
      <c r="FX5750"/>
      <c r="FY5750"/>
      <c r="FZ5750"/>
      <c r="GA5750"/>
      <c r="GB5750"/>
      <c r="GC5750"/>
      <c r="GD5750"/>
      <c r="GE5750"/>
      <c r="GF5750"/>
      <c r="GG5750"/>
      <c r="GH5750"/>
      <c r="GI5750"/>
      <c r="GJ5750"/>
      <c r="GK5750"/>
      <c r="GL5750"/>
      <c r="GM5750"/>
      <c r="GN5750"/>
      <c r="GO5750"/>
    </row>
    <row r="5751" spans="107:197">
      <c r="DC5751"/>
      <c r="FH5751"/>
      <c r="FI5751"/>
      <c r="FJ5751"/>
      <c r="FK5751"/>
      <c r="FL5751"/>
      <c r="FM5751"/>
      <c r="FN5751"/>
      <c r="FO5751"/>
      <c r="FP5751"/>
      <c r="FQ5751"/>
      <c r="FR5751"/>
      <c r="FS5751"/>
      <c r="FT5751"/>
      <c r="FU5751"/>
      <c r="FV5751"/>
      <c r="FW5751"/>
      <c r="FX5751"/>
      <c r="FY5751"/>
      <c r="FZ5751"/>
      <c r="GA5751"/>
      <c r="GB5751"/>
      <c r="GC5751"/>
      <c r="GD5751"/>
      <c r="GE5751"/>
      <c r="GF5751"/>
      <c r="GG5751"/>
      <c r="GH5751"/>
      <c r="GI5751"/>
      <c r="GJ5751"/>
      <c r="GK5751"/>
      <c r="GL5751"/>
      <c r="GM5751"/>
      <c r="GN5751"/>
      <c r="GO5751"/>
    </row>
    <row r="5752" spans="107:197">
      <c r="DC5752"/>
      <c r="FH5752"/>
      <c r="FI5752"/>
      <c r="FJ5752"/>
      <c r="FK5752"/>
      <c r="FL5752"/>
      <c r="FM5752"/>
      <c r="FN5752"/>
      <c r="FO5752"/>
      <c r="FP5752"/>
      <c r="FQ5752"/>
      <c r="FR5752"/>
      <c r="FS5752"/>
      <c r="FT5752"/>
      <c r="FU5752"/>
      <c r="FV5752"/>
      <c r="FW5752"/>
      <c r="FX5752"/>
      <c r="FY5752"/>
      <c r="FZ5752"/>
      <c r="GA5752"/>
      <c r="GB5752"/>
      <c r="GC5752"/>
      <c r="GD5752"/>
      <c r="GE5752"/>
      <c r="GF5752"/>
      <c r="GG5752"/>
      <c r="GH5752"/>
      <c r="GI5752"/>
      <c r="GJ5752"/>
      <c r="GK5752"/>
      <c r="GL5752"/>
      <c r="GM5752"/>
      <c r="GN5752"/>
      <c r="GO5752"/>
    </row>
    <row r="5753" spans="107:197">
      <c r="DC5753"/>
      <c r="FH5753"/>
      <c r="FI5753"/>
      <c r="FJ5753"/>
      <c r="FK5753"/>
      <c r="FL5753"/>
      <c r="FM5753"/>
      <c r="FN5753"/>
      <c r="FO5753"/>
      <c r="FP5753"/>
      <c r="FQ5753"/>
      <c r="FR5753"/>
      <c r="FS5753"/>
      <c r="FT5753"/>
      <c r="FU5753"/>
      <c r="FV5753"/>
      <c r="FW5753"/>
      <c r="FX5753"/>
      <c r="FY5753"/>
      <c r="FZ5753"/>
      <c r="GA5753"/>
      <c r="GB5753"/>
      <c r="GC5753"/>
      <c r="GD5753"/>
      <c r="GE5753"/>
      <c r="GF5753"/>
      <c r="GG5753"/>
      <c r="GH5753"/>
      <c r="GI5753"/>
      <c r="GJ5753"/>
      <c r="GK5753"/>
      <c r="GL5753"/>
      <c r="GM5753"/>
      <c r="GN5753"/>
      <c r="GO5753"/>
    </row>
    <row r="5754" spans="107:197">
      <c r="DC5754"/>
      <c r="FH5754"/>
      <c r="FI5754"/>
      <c r="FJ5754"/>
      <c r="FK5754"/>
      <c r="FL5754"/>
      <c r="FM5754"/>
      <c r="FN5754"/>
      <c r="FO5754"/>
      <c r="FP5754"/>
      <c r="FQ5754"/>
      <c r="FR5754"/>
      <c r="FS5754"/>
      <c r="FT5754"/>
      <c r="FU5754"/>
      <c r="FV5754"/>
      <c r="FW5754"/>
      <c r="FX5754"/>
      <c r="FY5754"/>
      <c r="FZ5754"/>
      <c r="GA5754"/>
      <c r="GB5754"/>
      <c r="GC5754"/>
      <c r="GD5754"/>
      <c r="GE5754"/>
      <c r="GF5754"/>
      <c r="GG5754"/>
      <c r="GH5754"/>
      <c r="GI5754"/>
      <c r="GJ5754"/>
      <c r="GK5754"/>
      <c r="GL5754"/>
      <c r="GM5754"/>
      <c r="GN5754"/>
      <c r="GO5754"/>
    </row>
    <row r="5755" spans="107:197">
      <c r="DC5755"/>
      <c r="FH5755"/>
      <c r="FI5755"/>
      <c r="FJ5755"/>
      <c r="FK5755"/>
      <c r="FL5755"/>
      <c r="FM5755"/>
      <c r="FN5755"/>
      <c r="FO5755"/>
      <c r="FP5755"/>
      <c r="FQ5755"/>
      <c r="FR5755"/>
      <c r="FS5755"/>
      <c r="FT5755"/>
      <c r="FU5755"/>
      <c r="FV5755"/>
      <c r="FW5755"/>
      <c r="FX5755"/>
      <c r="FY5755"/>
      <c r="FZ5755"/>
      <c r="GA5755"/>
      <c r="GB5755"/>
      <c r="GC5755"/>
      <c r="GD5755"/>
      <c r="GE5755"/>
      <c r="GF5755"/>
      <c r="GG5755"/>
      <c r="GH5755"/>
      <c r="GI5755"/>
      <c r="GJ5755"/>
      <c r="GK5755"/>
      <c r="GL5755"/>
      <c r="GM5755"/>
      <c r="GN5755"/>
      <c r="GO5755"/>
    </row>
    <row r="5756" spans="107:197">
      <c r="DC5756"/>
      <c r="FH5756"/>
      <c r="FI5756"/>
      <c r="FJ5756"/>
      <c r="FK5756"/>
      <c r="FL5756"/>
      <c r="FM5756"/>
      <c r="FN5756"/>
      <c r="FO5756"/>
      <c r="FP5756"/>
      <c r="FQ5756"/>
      <c r="FR5756"/>
      <c r="FS5756"/>
      <c r="FT5756"/>
      <c r="FU5756"/>
      <c r="FV5756"/>
      <c r="FW5756"/>
      <c r="FX5756"/>
      <c r="FY5756"/>
      <c r="FZ5756"/>
      <c r="GA5756"/>
      <c r="GB5756"/>
      <c r="GC5756"/>
      <c r="GD5756"/>
      <c r="GE5756"/>
      <c r="GF5756"/>
      <c r="GG5756"/>
      <c r="GH5756"/>
      <c r="GI5756"/>
      <c r="GJ5756"/>
      <c r="GK5756"/>
      <c r="GL5756"/>
      <c r="GM5756"/>
      <c r="GN5756"/>
      <c r="GO5756"/>
    </row>
    <row r="5757" spans="107:197">
      <c r="DC5757"/>
      <c r="FH5757"/>
      <c r="FI5757"/>
      <c r="FJ5757"/>
      <c r="FK5757"/>
      <c r="FL5757"/>
      <c r="FM5757"/>
      <c r="FN5757"/>
      <c r="FO5757"/>
      <c r="FP5757"/>
      <c r="FQ5757"/>
      <c r="FR5757"/>
      <c r="FS5757"/>
      <c r="FT5757"/>
      <c r="FU5757"/>
      <c r="FV5757"/>
      <c r="FW5757"/>
      <c r="FX5757"/>
      <c r="FY5757"/>
      <c r="FZ5757"/>
      <c r="GA5757"/>
      <c r="GB5757"/>
      <c r="GC5757"/>
      <c r="GD5757"/>
      <c r="GE5757"/>
      <c r="GF5757"/>
      <c r="GG5757"/>
      <c r="GH5757"/>
      <c r="GI5757"/>
      <c r="GJ5757"/>
      <c r="GK5757"/>
      <c r="GL5757"/>
      <c r="GM5757"/>
      <c r="GN5757"/>
      <c r="GO5757"/>
    </row>
    <row r="5758" spans="107:197">
      <c r="DC5758"/>
      <c r="FH5758"/>
      <c r="FI5758"/>
      <c r="FJ5758"/>
      <c r="FK5758"/>
      <c r="FL5758"/>
      <c r="FM5758"/>
      <c r="FN5758"/>
      <c r="FO5758"/>
      <c r="FP5758"/>
      <c r="FQ5758"/>
      <c r="FR5758"/>
      <c r="FS5758"/>
      <c r="FT5758"/>
      <c r="FU5758"/>
      <c r="FV5758"/>
      <c r="FW5758"/>
      <c r="FX5758"/>
      <c r="FY5758"/>
      <c r="FZ5758"/>
      <c r="GA5758"/>
      <c r="GB5758"/>
      <c r="GC5758"/>
      <c r="GD5758"/>
      <c r="GE5758"/>
      <c r="GF5758"/>
      <c r="GG5758"/>
      <c r="GH5758"/>
      <c r="GI5758"/>
      <c r="GJ5758"/>
      <c r="GK5758"/>
      <c r="GL5758"/>
      <c r="GM5758"/>
      <c r="GN5758"/>
      <c r="GO5758"/>
    </row>
    <row r="5759" spans="107:197">
      <c r="DC5759"/>
      <c r="FH5759"/>
      <c r="FI5759"/>
      <c r="FJ5759"/>
      <c r="FK5759"/>
      <c r="FL5759"/>
      <c r="FM5759"/>
      <c r="FN5759"/>
      <c r="FO5759"/>
      <c r="FP5759"/>
      <c r="FQ5759"/>
      <c r="FR5759"/>
      <c r="FS5759"/>
      <c r="FT5759"/>
      <c r="FU5759"/>
      <c r="FV5759"/>
      <c r="FW5759"/>
      <c r="FX5759"/>
      <c r="FY5759"/>
      <c r="FZ5759"/>
      <c r="GA5759"/>
      <c r="GB5759"/>
      <c r="GC5759"/>
      <c r="GD5759"/>
      <c r="GE5759"/>
      <c r="GF5759"/>
      <c r="GG5759"/>
      <c r="GH5759"/>
      <c r="GI5759"/>
      <c r="GJ5759"/>
      <c r="GK5759"/>
      <c r="GL5759"/>
      <c r="GM5759"/>
      <c r="GN5759"/>
      <c r="GO5759"/>
    </row>
    <row r="5760" spans="107:197">
      <c r="DC5760"/>
      <c r="FH5760"/>
      <c r="FI5760"/>
      <c r="FJ5760"/>
      <c r="FK5760"/>
      <c r="FL5760"/>
      <c r="FM5760"/>
      <c r="FN5760"/>
      <c r="FO5760"/>
      <c r="FP5760"/>
      <c r="FQ5760"/>
      <c r="FR5760"/>
      <c r="FS5760"/>
      <c r="FT5760"/>
      <c r="FU5760"/>
      <c r="FV5760"/>
      <c r="FW5760"/>
      <c r="FX5760"/>
      <c r="FY5760"/>
      <c r="FZ5760"/>
      <c r="GA5760"/>
      <c r="GB5760"/>
      <c r="GC5760"/>
      <c r="GD5760"/>
      <c r="GE5760"/>
      <c r="GF5760"/>
      <c r="GG5760"/>
      <c r="GH5760"/>
      <c r="GI5760"/>
      <c r="GJ5760"/>
      <c r="GK5760"/>
      <c r="GL5760"/>
      <c r="GM5760"/>
      <c r="GN5760"/>
      <c r="GO5760"/>
    </row>
    <row r="5761" spans="107:197">
      <c r="DC5761"/>
      <c r="FH5761"/>
      <c r="FI5761"/>
      <c r="FJ5761"/>
      <c r="FK5761"/>
      <c r="FL5761"/>
      <c r="FM5761"/>
      <c r="FN5761"/>
      <c r="FO5761"/>
      <c r="FP5761"/>
      <c r="FQ5761"/>
      <c r="FR5761"/>
      <c r="FS5761"/>
      <c r="FT5761"/>
      <c r="FU5761"/>
      <c r="FV5761"/>
      <c r="FW5761"/>
      <c r="FX5761"/>
      <c r="FY5761"/>
      <c r="FZ5761"/>
      <c r="GA5761"/>
      <c r="GB5761"/>
      <c r="GC5761"/>
      <c r="GD5761"/>
      <c r="GE5761"/>
      <c r="GF5761"/>
      <c r="GG5761"/>
      <c r="GH5761"/>
      <c r="GI5761"/>
      <c r="GJ5761"/>
      <c r="GK5761"/>
      <c r="GL5761"/>
      <c r="GM5761"/>
      <c r="GN5761"/>
      <c r="GO5761"/>
    </row>
    <row r="5762" spans="107:197">
      <c r="DC5762"/>
      <c r="FH5762"/>
      <c r="FI5762"/>
      <c r="FJ5762"/>
      <c r="FK5762"/>
      <c r="FL5762"/>
      <c r="FM5762"/>
      <c r="FN5762"/>
      <c r="FO5762"/>
      <c r="FP5762"/>
      <c r="FQ5762"/>
      <c r="FR5762"/>
      <c r="FS5762"/>
      <c r="FT5762"/>
      <c r="FU5762"/>
      <c r="FV5762"/>
      <c r="FW5762"/>
      <c r="FX5762"/>
      <c r="FY5762"/>
      <c r="FZ5762"/>
      <c r="GA5762"/>
      <c r="GB5762"/>
      <c r="GC5762"/>
      <c r="GD5762"/>
      <c r="GE5762"/>
      <c r="GF5762"/>
      <c r="GG5762"/>
      <c r="GH5762"/>
      <c r="GI5762"/>
      <c r="GJ5762"/>
      <c r="GK5762"/>
      <c r="GL5762"/>
      <c r="GM5762"/>
      <c r="GN5762"/>
      <c r="GO5762"/>
    </row>
    <row r="5763" spans="107:197">
      <c r="DC5763"/>
      <c r="FH5763"/>
      <c r="FI5763"/>
      <c r="FJ5763"/>
      <c r="FK5763"/>
      <c r="FL5763"/>
      <c r="FM5763"/>
      <c r="FN5763"/>
      <c r="FO5763"/>
      <c r="FP5763"/>
      <c r="FQ5763"/>
      <c r="FR5763"/>
      <c r="FS5763"/>
      <c r="FT5763"/>
      <c r="FU5763"/>
      <c r="FV5763"/>
      <c r="FW5763"/>
      <c r="FX5763"/>
      <c r="FY5763"/>
      <c r="FZ5763"/>
      <c r="GA5763"/>
      <c r="GB5763"/>
      <c r="GC5763"/>
      <c r="GD5763"/>
      <c r="GE5763"/>
      <c r="GF5763"/>
      <c r="GG5763"/>
      <c r="GH5763"/>
      <c r="GI5763"/>
      <c r="GJ5763"/>
      <c r="GK5763"/>
      <c r="GL5763"/>
      <c r="GM5763"/>
      <c r="GN5763"/>
      <c r="GO5763"/>
    </row>
    <row r="5764" spans="107:197">
      <c r="DC5764"/>
      <c r="FH5764"/>
      <c r="FI5764"/>
      <c r="FJ5764"/>
      <c r="FK5764"/>
      <c r="FL5764"/>
      <c r="FM5764"/>
      <c r="FN5764"/>
      <c r="FO5764"/>
      <c r="FP5764"/>
      <c r="FQ5764"/>
      <c r="FR5764"/>
      <c r="FS5764"/>
      <c r="FT5764"/>
      <c r="FU5764"/>
      <c r="FV5764"/>
      <c r="FW5764"/>
      <c r="FX5764"/>
      <c r="FY5764"/>
      <c r="FZ5764"/>
      <c r="GA5764"/>
      <c r="GB5764"/>
      <c r="GC5764"/>
      <c r="GD5764"/>
      <c r="GE5764"/>
      <c r="GF5764"/>
      <c r="GG5764"/>
      <c r="GH5764"/>
      <c r="GI5764"/>
      <c r="GJ5764"/>
      <c r="GK5764"/>
      <c r="GL5764"/>
      <c r="GM5764"/>
      <c r="GN5764"/>
      <c r="GO5764"/>
    </row>
    <row r="5765" spans="107:197">
      <c r="DC5765"/>
      <c r="FH5765"/>
      <c r="FI5765"/>
      <c r="FJ5765"/>
      <c r="FK5765"/>
      <c r="FL5765"/>
      <c r="FM5765"/>
      <c r="FN5765"/>
      <c r="FO5765"/>
      <c r="FP5765"/>
      <c r="FQ5765"/>
      <c r="FR5765"/>
      <c r="FS5765"/>
      <c r="FT5765"/>
      <c r="FU5765"/>
      <c r="FV5765"/>
      <c r="FW5765"/>
      <c r="FX5765"/>
      <c r="FY5765"/>
      <c r="FZ5765"/>
      <c r="GA5765"/>
      <c r="GB5765"/>
      <c r="GC5765"/>
      <c r="GD5765"/>
      <c r="GE5765"/>
      <c r="GF5765"/>
      <c r="GG5765"/>
      <c r="GH5765"/>
      <c r="GI5765"/>
      <c r="GJ5765"/>
      <c r="GK5765"/>
      <c r="GL5765"/>
      <c r="GM5765"/>
      <c r="GN5765"/>
      <c r="GO5765"/>
    </row>
    <row r="5766" spans="107:197">
      <c r="DC5766"/>
      <c r="FH5766"/>
      <c r="FI5766"/>
      <c r="FJ5766"/>
      <c r="FK5766"/>
      <c r="FL5766"/>
      <c r="FM5766"/>
      <c r="FN5766"/>
      <c r="FO5766"/>
      <c r="FP5766"/>
      <c r="FQ5766"/>
      <c r="FR5766"/>
      <c r="FS5766"/>
      <c r="FT5766"/>
      <c r="FU5766"/>
      <c r="FV5766"/>
      <c r="FW5766"/>
      <c r="FX5766"/>
      <c r="FY5766"/>
      <c r="FZ5766"/>
      <c r="GA5766"/>
      <c r="GB5766"/>
      <c r="GC5766"/>
      <c r="GD5766"/>
      <c r="GE5766"/>
      <c r="GF5766"/>
      <c r="GG5766"/>
      <c r="GH5766"/>
      <c r="GI5766"/>
      <c r="GJ5766"/>
      <c r="GK5766"/>
      <c r="GL5766"/>
      <c r="GM5766"/>
      <c r="GN5766"/>
      <c r="GO5766"/>
    </row>
    <row r="5767" spans="107:197">
      <c r="DC5767"/>
      <c r="FH5767"/>
      <c r="FI5767"/>
      <c r="FJ5767"/>
      <c r="FK5767"/>
      <c r="FL5767"/>
      <c r="FM5767"/>
      <c r="FN5767"/>
      <c r="FO5767"/>
      <c r="FP5767"/>
      <c r="FQ5767"/>
      <c r="FR5767"/>
      <c r="FS5767"/>
      <c r="FT5767"/>
      <c r="FU5767"/>
      <c r="FV5767"/>
      <c r="FW5767"/>
      <c r="FX5767"/>
      <c r="FY5767"/>
      <c r="FZ5767"/>
      <c r="GA5767"/>
      <c r="GB5767"/>
      <c r="GC5767"/>
      <c r="GD5767"/>
      <c r="GE5767"/>
      <c r="GF5767"/>
      <c r="GG5767"/>
      <c r="GH5767"/>
      <c r="GI5767"/>
      <c r="GJ5767"/>
      <c r="GK5767"/>
      <c r="GL5767"/>
      <c r="GM5767"/>
      <c r="GN5767"/>
      <c r="GO5767"/>
    </row>
    <row r="5768" spans="107:197">
      <c r="DC5768"/>
      <c r="FH5768"/>
      <c r="FI5768"/>
      <c r="FJ5768"/>
      <c r="FK5768"/>
      <c r="FL5768"/>
      <c r="FM5768"/>
      <c r="FN5768"/>
      <c r="FO5768"/>
      <c r="FP5768"/>
      <c r="FQ5768"/>
      <c r="FR5768"/>
      <c r="FS5768"/>
      <c r="FT5768"/>
      <c r="FU5768"/>
      <c r="FV5768"/>
      <c r="FW5768"/>
      <c r="FX5768"/>
      <c r="FY5768"/>
      <c r="FZ5768"/>
      <c r="GA5768"/>
      <c r="GB5768"/>
      <c r="GC5768"/>
      <c r="GD5768"/>
      <c r="GE5768"/>
      <c r="GF5768"/>
      <c r="GG5768"/>
      <c r="GH5768"/>
      <c r="GI5768"/>
      <c r="GJ5768"/>
      <c r="GK5768"/>
      <c r="GL5768"/>
      <c r="GM5768"/>
      <c r="GN5768"/>
      <c r="GO5768"/>
    </row>
    <row r="5769" spans="107:197">
      <c r="DC5769"/>
      <c r="FH5769"/>
      <c r="FI5769"/>
      <c r="FJ5769"/>
      <c r="FK5769"/>
      <c r="FL5769"/>
      <c r="FM5769"/>
      <c r="FN5769"/>
      <c r="FO5769"/>
      <c r="FP5769"/>
      <c r="FQ5769"/>
      <c r="FR5769"/>
      <c r="FS5769"/>
      <c r="FT5769"/>
      <c r="FU5769"/>
      <c r="FV5769"/>
      <c r="FW5769"/>
      <c r="FX5769"/>
      <c r="FY5769"/>
      <c r="FZ5769"/>
      <c r="GA5769"/>
      <c r="GB5769"/>
      <c r="GC5769"/>
      <c r="GD5769"/>
      <c r="GE5769"/>
      <c r="GF5769"/>
      <c r="GG5769"/>
      <c r="GH5769"/>
      <c r="GI5769"/>
      <c r="GJ5769"/>
      <c r="GK5769"/>
      <c r="GL5769"/>
      <c r="GM5769"/>
      <c r="GN5769"/>
      <c r="GO5769"/>
    </row>
    <row r="5770" spans="107:197">
      <c r="DC5770"/>
      <c r="FH5770"/>
      <c r="FI5770"/>
      <c r="FJ5770"/>
      <c r="FK5770"/>
      <c r="FL5770"/>
      <c r="FM5770"/>
      <c r="FN5770"/>
      <c r="FO5770"/>
      <c r="FP5770"/>
      <c r="FQ5770"/>
      <c r="FR5770"/>
      <c r="FS5770"/>
      <c r="FT5770"/>
      <c r="FU5770"/>
      <c r="FV5770"/>
      <c r="FW5770"/>
      <c r="FX5770"/>
      <c r="FY5770"/>
      <c r="FZ5770"/>
      <c r="GA5770"/>
      <c r="GB5770"/>
      <c r="GC5770"/>
      <c r="GD5770"/>
      <c r="GE5770"/>
      <c r="GF5770"/>
      <c r="GG5770"/>
      <c r="GH5770"/>
      <c r="GI5770"/>
      <c r="GJ5770"/>
      <c r="GK5770"/>
      <c r="GL5770"/>
      <c r="GM5770"/>
      <c r="GN5770"/>
      <c r="GO5770"/>
    </row>
    <row r="5771" spans="107:197">
      <c r="DC5771"/>
      <c r="FH5771"/>
      <c r="FI5771"/>
      <c r="FJ5771"/>
      <c r="FK5771"/>
      <c r="FL5771"/>
      <c r="FM5771"/>
      <c r="FN5771"/>
      <c r="FO5771"/>
      <c r="FP5771"/>
      <c r="FQ5771"/>
      <c r="FR5771"/>
      <c r="FS5771"/>
      <c r="FT5771"/>
      <c r="FU5771"/>
      <c r="FV5771"/>
      <c r="FW5771"/>
      <c r="FX5771"/>
      <c r="FY5771"/>
      <c r="FZ5771"/>
      <c r="GA5771"/>
      <c r="GB5771"/>
      <c r="GC5771"/>
      <c r="GD5771"/>
      <c r="GE5771"/>
      <c r="GF5771"/>
      <c r="GG5771"/>
      <c r="GH5771"/>
      <c r="GI5771"/>
      <c r="GJ5771"/>
      <c r="GK5771"/>
      <c r="GL5771"/>
      <c r="GM5771"/>
      <c r="GN5771"/>
      <c r="GO5771"/>
    </row>
    <row r="5772" spans="107:197">
      <c r="DC5772"/>
      <c r="FH5772"/>
      <c r="FI5772"/>
      <c r="FJ5772"/>
      <c r="FK5772"/>
      <c r="FL5772"/>
      <c r="FM5772"/>
      <c r="FN5772"/>
      <c r="FO5772"/>
      <c r="FP5772"/>
      <c r="FQ5772"/>
      <c r="FR5772"/>
      <c r="FS5772"/>
      <c r="FT5772"/>
      <c r="FU5772"/>
      <c r="FV5772"/>
      <c r="FW5772"/>
      <c r="FX5772"/>
      <c r="FY5772"/>
      <c r="FZ5772"/>
      <c r="GA5772"/>
      <c r="GB5772"/>
      <c r="GC5772"/>
      <c r="GD5772"/>
      <c r="GE5772"/>
      <c r="GF5772"/>
      <c r="GG5772"/>
      <c r="GH5772"/>
      <c r="GI5772"/>
      <c r="GJ5772"/>
      <c r="GK5772"/>
      <c r="GL5772"/>
      <c r="GM5772"/>
      <c r="GN5772"/>
      <c r="GO5772"/>
    </row>
    <row r="5773" spans="107:197">
      <c r="DC5773"/>
      <c r="FH5773"/>
      <c r="FI5773"/>
      <c r="FJ5773"/>
      <c r="FK5773"/>
      <c r="FL5773"/>
      <c r="FM5773"/>
      <c r="FN5773"/>
      <c r="FO5773"/>
      <c r="FP5773"/>
      <c r="FQ5773"/>
      <c r="FR5773"/>
      <c r="FS5773"/>
      <c r="FT5773"/>
      <c r="FU5773"/>
      <c r="FV5773"/>
      <c r="FW5773"/>
      <c r="FX5773"/>
      <c r="FY5773"/>
      <c r="FZ5773"/>
      <c r="GA5773"/>
      <c r="GB5773"/>
      <c r="GC5773"/>
      <c r="GD5773"/>
      <c r="GE5773"/>
      <c r="GF5773"/>
      <c r="GG5773"/>
      <c r="GH5773"/>
      <c r="GI5773"/>
      <c r="GJ5773"/>
      <c r="GK5773"/>
      <c r="GL5773"/>
      <c r="GM5773"/>
      <c r="GN5773"/>
      <c r="GO5773"/>
    </row>
    <row r="5774" spans="107:197">
      <c r="DC5774"/>
      <c r="FH5774"/>
      <c r="FI5774"/>
      <c r="FJ5774"/>
      <c r="FK5774"/>
      <c r="FL5774"/>
      <c r="FM5774"/>
      <c r="FN5774"/>
      <c r="FO5774"/>
      <c r="FP5774"/>
      <c r="FQ5774"/>
      <c r="FR5774"/>
      <c r="FS5774"/>
      <c r="FT5774"/>
      <c r="FU5774"/>
      <c r="FV5774"/>
      <c r="FW5774"/>
      <c r="FX5774"/>
      <c r="FY5774"/>
      <c r="FZ5774"/>
      <c r="GA5774"/>
      <c r="GB5774"/>
      <c r="GC5774"/>
      <c r="GD5774"/>
      <c r="GE5774"/>
      <c r="GF5774"/>
      <c r="GG5774"/>
      <c r="GH5774"/>
      <c r="GI5774"/>
      <c r="GJ5774"/>
      <c r="GK5774"/>
      <c r="GL5774"/>
      <c r="GM5774"/>
      <c r="GN5774"/>
      <c r="GO5774"/>
    </row>
    <row r="5775" spans="107:197">
      <c r="DC5775"/>
      <c r="FH5775"/>
      <c r="FI5775"/>
      <c r="FJ5775"/>
      <c r="FK5775"/>
      <c r="FL5775"/>
      <c r="FM5775"/>
      <c r="FN5775"/>
      <c r="FO5775"/>
      <c r="FP5775"/>
      <c r="FQ5775"/>
      <c r="FR5775"/>
      <c r="FS5775"/>
      <c r="FT5775"/>
      <c r="FU5775"/>
      <c r="FV5775"/>
      <c r="FW5775"/>
      <c r="FX5775"/>
      <c r="FY5775"/>
      <c r="FZ5775"/>
      <c r="GA5775"/>
      <c r="GB5775"/>
      <c r="GC5775"/>
      <c r="GD5775"/>
      <c r="GE5775"/>
      <c r="GF5775"/>
      <c r="GG5775"/>
      <c r="GH5775"/>
      <c r="GI5775"/>
      <c r="GJ5775"/>
      <c r="GK5775"/>
      <c r="GL5775"/>
      <c r="GM5775"/>
      <c r="GN5775"/>
      <c r="GO5775"/>
    </row>
    <row r="5776" spans="107:197">
      <c r="DC5776"/>
      <c r="FH5776"/>
      <c r="FI5776"/>
      <c r="FJ5776"/>
      <c r="FK5776"/>
      <c r="FL5776"/>
      <c r="FM5776"/>
      <c r="FN5776"/>
      <c r="FO5776"/>
      <c r="FP5776"/>
      <c r="FQ5776"/>
      <c r="FR5776"/>
      <c r="FS5776"/>
      <c r="FT5776"/>
      <c r="FU5776"/>
      <c r="FV5776"/>
      <c r="FW5776"/>
      <c r="FX5776"/>
      <c r="FY5776"/>
      <c r="FZ5776"/>
      <c r="GA5776"/>
      <c r="GB5776"/>
      <c r="GC5776"/>
      <c r="GD5776"/>
      <c r="GE5776"/>
      <c r="GF5776"/>
      <c r="GG5776"/>
      <c r="GH5776"/>
      <c r="GI5776"/>
      <c r="GJ5776"/>
      <c r="GK5776"/>
      <c r="GL5776"/>
      <c r="GM5776"/>
      <c r="GN5776"/>
      <c r="GO5776"/>
    </row>
    <row r="5777" spans="107:197">
      <c r="DC5777"/>
      <c r="FH5777"/>
      <c r="FI5777"/>
      <c r="FJ5777"/>
      <c r="FK5777"/>
      <c r="FL5777"/>
      <c r="FM5777"/>
      <c r="FN5777"/>
      <c r="FO5777"/>
      <c r="FP5777"/>
      <c r="FQ5777"/>
      <c r="FR5777"/>
      <c r="FS5777"/>
      <c r="FT5777"/>
      <c r="FU5777"/>
      <c r="FV5777"/>
      <c r="FW5777"/>
      <c r="FX5777"/>
      <c r="FY5777"/>
      <c r="FZ5777"/>
      <c r="GA5777"/>
      <c r="GB5777"/>
      <c r="GC5777"/>
      <c r="GD5777"/>
      <c r="GE5777"/>
      <c r="GF5777"/>
      <c r="GG5777"/>
      <c r="GH5777"/>
      <c r="GI5777"/>
      <c r="GJ5777"/>
      <c r="GK5777"/>
      <c r="GL5777"/>
      <c r="GM5777"/>
      <c r="GN5777"/>
      <c r="GO5777"/>
    </row>
    <row r="5778" spans="107:197">
      <c r="DC5778"/>
      <c r="FH5778"/>
      <c r="FI5778"/>
      <c r="FJ5778"/>
      <c r="FK5778"/>
      <c r="FL5778"/>
      <c r="FM5778"/>
      <c r="FN5778"/>
      <c r="FO5778"/>
      <c r="FP5778"/>
      <c r="FQ5778"/>
      <c r="FR5778"/>
      <c r="FS5778"/>
      <c r="FT5778"/>
      <c r="FU5778"/>
      <c r="FV5778"/>
      <c r="FW5778"/>
      <c r="FX5778"/>
      <c r="FY5778"/>
      <c r="FZ5778"/>
      <c r="GA5778"/>
      <c r="GB5778"/>
      <c r="GC5778"/>
      <c r="GD5778"/>
      <c r="GE5778"/>
      <c r="GF5778"/>
      <c r="GG5778"/>
      <c r="GH5778"/>
      <c r="GI5778"/>
      <c r="GJ5778"/>
      <c r="GK5778"/>
      <c r="GL5778"/>
      <c r="GM5778"/>
      <c r="GN5778"/>
      <c r="GO5778"/>
    </row>
    <row r="5779" spans="107:197">
      <c r="DC5779"/>
      <c r="FH5779"/>
      <c r="FI5779"/>
      <c r="FJ5779"/>
      <c r="FK5779"/>
      <c r="FL5779"/>
      <c r="FM5779"/>
      <c r="FN5779"/>
      <c r="FO5779"/>
      <c r="FP5779"/>
      <c r="FQ5779"/>
      <c r="FR5779"/>
      <c r="FS5779"/>
      <c r="FT5779"/>
      <c r="FU5779"/>
      <c r="FV5779"/>
      <c r="FW5779"/>
      <c r="FX5779"/>
      <c r="FY5779"/>
      <c r="FZ5779"/>
      <c r="GA5779"/>
      <c r="GB5779"/>
      <c r="GC5779"/>
      <c r="GD5779"/>
      <c r="GE5779"/>
      <c r="GF5779"/>
      <c r="GG5779"/>
      <c r="GH5779"/>
      <c r="GI5779"/>
      <c r="GJ5779"/>
      <c r="GK5779"/>
      <c r="GL5779"/>
      <c r="GM5779"/>
      <c r="GN5779"/>
      <c r="GO5779"/>
    </row>
    <row r="5780" spans="107:197">
      <c r="DC5780"/>
      <c r="FH5780"/>
      <c r="FI5780"/>
      <c r="FJ5780"/>
      <c r="FK5780"/>
      <c r="FL5780"/>
      <c r="FM5780"/>
      <c r="FN5780"/>
      <c r="FO5780"/>
      <c r="FP5780"/>
      <c r="FQ5780"/>
      <c r="FR5780"/>
      <c r="FS5780"/>
      <c r="FT5780"/>
      <c r="FU5780"/>
      <c r="FV5780"/>
      <c r="FW5780"/>
      <c r="FX5780"/>
      <c r="FY5780"/>
      <c r="FZ5780"/>
      <c r="GA5780"/>
      <c r="GB5780"/>
      <c r="GC5780"/>
      <c r="GD5780"/>
      <c r="GE5780"/>
      <c r="GF5780"/>
      <c r="GG5780"/>
      <c r="GH5780"/>
      <c r="GI5780"/>
      <c r="GJ5780"/>
      <c r="GK5780"/>
      <c r="GL5780"/>
      <c r="GM5780"/>
      <c r="GN5780"/>
      <c r="GO5780"/>
    </row>
    <row r="5781" spans="107:197">
      <c r="DC5781"/>
      <c r="FH5781"/>
      <c r="FI5781"/>
      <c r="FJ5781"/>
      <c r="FK5781"/>
      <c r="FL5781"/>
      <c r="FM5781"/>
      <c r="FN5781"/>
      <c r="FO5781"/>
      <c r="FP5781"/>
      <c r="FQ5781"/>
      <c r="FR5781"/>
      <c r="FS5781"/>
      <c r="FT5781"/>
      <c r="FU5781"/>
      <c r="FV5781"/>
      <c r="FW5781"/>
      <c r="FX5781"/>
      <c r="FY5781"/>
      <c r="FZ5781"/>
      <c r="GA5781"/>
      <c r="GB5781"/>
      <c r="GC5781"/>
      <c r="GD5781"/>
      <c r="GE5781"/>
      <c r="GF5781"/>
      <c r="GG5781"/>
      <c r="GH5781"/>
      <c r="GI5781"/>
      <c r="GJ5781"/>
      <c r="GK5781"/>
      <c r="GL5781"/>
      <c r="GM5781"/>
      <c r="GN5781"/>
      <c r="GO5781"/>
    </row>
    <row r="5782" spans="107:197">
      <c r="DC5782"/>
      <c r="FH5782"/>
      <c r="FI5782"/>
      <c r="FJ5782"/>
      <c r="FK5782"/>
      <c r="FL5782"/>
      <c r="FM5782"/>
      <c r="FN5782"/>
      <c r="FO5782"/>
      <c r="FP5782"/>
      <c r="FQ5782"/>
      <c r="FR5782"/>
      <c r="FS5782"/>
      <c r="FT5782"/>
      <c r="FU5782"/>
      <c r="FV5782"/>
      <c r="FW5782"/>
      <c r="FX5782"/>
      <c r="FY5782"/>
      <c r="FZ5782"/>
      <c r="GA5782"/>
      <c r="GB5782"/>
      <c r="GC5782"/>
      <c r="GD5782"/>
      <c r="GE5782"/>
      <c r="GF5782"/>
      <c r="GG5782"/>
      <c r="GH5782"/>
      <c r="GI5782"/>
      <c r="GJ5782"/>
      <c r="GK5782"/>
      <c r="GL5782"/>
      <c r="GM5782"/>
      <c r="GN5782"/>
      <c r="GO5782"/>
    </row>
    <row r="5783" spans="107:197">
      <c r="DC5783"/>
      <c r="FH5783"/>
      <c r="FI5783"/>
      <c r="FJ5783"/>
      <c r="FK5783"/>
      <c r="FL5783"/>
      <c r="FM5783"/>
      <c r="FN5783"/>
      <c r="FO5783"/>
      <c r="FP5783"/>
      <c r="FQ5783"/>
      <c r="FR5783"/>
      <c r="FS5783"/>
      <c r="FT5783"/>
      <c r="FU5783"/>
      <c r="FV5783"/>
      <c r="FW5783"/>
      <c r="FX5783"/>
      <c r="FY5783"/>
      <c r="FZ5783"/>
      <c r="GA5783"/>
      <c r="GB5783"/>
      <c r="GC5783"/>
      <c r="GD5783"/>
      <c r="GE5783"/>
      <c r="GF5783"/>
      <c r="GG5783"/>
      <c r="GH5783"/>
      <c r="GI5783"/>
      <c r="GJ5783"/>
      <c r="GK5783"/>
      <c r="GL5783"/>
      <c r="GM5783"/>
      <c r="GN5783"/>
      <c r="GO5783"/>
    </row>
    <row r="5784" spans="107:197">
      <c r="DC5784"/>
      <c r="FH5784"/>
      <c r="FI5784"/>
      <c r="FJ5784"/>
      <c r="FK5784"/>
      <c r="FL5784"/>
      <c r="FM5784"/>
      <c r="FN5784"/>
      <c r="FO5784"/>
      <c r="FP5784"/>
      <c r="FQ5784"/>
      <c r="FR5784"/>
      <c r="FS5784"/>
      <c r="FT5784"/>
      <c r="FU5784"/>
      <c r="FV5784"/>
      <c r="FW5784"/>
      <c r="FX5784"/>
      <c r="FY5784"/>
      <c r="FZ5784"/>
      <c r="GA5784"/>
      <c r="GB5784"/>
      <c r="GC5784"/>
      <c r="GD5784"/>
      <c r="GE5784"/>
      <c r="GF5784"/>
      <c r="GG5784"/>
      <c r="GH5784"/>
      <c r="GI5784"/>
      <c r="GJ5784"/>
      <c r="GK5784"/>
      <c r="GL5784"/>
      <c r="GM5784"/>
      <c r="GN5784"/>
      <c r="GO5784"/>
    </row>
    <row r="5785" spans="107:197">
      <c r="DC5785"/>
      <c r="FH5785"/>
      <c r="FI5785"/>
      <c r="FJ5785"/>
      <c r="FK5785"/>
      <c r="FL5785"/>
      <c r="FM5785"/>
      <c r="FN5785"/>
      <c r="FO5785"/>
      <c r="FP5785"/>
      <c r="FQ5785"/>
      <c r="FR5785"/>
      <c r="FS5785"/>
      <c r="FT5785"/>
      <c r="FU5785"/>
      <c r="FV5785"/>
      <c r="FW5785"/>
      <c r="FX5785"/>
      <c r="FY5785"/>
      <c r="FZ5785"/>
      <c r="GA5785"/>
      <c r="GB5785"/>
      <c r="GC5785"/>
      <c r="GD5785"/>
      <c r="GE5785"/>
      <c r="GF5785"/>
      <c r="GG5785"/>
      <c r="GH5785"/>
      <c r="GI5785"/>
      <c r="GJ5785"/>
      <c r="GK5785"/>
      <c r="GL5785"/>
      <c r="GM5785"/>
      <c r="GN5785"/>
      <c r="GO5785"/>
    </row>
    <row r="5786" spans="107:197">
      <c r="DC5786"/>
      <c r="FH5786"/>
      <c r="FI5786"/>
      <c r="FJ5786"/>
      <c r="FK5786"/>
      <c r="FL5786"/>
      <c r="FM5786"/>
      <c r="FN5786"/>
      <c r="FO5786"/>
      <c r="FP5786"/>
      <c r="FQ5786"/>
      <c r="FR5786"/>
      <c r="FS5786"/>
      <c r="FT5786"/>
      <c r="FU5786"/>
      <c r="FV5786"/>
      <c r="FW5786"/>
      <c r="FX5786"/>
      <c r="FY5786"/>
      <c r="FZ5786"/>
      <c r="GA5786"/>
      <c r="GB5786"/>
      <c r="GC5786"/>
      <c r="GD5786"/>
      <c r="GE5786"/>
      <c r="GF5786"/>
      <c r="GG5786"/>
      <c r="GH5786"/>
      <c r="GI5786"/>
      <c r="GJ5786"/>
      <c r="GK5786"/>
      <c r="GL5786"/>
      <c r="GM5786"/>
      <c r="GN5786"/>
      <c r="GO5786"/>
    </row>
    <row r="5787" spans="107:197">
      <c r="DC5787"/>
      <c r="FH5787"/>
      <c r="FI5787"/>
      <c r="FJ5787"/>
      <c r="FK5787"/>
      <c r="FL5787"/>
      <c r="FM5787"/>
      <c r="FN5787"/>
      <c r="FO5787"/>
      <c r="FP5787"/>
      <c r="FQ5787"/>
      <c r="FR5787"/>
      <c r="FS5787"/>
      <c r="FT5787"/>
      <c r="FU5787"/>
      <c r="FV5787"/>
      <c r="FW5787"/>
      <c r="FX5787"/>
      <c r="FY5787"/>
      <c r="FZ5787"/>
      <c r="GA5787"/>
      <c r="GB5787"/>
      <c r="GC5787"/>
      <c r="GD5787"/>
      <c r="GE5787"/>
      <c r="GF5787"/>
      <c r="GG5787"/>
      <c r="GH5787"/>
      <c r="GI5787"/>
      <c r="GJ5787"/>
      <c r="GK5787"/>
      <c r="GL5787"/>
      <c r="GM5787"/>
      <c r="GN5787"/>
      <c r="GO5787"/>
    </row>
    <row r="5788" spans="107:197">
      <c r="DC5788"/>
      <c r="FH5788"/>
      <c r="FI5788"/>
      <c r="FJ5788"/>
      <c r="FK5788"/>
      <c r="FL5788"/>
      <c r="FM5788"/>
      <c r="FN5788"/>
      <c r="FO5788"/>
      <c r="FP5788"/>
      <c r="FQ5788"/>
      <c r="FR5788"/>
      <c r="FS5788"/>
      <c r="FT5788"/>
      <c r="FU5788"/>
      <c r="FV5788"/>
      <c r="FW5788"/>
      <c r="FX5788"/>
      <c r="FY5788"/>
      <c r="FZ5788"/>
      <c r="GA5788"/>
      <c r="GB5788"/>
      <c r="GC5788"/>
      <c r="GD5788"/>
      <c r="GE5788"/>
      <c r="GF5788"/>
      <c r="GG5788"/>
      <c r="GH5788"/>
      <c r="GI5788"/>
      <c r="GJ5788"/>
      <c r="GK5788"/>
      <c r="GL5788"/>
      <c r="GM5788"/>
      <c r="GN5788"/>
      <c r="GO5788"/>
    </row>
    <row r="5789" spans="107:197">
      <c r="DC5789"/>
      <c r="FH5789"/>
      <c r="FI5789"/>
      <c r="FJ5789"/>
      <c r="FK5789"/>
      <c r="FL5789"/>
      <c r="FM5789"/>
      <c r="FN5789"/>
      <c r="FO5789"/>
      <c r="FP5789"/>
      <c r="FQ5789"/>
      <c r="FR5789"/>
      <c r="FS5789"/>
      <c r="FT5789"/>
      <c r="FU5789"/>
      <c r="FV5789"/>
      <c r="FW5789"/>
      <c r="FX5789"/>
      <c r="FY5789"/>
      <c r="FZ5789"/>
      <c r="GA5789"/>
      <c r="GB5789"/>
      <c r="GC5789"/>
      <c r="GD5789"/>
      <c r="GE5789"/>
      <c r="GF5789"/>
      <c r="GG5789"/>
      <c r="GH5789"/>
      <c r="GI5789"/>
      <c r="GJ5789"/>
      <c r="GK5789"/>
      <c r="GL5789"/>
      <c r="GM5789"/>
      <c r="GN5789"/>
      <c r="GO5789"/>
    </row>
    <row r="5790" spans="107:197">
      <c r="DC5790"/>
      <c r="FH5790"/>
      <c r="FI5790"/>
      <c r="FJ5790"/>
      <c r="FK5790"/>
      <c r="FL5790"/>
      <c r="FM5790"/>
      <c r="FN5790"/>
      <c r="FO5790"/>
      <c r="FP5790"/>
      <c r="FQ5790"/>
      <c r="FR5790"/>
      <c r="FS5790"/>
      <c r="FT5790"/>
      <c r="FU5790"/>
      <c r="FV5790"/>
      <c r="FW5790"/>
      <c r="FX5790"/>
      <c r="FY5790"/>
      <c r="FZ5790"/>
      <c r="GA5790"/>
      <c r="GB5790"/>
      <c r="GC5790"/>
      <c r="GD5790"/>
      <c r="GE5790"/>
      <c r="GF5790"/>
      <c r="GG5790"/>
      <c r="GH5790"/>
      <c r="GI5790"/>
      <c r="GJ5790"/>
      <c r="GK5790"/>
      <c r="GL5790"/>
      <c r="GM5790"/>
      <c r="GN5790"/>
      <c r="GO5790"/>
    </row>
    <row r="5791" spans="107:197">
      <c r="DC5791"/>
      <c r="FH5791"/>
      <c r="FI5791"/>
      <c r="FJ5791"/>
      <c r="FK5791"/>
      <c r="FL5791"/>
      <c r="FM5791"/>
      <c r="FN5791"/>
      <c r="FO5791"/>
      <c r="FP5791"/>
      <c r="FQ5791"/>
      <c r="FR5791"/>
      <c r="FS5791"/>
      <c r="FT5791"/>
      <c r="FU5791"/>
      <c r="FV5791"/>
      <c r="FW5791"/>
      <c r="FX5791"/>
      <c r="FY5791"/>
      <c r="FZ5791"/>
      <c r="GA5791"/>
      <c r="GB5791"/>
      <c r="GC5791"/>
      <c r="GD5791"/>
      <c r="GE5791"/>
      <c r="GF5791"/>
      <c r="GG5791"/>
      <c r="GH5791"/>
      <c r="GI5791"/>
      <c r="GJ5791"/>
      <c r="GK5791"/>
      <c r="GL5791"/>
      <c r="GM5791"/>
      <c r="GN5791"/>
      <c r="GO5791"/>
    </row>
    <row r="5792" spans="107:197">
      <c r="DC5792"/>
      <c r="FH5792"/>
      <c r="FI5792"/>
      <c r="FJ5792"/>
      <c r="FK5792"/>
      <c r="FL5792"/>
      <c r="FM5792"/>
      <c r="FN5792"/>
      <c r="FO5792"/>
      <c r="FP5792"/>
      <c r="FQ5792"/>
      <c r="FR5792"/>
      <c r="FS5792"/>
      <c r="FT5792"/>
      <c r="FU5792"/>
      <c r="FV5792"/>
      <c r="FW5792"/>
      <c r="FX5792"/>
      <c r="FY5792"/>
      <c r="FZ5792"/>
      <c r="GA5792"/>
      <c r="GB5792"/>
      <c r="GC5792"/>
      <c r="GD5792"/>
      <c r="GE5792"/>
      <c r="GF5792"/>
      <c r="GG5792"/>
      <c r="GH5792"/>
      <c r="GI5792"/>
      <c r="GJ5792"/>
      <c r="GK5792"/>
      <c r="GL5792"/>
      <c r="GM5792"/>
      <c r="GN5792"/>
      <c r="GO5792"/>
    </row>
    <row r="5793" spans="107:197">
      <c r="DC5793"/>
      <c r="FH5793"/>
      <c r="FI5793"/>
      <c r="FJ5793"/>
      <c r="FK5793"/>
      <c r="FL5793"/>
      <c r="FM5793"/>
      <c r="FN5793"/>
      <c r="FO5793"/>
      <c r="FP5793"/>
      <c r="FQ5793"/>
      <c r="FR5793"/>
      <c r="FS5793"/>
      <c r="FT5793"/>
      <c r="FU5793"/>
      <c r="FV5793"/>
      <c r="FW5793"/>
      <c r="FX5793"/>
      <c r="FY5793"/>
      <c r="FZ5793"/>
      <c r="GA5793"/>
      <c r="GB5793"/>
      <c r="GC5793"/>
      <c r="GD5793"/>
      <c r="GE5793"/>
      <c r="GF5793"/>
      <c r="GG5793"/>
      <c r="GH5793"/>
      <c r="GI5793"/>
      <c r="GJ5793"/>
      <c r="GK5793"/>
      <c r="GL5793"/>
      <c r="GM5793"/>
      <c r="GN5793"/>
      <c r="GO5793"/>
    </row>
    <row r="5794" spans="107:197">
      <c r="DC5794"/>
      <c r="FH5794"/>
      <c r="FI5794"/>
      <c r="FJ5794"/>
      <c r="FK5794"/>
      <c r="FL5794"/>
      <c r="FM5794"/>
      <c r="FN5794"/>
      <c r="FO5794"/>
      <c r="FP5794"/>
      <c r="FQ5794"/>
      <c r="FR5794"/>
      <c r="FS5794"/>
      <c r="FT5794"/>
      <c r="FU5794"/>
      <c r="FV5794"/>
      <c r="FW5794"/>
      <c r="FX5794"/>
      <c r="FY5794"/>
      <c r="FZ5794"/>
      <c r="GA5794"/>
      <c r="GB5794"/>
      <c r="GC5794"/>
      <c r="GD5794"/>
      <c r="GE5794"/>
      <c r="GF5794"/>
      <c r="GG5794"/>
      <c r="GH5794"/>
      <c r="GI5794"/>
      <c r="GJ5794"/>
      <c r="GK5794"/>
      <c r="GL5794"/>
      <c r="GM5794"/>
      <c r="GN5794"/>
      <c r="GO5794"/>
    </row>
    <row r="5795" spans="107:197">
      <c r="DC5795"/>
      <c r="FH5795"/>
      <c r="FI5795"/>
      <c r="FJ5795"/>
      <c r="FK5795"/>
      <c r="FL5795"/>
      <c r="FM5795"/>
      <c r="FN5795"/>
      <c r="FO5795"/>
      <c r="FP5795"/>
      <c r="FQ5795"/>
      <c r="FR5795"/>
      <c r="FS5795"/>
      <c r="FT5795"/>
      <c r="FU5795"/>
      <c r="FV5795"/>
      <c r="FW5795"/>
      <c r="FX5795"/>
      <c r="FY5795"/>
      <c r="FZ5795"/>
      <c r="GA5795"/>
      <c r="GB5795"/>
      <c r="GC5795"/>
      <c r="GD5795"/>
      <c r="GE5795"/>
      <c r="GF5795"/>
      <c r="GG5795"/>
      <c r="GH5795"/>
      <c r="GI5795"/>
      <c r="GJ5795"/>
      <c r="GK5795"/>
      <c r="GL5795"/>
      <c r="GM5795"/>
      <c r="GN5795"/>
      <c r="GO5795"/>
    </row>
    <row r="5796" spans="107:197">
      <c r="DC5796"/>
      <c r="FH5796"/>
      <c r="FI5796"/>
      <c r="FJ5796"/>
      <c r="FK5796"/>
      <c r="FL5796"/>
      <c r="FM5796"/>
      <c r="FN5796"/>
      <c r="FO5796"/>
      <c r="FP5796"/>
      <c r="FQ5796"/>
      <c r="FR5796"/>
      <c r="FS5796"/>
      <c r="FT5796"/>
      <c r="FU5796"/>
      <c r="FV5796"/>
      <c r="FW5796"/>
      <c r="FX5796"/>
      <c r="FY5796"/>
      <c r="FZ5796"/>
      <c r="GA5796"/>
      <c r="GB5796"/>
      <c r="GC5796"/>
      <c r="GD5796"/>
      <c r="GE5796"/>
      <c r="GF5796"/>
      <c r="GG5796"/>
      <c r="GH5796"/>
      <c r="GI5796"/>
      <c r="GJ5796"/>
      <c r="GK5796"/>
      <c r="GL5796"/>
      <c r="GM5796"/>
      <c r="GN5796"/>
      <c r="GO5796"/>
    </row>
    <row r="5797" spans="107:197">
      <c r="DC5797"/>
      <c r="FH5797"/>
      <c r="FI5797"/>
      <c r="FJ5797"/>
      <c r="FK5797"/>
      <c r="FL5797"/>
      <c r="FM5797"/>
      <c r="FN5797"/>
      <c r="FO5797"/>
      <c r="FP5797"/>
      <c r="FQ5797"/>
      <c r="FR5797"/>
      <c r="FS5797"/>
      <c r="FT5797"/>
      <c r="FU5797"/>
      <c r="FV5797"/>
      <c r="FW5797"/>
      <c r="FX5797"/>
      <c r="FY5797"/>
      <c r="FZ5797"/>
      <c r="GA5797"/>
      <c r="GB5797"/>
      <c r="GC5797"/>
      <c r="GD5797"/>
      <c r="GE5797"/>
      <c r="GF5797"/>
      <c r="GG5797"/>
      <c r="GH5797"/>
      <c r="GI5797"/>
      <c r="GJ5797"/>
      <c r="GK5797"/>
      <c r="GL5797"/>
      <c r="GM5797"/>
      <c r="GN5797"/>
      <c r="GO5797"/>
    </row>
    <row r="5798" spans="107:197">
      <c r="DC5798"/>
      <c r="FH5798"/>
      <c r="FI5798"/>
      <c r="FJ5798"/>
      <c r="FK5798"/>
      <c r="FL5798"/>
      <c r="FM5798"/>
      <c r="FN5798"/>
      <c r="FO5798"/>
      <c r="FP5798"/>
      <c r="FQ5798"/>
      <c r="FR5798"/>
      <c r="FS5798"/>
      <c r="FT5798"/>
      <c r="FU5798"/>
      <c r="FV5798"/>
      <c r="FW5798"/>
      <c r="FX5798"/>
      <c r="FY5798"/>
      <c r="FZ5798"/>
      <c r="GA5798"/>
      <c r="GB5798"/>
      <c r="GC5798"/>
      <c r="GD5798"/>
      <c r="GE5798"/>
      <c r="GF5798"/>
      <c r="GG5798"/>
      <c r="GH5798"/>
      <c r="GI5798"/>
      <c r="GJ5798"/>
      <c r="GK5798"/>
      <c r="GL5798"/>
      <c r="GM5798"/>
      <c r="GN5798"/>
      <c r="GO5798"/>
    </row>
    <row r="5799" spans="107:197">
      <c r="DC5799"/>
      <c r="FH5799"/>
      <c r="FI5799"/>
      <c r="FJ5799"/>
      <c r="FK5799"/>
      <c r="FL5799"/>
      <c r="FM5799"/>
      <c r="FN5799"/>
      <c r="FO5799"/>
      <c r="FP5799"/>
      <c r="FQ5799"/>
      <c r="FR5799"/>
      <c r="FS5799"/>
      <c r="FT5799"/>
      <c r="FU5799"/>
      <c r="FV5799"/>
      <c r="FW5799"/>
      <c r="FX5799"/>
      <c r="FY5799"/>
      <c r="FZ5799"/>
      <c r="GA5799"/>
      <c r="GB5799"/>
      <c r="GC5799"/>
      <c r="GD5799"/>
      <c r="GE5799"/>
      <c r="GF5799"/>
      <c r="GG5799"/>
      <c r="GH5799"/>
      <c r="GI5799"/>
      <c r="GJ5799"/>
      <c r="GK5799"/>
      <c r="GL5799"/>
      <c r="GM5799"/>
      <c r="GN5799"/>
      <c r="GO5799"/>
    </row>
    <row r="5800" spans="107:197">
      <c r="DC5800"/>
      <c r="FH5800"/>
      <c r="FI5800"/>
      <c r="FJ5800"/>
      <c r="FK5800"/>
      <c r="FL5800"/>
      <c r="FM5800"/>
      <c r="FN5800"/>
      <c r="FO5800"/>
      <c r="FP5800"/>
      <c r="FQ5800"/>
      <c r="FR5800"/>
      <c r="FS5800"/>
      <c r="FT5800"/>
      <c r="FU5800"/>
      <c r="FV5800"/>
      <c r="FW5800"/>
      <c r="FX5800"/>
      <c r="FY5800"/>
      <c r="FZ5800"/>
      <c r="GA5800"/>
      <c r="GB5800"/>
      <c r="GC5800"/>
      <c r="GD5800"/>
      <c r="GE5800"/>
      <c r="GF5800"/>
      <c r="GG5800"/>
      <c r="GH5800"/>
      <c r="GI5800"/>
      <c r="GJ5800"/>
      <c r="GK5800"/>
      <c r="GL5800"/>
      <c r="GM5800"/>
      <c r="GN5800"/>
      <c r="GO5800"/>
    </row>
    <row r="5801" spans="107:197">
      <c r="DC5801"/>
      <c r="FH5801"/>
      <c r="FI5801"/>
      <c r="FJ5801"/>
      <c r="FK5801"/>
      <c r="FL5801"/>
      <c r="FM5801"/>
      <c r="FN5801"/>
      <c r="FO5801"/>
      <c r="FP5801"/>
      <c r="FQ5801"/>
      <c r="FR5801"/>
      <c r="FS5801"/>
      <c r="FT5801"/>
      <c r="FU5801"/>
      <c r="FV5801"/>
      <c r="FW5801"/>
      <c r="FX5801"/>
      <c r="FY5801"/>
      <c r="FZ5801"/>
      <c r="GA5801"/>
      <c r="GB5801"/>
      <c r="GC5801"/>
      <c r="GD5801"/>
      <c r="GE5801"/>
      <c r="GF5801"/>
      <c r="GG5801"/>
      <c r="GH5801"/>
      <c r="GI5801"/>
      <c r="GJ5801"/>
      <c r="GK5801"/>
      <c r="GL5801"/>
      <c r="GM5801"/>
      <c r="GN5801"/>
      <c r="GO5801"/>
    </row>
    <row r="5802" spans="107:197">
      <c r="DC5802"/>
      <c r="FH5802"/>
      <c r="FI5802"/>
      <c r="FJ5802"/>
      <c r="FK5802"/>
      <c r="FL5802"/>
      <c r="FM5802"/>
      <c r="FN5802"/>
      <c r="FO5802"/>
      <c r="FP5802"/>
      <c r="FQ5802"/>
      <c r="FR5802"/>
      <c r="FS5802"/>
      <c r="FT5802"/>
      <c r="FU5802"/>
      <c r="FV5802"/>
      <c r="FW5802"/>
      <c r="FX5802"/>
      <c r="FY5802"/>
      <c r="FZ5802"/>
      <c r="GA5802"/>
      <c r="GB5802"/>
      <c r="GC5802"/>
      <c r="GD5802"/>
      <c r="GE5802"/>
      <c r="GF5802"/>
      <c r="GG5802"/>
      <c r="GH5802"/>
      <c r="GI5802"/>
      <c r="GJ5802"/>
      <c r="GK5802"/>
      <c r="GL5802"/>
      <c r="GM5802"/>
      <c r="GN5802"/>
      <c r="GO5802"/>
    </row>
    <row r="5803" spans="107:197">
      <c r="DC5803"/>
      <c r="FH5803"/>
      <c r="FI5803"/>
      <c r="FJ5803"/>
      <c r="FK5803"/>
      <c r="FL5803"/>
      <c r="FM5803"/>
      <c r="FN5803"/>
      <c r="FO5803"/>
      <c r="FP5803"/>
      <c r="FQ5803"/>
      <c r="FR5803"/>
      <c r="FS5803"/>
      <c r="FT5803"/>
      <c r="FU5803"/>
      <c r="FV5803"/>
      <c r="FW5803"/>
      <c r="FX5803"/>
      <c r="FY5803"/>
      <c r="FZ5803"/>
      <c r="GA5803"/>
      <c r="GB5803"/>
      <c r="GC5803"/>
      <c r="GD5803"/>
      <c r="GE5803"/>
      <c r="GF5803"/>
      <c r="GG5803"/>
      <c r="GH5803"/>
      <c r="GI5803"/>
      <c r="GJ5803"/>
      <c r="GK5803"/>
      <c r="GL5803"/>
      <c r="GM5803"/>
      <c r="GN5803"/>
      <c r="GO5803"/>
    </row>
    <row r="5804" spans="107:197">
      <c r="DC5804"/>
      <c r="FH5804"/>
      <c r="FI5804"/>
      <c r="FJ5804"/>
      <c r="FK5804"/>
      <c r="FL5804"/>
      <c r="FM5804"/>
      <c r="FN5804"/>
      <c r="FO5804"/>
      <c r="FP5804"/>
      <c r="FQ5804"/>
      <c r="FR5804"/>
      <c r="FS5804"/>
      <c r="FT5804"/>
      <c r="FU5804"/>
      <c r="FV5804"/>
      <c r="FW5804"/>
      <c r="FX5804"/>
      <c r="FY5804"/>
      <c r="FZ5804"/>
      <c r="GA5804"/>
      <c r="GB5804"/>
      <c r="GC5804"/>
      <c r="GD5804"/>
      <c r="GE5804"/>
      <c r="GF5804"/>
      <c r="GG5804"/>
      <c r="GH5804"/>
      <c r="GI5804"/>
      <c r="GJ5804"/>
      <c r="GK5804"/>
      <c r="GL5804"/>
      <c r="GM5804"/>
      <c r="GN5804"/>
      <c r="GO5804"/>
    </row>
    <row r="5805" spans="107:197">
      <c r="DC5805"/>
      <c r="FH5805"/>
      <c r="FI5805"/>
      <c r="FJ5805"/>
      <c r="FK5805"/>
      <c r="FL5805"/>
      <c r="FM5805"/>
      <c r="FN5805"/>
      <c r="FO5805"/>
      <c r="FP5805"/>
      <c r="FQ5805"/>
      <c r="FR5805"/>
      <c r="FS5805"/>
      <c r="FT5805"/>
      <c r="FU5805"/>
      <c r="FV5805"/>
      <c r="FW5805"/>
      <c r="FX5805"/>
      <c r="FY5805"/>
      <c r="FZ5805"/>
      <c r="GA5805"/>
      <c r="GB5805"/>
      <c r="GC5805"/>
      <c r="GD5805"/>
      <c r="GE5805"/>
      <c r="GF5805"/>
      <c r="GG5805"/>
      <c r="GH5805"/>
      <c r="GI5805"/>
      <c r="GJ5805"/>
      <c r="GK5805"/>
      <c r="GL5805"/>
      <c r="GM5805"/>
      <c r="GN5805"/>
      <c r="GO5805"/>
    </row>
    <row r="5806" spans="107:197">
      <c r="DC5806"/>
      <c r="FH5806"/>
      <c r="FI5806"/>
      <c r="FJ5806"/>
      <c r="FK5806"/>
      <c r="FL5806"/>
      <c r="FM5806"/>
      <c r="FN5806"/>
      <c r="FO5806"/>
      <c r="FP5806"/>
      <c r="FQ5806"/>
      <c r="FR5806"/>
      <c r="FS5806"/>
      <c r="FT5806"/>
      <c r="FU5806"/>
      <c r="FV5806"/>
      <c r="FW5806"/>
      <c r="FX5806"/>
      <c r="FY5806"/>
      <c r="FZ5806"/>
      <c r="GA5806"/>
      <c r="GB5806"/>
      <c r="GC5806"/>
      <c r="GD5806"/>
      <c r="GE5806"/>
      <c r="GF5806"/>
      <c r="GG5806"/>
      <c r="GH5806"/>
      <c r="GI5806"/>
      <c r="GJ5806"/>
      <c r="GK5806"/>
      <c r="GL5806"/>
      <c r="GM5806"/>
      <c r="GN5806"/>
      <c r="GO5806"/>
    </row>
    <row r="5807" spans="107:197">
      <c r="DC5807"/>
      <c r="FH5807"/>
      <c r="FI5807"/>
      <c r="FJ5807"/>
      <c r="FK5807"/>
      <c r="FL5807"/>
      <c r="FM5807"/>
      <c r="FN5807"/>
      <c r="FO5807"/>
      <c r="FP5807"/>
      <c r="FQ5807"/>
      <c r="FR5807"/>
      <c r="FS5807"/>
      <c r="FT5807"/>
      <c r="FU5807"/>
      <c r="FV5807"/>
      <c r="FW5807"/>
      <c r="FX5807"/>
      <c r="FY5807"/>
      <c r="FZ5807"/>
      <c r="GA5807"/>
      <c r="GB5807"/>
      <c r="GC5807"/>
      <c r="GD5807"/>
      <c r="GE5807"/>
      <c r="GF5807"/>
      <c r="GG5807"/>
      <c r="GH5807"/>
      <c r="GI5807"/>
      <c r="GJ5807"/>
      <c r="GK5807"/>
      <c r="GL5807"/>
      <c r="GM5807"/>
      <c r="GN5807"/>
      <c r="GO5807"/>
    </row>
    <row r="5808" spans="107:197">
      <c r="DC5808"/>
      <c r="FH5808"/>
      <c r="FI5808"/>
      <c r="FJ5808"/>
      <c r="FK5808"/>
      <c r="FL5808"/>
      <c r="FM5808"/>
      <c r="FN5808"/>
      <c r="FO5808"/>
      <c r="FP5808"/>
      <c r="FQ5808"/>
      <c r="FR5808"/>
      <c r="FS5808"/>
      <c r="FT5808"/>
      <c r="FU5808"/>
      <c r="FV5808"/>
      <c r="FW5808"/>
      <c r="FX5808"/>
      <c r="FY5808"/>
      <c r="FZ5808"/>
      <c r="GA5808"/>
      <c r="GB5808"/>
      <c r="GC5808"/>
      <c r="GD5808"/>
      <c r="GE5808"/>
      <c r="GF5808"/>
      <c r="GG5808"/>
      <c r="GH5808"/>
      <c r="GI5808"/>
      <c r="GJ5808"/>
      <c r="GK5808"/>
      <c r="GL5808"/>
      <c r="GM5808"/>
      <c r="GN5808"/>
      <c r="GO5808"/>
    </row>
    <row r="5809" spans="107:197">
      <c r="DC5809"/>
      <c r="FH5809"/>
      <c r="FI5809"/>
      <c r="FJ5809"/>
      <c r="FK5809"/>
      <c r="FL5809"/>
      <c r="FM5809"/>
      <c r="FN5809"/>
      <c r="FO5809"/>
      <c r="FP5809"/>
      <c r="FQ5809"/>
      <c r="FR5809"/>
      <c r="FS5809"/>
      <c r="FT5809"/>
      <c r="FU5809"/>
      <c r="FV5809"/>
      <c r="FW5809"/>
      <c r="FX5809"/>
      <c r="FY5809"/>
      <c r="FZ5809"/>
      <c r="GA5809"/>
      <c r="GB5809"/>
      <c r="GC5809"/>
      <c r="GD5809"/>
      <c r="GE5809"/>
      <c r="GF5809"/>
      <c r="GG5809"/>
      <c r="GH5809"/>
      <c r="GI5809"/>
      <c r="GJ5809"/>
      <c r="GK5809"/>
      <c r="GL5809"/>
      <c r="GM5809"/>
      <c r="GN5809"/>
      <c r="GO5809"/>
    </row>
    <row r="5810" spans="107:197">
      <c r="DC5810"/>
      <c r="FH5810"/>
      <c r="FI5810"/>
      <c r="FJ5810"/>
      <c r="FK5810"/>
      <c r="FL5810"/>
      <c r="FM5810"/>
      <c r="FN5810"/>
      <c r="FO5810"/>
      <c r="FP5810"/>
      <c r="FQ5810"/>
      <c r="FR5810"/>
      <c r="FS5810"/>
      <c r="FT5810"/>
      <c r="FU5810"/>
      <c r="FV5810"/>
      <c r="FW5810"/>
      <c r="FX5810"/>
      <c r="FY5810"/>
      <c r="FZ5810"/>
      <c r="GA5810"/>
      <c r="GB5810"/>
      <c r="GC5810"/>
      <c r="GD5810"/>
      <c r="GE5810"/>
      <c r="GF5810"/>
      <c r="GG5810"/>
      <c r="GH5810"/>
      <c r="GI5810"/>
      <c r="GJ5810"/>
      <c r="GK5810"/>
      <c r="GL5810"/>
      <c r="GM5810"/>
      <c r="GN5810"/>
      <c r="GO5810"/>
    </row>
    <row r="5811" spans="107:197">
      <c r="DC5811"/>
      <c r="FH5811"/>
      <c r="FI5811"/>
      <c r="FJ5811"/>
      <c r="FK5811"/>
      <c r="FL5811"/>
      <c r="FM5811"/>
      <c r="FN5811"/>
      <c r="FO5811"/>
      <c r="FP5811"/>
      <c r="FQ5811"/>
      <c r="FR5811"/>
      <c r="FS5811"/>
      <c r="FT5811"/>
      <c r="FU5811"/>
      <c r="FV5811"/>
      <c r="FW5811"/>
      <c r="FX5811"/>
      <c r="FY5811"/>
      <c r="FZ5811"/>
      <c r="GA5811"/>
      <c r="GB5811"/>
      <c r="GC5811"/>
      <c r="GD5811"/>
      <c r="GE5811"/>
      <c r="GF5811"/>
      <c r="GG5811"/>
      <c r="GH5811"/>
      <c r="GI5811"/>
      <c r="GJ5811"/>
      <c r="GK5811"/>
      <c r="GL5811"/>
      <c r="GM5811"/>
      <c r="GN5811"/>
      <c r="GO5811"/>
    </row>
    <row r="5812" spans="107:197">
      <c r="DC5812"/>
      <c r="FH5812"/>
      <c r="FI5812"/>
      <c r="FJ5812"/>
      <c r="FK5812"/>
      <c r="FL5812"/>
      <c r="FM5812"/>
      <c r="FN5812"/>
      <c r="FO5812"/>
      <c r="FP5812"/>
      <c r="FQ5812"/>
      <c r="FR5812"/>
      <c r="FS5812"/>
      <c r="FT5812"/>
      <c r="FU5812"/>
      <c r="FV5812"/>
      <c r="FW5812"/>
      <c r="FX5812"/>
      <c r="FY5812"/>
      <c r="FZ5812"/>
      <c r="GA5812"/>
      <c r="GB5812"/>
      <c r="GC5812"/>
      <c r="GD5812"/>
      <c r="GE5812"/>
      <c r="GF5812"/>
      <c r="GG5812"/>
      <c r="GH5812"/>
      <c r="GI5812"/>
      <c r="GJ5812"/>
      <c r="GK5812"/>
      <c r="GL5812"/>
      <c r="GM5812"/>
      <c r="GN5812"/>
      <c r="GO5812"/>
    </row>
    <row r="5813" spans="107:197">
      <c r="DC5813"/>
      <c r="FH5813"/>
      <c r="FI5813"/>
      <c r="FJ5813"/>
      <c r="FK5813"/>
      <c r="FL5813"/>
      <c r="FM5813"/>
      <c r="FN5813"/>
      <c r="FO5813"/>
      <c r="FP5813"/>
      <c r="FQ5813"/>
      <c r="FR5813"/>
      <c r="FS5813"/>
      <c r="FT5813"/>
      <c r="FU5813"/>
      <c r="FV5813"/>
      <c r="FW5813"/>
      <c r="FX5813"/>
      <c r="FY5813"/>
      <c r="FZ5813"/>
      <c r="GA5813"/>
      <c r="GB5813"/>
      <c r="GC5813"/>
      <c r="GD5813"/>
      <c r="GE5813"/>
      <c r="GF5813"/>
      <c r="GG5813"/>
      <c r="GH5813"/>
      <c r="GI5813"/>
      <c r="GJ5813"/>
      <c r="GK5813"/>
      <c r="GL5813"/>
      <c r="GM5813"/>
      <c r="GN5813"/>
      <c r="GO5813"/>
    </row>
    <row r="5814" spans="107:197">
      <c r="DC5814"/>
      <c r="FH5814"/>
      <c r="FI5814"/>
      <c r="FJ5814"/>
      <c r="FK5814"/>
      <c r="FL5814"/>
      <c r="FM5814"/>
      <c r="FN5814"/>
      <c r="FO5814"/>
      <c r="FP5814"/>
      <c r="FQ5814"/>
      <c r="FR5814"/>
      <c r="FS5814"/>
      <c r="FT5814"/>
      <c r="FU5814"/>
      <c r="FV5814"/>
      <c r="FW5814"/>
      <c r="FX5814"/>
      <c r="FY5814"/>
      <c r="FZ5814"/>
      <c r="GA5814"/>
      <c r="GB5814"/>
      <c r="GC5814"/>
      <c r="GD5814"/>
      <c r="GE5814"/>
      <c r="GF5814"/>
      <c r="GG5814"/>
      <c r="GH5814"/>
      <c r="GI5814"/>
      <c r="GJ5814"/>
      <c r="GK5814"/>
      <c r="GL5814"/>
      <c r="GM5814"/>
      <c r="GN5814"/>
      <c r="GO5814"/>
    </row>
    <row r="5815" spans="107:197">
      <c r="DC5815"/>
      <c r="FH5815"/>
      <c r="FI5815"/>
      <c r="FJ5815"/>
      <c r="FK5815"/>
      <c r="FL5815"/>
      <c r="FM5815"/>
      <c r="FN5815"/>
      <c r="FO5815"/>
      <c r="FP5815"/>
      <c r="FQ5815"/>
      <c r="FR5815"/>
      <c r="FS5815"/>
      <c r="FT5815"/>
      <c r="FU5815"/>
      <c r="FV5815"/>
      <c r="FW5815"/>
      <c r="FX5815"/>
      <c r="FY5815"/>
      <c r="FZ5815"/>
      <c r="GA5815"/>
      <c r="GB5815"/>
      <c r="GC5815"/>
      <c r="GD5815"/>
      <c r="GE5815"/>
      <c r="GF5815"/>
      <c r="GG5815"/>
      <c r="GH5815"/>
      <c r="GI5815"/>
      <c r="GJ5815"/>
      <c r="GK5815"/>
      <c r="GL5815"/>
      <c r="GM5815"/>
      <c r="GN5815"/>
      <c r="GO5815"/>
    </row>
    <row r="5816" spans="107:197">
      <c r="DC5816"/>
      <c r="FH5816"/>
      <c r="FI5816"/>
      <c r="FJ5816"/>
      <c r="FK5816"/>
      <c r="FL5816"/>
      <c r="FM5816"/>
      <c r="FN5816"/>
      <c r="FO5816"/>
      <c r="FP5816"/>
      <c r="FQ5816"/>
      <c r="FR5816"/>
      <c r="FS5816"/>
      <c r="FT5816"/>
      <c r="FU5816"/>
      <c r="FV5816"/>
      <c r="FW5816"/>
      <c r="FX5816"/>
      <c r="FY5816"/>
      <c r="FZ5816"/>
      <c r="GA5816"/>
      <c r="GB5816"/>
      <c r="GC5816"/>
      <c r="GD5816"/>
      <c r="GE5816"/>
      <c r="GF5816"/>
      <c r="GG5816"/>
      <c r="GH5816"/>
      <c r="GI5816"/>
      <c r="GJ5816"/>
      <c r="GK5816"/>
      <c r="GL5816"/>
      <c r="GM5816"/>
      <c r="GN5816"/>
      <c r="GO5816"/>
    </row>
    <row r="5817" spans="107:197">
      <c r="DC5817"/>
      <c r="FH5817"/>
      <c r="FI5817"/>
      <c r="FJ5817"/>
      <c r="FK5817"/>
      <c r="FL5817"/>
      <c r="FM5817"/>
      <c r="FN5817"/>
      <c r="FO5817"/>
      <c r="FP5817"/>
      <c r="FQ5817"/>
      <c r="FR5817"/>
      <c r="FS5817"/>
      <c r="FT5817"/>
      <c r="FU5817"/>
      <c r="FV5817"/>
      <c r="FW5817"/>
      <c r="FX5817"/>
      <c r="FY5817"/>
      <c r="FZ5817"/>
      <c r="GA5817"/>
      <c r="GB5817"/>
      <c r="GC5817"/>
      <c r="GD5817"/>
      <c r="GE5817"/>
      <c r="GF5817"/>
      <c r="GG5817"/>
      <c r="GH5817"/>
      <c r="GI5817"/>
      <c r="GJ5817"/>
      <c r="GK5817"/>
      <c r="GL5817"/>
      <c r="GM5817"/>
      <c r="GN5817"/>
      <c r="GO5817"/>
    </row>
    <row r="5818" spans="107:197">
      <c r="DC5818"/>
      <c r="FH5818"/>
      <c r="FI5818"/>
      <c r="FJ5818"/>
      <c r="FK5818"/>
      <c r="FL5818"/>
      <c r="FM5818"/>
      <c r="FN5818"/>
      <c r="FO5818"/>
      <c r="FP5818"/>
      <c r="FQ5818"/>
      <c r="FR5818"/>
      <c r="FS5818"/>
      <c r="FT5818"/>
      <c r="FU5818"/>
      <c r="FV5818"/>
      <c r="FW5818"/>
      <c r="FX5818"/>
      <c r="FY5818"/>
      <c r="FZ5818"/>
      <c r="GA5818"/>
      <c r="GB5818"/>
      <c r="GC5818"/>
      <c r="GD5818"/>
      <c r="GE5818"/>
      <c r="GF5818"/>
      <c r="GG5818"/>
      <c r="GH5818"/>
      <c r="GI5818"/>
      <c r="GJ5818"/>
      <c r="GK5818"/>
      <c r="GL5818"/>
      <c r="GM5818"/>
      <c r="GN5818"/>
      <c r="GO5818"/>
    </row>
    <row r="5819" spans="107:197">
      <c r="DC5819"/>
      <c r="FH5819"/>
      <c r="FI5819"/>
      <c r="FJ5819"/>
      <c r="FK5819"/>
      <c r="FL5819"/>
      <c r="FM5819"/>
      <c r="FN5819"/>
      <c r="FO5819"/>
      <c r="FP5819"/>
      <c r="FQ5819"/>
      <c r="FR5819"/>
      <c r="FS5819"/>
      <c r="FT5819"/>
      <c r="FU5819"/>
      <c r="FV5819"/>
      <c r="FW5819"/>
      <c r="FX5819"/>
      <c r="FY5819"/>
      <c r="FZ5819"/>
      <c r="GA5819"/>
      <c r="GB5819"/>
      <c r="GC5819"/>
      <c r="GD5819"/>
      <c r="GE5819"/>
      <c r="GF5819"/>
      <c r="GG5819"/>
      <c r="GH5819"/>
      <c r="GI5819"/>
      <c r="GJ5819"/>
      <c r="GK5819"/>
      <c r="GL5819"/>
      <c r="GM5819"/>
      <c r="GN5819"/>
      <c r="GO5819"/>
    </row>
    <row r="5820" spans="107:197">
      <c r="DC5820"/>
      <c r="FH5820"/>
      <c r="FI5820"/>
      <c r="FJ5820"/>
      <c r="FK5820"/>
      <c r="FL5820"/>
      <c r="FM5820"/>
      <c r="FN5820"/>
      <c r="FO5820"/>
      <c r="FP5820"/>
      <c r="FQ5820"/>
      <c r="FR5820"/>
      <c r="FS5820"/>
      <c r="FT5820"/>
      <c r="FU5820"/>
      <c r="FV5820"/>
      <c r="FW5820"/>
      <c r="FX5820"/>
      <c r="FY5820"/>
      <c r="FZ5820"/>
      <c r="GA5820"/>
      <c r="GB5820"/>
      <c r="GC5820"/>
      <c r="GD5820"/>
      <c r="GE5820"/>
      <c r="GF5820"/>
      <c r="GG5820"/>
      <c r="GH5820"/>
      <c r="GI5820"/>
      <c r="GJ5820"/>
      <c r="GK5820"/>
      <c r="GL5820"/>
      <c r="GM5820"/>
      <c r="GN5820"/>
      <c r="GO5820"/>
    </row>
    <row r="5821" spans="107:197">
      <c r="DC5821"/>
      <c r="FH5821"/>
      <c r="FI5821"/>
      <c r="FJ5821"/>
      <c r="FK5821"/>
      <c r="FL5821"/>
      <c r="FM5821"/>
      <c r="FN5821"/>
      <c r="FO5821"/>
      <c r="FP5821"/>
      <c r="FQ5821"/>
      <c r="FR5821"/>
      <c r="FS5821"/>
      <c r="FT5821"/>
      <c r="FU5821"/>
      <c r="FV5821"/>
      <c r="FW5821"/>
      <c r="FX5821"/>
      <c r="FY5821"/>
      <c r="FZ5821"/>
      <c r="GA5821"/>
      <c r="GB5821"/>
      <c r="GC5821"/>
      <c r="GD5821"/>
      <c r="GE5821"/>
      <c r="GF5821"/>
      <c r="GG5821"/>
      <c r="GH5821"/>
      <c r="GI5821"/>
      <c r="GJ5821"/>
      <c r="GK5821"/>
      <c r="GL5821"/>
      <c r="GM5821"/>
      <c r="GN5821"/>
      <c r="GO5821"/>
    </row>
    <row r="5822" spans="107:197">
      <c r="DC5822"/>
      <c r="FH5822"/>
      <c r="FI5822"/>
      <c r="FJ5822"/>
      <c r="FK5822"/>
      <c r="FL5822"/>
      <c r="FM5822"/>
      <c r="FN5822"/>
      <c r="FO5822"/>
      <c r="FP5822"/>
      <c r="FQ5822"/>
      <c r="FR5822"/>
      <c r="FS5822"/>
      <c r="FT5822"/>
      <c r="FU5822"/>
      <c r="FV5822"/>
      <c r="FW5822"/>
      <c r="FX5822"/>
      <c r="FY5822"/>
      <c r="FZ5822"/>
      <c r="GA5822"/>
      <c r="GB5822"/>
      <c r="GC5822"/>
      <c r="GD5822"/>
      <c r="GE5822"/>
      <c r="GF5822"/>
      <c r="GG5822"/>
      <c r="GH5822"/>
      <c r="GI5822"/>
      <c r="GJ5822"/>
      <c r="GK5822"/>
      <c r="GL5822"/>
      <c r="GM5822"/>
      <c r="GN5822"/>
      <c r="GO5822"/>
    </row>
    <row r="5823" spans="107:197">
      <c r="DC5823"/>
      <c r="FH5823"/>
      <c r="FI5823"/>
      <c r="FJ5823"/>
      <c r="FK5823"/>
      <c r="FL5823"/>
      <c r="FM5823"/>
      <c r="FN5823"/>
      <c r="FO5823"/>
      <c r="FP5823"/>
      <c r="FQ5823"/>
      <c r="FR5823"/>
      <c r="FS5823"/>
      <c r="FT5823"/>
      <c r="FU5823"/>
      <c r="FV5823"/>
      <c r="FW5823"/>
      <c r="FX5823"/>
      <c r="FY5823"/>
      <c r="FZ5823"/>
      <c r="GA5823"/>
      <c r="GB5823"/>
      <c r="GC5823"/>
      <c r="GD5823"/>
      <c r="GE5823"/>
      <c r="GF5823"/>
      <c r="GG5823"/>
      <c r="GH5823"/>
      <c r="GI5823"/>
      <c r="GJ5823"/>
      <c r="GK5823"/>
      <c r="GL5823"/>
      <c r="GM5823"/>
      <c r="GN5823"/>
      <c r="GO5823"/>
    </row>
    <row r="5824" spans="107:197">
      <c r="DC5824"/>
      <c r="FH5824"/>
      <c r="FI5824"/>
      <c r="FJ5824"/>
      <c r="FK5824"/>
      <c r="FL5824"/>
      <c r="FM5824"/>
      <c r="FN5824"/>
      <c r="FO5824"/>
      <c r="FP5824"/>
      <c r="FQ5824"/>
      <c r="FR5824"/>
      <c r="FS5824"/>
      <c r="FT5824"/>
      <c r="FU5824"/>
      <c r="FV5824"/>
      <c r="FW5824"/>
      <c r="FX5824"/>
      <c r="FY5824"/>
      <c r="FZ5824"/>
      <c r="GA5824"/>
      <c r="GB5824"/>
      <c r="GC5824"/>
      <c r="GD5824"/>
      <c r="GE5824"/>
      <c r="GF5824"/>
      <c r="GG5824"/>
      <c r="GH5824"/>
      <c r="GI5824"/>
      <c r="GJ5824"/>
      <c r="GK5824"/>
      <c r="GL5824"/>
      <c r="GM5824"/>
      <c r="GN5824"/>
      <c r="GO5824"/>
    </row>
    <row r="5825" spans="107:197">
      <c r="DC5825"/>
      <c r="FH5825"/>
      <c r="FI5825"/>
      <c r="FJ5825"/>
      <c r="FK5825"/>
      <c r="FL5825"/>
      <c r="FM5825"/>
      <c r="FN5825"/>
      <c r="FO5825"/>
      <c r="FP5825"/>
      <c r="FQ5825"/>
      <c r="FR5825"/>
      <c r="FS5825"/>
      <c r="FT5825"/>
      <c r="FU5825"/>
      <c r="FV5825"/>
      <c r="FW5825"/>
      <c r="FX5825"/>
      <c r="FY5825"/>
      <c r="FZ5825"/>
      <c r="GA5825"/>
      <c r="GB5825"/>
      <c r="GC5825"/>
      <c r="GD5825"/>
      <c r="GE5825"/>
      <c r="GF5825"/>
      <c r="GG5825"/>
      <c r="GH5825"/>
      <c r="GI5825"/>
      <c r="GJ5825"/>
      <c r="GK5825"/>
      <c r="GL5825"/>
      <c r="GM5825"/>
      <c r="GN5825"/>
      <c r="GO5825"/>
    </row>
    <row r="5826" spans="107:197">
      <c r="DC5826"/>
      <c r="FH5826"/>
      <c r="FI5826"/>
      <c r="FJ5826"/>
      <c r="FK5826"/>
      <c r="FL5826"/>
      <c r="FM5826"/>
      <c r="FN5826"/>
      <c r="FO5826"/>
      <c r="FP5826"/>
      <c r="FQ5826"/>
      <c r="FR5826"/>
      <c r="FS5826"/>
      <c r="FT5826"/>
      <c r="FU5826"/>
      <c r="FV5826"/>
      <c r="FW5826"/>
      <c r="FX5826"/>
      <c r="FY5826"/>
      <c r="FZ5826"/>
      <c r="GA5826"/>
      <c r="GB5826"/>
      <c r="GC5826"/>
      <c r="GD5826"/>
      <c r="GE5826"/>
      <c r="GF5826"/>
      <c r="GG5826"/>
      <c r="GH5826"/>
      <c r="GI5826"/>
      <c r="GJ5826"/>
      <c r="GK5826"/>
      <c r="GL5826"/>
      <c r="GM5826"/>
      <c r="GN5826"/>
      <c r="GO5826"/>
    </row>
    <row r="5827" spans="107:197">
      <c r="DC5827"/>
      <c r="FH5827"/>
      <c r="FI5827"/>
      <c r="FJ5827"/>
      <c r="FK5827"/>
      <c r="FL5827"/>
      <c r="FM5827"/>
      <c r="FN5827"/>
      <c r="FO5827"/>
      <c r="FP5827"/>
      <c r="FQ5827"/>
      <c r="FR5827"/>
      <c r="FS5827"/>
      <c r="FT5827"/>
      <c r="FU5827"/>
      <c r="FV5827"/>
      <c r="FW5827"/>
      <c r="FX5827"/>
      <c r="FY5827"/>
      <c r="FZ5827"/>
      <c r="GA5827"/>
      <c r="GB5827"/>
      <c r="GC5827"/>
      <c r="GD5827"/>
      <c r="GE5827"/>
      <c r="GF5827"/>
      <c r="GG5827"/>
      <c r="GH5827"/>
      <c r="GI5827"/>
      <c r="GJ5827"/>
      <c r="GK5827"/>
      <c r="GL5827"/>
      <c r="GM5827"/>
      <c r="GN5827"/>
      <c r="GO5827"/>
    </row>
    <row r="5828" spans="107:197">
      <c r="DC5828"/>
      <c r="FH5828"/>
      <c r="FI5828"/>
      <c r="FJ5828"/>
      <c r="FK5828"/>
      <c r="FL5828"/>
      <c r="FM5828"/>
      <c r="FN5828"/>
      <c r="FO5828"/>
      <c r="FP5828"/>
      <c r="FQ5828"/>
      <c r="FR5828"/>
      <c r="FS5828"/>
      <c r="FT5828"/>
      <c r="FU5828"/>
      <c r="FV5828"/>
      <c r="FW5828"/>
      <c r="FX5828"/>
      <c r="FY5828"/>
      <c r="FZ5828"/>
      <c r="GA5828"/>
      <c r="GB5828"/>
      <c r="GC5828"/>
      <c r="GD5828"/>
      <c r="GE5828"/>
      <c r="GF5828"/>
      <c r="GG5828"/>
      <c r="GH5828"/>
      <c r="GI5828"/>
      <c r="GJ5828"/>
      <c r="GK5828"/>
      <c r="GL5828"/>
      <c r="GM5828"/>
      <c r="GN5828"/>
      <c r="GO5828"/>
    </row>
    <row r="5829" spans="107:197">
      <c r="DC5829"/>
      <c r="FH5829"/>
      <c r="FI5829"/>
      <c r="FJ5829"/>
      <c r="FK5829"/>
      <c r="FL5829"/>
      <c r="FM5829"/>
      <c r="FN5829"/>
      <c r="FO5829"/>
      <c r="FP5829"/>
      <c r="FQ5829"/>
      <c r="FR5829"/>
      <c r="FS5829"/>
      <c r="FT5829"/>
      <c r="FU5829"/>
      <c r="FV5829"/>
      <c r="FW5829"/>
      <c r="FX5829"/>
      <c r="FY5829"/>
      <c r="FZ5829"/>
      <c r="GA5829"/>
      <c r="GB5829"/>
      <c r="GC5829"/>
      <c r="GD5829"/>
      <c r="GE5829"/>
      <c r="GF5829"/>
      <c r="GG5829"/>
      <c r="GH5829"/>
      <c r="GI5829"/>
      <c r="GJ5829"/>
      <c r="GK5829"/>
      <c r="GL5829"/>
      <c r="GM5829"/>
      <c r="GN5829"/>
      <c r="GO5829"/>
    </row>
    <row r="5830" spans="107:197">
      <c r="DC5830"/>
      <c r="FH5830"/>
      <c r="FI5830"/>
      <c r="FJ5830"/>
      <c r="FK5830"/>
      <c r="FL5830"/>
      <c r="FM5830"/>
      <c r="FN5830"/>
      <c r="FO5830"/>
      <c r="FP5830"/>
      <c r="FQ5830"/>
      <c r="FR5830"/>
      <c r="FS5830"/>
      <c r="FT5830"/>
      <c r="FU5830"/>
      <c r="FV5830"/>
      <c r="FW5830"/>
      <c r="FX5830"/>
      <c r="FY5830"/>
      <c r="FZ5830"/>
      <c r="GA5830"/>
      <c r="GB5830"/>
      <c r="GC5830"/>
      <c r="GD5830"/>
      <c r="GE5830"/>
      <c r="GF5830"/>
      <c r="GG5830"/>
      <c r="GH5830"/>
      <c r="GI5830"/>
      <c r="GJ5830"/>
      <c r="GK5830"/>
      <c r="GL5830"/>
      <c r="GM5830"/>
      <c r="GN5830"/>
      <c r="GO5830"/>
    </row>
    <row r="5831" spans="107:197">
      <c r="DC5831"/>
      <c r="FH5831"/>
      <c r="FI5831"/>
      <c r="FJ5831"/>
      <c r="FK5831"/>
      <c r="FL5831"/>
      <c r="FM5831"/>
      <c r="FN5831"/>
      <c r="FO5831"/>
      <c r="FP5831"/>
      <c r="FQ5831"/>
      <c r="FR5831"/>
      <c r="FS5831"/>
      <c r="FT5831"/>
      <c r="FU5831"/>
      <c r="FV5831"/>
      <c r="FW5831"/>
      <c r="FX5831"/>
      <c r="FY5831"/>
      <c r="FZ5831"/>
      <c r="GA5831"/>
      <c r="GB5831"/>
      <c r="GC5831"/>
      <c r="GD5831"/>
      <c r="GE5831"/>
      <c r="GF5831"/>
      <c r="GG5831"/>
      <c r="GH5831"/>
      <c r="GI5831"/>
      <c r="GJ5831"/>
      <c r="GK5831"/>
      <c r="GL5831"/>
      <c r="GM5831"/>
      <c r="GN5831"/>
      <c r="GO5831"/>
    </row>
    <row r="5832" spans="107:197">
      <c r="DC5832"/>
      <c r="FH5832"/>
      <c r="FI5832"/>
      <c r="FJ5832"/>
      <c r="FK5832"/>
      <c r="FL5832"/>
      <c r="FM5832"/>
      <c r="FN5832"/>
      <c r="FO5832"/>
      <c r="FP5832"/>
      <c r="FQ5832"/>
      <c r="FR5832"/>
      <c r="FS5832"/>
      <c r="FT5832"/>
      <c r="FU5832"/>
      <c r="FV5832"/>
      <c r="FW5832"/>
      <c r="FX5832"/>
      <c r="FY5832"/>
      <c r="FZ5832"/>
      <c r="GA5832"/>
      <c r="GB5832"/>
      <c r="GC5832"/>
      <c r="GD5832"/>
      <c r="GE5832"/>
      <c r="GF5832"/>
      <c r="GG5832"/>
      <c r="GH5832"/>
      <c r="GI5832"/>
      <c r="GJ5832"/>
      <c r="GK5832"/>
      <c r="GL5832"/>
      <c r="GM5832"/>
      <c r="GN5832"/>
      <c r="GO5832"/>
    </row>
    <row r="5833" spans="107:197">
      <c r="DC5833"/>
      <c r="FH5833"/>
      <c r="FI5833"/>
      <c r="FJ5833"/>
      <c r="FK5833"/>
      <c r="FL5833"/>
      <c r="FM5833"/>
      <c r="FN5833"/>
      <c r="FO5833"/>
      <c r="FP5833"/>
      <c r="FQ5833"/>
      <c r="FR5833"/>
      <c r="FS5833"/>
      <c r="FT5833"/>
      <c r="FU5833"/>
      <c r="FV5833"/>
      <c r="FW5833"/>
      <c r="FX5833"/>
      <c r="FY5833"/>
      <c r="FZ5833"/>
      <c r="GA5833"/>
      <c r="GB5833"/>
      <c r="GC5833"/>
      <c r="GD5833"/>
      <c r="GE5833"/>
      <c r="GF5833"/>
      <c r="GG5833"/>
      <c r="GH5833"/>
      <c r="GI5833"/>
      <c r="GJ5833"/>
      <c r="GK5833"/>
      <c r="GL5833"/>
      <c r="GM5833"/>
      <c r="GN5833"/>
      <c r="GO5833"/>
    </row>
    <row r="5834" spans="107:197">
      <c r="DC5834"/>
      <c r="FH5834"/>
      <c r="FI5834"/>
      <c r="FJ5834"/>
      <c r="FK5834"/>
      <c r="FL5834"/>
      <c r="FM5834"/>
      <c r="FN5834"/>
      <c r="FO5834"/>
      <c r="FP5834"/>
      <c r="FQ5834"/>
      <c r="FR5834"/>
      <c r="FS5834"/>
      <c r="FT5834"/>
      <c r="FU5834"/>
      <c r="FV5834"/>
      <c r="FW5834"/>
      <c r="FX5834"/>
      <c r="FY5834"/>
      <c r="FZ5834"/>
      <c r="GA5834"/>
      <c r="GB5834"/>
      <c r="GC5834"/>
      <c r="GD5834"/>
      <c r="GE5834"/>
      <c r="GF5834"/>
      <c r="GG5834"/>
      <c r="GH5834"/>
      <c r="GI5834"/>
      <c r="GJ5834"/>
      <c r="GK5834"/>
      <c r="GL5834"/>
      <c r="GM5834"/>
      <c r="GN5834"/>
      <c r="GO5834"/>
    </row>
    <row r="5835" spans="107:197">
      <c r="DC5835"/>
      <c r="FH5835"/>
      <c r="FI5835"/>
      <c r="FJ5835"/>
      <c r="FK5835"/>
      <c r="FL5835"/>
      <c r="FM5835"/>
      <c r="FN5835"/>
      <c r="FO5835"/>
      <c r="FP5835"/>
      <c r="FQ5835"/>
      <c r="FR5835"/>
      <c r="FS5835"/>
      <c r="FT5835"/>
      <c r="FU5835"/>
      <c r="FV5835"/>
      <c r="FW5835"/>
      <c r="FX5835"/>
      <c r="FY5835"/>
      <c r="FZ5835"/>
      <c r="GA5835"/>
      <c r="GB5835"/>
      <c r="GC5835"/>
      <c r="GD5835"/>
      <c r="GE5835"/>
      <c r="GF5835"/>
      <c r="GG5835"/>
      <c r="GH5835"/>
      <c r="GI5835"/>
      <c r="GJ5835"/>
      <c r="GK5835"/>
      <c r="GL5835"/>
      <c r="GM5835"/>
      <c r="GN5835"/>
      <c r="GO5835"/>
    </row>
    <row r="5836" spans="107:197">
      <c r="DC5836"/>
      <c r="FH5836"/>
      <c r="FI5836"/>
      <c r="FJ5836"/>
      <c r="FK5836"/>
      <c r="FL5836"/>
      <c r="FM5836"/>
      <c r="FN5836"/>
      <c r="FO5836"/>
      <c r="FP5836"/>
      <c r="FQ5836"/>
      <c r="FR5836"/>
      <c r="FS5836"/>
      <c r="FT5836"/>
      <c r="FU5836"/>
      <c r="FV5836"/>
      <c r="FW5836"/>
      <c r="FX5836"/>
      <c r="FY5836"/>
      <c r="FZ5836"/>
      <c r="GA5836"/>
      <c r="GB5836"/>
      <c r="GC5836"/>
      <c r="GD5836"/>
      <c r="GE5836"/>
      <c r="GF5836"/>
      <c r="GG5836"/>
      <c r="GH5836"/>
      <c r="GI5836"/>
      <c r="GJ5836"/>
      <c r="GK5836"/>
      <c r="GL5836"/>
      <c r="GM5836"/>
      <c r="GN5836"/>
      <c r="GO5836"/>
    </row>
    <row r="5837" spans="107:197">
      <c r="DC5837"/>
      <c r="FH5837"/>
      <c r="FI5837"/>
      <c r="FJ5837"/>
      <c r="FK5837"/>
      <c r="FL5837"/>
      <c r="FM5837"/>
      <c r="FN5837"/>
      <c r="FO5837"/>
      <c r="FP5837"/>
      <c r="FQ5837"/>
      <c r="FR5837"/>
      <c r="FS5837"/>
      <c r="FT5837"/>
      <c r="FU5837"/>
      <c r="FV5837"/>
      <c r="FW5837"/>
      <c r="FX5837"/>
      <c r="FY5837"/>
      <c r="FZ5837"/>
      <c r="GA5837"/>
      <c r="GB5837"/>
      <c r="GC5837"/>
      <c r="GD5837"/>
      <c r="GE5837"/>
      <c r="GF5837"/>
      <c r="GG5837"/>
      <c r="GH5837"/>
      <c r="GI5837"/>
      <c r="GJ5837"/>
      <c r="GK5837"/>
      <c r="GL5837"/>
      <c r="GM5837"/>
      <c r="GN5837"/>
      <c r="GO5837"/>
    </row>
    <row r="5838" spans="107:197">
      <c r="DC5838"/>
      <c r="FH5838"/>
      <c r="FI5838"/>
      <c r="FJ5838"/>
      <c r="FK5838"/>
      <c r="FL5838"/>
      <c r="FM5838"/>
      <c r="FN5838"/>
      <c r="FO5838"/>
      <c r="FP5838"/>
      <c r="FQ5838"/>
      <c r="FR5838"/>
      <c r="FS5838"/>
      <c r="FT5838"/>
      <c r="FU5838"/>
      <c r="FV5838"/>
      <c r="FW5838"/>
      <c r="FX5838"/>
      <c r="FY5838"/>
      <c r="FZ5838"/>
      <c r="GA5838"/>
      <c r="GB5838"/>
      <c r="GC5838"/>
      <c r="GD5838"/>
      <c r="GE5838"/>
      <c r="GF5838"/>
      <c r="GG5838"/>
      <c r="GH5838"/>
      <c r="GI5838"/>
      <c r="GJ5838"/>
      <c r="GK5838"/>
      <c r="GL5838"/>
      <c r="GM5838"/>
      <c r="GN5838"/>
      <c r="GO5838"/>
    </row>
    <row r="5839" spans="107:197">
      <c r="DC5839"/>
      <c r="FH5839"/>
      <c r="FI5839"/>
      <c r="FJ5839"/>
      <c r="FK5839"/>
      <c r="FL5839"/>
      <c r="FM5839"/>
      <c r="FN5839"/>
      <c r="FO5839"/>
      <c r="FP5839"/>
      <c r="FQ5839"/>
      <c r="FR5839"/>
      <c r="FS5839"/>
      <c r="FT5839"/>
      <c r="FU5839"/>
      <c r="FV5839"/>
      <c r="FW5839"/>
      <c r="FX5839"/>
      <c r="FY5839"/>
      <c r="FZ5839"/>
      <c r="GA5839"/>
      <c r="GB5839"/>
      <c r="GC5839"/>
      <c r="GD5839"/>
      <c r="GE5839"/>
      <c r="GF5839"/>
      <c r="GG5839"/>
      <c r="GH5839"/>
      <c r="GI5839"/>
      <c r="GJ5839"/>
      <c r="GK5839"/>
      <c r="GL5839"/>
      <c r="GM5839"/>
      <c r="GN5839"/>
      <c r="GO5839"/>
    </row>
    <row r="5840" spans="107:197">
      <c r="DC5840"/>
      <c r="FH5840"/>
      <c r="FI5840"/>
      <c r="FJ5840"/>
      <c r="FK5840"/>
      <c r="FL5840"/>
      <c r="FM5840"/>
      <c r="FN5840"/>
      <c r="FO5840"/>
      <c r="FP5840"/>
      <c r="FQ5840"/>
      <c r="FR5840"/>
      <c r="FS5840"/>
      <c r="FT5840"/>
      <c r="FU5840"/>
      <c r="FV5840"/>
      <c r="FW5840"/>
      <c r="FX5840"/>
      <c r="FY5840"/>
      <c r="FZ5840"/>
      <c r="GA5840"/>
      <c r="GB5840"/>
      <c r="GC5840"/>
      <c r="GD5840"/>
      <c r="GE5840"/>
      <c r="GF5840"/>
      <c r="GG5840"/>
      <c r="GH5840"/>
      <c r="GI5840"/>
      <c r="GJ5840"/>
      <c r="GK5840"/>
      <c r="GL5840"/>
      <c r="GM5840"/>
      <c r="GN5840"/>
      <c r="GO5840"/>
    </row>
    <row r="5841" spans="107:197">
      <c r="DC5841"/>
      <c r="FH5841"/>
      <c r="FI5841"/>
      <c r="FJ5841"/>
      <c r="FK5841"/>
      <c r="FL5841"/>
      <c r="FM5841"/>
      <c r="FN5841"/>
      <c r="FO5841"/>
      <c r="FP5841"/>
      <c r="FQ5841"/>
      <c r="FR5841"/>
      <c r="FS5841"/>
      <c r="FT5841"/>
      <c r="FU5841"/>
      <c r="FV5841"/>
      <c r="FW5841"/>
      <c r="FX5841"/>
      <c r="FY5841"/>
      <c r="FZ5841"/>
      <c r="GA5841"/>
      <c r="GB5841"/>
      <c r="GC5841"/>
      <c r="GD5841"/>
      <c r="GE5841"/>
      <c r="GF5841"/>
      <c r="GG5841"/>
      <c r="GH5841"/>
      <c r="GI5841"/>
      <c r="GJ5841"/>
      <c r="GK5841"/>
      <c r="GL5841"/>
      <c r="GM5841"/>
      <c r="GN5841"/>
      <c r="GO5841"/>
    </row>
    <row r="5842" spans="107:197">
      <c r="DC5842"/>
      <c r="FH5842"/>
      <c r="FI5842"/>
      <c r="FJ5842"/>
      <c r="FK5842"/>
      <c r="FL5842"/>
      <c r="FM5842"/>
      <c r="FN5842"/>
      <c r="FO5842"/>
      <c r="FP5842"/>
      <c r="FQ5842"/>
      <c r="FR5842"/>
      <c r="FS5842"/>
      <c r="FT5842"/>
      <c r="FU5842"/>
      <c r="FV5842"/>
      <c r="FW5842"/>
      <c r="FX5842"/>
      <c r="FY5842"/>
      <c r="FZ5842"/>
      <c r="GA5842"/>
      <c r="GB5842"/>
      <c r="GC5842"/>
      <c r="GD5842"/>
      <c r="GE5842"/>
      <c r="GF5842"/>
      <c r="GG5842"/>
      <c r="GH5842"/>
      <c r="GI5842"/>
      <c r="GJ5842"/>
      <c r="GK5842"/>
      <c r="GL5842"/>
      <c r="GM5842"/>
      <c r="GN5842"/>
      <c r="GO5842"/>
    </row>
    <row r="5843" spans="107:197">
      <c r="DC5843"/>
      <c r="FH5843"/>
      <c r="FI5843"/>
      <c r="FJ5843"/>
      <c r="FK5843"/>
      <c r="FL5843"/>
      <c r="FM5843"/>
      <c r="FN5843"/>
      <c r="FO5843"/>
      <c r="FP5843"/>
      <c r="FQ5843"/>
      <c r="FR5843"/>
      <c r="FS5843"/>
      <c r="FT5843"/>
      <c r="FU5843"/>
      <c r="FV5843"/>
      <c r="FW5843"/>
      <c r="FX5843"/>
      <c r="FY5843"/>
      <c r="FZ5843"/>
      <c r="GA5843"/>
      <c r="GB5843"/>
      <c r="GC5843"/>
      <c r="GD5843"/>
      <c r="GE5843"/>
      <c r="GF5843"/>
      <c r="GG5843"/>
      <c r="GH5843"/>
      <c r="GI5843"/>
      <c r="GJ5843"/>
      <c r="GK5843"/>
      <c r="GL5843"/>
      <c r="GM5843"/>
      <c r="GN5843"/>
      <c r="GO5843"/>
    </row>
    <row r="5844" spans="107:197">
      <c r="DC5844"/>
      <c r="FH5844"/>
      <c r="FI5844"/>
      <c r="FJ5844"/>
      <c r="FK5844"/>
      <c r="FL5844"/>
      <c r="FM5844"/>
      <c r="FN5844"/>
      <c r="FO5844"/>
      <c r="FP5844"/>
      <c r="FQ5844"/>
      <c r="FR5844"/>
      <c r="FS5844"/>
      <c r="FT5844"/>
      <c r="FU5844"/>
      <c r="FV5844"/>
      <c r="FW5844"/>
      <c r="FX5844"/>
      <c r="FY5844"/>
      <c r="FZ5844"/>
      <c r="GA5844"/>
      <c r="GB5844"/>
      <c r="GC5844"/>
      <c r="GD5844"/>
      <c r="GE5844"/>
      <c r="GF5844"/>
      <c r="GG5844"/>
      <c r="GH5844"/>
      <c r="GI5844"/>
      <c r="GJ5844"/>
      <c r="GK5844"/>
      <c r="GL5844"/>
      <c r="GM5844"/>
      <c r="GN5844"/>
      <c r="GO5844"/>
    </row>
    <row r="5845" spans="107:197">
      <c r="DC5845"/>
      <c r="FH5845"/>
      <c r="FI5845"/>
      <c r="FJ5845"/>
      <c r="FK5845"/>
      <c r="FL5845"/>
      <c r="FM5845"/>
      <c r="FN5845"/>
      <c r="FO5845"/>
      <c r="FP5845"/>
      <c r="FQ5845"/>
      <c r="FR5845"/>
      <c r="FS5845"/>
      <c r="FT5845"/>
      <c r="FU5845"/>
      <c r="FV5845"/>
      <c r="FW5845"/>
      <c r="FX5845"/>
      <c r="FY5845"/>
      <c r="FZ5845"/>
      <c r="GA5845"/>
      <c r="GB5845"/>
      <c r="GC5845"/>
      <c r="GD5845"/>
      <c r="GE5845"/>
      <c r="GF5845"/>
      <c r="GG5845"/>
      <c r="GH5845"/>
      <c r="GI5845"/>
      <c r="GJ5845"/>
      <c r="GK5845"/>
      <c r="GL5845"/>
      <c r="GM5845"/>
      <c r="GN5845"/>
      <c r="GO5845"/>
    </row>
    <row r="5846" spans="107:197">
      <c r="DC5846"/>
      <c r="FH5846"/>
      <c r="FI5846"/>
      <c r="FJ5846"/>
      <c r="FK5846"/>
      <c r="FL5846"/>
      <c r="FM5846"/>
      <c r="FN5846"/>
      <c r="FO5846"/>
      <c r="FP5846"/>
      <c r="FQ5846"/>
      <c r="FR5846"/>
      <c r="FS5846"/>
      <c r="FT5846"/>
      <c r="FU5846"/>
      <c r="FV5846"/>
      <c r="FW5846"/>
      <c r="FX5846"/>
      <c r="FY5846"/>
      <c r="FZ5846"/>
      <c r="GA5846"/>
      <c r="GB5846"/>
      <c r="GC5846"/>
      <c r="GD5846"/>
      <c r="GE5846"/>
      <c r="GF5846"/>
      <c r="GG5846"/>
      <c r="GH5846"/>
      <c r="GI5846"/>
      <c r="GJ5846"/>
      <c r="GK5846"/>
      <c r="GL5846"/>
      <c r="GM5846"/>
      <c r="GN5846"/>
      <c r="GO5846"/>
    </row>
    <row r="5847" spans="107:197">
      <c r="DC5847"/>
      <c r="FH5847"/>
      <c r="FI5847"/>
      <c r="FJ5847"/>
      <c r="FK5847"/>
      <c r="FL5847"/>
      <c r="FM5847"/>
      <c r="FN5847"/>
      <c r="FO5847"/>
      <c r="FP5847"/>
      <c r="FQ5847"/>
      <c r="FR5847"/>
      <c r="FS5847"/>
      <c r="FT5847"/>
      <c r="FU5847"/>
      <c r="FV5847"/>
      <c r="FW5847"/>
      <c r="FX5847"/>
      <c r="FY5847"/>
      <c r="FZ5847"/>
      <c r="GA5847"/>
      <c r="GB5847"/>
      <c r="GC5847"/>
      <c r="GD5847"/>
      <c r="GE5847"/>
      <c r="GF5847"/>
      <c r="GG5847"/>
      <c r="GH5847"/>
      <c r="GI5847"/>
      <c r="GJ5847"/>
      <c r="GK5847"/>
      <c r="GL5847"/>
      <c r="GM5847"/>
      <c r="GN5847"/>
      <c r="GO5847"/>
    </row>
    <row r="5848" spans="107:197">
      <c r="DC5848"/>
      <c r="FH5848"/>
      <c r="FI5848"/>
      <c r="FJ5848"/>
      <c r="FK5848"/>
      <c r="FL5848"/>
      <c r="FM5848"/>
      <c r="FN5848"/>
      <c r="FO5848"/>
      <c r="FP5848"/>
      <c r="FQ5848"/>
      <c r="FR5848"/>
      <c r="FS5848"/>
      <c r="FT5848"/>
      <c r="FU5848"/>
      <c r="FV5848"/>
      <c r="FW5848"/>
      <c r="FX5848"/>
      <c r="FY5848"/>
      <c r="FZ5848"/>
      <c r="GA5848"/>
      <c r="GB5848"/>
      <c r="GC5848"/>
      <c r="GD5848"/>
      <c r="GE5848"/>
      <c r="GF5848"/>
      <c r="GG5848"/>
      <c r="GH5848"/>
      <c r="GI5848"/>
      <c r="GJ5848"/>
      <c r="GK5848"/>
      <c r="GL5848"/>
      <c r="GM5848"/>
      <c r="GN5848"/>
      <c r="GO5848"/>
    </row>
    <row r="5849" spans="107:197">
      <c r="DC5849"/>
      <c r="FH5849"/>
      <c r="FI5849"/>
      <c r="FJ5849"/>
      <c r="FK5849"/>
      <c r="FL5849"/>
      <c r="FM5849"/>
      <c r="FN5849"/>
      <c r="FO5849"/>
      <c r="FP5849"/>
      <c r="FQ5849"/>
      <c r="FR5849"/>
      <c r="FS5849"/>
      <c r="FT5849"/>
      <c r="FU5849"/>
      <c r="FV5849"/>
      <c r="FW5849"/>
      <c r="FX5849"/>
      <c r="FY5849"/>
      <c r="FZ5849"/>
      <c r="GA5849"/>
      <c r="GB5849"/>
      <c r="GC5849"/>
      <c r="GD5849"/>
      <c r="GE5849"/>
      <c r="GF5849"/>
      <c r="GG5849"/>
      <c r="GH5849"/>
      <c r="GI5849"/>
      <c r="GJ5849"/>
      <c r="GK5849"/>
      <c r="GL5849"/>
      <c r="GM5849"/>
      <c r="GN5849"/>
      <c r="GO5849"/>
    </row>
    <row r="5850" spans="107:197">
      <c r="DC5850"/>
      <c r="FH5850"/>
      <c r="FI5850"/>
      <c r="FJ5850"/>
      <c r="FK5850"/>
      <c r="FL5850"/>
      <c r="FM5850"/>
      <c r="FN5850"/>
      <c r="FO5850"/>
      <c r="FP5850"/>
      <c r="FQ5850"/>
      <c r="FR5850"/>
      <c r="FS5850"/>
      <c r="FT5850"/>
      <c r="FU5850"/>
      <c r="FV5850"/>
      <c r="FW5850"/>
      <c r="FX5850"/>
      <c r="FY5850"/>
      <c r="FZ5850"/>
      <c r="GA5850"/>
      <c r="GB5850"/>
      <c r="GC5850"/>
      <c r="GD5850"/>
      <c r="GE5850"/>
      <c r="GF5850"/>
      <c r="GG5850"/>
      <c r="GH5850"/>
      <c r="GI5850"/>
      <c r="GJ5850"/>
      <c r="GK5850"/>
      <c r="GL5850"/>
      <c r="GM5850"/>
      <c r="GN5850"/>
      <c r="GO5850"/>
    </row>
    <row r="5851" spans="107:197">
      <c r="DC5851"/>
      <c r="FH5851"/>
      <c r="FI5851"/>
      <c r="FJ5851"/>
      <c r="FK5851"/>
      <c r="FL5851"/>
      <c r="FM5851"/>
      <c r="FN5851"/>
      <c r="FO5851"/>
      <c r="FP5851"/>
      <c r="FQ5851"/>
      <c r="FR5851"/>
      <c r="FS5851"/>
      <c r="FT5851"/>
      <c r="FU5851"/>
      <c r="FV5851"/>
      <c r="FW5851"/>
      <c r="FX5851"/>
      <c r="FY5851"/>
      <c r="FZ5851"/>
      <c r="GA5851"/>
      <c r="GB5851"/>
      <c r="GC5851"/>
      <c r="GD5851"/>
      <c r="GE5851"/>
      <c r="GF5851"/>
      <c r="GG5851"/>
      <c r="GH5851"/>
      <c r="GI5851"/>
      <c r="GJ5851"/>
      <c r="GK5851"/>
      <c r="GL5851"/>
      <c r="GM5851"/>
      <c r="GN5851"/>
      <c r="GO5851"/>
    </row>
    <row r="5852" spans="107:197">
      <c r="DC5852"/>
      <c r="FH5852"/>
      <c r="FI5852"/>
      <c r="FJ5852"/>
      <c r="FK5852"/>
      <c r="FL5852"/>
      <c r="FM5852"/>
      <c r="FN5852"/>
      <c r="FO5852"/>
      <c r="FP5852"/>
      <c r="FQ5852"/>
      <c r="FR5852"/>
      <c r="FS5852"/>
      <c r="FT5852"/>
      <c r="FU5852"/>
      <c r="FV5852"/>
      <c r="FW5852"/>
      <c r="FX5852"/>
      <c r="FY5852"/>
      <c r="FZ5852"/>
      <c r="GA5852"/>
      <c r="GB5852"/>
      <c r="GC5852"/>
      <c r="GD5852"/>
      <c r="GE5852"/>
      <c r="GF5852"/>
      <c r="GG5852"/>
      <c r="GH5852"/>
      <c r="GI5852"/>
      <c r="GJ5852"/>
      <c r="GK5852"/>
      <c r="GL5852"/>
      <c r="GM5852"/>
      <c r="GN5852"/>
      <c r="GO5852"/>
    </row>
    <row r="5853" spans="107:197">
      <c r="DC5853"/>
      <c r="FH5853"/>
      <c r="FI5853"/>
      <c r="FJ5853"/>
      <c r="FK5853"/>
      <c r="FL5853"/>
      <c r="FM5853"/>
      <c r="FN5853"/>
      <c r="FO5853"/>
      <c r="FP5853"/>
      <c r="FQ5853"/>
      <c r="FR5853"/>
      <c r="FS5853"/>
      <c r="FT5853"/>
      <c r="FU5853"/>
      <c r="FV5853"/>
      <c r="FW5853"/>
      <c r="FX5853"/>
      <c r="FY5853"/>
      <c r="FZ5853"/>
      <c r="GA5853"/>
      <c r="GB5853"/>
      <c r="GC5853"/>
      <c r="GD5853"/>
      <c r="GE5853"/>
      <c r="GF5853"/>
      <c r="GG5853"/>
      <c r="GH5853"/>
      <c r="GI5853"/>
      <c r="GJ5853"/>
      <c r="GK5853"/>
      <c r="GL5853"/>
      <c r="GM5853"/>
      <c r="GN5853"/>
      <c r="GO5853"/>
    </row>
    <row r="5854" spans="107:197">
      <c r="DC5854"/>
      <c r="FH5854"/>
      <c r="FI5854"/>
      <c r="FJ5854"/>
      <c r="FK5854"/>
      <c r="FL5854"/>
      <c r="FM5854"/>
      <c r="FN5854"/>
      <c r="FO5854"/>
      <c r="FP5854"/>
      <c r="FQ5854"/>
      <c r="FR5854"/>
      <c r="FS5854"/>
      <c r="FT5854"/>
      <c r="FU5854"/>
      <c r="FV5854"/>
      <c r="FW5854"/>
      <c r="FX5854"/>
      <c r="FY5854"/>
      <c r="FZ5854"/>
      <c r="GA5854"/>
      <c r="GB5854"/>
      <c r="GC5854"/>
      <c r="GD5854"/>
      <c r="GE5854"/>
      <c r="GF5854"/>
      <c r="GG5854"/>
      <c r="GH5854"/>
      <c r="GI5854"/>
      <c r="GJ5854"/>
      <c r="GK5854"/>
      <c r="GL5854"/>
      <c r="GM5854"/>
      <c r="GN5854"/>
      <c r="GO5854"/>
    </row>
    <row r="5855" spans="107:197">
      <c r="DC5855"/>
      <c r="FH5855"/>
      <c r="FI5855"/>
      <c r="FJ5855"/>
      <c r="FK5855"/>
      <c r="FL5855"/>
      <c r="FM5855"/>
      <c r="FN5855"/>
      <c r="FO5855"/>
      <c r="FP5855"/>
      <c r="FQ5855"/>
      <c r="FR5855"/>
      <c r="FS5855"/>
      <c r="FT5855"/>
      <c r="FU5855"/>
      <c r="FV5855"/>
      <c r="FW5855"/>
      <c r="FX5855"/>
      <c r="FY5855"/>
      <c r="FZ5855"/>
      <c r="GA5855"/>
      <c r="GB5855"/>
      <c r="GC5855"/>
      <c r="GD5855"/>
      <c r="GE5855"/>
      <c r="GF5855"/>
      <c r="GG5855"/>
      <c r="GH5855"/>
      <c r="GI5855"/>
      <c r="GJ5855"/>
      <c r="GK5855"/>
      <c r="GL5855"/>
      <c r="GM5855"/>
      <c r="GN5855"/>
      <c r="GO5855"/>
    </row>
    <row r="5856" spans="107:197">
      <c r="DC5856"/>
      <c r="FH5856"/>
      <c r="FI5856"/>
      <c r="FJ5856"/>
      <c r="FK5856"/>
      <c r="FL5856"/>
      <c r="FM5856"/>
      <c r="FN5856"/>
      <c r="FO5856"/>
      <c r="FP5856"/>
      <c r="FQ5856"/>
      <c r="FR5856"/>
      <c r="FS5856"/>
      <c r="FT5856"/>
      <c r="FU5856"/>
      <c r="FV5856"/>
      <c r="FW5856"/>
      <c r="FX5856"/>
      <c r="FY5856"/>
      <c r="FZ5856"/>
      <c r="GA5856"/>
      <c r="GB5856"/>
      <c r="GC5856"/>
      <c r="GD5856"/>
      <c r="GE5856"/>
      <c r="GF5856"/>
      <c r="GG5856"/>
      <c r="GH5856"/>
      <c r="GI5856"/>
      <c r="GJ5856"/>
      <c r="GK5856"/>
      <c r="GL5856"/>
      <c r="GM5856"/>
      <c r="GN5856"/>
      <c r="GO5856"/>
    </row>
    <row r="5857" spans="107:197">
      <c r="DC5857"/>
      <c r="FH5857"/>
      <c r="FI5857"/>
      <c r="FJ5857"/>
      <c r="FK5857"/>
      <c r="FL5857"/>
      <c r="FM5857"/>
      <c r="FN5857"/>
      <c r="FO5857"/>
      <c r="FP5857"/>
      <c r="FQ5857"/>
      <c r="FR5857"/>
      <c r="FS5857"/>
      <c r="FT5857"/>
      <c r="FU5857"/>
      <c r="FV5857"/>
      <c r="FW5857"/>
      <c r="FX5857"/>
      <c r="FY5857"/>
      <c r="FZ5857"/>
      <c r="GA5857"/>
      <c r="GB5857"/>
      <c r="GC5857"/>
      <c r="GD5857"/>
      <c r="GE5857"/>
      <c r="GF5857"/>
      <c r="GG5857"/>
      <c r="GH5857"/>
      <c r="GI5857"/>
      <c r="GJ5857"/>
      <c r="GK5857"/>
      <c r="GL5857"/>
      <c r="GM5857"/>
      <c r="GN5857"/>
      <c r="GO5857"/>
    </row>
    <row r="5858" spans="107:197">
      <c r="DC5858"/>
      <c r="FH5858"/>
      <c r="FI5858"/>
      <c r="FJ5858"/>
      <c r="FK5858"/>
      <c r="FL5858"/>
      <c r="FM5858"/>
      <c r="FN5858"/>
      <c r="FO5858"/>
      <c r="FP5858"/>
      <c r="FQ5858"/>
      <c r="FR5858"/>
      <c r="FS5858"/>
      <c r="FT5858"/>
      <c r="FU5858"/>
      <c r="FV5858"/>
      <c r="FW5858"/>
      <c r="FX5858"/>
      <c r="FY5858"/>
      <c r="FZ5858"/>
      <c r="GA5858"/>
      <c r="GB5858"/>
      <c r="GC5858"/>
      <c r="GD5858"/>
      <c r="GE5858"/>
      <c r="GF5858"/>
      <c r="GG5858"/>
      <c r="GH5858"/>
      <c r="GI5858"/>
      <c r="GJ5858"/>
      <c r="GK5858"/>
      <c r="GL5858"/>
      <c r="GM5858"/>
      <c r="GN5858"/>
      <c r="GO5858"/>
    </row>
    <row r="5859" spans="107:197">
      <c r="DC5859"/>
      <c r="FH5859"/>
      <c r="FI5859"/>
      <c r="FJ5859"/>
      <c r="FK5859"/>
      <c r="FL5859"/>
      <c r="FM5859"/>
      <c r="FN5859"/>
      <c r="FO5859"/>
      <c r="FP5859"/>
      <c r="FQ5859"/>
      <c r="FR5859"/>
      <c r="FS5859"/>
      <c r="FT5859"/>
      <c r="FU5859"/>
      <c r="FV5859"/>
      <c r="FW5859"/>
      <c r="FX5859"/>
      <c r="FY5859"/>
      <c r="FZ5859"/>
      <c r="GA5859"/>
      <c r="GB5859"/>
      <c r="GC5859"/>
      <c r="GD5859"/>
      <c r="GE5859"/>
      <c r="GF5859"/>
      <c r="GG5859"/>
      <c r="GH5859"/>
      <c r="GI5859"/>
      <c r="GJ5859"/>
      <c r="GK5859"/>
      <c r="GL5859"/>
      <c r="GM5859"/>
      <c r="GN5859"/>
      <c r="GO5859"/>
    </row>
    <row r="5860" spans="107:197">
      <c r="DC5860"/>
      <c r="FH5860"/>
      <c r="FI5860"/>
      <c r="FJ5860"/>
      <c r="FK5860"/>
      <c r="FL5860"/>
      <c r="FM5860"/>
      <c r="FN5860"/>
      <c r="FO5860"/>
      <c r="FP5860"/>
      <c r="FQ5860"/>
      <c r="FR5860"/>
      <c r="FS5860"/>
      <c r="FT5860"/>
      <c r="FU5860"/>
      <c r="FV5860"/>
      <c r="FW5860"/>
      <c r="FX5860"/>
      <c r="FY5860"/>
      <c r="FZ5860"/>
      <c r="GA5860"/>
      <c r="GB5860"/>
      <c r="GC5860"/>
      <c r="GD5860"/>
      <c r="GE5860"/>
      <c r="GF5860"/>
      <c r="GG5860"/>
      <c r="GH5860"/>
      <c r="GI5860"/>
      <c r="GJ5860"/>
      <c r="GK5860"/>
      <c r="GL5860"/>
      <c r="GM5860"/>
      <c r="GN5860"/>
      <c r="GO5860"/>
    </row>
    <row r="5861" spans="107:197">
      <c r="DC5861"/>
      <c r="FH5861"/>
      <c r="FI5861"/>
      <c r="FJ5861"/>
      <c r="FK5861"/>
      <c r="FL5861"/>
      <c r="FM5861"/>
      <c r="FN5861"/>
      <c r="FO5861"/>
      <c r="FP5861"/>
      <c r="FQ5861"/>
      <c r="FR5861"/>
      <c r="FS5861"/>
      <c r="FT5861"/>
      <c r="FU5861"/>
      <c r="FV5861"/>
      <c r="FW5861"/>
      <c r="FX5861"/>
      <c r="FY5861"/>
      <c r="FZ5861"/>
      <c r="GA5861"/>
      <c r="GB5861"/>
      <c r="GC5861"/>
      <c r="GD5861"/>
      <c r="GE5861"/>
      <c r="GF5861"/>
      <c r="GG5861"/>
      <c r="GH5861"/>
      <c r="GI5861"/>
      <c r="GJ5861"/>
      <c r="GK5861"/>
      <c r="GL5861"/>
      <c r="GM5861"/>
      <c r="GN5861"/>
      <c r="GO5861"/>
    </row>
    <row r="5862" spans="107:197">
      <c r="DC5862"/>
      <c r="FH5862"/>
      <c r="FI5862"/>
      <c r="FJ5862"/>
      <c r="FK5862"/>
      <c r="FL5862"/>
      <c r="FM5862"/>
      <c r="FN5862"/>
      <c r="FO5862"/>
      <c r="FP5862"/>
      <c r="FQ5862"/>
      <c r="FR5862"/>
      <c r="FS5862"/>
      <c r="FT5862"/>
      <c r="FU5862"/>
      <c r="FV5862"/>
      <c r="FW5862"/>
      <c r="FX5862"/>
      <c r="FY5862"/>
      <c r="FZ5862"/>
      <c r="GA5862"/>
      <c r="GB5862"/>
      <c r="GC5862"/>
      <c r="GD5862"/>
      <c r="GE5862"/>
      <c r="GF5862"/>
      <c r="GG5862"/>
      <c r="GH5862"/>
      <c r="GI5862"/>
      <c r="GJ5862"/>
      <c r="GK5862"/>
      <c r="GL5862"/>
      <c r="GM5862"/>
      <c r="GN5862"/>
      <c r="GO5862"/>
    </row>
    <row r="5863" spans="107:197">
      <c r="DC5863"/>
      <c r="FH5863"/>
      <c r="FI5863"/>
      <c r="FJ5863"/>
      <c r="FK5863"/>
      <c r="FL5863"/>
      <c r="FM5863"/>
      <c r="FN5863"/>
      <c r="FO5863"/>
      <c r="FP5863"/>
      <c r="FQ5863"/>
      <c r="FR5863"/>
      <c r="FS5863"/>
      <c r="FT5863"/>
      <c r="FU5863"/>
      <c r="FV5863"/>
      <c r="FW5863"/>
      <c r="FX5863"/>
      <c r="FY5863"/>
      <c r="FZ5863"/>
      <c r="GA5863"/>
      <c r="GB5863"/>
      <c r="GC5863"/>
      <c r="GD5863"/>
      <c r="GE5863"/>
      <c r="GF5863"/>
      <c r="GG5863"/>
      <c r="GH5863"/>
      <c r="GI5863"/>
      <c r="GJ5863"/>
      <c r="GK5863"/>
      <c r="GL5863"/>
      <c r="GM5863"/>
      <c r="GN5863"/>
      <c r="GO5863"/>
    </row>
    <row r="5864" spans="107:197">
      <c r="DC5864"/>
      <c r="FH5864"/>
      <c r="FI5864"/>
      <c r="FJ5864"/>
      <c r="FK5864"/>
      <c r="FL5864"/>
      <c r="FM5864"/>
      <c r="FN5864"/>
      <c r="FO5864"/>
      <c r="FP5864"/>
      <c r="FQ5864"/>
      <c r="FR5864"/>
      <c r="FS5864"/>
      <c r="FT5864"/>
      <c r="FU5864"/>
      <c r="FV5864"/>
      <c r="FW5864"/>
      <c r="FX5864"/>
      <c r="FY5864"/>
      <c r="FZ5864"/>
      <c r="GA5864"/>
      <c r="GB5864"/>
      <c r="GC5864"/>
      <c r="GD5864"/>
      <c r="GE5864"/>
      <c r="GF5864"/>
      <c r="GG5864"/>
      <c r="GH5864"/>
      <c r="GI5864"/>
      <c r="GJ5864"/>
      <c r="GK5864"/>
      <c r="GL5864"/>
      <c r="GM5864"/>
      <c r="GN5864"/>
      <c r="GO5864"/>
    </row>
    <row r="5865" spans="107:197">
      <c r="DC5865"/>
      <c r="FH5865"/>
      <c r="FI5865"/>
      <c r="FJ5865"/>
      <c r="FK5865"/>
      <c r="FL5865"/>
      <c r="FM5865"/>
      <c r="FN5865"/>
      <c r="FO5865"/>
      <c r="FP5865"/>
      <c r="FQ5865"/>
      <c r="FR5865"/>
      <c r="FS5865"/>
      <c r="FT5865"/>
      <c r="FU5865"/>
      <c r="FV5865"/>
      <c r="FW5865"/>
      <c r="FX5865"/>
      <c r="FY5865"/>
      <c r="FZ5865"/>
      <c r="GA5865"/>
      <c r="GB5865"/>
      <c r="GC5865"/>
      <c r="GD5865"/>
      <c r="GE5865"/>
      <c r="GF5865"/>
      <c r="GG5865"/>
      <c r="GH5865"/>
      <c r="GI5865"/>
      <c r="GJ5865"/>
      <c r="GK5865"/>
      <c r="GL5865"/>
      <c r="GM5865"/>
      <c r="GN5865"/>
      <c r="GO5865"/>
    </row>
    <row r="5866" spans="107:197">
      <c r="DC5866"/>
      <c r="FH5866"/>
      <c r="FI5866"/>
      <c r="FJ5866"/>
      <c r="FK5866"/>
      <c r="FL5866"/>
      <c r="FM5866"/>
      <c r="FN5866"/>
      <c r="FO5866"/>
      <c r="FP5866"/>
      <c r="FQ5866"/>
      <c r="FR5866"/>
      <c r="FS5866"/>
      <c r="FT5866"/>
      <c r="FU5866"/>
      <c r="FV5866"/>
      <c r="FW5866"/>
      <c r="FX5866"/>
      <c r="FY5866"/>
      <c r="FZ5866"/>
      <c r="GA5866"/>
      <c r="GB5866"/>
      <c r="GC5866"/>
      <c r="GD5866"/>
      <c r="GE5866"/>
      <c r="GF5866"/>
      <c r="GG5866"/>
      <c r="GH5866"/>
      <c r="GI5866"/>
      <c r="GJ5866"/>
      <c r="GK5866"/>
      <c r="GL5866"/>
      <c r="GM5866"/>
      <c r="GN5866"/>
      <c r="GO5866"/>
    </row>
    <row r="5867" spans="107:197">
      <c r="DC5867"/>
      <c r="FH5867"/>
      <c r="FI5867"/>
      <c r="FJ5867"/>
      <c r="FK5867"/>
      <c r="FL5867"/>
      <c r="FM5867"/>
      <c r="FN5867"/>
      <c r="FO5867"/>
      <c r="FP5867"/>
      <c r="FQ5867"/>
      <c r="FR5867"/>
      <c r="FS5867"/>
      <c r="FT5867"/>
      <c r="FU5867"/>
      <c r="FV5867"/>
      <c r="FW5867"/>
      <c r="FX5867"/>
      <c r="FY5867"/>
      <c r="FZ5867"/>
      <c r="GA5867"/>
      <c r="GB5867"/>
      <c r="GC5867"/>
      <c r="GD5867"/>
      <c r="GE5867"/>
      <c r="GF5867"/>
      <c r="GG5867"/>
      <c r="GH5867"/>
      <c r="GI5867"/>
      <c r="GJ5867"/>
      <c r="GK5867"/>
      <c r="GL5867"/>
      <c r="GM5867"/>
      <c r="GN5867"/>
      <c r="GO5867"/>
    </row>
    <row r="5868" spans="107:197">
      <c r="DC5868"/>
      <c r="FH5868"/>
      <c r="FI5868"/>
      <c r="FJ5868"/>
      <c r="FK5868"/>
      <c r="FL5868"/>
      <c r="FM5868"/>
      <c r="FN5868"/>
      <c r="FO5868"/>
      <c r="FP5868"/>
      <c r="FQ5868"/>
      <c r="FR5868"/>
      <c r="FS5868"/>
      <c r="FT5868"/>
      <c r="FU5868"/>
      <c r="FV5868"/>
      <c r="FW5868"/>
      <c r="FX5868"/>
      <c r="FY5868"/>
      <c r="FZ5868"/>
      <c r="GA5868"/>
      <c r="GB5868"/>
      <c r="GC5868"/>
      <c r="GD5868"/>
      <c r="GE5868"/>
      <c r="GF5868"/>
      <c r="GG5868"/>
      <c r="GH5868"/>
      <c r="GI5868"/>
      <c r="GJ5868"/>
      <c r="GK5868"/>
      <c r="GL5868"/>
      <c r="GM5868"/>
      <c r="GN5868"/>
      <c r="GO5868"/>
    </row>
    <row r="5869" spans="107:197">
      <c r="DC5869"/>
      <c r="FH5869"/>
      <c r="FI5869"/>
      <c r="FJ5869"/>
      <c r="FK5869"/>
      <c r="FL5869"/>
      <c r="FM5869"/>
      <c r="FN5869"/>
      <c r="FO5869"/>
      <c r="FP5869"/>
      <c r="FQ5869"/>
      <c r="FR5869"/>
      <c r="FS5869"/>
      <c r="FT5869"/>
      <c r="FU5869"/>
      <c r="FV5869"/>
      <c r="FW5869"/>
      <c r="FX5869"/>
      <c r="FY5869"/>
      <c r="FZ5869"/>
      <c r="GA5869"/>
      <c r="GB5869"/>
      <c r="GC5869"/>
      <c r="GD5869"/>
      <c r="GE5869"/>
      <c r="GF5869"/>
      <c r="GG5869"/>
      <c r="GH5869"/>
      <c r="GI5869"/>
      <c r="GJ5869"/>
      <c r="GK5869"/>
      <c r="GL5869"/>
      <c r="GM5869"/>
      <c r="GN5869"/>
      <c r="GO5869"/>
    </row>
    <row r="5870" spans="107:197">
      <c r="DC5870"/>
      <c r="FH5870"/>
      <c r="FI5870"/>
      <c r="FJ5870"/>
      <c r="FK5870"/>
      <c r="FL5870"/>
      <c r="FM5870"/>
      <c r="FN5870"/>
      <c r="FO5870"/>
      <c r="FP5870"/>
      <c r="FQ5870"/>
      <c r="FR5870"/>
      <c r="FS5870"/>
      <c r="FT5870"/>
      <c r="FU5870"/>
      <c r="FV5870"/>
      <c r="FW5870"/>
      <c r="FX5870"/>
      <c r="FY5870"/>
      <c r="FZ5870"/>
      <c r="GA5870"/>
      <c r="GB5870"/>
      <c r="GC5870"/>
      <c r="GD5870"/>
      <c r="GE5870"/>
      <c r="GF5870"/>
      <c r="GG5870"/>
      <c r="GH5870"/>
      <c r="GI5870"/>
      <c r="GJ5870"/>
      <c r="GK5870"/>
      <c r="GL5870"/>
      <c r="GM5870"/>
      <c r="GN5870"/>
      <c r="GO5870"/>
    </row>
    <row r="5871" spans="107:197">
      <c r="DC5871"/>
      <c r="FH5871"/>
      <c r="FI5871"/>
      <c r="FJ5871"/>
      <c r="FK5871"/>
      <c r="FL5871"/>
      <c r="FM5871"/>
      <c r="FN5871"/>
      <c r="FO5871"/>
      <c r="FP5871"/>
      <c r="FQ5871"/>
      <c r="FR5871"/>
      <c r="FS5871"/>
      <c r="FT5871"/>
      <c r="FU5871"/>
      <c r="FV5871"/>
      <c r="FW5871"/>
      <c r="FX5871"/>
      <c r="FY5871"/>
      <c r="FZ5871"/>
      <c r="GA5871"/>
      <c r="GB5871"/>
      <c r="GC5871"/>
      <c r="GD5871"/>
      <c r="GE5871"/>
      <c r="GF5871"/>
      <c r="GG5871"/>
      <c r="GH5871"/>
      <c r="GI5871"/>
      <c r="GJ5871"/>
      <c r="GK5871"/>
      <c r="GL5871"/>
      <c r="GM5871"/>
      <c r="GN5871"/>
      <c r="GO5871"/>
    </row>
    <row r="5872" spans="107:197">
      <c r="DC5872"/>
      <c r="FH5872"/>
      <c r="FI5872"/>
      <c r="FJ5872"/>
      <c r="FK5872"/>
      <c r="FL5872"/>
      <c r="FM5872"/>
      <c r="FN5872"/>
      <c r="FO5872"/>
      <c r="FP5872"/>
      <c r="FQ5872"/>
      <c r="FR5872"/>
      <c r="FS5872"/>
      <c r="FT5872"/>
      <c r="FU5872"/>
      <c r="FV5872"/>
      <c r="FW5872"/>
      <c r="FX5872"/>
      <c r="FY5872"/>
      <c r="FZ5872"/>
      <c r="GA5872"/>
      <c r="GB5872"/>
      <c r="GC5872"/>
      <c r="GD5872"/>
      <c r="GE5872"/>
      <c r="GF5872"/>
      <c r="GG5872"/>
      <c r="GH5872"/>
      <c r="GI5872"/>
      <c r="GJ5872"/>
      <c r="GK5872"/>
      <c r="GL5872"/>
      <c r="GM5872"/>
      <c r="GN5872"/>
      <c r="GO5872"/>
    </row>
    <row r="5873" spans="107:197">
      <c r="DC5873"/>
      <c r="FH5873"/>
      <c r="FI5873"/>
      <c r="FJ5873"/>
      <c r="FK5873"/>
      <c r="FL5873"/>
      <c r="FM5873"/>
      <c r="FN5873"/>
      <c r="FO5873"/>
      <c r="FP5873"/>
      <c r="FQ5873"/>
      <c r="FR5873"/>
      <c r="FS5873"/>
      <c r="FT5873"/>
      <c r="FU5873"/>
      <c r="FV5873"/>
      <c r="FW5873"/>
      <c r="FX5873"/>
      <c r="FY5873"/>
      <c r="FZ5873"/>
      <c r="GA5873"/>
      <c r="GB5873"/>
      <c r="GC5873"/>
      <c r="GD5873"/>
      <c r="GE5873"/>
      <c r="GF5873"/>
      <c r="GG5873"/>
      <c r="GH5873"/>
      <c r="GI5873"/>
      <c r="GJ5873"/>
      <c r="GK5873"/>
      <c r="GL5873"/>
      <c r="GM5873"/>
      <c r="GN5873"/>
      <c r="GO5873"/>
    </row>
    <row r="5874" spans="107:197">
      <c r="DC5874"/>
      <c r="FH5874"/>
      <c r="FI5874"/>
      <c r="FJ5874"/>
      <c r="FK5874"/>
      <c r="FL5874"/>
      <c r="FM5874"/>
      <c r="FN5874"/>
      <c r="FO5874"/>
      <c r="FP5874"/>
      <c r="FQ5874"/>
      <c r="FR5874"/>
      <c r="FS5874"/>
      <c r="FT5874"/>
      <c r="FU5874"/>
      <c r="FV5874"/>
      <c r="FW5874"/>
      <c r="FX5874"/>
      <c r="FY5874"/>
      <c r="FZ5874"/>
      <c r="GA5874"/>
      <c r="GB5874"/>
      <c r="GC5874"/>
      <c r="GD5874"/>
      <c r="GE5874"/>
      <c r="GF5874"/>
      <c r="GG5874"/>
      <c r="GH5874"/>
      <c r="GI5874"/>
      <c r="GJ5874"/>
      <c r="GK5874"/>
      <c r="GL5874"/>
      <c r="GM5874"/>
      <c r="GN5874"/>
      <c r="GO5874"/>
    </row>
    <row r="5875" spans="107:197">
      <c r="DC5875"/>
      <c r="FH5875"/>
      <c r="FI5875"/>
      <c r="FJ5875"/>
      <c r="FK5875"/>
      <c r="FL5875"/>
      <c r="FM5875"/>
      <c r="FN5875"/>
      <c r="FO5875"/>
      <c r="FP5875"/>
      <c r="FQ5875"/>
      <c r="FR5875"/>
      <c r="FS5875"/>
      <c r="FT5875"/>
      <c r="FU5875"/>
      <c r="FV5875"/>
      <c r="FW5875"/>
      <c r="FX5875"/>
      <c r="FY5875"/>
      <c r="FZ5875"/>
      <c r="GA5875"/>
      <c r="GB5875"/>
      <c r="GC5875"/>
      <c r="GD5875"/>
      <c r="GE5875"/>
      <c r="GF5875"/>
      <c r="GG5875"/>
      <c r="GH5875"/>
      <c r="GI5875"/>
      <c r="GJ5875"/>
      <c r="GK5875"/>
      <c r="GL5875"/>
      <c r="GM5875"/>
      <c r="GN5875"/>
      <c r="GO5875"/>
    </row>
    <row r="5876" spans="107:197">
      <c r="DC5876"/>
      <c r="FH5876"/>
      <c r="FI5876"/>
      <c r="FJ5876"/>
      <c r="FK5876"/>
      <c r="FL5876"/>
      <c r="FM5876"/>
      <c r="FN5876"/>
      <c r="FO5876"/>
      <c r="FP5876"/>
      <c r="FQ5876"/>
      <c r="FR5876"/>
      <c r="FS5876"/>
      <c r="FT5876"/>
      <c r="FU5876"/>
      <c r="FV5876"/>
      <c r="FW5876"/>
      <c r="FX5876"/>
      <c r="FY5876"/>
      <c r="FZ5876"/>
      <c r="GA5876"/>
      <c r="GB5876"/>
      <c r="GC5876"/>
      <c r="GD5876"/>
      <c r="GE5876"/>
      <c r="GF5876"/>
      <c r="GG5876"/>
      <c r="GH5876"/>
      <c r="GI5876"/>
      <c r="GJ5876"/>
      <c r="GK5876"/>
      <c r="GL5876"/>
      <c r="GM5876"/>
      <c r="GN5876"/>
      <c r="GO5876"/>
    </row>
    <row r="5877" spans="107:197">
      <c r="DC5877"/>
      <c r="FH5877"/>
      <c r="FI5877"/>
      <c r="FJ5877"/>
      <c r="FK5877"/>
      <c r="FL5877"/>
      <c r="FM5877"/>
      <c r="FN5877"/>
      <c r="FO5877"/>
      <c r="FP5877"/>
      <c r="FQ5877"/>
      <c r="FR5877"/>
      <c r="FS5877"/>
      <c r="FT5877"/>
      <c r="FU5877"/>
      <c r="FV5877"/>
      <c r="FW5877"/>
      <c r="FX5877"/>
      <c r="FY5877"/>
      <c r="FZ5877"/>
      <c r="GA5877"/>
      <c r="GB5877"/>
      <c r="GC5877"/>
      <c r="GD5877"/>
      <c r="GE5877"/>
      <c r="GF5877"/>
      <c r="GG5877"/>
      <c r="GH5877"/>
      <c r="GI5877"/>
      <c r="GJ5877"/>
      <c r="GK5877"/>
      <c r="GL5877"/>
      <c r="GM5877"/>
      <c r="GN5877"/>
      <c r="GO5877"/>
    </row>
    <row r="5878" spans="107:197">
      <c r="DC5878"/>
      <c r="FH5878"/>
      <c r="FI5878"/>
      <c r="FJ5878"/>
      <c r="FK5878"/>
      <c r="FL5878"/>
      <c r="FM5878"/>
      <c r="FN5878"/>
      <c r="FO5878"/>
      <c r="FP5878"/>
      <c r="FQ5878"/>
      <c r="FR5878"/>
      <c r="FS5878"/>
      <c r="FT5878"/>
      <c r="FU5878"/>
      <c r="FV5878"/>
      <c r="FW5878"/>
      <c r="FX5878"/>
      <c r="FY5878"/>
      <c r="FZ5878"/>
      <c r="GA5878"/>
      <c r="GB5878"/>
      <c r="GC5878"/>
      <c r="GD5878"/>
      <c r="GE5878"/>
      <c r="GF5878"/>
      <c r="GG5878"/>
      <c r="GH5878"/>
      <c r="GI5878"/>
      <c r="GJ5878"/>
      <c r="GK5878"/>
      <c r="GL5878"/>
      <c r="GM5878"/>
      <c r="GN5878"/>
      <c r="GO5878"/>
    </row>
    <row r="5879" spans="107:197">
      <c r="DC5879"/>
      <c r="FH5879"/>
      <c r="FI5879"/>
      <c r="FJ5879"/>
      <c r="FK5879"/>
      <c r="FL5879"/>
      <c r="FM5879"/>
      <c r="FN5879"/>
      <c r="FO5879"/>
      <c r="FP5879"/>
      <c r="FQ5879"/>
      <c r="FR5879"/>
      <c r="FS5879"/>
      <c r="FT5879"/>
      <c r="FU5879"/>
      <c r="FV5879"/>
      <c r="FW5879"/>
      <c r="FX5879"/>
      <c r="FY5879"/>
      <c r="FZ5879"/>
      <c r="GA5879"/>
      <c r="GB5879"/>
      <c r="GC5879"/>
      <c r="GD5879"/>
      <c r="GE5879"/>
      <c r="GF5879"/>
      <c r="GG5879"/>
      <c r="GH5879"/>
      <c r="GI5879"/>
      <c r="GJ5879"/>
      <c r="GK5879"/>
      <c r="GL5879"/>
      <c r="GM5879"/>
      <c r="GN5879"/>
      <c r="GO5879"/>
    </row>
    <row r="5880" spans="107:197">
      <c r="DC5880"/>
      <c r="FH5880"/>
      <c r="FI5880"/>
      <c r="FJ5880"/>
      <c r="FK5880"/>
      <c r="FL5880"/>
      <c r="FM5880"/>
      <c r="FN5880"/>
      <c r="FO5880"/>
      <c r="FP5880"/>
      <c r="FQ5880"/>
      <c r="FR5880"/>
      <c r="FS5880"/>
      <c r="FT5880"/>
      <c r="FU5880"/>
      <c r="FV5880"/>
      <c r="FW5880"/>
      <c r="FX5880"/>
      <c r="FY5880"/>
      <c r="FZ5880"/>
      <c r="GA5880"/>
      <c r="GB5880"/>
      <c r="GC5880"/>
      <c r="GD5880"/>
      <c r="GE5880"/>
      <c r="GF5880"/>
      <c r="GG5880"/>
      <c r="GH5880"/>
      <c r="GI5880"/>
      <c r="GJ5880"/>
      <c r="GK5880"/>
      <c r="GL5880"/>
      <c r="GM5880"/>
      <c r="GN5880"/>
      <c r="GO5880"/>
    </row>
    <row r="5881" spans="107:197">
      <c r="DC5881"/>
      <c r="FH5881"/>
      <c r="FI5881"/>
      <c r="FJ5881"/>
      <c r="FK5881"/>
      <c r="FL5881"/>
      <c r="FM5881"/>
      <c r="FN5881"/>
      <c r="FO5881"/>
      <c r="FP5881"/>
      <c r="FQ5881"/>
      <c r="FR5881"/>
      <c r="FS5881"/>
      <c r="FT5881"/>
      <c r="FU5881"/>
      <c r="FV5881"/>
      <c r="FW5881"/>
      <c r="FX5881"/>
      <c r="FY5881"/>
      <c r="FZ5881"/>
      <c r="GA5881"/>
      <c r="GB5881"/>
      <c r="GC5881"/>
      <c r="GD5881"/>
      <c r="GE5881"/>
      <c r="GF5881"/>
      <c r="GG5881"/>
      <c r="GH5881"/>
      <c r="GI5881"/>
      <c r="GJ5881"/>
      <c r="GK5881"/>
      <c r="GL5881"/>
      <c r="GM5881"/>
      <c r="GN5881"/>
      <c r="GO5881"/>
    </row>
    <row r="5882" spans="107:197">
      <c r="DC5882"/>
      <c r="FH5882"/>
      <c r="FI5882"/>
      <c r="FJ5882"/>
      <c r="FK5882"/>
      <c r="FL5882"/>
      <c r="FM5882"/>
      <c r="FN5882"/>
      <c r="FO5882"/>
      <c r="FP5882"/>
      <c r="FQ5882"/>
      <c r="FR5882"/>
      <c r="FS5882"/>
      <c r="FT5882"/>
      <c r="FU5882"/>
      <c r="FV5882"/>
      <c r="FW5882"/>
      <c r="FX5882"/>
      <c r="FY5882"/>
      <c r="FZ5882"/>
      <c r="GA5882"/>
      <c r="GB5882"/>
      <c r="GC5882"/>
      <c r="GD5882"/>
      <c r="GE5882"/>
      <c r="GF5882"/>
      <c r="GG5882"/>
      <c r="GH5882"/>
      <c r="GI5882"/>
      <c r="GJ5882"/>
      <c r="GK5882"/>
      <c r="GL5882"/>
      <c r="GM5882"/>
      <c r="GN5882"/>
      <c r="GO5882"/>
    </row>
    <row r="5883" spans="107:197">
      <c r="DC5883"/>
      <c r="FH5883"/>
      <c r="FI5883"/>
      <c r="FJ5883"/>
      <c r="FK5883"/>
      <c r="FL5883"/>
      <c r="FM5883"/>
      <c r="FN5883"/>
      <c r="FO5883"/>
      <c r="FP5883"/>
      <c r="FQ5883"/>
      <c r="FR5883"/>
      <c r="FS5883"/>
      <c r="FT5883"/>
      <c r="FU5883"/>
      <c r="FV5883"/>
      <c r="FW5883"/>
      <c r="FX5883"/>
      <c r="FY5883"/>
      <c r="FZ5883"/>
      <c r="GA5883"/>
      <c r="GB5883"/>
      <c r="GC5883"/>
      <c r="GD5883"/>
      <c r="GE5883"/>
      <c r="GF5883"/>
      <c r="GG5883"/>
      <c r="GH5883"/>
      <c r="GI5883"/>
      <c r="GJ5883"/>
      <c r="GK5883"/>
      <c r="GL5883"/>
      <c r="GM5883"/>
      <c r="GN5883"/>
      <c r="GO5883"/>
    </row>
    <row r="5884" spans="107:197">
      <c r="DC5884"/>
      <c r="FH5884"/>
      <c r="FI5884"/>
      <c r="FJ5884"/>
      <c r="FK5884"/>
      <c r="FL5884"/>
      <c r="FM5884"/>
      <c r="FN5884"/>
      <c r="FO5884"/>
      <c r="FP5884"/>
      <c r="FQ5884"/>
      <c r="FR5884"/>
      <c r="FS5884"/>
      <c r="FT5884"/>
      <c r="FU5884"/>
      <c r="FV5884"/>
      <c r="FW5884"/>
      <c r="FX5884"/>
      <c r="FY5884"/>
      <c r="FZ5884"/>
      <c r="GA5884"/>
      <c r="GB5884"/>
      <c r="GC5884"/>
      <c r="GD5884"/>
      <c r="GE5884"/>
      <c r="GF5884"/>
      <c r="GG5884"/>
      <c r="GH5884"/>
      <c r="GI5884"/>
      <c r="GJ5884"/>
      <c r="GK5884"/>
      <c r="GL5884"/>
      <c r="GM5884"/>
      <c r="GN5884"/>
      <c r="GO5884"/>
    </row>
    <row r="5885" spans="107:197">
      <c r="DC5885"/>
      <c r="FH5885"/>
      <c r="FI5885"/>
      <c r="FJ5885"/>
      <c r="FK5885"/>
      <c r="FL5885"/>
      <c r="FM5885"/>
      <c r="FN5885"/>
      <c r="FO5885"/>
      <c r="FP5885"/>
      <c r="FQ5885"/>
      <c r="FR5885"/>
      <c r="FS5885"/>
      <c r="FT5885"/>
      <c r="FU5885"/>
      <c r="FV5885"/>
      <c r="FW5885"/>
      <c r="FX5885"/>
      <c r="FY5885"/>
      <c r="FZ5885"/>
      <c r="GA5885"/>
      <c r="GB5885"/>
      <c r="GC5885"/>
      <c r="GD5885"/>
      <c r="GE5885"/>
      <c r="GF5885"/>
      <c r="GG5885"/>
      <c r="GH5885"/>
      <c r="GI5885"/>
      <c r="GJ5885"/>
      <c r="GK5885"/>
      <c r="GL5885"/>
      <c r="GM5885"/>
      <c r="GN5885"/>
      <c r="GO5885"/>
    </row>
    <row r="5886" spans="107:197">
      <c r="DC5886"/>
      <c r="FH5886"/>
      <c r="FI5886"/>
      <c r="FJ5886"/>
      <c r="FK5886"/>
      <c r="FL5886"/>
      <c r="FM5886"/>
      <c r="FN5886"/>
      <c r="FO5886"/>
      <c r="FP5886"/>
      <c r="FQ5886"/>
      <c r="FR5886"/>
      <c r="FS5886"/>
      <c r="FT5886"/>
      <c r="FU5886"/>
      <c r="FV5886"/>
      <c r="FW5886"/>
      <c r="FX5886"/>
      <c r="FY5886"/>
      <c r="FZ5886"/>
      <c r="GA5886"/>
      <c r="GB5886"/>
      <c r="GC5886"/>
      <c r="GD5886"/>
      <c r="GE5886"/>
      <c r="GF5886"/>
      <c r="GG5886"/>
      <c r="GH5886"/>
      <c r="GI5886"/>
      <c r="GJ5886"/>
      <c r="GK5886"/>
      <c r="GL5886"/>
      <c r="GM5886"/>
      <c r="GN5886"/>
      <c r="GO5886"/>
    </row>
    <row r="5887" spans="107:197">
      <c r="DC5887"/>
      <c r="FH5887"/>
      <c r="FI5887"/>
      <c r="FJ5887"/>
      <c r="FK5887"/>
      <c r="FL5887"/>
      <c r="FM5887"/>
      <c r="FN5887"/>
      <c r="FO5887"/>
      <c r="FP5887"/>
      <c r="FQ5887"/>
      <c r="FR5887"/>
      <c r="FS5887"/>
      <c r="FT5887"/>
      <c r="FU5887"/>
      <c r="FV5887"/>
      <c r="FW5887"/>
      <c r="FX5887"/>
      <c r="FY5887"/>
      <c r="FZ5887"/>
      <c r="GA5887"/>
      <c r="GB5887"/>
      <c r="GC5887"/>
      <c r="GD5887"/>
      <c r="GE5887"/>
      <c r="GF5887"/>
      <c r="GG5887"/>
      <c r="GH5887"/>
      <c r="GI5887"/>
      <c r="GJ5887"/>
      <c r="GK5887"/>
      <c r="GL5887"/>
      <c r="GM5887"/>
      <c r="GN5887"/>
      <c r="GO5887"/>
    </row>
    <row r="5888" spans="107:197">
      <c r="DC5888"/>
      <c r="FH5888"/>
      <c r="FI5888"/>
      <c r="FJ5888"/>
      <c r="FK5888"/>
      <c r="FL5888"/>
      <c r="FM5888"/>
      <c r="FN5888"/>
      <c r="FO5888"/>
      <c r="FP5888"/>
      <c r="FQ5888"/>
      <c r="FR5888"/>
      <c r="FS5888"/>
      <c r="FT5888"/>
      <c r="FU5888"/>
      <c r="FV5888"/>
      <c r="FW5888"/>
      <c r="FX5888"/>
      <c r="FY5888"/>
      <c r="FZ5888"/>
      <c r="GA5888"/>
      <c r="GB5888"/>
      <c r="GC5888"/>
      <c r="GD5888"/>
      <c r="GE5888"/>
      <c r="GF5888"/>
      <c r="GG5888"/>
      <c r="GH5888"/>
      <c r="GI5888"/>
      <c r="GJ5888"/>
      <c r="GK5888"/>
      <c r="GL5888"/>
      <c r="GM5888"/>
      <c r="GN5888"/>
      <c r="GO5888"/>
    </row>
    <row r="5889" spans="107:197">
      <c r="DC5889"/>
      <c r="FH5889"/>
      <c r="FI5889"/>
      <c r="FJ5889"/>
      <c r="FK5889"/>
      <c r="FL5889"/>
      <c r="FM5889"/>
      <c r="FN5889"/>
      <c r="FO5889"/>
      <c r="FP5889"/>
      <c r="FQ5889"/>
      <c r="FR5889"/>
      <c r="FS5889"/>
      <c r="FT5889"/>
      <c r="FU5889"/>
      <c r="FV5889"/>
      <c r="FW5889"/>
      <c r="FX5889"/>
      <c r="FY5889"/>
      <c r="FZ5889"/>
      <c r="GA5889"/>
      <c r="GB5889"/>
      <c r="GC5889"/>
      <c r="GD5889"/>
      <c r="GE5889"/>
      <c r="GF5889"/>
      <c r="GG5889"/>
      <c r="GH5889"/>
      <c r="GI5889"/>
      <c r="GJ5889"/>
      <c r="GK5889"/>
      <c r="GL5889"/>
      <c r="GM5889"/>
      <c r="GN5889"/>
      <c r="GO5889"/>
    </row>
    <row r="5890" spans="107:197">
      <c r="DC5890"/>
      <c r="FH5890"/>
      <c r="FI5890"/>
      <c r="FJ5890"/>
      <c r="FK5890"/>
      <c r="FL5890"/>
      <c r="FM5890"/>
      <c r="FN5890"/>
      <c r="FO5890"/>
      <c r="FP5890"/>
      <c r="FQ5890"/>
      <c r="FR5890"/>
      <c r="FS5890"/>
      <c r="FT5890"/>
      <c r="FU5890"/>
      <c r="FV5890"/>
      <c r="FW5890"/>
      <c r="FX5890"/>
      <c r="FY5890"/>
      <c r="FZ5890"/>
      <c r="GA5890"/>
      <c r="GB5890"/>
      <c r="GC5890"/>
      <c r="GD5890"/>
      <c r="GE5890"/>
      <c r="GF5890"/>
      <c r="GG5890"/>
      <c r="GH5890"/>
      <c r="GI5890"/>
      <c r="GJ5890"/>
      <c r="GK5890"/>
      <c r="GL5890"/>
      <c r="GM5890"/>
      <c r="GN5890"/>
      <c r="GO5890"/>
    </row>
    <row r="5891" spans="107:197">
      <c r="DC5891"/>
      <c r="FH5891"/>
      <c r="FI5891"/>
      <c r="FJ5891"/>
      <c r="FK5891"/>
      <c r="FL5891"/>
      <c r="FM5891"/>
      <c r="FN5891"/>
      <c r="FO5891"/>
      <c r="FP5891"/>
      <c r="FQ5891"/>
      <c r="FR5891"/>
      <c r="FS5891"/>
      <c r="FT5891"/>
      <c r="FU5891"/>
      <c r="FV5891"/>
      <c r="FW5891"/>
      <c r="FX5891"/>
      <c r="FY5891"/>
      <c r="FZ5891"/>
      <c r="GA5891"/>
      <c r="GB5891"/>
      <c r="GC5891"/>
      <c r="GD5891"/>
      <c r="GE5891"/>
      <c r="GF5891"/>
      <c r="GG5891"/>
      <c r="GH5891"/>
      <c r="GI5891"/>
      <c r="GJ5891"/>
      <c r="GK5891"/>
      <c r="GL5891"/>
      <c r="GM5891"/>
      <c r="GN5891"/>
      <c r="GO5891"/>
    </row>
    <row r="5892" spans="107:197">
      <c r="DC5892"/>
      <c r="FH5892"/>
      <c r="FI5892"/>
      <c r="FJ5892"/>
      <c r="FK5892"/>
      <c r="FL5892"/>
      <c r="FM5892"/>
      <c r="FN5892"/>
      <c r="FO5892"/>
      <c r="FP5892"/>
      <c r="FQ5892"/>
      <c r="FR5892"/>
      <c r="FS5892"/>
      <c r="FT5892"/>
      <c r="FU5892"/>
      <c r="FV5892"/>
      <c r="FW5892"/>
      <c r="FX5892"/>
      <c r="FY5892"/>
      <c r="FZ5892"/>
      <c r="GA5892"/>
      <c r="GB5892"/>
      <c r="GC5892"/>
      <c r="GD5892"/>
      <c r="GE5892"/>
      <c r="GF5892"/>
      <c r="GG5892"/>
      <c r="GH5892"/>
      <c r="GI5892"/>
      <c r="GJ5892"/>
      <c r="GK5892"/>
      <c r="GL5892"/>
      <c r="GM5892"/>
      <c r="GN5892"/>
      <c r="GO5892"/>
    </row>
    <row r="5893" spans="107:197">
      <c r="DC5893"/>
      <c r="FH5893"/>
      <c r="FI5893"/>
      <c r="FJ5893"/>
      <c r="FK5893"/>
      <c r="FL5893"/>
      <c r="FM5893"/>
      <c r="FN5893"/>
      <c r="FO5893"/>
      <c r="FP5893"/>
      <c r="FQ5893"/>
      <c r="FR5893"/>
      <c r="FS5893"/>
      <c r="FT5893"/>
      <c r="FU5893"/>
      <c r="FV5893"/>
      <c r="FW5893"/>
      <c r="FX5893"/>
      <c r="FY5893"/>
      <c r="FZ5893"/>
      <c r="GA5893"/>
      <c r="GB5893"/>
      <c r="GC5893"/>
      <c r="GD5893"/>
      <c r="GE5893"/>
      <c r="GF5893"/>
      <c r="GG5893"/>
      <c r="GH5893"/>
      <c r="GI5893"/>
      <c r="GJ5893"/>
      <c r="GK5893"/>
      <c r="GL5893"/>
      <c r="GM5893"/>
      <c r="GN5893"/>
      <c r="GO5893"/>
    </row>
    <row r="5894" spans="107:197">
      <c r="DC5894"/>
      <c r="FH5894"/>
      <c r="FI5894"/>
      <c r="FJ5894"/>
      <c r="FK5894"/>
      <c r="FL5894"/>
      <c r="FM5894"/>
      <c r="FN5894"/>
      <c r="FO5894"/>
      <c r="FP5894"/>
      <c r="FQ5894"/>
      <c r="FR5894"/>
      <c r="FS5894"/>
      <c r="FT5894"/>
      <c r="FU5894"/>
      <c r="FV5894"/>
      <c r="FW5894"/>
      <c r="FX5894"/>
      <c r="FY5894"/>
      <c r="FZ5894"/>
      <c r="GA5894"/>
      <c r="GB5894"/>
      <c r="GC5894"/>
      <c r="GD5894"/>
      <c r="GE5894"/>
      <c r="GF5894"/>
      <c r="GG5894"/>
      <c r="GH5894"/>
      <c r="GI5894"/>
      <c r="GJ5894"/>
      <c r="GK5894"/>
      <c r="GL5894"/>
      <c r="GM5894"/>
      <c r="GN5894"/>
      <c r="GO5894"/>
    </row>
    <row r="5895" spans="107:197">
      <c r="DC5895"/>
      <c r="FH5895"/>
      <c r="FI5895"/>
      <c r="FJ5895"/>
      <c r="FK5895"/>
      <c r="FL5895"/>
      <c r="FM5895"/>
      <c r="FN5895"/>
      <c r="FO5895"/>
      <c r="FP5895"/>
      <c r="FQ5895"/>
      <c r="FR5895"/>
      <c r="FS5895"/>
      <c r="FT5895"/>
      <c r="FU5895"/>
      <c r="FV5895"/>
      <c r="FW5895"/>
      <c r="FX5895"/>
      <c r="FY5895"/>
      <c r="FZ5895"/>
      <c r="GA5895"/>
      <c r="GB5895"/>
      <c r="GC5895"/>
      <c r="GD5895"/>
      <c r="GE5895"/>
      <c r="GF5895"/>
      <c r="GG5895"/>
      <c r="GH5895"/>
      <c r="GI5895"/>
      <c r="GJ5895"/>
      <c r="GK5895"/>
      <c r="GL5895"/>
      <c r="GM5895"/>
      <c r="GN5895"/>
      <c r="GO5895"/>
    </row>
    <row r="5896" spans="107:197">
      <c r="DC5896"/>
      <c r="FH5896"/>
      <c r="FI5896"/>
      <c r="FJ5896"/>
      <c r="FK5896"/>
      <c r="FL5896"/>
      <c r="FM5896"/>
      <c r="FN5896"/>
      <c r="FO5896"/>
      <c r="FP5896"/>
      <c r="FQ5896"/>
      <c r="FR5896"/>
      <c r="FS5896"/>
      <c r="FT5896"/>
      <c r="FU5896"/>
      <c r="FV5896"/>
      <c r="FW5896"/>
      <c r="FX5896"/>
      <c r="FY5896"/>
      <c r="FZ5896"/>
      <c r="GA5896"/>
      <c r="GB5896"/>
      <c r="GC5896"/>
      <c r="GD5896"/>
      <c r="GE5896"/>
      <c r="GF5896"/>
      <c r="GG5896"/>
      <c r="GH5896"/>
      <c r="GI5896"/>
      <c r="GJ5896"/>
      <c r="GK5896"/>
      <c r="GL5896"/>
      <c r="GM5896"/>
      <c r="GN5896"/>
      <c r="GO5896"/>
    </row>
    <row r="5897" spans="107:197">
      <c r="DC5897"/>
      <c r="FH5897"/>
      <c r="FI5897"/>
      <c r="FJ5897"/>
      <c r="FK5897"/>
      <c r="FL5897"/>
      <c r="FM5897"/>
      <c r="FN5897"/>
      <c r="FO5897"/>
      <c r="FP5897"/>
      <c r="FQ5897"/>
      <c r="FR5897"/>
      <c r="FS5897"/>
      <c r="FT5897"/>
      <c r="FU5897"/>
      <c r="FV5897"/>
      <c r="FW5897"/>
      <c r="FX5897"/>
      <c r="FY5897"/>
      <c r="FZ5897"/>
      <c r="GA5897"/>
      <c r="GB5897"/>
      <c r="GC5897"/>
      <c r="GD5897"/>
      <c r="GE5897"/>
      <c r="GF5897"/>
      <c r="GG5897"/>
      <c r="GH5897"/>
      <c r="GI5897"/>
      <c r="GJ5897"/>
      <c r="GK5897"/>
      <c r="GL5897"/>
      <c r="GM5897"/>
      <c r="GN5897"/>
      <c r="GO5897"/>
    </row>
    <row r="5898" spans="107:197">
      <c r="DC5898"/>
      <c r="FH5898"/>
      <c r="FI5898"/>
      <c r="FJ5898"/>
      <c r="FK5898"/>
      <c r="FL5898"/>
      <c r="FM5898"/>
      <c r="FN5898"/>
      <c r="FO5898"/>
      <c r="FP5898"/>
      <c r="FQ5898"/>
      <c r="FR5898"/>
      <c r="FS5898"/>
      <c r="FT5898"/>
      <c r="FU5898"/>
      <c r="FV5898"/>
      <c r="FW5898"/>
      <c r="FX5898"/>
      <c r="FY5898"/>
      <c r="FZ5898"/>
      <c r="GA5898"/>
      <c r="GB5898"/>
      <c r="GC5898"/>
      <c r="GD5898"/>
      <c r="GE5898"/>
      <c r="GF5898"/>
      <c r="GG5898"/>
      <c r="GH5898"/>
      <c r="GI5898"/>
      <c r="GJ5898"/>
      <c r="GK5898"/>
      <c r="GL5898"/>
      <c r="GM5898"/>
      <c r="GN5898"/>
      <c r="GO5898"/>
    </row>
    <row r="5899" spans="107:197">
      <c r="DC5899"/>
      <c r="FH5899"/>
      <c r="FI5899"/>
      <c r="FJ5899"/>
      <c r="FK5899"/>
      <c r="FL5899"/>
      <c r="FM5899"/>
      <c r="FN5899"/>
      <c r="FO5899"/>
      <c r="FP5899"/>
      <c r="FQ5899"/>
      <c r="FR5899"/>
      <c r="FS5899"/>
      <c r="FT5899"/>
      <c r="FU5899"/>
      <c r="FV5899"/>
      <c r="FW5899"/>
      <c r="FX5899"/>
      <c r="FY5899"/>
      <c r="FZ5899"/>
      <c r="GA5899"/>
      <c r="GB5899"/>
      <c r="GC5899"/>
      <c r="GD5899"/>
      <c r="GE5899"/>
      <c r="GF5899"/>
      <c r="GG5899"/>
      <c r="GH5899"/>
      <c r="GI5899"/>
      <c r="GJ5899"/>
      <c r="GK5899"/>
      <c r="GL5899"/>
      <c r="GM5899"/>
      <c r="GN5899"/>
      <c r="GO5899"/>
    </row>
    <row r="5900" spans="107:197">
      <c r="DC5900"/>
      <c r="FH5900"/>
      <c r="FI5900"/>
      <c r="FJ5900"/>
      <c r="FK5900"/>
      <c r="FL5900"/>
      <c r="FM5900"/>
      <c r="FN5900"/>
      <c r="FO5900"/>
      <c r="FP5900"/>
      <c r="FQ5900"/>
      <c r="FR5900"/>
      <c r="FS5900"/>
      <c r="FT5900"/>
      <c r="FU5900"/>
      <c r="FV5900"/>
      <c r="FW5900"/>
      <c r="FX5900"/>
      <c r="FY5900"/>
      <c r="FZ5900"/>
      <c r="GA5900"/>
      <c r="GB5900"/>
      <c r="GC5900"/>
      <c r="GD5900"/>
      <c r="GE5900"/>
      <c r="GF5900"/>
      <c r="GG5900"/>
      <c r="GH5900"/>
      <c r="GI5900"/>
      <c r="GJ5900"/>
      <c r="GK5900"/>
      <c r="GL5900"/>
      <c r="GM5900"/>
      <c r="GN5900"/>
      <c r="GO5900"/>
    </row>
    <row r="5901" spans="107:197">
      <c r="DC5901"/>
      <c r="FH5901"/>
      <c r="FI5901"/>
      <c r="FJ5901"/>
      <c r="FK5901"/>
      <c r="FL5901"/>
      <c r="FM5901"/>
      <c r="FN5901"/>
      <c r="FO5901"/>
      <c r="FP5901"/>
      <c r="FQ5901"/>
      <c r="FR5901"/>
      <c r="FS5901"/>
      <c r="FT5901"/>
      <c r="FU5901"/>
      <c r="FV5901"/>
      <c r="FW5901"/>
      <c r="FX5901"/>
      <c r="FY5901"/>
      <c r="FZ5901"/>
      <c r="GA5901"/>
      <c r="GB5901"/>
      <c r="GC5901"/>
      <c r="GD5901"/>
      <c r="GE5901"/>
      <c r="GF5901"/>
      <c r="GG5901"/>
      <c r="GH5901"/>
      <c r="GI5901"/>
      <c r="GJ5901"/>
      <c r="GK5901"/>
      <c r="GL5901"/>
      <c r="GM5901"/>
      <c r="GN5901"/>
      <c r="GO5901"/>
    </row>
    <row r="5902" spans="107:197">
      <c r="DC5902"/>
      <c r="FH5902"/>
      <c r="FI5902"/>
      <c r="FJ5902"/>
      <c r="FK5902"/>
      <c r="FL5902"/>
      <c r="FM5902"/>
      <c r="FN5902"/>
      <c r="FO5902"/>
      <c r="FP5902"/>
      <c r="FQ5902"/>
      <c r="FR5902"/>
      <c r="FS5902"/>
      <c r="FT5902"/>
      <c r="FU5902"/>
      <c r="FV5902"/>
      <c r="FW5902"/>
      <c r="FX5902"/>
      <c r="FY5902"/>
      <c r="FZ5902"/>
      <c r="GA5902"/>
      <c r="GB5902"/>
      <c r="GC5902"/>
      <c r="GD5902"/>
      <c r="GE5902"/>
      <c r="GF5902"/>
      <c r="GG5902"/>
      <c r="GH5902"/>
      <c r="GI5902"/>
      <c r="GJ5902"/>
      <c r="GK5902"/>
      <c r="GL5902"/>
      <c r="GM5902"/>
      <c r="GN5902"/>
      <c r="GO5902"/>
    </row>
    <row r="5903" spans="107:197">
      <c r="DC5903"/>
      <c r="FH5903"/>
      <c r="FI5903"/>
      <c r="FJ5903"/>
      <c r="FK5903"/>
      <c r="FL5903"/>
      <c r="FM5903"/>
      <c r="FN5903"/>
      <c r="FO5903"/>
      <c r="FP5903"/>
      <c r="FQ5903"/>
      <c r="FR5903"/>
      <c r="FS5903"/>
      <c r="FT5903"/>
      <c r="FU5903"/>
      <c r="FV5903"/>
      <c r="FW5903"/>
      <c r="FX5903"/>
      <c r="FY5903"/>
      <c r="FZ5903"/>
      <c r="GA5903"/>
      <c r="GB5903"/>
      <c r="GC5903"/>
      <c r="GD5903"/>
      <c r="GE5903"/>
      <c r="GF5903"/>
      <c r="GG5903"/>
      <c r="GH5903"/>
      <c r="GI5903"/>
      <c r="GJ5903"/>
      <c r="GK5903"/>
      <c r="GL5903"/>
      <c r="GM5903"/>
      <c r="GN5903"/>
      <c r="GO5903"/>
    </row>
    <row r="5904" spans="107:197">
      <c r="DC5904"/>
      <c r="FH5904"/>
      <c r="FI5904"/>
      <c r="FJ5904"/>
      <c r="FK5904"/>
      <c r="FL5904"/>
      <c r="FM5904"/>
      <c r="FN5904"/>
      <c r="FO5904"/>
      <c r="FP5904"/>
      <c r="FQ5904"/>
      <c r="FR5904"/>
      <c r="FS5904"/>
      <c r="FT5904"/>
      <c r="FU5904"/>
      <c r="FV5904"/>
      <c r="FW5904"/>
      <c r="FX5904"/>
      <c r="FY5904"/>
      <c r="FZ5904"/>
      <c r="GA5904"/>
      <c r="GB5904"/>
      <c r="GC5904"/>
      <c r="GD5904"/>
      <c r="GE5904"/>
      <c r="GF5904"/>
      <c r="GG5904"/>
      <c r="GH5904"/>
      <c r="GI5904"/>
      <c r="GJ5904"/>
      <c r="GK5904"/>
      <c r="GL5904"/>
      <c r="GM5904"/>
      <c r="GN5904"/>
      <c r="GO5904"/>
    </row>
    <row r="5905" spans="107:197">
      <c r="DC5905"/>
      <c r="FH5905"/>
      <c r="FI5905"/>
      <c r="FJ5905"/>
      <c r="FK5905"/>
      <c r="FL5905"/>
      <c r="FM5905"/>
      <c r="FN5905"/>
      <c r="FO5905"/>
      <c r="FP5905"/>
      <c r="FQ5905"/>
      <c r="FR5905"/>
      <c r="FS5905"/>
      <c r="FT5905"/>
      <c r="FU5905"/>
      <c r="FV5905"/>
      <c r="FW5905"/>
      <c r="FX5905"/>
      <c r="FY5905"/>
      <c r="FZ5905"/>
      <c r="GA5905"/>
      <c r="GB5905"/>
      <c r="GC5905"/>
      <c r="GD5905"/>
      <c r="GE5905"/>
      <c r="GF5905"/>
      <c r="GG5905"/>
      <c r="GH5905"/>
      <c r="GI5905"/>
      <c r="GJ5905"/>
      <c r="GK5905"/>
      <c r="GL5905"/>
      <c r="GM5905"/>
      <c r="GN5905"/>
      <c r="GO5905"/>
    </row>
    <row r="5906" spans="107:197">
      <c r="DC5906"/>
      <c r="FH5906"/>
      <c r="FI5906"/>
      <c r="FJ5906"/>
      <c r="FK5906"/>
      <c r="FL5906"/>
      <c r="FM5906"/>
      <c r="FN5906"/>
      <c r="FO5906"/>
      <c r="FP5906"/>
      <c r="FQ5906"/>
      <c r="FR5906"/>
      <c r="FS5906"/>
      <c r="FT5906"/>
      <c r="FU5906"/>
      <c r="FV5906"/>
      <c r="FW5906"/>
      <c r="FX5906"/>
      <c r="FY5906"/>
      <c r="FZ5906"/>
      <c r="GA5906"/>
      <c r="GB5906"/>
      <c r="GC5906"/>
      <c r="GD5906"/>
      <c r="GE5906"/>
      <c r="GF5906"/>
      <c r="GG5906"/>
      <c r="GH5906"/>
      <c r="GI5906"/>
      <c r="GJ5906"/>
      <c r="GK5906"/>
      <c r="GL5906"/>
      <c r="GM5906"/>
      <c r="GN5906"/>
      <c r="GO5906"/>
    </row>
    <row r="5907" spans="107:197">
      <c r="DC5907"/>
      <c r="FH5907"/>
      <c r="FI5907"/>
      <c r="FJ5907"/>
      <c r="FK5907"/>
      <c r="FL5907"/>
      <c r="FM5907"/>
      <c r="FN5907"/>
      <c r="FO5907"/>
      <c r="FP5907"/>
      <c r="FQ5907"/>
      <c r="FR5907"/>
      <c r="FS5907"/>
      <c r="FT5907"/>
      <c r="FU5907"/>
      <c r="FV5907"/>
      <c r="FW5907"/>
      <c r="FX5907"/>
      <c r="FY5907"/>
      <c r="FZ5907"/>
      <c r="GA5907"/>
      <c r="GB5907"/>
      <c r="GC5907"/>
      <c r="GD5907"/>
      <c r="GE5907"/>
      <c r="GF5907"/>
      <c r="GG5907"/>
      <c r="GH5907"/>
      <c r="GI5907"/>
      <c r="GJ5907"/>
      <c r="GK5907"/>
      <c r="GL5907"/>
      <c r="GM5907"/>
      <c r="GN5907"/>
      <c r="GO5907"/>
    </row>
    <row r="5908" spans="107:197">
      <c r="DC5908"/>
      <c r="FH5908"/>
      <c r="FI5908"/>
      <c r="FJ5908"/>
      <c r="FK5908"/>
      <c r="FL5908"/>
      <c r="FM5908"/>
      <c r="FN5908"/>
      <c r="FO5908"/>
      <c r="FP5908"/>
      <c r="FQ5908"/>
      <c r="FR5908"/>
      <c r="FS5908"/>
      <c r="FT5908"/>
      <c r="FU5908"/>
      <c r="FV5908"/>
      <c r="FW5908"/>
      <c r="FX5908"/>
      <c r="FY5908"/>
      <c r="FZ5908"/>
      <c r="GA5908"/>
      <c r="GB5908"/>
      <c r="GC5908"/>
      <c r="GD5908"/>
      <c r="GE5908"/>
      <c r="GF5908"/>
      <c r="GG5908"/>
      <c r="GH5908"/>
      <c r="GI5908"/>
      <c r="GJ5908"/>
      <c r="GK5908"/>
      <c r="GL5908"/>
      <c r="GM5908"/>
      <c r="GN5908"/>
      <c r="GO5908"/>
    </row>
    <row r="5909" spans="107:197">
      <c r="DC5909"/>
      <c r="FH5909"/>
      <c r="FI5909"/>
      <c r="FJ5909"/>
      <c r="FK5909"/>
      <c r="FL5909"/>
      <c r="FM5909"/>
      <c r="FN5909"/>
      <c r="FO5909"/>
      <c r="FP5909"/>
      <c r="FQ5909"/>
      <c r="FR5909"/>
      <c r="FS5909"/>
      <c r="FT5909"/>
      <c r="FU5909"/>
      <c r="FV5909"/>
      <c r="FW5909"/>
      <c r="FX5909"/>
      <c r="FY5909"/>
      <c r="FZ5909"/>
      <c r="GA5909"/>
      <c r="GB5909"/>
      <c r="GC5909"/>
      <c r="GD5909"/>
      <c r="GE5909"/>
      <c r="GF5909"/>
      <c r="GG5909"/>
      <c r="GH5909"/>
      <c r="GI5909"/>
      <c r="GJ5909"/>
      <c r="GK5909"/>
      <c r="GL5909"/>
      <c r="GM5909"/>
      <c r="GN5909"/>
      <c r="GO5909"/>
    </row>
    <row r="5910" spans="107:197">
      <c r="DC5910"/>
      <c r="FH5910"/>
      <c r="FI5910"/>
      <c r="FJ5910"/>
      <c r="FK5910"/>
      <c r="FL5910"/>
      <c r="FM5910"/>
      <c r="FN5910"/>
      <c r="FO5910"/>
      <c r="FP5910"/>
      <c r="FQ5910"/>
      <c r="FR5910"/>
      <c r="FS5910"/>
      <c r="FT5910"/>
      <c r="FU5910"/>
      <c r="FV5910"/>
      <c r="FW5910"/>
      <c r="FX5910"/>
      <c r="FY5910"/>
      <c r="FZ5910"/>
      <c r="GA5910"/>
      <c r="GB5910"/>
      <c r="GC5910"/>
      <c r="GD5910"/>
      <c r="GE5910"/>
      <c r="GF5910"/>
      <c r="GG5910"/>
      <c r="GH5910"/>
      <c r="GI5910"/>
      <c r="GJ5910"/>
      <c r="GK5910"/>
      <c r="GL5910"/>
      <c r="GM5910"/>
      <c r="GN5910"/>
      <c r="GO5910"/>
    </row>
    <row r="5911" spans="107:197">
      <c r="DC5911"/>
      <c r="FH5911"/>
      <c r="FI5911"/>
      <c r="FJ5911"/>
      <c r="FK5911"/>
      <c r="FL5911"/>
      <c r="FM5911"/>
      <c r="FN5911"/>
      <c r="FO5911"/>
      <c r="FP5911"/>
      <c r="FQ5911"/>
      <c r="FR5911"/>
      <c r="FS5911"/>
      <c r="FT5911"/>
      <c r="FU5911"/>
      <c r="FV5911"/>
      <c r="FW5911"/>
      <c r="FX5911"/>
      <c r="FY5911"/>
      <c r="FZ5911"/>
      <c r="GA5911"/>
      <c r="GB5911"/>
      <c r="GC5911"/>
      <c r="GD5911"/>
      <c r="GE5911"/>
      <c r="GF5911"/>
      <c r="GG5911"/>
      <c r="GH5911"/>
      <c r="GI5911"/>
      <c r="GJ5911"/>
      <c r="GK5911"/>
      <c r="GL5911"/>
      <c r="GM5911"/>
      <c r="GN5911"/>
      <c r="GO5911"/>
    </row>
    <row r="5912" spans="107:197">
      <c r="DC5912"/>
      <c r="FH5912"/>
      <c r="FI5912"/>
      <c r="FJ5912"/>
      <c r="FK5912"/>
      <c r="FL5912"/>
      <c r="FM5912"/>
      <c r="FN5912"/>
      <c r="FO5912"/>
      <c r="FP5912"/>
      <c r="FQ5912"/>
      <c r="FR5912"/>
      <c r="FS5912"/>
      <c r="FT5912"/>
      <c r="FU5912"/>
      <c r="FV5912"/>
      <c r="FW5912"/>
      <c r="FX5912"/>
      <c r="FY5912"/>
      <c r="FZ5912"/>
      <c r="GA5912"/>
      <c r="GB5912"/>
      <c r="GC5912"/>
      <c r="GD5912"/>
      <c r="GE5912"/>
      <c r="GF5912"/>
      <c r="GG5912"/>
      <c r="GH5912"/>
      <c r="GI5912"/>
      <c r="GJ5912"/>
      <c r="GK5912"/>
      <c r="GL5912"/>
      <c r="GM5912"/>
      <c r="GN5912"/>
      <c r="GO5912"/>
    </row>
    <row r="5913" spans="107:197">
      <c r="DC5913"/>
      <c r="FH5913"/>
      <c r="FI5913"/>
      <c r="FJ5913"/>
      <c r="FK5913"/>
      <c r="FL5913"/>
      <c r="FM5913"/>
      <c r="FN5913"/>
      <c r="FO5913"/>
      <c r="FP5913"/>
      <c r="FQ5913"/>
      <c r="FR5913"/>
      <c r="FS5913"/>
      <c r="FT5913"/>
      <c r="FU5913"/>
      <c r="FV5913"/>
      <c r="FW5913"/>
      <c r="FX5913"/>
      <c r="FY5913"/>
      <c r="FZ5913"/>
      <c r="GA5913"/>
      <c r="GB5913"/>
      <c r="GC5913"/>
      <c r="GD5913"/>
      <c r="GE5913"/>
      <c r="GF5913"/>
      <c r="GG5913"/>
      <c r="GH5913"/>
      <c r="GI5913"/>
      <c r="GJ5913"/>
      <c r="GK5913"/>
      <c r="GL5913"/>
      <c r="GM5913"/>
      <c r="GN5913"/>
      <c r="GO5913"/>
    </row>
    <row r="5914" spans="107:197">
      <c r="DC5914"/>
      <c r="FH5914"/>
      <c r="FI5914"/>
      <c r="FJ5914"/>
      <c r="FK5914"/>
      <c r="FL5914"/>
      <c r="FM5914"/>
      <c r="FN5914"/>
      <c r="FO5914"/>
      <c r="FP5914"/>
      <c r="FQ5914"/>
      <c r="FR5914"/>
      <c r="FS5914"/>
      <c r="FT5914"/>
      <c r="FU5914"/>
      <c r="FV5914"/>
      <c r="FW5914"/>
      <c r="FX5914"/>
      <c r="FY5914"/>
      <c r="FZ5914"/>
      <c r="GA5914"/>
      <c r="GB5914"/>
      <c r="GC5914"/>
      <c r="GD5914"/>
      <c r="GE5914"/>
      <c r="GF5914"/>
      <c r="GG5914"/>
      <c r="GH5914"/>
      <c r="GI5914"/>
      <c r="GJ5914"/>
      <c r="GK5914"/>
      <c r="GL5914"/>
      <c r="GM5914"/>
      <c r="GN5914"/>
      <c r="GO5914"/>
    </row>
    <row r="5915" spans="107:197">
      <c r="DC5915"/>
      <c r="FH5915"/>
      <c r="FI5915"/>
      <c r="FJ5915"/>
      <c r="FK5915"/>
      <c r="FL5915"/>
      <c r="FM5915"/>
      <c r="FN5915"/>
      <c r="FO5915"/>
      <c r="FP5915"/>
      <c r="FQ5915"/>
      <c r="FR5915"/>
      <c r="FS5915"/>
      <c r="FT5915"/>
      <c r="FU5915"/>
      <c r="FV5915"/>
      <c r="FW5915"/>
      <c r="FX5915"/>
      <c r="FY5915"/>
      <c r="FZ5915"/>
      <c r="GA5915"/>
      <c r="GB5915"/>
      <c r="GC5915"/>
      <c r="GD5915"/>
      <c r="GE5915"/>
      <c r="GF5915"/>
      <c r="GG5915"/>
      <c r="GH5915"/>
      <c r="GI5915"/>
      <c r="GJ5915"/>
      <c r="GK5915"/>
      <c r="GL5915"/>
      <c r="GM5915"/>
      <c r="GN5915"/>
      <c r="GO5915"/>
    </row>
    <row r="5916" spans="107:197">
      <c r="DC5916"/>
      <c r="FH5916"/>
      <c r="FI5916"/>
      <c r="FJ5916"/>
      <c r="FK5916"/>
      <c r="FL5916"/>
      <c r="FM5916"/>
      <c r="FN5916"/>
      <c r="FO5916"/>
      <c r="FP5916"/>
      <c r="FQ5916"/>
      <c r="FR5916"/>
      <c r="FS5916"/>
      <c r="FT5916"/>
      <c r="FU5916"/>
      <c r="FV5916"/>
      <c r="FW5916"/>
      <c r="FX5916"/>
      <c r="FY5916"/>
      <c r="FZ5916"/>
      <c r="GA5916"/>
      <c r="GB5916"/>
      <c r="GC5916"/>
      <c r="GD5916"/>
      <c r="GE5916"/>
      <c r="GF5916"/>
      <c r="GG5916"/>
      <c r="GH5916"/>
      <c r="GI5916"/>
      <c r="GJ5916"/>
      <c r="GK5916"/>
      <c r="GL5916"/>
      <c r="GM5916"/>
      <c r="GN5916"/>
      <c r="GO5916"/>
    </row>
    <row r="5917" spans="107:197">
      <c r="DC5917"/>
      <c r="FH5917"/>
      <c r="FI5917"/>
      <c r="FJ5917"/>
      <c r="FK5917"/>
      <c r="FL5917"/>
      <c r="FM5917"/>
      <c r="FN5917"/>
      <c r="FO5917"/>
      <c r="FP5917"/>
      <c r="FQ5917"/>
      <c r="FR5917"/>
      <c r="FS5917"/>
      <c r="FT5917"/>
      <c r="FU5917"/>
      <c r="FV5917"/>
      <c r="FW5917"/>
      <c r="FX5917"/>
      <c r="FY5917"/>
      <c r="FZ5917"/>
      <c r="GA5917"/>
      <c r="GB5917"/>
      <c r="GC5917"/>
      <c r="GD5917"/>
      <c r="GE5917"/>
      <c r="GF5917"/>
      <c r="GG5917"/>
      <c r="GH5917"/>
      <c r="GI5917"/>
      <c r="GJ5917"/>
      <c r="GK5917"/>
      <c r="GL5917"/>
      <c r="GM5917"/>
      <c r="GN5917"/>
      <c r="GO5917"/>
    </row>
    <row r="5918" spans="107:197">
      <c r="DC5918"/>
      <c r="FH5918"/>
      <c r="FI5918"/>
      <c r="FJ5918"/>
      <c r="FK5918"/>
      <c r="FL5918"/>
      <c r="FM5918"/>
      <c r="FN5918"/>
      <c r="FO5918"/>
      <c r="FP5918"/>
      <c r="FQ5918"/>
      <c r="FR5918"/>
      <c r="FS5918"/>
      <c r="FT5918"/>
      <c r="FU5918"/>
      <c r="FV5918"/>
      <c r="FW5918"/>
      <c r="FX5918"/>
      <c r="FY5918"/>
      <c r="FZ5918"/>
      <c r="GA5918"/>
      <c r="GB5918"/>
      <c r="GC5918"/>
      <c r="GD5918"/>
      <c r="GE5918"/>
      <c r="GF5918"/>
      <c r="GG5918"/>
      <c r="GH5918"/>
      <c r="GI5918"/>
      <c r="GJ5918"/>
      <c r="GK5918"/>
      <c r="GL5918"/>
      <c r="GM5918"/>
      <c r="GN5918"/>
      <c r="GO5918"/>
    </row>
    <row r="5919" spans="107:197">
      <c r="DC5919"/>
      <c r="FH5919"/>
      <c r="FI5919"/>
      <c r="FJ5919"/>
      <c r="FK5919"/>
      <c r="FL5919"/>
      <c r="FM5919"/>
      <c r="FN5919"/>
      <c r="FO5919"/>
      <c r="FP5919"/>
      <c r="FQ5919"/>
      <c r="FR5919"/>
      <c r="FS5919"/>
      <c r="FT5919"/>
      <c r="FU5919"/>
      <c r="FV5919"/>
      <c r="FW5919"/>
      <c r="FX5919"/>
      <c r="FY5919"/>
      <c r="FZ5919"/>
      <c r="GA5919"/>
      <c r="GB5919"/>
      <c r="GC5919"/>
      <c r="GD5919"/>
      <c r="GE5919"/>
      <c r="GF5919"/>
      <c r="GG5919"/>
      <c r="GH5919"/>
      <c r="GI5919"/>
      <c r="GJ5919"/>
      <c r="GK5919"/>
      <c r="GL5919"/>
      <c r="GM5919"/>
      <c r="GN5919"/>
      <c r="GO5919"/>
    </row>
    <row r="5920" spans="107:197">
      <c r="DC5920"/>
      <c r="FH5920"/>
      <c r="FI5920"/>
      <c r="FJ5920"/>
      <c r="FK5920"/>
      <c r="FL5920"/>
      <c r="FM5920"/>
      <c r="FN5920"/>
      <c r="FO5920"/>
      <c r="FP5920"/>
      <c r="FQ5920"/>
      <c r="FR5920"/>
      <c r="FS5920"/>
      <c r="FT5920"/>
      <c r="FU5920"/>
      <c r="FV5920"/>
      <c r="FW5920"/>
      <c r="FX5920"/>
      <c r="FY5920"/>
      <c r="FZ5920"/>
      <c r="GA5920"/>
      <c r="GB5920"/>
      <c r="GC5920"/>
      <c r="GD5920"/>
      <c r="GE5920"/>
      <c r="GF5920"/>
      <c r="GG5920"/>
      <c r="GH5920"/>
      <c r="GI5920"/>
      <c r="GJ5920"/>
      <c r="GK5920"/>
      <c r="GL5920"/>
      <c r="GM5920"/>
      <c r="GN5920"/>
      <c r="GO5920"/>
    </row>
    <row r="5921" spans="107:197">
      <c r="DC5921"/>
      <c r="FH5921"/>
      <c r="FI5921"/>
      <c r="FJ5921"/>
      <c r="FK5921"/>
      <c r="FL5921"/>
      <c r="FM5921"/>
      <c r="FN5921"/>
      <c r="FO5921"/>
      <c r="FP5921"/>
      <c r="FQ5921"/>
      <c r="FR5921"/>
      <c r="FS5921"/>
      <c r="FT5921"/>
      <c r="FU5921"/>
      <c r="FV5921"/>
      <c r="FW5921"/>
      <c r="FX5921"/>
      <c r="FY5921"/>
      <c r="FZ5921"/>
      <c r="GA5921"/>
      <c r="GB5921"/>
      <c r="GC5921"/>
      <c r="GD5921"/>
      <c r="GE5921"/>
      <c r="GF5921"/>
      <c r="GG5921"/>
      <c r="GH5921"/>
      <c r="GI5921"/>
      <c r="GJ5921"/>
      <c r="GK5921"/>
      <c r="GL5921"/>
      <c r="GM5921"/>
      <c r="GN5921"/>
      <c r="GO5921"/>
    </row>
    <row r="5922" spans="107:197">
      <c r="DC5922"/>
      <c r="FH5922"/>
      <c r="FI5922"/>
      <c r="FJ5922"/>
      <c r="FK5922"/>
      <c r="FL5922"/>
      <c r="FM5922"/>
      <c r="FN5922"/>
      <c r="FO5922"/>
      <c r="FP5922"/>
      <c r="FQ5922"/>
      <c r="FR5922"/>
      <c r="FS5922"/>
      <c r="FT5922"/>
      <c r="FU5922"/>
      <c r="FV5922"/>
      <c r="FW5922"/>
      <c r="FX5922"/>
      <c r="FY5922"/>
      <c r="FZ5922"/>
      <c r="GA5922"/>
      <c r="GB5922"/>
      <c r="GC5922"/>
      <c r="GD5922"/>
      <c r="GE5922"/>
      <c r="GF5922"/>
      <c r="GG5922"/>
      <c r="GH5922"/>
      <c r="GI5922"/>
      <c r="GJ5922"/>
      <c r="GK5922"/>
      <c r="GL5922"/>
      <c r="GM5922"/>
      <c r="GN5922"/>
      <c r="GO5922"/>
    </row>
    <row r="5923" spans="107:197">
      <c r="DC5923"/>
      <c r="FH5923"/>
      <c r="FI5923"/>
      <c r="FJ5923"/>
      <c r="FK5923"/>
      <c r="FL5923"/>
      <c r="FM5923"/>
      <c r="FN5923"/>
      <c r="FO5923"/>
      <c r="FP5923"/>
      <c r="FQ5923"/>
      <c r="FR5923"/>
      <c r="FS5923"/>
      <c r="FT5923"/>
      <c r="FU5923"/>
      <c r="FV5923"/>
      <c r="FW5923"/>
      <c r="FX5923"/>
      <c r="FY5923"/>
      <c r="FZ5923"/>
      <c r="GA5923"/>
      <c r="GB5923"/>
      <c r="GC5923"/>
      <c r="GD5923"/>
      <c r="GE5923"/>
      <c r="GF5923"/>
      <c r="GG5923"/>
      <c r="GH5923"/>
      <c r="GI5923"/>
      <c r="GJ5923"/>
      <c r="GK5923"/>
      <c r="GL5923"/>
      <c r="GM5923"/>
      <c r="GN5923"/>
      <c r="GO5923"/>
    </row>
    <row r="5924" spans="107:197">
      <c r="DC5924"/>
      <c r="FH5924"/>
      <c r="FI5924"/>
      <c r="FJ5924"/>
      <c r="FK5924"/>
      <c r="FL5924"/>
      <c r="FM5924"/>
      <c r="FN5924"/>
      <c r="FO5924"/>
      <c r="FP5924"/>
      <c r="FQ5924"/>
      <c r="FR5924"/>
      <c r="FS5924"/>
      <c r="FT5924"/>
      <c r="FU5924"/>
      <c r="FV5924"/>
      <c r="FW5924"/>
      <c r="FX5924"/>
      <c r="FY5924"/>
      <c r="FZ5924"/>
      <c r="GA5924"/>
      <c r="GB5924"/>
      <c r="GC5924"/>
      <c r="GD5924"/>
      <c r="GE5924"/>
      <c r="GF5924"/>
      <c r="GG5924"/>
      <c r="GH5924"/>
      <c r="GI5924"/>
      <c r="GJ5924"/>
      <c r="GK5924"/>
      <c r="GL5924"/>
      <c r="GM5924"/>
      <c r="GN5924"/>
      <c r="GO5924"/>
    </row>
    <row r="5925" spans="107:197">
      <c r="DC5925"/>
      <c r="FH5925"/>
      <c r="FI5925"/>
      <c r="FJ5925"/>
      <c r="FK5925"/>
      <c r="FL5925"/>
      <c r="FM5925"/>
      <c r="FN5925"/>
      <c r="FO5925"/>
      <c r="FP5925"/>
      <c r="FQ5925"/>
      <c r="FR5925"/>
      <c r="FS5925"/>
      <c r="FT5925"/>
      <c r="FU5925"/>
      <c r="FV5925"/>
      <c r="FW5925"/>
      <c r="FX5925"/>
      <c r="FY5925"/>
      <c r="FZ5925"/>
      <c r="GA5925"/>
      <c r="GB5925"/>
      <c r="GC5925"/>
      <c r="GD5925"/>
      <c r="GE5925"/>
      <c r="GF5925"/>
      <c r="GG5925"/>
      <c r="GH5925"/>
      <c r="GI5925"/>
      <c r="GJ5925"/>
      <c r="GK5925"/>
      <c r="GL5925"/>
      <c r="GM5925"/>
      <c r="GN5925"/>
      <c r="GO5925"/>
    </row>
    <row r="5926" spans="107:197">
      <c r="DC5926"/>
      <c r="FH5926"/>
      <c r="FI5926"/>
      <c r="FJ5926"/>
      <c r="FK5926"/>
      <c r="FL5926"/>
      <c r="FM5926"/>
      <c r="FN5926"/>
      <c r="FO5926"/>
      <c r="FP5926"/>
      <c r="FQ5926"/>
      <c r="FR5926"/>
      <c r="FS5926"/>
      <c r="FT5926"/>
      <c r="FU5926"/>
      <c r="FV5926"/>
      <c r="FW5926"/>
      <c r="FX5926"/>
      <c r="FY5926"/>
      <c r="FZ5926"/>
      <c r="GA5926"/>
      <c r="GB5926"/>
      <c r="GC5926"/>
      <c r="GD5926"/>
      <c r="GE5926"/>
      <c r="GF5926"/>
      <c r="GG5926"/>
      <c r="GH5926"/>
      <c r="GI5926"/>
      <c r="GJ5926"/>
      <c r="GK5926"/>
      <c r="GL5926"/>
      <c r="GM5926"/>
      <c r="GN5926"/>
      <c r="GO5926"/>
    </row>
    <row r="5927" spans="107:197">
      <c r="DC5927"/>
      <c r="FH5927"/>
      <c r="FI5927"/>
      <c r="FJ5927"/>
      <c r="FK5927"/>
      <c r="FL5927"/>
      <c r="FM5927"/>
      <c r="FN5927"/>
      <c r="FO5927"/>
      <c r="FP5927"/>
      <c r="FQ5927"/>
      <c r="FR5927"/>
      <c r="FS5927"/>
      <c r="FT5927"/>
      <c r="FU5927"/>
      <c r="FV5927"/>
      <c r="FW5927"/>
      <c r="FX5927"/>
      <c r="FY5927"/>
      <c r="FZ5927"/>
      <c r="GA5927"/>
      <c r="GB5927"/>
      <c r="GC5927"/>
      <c r="GD5927"/>
      <c r="GE5927"/>
      <c r="GF5927"/>
      <c r="GG5927"/>
      <c r="GH5927"/>
      <c r="GI5927"/>
      <c r="GJ5927"/>
      <c r="GK5927"/>
      <c r="GL5927"/>
      <c r="GM5927"/>
      <c r="GN5927"/>
      <c r="GO5927"/>
    </row>
    <row r="5928" spans="107:197">
      <c r="DC5928"/>
      <c r="FH5928"/>
      <c r="FI5928"/>
      <c r="FJ5928"/>
      <c r="FK5928"/>
      <c r="FL5928"/>
      <c r="FM5928"/>
      <c r="FN5928"/>
      <c r="FO5928"/>
      <c r="FP5928"/>
      <c r="FQ5928"/>
      <c r="FR5928"/>
      <c r="FS5928"/>
      <c r="FT5928"/>
      <c r="FU5928"/>
      <c r="FV5928"/>
      <c r="FW5928"/>
      <c r="FX5928"/>
      <c r="FY5928"/>
      <c r="FZ5928"/>
      <c r="GA5928"/>
      <c r="GB5928"/>
      <c r="GC5928"/>
      <c r="GD5928"/>
      <c r="GE5928"/>
      <c r="GF5928"/>
      <c r="GG5928"/>
      <c r="GH5928"/>
      <c r="GI5928"/>
      <c r="GJ5928"/>
      <c r="GK5928"/>
      <c r="GL5928"/>
      <c r="GM5928"/>
      <c r="GN5928"/>
      <c r="GO5928"/>
    </row>
    <row r="5929" spans="107:197">
      <c r="DC5929"/>
      <c r="FH5929"/>
      <c r="FI5929"/>
      <c r="FJ5929"/>
      <c r="FK5929"/>
      <c r="FL5929"/>
      <c r="FM5929"/>
      <c r="FN5929"/>
      <c r="FO5929"/>
      <c r="FP5929"/>
      <c r="FQ5929"/>
      <c r="FR5929"/>
      <c r="FS5929"/>
      <c r="FT5929"/>
      <c r="FU5929"/>
      <c r="FV5929"/>
      <c r="FW5929"/>
      <c r="FX5929"/>
      <c r="FY5929"/>
      <c r="FZ5929"/>
      <c r="GA5929"/>
      <c r="GB5929"/>
      <c r="GC5929"/>
      <c r="GD5929"/>
      <c r="GE5929"/>
      <c r="GF5929"/>
      <c r="GG5929"/>
      <c r="GH5929"/>
      <c r="GI5929"/>
      <c r="GJ5929"/>
      <c r="GK5929"/>
      <c r="GL5929"/>
      <c r="GM5929"/>
      <c r="GN5929"/>
      <c r="GO5929"/>
    </row>
    <row r="5930" spans="107:197">
      <c r="DC5930"/>
      <c r="FH5930"/>
      <c r="FI5930"/>
      <c r="FJ5930"/>
      <c r="FK5930"/>
      <c r="FL5930"/>
      <c r="FM5930"/>
      <c r="FN5930"/>
      <c r="FO5930"/>
      <c r="FP5930"/>
      <c r="FQ5930"/>
      <c r="FR5930"/>
      <c r="FS5930"/>
      <c r="FT5930"/>
      <c r="FU5930"/>
      <c r="FV5930"/>
      <c r="FW5930"/>
      <c r="FX5930"/>
      <c r="FY5930"/>
      <c r="FZ5930"/>
      <c r="GA5930"/>
      <c r="GB5930"/>
      <c r="GC5930"/>
      <c r="GD5930"/>
      <c r="GE5930"/>
      <c r="GF5930"/>
      <c r="GG5930"/>
      <c r="GH5930"/>
      <c r="GI5930"/>
      <c r="GJ5930"/>
      <c r="GK5930"/>
      <c r="GL5930"/>
      <c r="GM5930"/>
      <c r="GN5930"/>
      <c r="GO5930"/>
    </row>
    <row r="5931" spans="107:197">
      <c r="DC5931"/>
      <c r="FH5931"/>
      <c r="FI5931"/>
      <c r="FJ5931"/>
      <c r="FK5931"/>
      <c r="FL5931"/>
      <c r="FM5931"/>
      <c r="FN5931"/>
      <c r="FO5931"/>
      <c r="FP5931"/>
      <c r="FQ5931"/>
      <c r="FR5931"/>
      <c r="FS5931"/>
      <c r="FT5931"/>
      <c r="FU5931"/>
      <c r="FV5931"/>
      <c r="FW5931"/>
      <c r="FX5931"/>
      <c r="FY5931"/>
      <c r="FZ5931"/>
      <c r="GA5931"/>
      <c r="GB5931"/>
      <c r="GC5931"/>
      <c r="GD5931"/>
      <c r="GE5931"/>
      <c r="GF5931"/>
      <c r="GG5931"/>
      <c r="GH5931"/>
      <c r="GI5931"/>
      <c r="GJ5931"/>
      <c r="GK5931"/>
      <c r="GL5931"/>
      <c r="GM5931"/>
      <c r="GN5931"/>
      <c r="GO5931"/>
    </row>
    <row r="5932" spans="107:197">
      <c r="DC5932"/>
      <c r="FH5932"/>
      <c r="FI5932"/>
      <c r="FJ5932"/>
      <c r="FK5932"/>
      <c r="FL5932"/>
      <c r="FM5932"/>
      <c r="FN5932"/>
      <c r="FO5932"/>
      <c r="FP5932"/>
      <c r="FQ5932"/>
      <c r="FR5932"/>
      <c r="FS5932"/>
      <c r="FT5932"/>
      <c r="FU5932"/>
      <c r="FV5932"/>
      <c r="FW5932"/>
      <c r="FX5932"/>
      <c r="FY5932"/>
      <c r="FZ5932"/>
      <c r="GA5932"/>
      <c r="GB5932"/>
      <c r="GC5932"/>
      <c r="GD5932"/>
      <c r="GE5932"/>
      <c r="GF5932"/>
      <c r="GG5932"/>
      <c r="GH5932"/>
      <c r="GI5932"/>
      <c r="GJ5932"/>
      <c r="GK5932"/>
      <c r="GL5932"/>
      <c r="GM5932"/>
      <c r="GN5932"/>
      <c r="GO5932"/>
    </row>
    <row r="5933" spans="107:197">
      <c r="DC5933"/>
      <c r="FH5933"/>
      <c r="FI5933"/>
      <c r="FJ5933"/>
      <c r="FK5933"/>
      <c r="FL5933"/>
      <c r="FM5933"/>
      <c r="FN5933"/>
      <c r="FO5933"/>
      <c r="FP5933"/>
      <c r="FQ5933"/>
      <c r="FR5933"/>
      <c r="FS5933"/>
      <c r="FT5933"/>
      <c r="FU5933"/>
      <c r="FV5933"/>
      <c r="FW5933"/>
      <c r="FX5933"/>
      <c r="FY5933"/>
      <c r="FZ5933"/>
      <c r="GA5933"/>
      <c r="GB5933"/>
      <c r="GC5933"/>
      <c r="GD5933"/>
      <c r="GE5933"/>
      <c r="GF5933"/>
      <c r="GG5933"/>
      <c r="GH5933"/>
      <c r="GI5933"/>
      <c r="GJ5933"/>
      <c r="GK5933"/>
      <c r="GL5933"/>
      <c r="GM5933"/>
      <c r="GN5933"/>
      <c r="GO5933"/>
    </row>
    <row r="5934" spans="107:197">
      <c r="DC5934"/>
      <c r="FH5934"/>
      <c r="FI5934"/>
      <c r="FJ5934"/>
      <c r="FK5934"/>
      <c r="FL5934"/>
      <c r="FM5934"/>
      <c r="FN5934"/>
      <c r="FO5934"/>
      <c r="FP5934"/>
      <c r="FQ5934"/>
      <c r="FR5934"/>
      <c r="FS5934"/>
      <c r="FT5934"/>
      <c r="FU5934"/>
      <c r="FV5934"/>
      <c r="FW5934"/>
      <c r="FX5934"/>
      <c r="FY5934"/>
      <c r="FZ5934"/>
      <c r="GA5934"/>
      <c r="GB5934"/>
      <c r="GC5934"/>
      <c r="GD5934"/>
      <c r="GE5934"/>
      <c r="GF5934"/>
      <c r="GG5934"/>
      <c r="GH5934"/>
      <c r="GI5934"/>
      <c r="GJ5934"/>
      <c r="GK5934"/>
      <c r="GL5934"/>
      <c r="GM5934"/>
      <c r="GN5934"/>
      <c r="GO5934"/>
    </row>
    <row r="5935" spans="107:197">
      <c r="DC5935"/>
      <c r="FH5935"/>
      <c r="FI5935"/>
      <c r="FJ5935"/>
      <c r="FK5935"/>
      <c r="FL5935"/>
      <c r="FM5935"/>
      <c r="FN5935"/>
      <c r="FO5935"/>
      <c r="FP5935"/>
      <c r="FQ5935"/>
      <c r="FR5935"/>
      <c r="FS5935"/>
      <c r="FT5935"/>
      <c r="FU5935"/>
      <c r="FV5935"/>
      <c r="FW5935"/>
      <c r="FX5935"/>
      <c r="FY5935"/>
      <c r="FZ5935"/>
      <c r="GA5935"/>
      <c r="GB5935"/>
      <c r="GC5935"/>
      <c r="GD5935"/>
      <c r="GE5935"/>
      <c r="GF5935"/>
      <c r="GG5935"/>
      <c r="GH5935"/>
      <c r="GI5935"/>
      <c r="GJ5935"/>
      <c r="GK5935"/>
      <c r="GL5935"/>
      <c r="GM5935"/>
      <c r="GN5935"/>
      <c r="GO5935"/>
    </row>
    <row r="5936" spans="107:197">
      <c r="DC5936"/>
      <c r="FH5936"/>
      <c r="FI5936"/>
      <c r="FJ5936"/>
      <c r="FK5936"/>
      <c r="FL5936"/>
      <c r="FM5936"/>
      <c r="FN5936"/>
      <c r="FO5936"/>
      <c r="FP5936"/>
      <c r="FQ5936"/>
      <c r="FR5936"/>
      <c r="FS5936"/>
      <c r="FT5936"/>
      <c r="FU5936"/>
      <c r="FV5936"/>
      <c r="FW5936"/>
      <c r="FX5936"/>
      <c r="FY5936"/>
      <c r="FZ5936"/>
      <c r="GA5936"/>
      <c r="GB5936"/>
      <c r="GC5936"/>
      <c r="GD5936"/>
      <c r="GE5936"/>
      <c r="GF5936"/>
      <c r="GG5936"/>
      <c r="GH5936"/>
      <c r="GI5936"/>
      <c r="GJ5936"/>
      <c r="GK5936"/>
      <c r="GL5936"/>
      <c r="GM5936"/>
      <c r="GN5936"/>
      <c r="GO5936"/>
    </row>
    <row r="5937" spans="107:197">
      <c r="DC5937"/>
      <c r="FH5937"/>
      <c r="FI5937"/>
      <c r="FJ5937"/>
      <c r="FK5937"/>
      <c r="FL5937"/>
      <c r="FM5937"/>
      <c r="FN5937"/>
      <c r="FO5937"/>
      <c r="FP5937"/>
      <c r="FQ5937"/>
      <c r="FR5937"/>
      <c r="FS5937"/>
      <c r="FT5937"/>
      <c r="FU5937"/>
      <c r="FV5937"/>
      <c r="FW5937"/>
      <c r="FX5937"/>
      <c r="FY5937"/>
      <c r="FZ5937"/>
      <c r="GA5937"/>
      <c r="GB5937"/>
      <c r="GC5937"/>
      <c r="GD5937"/>
      <c r="GE5937"/>
      <c r="GF5937"/>
      <c r="GG5937"/>
      <c r="GH5937"/>
      <c r="GI5937"/>
      <c r="GJ5937"/>
      <c r="GK5937"/>
      <c r="GL5937"/>
      <c r="GM5937"/>
      <c r="GN5937"/>
      <c r="GO5937"/>
    </row>
    <row r="5938" spans="107:197">
      <c r="DC5938"/>
      <c r="FH5938"/>
      <c r="FI5938"/>
      <c r="FJ5938"/>
      <c r="FK5938"/>
      <c r="FL5938"/>
      <c r="FM5938"/>
      <c r="FN5938"/>
      <c r="FO5938"/>
      <c r="FP5938"/>
      <c r="FQ5938"/>
      <c r="FR5938"/>
      <c r="FS5938"/>
      <c r="FT5938"/>
      <c r="FU5938"/>
      <c r="FV5938"/>
      <c r="FW5938"/>
      <c r="FX5938"/>
      <c r="FY5938"/>
      <c r="FZ5938"/>
      <c r="GA5938"/>
      <c r="GB5938"/>
      <c r="GC5938"/>
      <c r="GD5938"/>
      <c r="GE5938"/>
      <c r="GF5938"/>
      <c r="GG5938"/>
      <c r="GH5938"/>
      <c r="GI5938"/>
      <c r="GJ5938"/>
      <c r="GK5938"/>
      <c r="GL5938"/>
      <c r="GM5938"/>
      <c r="GN5938"/>
      <c r="GO5938"/>
    </row>
    <row r="5939" spans="107:197">
      <c r="DC5939"/>
      <c r="FH5939"/>
      <c r="FI5939"/>
      <c r="FJ5939"/>
      <c r="FK5939"/>
      <c r="FL5939"/>
      <c r="FM5939"/>
      <c r="FN5939"/>
      <c r="FO5939"/>
      <c r="FP5939"/>
      <c r="FQ5939"/>
      <c r="FR5939"/>
      <c r="FS5939"/>
      <c r="FT5939"/>
      <c r="FU5939"/>
      <c r="FV5939"/>
      <c r="FW5939"/>
      <c r="FX5939"/>
      <c r="FY5939"/>
      <c r="FZ5939"/>
      <c r="GA5939"/>
      <c r="GB5939"/>
      <c r="GC5939"/>
      <c r="GD5939"/>
      <c r="GE5939"/>
      <c r="GF5939"/>
      <c r="GG5939"/>
      <c r="GH5939"/>
      <c r="GI5939"/>
      <c r="GJ5939"/>
      <c r="GK5939"/>
      <c r="GL5939"/>
      <c r="GM5939"/>
      <c r="GN5939"/>
      <c r="GO5939"/>
    </row>
    <row r="5940" spans="107:197">
      <c r="DC5940"/>
      <c r="FH5940"/>
      <c r="FI5940"/>
      <c r="FJ5940"/>
      <c r="FK5940"/>
      <c r="FL5940"/>
      <c r="FM5940"/>
      <c r="FN5940"/>
      <c r="FO5940"/>
      <c r="FP5940"/>
      <c r="FQ5940"/>
      <c r="FR5940"/>
      <c r="FS5940"/>
      <c r="FT5940"/>
      <c r="FU5940"/>
      <c r="FV5940"/>
      <c r="FW5940"/>
      <c r="FX5940"/>
      <c r="FY5940"/>
      <c r="FZ5940"/>
      <c r="GA5940"/>
      <c r="GB5940"/>
      <c r="GC5940"/>
      <c r="GD5940"/>
      <c r="GE5940"/>
      <c r="GF5940"/>
      <c r="GG5940"/>
      <c r="GH5940"/>
      <c r="GI5940"/>
      <c r="GJ5940"/>
      <c r="GK5940"/>
      <c r="GL5940"/>
      <c r="GM5940"/>
      <c r="GN5940"/>
      <c r="GO5940"/>
    </row>
    <row r="5941" spans="107:197">
      <c r="DC5941"/>
      <c r="FH5941"/>
      <c r="FI5941"/>
      <c r="FJ5941"/>
      <c r="FK5941"/>
      <c r="FL5941"/>
      <c r="FM5941"/>
      <c r="FN5941"/>
      <c r="FO5941"/>
      <c r="FP5941"/>
      <c r="FQ5941"/>
      <c r="FR5941"/>
      <c r="FS5941"/>
      <c r="FT5941"/>
      <c r="FU5941"/>
      <c r="FV5941"/>
      <c r="FW5941"/>
      <c r="FX5941"/>
      <c r="FY5941"/>
      <c r="FZ5941"/>
      <c r="GA5941"/>
      <c r="GB5941"/>
      <c r="GC5941"/>
      <c r="GD5941"/>
      <c r="GE5941"/>
      <c r="GF5941"/>
      <c r="GG5941"/>
      <c r="GH5941"/>
      <c r="GI5941"/>
      <c r="GJ5941"/>
      <c r="GK5941"/>
      <c r="GL5941"/>
      <c r="GM5941"/>
      <c r="GN5941"/>
      <c r="GO5941"/>
    </row>
    <row r="5942" spans="107:197">
      <c r="DC5942"/>
      <c r="FH5942"/>
      <c r="FI5942"/>
      <c r="FJ5942"/>
      <c r="FK5942"/>
      <c r="FL5942"/>
      <c r="FM5942"/>
      <c r="FN5942"/>
      <c r="FO5942"/>
      <c r="FP5942"/>
      <c r="FQ5942"/>
      <c r="FR5942"/>
      <c r="FS5942"/>
      <c r="FT5942"/>
      <c r="FU5942"/>
      <c r="FV5942"/>
      <c r="FW5942"/>
      <c r="FX5942"/>
      <c r="FY5942"/>
      <c r="FZ5942"/>
      <c r="GA5942"/>
      <c r="GB5942"/>
      <c r="GC5942"/>
      <c r="GD5942"/>
      <c r="GE5942"/>
      <c r="GF5942"/>
      <c r="GG5942"/>
      <c r="GH5942"/>
      <c r="GI5942"/>
      <c r="GJ5942"/>
      <c r="GK5942"/>
      <c r="GL5942"/>
      <c r="GM5942"/>
      <c r="GN5942"/>
      <c r="GO5942"/>
    </row>
    <row r="5943" spans="107:197">
      <c r="DC5943"/>
      <c r="FH5943"/>
      <c r="FI5943"/>
      <c r="FJ5943"/>
      <c r="FK5943"/>
      <c r="FL5943"/>
      <c r="FM5943"/>
      <c r="FN5943"/>
      <c r="FO5943"/>
      <c r="FP5943"/>
      <c r="FQ5943"/>
      <c r="FR5943"/>
      <c r="FS5943"/>
      <c r="FT5943"/>
      <c r="FU5943"/>
      <c r="FV5943"/>
      <c r="FW5943"/>
      <c r="FX5943"/>
      <c r="FY5943"/>
      <c r="FZ5943"/>
      <c r="GA5943"/>
      <c r="GB5943"/>
      <c r="GC5943"/>
      <c r="GD5943"/>
      <c r="GE5943"/>
      <c r="GF5943"/>
      <c r="GG5943"/>
      <c r="GH5943"/>
      <c r="GI5943"/>
      <c r="GJ5943"/>
      <c r="GK5943"/>
      <c r="GL5943"/>
      <c r="GM5943"/>
      <c r="GN5943"/>
      <c r="GO5943"/>
    </row>
    <row r="5944" spans="107:197">
      <c r="DC5944"/>
      <c r="FH5944"/>
      <c r="FI5944"/>
      <c r="FJ5944"/>
      <c r="FK5944"/>
      <c r="FL5944"/>
      <c r="FM5944"/>
      <c r="FN5944"/>
      <c r="FO5944"/>
      <c r="FP5944"/>
      <c r="FQ5944"/>
      <c r="FR5944"/>
      <c r="FS5944"/>
      <c r="FT5944"/>
      <c r="FU5944"/>
      <c r="FV5944"/>
      <c r="FW5944"/>
      <c r="FX5944"/>
      <c r="FY5944"/>
      <c r="FZ5944"/>
      <c r="GA5944"/>
      <c r="GB5944"/>
      <c r="GC5944"/>
      <c r="GD5944"/>
      <c r="GE5944"/>
      <c r="GF5944"/>
      <c r="GG5944"/>
      <c r="GH5944"/>
      <c r="GI5944"/>
      <c r="GJ5944"/>
      <c r="GK5944"/>
      <c r="GL5944"/>
      <c r="GM5944"/>
      <c r="GN5944"/>
      <c r="GO5944"/>
    </row>
    <row r="5945" spans="107:197">
      <c r="DC5945"/>
      <c r="FH5945"/>
      <c r="FI5945"/>
      <c r="FJ5945"/>
      <c r="FK5945"/>
      <c r="FL5945"/>
      <c r="FM5945"/>
      <c r="FN5945"/>
      <c r="FO5945"/>
      <c r="FP5945"/>
      <c r="FQ5945"/>
      <c r="FR5945"/>
      <c r="FS5945"/>
      <c r="FT5945"/>
      <c r="FU5945"/>
      <c r="FV5945"/>
      <c r="FW5945"/>
      <c r="FX5945"/>
      <c r="FY5945"/>
      <c r="FZ5945"/>
      <c r="GA5945"/>
      <c r="GB5945"/>
      <c r="GC5945"/>
      <c r="GD5945"/>
      <c r="GE5945"/>
      <c r="GF5945"/>
      <c r="GG5945"/>
      <c r="GH5945"/>
      <c r="GI5945"/>
      <c r="GJ5945"/>
      <c r="GK5945"/>
      <c r="GL5945"/>
      <c r="GM5945"/>
      <c r="GN5945"/>
      <c r="GO5945"/>
    </row>
    <row r="5946" spans="107:197">
      <c r="DC5946"/>
      <c r="FH5946"/>
      <c r="FI5946"/>
      <c r="FJ5946"/>
      <c r="FK5946"/>
      <c r="FL5946"/>
      <c r="FM5946"/>
      <c r="FN5946"/>
      <c r="FO5946"/>
      <c r="FP5946"/>
      <c r="FQ5946"/>
      <c r="FR5946"/>
      <c r="FS5946"/>
      <c r="FT5946"/>
      <c r="FU5946"/>
      <c r="FV5946"/>
      <c r="FW5946"/>
      <c r="FX5946"/>
      <c r="FY5946"/>
      <c r="FZ5946"/>
      <c r="GA5946"/>
      <c r="GB5946"/>
      <c r="GC5946"/>
      <c r="GD5946"/>
      <c r="GE5946"/>
      <c r="GF5946"/>
      <c r="GG5946"/>
      <c r="GH5946"/>
      <c r="GI5946"/>
      <c r="GJ5946"/>
      <c r="GK5946"/>
      <c r="GL5946"/>
      <c r="GM5946"/>
      <c r="GN5946"/>
      <c r="GO5946"/>
    </row>
    <row r="5947" spans="107:197">
      <c r="DC5947"/>
      <c r="FH5947"/>
      <c r="FI5947"/>
      <c r="FJ5947"/>
      <c r="FK5947"/>
      <c r="FL5947"/>
      <c r="FM5947"/>
      <c r="FN5947"/>
      <c r="FO5947"/>
      <c r="FP5947"/>
      <c r="FQ5947"/>
      <c r="FR5947"/>
      <c r="FS5947"/>
      <c r="FT5947"/>
      <c r="FU5947"/>
      <c r="FV5947"/>
      <c r="FW5947"/>
      <c r="FX5947"/>
      <c r="FY5947"/>
      <c r="FZ5947"/>
      <c r="GA5947"/>
      <c r="GB5947"/>
      <c r="GC5947"/>
      <c r="GD5947"/>
      <c r="GE5947"/>
      <c r="GF5947"/>
      <c r="GG5947"/>
      <c r="GH5947"/>
      <c r="GI5947"/>
      <c r="GJ5947"/>
      <c r="GK5947"/>
      <c r="GL5947"/>
      <c r="GM5947"/>
      <c r="GN5947"/>
      <c r="GO5947"/>
    </row>
    <row r="5948" spans="107:197">
      <c r="DC5948"/>
      <c r="FH5948"/>
      <c r="FI5948"/>
      <c r="FJ5948"/>
      <c r="FK5948"/>
      <c r="FL5948"/>
      <c r="FM5948"/>
      <c r="FN5948"/>
      <c r="FO5948"/>
      <c r="FP5948"/>
      <c r="FQ5948"/>
      <c r="FR5948"/>
      <c r="FS5948"/>
      <c r="FT5948"/>
      <c r="FU5948"/>
      <c r="FV5948"/>
      <c r="FW5948"/>
      <c r="FX5948"/>
      <c r="FY5948"/>
      <c r="FZ5948"/>
      <c r="GA5948"/>
      <c r="GB5948"/>
      <c r="GC5948"/>
      <c r="GD5948"/>
      <c r="GE5948"/>
      <c r="GF5948"/>
      <c r="GG5948"/>
      <c r="GH5948"/>
      <c r="GI5948"/>
      <c r="GJ5948"/>
      <c r="GK5948"/>
      <c r="GL5948"/>
      <c r="GM5948"/>
      <c r="GN5948"/>
      <c r="GO5948"/>
    </row>
    <row r="5949" spans="107:197">
      <c r="DC5949"/>
      <c r="FH5949"/>
      <c r="FI5949"/>
      <c r="FJ5949"/>
      <c r="FK5949"/>
      <c r="FL5949"/>
      <c r="FM5949"/>
      <c r="FN5949"/>
      <c r="FO5949"/>
      <c r="FP5949"/>
      <c r="FQ5949"/>
      <c r="FR5949"/>
      <c r="FS5949"/>
      <c r="FT5949"/>
      <c r="FU5949"/>
      <c r="FV5949"/>
      <c r="FW5949"/>
      <c r="FX5949"/>
      <c r="FY5949"/>
      <c r="FZ5949"/>
      <c r="GA5949"/>
      <c r="GB5949"/>
      <c r="GC5949"/>
      <c r="GD5949"/>
      <c r="GE5949"/>
      <c r="GF5949"/>
      <c r="GG5949"/>
      <c r="GH5949"/>
      <c r="GI5949"/>
      <c r="GJ5949"/>
      <c r="GK5949"/>
      <c r="GL5949"/>
      <c r="GM5949"/>
      <c r="GN5949"/>
      <c r="GO5949"/>
    </row>
    <row r="5950" spans="107:197">
      <c r="DC5950"/>
      <c r="FH5950"/>
      <c r="FI5950"/>
      <c r="FJ5950"/>
      <c r="FK5950"/>
      <c r="FL5950"/>
      <c r="FM5950"/>
      <c r="FN5950"/>
      <c r="FO5950"/>
      <c r="FP5950"/>
      <c r="FQ5950"/>
      <c r="FR5950"/>
      <c r="FS5950"/>
      <c r="FT5950"/>
      <c r="FU5950"/>
      <c r="FV5950"/>
      <c r="FW5950"/>
      <c r="FX5950"/>
      <c r="FY5950"/>
      <c r="FZ5950"/>
      <c r="GA5950"/>
      <c r="GB5950"/>
      <c r="GC5950"/>
      <c r="GD5950"/>
      <c r="GE5950"/>
      <c r="GF5950"/>
      <c r="GG5950"/>
      <c r="GH5950"/>
      <c r="GI5950"/>
      <c r="GJ5950"/>
      <c r="GK5950"/>
      <c r="GL5950"/>
      <c r="GM5950"/>
      <c r="GN5950"/>
      <c r="GO5950"/>
    </row>
    <row r="5951" spans="107:197">
      <c r="DC5951"/>
      <c r="FH5951"/>
      <c r="FI5951"/>
      <c r="FJ5951"/>
      <c r="FK5951"/>
      <c r="FL5951"/>
      <c r="FM5951"/>
      <c r="FN5951"/>
      <c r="FO5951"/>
      <c r="FP5951"/>
      <c r="FQ5951"/>
      <c r="FR5951"/>
      <c r="FS5951"/>
      <c r="FT5951"/>
      <c r="FU5951"/>
      <c r="FV5951"/>
      <c r="FW5951"/>
      <c r="FX5951"/>
      <c r="FY5951"/>
      <c r="FZ5951"/>
      <c r="GA5951"/>
      <c r="GB5951"/>
      <c r="GC5951"/>
      <c r="GD5951"/>
      <c r="GE5951"/>
      <c r="GF5951"/>
      <c r="GG5951"/>
      <c r="GH5951"/>
      <c r="GI5951"/>
      <c r="GJ5951"/>
      <c r="GK5951"/>
      <c r="GL5951"/>
      <c r="GM5951"/>
      <c r="GN5951"/>
      <c r="GO5951"/>
    </row>
    <row r="5952" spans="107:197">
      <c r="DC5952"/>
      <c r="FH5952"/>
      <c r="FI5952"/>
      <c r="FJ5952"/>
      <c r="FK5952"/>
      <c r="FL5952"/>
      <c r="FM5952"/>
      <c r="FN5952"/>
      <c r="FO5952"/>
      <c r="FP5952"/>
      <c r="FQ5952"/>
      <c r="FR5952"/>
      <c r="FS5952"/>
      <c r="FT5952"/>
      <c r="FU5952"/>
      <c r="FV5952"/>
      <c r="FW5952"/>
      <c r="FX5952"/>
      <c r="FY5952"/>
      <c r="FZ5952"/>
      <c r="GA5952"/>
      <c r="GB5952"/>
      <c r="GC5952"/>
      <c r="GD5952"/>
      <c r="GE5952"/>
      <c r="GF5952"/>
      <c r="GG5952"/>
      <c r="GH5952"/>
      <c r="GI5952"/>
      <c r="GJ5952"/>
      <c r="GK5952"/>
      <c r="GL5952"/>
      <c r="GM5952"/>
      <c r="GN5952"/>
      <c r="GO5952"/>
    </row>
    <row r="5953" spans="107:197">
      <c r="DC5953"/>
      <c r="FH5953"/>
      <c r="FI5953"/>
      <c r="FJ5953"/>
      <c r="FK5953"/>
      <c r="FL5953"/>
      <c r="FM5953"/>
      <c r="FN5953"/>
      <c r="FO5953"/>
      <c r="FP5953"/>
      <c r="FQ5953"/>
      <c r="FR5953"/>
      <c r="FS5953"/>
      <c r="FT5953"/>
      <c r="FU5953"/>
      <c r="FV5953"/>
      <c r="FW5953"/>
      <c r="FX5953"/>
      <c r="FY5953"/>
      <c r="FZ5953"/>
      <c r="GA5953"/>
      <c r="GB5953"/>
      <c r="GC5953"/>
      <c r="GD5953"/>
      <c r="GE5953"/>
      <c r="GF5953"/>
      <c r="GG5953"/>
      <c r="GH5953"/>
      <c r="GI5953"/>
      <c r="GJ5953"/>
      <c r="GK5953"/>
      <c r="GL5953"/>
      <c r="GM5953"/>
      <c r="GN5953"/>
      <c r="GO5953"/>
    </row>
    <row r="5954" spans="107:197">
      <c r="DC5954"/>
      <c r="FH5954"/>
      <c r="FI5954"/>
      <c r="FJ5954"/>
      <c r="FK5954"/>
      <c r="FL5954"/>
      <c r="FM5954"/>
      <c r="FN5954"/>
      <c r="FO5954"/>
      <c r="FP5954"/>
      <c r="FQ5954"/>
      <c r="FR5954"/>
      <c r="FS5954"/>
      <c r="FT5954"/>
      <c r="FU5954"/>
      <c r="FV5954"/>
      <c r="FW5954"/>
      <c r="FX5954"/>
      <c r="FY5954"/>
      <c r="FZ5954"/>
      <c r="GA5954"/>
      <c r="GB5954"/>
      <c r="GC5954"/>
      <c r="GD5954"/>
      <c r="GE5954"/>
      <c r="GF5954"/>
      <c r="GG5954"/>
      <c r="GH5954"/>
      <c r="GI5954"/>
      <c r="GJ5954"/>
      <c r="GK5954"/>
      <c r="GL5954"/>
      <c r="GM5954"/>
      <c r="GN5954"/>
      <c r="GO5954"/>
    </row>
    <row r="5955" spans="107:197">
      <c r="DC5955"/>
      <c r="FH5955"/>
      <c r="FI5955"/>
      <c r="FJ5955"/>
      <c r="FK5955"/>
      <c r="FL5955"/>
      <c r="FM5955"/>
      <c r="FN5955"/>
      <c r="FO5955"/>
      <c r="FP5955"/>
      <c r="FQ5955"/>
      <c r="FR5955"/>
      <c r="FS5955"/>
      <c r="FT5955"/>
      <c r="FU5955"/>
      <c r="FV5955"/>
      <c r="FW5955"/>
      <c r="FX5955"/>
      <c r="FY5955"/>
      <c r="FZ5955"/>
      <c r="GA5955"/>
      <c r="GB5955"/>
      <c r="GC5955"/>
      <c r="GD5955"/>
      <c r="GE5955"/>
      <c r="GF5955"/>
      <c r="GG5955"/>
      <c r="GH5955"/>
      <c r="GI5955"/>
      <c r="GJ5955"/>
      <c r="GK5955"/>
      <c r="GL5955"/>
      <c r="GM5955"/>
      <c r="GN5955"/>
      <c r="GO5955"/>
    </row>
    <row r="5956" spans="107:197">
      <c r="DC5956"/>
      <c r="FH5956"/>
      <c r="FI5956"/>
      <c r="FJ5956"/>
      <c r="FK5956"/>
      <c r="FL5956"/>
      <c r="FM5956"/>
      <c r="FN5956"/>
      <c r="FO5956"/>
      <c r="FP5956"/>
      <c r="FQ5956"/>
      <c r="FR5956"/>
      <c r="FS5956"/>
      <c r="FT5956"/>
      <c r="FU5956"/>
      <c r="FV5956"/>
      <c r="FW5956"/>
      <c r="FX5956"/>
      <c r="FY5956"/>
      <c r="FZ5956"/>
      <c r="GA5956"/>
      <c r="GB5956"/>
      <c r="GC5956"/>
      <c r="GD5956"/>
      <c r="GE5956"/>
      <c r="GF5956"/>
      <c r="GG5956"/>
      <c r="GH5956"/>
      <c r="GI5956"/>
      <c r="GJ5956"/>
      <c r="GK5956"/>
      <c r="GL5956"/>
      <c r="GM5956"/>
      <c r="GN5956"/>
      <c r="GO5956"/>
    </row>
    <row r="5957" spans="107:197">
      <c r="DC5957"/>
      <c r="FH5957"/>
      <c r="FI5957"/>
      <c r="FJ5957"/>
      <c r="FK5957"/>
      <c r="FL5957"/>
      <c r="FM5957"/>
      <c r="FN5957"/>
      <c r="FO5957"/>
      <c r="FP5957"/>
      <c r="FQ5957"/>
      <c r="FR5957"/>
      <c r="FS5957"/>
      <c r="FT5957"/>
      <c r="FU5957"/>
      <c r="FV5957"/>
      <c r="FW5957"/>
      <c r="FX5957"/>
      <c r="FY5957"/>
      <c r="FZ5957"/>
      <c r="GA5957"/>
      <c r="GB5957"/>
      <c r="GC5957"/>
      <c r="GD5957"/>
      <c r="GE5957"/>
      <c r="GF5957"/>
      <c r="GG5957"/>
      <c r="GH5957"/>
      <c r="GI5957"/>
      <c r="GJ5957"/>
      <c r="GK5957"/>
      <c r="GL5957"/>
      <c r="GM5957"/>
      <c r="GN5957"/>
      <c r="GO5957"/>
    </row>
    <row r="5958" spans="107:197">
      <c r="DC5958"/>
      <c r="FH5958"/>
      <c r="FI5958"/>
      <c r="FJ5958"/>
      <c r="FK5958"/>
      <c r="FL5958"/>
      <c r="FM5958"/>
      <c r="FN5958"/>
      <c r="FO5958"/>
      <c r="FP5958"/>
      <c r="FQ5958"/>
      <c r="FR5958"/>
      <c r="FS5958"/>
      <c r="FT5958"/>
      <c r="FU5958"/>
      <c r="FV5958"/>
      <c r="FW5958"/>
      <c r="FX5958"/>
      <c r="FY5958"/>
      <c r="FZ5958"/>
      <c r="GA5958"/>
      <c r="GB5958"/>
      <c r="GC5958"/>
      <c r="GD5958"/>
      <c r="GE5958"/>
      <c r="GF5958"/>
      <c r="GG5958"/>
      <c r="GH5958"/>
      <c r="GI5958"/>
      <c r="GJ5958"/>
      <c r="GK5958"/>
      <c r="GL5958"/>
      <c r="GM5958"/>
      <c r="GN5958"/>
      <c r="GO5958"/>
    </row>
    <row r="5959" spans="107:197">
      <c r="DC5959"/>
      <c r="FH5959"/>
      <c r="FI5959"/>
      <c r="FJ5959"/>
      <c r="FK5959"/>
      <c r="FL5959"/>
      <c r="FM5959"/>
      <c r="FN5959"/>
      <c r="FO5959"/>
      <c r="FP5959"/>
      <c r="FQ5959"/>
      <c r="FR5959"/>
      <c r="FS5959"/>
      <c r="FT5959"/>
      <c r="FU5959"/>
      <c r="FV5959"/>
      <c r="FW5959"/>
      <c r="FX5959"/>
      <c r="FY5959"/>
      <c r="FZ5959"/>
      <c r="GA5959"/>
      <c r="GB5959"/>
      <c r="GC5959"/>
      <c r="GD5959"/>
      <c r="GE5959"/>
      <c r="GF5959"/>
      <c r="GG5959"/>
      <c r="GH5959"/>
      <c r="GI5959"/>
      <c r="GJ5959"/>
      <c r="GK5959"/>
      <c r="GL5959"/>
      <c r="GM5959"/>
      <c r="GN5959"/>
      <c r="GO5959"/>
    </row>
    <row r="5960" spans="107:197">
      <c r="DC5960"/>
      <c r="FH5960"/>
      <c r="FI5960"/>
      <c r="FJ5960"/>
      <c r="FK5960"/>
      <c r="FL5960"/>
      <c r="FM5960"/>
      <c r="FN5960"/>
      <c r="FO5960"/>
      <c r="FP5960"/>
      <c r="FQ5960"/>
      <c r="FR5960"/>
      <c r="FS5960"/>
      <c r="FT5960"/>
      <c r="FU5960"/>
      <c r="FV5960"/>
      <c r="FW5960"/>
      <c r="FX5960"/>
      <c r="FY5960"/>
      <c r="FZ5960"/>
      <c r="GA5960"/>
      <c r="GB5960"/>
      <c r="GC5960"/>
      <c r="GD5960"/>
      <c r="GE5960"/>
      <c r="GF5960"/>
      <c r="GG5960"/>
      <c r="GH5960"/>
      <c r="GI5960"/>
      <c r="GJ5960"/>
      <c r="GK5960"/>
      <c r="GL5960"/>
      <c r="GM5960"/>
      <c r="GN5960"/>
      <c r="GO5960"/>
    </row>
    <row r="5961" spans="107:197">
      <c r="DC5961"/>
      <c r="FH5961"/>
      <c r="FI5961"/>
      <c r="FJ5961"/>
      <c r="FK5961"/>
      <c r="FL5961"/>
      <c r="FM5961"/>
      <c r="FN5961"/>
      <c r="FO5961"/>
      <c r="FP5961"/>
      <c r="FQ5961"/>
      <c r="FR5961"/>
      <c r="FS5961"/>
      <c r="FT5961"/>
      <c r="FU5961"/>
      <c r="FV5961"/>
      <c r="FW5961"/>
      <c r="FX5961"/>
      <c r="FY5961"/>
      <c r="FZ5961"/>
      <c r="GA5961"/>
      <c r="GB5961"/>
      <c r="GC5961"/>
      <c r="GD5961"/>
      <c r="GE5961"/>
      <c r="GF5961"/>
      <c r="GG5961"/>
      <c r="GH5961"/>
      <c r="GI5961"/>
      <c r="GJ5961"/>
      <c r="GK5961"/>
      <c r="GL5961"/>
      <c r="GM5961"/>
      <c r="GN5961"/>
      <c r="GO5961"/>
    </row>
    <row r="5962" spans="107:197">
      <c r="DC5962"/>
      <c r="FH5962"/>
      <c r="FI5962"/>
      <c r="FJ5962"/>
      <c r="FK5962"/>
      <c r="FL5962"/>
      <c r="FM5962"/>
      <c r="FN5962"/>
      <c r="FO5962"/>
      <c r="FP5962"/>
      <c r="FQ5962"/>
      <c r="FR5962"/>
      <c r="FS5962"/>
      <c r="FT5962"/>
      <c r="FU5962"/>
      <c r="FV5962"/>
      <c r="FW5962"/>
      <c r="FX5962"/>
      <c r="FY5962"/>
      <c r="FZ5962"/>
      <c r="GA5962"/>
      <c r="GB5962"/>
      <c r="GC5962"/>
      <c r="GD5962"/>
      <c r="GE5962"/>
      <c r="GF5962"/>
      <c r="GG5962"/>
      <c r="GH5962"/>
      <c r="GI5962"/>
      <c r="GJ5962"/>
      <c r="GK5962"/>
      <c r="GL5962"/>
      <c r="GM5962"/>
      <c r="GN5962"/>
      <c r="GO5962"/>
    </row>
    <row r="5963" spans="107:197">
      <c r="DC5963"/>
      <c r="FH5963"/>
      <c r="FI5963"/>
      <c r="FJ5963"/>
      <c r="FK5963"/>
      <c r="FL5963"/>
      <c r="FM5963"/>
      <c r="FN5963"/>
      <c r="FO5963"/>
      <c r="FP5963"/>
      <c r="FQ5963"/>
      <c r="FR5963"/>
      <c r="FS5963"/>
      <c r="FT5963"/>
      <c r="FU5963"/>
      <c r="FV5963"/>
      <c r="FW5963"/>
      <c r="FX5963"/>
      <c r="FY5963"/>
      <c r="FZ5963"/>
      <c r="GA5963"/>
      <c r="GB5963"/>
      <c r="GC5963"/>
      <c r="GD5963"/>
      <c r="GE5963"/>
      <c r="GF5963"/>
      <c r="GG5963"/>
      <c r="GH5963"/>
      <c r="GI5963"/>
      <c r="GJ5963"/>
      <c r="GK5963"/>
      <c r="GL5963"/>
      <c r="GM5963"/>
      <c r="GN5963"/>
      <c r="GO5963"/>
    </row>
    <row r="5964" spans="107:197">
      <c r="DC5964"/>
      <c r="FH5964"/>
      <c r="FI5964"/>
      <c r="FJ5964"/>
      <c r="FK5964"/>
      <c r="FL5964"/>
      <c r="FM5964"/>
      <c r="FN5964"/>
      <c r="FO5964"/>
      <c r="FP5964"/>
      <c r="FQ5964"/>
      <c r="FR5964"/>
      <c r="FS5964"/>
      <c r="FT5964"/>
      <c r="FU5964"/>
      <c r="FV5964"/>
      <c r="FW5964"/>
      <c r="FX5964"/>
      <c r="FY5964"/>
      <c r="FZ5964"/>
      <c r="GA5964"/>
      <c r="GB5964"/>
      <c r="GC5964"/>
      <c r="GD5964"/>
      <c r="GE5964"/>
      <c r="GF5964"/>
      <c r="GG5964"/>
      <c r="GH5964"/>
      <c r="GI5964"/>
      <c r="GJ5964"/>
      <c r="GK5964"/>
      <c r="GL5964"/>
      <c r="GM5964"/>
      <c r="GN5964"/>
      <c r="GO5964"/>
    </row>
    <row r="5965" spans="107:197">
      <c r="DC5965"/>
      <c r="FH5965"/>
      <c r="FI5965"/>
      <c r="FJ5965"/>
      <c r="FK5965"/>
      <c r="FL5965"/>
      <c r="FM5965"/>
      <c r="FN5965"/>
      <c r="FO5965"/>
      <c r="FP5965"/>
      <c r="FQ5965"/>
      <c r="FR5965"/>
      <c r="FS5965"/>
      <c r="FT5965"/>
      <c r="FU5965"/>
      <c r="FV5965"/>
      <c r="FW5965"/>
      <c r="FX5965"/>
      <c r="FY5965"/>
      <c r="FZ5965"/>
      <c r="GA5965"/>
      <c r="GB5965"/>
      <c r="GC5965"/>
      <c r="GD5965"/>
      <c r="GE5965"/>
      <c r="GF5965"/>
      <c r="GG5965"/>
      <c r="GH5965"/>
      <c r="GI5965"/>
      <c r="GJ5965"/>
      <c r="GK5965"/>
      <c r="GL5965"/>
      <c r="GM5965"/>
      <c r="GN5965"/>
      <c r="GO5965"/>
    </row>
    <row r="5966" spans="107:197">
      <c r="DC5966"/>
      <c r="FH5966"/>
      <c r="FI5966"/>
      <c r="FJ5966"/>
      <c r="FK5966"/>
      <c r="FL5966"/>
      <c r="FM5966"/>
      <c r="FN5966"/>
      <c r="FO5966"/>
      <c r="FP5966"/>
      <c r="FQ5966"/>
      <c r="FR5966"/>
      <c r="FS5966"/>
      <c r="FT5966"/>
      <c r="FU5966"/>
      <c r="FV5966"/>
      <c r="FW5966"/>
      <c r="FX5966"/>
      <c r="FY5966"/>
      <c r="FZ5966"/>
      <c r="GA5966"/>
      <c r="GB5966"/>
      <c r="GC5966"/>
      <c r="GD5966"/>
      <c r="GE5966"/>
      <c r="GF5966"/>
      <c r="GG5966"/>
      <c r="GH5966"/>
      <c r="GI5966"/>
      <c r="GJ5966"/>
      <c r="GK5966"/>
      <c r="GL5966"/>
      <c r="GM5966"/>
      <c r="GN5966"/>
      <c r="GO5966"/>
    </row>
    <row r="5967" spans="107:197">
      <c r="DC5967"/>
      <c r="FH5967"/>
      <c r="FI5967"/>
      <c r="FJ5967"/>
      <c r="FK5967"/>
      <c r="FL5967"/>
      <c r="FM5967"/>
      <c r="FN5967"/>
      <c r="FO5967"/>
      <c r="FP5967"/>
      <c r="FQ5967"/>
      <c r="FR5967"/>
      <c r="FS5967"/>
      <c r="FT5967"/>
      <c r="FU5967"/>
      <c r="FV5967"/>
      <c r="FW5967"/>
      <c r="FX5967"/>
      <c r="FY5967"/>
      <c r="FZ5967"/>
      <c r="GA5967"/>
      <c r="GB5967"/>
      <c r="GC5967"/>
      <c r="GD5967"/>
      <c r="GE5967"/>
      <c r="GF5967"/>
      <c r="GG5967"/>
      <c r="GH5967"/>
      <c r="GI5967"/>
      <c r="GJ5967"/>
      <c r="GK5967"/>
      <c r="GL5967"/>
      <c r="GM5967"/>
      <c r="GN5967"/>
      <c r="GO5967"/>
    </row>
    <row r="5968" spans="107:197">
      <c r="DC5968"/>
      <c r="FH5968"/>
      <c r="FI5968"/>
      <c r="FJ5968"/>
      <c r="FK5968"/>
      <c r="FL5968"/>
      <c r="FM5968"/>
      <c r="FN5968"/>
      <c r="FO5968"/>
      <c r="FP5968"/>
      <c r="FQ5968"/>
      <c r="FR5968"/>
      <c r="FS5968"/>
      <c r="FT5968"/>
      <c r="FU5968"/>
      <c r="FV5968"/>
      <c r="FW5968"/>
      <c r="FX5968"/>
      <c r="FY5968"/>
      <c r="FZ5968"/>
      <c r="GA5968"/>
      <c r="GB5968"/>
      <c r="GC5968"/>
      <c r="GD5968"/>
      <c r="GE5968"/>
      <c r="GF5968"/>
      <c r="GG5968"/>
      <c r="GH5968"/>
      <c r="GI5968"/>
      <c r="GJ5968"/>
      <c r="GK5968"/>
      <c r="GL5968"/>
      <c r="GM5968"/>
      <c r="GN5968"/>
      <c r="GO5968"/>
    </row>
    <row r="5969" spans="107:197">
      <c r="DC5969"/>
      <c r="FH5969"/>
      <c r="FI5969"/>
      <c r="FJ5969"/>
      <c r="FK5969"/>
      <c r="FL5969"/>
      <c r="FM5969"/>
      <c r="FN5969"/>
      <c r="FO5969"/>
      <c r="FP5969"/>
      <c r="FQ5969"/>
      <c r="FR5969"/>
      <c r="FS5969"/>
      <c r="FT5969"/>
      <c r="FU5969"/>
      <c r="FV5969"/>
      <c r="FW5969"/>
      <c r="FX5969"/>
      <c r="FY5969"/>
      <c r="FZ5969"/>
      <c r="GA5969"/>
      <c r="GB5969"/>
      <c r="GC5969"/>
      <c r="GD5969"/>
      <c r="GE5969"/>
      <c r="GF5969"/>
      <c r="GG5969"/>
      <c r="GH5969"/>
      <c r="GI5969"/>
      <c r="GJ5969"/>
      <c r="GK5969"/>
      <c r="GL5969"/>
      <c r="GM5969"/>
      <c r="GN5969"/>
      <c r="GO5969"/>
    </row>
    <row r="5970" spans="107:197">
      <c r="DC5970"/>
      <c r="FH5970"/>
      <c r="FI5970"/>
      <c r="FJ5970"/>
      <c r="FK5970"/>
      <c r="FL5970"/>
      <c r="FM5970"/>
      <c r="FN5970"/>
      <c r="FO5970"/>
      <c r="FP5970"/>
      <c r="FQ5970"/>
      <c r="FR5970"/>
      <c r="FS5970"/>
      <c r="FT5970"/>
      <c r="FU5970"/>
      <c r="FV5970"/>
      <c r="FW5970"/>
      <c r="FX5970"/>
      <c r="FY5970"/>
      <c r="FZ5970"/>
      <c r="GA5970"/>
      <c r="GB5970"/>
      <c r="GC5970"/>
      <c r="GD5970"/>
      <c r="GE5970"/>
      <c r="GF5970"/>
      <c r="GG5970"/>
      <c r="GH5970"/>
      <c r="GI5970"/>
      <c r="GJ5970"/>
      <c r="GK5970"/>
      <c r="GL5970"/>
      <c r="GM5970"/>
      <c r="GN5970"/>
      <c r="GO5970"/>
    </row>
    <row r="5971" spans="107:197">
      <c r="DC5971"/>
      <c r="FH5971"/>
      <c r="FI5971"/>
      <c r="FJ5971"/>
      <c r="FK5971"/>
      <c r="FL5971"/>
      <c r="FM5971"/>
      <c r="FN5971"/>
      <c r="FO5971"/>
      <c r="FP5971"/>
      <c r="FQ5971"/>
      <c r="FR5971"/>
      <c r="FS5971"/>
      <c r="FT5971"/>
      <c r="FU5971"/>
      <c r="FV5971"/>
      <c r="FW5971"/>
      <c r="FX5971"/>
      <c r="FY5971"/>
      <c r="FZ5971"/>
      <c r="GA5971"/>
      <c r="GB5971"/>
      <c r="GC5971"/>
      <c r="GD5971"/>
      <c r="GE5971"/>
      <c r="GF5971"/>
      <c r="GG5971"/>
      <c r="GH5971"/>
      <c r="GI5971"/>
      <c r="GJ5971"/>
      <c r="GK5971"/>
      <c r="GL5971"/>
      <c r="GM5971"/>
      <c r="GN5971"/>
      <c r="GO5971"/>
    </row>
    <row r="5972" spans="107:197">
      <c r="DC5972"/>
      <c r="FH5972"/>
      <c r="FI5972"/>
      <c r="FJ5972"/>
      <c r="FK5972"/>
      <c r="FL5972"/>
      <c r="FM5972"/>
      <c r="FN5972"/>
      <c r="FO5972"/>
      <c r="FP5972"/>
      <c r="FQ5972"/>
      <c r="FR5972"/>
      <c r="FS5972"/>
      <c r="FT5972"/>
      <c r="FU5972"/>
      <c r="FV5972"/>
      <c r="FW5972"/>
      <c r="FX5972"/>
      <c r="FY5972"/>
      <c r="FZ5972"/>
      <c r="GA5972"/>
      <c r="GB5972"/>
      <c r="GC5972"/>
      <c r="GD5972"/>
      <c r="GE5972"/>
      <c r="GF5972"/>
      <c r="GG5972"/>
      <c r="GH5972"/>
      <c r="GI5972"/>
      <c r="GJ5972"/>
      <c r="GK5972"/>
      <c r="GL5972"/>
      <c r="GM5972"/>
      <c r="GN5972"/>
      <c r="GO5972"/>
    </row>
    <row r="5973" spans="107:197">
      <c r="DC5973"/>
      <c r="FH5973"/>
      <c r="FI5973"/>
      <c r="FJ5973"/>
      <c r="FK5973"/>
      <c r="FL5973"/>
      <c r="FM5973"/>
      <c r="FN5973"/>
      <c r="FO5973"/>
      <c r="FP5973"/>
      <c r="FQ5973"/>
      <c r="FR5973"/>
      <c r="FS5973"/>
      <c r="FT5973"/>
      <c r="FU5973"/>
      <c r="FV5973"/>
      <c r="FW5973"/>
      <c r="FX5973"/>
      <c r="FY5973"/>
      <c r="FZ5973"/>
      <c r="GA5973"/>
      <c r="GB5973"/>
      <c r="GC5973"/>
      <c r="GD5973"/>
      <c r="GE5973"/>
      <c r="GF5973"/>
      <c r="GG5973"/>
      <c r="GH5973"/>
      <c r="GI5973"/>
      <c r="GJ5973"/>
      <c r="GK5973"/>
      <c r="GL5973"/>
      <c r="GM5973"/>
      <c r="GN5973"/>
      <c r="GO5973"/>
    </row>
    <row r="5974" spans="107:197">
      <c r="DC5974"/>
      <c r="FH5974"/>
      <c r="FI5974"/>
      <c r="FJ5974"/>
      <c r="FK5974"/>
      <c r="FL5974"/>
      <c r="FM5974"/>
      <c r="FN5974"/>
      <c r="FO5974"/>
      <c r="FP5974"/>
      <c r="FQ5974"/>
      <c r="FR5974"/>
      <c r="FS5974"/>
      <c r="FT5974"/>
      <c r="FU5974"/>
      <c r="FV5974"/>
      <c r="FW5974"/>
      <c r="FX5974"/>
      <c r="FY5974"/>
      <c r="FZ5974"/>
      <c r="GA5974"/>
      <c r="GB5974"/>
      <c r="GC5974"/>
      <c r="GD5974"/>
      <c r="GE5974"/>
      <c r="GF5974"/>
      <c r="GG5974"/>
      <c r="GH5974"/>
      <c r="GI5974"/>
      <c r="GJ5974"/>
      <c r="GK5974"/>
      <c r="GL5974"/>
      <c r="GM5974"/>
      <c r="GN5974"/>
      <c r="GO5974"/>
    </row>
    <row r="5975" spans="107:197">
      <c r="DC5975"/>
      <c r="FH5975"/>
      <c r="FI5975"/>
      <c r="FJ5975"/>
      <c r="FK5975"/>
      <c r="FL5975"/>
      <c r="FM5975"/>
      <c r="FN5975"/>
      <c r="FO5975"/>
      <c r="FP5975"/>
      <c r="FQ5975"/>
      <c r="FR5975"/>
      <c r="FS5975"/>
      <c r="FT5975"/>
      <c r="FU5975"/>
      <c r="FV5975"/>
      <c r="FW5975"/>
      <c r="FX5975"/>
      <c r="FY5975"/>
      <c r="FZ5975"/>
      <c r="GA5975"/>
      <c r="GB5975"/>
      <c r="GC5975"/>
      <c r="GD5975"/>
      <c r="GE5975"/>
      <c r="GF5975"/>
      <c r="GG5975"/>
      <c r="GH5975"/>
      <c r="GI5975"/>
      <c r="GJ5975"/>
      <c r="GK5975"/>
      <c r="GL5975"/>
      <c r="GM5975"/>
      <c r="GN5975"/>
      <c r="GO5975"/>
    </row>
    <row r="5976" spans="107:197">
      <c r="DC5976"/>
      <c r="FH5976"/>
      <c r="FI5976"/>
      <c r="FJ5976"/>
      <c r="FK5976"/>
      <c r="FL5976"/>
      <c r="FM5976"/>
      <c r="FN5976"/>
      <c r="FO5976"/>
      <c r="FP5976"/>
      <c r="FQ5976"/>
      <c r="FR5976"/>
      <c r="FS5976"/>
      <c r="FT5976"/>
      <c r="FU5976"/>
      <c r="FV5976"/>
      <c r="FW5976"/>
      <c r="FX5976"/>
      <c r="FY5976"/>
      <c r="FZ5976"/>
      <c r="GA5976"/>
      <c r="GB5976"/>
      <c r="GC5976"/>
      <c r="GD5976"/>
      <c r="GE5976"/>
      <c r="GF5976"/>
      <c r="GG5976"/>
      <c r="GH5976"/>
      <c r="GI5976"/>
      <c r="GJ5976"/>
      <c r="GK5976"/>
      <c r="GL5976"/>
      <c r="GM5976"/>
      <c r="GN5976"/>
      <c r="GO5976"/>
    </row>
    <row r="5977" spans="107:197">
      <c r="DC5977"/>
      <c r="FH5977"/>
      <c r="FI5977"/>
      <c r="FJ5977"/>
      <c r="FK5977"/>
      <c r="FL5977"/>
      <c r="FM5977"/>
      <c r="FN5977"/>
      <c r="FO5977"/>
      <c r="FP5977"/>
      <c r="FQ5977"/>
      <c r="FR5977"/>
      <c r="FS5977"/>
      <c r="FT5977"/>
      <c r="FU5977"/>
      <c r="FV5977"/>
      <c r="FW5977"/>
      <c r="FX5977"/>
      <c r="FY5977"/>
      <c r="FZ5977"/>
      <c r="GA5977"/>
      <c r="GB5977"/>
      <c r="GC5977"/>
      <c r="GD5977"/>
      <c r="GE5977"/>
      <c r="GF5977"/>
      <c r="GG5977"/>
      <c r="GH5977"/>
      <c r="GI5977"/>
      <c r="GJ5977"/>
      <c r="GK5977"/>
      <c r="GL5977"/>
      <c r="GM5977"/>
      <c r="GN5977"/>
      <c r="GO5977"/>
    </row>
    <row r="5978" spans="107:197">
      <c r="DC5978"/>
      <c r="FH5978"/>
      <c r="FI5978"/>
      <c r="FJ5978"/>
      <c r="FK5978"/>
      <c r="FL5978"/>
      <c r="FM5978"/>
      <c r="FN5978"/>
      <c r="FO5978"/>
      <c r="FP5978"/>
      <c r="FQ5978"/>
      <c r="FR5978"/>
      <c r="FS5978"/>
      <c r="FT5978"/>
      <c r="FU5978"/>
      <c r="FV5978"/>
      <c r="FW5978"/>
      <c r="FX5978"/>
      <c r="FY5978"/>
      <c r="FZ5978"/>
      <c r="GA5978"/>
      <c r="GB5978"/>
      <c r="GC5978"/>
      <c r="GD5978"/>
      <c r="GE5978"/>
      <c r="GF5978"/>
      <c r="GG5978"/>
      <c r="GH5978"/>
      <c r="GI5978"/>
      <c r="GJ5978"/>
      <c r="GK5978"/>
      <c r="GL5978"/>
      <c r="GM5978"/>
      <c r="GN5978"/>
      <c r="GO5978"/>
    </row>
    <row r="5979" spans="107:197">
      <c r="DC5979"/>
      <c r="FH5979"/>
      <c r="FI5979"/>
      <c r="FJ5979"/>
      <c r="FK5979"/>
      <c r="FL5979"/>
      <c r="FM5979"/>
      <c r="FN5979"/>
      <c r="FO5979"/>
      <c r="FP5979"/>
      <c r="FQ5979"/>
      <c r="FR5979"/>
      <c r="FS5979"/>
      <c r="FT5979"/>
      <c r="FU5979"/>
      <c r="FV5979"/>
      <c r="FW5979"/>
      <c r="FX5979"/>
      <c r="FY5979"/>
      <c r="FZ5979"/>
      <c r="GA5979"/>
      <c r="GB5979"/>
      <c r="GC5979"/>
      <c r="GD5979"/>
      <c r="GE5979"/>
      <c r="GF5979"/>
      <c r="GG5979"/>
      <c r="GH5979"/>
      <c r="GI5979"/>
      <c r="GJ5979"/>
      <c r="GK5979"/>
      <c r="GL5979"/>
      <c r="GM5979"/>
      <c r="GN5979"/>
      <c r="GO5979"/>
    </row>
    <row r="5980" spans="107:197">
      <c r="DC5980"/>
      <c r="FH5980"/>
      <c r="FI5980"/>
      <c r="FJ5980"/>
      <c r="FK5980"/>
      <c r="FL5980"/>
      <c r="FM5980"/>
      <c r="FN5980"/>
      <c r="FO5980"/>
      <c r="FP5980"/>
      <c r="FQ5980"/>
      <c r="FR5980"/>
      <c r="FS5980"/>
      <c r="FT5980"/>
      <c r="FU5980"/>
      <c r="FV5980"/>
      <c r="FW5980"/>
      <c r="FX5980"/>
      <c r="FY5980"/>
      <c r="FZ5980"/>
      <c r="GA5980"/>
      <c r="GB5980"/>
      <c r="GC5980"/>
      <c r="GD5980"/>
      <c r="GE5980"/>
      <c r="GF5980"/>
      <c r="GG5980"/>
      <c r="GH5980"/>
      <c r="GI5980"/>
      <c r="GJ5980"/>
      <c r="GK5980"/>
      <c r="GL5980"/>
      <c r="GM5980"/>
      <c r="GN5980"/>
      <c r="GO5980"/>
    </row>
    <row r="5981" spans="107:197">
      <c r="DC5981"/>
      <c r="FH5981"/>
      <c r="FI5981"/>
      <c r="FJ5981"/>
      <c r="FK5981"/>
      <c r="FL5981"/>
      <c r="FM5981"/>
      <c r="FN5981"/>
      <c r="FO5981"/>
      <c r="FP5981"/>
      <c r="FQ5981"/>
      <c r="FR5981"/>
      <c r="FS5981"/>
      <c r="FT5981"/>
      <c r="FU5981"/>
      <c r="FV5981"/>
      <c r="FW5981"/>
      <c r="FX5981"/>
      <c r="FY5981"/>
      <c r="FZ5981"/>
      <c r="GA5981"/>
      <c r="GB5981"/>
      <c r="GC5981"/>
      <c r="GD5981"/>
      <c r="GE5981"/>
      <c r="GF5981"/>
      <c r="GG5981"/>
      <c r="GH5981"/>
      <c r="GI5981"/>
      <c r="GJ5981"/>
      <c r="GK5981"/>
      <c r="GL5981"/>
      <c r="GM5981"/>
      <c r="GN5981"/>
      <c r="GO5981"/>
    </row>
    <row r="5982" spans="107:197">
      <c r="DC5982"/>
      <c r="FH5982"/>
      <c r="FI5982"/>
      <c r="FJ5982"/>
      <c r="FK5982"/>
      <c r="FL5982"/>
      <c r="FM5982"/>
      <c r="FN5982"/>
      <c r="FO5982"/>
      <c r="FP5982"/>
      <c r="FQ5982"/>
      <c r="FR5982"/>
      <c r="FS5982"/>
      <c r="FT5982"/>
      <c r="FU5982"/>
      <c r="FV5982"/>
      <c r="FW5982"/>
      <c r="FX5982"/>
      <c r="FY5982"/>
      <c r="FZ5982"/>
      <c r="GA5982"/>
      <c r="GB5982"/>
      <c r="GC5982"/>
      <c r="GD5982"/>
      <c r="GE5982"/>
      <c r="GF5982"/>
      <c r="GG5982"/>
      <c r="GH5982"/>
      <c r="GI5982"/>
      <c r="GJ5982"/>
      <c r="GK5982"/>
      <c r="GL5982"/>
      <c r="GM5982"/>
      <c r="GN5982"/>
      <c r="GO5982"/>
    </row>
    <row r="5983" spans="107:197">
      <c r="DC5983"/>
      <c r="FH5983"/>
      <c r="FI5983"/>
      <c r="FJ5983"/>
      <c r="FK5983"/>
      <c r="FL5983"/>
      <c r="FM5983"/>
      <c r="FN5983"/>
      <c r="FO5983"/>
      <c r="FP5983"/>
      <c r="FQ5983"/>
      <c r="FR5983"/>
      <c r="FS5983"/>
      <c r="FT5983"/>
      <c r="FU5983"/>
      <c r="FV5983"/>
      <c r="FW5983"/>
      <c r="FX5983"/>
      <c r="FY5983"/>
      <c r="FZ5983"/>
      <c r="GA5983"/>
      <c r="GB5983"/>
      <c r="GC5983"/>
      <c r="GD5983"/>
      <c r="GE5983"/>
      <c r="GF5983"/>
      <c r="GG5983"/>
      <c r="GH5983"/>
      <c r="GI5983"/>
      <c r="GJ5983"/>
      <c r="GK5983"/>
      <c r="GL5983"/>
      <c r="GM5983"/>
      <c r="GN5983"/>
      <c r="GO5983"/>
    </row>
    <row r="5984" spans="107:197">
      <c r="DC5984"/>
      <c r="FH5984"/>
      <c r="FI5984"/>
      <c r="FJ5984"/>
      <c r="FK5984"/>
      <c r="FL5984"/>
      <c r="FM5984"/>
      <c r="FN5984"/>
      <c r="FO5984"/>
      <c r="FP5984"/>
      <c r="FQ5984"/>
      <c r="FR5984"/>
      <c r="FS5984"/>
      <c r="FT5984"/>
      <c r="FU5984"/>
      <c r="FV5984"/>
      <c r="FW5984"/>
      <c r="FX5984"/>
      <c r="FY5984"/>
      <c r="FZ5984"/>
      <c r="GA5984"/>
      <c r="GB5984"/>
      <c r="GC5984"/>
      <c r="GD5984"/>
      <c r="GE5984"/>
      <c r="GF5984"/>
      <c r="GG5984"/>
      <c r="GH5984"/>
      <c r="GI5984"/>
      <c r="GJ5984"/>
      <c r="GK5984"/>
      <c r="GL5984"/>
      <c r="GM5984"/>
      <c r="GN5984"/>
      <c r="GO5984"/>
    </row>
    <row r="5985" spans="107:197">
      <c r="DC5985"/>
      <c r="FH5985"/>
      <c r="FI5985"/>
      <c r="FJ5985"/>
      <c r="FK5985"/>
      <c r="FL5985"/>
      <c r="FM5985"/>
      <c r="FN5985"/>
      <c r="FO5985"/>
      <c r="FP5985"/>
      <c r="FQ5985"/>
      <c r="FR5985"/>
      <c r="FS5985"/>
      <c r="FT5985"/>
      <c r="FU5985"/>
      <c r="FV5985"/>
      <c r="FW5985"/>
      <c r="FX5985"/>
      <c r="FY5985"/>
      <c r="FZ5985"/>
      <c r="GA5985"/>
      <c r="GB5985"/>
      <c r="GC5985"/>
      <c r="GD5985"/>
      <c r="GE5985"/>
      <c r="GF5985"/>
      <c r="GG5985"/>
      <c r="GH5985"/>
      <c r="GI5985"/>
      <c r="GJ5985"/>
      <c r="GK5985"/>
      <c r="GL5985"/>
      <c r="GM5985"/>
      <c r="GN5985"/>
      <c r="GO5985"/>
    </row>
    <row r="5986" spans="107:197">
      <c r="DC5986"/>
      <c r="FH5986"/>
      <c r="FI5986"/>
      <c r="FJ5986"/>
      <c r="FK5986"/>
      <c r="FL5986"/>
      <c r="FM5986"/>
      <c r="FN5986"/>
      <c r="FO5986"/>
      <c r="FP5986"/>
      <c r="FQ5986"/>
      <c r="FR5986"/>
      <c r="FS5986"/>
      <c r="FT5986"/>
      <c r="FU5986"/>
      <c r="FV5986"/>
      <c r="FW5986"/>
      <c r="FX5986"/>
      <c r="FY5986"/>
      <c r="FZ5986"/>
      <c r="GA5986"/>
      <c r="GB5986"/>
      <c r="GC5986"/>
      <c r="GD5986"/>
      <c r="GE5986"/>
      <c r="GF5986"/>
      <c r="GG5986"/>
      <c r="GH5986"/>
      <c r="GI5986"/>
      <c r="GJ5986"/>
      <c r="GK5986"/>
      <c r="GL5986"/>
      <c r="GM5986"/>
      <c r="GN5986"/>
      <c r="GO5986"/>
    </row>
    <row r="5987" spans="107:197">
      <c r="DC5987"/>
      <c r="FH5987"/>
      <c r="FI5987"/>
      <c r="FJ5987"/>
      <c r="FK5987"/>
      <c r="FL5987"/>
      <c r="FM5987"/>
      <c r="FN5987"/>
      <c r="FO5987"/>
      <c r="FP5987"/>
      <c r="FQ5987"/>
      <c r="FR5987"/>
      <c r="FS5987"/>
      <c r="FT5987"/>
      <c r="FU5987"/>
      <c r="FV5987"/>
      <c r="FW5987"/>
      <c r="FX5987"/>
      <c r="FY5987"/>
      <c r="FZ5987"/>
      <c r="GA5987"/>
      <c r="GB5987"/>
      <c r="GC5987"/>
      <c r="GD5987"/>
      <c r="GE5987"/>
      <c r="GF5987"/>
      <c r="GG5987"/>
      <c r="GH5987"/>
      <c r="GI5987"/>
      <c r="GJ5987"/>
      <c r="GK5987"/>
      <c r="GL5987"/>
      <c r="GM5987"/>
      <c r="GN5987"/>
      <c r="GO5987"/>
    </row>
    <row r="5988" spans="107:197">
      <c r="DC5988"/>
      <c r="FH5988"/>
      <c r="FI5988"/>
      <c r="FJ5988"/>
      <c r="FK5988"/>
      <c r="FL5988"/>
      <c r="FM5988"/>
      <c r="FN5988"/>
      <c r="FO5988"/>
      <c r="FP5988"/>
      <c r="FQ5988"/>
      <c r="FR5988"/>
      <c r="FS5988"/>
      <c r="FT5988"/>
      <c r="FU5988"/>
      <c r="FV5988"/>
      <c r="FW5988"/>
      <c r="FX5988"/>
      <c r="FY5988"/>
      <c r="FZ5988"/>
      <c r="GA5988"/>
      <c r="GB5988"/>
      <c r="GC5988"/>
      <c r="GD5988"/>
      <c r="GE5988"/>
      <c r="GF5988"/>
      <c r="GG5988"/>
      <c r="GH5988"/>
      <c r="GI5988"/>
      <c r="GJ5988"/>
      <c r="GK5988"/>
      <c r="GL5988"/>
      <c r="GM5988"/>
      <c r="GN5988"/>
      <c r="GO5988"/>
    </row>
    <row r="5989" spans="107:197">
      <c r="DC5989"/>
      <c r="FH5989"/>
      <c r="FI5989"/>
      <c r="FJ5989"/>
      <c r="FK5989"/>
      <c r="FL5989"/>
      <c r="FM5989"/>
      <c r="FN5989"/>
      <c r="FO5989"/>
      <c r="FP5989"/>
      <c r="FQ5989"/>
      <c r="FR5989"/>
      <c r="FS5989"/>
      <c r="FT5989"/>
      <c r="FU5989"/>
      <c r="FV5989"/>
      <c r="FW5989"/>
      <c r="FX5989"/>
      <c r="FY5989"/>
      <c r="FZ5989"/>
      <c r="GA5989"/>
      <c r="GB5989"/>
      <c r="GC5989"/>
      <c r="GD5989"/>
      <c r="GE5989"/>
      <c r="GF5989"/>
      <c r="GG5989"/>
      <c r="GH5989"/>
      <c r="GI5989"/>
      <c r="GJ5989"/>
      <c r="GK5989"/>
      <c r="GL5989"/>
      <c r="GM5989"/>
      <c r="GN5989"/>
      <c r="GO5989"/>
    </row>
    <row r="5990" spans="107:197">
      <c r="DC5990"/>
      <c r="FH5990"/>
      <c r="FI5990"/>
      <c r="FJ5990"/>
      <c r="FK5990"/>
      <c r="FL5990"/>
      <c r="FM5990"/>
      <c r="FN5990"/>
      <c r="FO5990"/>
      <c r="FP5990"/>
      <c r="FQ5990"/>
      <c r="FR5990"/>
      <c r="FS5990"/>
      <c r="FT5990"/>
      <c r="FU5990"/>
      <c r="FV5990"/>
      <c r="FW5990"/>
      <c r="FX5990"/>
      <c r="FY5990"/>
      <c r="FZ5990"/>
      <c r="GA5990"/>
      <c r="GB5990"/>
      <c r="GC5990"/>
      <c r="GD5990"/>
      <c r="GE5990"/>
      <c r="GF5990"/>
      <c r="GG5990"/>
      <c r="GH5990"/>
      <c r="GI5990"/>
      <c r="GJ5990"/>
      <c r="GK5990"/>
      <c r="GL5990"/>
      <c r="GM5990"/>
      <c r="GN5990"/>
      <c r="GO5990"/>
    </row>
    <row r="5991" spans="107:197">
      <c r="DC5991"/>
      <c r="FH5991"/>
      <c r="FI5991"/>
      <c r="FJ5991"/>
      <c r="FK5991"/>
      <c r="FL5991"/>
      <c r="FM5991"/>
      <c r="FN5991"/>
      <c r="FO5991"/>
      <c r="FP5991"/>
      <c r="FQ5991"/>
      <c r="FR5991"/>
      <c r="FS5991"/>
      <c r="FT5991"/>
      <c r="FU5991"/>
      <c r="FV5991"/>
      <c r="FW5991"/>
      <c r="FX5991"/>
      <c r="FY5991"/>
      <c r="FZ5991"/>
      <c r="GA5991"/>
      <c r="GB5991"/>
      <c r="GC5991"/>
      <c r="GD5991"/>
      <c r="GE5991"/>
      <c r="GF5991"/>
      <c r="GG5991"/>
      <c r="GH5991"/>
      <c r="GI5991"/>
      <c r="GJ5991"/>
      <c r="GK5991"/>
      <c r="GL5991"/>
      <c r="GM5991"/>
      <c r="GN5991"/>
      <c r="GO5991"/>
    </row>
    <row r="5992" spans="107:197">
      <c r="DC5992"/>
      <c r="FH5992"/>
      <c r="FI5992"/>
      <c r="FJ5992"/>
      <c r="FK5992"/>
      <c r="FL5992"/>
      <c r="FM5992"/>
      <c r="FN5992"/>
      <c r="FO5992"/>
      <c r="FP5992"/>
      <c r="FQ5992"/>
      <c r="FR5992"/>
      <c r="FS5992"/>
      <c r="FT5992"/>
      <c r="FU5992"/>
      <c r="FV5992"/>
      <c r="FW5992"/>
      <c r="FX5992"/>
      <c r="FY5992"/>
      <c r="FZ5992"/>
      <c r="GA5992"/>
      <c r="GB5992"/>
      <c r="GC5992"/>
      <c r="GD5992"/>
      <c r="GE5992"/>
      <c r="GF5992"/>
      <c r="GG5992"/>
      <c r="GH5992"/>
      <c r="GI5992"/>
      <c r="GJ5992"/>
      <c r="GK5992"/>
      <c r="GL5992"/>
      <c r="GM5992"/>
      <c r="GN5992"/>
      <c r="GO5992"/>
    </row>
    <row r="5993" spans="107:197">
      <c r="DC5993"/>
      <c r="FH5993"/>
      <c r="FI5993"/>
      <c r="FJ5993"/>
      <c r="FK5993"/>
      <c r="FL5993"/>
      <c r="FM5993"/>
      <c r="FN5993"/>
      <c r="FO5993"/>
      <c r="FP5993"/>
      <c r="FQ5993"/>
      <c r="FR5993"/>
      <c r="FS5993"/>
      <c r="FT5993"/>
      <c r="FU5993"/>
      <c r="FV5993"/>
      <c r="FW5993"/>
      <c r="FX5993"/>
      <c r="FY5993"/>
      <c r="FZ5993"/>
      <c r="GA5993"/>
      <c r="GB5993"/>
      <c r="GC5993"/>
      <c r="GD5993"/>
      <c r="GE5993"/>
      <c r="GF5993"/>
      <c r="GG5993"/>
      <c r="GH5993"/>
      <c r="GI5993"/>
      <c r="GJ5993"/>
      <c r="GK5993"/>
      <c r="GL5993"/>
      <c r="GM5993"/>
      <c r="GN5993"/>
      <c r="GO5993"/>
    </row>
    <row r="5994" spans="107:197">
      <c r="DC5994"/>
      <c r="FH5994"/>
      <c r="FI5994"/>
      <c r="FJ5994"/>
      <c r="FK5994"/>
      <c r="FL5994"/>
      <c r="FM5994"/>
      <c r="FN5994"/>
      <c r="FO5994"/>
      <c r="FP5994"/>
      <c r="FQ5994"/>
      <c r="FR5994"/>
      <c r="FS5994"/>
      <c r="FT5994"/>
      <c r="FU5994"/>
      <c r="FV5994"/>
      <c r="FW5994"/>
      <c r="FX5994"/>
      <c r="FY5994"/>
      <c r="FZ5994"/>
      <c r="GA5994"/>
      <c r="GB5994"/>
      <c r="GC5994"/>
      <c r="GD5994"/>
      <c r="GE5994"/>
      <c r="GF5994"/>
      <c r="GG5994"/>
      <c r="GH5994"/>
      <c r="GI5994"/>
      <c r="GJ5994"/>
      <c r="GK5994"/>
      <c r="GL5994"/>
      <c r="GM5994"/>
      <c r="GN5994"/>
      <c r="GO5994"/>
    </row>
    <row r="5995" spans="107:197">
      <c r="DC5995"/>
      <c r="FH5995"/>
      <c r="FI5995"/>
      <c r="FJ5995"/>
      <c r="FK5995"/>
      <c r="FL5995"/>
      <c r="FM5995"/>
      <c r="FN5995"/>
      <c r="FO5995"/>
      <c r="FP5995"/>
      <c r="FQ5995"/>
      <c r="FR5995"/>
      <c r="FS5995"/>
      <c r="FT5995"/>
      <c r="FU5995"/>
      <c r="FV5995"/>
      <c r="FW5995"/>
      <c r="FX5995"/>
      <c r="FY5995"/>
      <c r="FZ5995"/>
      <c r="GA5995"/>
      <c r="GB5995"/>
      <c r="GC5995"/>
      <c r="GD5995"/>
      <c r="GE5995"/>
      <c r="GF5995"/>
      <c r="GG5995"/>
      <c r="GH5995"/>
      <c r="GI5995"/>
      <c r="GJ5995"/>
      <c r="GK5995"/>
      <c r="GL5995"/>
      <c r="GM5995"/>
      <c r="GN5995"/>
      <c r="GO5995"/>
    </row>
    <row r="5996" spans="107:197">
      <c r="DC5996"/>
      <c r="FH5996"/>
      <c r="FI5996"/>
      <c r="FJ5996"/>
      <c r="FK5996"/>
      <c r="FL5996"/>
      <c r="FM5996"/>
      <c r="FN5996"/>
      <c r="FO5996"/>
      <c r="FP5996"/>
      <c r="FQ5996"/>
      <c r="FR5996"/>
      <c r="FS5996"/>
      <c r="FT5996"/>
      <c r="FU5996"/>
      <c r="FV5996"/>
      <c r="FW5996"/>
      <c r="FX5996"/>
      <c r="FY5996"/>
      <c r="FZ5996"/>
      <c r="GA5996"/>
      <c r="GB5996"/>
      <c r="GC5996"/>
      <c r="GD5996"/>
      <c r="GE5996"/>
      <c r="GF5996"/>
      <c r="GG5996"/>
      <c r="GH5996"/>
      <c r="GI5996"/>
      <c r="GJ5996"/>
      <c r="GK5996"/>
      <c r="GL5996"/>
      <c r="GM5996"/>
      <c r="GN5996"/>
      <c r="GO5996"/>
    </row>
    <row r="5997" spans="107:197">
      <c r="DC5997"/>
      <c r="FH5997"/>
      <c r="FI5997"/>
      <c r="FJ5997"/>
      <c r="FK5997"/>
      <c r="FL5997"/>
      <c r="FM5997"/>
      <c r="FN5997"/>
      <c r="FO5997"/>
      <c r="FP5997"/>
      <c r="FQ5997"/>
      <c r="FR5997"/>
      <c r="FS5997"/>
      <c r="FT5997"/>
      <c r="FU5997"/>
      <c r="FV5997"/>
      <c r="FW5997"/>
      <c r="FX5997"/>
      <c r="FY5997"/>
      <c r="FZ5997"/>
      <c r="GA5997"/>
      <c r="GB5997"/>
      <c r="GC5997"/>
      <c r="GD5997"/>
      <c r="GE5997"/>
      <c r="GF5997"/>
      <c r="GG5997"/>
      <c r="GH5997"/>
      <c r="GI5997"/>
      <c r="GJ5997"/>
      <c r="GK5997"/>
      <c r="GL5997"/>
      <c r="GM5997"/>
      <c r="GN5997"/>
      <c r="GO5997"/>
    </row>
    <row r="5998" spans="107:197">
      <c r="DC5998"/>
      <c r="FH5998"/>
      <c r="FI5998"/>
      <c r="FJ5998"/>
      <c r="FK5998"/>
      <c r="FL5998"/>
      <c r="FM5998"/>
      <c r="FN5998"/>
      <c r="FO5998"/>
      <c r="FP5998"/>
      <c r="FQ5998"/>
      <c r="FR5998"/>
      <c r="FS5998"/>
      <c r="FT5998"/>
      <c r="FU5998"/>
      <c r="FV5998"/>
      <c r="FW5998"/>
      <c r="FX5998"/>
      <c r="FY5998"/>
      <c r="FZ5998"/>
      <c r="GA5998"/>
      <c r="GB5998"/>
      <c r="GC5998"/>
      <c r="GD5998"/>
      <c r="GE5998"/>
      <c r="GF5998"/>
      <c r="GG5998"/>
      <c r="GH5998"/>
      <c r="GI5998"/>
      <c r="GJ5998"/>
      <c r="GK5998"/>
      <c r="GL5998"/>
      <c r="GM5998"/>
      <c r="GN5998"/>
      <c r="GO5998"/>
    </row>
    <row r="5999" spans="107:197">
      <c r="DC5999"/>
      <c r="FH5999"/>
      <c r="FI5999"/>
      <c r="FJ5999"/>
      <c r="FK5999"/>
      <c r="FL5999"/>
      <c r="FM5999"/>
      <c r="FN5999"/>
      <c r="FO5999"/>
      <c r="FP5999"/>
      <c r="FQ5999"/>
      <c r="FR5999"/>
      <c r="FS5999"/>
      <c r="FT5999"/>
      <c r="FU5999"/>
      <c r="FV5999"/>
      <c r="FW5999"/>
      <c r="FX5999"/>
      <c r="FY5999"/>
      <c r="FZ5999"/>
      <c r="GA5999"/>
      <c r="GB5999"/>
      <c r="GC5999"/>
      <c r="GD5999"/>
      <c r="GE5999"/>
      <c r="GF5999"/>
      <c r="GG5999"/>
      <c r="GH5999"/>
      <c r="GI5999"/>
      <c r="GJ5999"/>
      <c r="GK5999"/>
      <c r="GL5999"/>
      <c r="GM5999"/>
      <c r="GN5999"/>
      <c r="GO5999"/>
    </row>
    <row r="6000" spans="107:197">
      <c r="DC6000"/>
      <c r="FH6000"/>
      <c r="FI6000"/>
      <c r="FJ6000"/>
      <c r="FK6000"/>
      <c r="FL6000"/>
      <c r="FM6000"/>
      <c r="FN6000"/>
      <c r="FO6000"/>
      <c r="FP6000"/>
      <c r="FQ6000"/>
      <c r="FR6000"/>
      <c r="FS6000"/>
      <c r="FT6000"/>
      <c r="FU6000"/>
      <c r="FV6000"/>
      <c r="FW6000"/>
      <c r="FX6000"/>
      <c r="FY6000"/>
      <c r="FZ6000"/>
      <c r="GA6000"/>
      <c r="GB6000"/>
      <c r="GC6000"/>
      <c r="GD6000"/>
      <c r="GE6000"/>
      <c r="GF6000"/>
      <c r="GG6000"/>
      <c r="GH6000"/>
      <c r="GI6000"/>
      <c r="GJ6000"/>
      <c r="GK6000"/>
      <c r="GL6000"/>
      <c r="GM6000"/>
      <c r="GN6000"/>
      <c r="GO6000"/>
    </row>
    <row r="6001" spans="107:197">
      <c r="DC6001"/>
      <c r="FH6001"/>
      <c r="FI6001"/>
      <c r="FJ6001"/>
      <c r="FK6001"/>
      <c r="FL6001"/>
      <c r="FM6001"/>
      <c r="FN6001"/>
      <c r="FO6001"/>
      <c r="FP6001"/>
      <c r="FQ6001"/>
      <c r="FR6001"/>
      <c r="FS6001"/>
      <c r="FT6001"/>
      <c r="FU6001"/>
      <c r="FV6001"/>
      <c r="FW6001"/>
      <c r="FX6001"/>
      <c r="FY6001"/>
      <c r="FZ6001"/>
      <c r="GA6001"/>
      <c r="GB6001"/>
      <c r="GC6001"/>
      <c r="GD6001"/>
      <c r="GE6001"/>
      <c r="GF6001"/>
      <c r="GG6001"/>
      <c r="GH6001"/>
      <c r="GI6001"/>
      <c r="GJ6001"/>
      <c r="GK6001"/>
      <c r="GL6001"/>
      <c r="GM6001"/>
      <c r="GN6001"/>
      <c r="GO6001"/>
    </row>
    <row r="6002" spans="107:197">
      <c r="DC6002"/>
      <c r="FH6002"/>
      <c r="FI6002"/>
      <c r="FJ6002"/>
      <c r="FK6002"/>
      <c r="FL6002"/>
      <c r="FM6002"/>
      <c r="FN6002"/>
      <c r="FO6002"/>
      <c r="FP6002"/>
      <c r="FQ6002"/>
      <c r="FR6002"/>
      <c r="FS6002"/>
      <c r="FT6002"/>
      <c r="FU6002"/>
      <c r="FV6002"/>
      <c r="FW6002"/>
      <c r="FX6002"/>
      <c r="FY6002"/>
      <c r="FZ6002"/>
      <c r="GA6002"/>
      <c r="GB6002"/>
      <c r="GC6002"/>
      <c r="GD6002"/>
      <c r="GE6002"/>
      <c r="GF6002"/>
      <c r="GG6002"/>
      <c r="GH6002"/>
      <c r="GI6002"/>
      <c r="GJ6002"/>
      <c r="GK6002"/>
      <c r="GL6002"/>
      <c r="GM6002"/>
      <c r="GN6002"/>
      <c r="GO6002"/>
    </row>
    <row r="6003" spans="107:197">
      <c r="DC6003"/>
      <c r="FH6003"/>
      <c r="FI6003"/>
      <c r="FJ6003"/>
      <c r="FK6003"/>
      <c r="FL6003"/>
      <c r="FM6003"/>
      <c r="FN6003"/>
      <c r="FO6003"/>
      <c r="FP6003"/>
      <c r="FQ6003"/>
      <c r="FR6003"/>
      <c r="FS6003"/>
      <c r="FT6003"/>
      <c r="FU6003"/>
      <c r="FV6003"/>
      <c r="FW6003"/>
      <c r="FX6003"/>
      <c r="FY6003"/>
      <c r="FZ6003"/>
      <c r="GA6003"/>
      <c r="GB6003"/>
      <c r="GC6003"/>
      <c r="GD6003"/>
      <c r="GE6003"/>
      <c r="GF6003"/>
      <c r="GG6003"/>
      <c r="GH6003"/>
      <c r="GI6003"/>
      <c r="GJ6003"/>
      <c r="GK6003"/>
      <c r="GL6003"/>
      <c r="GM6003"/>
      <c r="GN6003"/>
      <c r="GO6003"/>
    </row>
    <row r="6004" spans="107:197">
      <c r="DC6004"/>
      <c r="FH6004"/>
      <c r="FI6004"/>
      <c r="FJ6004"/>
      <c r="FK6004"/>
      <c r="FL6004"/>
      <c r="FM6004"/>
      <c r="FN6004"/>
      <c r="FO6004"/>
      <c r="FP6004"/>
      <c r="FQ6004"/>
      <c r="FR6004"/>
      <c r="FS6004"/>
      <c r="FT6004"/>
      <c r="FU6004"/>
      <c r="FV6004"/>
      <c r="FW6004"/>
      <c r="FX6004"/>
      <c r="FY6004"/>
      <c r="FZ6004"/>
      <c r="GA6004"/>
      <c r="GB6004"/>
      <c r="GC6004"/>
      <c r="GD6004"/>
      <c r="GE6004"/>
      <c r="GF6004"/>
      <c r="GG6004"/>
      <c r="GH6004"/>
      <c r="GI6004"/>
      <c r="GJ6004"/>
      <c r="GK6004"/>
      <c r="GL6004"/>
      <c r="GM6004"/>
      <c r="GN6004"/>
      <c r="GO6004"/>
    </row>
    <row r="6005" spans="107:197">
      <c r="DC6005"/>
      <c r="FH6005"/>
      <c r="FI6005"/>
      <c r="FJ6005"/>
      <c r="FK6005"/>
      <c r="FL6005"/>
      <c r="FM6005"/>
      <c r="FN6005"/>
      <c r="FO6005"/>
      <c r="FP6005"/>
      <c r="FQ6005"/>
      <c r="FR6005"/>
      <c r="FS6005"/>
      <c r="FT6005"/>
      <c r="FU6005"/>
      <c r="FV6005"/>
      <c r="FW6005"/>
      <c r="FX6005"/>
      <c r="FY6005"/>
      <c r="FZ6005"/>
      <c r="GA6005"/>
      <c r="GB6005"/>
      <c r="GC6005"/>
      <c r="GD6005"/>
      <c r="GE6005"/>
      <c r="GF6005"/>
      <c r="GG6005"/>
      <c r="GH6005"/>
      <c r="GI6005"/>
      <c r="GJ6005"/>
      <c r="GK6005"/>
      <c r="GL6005"/>
      <c r="GM6005"/>
      <c r="GN6005"/>
      <c r="GO6005"/>
    </row>
    <row r="6006" spans="107:197">
      <c r="DC6006"/>
      <c r="FH6006"/>
      <c r="FI6006"/>
      <c r="FJ6006"/>
      <c r="FK6006"/>
      <c r="FL6006"/>
      <c r="FM6006"/>
      <c r="FN6006"/>
      <c r="FO6006"/>
      <c r="FP6006"/>
      <c r="FQ6006"/>
      <c r="FR6006"/>
      <c r="FS6006"/>
      <c r="FT6006"/>
      <c r="FU6006"/>
      <c r="FV6006"/>
      <c r="FW6006"/>
      <c r="FX6006"/>
      <c r="FY6006"/>
      <c r="FZ6006"/>
      <c r="GA6006"/>
      <c r="GB6006"/>
      <c r="GC6006"/>
      <c r="GD6006"/>
      <c r="GE6006"/>
      <c r="GF6006"/>
      <c r="GG6006"/>
      <c r="GH6006"/>
      <c r="GI6006"/>
      <c r="GJ6006"/>
      <c r="GK6006"/>
      <c r="GL6006"/>
      <c r="GM6006"/>
      <c r="GN6006"/>
      <c r="GO6006"/>
    </row>
    <row r="6007" spans="107:197">
      <c r="DC6007"/>
      <c r="FH6007"/>
      <c r="FI6007"/>
      <c r="FJ6007"/>
      <c r="FK6007"/>
      <c r="FL6007"/>
      <c r="FM6007"/>
      <c r="FN6007"/>
      <c r="FO6007"/>
      <c r="FP6007"/>
      <c r="FQ6007"/>
      <c r="FR6007"/>
      <c r="FS6007"/>
      <c r="FT6007"/>
      <c r="FU6007"/>
      <c r="FV6007"/>
      <c r="FW6007"/>
      <c r="FX6007"/>
      <c r="FY6007"/>
      <c r="FZ6007"/>
      <c r="GA6007"/>
      <c r="GB6007"/>
      <c r="GC6007"/>
      <c r="GD6007"/>
      <c r="GE6007"/>
      <c r="GF6007"/>
      <c r="GG6007"/>
      <c r="GH6007"/>
      <c r="GI6007"/>
      <c r="GJ6007"/>
      <c r="GK6007"/>
      <c r="GL6007"/>
      <c r="GM6007"/>
      <c r="GN6007"/>
      <c r="GO6007"/>
    </row>
    <row r="6008" spans="107:197">
      <c r="DC6008"/>
      <c r="FH6008"/>
      <c r="FI6008"/>
      <c r="FJ6008"/>
      <c r="FK6008"/>
      <c r="FL6008"/>
      <c r="FM6008"/>
      <c r="FN6008"/>
      <c r="FO6008"/>
      <c r="FP6008"/>
      <c r="FQ6008"/>
      <c r="FR6008"/>
      <c r="FS6008"/>
      <c r="FT6008"/>
      <c r="FU6008"/>
      <c r="FV6008"/>
      <c r="FW6008"/>
      <c r="FX6008"/>
      <c r="FY6008"/>
      <c r="FZ6008"/>
      <c r="GA6008"/>
      <c r="GB6008"/>
      <c r="GC6008"/>
      <c r="GD6008"/>
      <c r="GE6008"/>
      <c r="GF6008"/>
      <c r="GG6008"/>
      <c r="GH6008"/>
      <c r="GI6008"/>
      <c r="GJ6008"/>
      <c r="GK6008"/>
      <c r="GL6008"/>
      <c r="GM6008"/>
      <c r="GN6008"/>
      <c r="GO6008"/>
    </row>
    <row r="6009" spans="107:197">
      <c r="DC6009"/>
      <c r="FH6009"/>
      <c r="FI6009"/>
      <c r="FJ6009"/>
      <c r="FK6009"/>
      <c r="FL6009"/>
      <c r="FM6009"/>
      <c r="FN6009"/>
      <c r="FO6009"/>
      <c r="FP6009"/>
      <c r="FQ6009"/>
      <c r="FR6009"/>
      <c r="FS6009"/>
      <c r="FT6009"/>
      <c r="FU6009"/>
      <c r="FV6009"/>
      <c r="FW6009"/>
      <c r="FX6009"/>
      <c r="FY6009"/>
      <c r="FZ6009"/>
      <c r="GA6009"/>
      <c r="GB6009"/>
      <c r="GC6009"/>
      <c r="GD6009"/>
      <c r="GE6009"/>
      <c r="GF6009"/>
      <c r="GG6009"/>
      <c r="GH6009"/>
      <c r="GI6009"/>
      <c r="GJ6009"/>
      <c r="GK6009"/>
      <c r="GL6009"/>
      <c r="GM6009"/>
      <c r="GN6009"/>
      <c r="GO6009"/>
    </row>
    <row r="6010" spans="107:197">
      <c r="DC6010"/>
      <c r="FH6010"/>
      <c r="FI6010"/>
      <c r="FJ6010"/>
      <c r="FK6010"/>
      <c r="FL6010"/>
      <c r="FM6010"/>
      <c r="FN6010"/>
      <c r="FO6010"/>
      <c r="FP6010"/>
      <c r="FQ6010"/>
      <c r="FR6010"/>
      <c r="FS6010"/>
      <c r="FT6010"/>
      <c r="FU6010"/>
      <c r="FV6010"/>
      <c r="FW6010"/>
      <c r="FX6010"/>
      <c r="FY6010"/>
      <c r="FZ6010"/>
      <c r="GA6010"/>
      <c r="GB6010"/>
      <c r="GC6010"/>
      <c r="GD6010"/>
      <c r="GE6010"/>
      <c r="GF6010"/>
      <c r="GG6010"/>
      <c r="GH6010"/>
      <c r="GI6010"/>
      <c r="GJ6010"/>
      <c r="GK6010"/>
      <c r="GL6010"/>
      <c r="GM6010"/>
      <c r="GN6010"/>
      <c r="GO6010"/>
    </row>
    <row r="6011" spans="107:197">
      <c r="DC6011"/>
      <c r="FH6011"/>
      <c r="FI6011"/>
      <c r="FJ6011"/>
      <c r="FK6011"/>
      <c r="FL6011"/>
      <c r="FM6011"/>
      <c r="FN6011"/>
      <c r="FO6011"/>
      <c r="FP6011"/>
      <c r="FQ6011"/>
      <c r="FR6011"/>
      <c r="FS6011"/>
      <c r="FT6011"/>
      <c r="FU6011"/>
      <c r="FV6011"/>
      <c r="FW6011"/>
      <c r="FX6011"/>
      <c r="FY6011"/>
      <c r="FZ6011"/>
      <c r="GA6011"/>
      <c r="GB6011"/>
      <c r="GC6011"/>
      <c r="GD6011"/>
      <c r="GE6011"/>
      <c r="GF6011"/>
      <c r="GG6011"/>
      <c r="GH6011"/>
      <c r="GI6011"/>
      <c r="GJ6011"/>
      <c r="GK6011"/>
      <c r="GL6011"/>
      <c r="GM6011"/>
      <c r="GN6011"/>
      <c r="GO6011"/>
    </row>
    <row r="6012" spans="107:197">
      <c r="DC6012"/>
      <c r="FH6012"/>
      <c r="FI6012"/>
      <c r="FJ6012"/>
      <c r="FK6012"/>
      <c r="FL6012"/>
      <c r="FM6012"/>
      <c r="FN6012"/>
      <c r="FO6012"/>
      <c r="FP6012"/>
      <c r="FQ6012"/>
      <c r="FR6012"/>
      <c r="FS6012"/>
      <c r="FT6012"/>
      <c r="FU6012"/>
      <c r="FV6012"/>
      <c r="FW6012"/>
      <c r="FX6012"/>
      <c r="FY6012"/>
      <c r="FZ6012"/>
      <c r="GA6012"/>
      <c r="GB6012"/>
      <c r="GC6012"/>
      <c r="GD6012"/>
      <c r="GE6012"/>
      <c r="GF6012"/>
      <c r="GG6012"/>
      <c r="GH6012"/>
      <c r="GI6012"/>
      <c r="GJ6012"/>
      <c r="GK6012"/>
      <c r="GL6012"/>
      <c r="GM6012"/>
      <c r="GN6012"/>
      <c r="GO6012"/>
    </row>
    <row r="6013" spans="107:197">
      <c r="DC6013"/>
      <c r="FH6013"/>
      <c r="FI6013"/>
      <c r="FJ6013"/>
      <c r="FK6013"/>
      <c r="FL6013"/>
      <c r="FM6013"/>
      <c r="FN6013"/>
      <c r="FO6013"/>
      <c r="FP6013"/>
      <c r="FQ6013"/>
      <c r="FR6013"/>
      <c r="FS6013"/>
      <c r="FT6013"/>
      <c r="FU6013"/>
      <c r="FV6013"/>
      <c r="FW6013"/>
      <c r="FX6013"/>
      <c r="FY6013"/>
      <c r="FZ6013"/>
      <c r="GA6013"/>
      <c r="GB6013"/>
      <c r="GC6013"/>
      <c r="GD6013"/>
      <c r="GE6013"/>
      <c r="GF6013"/>
      <c r="GG6013"/>
      <c r="GH6013"/>
      <c r="GI6013"/>
      <c r="GJ6013"/>
      <c r="GK6013"/>
      <c r="GL6013"/>
      <c r="GM6013"/>
      <c r="GN6013"/>
      <c r="GO6013"/>
    </row>
    <row r="6014" spans="107:197">
      <c r="DC6014"/>
      <c r="FH6014"/>
      <c r="FI6014"/>
      <c r="FJ6014"/>
      <c r="FK6014"/>
      <c r="FL6014"/>
      <c r="FM6014"/>
      <c r="FN6014"/>
      <c r="FO6014"/>
      <c r="FP6014"/>
      <c r="FQ6014"/>
      <c r="FR6014"/>
      <c r="FS6014"/>
      <c r="FT6014"/>
      <c r="FU6014"/>
      <c r="FV6014"/>
      <c r="FW6014"/>
      <c r="FX6014"/>
      <c r="FY6014"/>
      <c r="FZ6014"/>
      <c r="GA6014"/>
      <c r="GB6014"/>
      <c r="GC6014"/>
      <c r="GD6014"/>
      <c r="GE6014"/>
      <c r="GF6014"/>
      <c r="GG6014"/>
      <c r="GH6014"/>
      <c r="GI6014"/>
      <c r="GJ6014"/>
      <c r="GK6014"/>
      <c r="GL6014"/>
      <c r="GM6014"/>
      <c r="GN6014"/>
      <c r="GO6014"/>
    </row>
    <row r="6015" spans="107:197">
      <c r="DC6015"/>
      <c r="FH6015"/>
      <c r="FI6015"/>
      <c r="FJ6015"/>
      <c r="FK6015"/>
      <c r="FL6015"/>
      <c r="FM6015"/>
      <c r="FN6015"/>
      <c r="FO6015"/>
      <c r="FP6015"/>
      <c r="FQ6015"/>
      <c r="FR6015"/>
      <c r="FS6015"/>
      <c r="FT6015"/>
      <c r="FU6015"/>
      <c r="FV6015"/>
      <c r="FW6015"/>
      <c r="FX6015"/>
      <c r="FY6015"/>
      <c r="FZ6015"/>
      <c r="GA6015"/>
      <c r="GB6015"/>
      <c r="GC6015"/>
      <c r="GD6015"/>
      <c r="GE6015"/>
      <c r="GF6015"/>
      <c r="GG6015"/>
      <c r="GH6015"/>
      <c r="GI6015"/>
      <c r="GJ6015"/>
      <c r="GK6015"/>
      <c r="GL6015"/>
      <c r="GM6015"/>
      <c r="GN6015"/>
      <c r="GO6015"/>
    </row>
    <row r="6016" spans="107:197">
      <c r="DC6016"/>
      <c r="FH6016"/>
      <c r="FI6016"/>
      <c r="FJ6016"/>
      <c r="FK6016"/>
      <c r="FL6016"/>
      <c r="FM6016"/>
      <c r="FN6016"/>
      <c r="FO6016"/>
      <c r="FP6016"/>
      <c r="FQ6016"/>
      <c r="FR6016"/>
      <c r="FS6016"/>
      <c r="FT6016"/>
      <c r="FU6016"/>
      <c r="FV6016"/>
      <c r="FW6016"/>
      <c r="FX6016"/>
      <c r="FY6016"/>
      <c r="FZ6016"/>
      <c r="GA6016"/>
      <c r="GB6016"/>
      <c r="GC6016"/>
      <c r="GD6016"/>
      <c r="GE6016"/>
      <c r="GF6016"/>
      <c r="GG6016"/>
      <c r="GH6016"/>
      <c r="GI6016"/>
      <c r="GJ6016"/>
      <c r="GK6016"/>
      <c r="GL6016"/>
      <c r="GM6016"/>
      <c r="GN6016"/>
      <c r="GO6016"/>
    </row>
    <row r="6017" spans="107:197">
      <c r="DC6017"/>
      <c r="FH6017"/>
      <c r="FI6017"/>
      <c r="FJ6017"/>
      <c r="FK6017"/>
      <c r="FL6017"/>
      <c r="FM6017"/>
      <c r="FN6017"/>
      <c r="FO6017"/>
      <c r="FP6017"/>
      <c r="FQ6017"/>
      <c r="FR6017"/>
      <c r="FS6017"/>
      <c r="FT6017"/>
      <c r="FU6017"/>
      <c r="FV6017"/>
      <c r="FW6017"/>
      <c r="FX6017"/>
      <c r="FY6017"/>
      <c r="FZ6017"/>
      <c r="GA6017"/>
      <c r="GB6017"/>
      <c r="GC6017"/>
      <c r="GD6017"/>
      <c r="GE6017"/>
      <c r="GF6017"/>
      <c r="GG6017"/>
      <c r="GH6017"/>
      <c r="GI6017"/>
      <c r="GJ6017"/>
      <c r="GK6017"/>
      <c r="GL6017"/>
      <c r="GM6017"/>
      <c r="GN6017"/>
      <c r="GO6017"/>
    </row>
    <row r="6018" spans="107:197">
      <c r="DC6018"/>
      <c r="FH6018"/>
      <c r="FI6018"/>
      <c r="FJ6018"/>
      <c r="FK6018"/>
      <c r="FL6018"/>
      <c r="FM6018"/>
      <c r="FN6018"/>
      <c r="FO6018"/>
      <c r="FP6018"/>
      <c r="FQ6018"/>
      <c r="FR6018"/>
      <c r="FS6018"/>
      <c r="FT6018"/>
      <c r="FU6018"/>
      <c r="FV6018"/>
      <c r="FW6018"/>
      <c r="FX6018"/>
      <c r="FY6018"/>
      <c r="FZ6018"/>
      <c r="GA6018"/>
      <c r="GB6018"/>
      <c r="GC6018"/>
      <c r="GD6018"/>
      <c r="GE6018"/>
      <c r="GF6018"/>
      <c r="GG6018"/>
      <c r="GH6018"/>
      <c r="GI6018"/>
      <c r="GJ6018"/>
      <c r="GK6018"/>
      <c r="GL6018"/>
      <c r="GM6018"/>
      <c r="GN6018"/>
      <c r="GO6018"/>
    </row>
    <row r="6019" spans="107:197">
      <c r="DC6019"/>
      <c r="FH6019"/>
      <c r="FI6019"/>
      <c r="FJ6019"/>
      <c r="FK6019"/>
      <c r="FL6019"/>
      <c r="FM6019"/>
      <c r="FN6019"/>
      <c r="FO6019"/>
      <c r="FP6019"/>
      <c r="FQ6019"/>
      <c r="FR6019"/>
      <c r="FS6019"/>
      <c r="FT6019"/>
      <c r="FU6019"/>
      <c r="FV6019"/>
      <c r="FW6019"/>
      <c r="FX6019"/>
      <c r="FY6019"/>
      <c r="FZ6019"/>
      <c r="GA6019"/>
      <c r="GB6019"/>
      <c r="GC6019"/>
      <c r="GD6019"/>
      <c r="GE6019"/>
      <c r="GF6019"/>
      <c r="GG6019"/>
      <c r="GH6019"/>
      <c r="GI6019"/>
      <c r="GJ6019"/>
      <c r="GK6019"/>
      <c r="GL6019"/>
      <c r="GM6019"/>
      <c r="GN6019"/>
      <c r="GO6019"/>
    </row>
    <row r="6020" spans="107:197">
      <c r="DC6020"/>
      <c r="FH6020"/>
      <c r="FI6020"/>
      <c r="FJ6020"/>
      <c r="FK6020"/>
      <c r="FL6020"/>
      <c r="FM6020"/>
      <c r="FN6020"/>
      <c r="FO6020"/>
      <c r="FP6020"/>
      <c r="FQ6020"/>
      <c r="FR6020"/>
      <c r="FS6020"/>
      <c r="FT6020"/>
      <c r="FU6020"/>
      <c r="FV6020"/>
      <c r="FW6020"/>
      <c r="FX6020"/>
      <c r="FY6020"/>
      <c r="FZ6020"/>
      <c r="GA6020"/>
      <c r="GB6020"/>
      <c r="GC6020"/>
      <c r="GD6020"/>
      <c r="GE6020"/>
      <c r="GF6020"/>
      <c r="GG6020"/>
      <c r="GH6020"/>
      <c r="GI6020"/>
      <c r="GJ6020"/>
      <c r="GK6020"/>
      <c r="GL6020"/>
      <c r="GM6020"/>
      <c r="GN6020"/>
      <c r="GO6020"/>
    </row>
    <row r="6021" spans="107:197">
      <c r="DC6021"/>
      <c r="FH6021"/>
      <c r="FI6021"/>
      <c r="FJ6021"/>
      <c r="FK6021"/>
      <c r="FL6021"/>
      <c r="FM6021"/>
      <c r="FN6021"/>
      <c r="FO6021"/>
      <c r="FP6021"/>
      <c r="FQ6021"/>
      <c r="FR6021"/>
      <c r="FS6021"/>
      <c r="FT6021"/>
      <c r="FU6021"/>
      <c r="FV6021"/>
      <c r="FW6021"/>
      <c r="FX6021"/>
      <c r="FY6021"/>
      <c r="FZ6021"/>
      <c r="GA6021"/>
      <c r="GB6021"/>
      <c r="GC6021"/>
      <c r="GD6021"/>
      <c r="GE6021"/>
      <c r="GF6021"/>
      <c r="GG6021"/>
      <c r="GH6021"/>
      <c r="GI6021"/>
      <c r="GJ6021"/>
      <c r="GK6021"/>
      <c r="GL6021"/>
      <c r="GM6021"/>
      <c r="GN6021"/>
      <c r="GO6021"/>
    </row>
    <row r="6022" spans="107:197">
      <c r="DC6022"/>
      <c r="FH6022"/>
      <c r="FI6022"/>
      <c r="FJ6022"/>
      <c r="FK6022"/>
      <c r="FL6022"/>
      <c r="FM6022"/>
      <c r="FN6022"/>
      <c r="FO6022"/>
      <c r="FP6022"/>
      <c r="FQ6022"/>
      <c r="FR6022"/>
      <c r="FS6022"/>
      <c r="FT6022"/>
      <c r="FU6022"/>
      <c r="FV6022"/>
      <c r="FW6022"/>
      <c r="FX6022"/>
      <c r="FY6022"/>
      <c r="FZ6022"/>
      <c r="GA6022"/>
      <c r="GB6022"/>
      <c r="GC6022"/>
      <c r="GD6022"/>
      <c r="GE6022"/>
      <c r="GF6022"/>
      <c r="GG6022"/>
      <c r="GH6022"/>
      <c r="GI6022"/>
      <c r="GJ6022"/>
      <c r="GK6022"/>
      <c r="GL6022"/>
      <c r="GM6022"/>
      <c r="GN6022"/>
      <c r="GO6022"/>
    </row>
    <row r="6023" spans="107:197">
      <c r="DC6023"/>
      <c r="FH6023"/>
      <c r="FI6023"/>
      <c r="FJ6023"/>
      <c r="FK6023"/>
      <c r="FL6023"/>
      <c r="FM6023"/>
      <c r="FN6023"/>
      <c r="FO6023"/>
      <c r="FP6023"/>
      <c r="FQ6023"/>
      <c r="FR6023"/>
      <c r="FS6023"/>
      <c r="FT6023"/>
      <c r="FU6023"/>
      <c r="FV6023"/>
      <c r="FW6023"/>
      <c r="FX6023"/>
      <c r="FY6023"/>
      <c r="FZ6023"/>
      <c r="GA6023"/>
      <c r="GB6023"/>
      <c r="GC6023"/>
      <c r="GD6023"/>
      <c r="GE6023"/>
      <c r="GF6023"/>
      <c r="GG6023"/>
      <c r="GH6023"/>
      <c r="GI6023"/>
      <c r="GJ6023"/>
      <c r="GK6023"/>
      <c r="GL6023"/>
      <c r="GM6023"/>
      <c r="GN6023"/>
      <c r="GO6023"/>
    </row>
    <row r="6024" spans="107:197">
      <c r="DC6024"/>
      <c r="FH6024"/>
      <c r="FI6024"/>
      <c r="FJ6024"/>
      <c r="FK6024"/>
      <c r="FL6024"/>
      <c r="FM6024"/>
      <c r="FN6024"/>
      <c r="FO6024"/>
      <c r="FP6024"/>
      <c r="FQ6024"/>
      <c r="FR6024"/>
      <c r="FS6024"/>
      <c r="FT6024"/>
      <c r="FU6024"/>
      <c r="FV6024"/>
      <c r="FW6024"/>
      <c r="FX6024"/>
      <c r="FY6024"/>
      <c r="FZ6024"/>
      <c r="GA6024"/>
      <c r="GB6024"/>
      <c r="GC6024"/>
      <c r="GD6024"/>
      <c r="GE6024"/>
      <c r="GF6024"/>
      <c r="GG6024"/>
      <c r="GH6024"/>
      <c r="GI6024"/>
      <c r="GJ6024"/>
      <c r="GK6024"/>
      <c r="GL6024"/>
      <c r="GM6024"/>
      <c r="GN6024"/>
      <c r="GO6024"/>
    </row>
    <row r="6025" spans="107:197">
      <c r="DC6025"/>
      <c r="FH6025"/>
      <c r="FI6025"/>
      <c r="FJ6025"/>
      <c r="FK6025"/>
      <c r="FL6025"/>
      <c r="FM6025"/>
      <c r="FN6025"/>
      <c r="FO6025"/>
      <c r="FP6025"/>
      <c r="FQ6025"/>
      <c r="FR6025"/>
      <c r="FS6025"/>
      <c r="FT6025"/>
      <c r="FU6025"/>
      <c r="FV6025"/>
      <c r="FW6025"/>
      <c r="FX6025"/>
      <c r="FY6025"/>
      <c r="FZ6025"/>
      <c r="GA6025"/>
      <c r="GB6025"/>
      <c r="GC6025"/>
      <c r="GD6025"/>
      <c r="GE6025"/>
      <c r="GF6025"/>
      <c r="GG6025"/>
      <c r="GH6025"/>
      <c r="GI6025"/>
      <c r="GJ6025"/>
      <c r="GK6025"/>
      <c r="GL6025"/>
      <c r="GM6025"/>
      <c r="GN6025"/>
      <c r="GO6025"/>
    </row>
    <row r="6026" spans="107:197">
      <c r="DC6026"/>
      <c r="FH6026"/>
      <c r="FI6026"/>
      <c r="FJ6026"/>
      <c r="FK6026"/>
      <c r="FL6026"/>
      <c r="FM6026"/>
      <c r="FN6026"/>
      <c r="FO6026"/>
      <c r="FP6026"/>
      <c r="FQ6026"/>
      <c r="FR6026"/>
      <c r="FS6026"/>
      <c r="FT6026"/>
      <c r="FU6026"/>
      <c r="FV6026"/>
      <c r="FW6026"/>
      <c r="FX6026"/>
      <c r="FY6026"/>
      <c r="FZ6026"/>
      <c r="GA6026"/>
      <c r="GB6026"/>
      <c r="GC6026"/>
      <c r="GD6026"/>
      <c r="GE6026"/>
      <c r="GF6026"/>
      <c r="GG6026"/>
      <c r="GH6026"/>
      <c r="GI6026"/>
      <c r="GJ6026"/>
      <c r="GK6026"/>
      <c r="GL6026"/>
      <c r="GM6026"/>
      <c r="GN6026"/>
      <c r="GO6026"/>
    </row>
    <row r="6027" spans="107:197">
      <c r="DC6027"/>
      <c r="FH6027"/>
      <c r="FI6027"/>
      <c r="FJ6027"/>
      <c r="FK6027"/>
      <c r="FL6027"/>
      <c r="FM6027"/>
      <c r="FN6027"/>
      <c r="FO6027"/>
      <c r="FP6027"/>
      <c r="FQ6027"/>
      <c r="FR6027"/>
      <c r="FS6027"/>
      <c r="FT6027"/>
      <c r="FU6027"/>
      <c r="FV6027"/>
      <c r="FW6027"/>
      <c r="FX6027"/>
      <c r="FY6027"/>
      <c r="FZ6027"/>
      <c r="GA6027"/>
      <c r="GB6027"/>
      <c r="GC6027"/>
      <c r="GD6027"/>
      <c r="GE6027"/>
      <c r="GF6027"/>
      <c r="GG6027"/>
      <c r="GH6027"/>
      <c r="GI6027"/>
      <c r="GJ6027"/>
      <c r="GK6027"/>
      <c r="GL6027"/>
      <c r="GM6027"/>
      <c r="GN6027"/>
      <c r="GO6027"/>
    </row>
    <row r="6028" spans="107:197">
      <c r="DC6028"/>
      <c r="FH6028"/>
      <c r="FI6028"/>
      <c r="FJ6028"/>
      <c r="FK6028"/>
      <c r="FL6028"/>
      <c r="FM6028"/>
      <c r="FN6028"/>
      <c r="FO6028"/>
      <c r="FP6028"/>
      <c r="FQ6028"/>
      <c r="FR6028"/>
      <c r="FS6028"/>
      <c r="FT6028"/>
      <c r="FU6028"/>
      <c r="FV6028"/>
      <c r="FW6028"/>
      <c r="FX6028"/>
      <c r="FY6028"/>
      <c r="FZ6028"/>
      <c r="GA6028"/>
      <c r="GB6028"/>
      <c r="GC6028"/>
      <c r="GD6028"/>
      <c r="GE6028"/>
      <c r="GF6028"/>
      <c r="GG6028"/>
      <c r="GH6028"/>
      <c r="GI6028"/>
      <c r="GJ6028"/>
      <c r="GK6028"/>
      <c r="GL6028"/>
      <c r="GM6028"/>
      <c r="GN6028"/>
      <c r="GO6028"/>
    </row>
    <row r="6029" spans="107:197">
      <c r="DC6029"/>
      <c r="FH6029"/>
      <c r="FI6029"/>
      <c r="FJ6029"/>
      <c r="FK6029"/>
      <c r="FL6029"/>
      <c r="FM6029"/>
      <c r="FN6029"/>
      <c r="FO6029"/>
      <c r="FP6029"/>
      <c r="FQ6029"/>
      <c r="FR6029"/>
      <c r="FS6029"/>
      <c r="FT6029"/>
      <c r="FU6029"/>
      <c r="FV6029"/>
      <c r="FW6029"/>
      <c r="FX6029"/>
      <c r="FY6029"/>
      <c r="FZ6029"/>
      <c r="GA6029"/>
      <c r="GB6029"/>
      <c r="GC6029"/>
      <c r="GD6029"/>
      <c r="GE6029"/>
      <c r="GF6029"/>
      <c r="GG6029"/>
      <c r="GH6029"/>
      <c r="GI6029"/>
      <c r="GJ6029"/>
      <c r="GK6029"/>
      <c r="GL6029"/>
      <c r="GM6029"/>
      <c r="GN6029"/>
      <c r="GO6029"/>
    </row>
    <row r="6030" spans="107:197">
      <c r="DC6030"/>
      <c r="FH6030"/>
      <c r="FI6030"/>
      <c r="FJ6030"/>
      <c r="FK6030"/>
      <c r="FL6030"/>
      <c r="FM6030"/>
      <c r="FN6030"/>
      <c r="FO6030"/>
      <c r="FP6030"/>
      <c r="FQ6030"/>
      <c r="FR6030"/>
      <c r="FS6030"/>
      <c r="FT6030"/>
      <c r="FU6030"/>
      <c r="FV6030"/>
      <c r="FW6030"/>
      <c r="FX6030"/>
      <c r="FY6030"/>
      <c r="FZ6030"/>
      <c r="GA6030"/>
      <c r="GB6030"/>
      <c r="GC6030"/>
      <c r="GD6030"/>
      <c r="GE6030"/>
      <c r="GF6030"/>
      <c r="GG6030"/>
      <c r="GH6030"/>
      <c r="GI6030"/>
      <c r="GJ6030"/>
      <c r="GK6030"/>
      <c r="GL6030"/>
      <c r="GM6030"/>
      <c r="GN6030"/>
      <c r="GO6030"/>
    </row>
    <row r="6031" spans="107:197">
      <c r="DC6031"/>
      <c r="FH6031"/>
      <c r="FI6031"/>
      <c r="FJ6031"/>
      <c r="FK6031"/>
      <c r="FL6031"/>
      <c r="FM6031"/>
      <c r="FN6031"/>
      <c r="FO6031"/>
      <c r="FP6031"/>
      <c r="FQ6031"/>
      <c r="FR6031"/>
      <c r="FS6031"/>
      <c r="FT6031"/>
      <c r="FU6031"/>
      <c r="FV6031"/>
      <c r="FW6031"/>
      <c r="FX6031"/>
      <c r="FY6031"/>
      <c r="FZ6031"/>
      <c r="GA6031"/>
      <c r="GB6031"/>
      <c r="GC6031"/>
      <c r="GD6031"/>
      <c r="GE6031"/>
      <c r="GF6031"/>
      <c r="GG6031"/>
      <c r="GH6031"/>
      <c r="GI6031"/>
      <c r="GJ6031"/>
      <c r="GK6031"/>
      <c r="GL6031"/>
      <c r="GM6031"/>
      <c r="GN6031"/>
      <c r="GO6031"/>
    </row>
    <row r="6032" spans="107:197">
      <c r="DC6032"/>
      <c r="FH6032"/>
      <c r="FI6032"/>
      <c r="FJ6032"/>
      <c r="FK6032"/>
      <c r="FL6032"/>
      <c r="FM6032"/>
      <c r="FN6032"/>
      <c r="FO6032"/>
      <c r="FP6032"/>
      <c r="FQ6032"/>
      <c r="FR6032"/>
      <c r="FS6032"/>
      <c r="FT6032"/>
      <c r="FU6032"/>
      <c r="FV6032"/>
      <c r="FW6032"/>
      <c r="FX6032"/>
      <c r="FY6032"/>
      <c r="FZ6032"/>
      <c r="GA6032"/>
      <c r="GB6032"/>
      <c r="GC6032"/>
      <c r="GD6032"/>
      <c r="GE6032"/>
      <c r="GF6032"/>
      <c r="GG6032"/>
      <c r="GH6032"/>
      <c r="GI6032"/>
      <c r="GJ6032"/>
      <c r="GK6032"/>
      <c r="GL6032"/>
      <c r="GM6032"/>
      <c r="GN6032"/>
      <c r="GO6032"/>
    </row>
    <row r="6033" spans="107:197">
      <c r="DC6033"/>
      <c r="FH6033"/>
      <c r="FI6033"/>
      <c r="FJ6033"/>
      <c r="FK6033"/>
      <c r="FL6033"/>
      <c r="FM6033"/>
      <c r="FN6033"/>
      <c r="FO6033"/>
      <c r="FP6033"/>
      <c r="FQ6033"/>
      <c r="FR6033"/>
      <c r="FS6033"/>
      <c r="FT6033"/>
      <c r="FU6033"/>
      <c r="FV6033"/>
      <c r="FW6033"/>
      <c r="FX6033"/>
      <c r="FY6033"/>
      <c r="FZ6033"/>
      <c r="GA6033"/>
      <c r="GB6033"/>
      <c r="GC6033"/>
      <c r="GD6033"/>
      <c r="GE6033"/>
      <c r="GF6033"/>
      <c r="GG6033"/>
      <c r="GH6033"/>
      <c r="GI6033"/>
      <c r="GJ6033"/>
      <c r="GK6033"/>
      <c r="GL6033"/>
      <c r="GM6033"/>
      <c r="GN6033"/>
      <c r="GO6033"/>
    </row>
    <row r="6034" spans="107:197">
      <c r="DC6034"/>
      <c r="FH6034"/>
      <c r="FI6034"/>
      <c r="FJ6034"/>
      <c r="FK6034"/>
      <c r="FL6034"/>
      <c r="FM6034"/>
      <c r="FN6034"/>
      <c r="FO6034"/>
      <c r="FP6034"/>
      <c r="FQ6034"/>
      <c r="FR6034"/>
      <c r="FS6034"/>
      <c r="FT6034"/>
      <c r="FU6034"/>
      <c r="FV6034"/>
      <c r="FW6034"/>
      <c r="FX6034"/>
      <c r="FY6034"/>
      <c r="FZ6034"/>
      <c r="GA6034"/>
      <c r="GB6034"/>
      <c r="GC6034"/>
      <c r="GD6034"/>
      <c r="GE6034"/>
      <c r="GF6034"/>
      <c r="GG6034"/>
      <c r="GH6034"/>
      <c r="GI6034"/>
      <c r="GJ6034"/>
      <c r="GK6034"/>
      <c r="GL6034"/>
      <c r="GM6034"/>
      <c r="GN6034"/>
      <c r="GO6034"/>
    </row>
    <row r="6035" spans="107:197">
      <c r="DC6035"/>
      <c r="FH6035"/>
      <c r="FI6035"/>
      <c r="FJ6035"/>
      <c r="FK6035"/>
      <c r="FL6035"/>
      <c r="FM6035"/>
      <c r="FN6035"/>
      <c r="FO6035"/>
      <c r="FP6035"/>
      <c r="FQ6035"/>
      <c r="FR6035"/>
      <c r="FS6035"/>
      <c r="FT6035"/>
      <c r="FU6035"/>
      <c r="FV6035"/>
      <c r="FW6035"/>
      <c r="FX6035"/>
      <c r="FY6035"/>
      <c r="FZ6035"/>
      <c r="GA6035"/>
      <c r="GB6035"/>
      <c r="GC6035"/>
      <c r="GD6035"/>
      <c r="GE6035"/>
      <c r="GF6035"/>
      <c r="GG6035"/>
      <c r="GH6035"/>
      <c r="GI6035"/>
      <c r="GJ6035"/>
      <c r="GK6035"/>
      <c r="GL6035"/>
      <c r="GM6035"/>
      <c r="GN6035"/>
      <c r="GO6035"/>
    </row>
    <row r="6036" spans="107:197">
      <c r="DC6036"/>
      <c r="FH6036"/>
      <c r="FI6036"/>
      <c r="FJ6036"/>
      <c r="FK6036"/>
      <c r="FL6036"/>
      <c r="FM6036"/>
      <c r="FN6036"/>
      <c r="FO6036"/>
      <c r="FP6036"/>
      <c r="FQ6036"/>
      <c r="FR6036"/>
      <c r="FS6036"/>
      <c r="FT6036"/>
      <c r="FU6036"/>
      <c r="FV6036"/>
      <c r="FW6036"/>
      <c r="FX6036"/>
      <c r="FY6036"/>
      <c r="FZ6036"/>
      <c r="GA6036"/>
      <c r="GB6036"/>
      <c r="GC6036"/>
      <c r="GD6036"/>
      <c r="GE6036"/>
      <c r="GF6036"/>
      <c r="GG6036"/>
      <c r="GH6036"/>
      <c r="GI6036"/>
      <c r="GJ6036"/>
      <c r="GK6036"/>
      <c r="GL6036"/>
      <c r="GM6036"/>
      <c r="GN6036"/>
      <c r="GO6036"/>
    </row>
    <row r="6037" spans="107:197">
      <c r="DC6037"/>
      <c r="FH6037"/>
      <c r="FI6037"/>
      <c r="FJ6037"/>
      <c r="FK6037"/>
      <c r="FL6037"/>
      <c r="FM6037"/>
      <c r="FN6037"/>
      <c r="FO6037"/>
      <c r="FP6037"/>
      <c r="FQ6037"/>
      <c r="FR6037"/>
      <c r="FS6037"/>
      <c r="FT6037"/>
      <c r="FU6037"/>
      <c r="FV6037"/>
      <c r="FW6037"/>
      <c r="FX6037"/>
      <c r="FY6037"/>
      <c r="FZ6037"/>
      <c r="GA6037"/>
      <c r="GB6037"/>
      <c r="GC6037"/>
      <c r="GD6037"/>
      <c r="GE6037"/>
      <c r="GF6037"/>
      <c r="GG6037"/>
      <c r="GH6037"/>
      <c r="GI6037"/>
      <c r="GJ6037"/>
      <c r="GK6037"/>
      <c r="GL6037"/>
      <c r="GM6037"/>
      <c r="GN6037"/>
      <c r="GO6037"/>
    </row>
    <row r="6038" spans="107:197">
      <c r="DC6038"/>
      <c r="FH6038"/>
      <c r="FI6038"/>
      <c r="FJ6038"/>
      <c r="FK6038"/>
      <c r="FL6038"/>
      <c r="FM6038"/>
      <c r="FN6038"/>
      <c r="FO6038"/>
      <c r="FP6038"/>
      <c r="FQ6038"/>
      <c r="FR6038"/>
      <c r="FS6038"/>
      <c r="FT6038"/>
      <c r="FU6038"/>
      <c r="FV6038"/>
      <c r="FW6038"/>
      <c r="FX6038"/>
      <c r="FY6038"/>
      <c r="FZ6038"/>
      <c r="GA6038"/>
      <c r="GB6038"/>
      <c r="GC6038"/>
      <c r="GD6038"/>
      <c r="GE6038"/>
      <c r="GF6038"/>
      <c r="GG6038"/>
      <c r="GH6038"/>
      <c r="GI6038"/>
      <c r="GJ6038"/>
      <c r="GK6038"/>
      <c r="GL6038"/>
      <c r="GM6038"/>
      <c r="GN6038"/>
      <c r="GO6038"/>
    </row>
    <row r="6039" spans="107:197">
      <c r="DC6039"/>
      <c r="FH6039"/>
      <c r="FI6039"/>
      <c r="FJ6039"/>
      <c r="FK6039"/>
      <c r="FL6039"/>
      <c r="FM6039"/>
      <c r="FN6039"/>
      <c r="FO6039"/>
      <c r="FP6039"/>
      <c r="FQ6039"/>
      <c r="FR6039"/>
      <c r="FS6039"/>
      <c r="FT6039"/>
      <c r="FU6039"/>
      <c r="FV6039"/>
      <c r="FW6039"/>
      <c r="FX6039"/>
      <c r="FY6039"/>
      <c r="FZ6039"/>
      <c r="GA6039"/>
      <c r="GB6039"/>
      <c r="GC6039"/>
      <c r="GD6039"/>
      <c r="GE6039"/>
      <c r="GF6039"/>
      <c r="GG6039"/>
      <c r="GH6039"/>
      <c r="GI6039"/>
      <c r="GJ6039"/>
      <c r="GK6039"/>
      <c r="GL6039"/>
      <c r="GM6039"/>
      <c r="GN6039"/>
      <c r="GO6039"/>
    </row>
    <row r="6040" spans="107:197">
      <c r="DC6040"/>
      <c r="FH6040"/>
      <c r="FI6040"/>
      <c r="FJ6040"/>
      <c r="FK6040"/>
      <c r="FL6040"/>
      <c r="FM6040"/>
      <c r="FN6040"/>
      <c r="FO6040"/>
      <c r="FP6040"/>
      <c r="FQ6040"/>
      <c r="FR6040"/>
      <c r="FS6040"/>
      <c r="FT6040"/>
      <c r="FU6040"/>
      <c r="FV6040"/>
      <c r="FW6040"/>
      <c r="FX6040"/>
      <c r="FY6040"/>
      <c r="FZ6040"/>
      <c r="GA6040"/>
      <c r="GB6040"/>
      <c r="GC6040"/>
      <c r="GD6040"/>
      <c r="GE6040"/>
      <c r="GF6040"/>
      <c r="GG6040"/>
      <c r="GH6040"/>
      <c r="GI6040"/>
      <c r="GJ6040"/>
      <c r="GK6040"/>
      <c r="GL6040"/>
      <c r="GM6040"/>
      <c r="GN6040"/>
      <c r="GO6040"/>
    </row>
    <row r="6041" spans="107:197">
      <c r="DC6041"/>
      <c r="FH6041"/>
      <c r="FI6041"/>
      <c r="FJ6041"/>
      <c r="FK6041"/>
      <c r="FL6041"/>
      <c r="FM6041"/>
      <c r="FN6041"/>
      <c r="FO6041"/>
      <c r="FP6041"/>
      <c r="FQ6041"/>
      <c r="FR6041"/>
      <c r="FS6041"/>
      <c r="FT6041"/>
      <c r="FU6041"/>
      <c r="FV6041"/>
      <c r="FW6041"/>
      <c r="FX6041"/>
      <c r="FY6041"/>
      <c r="FZ6041"/>
      <c r="GA6041"/>
      <c r="GB6041"/>
      <c r="GC6041"/>
      <c r="GD6041"/>
      <c r="GE6041"/>
      <c r="GF6041"/>
      <c r="GG6041"/>
      <c r="GH6041"/>
      <c r="GI6041"/>
      <c r="GJ6041"/>
      <c r="GK6041"/>
      <c r="GL6041"/>
      <c r="GM6041"/>
      <c r="GN6041"/>
      <c r="GO6041"/>
    </row>
    <row r="6042" spans="107:197">
      <c r="DC6042"/>
      <c r="FH6042"/>
      <c r="FI6042"/>
      <c r="FJ6042"/>
      <c r="FK6042"/>
      <c r="FL6042"/>
      <c r="FM6042"/>
      <c r="FN6042"/>
      <c r="FO6042"/>
      <c r="FP6042"/>
      <c r="FQ6042"/>
      <c r="FR6042"/>
      <c r="FS6042"/>
      <c r="FT6042"/>
      <c r="FU6042"/>
      <c r="FV6042"/>
      <c r="FW6042"/>
      <c r="FX6042"/>
      <c r="FY6042"/>
      <c r="FZ6042"/>
      <c r="GA6042"/>
      <c r="GB6042"/>
      <c r="GC6042"/>
      <c r="GD6042"/>
      <c r="GE6042"/>
      <c r="GF6042"/>
      <c r="GG6042"/>
      <c r="GH6042"/>
      <c r="GI6042"/>
      <c r="GJ6042"/>
      <c r="GK6042"/>
      <c r="GL6042"/>
      <c r="GM6042"/>
      <c r="GN6042"/>
      <c r="GO6042"/>
    </row>
    <row r="6043" spans="107:197">
      <c r="DC6043"/>
      <c r="FH6043"/>
      <c r="FI6043"/>
      <c r="FJ6043"/>
      <c r="FK6043"/>
      <c r="FL6043"/>
      <c r="FM6043"/>
      <c r="FN6043"/>
      <c r="FO6043"/>
      <c r="FP6043"/>
      <c r="FQ6043"/>
      <c r="FR6043"/>
      <c r="FS6043"/>
      <c r="FT6043"/>
      <c r="FU6043"/>
      <c r="FV6043"/>
      <c r="FW6043"/>
      <c r="FX6043"/>
      <c r="FY6043"/>
      <c r="FZ6043"/>
      <c r="GA6043"/>
      <c r="GB6043"/>
      <c r="GC6043"/>
      <c r="GD6043"/>
      <c r="GE6043"/>
      <c r="GF6043"/>
      <c r="GG6043"/>
      <c r="GH6043"/>
      <c r="GI6043"/>
      <c r="GJ6043"/>
      <c r="GK6043"/>
      <c r="GL6043"/>
      <c r="GM6043"/>
      <c r="GN6043"/>
      <c r="GO6043"/>
    </row>
    <row r="6044" spans="107:197">
      <c r="DC6044"/>
      <c r="FH6044"/>
      <c r="FI6044"/>
      <c r="FJ6044"/>
      <c r="FK6044"/>
      <c r="FL6044"/>
      <c r="FM6044"/>
      <c r="FN6044"/>
      <c r="FO6044"/>
      <c r="FP6044"/>
      <c r="FQ6044"/>
      <c r="FR6044"/>
      <c r="FS6044"/>
      <c r="FT6044"/>
      <c r="FU6044"/>
      <c r="FV6044"/>
      <c r="FW6044"/>
      <c r="FX6044"/>
      <c r="FY6044"/>
      <c r="FZ6044"/>
      <c r="GA6044"/>
      <c r="GB6044"/>
      <c r="GC6044"/>
      <c r="GD6044"/>
      <c r="GE6044"/>
      <c r="GF6044"/>
      <c r="GG6044"/>
      <c r="GH6044"/>
      <c r="GI6044"/>
      <c r="GJ6044"/>
      <c r="GK6044"/>
      <c r="GL6044"/>
      <c r="GM6044"/>
      <c r="GN6044"/>
      <c r="GO6044"/>
    </row>
    <row r="6045" spans="107:197">
      <c r="DC6045"/>
      <c r="FH6045"/>
      <c r="FI6045"/>
      <c r="FJ6045"/>
      <c r="FK6045"/>
      <c r="FL6045"/>
      <c r="FM6045"/>
      <c r="FN6045"/>
      <c r="FO6045"/>
      <c r="FP6045"/>
      <c r="FQ6045"/>
      <c r="FR6045"/>
      <c r="FS6045"/>
      <c r="FT6045"/>
      <c r="FU6045"/>
      <c r="FV6045"/>
      <c r="FW6045"/>
      <c r="FX6045"/>
      <c r="FY6045"/>
      <c r="FZ6045"/>
      <c r="GA6045"/>
      <c r="GB6045"/>
      <c r="GC6045"/>
      <c r="GD6045"/>
      <c r="GE6045"/>
      <c r="GF6045"/>
      <c r="GG6045"/>
      <c r="GH6045"/>
      <c r="GI6045"/>
      <c r="GJ6045"/>
      <c r="GK6045"/>
      <c r="GL6045"/>
      <c r="GM6045"/>
      <c r="GN6045"/>
      <c r="GO6045"/>
    </row>
    <row r="6046" spans="107:197">
      <c r="DC6046"/>
      <c r="FH6046"/>
      <c r="FI6046"/>
      <c r="FJ6046"/>
      <c r="FK6046"/>
      <c r="FL6046"/>
      <c r="FM6046"/>
      <c r="FN6046"/>
      <c r="FO6046"/>
      <c r="FP6046"/>
      <c r="FQ6046"/>
      <c r="FR6046"/>
      <c r="FS6046"/>
      <c r="FT6046"/>
      <c r="FU6046"/>
      <c r="FV6046"/>
      <c r="FW6046"/>
      <c r="FX6046"/>
      <c r="FY6046"/>
      <c r="FZ6046"/>
      <c r="GA6046"/>
      <c r="GB6046"/>
      <c r="GC6046"/>
      <c r="GD6046"/>
      <c r="GE6046"/>
      <c r="GF6046"/>
      <c r="GG6046"/>
      <c r="GH6046"/>
      <c r="GI6046"/>
      <c r="GJ6046"/>
      <c r="GK6046"/>
      <c r="GL6046"/>
      <c r="GM6046"/>
      <c r="GN6046"/>
      <c r="GO6046"/>
    </row>
    <row r="6047" spans="107:197">
      <c r="DC6047"/>
      <c r="FH6047"/>
      <c r="FI6047"/>
      <c r="FJ6047"/>
      <c r="FK6047"/>
      <c r="FL6047"/>
      <c r="FM6047"/>
      <c r="FN6047"/>
      <c r="FO6047"/>
      <c r="FP6047"/>
      <c r="FQ6047"/>
      <c r="FR6047"/>
      <c r="FS6047"/>
      <c r="FT6047"/>
      <c r="FU6047"/>
      <c r="FV6047"/>
      <c r="FW6047"/>
      <c r="FX6047"/>
      <c r="FY6047"/>
      <c r="FZ6047"/>
      <c r="GA6047"/>
      <c r="GB6047"/>
      <c r="GC6047"/>
      <c r="GD6047"/>
      <c r="GE6047"/>
      <c r="GF6047"/>
      <c r="GG6047"/>
      <c r="GH6047"/>
      <c r="GI6047"/>
      <c r="GJ6047"/>
      <c r="GK6047"/>
      <c r="GL6047"/>
      <c r="GM6047"/>
      <c r="GN6047"/>
      <c r="GO6047"/>
    </row>
    <row r="6048" spans="107:197">
      <c r="DC6048"/>
      <c r="FH6048"/>
      <c r="FI6048"/>
      <c r="FJ6048"/>
      <c r="FK6048"/>
      <c r="FL6048"/>
      <c r="FM6048"/>
      <c r="FN6048"/>
      <c r="FO6048"/>
      <c r="FP6048"/>
      <c r="FQ6048"/>
      <c r="FR6048"/>
      <c r="FS6048"/>
      <c r="FT6048"/>
      <c r="FU6048"/>
      <c r="FV6048"/>
      <c r="FW6048"/>
      <c r="FX6048"/>
      <c r="FY6048"/>
      <c r="FZ6048"/>
      <c r="GA6048"/>
      <c r="GB6048"/>
      <c r="GC6048"/>
      <c r="GD6048"/>
      <c r="GE6048"/>
      <c r="GF6048"/>
      <c r="GG6048"/>
      <c r="GH6048"/>
      <c r="GI6048"/>
      <c r="GJ6048"/>
      <c r="GK6048"/>
      <c r="GL6048"/>
      <c r="GM6048"/>
      <c r="GN6048"/>
      <c r="GO6048"/>
    </row>
    <row r="6049" spans="107:197">
      <c r="DC6049"/>
      <c r="FH6049"/>
      <c r="FI6049"/>
      <c r="FJ6049"/>
      <c r="FK6049"/>
      <c r="FL6049"/>
      <c r="FM6049"/>
      <c r="FN6049"/>
      <c r="FO6049"/>
      <c r="FP6049"/>
      <c r="FQ6049"/>
      <c r="FR6049"/>
      <c r="FS6049"/>
      <c r="FT6049"/>
      <c r="FU6049"/>
      <c r="FV6049"/>
      <c r="FW6049"/>
      <c r="FX6049"/>
      <c r="FY6049"/>
      <c r="FZ6049"/>
      <c r="GA6049"/>
      <c r="GB6049"/>
      <c r="GC6049"/>
      <c r="GD6049"/>
      <c r="GE6049"/>
      <c r="GF6049"/>
      <c r="GG6049"/>
      <c r="GH6049"/>
      <c r="GI6049"/>
      <c r="GJ6049"/>
      <c r="GK6049"/>
      <c r="GL6049"/>
      <c r="GM6049"/>
      <c r="GN6049"/>
      <c r="GO6049"/>
    </row>
    <row r="6050" spans="107:197">
      <c r="DC6050"/>
      <c r="FH6050"/>
      <c r="FI6050"/>
      <c r="FJ6050"/>
      <c r="FK6050"/>
      <c r="FL6050"/>
      <c r="FM6050"/>
      <c r="FN6050"/>
      <c r="FO6050"/>
      <c r="FP6050"/>
      <c r="FQ6050"/>
      <c r="FR6050"/>
      <c r="FS6050"/>
      <c r="FT6050"/>
      <c r="FU6050"/>
      <c r="FV6050"/>
      <c r="FW6050"/>
      <c r="FX6050"/>
      <c r="FY6050"/>
      <c r="FZ6050"/>
      <c r="GA6050"/>
      <c r="GB6050"/>
      <c r="GC6050"/>
      <c r="GD6050"/>
      <c r="GE6050"/>
      <c r="GF6050"/>
      <c r="GG6050"/>
      <c r="GH6050"/>
      <c r="GI6050"/>
      <c r="GJ6050"/>
      <c r="GK6050"/>
      <c r="GL6050"/>
      <c r="GM6050"/>
      <c r="GN6050"/>
      <c r="GO6050"/>
    </row>
    <row r="6051" spans="107:197">
      <c r="DC6051"/>
      <c r="FH6051"/>
      <c r="FI6051"/>
      <c r="FJ6051"/>
      <c r="FK6051"/>
      <c r="FL6051"/>
      <c r="FM6051"/>
      <c r="FN6051"/>
      <c r="FO6051"/>
      <c r="FP6051"/>
      <c r="FQ6051"/>
      <c r="FR6051"/>
      <c r="FS6051"/>
      <c r="FT6051"/>
      <c r="FU6051"/>
      <c r="FV6051"/>
      <c r="FW6051"/>
      <c r="FX6051"/>
      <c r="FY6051"/>
      <c r="FZ6051"/>
      <c r="GA6051"/>
      <c r="GB6051"/>
      <c r="GC6051"/>
      <c r="GD6051"/>
      <c r="GE6051"/>
      <c r="GF6051"/>
      <c r="GG6051"/>
      <c r="GH6051"/>
      <c r="GI6051"/>
      <c r="GJ6051"/>
      <c r="GK6051"/>
      <c r="GL6051"/>
      <c r="GM6051"/>
      <c r="GN6051"/>
      <c r="GO6051"/>
    </row>
    <row r="6052" spans="107:197">
      <c r="DC6052"/>
      <c r="FH6052"/>
      <c r="FI6052"/>
      <c r="FJ6052"/>
      <c r="FK6052"/>
      <c r="FL6052"/>
      <c r="FM6052"/>
      <c r="FN6052"/>
      <c r="FO6052"/>
      <c r="FP6052"/>
      <c r="FQ6052"/>
      <c r="FR6052"/>
      <c r="FS6052"/>
      <c r="FT6052"/>
      <c r="FU6052"/>
      <c r="FV6052"/>
      <c r="FW6052"/>
      <c r="FX6052"/>
      <c r="FY6052"/>
      <c r="FZ6052"/>
      <c r="GA6052"/>
      <c r="GB6052"/>
      <c r="GC6052"/>
      <c r="GD6052"/>
      <c r="GE6052"/>
      <c r="GF6052"/>
      <c r="GG6052"/>
      <c r="GH6052"/>
      <c r="GI6052"/>
      <c r="GJ6052"/>
      <c r="GK6052"/>
      <c r="GL6052"/>
      <c r="GM6052"/>
      <c r="GN6052"/>
      <c r="GO6052"/>
    </row>
    <row r="6053" spans="107:197">
      <c r="DC6053"/>
      <c r="FH6053"/>
      <c r="FI6053"/>
      <c r="FJ6053"/>
      <c r="FK6053"/>
      <c r="FL6053"/>
      <c r="FM6053"/>
      <c r="FN6053"/>
      <c r="FO6053"/>
      <c r="FP6053"/>
      <c r="FQ6053"/>
      <c r="FR6053"/>
      <c r="FS6053"/>
      <c r="FT6053"/>
      <c r="FU6053"/>
      <c r="FV6053"/>
      <c r="FW6053"/>
      <c r="FX6053"/>
      <c r="FY6053"/>
      <c r="FZ6053"/>
      <c r="GA6053"/>
      <c r="GB6053"/>
      <c r="GC6053"/>
      <c r="GD6053"/>
      <c r="GE6053"/>
      <c r="GF6053"/>
      <c r="GG6053"/>
      <c r="GH6053"/>
      <c r="GI6053"/>
      <c r="GJ6053"/>
      <c r="GK6053"/>
      <c r="GL6053"/>
      <c r="GM6053"/>
      <c r="GN6053"/>
      <c r="GO6053"/>
    </row>
    <row r="6054" spans="107:197">
      <c r="DC6054"/>
      <c r="FH6054"/>
      <c r="FI6054"/>
      <c r="FJ6054"/>
      <c r="FK6054"/>
      <c r="FL6054"/>
      <c r="FM6054"/>
      <c r="FN6054"/>
      <c r="FO6054"/>
      <c r="FP6054"/>
      <c r="FQ6054"/>
      <c r="FR6054"/>
      <c r="FS6054"/>
      <c r="FT6054"/>
      <c r="FU6054"/>
      <c r="FV6054"/>
      <c r="FW6054"/>
      <c r="FX6054"/>
      <c r="FY6054"/>
      <c r="FZ6054"/>
      <c r="GA6054"/>
      <c r="GB6054"/>
      <c r="GC6054"/>
      <c r="GD6054"/>
      <c r="GE6054"/>
      <c r="GF6054"/>
      <c r="GG6054"/>
      <c r="GH6054"/>
      <c r="GI6054"/>
      <c r="GJ6054"/>
      <c r="GK6054"/>
      <c r="GL6054"/>
      <c r="GM6054"/>
      <c r="GN6054"/>
      <c r="GO6054"/>
    </row>
    <row r="6055" spans="107:197">
      <c r="DC6055"/>
      <c r="FH6055"/>
      <c r="FI6055"/>
      <c r="FJ6055"/>
      <c r="FK6055"/>
      <c r="FL6055"/>
      <c r="FM6055"/>
      <c r="FN6055"/>
      <c r="FO6055"/>
      <c r="FP6055"/>
      <c r="FQ6055"/>
      <c r="FR6055"/>
      <c r="FS6055"/>
      <c r="FT6055"/>
      <c r="FU6055"/>
      <c r="FV6055"/>
      <c r="FW6055"/>
      <c r="FX6055"/>
      <c r="FY6055"/>
      <c r="FZ6055"/>
      <c r="GA6055"/>
      <c r="GB6055"/>
      <c r="GC6055"/>
      <c r="GD6055"/>
      <c r="GE6055"/>
      <c r="GF6055"/>
      <c r="GG6055"/>
      <c r="GH6055"/>
      <c r="GI6055"/>
      <c r="GJ6055"/>
      <c r="GK6055"/>
      <c r="GL6055"/>
      <c r="GM6055"/>
      <c r="GN6055"/>
      <c r="GO6055"/>
    </row>
    <row r="6056" spans="107:197">
      <c r="DC6056"/>
      <c r="FH6056"/>
      <c r="FI6056"/>
      <c r="FJ6056"/>
      <c r="FK6056"/>
      <c r="FL6056"/>
      <c r="FM6056"/>
      <c r="FN6056"/>
      <c r="FO6056"/>
      <c r="FP6056"/>
      <c r="FQ6056"/>
      <c r="FR6056"/>
      <c r="FS6056"/>
      <c r="FT6056"/>
      <c r="FU6056"/>
      <c r="FV6056"/>
      <c r="FW6056"/>
      <c r="FX6056"/>
      <c r="FY6056"/>
      <c r="FZ6056"/>
      <c r="GA6056"/>
      <c r="GB6056"/>
      <c r="GC6056"/>
      <c r="GD6056"/>
      <c r="GE6056"/>
      <c r="GF6056"/>
      <c r="GG6056"/>
      <c r="GH6056"/>
      <c r="GI6056"/>
      <c r="GJ6056"/>
      <c r="GK6056"/>
      <c r="GL6056"/>
      <c r="GM6056"/>
      <c r="GN6056"/>
      <c r="GO6056"/>
    </row>
    <row r="6057" spans="107:197">
      <c r="DC6057"/>
      <c r="FH6057"/>
      <c r="FI6057"/>
      <c r="FJ6057"/>
      <c r="FK6057"/>
      <c r="FL6057"/>
      <c r="FM6057"/>
      <c r="FN6057"/>
      <c r="FO6057"/>
      <c r="FP6057"/>
      <c r="FQ6057"/>
      <c r="FR6057"/>
      <c r="FS6057"/>
      <c r="FT6057"/>
      <c r="FU6057"/>
      <c r="FV6057"/>
      <c r="FW6057"/>
      <c r="FX6057"/>
      <c r="FY6057"/>
      <c r="FZ6057"/>
      <c r="GA6057"/>
      <c r="GB6057"/>
      <c r="GC6057"/>
      <c r="GD6057"/>
      <c r="GE6057"/>
      <c r="GF6057"/>
      <c r="GG6057"/>
      <c r="GH6057"/>
      <c r="GI6057"/>
      <c r="GJ6057"/>
      <c r="GK6057"/>
      <c r="GL6057"/>
      <c r="GM6057"/>
      <c r="GN6057"/>
      <c r="GO6057"/>
    </row>
    <row r="6058" spans="107:197">
      <c r="DC6058"/>
      <c r="FH6058"/>
      <c r="FI6058"/>
      <c r="FJ6058"/>
      <c r="FK6058"/>
      <c r="FL6058"/>
      <c r="FM6058"/>
      <c r="FN6058"/>
      <c r="FO6058"/>
      <c r="FP6058"/>
      <c r="FQ6058"/>
      <c r="FR6058"/>
      <c r="FS6058"/>
      <c r="FT6058"/>
      <c r="FU6058"/>
      <c r="FV6058"/>
      <c r="FW6058"/>
      <c r="FX6058"/>
      <c r="FY6058"/>
      <c r="FZ6058"/>
      <c r="GA6058"/>
      <c r="GB6058"/>
      <c r="GC6058"/>
      <c r="GD6058"/>
      <c r="GE6058"/>
      <c r="GF6058"/>
      <c r="GG6058"/>
      <c r="GH6058"/>
      <c r="GI6058"/>
      <c r="GJ6058"/>
      <c r="GK6058"/>
      <c r="GL6058"/>
      <c r="GM6058"/>
      <c r="GN6058"/>
      <c r="GO6058"/>
    </row>
    <row r="6059" spans="107:197">
      <c r="DC6059"/>
      <c r="FH6059"/>
      <c r="FI6059"/>
      <c r="FJ6059"/>
      <c r="FK6059"/>
      <c r="FL6059"/>
      <c r="FM6059"/>
      <c r="FN6059"/>
      <c r="FO6059"/>
      <c r="FP6059"/>
      <c r="FQ6059"/>
      <c r="FR6059"/>
      <c r="FS6059"/>
      <c r="FT6059"/>
      <c r="FU6059"/>
      <c r="FV6059"/>
      <c r="FW6059"/>
      <c r="FX6059"/>
      <c r="FY6059"/>
      <c r="FZ6059"/>
      <c r="GA6059"/>
      <c r="GB6059"/>
      <c r="GC6059"/>
      <c r="GD6059"/>
      <c r="GE6059"/>
      <c r="GF6059"/>
      <c r="GG6059"/>
      <c r="GH6059"/>
      <c r="GI6059"/>
      <c r="GJ6059"/>
      <c r="GK6059"/>
      <c r="GL6059"/>
      <c r="GM6059"/>
      <c r="GN6059"/>
      <c r="GO6059"/>
    </row>
    <row r="6060" spans="107:197">
      <c r="DC6060"/>
      <c r="FH6060"/>
      <c r="FI6060"/>
      <c r="FJ6060"/>
      <c r="FK6060"/>
      <c r="FL6060"/>
      <c r="FM6060"/>
      <c r="FN6060"/>
      <c r="FO6060"/>
      <c r="FP6060"/>
      <c r="FQ6060"/>
      <c r="FR6060"/>
      <c r="FS6060"/>
      <c r="FT6060"/>
      <c r="FU6060"/>
      <c r="FV6060"/>
      <c r="FW6060"/>
      <c r="FX6060"/>
      <c r="FY6060"/>
      <c r="FZ6060"/>
      <c r="GA6060"/>
      <c r="GB6060"/>
      <c r="GC6060"/>
      <c r="GD6060"/>
      <c r="GE6060"/>
      <c r="GF6060"/>
      <c r="GG6060"/>
      <c r="GH6060"/>
      <c r="GI6060"/>
      <c r="GJ6060"/>
      <c r="GK6060"/>
      <c r="GL6060"/>
      <c r="GM6060"/>
      <c r="GN6060"/>
      <c r="GO6060"/>
    </row>
    <row r="6061" spans="107:197">
      <c r="DC6061"/>
      <c r="FH6061"/>
      <c r="FI6061"/>
      <c r="FJ6061"/>
      <c r="FK6061"/>
      <c r="FL6061"/>
      <c r="FM6061"/>
      <c r="FN6061"/>
      <c r="FO6061"/>
      <c r="FP6061"/>
      <c r="FQ6061"/>
      <c r="FR6061"/>
      <c r="FS6061"/>
      <c r="FT6061"/>
      <c r="FU6061"/>
      <c r="FV6061"/>
      <c r="FW6061"/>
      <c r="FX6061"/>
      <c r="FY6061"/>
      <c r="FZ6061"/>
      <c r="GA6061"/>
      <c r="GB6061"/>
      <c r="GC6061"/>
      <c r="GD6061"/>
      <c r="GE6061"/>
      <c r="GF6061"/>
      <c r="GG6061"/>
      <c r="GH6061"/>
      <c r="GI6061"/>
      <c r="GJ6061"/>
      <c r="GK6061"/>
      <c r="GL6061"/>
      <c r="GM6061"/>
      <c r="GN6061"/>
      <c r="GO6061"/>
    </row>
    <row r="6062" spans="107:197">
      <c r="DC6062"/>
      <c r="FH6062"/>
      <c r="FI6062"/>
      <c r="FJ6062"/>
      <c r="FK6062"/>
      <c r="FL6062"/>
      <c r="FM6062"/>
      <c r="FN6062"/>
      <c r="FO6062"/>
      <c r="FP6062"/>
      <c r="FQ6062"/>
      <c r="FR6062"/>
      <c r="FS6062"/>
      <c r="FT6062"/>
      <c r="FU6062"/>
      <c r="FV6062"/>
      <c r="FW6062"/>
      <c r="FX6062"/>
      <c r="FY6062"/>
      <c r="FZ6062"/>
      <c r="GA6062"/>
      <c r="GB6062"/>
      <c r="GC6062"/>
      <c r="GD6062"/>
      <c r="GE6062"/>
      <c r="GF6062"/>
      <c r="GG6062"/>
      <c r="GH6062"/>
      <c r="GI6062"/>
      <c r="GJ6062"/>
      <c r="GK6062"/>
      <c r="GL6062"/>
      <c r="GM6062"/>
      <c r="GN6062"/>
      <c r="GO6062"/>
    </row>
    <row r="6063" spans="107:197">
      <c r="DC6063"/>
      <c r="FH6063"/>
      <c r="FI6063"/>
      <c r="FJ6063"/>
      <c r="FK6063"/>
      <c r="FL6063"/>
      <c r="FM6063"/>
      <c r="FN6063"/>
      <c r="FO6063"/>
      <c r="FP6063"/>
      <c r="FQ6063"/>
      <c r="FR6063"/>
      <c r="FS6063"/>
      <c r="FT6063"/>
      <c r="FU6063"/>
      <c r="FV6063"/>
      <c r="FW6063"/>
      <c r="FX6063"/>
      <c r="FY6063"/>
      <c r="FZ6063"/>
      <c r="GA6063"/>
      <c r="GB6063"/>
      <c r="GC6063"/>
      <c r="GD6063"/>
      <c r="GE6063"/>
      <c r="GF6063"/>
      <c r="GG6063"/>
      <c r="GH6063"/>
      <c r="GI6063"/>
      <c r="GJ6063"/>
      <c r="GK6063"/>
      <c r="GL6063"/>
      <c r="GM6063"/>
      <c r="GN6063"/>
      <c r="GO6063"/>
    </row>
    <row r="6064" spans="107:197">
      <c r="DC6064"/>
      <c r="FH6064"/>
      <c r="FI6064"/>
      <c r="FJ6064"/>
      <c r="FK6064"/>
      <c r="FL6064"/>
      <c r="FM6064"/>
      <c r="FN6064"/>
      <c r="FO6064"/>
      <c r="FP6064"/>
      <c r="FQ6064"/>
      <c r="FR6064"/>
      <c r="FS6064"/>
      <c r="FT6064"/>
      <c r="FU6064"/>
      <c r="FV6064"/>
      <c r="FW6064"/>
      <c r="FX6064"/>
      <c r="FY6064"/>
      <c r="FZ6064"/>
      <c r="GA6064"/>
      <c r="GB6064"/>
      <c r="GC6064"/>
      <c r="GD6064"/>
      <c r="GE6064"/>
      <c r="GF6064"/>
      <c r="GG6064"/>
      <c r="GH6064"/>
      <c r="GI6064"/>
      <c r="GJ6064"/>
      <c r="GK6064"/>
      <c r="GL6064"/>
      <c r="GM6064"/>
      <c r="GN6064"/>
      <c r="GO6064"/>
    </row>
    <row r="6065" spans="107:197">
      <c r="DC6065"/>
      <c r="FH6065"/>
      <c r="FI6065"/>
      <c r="FJ6065"/>
      <c r="FK6065"/>
      <c r="FL6065"/>
      <c r="FM6065"/>
      <c r="FN6065"/>
      <c r="FO6065"/>
      <c r="FP6065"/>
      <c r="FQ6065"/>
      <c r="FR6065"/>
      <c r="FS6065"/>
      <c r="FT6065"/>
      <c r="FU6065"/>
      <c r="FV6065"/>
      <c r="FW6065"/>
      <c r="FX6065"/>
      <c r="FY6065"/>
      <c r="FZ6065"/>
      <c r="GA6065"/>
      <c r="GB6065"/>
      <c r="GC6065"/>
      <c r="GD6065"/>
      <c r="GE6065"/>
      <c r="GF6065"/>
      <c r="GG6065"/>
      <c r="GH6065"/>
      <c r="GI6065"/>
      <c r="GJ6065"/>
      <c r="GK6065"/>
      <c r="GL6065"/>
      <c r="GM6065"/>
      <c r="GN6065"/>
      <c r="GO6065"/>
    </row>
    <row r="6066" spans="107:197">
      <c r="DC6066"/>
      <c r="FH6066"/>
      <c r="FI6066"/>
      <c r="FJ6066"/>
      <c r="FK6066"/>
      <c r="FL6066"/>
      <c r="FM6066"/>
      <c r="FN6066"/>
      <c r="FO6066"/>
      <c r="FP6066"/>
      <c r="FQ6066"/>
      <c r="FR6066"/>
      <c r="FS6066"/>
      <c r="FT6066"/>
      <c r="FU6066"/>
      <c r="FV6066"/>
      <c r="FW6066"/>
      <c r="FX6066"/>
      <c r="FY6066"/>
      <c r="FZ6066"/>
      <c r="GA6066"/>
      <c r="GB6066"/>
      <c r="GC6066"/>
      <c r="GD6066"/>
      <c r="GE6066"/>
      <c r="GF6066"/>
      <c r="GG6066"/>
      <c r="GH6066"/>
      <c r="GI6066"/>
      <c r="GJ6066"/>
      <c r="GK6066"/>
      <c r="GL6066"/>
      <c r="GM6066"/>
      <c r="GN6066"/>
      <c r="GO6066"/>
    </row>
    <row r="6067" spans="107:197">
      <c r="DC6067"/>
      <c r="FH6067"/>
      <c r="FI6067"/>
      <c r="FJ6067"/>
      <c r="FK6067"/>
      <c r="FL6067"/>
      <c r="FM6067"/>
      <c r="FN6067"/>
      <c r="FO6067"/>
      <c r="FP6067"/>
      <c r="FQ6067"/>
      <c r="FR6067"/>
      <c r="FS6067"/>
      <c r="FT6067"/>
      <c r="FU6067"/>
      <c r="FV6067"/>
      <c r="FW6067"/>
      <c r="FX6067"/>
      <c r="FY6067"/>
      <c r="FZ6067"/>
      <c r="GA6067"/>
      <c r="GB6067"/>
      <c r="GC6067"/>
      <c r="GD6067"/>
      <c r="GE6067"/>
      <c r="GF6067"/>
      <c r="GG6067"/>
      <c r="GH6067"/>
      <c r="GI6067"/>
      <c r="GJ6067"/>
      <c r="GK6067"/>
      <c r="GL6067"/>
      <c r="GM6067"/>
      <c r="GN6067"/>
      <c r="GO6067"/>
    </row>
    <row r="6068" spans="107:197">
      <c r="DC6068"/>
      <c r="FH6068"/>
      <c r="FI6068"/>
      <c r="FJ6068"/>
      <c r="FK6068"/>
      <c r="FL6068"/>
      <c r="FM6068"/>
      <c r="FN6068"/>
      <c r="FO6068"/>
      <c r="FP6068"/>
      <c r="FQ6068"/>
      <c r="FR6068"/>
      <c r="FS6068"/>
      <c r="FT6068"/>
      <c r="FU6068"/>
      <c r="FV6068"/>
      <c r="FW6068"/>
      <c r="FX6068"/>
      <c r="FY6068"/>
      <c r="FZ6068"/>
      <c r="GA6068"/>
      <c r="GB6068"/>
      <c r="GC6068"/>
      <c r="GD6068"/>
      <c r="GE6068"/>
      <c r="GF6068"/>
      <c r="GG6068"/>
      <c r="GH6068"/>
      <c r="GI6068"/>
      <c r="GJ6068"/>
      <c r="GK6068"/>
      <c r="GL6068"/>
      <c r="GM6068"/>
      <c r="GN6068"/>
      <c r="GO6068"/>
    </row>
    <row r="6069" spans="107:197">
      <c r="DC6069"/>
      <c r="FH6069"/>
      <c r="FI6069"/>
      <c r="FJ6069"/>
      <c r="FK6069"/>
      <c r="FL6069"/>
      <c r="FM6069"/>
      <c r="FN6069"/>
      <c r="FO6069"/>
      <c r="FP6069"/>
      <c r="FQ6069"/>
      <c r="FR6069"/>
      <c r="FS6069"/>
      <c r="FT6069"/>
      <c r="FU6069"/>
      <c r="FV6069"/>
      <c r="FW6069"/>
      <c r="FX6069"/>
      <c r="FY6069"/>
      <c r="FZ6069"/>
      <c r="GA6069"/>
      <c r="GB6069"/>
      <c r="GC6069"/>
      <c r="GD6069"/>
      <c r="GE6069"/>
      <c r="GF6069"/>
      <c r="GG6069"/>
      <c r="GH6069"/>
      <c r="GI6069"/>
      <c r="GJ6069"/>
      <c r="GK6069"/>
      <c r="GL6069"/>
      <c r="GM6069"/>
      <c r="GN6069"/>
      <c r="GO6069"/>
    </row>
    <row r="6070" spans="107:197">
      <c r="DC6070"/>
      <c r="FH6070"/>
      <c r="FI6070"/>
      <c r="FJ6070"/>
      <c r="FK6070"/>
      <c r="FL6070"/>
      <c r="FM6070"/>
      <c r="FN6070"/>
      <c r="FO6070"/>
      <c r="FP6070"/>
      <c r="FQ6070"/>
      <c r="FR6070"/>
      <c r="FS6070"/>
      <c r="FT6070"/>
      <c r="FU6070"/>
      <c r="FV6070"/>
      <c r="FW6070"/>
      <c r="FX6070"/>
      <c r="FY6070"/>
      <c r="FZ6070"/>
      <c r="GA6070"/>
      <c r="GB6070"/>
      <c r="GC6070"/>
      <c r="GD6070"/>
      <c r="GE6070"/>
      <c r="GF6070"/>
      <c r="GG6070"/>
      <c r="GH6070"/>
      <c r="GI6070"/>
      <c r="GJ6070"/>
      <c r="GK6070"/>
      <c r="GL6070"/>
      <c r="GM6070"/>
      <c r="GN6070"/>
      <c r="GO6070"/>
    </row>
    <row r="6071" spans="107:197">
      <c r="DC6071"/>
      <c r="FH6071"/>
      <c r="FI6071"/>
      <c r="FJ6071"/>
      <c r="FK6071"/>
      <c r="FL6071"/>
      <c r="FM6071"/>
      <c r="FN6071"/>
      <c r="FO6071"/>
      <c r="FP6071"/>
      <c r="FQ6071"/>
      <c r="FR6071"/>
      <c r="FS6071"/>
      <c r="FT6071"/>
      <c r="FU6071"/>
      <c r="FV6071"/>
      <c r="FW6071"/>
      <c r="FX6071"/>
      <c r="FY6071"/>
      <c r="FZ6071"/>
      <c r="GA6071"/>
      <c r="GB6071"/>
      <c r="GC6071"/>
      <c r="GD6071"/>
      <c r="GE6071"/>
      <c r="GF6071"/>
      <c r="GG6071"/>
      <c r="GH6071"/>
      <c r="GI6071"/>
      <c r="GJ6071"/>
      <c r="GK6071"/>
      <c r="GL6071"/>
      <c r="GM6071"/>
      <c r="GN6071"/>
      <c r="GO6071"/>
    </row>
    <row r="6072" spans="107:197">
      <c r="DC6072"/>
      <c r="FH6072"/>
      <c r="FI6072"/>
      <c r="FJ6072"/>
      <c r="FK6072"/>
      <c r="FL6072"/>
      <c r="FM6072"/>
      <c r="FN6072"/>
      <c r="FO6072"/>
      <c r="FP6072"/>
      <c r="FQ6072"/>
      <c r="FR6072"/>
      <c r="FS6072"/>
      <c r="FT6072"/>
      <c r="FU6072"/>
      <c r="FV6072"/>
      <c r="FW6072"/>
      <c r="FX6072"/>
      <c r="FY6072"/>
      <c r="FZ6072"/>
      <c r="GA6072"/>
      <c r="GB6072"/>
      <c r="GC6072"/>
      <c r="GD6072"/>
      <c r="GE6072"/>
      <c r="GF6072"/>
      <c r="GG6072"/>
      <c r="GH6072"/>
      <c r="GI6072"/>
      <c r="GJ6072"/>
      <c r="GK6072"/>
      <c r="GL6072"/>
      <c r="GM6072"/>
      <c r="GN6072"/>
      <c r="GO6072"/>
    </row>
    <row r="6073" spans="107:197">
      <c r="DC6073"/>
      <c r="FH6073"/>
      <c r="FI6073"/>
      <c r="FJ6073"/>
      <c r="FK6073"/>
      <c r="FL6073"/>
      <c r="FM6073"/>
      <c r="FN6073"/>
      <c r="FO6073"/>
      <c r="FP6073"/>
      <c r="FQ6073"/>
      <c r="FR6073"/>
      <c r="FS6073"/>
      <c r="FT6073"/>
      <c r="FU6073"/>
      <c r="FV6073"/>
      <c r="FW6073"/>
      <c r="FX6073"/>
      <c r="FY6073"/>
      <c r="FZ6073"/>
      <c r="GA6073"/>
      <c r="GB6073"/>
      <c r="GC6073"/>
      <c r="GD6073"/>
      <c r="GE6073"/>
      <c r="GF6073"/>
      <c r="GG6073"/>
      <c r="GH6073"/>
      <c r="GI6073"/>
      <c r="GJ6073"/>
      <c r="GK6073"/>
      <c r="GL6073"/>
      <c r="GM6073"/>
      <c r="GN6073"/>
      <c r="GO6073"/>
    </row>
    <row r="6074" spans="107:197">
      <c r="DC6074"/>
      <c r="FH6074"/>
      <c r="FI6074"/>
      <c r="FJ6074"/>
      <c r="FK6074"/>
      <c r="FL6074"/>
      <c r="FM6074"/>
      <c r="FN6074"/>
      <c r="FO6074"/>
      <c r="FP6074"/>
      <c r="FQ6074"/>
      <c r="FR6074"/>
      <c r="FS6074"/>
      <c r="FT6074"/>
      <c r="FU6074"/>
      <c r="FV6074"/>
      <c r="FW6074"/>
      <c r="FX6074"/>
      <c r="FY6074"/>
      <c r="FZ6074"/>
      <c r="GA6074"/>
      <c r="GB6074"/>
      <c r="GC6074"/>
      <c r="GD6074"/>
      <c r="GE6074"/>
      <c r="GF6074"/>
      <c r="GG6074"/>
      <c r="GH6074"/>
      <c r="GI6074"/>
      <c r="GJ6074"/>
      <c r="GK6074"/>
      <c r="GL6074"/>
      <c r="GM6074"/>
      <c r="GN6074"/>
      <c r="GO6074"/>
    </row>
    <row r="6075" spans="107:197">
      <c r="DC6075"/>
      <c r="FH6075"/>
      <c r="FI6075"/>
      <c r="FJ6075"/>
      <c r="FK6075"/>
      <c r="FL6075"/>
      <c r="FM6075"/>
      <c r="FN6075"/>
      <c r="FO6075"/>
      <c r="FP6075"/>
      <c r="FQ6075"/>
      <c r="FR6075"/>
      <c r="FS6075"/>
      <c r="FT6075"/>
      <c r="FU6075"/>
      <c r="FV6075"/>
      <c r="FW6075"/>
      <c r="FX6075"/>
      <c r="FY6075"/>
      <c r="FZ6075"/>
      <c r="GA6075"/>
      <c r="GB6075"/>
      <c r="GC6075"/>
      <c r="GD6075"/>
      <c r="GE6075"/>
      <c r="GF6075"/>
      <c r="GG6075"/>
      <c r="GH6075"/>
      <c r="GI6075"/>
      <c r="GJ6075"/>
      <c r="GK6075"/>
      <c r="GL6075"/>
      <c r="GM6075"/>
      <c r="GN6075"/>
      <c r="GO6075"/>
    </row>
    <row r="6076" spans="107:197">
      <c r="DC6076"/>
      <c r="FH6076"/>
      <c r="FI6076"/>
      <c r="FJ6076"/>
      <c r="FK6076"/>
      <c r="FL6076"/>
      <c r="FM6076"/>
      <c r="FN6076"/>
      <c r="FO6076"/>
      <c r="FP6076"/>
      <c r="FQ6076"/>
      <c r="FR6076"/>
      <c r="FS6076"/>
      <c r="FT6076"/>
      <c r="FU6076"/>
      <c r="FV6076"/>
      <c r="FW6076"/>
      <c r="FX6076"/>
      <c r="FY6076"/>
      <c r="FZ6076"/>
      <c r="GA6076"/>
      <c r="GB6076"/>
      <c r="GC6076"/>
      <c r="GD6076"/>
      <c r="GE6076"/>
      <c r="GF6076"/>
      <c r="GG6076"/>
      <c r="GH6076"/>
      <c r="GI6076"/>
      <c r="GJ6076"/>
      <c r="GK6076"/>
      <c r="GL6076"/>
      <c r="GM6076"/>
      <c r="GN6076"/>
      <c r="GO6076"/>
    </row>
    <row r="6077" spans="107:197">
      <c r="DC6077"/>
      <c r="FH6077"/>
      <c r="FI6077"/>
      <c r="FJ6077"/>
      <c r="FK6077"/>
      <c r="FL6077"/>
      <c r="FM6077"/>
      <c r="FN6077"/>
      <c r="FO6077"/>
      <c r="FP6077"/>
      <c r="FQ6077"/>
      <c r="FR6077"/>
      <c r="FS6077"/>
      <c r="FT6077"/>
      <c r="FU6077"/>
      <c r="FV6077"/>
      <c r="FW6077"/>
      <c r="FX6077"/>
      <c r="FY6077"/>
      <c r="FZ6077"/>
      <c r="GA6077"/>
      <c r="GB6077"/>
      <c r="GC6077"/>
      <c r="GD6077"/>
      <c r="GE6077"/>
      <c r="GF6077"/>
      <c r="GG6077"/>
      <c r="GH6077"/>
      <c r="GI6077"/>
      <c r="GJ6077"/>
      <c r="GK6077"/>
      <c r="GL6077"/>
      <c r="GM6077"/>
      <c r="GN6077"/>
      <c r="GO6077"/>
    </row>
    <row r="6078" spans="107:197">
      <c r="DC6078"/>
      <c r="FH6078"/>
      <c r="FI6078"/>
      <c r="FJ6078"/>
      <c r="FK6078"/>
      <c r="FL6078"/>
      <c r="FM6078"/>
      <c r="FN6078"/>
      <c r="FO6078"/>
      <c r="FP6078"/>
      <c r="FQ6078"/>
      <c r="FR6078"/>
      <c r="FS6078"/>
      <c r="FT6078"/>
      <c r="FU6078"/>
      <c r="FV6078"/>
      <c r="FW6078"/>
      <c r="FX6078"/>
      <c r="FY6078"/>
      <c r="FZ6078"/>
      <c r="GA6078"/>
      <c r="GB6078"/>
      <c r="GC6078"/>
      <c r="GD6078"/>
      <c r="GE6078"/>
      <c r="GF6078"/>
      <c r="GG6078"/>
      <c r="GH6078"/>
      <c r="GI6078"/>
      <c r="GJ6078"/>
      <c r="GK6078"/>
      <c r="GL6078"/>
      <c r="GM6078"/>
      <c r="GN6078"/>
      <c r="GO6078"/>
    </row>
    <row r="6079" spans="107:197">
      <c r="DC6079"/>
      <c r="FH6079"/>
      <c r="FI6079"/>
      <c r="FJ6079"/>
      <c r="FK6079"/>
      <c r="FL6079"/>
      <c r="FM6079"/>
      <c r="FN6079"/>
      <c r="FO6079"/>
      <c r="FP6079"/>
      <c r="FQ6079"/>
      <c r="FR6079"/>
      <c r="FS6079"/>
      <c r="FT6079"/>
      <c r="FU6079"/>
      <c r="FV6079"/>
      <c r="FW6079"/>
      <c r="FX6079"/>
      <c r="FY6079"/>
      <c r="FZ6079"/>
      <c r="GA6079"/>
      <c r="GB6079"/>
      <c r="GC6079"/>
      <c r="GD6079"/>
      <c r="GE6079"/>
      <c r="GF6079"/>
      <c r="GG6079"/>
      <c r="GH6079"/>
      <c r="GI6079"/>
      <c r="GJ6079"/>
      <c r="GK6079"/>
      <c r="GL6079"/>
      <c r="GM6079"/>
      <c r="GN6079"/>
      <c r="GO6079"/>
    </row>
    <row r="6080" spans="107:197">
      <c r="DC6080"/>
      <c r="FH6080"/>
      <c r="FI6080"/>
      <c r="FJ6080"/>
      <c r="FK6080"/>
      <c r="FL6080"/>
      <c r="FM6080"/>
      <c r="FN6080"/>
      <c r="FO6080"/>
      <c r="FP6080"/>
      <c r="FQ6080"/>
      <c r="FR6080"/>
      <c r="FS6080"/>
      <c r="FT6080"/>
      <c r="FU6080"/>
      <c r="FV6080"/>
      <c r="FW6080"/>
      <c r="FX6080"/>
      <c r="FY6080"/>
      <c r="FZ6080"/>
      <c r="GA6080"/>
      <c r="GB6080"/>
      <c r="GC6080"/>
      <c r="GD6080"/>
      <c r="GE6080"/>
      <c r="GF6080"/>
      <c r="GG6080"/>
      <c r="GH6080"/>
      <c r="GI6080"/>
      <c r="GJ6080"/>
      <c r="GK6080"/>
      <c r="GL6080"/>
      <c r="GM6080"/>
      <c r="GN6080"/>
      <c r="GO6080"/>
    </row>
    <row r="6081" spans="107:197">
      <c r="DC6081"/>
      <c r="FH6081"/>
      <c r="FI6081"/>
      <c r="FJ6081"/>
      <c r="FK6081"/>
      <c r="FL6081"/>
      <c r="FM6081"/>
      <c r="FN6081"/>
      <c r="FO6081"/>
      <c r="FP6081"/>
      <c r="FQ6081"/>
      <c r="FR6081"/>
      <c r="FS6081"/>
      <c r="FT6081"/>
      <c r="FU6081"/>
      <c r="FV6081"/>
      <c r="FW6081"/>
      <c r="FX6081"/>
      <c r="FY6081"/>
      <c r="FZ6081"/>
      <c r="GA6081"/>
      <c r="GB6081"/>
      <c r="GC6081"/>
      <c r="GD6081"/>
      <c r="GE6081"/>
      <c r="GF6081"/>
      <c r="GG6081"/>
      <c r="GH6081"/>
      <c r="GI6081"/>
      <c r="GJ6081"/>
      <c r="GK6081"/>
      <c r="GL6081"/>
      <c r="GM6081"/>
      <c r="GN6081"/>
      <c r="GO6081"/>
    </row>
    <row r="6082" spans="107:197">
      <c r="DC6082"/>
      <c r="FH6082"/>
      <c r="FI6082"/>
      <c r="FJ6082"/>
      <c r="FK6082"/>
      <c r="FL6082"/>
      <c r="FM6082"/>
      <c r="FN6082"/>
      <c r="FO6082"/>
      <c r="FP6082"/>
      <c r="FQ6082"/>
      <c r="FR6082"/>
      <c r="FS6082"/>
      <c r="FT6082"/>
      <c r="FU6082"/>
      <c r="FV6082"/>
      <c r="FW6082"/>
      <c r="FX6082"/>
      <c r="FY6082"/>
      <c r="FZ6082"/>
      <c r="GA6082"/>
      <c r="GB6082"/>
      <c r="GC6082"/>
      <c r="GD6082"/>
      <c r="GE6082"/>
      <c r="GF6082"/>
      <c r="GG6082"/>
      <c r="GH6082"/>
      <c r="GI6082"/>
      <c r="GJ6082"/>
      <c r="GK6082"/>
      <c r="GL6082"/>
      <c r="GM6082"/>
      <c r="GN6082"/>
      <c r="GO6082"/>
    </row>
    <row r="6083" spans="107:197">
      <c r="DC6083"/>
      <c r="FH6083"/>
      <c r="FI6083"/>
      <c r="FJ6083"/>
      <c r="FK6083"/>
      <c r="FL6083"/>
      <c r="FM6083"/>
      <c r="FN6083"/>
      <c r="FO6083"/>
      <c r="FP6083"/>
      <c r="FQ6083"/>
      <c r="FR6083"/>
      <c r="FS6083"/>
      <c r="FT6083"/>
      <c r="FU6083"/>
      <c r="FV6083"/>
      <c r="FW6083"/>
      <c r="FX6083"/>
      <c r="FY6083"/>
      <c r="FZ6083"/>
      <c r="GA6083"/>
      <c r="GB6083"/>
      <c r="GC6083"/>
      <c r="GD6083"/>
      <c r="GE6083"/>
      <c r="GF6083"/>
      <c r="GG6083"/>
      <c r="GH6083"/>
      <c r="GI6083"/>
      <c r="GJ6083"/>
      <c r="GK6083"/>
      <c r="GL6083"/>
      <c r="GM6083"/>
      <c r="GN6083"/>
      <c r="GO6083"/>
    </row>
    <row r="6084" spans="107:197">
      <c r="DC6084"/>
      <c r="FH6084"/>
      <c r="FI6084"/>
      <c r="FJ6084"/>
      <c r="FK6084"/>
      <c r="FL6084"/>
      <c r="FM6084"/>
      <c r="FN6084"/>
      <c r="FO6084"/>
      <c r="FP6084"/>
      <c r="FQ6084"/>
      <c r="FR6084"/>
      <c r="FS6084"/>
      <c r="FT6084"/>
      <c r="FU6084"/>
      <c r="FV6084"/>
      <c r="FW6084"/>
      <c r="FX6084"/>
      <c r="FY6084"/>
      <c r="FZ6084"/>
      <c r="GA6084"/>
      <c r="GB6084"/>
      <c r="GC6084"/>
      <c r="GD6084"/>
      <c r="GE6084"/>
      <c r="GF6084"/>
      <c r="GG6084"/>
      <c r="GH6084"/>
      <c r="GI6084"/>
      <c r="GJ6084"/>
      <c r="GK6084"/>
      <c r="GL6084"/>
      <c r="GM6084"/>
      <c r="GN6084"/>
      <c r="GO6084"/>
    </row>
    <row r="6085" spans="107:197">
      <c r="DC6085"/>
      <c r="FH6085"/>
      <c r="FI6085"/>
      <c r="FJ6085"/>
      <c r="FK6085"/>
      <c r="FL6085"/>
      <c r="FM6085"/>
      <c r="FN6085"/>
      <c r="FO6085"/>
      <c r="FP6085"/>
      <c r="FQ6085"/>
      <c r="FR6085"/>
      <c r="FS6085"/>
      <c r="FT6085"/>
      <c r="FU6085"/>
      <c r="FV6085"/>
      <c r="FW6085"/>
      <c r="FX6085"/>
      <c r="FY6085"/>
      <c r="FZ6085"/>
      <c r="GA6085"/>
      <c r="GB6085"/>
      <c r="GC6085"/>
      <c r="GD6085"/>
      <c r="GE6085"/>
      <c r="GF6085"/>
      <c r="GG6085"/>
      <c r="GH6085"/>
      <c r="GI6085"/>
      <c r="GJ6085"/>
      <c r="GK6085"/>
      <c r="GL6085"/>
      <c r="GM6085"/>
      <c r="GN6085"/>
      <c r="GO6085"/>
    </row>
    <row r="6086" spans="107:197">
      <c r="DC6086"/>
      <c r="FH6086"/>
      <c r="FI6086"/>
      <c r="FJ6086"/>
      <c r="FK6086"/>
      <c r="FL6086"/>
      <c r="FM6086"/>
      <c r="FN6086"/>
      <c r="FO6086"/>
      <c r="FP6086"/>
      <c r="FQ6086"/>
      <c r="FR6086"/>
      <c r="FS6086"/>
      <c r="FT6086"/>
      <c r="FU6086"/>
      <c r="FV6086"/>
      <c r="FW6086"/>
      <c r="FX6086"/>
      <c r="FY6086"/>
      <c r="FZ6086"/>
      <c r="GA6086"/>
      <c r="GB6086"/>
      <c r="GC6086"/>
      <c r="GD6086"/>
      <c r="GE6086"/>
      <c r="GF6086"/>
      <c r="GG6086"/>
      <c r="GH6086"/>
      <c r="GI6086"/>
      <c r="GJ6086"/>
      <c r="GK6086"/>
      <c r="GL6086"/>
      <c r="GM6086"/>
      <c r="GN6086"/>
      <c r="GO6086"/>
    </row>
    <row r="6087" spans="107:197">
      <c r="DC6087"/>
      <c r="FH6087"/>
      <c r="FI6087"/>
      <c r="FJ6087"/>
      <c r="FK6087"/>
      <c r="FL6087"/>
      <c r="FM6087"/>
      <c r="FN6087"/>
      <c r="FO6087"/>
      <c r="FP6087"/>
      <c r="FQ6087"/>
      <c r="FR6087"/>
      <c r="FS6087"/>
      <c r="FT6087"/>
      <c r="FU6087"/>
      <c r="FV6087"/>
      <c r="FW6087"/>
      <c r="FX6087"/>
      <c r="FY6087"/>
      <c r="FZ6087"/>
      <c r="GA6087"/>
      <c r="GB6087"/>
      <c r="GC6087"/>
      <c r="GD6087"/>
      <c r="GE6087"/>
      <c r="GF6087"/>
      <c r="GG6087"/>
      <c r="GH6087"/>
      <c r="GI6087"/>
      <c r="GJ6087"/>
      <c r="GK6087"/>
      <c r="GL6087"/>
      <c r="GM6087"/>
      <c r="GN6087"/>
      <c r="GO6087"/>
    </row>
    <row r="6088" spans="107:197">
      <c r="DC6088"/>
      <c r="FH6088"/>
      <c r="FI6088"/>
      <c r="FJ6088"/>
      <c r="FK6088"/>
      <c r="FL6088"/>
      <c r="FM6088"/>
      <c r="FN6088"/>
      <c r="FO6088"/>
      <c r="FP6088"/>
      <c r="FQ6088"/>
      <c r="FR6088"/>
      <c r="FS6088"/>
      <c r="FT6088"/>
      <c r="FU6088"/>
      <c r="FV6088"/>
      <c r="FW6088"/>
      <c r="FX6088"/>
      <c r="FY6088"/>
      <c r="FZ6088"/>
      <c r="GA6088"/>
      <c r="GB6088"/>
      <c r="GC6088"/>
      <c r="GD6088"/>
      <c r="GE6088"/>
      <c r="GF6088"/>
      <c r="GG6088"/>
      <c r="GH6088"/>
      <c r="GI6088"/>
      <c r="GJ6088"/>
      <c r="GK6088"/>
      <c r="GL6088"/>
      <c r="GM6088"/>
      <c r="GN6088"/>
      <c r="GO6088"/>
    </row>
    <row r="6089" spans="107:197">
      <c r="DC6089"/>
      <c r="FH6089"/>
      <c r="FI6089"/>
      <c r="FJ6089"/>
      <c r="FK6089"/>
      <c r="FL6089"/>
      <c r="FM6089"/>
      <c r="FN6089"/>
      <c r="FO6089"/>
      <c r="FP6089"/>
      <c r="FQ6089"/>
      <c r="FR6089"/>
      <c r="FS6089"/>
      <c r="FT6089"/>
      <c r="FU6089"/>
      <c r="FV6089"/>
      <c r="FW6089"/>
      <c r="FX6089"/>
      <c r="FY6089"/>
      <c r="FZ6089"/>
      <c r="GA6089"/>
      <c r="GB6089"/>
      <c r="GC6089"/>
      <c r="GD6089"/>
      <c r="GE6089"/>
      <c r="GF6089"/>
      <c r="GG6089"/>
      <c r="GH6089"/>
      <c r="GI6089"/>
      <c r="GJ6089"/>
      <c r="GK6089"/>
      <c r="GL6089"/>
      <c r="GM6089"/>
      <c r="GN6089"/>
      <c r="GO6089"/>
    </row>
    <row r="6090" spans="107:197">
      <c r="DC6090"/>
      <c r="FH6090"/>
      <c r="FI6090"/>
      <c r="FJ6090"/>
      <c r="FK6090"/>
      <c r="FL6090"/>
      <c r="FM6090"/>
      <c r="FN6090"/>
      <c r="FO6090"/>
      <c r="FP6090"/>
      <c r="FQ6090"/>
      <c r="FR6090"/>
      <c r="FS6090"/>
      <c r="FT6090"/>
      <c r="FU6090"/>
      <c r="FV6090"/>
      <c r="FW6090"/>
      <c r="FX6090"/>
      <c r="FY6090"/>
      <c r="FZ6090"/>
      <c r="GA6090"/>
      <c r="GB6090"/>
      <c r="GC6090"/>
      <c r="GD6090"/>
      <c r="GE6090"/>
      <c r="GF6090"/>
      <c r="GG6090"/>
      <c r="GH6090"/>
      <c r="GI6090"/>
      <c r="GJ6090"/>
      <c r="GK6090"/>
      <c r="GL6090"/>
      <c r="GM6090"/>
      <c r="GN6090"/>
      <c r="GO6090"/>
    </row>
    <row r="6091" spans="107:197">
      <c r="DC6091"/>
      <c r="FH6091"/>
      <c r="FI6091"/>
      <c r="FJ6091"/>
      <c r="FK6091"/>
      <c r="FL6091"/>
      <c r="FM6091"/>
      <c r="FN6091"/>
      <c r="FO6091"/>
      <c r="FP6091"/>
      <c r="FQ6091"/>
      <c r="FR6091"/>
      <c r="FS6091"/>
      <c r="FT6091"/>
      <c r="FU6091"/>
      <c r="FV6091"/>
      <c r="FW6091"/>
      <c r="FX6091"/>
      <c r="FY6091"/>
      <c r="FZ6091"/>
      <c r="GA6091"/>
      <c r="GB6091"/>
      <c r="GC6091"/>
      <c r="GD6091"/>
      <c r="GE6091"/>
      <c r="GF6091"/>
      <c r="GG6091"/>
      <c r="GH6091"/>
      <c r="GI6091"/>
      <c r="GJ6091"/>
      <c r="GK6091"/>
      <c r="GL6091"/>
      <c r="GM6091"/>
      <c r="GN6091"/>
      <c r="GO6091"/>
    </row>
    <row r="6092" spans="107:197">
      <c r="DC6092"/>
      <c r="FH6092"/>
      <c r="FI6092"/>
      <c r="FJ6092"/>
      <c r="FK6092"/>
      <c r="FL6092"/>
      <c r="FM6092"/>
      <c r="FN6092"/>
      <c r="FO6092"/>
      <c r="FP6092"/>
      <c r="FQ6092"/>
      <c r="FR6092"/>
      <c r="FS6092"/>
      <c r="FT6092"/>
      <c r="FU6092"/>
      <c r="FV6092"/>
      <c r="FW6092"/>
      <c r="FX6092"/>
      <c r="FY6092"/>
      <c r="FZ6092"/>
      <c r="GA6092"/>
      <c r="GB6092"/>
      <c r="GC6092"/>
      <c r="GD6092"/>
      <c r="GE6092"/>
      <c r="GF6092"/>
      <c r="GG6092"/>
      <c r="GH6092"/>
      <c r="GI6092"/>
      <c r="GJ6092"/>
      <c r="GK6092"/>
      <c r="GL6092"/>
      <c r="GM6092"/>
      <c r="GN6092"/>
      <c r="GO6092"/>
    </row>
    <row r="6093" spans="107:197">
      <c r="DC6093"/>
      <c r="FH6093"/>
      <c r="FI6093"/>
      <c r="FJ6093"/>
      <c r="FK6093"/>
      <c r="FL6093"/>
      <c r="FM6093"/>
      <c r="FN6093"/>
      <c r="FO6093"/>
      <c r="FP6093"/>
      <c r="FQ6093"/>
      <c r="FR6093"/>
      <c r="FS6093"/>
      <c r="FT6093"/>
      <c r="FU6093"/>
      <c r="FV6093"/>
      <c r="FW6093"/>
      <c r="FX6093"/>
      <c r="FY6093"/>
      <c r="FZ6093"/>
      <c r="GA6093"/>
      <c r="GB6093"/>
      <c r="GC6093"/>
      <c r="GD6093"/>
      <c r="GE6093"/>
      <c r="GF6093"/>
      <c r="GG6093"/>
      <c r="GH6093"/>
      <c r="GI6093"/>
      <c r="GJ6093"/>
      <c r="GK6093"/>
      <c r="GL6093"/>
      <c r="GM6093"/>
      <c r="GN6093"/>
      <c r="GO6093"/>
    </row>
    <row r="6094" spans="107:197">
      <c r="DC6094"/>
      <c r="FH6094"/>
      <c r="FI6094"/>
      <c r="FJ6094"/>
      <c r="FK6094"/>
      <c r="FL6094"/>
      <c r="FM6094"/>
      <c r="FN6094"/>
      <c r="FO6094"/>
      <c r="FP6094"/>
      <c r="FQ6094"/>
      <c r="FR6094"/>
      <c r="FS6094"/>
      <c r="FT6094"/>
      <c r="FU6094"/>
      <c r="FV6094"/>
      <c r="FW6094"/>
      <c r="FX6094"/>
      <c r="FY6094"/>
      <c r="FZ6094"/>
      <c r="GA6094"/>
      <c r="GB6094"/>
      <c r="GC6094"/>
      <c r="GD6094"/>
      <c r="GE6094"/>
      <c r="GF6094"/>
      <c r="GG6094"/>
      <c r="GH6094"/>
      <c r="GI6094"/>
      <c r="GJ6094"/>
      <c r="GK6094"/>
      <c r="GL6094"/>
      <c r="GM6094"/>
      <c r="GN6094"/>
      <c r="GO6094"/>
    </row>
    <row r="6095" spans="107:197">
      <c r="DC6095"/>
      <c r="FH6095"/>
      <c r="FI6095"/>
      <c r="FJ6095"/>
      <c r="FK6095"/>
      <c r="FL6095"/>
      <c r="FM6095"/>
      <c r="FN6095"/>
      <c r="FO6095"/>
      <c r="FP6095"/>
      <c r="FQ6095"/>
      <c r="FR6095"/>
      <c r="FS6095"/>
      <c r="FT6095"/>
      <c r="FU6095"/>
      <c r="FV6095"/>
      <c r="FW6095"/>
      <c r="FX6095"/>
      <c r="FY6095"/>
      <c r="FZ6095"/>
      <c r="GA6095"/>
      <c r="GB6095"/>
      <c r="GC6095"/>
      <c r="GD6095"/>
      <c r="GE6095"/>
      <c r="GF6095"/>
      <c r="GG6095"/>
      <c r="GH6095"/>
      <c r="GI6095"/>
      <c r="GJ6095"/>
      <c r="GK6095"/>
      <c r="GL6095"/>
      <c r="GM6095"/>
      <c r="GN6095"/>
      <c r="GO6095"/>
    </row>
    <row r="6096" spans="107:197">
      <c r="DC6096"/>
      <c r="FH6096"/>
      <c r="FI6096"/>
      <c r="FJ6096"/>
      <c r="FK6096"/>
      <c r="FL6096"/>
      <c r="FM6096"/>
      <c r="FN6096"/>
      <c r="FO6096"/>
      <c r="FP6096"/>
      <c r="FQ6096"/>
      <c r="FR6096"/>
      <c r="FS6096"/>
      <c r="FT6096"/>
      <c r="FU6096"/>
      <c r="FV6096"/>
      <c r="FW6096"/>
      <c r="FX6096"/>
      <c r="FY6096"/>
      <c r="FZ6096"/>
      <c r="GA6096"/>
      <c r="GB6096"/>
      <c r="GC6096"/>
      <c r="GD6096"/>
      <c r="GE6096"/>
      <c r="GF6096"/>
      <c r="GG6096"/>
      <c r="GH6096"/>
      <c r="GI6096"/>
      <c r="GJ6096"/>
      <c r="GK6096"/>
      <c r="GL6096"/>
      <c r="GM6096"/>
      <c r="GN6096"/>
      <c r="GO6096"/>
    </row>
    <row r="6097" spans="107:197">
      <c r="DC6097"/>
      <c r="FH6097"/>
      <c r="FI6097"/>
      <c r="FJ6097"/>
      <c r="FK6097"/>
      <c r="FL6097"/>
      <c r="FM6097"/>
      <c r="FN6097"/>
      <c r="FO6097"/>
      <c r="FP6097"/>
      <c r="FQ6097"/>
      <c r="FR6097"/>
      <c r="FS6097"/>
      <c r="FT6097"/>
      <c r="FU6097"/>
      <c r="FV6097"/>
      <c r="FW6097"/>
      <c r="FX6097"/>
      <c r="FY6097"/>
      <c r="FZ6097"/>
      <c r="GA6097"/>
      <c r="GB6097"/>
      <c r="GC6097"/>
      <c r="GD6097"/>
      <c r="GE6097"/>
      <c r="GF6097"/>
      <c r="GG6097"/>
      <c r="GH6097"/>
      <c r="GI6097"/>
      <c r="GJ6097"/>
      <c r="GK6097"/>
      <c r="GL6097"/>
      <c r="GM6097"/>
      <c r="GN6097"/>
      <c r="GO6097"/>
    </row>
    <row r="6098" spans="107:197">
      <c r="DC6098"/>
      <c r="FH6098"/>
      <c r="FI6098"/>
      <c r="FJ6098"/>
      <c r="FK6098"/>
      <c r="FL6098"/>
      <c r="FM6098"/>
      <c r="FN6098"/>
      <c r="FO6098"/>
      <c r="FP6098"/>
      <c r="FQ6098"/>
      <c r="FR6098"/>
      <c r="FS6098"/>
      <c r="FT6098"/>
      <c r="FU6098"/>
      <c r="FV6098"/>
      <c r="FW6098"/>
      <c r="FX6098"/>
      <c r="FY6098"/>
      <c r="FZ6098"/>
      <c r="GA6098"/>
      <c r="GB6098"/>
      <c r="GC6098"/>
      <c r="GD6098"/>
      <c r="GE6098"/>
      <c r="GF6098"/>
      <c r="GG6098"/>
      <c r="GH6098"/>
      <c r="GI6098"/>
      <c r="GJ6098"/>
      <c r="GK6098"/>
      <c r="GL6098"/>
      <c r="GM6098"/>
      <c r="GN6098"/>
      <c r="GO6098"/>
    </row>
    <row r="6099" spans="107:197">
      <c r="DC6099"/>
      <c r="FH6099"/>
      <c r="FI6099"/>
      <c r="FJ6099"/>
      <c r="FK6099"/>
      <c r="FL6099"/>
      <c r="FM6099"/>
      <c r="FN6099"/>
      <c r="FO6099"/>
      <c r="FP6099"/>
      <c r="FQ6099"/>
      <c r="FR6099"/>
      <c r="FS6099"/>
      <c r="FT6099"/>
      <c r="FU6099"/>
      <c r="FV6099"/>
      <c r="FW6099"/>
      <c r="FX6099"/>
      <c r="FY6099"/>
      <c r="FZ6099"/>
      <c r="GA6099"/>
      <c r="GB6099"/>
      <c r="GC6099"/>
      <c r="GD6099"/>
      <c r="GE6099"/>
      <c r="GF6099"/>
      <c r="GG6099"/>
      <c r="GH6099"/>
      <c r="GI6099"/>
      <c r="GJ6099"/>
      <c r="GK6099"/>
      <c r="GL6099"/>
      <c r="GM6099"/>
      <c r="GN6099"/>
      <c r="GO6099"/>
    </row>
    <row r="6100" spans="107:197">
      <c r="DC6100"/>
      <c r="FH6100"/>
      <c r="FI6100"/>
      <c r="FJ6100"/>
      <c r="FK6100"/>
      <c r="FL6100"/>
      <c r="FM6100"/>
      <c r="FN6100"/>
      <c r="FO6100"/>
      <c r="FP6100"/>
      <c r="FQ6100"/>
      <c r="FR6100"/>
      <c r="FS6100"/>
      <c r="FT6100"/>
      <c r="FU6100"/>
      <c r="FV6100"/>
      <c r="FW6100"/>
      <c r="FX6100"/>
      <c r="FY6100"/>
      <c r="FZ6100"/>
      <c r="GA6100"/>
      <c r="GB6100"/>
      <c r="GC6100"/>
      <c r="GD6100"/>
      <c r="GE6100"/>
      <c r="GF6100"/>
      <c r="GG6100"/>
      <c r="GH6100"/>
      <c r="GI6100"/>
      <c r="GJ6100"/>
      <c r="GK6100"/>
      <c r="GL6100"/>
      <c r="GM6100"/>
      <c r="GN6100"/>
      <c r="GO6100"/>
    </row>
    <row r="6101" spans="107:197">
      <c r="DC6101"/>
      <c r="FH6101"/>
      <c r="FI6101"/>
      <c r="FJ6101"/>
      <c r="FK6101"/>
      <c r="FL6101"/>
      <c r="FM6101"/>
      <c r="FN6101"/>
      <c r="FO6101"/>
      <c r="FP6101"/>
      <c r="FQ6101"/>
      <c r="FR6101"/>
      <c r="FS6101"/>
      <c r="FT6101"/>
      <c r="FU6101"/>
      <c r="FV6101"/>
      <c r="FW6101"/>
      <c r="FX6101"/>
      <c r="FY6101"/>
      <c r="FZ6101"/>
      <c r="GA6101"/>
      <c r="GB6101"/>
      <c r="GC6101"/>
      <c r="GD6101"/>
      <c r="GE6101"/>
      <c r="GF6101"/>
      <c r="GG6101"/>
      <c r="GH6101"/>
      <c r="GI6101"/>
      <c r="GJ6101"/>
      <c r="GK6101"/>
      <c r="GL6101"/>
      <c r="GM6101"/>
      <c r="GN6101"/>
      <c r="GO6101"/>
    </row>
    <row r="6102" spans="107:197">
      <c r="DC6102"/>
      <c r="FH6102"/>
      <c r="FI6102"/>
      <c r="FJ6102"/>
      <c r="FK6102"/>
      <c r="FL6102"/>
      <c r="FM6102"/>
      <c r="FN6102"/>
      <c r="FO6102"/>
      <c r="FP6102"/>
      <c r="FQ6102"/>
      <c r="FR6102"/>
      <c r="FS6102"/>
      <c r="FT6102"/>
      <c r="FU6102"/>
      <c r="FV6102"/>
      <c r="FW6102"/>
      <c r="FX6102"/>
      <c r="FY6102"/>
      <c r="FZ6102"/>
      <c r="GA6102"/>
      <c r="GB6102"/>
      <c r="GC6102"/>
      <c r="GD6102"/>
      <c r="GE6102"/>
      <c r="GF6102"/>
      <c r="GG6102"/>
      <c r="GH6102"/>
      <c r="GI6102"/>
      <c r="GJ6102"/>
      <c r="GK6102"/>
      <c r="GL6102"/>
      <c r="GM6102"/>
      <c r="GN6102"/>
      <c r="GO6102"/>
    </row>
    <row r="6103" spans="107:197">
      <c r="DC6103"/>
      <c r="FH6103"/>
      <c r="FI6103"/>
      <c r="FJ6103"/>
      <c r="FK6103"/>
      <c r="FL6103"/>
      <c r="FM6103"/>
      <c r="FN6103"/>
      <c r="FO6103"/>
      <c r="FP6103"/>
      <c r="FQ6103"/>
      <c r="FR6103"/>
      <c r="FS6103"/>
      <c r="FT6103"/>
      <c r="FU6103"/>
      <c r="FV6103"/>
      <c r="FW6103"/>
      <c r="FX6103"/>
      <c r="FY6103"/>
      <c r="FZ6103"/>
      <c r="GA6103"/>
      <c r="GB6103"/>
      <c r="GC6103"/>
      <c r="GD6103"/>
      <c r="GE6103"/>
      <c r="GF6103"/>
      <c r="GG6103"/>
      <c r="GH6103"/>
      <c r="GI6103"/>
      <c r="GJ6103"/>
      <c r="GK6103"/>
      <c r="GL6103"/>
      <c r="GM6103"/>
      <c r="GN6103"/>
      <c r="GO6103"/>
    </row>
    <row r="6104" spans="107:197">
      <c r="DC6104"/>
      <c r="FH6104"/>
      <c r="FI6104"/>
      <c r="FJ6104"/>
      <c r="FK6104"/>
      <c r="FL6104"/>
      <c r="FM6104"/>
      <c r="FN6104"/>
      <c r="FO6104"/>
      <c r="FP6104"/>
      <c r="FQ6104"/>
      <c r="FR6104"/>
      <c r="FS6104"/>
      <c r="FT6104"/>
      <c r="FU6104"/>
      <c r="FV6104"/>
      <c r="FW6104"/>
      <c r="FX6104"/>
      <c r="FY6104"/>
      <c r="FZ6104"/>
      <c r="GA6104"/>
      <c r="GB6104"/>
      <c r="GC6104"/>
      <c r="GD6104"/>
      <c r="GE6104"/>
      <c r="GF6104"/>
      <c r="GG6104"/>
      <c r="GH6104"/>
      <c r="GI6104"/>
      <c r="GJ6104"/>
      <c r="GK6104"/>
      <c r="GL6104"/>
      <c r="GM6104"/>
      <c r="GN6104"/>
      <c r="GO6104"/>
    </row>
    <row r="6105" spans="107:197">
      <c r="DC6105"/>
      <c r="FH6105"/>
      <c r="FI6105"/>
      <c r="FJ6105"/>
      <c r="FK6105"/>
      <c r="FL6105"/>
      <c r="FM6105"/>
      <c r="FN6105"/>
      <c r="FO6105"/>
      <c r="FP6105"/>
      <c r="FQ6105"/>
      <c r="FR6105"/>
      <c r="FS6105"/>
      <c r="FT6105"/>
      <c r="FU6105"/>
      <c r="FV6105"/>
      <c r="FW6105"/>
      <c r="FX6105"/>
      <c r="FY6105"/>
      <c r="FZ6105"/>
      <c r="GA6105"/>
      <c r="GB6105"/>
      <c r="GC6105"/>
      <c r="GD6105"/>
      <c r="GE6105"/>
      <c r="GF6105"/>
      <c r="GG6105"/>
      <c r="GH6105"/>
      <c r="GI6105"/>
      <c r="GJ6105"/>
      <c r="GK6105"/>
      <c r="GL6105"/>
      <c r="GM6105"/>
      <c r="GN6105"/>
      <c r="GO6105"/>
    </row>
    <row r="6106" spans="107:197">
      <c r="DC6106"/>
      <c r="FH6106"/>
      <c r="FI6106"/>
      <c r="FJ6106"/>
      <c r="FK6106"/>
      <c r="FL6106"/>
      <c r="FM6106"/>
      <c r="FN6106"/>
      <c r="FO6106"/>
      <c r="FP6106"/>
      <c r="FQ6106"/>
      <c r="FR6106"/>
      <c r="FS6106"/>
      <c r="FT6106"/>
      <c r="FU6106"/>
      <c r="FV6106"/>
      <c r="FW6106"/>
      <c r="FX6106"/>
      <c r="FY6106"/>
      <c r="FZ6106"/>
      <c r="GA6106"/>
      <c r="GB6106"/>
      <c r="GC6106"/>
      <c r="GD6106"/>
      <c r="GE6106"/>
      <c r="GF6106"/>
      <c r="GG6106"/>
      <c r="GH6106"/>
      <c r="GI6106"/>
      <c r="GJ6106"/>
      <c r="GK6106"/>
      <c r="GL6106"/>
      <c r="GM6106"/>
      <c r="GN6106"/>
      <c r="GO6106"/>
    </row>
    <row r="6107" spans="107:197">
      <c r="DC6107"/>
      <c r="FH6107"/>
      <c r="FI6107"/>
      <c r="FJ6107"/>
      <c r="FK6107"/>
      <c r="FL6107"/>
      <c r="FM6107"/>
      <c r="FN6107"/>
      <c r="FO6107"/>
      <c r="FP6107"/>
      <c r="FQ6107"/>
      <c r="FR6107"/>
      <c r="FS6107"/>
      <c r="FT6107"/>
      <c r="FU6107"/>
      <c r="FV6107"/>
      <c r="FW6107"/>
      <c r="FX6107"/>
      <c r="FY6107"/>
      <c r="FZ6107"/>
      <c r="GA6107"/>
      <c r="GB6107"/>
      <c r="GC6107"/>
      <c r="GD6107"/>
      <c r="GE6107"/>
      <c r="GF6107"/>
      <c r="GG6107"/>
      <c r="GH6107"/>
      <c r="GI6107"/>
      <c r="GJ6107"/>
      <c r="GK6107"/>
      <c r="GL6107"/>
      <c r="GM6107"/>
      <c r="GN6107"/>
      <c r="GO6107"/>
    </row>
    <row r="6108" spans="107:197">
      <c r="DC6108"/>
      <c r="FH6108"/>
      <c r="FI6108"/>
      <c r="FJ6108"/>
      <c r="FK6108"/>
      <c r="FL6108"/>
      <c r="FM6108"/>
      <c r="FN6108"/>
      <c r="FO6108"/>
      <c r="FP6108"/>
      <c r="FQ6108"/>
      <c r="FR6108"/>
      <c r="FS6108"/>
      <c r="FT6108"/>
      <c r="FU6108"/>
      <c r="FV6108"/>
      <c r="FW6108"/>
      <c r="FX6108"/>
      <c r="FY6108"/>
      <c r="FZ6108"/>
      <c r="GA6108"/>
      <c r="GB6108"/>
      <c r="GC6108"/>
      <c r="GD6108"/>
      <c r="GE6108"/>
      <c r="GF6108"/>
      <c r="GG6108"/>
      <c r="GH6108"/>
      <c r="GI6108"/>
      <c r="GJ6108"/>
      <c r="GK6108"/>
      <c r="GL6108"/>
      <c r="GM6108"/>
      <c r="GN6108"/>
      <c r="GO6108"/>
    </row>
    <row r="6109" spans="107:197">
      <c r="DC6109"/>
      <c r="FH6109"/>
      <c r="FI6109"/>
      <c r="FJ6109"/>
      <c r="FK6109"/>
      <c r="FL6109"/>
      <c r="FM6109"/>
      <c r="FN6109"/>
      <c r="FO6109"/>
      <c r="FP6109"/>
      <c r="FQ6109"/>
      <c r="FR6109"/>
      <c r="FS6109"/>
      <c r="FT6109"/>
      <c r="FU6109"/>
      <c r="FV6109"/>
      <c r="FW6109"/>
      <c r="FX6109"/>
      <c r="FY6109"/>
      <c r="FZ6109"/>
      <c r="GA6109"/>
      <c r="GB6109"/>
      <c r="GC6109"/>
      <c r="GD6109"/>
      <c r="GE6109"/>
      <c r="GF6109"/>
      <c r="GG6109"/>
      <c r="GH6109"/>
      <c r="GI6109"/>
      <c r="GJ6109"/>
      <c r="GK6109"/>
      <c r="GL6109"/>
      <c r="GM6109"/>
      <c r="GN6109"/>
      <c r="GO6109"/>
    </row>
    <row r="6110" spans="107:197">
      <c r="DC6110"/>
      <c r="FH6110"/>
      <c r="FI6110"/>
      <c r="FJ6110"/>
      <c r="FK6110"/>
      <c r="FL6110"/>
      <c r="FM6110"/>
      <c r="FN6110"/>
      <c r="FO6110"/>
      <c r="FP6110"/>
      <c r="FQ6110"/>
      <c r="FR6110"/>
      <c r="FS6110"/>
      <c r="FT6110"/>
      <c r="FU6110"/>
      <c r="FV6110"/>
      <c r="FW6110"/>
      <c r="FX6110"/>
      <c r="FY6110"/>
      <c r="FZ6110"/>
      <c r="GA6110"/>
      <c r="GB6110"/>
      <c r="GC6110"/>
      <c r="GD6110"/>
      <c r="GE6110"/>
      <c r="GF6110"/>
      <c r="GG6110"/>
      <c r="GH6110"/>
      <c r="GI6110"/>
      <c r="GJ6110"/>
      <c r="GK6110"/>
      <c r="GL6110"/>
      <c r="GM6110"/>
      <c r="GN6110"/>
      <c r="GO6110"/>
    </row>
    <row r="6111" spans="107:197">
      <c r="DC6111"/>
      <c r="FH6111"/>
      <c r="FI6111"/>
      <c r="FJ6111"/>
      <c r="FK6111"/>
      <c r="FL6111"/>
      <c r="FM6111"/>
      <c r="FN6111"/>
      <c r="FO6111"/>
      <c r="FP6111"/>
      <c r="FQ6111"/>
      <c r="FR6111"/>
      <c r="FS6111"/>
      <c r="FT6111"/>
      <c r="FU6111"/>
      <c r="FV6111"/>
      <c r="FW6111"/>
      <c r="FX6111"/>
      <c r="FY6111"/>
      <c r="FZ6111"/>
      <c r="GA6111"/>
      <c r="GB6111"/>
      <c r="GC6111"/>
      <c r="GD6111"/>
      <c r="GE6111"/>
      <c r="GF6111"/>
      <c r="GG6111"/>
      <c r="GH6111"/>
      <c r="GI6111"/>
      <c r="GJ6111"/>
      <c r="GK6111"/>
      <c r="GL6111"/>
      <c r="GM6111"/>
      <c r="GN6111"/>
      <c r="GO6111"/>
    </row>
    <row r="6112" spans="107:197">
      <c r="DC6112"/>
      <c r="FH6112"/>
      <c r="FI6112"/>
      <c r="FJ6112"/>
      <c r="FK6112"/>
      <c r="FL6112"/>
      <c r="FM6112"/>
      <c r="FN6112"/>
      <c r="FO6112"/>
      <c r="FP6112"/>
      <c r="FQ6112"/>
      <c r="FR6112"/>
      <c r="FS6112"/>
      <c r="FT6112"/>
      <c r="FU6112"/>
      <c r="FV6112"/>
      <c r="FW6112"/>
      <c r="FX6112"/>
      <c r="FY6112"/>
      <c r="FZ6112"/>
      <c r="GA6112"/>
      <c r="GB6112"/>
      <c r="GC6112"/>
      <c r="GD6112"/>
      <c r="GE6112"/>
      <c r="GF6112"/>
      <c r="GG6112"/>
      <c r="GH6112"/>
      <c r="GI6112"/>
      <c r="GJ6112"/>
      <c r="GK6112"/>
      <c r="GL6112"/>
      <c r="GM6112"/>
      <c r="GN6112"/>
      <c r="GO6112"/>
    </row>
    <row r="6113" spans="107:197">
      <c r="DC6113"/>
      <c r="FH6113"/>
      <c r="FI6113"/>
      <c r="FJ6113"/>
      <c r="FK6113"/>
      <c r="FL6113"/>
      <c r="FM6113"/>
      <c r="FN6113"/>
      <c r="FO6113"/>
      <c r="FP6113"/>
      <c r="FQ6113"/>
      <c r="FR6113"/>
      <c r="FS6113"/>
      <c r="FT6113"/>
      <c r="FU6113"/>
      <c r="FV6113"/>
      <c r="FW6113"/>
      <c r="FX6113"/>
      <c r="FY6113"/>
      <c r="FZ6113"/>
      <c r="GA6113"/>
      <c r="GB6113"/>
      <c r="GC6113"/>
      <c r="GD6113"/>
      <c r="GE6113"/>
      <c r="GF6113"/>
      <c r="GG6113"/>
      <c r="GH6113"/>
      <c r="GI6113"/>
      <c r="GJ6113"/>
      <c r="GK6113"/>
      <c r="GL6113"/>
      <c r="GM6113"/>
      <c r="GN6113"/>
      <c r="GO6113"/>
    </row>
    <row r="6114" spans="107:197">
      <c r="DC6114"/>
      <c r="FH6114"/>
      <c r="FI6114"/>
      <c r="FJ6114"/>
      <c r="FK6114"/>
      <c r="FL6114"/>
      <c r="FM6114"/>
      <c r="FN6114"/>
      <c r="FO6114"/>
      <c r="FP6114"/>
      <c r="FQ6114"/>
      <c r="FR6114"/>
      <c r="FS6114"/>
      <c r="FT6114"/>
      <c r="FU6114"/>
      <c r="FV6114"/>
      <c r="FW6114"/>
      <c r="FX6114"/>
      <c r="FY6114"/>
      <c r="FZ6114"/>
      <c r="GA6114"/>
      <c r="GB6114"/>
      <c r="GC6114"/>
      <c r="GD6114"/>
      <c r="GE6114"/>
      <c r="GF6114"/>
      <c r="GG6114"/>
      <c r="GH6114"/>
      <c r="GI6114"/>
      <c r="GJ6114"/>
      <c r="GK6114"/>
      <c r="GL6114"/>
      <c r="GM6114"/>
      <c r="GN6114"/>
      <c r="GO6114"/>
    </row>
    <row r="6115" spans="107:197">
      <c r="DC6115"/>
      <c r="FH6115"/>
      <c r="FI6115"/>
      <c r="FJ6115"/>
      <c r="FK6115"/>
      <c r="FL6115"/>
      <c r="FM6115"/>
      <c r="FN6115"/>
      <c r="FO6115"/>
      <c r="FP6115"/>
      <c r="FQ6115"/>
      <c r="FR6115"/>
      <c r="FS6115"/>
      <c r="FT6115"/>
      <c r="FU6115"/>
      <c r="FV6115"/>
      <c r="FW6115"/>
      <c r="FX6115"/>
      <c r="FY6115"/>
      <c r="FZ6115"/>
      <c r="GA6115"/>
      <c r="GB6115"/>
      <c r="GC6115"/>
      <c r="GD6115"/>
      <c r="GE6115"/>
      <c r="GF6115"/>
      <c r="GG6115"/>
      <c r="GH6115"/>
      <c r="GI6115"/>
      <c r="GJ6115"/>
      <c r="GK6115"/>
      <c r="GL6115"/>
      <c r="GM6115"/>
      <c r="GN6115"/>
      <c r="GO6115"/>
    </row>
    <row r="6116" spans="107:197">
      <c r="DC6116"/>
      <c r="FH6116"/>
      <c r="FI6116"/>
      <c r="FJ6116"/>
      <c r="FK6116"/>
      <c r="FL6116"/>
      <c r="FM6116"/>
      <c r="FN6116"/>
      <c r="FO6116"/>
      <c r="FP6116"/>
      <c r="FQ6116"/>
      <c r="FR6116"/>
      <c r="FS6116"/>
      <c r="FT6116"/>
      <c r="FU6116"/>
      <c r="FV6116"/>
      <c r="FW6116"/>
      <c r="FX6116"/>
      <c r="FY6116"/>
      <c r="FZ6116"/>
      <c r="GA6116"/>
      <c r="GB6116"/>
      <c r="GC6116"/>
      <c r="GD6116"/>
      <c r="GE6116"/>
      <c r="GF6116"/>
      <c r="GG6116"/>
      <c r="GH6116"/>
      <c r="GI6116"/>
      <c r="GJ6116"/>
      <c r="GK6116"/>
      <c r="GL6116"/>
      <c r="GM6116"/>
      <c r="GN6116"/>
      <c r="GO6116"/>
    </row>
    <row r="6117" spans="107:197">
      <c r="DC6117"/>
      <c r="FH6117"/>
      <c r="FI6117"/>
      <c r="FJ6117"/>
      <c r="FK6117"/>
      <c r="FL6117"/>
      <c r="FM6117"/>
      <c r="FN6117"/>
      <c r="FO6117"/>
      <c r="FP6117"/>
      <c r="FQ6117"/>
      <c r="FR6117"/>
      <c r="FS6117"/>
      <c r="FT6117"/>
      <c r="FU6117"/>
      <c r="FV6117"/>
      <c r="FW6117"/>
      <c r="FX6117"/>
      <c r="FY6117"/>
      <c r="FZ6117"/>
      <c r="GA6117"/>
      <c r="GB6117"/>
      <c r="GC6117"/>
      <c r="GD6117"/>
      <c r="GE6117"/>
      <c r="GF6117"/>
      <c r="GG6117"/>
      <c r="GH6117"/>
      <c r="GI6117"/>
      <c r="GJ6117"/>
      <c r="GK6117"/>
      <c r="GL6117"/>
      <c r="GM6117"/>
      <c r="GN6117"/>
      <c r="GO6117"/>
    </row>
    <row r="6118" spans="107:197">
      <c r="DC6118"/>
      <c r="FH6118"/>
      <c r="FI6118"/>
      <c r="FJ6118"/>
      <c r="FK6118"/>
      <c r="FL6118"/>
      <c r="FM6118"/>
      <c r="FN6118"/>
      <c r="FO6118"/>
      <c r="FP6118"/>
      <c r="FQ6118"/>
      <c r="FR6118"/>
      <c r="FS6118"/>
      <c r="FT6118"/>
      <c r="FU6118"/>
      <c r="FV6118"/>
      <c r="FW6118"/>
      <c r="FX6118"/>
      <c r="FY6118"/>
      <c r="FZ6118"/>
      <c r="GA6118"/>
      <c r="GB6118"/>
      <c r="GC6118"/>
      <c r="GD6118"/>
      <c r="GE6118"/>
      <c r="GF6118"/>
      <c r="GG6118"/>
      <c r="GH6118"/>
      <c r="GI6118"/>
      <c r="GJ6118"/>
      <c r="GK6118"/>
      <c r="GL6118"/>
      <c r="GM6118"/>
      <c r="GN6118"/>
      <c r="GO6118"/>
    </row>
    <row r="6119" spans="107:197">
      <c r="DC6119"/>
      <c r="FH6119"/>
      <c r="FI6119"/>
      <c r="FJ6119"/>
      <c r="FK6119"/>
      <c r="FL6119"/>
      <c r="FM6119"/>
      <c r="FN6119"/>
      <c r="FO6119"/>
      <c r="FP6119"/>
      <c r="FQ6119"/>
      <c r="FR6119"/>
      <c r="FS6119"/>
      <c r="FT6119"/>
      <c r="FU6119"/>
      <c r="FV6119"/>
      <c r="FW6119"/>
      <c r="FX6119"/>
      <c r="FY6119"/>
      <c r="FZ6119"/>
      <c r="GA6119"/>
      <c r="GB6119"/>
      <c r="GC6119"/>
      <c r="GD6119"/>
      <c r="GE6119"/>
      <c r="GF6119"/>
      <c r="GG6119"/>
      <c r="GH6119"/>
      <c r="GI6119"/>
      <c r="GJ6119"/>
      <c r="GK6119"/>
      <c r="GL6119"/>
      <c r="GM6119"/>
      <c r="GN6119"/>
      <c r="GO6119"/>
    </row>
    <row r="6120" spans="107:197">
      <c r="DC6120"/>
      <c r="FH6120"/>
      <c r="FI6120"/>
      <c r="FJ6120"/>
      <c r="FK6120"/>
      <c r="FL6120"/>
      <c r="FM6120"/>
      <c r="FN6120"/>
      <c r="FO6120"/>
      <c r="FP6120"/>
      <c r="FQ6120"/>
      <c r="FR6120"/>
      <c r="FS6120"/>
      <c r="FT6120"/>
      <c r="FU6120"/>
      <c r="FV6120"/>
      <c r="FW6120"/>
      <c r="FX6120"/>
      <c r="FY6120"/>
      <c r="FZ6120"/>
      <c r="GA6120"/>
      <c r="GB6120"/>
      <c r="GC6120"/>
      <c r="GD6120"/>
      <c r="GE6120"/>
      <c r="GF6120"/>
      <c r="GG6120"/>
      <c r="GH6120"/>
      <c r="GI6120"/>
      <c r="GJ6120"/>
      <c r="GK6120"/>
      <c r="GL6120"/>
      <c r="GM6120"/>
      <c r="GN6120"/>
      <c r="GO6120"/>
    </row>
    <row r="6121" spans="107:197">
      <c r="DC6121"/>
      <c r="FH6121"/>
      <c r="FI6121"/>
      <c r="FJ6121"/>
      <c r="FK6121"/>
      <c r="FL6121"/>
      <c r="FM6121"/>
      <c r="FN6121"/>
      <c r="FO6121"/>
      <c r="FP6121"/>
      <c r="FQ6121"/>
      <c r="FR6121"/>
      <c r="FS6121"/>
      <c r="FT6121"/>
      <c r="FU6121"/>
      <c r="FV6121"/>
      <c r="FW6121"/>
      <c r="FX6121"/>
      <c r="FY6121"/>
      <c r="FZ6121"/>
      <c r="GA6121"/>
      <c r="GB6121"/>
      <c r="GC6121"/>
      <c r="GD6121"/>
      <c r="GE6121"/>
      <c r="GF6121"/>
      <c r="GG6121"/>
      <c r="GH6121"/>
      <c r="GI6121"/>
      <c r="GJ6121"/>
      <c r="GK6121"/>
      <c r="GL6121"/>
      <c r="GM6121"/>
      <c r="GN6121"/>
      <c r="GO6121"/>
    </row>
    <row r="6122" spans="107:197">
      <c r="DC6122"/>
      <c r="FH6122"/>
      <c r="FI6122"/>
      <c r="FJ6122"/>
      <c r="FK6122"/>
      <c r="FL6122"/>
      <c r="FM6122"/>
      <c r="FN6122"/>
      <c r="FO6122"/>
      <c r="FP6122"/>
      <c r="FQ6122"/>
      <c r="FR6122"/>
      <c r="FS6122"/>
      <c r="FT6122"/>
      <c r="FU6122"/>
      <c r="FV6122"/>
      <c r="FW6122"/>
      <c r="FX6122"/>
      <c r="FY6122"/>
      <c r="FZ6122"/>
      <c r="GA6122"/>
      <c r="GB6122"/>
      <c r="GC6122"/>
      <c r="GD6122"/>
      <c r="GE6122"/>
      <c r="GF6122"/>
      <c r="GG6122"/>
      <c r="GH6122"/>
      <c r="GI6122"/>
      <c r="GJ6122"/>
      <c r="GK6122"/>
      <c r="GL6122"/>
      <c r="GM6122"/>
      <c r="GN6122"/>
      <c r="GO6122"/>
    </row>
    <row r="6123" spans="107:197">
      <c r="DC6123"/>
      <c r="FH6123"/>
      <c r="FI6123"/>
      <c r="FJ6123"/>
      <c r="FK6123"/>
      <c r="FL6123"/>
      <c r="FM6123"/>
      <c r="FN6123"/>
      <c r="FO6123"/>
      <c r="FP6123"/>
      <c r="FQ6123"/>
      <c r="FR6123"/>
      <c r="FS6123"/>
      <c r="FT6123"/>
      <c r="FU6123"/>
      <c r="FV6123"/>
      <c r="FW6123"/>
      <c r="FX6123"/>
      <c r="FY6123"/>
      <c r="FZ6123"/>
      <c r="GA6123"/>
      <c r="GB6123"/>
      <c r="GC6123"/>
      <c r="GD6123"/>
      <c r="GE6123"/>
      <c r="GF6123"/>
      <c r="GG6123"/>
      <c r="GH6123"/>
      <c r="GI6123"/>
      <c r="GJ6123"/>
      <c r="GK6123"/>
      <c r="GL6123"/>
      <c r="GM6123"/>
      <c r="GN6123"/>
      <c r="GO6123"/>
    </row>
    <row r="6124" spans="107:197">
      <c r="DC6124"/>
      <c r="FH6124"/>
      <c r="FI6124"/>
      <c r="FJ6124"/>
      <c r="FK6124"/>
      <c r="FL6124"/>
      <c r="FM6124"/>
      <c r="FN6124"/>
      <c r="FO6124"/>
      <c r="FP6124"/>
      <c r="FQ6124"/>
      <c r="FR6124"/>
      <c r="FS6124"/>
      <c r="FT6124"/>
      <c r="FU6124"/>
      <c r="FV6124"/>
      <c r="FW6124"/>
      <c r="FX6124"/>
      <c r="FY6124"/>
      <c r="FZ6124"/>
      <c r="GA6124"/>
      <c r="GB6124"/>
      <c r="GC6124"/>
      <c r="GD6124"/>
      <c r="GE6124"/>
      <c r="GF6124"/>
      <c r="GG6124"/>
      <c r="GH6124"/>
      <c r="GI6124"/>
      <c r="GJ6124"/>
      <c r="GK6124"/>
      <c r="GL6124"/>
      <c r="GM6124"/>
      <c r="GN6124"/>
      <c r="GO6124"/>
    </row>
    <row r="6125" spans="107:197">
      <c r="DC6125"/>
      <c r="FH6125"/>
      <c r="FI6125"/>
      <c r="FJ6125"/>
      <c r="FK6125"/>
      <c r="FL6125"/>
      <c r="FM6125"/>
      <c r="FN6125"/>
      <c r="FO6125"/>
      <c r="FP6125"/>
      <c r="FQ6125"/>
      <c r="FR6125"/>
      <c r="FS6125"/>
      <c r="FT6125"/>
      <c r="FU6125"/>
      <c r="FV6125"/>
      <c r="FW6125"/>
      <c r="FX6125"/>
      <c r="FY6125"/>
      <c r="FZ6125"/>
      <c r="GA6125"/>
      <c r="GB6125"/>
      <c r="GC6125"/>
      <c r="GD6125"/>
      <c r="GE6125"/>
      <c r="GF6125"/>
      <c r="GG6125"/>
      <c r="GH6125"/>
      <c r="GI6125"/>
      <c r="GJ6125"/>
      <c r="GK6125"/>
      <c r="GL6125"/>
      <c r="GM6125"/>
      <c r="GN6125"/>
      <c r="GO6125"/>
    </row>
    <row r="6126" spans="107:197">
      <c r="DC6126"/>
      <c r="FH6126"/>
      <c r="FI6126"/>
      <c r="FJ6126"/>
      <c r="FK6126"/>
      <c r="FL6126"/>
      <c r="FM6126"/>
      <c r="FN6126"/>
      <c r="FO6126"/>
      <c r="FP6126"/>
      <c r="FQ6126"/>
      <c r="FR6126"/>
      <c r="FS6126"/>
      <c r="FT6126"/>
      <c r="FU6126"/>
      <c r="FV6126"/>
      <c r="FW6126"/>
      <c r="FX6126"/>
      <c r="FY6126"/>
      <c r="FZ6126"/>
      <c r="GA6126"/>
      <c r="GB6126"/>
      <c r="GC6126"/>
      <c r="GD6126"/>
      <c r="GE6126"/>
      <c r="GF6126"/>
      <c r="GG6126"/>
      <c r="GH6126"/>
      <c r="GI6126"/>
      <c r="GJ6126"/>
      <c r="GK6126"/>
      <c r="GL6126"/>
      <c r="GM6126"/>
      <c r="GN6126"/>
      <c r="GO6126"/>
    </row>
    <row r="6127" spans="107:197">
      <c r="DC6127"/>
      <c r="FH6127"/>
      <c r="FI6127"/>
      <c r="FJ6127"/>
      <c r="FK6127"/>
      <c r="FL6127"/>
      <c r="FM6127"/>
      <c r="FN6127"/>
      <c r="FO6127"/>
      <c r="FP6127"/>
      <c r="FQ6127"/>
      <c r="FR6127"/>
      <c r="FS6127"/>
      <c r="FT6127"/>
      <c r="FU6127"/>
      <c r="FV6127"/>
      <c r="FW6127"/>
      <c r="FX6127"/>
      <c r="FY6127"/>
      <c r="FZ6127"/>
      <c r="GA6127"/>
      <c r="GB6127"/>
      <c r="GC6127"/>
      <c r="GD6127"/>
      <c r="GE6127"/>
      <c r="GF6127"/>
      <c r="GG6127"/>
      <c r="GH6127"/>
      <c r="GI6127"/>
      <c r="GJ6127"/>
      <c r="GK6127"/>
      <c r="GL6127"/>
      <c r="GM6127"/>
      <c r="GN6127"/>
      <c r="GO6127"/>
    </row>
    <row r="6128" spans="107:197">
      <c r="DC6128"/>
      <c r="FH6128"/>
      <c r="FI6128"/>
      <c r="FJ6128"/>
      <c r="FK6128"/>
      <c r="FL6128"/>
      <c r="FM6128"/>
      <c r="FN6128"/>
      <c r="FO6128"/>
      <c r="FP6128"/>
      <c r="FQ6128"/>
      <c r="FR6128"/>
      <c r="FS6128"/>
      <c r="FT6128"/>
      <c r="FU6128"/>
      <c r="FV6128"/>
      <c r="FW6128"/>
      <c r="FX6128"/>
      <c r="FY6128"/>
      <c r="FZ6128"/>
      <c r="GA6128"/>
      <c r="GB6128"/>
      <c r="GC6128"/>
      <c r="GD6128"/>
      <c r="GE6128"/>
      <c r="GF6128"/>
      <c r="GG6128"/>
      <c r="GH6128"/>
      <c r="GI6128"/>
      <c r="GJ6128"/>
      <c r="GK6128"/>
      <c r="GL6128"/>
      <c r="GM6128"/>
      <c r="GN6128"/>
      <c r="GO6128"/>
    </row>
    <row r="6129" spans="107:197">
      <c r="DC6129"/>
      <c r="FH6129"/>
      <c r="FI6129"/>
      <c r="FJ6129"/>
      <c r="FK6129"/>
      <c r="FL6129"/>
      <c r="FM6129"/>
      <c r="FN6129"/>
      <c r="FO6129"/>
      <c r="FP6129"/>
      <c r="FQ6129"/>
      <c r="FR6129"/>
      <c r="FS6129"/>
      <c r="FT6129"/>
      <c r="FU6129"/>
      <c r="FV6129"/>
      <c r="FW6129"/>
      <c r="FX6129"/>
      <c r="FY6129"/>
      <c r="FZ6129"/>
      <c r="GA6129"/>
      <c r="GB6129"/>
      <c r="GC6129"/>
      <c r="GD6129"/>
      <c r="GE6129"/>
      <c r="GF6129"/>
      <c r="GG6129"/>
      <c r="GH6129"/>
      <c r="GI6129"/>
      <c r="GJ6129"/>
      <c r="GK6129"/>
      <c r="GL6129"/>
      <c r="GM6129"/>
      <c r="GN6129"/>
      <c r="GO6129"/>
    </row>
    <row r="6130" spans="107:197">
      <c r="DC6130"/>
      <c r="FH6130"/>
      <c r="FI6130"/>
      <c r="FJ6130"/>
      <c r="FK6130"/>
      <c r="FL6130"/>
      <c r="FM6130"/>
      <c r="FN6130"/>
      <c r="FO6130"/>
      <c r="FP6130"/>
      <c r="FQ6130"/>
      <c r="FR6130"/>
      <c r="FS6130"/>
      <c r="FT6130"/>
      <c r="FU6130"/>
      <c r="FV6130"/>
      <c r="FW6130"/>
      <c r="FX6130"/>
      <c r="FY6130"/>
      <c r="FZ6130"/>
      <c r="GA6130"/>
      <c r="GB6130"/>
      <c r="GC6130"/>
      <c r="GD6130"/>
      <c r="GE6130"/>
      <c r="GF6130"/>
      <c r="GG6130"/>
      <c r="GH6130"/>
      <c r="GI6130"/>
      <c r="GJ6130"/>
      <c r="GK6130"/>
      <c r="GL6130"/>
      <c r="GM6130"/>
      <c r="GN6130"/>
      <c r="GO6130"/>
    </row>
    <row r="6131" spans="107:197">
      <c r="DC6131"/>
      <c r="FH6131"/>
      <c r="FI6131"/>
      <c r="FJ6131"/>
      <c r="FK6131"/>
      <c r="FL6131"/>
      <c r="FM6131"/>
      <c r="FN6131"/>
      <c r="FO6131"/>
      <c r="FP6131"/>
      <c r="FQ6131"/>
      <c r="FR6131"/>
      <c r="FS6131"/>
      <c r="FT6131"/>
      <c r="FU6131"/>
      <c r="FV6131"/>
      <c r="FW6131"/>
      <c r="FX6131"/>
      <c r="FY6131"/>
      <c r="FZ6131"/>
      <c r="GA6131"/>
      <c r="GB6131"/>
      <c r="GC6131"/>
      <c r="GD6131"/>
      <c r="GE6131"/>
      <c r="GF6131"/>
      <c r="GG6131"/>
      <c r="GH6131"/>
      <c r="GI6131"/>
      <c r="GJ6131"/>
      <c r="GK6131"/>
      <c r="GL6131"/>
      <c r="GM6131"/>
      <c r="GN6131"/>
      <c r="GO6131"/>
    </row>
    <row r="6132" spans="107:197">
      <c r="DC6132"/>
      <c r="FH6132"/>
      <c r="FI6132"/>
      <c r="FJ6132"/>
      <c r="FK6132"/>
      <c r="FL6132"/>
      <c r="FM6132"/>
      <c r="FN6132"/>
      <c r="FO6132"/>
      <c r="FP6132"/>
      <c r="FQ6132"/>
      <c r="FR6132"/>
      <c r="FS6132"/>
      <c r="FT6132"/>
      <c r="FU6132"/>
      <c r="FV6132"/>
      <c r="FW6132"/>
      <c r="FX6132"/>
      <c r="FY6132"/>
      <c r="FZ6132"/>
      <c r="GA6132"/>
      <c r="GB6132"/>
      <c r="GC6132"/>
      <c r="GD6132"/>
      <c r="GE6132"/>
      <c r="GF6132"/>
      <c r="GG6132"/>
      <c r="GH6132"/>
      <c r="GI6132"/>
      <c r="GJ6132"/>
      <c r="GK6132"/>
      <c r="GL6132"/>
      <c r="GM6132"/>
      <c r="GN6132"/>
      <c r="GO6132"/>
    </row>
    <row r="6133" spans="107:197">
      <c r="DC6133"/>
      <c r="FH6133"/>
      <c r="FI6133"/>
      <c r="FJ6133"/>
      <c r="FK6133"/>
      <c r="FL6133"/>
      <c r="FM6133"/>
      <c r="FN6133"/>
      <c r="FO6133"/>
      <c r="FP6133"/>
      <c r="FQ6133"/>
      <c r="FR6133"/>
      <c r="FS6133"/>
      <c r="FT6133"/>
      <c r="FU6133"/>
      <c r="FV6133"/>
      <c r="FW6133"/>
      <c r="FX6133"/>
      <c r="FY6133"/>
      <c r="FZ6133"/>
      <c r="GA6133"/>
      <c r="GB6133"/>
      <c r="GC6133"/>
      <c r="GD6133"/>
      <c r="GE6133"/>
      <c r="GF6133"/>
      <c r="GG6133"/>
      <c r="GH6133"/>
      <c r="GI6133"/>
      <c r="GJ6133"/>
      <c r="GK6133"/>
      <c r="GL6133"/>
      <c r="GM6133"/>
      <c r="GN6133"/>
      <c r="GO6133"/>
    </row>
    <row r="6134" spans="107:197">
      <c r="DC6134"/>
      <c r="FH6134"/>
      <c r="FI6134"/>
      <c r="FJ6134"/>
      <c r="FK6134"/>
      <c r="FL6134"/>
      <c r="FM6134"/>
      <c r="FN6134"/>
      <c r="FO6134"/>
      <c r="FP6134"/>
      <c r="FQ6134"/>
      <c r="FR6134"/>
      <c r="FS6134"/>
      <c r="FT6134"/>
      <c r="FU6134"/>
      <c r="FV6134"/>
      <c r="FW6134"/>
      <c r="FX6134"/>
      <c r="FY6134"/>
      <c r="FZ6134"/>
      <c r="GA6134"/>
      <c r="GB6134"/>
      <c r="GC6134"/>
      <c r="GD6134"/>
      <c r="GE6134"/>
      <c r="GF6134"/>
      <c r="GG6134"/>
      <c r="GH6134"/>
      <c r="GI6134"/>
      <c r="GJ6134"/>
      <c r="GK6134"/>
      <c r="GL6134"/>
      <c r="GM6134"/>
      <c r="GN6134"/>
      <c r="GO6134"/>
    </row>
    <row r="6135" spans="107:197">
      <c r="DC6135"/>
      <c r="FH6135"/>
      <c r="FI6135"/>
      <c r="FJ6135"/>
      <c r="FK6135"/>
      <c r="FL6135"/>
      <c r="FM6135"/>
      <c r="FN6135"/>
      <c r="FO6135"/>
      <c r="FP6135"/>
      <c r="FQ6135"/>
      <c r="FR6135"/>
      <c r="FS6135"/>
      <c r="FT6135"/>
      <c r="FU6135"/>
      <c r="FV6135"/>
      <c r="FW6135"/>
      <c r="FX6135"/>
      <c r="FY6135"/>
      <c r="FZ6135"/>
      <c r="GA6135"/>
      <c r="GB6135"/>
      <c r="GC6135"/>
      <c r="GD6135"/>
      <c r="GE6135"/>
      <c r="GF6135"/>
      <c r="GG6135"/>
      <c r="GH6135"/>
      <c r="GI6135"/>
      <c r="GJ6135"/>
      <c r="GK6135"/>
      <c r="GL6135"/>
      <c r="GM6135"/>
      <c r="GN6135"/>
      <c r="GO6135"/>
    </row>
    <row r="6136" spans="107:197">
      <c r="DC6136"/>
      <c r="FH6136"/>
      <c r="FI6136"/>
      <c r="FJ6136"/>
      <c r="FK6136"/>
      <c r="FL6136"/>
      <c r="FM6136"/>
      <c r="FN6136"/>
      <c r="FO6136"/>
      <c r="FP6136"/>
      <c r="FQ6136"/>
      <c r="FR6136"/>
      <c r="FS6136"/>
      <c r="FT6136"/>
      <c r="FU6136"/>
      <c r="FV6136"/>
      <c r="FW6136"/>
      <c r="FX6136"/>
      <c r="FY6136"/>
      <c r="FZ6136"/>
      <c r="GA6136"/>
      <c r="GB6136"/>
      <c r="GC6136"/>
      <c r="GD6136"/>
      <c r="GE6136"/>
      <c r="GF6136"/>
      <c r="GG6136"/>
      <c r="GH6136"/>
      <c r="GI6136"/>
      <c r="GJ6136"/>
      <c r="GK6136"/>
      <c r="GL6136"/>
      <c r="GM6136"/>
      <c r="GN6136"/>
      <c r="GO6136"/>
    </row>
    <row r="6137" spans="107:197">
      <c r="DC6137"/>
      <c r="FH6137"/>
      <c r="FI6137"/>
      <c r="FJ6137"/>
      <c r="FK6137"/>
      <c r="FL6137"/>
      <c r="FM6137"/>
      <c r="FN6137"/>
      <c r="FO6137"/>
      <c r="FP6137"/>
      <c r="FQ6137"/>
      <c r="FR6137"/>
      <c r="FS6137"/>
      <c r="FT6137"/>
      <c r="FU6137"/>
      <c r="FV6137"/>
      <c r="FW6137"/>
      <c r="FX6137"/>
      <c r="FY6137"/>
      <c r="FZ6137"/>
      <c r="GA6137"/>
      <c r="GB6137"/>
      <c r="GC6137"/>
      <c r="GD6137"/>
      <c r="GE6137"/>
      <c r="GF6137"/>
      <c r="GG6137"/>
      <c r="GH6137"/>
      <c r="GI6137"/>
      <c r="GJ6137"/>
      <c r="GK6137"/>
      <c r="GL6137"/>
      <c r="GM6137"/>
      <c r="GN6137"/>
      <c r="GO6137"/>
    </row>
    <row r="6138" spans="107:197">
      <c r="DC6138"/>
      <c r="FH6138"/>
      <c r="FI6138"/>
      <c r="FJ6138"/>
      <c r="FK6138"/>
      <c r="FL6138"/>
      <c r="FM6138"/>
      <c r="FN6138"/>
      <c r="FO6138"/>
      <c r="FP6138"/>
      <c r="FQ6138"/>
      <c r="FR6138"/>
      <c r="FS6138"/>
      <c r="FT6138"/>
      <c r="FU6138"/>
      <c r="FV6138"/>
      <c r="FW6138"/>
      <c r="FX6138"/>
      <c r="FY6138"/>
      <c r="FZ6138"/>
      <c r="GA6138"/>
      <c r="GB6138"/>
      <c r="GC6138"/>
      <c r="GD6138"/>
      <c r="GE6138"/>
      <c r="GF6138"/>
      <c r="GG6138"/>
      <c r="GH6138"/>
      <c r="GI6138"/>
      <c r="GJ6138"/>
      <c r="GK6138"/>
      <c r="GL6138"/>
      <c r="GM6138"/>
      <c r="GN6138"/>
      <c r="GO6138"/>
    </row>
    <row r="6139" spans="107:197">
      <c r="DC6139"/>
      <c r="FH6139"/>
      <c r="FI6139"/>
      <c r="FJ6139"/>
      <c r="FK6139"/>
      <c r="FL6139"/>
      <c r="FM6139"/>
      <c r="FN6139"/>
      <c r="FO6139"/>
      <c r="FP6139"/>
      <c r="FQ6139"/>
      <c r="FR6139"/>
      <c r="FS6139"/>
      <c r="FT6139"/>
      <c r="FU6139"/>
      <c r="FV6139"/>
      <c r="FW6139"/>
      <c r="FX6139"/>
      <c r="FY6139"/>
      <c r="FZ6139"/>
      <c r="GA6139"/>
      <c r="GB6139"/>
      <c r="GC6139"/>
      <c r="GD6139"/>
      <c r="GE6139"/>
      <c r="GF6139"/>
      <c r="GG6139"/>
      <c r="GH6139"/>
      <c r="GI6139"/>
      <c r="GJ6139"/>
      <c r="GK6139"/>
      <c r="GL6139"/>
      <c r="GM6139"/>
      <c r="GN6139"/>
      <c r="GO6139"/>
    </row>
    <row r="6140" spans="107:197">
      <c r="DC6140"/>
      <c r="FH6140"/>
      <c r="FI6140"/>
      <c r="FJ6140"/>
      <c r="FK6140"/>
      <c r="FL6140"/>
      <c r="FM6140"/>
      <c r="FN6140"/>
      <c r="FO6140"/>
      <c r="FP6140"/>
      <c r="FQ6140"/>
      <c r="FR6140"/>
      <c r="FS6140"/>
      <c r="FT6140"/>
      <c r="FU6140"/>
      <c r="FV6140"/>
      <c r="FW6140"/>
      <c r="FX6140"/>
      <c r="FY6140"/>
      <c r="FZ6140"/>
      <c r="GA6140"/>
      <c r="GB6140"/>
      <c r="GC6140"/>
      <c r="GD6140"/>
      <c r="GE6140"/>
      <c r="GF6140"/>
      <c r="GG6140"/>
      <c r="GH6140"/>
      <c r="GI6140"/>
      <c r="GJ6140"/>
      <c r="GK6140"/>
      <c r="GL6140"/>
      <c r="GM6140"/>
      <c r="GN6140"/>
      <c r="GO6140"/>
    </row>
    <row r="6141" spans="107:197">
      <c r="DC6141"/>
      <c r="FH6141"/>
      <c r="FI6141"/>
      <c r="FJ6141"/>
      <c r="FK6141"/>
      <c r="FL6141"/>
      <c r="FM6141"/>
      <c r="FN6141"/>
      <c r="FO6141"/>
      <c r="FP6141"/>
      <c r="FQ6141"/>
      <c r="FR6141"/>
      <c r="FS6141"/>
      <c r="FT6141"/>
      <c r="FU6141"/>
      <c r="FV6141"/>
      <c r="FW6141"/>
      <c r="FX6141"/>
      <c r="FY6141"/>
      <c r="FZ6141"/>
      <c r="GA6141"/>
      <c r="GB6141"/>
      <c r="GC6141"/>
      <c r="GD6141"/>
      <c r="GE6141"/>
      <c r="GF6141"/>
      <c r="GG6141"/>
      <c r="GH6141"/>
      <c r="GI6141"/>
      <c r="GJ6141"/>
      <c r="GK6141"/>
      <c r="GL6141"/>
      <c r="GM6141"/>
      <c r="GN6141"/>
      <c r="GO6141"/>
    </row>
    <row r="6142" spans="107:197">
      <c r="DC6142"/>
      <c r="FH6142"/>
      <c r="FI6142"/>
      <c r="FJ6142"/>
      <c r="FK6142"/>
      <c r="FL6142"/>
      <c r="FM6142"/>
      <c r="FN6142"/>
      <c r="FO6142"/>
      <c r="FP6142"/>
      <c r="FQ6142"/>
      <c r="FR6142"/>
      <c r="FS6142"/>
      <c r="FT6142"/>
      <c r="FU6142"/>
      <c r="FV6142"/>
      <c r="FW6142"/>
      <c r="FX6142"/>
      <c r="FY6142"/>
      <c r="FZ6142"/>
      <c r="GA6142"/>
      <c r="GB6142"/>
      <c r="GC6142"/>
      <c r="GD6142"/>
      <c r="GE6142"/>
      <c r="GF6142"/>
      <c r="GG6142"/>
      <c r="GH6142"/>
      <c r="GI6142"/>
      <c r="GJ6142"/>
      <c r="GK6142"/>
      <c r="GL6142"/>
      <c r="GM6142"/>
      <c r="GN6142"/>
      <c r="GO6142"/>
    </row>
    <row r="6143" spans="107:197">
      <c r="DC6143"/>
      <c r="FH6143"/>
      <c r="FI6143"/>
      <c r="FJ6143"/>
      <c r="FK6143"/>
      <c r="FL6143"/>
      <c r="FM6143"/>
      <c r="FN6143"/>
      <c r="FO6143"/>
      <c r="FP6143"/>
      <c r="FQ6143"/>
      <c r="FR6143"/>
      <c r="FS6143"/>
      <c r="FT6143"/>
      <c r="FU6143"/>
      <c r="FV6143"/>
      <c r="FW6143"/>
      <c r="FX6143"/>
      <c r="FY6143"/>
      <c r="FZ6143"/>
      <c r="GA6143"/>
      <c r="GB6143"/>
      <c r="GC6143"/>
      <c r="GD6143"/>
      <c r="GE6143"/>
      <c r="GF6143"/>
      <c r="GG6143"/>
      <c r="GH6143"/>
      <c r="GI6143"/>
      <c r="GJ6143"/>
      <c r="GK6143"/>
      <c r="GL6143"/>
      <c r="GM6143"/>
      <c r="GN6143"/>
      <c r="GO6143"/>
    </row>
    <row r="6144" spans="107:197">
      <c r="DC6144"/>
      <c r="FH6144"/>
      <c r="FI6144"/>
      <c r="FJ6144"/>
      <c r="FK6144"/>
      <c r="FL6144"/>
      <c r="FM6144"/>
      <c r="FN6144"/>
      <c r="FO6144"/>
      <c r="FP6144"/>
      <c r="FQ6144"/>
      <c r="FR6144"/>
      <c r="FS6144"/>
      <c r="FT6144"/>
      <c r="FU6144"/>
      <c r="FV6144"/>
      <c r="FW6144"/>
      <c r="FX6144"/>
      <c r="FY6144"/>
      <c r="FZ6144"/>
      <c r="GA6144"/>
      <c r="GB6144"/>
      <c r="GC6144"/>
      <c r="GD6144"/>
      <c r="GE6144"/>
      <c r="GF6144"/>
      <c r="GG6144"/>
      <c r="GH6144"/>
      <c r="GI6144"/>
      <c r="GJ6144"/>
      <c r="GK6144"/>
      <c r="GL6144"/>
      <c r="GM6144"/>
      <c r="GN6144"/>
      <c r="GO6144"/>
    </row>
    <row r="6145" spans="107:197">
      <c r="DC6145"/>
      <c r="FH6145"/>
      <c r="FI6145"/>
      <c r="FJ6145"/>
      <c r="FK6145"/>
      <c r="FL6145"/>
      <c r="FM6145"/>
      <c r="FN6145"/>
      <c r="FO6145"/>
      <c r="FP6145"/>
      <c r="FQ6145"/>
      <c r="FR6145"/>
      <c r="FS6145"/>
      <c r="FT6145"/>
      <c r="FU6145"/>
      <c r="FV6145"/>
      <c r="FW6145"/>
      <c r="FX6145"/>
      <c r="FY6145"/>
      <c r="FZ6145"/>
      <c r="GA6145"/>
      <c r="GB6145"/>
      <c r="GC6145"/>
      <c r="GD6145"/>
      <c r="GE6145"/>
      <c r="GF6145"/>
      <c r="GG6145"/>
      <c r="GH6145"/>
      <c r="GI6145"/>
      <c r="GJ6145"/>
      <c r="GK6145"/>
      <c r="GL6145"/>
      <c r="GM6145"/>
      <c r="GN6145"/>
      <c r="GO6145"/>
    </row>
    <row r="6146" spans="107:197">
      <c r="DC6146"/>
      <c r="FH6146"/>
      <c r="FI6146"/>
      <c r="FJ6146"/>
      <c r="FK6146"/>
      <c r="FL6146"/>
      <c r="FM6146"/>
      <c r="FN6146"/>
      <c r="FO6146"/>
      <c r="FP6146"/>
      <c r="FQ6146"/>
      <c r="FR6146"/>
      <c r="FS6146"/>
      <c r="FT6146"/>
      <c r="FU6146"/>
      <c r="FV6146"/>
      <c r="FW6146"/>
      <c r="FX6146"/>
      <c r="FY6146"/>
      <c r="FZ6146"/>
      <c r="GA6146"/>
      <c r="GB6146"/>
      <c r="GC6146"/>
      <c r="GD6146"/>
      <c r="GE6146"/>
      <c r="GF6146"/>
      <c r="GG6146"/>
      <c r="GH6146"/>
      <c r="GI6146"/>
      <c r="GJ6146"/>
      <c r="GK6146"/>
      <c r="GL6146"/>
      <c r="GM6146"/>
      <c r="GN6146"/>
      <c r="GO6146"/>
    </row>
    <row r="6147" spans="107:197">
      <c r="DC6147"/>
      <c r="FH6147"/>
      <c r="FI6147"/>
      <c r="FJ6147"/>
      <c r="FK6147"/>
      <c r="FL6147"/>
      <c r="FM6147"/>
      <c r="FN6147"/>
      <c r="FO6147"/>
      <c r="FP6147"/>
      <c r="FQ6147"/>
      <c r="FR6147"/>
      <c r="FS6147"/>
      <c r="FT6147"/>
      <c r="FU6147"/>
      <c r="FV6147"/>
      <c r="FW6147"/>
      <c r="FX6147"/>
      <c r="FY6147"/>
      <c r="FZ6147"/>
      <c r="GA6147"/>
      <c r="GB6147"/>
      <c r="GC6147"/>
      <c r="GD6147"/>
      <c r="GE6147"/>
      <c r="GF6147"/>
      <c r="GG6147"/>
      <c r="GH6147"/>
      <c r="GI6147"/>
      <c r="GJ6147"/>
      <c r="GK6147"/>
      <c r="GL6147"/>
      <c r="GM6147"/>
      <c r="GN6147"/>
      <c r="GO6147"/>
    </row>
    <row r="6148" spans="107:197">
      <c r="DC6148"/>
      <c r="FH6148"/>
      <c r="FI6148"/>
      <c r="FJ6148"/>
      <c r="FK6148"/>
      <c r="FL6148"/>
      <c r="FM6148"/>
      <c r="FN6148"/>
      <c r="FO6148"/>
      <c r="FP6148"/>
      <c r="FQ6148"/>
      <c r="FR6148"/>
      <c r="FS6148"/>
      <c r="FT6148"/>
      <c r="FU6148"/>
      <c r="FV6148"/>
      <c r="FW6148"/>
      <c r="FX6148"/>
      <c r="FY6148"/>
      <c r="FZ6148"/>
      <c r="GA6148"/>
      <c r="GB6148"/>
      <c r="GC6148"/>
      <c r="GD6148"/>
      <c r="GE6148"/>
      <c r="GF6148"/>
      <c r="GG6148"/>
      <c r="GH6148"/>
      <c r="GI6148"/>
      <c r="GJ6148"/>
      <c r="GK6148"/>
      <c r="GL6148"/>
      <c r="GM6148"/>
      <c r="GN6148"/>
      <c r="GO6148"/>
    </row>
    <row r="6149" spans="107:197">
      <c r="DC6149"/>
      <c r="FH6149"/>
      <c r="FI6149"/>
      <c r="FJ6149"/>
      <c r="FK6149"/>
      <c r="FL6149"/>
      <c r="FM6149"/>
      <c r="FN6149"/>
      <c r="FO6149"/>
      <c r="FP6149"/>
      <c r="FQ6149"/>
      <c r="FR6149"/>
      <c r="FS6149"/>
      <c r="FT6149"/>
      <c r="FU6149"/>
      <c r="FV6149"/>
      <c r="FW6149"/>
      <c r="FX6149"/>
      <c r="FY6149"/>
      <c r="FZ6149"/>
      <c r="GA6149"/>
      <c r="GB6149"/>
      <c r="GC6149"/>
      <c r="GD6149"/>
      <c r="GE6149"/>
      <c r="GF6149"/>
      <c r="GG6149"/>
      <c r="GH6149"/>
      <c r="GI6149"/>
      <c r="GJ6149"/>
      <c r="GK6149"/>
      <c r="GL6149"/>
      <c r="GM6149"/>
      <c r="GN6149"/>
      <c r="GO6149"/>
    </row>
    <row r="6150" spans="107:197">
      <c r="DC6150"/>
      <c r="FH6150"/>
      <c r="FI6150"/>
      <c r="FJ6150"/>
      <c r="FK6150"/>
      <c r="FL6150"/>
      <c r="FM6150"/>
      <c r="FN6150"/>
      <c r="FO6150"/>
      <c r="FP6150"/>
      <c r="FQ6150"/>
      <c r="FR6150"/>
      <c r="FS6150"/>
      <c r="FT6150"/>
      <c r="FU6150"/>
      <c r="FV6150"/>
      <c r="FW6150"/>
      <c r="FX6150"/>
      <c r="FY6150"/>
      <c r="FZ6150"/>
      <c r="GA6150"/>
      <c r="GB6150"/>
      <c r="GC6150"/>
      <c r="GD6150"/>
      <c r="GE6150"/>
      <c r="GF6150"/>
      <c r="GG6150"/>
      <c r="GH6150"/>
      <c r="GI6150"/>
      <c r="GJ6150"/>
      <c r="GK6150"/>
      <c r="GL6150"/>
      <c r="GM6150"/>
      <c r="GN6150"/>
      <c r="GO6150"/>
    </row>
    <row r="6151" spans="107:197">
      <c r="DC6151"/>
      <c r="FH6151"/>
      <c r="FI6151"/>
      <c r="FJ6151"/>
      <c r="FK6151"/>
      <c r="FL6151"/>
      <c r="FM6151"/>
      <c r="FN6151"/>
      <c r="FO6151"/>
      <c r="FP6151"/>
      <c r="FQ6151"/>
      <c r="FR6151"/>
      <c r="FS6151"/>
      <c r="FT6151"/>
      <c r="FU6151"/>
      <c r="FV6151"/>
      <c r="FW6151"/>
      <c r="FX6151"/>
      <c r="FY6151"/>
      <c r="FZ6151"/>
      <c r="GA6151"/>
      <c r="GB6151"/>
      <c r="GC6151"/>
      <c r="GD6151"/>
      <c r="GE6151"/>
      <c r="GF6151"/>
      <c r="GG6151"/>
      <c r="GH6151"/>
      <c r="GI6151"/>
      <c r="GJ6151"/>
      <c r="GK6151"/>
      <c r="GL6151"/>
      <c r="GM6151"/>
      <c r="GN6151"/>
      <c r="GO6151"/>
    </row>
    <row r="6152" spans="107:197">
      <c r="DC6152"/>
      <c r="FH6152"/>
      <c r="FI6152"/>
      <c r="FJ6152"/>
      <c r="FK6152"/>
      <c r="FL6152"/>
      <c r="FM6152"/>
      <c r="FN6152"/>
      <c r="FO6152"/>
      <c r="FP6152"/>
      <c r="FQ6152"/>
      <c r="FR6152"/>
      <c r="FS6152"/>
      <c r="FT6152"/>
      <c r="FU6152"/>
      <c r="FV6152"/>
      <c r="FW6152"/>
      <c r="FX6152"/>
      <c r="FY6152"/>
      <c r="FZ6152"/>
      <c r="GA6152"/>
      <c r="GB6152"/>
      <c r="GC6152"/>
      <c r="GD6152"/>
      <c r="GE6152"/>
      <c r="GF6152"/>
      <c r="GG6152"/>
      <c r="GH6152"/>
      <c r="GI6152"/>
      <c r="GJ6152"/>
      <c r="GK6152"/>
      <c r="GL6152"/>
      <c r="GM6152"/>
      <c r="GN6152"/>
      <c r="GO6152"/>
    </row>
    <row r="6153" spans="107:197">
      <c r="DC6153"/>
      <c r="FH6153"/>
      <c r="FI6153"/>
      <c r="FJ6153"/>
      <c r="FK6153"/>
      <c r="FL6153"/>
      <c r="FM6153"/>
      <c r="FN6153"/>
      <c r="FO6153"/>
      <c r="FP6153"/>
      <c r="FQ6153"/>
      <c r="FR6153"/>
      <c r="FS6153"/>
      <c r="FT6153"/>
      <c r="FU6153"/>
      <c r="FV6153"/>
      <c r="FW6153"/>
      <c r="FX6153"/>
      <c r="FY6153"/>
      <c r="FZ6153"/>
      <c r="GA6153"/>
      <c r="GB6153"/>
      <c r="GC6153"/>
      <c r="GD6153"/>
      <c r="GE6153"/>
      <c r="GF6153"/>
      <c r="GG6153"/>
      <c r="GH6153"/>
      <c r="GI6153"/>
      <c r="GJ6153"/>
      <c r="GK6153"/>
      <c r="GL6153"/>
      <c r="GM6153"/>
      <c r="GN6153"/>
      <c r="GO6153"/>
    </row>
    <row r="6154" spans="107:197">
      <c r="DC6154"/>
      <c r="FH6154"/>
      <c r="FI6154"/>
      <c r="FJ6154"/>
      <c r="FK6154"/>
      <c r="FL6154"/>
      <c r="FM6154"/>
      <c r="FN6154"/>
      <c r="FO6154"/>
      <c r="FP6154"/>
      <c r="FQ6154"/>
      <c r="FR6154"/>
      <c r="FS6154"/>
      <c r="FT6154"/>
      <c r="FU6154"/>
      <c r="FV6154"/>
      <c r="FW6154"/>
      <c r="FX6154"/>
      <c r="FY6154"/>
      <c r="FZ6154"/>
      <c r="GA6154"/>
      <c r="GB6154"/>
      <c r="GC6154"/>
      <c r="GD6154"/>
      <c r="GE6154"/>
      <c r="GF6154"/>
      <c r="GG6154"/>
      <c r="GH6154"/>
      <c r="GI6154"/>
      <c r="GJ6154"/>
      <c r="GK6154"/>
      <c r="GL6154"/>
      <c r="GM6154"/>
      <c r="GN6154"/>
      <c r="GO6154"/>
    </row>
    <row r="6155" spans="107:197">
      <c r="DC6155"/>
      <c r="FH6155"/>
      <c r="FI6155"/>
      <c r="FJ6155"/>
      <c r="FK6155"/>
      <c r="FL6155"/>
      <c r="FM6155"/>
      <c r="FN6155"/>
      <c r="FO6155"/>
      <c r="FP6155"/>
      <c r="FQ6155"/>
      <c r="FR6155"/>
      <c r="FS6155"/>
      <c r="FT6155"/>
      <c r="FU6155"/>
      <c r="FV6155"/>
      <c r="FW6155"/>
      <c r="FX6155"/>
      <c r="FY6155"/>
      <c r="FZ6155"/>
      <c r="GA6155"/>
      <c r="GB6155"/>
      <c r="GC6155"/>
      <c r="GD6155"/>
      <c r="GE6155"/>
      <c r="GF6155"/>
      <c r="GG6155"/>
      <c r="GH6155"/>
      <c r="GI6155"/>
      <c r="GJ6155"/>
      <c r="GK6155"/>
      <c r="GL6155"/>
      <c r="GM6155"/>
      <c r="GN6155"/>
      <c r="GO6155"/>
    </row>
    <row r="6156" spans="107:197">
      <c r="DC6156"/>
      <c r="FH6156"/>
      <c r="FI6156"/>
      <c r="FJ6156"/>
      <c r="FK6156"/>
      <c r="FL6156"/>
      <c r="FM6156"/>
      <c r="FN6156"/>
      <c r="FO6156"/>
      <c r="FP6156"/>
      <c r="FQ6156"/>
      <c r="FR6156"/>
      <c r="FS6156"/>
      <c r="FT6156"/>
      <c r="FU6156"/>
      <c r="FV6156"/>
      <c r="FW6156"/>
      <c r="FX6156"/>
      <c r="FY6156"/>
      <c r="FZ6156"/>
      <c r="GA6156"/>
      <c r="GB6156"/>
      <c r="GC6156"/>
      <c r="GD6156"/>
      <c r="GE6156"/>
      <c r="GF6156"/>
      <c r="GG6156"/>
      <c r="GH6156"/>
      <c r="GI6156"/>
      <c r="GJ6156"/>
      <c r="GK6156"/>
      <c r="GL6156"/>
      <c r="GM6156"/>
      <c r="GN6156"/>
      <c r="GO6156"/>
    </row>
    <row r="6157" spans="107:197">
      <c r="DC6157"/>
      <c r="FH6157"/>
      <c r="FI6157"/>
      <c r="FJ6157"/>
      <c r="FK6157"/>
      <c r="FL6157"/>
      <c r="FM6157"/>
      <c r="FN6157"/>
      <c r="FO6157"/>
      <c r="FP6157"/>
      <c r="FQ6157"/>
      <c r="FR6157"/>
      <c r="FS6157"/>
      <c r="FT6157"/>
      <c r="FU6157"/>
      <c r="FV6157"/>
      <c r="FW6157"/>
      <c r="FX6157"/>
      <c r="FY6157"/>
      <c r="FZ6157"/>
      <c r="GA6157"/>
      <c r="GB6157"/>
      <c r="GC6157"/>
      <c r="GD6157"/>
      <c r="GE6157"/>
      <c r="GF6157"/>
      <c r="GG6157"/>
      <c r="GH6157"/>
      <c r="GI6157"/>
      <c r="GJ6157"/>
      <c r="GK6157"/>
      <c r="GL6157"/>
      <c r="GM6157"/>
      <c r="GN6157"/>
      <c r="GO6157"/>
    </row>
    <row r="6158" spans="107:197">
      <c r="DC6158"/>
      <c r="FH6158"/>
      <c r="FI6158"/>
      <c r="FJ6158"/>
      <c r="FK6158"/>
      <c r="FL6158"/>
      <c r="FM6158"/>
      <c r="FN6158"/>
      <c r="FO6158"/>
      <c r="FP6158"/>
      <c r="FQ6158"/>
      <c r="FR6158"/>
      <c r="FS6158"/>
      <c r="FT6158"/>
      <c r="FU6158"/>
      <c r="FV6158"/>
      <c r="FW6158"/>
      <c r="FX6158"/>
      <c r="FY6158"/>
      <c r="FZ6158"/>
      <c r="GA6158"/>
      <c r="GB6158"/>
      <c r="GC6158"/>
      <c r="GD6158"/>
      <c r="GE6158"/>
      <c r="GF6158"/>
      <c r="GG6158"/>
      <c r="GH6158"/>
      <c r="GI6158"/>
      <c r="GJ6158"/>
      <c r="GK6158"/>
      <c r="GL6158"/>
      <c r="GM6158"/>
      <c r="GN6158"/>
      <c r="GO6158"/>
    </row>
    <row r="6159" spans="107:197">
      <c r="DC6159"/>
      <c r="FH6159"/>
      <c r="FI6159"/>
      <c r="FJ6159"/>
      <c r="FK6159"/>
      <c r="FL6159"/>
      <c r="FM6159"/>
      <c r="FN6159"/>
      <c r="FO6159"/>
      <c r="FP6159"/>
      <c r="FQ6159"/>
      <c r="FR6159"/>
      <c r="FS6159"/>
      <c r="FT6159"/>
      <c r="FU6159"/>
      <c r="FV6159"/>
      <c r="FW6159"/>
      <c r="FX6159"/>
      <c r="FY6159"/>
      <c r="FZ6159"/>
      <c r="GA6159"/>
      <c r="GB6159"/>
      <c r="GC6159"/>
      <c r="GD6159"/>
      <c r="GE6159"/>
      <c r="GF6159"/>
      <c r="GG6159"/>
      <c r="GH6159"/>
      <c r="GI6159"/>
      <c r="GJ6159"/>
      <c r="GK6159"/>
      <c r="GL6159"/>
      <c r="GM6159"/>
      <c r="GN6159"/>
      <c r="GO6159"/>
    </row>
    <row r="6160" spans="107:197">
      <c r="DC6160"/>
      <c r="FH6160"/>
      <c r="FI6160"/>
      <c r="FJ6160"/>
      <c r="FK6160"/>
      <c r="FL6160"/>
      <c r="FM6160"/>
      <c r="FN6160"/>
      <c r="FO6160"/>
      <c r="FP6160"/>
      <c r="FQ6160"/>
      <c r="FR6160"/>
      <c r="FS6160"/>
      <c r="FT6160"/>
      <c r="FU6160"/>
      <c r="FV6160"/>
      <c r="FW6160"/>
      <c r="FX6160"/>
      <c r="FY6160"/>
      <c r="FZ6160"/>
      <c r="GA6160"/>
      <c r="GB6160"/>
      <c r="GC6160"/>
      <c r="GD6160"/>
      <c r="GE6160"/>
      <c r="GF6160"/>
      <c r="GG6160"/>
      <c r="GH6160"/>
      <c r="GI6160"/>
      <c r="GJ6160"/>
      <c r="GK6160"/>
      <c r="GL6160"/>
      <c r="GM6160"/>
      <c r="GN6160"/>
      <c r="GO6160"/>
    </row>
    <row r="6161" spans="107:197">
      <c r="DC6161"/>
      <c r="FH6161"/>
      <c r="FI6161"/>
      <c r="FJ6161"/>
      <c r="FK6161"/>
      <c r="FL6161"/>
      <c r="FM6161"/>
      <c r="FN6161"/>
      <c r="FO6161"/>
      <c r="FP6161"/>
      <c r="FQ6161"/>
      <c r="FR6161"/>
      <c r="FS6161"/>
      <c r="FT6161"/>
      <c r="FU6161"/>
      <c r="FV6161"/>
      <c r="FW6161"/>
      <c r="FX6161"/>
      <c r="FY6161"/>
      <c r="FZ6161"/>
      <c r="GA6161"/>
      <c r="GB6161"/>
      <c r="GC6161"/>
      <c r="GD6161"/>
      <c r="GE6161"/>
      <c r="GF6161"/>
      <c r="GG6161"/>
      <c r="GH6161"/>
      <c r="GI6161"/>
      <c r="GJ6161"/>
      <c r="GK6161"/>
      <c r="GL6161"/>
      <c r="GM6161"/>
      <c r="GN6161"/>
      <c r="GO6161"/>
    </row>
    <row r="6162" spans="107:197">
      <c r="DC6162"/>
      <c r="FH6162"/>
      <c r="FI6162"/>
      <c r="FJ6162"/>
      <c r="FK6162"/>
      <c r="FL6162"/>
      <c r="FM6162"/>
      <c r="FN6162"/>
      <c r="FO6162"/>
      <c r="FP6162"/>
      <c r="FQ6162"/>
      <c r="FR6162"/>
      <c r="FS6162"/>
      <c r="FT6162"/>
      <c r="FU6162"/>
      <c r="FV6162"/>
      <c r="FW6162"/>
      <c r="FX6162"/>
      <c r="FY6162"/>
      <c r="FZ6162"/>
      <c r="GA6162"/>
      <c r="GB6162"/>
      <c r="GC6162"/>
      <c r="GD6162"/>
      <c r="GE6162"/>
      <c r="GF6162"/>
      <c r="GG6162"/>
      <c r="GH6162"/>
      <c r="GI6162"/>
      <c r="GJ6162"/>
      <c r="GK6162"/>
      <c r="GL6162"/>
      <c r="GM6162"/>
      <c r="GN6162"/>
      <c r="GO6162"/>
    </row>
    <row r="6163" spans="107:197">
      <c r="DC6163"/>
      <c r="FH6163"/>
      <c r="FI6163"/>
      <c r="FJ6163"/>
      <c r="FK6163"/>
      <c r="FL6163"/>
      <c r="FM6163"/>
      <c r="FN6163"/>
      <c r="FO6163"/>
      <c r="FP6163"/>
      <c r="FQ6163"/>
      <c r="FR6163"/>
      <c r="FS6163"/>
      <c r="FT6163"/>
      <c r="FU6163"/>
      <c r="FV6163"/>
      <c r="FW6163"/>
      <c r="FX6163"/>
      <c r="FY6163"/>
      <c r="FZ6163"/>
      <c r="GA6163"/>
      <c r="GB6163"/>
      <c r="GC6163"/>
      <c r="GD6163"/>
      <c r="GE6163"/>
      <c r="GF6163"/>
      <c r="GG6163"/>
      <c r="GH6163"/>
      <c r="GI6163"/>
      <c r="GJ6163"/>
      <c r="GK6163"/>
      <c r="GL6163"/>
      <c r="GM6163"/>
      <c r="GN6163"/>
      <c r="GO6163"/>
    </row>
    <row r="6164" spans="107:197">
      <c r="DC6164"/>
      <c r="FH6164"/>
      <c r="FI6164"/>
      <c r="FJ6164"/>
      <c r="FK6164"/>
      <c r="FL6164"/>
      <c r="FM6164"/>
      <c r="FN6164"/>
      <c r="FO6164"/>
      <c r="FP6164"/>
      <c r="FQ6164"/>
      <c r="FR6164"/>
      <c r="FS6164"/>
      <c r="FT6164"/>
      <c r="FU6164"/>
      <c r="FV6164"/>
      <c r="FW6164"/>
      <c r="FX6164"/>
      <c r="FY6164"/>
      <c r="FZ6164"/>
      <c r="GA6164"/>
      <c r="GB6164"/>
      <c r="GC6164"/>
      <c r="GD6164"/>
      <c r="GE6164"/>
      <c r="GF6164"/>
      <c r="GG6164"/>
      <c r="GH6164"/>
      <c r="GI6164"/>
      <c r="GJ6164"/>
      <c r="GK6164"/>
      <c r="GL6164"/>
      <c r="GM6164"/>
      <c r="GN6164"/>
      <c r="GO6164"/>
    </row>
    <row r="6165" spans="107:197">
      <c r="DC6165"/>
      <c r="FH6165"/>
      <c r="FI6165"/>
      <c r="FJ6165"/>
      <c r="FK6165"/>
      <c r="FL6165"/>
      <c r="FM6165"/>
      <c r="FN6165"/>
      <c r="FO6165"/>
      <c r="FP6165"/>
      <c r="FQ6165"/>
      <c r="FR6165"/>
      <c r="FS6165"/>
      <c r="FT6165"/>
      <c r="FU6165"/>
      <c r="FV6165"/>
      <c r="FW6165"/>
      <c r="FX6165"/>
      <c r="FY6165"/>
      <c r="FZ6165"/>
      <c r="GA6165"/>
      <c r="GB6165"/>
      <c r="GC6165"/>
      <c r="GD6165"/>
      <c r="GE6165"/>
      <c r="GF6165"/>
      <c r="GG6165"/>
      <c r="GH6165"/>
      <c r="GI6165"/>
      <c r="GJ6165"/>
      <c r="GK6165"/>
      <c r="GL6165"/>
      <c r="GM6165"/>
      <c r="GN6165"/>
      <c r="GO6165"/>
    </row>
    <row r="6166" spans="107:197">
      <c r="DC6166"/>
      <c r="FH6166"/>
      <c r="FI6166"/>
      <c r="FJ6166"/>
      <c r="FK6166"/>
      <c r="FL6166"/>
      <c r="FM6166"/>
      <c r="FN6166"/>
      <c r="FO6166"/>
      <c r="FP6166"/>
      <c r="FQ6166"/>
      <c r="FR6166"/>
      <c r="FS6166"/>
      <c r="FT6166"/>
      <c r="FU6166"/>
      <c r="FV6166"/>
      <c r="FW6166"/>
      <c r="FX6166"/>
      <c r="FY6166"/>
      <c r="FZ6166"/>
      <c r="GA6166"/>
      <c r="GB6166"/>
      <c r="GC6166"/>
      <c r="GD6166"/>
      <c r="GE6166"/>
      <c r="GF6166"/>
      <c r="GG6166"/>
      <c r="GH6166"/>
      <c r="GI6166"/>
      <c r="GJ6166"/>
      <c r="GK6166"/>
      <c r="GL6166"/>
      <c r="GM6166"/>
      <c r="GN6166"/>
      <c r="GO6166"/>
    </row>
    <row r="6167" spans="107:197">
      <c r="DC6167"/>
      <c r="FH6167"/>
      <c r="FI6167"/>
      <c r="FJ6167"/>
      <c r="FK6167"/>
      <c r="FL6167"/>
      <c r="FM6167"/>
      <c r="FN6167"/>
      <c r="FO6167"/>
      <c r="FP6167"/>
      <c r="FQ6167"/>
      <c r="FR6167"/>
      <c r="FS6167"/>
      <c r="FT6167"/>
      <c r="FU6167"/>
      <c r="FV6167"/>
      <c r="FW6167"/>
      <c r="FX6167"/>
      <c r="FY6167"/>
      <c r="FZ6167"/>
      <c r="GA6167"/>
      <c r="GB6167"/>
      <c r="GC6167"/>
      <c r="GD6167"/>
      <c r="GE6167"/>
      <c r="GF6167"/>
      <c r="GG6167"/>
      <c r="GH6167"/>
      <c r="GI6167"/>
      <c r="GJ6167"/>
      <c r="GK6167"/>
      <c r="GL6167"/>
      <c r="GM6167"/>
      <c r="GN6167"/>
      <c r="GO6167"/>
    </row>
    <row r="6168" spans="107:197">
      <c r="DC6168"/>
      <c r="FH6168"/>
      <c r="FI6168"/>
      <c r="FJ6168"/>
      <c r="FK6168"/>
      <c r="FL6168"/>
      <c r="FM6168"/>
      <c r="FN6168"/>
      <c r="FO6168"/>
      <c r="FP6168"/>
      <c r="FQ6168"/>
      <c r="FR6168"/>
      <c r="FS6168"/>
      <c r="FT6168"/>
      <c r="FU6168"/>
      <c r="FV6168"/>
      <c r="FW6168"/>
      <c r="FX6168"/>
      <c r="FY6168"/>
      <c r="FZ6168"/>
      <c r="GA6168"/>
      <c r="GB6168"/>
      <c r="GC6168"/>
      <c r="GD6168"/>
      <c r="GE6168"/>
      <c r="GF6168"/>
      <c r="GG6168"/>
      <c r="GH6168"/>
      <c r="GI6168"/>
      <c r="GJ6168"/>
      <c r="GK6168"/>
      <c r="GL6168"/>
      <c r="GM6168"/>
      <c r="GN6168"/>
      <c r="GO6168"/>
    </row>
    <row r="6169" spans="107:197">
      <c r="DC6169"/>
      <c r="FH6169"/>
      <c r="FI6169"/>
      <c r="FJ6169"/>
      <c r="FK6169"/>
      <c r="FL6169"/>
      <c r="FM6169"/>
      <c r="FN6169"/>
      <c r="FO6169"/>
      <c r="FP6169"/>
      <c r="FQ6169"/>
      <c r="FR6169"/>
      <c r="FS6169"/>
      <c r="FT6169"/>
      <c r="FU6169"/>
      <c r="FV6169"/>
      <c r="FW6169"/>
      <c r="FX6169"/>
      <c r="FY6169"/>
      <c r="FZ6169"/>
      <c r="GA6169"/>
      <c r="GB6169"/>
      <c r="GC6169"/>
      <c r="GD6169"/>
      <c r="GE6169"/>
      <c r="GF6169"/>
      <c r="GG6169"/>
      <c r="GH6169"/>
      <c r="GI6169"/>
      <c r="GJ6169"/>
      <c r="GK6169"/>
      <c r="GL6169"/>
      <c r="GM6169"/>
      <c r="GN6169"/>
      <c r="GO6169"/>
    </row>
    <row r="6170" spans="107:197">
      <c r="DC6170"/>
      <c r="FH6170"/>
      <c r="FI6170"/>
      <c r="FJ6170"/>
      <c r="FK6170"/>
      <c r="FL6170"/>
      <c r="FM6170"/>
      <c r="FN6170"/>
      <c r="FO6170"/>
      <c r="FP6170"/>
      <c r="FQ6170"/>
      <c r="FR6170"/>
      <c r="FS6170"/>
      <c r="FT6170"/>
      <c r="FU6170"/>
      <c r="FV6170"/>
      <c r="FW6170"/>
      <c r="FX6170"/>
      <c r="FY6170"/>
      <c r="FZ6170"/>
      <c r="GA6170"/>
      <c r="GB6170"/>
      <c r="GC6170"/>
      <c r="GD6170"/>
      <c r="GE6170"/>
      <c r="GF6170"/>
      <c r="GG6170"/>
      <c r="GH6170"/>
      <c r="GI6170"/>
      <c r="GJ6170"/>
      <c r="GK6170"/>
      <c r="GL6170"/>
      <c r="GM6170"/>
      <c r="GN6170"/>
      <c r="GO6170"/>
    </row>
    <row r="6171" spans="107:197">
      <c r="DC6171"/>
      <c r="FH6171"/>
      <c r="FI6171"/>
      <c r="FJ6171"/>
      <c r="FK6171"/>
      <c r="FL6171"/>
      <c r="FM6171"/>
      <c r="FN6171"/>
      <c r="FO6171"/>
      <c r="FP6171"/>
      <c r="FQ6171"/>
      <c r="FR6171"/>
      <c r="FS6171"/>
      <c r="FT6171"/>
      <c r="FU6171"/>
      <c r="FV6171"/>
      <c r="FW6171"/>
      <c r="FX6171"/>
      <c r="FY6171"/>
      <c r="FZ6171"/>
      <c r="GA6171"/>
      <c r="GB6171"/>
      <c r="GC6171"/>
      <c r="GD6171"/>
      <c r="GE6171"/>
      <c r="GF6171"/>
      <c r="GG6171"/>
      <c r="GH6171"/>
      <c r="GI6171"/>
      <c r="GJ6171"/>
      <c r="GK6171"/>
      <c r="GL6171"/>
      <c r="GM6171"/>
      <c r="GN6171"/>
      <c r="GO6171"/>
    </row>
    <row r="6172" spans="107:197">
      <c r="DC6172"/>
      <c r="FH6172"/>
      <c r="FI6172"/>
      <c r="FJ6172"/>
      <c r="FK6172"/>
      <c r="FL6172"/>
      <c r="FM6172"/>
      <c r="FN6172"/>
      <c r="FO6172"/>
      <c r="FP6172"/>
      <c r="FQ6172"/>
      <c r="FR6172"/>
      <c r="FS6172"/>
      <c r="FT6172"/>
      <c r="FU6172"/>
      <c r="FV6172"/>
      <c r="FW6172"/>
      <c r="FX6172"/>
      <c r="FY6172"/>
      <c r="FZ6172"/>
      <c r="GA6172"/>
      <c r="GB6172"/>
      <c r="GC6172"/>
      <c r="GD6172"/>
      <c r="GE6172"/>
      <c r="GF6172"/>
      <c r="GG6172"/>
      <c r="GH6172"/>
      <c r="GI6172"/>
      <c r="GJ6172"/>
      <c r="GK6172"/>
      <c r="GL6172"/>
      <c r="GM6172"/>
      <c r="GN6172"/>
      <c r="GO6172"/>
    </row>
    <row r="6173" spans="107:197">
      <c r="DC6173"/>
      <c r="FH6173"/>
      <c r="FI6173"/>
      <c r="FJ6173"/>
      <c r="FK6173"/>
      <c r="FL6173"/>
      <c r="FM6173"/>
      <c r="FN6173"/>
      <c r="FO6173"/>
      <c r="FP6173"/>
      <c r="FQ6173"/>
      <c r="FR6173"/>
      <c r="FS6173"/>
      <c r="FT6173"/>
      <c r="FU6173"/>
      <c r="FV6173"/>
      <c r="FW6173"/>
      <c r="FX6173"/>
      <c r="FY6173"/>
      <c r="FZ6173"/>
      <c r="GA6173"/>
      <c r="GB6173"/>
      <c r="GC6173"/>
      <c r="GD6173"/>
      <c r="GE6173"/>
      <c r="GF6173"/>
      <c r="GG6173"/>
      <c r="GH6173"/>
      <c r="GI6173"/>
      <c r="GJ6173"/>
      <c r="GK6173"/>
      <c r="GL6173"/>
      <c r="GM6173"/>
      <c r="GN6173"/>
      <c r="GO6173"/>
    </row>
    <row r="6174" spans="107:197">
      <c r="DC6174"/>
      <c r="FH6174"/>
      <c r="FI6174"/>
      <c r="FJ6174"/>
      <c r="FK6174"/>
      <c r="FL6174"/>
      <c r="FM6174"/>
      <c r="FN6174"/>
      <c r="FO6174"/>
      <c r="FP6174"/>
      <c r="FQ6174"/>
      <c r="FR6174"/>
      <c r="FS6174"/>
      <c r="FT6174"/>
      <c r="FU6174"/>
      <c r="FV6174"/>
      <c r="FW6174"/>
      <c r="FX6174"/>
      <c r="FY6174"/>
      <c r="FZ6174"/>
      <c r="GA6174"/>
      <c r="GB6174"/>
      <c r="GC6174"/>
      <c r="GD6174"/>
      <c r="GE6174"/>
      <c r="GF6174"/>
      <c r="GG6174"/>
      <c r="GH6174"/>
      <c r="GI6174"/>
      <c r="GJ6174"/>
      <c r="GK6174"/>
      <c r="GL6174"/>
      <c r="GM6174"/>
      <c r="GN6174"/>
      <c r="GO6174"/>
    </row>
    <row r="6175" spans="107:197">
      <c r="DC6175"/>
      <c r="FH6175"/>
      <c r="FI6175"/>
      <c r="FJ6175"/>
      <c r="FK6175"/>
      <c r="FL6175"/>
      <c r="FM6175"/>
      <c r="FN6175"/>
      <c r="FO6175"/>
      <c r="FP6175"/>
      <c r="FQ6175"/>
      <c r="FR6175"/>
      <c r="FS6175"/>
      <c r="FT6175"/>
      <c r="FU6175"/>
      <c r="FV6175"/>
      <c r="FW6175"/>
      <c r="FX6175"/>
      <c r="FY6175"/>
      <c r="FZ6175"/>
      <c r="GA6175"/>
      <c r="GB6175"/>
      <c r="GC6175"/>
      <c r="GD6175"/>
      <c r="GE6175"/>
      <c r="GF6175"/>
      <c r="GG6175"/>
      <c r="GH6175"/>
      <c r="GI6175"/>
      <c r="GJ6175"/>
      <c r="GK6175"/>
      <c r="GL6175"/>
      <c r="GM6175"/>
      <c r="GN6175"/>
      <c r="GO6175"/>
    </row>
    <row r="6176" spans="107:197">
      <c r="DC6176"/>
      <c r="FH6176"/>
      <c r="FI6176"/>
      <c r="FJ6176"/>
      <c r="FK6176"/>
      <c r="FL6176"/>
      <c r="FM6176"/>
      <c r="FN6176"/>
      <c r="FO6176"/>
      <c r="FP6176"/>
      <c r="FQ6176"/>
      <c r="FR6176"/>
      <c r="FS6176"/>
      <c r="FT6176"/>
      <c r="FU6176"/>
      <c r="FV6176"/>
      <c r="FW6176"/>
      <c r="FX6176"/>
      <c r="FY6176"/>
      <c r="FZ6176"/>
      <c r="GA6176"/>
      <c r="GB6176"/>
      <c r="GC6176"/>
      <c r="GD6176"/>
      <c r="GE6176"/>
      <c r="GF6176"/>
      <c r="GG6176"/>
      <c r="GH6176"/>
      <c r="GI6176"/>
      <c r="GJ6176"/>
      <c r="GK6176"/>
      <c r="GL6176"/>
      <c r="GM6176"/>
      <c r="GN6176"/>
      <c r="GO6176"/>
    </row>
    <row r="6177" spans="107:197">
      <c r="DC6177"/>
      <c r="FH6177"/>
      <c r="FI6177"/>
      <c r="FJ6177"/>
      <c r="FK6177"/>
      <c r="FL6177"/>
      <c r="FM6177"/>
      <c r="FN6177"/>
      <c r="FO6177"/>
      <c r="FP6177"/>
      <c r="FQ6177"/>
      <c r="FR6177"/>
      <c r="FS6177"/>
      <c r="FT6177"/>
      <c r="FU6177"/>
      <c r="FV6177"/>
      <c r="FW6177"/>
      <c r="FX6177"/>
      <c r="FY6177"/>
      <c r="FZ6177"/>
      <c r="GA6177"/>
      <c r="GB6177"/>
      <c r="GC6177"/>
      <c r="GD6177"/>
      <c r="GE6177"/>
      <c r="GF6177"/>
      <c r="GG6177"/>
      <c r="GH6177"/>
      <c r="GI6177"/>
      <c r="GJ6177"/>
      <c r="GK6177"/>
      <c r="GL6177"/>
      <c r="GM6177"/>
      <c r="GN6177"/>
      <c r="GO6177"/>
    </row>
    <row r="6178" spans="107:197">
      <c r="DC6178"/>
      <c r="FH6178"/>
      <c r="FI6178"/>
      <c r="FJ6178"/>
      <c r="FK6178"/>
      <c r="FL6178"/>
      <c r="FM6178"/>
      <c r="FN6178"/>
      <c r="FO6178"/>
      <c r="FP6178"/>
      <c r="FQ6178"/>
      <c r="FR6178"/>
      <c r="FS6178"/>
      <c r="FT6178"/>
      <c r="FU6178"/>
      <c r="FV6178"/>
      <c r="FW6178"/>
      <c r="FX6178"/>
      <c r="FY6178"/>
      <c r="FZ6178"/>
      <c r="GA6178"/>
      <c r="GB6178"/>
      <c r="GC6178"/>
      <c r="GD6178"/>
      <c r="GE6178"/>
      <c r="GF6178"/>
      <c r="GG6178"/>
      <c r="GH6178"/>
      <c r="GI6178"/>
      <c r="GJ6178"/>
      <c r="GK6178"/>
      <c r="GL6178"/>
      <c r="GM6178"/>
      <c r="GN6178"/>
      <c r="GO6178"/>
    </row>
    <row r="6179" spans="107:197">
      <c r="DC6179"/>
      <c r="FH6179"/>
      <c r="FI6179"/>
      <c r="FJ6179"/>
      <c r="FK6179"/>
      <c r="FL6179"/>
      <c r="FM6179"/>
      <c r="FN6179"/>
      <c r="FO6179"/>
      <c r="FP6179"/>
      <c r="FQ6179"/>
      <c r="FR6179"/>
      <c r="FS6179"/>
      <c r="FT6179"/>
      <c r="FU6179"/>
      <c r="FV6179"/>
      <c r="FW6179"/>
      <c r="FX6179"/>
      <c r="FY6179"/>
      <c r="FZ6179"/>
      <c r="GA6179"/>
      <c r="GB6179"/>
      <c r="GC6179"/>
      <c r="GD6179"/>
      <c r="GE6179"/>
      <c r="GF6179"/>
      <c r="GG6179"/>
      <c r="GH6179"/>
      <c r="GI6179"/>
      <c r="GJ6179"/>
      <c r="GK6179"/>
      <c r="GL6179"/>
      <c r="GM6179"/>
      <c r="GN6179"/>
      <c r="GO6179"/>
    </row>
    <row r="6180" spans="107:197">
      <c r="DC6180"/>
      <c r="FH6180"/>
      <c r="FI6180"/>
      <c r="FJ6180"/>
      <c r="FK6180"/>
      <c r="FL6180"/>
      <c r="FM6180"/>
      <c r="FN6180"/>
      <c r="FO6180"/>
      <c r="FP6180"/>
      <c r="FQ6180"/>
      <c r="FR6180"/>
      <c r="FS6180"/>
      <c r="FT6180"/>
      <c r="FU6180"/>
      <c r="FV6180"/>
      <c r="FW6180"/>
      <c r="FX6180"/>
      <c r="FY6180"/>
      <c r="FZ6180"/>
      <c r="GA6180"/>
      <c r="GB6180"/>
      <c r="GC6180"/>
      <c r="GD6180"/>
      <c r="GE6180"/>
      <c r="GF6180"/>
      <c r="GG6180"/>
      <c r="GH6180"/>
      <c r="GI6180"/>
      <c r="GJ6180"/>
      <c r="GK6180"/>
      <c r="GL6180"/>
      <c r="GM6180"/>
      <c r="GN6180"/>
      <c r="GO6180"/>
    </row>
    <row r="6181" spans="107:197">
      <c r="DC6181"/>
      <c r="FH6181"/>
      <c r="FI6181"/>
      <c r="FJ6181"/>
      <c r="FK6181"/>
      <c r="FL6181"/>
      <c r="FM6181"/>
      <c r="FN6181"/>
      <c r="FO6181"/>
      <c r="FP6181"/>
      <c r="FQ6181"/>
      <c r="FR6181"/>
      <c r="FS6181"/>
      <c r="FT6181"/>
      <c r="FU6181"/>
      <c r="FV6181"/>
      <c r="FW6181"/>
      <c r="FX6181"/>
      <c r="FY6181"/>
      <c r="FZ6181"/>
      <c r="GA6181"/>
      <c r="GB6181"/>
      <c r="GC6181"/>
      <c r="GD6181"/>
      <c r="GE6181"/>
      <c r="GF6181"/>
      <c r="GG6181"/>
      <c r="GH6181"/>
      <c r="GI6181"/>
      <c r="GJ6181"/>
      <c r="GK6181"/>
      <c r="GL6181"/>
      <c r="GM6181"/>
      <c r="GN6181"/>
      <c r="GO6181"/>
    </row>
    <row r="6182" spans="107:197">
      <c r="DC6182"/>
      <c r="FH6182"/>
      <c r="FI6182"/>
      <c r="FJ6182"/>
      <c r="FK6182"/>
      <c r="FL6182"/>
      <c r="FM6182"/>
      <c r="FN6182"/>
      <c r="FO6182"/>
      <c r="FP6182"/>
      <c r="FQ6182"/>
      <c r="FR6182"/>
      <c r="FS6182"/>
      <c r="FT6182"/>
      <c r="FU6182"/>
      <c r="FV6182"/>
      <c r="FW6182"/>
      <c r="FX6182"/>
      <c r="FY6182"/>
      <c r="FZ6182"/>
      <c r="GA6182"/>
      <c r="GB6182"/>
      <c r="GC6182"/>
      <c r="GD6182"/>
      <c r="GE6182"/>
      <c r="GF6182"/>
      <c r="GG6182"/>
      <c r="GH6182"/>
      <c r="GI6182"/>
      <c r="GJ6182"/>
      <c r="GK6182"/>
      <c r="GL6182"/>
      <c r="GM6182"/>
      <c r="GN6182"/>
      <c r="GO6182"/>
    </row>
    <row r="6183" spans="107:197">
      <c r="DC6183"/>
      <c r="FH6183"/>
      <c r="FI6183"/>
      <c r="FJ6183"/>
      <c r="FK6183"/>
      <c r="FL6183"/>
      <c r="FM6183"/>
      <c r="FN6183"/>
      <c r="FO6183"/>
      <c r="FP6183"/>
      <c r="FQ6183"/>
      <c r="FR6183"/>
      <c r="FS6183"/>
      <c r="FT6183"/>
      <c r="FU6183"/>
      <c r="FV6183"/>
      <c r="FW6183"/>
      <c r="FX6183"/>
      <c r="FY6183"/>
      <c r="FZ6183"/>
      <c r="GA6183"/>
      <c r="GB6183"/>
      <c r="GC6183"/>
      <c r="GD6183"/>
      <c r="GE6183"/>
      <c r="GF6183"/>
      <c r="GG6183"/>
      <c r="GH6183"/>
      <c r="GI6183"/>
      <c r="GJ6183"/>
      <c r="GK6183"/>
      <c r="GL6183"/>
      <c r="GM6183"/>
      <c r="GN6183"/>
      <c r="GO6183"/>
    </row>
    <row r="6184" spans="107:197">
      <c r="DC6184"/>
      <c r="FH6184"/>
      <c r="FI6184"/>
      <c r="FJ6184"/>
      <c r="FK6184"/>
      <c r="FL6184"/>
      <c r="FM6184"/>
      <c r="FN6184"/>
      <c r="FO6184"/>
      <c r="FP6184"/>
      <c r="FQ6184"/>
      <c r="FR6184"/>
      <c r="FS6184"/>
      <c r="FT6184"/>
      <c r="FU6184"/>
      <c r="FV6184"/>
      <c r="FW6184"/>
      <c r="FX6184"/>
      <c r="FY6184"/>
      <c r="FZ6184"/>
      <c r="GA6184"/>
      <c r="GB6184"/>
      <c r="GC6184"/>
      <c r="GD6184"/>
      <c r="GE6184"/>
      <c r="GF6184"/>
      <c r="GG6184"/>
      <c r="GH6184"/>
      <c r="GI6184"/>
      <c r="GJ6184"/>
      <c r="GK6184"/>
      <c r="GL6184"/>
      <c r="GM6184"/>
      <c r="GN6184"/>
      <c r="GO6184"/>
    </row>
    <row r="6185" spans="107:197">
      <c r="DC6185"/>
      <c r="FH6185"/>
      <c r="FI6185"/>
      <c r="FJ6185"/>
      <c r="FK6185"/>
      <c r="FL6185"/>
      <c r="FM6185"/>
      <c r="FN6185"/>
      <c r="FO6185"/>
      <c r="FP6185"/>
      <c r="FQ6185"/>
      <c r="FR6185"/>
      <c r="FS6185"/>
      <c r="FT6185"/>
      <c r="FU6185"/>
      <c r="FV6185"/>
      <c r="FW6185"/>
      <c r="FX6185"/>
      <c r="FY6185"/>
      <c r="FZ6185"/>
      <c r="GA6185"/>
      <c r="GB6185"/>
      <c r="GC6185"/>
      <c r="GD6185"/>
      <c r="GE6185"/>
      <c r="GF6185"/>
      <c r="GG6185"/>
      <c r="GH6185"/>
      <c r="GI6185"/>
      <c r="GJ6185"/>
      <c r="GK6185"/>
      <c r="GL6185"/>
      <c r="GM6185"/>
      <c r="GN6185"/>
      <c r="GO6185"/>
    </row>
    <row r="6186" spans="107:197">
      <c r="DC6186"/>
      <c r="FH6186"/>
      <c r="FI6186"/>
      <c r="FJ6186"/>
      <c r="FK6186"/>
      <c r="FL6186"/>
      <c r="FM6186"/>
      <c r="FN6186"/>
      <c r="FO6186"/>
      <c r="FP6186"/>
      <c r="FQ6186"/>
      <c r="FR6186"/>
      <c r="FS6186"/>
      <c r="FT6186"/>
      <c r="FU6186"/>
      <c r="FV6186"/>
      <c r="FW6186"/>
      <c r="FX6186"/>
      <c r="FY6186"/>
      <c r="FZ6186"/>
      <c r="GA6186"/>
      <c r="GB6186"/>
      <c r="GC6186"/>
      <c r="GD6186"/>
      <c r="GE6186"/>
      <c r="GF6186"/>
      <c r="GG6186"/>
      <c r="GH6186"/>
      <c r="GI6186"/>
      <c r="GJ6186"/>
      <c r="GK6186"/>
      <c r="GL6186"/>
      <c r="GM6186"/>
      <c r="GN6186"/>
      <c r="GO6186"/>
    </row>
    <row r="6187" spans="107:197">
      <c r="DC6187"/>
      <c r="FH6187"/>
      <c r="FI6187"/>
      <c r="FJ6187"/>
      <c r="FK6187"/>
      <c r="FL6187"/>
      <c r="FM6187"/>
      <c r="FN6187"/>
      <c r="FO6187"/>
      <c r="FP6187"/>
      <c r="FQ6187"/>
      <c r="FR6187"/>
      <c r="FS6187"/>
      <c r="FT6187"/>
      <c r="FU6187"/>
      <c r="FV6187"/>
      <c r="FW6187"/>
      <c r="FX6187"/>
      <c r="FY6187"/>
      <c r="FZ6187"/>
      <c r="GA6187"/>
      <c r="GB6187"/>
      <c r="GC6187"/>
      <c r="GD6187"/>
      <c r="GE6187"/>
      <c r="GF6187"/>
      <c r="GG6187"/>
      <c r="GH6187"/>
      <c r="GI6187"/>
      <c r="GJ6187"/>
      <c r="GK6187"/>
      <c r="GL6187"/>
      <c r="GM6187"/>
      <c r="GN6187"/>
      <c r="GO6187"/>
    </row>
    <row r="6188" spans="107:197">
      <c r="DC6188"/>
      <c r="FH6188"/>
      <c r="FI6188"/>
      <c r="FJ6188"/>
      <c r="FK6188"/>
      <c r="FL6188"/>
      <c r="FM6188"/>
      <c r="FN6188"/>
      <c r="FO6188"/>
      <c r="FP6188"/>
      <c r="FQ6188"/>
      <c r="FR6188"/>
      <c r="FS6188"/>
      <c r="FT6188"/>
      <c r="FU6188"/>
      <c r="FV6188"/>
      <c r="FW6188"/>
      <c r="FX6188"/>
      <c r="FY6188"/>
      <c r="FZ6188"/>
      <c r="GA6188"/>
      <c r="GB6188"/>
      <c r="GC6188"/>
      <c r="GD6188"/>
      <c r="GE6188"/>
      <c r="GF6188"/>
      <c r="GG6188"/>
      <c r="GH6188"/>
      <c r="GI6188"/>
      <c r="GJ6188"/>
      <c r="GK6188"/>
      <c r="GL6188"/>
      <c r="GM6188"/>
      <c r="GN6188"/>
      <c r="GO6188"/>
    </row>
    <row r="6189" spans="107:197">
      <c r="DC6189"/>
      <c r="FH6189"/>
      <c r="FI6189"/>
      <c r="FJ6189"/>
      <c r="FK6189"/>
      <c r="FL6189"/>
      <c r="FM6189"/>
      <c r="FN6189"/>
      <c r="FO6189"/>
      <c r="FP6189"/>
      <c r="FQ6189"/>
      <c r="FR6189"/>
      <c r="FS6189"/>
      <c r="FT6189"/>
      <c r="FU6189"/>
      <c r="FV6189"/>
      <c r="FW6189"/>
      <c r="FX6189"/>
      <c r="FY6189"/>
      <c r="FZ6189"/>
      <c r="GA6189"/>
      <c r="GB6189"/>
      <c r="GC6189"/>
      <c r="GD6189"/>
      <c r="GE6189"/>
      <c r="GF6189"/>
      <c r="GG6189"/>
      <c r="GH6189"/>
      <c r="GI6189"/>
      <c r="GJ6189"/>
      <c r="GK6189"/>
      <c r="GL6189"/>
      <c r="GM6189"/>
      <c r="GN6189"/>
      <c r="GO6189"/>
    </row>
    <row r="6190" spans="107:197">
      <c r="DC6190"/>
      <c r="FH6190"/>
      <c r="FI6190"/>
      <c r="FJ6190"/>
      <c r="FK6190"/>
      <c r="FL6190"/>
      <c r="FM6190"/>
      <c r="FN6190"/>
      <c r="FO6190"/>
      <c r="FP6190"/>
      <c r="FQ6190"/>
      <c r="FR6190"/>
      <c r="FS6190"/>
      <c r="FT6190"/>
      <c r="FU6190"/>
      <c r="FV6190"/>
      <c r="FW6190"/>
      <c r="FX6190"/>
      <c r="FY6190"/>
      <c r="FZ6190"/>
      <c r="GA6190"/>
      <c r="GB6190"/>
      <c r="GC6190"/>
      <c r="GD6190"/>
      <c r="GE6190"/>
      <c r="GF6190"/>
      <c r="GG6190"/>
      <c r="GH6190"/>
      <c r="GI6190"/>
      <c r="GJ6190"/>
      <c r="GK6190"/>
      <c r="GL6190"/>
      <c r="GM6190"/>
      <c r="GN6190"/>
      <c r="GO6190"/>
    </row>
    <row r="6191" spans="107:197">
      <c r="DC6191"/>
      <c r="FH6191"/>
      <c r="FI6191"/>
      <c r="FJ6191"/>
      <c r="FK6191"/>
      <c r="FL6191"/>
      <c r="FM6191"/>
      <c r="FN6191"/>
      <c r="FO6191"/>
      <c r="FP6191"/>
      <c r="FQ6191"/>
      <c r="FR6191"/>
      <c r="FS6191"/>
      <c r="FT6191"/>
      <c r="FU6191"/>
      <c r="FV6191"/>
      <c r="FW6191"/>
      <c r="FX6191"/>
      <c r="FY6191"/>
      <c r="FZ6191"/>
      <c r="GA6191"/>
      <c r="GB6191"/>
      <c r="GC6191"/>
      <c r="GD6191"/>
      <c r="GE6191"/>
      <c r="GF6191"/>
      <c r="GG6191"/>
      <c r="GH6191"/>
      <c r="GI6191"/>
      <c r="GJ6191"/>
      <c r="GK6191"/>
      <c r="GL6191"/>
      <c r="GM6191"/>
      <c r="GN6191"/>
      <c r="GO6191"/>
    </row>
    <row r="6192" spans="107:197">
      <c r="DC6192"/>
      <c r="FH6192"/>
      <c r="FI6192"/>
      <c r="FJ6192"/>
      <c r="FK6192"/>
      <c r="FL6192"/>
      <c r="FM6192"/>
      <c r="FN6192"/>
      <c r="FO6192"/>
      <c r="FP6192"/>
      <c r="FQ6192"/>
      <c r="FR6192"/>
      <c r="FS6192"/>
      <c r="FT6192"/>
      <c r="FU6192"/>
      <c r="FV6192"/>
      <c r="FW6192"/>
      <c r="FX6192"/>
      <c r="FY6192"/>
      <c r="FZ6192"/>
      <c r="GA6192"/>
      <c r="GB6192"/>
      <c r="GC6192"/>
      <c r="GD6192"/>
      <c r="GE6192"/>
      <c r="GF6192"/>
      <c r="GG6192"/>
      <c r="GH6192"/>
      <c r="GI6192"/>
      <c r="GJ6192"/>
      <c r="GK6192"/>
      <c r="GL6192"/>
      <c r="GM6192"/>
      <c r="GN6192"/>
      <c r="GO6192"/>
    </row>
    <row r="6193" spans="107:197">
      <c r="DC6193"/>
      <c r="FH6193"/>
      <c r="FI6193"/>
      <c r="FJ6193"/>
      <c r="FK6193"/>
      <c r="FL6193"/>
      <c r="FM6193"/>
      <c r="FN6193"/>
      <c r="FO6193"/>
      <c r="FP6193"/>
      <c r="FQ6193"/>
      <c r="FR6193"/>
      <c r="FS6193"/>
      <c r="FT6193"/>
      <c r="FU6193"/>
      <c r="FV6193"/>
      <c r="FW6193"/>
      <c r="FX6193"/>
      <c r="FY6193"/>
      <c r="FZ6193"/>
      <c r="GA6193"/>
      <c r="GB6193"/>
      <c r="GC6193"/>
      <c r="GD6193"/>
      <c r="GE6193"/>
      <c r="GF6193"/>
      <c r="GG6193"/>
      <c r="GH6193"/>
      <c r="GI6193"/>
      <c r="GJ6193"/>
      <c r="GK6193"/>
      <c r="GL6193"/>
      <c r="GM6193"/>
      <c r="GN6193"/>
      <c r="GO6193"/>
    </row>
    <row r="6194" spans="107:197">
      <c r="DC6194"/>
      <c r="FH6194"/>
      <c r="FI6194"/>
      <c r="FJ6194"/>
      <c r="FK6194"/>
      <c r="FL6194"/>
      <c r="FM6194"/>
      <c r="FN6194"/>
      <c r="FO6194"/>
      <c r="FP6194"/>
      <c r="FQ6194"/>
      <c r="FR6194"/>
      <c r="FS6194"/>
      <c r="FT6194"/>
      <c r="FU6194"/>
      <c r="FV6194"/>
      <c r="FW6194"/>
      <c r="FX6194"/>
      <c r="FY6194"/>
      <c r="FZ6194"/>
      <c r="GA6194"/>
      <c r="GB6194"/>
      <c r="GC6194"/>
      <c r="GD6194"/>
      <c r="GE6194"/>
      <c r="GF6194"/>
      <c r="GG6194"/>
      <c r="GH6194"/>
      <c r="GI6194"/>
      <c r="GJ6194"/>
      <c r="GK6194"/>
      <c r="GL6194"/>
      <c r="GM6194"/>
      <c r="GN6194"/>
      <c r="GO6194"/>
    </row>
    <row r="6195" spans="107:197">
      <c r="DC6195"/>
      <c r="FH6195"/>
      <c r="FI6195"/>
      <c r="FJ6195"/>
      <c r="FK6195"/>
      <c r="FL6195"/>
      <c r="FM6195"/>
      <c r="FN6195"/>
      <c r="FO6195"/>
      <c r="FP6195"/>
      <c r="FQ6195"/>
      <c r="FR6195"/>
      <c r="FS6195"/>
      <c r="FT6195"/>
      <c r="FU6195"/>
      <c r="FV6195"/>
      <c r="FW6195"/>
      <c r="FX6195"/>
      <c r="FY6195"/>
      <c r="FZ6195"/>
      <c r="GA6195"/>
      <c r="GB6195"/>
      <c r="GC6195"/>
      <c r="GD6195"/>
      <c r="GE6195"/>
      <c r="GF6195"/>
      <c r="GG6195"/>
      <c r="GH6195"/>
      <c r="GI6195"/>
      <c r="GJ6195"/>
      <c r="GK6195"/>
      <c r="GL6195"/>
      <c r="GM6195"/>
      <c r="GN6195"/>
      <c r="GO6195"/>
    </row>
    <row r="6196" spans="107:197">
      <c r="DC6196"/>
      <c r="FH6196"/>
      <c r="FI6196"/>
      <c r="FJ6196"/>
      <c r="FK6196"/>
      <c r="FL6196"/>
      <c r="FM6196"/>
      <c r="FN6196"/>
      <c r="FO6196"/>
      <c r="FP6196"/>
      <c r="FQ6196"/>
      <c r="FR6196"/>
      <c r="FS6196"/>
      <c r="FT6196"/>
      <c r="FU6196"/>
      <c r="FV6196"/>
      <c r="FW6196"/>
      <c r="FX6196"/>
      <c r="FY6196"/>
      <c r="FZ6196"/>
      <c r="GA6196"/>
      <c r="GB6196"/>
      <c r="GC6196"/>
      <c r="GD6196"/>
      <c r="GE6196"/>
      <c r="GF6196"/>
      <c r="GG6196"/>
      <c r="GH6196"/>
      <c r="GI6196"/>
      <c r="GJ6196"/>
      <c r="GK6196"/>
      <c r="GL6196"/>
      <c r="GM6196"/>
      <c r="GN6196"/>
      <c r="GO6196"/>
    </row>
    <row r="6197" spans="107:197">
      <c r="DC6197"/>
      <c r="FH6197"/>
      <c r="FI6197"/>
      <c r="FJ6197"/>
      <c r="FK6197"/>
      <c r="FL6197"/>
      <c r="FM6197"/>
      <c r="FN6197"/>
      <c r="FO6197"/>
      <c r="FP6197"/>
      <c r="FQ6197"/>
      <c r="FR6197"/>
      <c r="FS6197"/>
      <c r="FT6197"/>
      <c r="FU6197"/>
      <c r="FV6197"/>
      <c r="FW6197"/>
      <c r="FX6197"/>
      <c r="FY6197"/>
      <c r="FZ6197"/>
      <c r="GA6197"/>
      <c r="GB6197"/>
      <c r="GC6197"/>
      <c r="GD6197"/>
      <c r="GE6197"/>
      <c r="GF6197"/>
      <c r="GG6197"/>
      <c r="GH6197"/>
      <c r="GI6197"/>
      <c r="GJ6197"/>
      <c r="GK6197"/>
      <c r="GL6197"/>
      <c r="GM6197"/>
      <c r="GN6197"/>
      <c r="GO6197"/>
    </row>
    <row r="6198" spans="107:197">
      <c r="DC6198"/>
      <c r="FH6198"/>
      <c r="FI6198"/>
      <c r="FJ6198"/>
      <c r="FK6198"/>
      <c r="FL6198"/>
      <c r="FM6198"/>
      <c r="FN6198"/>
      <c r="FO6198"/>
      <c r="FP6198"/>
      <c r="FQ6198"/>
      <c r="FR6198"/>
      <c r="FS6198"/>
      <c r="FT6198"/>
      <c r="FU6198"/>
      <c r="FV6198"/>
      <c r="FW6198"/>
      <c r="FX6198"/>
      <c r="FY6198"/>
      <c r="FZ6198"/>
      <c r="GA6198"/>
      <c r="GB6198"/>
      <c r="GC6198"/>
      <c r="GD6198"/>
      <c r="GE6198"/>
      <c r="GF6198"/>
      <c r="GG6198"/>
      <c r="GH6198"/>
      <c r="GI6198"/>
      <c r="GJ6198"/>
      <c r="GK6198"/>
      <c r="GL6198"/>
      <c r="GM6198"/>
      <c r="GN6198"/>
      <c r="GO6198"/>
    </row>
    <row r="6199" spans="107:197">
      <c r="DC6199"/>
      <c r="FH6199"/>
      <c r="FI6199"/>
      <c r="FJ6199"/>
      <c r="FK6199"/>
      <c r="FL6199"/>
      <c r="FM6199"/>
      <c r="FN6199"/>
      <c r="FO6199"/>
      <c r="FP6199"/>
      <c r="FQ6199"/>
      <c r="FR6199"/>
      <c r="FS6199"/>
      <c r="FT6199"/>
      <c r="FU6199"/>
      <c r="FV6199"/>
      <c r="FW6199"/>
      <c r="FX6199"/>
      <c r="FY6199"/>
      <c r="FZ6199"/>
      <c r="GA6199"/>
      <c r="GB6199"/>
      <c r="GC6199"/>
      <c r="GD6199"/>
      <c r="GE6199"/>
      <c r="GF6199"/>
      <c r="GG6199"/>
      <c r="GH6199"/>
      <c r="GI6199"/>
      <c r="GJ6199"/>
      <c r="GK6199"/>
      <c r="GL6199"/>
      <c r="GM6199"/>
      <c r="GN6199"/>
      <c r="GO6199"/>
    </row>
    <row r="6200" spans="107:197">
      <c r="DC6200"/>
      <c r="FH6200"/>
      <c r="FI6200"/>
      <c r="FJ6200"/>
      <c r="FK6200"/>
      <c r="FL6200"/>
      <c r="FM6200"/>
      <c r="FN6200"/>
      <c r="FO6200"/>
      <c r="FP6200"/>
      <c r="FQ6200"/>
      <c r="FR6200"/>
      <c r="FS6200"/>
      <c r="FT6200"/>
      <c r="FU6200"/>
      <c r="FV6200"/>
      <c r="FW6200"/>
      <c r="FX6200"/>
      <c r="FY6200"/>
      <c r="FZ6200"/>
      <c r="GA6200"/>
      <c r="GB6200"/>
      <c r="GC6200"/>
      <c r="GD6200"/>
      <c r="GE6200"/>
      <c r="GF6200"/>
      <c r="GG6200"/>
      <c r="GH6200"/>
      <c r="GI6200"/>
      <c r="GJ6200"/>
      <c r="GK6200"/>
      <c r="GL6200"/>
      <c r="GM6200"/>
      <c r="GN6200"/>
      <c r="GO6200"/>
    </row>
    <row r="6201" spans="107:197">
      <c r="DC6201"/>
      <c r="FH6201"/>
      <c r="FI6201"/>
      <c r="FJ6201"/>
      <c r="FK6201"/>
      <c r="FL6201"/>
      <c r="FM6201"/>
      <c r="FN6201"/>
      <c r="FO6201"/>
      <c r="FP6201"/>
      <c r="FQ6201"/>
      <c r="FR6201"/>
      <c r="FS6201"/>
      <c r="FT6201"/>
      <c r="FU6201"/>
      <c r="FV6201"/>
      <c r="FW6201"/>
      <c r="FX6201"/>
      <c r="FY6201"/>
      <c r="FZ6201"/>
      <c r="GA6201"/>
      <c r="GB6201"/>
      <c r="GC6201"/>
      <c r="GD6201"/>
      <c r="GE6201"/>
      <c r="GF6201"/>
      <c r="GG6201"/>
      <c r="GH6201"/>
      <c r="GI6201"/>
      <c r="GJ6201"/>
      <c r="GK6201"/>
      <c r="GL6201"/>
      <c r="GM6201"/>
      <c r="GN6201"/>
      <c r="GO6201"/>
    </row>
    <row r="6202" spans="107:197">
      <c r="DC6202"/>
      <c r="FH6202"/>
      <c r="FI6202"/>
      <c r="FJ6202"/>
      <c r="FK6202"/>
      <c r="FL6202"/>
      <c r="FM6202"/>
      <c r="FN6202"/>
      <c r="FO6202"/>
      <c r="FP6202"/>
      <c r="FQ6202"/>
      <c r="FR6202"/>
      <c r="FS6202"/>
      <c r="FT6202"/>
      <c r="FU6202"/>
      <c r="FV6202"/>
      <c r="FW6202"/>
      <c r="FX6202"/>
      <c r="FY6202"/>
      <c r="FZ6202"/>
      <c r="GA6202"/>
      <c r="GB6202"/>
      <c r="GC6202"/>
      <c r="GD6202"/>
      <c r="GE6202"/>
      <c r="GF6202"/>
      <c r="GG6202"/>
      <c r="GH6202"/>
      <c r="GI6202"/>
      <c r="GJ6202"/>
      <c r="GK6202"/>
      <c r="GL6202"/>
      <c r="GM6202"/>
      <c r="GN6202"/>
      <c r="GO6202"/>
    </row>
    <row r="6203" spans="107:197">
      <c r="DC6203"/>
      <c r="FH6203"/>
      <c r="FI6203"/>
      <c r="FJ6203"/>
      <c r="FK6203"/>
      <c r="FL6203"/>
      <c r="FM6203"/>
      <c r="FN6203"/>
      <c r="FO6203"/>
      <c r="FP6203"/>
      <c r="FQ6203"/>
      <c r="FR6203"/>
      <c r="FS6203"/>
      <c r="FT6203"/>
      <c r="FU6203"/>
      <c r="FV6203"/>
      <c r="FW6203"/>
      <c r="FX6203"/>
      <c r="FY6203"/>
      <c r="FZ6203"/>
      <c r="GA6203"/>
      <c r="GB6203"/>
      <c r="GC6203"/>
      <c r="GD6203"/>
      <c r="GE6203"/>
      <c r="GF6203"/>
      <c r="GG6203"/>
      <c r="GH6203"/>
      <c r="GI6203"/>
      <c r="GJ6203"/>
      <c r="GK6203"/>
      <c r="GL6203"/>
      <c r="GM6203"/>
      <c r="GN6203"/>
      <c r="GO6203"/>
    </row>
    <row r="6204" spans="107:197">
      <c r="DC6204"/>
      <c r="FH6204"/>
      <c r="FI6204"/>
      <c r="FJ6204"/>
      <c r="FK6204"/>
      <c r="FL6204"/>
      <c r="FM6204"/>
      <c r="FN6204"/>
      <c r="FO6204"/>
      <c r="FP6204"/>
      <c r="FQ6204"/>
      <c r="FR6204"/>
      <c r="FS6204"/>
      <c r="FT6204"/>
      <c r="FU6204"/>
      <c r="FV6204"/>
      <c r="FW6204"/>
      <c r="FX6204"/>
      <c r="FY6204"/>
      <c r="FZ6204"/>
      <c r="GA6204"/>
      <c r="GB6204"/>
      <c r="GC6204"/>
      <c r="GD6204"/>
      <c r="GE6204"/>
      <c r="GF6204"/>
      <c r="GG6204"/>
      <c r="GH6204"/>
      <c r="GI6204"/>
      <c r="GJ6204"/>
      <c r="GK6204"/>
      <c r="GL6204"/>
      <c r="GM6204"/>
      <c r="GN6204"/>
      <c r="GO6204"/>
    </row>
    <row r="6205" spans="107:197">
      <c r="DC6205"/>
      <c r="FH6205"/>
      <c r="FI6205"/>
      <c r="FJ6205"/>
      <c r="FK6205"/>
      <c r="FL6205"/>
      <c r="FM6205"/>
      <c r="FN6205"/>
      <c r="FO6205"/>
      <c r="FP6205"/>
      <c r="FQ6205"/>
      <c r="FR6205"/>
      <c r="FS6205"/>
      <c r="FT6205"/>
      <c r="FU6205"/>
      <c r="FV6205"/>
      <c r="FW6205"/>
      <c r="FX6205"/>
      <c r="FY6205"/>
      <c r="FZ6205"/>
      <c r="GA6205"/>
      <c r="GB6205"/>
      <c r="GC6205"/>
      <c r="GD6205"/>
      <c r="GE6205"/>
      <c r="GF6205"/>
      <c r="GG6205"/>
      <c r="GH6205"/>
      <c r="GI6205"/>
      <c r="GJ6205"/>
      <c r="GK6205"/>
      <c r="GL6205"/>
      <c r="GM6205"/>
      <c r="GN6205"/>
      <c r="GO6205"/>
    </row>
    <row r="6206" spans="107:197">
      <c r="DC6206"/>
      <c r="FH6206"/>
      <c r="FI6206"/>
      <c r="FJ6206"/>
      <c r="FK6206"/>
      <c r="FL6206"/>
      <c r="FM6206"/>
      <c r="FN6206"/>
      <c r="FO6206"/>
      <c r="FP6206"/>
      <c r="FQ6206"/>
      <c r="FR6206"/>
      <c r="FS6206"/>
      <c r="FT6206"/>
      <c r="FU6206"/>
      <c r="FV6206"/>
      <c r="FW6206"/>
      <c r="FX6206"/>
      <c r="FY6206"/>
      <c r="FZ6206"/>
      <c r="GA6206"/>
      <c r="GB6206"/>
      <c r="GC6206"/>
      <c r="GD6206"/>
      <c r="GE6206"/>
      <c r="GF6206"/>
      <c r="GG6206"/>
      <c r="GH6206"/>
      <c r="GI6206"/>
      <c r="GJ6206"/>
      <c r="GK6206"/>
      <c r="GL6206"/>
      <c r="GM6206"/>
      <c r="GN6206"/>
      <c r="GO6206"/>
    </row>
    <row r="6207" spans="107:197">
      <c r="DC6207"/>
      <c r="FH6207"/>
      <c r="FI6207"/>
      <c r="FJ6207"/>
      <c r="FK6207"/>
      <c r="FL6207"/>
      <c r="FM6207"/>
      <c r="FN6207"/>
      <c r="FO6207"/>
      <c r="FP6207"/>
      <c r="FQ6207"/>
      <c r="FR6207"/>
      <c r="FS6207"/>
      <c r="FT6207"/>
      <c r="FU6207"/>
      <c r="FV6207"/>
      <c r="FW6207"/>
      <c r="FX6207"/>
      <c r="FY6207"/>
      <c r="FZ6207"/>
      <c r="GA6207"/>
      <c r="GB6207"/>
      <c r="GC6207"/>
      <c r="GD6207"/>
      <c r="GE6207"/>
      <c r="GF6207"/>
      <c r="GG6207"/>
      <c r="GH6207"/>
      <c r="GI6207"/>
      <c r="GJ6207"/>
      <c r="GK6207"/>
      <c r="GL6207"/>
      <c r="GM6207"/>
      <c r="GN6207"/>
      <c r="GO6207"/>
    </row>
    <row r="6208" spans="107:197">
      <c r="DC6208"/>
      <c r="FH6208"/>
      <c r="FI6208"/>
      <c r="FJ6208"/>
      <c r="FK6208"/>
      <c r="FL6208"/>
      <c r="FM6208"/>
      <c r="FN6208"/>
      <c r="FO6208"/>
      <c r="FP6208"/>
      <c r="FQ6208"/>
      <c r="FR6208"/>
      <c r="FS6208"/>
      <c r="FT6208"/>
      <c r="FU6208"/>
      <c r="FV6208"/>
      <c r="FW6208"/>
      <c r="FX6208"/>
      <c r="FY6208"/>
      <c r="FZ6208"/>
      <c r="GA6208"/>
      <c r="GB6208"/>
      <c r="GC6208"/>
      <c r="GD6208"/>
      <c r="GE6208"/>
      <c r="GF6208"/>
      <c r="GG6208"/>
      <c r="GH6208"/>
      <c r="GI6208"/>
      <c r="GJ6208"/>
      <c r="GK6208"/>
      <c r="GL6208"/>
      <c r="GM6208"/>
      <c r="GN6208"/>
      <c r="GO6208"/>
    </row>
    <row r="6209" spans="107:197">
      <c r="DC6209"/>
      <c r="FH6209"/>
      <c r="FI6209"/>
      <c r="FJ6209"/>
      <c r="FK6209"/>
      <c r="FL6209"/>
      <c r="FM6209"/>
      <c r="FN6209"/>
      <c r="FO6209"/>
      <c r="FP6209"/>
      <c r="FQ6209"/>
      <c r="FR6209"/>
      <c r="FS6209"/>
      <c r="FT6209"/>
      <c r="FU6209"/>
      <c r="FV6209"/>
      <c r="FW6209"/>
      <c r="FX6209"/>
      <c r="FY6209"/>
      <c r="FZ6209"/>
      <c r="GA6209"/>
      <c r="GB6209"/>
      <c r="GC6209"/>
      <c r="GD6209"/>
      <c r="GE6209"/>
      <c r="GF6209"/>
      <c r="GG6209"/>
      <c r="GH6209"/>
      <c r="GI6209"/>
      <c r="GJ6209"/>
      <c r="GK6209"/>
      <c r="GL6209"/>
      <c r="GM6209"/>
      <c r="GN6209"/>
      <c r="GO6209"/>
    </row>
    <row r="6210" spans="107:197">
      <c r="DC6210"/>
      <c r="FH6210"/>
      <c r="FI6210"/>
      <c r="FJ6210"/>
      <c r="FK6210"/>
      <c r="FL6210"/>
      <c r="FM6210"/>
      <c r="FN6210"/>
      <c r="FO6210"/>
      <c r="FP6210"/>
      <c r="FQ6210"/>
      <c r="FR6210"/>
      <c r="FS6210"/>
      <c r="FT6210"/>
      <c r="FU6210"/>
      <c r="FV6210"/>
      <c r="FW6210"/>
      <c r="FX6210"/>
      <c r="FY6210"/>
      <c r="FZ6210"/>
      <c r="GA6210"/>
      <c r="GB6210"/>
      <c r="GC6210"/>
      <c r="GD6210"/>
      <c r="GE6210"/>
      <c r="GF6210"/>
      <c r="GG6210"/>
      <c r="GH6210"/>
      <c r="GI6210"/>
      <c r="GJ6210"/>
      <c r="GK6210"/>
      <c r="GL6210"/>
      <c r="GM6210"/>
      <c r="GN6210"/>
      <c r="GO6210"/>
    </row>
    <row r="6211" spans="107:197">
      <c r="DC6211"/>
      <c r="FH6211"/>
      <c r="FI6211"/>
      <c r="FJ6211"/>
      <c r="FK6211"/>
      <c r="FL6211"/>
      <c r="FM6211"/>
      <c r="FN6211"/>
      <c r="FO6211"/>
      <c r="FP6211"/>
      <c r="FQ6211"/>
      <c r="FR6211"/>
      <c r="FS6211"/>
      <c r="FT6211"/>
      <c r="FU6211"/>
      <c r="FV6211"/>
      <c r="FW6211"/>
      <c r="FX6211"/>
      <c r="FY6211"/>
      <c r="FZ6211"/>
      <c r="GA6211"/>
      <c r="GB6211"/>
      <c r="GC6211"/>
      <c r="GD6211"/>
      <c r="GE6211"/>
      <c r="GF6211"/>
      <c r="GG6211"/>
      <c r="GH6211"/>
      <c r="GI6211"/>
      <c r="GJ6211"/>
      <c r="GK6211"/>
      <c r="GL6211"/>
      <c r="GM6211"/>
      <c r="GN6211"/>
      <c r="GO6211"/>
    </row>
    <row r="6212" spans="107:197">
      <c r="DC6212"/>
      <c r="FH6212"/>
      <c r="FI6212"/>
      <c r="FJ6212"/>
      <c r="FK6212"/>
      <c r="FL6212"/>
      <c r="FM6212"/>
      <c r="FN6212"/>
      <c r="FO6212"/>
      <c r="FP6212"/>
      <c r="FQ6212"/>
      <c r="FR6212"/>
      <c r="FS6212"/>
      <c r="FT6212"/>
      <c r="FU6212"/>
      <c r="FV6212"/>
      <c r="FW6212"/>
      <c r="FX6212"/>
      <c r="FY6212"/>
      <c r="FZ6212"/>
      <c r="GA6212"/>
      <c r="GB6212"/>
      <c r="GC6212"/>
      <c r="GD6212"/>
      <c r="GE6212"/>
      <c r="GF6212"/>
      <c r="GG6212"/>
      <c r="GH6212"/>
      <c r="GI6212"/>
      <c r="GJ6212"/>
      <c r="GK6212"/>
      <c r="GL6212"/>
      <c r="GM6212"/>
      <c r="GN6212"/>
      <c r="GO6212"/>
    </row>
    <row r="6213" spans="107:197">
      <c r="DC6213"/>
      <c r="FH6213"/>
      <c r="FI6213"/>
      <c r="FJ6213"/>
      <c r="FK6213"/>
      <c r="FL6213"/>
      <c r="FM6213"/>
      <c r="FN6213"/>
      <c r="FO6213"/>
      <c r="FP6213"/>
      <c r="FQ6213"/>
      <c r="FR6213"/>
      <c r="FS6213"/>
      <c r="FT6213"/>
      <c r="FU6213"/>
      <c r="FV6213"/>
      <c r="FW6213"/>
      <c r="FX6213"/>
      <c r="FY6213"/>
      <c r="FZ6213"/>
      <c r="GA6213"/>
      <c r="GB6213"/>
      <c r="GC6213"/>
      <c r="GD6213"/>
      <c r="GE6213"/>
      <c r="GF6213"/>
      <c r="GG6213"/>
      <c r="GH6213"/>
      <c r="GI6213"/>
      <c r="GJ6213"/>
      <c r="GK6213"/>
      <c r="GL6213"/>
      <c r="GM6213"/>
      <c r="GN6213"/>
      <c r="GO6213"/>
    </row>
    <row r="6214" spans="107:197">
      <c r="DC6214"/>
      <c r="FH6214"/>
      <c r="FI6214"/>
      <c r="FJ6214"/>
      <c r="FK6214"/>
      <c r="FL6214"/>
      <c r="FM6214"/>
      <c r="FN6214"/>
      <c r="FO6214"/>
      <c r="FP6214"/>
      <c r="FQ6214"/>
      <c r="FR6214"/>
      <c r="FS6214"/>
      <c r="FT6214"/>
      <c r="FU6214"/>
      <c r="FV6214"/>
      <c r="FW6214"/>
      <c r="FX6214"/>
      <c r="FY6214"/>
      <c r="FZ6214"/>
      <c r="GA6214"/>
      <c r="GB6214"/>
      <c r="GC6214"/>
      <c r="GD6214"/>
      <c r="GE6214"/>
      <c r="GF6214"/>
      <c r="GG6214"/>
      <c r="GH6214"/>
      <c r="GI6214"/>
      <c r="GJ6214"/>
      <c r="GK6214"/>
      <c r="GL6214"/>
      <c r="GM6214"/>
      <c r="GN6214"/>
      <c r="GO6214"/>
    </row>
    <row r="6215" spans="107:197">
      <c r="DC6215"/>
      <c r="FH6215"/>
      <c r="FI6215"/>
      <c r="FJ6215"/>
      <c r="FK6215"/>
      <c r="FL6215"/>
      <c r="FM6215"/>
      <c r="FN6215"/>
      <c r="FO6215"/>
      <c r="FP6215"/>
      <c r="FQ6215"/>
      <c r="FR6215"/>
      <c r="FS6215"/>
      <c r="FT6215"/>
      <c r="FU6215"/>
      <c r="FV6215"/>
      <c r="FW6215"/>
      <c r="FX6215"/>
      <c r="FY6215"/>
      <c r="FZ6215"/>
      <c r="GA6215"/>
      <c r="GB6215"/>
      <c r="GC6215"/>
      <c r="GD6215"/>
      <c r="GE6215"/>
      <c r="GF6215"/>
      <c r="GG6215"/>
      <c r="GH6215"/>
      <c r="GI6215"/>
      <c r="GJ6215"/>
      <c r="GK6215"/>
      <c r="GL6215"/>
      <c r="GM6215"/>
      <c r="GN6215"/>
      <c r="GO6215"/>
    </row>
    <row r="6216" spans="107:197">
      <c r="DC6216"/>
      <c r="FH6216"/>
      <c r="FI6216"/>
      <c r="FJ6216"/>
      <c r="FK6216"/>
      <c r="FL6216"/>
      <c r="FM6216"/>
      <c r="FN6216"/>
      <c r="FO6216"/>
      <c r="FP6216"/>
      <c r="FQ6216"/>
      <c r="FR6216"/>
      <c r="FS6216"/>
      <c r="FT6216"/>
      <c r="FU6216"/>
      <c r="FV6216"/>
      <c r="FW6216"/>
      <c r="FX6216"/>
      <c r="FY6216"/>
      <c r="FZ6216"/>
      <c r="GA6216"/>
      <c r="GB6216"/>
      <c r="GC6216"/>
      <c r="GD6216"/>
      <c r="GE6216"/>
      <c r="GF6216"/>
      <c r="GG6216"/>
      <c r="GH6216"/>
      <c r="GI6216"/>
      <c r="GJ6216"/>
      <c r="GK6216"/>
      <c r="GL6216"/>
      <c r="GM6216"/>
      <c r="GN6216"/>
      <c r="GO6216"/>
    </row>
    <row r="6217" spans="107:197">
      <c r="DC6217"/>
      <c r="FH6217"/>
      <c r="FI6217"/>
      <c r="FJ6217"/>
      <c r="FK6217"/>
      <c r="FL6217"/>
      <c r="FM6217"/>
      <c r="FN6217"/>
      <c r="FO6217"/>
      <c r="FP6217"/>
      <c r="FQ6217"/>
      <c r="FR6217"/>
      <c r="FS6217"/>
      <c r="FT6217"/>
      <c r="FU6217"/>
      <c r="FV6217"/>
      <c r="FW6217"/>
      <c r="FX6217"/>
      <c r="FY6217"/>
      <c r="FZ6217"/>
      <c r="GA6217"/>
      <c r="GB6217"/>
      <c r="GC6217"/>
      <c r="GD6217"/>
      <c r="GE6217"/>
      <c r="GF6217"/>
      <c r="GG6217"/>
      <c r="GH6217"/>
      <c r="GI6217"/>
      <c r="GJ6217"/>
      <c r="GK6217"/>
      <c r="GL6217"/>
      <c r="GM6217"/>
      <c r="GN6217"/>
      <c r="GO6217"/>
    </row>
    <row r="6218" spans="107:197">
      <c r="DC6218"/>
      <c r="FH6218"/>
      <c r="FI6218"/>
      <c r="FJ6218"/>
      <c r="FK6218"/>
      <c r="FL6218"/>
      <c r="FM6218"/>
      <c r="FN6218"/>
      <c r="FO6218"/>
      <c r="FP6218"/>
      <c r="FQ6218"/>
      <c r="FR6218"/>
      <c r="FS6218"/>
      <c r="FT6218"/>
      <c r="FU6218"/>
      <c r="FV6218"/>
      <c r="FW6218"/>
      <c r="FX6218"/>
      <c r="FY6218"/>
      <c r="FZ6218"/>
      <c r="GA6218"/>
      <c r="GB6218"/>
      <c r="GC6218"/>
      <c r="GD6218"/>
      <c r="GE6218"/>
      <c r="GF6218"/>
      <c r="GG6218"/>
      <c r="GH6218"/>
      <c r="GI6218"/>
      <c r="GJ6218"/>
      <c r="GK6218"/>
      <c r="GL6218"/>
      <c r="GM6218"/>
      <c r="GN6218"/>
      <c r="GO6218"/>
    </row>
    <row r="6219" spans="107:197">
      <c r="DC6219"/>
      <c r="FH6219"/>
      <c r="FI6219"/>
      <c r="FJ6219"/>
      <c r="FK6219"/>
      <c r="FL6219"/>
      <c r="FM6219"/>
      <c r="FN6219"/>
      <c r="FO6219"/>
      <c r="FP6219"/>
      <c r="FQ6219"/>
      <c r="FR6219"/>
      <c r="FS6219"/>
      <c r="FT6219"/>
      <c r="FU6219"/>
      <c r="FV6219"/>
      <c r="FW6219"/>
      <c r="FX6219"/>
      <c r="FY6219"/>
      <c r="FZ6219"/>
      <c r="GA6219"/>
      <c r="GB6219"/>
      <c r="GC6219"/>
      <c r="GD6219"/>
      <c r="GE6219"/>
      <c r="GF6219"/>
      <c r="GG6219"/>
      <c r="GH6219"/>
      <c r="GI6219"/>
      <c r="GJ6219"/>
      <c r="GK6219"/>
      <c r="GL6219"/>
      <c r="GM6219"/>
      <c r="GN6219"/>
      <c r="GO6219"/>
    </row>
    <row r="6220" spans="107:197">
      <c r="DC6220"/>
      <c r="FH6220"/>
      <c r="FI6220"/>
      <c r="FJ6220"/>
      <c r="FK6220"/>
      <c r="FL6220"/>
      <c r="FM6220"/>
      <c r="FN6220"/>
      <c r="FO6220"/>
      <c r="FP6220"/>
      <c r="FQ6220"/>
      <c r="FR6220"/>
      <c r="FS6220"/>
      <c r="FT6220"/>
      <c r="FU6220"/>
      <c r="FV6220"/>
      <c r="FW6220"/>
      <c r="FX6220"/>
      <c r="FY6220"/>
      <c r="FZ6220"/>
      <c r="GA6220"/>
      <c r="GB6220"/>
      <c r="GC6220"/>
      <c r="GD6220"/>
      <c r="GE6220"/>
      <c r="GF6220"/>
      <c r="GG6220"/>
      <c r="GH6220"/>
      <c r="GI6220"/>
      <c r="GJ6220"/>
      <c r="GK6220"/>
      <c r="GL6220"/>
      <c r="GM6220"/>
      <c r="GN6220"/>
      <c r="GO6220"/>
    </row>
    <row r="6221" spans="107:197">
      <c r="DC6221"/>
      <c r="FH6221"/>
      <c r="FI6221"/>
      <c r="FJ6221"/>
      <c r="FK6221"/>
      <c r="FL6221"/>
      <c r="FM6221"/>
      <c r="FN6221"/>
      <c r="FO6221"/>
      <c r="FP6221"/>
      <c r="FQ6221"/>
      <c r="FR6221"/>
      <c r="FS6221"/>
      <c r="FT6221"/>
      <c r="FU6221"/>
      <c r="FV6221"/>
      <c r="FW6221"/>
      <c r="FX6221"/>
      <c r="FY6221"/>
      <c r="FZ6221"/>
      <c r="GA6221"/>
      <c r="GB6221"/>
      <c r="GC6221"/>
      <c r="GD6221"/>
      <c r="GE6221"/>
      <c r="GF6221"/>
      <c r="GG6221"/>
      <c r="GH6221"/>
      <c r="GI6221"/>
      <c r="GJ6221"/>
      <c r="GK6221"/>
      <c r="GL6221"/>
      <c r="GM6221"/>
      <c r="GN6221"/>
      <c r="GO6221"/>
    </row>
    <row r="6222" spans="107:197">
      <c r="DC6222"/>
      <c r="FH6222"/>
      <c r="FI6222"/>
      <c r="FJ6222"/>
      <c r="FK6222"/>
      <c r="FL6222"/>
      <c r="FM6222"/>
      <c r="FN6222"/>
      <c r="FO6222"/>
      <c r="FP6222"/>
      <c r="FQ6222"/>
      <c r="FR6222"/>
      <c r="FS6222"/>
      <c r="FT6222"/>
      <c r="FU6222"/>
      <c r="FV6222"/>
      <c r="FW6222"/>
      <c r="FX6222"/>
      <c r="FY6222"/>
      <c r="FZ6222"/>
      <c r="GA6222"/>
      <c r="GB6222"/>
      <c r="GC6222"/>
      <c r="GD6222"/>
      <c r="GE6222"/>
      <c r="GF6222"/>
      <c r="GG6222"/>
      <c r="GH6222"/>
      <c r="GI6222"/>
      <c r="GJ6222"/>
      <c r="GK6222"/>
      <c r="GL6222"/>
      <c r="GM6222"/>
      <c r="GN6222"/>
      <c r="GO6222"/>
    </row>
    <row r="6223" spans="107:197">
      <c r="DC6223"/>
      <c r="FH6223"/>
      <c r="FI6223"/>
      <c r="FJ6223"/>
      <c r="FK6223"/>
      <c r="FL6223"/>
      <c r="FM6223"/>
      <c r="FN6223"/>
      <c r="FO6223"/>
      <c r="FP6223"/>
      <c r="FQ6223"/>
      <c r="FR6223"/>
      <c r="FS6223"/>
      <c r="FT6223"/>
      <c r="FU6223"/>
      <c r="FV6223"/>
      <c r="FW6223"/>
      <c r="FX6223"/>
      <c r="FY6223"/>
      <c r="FZ6223"/>
      <c r="GA6223"/>
      <c r="GB6223"/>
      <c r="GC6223"/>
      <c r="GD6223"/>
      <c r="GE6223"/>
      <c r="GF6223"/>
      <c r="GG6223"/>
      <c r="GH6223"/>
      <c r="GI6223"/>
      <c r="GJ6223"/>
      <c r="GK6223"/>
      <c r="GL6223"/>
      <c r="GM6223"/>
      <c r="GN6223"/>
      <c r="GO6223"/>
    </row>
    <row r="6224" spans="107:197">
      <c r="DC6224"/>
      <c r="FH6224"/>
      <c r="FI6224"/>
      <c r="FJ6224"/>
      <c r="FK6224"/>
      <c r="FL6224"/>
      <c r="FM6224"/>
      <c r="FN6224"/>
      <c r="FO6224"/>
      <c r="FP6224"/>
      <c r="FQ6224"/>
      <c r="FR6224"/>
      <c r="FS6224"/>
      <c r="FT6224"/>
      <c r="FU6224"/>
      <c r="FV6224"/>
      <c r="FW6224"/>
      <c r="FX6224"/>
      <c r="FY6224"/>
      <c r="FZ6224"/>
      <c r="GA6224"/>
      <c r="GB6224"/>
      <c r="GC6224"/>
      <c r="GD6224"/>
      <c r="GE6224"/>
      <c r="GF6224"/>
      <c r="GG6224"/>
      <c r="GH6224"/>
      <c r="GI6224"/>
      <c r="GJ6224"/>
      <c r="GK6224"/>
      <c r="GL6224"/>
      <c r="GM6224"/>
      <c r="GN6224"/>
      <c r="GO6224"/>
    </row>
    <row r="6225" spans="107:197">
      <c r="DC6225"/>
      <c r="FH6225"/>
      <c r="FI6225"/>
      <c r="FJ6225"/>
      <c r="FK6225"/>
      <c r="FL6225"/>
      <c r="FM6225"/>
      <c r="FN6225"/>
      <c r="FO6225"/>
      <c r="FP6225"/>
      <c r="FQ6225"/>
      <c r="FR6225"/>
      <c r="FS6225"/>
      <c r="FT6225"/>
      <c r="FU6225"/>
      <c r="FV6225"/>
      <c r="FW6225"/>
      <c r="FX6225"/>
      <c r="FY6225"/>
      <c r="FZ6225"/>
      <c r="GA6225"/>
      <c r="GB6225"/>
      <c r="GC6225"/>
      <c r="GD6225"/>
      <c r="GE6225"/>
      <c r="GF6225"/>
      <c r="GG6225"/>
      <c r="GH6225"/>
      <c r="GI6225"/>
      <c r="GJ6225"/>
      <c r="GK6225"/>
      <c r="GL6225"/>
      <c r="GM6225"/>
      <c r="GN6225"/>
      <c r="GO6225"/>
    </row>
    <row r="6226" spans="107:197">
      <c r="DC6226"/>
      <c r="FH6226"/>
      <c r="FI6226"/>
      <c r="FJ6226"/>
      <c r="FK6226"/>
      <c r="FL6226"/>
      <c r="FM6226"/>
      <c r="FN6226"/>
      <c r="FO6226"/>
      <c r="FP6226"/>
      <c r="FQ6226"/>
      <c r="FR6226"/>
      <c r="FS6226"/>
      <c r="FT6226"/>
      <c r="FU6226"/>
      <c r="FV6226"/>
      <c r="FW6226"/>
      <c r="FX6226"/>
      <c r="FY6226"/>
      <c r="FZ6226"/>
      <c r="GA6226"/>
      <c r="GB6226"/>
      <c r="GC6226"/>
      <c r="GD6226"/>
      <c r="GE6226"/>
      <c r="GF6226"/>
      <c r="GG6226"/>
      <c r="GH6226"/>
      <c r="GI6226"/>
      <c r="GJ6226"/>
      <c r="GK6226"/>
      <c r="GL6226"/>
      <c r="GM6226"/>
      <c r="GN6226"/>
      <c r="GO6226"/>
    </row>
    <row r="6227" spans="107:197">
      <c r="DC6227"/>
      <c r="FH6227"/>
      <c r="FI6227"/>
      <c r="FJ6227"/>
      <c r="FK6227"/>
      <c r="FL6227"/>
      <c r="FM6227"/>
      <c r="FN6227"/>
      <c r="FO6227"/>
      <c r="FP6227"/>
      <c r="FQ6227"/>
      <c r="FR6227"/>
      <c r="FS6227"/>
      <c r="FT6227"/>
      <c r="FU6227"/>
      <c r="FV6227"/>
      <c r="FW6227"/>
      <c r="FX6227"/>
      <c r="FY6227"/>
      <c r="FZ6227"/>
      <c r="GA6227"/>
      <c r="GB6227"/>
      <c r="GC6227"/>
      <c r="GD6227"/>
      <c r="GE6227"/>
      <c r="GF6227"/>
      <c r="GG6227"/>
      <c r="GH6227"/>
      <c r="GI6227"/>
      <c r="GJ6227"/>
      <c r="GK6227"/>
      <c r="GL6227"/>
      <c r="GM6227"/>
      <c r="GN6227"/>
      <c r="GO6227"/>
    </row>
    <row r="6228" spans="107:197">
      <c r="DC6228"/>
      <c r="FH6228"/>
      <c r="FI6228"/>
      <c r="FJ6228"/>
      <c r="FK6228"/>
      <c r="FL6228"/>
      <c r="FM6228"/>
      <c r="FN6228"/>
      <c r="FO6228"/>
      <c r="FP6228"/>
      <c r="FQ6228"/>
      <c r="FR6228"/>
      <c r="FS6228"/>
      <c r="FT6228"/>
      <c r="FU6228"/>
      <c r="FV6228"/>
      <c r="FW6228"/>
      <c r="FX6228"/>
      <c r="FY6228"/>
      <c r="FZ6228"/>
      <c r="GA6228"/>
      <c r="GB6228"/>
      <c r="GC6228"/>
      <c r="GD6228"/>
      <c r="GE6228"/>
      <c r="GF6228"/>
      <c r="GG6228"/>
      <c r="GH6228"/>
      <c r="GI6228"/>
      <c r="GJ6228"/>
      <c r="GK6228"/>
      <c r="GL6228"/>
      <c r="GM6228"/>
      <c r="GN6228"/>
      <c r="GO6228"/>
    </row>
    <row r="6229" spans="107:197">
      <c r="DC6229"/>
      <c r="FH6229"/>
      <c r="FI6229"/>
      <c r="FJ6229"/>
      <c r="FK6229"/>
      <c r="FL6229"/>
      <c r="FM6229"/>
      <c r="FN6229"/>
      <c r="FO6229"/>
      <c r="FP6229"/>
      <c r="FQ6229"/>
      <c r="FR6229"/>
      <c r="FS6229"/>
      <c r="FT6229"/>
      <c r="FU6229"/>
      <c r="FV6229"/>
      <c r="FW6229"/>
      <c r="FX6229"/>
      <c r="FY6229"/>
      <c r="FZ6229"/>
      <c r="GA6229"/>
      <c r="GB6229"/>
      <c r="GC6229"/>
      <c r="GD6229"/>
      <c r="GE6229"/>
      <c r="GF6229"/>
      <c r="GG6229"/>
      <c r="GH6229"/>
      <c r="GI6229"/>
      <c r="GJ6229"/>
      <c r="GK6229"/>
      <c r="GL6229"/>
      <c r="GM6229"/>
      <c r="GN6229"/>
      <c r="GO6229"/>
    </row>
    <row r="6230" spans="107:197">
      <c r="DC6230"/>
      <c r="FH6230"/>
      <c r="FI6230"/>
      <c r="FJ6230"/>
      <c r="FK6230"/>
      <c r="FL6230"/>
      <c r="FM6230"/>
      <c r="FN6230"/>
      <c r="FO6230"/>
      <c r="FP6230"/>
      <c r="FQ6230"/>
      <c r="FR6230"/>
      <c r="FS6230"/>
      <c r="FT6230"/>
      <c r="FU6230"/>
      <c r="FV6230"/>
      <c r="FW6230"/>
      <c r="FX6230"/>
      <c r="FY6230"/>
      <c r="FZ6230"/>
      <c r="GA6230"/>
      <c r="GB6230"/>
      <c r="GC6230"/>
      <c r="GD6230"/>
      <c r="GE6230"/>
      <c r="GF6230"/>
      <c r="GG6230"/>
      <c r="GH6230"/>
      <c r="GI6230"/>
      <c r="GJ6230"/>
      <c r="GK6230"/>
      <c r="GL6230"/>
      <c r="GM6230"/>
      <c r="GN6230"/>
      <c r="GO6230"/>
    </row>
    <row r="6231" spans="107:197">
      <c r="DC6231"/>
      <c r="FH6231"/>
      <c r="FI6231"/>
      <c r="FJ6231"/>
      <c r="FK6231"/>
      <c r="FL6231"/>
      <c r="FM6231"/>
      <c r="FN6231"/>
      <c r="FO6231"/>
      <c r="FP6231"/>
      <c r="FQ6231"/>
      <c r="FR6231"/>
      <c r="FS6231"/>
      <c r="FT6231"/>
      <c r="FU6231"/>
      <c r="FV6231"/>
      <c r="FW6231"/>
      <c r="FX6231"/>
      <c r="FY6231"/>
      <c r="FZ6231"/>
      <c r="GA6231"/>
      <c r="GB6231"/>
      <c r="GC6231"/>
      <c r="GD6231"/>
      <c r="GE6231"/>
      <c r="GF6231"/>
      <c r="GG6231"/>
      <c r="GH6231"/>
      <c r="GI6231"/>
      <c r="GJ6231"/>
      <c r="GK6231"/>
      <c r="GL6231"/>
      <c r="GM6231"/>
      <c r="GN6231"/>
      <c r="GO6231"/>
    </row>
    <row r="6232" spans="107:197">
      <c r="DC6232"/>
      <c r="FH6232"/>
      <c r="FI6232"/>
      <c r="FJ6232"/>
      <c r="FK6232"/>
      <c r="FL6232"/>
      <c r="FM6232"/>
      <c r="FN6232"/>
      <c r="FO6232"/>
      <c r="FP6232"/>
      <c r="FQ6232"/>
      <c r="FR6232"/>
      <c r="FS6232"/>
      <c r="FT6232"/>
      <c r="FU6232"/>
      <c r="FV6232"/>
      <c r="FW6232"/>
      <c r="FX6232"/>
      <c r="FY6232"/>
      <c r="FZ6232"/>
      <c r="GA6232"/>
      <c r="GB6232"/>
      <c r="GC6232"/>
      <c r="GD6232"/>
      <c r="GE6232"/>
      <c r="GF6232"/>
      <c r="GG6232"/>
      <c r="GH6232"/>
      <c r="GI6232"/>
      <c r="GJ6232"/>
      <c r="GK6232"/>
      <c r="GL6232"/>
      <c r="GM6232"/>
      <c r="GN6232"/>
      <c r="GO6232"/>
    </row>
    <row r="6233" spans="107:197">
      <c r="DC6233"/>
      <c r="FH6233"/>
      <c r="FI6233"/>
      <c r="FJ6233"/>
      <c r="FK6233"/>
      <c r="FL6233"/>
      <c r="FM6233"/>
      <c r="FN6233"/>
      <c r="FO6233"/>
      <c r="FP6233"/>
      <c r="FQ6233"/>
      <c r="FR6233"/>
      <c r="FS6233"/>
      <c r="FT6233"/>
      <c r="FU6233"/>
      <c r="FV6233"/>
      <c r="FW6233"/>
      <c r="FX6233"/>
      <c r="FY6233"/>
      <c r="FZ6233"/>
      <c r="GA6233"/>
      <c r="GB6233"/>
      <c r="GC6233"/>
      <c r="GD6233"/>
      <c r="GE6233"/>
      <c r="GF6233"/>
      <c r="GG6233"/>
      <c r="GH6233"/>
      <c r="GI6233"/>
      <c r="GJ6233"/>
      <c r="GK6233"/>
      <c r="GL6233"/>
      <c r="GM6233"/>
      <c r="GN6233"/>
      <c r="GO6233"/>
    </row>
    <row r="6234" spans="107:197">
      <c r="DC6234"/>
      <c r="FH6234"/>
      <c r="FI6234"/>
      <c r="FJ6234"/>
      <c r="FK6234"/>
      <c r="FL6234"/>
      <c r="FM6234"/>
      <c r="FN6234"/>
      <c r="FO6234"/>
      <c r="FP6234"/>
      <c r="FQ6234"/>
      <c r="FR6234"/>
      <c r="FS6234"/>
      <c r="FT6234"/>
      <c r="FU6234"/>
      <c r="FV6234"/>
      <c r="FW6234"/>
      <c r="FX6234"/>
      <c r="FY6234"/>
      <c r="FZ6234"/>
      <c r="GA6234"/>
      <c r="GB6234"/>
      <c r="GC6234"/>
      <c r="GD6234"/>
      <c r="GE6234"/>
      <c r="GF6234"/>
      <c r="GG6234"/>
      <c r="GH6234"/>
      <c r="GI6234"/>
      <c r="GJ6234"/>
      <c r="GK6234"/>
      <c r="GL6234"/>
      <c r="GM6234"/>
      <c r="GN6234"/>
      <c r="GO6234"/>
    </row>
    <row r="6235" spans="107:197">
      <c r="DC6235"/>
      <c r="FH6235"/>
      <c r="FI6235"/>
      <c r="FJ6235"/>
      <c r="FK6235"/>
      <c r="FL6235"/>
      <c r="FM6235"/>
      <c r="FN6235"/>
      <c r="FO6235"/>
      <c r="FP6235"/>
      <c r="FQ6235"/>
      <c r="FR6235"/>
      <c r="FS6235"/>
      <c r="FT6235"/>
      <c r="FU6235"/>
      <c r="FV6235"/>
      <c r="FW6235"/>
      <c r="FX6235"/>
      <c r="FY6235"/>
      <c r="FZ6235"/>
      <c r="GA6235"/>
      <c r="GB6235"/>
      <c r="GC6235"/>
      <c r="GD6235"/>
      <c r="GE6235"/>
      <c r="GF6235"/>
      <c r="GG6235"/>
      <c r="GH6235"/>
      <c r="GI6235"/>
      <c r="GJ6235"/>
      <c r="GK6235"/>
      <c r="GL6235"/>
      <c r="GM6235"/>
      <c r="GN6235"/>
      <c r="GO6235"/>
    </row>
    <row r="6236" spans="107:197">
      <c r="DC6236"/>
      <c r="FH6236"/>
      <c r="FI6236"/>
      <c r="FJ6236"/>
      <c r="FK6236"/>
      <c r="FL6236"/>
      <c r="FM6236"/>
      <c r="FN6236"/>
      <c r="FO6236"/>
      <c r="FP6236"/>
      <c r="FQ6236"/>
      <c r="FR6236"/>
      <c r="FS6236"/>
      <c r="FT6236"/>
      <c r="FU6236"/>
      <c r="FV6236"/>
      <c r="FW6236"/>
      <c r="FX6236"/>
      <c r="FY6236"/>
      <c r="FZ6236"/>
      <c r="GA6236"/>
      <c r="GB6236"/>
      <c r="GC6236"/>
      <c r="GD6236"/>
      <c r="GE6236"/>
      <c r="GF6236"/>
      <c r="GG6236"/>
      <c r="GH6236"/>
      <c r="GI6236"/>
      <c r="GJ6236"/>
      <c r="GK6236"/>
      <c r="GL6236"/>
      <c r="GM6236"/>
      <c r="GN6236"/>
      <c r="GO6236"/>
    </row>
    <row r="6237" spans="107:197">
      <c r="DC6237"/>
      <c r="FH6237"/>
      <c r="FI6237"/>
      <c r="FJ6237"/>
      <c r="FK6237"/>
      <c r="FL6237"/>
      <c r="FM6237"/>
      <c r="FN6237"/>
      <c r="FO6237"/>
      <c r="FP6237"/>
      <c r="FQ6237"/>
      <c r="FR6237"/>
      <c r="FS6237"/>
      <c r="FT6237"/>
      <c r="FU6237"/>
      <c r="FV6237"/>
      <c r="FW6237"/>
      <c r="FX6237"/>
      <c r="FY6237"/>
      <c r="FZ6237"/>
      <c r="GA6237"/>
      <c r="GB6237"/>
      <c r="GC6237"/>
      <c r="GD6237"/>
      <c r="GE6237"/>
      <c r="GF6237"/>
      <c r="GG6237"/>
      <c r="GH6237"/>
      <c r="GI6237"/>
      <c r="GJ6237"/>
      <c r="GK6237"/>
      <c r="GL6237"/>
      <c r="GM6237"/>
      <c r="GN6237"/>
      <c r="GO6237"/>
    </row>
    <row r="6238" spans="107:197">
      <c r="DC6238"/>
      <c r="FH6238"/>
      <c r="FI6238"/>
      <c r="FJ6238"/>
      <c r="FK6238"/>
      <c r="FL6238"/>
      <c r="FM6238"/>
      <c r="FN6238"/>
      <c r="FO6238"/>
      <c r="FP6238"/>
      <c r="FQ6238"/>
      <c r="FR6238"/>
      <c r="FS6238"/>
      <c r="FT6238"/>
      <c r="FU6238"/>
      <c r="FV6238"/>
      <c r="FW6238"/>
      <c r="FX6238"/>
      <c r="FY6238"/>
      <c r="FZ6238"/>
      <c r="GA6238"/>
      <c r="GB6238"/>
      <c r="GC6238"/>
      <c r="GD6238"/>
      <c r="GE6238"/>
      <c r="GF6238"/>
      <c r="GG6238"/>
      <c r="GH6238"/>
      <c r="GI6238"/>
      <c r="GJ6238"/>
      <c r="GK6238"/>
      <c r="GL6238"/>
      <c r="GM6238"/>
      <c r="GN6238"/>
      <c r="GO6238"/>
    </row>
    <row r="6239" spans="107:197">
      <c r="DC6239"/>
      <c r="FH6239"/>
      <c r="FI6239"/>
      <c r="FJ6239"/>
      <c r="FK6239"/>
      <c r="FL6239"/>
      <c r="FM6239"/>
      <c r="FN6239"/>
      <c r="FO6239"/>
      <c r="FP6239"/>
      <c r="FQ6239"/>
      <c r="FR6239"/>
      <c r="FS6239"/>
      <c r="FT6239"/>
      <c r="FU6239"/>
      <c r="FV6239"/>
      <c r="FW6239"/>
      <c r="FX6239"/>
      <c r="FY6239"/>
      <c r="FZ6239"/>
      <c r="GA6239"/>
      <c r="GB6239"/>
      <c r="GC6239"/>
      <c r="GD6239"/>
      <c r="GE6239"/>
      <c r="GF6239"/>
      <c r="GG6239"/>
      <c r="GH6239"/>
      <c r="GI6239"/>
      <c r="GJ6239"/>
      <c r="GK6239"/>
      <c r="GL6239"/>
      <c r="GM6239"/>
      <c r="GN6239"/>
      <c r="GO6239"/>
    </row>
    <row r="6240" spans="107:197">
      <c r="DC6240"/>
      <c r="FH6240"/>
      <c r="FI6240"/>
      <c r="FJ6240"/>
      <c r="FK6240"/>
      <c r="FL6240"/>
      <c r="FM6240"/>
      <c r="FN6240"/>
      <c r="FO6240"/>
      <c r="FP6240"/>
      <c r="FQ6240"/>
      <c r="FR6240"/>
      <c r="FS6240"/>
      <c r="FT6240"/>
      <c r="FU6240"/>
      <c r="FV6240"/>
      <c r="FW6240"/>
      <c r="FX6240"/>
      <c r="FY6240"/>
      <c r="FZ6240"/>
      <c r="GA6240"/>
      <c r="GB6240"/>
      <c r="GC6240"/>
      <c r="GD6240"/>
      <c r="GE6240"/>
      <c r="GF6240"/>
      <c r="GG6240"/>
      <c r="GH6240"/>
      <c r="GI6240"/>
      <c r="GJ6240"/>
      <c r="GK6240"/>
      <c r="GL6240"/>
      <c r="GM6240"/>
      <c r="GN6240"/>
      <c r="GO6240"/>
    </row>
    <row r="6241" spans="107:197">
      <c r="DC6241"/>
      <c r="FH6241"/>
      <c r="FI6241"/>
      <c r="FJ6241"/>
      <c r="FK6241"/>
      <c r="FL6241"/>
      <c r="FM6241"/>
      <c r="FN6241"/>
      <c r="FO6241"/>
      <c r="FP6241"/>
      <c r="FQ6241"/>
      <c r="FR6241"/>
      <c r="FS6241"/>
      <c r="FT6241"/>
      <c r="FU6241"/>
      <c r="FV6241"/>
      <c r="FW6241"/>
      <c r="FX6241"/>
      <c r="FY6241"/>
      <c r="FZ6241"/>
      <c r="GA6241"/>
      <c r="GB6241"/>
      <c r="GC6241"/>
      <c r="GD6241"/>
      <c r="GE6241"/>
      <c r="GF6241"/>
      <c r="GG6241"/>
      <c r="GH6241"/>
      <c r="GI6241"/>
      <c r="GJ6241"/>
      <c r="GK6241"/>
      <c r="GL6241"/>
      <c r="GM6241"/>
      <c r="GN6241"/>
      <c r="GO6241"/>
    </row>
    <row r="6242" spans="107:197">
      <c r="DC6242"/>
      <c r="FH6242"/>
      <c r="FI6242"/>
      <c r="FJ6242"/>
      <c r="FK6242"/>
      <c r="FL6242"/>
      <c r="FM6242"/>
      <c r="FN6242"/>
      <c r="FO6242"/>
      <c r="FP6242"/>
      <c r="FQ6242"/>
      <c r="FR6242"/>
      <c r="FS6242"/>
      <c r="FT6242"/>
      <c r="FU6242"/>
      <c r="FV6242"/>
      <c r="FW6242"/>
      <c r="FX6242"/>
      <c r="FY6242"/>
      <c r="FZ6242"/>
      <c r="GA6242"/>
      <c r="GB6242"/>
      <c r="GC6242"/>
      <c r="GD6242"/>
      <c r="GE6242"/>
      <c r="GF6242"/>
      <c r="GG6242"/>
      <c r="GH6242"/>
      <c r="GI6242"/>
      <c r="GJ6242"/>
      <c r="GK6242"/>
      <c r="GL6242"/>
      <c r="GM6242"/>
      <c r="GN6242"/>
      <c r="GO6242"/>
    </row>
    <row r="6243" spans="107:197">
      <c r="DC6243"/>
      <c r="FH6243"/>
      <c r="FI6243"/>
      <c r="FJ6243"/>
      <c r="FK6243"/>
      <c r="FL6243"/>
      <c r="FM6243"/>
      <c r="FN6243"/>
      <c r="FO6243"/>
      <c r="FP6243"/>
      <c r="FQ6243"/>
      <c r="FR6243"/>
      <c r="FS6243"/>
      <c r="FT6243"/>
      <c r="FU6243"/>
      <c r="FV6243"/>
      <c r="FW6243"/>
      <c r="FX6243"/>
      <c r="FY6243"/>
      <c r="FZ6243"/>
      <c r="GA6243"/>
      <c r="GB6243"/>
      <c r="GC6243"/>
      <c r="GD6243"/>
      <c r="GE6243"/>
      <c r="GF6243"/>
      <c r="GG6243"/>
      <c r="GH6243"/>
      <c r="GI6243"/>
      <c r="GJ6243"/>
      <c r="GK6243"/>
      <c r="GL6243"/>
      <c r="GM6243"/>
      <c r="GN6243"/>
      <c r="GO6243"/>
    </row>
    <row r="6244" spans="107:197">
      <c r="DC6244"/>
      <c r="FH6244"/>
      <c r="FI6244"/>
      <c r="FJ6244"/>
      <c r="FK6244"/>
      <c r="FL6244"/>
      <c r="FM6244"/>
      <c r="FN6244"/>
      <c r="FO6244"/>
      <c r="FP6244"/>
      <c r="FQ6244"/>
      <c r="FR6244"/>
      <c r="FS6244"/>
      <c r="FT6244"/>
      <c r="FU6244"/>
      <c r="FV6244"/>
      <c r="FW6244"/>
      <c r="FX6244"/>
      <c r="FY6244"/>
      <c r="FZ6244"/>
      <c r="GA6244"/>
      <c r="GB6244"/>
      <c r="GC6244"/>
      <c r="GD6244"/>
      <c r="GE6244"/>
      <c r="GF6244"/>
      <c r="GG6244"/>
      <c r="GH6244"/>
      <c r="GI6244"/>
      <c r="GJ6244"/>
      <c r="GK6244"/>
      <c r="GL6244"/>
      <c r="GM6244"/>
      <c r="GN6244"/>
      <c r="GO6244"/>
    </row>
    <row r="6245" spans="107:197">
      <c r="DC6245"/>
      <c r="FH6245"/>
      <c r="FI6245"/>
      <c r="FJ6245"/>
      <c r="FK6245"/>
      <c r="FL6245"/>
      <c r="FM6245"/>
      <c r="FN6245"/>
      <c r="FO6245"/>
      <c r="FP6245"/>
      <c r="FQ6245"/>
      <c r="FR6245"/>
      <c r="FS6245"/>
      <c r="FT6245"/>
      <c r="FU6245"/>
      <c r="FV6245"/>
      <c r="FW6245"/>
      <c r="FX6245"/>
      <c r="FY6245"/>
      <c r="FZ6245"/>
      <c r="GA6245"/>
      <c r="GB6245"/>
      <c r="GC6245"/>
      <c r="GD6245"/>
      <c r="GE6245"/>
      <c r="GF6245"/>
      <c r="GG6245"/>
      <c r="GH6245"/>
      <c r="GI6245"/>
      <c r="GJ6245"/>
      <c r="GK6245"/>
      <c r="GL6245"/>
      <c r="GM6245"/>
      <c r="GN6245"/>
      <c r="GO6245"/>
    </row>
    <row r="6246" spans="107:197">
      <c r="DC6246"/>
      <c r="FH6246"/>
      <c r="FI6246"/>
      <c r="FJ6246"/>
      <c r="FK6246"/>
      <c r="FL6246"/>
      <c r="FM6246"/>
      <c r="FN6246"/>
      <c r="FO6246"/>
      <c r="FP6246"/>
      <c r="FQ6246"/>
      <c r="FR6246"/>
      <c r="FS6246"/>
      <c r="FT6246"/>
      <c r="FU6246"/>
      <c r="FV6246"/>
      <c r="FW6246"/>
      <c r="FX6246"/>
      <c r="FY6246"/>
      <c r="FZ6246"/>
      <c r="GA6246"/>
      <c r="GB6246"/>
      <c r="GC6246"/>
      <c r="GD6246"/>
      <c r="GE6246"/>
      <c r="GF6246"/>
      <c r="GG6246"/>
      <c r="GH6246"/>
      <c r="GI6246"/>
      <c r="GJ6246"/>
      <c r="GK6246"/>
      <c r="GL6246"/>
      <c r="GM6246"/>
      <c r="GN6246"/>
      <c r="GO6246"/>
    </row>
    <row r="6247" spans="107:197">
      <c r="DC6247"/>
      <c r="FH6247"/>
      <c r="FI6247"/>
      <c r="FJ6247"/>
      <c r="FK6247"/>
      <c r="FL6247"/>
      <c r="FM6247"/>
      <c r="FN6247"/>
      <c r="FO6247"/>
      <c r="FP6247"/>
      <c r="FQ6247"/>
      <c r="FR6247"/>
      <c r="FS6247"/>
      <c r="FT6247"/>
      <c r="FU6247"/>
      <c r="FV6247"/>
      <c r="FW6247"/>
      <c r="FX6247"/>
      <c r="FY6247"/>
      <c r="FZ6247"/>
      <c r="GA6247"/>
      <c r="GB6247"/>
      <c r="GC6247"/>
      <c r="GD6247"/>
      <c r="GE6247"/>
      <c r="GF6247"/>
      <c r="GG6247"/>
      <c r="GH6247"/>
      <c r="GI6247"/>
      <c r="GJ6247"/>
      <c r="GK6247"/>
      <c r="GL6247"/>
      <c r="GM6247"/>
      <c r="GN6247"/>
      <c r="GO6247"/>
    </row>
    <row r="6248" spans="107:197">
      <c r="DC6248"/>
      <c r="FH6248"/>
      <c r="FI6248"/>
      <c r="FJ6248"/>
      <c r="FK6248"/>
      <c r="FL6248"/>
      <c r="FM6248"/>
      <c r="FN6248"/>
      <c r="FO6248"/>
      <c r="FP6248"/>
      <c r="FQ6248"/>
      <c r="FR6248"/>
      <c r="FS6248"/>
      <c r="FT6248"/>
      <c r="FU6248"/>
      <c r="FV6248"/>
      <c r="FW6248"/>
      <c r="FX6248"/>
      <c r="FY6248"/>
      <c r="FZ6248"/>
      <c r="GA6248"/>
      <c r="GB6248"/>
      <c r="GC6248"/>
      <c r="GD6248"/>
      <c r="GE6248"/>
      <c r="GF6248"/>
      <c r="GG6248"/>
      <c r="GH6248"/>
      <c r="GI6248"/>
      <c r="GJ6248"/>
      <c r="GK6248"/>
      <c r="GL6248"/>
      <c r="GM6248"/>
      <c r="GN6248"/>
      <c r="GO6248"/>
    </row>
    <row r="6249" spans="107:197">
      <c r="DC6249"/>
      <c r="FH6249"/>
      <c r="FI6249"/>
      <c r="FJ6249"/>
      <c r="FK6249"/>
      <c r="FL6249"/>
      <c r="FM6249"/>
      <c r="FN6249"/>
      <c r="FO6249"/>
      <c r="FP6249"/>
      <c r="FQ6249"/>
      <c r="FR6249"/>
      <c r="FS6249"/>
      <c r="FT6249"/>
      <c r="FU6249"/>
      <c r="FV6249"/>
      <c r="FW6249"/>
      <c r="FX6249"/>
      <c r="FY6249"/>
      <c r="FZ6249"/>
      <c r="GA6249"/>
      <c r="GB6249"/>
      <c r="GC6249"/>
      <c r="GD6249"/>
      <c r="GE6249"/>
      <c r="GF6249"/>
      <c r="GG6249"/>
      <c r="GH6249"/>
      <c r="GI6249"/>
      <c r="GJ6249"/>
      <c r="GK6249"/>
      <c r="GL6249"/>
      <c r="GM6249"/>
      <c r="GN6249"/>
      <c r="GO6249"/>
    </row>
    <row r="6250" spans="107:197">
      <c r="DC6250"/>
      <c r="FH6250"/>
      <c r="FI6250"/>
      <c r="FJ6250"/>
      <c r="FK6250"/>
      <c r="FL6250"/>
      <c r="FM6250"/>
      <c r="FN6250"/>
      <c r="FO6250"/>
      <c r="FP6250"/>
      <c r="FQ6250"/>
      <c r="FR6250"/>
      <c r="FS6250"/>
      <c r="FT6250"/>
      <c r="FU6250"/>
      <c r="FV6250"/>
      <c r="FW6250"/>
      <c r="FX6250"/>
      <c r="FY6250"/>
      <c r="FZ6250"/>
      <c r="GA6250"/>
      <c r="GB6250"/>
      <c r="GC6250"/>
      <c r="GD6250"/>
      <c r="GE6250"/>
      <c r="GF6250"/>
      <c r="GG6250"/>
      <c r="GH6250"/>
      <c r="GI6250"/>
      <c r="GJ6250"/>
      <c r="GK6250"/>
      <c r="GL6250"/>
      <c r="GM6250"/>
      <c r="GN6250"/>
      <c r="GO6250"/>
    </row>
    <row r="6251" spans="107:197">
      <c r="DC6251"/>
      <c r="FH6251"/>
      <c r="FI6251"/>
      <c r="FJ6251"/>
      <c r="FK6251"/>
      <c r="FL6251"/>
      <c r="FM6251"/>
      <c r="FN6251"/>
      <c r="FO6251"/>
      <c r="FP6251"/>
      <c r="FQ6251"/>
      <c r="FR6251"/>
      <c r="FS6251"/>
      <c r="FT6251"/>
      <c r="FU6251"/>
      <c r="FV6251"/>
      <c r="FW6251"/>
      <c r="FX6251"/>
      <c r="FY6251"/>
      <c r="FZ6251"/>
      <c r="GA6251"/>
      <c r="GB6251"/>
      <c r="GC6251"/>
      <c r="GD6251"/>
      <c r="GE6251"/>
      <c r="GF6251"/>
      <c r="GG6251"/>
      <c r="GH6251"/>
      <c r="GI6251"/>
      <c r="GJ6251"/>
      <c r="GK6251"/>
      <c r="GL6251"/>
      <c r="GM6251"/>
      <c r="GN6251"/>
      <c r="GO6251"/>
    </row>
    <row r="6252" spans="107:197">
      <c r="DC6252"/>
      <c r="FH6252"/>
      <c r="FI6252"/>
      <c r="FJ6252"/>
      <c r="FK6252"/>
      <c r="FL6252"/>
      <c r="FM6252"/>
      <c r="FN6252"/>
      <c r="FO6252"/>
      <c r="FP6252"/>
      <c r="FQ6252"/>
      <c r="FR6252"/>
      <c r="FS6252"/>
      <c r="FT6252"/>
      <c r="FU6252"/>
      <c r="FV6252"/>
      <c r="FW6252"/>
      <c r="FX6252"/>
      <c r="FY6252"/>
      <c r="FZ6252"/>
      <c r="GA6252"/>
      <c r="GB6252"/>
      <c r="GC6252"/>
      <c r="GD6252"/>
      <c r="GE6252"/>
      <c r="GF6252"/>
      <c r="GG6252"/>
      <c r="GH6252"/>
      <c r="GI6252"/>
      <c r="GJ6252"/>
      <c r="GK6252"/>
      <c r="GL6252"/>
      <c r="GM6252"/>
      <c r="GN6252"/>
      <c r="GO6252"/>
    </row>
    <row r="6253" spans="107:197">
      <c r="DC6253"/>
      <c r="FH6253"/>
      <c r="FI6253"/>
      <c r="FJ6253"/>
      <c r="FK6253"/>
      <c r="FL6253"/>
      <c r="FM6253"/>
      <c r="FN6253"/>
      <c r="FO6253"/>
      <c r="FP6253"/>
      <c r="FQ6253"/>
      <c r="FR6253"/>
      <c r="FS6253"/>
      <c r="FT6253"/>
      <c r="FU6253"/>
      <c r="FV6253"/>
      <c r="FW6253"/>
      <c r="FX6253"/>
      <c r="FY6253"/>
      <c r="FZ6253"/>
      <c r="GA6253"/>
      <c r="GB6253"/>
      <c r="GC6253"/>
      <c r="GD6253"/>
      <c r="GE6253"/>
      <c r="GF6253"/>
      <c r="GG6253"/>
      <c r="GH6253"/>
      <c r="GI6253"/>
      <c r="GJ6253"/>
      <c r="GK6253"/>
      <c r="GL6253"/>
      <c r="GM6253"/>
      <c r="GN6253"/>
      <c r="GO6253"/>
    </row>
    <row r="6254" spans="107:197">
      <c r="DC6254"/>
      <c r="FH6254"/>
      <c r="FI6254"/>
      <c r="FJ6254"/>
      <c r="FK6254"/>
      <c r="FL6254"/>
      <c r="FM6254"/>
      <c r="FN6254"/>
      <c r="FO6254"/>
      <c r="FP6254"/>
      <c r="FQ6254"/>
      <c r="FR6254"/>
      <c r="FS6254"/>
      <c r="FT6254"/>
      <c r="FU6254"/>
      <c r="FV6254"/>
      <c r="FW6254"/>
      <c r="FX6254"/>
      <c r="FY6254"/>
      <c r="FZ6254"/>
      <c r="GA6254"/>
      <c r="GB6254"/>
      <c r="GC6254"/>
      <c r="GD6254"/>
      <c r="GE6254"/>
      <c r="GF6254"/>
      <c r="GG6254"/>
      <c r="GH6254"/>
      <c r="GI6254"/>
      <c r="GJ6254"/>
      <c r="GK6254"/>
      <c r="GL6254"/>
      <c r="GM6254"/>
      <c r="GN6254"/>
      <c r="GO6254"/>
    </row>
    <row r="6255" spans="107:197">
      <c r="DC6255"/>
      <c r="FH6255"/>
      <c r="FI6255"/>
      <c r="FJ6255"/>
      <c r="FK6255"/>
      <c r="FL6255"/>
      <c r="FM6255"/>
      <c r="FN6255"/>
      <c r="FO6255"/>
      <c r="FP6255"/>
      <c r="FQ6255"/>
      <c r="FR6255"/>
      <c r="FS6255"/>
      <c r="FT6255"/>
      <c r="FU6255"/>
      <c r="FV6255"/>
      <c r="FW6255"/>
      <c r="FX6255"/>
      <c r="FY6255"/>
      <c r="FZ6255"/>
      <c r="GA6255"/>
      <c r="GB6255"/>
      <c r="GC6255"/>
      <c r="GD6255"/>
      <c r="GE6255"/>
      <c r="GF6255"/>
      <c r="GG6255"/>
      <c r="GH6255"/>
      <c r="GI6255"/>
      <c r="GJ6255"/>
      <c r="GK6255"/>
      <c r="GL6255"/>
      <c r="GM6255"/>
      <c r="GN6255"/>
      <c r="GO6255"/>
    </row>
    <row r="6256" spans="107:197">
      <c r="DC6256"/>
      <c r="FH6256"/>
      <c r="FI6256"/>
      <c r="FJ6256"/>
      <c r="FK6256"/>
      <c r="FL6256"/>
      <c r="FM6256"/>
      <c r="FN6256"/>
      <c r="FO6256"/>
      <c r="FP6256"/>
      <c r="FQ6256"/>
      <c r="FR6256"/>
      <c r="FS6256"/>
      <c r="FT6256"/>
      <c r="FU6256"/>
      <c r="FV6256"/>
      <c r="FW6256"/>
      <c r="FX6256"/>
      <c r="FY6256"/>
      <c r="FZ6256"/>
      <c r="GA6256"/>
      <c r="GB6256"/>
      <c r="GC6256"/>
      <c r="GD6256"/>
      <c r="GE6256"/>
      <c r="GF6256"/>
      <c r="GG6256"/>
      <c r="GH6256"/>
      <c r="GI6256"/>
      <c r="GJ6256"/>
      <c r="GK6256"/>
      <c r="GL6256"/>
      <c r="GM6256"/>
      <c r="GN6256"/>
      <c r="GO6256"/>
    </row>
    <row r="6257" spans="107:197">
      <c r="DC6257"/>
      <c r="FH6257"/>
      <c r="FI6257"/>
      <c r="FJ6257"/>
      <c r="FK6257"/>
      <c r="FL6257"/>
      <c r="FM6257"/>
      <c r="FN6257"/>
      <c r="FO6257"/>
      <c r="FP6257"/>
      <c r="FQ6257"/>
      <c r="FR6257"/>
      <c r="FS6257"/>
      <c r="FT6257"/>
      <c r="FU6257"/>
      <c r="FV6257"/>
      <c r="FW6257"/>
      <c r="FX6257"/>
      <c r="FY6257"/>
      <c r="FZ6257"/>
      <c r="GA6257"/>
      <c r="GB6257"/>
      <c r="GC6257"/>
      <c r="GD6257"/>
      <c r="GE6257"/>
      <c r="GF6257"/>
      <c r="GG6257"/>
      <c r="GH6257"/>
      <c r="GI6257"/>
      <c r="GJ6257"/>
      <c r="GK6257"/>
      <c r="GL6257"/>
      <c r="GM6257"/>
      <c r="GN6257"/>
      <c r="GO6257"/>
    </row>
    <row r="6258" spans="107:197">
      <c r="DC6258"/>
      <c r="FH6258"/>
      <c r="FI6258"/>
      <c r="FJ6258"/>
      <c r="FK6258"/>
      <c r="FL6258"/>
      <c r="FM6258"/>
      <c r="FN6258"/>
      <c r="FO6258"/>
      <c r="FP6258"/>
      <c r="FQ6258"/>
      <c r="FR6258"/>
      <c r="FS6258"/>
      <c r="FT6258"/>
      <c r="FU6258"/>
      <c r="FV6258"/>
      <c r="FW6258"/>
      <c r="FX6258"/>
      <c r="FY6258"/>
      <c r="FZ6258"/>
      <c r="GA6258"/>
      <c r="GB6258"/>
      <c r="GC6258"/>
      <c r="GD6258"/>
      <c r="GE6258"/>
      <c r="GF6258"/>
      <c r="GG6258"/>
      <c r="GH6258"/>
      <c r="GI6258"/>
      <c r="GJ6258"/>
      <c r="GK6258"/>
      <c r="GL6258"/>
      <c r="GM6258"/>
      <c r="GN6258"/>
      <c r="GO6258"/>
    </row>
    <row r="6259" spans="107:197">
      <c r="DC6259"/>
      <c r="FH6259"/>
      <c r="FI6259"/>
      <c r="FJ6259"/>
      <c r="FK6259"/>
      <c r="FL6259"/>
      <c r="FM6259"/>
      <c r="FN6259"/>
      <c r="FO6259"/>
      <c r="FP6259"/>
      <c r="FQ6259"/>
      <c r="FR6259"/>
      <c r="FS6259"/>
      <c r="FT6259"/>
      <c r="FU6259"/>
      <c r="FV6259"/>
      <c r="FW6259"/>
      <c r="FX6259"/>
      <c r="FY6259"/>
      <c r="FZ6259"/>
      <c r="GA6259"/>
      <c r="GB6259"/>
      <c r="GC6259"/>
      <c r="GD6259"/>
      <c r="GE6259"/>
      <c r="GF6259"/>
      <c r="GG6259"/>
      <c r="GH6259"/>
      <c r="GI6259"/>
      <c r="GJ6259"/>
      <c r="GK6259"/>
      <c r="GL6259"/>
      <c r="GM6259"/>
      <c r="GN6259"/>
      <c r="GO6259"/>
    </row>
    <row r="6260" spans="107:197">
      <c r="DC6260"/>
      <c r="FH6260"/>
      <c r="FI6260"/>
      <c r="FJ6260"/>
      <c r="FK6260"/>
      <c r="FL6260"/>
      <c r="FM6260"/>
      <c r="FN6260"/>
      <c r="FO6260"/>
      <c r="FP6260"/>
      <c r="FQ6260"/>
      <c r="FR6260"/>
      <c r="FS6260"/>
      <c r="FT6260"/>
      <c r="FU6260"/>
      <c r="FV6260"/>
      <c r="FW6260"/>
      <c r="FX6260"/>
      <c r="FY6260"/>
      <c r="FZ6260"/>
      <c r="GA6260"/>
      <c r="GB6260"/>
      <c r="GC6260"/>
      <c r="GD6260"/>
      <c r="GE6260"/>
      <c r="GF6260"/>
      <c r="GG6260"/>
      <c r="GH6260"/>
      <c r="GI6260"/>
      <c r="GJ6260"/>
      <c r="GK6260"/>
      <c r="GL6260"/>
      <c r="GM6260"/>
      <c r="GN6260"/>
      <c r="GO6260"/>
    </row>
    <row r="6261" spans="107:197">
      <c r="DC6261"/>
      <c r="FH6261"/>
      <c r="FI6261"/>
      <c r="FJ6261"/>
      <c r="FK6261"/>
      <c r="FL6261"/>
      <c r="FM6261"/>
      <c r="FN6261"/>
      <c r="FO6261"/>
      <c r="FP6261"/>
      <c r="FQ6261"/>
      <c r="FR6261"/>
      <c r="FS6261"/>
      <c r="FT6261"/>
      <c r="FU6261"/>
      <c r="FV6261"/>
      <c r="FW6261"/>
      <c r="FX6261"/>
      <c r="FY6261"/>
      <c r="FZ6261"/>
      <c r="GA6261"/>
      <c r="GB6261"/>
      <c r="GC6261"/>
      <c r="GD6261"/>
      <c r="GE6261"/>
      <c r="GF6261"/>
      <c r="GG6261"/>
      <c r="GH6261"/>
      <c r="GI6261"/>
      <c r="GJ6261"/>
      <c r="GK6261"/>
      <c r="GL6261"/>
      <c r="GM6261"/>
      <c r="GN6261"/>
      <c r="GO6261"/>
    </row>
    <row r="6262" spans="107:197">
      <c r="DC6262"/>
      <c r="FH6262"/>
      <c r="FI6262"/>
      <c r="FJ6262"/>
      <c r="FK6262"/>
      <c r="FL6262"/>
      <c r="FM6262"/>
      <c r="FN6262"/>
      <c r="FO6262"/>
      <c r="FP6262"/>
      <c r="FQ6262"/>
      <c r="FR6262"/>
      <c r="FS6262"/>
      <c r="FT6262"/>
      <c r="FU6262"/>
      <c r="FV6262"/>
      <c r="FW6262"/>
      <c r="FX6262"/>
      <c r="FY6262"/>
      <c r="FZ6262"/>
      <c r="GA6262"/>
      <c r="GB6262"/>
      <c r="GC6262"/>
      <c r="GD6262"/>
      <c r="GE6262"/>
      <c r="GF6262"/>
      <c r="GG6262"/>
      <c r="GH6262"/>
      <c r="GI6262"/>
      <c r="GJ6262"/>
      <c r="GK6262"/>
      <c r="GL6262"/>
      <c r="GM6262"/>
      <c r="GN6262"/>
      <c r="GO6262"/>
    </row>
    <row r="6263" spans="107:197">
      <c r="DC6263"/>
      <c r="FH6263"/>
      <c r="FI6263"/>
      <c r="FJ6263"/>
      <c r="FK6263"/>
      <c r="FL6263"/>
      <c r="FM6263"/>
      <c r="FN6263"/>
      <c r="FO6263"/>
      <c r="FP6263"/>
      <c r="FQ6263"/>
      <c r="FR6263"/>
      <c r="FS6263"/>
      <c r="FT6263"/>
      <c r="FU6263"/>
      <c r="FV6263"/>
      <c r="FW6263"/>
      <c r="FX6263"/>
      <c r="FY6263"/>
      <c r="FZ6263"/>
      <c r="GA6263"/>
      <c r="GB6263"/>
      <c r="GC6263"/>
      <c r="GD6263"/>
      <c r="GE6263"/>
      <c r="GF6263"/>
      <c r="GG6263"/>
      <c r="GH6263"/>
      <c r="GI6263"/>
      <c r="GJ6263"/>
      <c r="GK6263"/>
      <c r="GL6263"/>
      <c r="GM6263"/>
      <c r="GN6263"/>
      <c r="GO6263"/>
    </row>
    <row r="6264" spans="107:197">
      <c r="DC6264"/>
      <c r="FH6264"/>
      <c r="FI6264"/>
      <c r="FJ6264"/>
      <c r="FK6264"/>
      <c r="FL6264"/>
      <c r="FM6264"/>
      <c r="FN6264"/>
      <c r="FO6264"/>
      <c r="FP6264"/>
      <c r="FQ6264"/>
      <c r="FR6264"/>
      <c r="FS6264"/>
      <c r="FT6264"/>
      <c r="FU6264"/>
      <c r="FV6264"/>
      <c r="FW6264"/>
      <c r="FX6264"/>
      <c r="FY6264"/>
      <c r="FZ6264"/>
      <c r="GA6264"/>
      <c r="GB6264"/>
      <c r="GC6264"/>
      <c r="GD6264"/>
      <c r="GE6264"/>
      <c r="GF6264"/>
      <c r="GG6264"/>
      <c r="GH6264"/>
      <c r="GI6264"/>
      <c r="GJ6264"/>
      <c r="GK6264"/>
      <c r="GL6264"/>
      <c r="GM6264"/>
      <c r="GN6264"/>
      <c r="GO6264"/>
    </row>
    <row r="6265" spans="107:197">
      <c r="DC6265"/>
      <c r="FH6265"/>
      <c r="FI6265"/>
      <c r="FJ6265"/>
      <c r="FK6265"/>
      <c r="FL6265"/>
      <c r="FM6265"/>
      <c r="FN6265"/>
      <c r="FO6265"/>
      <c r="FP6265"/>
      <c r="FQ6265"/>
      <c r="FR6265"/>
      <c r="FS6265"/>
      <c r="FT6265"/>
      <c r="FU6265"/>
      <c r="FV6265"/>
      <c r="FW6265"/>
      <c r="FX6265"/>
      <c r="FY6265"/>
      <c r="FZ6265"/>
      <c r="GA6265"/>
      <c r="GB6265"/>
      <c r="GC6265"/>
      <c r="GD6265"/>
      <c r="GE6265"/>
      <c r="GF6265"/>
      <c r="GG6265"/>
      <c r="GH6265"/>
      <c r="GI6265"/>
      <c r="GJ6265"/>
      <c r="GK6265"/>
      <c r="GL6265"/>
      <c r="GM6265"/>
      <c r="GN6265"/>
      <c r="GO6265"/>
    </row>
    <row r="6266" spans="107:197">
      <c r="DC6266"/>
      <c r="FH6266"/>
      <c r="FI6266"/>
      <c r="FJ6266"/>
      <c r="FK6266"/>
      <c r="FL6266"/>
      <c r="FM6266"/>
      <c r="FN6266"/>
      <c r="FO6266"/>
      <c r="FP6266"/>
      <c r="FQ6266"/>
      <c r="FR6266"/>
      <c r="FS6266"/>
      <c r="FT6266"/>
      <c r="FU6266"/>
      <c r="FV6266"/>
      <c r="FW6266"/>
      <c r="FX6266"/>
      <c r="FY6266"/>
      <c r="FZ6266"/>
      <c r="GA6266"/>
      <c r="GB6266"/>
      <c r="GC6266"/>
      <c r="GD6266"/>
      <c r="GE6266"/>
      <c r="GF6266"/>
      <c r="GG6266"/>
      <c r="GH6266"/>
      <c r="GI6266"/>
      <c r="GJ6266"/>
      <c r="GK6266"/>
      <c r="GL6266"/>
      <c r="GM6266"/>
      <c r="GN6266"/>
      <c r="GO6266"/>
    </row>
    <row r="6267" spans="107:197">
      <c r="DC6267"/>
      <c r="FH6267"/>
      <c r="FI6267"/>
      <c r="FJ6267"/>
      <c r="FK6267"/>
      <c r="FL6267"/>
      <c r="FM6267"/>
      <c r="FN6267"/>
      <c r="FO6267"/>
      <c r="FP6267"/>
      <c r="FQ6267"/>
      <c r="FR6267"/>
      <c r="FS6267"/>
      <c r="FT6267"/>
      <c r="FU6267"/>
      <c r="FV6267"/>
      <c r="FW6267"/>
      <c r="FX6267"/>
      <c r="FY6267"/>
      <c r="FZ6267"/>
      <c r="GA6267"/>
      <c r="GB6267"/>
      <c r="GC6267"/>
      <c r="GD6267"/>
      <c r="GE6267"/>
      <c r="GF6267"/>
      <c r="GG6267"/>
      <c r="GH6267"/>
      <c r="GI6267"/>
      <c r="GJ6267"/>
      <c r="GK6267"/>
      <c r="GL6267"/>
      <c r="GM6267"/>
      <c r="GN6267"/>
      <c r="GO6267"/>
    </row>
    <row r="6268" spans="107:197">
      <c r="DC6268"/>
      <c r="FH6268"/>
      <c r="FI6268"/>
      <c r="FJ6268"/>
      <c r="FK6268"/>
      <c r="FL6268"/>
      <c r="FM6268"/>
      <c r="FN6268"/>
      <c r="FO6268"/>
      <c r="FP6268"/>
      <c r="FQ6268"/>
      <c r="FR6268"/>
      <c r="FS6268"/>
      <c r="FT6268"/>
      <c r="FU6268"/>
      <c r="FV6268"/>
      <c r="FW6268"/>
      <c r="FX6268"/>
      <c r="FY6268"/>
      <c r="FZ6268"/>
      <c r="GA6268"/>
      <c r="GB6268"/>
      <c r="GC6268"/>
      <c r="GD6268"/>
      <c r="GE6268"/>
      <c r="GF6268"/>
      <c r="GG6268"/>
      <c r="GH6268"/>
      <c r="GI6268"/>
      <c r="GJ6268"/>
      <c r="GK6268"/>
      <c r="GL6268"/>
      <c r="GM6268"/>
      <c r="GN6268"/>
      <c r="GO6268"/>
    </row>
    <row r="6269" spans="107:197">
      <c r="DC6269"/>
      <c r="FH6269"/>
      <c r="FI6269"/>
      <c r="FJ6269"/>
      <c r="FK6269"/>
      <c r="FL6269"/>
      <c r="FM6269"/>
      <c r="FN6269"/>
      <c r="FO6269"/>
      <c r="FP6269"/>
      <c r="FQ6269"/>
      <c r="FR6269"/>
      <c r="FS6269"/>
      <c r="FT6269"/>
      <c r="FU6269"/>
      <c r="FV6269"/>
      <c r="FW6269"/>
      <c r="FX6269"/>
      <c r="FY6269"/>
      <c r="FZ6269"/>
      <c r="GA6269"/>
      <c r="GB6269"/>
      <c r="GC6269"/>
      <c r="GD6269"/>
      <c r="GE6269"/>
      <c r="GF6269"/>
      <c r="GG6269"/>
      <c r="GH6269"/>
      <c r="GI6269"/>
      <c r="GJ6269"/>
      <c r="GK6269"/>
      <c r="GL6269"/>
      <c r="GM6269"/>
      <c r="GN6269"/>
      <c r="GO6269"/>
    </row>
    <row r="6270" spans="107:197">
      <c r="DC6270"/>
      <c r="FH6270"/>
      <c r="FI6270"/>
      <c r="FJ6270"/>
      <c r="FK6270"/>
      <c r="FL6270"/>
      <c r="FM6270"/>
      <c r="FN6270"/>
      <c r="FO6270"/>
      <c r="FP6270"/>
      <c r="FQ6270"/>
      <c r="FR6270"/>
      <c r="FS6270"/>
      <c r="FT6270"/>
      <c r="FU6270"/>
      <c r="FV6270"/>
      <c r="FW6270"/>
      <c r="FX6270"/>
      <c r="FY6270"/>
      <c r="FZ6270"/>
      <c r="GA6270"/>
      <c r="GB6270"/>
      <c r="GC6270"/>
      <c r="GD6270"/>
      <c r="GE6270"/>
      <c r="GF6270"/>
      <c r="GG6270"/>
      <c r="GH6270"/>
      <c r="GI6270"/>
      <c r="GJ6270"/>
      <c r="GK6270"/>
      <c r="GL6270"/>
      <c r="GM6270"/>
      <c r="GN6270"/>
      <c r="GO6270"/>
    </row>
    <row r="6271" spans="107:197">
      <c r="DC6271"/>
      <c r="FH6271"/>
      <c r="FI6271"/>
      <c r="FJ6271"/>
      <c r="FK6271"/>
      <c r="FL6271"/>
      <c r="FM6271"/>
      <c r="FN6271"/>
      <c r="FO6271"/>
      <c r="FP6271"/>
      <c r="FQ6271"/>
      <c r="FR6271"/>
      <c r="FS6271"/>
      <c r="FT6271"/>
      <c r="FU6271"/>
      <c r="FV6271"/>
      <c r="FW6271"/>
      <c r="FX6271"/>
      <c r="FY6271"/>
      <c r="FZ6271"/>
      <c r="GA6271"/>
      <c r="GB6271"/>
      <c r="GC6271"/>
      <c r="GD6271"/>
      <c r="GE6271"/>
      <c r="GF6271"/>
      <c r="GG6271"/>
      <c r="GH6271"/>
      <c r="GI6271"/>
      <c r="GJ6271"/>
      <c r="GK6271"/>
      <c r="GL6271"/>
      <c r="GM6271"/>
      <c r="GN6271"/>
      <c r="GO6271"/>
    </row>
    <row r="6272" spans="107:197">
      <c r="DC6272"/>
      <c r="FH6272"/>
      <c r="FI6272"/>
      <c r="FJ6272"/>
      <c r="FK6272"/>
      <c r="FL6272"/>
      <c r="FM6272"/>
      <c r="FN6272"/>
      <c r="FO6272"/>
      <c r="FP6272"/>
      <c r="FQ6272"/>
      <c r="FR6272"/>
      <c r="FS6272"/>
      <c r="FT6272"/>
      <c r="FU6272"/>
      <c r="FV6272"/>
      <c r="FW6272"/>
      <c r="FX6272"/>
      <c r="FY6272"/>
      <c r="FZ6272"/>
      <c r="GA6272"/>
      <c r="GB6272"/>
      <c r="GC6272"/>
      <c r="GD6272"/>
      <c r="GE6272"/>
      <c r="GF6272"/>
      <c r="GG6272"/>
      <c r="GH6272"/>
      <c r="GI6272"/>
      <c r="GJ6272"/>
      <c r="GK6272"/>
      <c r="GL6272"/>
      <c r="GM6272"/>
      <c r="GN6272"/>
      <c r="GO6272"/>
    </row>
    <row r="6273" spans="107:197">
      <c r="DC6273"/>
      <c r="FH6273"/>
      <c r="FI6273"/>
      <c r="FJ6273"/>
      <c r="FK6273"/>
      <c r="FL6273"/>
      <c r="FM6273"/>
      <c r="FN6273"/>
      <c r="FO6273"/>
      <c r="FP6273"/>
      <c r="FQ6273"/>
      <c r="FR6273"/>
      <c r="FS6273"/>
      <c r="FT6273"/>
      <c r="FU6273"/>
      <c r="FV6273"/>
      <c r="FW6273"/>
      <c r="FX6273"/>
      <c r="FY6273"/>
      <c r="FZ6273"/>
      <c r="GA6273"/>
      <c r="GB6273"/>
      <c r="GC6273"/>
      <c r="GD6273"/>
      <c r="GE6273"/>
      <c r="GF6273"/>
      <c r="GG6273"/>
      <c r="GH6273"/>
      <c r="GI6273"/>
      <c r="GJ6273"/>
      <c r="GK6273"/>
      <c r="GL6273"/>
      <c r="GM6273"/>
      <c r="GN6273"/>
      <c r="GO6273"/>
    </row>
    <row r="6274" spans="107:197">
      <c r="DC6274"/>
      <c r="FH6274"/>
      <c r="FI6274"/>
      <c r="FJ6274"/>
      <c r="FK6274"/>
      <c r="FL6274"/>
      <c r="FM6274"/>
      <c r="FN6274"/>
      <c r="FO6274"/>
      <c r="FP6274"/>
      <c r="FQ6274"/>
      <c r="FR6274"/>
      <c r="FS6274"/>
      <c r="FT6274"/>
      <c r="FU6274"/>
      <c r="FV6274"/>
      <c r="FW6274"/>
      <c r="FX6274"/>
      <c r="FY6274"/>
      <c r="FZ6274"/>
      <c r="GA6274"/>
      <c r="GB6274"/>
      <c r="GC6274"/>
      <c r="GD6274"/>
      <c r="GE6274"/>
      <c r="GF6274"/>
      <c r="GG6274"/>
      <c r="GH6274"/>
      <c r="GI6274"/>
      <c r="GJ6274"/>
      <c r="GK6274"/>
      <c r="GL6274"/>
      <c r="GM6274"/>
      <c r="GN6274"/>
      <c r="GO6274"/>
    </row>
    <row r="6275" spans="107:197">
      <c r="DC6275"/>
      <c r="FH6275"/>
      <c r="FI6275"/>
      <c r="FJ6275"/>
      <c r="FK6275"/>
      <c r="FL6275"/>
      <c r="FM6275"/>
      <c r="FN6275"/>
      <c r="FO6275"/>
      <c r="FP6275"/>
      <c r="FQ6275"/>
      <c r="FR6275"/>
      <c r="FS6275"/>
      <c r="FT6275"/>
      <c r="FU6275"/>
      <c r="FV6275"/>
      <c r="FW6275"/>
      <c r="FX6275"/>
      <c r="FY6275"/>
      <c r="FZ6275"/>
      <c r="GA6275"/>
      <c r="GB6275"/>
      <c r="GC6275"/>
      <c r="GD6275"/>
      <c r="GE6275"/>
      <c r="GF6275"/>
      <c r="GG6275"/>
      <c r="GH6275"/>
      <c r="GI6275"/>
      <c r="GJ6275"/>
      <c r="GK6275"/>
      <c r="GL6275"/>
      <c r="GM6275"/>
      <c r="GN6275"/>
      <c r="GO6275"/>
    </row>
    <row r="6276" spans="107:197">
      <c r="DC6276"/>
      <c r="FH6276"/>
      <c r="FI6276"/>
      <c r="FJ6276"/>
      <c r="FK6276"/>
      <c r="FL6276"/>
      <c r="FM6276"/>
      <c r="FN6276"/>
      <c r="FO6276"/>
      <c r="FP6276"/>
      <c r="FQ6276"/>
      <c r="FR6276"/>
      <c r="FS6276"/>
      <c r="FT6276"/>
      <c r="FU6276"/>
      <c r="FV6276"/>
      <c r="FW6276"/>
      <c r="FX6276"/>
      <c r="FY6276"/>
      <c r="FZ6276"/>
      <c r="GA6276"/>
      <c r="GB6276"/>
      <c r="GC6276"/>
      <c r="GD6276"/>
      <c r="GE6276"/>
      <c r="GF6276"/>
      <c r="GG6276"/>
      <c r="GH6276"/>
      <c r="GI6276"/>
      <c r="GJ6276"/>
      <c r="GK6276"/>
      <c r="GL6276"/>
      <c r="GM6276"/>
      <c r="GN6276"/>
      <c r="GO6276"/>
    </row>
    <row r="6277" spans="107:197">
      <c r="DC6277"/>
      <c r="FH6277"/>
      <c r="FI6277"/>
      <c r="FJ6277"/>
      <c r="FK6277"/>
      <c r="FL6277"/>
      <c r="FM6277"/>
      <c r="FN6277"/>
      <c r="FO6277"/>
      <c r="FP6277"/>
      <c r="FQ6277"/>
      <c r="FR6277"/>
      <c r="FS6277"/>
      <c r="FT6277"/>
      <c r="FU6277"/>
      <c r="FV6277"/>
      <c r="FW6277"/>
      <c r="FX6277"/>
      <c r="FY6277"/>
      <c r="FZ6277"/>
      <c r="GA6277"/>
      <c r="GB6277"/>
      <c r="GC6277"/>
      <c r="GD6277"/>
      <c r="GE6277"/>
      <c r="GF6277"/>
      <c r="GG6277"/>
      <c r="GH6277"/>
      <c r="GI6277"/>
      <c r="GJ6277"/>
      <c r="GK6277"/>
      <c r="GL6277"/>
      <c r="GM6277"/>
      <c r="GN6277"/>
      <c r="GO6277"/>
    </row>
    <row r="6278" spans="107:197">
      <c r="DC6278"/>
      <c r="FH6278"/>
      <c r="FI6278"/>
      <c r="FJ6278"/>
      <c r="FK6278"/>
      <c r="FL6278"/>
      <c r="FM6278"/>
      <c r="FN6278"/>
      <c r="FO6278"/>
      <c r="FP6278"/>
      <c r="FQ6278"/>
      <c r="FR6278"/>
      <c r="FS6278"/>
      <c r="FT6278"/>
      <c r="FU6278"/>
      <c r="FV6278"/>
      <c r="FW6278"/>
      <c r="FX6278"/>
      <c r="FY6278"/>
      <c r="FZ6278"/>
      <c r="GA6278"/>
      <c r="GB6278"/>
      <c r="GC6278"/>
      <c r="GD6278"/>
      <c r="GE6278"/>
      <c r="GF6278"/>
      <c r="GG6278"/>
      <c r="GH6278"/>
      <c r="GI6278"/>
      <c r="GJ6278"/>
      <c r="GK6278"/>
      <c r="GL6278"/>
      <c r="GM6278"/>
      <c r="GN6278"/>
      <c r="GO6278"/>
    </row>
    <row r="6279" spans="107:197">
      <c r="DC6279"/>
      <c r="FH6279"/>
      <c r="FI6279"/>
      <c r="FJ6279"/>
      <c r="FK6279"/>
      <c r="FL6279"/>
      <c r="FM6279"/>
      <c r="FN6279"/>
      <c r="FO6279"/>
      <c r="FP6279"/>
      <c r="FQ6279"/>
      <c r="FR6279"/>
      <c r="FS6279"/>
      <c r="FT6279"/>
      <c r="FU6279"/>
      <c r="FV6279"/>
      <c r="FW6279"/>
      <c r="FX6279"/>
      <c r="FY6279"/>
      <c r="FZ6279"/>
      <c r="GA6279"/>
      <c r="GB6279"/>
      <c r="GC6279"/>
      <c r="GD6279"/>
      <c r="GE6279"/>
      <c r="GF6279"/>
      <c r="GG6279"/>
      <c r="GH6279"/>
      <c r="GI6279"/>
      <c r="GJ6279"/>
      <c r="GK6279"/>
      <c r="GL6279"/>
      <c r="GM6279"/>
      <c r="GN6279"/>
      <c r="GO6279"/>
    </row>
    <row r="6280" spans="107:197">
      <c r="DC6280"/>
      <c r="FH6280"/>
      <c r="FI6280"/>
      <c r="FJ6280"/>
      <c r="FK6280"/>
      <c r="FL6280"/>
      <c r="FM6280"/>
      <c r="FN6280"/>
      <c r="FO6280"/>
      <c r="FP6280"/>
      <c r="FQ6280"/>
      <c r="FR6280"/>
      <c r="FS6280"/>
      <c r="FT6280"/>
      <c r="FU6280"/>
      <c r="FV6280"/>
      <c r="FW6280"/>
      <c r="FX6280"/>
      <c r="FY6280"/>
      <c r="FZ6280"/>
      <c r="GA6280"/>
      <c r="GB6280"/>
      <c r="GC6280"/>
      <c r="GD6280"/>
      <c r="GE6280"/>
      <c r="GF6280"/>
      <c r="GG6280"/>
      <c r="GH6280"/>
      <c r="GI6280"/>
      <c r="GJ6280"/>
      <c r="GK6280"/>
      <c r="GL6280"/>
      <c r="GM6280"/>
      <c r="GN6280"/>
      <c r="GO6280"/>
    </row>
    <row r="6281" spans="107:197">
      <c r="DC6281"/>
      <c r="FH6281"/>
      <c r="FI6281"/>
      <c r="FJ6281"/>
      <c r="FK6281"/>
      <c r="FL6281"/>
      <c r="FM6281"/>
      <c r="FN6281"/>
      <c r="FO6281"/>
      <c r="FP6281"/>
      <c r="FQ6281"/>
      <c r="FR6281"/>
      <c r="FS6281"/>
      <c r="FT6281"/>
      <c r="FU6281"/>
      <c r="FV6281"/>
      <c r="FW6281"/>
      <c r="FX6281"/>
      <c r="FY6281"/>
      <c r="FZ6281"/>
      <c r="GA6281"/>
      <c r="GB6281"/>
      <c r="GC6281"/>
      <c r="GD6281"/>
      <c r="GE6281"/>
      <c r="GF6281"/>
      <c r="GG6281"/>
      <c r="GH6281"/>
      <c r="GI6281"/>
      <c r="GJ6281"/>
      <c r="GK6281"/>
      <c r="GL6281"/>
      <c r="GM6281"/>
      <c r="GN6281"/>
      <c r="GO6281"/>
    </row>
    <row r="6282" spans="107:197">
      <c r="DC6282"/>
      <c r="FH6282"/>
      <c r="FI6282"/>
      <c r="FJ6282"/>
      <c r="FK6282"/>
      <c r="FL6282"/>
      <c r="FM6282"/>
      <c r="FN6282"/>
      <c r="FO6282"/>
      <c r="FP6282"/>
      <c r="FQ6282"/>
      <c r="FR6282"/>
      <c r="FS6282"/>
      <c r="FT6282"/>
      <c r="FU6282"/>
      <c r="FV6282"/>
      <c r="FW6282"/>
      <c r="FX6282"/>
      <c r="FY6282"/>
      <c r="FZ6282"/>
      <c r="GA6282"/>
      <c r="GB6282"/>
      <c r="GC6282"/>
      <c r="GD6282"/>
      <c r="GE6282"/>
      <c r="GF6282"/>
      <c r="GG6282"/>
      <c r="GH6282"/>
      <c r="GI6282"/>
      <c r="GJ6282"/>
      <c r="GK6282"/>
      <c r="GL6282"/>
      <c r="GM6282"/>
      <c r="GN6282"/>
      <c r="GO6282"/>
    </row>
    <row r="6283" spans="107:197">
      <c r="DC6283"/>
      <c r="FH6283"/>
      <c r="FI6283"/>
      <c r="FJ6283"/>
      <c r="FK6283"/>
      <c r="FL6283"/>
      <c r="FM6283"/>
      <c r="FN6283"/>
      <c r="FO6283"/>
      <c r="FP6283"/>
      <c r="FQ6283"/>
      <c r="FR6283"/>
      <c r="FS6283"/>
      <c r="FT6283"/>
      <c r="FU6283"/>
      <c r="FV6283"/>
      <c r="FW6283"/>
      <c r="FX6283"/>
      <c r="FY6283"/>
      <c r="FZ6283"/>
      <c r="GA6283"/>
      <c r="GB6283"/>
      <c r="GC6283"/>
      <c r="GD6283"/>
      <c r="GE6283"/>
      <c r="GF6283"/>
      <c r="GG6283"/>
      <c r="GH6283"/>
      <c r="GI6283"/>
      <c r="GJ6283"/>
      <c r="GK6283"/>
      <c r="GL6283"/>
      <c r="GM6283"/>
      <c r="GN6283"/>
      <c r="GO6283"/>
    </row>
    <row r="6284" spans="107:197">
      <c r="DC6284"/>
      <c r="FH6284"/>
      <c r="FI6284"/>
      <c r="FJ6284"/>
      <c r="FK6284"/>
      <c r="FL6284"/>
      <c r="FM6284"/>
      <c r="FN6284"/>
      <c r="FO6284"/>
      <c r="FP6284"/>
      <c r="FQ6284"/>
      <c r="FR6284"/>
      <c r="FS6284"/>
      <c r="FT6284"/>
      <c r="FU6284"/>
      <c r="FV6284"/>
      <c r="FW6284"/>
      <c r="FX6284"/>
      <c r="FY6284"/>
      <c r="FZ6284"/>
      <c r="GA6284"/>
      <c r="GB6284"/>
      <c r="GC6284"/>
      <c r="GD6284"/>
      <c r="GE6284"/>
      <c r="GF6284"/>
      <c r="GG6284"/>
      <c r="GH6284"/>
      <c r="GI6284"/>
      <c r="GJ6284"/>
      <c r="GK6284"/>
      <c r="GL6284"/>
      <c r="GM6284"/>
      <c r="GN6284"/>
      <c r="GO6284"/>
    </row>
    <row r="6285" spans="107:197">
      <c r="DC6285"/>
      <c r="FH6285"/>
      <c r="FI6285"/>
      <c r="FJ6285"/>
      <c r="FK6285"/>
      <c r="FL6285"/>
      <c r="FM6285"/>
      <c r="FN6285"/>
      <c r="FO6285"/>
      <c r="FP6285"/>
      <c r="FQ6285"/>
      <c r="FR6285"/>
      <c r="FS6285"/>
      <c r="FT6285"/>
      <c r="FU6285"/>
      <c r="FV6285"/>
      <c r="FW6285"/>
      <c r="FX6285"/>
      <c r="FY6285"/>
      <c r="FZ6285"/>
      <c r="GA6285"/>
      <c r="GB6285"/>
      <c r="GC6285"/>
      <c r="GD6285"/>
      <c r="GE6285"/>
      <c r="GF6285"/>
      <c r="GG6285"/>
      <c r="GH6285"/>
      <c r="GI6285"/>
      <c r="GJ6285"/>
      <c r="GK6285"/>
      <c r="GL6285"/>
      <c r="GM6285"/>
      <c r="GN6285"/>
      <c r="GO6285"/>
    </row>
    <row r="6286" spans="107:197">
      <c r="DC6286"/>
      <c r="FH6286"/>
      <c r="FI6286"/>
      <c r="FJ6286"/>
      <c r="FK6286"/>
      <c r="FL6286"/>
      <c r="FM6286"/>
      <c r="FN6286"/>
      <c r="FO6286"/>
      <c r="FP6286"/>
      <c r="FQ6286"/>
      <c r="FR6286"/>
      <c r="FS6286"/>
      <c r="FT6286"/>
      <c r="FU6286"/>
      <c r="FV6286"/>
      <c r="FW6286"/>
      <c r="FX6286"/>
      <c r="FY6286"/>
      <c r="FZ6286"/>
      <c r="GA6286"/>
      <c r="GB6286"/>
      <c r="GC6286"/>
      <c r="GD6286"/>
      <c r="GE6286"/>
      <c r="GF6286"/>
      <c r="GG6286"/>
      <c r="GH6286"/>
      <c r="GI6286"/>
      <c r="GJ6286"/>
      <c r="GK6286"/>
      <c r="GL6286"/>
      <c r="GM6286"/>
      <c r="GN6286"/>
      <c r="GO6286"/>
    </row>
    <row r="6287" spans="107:197">
      <c r="DC6287"/>
      <c r="FH6287"/>
      <c r="FI6287"/>
      <c r="FJ6287"/>
      <c r="FK6287"/>
      <c r="FL6287"/>
      <c r="FM6287"/>
      <c r="FN6287"/>
      <c r="FO6287"/>
      <c r="FP6287"/>
      <c r="FQ6287"/>
      <c r="FR6287"/>
      <c r="FS6287"/>
      <c r="FT6287"/>
      <c r="FU6287"/>
      <c r="FV6287"/>
      <c r="FW6287"/>
      <c r="FX6287"/>
      <c r="FY6287"/>
      <c r="FZ6287"/>
      <c r="GA6287"/>
      <c r="GB6287"/>
      <c r="GC6287"/>
      <c r="GD6287"/>
      <c r="GE6287"/>
      <c r="GF6287"/>
      <c r="GG6287"/>
      <c r="GH6287"/>
      <c r="GI6287"/>
      <c r="GJ6287"/>
      <c r="GK6287"/>
      <c r="GL6287"/>
      <c r="GM6287"/>
      <c r="GN6287"/>
      <c r="GO6287"/>
    </row>
    <row r="6288" spans="107:197">
      <c r="DC6288"/>
      <c r="FH6288"/>
      <c r="FI6288"/>
      <c r="FJ6288"/>
      <c r="FK6288"/>
      <c r="FL6288"/>
      <c r="FM6288"/>
      <c r="FN6288"/>
      <c r="FO6288"/>
      <c r="FP6288"/>
      <c r="FQ6288"/>
      <c r="FR6288"/>
      <c r="FS6288"/>
      <c r="FT6288"/>
      <c r="FU6288"/>
      <c r="FV6288"/>
      <c r="FW6288"/>
      <c r="FX6288"/>
      <c r="FY6288"/>
      <c r="FZ6288"/>
      <c r="GA6288"/>
      <c r="GB6288"/>
      <c r="GC6288"/>
      <c r="GD6288"/>
      <c r="GE6288"/>
      <c r="GF6288"/>
      <c r="GG6288"/>
      <c r="GH6288"/>
      <c r="GI6288"/>
      <c r="GJ6288"/>
      <c r="GK6288"/>
      <c r="GL6288"/>
      <c r="GM6288"/>
      <c r="GN6288"/>
      <c r="GO6288"/>
    </row>
    <row r="6289" spans="107:197">
      <c r="DC6289"/>
      <c r="FH6289"/>
      <c r="FI6289"/>
      <c r="FJ6289"/>
      <c r="FK6289"/>
      <c r="FL6289"/>
      <c r="FM6289"/>
      <c r="FN6289"/>
      <c r="FO6289"/>
      <c r="FP6289"/>
      <c r="FQ6289"/>
      <c r="FR6289"/>
      <c r="FS6289"/>
      <c r="FT6289"/>
      <c r="FU6289"/>
      <c r="FV6289"/>
      <c r="FW6289"/>
      <c r="FX6289"/>
      <c r="FY6289"/>
      <c r="FZ6289"/>
      <c r="GA6289"/>
      <c r="GB6289"/>
      <c r="GC6289"/>
      <c r="GD6289"/>
      <c r="GE6289"/>
      <c r="GF6289"/>
      <c r="GG6289"/>
      <c r="GH6289"/>
      <c r="GI6289"/>
      <c r="GJ6289"/>
      <c r="GK6289"/>
      <c r="GL6289"/>
      <c r="GM6289"/>
      <c r="GN6289"/>
      <c r="GO6289"/>
    </row>
    <row r="6290" spans="107:197">
      <c r="DC6290"/>
      <c r="FH6290"/>
      <c r="FI6290"/>
      <c r="FJ6290"/>
      <c r="FK6290"/>
      <c r="FL6290"/>
      <c r="FM6290"/>
      <c r="FN6290"/>
      <c r="FO6290"/>
      <c r="FP6290"/>
      <c r="FQ6290"/>
      <c r="FR6290"/>
      <c r="FS6290"/>
      <c r="FT6290"/>
      <c r="FU6290"/>
      <c r="FV6290"/>
      <c r="FW6290"/>
      <c r="FX6290"/>
      <c r="FY6290"/>
      <c r="FZ6290"/>
      <c r="GA6290"/>
      <c r="GB6290"/>
      <c r="GC6290"/>
      <c r="GD6290"/>
      <c r="GE6290"/>
      <c r="GF6290"/>
      <c r="GG6290"/>
      <c r="GH6290"/>
      <c r="GI6290"/>
      <c r="GJ6290"/>
      <c r="GK6290"/>
      <c r="GL6290"/>
      <c r="GM6290"/>
      <c r="GN6290"/>
      <c r="GO6290"/>
    </row>
    <row r="6291" spans="107:197">
      <c r="DC6291"/>
      <c r="FH6291"/>
      <c r="FI6291"/>
      <c r="FJ6291"/>
      <c r="FK6291"/>
      <c r="FL6291"/>
      <c r="FM6291"/>
      <c r="FN6291"/>
      <c r="FO6291"/>
      <c r="FP6291"/>
      <c r="FQ6291"/>
      <c r="FR6291"/>
      <c r="FS6291"/>
      <c r="FT6291"/>
      <c r="FU6291"/>
      <c r="FV6291"/>
      <c r="FW6291"/>
      <c r="FX6291"/>
      <c r="FY6291"/>
      <c r="FZ6291"/>
      <c r="GA6291"/>
      <c r="GB6291"/>
      <c r="GC6291"/>
      <c r="GD6291"/>
      <c r="GE6291"/>
      <c r="GF6291"/>
      <c r="GG6291"/>
      <c r="GH6291"/>
      <c r="GI6291"/>
      <c r="GJ6291"/>
      <c r="GK6291"/>
      <c r="GL6291"/>
      <c r="GM6291"/>
      <c r="GN6291"/>
      <c r="GO6291"/>
    </row>
    <row r="6292" spans="107:197">
      <c r="DC6292"/>
      <c r="FH6292"/>
      <c r="FI6292"/>
      <c r="FJ6292"/>
      <c r="FK6292"/>
      <c r="FL6292"/>
      <c r="FM6292"/>
      <c r="FN6292"/>
      <c r="FO6292"/>
      <c r="FP6292"/>
      <c r="FQ6292"/>
      <c r="FR6292"/>
      <c r="FS6292"/>
      <c r="FT6292"/>
      <c r="FU6292"/>
      <c r="FV6292"/>
      <c r="FW6292"/>
      <c r="FX6292"/>
      <c r="FY6292"/>
      <c r="FZ6292"/>
      <c r="GA6292"/>
      <c r="GB6292"/>
      <c r="GC6292"/>
      <c r="GD6292"/>
      <c r="GE6292"/>
      <c r="GF6292"/>
      <c r="GG6292"/>
      <c r="GH6292"/>
      <c r="GI6292"/>
      <c r="GJ6292"/>
      <c r="GK6292"/>
      <c r="GL6292"/>
      <c r="GM6292"/>
      <c r="GN6292"/>
      <c r="GO6292"/>
    </row>
    <row r="6293" spans="107:197">
      <c r="DC6293"/>
      <c r="FH6293"/>
      <c r="FI6293"/>
      <c r="FJ6293"/>
      <c r="FK6293"/>
      <c r="FL6293"/>
      <c r="FM6293"/>
      <c r="FN6293"/>
      <c r="FO6293"/>
      <c r="FP6293"/>
      <c r="FQ6293"/>
      <c r="FR6293"/>
      <c r="FS6293"/>
      <c r="FT6293"/>
      <c r="FU6293"/>
      <c r="FV6293"/>
      <c r="FW6293"/>
      <c r="FX6293"/>
      <c r="FY6293"/>
      <c r="FZ6293"/>
      <c r="GA6293"/>
      <c r="GB6293"/>
      <c r="GC6293"/>
      <c r="GD6293"/>
      <c r="GE6293"/>
      <c r="GF6293"/>
      <c r="GG6293"/>
      <c r="GH6293"/>
      <c r="GI6293"/>
      <c r="GJ6293"/>
      <c r="GK6293"/>
      <c r="GL6293"/>
      <c r="GM6293"/>
      <c r="GN6293"/>
      <c r="GO6293"/>
    </row>
    <row r="6294" spans="107:197">
      <c r="DC6294"/>
      <c r="FH6294"/>
      <c r="FI6294"/>
      <c r="FJ6294"/>
      <c r="FK6294"/>
      <c r="FL6294"/>
      <c r="FM6294"/>
      <c r="FN6294"/>
      <c r="FO6294"/>
      <c r="FP6294"/>
      <c r="FQ6294"/>
      <c r="FR6294"/>
      <c r="FS6294"/>
      <c r="FT6294"/>
      <c r="FU6294"/>
      <c r="FV6294"/>
      <c r="FW6294"/>
      <c r="FX6294"/>
      <c r="FY6294"/>
      <c r="FZ6294"/>
      <c r="GA6294"/>
      <c r="GB6294"/>
      <c r="GC6294"/>
      <c r="GD6294"/>
      <c r="GE6294"/>
      <c r="GF6294"/>
      <c r="GG6294"/>
      <c r="GH6294"/>
      <c r="GI6294"/>
      <c r="GJ6294"/>
      <c r="GK6294"/>
      <c r="GL6294"/>
      <c r="GM6294"/>
      <c r="GN6294"/>
      <c r="GO6294"/>
    </row>
    <row r="6295" spans="107:197">
      <c r="DC6295"/>
      <c r="FH6295"/>
      <c r="FI6295"/>
      <c r="FJ6295"/>
      <c r="FK6295"/>
      <c r="FL6295"/>
      <c r="FM6295"/>
      <c r="FN6295"/>
      <c r="FO6295"/>
      <c r="FP6295"/>
      <c r="FQ6295"/>
      <c r="FR6295"/>
      <c r="FS6295"/>
      <c r="FT6295"/>
      <c r="FU6295"/>
      <c r="FV6295"/>
      <c r="FW6295"/>
      <c r="FX6295"/>
      <c r="FY6295"/>
      <c r="FZ6295"/>
      <c r="GA6295"/>
      <c r="GB6295"/>
      <c r="GC6295"/>
      <c r="GD6295"/>
      <c r="GE6295"/>
      <c r="GF6295"/>
      <c r="GG6295"/>
      <c r="GH6295"/>
      <c r="GI6295"/>
      <c r="GJ6295"/>
      <c r="GK6295"/>
      <c r="GL6295"/>
      <c r="GM6295"/>
      <c r="GN6295"/>
      <c r="GO6295"/>
    </row>
    <row r="6296" spans="107:197">
      <c r="DC6296"/>
      <c r="FH6296"/>
      <c r="FI6296"/>
      <c r="FJ6296"/>
      <c r="FK6296"/>
      <c r="FL6296"/>
      <c r="FM6296"/>
      <c r="FN6296"/>
      <c r="FO6296"/>
      <c r="FP6296"/>
      <c r="FQ6296"/>
      <c r="FR6296"/>
      <c r="FS6296"/>
      <c r="FT6296"/>
      <c r="FU6296"/>
      <c r="FV6296"/>
      <c r="FW6296"/>
      <c r="FX6296"/>
      <c r="FY6296"/>
      <c r="FZ6296"/>
      <c r="GA6296"/>
      <c r="GB6296"/>
      <c r="GC6296"/>
      <c r="GD6296"/>
      <c r="GE6296"/>
      <c r="GF6296"/>
      <c r="GG6296"/>
      <c r="GH6296"/>
      <c r="GI6296"/>
      <c r="GJ6296"/>
      <c r="GK6296"/>
      <c r="GL6296"/>
      <c r="GM6296"/>
      <c r="GN6296"/>
      <c r="GO6296"/>
    </row>
    <row r="6297" spans="107:197">
      <c r="DC6297"/>
      <c r="FH6297"/>
      <c r="FI6297"/>
      <c r="FJ6297"/>
      <c r="FK6297"/>
      <c r="FL6297"/>
      <c r="FM6297"/>
      <c r="FN6297"/>
      <c r="FO6297"/>
      <c r="FP6297"/>
      <c r="FQ6297"/>
      <c r="FR6297"/>
      <c r="FS6297"/>
      <c r="FT6297"/>
      <c r="FU6297"/>
      <c r="FV6297"/>
      <c r="FW6297"/>
      <c r="FX6297"/>
      <c r="FY6297"/>
      <c r="FZ6297"/>
      <c r="GA6297"/>
      <c r="GB6297"/>
      <c r="GC6297"/>
      <c r="GD6297"/>
      <c r="GE6297"/>
      <c r="GF6297"/>
      <c r="GG6297"/>
      <c r="GH6297"/>
      <c r="GI6297"/>
      <c r="GJ6297"/>
      <c r="GK6297"/>
      <c r="GL6297"/>
      <c r="GM6297"/>
      <c r="GN6297"/>
      <c r="GO6297"/>
    </row>
    <row r="6298" spans="107:197">
      <c r="DC6298"/>
      <c r="FH6298"/>
      <c r="FI6298"/>
      <c r="FJ6298"/>
      <c r="FK6298"/>
      <c r="FL6298"/>
      <c r="FM6298"/>
      <c r="FN6298"/>
      <c r="FO6298"/>
      <c r="FP6298"/>
      <c r="FQ6298"/>
      <c r="FR6298"/>
      <c r="FS6298"/>
      <c r="FT6298"/>
      <c r="FU6298"/>
      <c r="FV6298"/>
      <c r="FW6298"/>
      <c r="FX6298"/>
      <c r="FY6298"/>
      <c r="FZ6298"/>
      <c r="GA6298"/>
      <c r="GB6298"/>
      <c r="GC6298"/>
      <c r="GD6298"/>
      <c r="GE6298"/>
      <c r="GF6298"/>
      <c r="GG6298"/>
      <c r="GH6298"/>
      <c r="GI6298"/>
      <c r="GJ6298"/>
      <c r="GK6298"/>
      <c r="GL6298"/>
      <c r="GM6298"/>
      <c r="GN6298"/>
      <c r="GO6298"/>
    </row>
    <row r="6299" spans="107:197">
      <c r="DC6299"/>
      <c r="FH6299"/>
      <c r="FI6299"/>
      <c r="FJ6299"/>
      <c r="FK6299"/>
      <c r="FL6299"/>
      <c r="FM6299"/>
      <c r="FN6299"/>
      <c r="FO6299"/>
      <c r="FP6299"/>
      <c r="FQ6299"/>
      <c r="FR6299"/>
      <c r="FS6299"/>
      <c r="FT6299"/>
      <c r="FU6299"/>
      <c r="FV6299"/>
      <c r="FW6299"/>
      <c r="FX6299"/>
      <c r="FY6299"/>
      <c r="FZ6299"/>
      <c r="GA6299"/>
      <c r="GB6299"/>
      <c r="GC6299"/>
      <c r="GD6299"/>
      <c r="GE6299"/>
      <c r="GF6299"/>
      <c r="GG6299"/>
      <c r="GH6299"/>
      <c r="GI6299"/>
      <c r="GJ6299"/>
      <c r="GK6299"/>
      <c r="GL6299"/>
      <c r="GM6299"/>
      <c r="GN6299"/>
      <c r="GO6299"/>
    </row>
    <row r="6300" spans="107:197">
      <c r="DC6300"/>
      <c r="FH6300"/>
      <c r="FI6300"/>
      <c r="FJ6300"/>
      <c r="FK6300"/>
      <c r="FL6300"/>
      <c r="FM6300"/>
      <c r="FN6300"/>
      <c r="FO6300"/>
      <c r="FP6300"/>
      <c r="FQ6300"/>
      <c r="FR6300"/>
      <c r="FS6300"/>
      <c r="FT6300"/>
      <c r="FU6300"/>
      <c r="FV6300"/>
      <c r="FW6300"/>
      <c r="FX6300"/>
      <c r="FY6300"/>
      <c r="FZ6300"/>
      <c r="GA6300"/>
      <c r="GB6300"/>
      <c r="GC6300"/>
      <c r="GD6300"/>
      <c r="GE6300"/>
      <c r="GF6300"/>
      <c r="GG6300"/>
      <c r="GH6300"/>
      <c r="GI6300"/>
      <c r="GJ6300"/>
      <c r="GK6300"/>
      <c r="GL6300"/>
      <c r="GM6300"/>
      <c r="GN6300"/>
      <c r="GO6300"/>
    </row>
    <row r="6301" spans="107:197">
      <c r="DC6301"/>
      <c r="FH6301"/>
      <c r="FI6301"/>
      <c r="FJ6301"/>
      <c r="FK6301"/>
      <c r="FL6301"/>
      <c r="FM6301"/>
      <c r="FN6301"/>
      <c r="FO6301"/>
      <c r="FP6301"/>
      <c r="FQ6301"/>
      <c r="FR6301"/>
      <c r="FS6301"/>
      <c r="FT6301"/>
      <c r="FU6301"/>
      <c r="FV6301"/>
      <c r="FW6301"/>
      <c r="FX6301"/>
      <c r="FY6301"/>
      <c r="FZ6301"/>
      <c r="GA6301"/>
      <c r="GB6301"/>
      <c r="GC6301"/>
      <c r="GD6301"/>
      <c r="GE6301"/>
      <c r="GF6301"/>
      <c r="GG6301"/>
      <c r="GH6301"/>
      <c r="GI6301"/>
      <c r="GJ6301"/>
      <c r="GK6301"/>
      <c r="GL6301"/>
      <c r="GM6301"/>
      <c r="GN6301"/>
      <c r="GO6301"/>
    </row>
    <row r="6302" spans="107:197">
      <c r="DC6302"/>
      <c r="FH6302"/>
      <c r="FI6302"/>
      <c r="FJ6302"/>
      <c r="FK6302"/>
      <c r="FL6302"/>
      <c r="FM6302"/>
      <c r="FN6302"/>
      <c r="FO6302"/>
      <c r="FP6302"/>
      <c r="FQ6302"/>
      <c r="FR6302"/>
      <c r="FS6302"/>
      <c r="FT6302"/>
      <c r="FU6302"/>
      <c r="FV6302"/>
      <c r="FW6302"/>
      <c r="FX6302"/>
      <c r="FY6302"/>
      <c r="FZ6302"/>
      <c r="GA6302"/>
      <c r="GB6302"/>
      <c r="GC6302"/>
      <c r="GD6302"/>
      <c r="GE6302"/>
      <c r="GF6302"/>
      <c r="GG6302"/>
      <c r="GH6302"/>
      <c r="GI6302"/>
      <c r="GJ6302"/>
      <c r="GK6302"/>
      <c r="GL6302"/>
      <c r="GM6302"/>
      <c r="GN6302"/>
      <c r="GO6302"/>
    </row>
    <row r="6303" spans="107:197">
      <c r="DC6303"/>
      <c r="FH6303"/>
      <c r="FI6303"/>
      <c r="FJ6303"/>
      <c r="FK6303"/>
      <c r="FL6303"/>
      <c r="FM6303"/>
      <c r="FN6303"/>
      <c r="FO6303"/>
      <c r="FP6303"/>
      <c r="FQ6303"/>
      <c r="FR6303"/>
      <c r="FS6303"/>
      <c r="FT6303"/>
      <c r="FU6303"/>
      <c r="FV6303"/>
      <c r="FW6303"/>
      <c r="FX6303"/>
      <c r="FY6303"/>
      <c r="FZ6303"/>
      <c r="GA6303"/>
      <c r="GB6303"/>
      <c r="GC6303"/>
      <c r="GD6303"/>
      <c r="GE6303"/>
      <c r="GF6303"/>
      <c r="GG6303"/>
      <c r="GH6303"/>
      <c r="GI6303"/>
      <c r="GJ6303"/>
      <c r="GK6303"/>
      <c r="GL6303"/>
      <c r="GM6303"/>
      <c r="GN6303"/>
      <c r="GO6303"/>
    </row>
    <row r="6304" spans="107:197">
      <c r="DC6304"/>
      <c r="FH6304"/>
      <c r="FI6304"/>
      <c r="FJ6304"/>
      <c r="FK6304"/>
      <c r="FL6304"/>
      <c r="FM6304"/>
      <c r="FN6304"/>
      <c r="FO6304"/>
      <c r="FP6304"/>
      <c r="FQ6304"/>
      <c r="FR6304"/>
      <c r="FS6304"/>
      <c r="FT6304"/>
      <c r="FU6304"/>
      <c r="FV6304"/>
      <c r="FW6304"/>
      <c r="FX6304"/>
      <c r="FY6304"/>
      <c r="FZ6304"/>
      <c r="GA6304"/>
      <c r="GB6304"/>
      <c r="GC6304"/>
      <c r="GD6304"/>
      <c r="GE6304"/>
      <c r="GF6304"/>
      <c r="GG6304"/>
      <c r="GH6304"/>
      <c r="GI6304"/>
      <c r="GJ6304"/>
      <c r="GK6304"/>
      <c r="GL6304"/>
      <c r="GM6304"/>
      <c r="GN6304"/>
      <c r="GO6304"/>
    </row>
    <row r="6305" spans="107:197">
      <c r="DC6305"/>
      <c r="FH6305"/>
      <c r="FI6305"/>
      <c r="FJ6305"/>
      <c r="FK6305"/>
      <c r="FL6305"/>
      <c r="FM6305"/>
      <c r="FN6305"/>
      <c r="FO6305"/>
      <c r="FP6305"/>
      <c r="FQ6305"/>
      <c r="FR6305"/>
      <c r="FS6305"/>
      <c r="FT6305"/>
      <c r="FU6305"/>
      <c r="FV6305"/>
      <c r="FW6305"/>
      <c r="FX6305"/>
      <c r="FY6305"/>
      <c r="FZ6305"/>
      <c r="GA6305"/>
      <c r="GB6305"/>
      <c r="GC6305"/>
      <c r="GD6305"/>
      <c r="GE6305"/>
      <c r="GF6305"/>
      <c r="GG6305"/>
      <c r="GH6305"/>
      <c r="GI6305"/>
      <c r="GJ6305"/>
      <c r="GK6305"/>
      <c r="GL6305"/>
      <c r="GM6305"/>
      <c r="GN6305"/>
      <c r="GO6305"/>
    </row>
    <row r="6306" spans="107:197">
      <c r="DC6306"/>
      <c r="FH6306"/>
      <c r="FI6306"/>
      <c r="FJ6306"/>
      <c r="FK6306"/>
      <c r="FL6306"/>
      <c r="FM6306"/>
      <c r="FN6306"/>
      <c r="FO6306"/>
      <c r="FP6306"/>
      <c r="FQ6306"/>
      <c r="FR6306"/>
      <c r="FS6306"/>
      <c r="FT6306"/>
      <c r="FU6306"/>
      <c r="FV6306"/>
      <c r="FW6306"/>
      <c r="FX6306"/>
      <c r="FY6306"/>
      <c r="FZ6306"/>
      <c r="GA6306"/>
      <c r="GB6306"/>
      <c r="GC6306"/>
      <c r="GD6306"/>
      <c r="GE6306"/>
      <c r="GF6306"/>
      <c r="GG6306"/>
      <c r="GH6306"/>
      <c r="GI6306"/>
      <c r="GJ6306"/>
      <c r="GK6306"/>
      <c r="GL6306"/>
      <c r="GM6306"/>
      <c r="GN6306"/>
      <c r="GO6306"/>
    </row>
    <row r="6307" spans="107:197">
      <c r="DC6307"/>
      <c r="FH6307"/>
      <c r="FI6307"/>
      <c r="FJ6307"/>
      <c r="FK6307"/>
      <c r="FL6307"/>
      <c r="FM6307"/>
      <c r="FN6307"/>
      <c r="FO6307"/>
      <c r="FP6307"/>
      <c r="FQ6307"/>
      <c r="FR6307"/>
      <c r="FS6307"/>
      <c r="FT6307"/>
      <c r="FU6307"/>
      <c r="FV6307"/>
      <c r="FW6307"/>
      <c r="FX6307"/>
      <c r="FY6307"/>
      <c r="FZ6307"/>
      <c r="GA6307"/>
      <c r="GB6307"/>
      <c r="GC6307"/>
      <c r="GD6307"/>
      <c r="GE6307"/>
      <c r="GF6307"/>
      <c r="GG6307"/>
      <c r="GH6307"/>
      <c r="GI6307"/>
      <c r="GJ6307"/>
      <c r="GK6307"/>
      <c r="GL6307"/>
      <c r="GM6307"/>
      <c r="GN6307"/>
      <c r="GO6307"/>
    </row>
    <row r="6308" spans="107:197">
      <c r="DC6308"/>
      <c r="FH6308"/>
      <c r="FI6308"/>
      <c r="FJ6308"/>
      <c r="FK6308"/>
      <c r="FL6308"/>
      <c r="FM6308"/>
      <c r="FN6308"/>
      <c r="FO6308"/>
      <c r="FP6308"/>
      <c r="FQ6308"/>
      <c r="FR6308"/>
      <c r="FS6308"/>
      <c r="FT6308"/>
      <c r="FU6308"/>
      <c r="FV6308"/>
      <c r="FW6308"/>
      <c r="FX6308"/>
      <c r="FY6308"/>
      <c r="FZ6308"/>
      <c r="GA6308"/>
      <c r="GB6308"/>
      <c r="GC6308"/>
      <c r="GD6308"/>
      <c r="GE6308"/>
      <c r="GF6308"/>
      <c r="GG6308"/>
      <c r="GH6308"/>
      <c r="GI6308"/>
      <c r="GJ6308"/>
      <c r="GK6308"/>
      <c r="GL6308"/>
      <c r="GM6308"/>
      <c r="GN6308"/>
      <c r="GO6308"/>
    </row>
    <row r="6309" spans="107:197">
      <c r="DC6309"/>
      <c r="FH6309"/>
      <c r="FI6309"/>
      <c r="FJ6309"/>
      <c r="FK6309"/>
      <c r="FL6309"/>
      <c r="FM6309"/>
      <c r="FN6309"/>
      <c r="FO6309"/>
      <c r="FP6309"/>
      <c r="FQ6309"/>
      <c r="FR6309"/>
      <c r="FS6309"/>
      <c r="FT6309"/>
      <c r="FU6309"/>
      <c r="FV6309"/>
      <c r="FW6309"/>
      <c r="FX6309"/>
      <c r="FY6309"/>
      <c r="FZ6309"/>
      <c r="GA6309"/>
      <c r="GB6309"/>
      <c r="GC6309"/>
      <c r="GD6309"/>
      <c r="GE6309"/>
      <c r="GF6309"/>
      <c r="GG6309"/>
      <c r="GH6309"/>
      <c r="GI6309"/>
      <c r="GJ6309"/>
      <c r="GK6309"/>
      <c r="GL6309"/>
      <c r="GM6309"/>
      <c r="GN6309"/>
      <c r="GO6309"/>
    </row>
    <row r="6310" spans="107:197">
      <c r="DC6310"/>
      <c r="FH6310"/>
      <c r="FI6310"/>
      <c r="FJ6310"/>
      <c r="FK6310"/>
      <c r="FL6310"/>
      <c r="FM6310"/>
      <c r="FN6310"/>
      <c r="FO6310"/>
      <c r="FP6310"/>
      <c r="FQ6310"/>
      <c r="FR6310"/>
      <c r="FS6310"/>
      <c r="FT6310"/>
      <c r="FU6310"/>
      <c r="FV6310"/>
      <c r="FW6310"/>
      <c r="FX6310"/>
      <c r="FY6310"/>
      <c r="FZ6310"/>
      <c r="GA6310"/>
      <c r="GB6310"/>
      <c r="GC6310"/>
      <c r="GD6310"/>
      <c r="GE6310"/>
      <c r="GF6310"/>
      <c r="GG6310"/>
      <c r="GH6310"/>
      <c r="GI6310"/>
      <c r="GJ6310"/>
      <c r="GK6310"/>
      <c r="GL6310"/>
      <c r="GM6310"/>
      <c r="GN6310"/>
      <c r="GO6310"/>
    </row>
    <row r="6311" spans="107:197">
      <c r="DC6311"/>
      <c r="FH6311"/>
      <c r="FI6311"/>
      <c r="FJ6311"/>
      <c r="FK6311"/>
      <c r="FL6311"/>
      <c r="FM6311"/>
      <c r="FN6311"/>
      <c r="FO6311"/>
      <c r="FP6311"/>
      <c r="FQ6311"/>
      <c r="FR6311"/>
      <c r="FS6311"/>
      <c r="FT6311"/>
      <c r="FU6311"/>
      <c r="FV6311"/>
      <c r="FW6311"/>
      <c r="FX6311"/>
      <c r="FY6311"/>
      <c r="FZ6311"/>
      <c r="GA6311"/>
      <c r="GB6311"/>
      <c r="GC6311"/>
      <c r="GD6311"/>
      <c r="GE6311"/>
      <c r="GF6311"/>
      <c r="GG6311"/>
      <c r="GH6311"/>
      <c r="GI6311"/>
      <c r="GJ6311"/>
      <c r="GK6311"/>
      <c r="GL6311"/>
      <c r="GM6311"/>
      <c r="GN6311"/>
      <c r="GO6311"/>
    </row>
    <row r="6312" spans="107:197">
      <c r="DC6312"/>
      <c r="FH6312"/>
      <c r="FI6312"/>
      <c r="FJ6312"/>
      <c r="FK6312"/>
      <c r="FL6312"/>
      <c r="FM6312"/>
      <c r="FN6312"/>
      <c r="FO6312"/>
      <c r="FP6312"/>
      <c r="FQ6312"/>
      <c r="FR6312"/>
      <c r="FS6312"/>
      <c r="FT6312"/>
      <c r="FU6312"/>
      <c r="FV6312"/>
      <c r="FW6312"/>
      <c r="FX6312"/>
      <c r="FY6312"/>
      <c r="FZ6312"/>
      <c r="GA6312"/>
      <c r="GB6312"/>
      <c r="GC6312"/>
      <c r="GD6312"/>
      <c r="GE6312"/>
      <c r="GF6312"/>
      <c r="GG6312"/>
      <c r="GH6312"/>
      <c r="GI6312"/>
      <c r="GJ6312"/>
      <c r="GK6312"/>
      <c r="GL6312"/>
      <c r="GM6312"/>
      <c r="GN6312"/>
      <c r="GO6312"/>
    </row>
    <row r="6313" spans="107:197">
      <c r="DC6313"/>
      <c r="FH6313"/>
      <c r="FI6313"/>
      <c r="FJ6313"/>
      <c r="FK6313"/>
      <c r="FL6313"/>
      <c r="FM6313"/>
      <c r="FN6313"/>
      <c r="FO6313"/>
      <c r="FP6313"/>
      <c r="FQ6313"/>
      <c r="FR6313"/>
      <c r="FS6313"/>
      <c r="FT6313"/>
      <c r="FU6313"/>
      <c r="FV6313"/>
      <c r="FW6313"/>
      <c r="FX6313"/>
      <c r="FY6313"/>
      <c r="FZ6313"/>
      <c r="GA6313"/>
      <c r="GB6313"/>
      <c r="GC6313"/>
      <c r="GD6313"/>
      <c r="GE6313"/>
      <c r="GF6313"/>
      <c r="GG6313"/>
      <c r="GH6313"/>
      <c r="GI6313"/>
      <c r="GJ6313"/>
      <c r="GK6313"/>
      <c r="GL6313"/>
      <c r="GM6313"/>
      <c r="GN6313"/>
      <c r="GO6313"/>
    </row>
    <row r="6314" spans="107:197">
      <c r="DC6314"/>
      <c r="FH6314"/>
      <c r="FI6314"/>
      <c r="FJ6314"/>
      <c r="FK6314"/>
      <c r="FL6314"/>
      <c r="FM6314"/>
      <c r="FN6314"/>
      <c r="FO6314"/>
      <c r="FP6314"/>
      <c r="FQ6314"/>
      <c r="FR6314"/>
      <c r="FS6314"/>
      <c r="FT6314"/>
      <c r="FU6314"/>
      <c r="FV6314"/>
      <c r="FW6314"/>
      <c r="FX6314"/>
      <c r="FY6314"/>
      <c r="FZ6314"/>
      <c r="GA6314"/>
      <c r="GB6314"/>
      <c r="GC6314"/>
      <c r="GD6314"/>
      <c r="GE6314"/>
      <c r="GF6314"/>
      <c r="GG6314"/>
      <c r="GH6314"/>
      <c r="GI6314"/>
      <c r="GJ6314"/>
      <c r="GK6314"/>
      <c r="GL6314"/>
      <c r="GM6314"/>
      <c r="GN6314"/>
      <c r="GO6314"/>
    </row>
    <row r="6315" spans="107:197">
      <c r="DC6315"/>
      <c r="FH6315"/>
      <c r="FI6315"/>
      <c r="FJ6315"/>
      <c r="FK6315"/>
      <c r="FL6315"/>
      <c r="FM6315"/>
      <c r="FN6315"/>
      <c r="FO6315"/>
      <c r="FP6315"/>
      <c r="FQ6315"/>
      <c r="FR6315"/>
      <c r="FS6315"/>
      <c r="FT6315"/>
      <c r="FU6315"/>
      <c r="FV6315"/>
      <c r="FW6315"/>
      <c r="FX6315"/>
      <c r="FY6315"/>
      <c r="FZ6315"/>
      <c r="GA6315"/>
      <c r="GB6315"/>
      <c r="GC6315"/>
      <c r="GD6315"/>
      <c r="GE6315"/>
      <c r="GF6315"/>
      <c r="GG6315"/>
      <c r="GH6315"/>
      <c r="GI6315"/>
      <c r="GJ6315"/>
      <c r="GK6315"/>
      <c r="GL6315"/>
      <c r="GM6315"/>
      <c r="GN6315"/>
      <c r="GO6315"/>
    </row>
    <row r="6316" spans="107:197">
      <c r="DC6316"/>
      <c r="FH6316"/>
      <c r="FI6316"/>
      <c r="FJ6316"/>
      <c r="FK6316"/>
      <c r="FL6316"/>
      <c r="FM6316"/>
      <c r="FN6316"/>
      <c r="FO6316"/>
      <c r="FP6316"/>
      <c r="FQ6316"/>
      <c r="FR6316"/>
      <c r="FS6316"/>
      <c r="FT6316"/>
      <c r="FU6316"/>
      <c r="FV6316"/>
      <c r="FW6316"/>
      <c r="FX6316"/>
      <c r="FY6316"/>
      <c r="FZ6316"/>
      <c r="GA6316"/>
      <c r="GB6316"/>
      <c r="GC6316"/>
      <c r="GD6316"/>
      <c r="GE6316"/>
      <c r="GF6316"/>
      <c r="GG6316"/>
      <c r="GH6316"/>
      <c r="GI6316"/>
      <c r="GJ6316"/>
      <c r="GK6316"/>
      <c r="GL6316"/>
      <c r="GM6316"/>
      <c r="GN6316"/>
      <c r="GO6316"/>
    </row>
    <row r="6317" spans="107:197">
      <c r="DC6317"/>
      <c r="FH6317"/>
      <c r="FI6317"/>
      <c r="FJ6317"/>
      <c r="FK6317"/>
      <c r="FL6317"/>
      <c r="FM6317"/>
      <c r="FN6317"/>
      <c r="FO6317"/>
      <c r="FP6317"/>
      <c r="FQ6317"/>
      <c r="FR6317"/>
      <c r="FS6317"/>
      <c r="FT6317"/>
      <c r="FU6317"/>
      <c r="FV6317"/>
      <c r="FW6317"/>
      <c r="FX6317"/>
      <c r="FY6317"/>
      <c r="FZ6317"/>
      <c r="GA6317"/>
      <c r="GB6317"/>
      <c r="GC6317"/>
      <c r="GD6317"/>
      <c r="GE6317"/>
      <c r="GF6317"/>
      <c r="GG6317"/>
      <c r="GH6317"/>
      <c r="GI6317"/>
      <c r="GJ6317"/>
      <c r="GK6317"/>
      <c r="GL6317"/>
      <c r="GM6317"/>
      <c r="GN6317"/>
      <c r="GO6317"/>
    </row>
    <row r="6318" spans="107:197">
      <c r="DC6318"/>
      <c r="FH6318"/>
      <c r="FI6318"/>
      <c r="FJ6318"/>
      <c r="FK6318"/>
      <c r="FL6318"/>
      <c r="FM6318"/>
      <c r="FN6318"/>
      <c r="FO6318"/>
      <c r="FP6318"/>
      <c r="FQ6318"/>
      <c r="FR6318"/>
      <c r="FS6318"/>
      <c r="FT6318"/>
      <c r="FU6318"/>
      <c r="FV6318"/>
      <c r="FW6318"/>
      <c r="FX6318"/>
      <c r="FY6318"/>
      <c r="FZ6318"/>
      <c r="GA6318"/>
      <c r="GB6318"/>
      <c r="GC6318"/>
      <c r="GD6318"/>
      <c r="GE6318"/>
      <c r="GF6318"/>
      <c r="GG6318"/>
      <c r="GH6318"/>
      <c r="GI6318"/>
      <c r="GJ6318"/>
      <c r="GK6318"/>
      <c r="GL6318"/>
      <c r="GM6318"/>
      <c r="GN6318"/>
      <c r="GO6318"/>
    </row>
    <row r="6319" spans="107:197">
      <c r="DC6319"/>
      <c r="FH6319"/>
      <c r="FI6319"/>
      <c r="FJ6319"/>
      <c r="FK6319"/>
      <c r="FL6319"/>
      <c r="FM6319"/>
      <c r="FN6319"/>
      <c r="FO6319"/>
      <c r="FP6319"/>
      <c r="FQ6319"/>
      <c r="FR6319"/>
      <c r="FS6319"/>
      <c r="FT6319"/>
      <c r="FU6319"/>
      <c r="FV6319"/>
      <c r="FW6319"/>
      <c r="FX6319"/>
      <c r="FY6319"/>
      <c r="FZ6319"/>
      <c r="GA6319"/>
      <c r="GB6319"/>
      <c r="GC6319"/>
      <c r="GD6319"/>
      <c r="GE6319"/>
      <c r="GF6319"/>
      <c r="GG6319"/>
      <c r="GH6319"/>
      <c r="GI6319"/>
      <c r="GJ6319"/>
      <c r="GK6319"/>
      <c r="GL6319"/>
      <c r="GM6319"/>
      <c r="GN6319"/>
      <c r="GO6319"/>
    </row>
    <row r="6320" spans="107:197">
      <c r="DC6320"/>
      <c r="FH6320"/>
      <c r="FI6320"/>
      <c r="FJ6320"/>
      <c r="FK6320"/>
      <c r="FL6320"/>
      <c r="FM6320"/>
      <c r="FN6320"/>
      <c r="FO6320"/>
      <c r="FP6320"/>
      <c r="FQ6320"/>
      <c r="FR6320"/>
      <c r="FS6320"/>
      <c r="FT6320"/>
      <c r="FU6320"/>
      <c r="FV6320"/>
      <c r="FW6320"/>
      <c r="FX6320"/>
      <c r="FY6320"/>
      <c r="FZ6320"/>
      <c r="GA6320"/>
      <c r="GB6320"/>
      <c r="GC6320"/>
      <c r="GD6320"/>
      <c r="GE6320"/>
      <c r="GF6320"/>
      <c r="GG6320"/>
      <c r="GH6320"/>
      <c r="GI6320"/>
      <c r="GJ6320"/>
      <c r="GK6320"/>
      <c r="GL6320"/>
      <c r="GM6320"/>
      <c r="GN6320"/>
      <c r="GO6320"/>
    </row>
    <row r="6321" spans="107:197">
      <c r="DC6321"/>
      <c r="FH6321"/>
      <c r="FI6321"/>
      <c r="FJ6321"/>
      <c r="FK6321"/>
      <c r="FL6321"/>
      <c r="FM6321"/>
      <c r="FN6321"/>
      <c r="FO6321"/>
      <c r="FP6321"/>
      <c r="FQ6321"/>
      <c r="FR6321"/>
      <c r="FS6321"/>
      <c r="FT6321"/>
      <c r="FU6321"/>
      <c r="FV6321"/>
      <c r="FW6321"/>
      <c r="FX6321"/>
      <c r="FY6321"/>
      <c r="FZ6321"/>
      <c r="GA6321"/>
      <c r="GB6321"/>
      <c r="GC6321"/>
      <c r="GD6321"/>
      <c r="GE6321"/>
      <c r="GF6321"/>
      <c r="GG6321"/>
      <c r="GH6321"/>
      <c r="GI6321"/>
      <c r="GJ6321"/>
      <c r="GK6321"/>
      <c r="GL6321"/>
      <c r="GM6321"/>
      <c r="GN6321"/>
      <c r="GO6321"/>
    </row>
    <row r="6322" spans="107:197">
      <c r="DC6322"/>
      <c r="FH6322"/>
      <c r="FI6322"/>
      <c r="FJ6322"/>
      <c r="FK6322"/>
      <c r="FL6322"/>
      <c r="FM6322"/>
      <c r="FN6322"/>
      <c r="FO6322"/>
      <c r="FP6322"/>
      <c r="FQ6322"/>
      <c r="FR6322"/>
      <c r="FS6322"/>
      <c r="FT6322"/>
      <c r="FU6322"/>
      <c r="FV6322"/>
      <c r="FW6322"/>
      <c r="FX6322"/>
      <c r="FY6322"/>
      <c r="FZ6322"/>
      <c r="GA6322"/>
      <c r="GB6322"/>
      <c r="GC6322"/>
      <c r="GD6322"/>
      <c r="GE6322"/>
      <c r="GF6322"/>
      <c r="GG6322"/>
      <c r="GH6322"/>
      <c r="GI6322"/>
      <c r="GJ6322"/>
      <c r="GK6322"/>
      <c r="GL6322"/>
      <c r="GM6322"/>
      <c r="GN6322"/>
      <c r="GO6322"/>
    </row>
    <row r="6323" spans="107:197">
      <c r="DC6323"/>
      <c r="FH6323"/>
      <c r="FI6323"/>
      <c r="FJ6323"/>
      <c r="FK6323"/>
      <c r="FL6323"/>
      <c r="FM6323"/>
      <c r="FN6323"/>
      <c r="FO6323"/>
      <c r="FP6323"/>
      <c r="FQ6323"/>
      <c r="FR6323"/>
      <c r="FS6323"/>
      <c r="FT6323"/>
      <c r="FU6323"/>
      <c r="FV6323"/>
      <c r="FW6323"/>
      <c r="FX6323"/>
      <c r="FY6323"/>
      <c r="FZ6323"/>
      <c r="GA6323"/>
      <c r="GB6323"/>
      <c r="GC6323"/>
      <c r="GD6323"/>
      <c r="GE6323"/>
      <c r="GF6323"/>
      <c r="GG6323"/>
      <c r="GH6323"/>
      <c r="GI6323"/>
      <c r="GJ6323"/>
      <c r="GK6323"/>
      <c r="GL6323"/>
      <c r="GM6323"/>
      <c r="GN6323"/>
      <c r="GO6323"/>
    </row>
    <row r="6324" spans="107:197">
      <c r="DC6324"/>
      <c r="FH6324"/>
      <c r="FI6324"/>
      <c r="FJ6324"/>
      <c r="FK6324"/>
      <c r="FL6324"/>
      <c r="FM6324"/>
      <c r="FN6324"/>
      <c r="FO6324"/>
      <c r="FP6324"/>
      <c r="FQ6324"/>
      <c r="FR6324"/>
      <c r="FS6324"/>
      <c r="FT6324"/>
      <c r="FU6324"/>
      <c r="FV6324"/>
      <c r="FW6324"/>
      <c r="FX6324"/>
      <c r="FY6324"/>
      <c r="FZ6324"/>
      <c r="GA6324"/>
      <c r="GB6324"/>
      <c r="GC6324"/>
      <c r="GD6324"/>
      <c r="GE6324"/>
      <c r="GF6324"/>
      <c r="GG6324"/>
      <c r="GH6324"/>
      <c r="GI6324"/>
      <c r="GJ6324"/>
      <c r="GK6324"/>
      <c r="GL6324"/>
      <c r="GM6324"/>
      <c r="GN6324"/>
      <c r="GO6324"/>
    </row>
    <row r="6325" spans="107:197">
      <c r="DC6325"/>
      <c r="FH6325"/>
      <c r="FI6325"/>
      <c r="FJ6325"/>
      <c r="FK6325"/>
      <c r="FL6325"/>
      <c r="FM6325"/>
      <c r="FN6325"/>
      <c r="FO6325"/>
      <c r="FP6325"/>
      <c r="FQ6325"/>
      <c r="FR6325"/>
      <c r="FS6325"/>
      <c r="FT6325"/>
      <c r="FU6325"/>
      <c r="FV6325"/>
      <c r="FW6325"/>
      <c r="FX6325"/>
      <c r="FY6325"/>
      <c r="FZ6325"/>
      <c r="GA6325"/>
      <c r="GB6325"/>
      <c r="GC6325"/>
      <c r="GD6325"/>
      <c r="GE6325"/>
      <c r="GF6325"/>
      <c r="GG6325"/>
      <c r="GH6325"/>
      <c r="GI6325"/>
      <c r="GJ6325"/>
      <c r="GK6325"/>
      <c r="GL6325"/>
      <c r="GM6325"/>
      <c r="GN6325"/>
      <c r="GO6325"/>
    </row>
    <row r="6326" spans="107:197">
      <c r="DC6326"/>
      <c r="FH6326"/>
      <c r="FI6326"/>
      <c r="FJ6326"/>
      <c r="FK6326"/>
      <c r="FL6326"/>
      <c r="FM6326"/>
      <c r="FN6326"/>
      <c r="FO6326"/>
      <c r="FP6326"/>
      <c r="FQ6326"/>
      <c r="FR6326"/>
      <c r="FS6326"/>
      <c r="FT6326"/>
      <c r="FU6326"/>
      <c r="FV6326"/>
      <c r="FW6326"/>
      <c r="FX6326"/>
      <c r="FY6326"/>
      <c r="FZ6326"/>
      <c r="GA6326"/>
      <c r="GB6326"/>
      <c r="GC6326"/>
      <c r="GD6326"/>
      <c r="GE6326"/>
      <c r="GF6326"/>
      <c r="GG6326"/>
      <c r="GH6326"/>
      <c r="GI6326"/>
      <c r="GJ6326"/>
      <c r="GK6326"/>
      <c r="GL6326"/>
      <c r="GM6326"/>
      <c r="GN6326"/>
      <c r="GO6326"/>
    </row>
    <row r="6327" spans="107:197">
      <c r="DC6327"/>
      <c r="FH6327"/>
      <c r="FI6327"/>
      <c r="FJ6327"/>
      <c r="FK6327"/>
      <c r="FL6327"/>
      <c r="FM6327"/>
      <c r="FN6327"/>
      <c r="FO6327"/>
      <c r="FP6327"/>
      <c r="FQ6327"/>
      <c r="FR6327"/>
      <c r="FS6327"/>
      <c r="FT6327"/>
      <c r="FU6327"/>
      <c r="FV6327"/>
      <c r="FW6327"/>
      <c r="FX6327"/>
      <c r="FY6327"/>
      <c r="FZ6327"/>
      <c r="GA6327"/>
      <c r="GB6327"/>
      <c r="GC6327"/>
      <c r="GD6327"/>
      <c r="GE6327"/>
      <c r="GF6327"/>
      <c r="GG6327"/>
      <c r="GH6327"/>
      <c r="GI6327"/>
      <c r="GJ6327"/>
      <c r="GK6327"/>
      <c r="GL6327"/>
      <c r="GM6327"/>
      <c r="GN6327"/>
      <c r="GO6327"/>
    </row>
    <row r="6328" spans="107:197">
      <c r="DC6328"/>
      <c r="FH6328"/>
      <c r="FI6328"/>
      <c r="FJ6328"/>
      <c r="FK6328"/>
      <c r="FL6328"/>
      <c r="FM6328"/>
      <c r="FN6328"/>
      <c r="FO6328"/>
      <c r="FP6328"/>
      <c r="FQ6328"/>
      <c r="FR6328"/>
      <c r="FS6328"/>
      <c r="FT6328"/>
      <c r="FU6328"/>
      <c r="FV6328"/>
      <c r="FW6328"/>
      <c r="FX6328"/>
      <c r="FY6328"/>
      <c r="FZ6328"/>
      <c r="GA6328"/>
      <c r="GB6328"/>
      <c r="GC6328"/>
      <c r="GD6328"/>
      <c r="GE6328"/>
      <c r="GF6328"/>
      <c r="GG6328"/>
      <c r="GH6328"/>
      <c r="GI6328"/>
      <c r="GJ6328"/>
      <c r="GK6328"/>
      <c r="GL6328"/>
      <c r="GM6328"/>
      <c r="GN6328"/>
      <c r="GO6328"/>
    </row>
    <row r="6329" spans="107:197">
      <c r="DC6329"/>
      <c r="FH6329"/>
      <c r="FI6329"/>
      <c r="FJ6329"/>
      <c r="FK6329"/>
      <c r="FL6329"/>
      <c r="FM6329"/>
      <c r="FN6329"/>
      <c r="FO6329"/>
      <c r="FP6329"/>
      <c r="FQ6329"/>
      <c r="FR6329"/>
      <c r="FS6329"/>
      <c r="FT6329"/>
      <c r="FU6329"/>
      <c r="FV6329"/>
      <c r="FW6329"/>
      <c r="FX6329"/>
      <c r="FY6329"/>
      <c r="FZ6329"/>
      <c r="GA6329"/>
      <c r="GB6329"/>
      <c r="GC6329"/>
      <c r="GD6329"/>
      <c r="GE6329"/>
      <c r="GF6329"/>
      <c r="GG6329"/>
      <c r="GH6329"/>
      <c r="GI6329"/>
      <c r="GJ6329"/>
      <c r="GK6329"/>
      <c r="GL6329"/>
      <c r="GM6329"/>
      <c r="GN6329"/>
      <c r="GO6329"/>
    </row>
    <row r="6330" spans="107:197">
      <c r="DC6330"/>
      <c r="FH6330"/>
      <c r="FI6330"/>
      <c r="FJ6330"/>
      <c r="FK6330"/>
      <c r="FL6330"/>
      <c r="FM6330"/>
      <c r="FN6330"/>
      <c r="FO6330"/>
      <c r="FP6330"/>
      <c r="FQ6330"/>
      <c r="FR6330"/>
      <c r="FS6330"/>
      <c r="FT6330"/>
      <c r="FU6330"/>
      <c r="FV6330"/>
      <c r="FW6330"/>
      <c r="FX6330"/>
      <c r="FY6330"/>
      <c r="FZ6330"/>
      <c r="GA6330"/>
      <c r="GB6330"/>
      <c r="GC6330"/>
      <c r="GD6330"/>
      <c r="GE6330"/>
      <c r="GF6330"/>
      <c r="GG6330"/>
      <c r="GH6330"/>
      <c r="GI6330"/>
      <c r="GJ6330"/>
      <c r="GK6330"/>
      <c r="GL6330"/>
      <c r="GM6330"/>
      <c r="GN6330"/>
      <c r="GO6330"/>
    </row>
    <row r="6331" spans="107:197">
      <c r="DC6331"/>
      <c r="FH6331"/>
      <c r="FI6331"/>
      <c r="FJ6331"/>
      <c r="FK6331"/>
      <c r="FL6331"/>
      <c r="FM6331"/>
      <c r="FN6331"/>
      <c r="FO6331"/>
      <c r="FP6331"/>
      <c r="FQ6331"/>
      <c r="FR6331"/>
      <c r="FS6331"/>
      <c r="FT6331"/>
      <c r="FU6331"/>
      <c r="FV6331"/>
      <c r="FW6331"/>
      <c r="FX6331"/>
      <c r="FY6331"/>
      <c r="FZ6331"/>
      <c r="GA6331"/>
      <c r="GB6331"/>
      <c r="GC6331"/>
      <c r="GD6331"/>
      <c r="GE6331"/>
      <c r="GF6331"/>
      <c r="GG6331"/>
      <c r="GH6331"/>
      <c r="GI6331"/>
      <c r="GJ6331"/>
      <c r="GK6331"/>
      <c r="GL6331"/>
      <c r="GM6331"/>
      <c r="GN6331"/>
      <c r="GO6331"/>
    </row>
    <row r="6332" spans="107:197">
      <c r="DC6332"/>
      <c r="FH6332"/>
      <c r="FI6332"/>
      <c r="FJ6332"/>
      <c r="FK6332"/>
      <c r="FL6332"/>
      <c r="FM6332"/>
      <c r="FN6332"/>
      <c r="FO6332"/>
      <c r="FP6332"/>
      <c r="FQ6332"/>
      <c r="FR6332"/>
      <c r="FS6332"/>
      <c r="FT6332"/>
      <c r="FU6332"/>
      <c r="FV6332"/>
      <c r="FW6332"/>
      <c r="FX6332"/>
      <c r="FY6332"/>
      <c r="FZ6332"/>
      <c r="GA6332"/>
      <c r="GB6332"/>
      <c r="GC6332"/>
      <c r="GD6332"/>
      <c r="GE6332"/>
      <c r="GF6332"/>
      <c r="GG6332"/>
      <c r="GH6332"/>
      <c r="GI6332"/>
      <c r="GJ6332"/>
      <c r="GK6332"/>
      <c r="GL6332"/>
      <c r="GM6332"/>
      <c r="GN6332"/>
      <c r="GO6332"/>
    </row>
    <row r="6333" spans="107:197">
      <c r="DC6333"/>
      <c r="FH6333"/>
      <c r="FI6333"/>
      <c r="FJ6333"/>
      <c r="FK6333"/>
      <c r="FL6333"/>
      <c r="FM6333"/>
      <c r="FN6333"/>
      <c r="FO6333"/>
      <c r="FP6333"/>
      <c r="FQ6333"/>
      <c r="FR6333"/>
      <c r="FS6333"/>
      <c r="FT6333"/>
      <c r="FU6333"/>
      <c r="FV6333"/>
      <c r="FW6333"/>
      <c r="FX6333"/>
      <c r="FY6333"/>
      <c r="FZ6333"/>
      <c r="GA6333"/>
      <c r="GB6333"/>
      <c r="GC6333"/>
      <c r="GD6333"/>
      <c r="GE6333"/>
      <c r="GF6333"/>
      <c r="GG6333"/>
      <c r="GH6333"/>
      <c r="GI6333"/>
      <c r="GJ6333"/>
      <c r="GK6333"/>
      <c r="GL6333"/>
      <c r="GM6333"/>
      <c r="GN6333"/>
      <c r="GO6333"/>
    </row>
    <row r="6334" spans="107:197">
      <c r="DC6334"/>
      <c r="FH6334"/>
      <c r="FI6334"/>
      <c r="FJ6334"/>
      <c r="FK6334"/>
      <c r="FL6334"/>
      <c r="FM6334"/>
      <c r="FN6334"/>
      <c r="FO6334"/>
      <c r="FP6334"/>
      <c r="FQ6334"/>
      <c r="FR6334"/>
      <c r="FS6334"/>
      <c r="FT6334"/>
      <c r="FU6334"/>
      <c r="FV6334"/>
      <c r="FW6334"/>
      <c r="FX6334"/>
      <c r="FY6334"/>
      <c r="FZ6334"/>
      <c r="GA6334"/>
      <c r="GB6334"/>
      <c r="GC6334"/>
      <c r="GD6334"/>
      <c r="GE6334"/>
      <c r="GF6334"/>
      <c r="GG6334"/>
      <c r="GH6334"/>
      <c r="GI6334"/>
      <c r="GJ6334"/>
      <c r="GK6334"/>
      <c r="GL6334"/>
      <c r="GM6334"/>
      <c r="GN6334"/>
      <c r="GO6334"/>
    </row>
    <row r="6335" spans="107:197">
      <c r="DC6335"/>
      <c r="FH6335"/>
      <c r="FI6335"/>
      <c r="FJ6335"/>
      <c r="FK6335"/>
      <c r="FL6335"/>
      <c r="FM6335"/>
      <c r="FN6335"/>
      <c r="FO6335"/>
      <c r="FP6335"/>
      <c r="FQ6335"/>
      <c r="FR6335"/>
      <c r="FS6335"/>
      <c r="FT6335"/>
      <c r="FU6335"/>
      <c r="FV6335"/>
      <c r="FW6335"/>
      <c r="FX6335"/>
      <c r="FY6335"/>
      <c r="FZ6335"/>
      <c r="GA6335"/>
      <c r="GB6335"/>
      <c r="GC6335"/>
      <c r="GD6335"/>
      <c r="GE6335"/>
      <c r="GF6335"/>
      <c r="GG6335"/>
      <c r="GH6335"/>
      <c r="GI6335"/>
      <c r="GJ6335"/>
      <c r="GK6335"/>
      <c r="GL6335"/>
      <c r="GM6335"/>
      <c r="GN6335"/>
      <c r="GO6335"/>
    </row>
    <row r="6336" spans="107:197">
      <c r="DC6336"/>
      <c r="FH6336"/>
      <c r="FI6336"/>
      <c r="FJ6336"/>
      <c r="FK6336"/>
      <c r="FL6336"/>
      <c r="FM6336"/>
      <c r="FN6336"/>
      <c r="FO6336"/>
      <c r="FP6336"/>
      <c r="FQ6336"/>
      <c r="FR6336"/>
      <c r="FS6336"/>
      <c r="FT6336"/>
      <c r="FU6336"/>
      <c r="FV6336"/>
      <c r="FW6336"/>
      <c r="FX6336"/>
      <c r="FY6336"/>
      <c r="FZ6336"/>
      <c r="GA6336"/>
      <c r="GB6336"/>
      <c r="GC6336"/>
      <c r="GD6336"/>
      <c r="GE6336"/>
      <c r="GF6336"/>
      <c r="GG6336"/>
      <c r="GH6336"/>
      <c r="GI6336"/>
      <c r="GJ6336"/>
      <c r="GK6336"/>
      <c r="GL6336"/>
      <c r="GM6336"/>
      <c r="GN6336"/>
      <c r="GO6336"/>
    </row>
    <row r="6337" spans="107:197">
      <c r="DC6337"/>
      <c r="FH6337"/>
      <c r="FI6337"/>
      <c r="FJ6337"/>
      <c r="FK6337"/>
      <c r="FL6337"/>
      <c r="FM6337"/>
      <c r="FN6337"/>
      <c r="FO6337"/>
      <c r="FP6337"/>
      <c r="FQ6337"/>
      <c r="FR6337"/>
      <c r="FS6337"/>
      <c r="FT6337"/>
      <c r="FU6337"/>
      <c r="FV6337"/>
      <c r="FW6337"/>
      <c r="FX6337"/>
      <c r="FY6337"/>
      <c r="FZ6337"/>
      <c r="GA6337"/>
      <c r="GB6337"/>
      <c r="GC6337"/>
      <c r="GD6337"/>
      <c r="GE6337"/>
      <c r="GF6337"/>
      <c r="GG6337"/>
      <c r="GH6337"/>
      <c r="GI6337"/>
      <c r="GJ6337"/>
      <c r="GK6337"/>
      <c r="GL6337"/>
      <c r="GM6337"/>
      <c r="GN6337"/>
      <c r="GO6337"/>
    </row>
    <row r="6338" spans="107:197">
      <c r="DC6338"/>
      <c r="FH6338"/>
      <c r="FI6338"/>
      <c r="FJ6338"/>
      <c r="FK6338"/>
      <c r="FL6338"/>
      <c r="FM6338"/>
      <c r="FN6338"/>
      <c r="FO6338"/>
      <c r="FP6338"/>
      <c r="FQ6338"/>
      <c r="FR6338"/>
      <c r="FS6338"/>
      <c r="FT6338"/>
      <c r="FU6338"/>
      <c r="FV6338"/>
      <c r="FW6338"/>
      <c r="FX6338"/>
      <c r="FY6338"/>
      <c r="FZ6338"/>
      <c r="GA6338"/>
      <c r="GB6338"/>
      <c r="GC6338"/>
      <c r="GD6338"/>
      <c r="GE6338"/>
      <c r="GF6338"/>
      <c r="GG6338"/>
      <c r="GH6338"/>
      <c r="GI6338"/>
      <c r="GJ6338"/>
      <c r="GK6338"/>
      <c r="GL6338"/>
      <c r="GM6338"/>
      <c r="GN6338"/>
      <c r="GO6338"/>
    </row>
    <row r="6339" spans="107:197">
      <c r="DC6339"/>
      <c r="FH6339"/>
      <c r="FI6339"/>
      <c r="FJ6339"/>
      <c r="FK6339"/>
      <c r="FL6339"/>
      <c r="FM6339"/>
      <c r="FN6339"/>
      <c r="FO6339"/>
      <c r="FP6339"/>
      <c r="FQ6339"/>
      <c r="FR6339"/>
      <c r="FS6339"/>
      <c r="FT6339"/>
      <c r="FU6339"/>
      <c r="FV6339"/>
      <c r="FW6339"/>
      <c r="FX6339"/>
      <c r="FY6339"/>
      <c r="FZ6339"/>
      <c r="GA6339"/>
      <c r="GB6339"/>
      <c r="GC6339"/>
      <c r="GD6339"/>
      <c r="GE6339"/>
      <c r="GF6339"/>
      <c r="GG6339"/>
      <c r="GH6339"/>
      <c r="GI6339"/>
      <c r="GJ6339"/>
      <c r="GK6339"/>
      <c r="GL6339"/>
      <c r="GM6339"/>
      <c r="GN6339"/>
      <c r="GO6339"/>
    </row>
    <row r="6340" spans="107:197">
      <c r="DC6340"/>
      <c r="FH6340"/>
      <c r="FI6340"/>
      <c r="FJ6340"/>
      <c r="FK6340"/>
      <c r="FL6340"/>
      <c r="FM6340"/>
      <c r="FN6340"/>
      <c r="FO6340"/>
      <c r="FP6340"/>
      <c r="FQ6340"/>
      <c r="FR6340"/>
      <c r="FS6340"/>
      <c r="FT6340"/>
      <c r="FU6340"/>
      <c r="FV6340"/>
      <c r="FW6340"/>
      <c r="FX6340"/>
      <c r="FY6340"/>
      <c r="FZ6340"/>
      <c r="GA6340"/>
      <c r="GB6340"/>
      <c r="GC6340"/>
      <c r="GD6340"/>
      <c r="GE6340"/>
      <c r="GF6340"/>
      <c r="GG6340"/>
      <c r="GH6340"/>
      <c r="GI6340"/>
      <c r="GJ6340"/>
      <c r="GK6340"/>
      <c r="GL6340"/>
      <c r="GM6340"/>
      <c r="GN6340"/>
      <c r="GO6340"/>
    </row>
    <row r="6341" spans="107:197">
      <c r="DC6341"/>
      <c r="FH6341"/>
      <c r="FI6341"/>
      <c r="FJ6341"/>
      <c r="FK6341"/>
      <c r="FL6341"/>
      <c r="FM6341"/>
      <c r="FN6341"/>
      <c r="FO6341"/>
      <c r="FP6341"/>
      <c r="FQ6341"/>
      <c r="FR6341"/>
      <c r="FS6341"/>
      <c r="FT6341"/>
      <c r="FU6341"/>
      <c r="FV6341"/>
      <c r="FW6341"/>
      <c r="FX6341"/>
      <c r="FY6341"/>
      <c r="FZ6341"/>
      <c r="GA6341"/>
      <c r="GB6341"/>
      <c r="GC6341"/>
      <c r="GD6341"/>
      <c r="GE6341"/>
      <c r="GF6341"/>
      <c r="GG6341"/>
      <c r="GH6341"/>
      <c r="GI6341"/>
      <c r="GJ6341"/>
      <c r="GK6341"/>
      <c r="GL6341"/>
      <c r="GM6341"/>
      <c r="GN6341"/>
      <c r="GO6341"/>
    </row>
    <row r="6342" spans="107:197">
      <c r="DC6342"/>
      <c r="FH6342"/>
      <c r="FI6342"/>
      <c r="FJ6342"/>
      <c r="FK6342"/>
      <c r="FL6342"/>
      <c r="FM6342"/>
      <c r="FN6342"/>
      <c r="FO6342"/>
      <c r="FP6342"/>
      <c r="FQ6342"/>
      <c r="FR6342"/>
      <c r="FS6342"/>
      <c r="FT6342"/>
      <c r="FU6342"/>
      <c r="FV6342"/>
      <c r="FW6342"/>
      <c r="FX6342"/>
      <c r="FY6342"/>
      <c r="FZ6342"/>
      <c r="GA6342"/>
      <c r="GB6342"/>
      <c r="GC6342"/>
      <c r="GD6342"/>
      <c r="GE6342"/>
      <c r="GF6342"/>
      <c r="GG6342"/>
      <c r="GH6342"/>
      <c r="GI6342"/>
      <c r="GJ6342"/>
      <c r="GK6342"/>
      <c r="GL6342"/>
      <c r="GM6342"/>
      <c r="GN6342"/>
      <c r="GO6342"/>
    </row>
    <row r="6343" spans="107:197">
      <c r="DC6343"/>
      <c r="FH6343"/>
      <c r="FI6343"/>
      <c r="FJ6343"/>
      <c r="FK6343"/>
      <c r="FL6343"/>
      <c r="FM6343"/>
      <c r="FN6343"/>
      <c r="FO6343"/>
      <c r="FP6343"/>
      <c r="FQ6343"/>
      <c r="FR6343"/>
      <c r="FS6343"/>
      <c r="FT6343"/>
      <c r="FU6343"/>
      <c r="FV6343"/>
      <c r="FW6343"/>
      <c r="FX6343"/>
      <c r="FY6343"/>
      <c r="FZ6343"/>
      <c r="GA6343"/>
      <c r="GB6343"/>
      <c r="GC6343"/>
      <c r="GD6343"/>
      <c r="GE6343"/>
      <c r="GF6343"/>
      <c r="GG6343"/>
      <c r="GH6343"/>
      <c r="GI6343"/>
      <c r="GJ6343"/>
      <c r="GK6343"/>
      <c r="GL6343"/>
      <c r="GM6343"/>
      <c r="GN6343"/>
      <c r="GO6343"/>
    </row>
    <row r="6344" spans="107:197">
      <c r="DC6344"/>
      <c r="FH6344"/>
      <c r="FI6344"/>
      <c r="FJ6344"/>
      <c r="FK6344"/>
      <c r="FL6344"/>
      <c r="FM6344"/>
      <c r="FN6344"/>
      <c r="FO6344"/>
      <c r="FP6344"/>
      <c r="FQ6344"/>
      <c r="FR6344"/>
      <c r="FS6344"/>
      <c r="FT6344"/>
      <c r="FU6344"/>
      <c r="FV6344"/>
      <c r="FW6344"/>
      <c r="FX6344"/>
      <c r="FY6344"/>
      <c r="FZ6344"/>
      <c r="GA6344"/>
      <c r="GB6344"/>
      <c r="GC6344"/>
      <c r="GD6344"/>
      <c r="GE6344"/>
      <c r="GF6344"/>
      <c r="GG6344"/>
      <c r="GH6344"/>
      <c r="GI6344"/>
      <c r="GJ6344"/>
      <c r="GK6344"/>
      <c r="GL6344"/>
      <c r="GM6344"/>
      <c r="GN6344"/>
      <c r="GO6344"/>
    </row>
    <row r="6345" spans="107:197">
      <c r="DC6345"/>
      <c r="FH6345"/>
      <c r="FI6345"/>
      <c r="FJ6345"/>
      <c r="FK6345"/>
      <c r="FL6345"/>
      <c r="FM6345"/>
      <c r="FN6345"/>
      <c r="FO6345"/>
      <c r="FP6345"/>
      <c r="FQ6345"/>
      <c r="FR6345"/>
      <c r="FS6345"/>
      <c r="FT6345"/>
      <c r="FU6345"/>
      <c r="FV6345"/>
      <c r="FW6345"/>
      <c r="FX6345"/>
      <c r="FY6345"/>
      <c r="FZ6345"/>
      <c r="GA6345"/>
      <c r="GB6345"/>
      <c r="GC6345"/>
      <c r="GD6345"/>
      <c r="GE6345"/>
      <c r="GF6345"/>
      <c r="GG6345"/>
      <c r="GH6345"/>
      <c r="GI6345"/>
      <c r="GJ6345"/>
      <c r="GK6345"/>
      <c r="GL6345"/>
      <c r="GM6345"/>
      <c r="GN6345"/>
      <c r="GO6345"/>
    </row>
    <row r="6346" spans="107:197">
      <c r="DC6346"/>
      <c r="FH6346"/>
      <c r="FI6346"/>
      <c r="FJ6346"/>
      <c r="FK6346"/>
      <c r="FL6346"/>
      <c r="FM6346"/>
      <c r="FN6346"/>
      <c r="FO6346"/>
      <c r="FP6346"/>
      <c r="FQ6346"/>
      <c r="FR6346"/>
      <c r="FS6346"/>
      <c r="FT6346"/>
      <c r="FU6346"/>
      <c r="FV6346"/>
      <c r="FW6346"/>
      <c r="FX6346"/>
      <c r="FY6346"/>
      <c r="FZ6346"/>
      <c r="GA6346"/>
      <c r="GB6346"/>
      <c r="GC6346"/>
      <c r="GD6346"/>
      <c r="GE6346"/>
      <c r="GF6346"/>
      <c r="GG6346"/>
      <c r="GH6346"/>
      <c r="GI6346"/>
      <c r="GJ6346"/>
      <c r="GK6346"/>
      <c r="GL6346"/>
      <c r="GM6346"/>
      <c r="GN6346"/>
      <c r="GO6346"/>
    </row>
    <row r="6347" spans="107:197">
      <c r="DC6347"/>
      <c r="FH6347"/>
      <c r="FI6347"/>
      <c r="FJ6347"/>
      <c r="FK6347"/>
      <c r="FL6347"/>
      <c r="FM6347"/>
      <c r="FN6347"/>
      <c r="FO6347"/>
      <c r="FP6347"/>
      <c r="FQ6347"/>
      <c r="FR6347"/>
      <c r="FS6347"/>
      <c r="FT6347"/>
      <c r="FU6347"/>
      <c r="FV6347"/>
      <c r="FW6347"/>
      <c r="FX6347"/>
      <c r="FY6347"/>
      <c r="FZ6347"/>
      <c r="GA6347"/>
      <c r="GB6347"/>
      <c r="GC6347"/>
      <c r="GD6347"/>
      <c r="GE6347"/>
      <c r="GF6347"/>
      <c r="GG6347"/>
      <c r="GH6347"/>
      <c r="GI6347"/>
      <c r="GJ6347"/>
      <c r="GK6347"/>
      <c r="GL6347"/>
      <c r="GM6347"/>
      <c r="GN6347"/>
      <c r="GO6347"/>
    </row>
    <row r="6348" spans="107:197">
      <c r="DC6348"/>
      <c r="FH6348"/>
      <c r="FI6348"/>
      <c r="FJ6348"/>
      <c r="FK6348"/>
      <c r="FL6348"/>
      <c r="FM6348"/>
      <c r="FN6348"/>
      <c r="FO6348"/>
      <c r="FP6348"/>
      <c r="FQ6348"/>
      <c r="FR6348"/>
      <c r="FS6348"/>
      <c r="FT6348"/>
      <c r="FU6348"/>
      <c r="FV6348"/>
      <c r="FW6348"/>
      <c r="FX6348"/>
      <c r="FY6348"/>
      <c r="FZ6348"/>
      <c r="GA6348"/>
      <c r="GB6348"/>
      <c r="GC6348"/>
      <c r="GD6348"/>
      <c r="GE6348"/>
      <c r="GF6348"/>
      <c r="GG6348"/>
      <c r="GH6348"/>
      <c r="GI6348"/>
      <c r="GJ6348"/>
      <c r="GK6348"/>
      <c r="GL6348"/>
      <c r="GM6348"/>
      <c r="GN6348"/>
      <c r="GO6348"/>
    </row>
    <row r="6349" spans="107:197">
      <c r="DC6349"/>
      <c r="FH6349"/>
      <c r="FI6349"/>
      <c r="FJ6349"/>
      <c r="FK6349"/>
      <c r="FL6349"/>
      <c r="FM6349"/>
      <c r="FN6349"/>
      <c r="FO6349"/>
      <c r="FP6349"/>
      <c r="FQ6349"/>
      <c r="FR6349"/>
      <c r="FS6349"/>
      <c r="FT6349"/>
      <c r="FU6349"/>
      <c r="FV6349"/>
      <c r="FW6349"/>
      <c r="FX6349"/>
      <c r="FY6349"/>
      <c r="FZ6349"/>
      <c r="GA6349"/>
      <c r="GB6349"/>
      <c r="GC6349"/>
      <c r="GD6349"/>
      <c r="GE6349"/>
      <c r="GF6349"/>
      <c r="GG6349"/>
      <c r="GH6349"/>
      <c r="GI6349"/>
      <c r="GJ6349"/>
      <c r="GK6349"/>
      <c r="GL6349"/>
      <c r="GM6349"/>
      <c r="GN6349"/>
      <c r="GO6349"/>
    </row>
    <row r="6350" spans="107:197">
      <c r="DC6350"/>
      <c r="FH6350"/>
      <c r="FI6350"/>
      <c r="FJ6350"/>
      <c r="FK6350"/>
      <c r="FL6350"/>
      <c r="FM6350"/>
      <c r="FN6350"/>
      <c r="FO6350"/>
      <c r="FP6350"/>
      <c r="FQ6350"/>
      <c r="FR6350"/>
      <c r="FS6350"/>
      <c r="FT6350"/>
      <c r="FU6350"/>
      <c r="FV6350"/>
      <c r="FW6350"/>
      <c r="FX6350"/>
      <c r="FY6350"/>
      <c r="FZ6350"/>
      <c r="GA6350"/>
      <c r="GB6350"/>
      <c r="GC6350"/>
      <c r="GD6350"/>
      <c r="GE6350"/>
      <c r="GF6350"/>
      <c r="GG6350"/>
      <c r="GH6350"/>
      <c r="GI6350"/>
      <c r="GJ6350"/>
      <c r="GK6350"/>
      <c r="GL6350"/>
      <c r="GM6350"/>
      <c r="GN6350"/>
      <c r="GO6350"/>
    </row>
    <row r="6351" spans="107:197">
      <c r="DC6351"/>
      <c r="FH6351"/>
      <c r="FI6351"/>
      <c r="FJ6351"/>
      <c r="FK6351"/>
      <c r="FL6351"/>
      <c r="FM6351"/>
      <c r="FN6351"/>
      <c r="FO6351"/>
      <c r="FP6351"/>
      <c r="FQ6351"/>
      <c r="FR6351"/>
      <c r="FS6351"/>
      <c r="FT6351"/>
      <c r="FU6351"/>
      <c r="FV6351"/>
      <c r="FW6351"/>
      <c r="FX6351"/>
      <c r="FY6351"/>
      <c r="FZ6351"/>
      <c r="GA6351"/>
      <c r="GB6351"/>
      <c r="GC6351"/>
      <c r="GD6351"/>
      <c r="GE6351"/>
      <c r="GF6351"/>
      <c r="GG6351"/>
      <c r="GH6351"/>
      <c r="GI6351"/>
      <c r="GJ6351"/>
      <c r="GK6351"/>
      <c r="GL6351"/>
      <c r="GM6351"/>
      <c r="GN6351"/>
      <c r="GO6351"/>
    </row>
    <row r="6352" spans="107:197">
      <c r="DC6352"/>
      <c r="FH6352"/>
      <c r="FI6352"/>
      <c r="FJ6352"/>
      <c r="FK6352"/>
      <c r="FL6352"/>
      <c r="FM6352"/>
      <c r="FN6352"/>
      <c r="FO6352"/>
      <c r="FP6352"/>
      <c r="FQ6352"/>
      <c r="FR6352"/>
      <c r="FS6352"/>
      <c r="FT6352"/>
      <c r="FU6352"/>
      <c r="FV6352"/>
      <c r="FW6352"/>
      <c r="FX6352"/>
      <c r="FY6352"/>
      <c r="FZ6352"/>
      <c r="GA6352"/>
      <c r="GB6352"/>
      <c r="GC6352"/>
      <c r="GD6352"/>
      <c r="GE6352"/>
      <c r="GF6352"/>
      <c r="GG6352"/>
      <c r="GH6352"/>
      <c r="GI6352"/>
      <c r="GJ6352"/>
      <c r="GK6352"/>
      <c r="GL6352"/>
      <c r="GM6352"/>
      <c r="GN6352"/>
      <c r="GO6352"/>
    </row>
    <row r="6353" spans="107:197">
      <c r="DC6353"/>
      <c r="FH6353"/>
      <c r="FI6353"/>
      <c r="FJ6353"/>
      <c r="FK6353"/>
      <c r="FL6353"/>
      <c r="FM6353"/>
      <c r="FN6353"/>
      <c r="FO6353"/>
      <c r="FP6353"/>
      <c r="FQ6353"/>
      <c r="FR6353"/>
      <c r="FS6353"/>
      <c r="FT6353"/>
      <c r="FU6353"/>
      <c r="FV6353"/>
      <c r="FW6353"/>
      <c r="FX6353"/>
      <c r="FY6353"/>
      <c r="FZ6353"/>
      <c r="GA6353"/>
      <c r="GB6353"/>
      <c r="GC6353"/>
      <c r="GD6353"/>
      <c r="GE6353"/>
      <c r="GF6353"/>
      <c r="GG6353"/>
      <c r="GH6353"/>
      <c r="GI6353"/>
      <c r="GJ6353"/>
      <c r="GK6353"/>
      <c r="GL6353"/>
      <c r="GM6353"/>
      <c r="GN6353"/>
      <c r="GO6353"/>
    </row>
    <row r="6354" spans="107:197">
      <c r="DC6354"/>
      <c r="FH6354"/>
      <c r="FI6354"/>
      <c r="FJ6354"/>
      <c r="FK6354"/>
      <c r="FL6354"/>
      <c r="FM6354"/>
      <c r="FN6354"/>
      <c r="FO6354"/>
      <c r="FP6354"/>
      <c r="FQ6354"/>
      <c r="FR6354"/>
      <c r="FS6354"/>
      <c r="FT6354"/>
      <c r="FU6354"/>
      <c r="FV6354"/>
      <c r="FW6354"/>
      <c r="FX6354"/>
      <c r="FY6354"/>
      <c r="FZ6354"/>
      <c r="GA6354"/>
      <c r="GB6354"/>
      <c r="GC6354"/>
      <c r="GD6354"/>
      <c r="GE6354"/>
      <c r="GF6354"/>
      <c r="GG6354"/>
      <c r="GH6354"/>
      <c r="GI6354"/>
      <c r="GJ6354"/>
      <c r="GK6354"/>
      <c r="GL6354"/>
      <c r="GM6354"/>
      <c r="GN6354"/>
      <c r="GO6354"/>
    </row>
    <row r="6355" spans="107:197">
      <c r="DC6355"/>
      <c r="FH6355"/>
      <c r="FI6355"/>
      <c r="FJ6355"/>
      <c r="FK6355"/>
      <c r="FL6355"/>
      <c r="FM6355"/>
      <c r="FN6355"/>
      <c r="FO6355"/>
      <c r="FP6355"/>
      <c r="FQ6355"/>
      <c r="FR6355"/>
      <c r="FS6355"/>
      <c r="FT6355"/>
      <c r="FU6355"/>
      <c r="FV6355"/>
      <c r="FW6355"/>
      <c r="FX6355"/>
      <c r="FY6355"/>
      <c r="FZ6355"/>
      <c r="GA6355"/>
      <c r="GB6355"/>
      <c r="GC6355"/>
      <c r="GD6355"/>
      <c r="GE6355"/>
      <c r="GF6355"/>
      <c r="GG6355"/>
      <c r="GH6355"/>
      <c r="GI6355"/>
      <c r="GJ6355"/>
      <c r="GK6355"/>
      <c r="GL6355"/>
      <c r="GM6355"/>
      <c r="GN6355"/>
      <c r="GO6355"/>
    </row>
    <row r="6356" spans="107:197">
      <c r="DC6356"/>
      <c r="FH6356"/>
      <c r="FI6356"/>
      <c r="FJ6356"/>
      <c r="FK6356"/>
      <c r="FL6356"/>
      <c r="FM6356"/>
      <c r="FN6356"/>
      <c r="FO6356"/>
      <c r="FP6356"/>
      <c r="FQ6356"/>
      <c r="FR6356"/>
      <c r="FS6356"/>
      <c r="FT6356"/>
      <c r="FU6356"/>
      <c r="FV6356"/>
      <c r="FW6356"/>
      <c r="FX6356"/>
      <c r="FY6356"/>
      <c r="FZ6356"/>
      <c r="GA6356"/>
      <c r="GB6356"/>
      <c r="GC6356"/>
      <c r="GD6356"/>
      <c r="GE6356"/>
      <c r="GF6356"/>
      <c r="GG6356"/>
      <c r="GH6356"/>
      <c r="GI6356"/>
      <c r="GJ6356"/>
      <c r="GK6356"/>
      <c r="GL6356"/>
      <c r="GM6356"/>
      <c r="GN6356"/>
      <c r="GO6356"/>
    </row>
    <row r="6357" spans="107:197">
      <c r="DC6357"/>
      <c r="FH6357"/>
      <c r="FI6357"/>
      <c r="FJ6357"/>
      <c r="FK6357"/>
      <c r="FL6357"/>
      <c r="FM6357"/>
      <c r="FN6357"/>
      <c r="FO6357"/>
      <c r="FP6357"/>
      <c r="FQ6357"/>
      <c r="FR6357"/>
      <c r="FS6357"/>
      <c r="FT6357"/>
      <c r="FU6357"/>
      <c r="FV6357"/>
      <c r="FW6357"/>
      <c r="FX6357"/>
      <c r="FY6357"/>
      <c r="FZ6357"/>
      <c r="GA6357"/>
      <c r="GB6357"/>
      <c r="GC6357"/>
      <c r="GD6357"/>
      <c r="GE6357"/>
      <c r="GF6357"/>
      <c r="GG6357"/>
      <c r="GH6357"/>
      <c r="GI6357"/>
      <c r="GJ6357"/>
      <c r="GK6357"/>
      <c r="GL6357"/>
      <c r="GM6357"/>
      <c r="GN6357"/>
      <c r="GO6357"/>
    </row>
    <row r="6358" spans="107:197">
      <c r="DC6358"/>
      <c r="FH6358"/>
      <c r="FI6358"/>
      <c r="FJ6358"/>
      <c r="FK6358"/>
      <c r="FL6358"/>
      <c r="FM6358"/>
      <c r="FN6358"/>
      <c r="FO6358"/>
      <c r="FP6358"/>
      <c r="FQ6358"/>
      <c r="FR6358"/>
      <c r="FS6358"/>
      <c r="FT6358"/>
      <c r="FU6358"/>
      <c r="FV6358"/>
      <c r="FW6358"/>
      <c r="FX6358"/>
      <c r="FY6358"/>
      <c r="FZ6358"/>
      <c r="GA6358"/>
      <c r="GB6358"/>
      <c r="GC6358"/>
      <c r="GD6358"/>
      <c r="GE6358"/>
      <c r="GF6358"/>
      <c r="GG6358"/>
      <c r="GH6358"/>
      <c r="GI6358"/>
      <c r="GJ6358"/>
      <c r="GK6358"/>
      <c r="GL6358"/>
      <c r="GM6358"/>
      <c r="GN6358"/>
      <c r="GO6358"/>
    </row>
    <row r="6359" spans="107:197">
      <c r="DC6359"/>
      <c r="FH6359"/>
      <c r="FI6359"/>
      <c r="FJ6359"/>
      <c r="FK6359"/>
      <c r="FL6359"/>
      <c r="FM6359"/>
      <c r="FN6359"/>
      <c r="FO6359"/>
      <c r="FP6359"/>
      <c r="FQ6359"/>
      <c r="FR6359"/>
      <c r="FS6359"/>
      <c r="FT6359"/>
      <c r="FU6359"/>
      <c r="FV6359"/>
      <c r="FW6359"/>
      <c r="FX6359"/>
      <c r="FY6359"/>
      <c r="FZ6359"/>
      <c r="GA6359"/>
      <c r="GB6359"/>
      <c r="GC6359"/>
      <c r="GD6359"/>
      <c r="GE6359"/>
      <c r="GF6359"/>
      <c r="GG6359"/>
      <c r="GH6359"/>
      <c r="GI6359"/>
      <c r="GJ6359"/>
      <c r="GK6359"/>
      <c r="GL6359"/>
      <c r="GM6359"/>
      <c r="GN6359"/>
      <c r="GO6359"/>
    </row>
    <row r="6360" spans="107:197">
      <c r="DC6360"/>
      <c r="FH6360"/>
      <c r="FI6360"/>
      <c r="FJ6360"/>
      <c r="FK6360"/>
      <c r="FL6360"/>
      <c r="FM6360"/>
      <c r="FN6360"/>
      <c r="FO6360"/>
      <c r="FP6360"/>
      <c r="FQ6360"/>
      <c r="FR6360"/>
      <c r="FS6360"/>
      <c r="FT6360"/>
      <c r="FU6360"/>
      <c r="FV6360"/>
      <c r="FW6360"/>
      <c r="FX6360"/>
      <c r="FY6360"/>
      <c r="FZ6360"/>
      <c r="GA6360"/>
      <c r="GB6360"/>
      <c r="GC6360"/>
      <c r="GD6360"/>
      <c r="GE6360"/>
      <c r="GF6360"/>
      <c r="GG6360"/>
      <c r="GH6360"/>
      <c r="GI6360"/>
      <c r="GJ6360"/>
      <c r="GK6360"/>
      <c r="GL6360"/>
      <c r="GM6360"/>
      <c r="GN6360"/>
      <c r="GO6360"/>
    </row>
    <row r="6361" spans="107:197">
      <c r="DC6361"/>
      <c r="FH6361"/>
      <c r="FI6361"/>
      <c r="FJ6361"/>
      <c r="FK6361"/>
      <c r="FL6361"/>
      <c r="FM6361"/>
      <c r="FN6361"/>
      <c r="FO6361"/>
      <c r="FP6361"/>
      <c r="FQ6361"/>
      <c r="FR6361"/>
      <c r="FS6361"/>
      <c r="FT6361"/>
      <c r="FU6361"/>
      <c r="FV6361"/>
      <c r="FW6361"/>
      <c r="FX6361"/>
      <c r="FY6361"/>
      <c r="FZ6361"/>
      <c r="GA6361"/>
      <c r="GB6361"/>
      <c r="GC6361"/>
      <c r="GD6361"/>
      <c r="GE6361"/>
      <c r="GF6361"/>
      <c r="GG6361"/>
      <c r="GH6361"/>
      <c r="GI6361"/>
      <c r="GJ6361"/>
      <c r="GK6361"/>
      <c r="GL6361"/>
      <c r="GM6361"/>
      <c r="GN6361"/>
      <c r="GO6361"/>
    </row>
    <row r="6362" spans="107:197">
      <c r="DC6362"/>
      <c r="FH6362"/>
      <c r="FI6362"/>
      <c r="FJ6362"/>
      <c r="FK6362"/>
      <c r="FL6362"/>
      <c r="FM6362"/>
      <c r="FN6362"/>
      <c r="FO6362"/>
      <c r="FP6362"/>
      <c r="FQ6362"/>
      <c r="FR6362"/>
      <c r="FS6362"/>
      <c r="FT6362"/>
      <c r="FU6362"/>
      <c r="FV6362"/>
      <c r="FW6362"/>
      <c r="FX6362"/>
      <c r="FY6362"/>
      <c r="FZ6362"/>
      <c r="GA6362"/>
      <c r="GB6362"/>
      <c r="GC6362"/>
      <c r="GD6362"/>
      <c r="GE6362"/>
      <c r="GF6362"/>
      <c r="GG6362"/>
      <c r="GH6362"/>
      <c r="GI6362"/>
      <c r="GJ6362"/>
      <c r="GK6362"/>
      <c r="GL6362"/>
      <c r="GM6362"/>
      <c r="GN6362"/>
      <c r="GO6362"/>
    </row>
    <row r="6363" spans="107:197">
      <c r="DC6363"/>
      <c r="FH6363"/>
      <c r="FI6363"/>
      <c r="FJ6363"/>
      <c r="FK6363"/>
      <c r="FL6363"/>
      <c r="FM6363"/>
      <c r="FN6363"/>
      <c r="FO6363"/>
      <c r="FP6363"/>
      <c r="FQ6363"/>
      <c r="FR6363"/>
      <c r="FS6363"/>
      <c r="FT6363"/>
      <c r="FU6363"/>
      <c r="FV6363"/>
      <c r="FW6363"/>
      <c r="FX6363"/>
      <c r="FY6363"/>
      <c r="FZ6363"/>
      <c r="GA6363"/>
      <c r="GB6363"/>
      <c r="GC6363"/>
      <c r="GD6363"/>
      <c r="GE6363"/>
      <c r="GF6363"/>
      <c r="GG6363"/>
      <c r="GH6363"/>
      <c r="GI6363"/>
      <c r="GJ6363"/>
      <c r="GK6363"/>
      <c r="GL6363"/>
      <c r="GM6363"/>
      <c r="GN6363"/>
      <c r="GO6363"/>
    </row>
    <row r="6364" spans="107:197">
      <c r="DC6364"/>
      <c r="FH6364"/>
      <c r="FI6364"/>
      <c r="FJ6364"/>
      <c r="FK6364"/>
      <c r="FL6364"/>
      <c r="FM6364"/>
      <c r="FN6364"/>
      <c r="FO6364"/>
      <c r="FP6364"/>
      <c r="FQ6364"/>
      <c r="FR6364"/>
      <c r="FS6364"/>
      <c r="FT6364"/>
      <c r="FU6364"/>
      <c r="FV6364"/>
      <c r="FW6364"/>
      <c r="FX6364"/>
      <c r="FY6364"/>
      <c r="FZ6364"/>
      <c r="GA6364"/>
      <c r="GB6364"/>
      <c r="GC6364"/>
      <c r="GD6364"/>
      <c r="GE6364"/>
      <c r="GF6364"/>
      <c r="GG6364"/>
      <c r="GH6364"/>
      <c r="GI6364"/>
      <c r="GJ6364"/>
      <c r="GK6364"/>
      <c r="GL6364"/>
      <c r="GM6364"/>
      <c r="GN6364"/>
      <c r="GO6364"/>
    </row>
    <row r="6365" spans="107:197">
      <c r="DC6365"/>
      <c r="FH6365"/>
      <c r="FI6365"/>
      <c r="FJ6365"/>
      <c r="FK6365"/>
      <c r="FL6365"/>
      <c r="FM6365"/>
      <c r="FN6365"/>
      <c r="FO6365"/>
      <c r="FP6365"/>
      <c r="FQ6365"/>
      <c r="FR6365"/>
      <c r="FS6365"/>
      <c r="FT6365"/>
      <c r="FU6365"/>
      <c r="FV6365"/>
      <c r="FW6365"/>
      <c r="FX6365"/>
      <c r="FY6365"/>
      <c r="FZ6365"/>
      <c r="GA6365"/>
      <c r="GB6365"/>
      <c r="GC6365"/>
      <c r="GD6365"/>
      <c r="GE6365"/>
      <c r="GF6365"/>
      <c r="GG6365"/>
      <c r="GH6365"/>
      <c r="GI6365"/>
      <c r="GJ6365"/>
      <c r="GK6365"/>
      <c r="GL6365"/>
      <c r="GM6365"/>
      <c r="GN6365"/>
      <c r="GO6365"/>
    </row>
    <row r="6366" spans="107:197">
      <c r="DC6366"/>
      <c r="FH6366"/>
      <c r="FI6366"/>
      <c r="FJ6366"/>
      <c r="FK6366"/>
      <c r="FL6366"/>
      <c r="FM6366"/>
      <c r="FN6366"/>
      <c r="FO6366"/>
      <c r="FP6366"/>
      <c r="FQ6366"/>
      <c r="FR6366"/>
      <c r="FS6366"/>
      <c r="FT6366"/>
      <c r="FU6366"/>
      <c r="FV6366"/>
      <c r="FW6366"/>
      <c r="FX6366"/>
      <c r="FY6366"/>
      <c r="FZ6366"/>
      <c r="GA6366"/>
      <c r="GB6366"/>
      <c r="GC6366"/>
      <c r="GD6366"/>
      <c r="GE6366"/>
      <c r="GF6366"/>
      <c r="GG6366"/>
      <c r="GH6366"/>
      <c r="GI6366"/>
      <c r="GJ6366"/>
      <c r="GK6366"/>
      <c r="GL6366"/>
      <c r="GM6366"/>
      <c r="GN6366"/>
      <c r="GO6366"/>
    </row>
    <row r="6367" spans="107:197">
      <c r="DC6367"/>
      <c r="FH6367"/>
      <c r="FI6367"/>
      <c r="FJ6367"/>
      <c r="FK6367"/>
      <c r="FL6367"/>
      <c r="FM6367"/>
      <c r="FN6367"/>
      <c r="FO6367"/>
      <c r="FP6367"/>
      <c r="FQ6367"/>
      <c r="FR6367"/>
      <c r="FS6367"/>
      <c r="FT6367"/>
      <c r="FU6367"/>
      <c r="FV6367"/>
      <c r="FW6367"/>
      <c r="FX6367"/>
      <c r="FY6367"/>
      <c r="FZ6367"/>
      <c r="GA6367"/>
      <c r="GB6367"/>
      <c r="GC6367"/>
      <c r="GD6367"/>
      <c r="GE6367"/>
      <c r="GF6367"/>
      <c r="GG6367"/>
      <c r="GH6367"/>
      <c r="GI6367"/>
      <c r="GJ6367"/>
      <c r="GK6367"/>
      <c r="GL6367"/>
      <c r="GM6367"/>
      <c r="GN6367"/>
      <c r="GO6367"/>
    </row>
    <row r="6368" spans="107:197">
      <c r="DC6368"/>
      <c r="FH6368"/>
      <c r="FI6368"/>
      <c r="FJ6368"/>
      <c r="FK6368"/>
      <c r="FL6368"/>
      <c r="FM6368"/>
      <c r="FN6368"/>
      <c r="FO6368"/>
      <c r="FP6368"/>
      <c r="FQ6368"/>
      <c r="FR6368"/>
      <c r="FS6368"/>
      <c r="FT6368"/>
      <c r="FU6368"/>
      <c r="FV6368"/>
      <c r="FW6368"/>
      <c r="FX6368"/>
      <c r="FY6368"/>
      <c r="FZ6368"/>
      <c r="GA6368"/>
      <c r="GB6368"/>
      <c r="GC6368"/>
      <c r="GD6368"/>
      <c r="GE6368"/>
      <c r="GF6368"/>
      <c r="GG6368"/>
      <c r="GH6368"/>
      <c r="GI6368"/>
      <c r="GJ6368"/>
      <c r="GK6368"/>
      <c r="GL6368"/>
      <c r="GM6368"/>
      <c r="GN6368"/>
      <c r="GO6368"/>
    </row>
    <row r="6369" spans="107:197">
      <c r="DC6369"/>
      <c r="FH6369"/>
      <c r="FI6369"/>
      <c r="FJ6369"/>
      <c r="FK6369"/>
      <c r="FL6369"/>
      <c r="FM6369"/>
      <c r="FN6369"/>
      <c r="FO6369"/>
      <c r="FP6369"/>
      <c r="FQ6369"/>
      <c r="FR6369"/>
      <c r="FS6369"/>
      <c r="FT6369"/>
      <c r="FU6369"/>
      <c r="FV6369"/>
      <c r="FW6369"/>
      <c r="FX6369"/>
      <c r="FY6369"/>
      <c r="FZ6369"/>
      <c r="GA6369"/>
      <c r="GB6369"/>
      <c r="GC6369"/>
      <c r="GD6369"/>
      <c r="GE6369"/>
      <c r="GF6369"/>
      <c r="GG6369"/>
      <c r="GH6369"/>
      <c r="GI6369"/>
      <c r="GJ6369"/>
      <c r="GK6369"/>
      <c r="GL6369"/>
      <c r="GM6369"/>
      <c r="GN6369"/>
      <c r="GO6369"/>
    </row>
    <row r="6370" spans="107:197">
      <c r="DC6370"/>
      <c r="FH6370"/>
      <c r="FI6370"/>
      <c r="FJ6370"/>
      <c r="FK6370"/>
      <c r="FL6370"/>
      <c r="FM6370"/>
      <c r="FN6370"/>
      <c r="FO6370"/>
      <c r="FP6370"/>
      <c r="FQ6370"/>
      <c r="FR6370"/>
      <c r="FS6370"/>
      <c r="FT6370"/>
      <c r="FU6370"/>
      <c r="FV6370"/>
      <c r="FW6370"/>
      <c r="FX6370"/>
      <c r="FY6370"/>
      <c r="FZ6370"/>
      <c r="GA6370"/>
      <c r="GB6370"/>
      <c r="GC6370"/>
      <c r="GD6370"/>
      <c r="GE6370"/>
      <c r="GF6370"/>
      <c r="GG6370"/>
      <c r="GH6370"/>
      <c r="GI6370"/>
      <c r="GJ6370"/>
      <c r="GK6370"/>
      <c r="GL6370"/>
      <c r="GM6370"/>
      <c r="GN6370"/>
      <c r="GO6370"/>
    </row>
    <row r="6371" spans="107:197">
      <c r="DC6371"/>
      <c r="FH6371"/>
      <c r="FI6371"/>
      <c r="FJ6371"/>
      <c r="FK6371"/>
      <c r="FL6371"/>
      <c r="FM6371"/>
      <c r="FN6371"/>
      <c r="FO6371"/>
      <c r="FP6371"/>
      <c r="FQ6371"/>
      <c r="FR6371"/>
      <c r="FS6371"/>
      <c r="FT6371"/>
      <c r="FU6371"/>
      <c r="FV6371"/>
      <c r="FW6371"/>
      <c r="FX6371"/>
      <c r="FY6371"/>
      <c r="FZ6371"/>
      <c r="GA6371"/>
      <c r="GB6371"/>
      <c r="GC6371"/>
      <c r="GD6371"/>
      <c r="GE6371"/>
      <c r="GF6371"/>
      <c r="GG6371"/>
      <c r="GH6371"/>
      <c r="GI6371"/>
      <c r="GJ6371"/>
      <c r="GK6371"/>
      <c r="GL6371"/>
      <c r="GM6371"/>
      <c r="GN6371"/>
      <c r="GO6371"/>
    </row>
    <row r="6372" spans="107:197">
      <c r="DC6372"/>
      <c r="FH6372"/>
      <c r="FI6372"/>
      <c r="FJ6372"/>
      <c r="FK6372"/>
      <c r="FL6372"/>
      <c r="FM6372"/>
      <c r="FN6372"/>
      <c r="FO6372"/>
      <c r="FP6372"/>
      <c r="FQ6372"/>
      <c r="FR6372"/>
      <c r="FS6372"/>
      <c r="FT6372"/>
      <c r="FU6372"/>
      <c r="FV6372"/>
      <c r="FW6372"/>
      <c r="FX6372"/>
      <c r="FY6372"/>
      <c r="FZ6372"/>
      <c r="GA6372"/>
      <c r="GB6372"/>
      <c r="GC6372"/>
      <c r="GD6372"/>
      <c r="GE6372"/>
      <c r="GF6372"/>
      <c r="GG6372"/>
      <c r="GH6372"/>
      <c r="GI6372"/>
      <c r="GJ6372"/>
      <c r="GK6372"/>
      <c r="GL6372"/>
      <c r="GM6372"/>
      <c r="GN6372"/>
      <c r="GO6372"/>
    </row>
    <row r="6373" spans="107:197">
      <c r="DC6373"/>
      <c r="FH6373"/>
      <c r="FI6373"/>
      <c r="FJ6373"/>
      <c r="FK6373"/>
      <c r="FL6373"/>
      <c r="FM6373"/>
      <c r="FN6373"/>
      <c r="FO6373"/>
      <c r="FP6373"/>
      <c r="FQ6373"/>
      <c r="FR6373"/>
      <c r="FS6373"/>
      <c r="FT6373"/>
      <c r="FU6373"/>
      <c r="FV6373"/>
      <c r="FW6373"/>
      <c r="FX6373"/>
      <c r="FY6373"/>
      <c r="FZ6373"/>
      <c r="GA6373"/>
      <c r="GB6373"/>
      <c r="GC6373"/>
      <c r="GD6373"/>
      <c r="GE6373"/>
      <c r="GF6373"/>
      <c r="GG6373"/>
      <c r="GH6373"/>
      <c r="GI6373"/>
      <c r="GJ6373"/>
      <c r="GK6373"/>
      <c r="GL6373"/>
      <c r="GM6373"/>
      <c r="GN6373"/>
      <c r="GO6373"/>
    </row>
    <row r="6374" spans="107:197">
      <c r="DC6374"/>
      <c r="FH6374"/>
      <c r="FI6374"/>
      <c r="FJ6374"/>
      <c r="FK6374"/>
      <c r="FL6374"/>
      <c r="FM6374"/>
      <c r="FN6374"/>
      <c r="FO6374"/>
      <c r="FP6374"/>
      <c r="FQ6374"/>
      <c r="FR6374"/>
      <c r="FS6374"/>
      <c r="FT6374"/>
      <c r="FU6374"/>
      <c r="FV6374"/>
      <c r="FW6374"/>
      <c r="FX6374"/>
      <c r="FY6374"/>
      <c r="FZ6374"/>
      <c r="GA6374"/>
      <c r="GB6374"/>
      <c r="GC6374"/>
      <c r="GD6374"/>
      <c r="GE6374"/>
      <c r="GF6374"/>
      <c r="GG6374"/>
      <c r="GH6374"/>
      <c r="GI6374"/>
      <c r="GJ6374"/>
      <c r="GK6374"/>
      <c r="GL6374"/>
      <c r="GM6374"/>
      <c r="GN6374"/>
      <c r="GO6374"/>
    </row>
    <row r="6375" spans="107:197">
      <c r="DC6375"/>
      <c r="FH6375"/>
      <c r="FI6375"/>
      <c r="FJ6375"/>
      <c r="FK6375"/>
      <c r="FL6375"/>
      <c r="FM6375"/>
      <c r="FN6375"/>
      <c r="FO6375"/>
      <c r="FP6375"/>
      <c r="FQ6375"/>
      <c r="FR6375"/>
      <c r="FS6375"/>
      <c r="FT6375"/>
      <c r="FU6375"/>
      <c r="FV6375"/>
      <c r="FW6375"/>
      <c r="FX6375"/>
      <c r="FY6375"/>
      <c r="FZ6375"/>
      <c r="GA6375"/>
      <c r="GB6375"/>
      <c r="GC6375"/>
      <c r="GD6375"/>
      <c r="GE6375"/>
      <c r="GF6375"/>
      <c r="GG6375"/>
      <c r="GH6375"/>
      <c r="GI6375"/>
      <c r="GJ6375"/>
      <c r="GK6375"/>
      <c r="GL6375"/>
      <c r="GM6375"/>
      <c r="GN6375"/>
      <c r="GO6375"/>
    </row>
    <row r="6376" spans="107:197">
      <c r="DC6376"/>
      <c r="FH6376"/>
      <c r="FI6376"/>
      <c r="FJ6376"/>
      <c r="FK6376"/>
      <c r="FL6376"/>
      <c r="FM6376"/>
      <c r="FN6376"/>
      <c r="FO6376"/>
      <c r="FP6376"/>
      <c r="FQ6376"/>
      <c r="FR6376"/>
      <c r="FS6376"/>
      <c r="FT6376"/>
      <c r="FU6376"/>
      <c r="FV6376"/>
      <c r="FW6376"/>
      <c r="FX6376"/>
      <c r="FY6376"/>
      <c r="FZ6376"/>
      <c r="GA6376"/>
      <c r="GB6376"/>
      <c r="GC6376"/>
      <c r="GD6376"/>
      <c r="GE6376"/>
      <c r="GF6376"/>
      <c r="GG6376"/>
      <c r="GH6376"/>
      <c r="GI6376"/>
      <c r="GJ6376"/>
      <c r="GK6376"/>
      <c r="GL6376"/>
      <c r="GM6376"/>
      <c r="GN6376"/>
      <c r="GO6376"/>
    </row>
    <row r="6377" spans="107:197">
      <c r="DC6377"/>
      <c r="FH6377"/>
      <c r="FI6377"/>
      <c r="FJ6377"/>
      <c r="FK6377"/>
      <c r="FL6377"/>
      <c r="FM6377"/>
      <c r="FN6377"/>
      <c r="FO6377"/>
      <c r="FP6377"/>
      <c r="FQ6377"/>
      <c r="FR6377"/>
      <c r="FS6377"/>
      <c r="FT6377"/>
      <c r="FU6377"/>
      <c r="FV6377"/>
      <c r="FW6377"/>
      <c r="FX6377"/>
      <c r="FY6377"/>
      <c r="FZ6377"/>
      <c r="GA6377"/>
      <c r="GB6377"/>
      <c r="GC6377"/>
      <c r="GD6377"/>
      <c r="GE6377"/>
      <c r="GF6377"/>
      <c r="GG6377"/>
      <c r="GH6377"/>
      <c r="GI6377"/>
      <c r="GJ6377"/>
      <c r="GK6377"/>
      <c r="GL6377"/>
      <c r="GM6377"/>
      <c r="GN6377"/>
      <c r="GO6377"/>
    </row>
    <row r="6378" spans="107:197">
      <c r="DC6378"/>
      <c r="FH6378"/>
      <c r="FI6378"/>
      <c r="FJ6378"/>
      <c r="FK6378"/>
      <c r="FL6378"/>
      <c r="FM6378"/>
      <c r="FN6378"/>
      <c r="FO6378"/>
      <c r="FP6378"/>
      <c r="FQ6378"/>
      <c r="FR6378"/>
      <c r="FS6378"/>
      <c r="FT6378"/>
      <c r="FU6378"/>
      <c r="FV6378"/>
      <c r="FW6378"/>
      <c r="FX6378"/>
      <c r="FY6378"/>
      <c r="FZ6378"/>
      <c r="GA6378"/>
      <c r="GB6378"/>
      <c r="GC6378"/>
      <c r="GD6378"/>
      <c r="GE6378"/>
      <c r="GF6378"/>
      <c r="GG6378"/>
      <c r="GH6378"/>
      <c r="GI6378"/>
      <c r="GJ6378"/>
      <c r="GK6378"/>
      <c r="GL6378"/>
      <c r="GM6378"/>
      <c r="GN6378"/>
      <c r="GO6378"/>
    </row>
    <row r="6379" spans="107:197">
      <c r="DC6379"/>
      <c r="FH6379"/>
      <c r="FI6379"/>
      <c r="FJ6379"/>
      <c r="FK6379"/>
      <c r="FL6379"/>
      <c r="FM6379"/>
      <c r="FN6379"/>
      <c r="FO6379"/>
      <c r="FP6379"/>
      <c r="FQ6379"/>
      <c r="FR6379"/>
      <c r="FS6379"/>
      <c r="FT6379"/>
      <c r="FU6379"/>
      <c r="FV6379"/>
      <c r="FW6379"/>
      <c r="FX6379"/>
      <c r="FY6379"/>
      <c r="FZ6379"/>
      <c r="GA6379"/>
      <c r="GB6379"/>
      <c r="GC6379"/>
      <c r="GD6379"/>
      <c r="GE6379"/>
      <c r="GF6379"/>
      <c r="GG6379"/>
      <c r="GH6379"/>
      <c r="GI6379"/>
      <c r="GJ6379"/>
      <c r="GK6379"/>
      <c r="GL6379"/>
      <c r="GM6379"/>
      <c r="GN6379"/>
      <c r="GO6379"/>
    </row>
    <row r="6380" spans="107:197">
      <c r="DC6380"/>
      <c r="FH6380"/>
      <c r="FI6380"/>
      <c r="FJ6380"/>
      <c r="FK6380"/>
      <c r="FL6380"/>
      <c r="FM6380"/>
      <c r="FN6380"/>
      <c r="FO6380"/>
      <c r="FP6380"/>
      <c r="FQ6380"/>
      <c r="FR6380"/>
      <c r="FS6380"/>
      <c r="FT6380"/>
      <c r="FU6380"/>
      <c r="FV6380"/>
      <c r="FW6380"/>
      <c r="FX6380"/>
      <c r="FY6380"/>
      <c r="FZ6380"/>
      <c r="GA6380"/>
      <c r="GB6380"/>
      <c r="GC6380"/>
      <c r="GD6380"/>
      <c r="GE6380"/>
      <c r="GF6380"/>
      <c r="GG6380"/>
      <c r="GH6380"/>
      <c r="GI6380"/>
      <c r="GJ6380"/>
      <c r="GK6380"/>
      <c r="GL6380"/>
      <c r="GM6380"/>
      <c r="GN6380"/>
      <c r="GO6380"/>
    </row>
    <row r="6381" spans="107:197">
      <c r="DC6381"/>
      <c r="FH6381"/>
      <c r="FI6381"/>
      <c r="FJ6381"/>
      <c r="FK6381"/>
      <c r="FL6381"/>
      <c r="FM6381"/>
      <c r="FN6381"/>
      <c r="FO6381"/>
      <c r="FP6381"/>
      <c r="FQ6381"/>
      <c r="FR6381"/>
      <c r="FS6381"/>
      <c r="FT6381"/>
      <c r="FU6381"/>
      <c r="FV6381"/>
      <c r="FW6381"/>
      <c r="FX6381"/>
      <c r="FY6381"/>
      <c r="FZ6381"/>
      <c r="GA6381"/>
      <c r="GB6381"/>
      <c r="GC6381"/>
      <c r="GD6381"/>
      <c r="GE6381"/>
      <c r="GF6381"/>
      <c r="GG6381"/>
      <c r="GH6381"/>
      <c r="GI6381"/>
      <c r="GJ6381"/>
      <c r="GK6381"/>
      <c r="GL6381"/>
      <c r="GM6381"/>
      <c r="GN6381"/>
      <c r="GO6381"/>
    </row>
    <row r="6382" spans="107:197">
      <c r="DC6382"/>
      <c r="FH6382"/>
      <c r="FI6382"/>
      <c r="FJ6382"/>
      <c r="FK6382"/>
      <c r="FL6382"/>
      <c r="FM6382"/>
      <c r="FN6382"/>
      <c r="FO6382"/>
      <c r="FP6382"/>
      <c r="FQ6382"/>
      <c r="FR6382"/>
      <c r="FS6382"/>
      <c r="FT6382"/>
      <c r="FU6382"/>
      <c r="FV6382"/>
      <c r="FW6382"/>
      <c r="FX6382"/>
      <c r="FY6382"/>
      <c r="FZ6382"/>
      <c r="GA6382"/>
      <c r="GB6382"/>
      <c r="GC6382"/>
      <c r="GD6382"/>
      <c r="GE6382"/>
      <c r="GF6382"/>
      <c r="GG6382"/>
      <c r="GH6382"/>
      <c r="GI6382"/>
      <c r="GJ6382"/>
      <c r="GK6382"/>
      <c r="GL6382"/>
      <c r="GM6382"/>
      <c r="GN6382"/>
      <c r="GO6382"/>
    </row>
    <row r="6383" spans="107:197">
      <c r="DC6383"/>
      <c r="FH6383"/>
      <c r="FI6383"/>
      <c r="FJ6383"/>
      <c r="FK6383"/>
      <c r="FL6383"/>
      <c r="FM6383"/>
      <c r="FN6383"/>
      <c r="FO6383"/>
      <c r="FP6383"/>
      <c r="FQ6383"/>
      <c r="FR6383"/>
      <c r="FS6383"/>
      <c r="FT6383"/>
      <c r="FU6383"/>
      <c r="FV6383"/>
      <c r="FW6383"/>
      <c r="FX6383"/>
      <c r="FY6383"/>
      <c r="FZ6383"/>
      <c r="GA6383"/>
      <c r="GB6383"/>
      <c r="GC6383"/>
      <c r="GD6383"/>
      <c r="GE6383"/>
      <c r="GF6383"/>
      <c r="GG6383"/>
      <c r="GH6383"/>
      <c r="GI6383"/>
      <c r="GJ6383"/>
      <c r="GK6383"/>
      <c r="GL6383"/>
      <c r="GM6383"/>
      <c r="GN6383"/>
      <c r="GO6383"/>
    </row>
    <row r="6384" spans="107:197">
      <c r="DC6384"/>
      <c r="FH6384"/>
      <c r="FI6384"/>
      <c r="FJ6384"/>
      <c r="FK6384"/>
      <c r="FL6384"/>
      <c r="FM6384"/>
      <c r="FN6384"/>
      <c r="FO6384"/>
      <c r="FP6384"/>
      <c r="FQ6384"/>
      <c r="FR6384"/>
      <c r="FS6384"/>
      <c r="FT6384"/>
      <c r="FU6384"/>
      <c r="FV6384"/>
      <c r="FW6384"/>
      <c r="FX6384"/>
      <c r="FY6384"/>
      <c r="FZ6384"/>
      <c r="GA6384"/>
      <c r="GB6384"/>
      <c r="GC6384"/>
      <c r="GD6384"/>
      <c r="GE6384"/>
      <c r="GF6384"/>
      <c r="GG6384"/>
      <c r="GH6384"/>
      <c r="GI6384"/>
      <c r="GJ6384"/>
      <c r="GK6384"/>
      <c r="GL6384"/>
      <c r="GM6384"/>
      <c r="GN6384"/>
      <c r="GO6384"/>
    </row>
    <row r="6385" spans="107:197">
      <c r="DC6385"/>
      <c r="FH6385"/>
      <c r="FI6385"/>
      <c r="FJ6385"/>
      <c r="FK6385"/>
      <c r="FL6385"/>
      <c r="FM6385"/>
      <c r="FN6385"/>
      <c r="FO6385"/>
      <c r="FP6385"/>
      <c r="FQ6385"/>
      <c r="FR6385"/>
      <c r="FS6385"/>
      <c r="FT6385"/>
      <c r="FU6385"/>
      <c r="FV6385"/>
      <c r="FW6385"/>
      <c r="FX6385"/>
      <c r="FY6385"/>
      <c r="FZ6385"/>
      <c r="GA6385"/>
      <c r="GB6385"/>
      <c r="GC6385"/>
      <c r="GD6385"/>
      <c r="GE6385"/>
      <c r="GF6385"/>
      <c r="GG6385"/>
      <c r="GH6385"/>
      <c r="GI6385"/>
      <c r="GJ6385"/>
      <c r="GK6385"/>
      <c r="GL6385"/>
      <c r="GM6385"/>
      <c r="GN6385"/>
      <c r="GO6385"/>
    </row>
    <row r="6386" spans="107:197">
      <c r="DC6386"/>
      <c r="FH6386"/>
      <c r="FI6386"/>
      <c r="FJ6386"/>
      <c r="FK6386"/>
      <c r="FL6386"/>
      <c r="FM6386"/>
      <c r="FN6386"/>
      <c r="FO6386"/>
      <c r="FP6386"/>
      <c r="FQ6386"/>
      <c r="FR6386"/>
      <c r="FS6386"/>
      <c r="FT6386"/>
      <c r="FU6386"/>
      <c r="FV6386"/>
      <c r="FW6386"/>
      <c r="FX6386"/>
      <c r="FY6386"/>
      <c r="FZ6386"/>
      <c r="GA6386"/>
      <c r="GB6386"/>
      <c r="GC6386"/>
      <c r="GD6386"/>
      <c r="GE6386"/>
      <c r="GF6386"/>
      <c r="GG6386"/>
      <c r="GH6386"/>
      <c r="GI6386"/>
      <c r="GJ6386"/>
      <c r="GK6386"/>
      <c r="GL6386"/>
      <c r="GM6386"/>
      <c r="GN6386"/>
      <c r="GO6386"/>
    </row>
    <row r="6387" spans="107:197">
      <c r="DC6387"/>
      <c r="FH6387"/>
      <c r="FI6387"/>
      <c r="FJ6387"/>
      <c r="FK6387"/>
      <c r="FL6387"/>
      <c r="FM6387"/>
      <c r="FN6387"/>
      <c r="FO6387"/>
      <c r="FP6387"/>
      <c r="FQ6387"/>
      <c r="FR6387"/>
      <c r="FS6387"/>
      <c r="FT6387"/>
      <c r="FU6387"/>
      <c r="FV6387"/>
      <c r="FW6387"/>
      <c r="FX6387"/>
      <c r="FY6387"/>
      <c r="FZ6387"/>
      <c r="GA6387"/>
      <c r="GB6387"/>
      <c r="GC6387"/>
      <c r="GD6387"/>
      <c r="GE6387"/>
      <c r="GF6387"/>
      <c r="GG6387"/>
      <c r="GH6387"/>
      <c r="GI6387"/>
      <c r="GJ6387"/>
      <c r="GK6387"/>
      <c r="GL6387"/>
      <c r="GM6387"/>
      <c r="GN6387"/>
      <c r="GO6387"/>
    </row>
    <row r="6388" spans="107:197">
      <c r="DC6388"/>
      <c r="FH6388"/>
      <c r="FI6388"/>
      <c r="FJ6388"/>
      <c r="FK6388"/>
      <c r="FL6388"/>
      <c r="FM6388"/>
      <c r="FN6388"/>
      <c r="FO6388"/>
      <c r="FP6388"/>
      <c r="FQ6388"/>
      <c r="FR6388"/>
      <c r="FS6388"/>
      <c r="FT6388"/>
      <c r="FU6388"/>
      <c r="FV6388"/>
      <c r="FW6388"/>
      <c r="FX6388"/>
      <c r="FY6388"/>
      <c r="FZ6388"/>
      <c r="GA6388"/>
      <c r="GB6388"/>
      <c r="GC6388"/>
      <c r="GD6388"/>
      <c r="GE6388"/>
      <c r="GF6388"/>
      <c r="GG6388"/>
      <c r="GH6388"/>
      <c r="GI6388"/>
      <c r="GJ6388"/>
      <c r="GK6388"/>
      <c r="GL6388"/>
      <c r="GM6388"/>
      <c r="GN6388"/>
      <c r="GO6388"/>
    </row>
    <row r="6389" spans="107:197">
      <c r="DC6389"/>
      <c r="FH6389"/>
      <c r="FI6389"/>
      <c r="FJ6389"/>
      <c r="FK6389"/>
      <c r="FL6389"/>
      <c r="FM6389"/>
      <c r="FN6389"/>
      <c r="FO6389"/>
      <c r="FP6389"/>
      <c r="FQ6389"/>
      <c r="FR6389"/>
      <c r="FS6389"/>
      <c r="FT6389"/>
      <c r="FU6389"/>
      <c r="FV6389"/>
      <c r="FW6389"/>
      <c r="FX6389"/>
      <c r="FY6389"/>
      <c r="FZ6389"/>
      <c r="GA6389"/>
      <c r="GB6389"/>
      <c r="GC6389"/>
      <c r="GD6389"/>
      <c r="GE6389"/>
      <c r="GF6389"/>
      <c r="GG6389"/>
      <c r="GH6389"/>
      <c r="GI6389"/>
      <c r="GJ6389"/>
      <c r="GK6389"/>
      <c r="GL6389"/>
      <c r="GM6389"/>
      <c r="GN6389"/>
      <c r="GO6389"/>
    </row>
    <row r="6390" spans="107:197">
      <c r="DC6390"/>
      <c r="FH6390"/>
      <c r="FI6390"/>
      <c r="FJ6390"/>
      <c r="FK6390"/>
      <c r="FL6390"/>
      <c r="FM6390"/>
      <c r="FN6390"/>
      <c r="FO6390"/>
      <c r="FP6390"/>
      <c r="FQ6390"/>
      <c r="FR6390"/>
      <c r="FS6390"/>
      <c r="FT6390"/>
      <c r="FU6390"/>
      <c r="FV6390"/>
      <c r="FW6390"/>
      <c r="FX6390"/>
      <c r="FY6390"/>
      <c r="FZ6390"/>
      <c r="GA6390"/>
      <c r="GB6390"/>
      <c r="GC6390"/>
      <c r="GD6390"/>
      <c r="GE6390"/>
      <c r="GF6390"/>
      <c r="GG6390"/>
      <c r="GH6390"/>
      <c r="GI6390"/>
      <c r="GJ6390"/>
      <c r="GK6390"/>
      <c r="GL6390"/>
      <c r="GM6390"/>
      <c r="GN6390"/>
      <c r="GO6390"/>
    </row>
    <row r="6391" spans="107:197">
      <c r="DC6391"/>
      <c r="FH6391"/>
      <c r="FI6391"/>
      <c r="FJ6391"/>
      <c r="FK6391"/>
      <c r="FL6391"/>
      <c r="FM6391"/>
      <c r="FN6391"/>
      <c r="FO6391"/>
      <c r="FP6391"/>
      <c r="FQ6391"/>
      <c r="FR6391"/>
      <c r="FS6391"/>
      <c r="FT6391"/>
      <c r="FU6391"/>
      <c r="FV6391"/>
      <c r="FW6391"/>
      <c r="FX6391"/>
      <c r="FY6391"/>
      <c r="FZ6391"/>
      <c r="GA6391"/>
      <c r="GB6391"/>
      <c r="GC6391"/>
      <c r="GD6391"/>
      <c r="GE6391"/>
      <c r="GF6391"/>
      <c r="GG6391"/>
      <c r="GH6391"/>
      <c r="GI6391"/>
      <c r="GJ6391"/>
      <c r="GK6391"/>
      <c r="GL6391"/>
      <c r="GM6391"/>
      <c r="GN6391"/>
      <c r="GO6391"/>
    </row>
    <row r="6392" spans="107:197">
      <c r="DC6392"/>
      <c r="FH6392"/>
      <c r="FI6392"/>
      <c r="FJ6392"/>
      <c r="FK6392"/>
      <c r="FL6392"/>
      <c r="FM6392"/>
      <c r="FN6392"/>
      <c r="FO6392"/>
      <c r="FP6392"/>
      <c r="FQ6392"/>
      <c r="FR6392"/>
      <c r="FS6392"/>
      <c r="FT6392"/>
      <c r="FU6392"/>
      <c r="FV6392"/>
      <c r="FW6392"/>
      <c r="FX6392"/>
      <c r="FY6392"/>
      <c r="FZ6392"/>
      <c r="GA6392"/>
      <c r="GB6392"/>
      <c r="GC6392"/>
      <c r="GD6392"/>
      <c r="GE6392"/>
      <c r="GF6392"/>
      <c r="GG6392"/>
      <c r="GH6392"/>
      <c r="GI6392"/>
      <c r="GJ6392"/>
      <c r="GK6392"/>
      <c r="GL6392"/>
      <c r="GM6392"/>
      <c r="GN6392"/>
      <c r="GO6392"/>
    </row>
    <row r="6393" spans="107:197">
      <c r="DC6393"/>
      <c r="FH6393"/>
      <c r="FI6393"/>
      <c r="FJ6393"/>
      <c r="FK6393"/>
      <c r="FL6393"/>
      <c r="FM6393"/>
      <c r="FN6393"/>
      <c r="FO6393"/>
      <c r="FP6393"/>
      <c r="FQ6393"/>
      <c r="FR6393"/>
      <c r="FS6393"/>
      <c r="FT6393"/>
      <c r="FU6393"/>
      <c r="FV6393"/>
      <c r="FW6393"/>
      <c r="FX6393"/>
      <c r="FY6393"/>
      <c r="FZ6393"/>
      <c r="GA6393"/>
      <c r="GB6393"/>
      <c r="GC6393"/>
      <c r="GD6393"/>
      <c r="GE6393"/>
      <c r="GF6393"/>
      <c r="GG6393"/>
      <c r="GH6393"/>
      <c r="GI6393"/>
      <c r="GJ6393"/>
      <c r="GK6393"/>
      <c r="GL6393"/>
      <c r="GM6393"/>
      <c r="GN6393"/>
      <c r="GO6393"/>
    </row>
    <row r="6394" spans="107:197">
      <c r="DC6394"/>
      <c r="FH6394"/>
      <c r="FI6394"/>
      <c r="FJ6394"/>
      <c r="FK6394"/>
      <c r="FL6394"/>
      <c r="FM6394"/>
      <c r="FN6394"/>
      <c r="FO6394"/>
      <c r="FP6394"/>
      <c r="FQ6394"/>
      <c r="FR6394"/>
      <c r="FS6394"/>
      <c r="FT6394"/>
      <c r="FU6394"/>
      <c r="FV6394"/>
      <c r="FW6394"/>
      <c r="FX6394"/>
      <c r="FY6394"/>
      <c r="FZ6394"/>
      <c r="GA6394"/>
      <c r="GB6394"/>
      <c r="GC6394"/>
      <c r="GD6394"/>
      <c r="GE6394"/>
      <c r="GF6394"/>
      <c r="GG6394"/>
      <c r="GH6394"/>
      <c r="GI6394"/>
      <c r="GJ6394"/>
      <c r="GK6394"/>
      <c r="GL6394"/>
      <c r="GM6394"/>
      <c r="GN6394"/>
      <c r="GO6394"/>
    </row>
    <row r="6395" spans="107:197">
      <c r="DC6395"/>
      <c r="FH6395"/>
      <c r="FI6395"/>
      <c r="FJ6395"/>
      <c r="FK6395"/>
      <c r="FL6395"/>
      <c r="FM6395"/>
      <c r="FN6395"/>
      <c r="FO6395"/>
      <c r="FP6395"/>
      <c r="FQ6395"/>
      <c r="FR6395"/>
      <c r="FS6395"/>
      <c r="FT6395"/>
      <c r="FU6395"/>
      <c r="FV6395"/>
      <c r="FW6395"/>
      <c r="FX6395"/>
      <c r="FY6395"/>
      <c r="FZ6395"/>
      <c r="GA6395"/>
      <c r="GB6395"/>
      <c r="GC6395"/>
      <c r="GD6395"/>
      <c r="GE6395"/>
      <c r="GF6395"/>
      <c r="GG6395"/>
      <c r="GH6395"/>
      <c r="GI6395"/>
      <c r="GJ6395"/>
      <c r="GK6395"/>
      <c r="GL6395"/>
      <c r="GM6395"/>
      <c r="GN6395"/>
      <c r="GO6395"/>
    </row>
    <row r="6396" spans="107:197">
      <c r="DC6396"/>
      <c r="FH6396"/>
      <c r="FI6396"/>
      <c r="FJ6396"/>
      <c r="FK6396"/>
      <c r="FL6396"/>
      <c r="FM6396"/>
      <c r="FN6396"/>
      <c r="FO6396"/>
      <c r="FP6396"/>
      <c r="FQ6396"/>
      <c r="FR6396"/>
      <c r="FS6396"/>
      <c r="FT6396"/>
      <c r="FU6396"/>
      <c r="FV6396"/>
      <c r="FW6396"/>
      <c r="FX6396"/>
      <c r="FY6396"/>
      <c r="FZ6396"/>
      <c r="GA6396"/>
      <c r="GB6396"/>
      <c r="GC6396"/>
      <c r="GD6396"/>
      <c r="GE6396"/>
      <c r="GF6396"/>
      <c r="GG6396"/>
      <c r="GH6396"/>
      <c r="GI6396"/>
      <c r="GJ6396"/>
      <c r="GK6396"/>
      <c r="GL6396"/>
      <c r="GM6396"/>
      <c r="GN6396"/>
      <c r="GO6396"/>
    </row>
    <row r="6397" spans="107:197">
      <c r="DC6397"/>
      <c r="FH6397"/>
      <c r="FI6397"/>
      <c r="FJ6397"/>
      <c r="FK6397"/>
      <c r="FL6397"/>
      <c r="FM6397"/>
      <c r="FN6397"/>
      <c r="FO6397"/>
      <c r="FP6397"/>
      <c r="FQ6397"/>
      <c r="FR6397"/>
      <c r="FS6397"/>
      <c r="FT6397"/>
      <c r="FU6397"/>
      <c r="FV6397"/>
      <c r="FW6397"/>
      <c r="FX6397"/>
      <c r="FY6397"/>
      <c r="FZ6397"/>
      <c r="GA6397"/>
      <c r="GB6397"/>
      <c r="GC6397"/>
      <c r="GD6397"/>
      <c r="GE6397"/>
      <c r="GF6397"/>
      <c r="GG6397"/>
      <c r="GH6397"/>
      <c r="GI6397"/>
      <c r="GJ6397"/>
      <c r="GK6397"/>
      <c r="GL6397"/>
      <c r="GM6397"/>
      <c r="GN6397"/>
      <c r="GO6397"/>
    </row>
    <row r="6398" spans="107:197">
      <c r="DC6398"/>
      <c r="FH6398"/>
      <c r="FI6398"/>
      <c r="FJ6398"/>
      <c r="FK6398"/>
      <c r="FL6398"/>
      <c r="FM6398"/>
      <c r="FN6398"/>
      <c r="FO6398"/>
      <c r="FP6398"/>
      <c r="FQ6398"/>
      <c r="FR6398"/>
      <c r="FS6398"/>
      <c r="FT6398"/>
      <c r="FU6398"/>
      <c r="FV6398"/>
      <c r="FW6398"/>
      <c r="FX6398"/>
      <c r="FY6398"/>
      <c r="FZ6398"/>
      <c r="GA6398"/>
      <c r="GB6398"/>
      <c r="GC6398"/>
      <c r="GD6398"/>
      <c r="GE6398"/>
      <c r="GF6398"/>
      <c r="GG6398"/>
      <c r="GH6398"/>
      <c r="GI6398"/>
      <c r="GJ6398"/>
      <c r="GK6398"/>
      <c r="GL6398"/>
      <c r="GM6398"/>
      <c r="GN6398"/>
      <c r="GO6398"/>
    </row>
    <row r="6399" spans="107:197">
      <c r="DC6399"/>
      <c r="FH6399"/>
      <c r="FI6399"/>
      <c r="FJ6399"/>
      <c r="FK6399"/>
      <c r="FL6399"/>
      <c r="FM6399"/>
      <c r="FN6399"/>
      <c r="FO6399"/>
      <c r="FP6399"/>
      <c r="FQ6399"/>
      <c r="FR6399"/>
      <c r="FS6399"/>
      <c r="FT6399"/>
      <c r="FU6399"/>
      <c r="FV6399"/>
      <c r="FW6399"/>
      <c r="FX6399"/>
      <c r="FY6399"/>
      <c r="FZ6399"/>
      <c r="GA6399"/>
      <c r="GB6399"/>
      <c r="GC6399"/>
      <c r="GD6399"/>
      <c r="GE6399"/>
      <c r="GF6399"/>
      <c r="GG6399"/>
      <c r="GH6399"/>
      <c r="GI6399"/>
      <c r="GJ6399"/>
      <c r="GK6399"/>
      <c r="GL6399"/>
      <c r="GM6399"/>
      <c r="GN6399"/>
      <c r="GO6399"/>
    </row>
    <row r="6400" spans="107:197">
      <c r="DC6400"/>
      <c r="FH6400"/>
      <c r="FI6400"/>
      <c r="FJ6400"/>
      <c r="FK6400"/>
      <c r="FL6400"/>
      <c r="FM6400"/>
      <c r="FN6400"/>
      <c r="FO6400"/>
      <c r="FP6400"/>
      <c r="FQ6400"/>
      <c r="FR6400"/>
      <c r="FS6400"/>
      <c r="FT6400"/>
      <c r="FU6400"/>
      <c r="FV6400"/>
      <c r="FW6400"/>
      <c r="FX6400"/>
      <c r="FY6400"/>
      <c r="FZ6400"/>
      <c r="GA6400"/>
      <c r="GB6400"/>
      <c r="GC6400"/>
      <c r="GD6400"/>
      <c r="GE6400"/>
      <c r="GF6400"/>
      <c r="GG6400"/>
      <c r="GH6400"/>
      <c r="GI6400"/>
      <c r="GJ6400"/>
      <c r="GK6400"/>
      <c r="GL6400"/>
      <c r="GM6400"/>
      <c r="GN6400"/>
      <c r="GO6400"/>
    </row>
    <row r="6401" spans="107:197">
      <c r="DC6401"/>
      <c r="FH6401"/>
      <c r="FI6401"/>
      <c r="FJ6401"/>
      <c r="FK6401"/>
      <c r="FL6401"/>
      <c r="FM6401"/>
      <c r="FN6401"/>
      <c r="FO6401"/>
      <c r="FP6401"/>
      <c r="FQ6401"/>
      <c r="FR6401"/>
      <c r="FS6401"/>
      <c r="FT6401"/>
      <c r="FU6401"/>
      <c r="FV6401"/>
      <c r="FW6401"/>
      <c r="FX6401"/>
      <c r="FY6401"/>
      <c r="FZ6401"/>
      <c r="GA6401"/>
      <c r="GB6401"/>
      <c r="GC6401"/>
      <c r="GD6401"/>
      <c r="GE6401"/>
      <c r="GF6401"/>
      <c r="GG6401"/>
      <c r="GH6401"/>
      <c r="GI6401"/>
      <c r="GJ6401"/>
      <c r="GK6401"/>
      <c r="GL6401"/>
      <c r="GM6401"/>
      <c r="GN6401"/>
      <c r="GO6401"/>
    </row>
    <row r="6402" spans="107:197">
      <c r="DC6402"/>
      <c r="FH6402"/>
      <c r="FI6402"/>
      <c r="FJ6402"/>
      <c r="FK6402"/>
      <c r="FL6402"/>
      <c r="FM6402"/>
      <c r="FN6402"/>
      <c r="FO6402"/>
      <c r="FP6402"/>
      <c r="FQ6402"/>
      <c r="FR6402"/>
      <c r="FS6402"/>
      <c r="FT6402"/>
      <c r="FU6402"/>
      <c r="FV6402"/>
      <c r="FW6402"/>
      <c r="FX6402"/>
      <c r="FY6402"/>
      <c r="FZ6402"/>
      <c r="GA6402"/>
      <c r="GB6402"/>
      <c r="GC6402"/>
      <c r="GD6402"/>
      <c r="GE6402"/>
      <c r="GF6402"/>
      <c r="GG6402"/>
      <c r="GH6402"/>
      <c r="GI6402"/>
      <c r="GJ6402"/>
      <c r="GK6402"/>
      <c r="GL6402"/>
      <c r="GM6402"/>
      <c r="GN6402"/>
      <c r="GO6402"/>
    </row>
    <row r="6403" spans="107:197">
      <c r="DC6403"/>
      <c r="FH6403"/>
      <c r="FI6403"/>
      <c r="FJ6403"/>
      <c r="FK6403"/>
      <c r="FL6403"/>
      <c r="FM6403"/>
      <c r="FN6403"/>
      <c r="FO6403"/>
      <c r="FP6403"/>
      <c r="FQ6403"/>
      <c r="FR6403"/>
      <c r="FS6403"/>
      <c r="FT6403"/>
      <c r="FU6403"/>
      <c r="FV6403"/>
      <c r="FW6403"/>
      <c r="FX6403"/>
      <c r="FY6403"/>
      <c r="FZ6403"/>
      <c r="GA6403"/>
      <c r="GB6403"/>
      <c r="GC6403"/>
      <c r="GD6403"/>
      <c r="GE6403"/>
      <c r="GF6403"/>
      <c r="GG6403"/>
      <c r="GH6403"/>
      <c r="GI6403"/>
      <c r="GJ6403"/>
      <c r="GK6403"/>
      <c r="GL6403"/>
      <c r="GM6403"/>
      <c r="GN6403"/>
      <c r="GO6403"/>
    </row>
    <row r="6404" spans="107:197">
      <c r="DC6404"/>
      <c r="FH6404"/>
      <c r="FI6404"/>
      <c r="FJ6404"/>
      <c r="FK6404"/>
      <c r="FL6404"/>
      <c r="FM6404"/>
      <c r="FN6404"/>
      <c r="FO6404"/>
      <c r="FP6404"/>
      <c r="FQ6404"/>
      <c r="FR6404"/>
      <c r="FS6404"/>
      <c r="FT6404"/>
      <c r="FU6404"/>
      <c r="FV6404"/>
      <c r="FW6404"/>
      <c r="FX6404"/>
      <c r="FY6404"/>
      <c r="FZ6404"/>
      <c r="GA6404"/>
      <c r="GB6404"/>
      <c r="GC6404"/>
      <c r="GD6404"/>
      <c r="GE6404"/>
      <c r="GF6404"/>
      <c r="GG6404"/>
      <c r="GH6404"/>
      <c r="GI6404"/>
      <c r="GJ6404"/>
      <c r="GK6404"/>
      <c r="GL6404"/>
      <c r="GM6404"/>
      <c r="GN6404"/>
      <c r="GO6404"/>
    </row>
    <row r="6405" spans="107:197">
      <c r="DC6405"/>
      <c r="FH6405"/>
      <c r="FI6405"/>
      <c r="FJ6405"/>
      <c r="FK6405"/>
      <c r="FL6405"/>
      <c r="FM6405"/>
      <c r="FN6405"/>
      <c r="FO6405"/>
      <c r="FP6405"/>
      <c r="FQ6405"/>
      <c r="FR6405"/>
      <c r="FS6405"/>
      <c r="FT6405"/>
      <c r="FU6405"/>
      <c r="FV6405"/>
      <c r="FW6405"/>
      <c r="FX6405"/>
      <c r="FY6405"/>
      <c r="FZ6405"/>
      <c r="GA6405"/>
      <c r="GB6405"/>
      <c r="GC6405"/>
      <c r="GD6405"/>
      <c r="GE6405"/>
      <c r="GF6405"/>
      <c r="GG6405"/>
      <c r="GH6405"/>
      <c r="GI6405"/>
      <c r="GJ6405"/>
      <c r="GK6405"/>
      <c r="GL6405"/>
      <c r="GM6405"/>
      <c r="GN6405"/>
      <c r="GO6405"/>
    </row>
    <row r="6406" spans="107:197">
      <c r="DC6406"/>
      <c r="FH6406"/>
      <c r="FI6406"/>
      <c r="FJ6406"/>
      <c r="FK6406"/>
      <c r="FL6406"/>
      <c r="FM6406"/>
      <c r="FN6406"/>
      <c r="FO6406"/>
      <c r="FP6406"/>
      <c r="FQ6406"/>
      <c r="FR6406"/>
      <c r="FS6406"/>
      <c r="FT6406"/>
      <c r="FU6406"/>
      <c r="FV6406"/>
      <c r="FW6406"/>
      <c r="FX6406"/>
      <c r="FY6406"/>
      <c r="FZ6406"/>
      <c r="GA6406"/>
      <c r="GB6406"/>
      <c r="GC6406"/>
      <c r="GD6406"/>
      <c r="GE6406"/>
      <c r="GF6406"/>
      <c r="GG6406"/>
      <c r="GH6406"/>
      <c r="GI6406"/>
      <c r="GJ6406"/>
      <c r="GK6406"/>
      <c r="GL6406"/>
      <c r="GM6406"/>
      <c r="GN6406"/>
      <c r="GO6406"/>
    </row>
    <row r="6407" spans="107:197">
      <c r="DC6407"/>
      <c r="FH6407"/>
      <c r="FI6407"/>
      <c r="FJ6407"/>
      <c r="FK6407"/>
      <c r="FL6407"/>
      <c r="FM6407"/>
      <c r="FN6407"/>
      <c r="FO6407"/>
      <c r="FP6407"/>
      <c r="FQ6407"/>
      <c r="FR6407"/>
      <c r="FS6407"/>
      <c r="FT6407"/>
      <c r="FU6407"/>
      <c r="FV6407"/>
      <c r="FW6407"/>
      <c r="FX6407"/>
      <c r="FY6407"/>
      <c r="FZ6407"/>
      <c r="GA6407"/>
      <c r="GB6407"/>
      <c r="GC6407"/>
      <c r="GD6407"/>
      <c r="GE6407"/>
      <c r="GF6407"/>
      <c r="GG6407"/>
      <c r="GH6407"/>
      <c r="GI6407"/>
      <c r="GJ6407"/>
      <c r="GK6407"/>
      <c r="GL6407"/>
      <c r="GM6407"/>
      <c r="GN6407"/>
      <c r="GO6407"/>
    </row>
    <row r="6408" spans="107:197">
      <c r="DC6408"/>
      <c r="FH6408"/>
      <c r="FI6408"/>
      <c r="FJ6408"/>
      <c r="FK6408"/>
      <c r="FL6408"/>
      <c r="FM6408"/>
      <c r="FN6408"/>
      <c r="FO6408"/>
      <c r="FP6408"/>
      <c r="FQ6408"/>
      <c r="FR6408"/>
      <c r="FS6408"/>
      <c r="FT6408"/>
      <c r="FU6408"/>
      <c r="FV6408"/>
      <c r="FW6408"/>
      <c r="FX6408"/>
      <c r="FY6408"/>
      <c r="FZ6408"/>
      <c r="GA6408"/>
      <c r="GB6408"/>
      <c r="GC6408"/>
      <c r="GD6408"/>
      <c r="GE6408"/>
      <c r="GF6408"/>
      <c r="GG6408"/>
      <c r="GH6408"/>
      <c r="GI6408"/>
      <c r="GJ6408"/>
      <c r="GK6408"/>
      <c r="GL6408"/>
      <c r="GM6408"/>
      <c r="GN6408"/>
      <c r="GO6408"/>
    </row>
    <row r="6409" spans="107:197">
      <c r="DC6409"/>
      <c r="FH6409"/>
      <c r="FI6409"/>
      <c r="FJ6409"/>
      <c r="FK6409"/>
      <c r="FL6409"/>
      <c r="FM6409"/>
      <c r="FN6409"/>
      <c r="FO6409"/>
      <c r="FP6409"/>
      <c r="FQ6409"/>
      <c r="FR6409"/>
      <c r="FS6409"/>
      <c r="FT6409"/>
      <c r="FU6409"/>
      <c r="FV6409"/>
      <c r="FW6409"/>
      <c r="FX6409"/>
      <c r="FY6409"/>
      <c r="FZ6409"/>
      <c r="GA6409"/>
      <c r="GB6409"/>
      <c r="GC6409"/>
      <c r="GD6409"/>
      <c r="GE6409"/>
      <c r="GF6409"/>
      <c r="GG6409"/>
      <c r="GH6409"/>
      <c r="GI6409"/>
      <c r="GJ6409"/>
      <c r="GK6409"/>
      <c r="GL6409"/>
      <c r="GM6409"/>
      <c r="GN6409"/>
      <c r="GO6409"/>
    </row>
    <row r="6410" spans="107:197">
      <c r="DC6410"/>
      <c r="FH6410"/>
      <c r="FI6410"/>
      <c r="FJ6410"/>
      <c r="FK6410"/>
      <c r="FL6410"/>
      <c r="FM6410"/>
      <c r="FN6410"/>
      <c r="FO6410"/>
      <c r="FP6410"/>
      <c r="FQ6410"/>
      <c r="FR6410"/>
      <c r="FS6410"/>
      <c r="FT6410"/>
      <c r="FU6410"/>
      <c r="FV6410"/>
      <c r="FW6410"/>
      <c r="FX6410"/>
      <c r="FY6410"/>
      <c r="FZ6410"/>
      <c r="GA6410"/>
      <c r="GB6410"/>
      <c r="GC6410"/>
      <c r="GD6410"/>
      <c r="GE6410"/>
      <c r="GF6410"/>
      <c r="GG6410"/>
      <c r="GH6410"/>
      <c r="GI6410"/>
      <c r="GJ6410"/>
      <c r="GK6410"/>
      <c r="GL6410"/>
      <c r="GM6410"/>
      <c r="GN6410"/>
      <c r="GO6410"/>
    </row>
    <row r="6411" spans="107:197">
      <c r="DC6411"/>
      <c r="FH6411"/>
      <c r="FI6411"/>
      <c r="FJ6411"/>
      <c r="FK6411"/>
      <c r="FL6411"/>
      <c r="FM6411"/>
      <c r="FN6411"/>
      <c r="FO6411"/>
      <c r="FP6411"/>
      <c r="FQ6411"/>
      <c r="FR6411"/>
      <c r="FS6411"/>
      <c r="FT6411"/>
      <c r="FU6411"/>
      <c r="FV6411"/>
      <c r="FW6411"/>
      <c r="FX6411"/>
      <c r="FY6411"/>
      <c r="FZ6411"/>
      <c r="GA6411"/>
      <c r="GB6411"/>
      <c r="GC6411"/>
      <c r="GD6411"/>
      <c r="GE6411"/>
      <c r="GF6411"/>
      <c r="GG6411"/>
      <c r="GH6411"/>
      <c r="GI6411"/>
      <c r="GJ6411"/>
      <c r="GK6411"/>
      <c r="GL6411"/>
      <c r="GM6411"/>
      <c r="GN6411"/>
      <c r="GO6411"/>
    </row>
    <row r="6412" spans="107:197">
      <c r="DC6412"/>
      <c r="FH6412"/>
      <c r="FI6412"/>
      <c r="FJ6412"/>
      <c r="FK6412"/>
      <c r="FL6412"/>
      <c r="FM6412"/>
      <c r="FN6412"/>
      <c r="FO6412"/>
      <c r="FP6412"/>
      <c r="FQ6412"/>
      <c r="FR6412"/>
      <c r="FS6412"/>
      <c r="FT6412"/>
      <c r="FU6412"/>
      <c r="FV6412"/>
      <c r="FW6412"/>
      <c r="FX6412"/>
      <c r="FY6412"/>
      <c r="FZ6412"/>
      <c r="GA6412"/>
      <c r="GB6412"/>
      <c r="GC6412"/>
      <c r="GD6412"/>
      <c r="GE6412"/>
      <c r="GF6412"/>
      <c r="GG6412"/>
      <c r="GH6412"/>
      <c r="GI6412"/>
      <c r="GJ6412"/>
      <c r="GK6412"/>
      <c r="GL6412"/>
      <c r="GM6412"/>
      <c r="GN6412"/>
      <c r="GO6412"/>
    </row>
    <row r="6413" spans="107:197">
      <c r="DC6413"/>
      <c r="FH6413"/>
      <c r="FI6413"/>
      <c r="FJ6413"/>
      <c r="FK6413"/>
      <c r="FL6413"/>
      <c r="FM6413"/>
      <c r="FN6413"/>
      <c r="FO6413"/>
      <c r="FP6413"/>
      <c r="FQ6413"/>
      <c r="FR6413"/>
      <c r="FS6413"/>
      <c r="FT6413"/>
      <c r="FU6413"/>
      <c r="FV6413"/>
      <c r="FW6413"/>
      <c r="FX6413"/>
      <c r="FY6413"/>
      <c r="FZ6413"/>
      <c r="GA6413"/>
      <c r="GB6413"/>
      <c r="GC6413"/>
      <c r="GD6413"/>
      <c r="GE6413"/>
      <c r="GF6413"/>
      <c r="GG6413"/>
      <c r="GH6413"/>
      <c r="GI6413"/>
      <c r="GJ6413"/>
      <c r="GK6413"/>
      <c r="GL6413"/>
      <c r="GM6413"/>
      <c r="GN6413"/>
      <c r="GO6413"/>
    </row>
    <row r="6414" spans="107:197">
      <c r="DC6414"/>
      <c r="FH6414"/>
      <c r="FI6414"/>
      <c r="FJ6414"/>
      <c r="FK6414"/>
      <c r="FL6414"/>
      <c r="FM6414"/>
      <c r="FN6414"/>
      <c r="FO6414"/>
      <c r="FP6414"/>
      <c r="FQ6414"/>
      <c r="FR6414"/>
      <c r="FS6414"/>
      <c r="FT6414"/>
      <c r="FU6414"/>
      <c r="FV6414"/>
      <c r="FW6414"/>
      <c r="FX6414"/>
      <c r="FY6414"/>
      <c r="FZ6414"/>
      <c r="GA6414"/>
      <c r="GB6414"/>
      <c r="GC6414"/>
      <c r="GD6414"/>
      <c r="GE6414"/>
      <c r="GF6414"/>
      <c r="GG6414"/>
      <c r="GH6414"/>
      <c r="GI6414"/>
      <c r="GJ6414"/>
      <c r="GK6414"/>
      <c r="GL6414"/>
      <c r="GM6414"/>
      <c r="GN6414"/>
      <c r="GO6414"/>
    </row>
    <row r="6415" spans="107:197">
      <c r="DC6415"/>
      <c r="FH6415"/>
      <c r="FI6415"/>
      <c r="FJ6415"/>
      <c r="FK6415"/>
      <c r="FL6415"/>
      <c r="FM6415"/>
      <c r="FN6415"/>
      <c r="FO6415"/>
      <c r="FP6415"/>
      <c r="FQ6415"/>
      <c r="FR6415"/>
      <c r="FS6415"/>
      <c r="FT6415"/>
      <c r="FU6415"/>
      <c r="FV6415"/>
      <c r="FW6415"/>
      <c r="FX6415"/>
      <c r="FY6415"/>
      <c r="FZ6415"/>
      <c r="GA6415"/>
      <c r="GB6415"/>
      <c r="GC6415"/>
      <c r="GD6415"/>
      <c r="GE6415"/>
      <c r="GF6415"/>
      <c r="GG6415"/>
      <c r="GH6415"/>
      <c r="GI6415"/>
      <c r="GJ6415"/>
      <c r="GK6415"/>
      <c r="GL6415"/>
      <c r="GM6415"/>
      <c r="GN6415"/>
      <c r="GO6415"/>
    </row>
    <row r="6416" spans="107:197">
      <c r="DC6416"/>
      <c r="FH6416"/>
      <c r="FI6416"/>
      <c r="FJ6416"/>
      <c r="FK6416"/>
      <c r="FL6416"/>
      <c r="FM6416"/>
      <c r="FN6416"/>
      <c r="FO6416"/>
      <c r="FP6416"/>
      <c r="FQ6416"/>
      <c r="FR6416"/>
      <c r="FS6416"/>
      <c r="FT6416"/>
      <c r="FU6416"/>
      <c r="FV6416"/>
      <c r="FW6416"/>
      <c r="FX6416"/>
      <c r="FY6416"/>
      <c r="FZ6416"/>
      <c r="GA6416"/>
      <c r="GB6416"/>
      <c r="GC6416"/>
      <c r="GD6416"/>
      <c r="GE6416"/>
      <c r="GF6416"/>
      <c r="GG6416"/>
      <c r="GH6416"/>
      <c r="GI6416"/>
      <c r="GJ6416"/>
      <c r="GK6416"/>
      <c r="GL6416"/>
      <c r="GM6416"/>
      <c r="GN6416"/>
      <c r="GO6416"/>
    </row>
    <row r="6417" spans="107:197">
      <c r="DC6417"/>
      <c r="FH6417"/>
      <c r="FI6417"/>
      <c r="FJ6417"/>
      <c r="FK6417"/>
      <c r="FL6417"/>
      <c r="FM6417"/>
      <c r="FN6417"/>
      <c r="FO6417"/>
      <c r="FP6417"/>
      <c r="FQ6417"/>
      <c r="FR6417"/>
      <c r="FS6417"/>
      <c r="FT6417"/>
      <c r="FU6417"/>
      <c r="FV6417"/>
      <c r="FW6417"/>
      <c r="FX6417"/>
      <c r="FY6417"/>
      <c r="FZ6417"/>
      <c r="GA6417"/>
      <c r="GB6417"/>
      <c r="GC6417"/>
      <c r="GD6417"/>
      <c r="GE6417"/>
      <c r="GF6417"/>
      <c r="GG6417"/>
      <c r="GH6417"/>
      <c r="GI6417"/>
      <c r="GJ6417"/>
      <c r="GK6417"/>
      <c r="GL6417"/>
      <c r="GM6417"/>
      <c r="GN6417"/>
      <c r="GO6417"/>
    </row>
    <row r="6418" spans="107:197">
      <c r="DC6418"/>
      <c r="FH6418"/>
      <c r="FI6418"/>
      <c r="FJ6418"/>
      <c r="FK6418"/>
      <c r="FL6418"/>
      <c r="FM6418"/>
      <c r="FN6418"/>
      <c r="FO6418"/>
      <c r="FP6418"/>
      <c r="FQ6418"/>
      <c r="FR6418"/>
      <c r="FS6418"/>
      <c r="FT6418"/>
      <c r="FU6418"/>
      <c r="FV6418"/>
      <c r="FW6418"/>
      <c r="FX6418"/>
      <c r="FY6418"/>
      <c r="FZ6418"/>
      <c r="GA6418"/>
      <c r="GB6418"/>
      <c r="GC6418"/>
      <c r="GD6418"/>
      <c r="GE6418"/>
      <c r="GF6418"/>
      <c r="GG6418"/>
      <c r="GH6418"/>
      <c r="GI6418"/>
      <c r="GJ6418"/>
      <c r="GK6418"/>
      <c r="GL6418"/>
      <c r="GM6418"/>
      <c r="GN6418"/>
      <c r="GO6418"/>
    </row>
    <row r="6419" spans="107:197">
      <c r="DC6419"/>
      <c r="FH6419"/>
      <c r="FI6419"/>
      <c r="FJ6419"/>
      <c r="FK6419"/>
      <c r="FL6419"/>
      <c r="FM6419"/>
      <c r="FN6419"/>
      <c r="FO6419"/>
      <c r="FP6419"/>
      <c r="FQ6419"/>
      <c r="FR6419"/>
      <c r="FS6419"/>
      <c r="FT6419"/>
      <c r="FU6419"/>
      <c r="FV6419"/>
      <c r="FW6419"/>
      <c r="FX6419"/>
      <c r="FY6419"/>
      <c r="FZ6419"/>
      <c r="GA6419"/>
      <c r="GB6419"/>
      <c r="GC6419"/>
      <c r="GD6419"/>
      <c r="GE6419"/>
      <c r="GF6419"/>
      <c r="GG6419"/>
      <c r="GH6419"/>
      <c r="GI6419"/>
      <c r="GJ6419"/>
      <c r="GK6419"/>
      <c r="GL6419"/>
      <c r="GM6419"/>
      <c r="GN6419"/>
      <c r="GO6419"/>
    </row>
    <row r="6420" spans="107:197">
      <c r="DC6420"/>
      <c r="FH6420"/>
      <c r="FI6420"/>
      <c r="FJ6420"/>
      <c r="FK6420"/>
      <c r="FL6420"/>
      <c r="FM6420"/>
      <c r="FN6420"/>
      <c r="FO6420"/>
      <c r="FP6420"/>
      <c r="FQ6420"/>
      <c r="FR6420"/>
      <c r="FS6420"/>
      <c r="FT6420"/>
      <c r="FU6420"/>
      <c r="FV6420"/>
      <c r="FW6420"/>
      <c r="FX6420"/>
      <c r="FY6420"/>
      <c r="FZ6420"/>
      <c r="GA6420"/>
      <c r="GB6420"/>
      <c r="GC6420"/>
      <c r="GD6420"/>
      <c r="GE6420"/>
      <c r="GF6420"/>
      <c r="GG6420"/>
      <c r="GH6420"/>
      <c r="GI6420"/>
      <c r="GJ6420"/>
      <c r="GK6420"/>
      <c r="GL6420"/>
      <c r="GM6420"/>
      <c r="GN6420"/>
      <c r="GO6420"/>
    </row>
    <row r="6421" spans="107:197">
      <c r="DC6421"/>
      <c r="FH6421"/>
      <c r="FI6421"/>
      <c r="FJ6421"/>
      <c r="FK6421"/>
      <c r="FL6421"/>
      <c r="FM6421"/>
      <c r="FN6421"/>
      <c r="FO6421"/>
      <c r="FP6421"/>
      <c r="FQ6421"/>
      <c r="FR6421"/>
      <c r="FS6421"/>
      <c r="FT6421"/>
      <c r="FU6421"/>
      <c r="FV6421"/>
      <c r="FW6421"/>
      <c r="FX6421"/>
      <c r="FY6421"/>
      <c r="FZ6421"/>
      <c r="GA6421"/>
      <c r="GB6421"/>
      <c r="GC6421"/>
      <c r="GD6421"/>
      <c r="GE6421"/>
      <c r="GF6421"/>
      <c r="GG6421"/>
      <c r="GH6421"/>
      <c r="GI6421"/>
      <c r="GJ6421"/>
      <c r="GK6421"/>
      <c r="GL6421"/>
      <c r="GM6421"/>
      <c r="GN6421"/>
      <c r="GO6421"/>
    </row>
    <row r="6422" spans="107:197">
      <c r="DC6422"/>
      <c r="FH6422"/>
      <c r="FI6422"/>
      <c r="FJ6422"/>
      <c r="FK6422"/>
      <c r="FL6422"/>
      <c r="FM6422"/>
      <c r="FN6422"/>
      <c r="FO6422"/>
      <c r="FP6422"/>
      <c r="FQ6422"/>
      <c r="FR6422"/>
      <c r="FS6422"/>
      <c r="FT6422"/>
      <c r="FU6422"/>
      <c r="FV6422"/>
      <c r="FW6422"/>
      <c r="FX6422"/>
      <c r="FY6422"/>
      <c r="FZ6422"/>
      <c r="GA6422"/>
      <c r="GB6422"/>
      <c r="GC6422"/>
      <c r="GD6422"/>
      <c r="GE6422"/>
      <c r="GF6422"/>
      <c r="GG6422"/>
      <c r="GH6422"/>
      <c r="GI6422"/>
      <c r="GJ6422"/>
      <c r="GK6422"/>
      <c r="GL6422"/>
      <c r="GM6422"/>
      <c r="GN6422"/>
      <c r="GO6422"/>
    </row>
    <row r="6423" spans="107:197">
      <c r="DC6423"/>
      <c r="FH6423"/>
      <c r="FI6423"/>
      <c r="FJ6423"/>
      <c r="FK6423"/>
      <c r="FL6423"/>
      <c r="FM6423"/>
      <c r="FN6423"/>
      <c r="FO6423"/>
      <c r="FP6423"/>
      <c r="FQ6423"/>
      <c r="FR6423"/>
      <c r="FS6423"/>
      <c r="FT6423"/>
      <c r="FU6423"/>
      <c r="FV6423"/>
      <c r="FW6423"/>
      <c r="FX6423"/>
      <c r="FY6423"/>
      <c r="FZ6423"/>
      <c r="GA6423"/>
      <c r="GB6423"/>
      <c r="GC6423"/>
      <c r="GD6423"/>
      <c r="GE6423"/>
      <c r="GF6423"/>
      <c r="GG6423"/>
      <c r="GH6423"/>
      <c r="GI6423"/>
      <c r="GJ6423"/>
      <c r="GK6423"/>
      <c r="GL6423"/>
      <c r="GM6423"/>
      <c r="GN6423"/>
      <c r="GO6423"/>
    </row>
    <row r="6424" spans="107:197">
      <c r="DC6424"/>
      <c r="FH6424"/>
      <c r="FI6424"/>
      <c r="FJ6424"/>
      <c r="FK6424"/>
      <c r="FL6424"/>
      <c r="FM6424"/>
      <c r="FN6424"/>
      <c r="FO6424"/>
      <c r="FP6424"/>
      <c r="FQ6424"/>
      <c r="FR6424"/>
      <c r="FS6424"/>
      <c r="FT6424"/>
      <c r="FU6424"/>
      <c r="FV6424"/>
      <c r="FW6424"/>
      <c r="FX6424"/>
      <c r="FY6424"/>
      <c r="FZ6424"/>
      <c r="GA6424"/>
      <c r="GB6424"/>
      <c r="GC6424"/>
      <c r="GD6424"/>
      <c r="GE6424"/>
      <c r="GF6424"/>
      <c r="GG6424"/>
      <c r="GH6424"/>
      <c r="GI6424"/>
      <c r="GJ6424"/>
      <c r="GK6424"/>
      <c r="GL6424"/>
      <c r="GM6424"/>
      <c r="GN6424"/>
      <c r="GO6424"/>
    </row>
    <row r="6425" spans="107:197">
      <c r="DC6425"/>
      <c r="FH6425"/>
      <c r="FI6425"/>
      <c r="FJ6425"/>
      <c r="FK6425"/>
      <c r="FL6425"/>
      <c r="FM6425"/>
      <c r="FN6425"/>
      <c r="FO6425"/>
      <c r="FP6425"/>
      <c r="FQ6425"/>
      <c r="FR6425"/>
      <c r="FS6425"/>
      <c r="FT6425"/>
      <c r="FU6425"/>
      <c r="FV6425"/>
      <c r="FW6425"/>
      <c r="FX6425"/>
      <c r="FY6425"/>
      <c r="FZ6425"/>
      <c r="GA6425"/>
      <c r="GB6425"/>
      <c r="GC6425"/>
      <c r="GD6425"/>
      <c r="GE6425"/>
      <c r="GF6425"/>
      <c r="GG6425"/>
      <c r="GH6425"/>
      <c r="GI6425"/>
      <c r="GJ6425"/>
      <c r="GK6425"/>
      <c r="GL6425"/>
      <c r="GM6425"/>
      <c r="GN6425"/>
      <c r="GO6425"/>
    </row>
    <row r="6426" spans="107:197">
      <c r="DC6426"/>
      <c r="FH6426"/>
      <c r="FI6426"/>
      <c r="FJ6426"/>
      <c r="FK6426"/>
      <c r="FL6426"/>
      <c r="FM6426"/>
      <c r="FN6426"/>
      <c r="FO6426"/>
      <c r="FP6426"/>
      <c r="FQ6426"/>
      <c r="FR6426"/>
      <c r="FS6426"/>
      <c r="FT6426"/>
      <c r="FU6426"/>
      <c r="FV6426"/>
      <c r="FW6426"/>
      <c r="FX6426"/>
      <c r="FY6426"/>
      <c r="FZ6426"/>
      <c r="GA6426"/>
      <c r="GB6426"/>
      <c r="GC6426"/>
      <c r="GD6426"/>
      <c r="GE6426"/>
      <c r="GF6426"/>
      <c r="GG6426"/>
      <c r="GH6426"/>
      <c r="GI6426"/>
      <c r="GJ6426"/>
      <c r="GK6426"/>
      <c r="GL6426"/>
      <c r="GM6426"/>
      <c r="GN6426"/>
      <c r="GO6426"/>
    </row>
    <row r="6427" spans="107:197">
      <c r="DC6427"/>
      <c r="FH6427"/>
      <c r="FI6427"/>
      <c r="FJ6427"/>
      <c r="FK6427"/>
      <c r="FL6427"/>
      <c r="FM6427"/>
      <c r="FN6427"/>
      <c r="FO6427"/>
      <c r="FP6427"/>
      <c r="FQ6427"/>
      <c r="FR6427"/>
      <c r="FS6427"/>
      <c r="FT6427"/>
      <c r="FU6427"/>
      <c r="FV6427"/>
      <c r="FW6427"/>
      <c r="FX6427"/>
      <c r="FY6427"/>
      <c r="FZ6427"/>
      <c r="GA6427"/>
      <c r="GB6427"/>
      <c r="GC6427"/>
      <c r="GD6427"/>
      <c r="GE6427"/>
      <c r="GF6427"/>
      <c r="GG6427"/>
      <c r="GH6427"/>
      <c r="GI6427"/>
      <c r="GJ6427"/>
      <c r="GK6427"/>
      <c r="GL6427"/>
      <c r="GM6427"/>
      <c r="GN6427"/>
      <c r="GO6427"/>
    </row>
    <row r="6428" spans="107:197">
      <c r="DC6428"/>
      <c r="FH6428"/>
      <c r="FI6428"/>
      <c r="FJ6428"/>
      <c r="FK6428"/>
      <c r="FL6428"/>
      <c r="FM6428"/>
      <c r="FN6428"/>
      <c r="FO6428"/>
      <c r="FP6428"/>
      <c r="FQ6428"/>
      <c r="FR6428"/>
      <c r="FS6428"/>
      <c r="FT6428"/>
      <c r="FU6428"/>
      <c r="FV6428"/>
      <c r="FW6428"/>
      <c r="FX6428"/>
      <c r="FY6428"/>
      <c r="FZ6428"/>
      <c r="GA6428"/>
      <c r="GB6428"/>
      <c r="GC6428"/>
      <c r="GD6428"/>
      <c r="GE6428"/>
      <c r="GF6428"/>
      <c r="GG6428"/>
      <c r="GH6428"/>
      <c r="GI6428"/>
      <c r="GJ6428"/>
      <c r="GK6428"/>
      <c r="GL6428"/>
      <c r="GM6428"/>
      <c r="GN6428"/>
      <c r="GO6428"/>
    </row>
    <row r="6429" spans="107:197">
      <c r="DC6429"/>
      <c r="FH6429"/>
      <c r="FI6429"/>
      <c r="FJ6429"/>
      <c r="FK6429"/>
      <c r="FL6429"/>
      <c r="FM6429"/>
      <c r="FN6429"/>
      <c r="FO6429"/>
      <c r="FP6429"/>
      <c r="FQ6429"/>
      <c r="FR6429"/>
      <c r="FS6429"/>
      <c r="FT6429"/>
      <c r="FU6429"/>
      <c r="FV6429"/>
      <c r="FW6429"/>
      <c r="FX6429"/>
      <c r="FY6429"/>
      <c r="FZ6429"/>
      <c r="GA6429"/>
      <c r="GB6429"/>
      <c r="GC6429"/>
      <c r="GD6429"/>
      <c r="GE6429"/>
      <c r="GF6429"/>
      <c r="GG6429"/>
      <c r="GH6429"/>
      <c r="GI6429"/>
      <c r="GJ6429"/>
      <c r="GK6429"/>
      <c r="GL6429"/>
      <c r="GM6429"/>
      <c r="GN6429"/>
      <c r="GO6429"/>
    </row>
    <row r="6430" spans="107:197">
      <c r="DC6430"/>
      <c r="FH6430"/>
      <c r="FI6430"/>
      <c r="FJ6430"/>
      <c r="FK6430"/>
      <c r="FL6430"/>
      <c r="FM6430"/>
      <c r="FN6430"/>
      <c r="FO6430"/>
      <c r="FP6430"/>
      <c r="FQ6430"/>
      <c r="FR6430"/>
      <c r="FS6430"/>
      <c r="FT6430"/>
      <c r="FU6430"/>
      <c r="FV6430"/>
      <c r="FW6430"/>
      <c r="FX6430"/>
      <c r="FY6430"/>
      <c r="FZ6430"/>
      <c r="GA6430"/>
      <c r="GB6430"/>
      <c r="GC6430"/>
      <c r="GD6430"/>
      <c r="GE6430"/>
      <c r="GF6430"/>
      <c r="GG6430"/>
      <c r="GH6430"/>
      <c r="GI6430"/>
      <c r="GJ6430"/>
      <c r="GK6430"/>
      <c r="GL6430"/>
      <c r="GM6430"/>
      <c r="GN6430"/>
      <c r="GO6430"/>
    </row>
    <row r="6431" spans="107:197">
      <c r="DC6431"/>
      <c r="FH6431"/>
      <c r="FI6431"/>
      <c r="FJ6431"/>
      <c r="FK6431"/>
      <c r="FL6431"/>
      <c r="FM6431"/>
      <c r="FN6431"/>
      <c r="FO6431"/>
      <c r="FP6431"/>
      <c r="FQ6431"/>
      <c r="FR6431"/>
      <c r="FS6431"/>
      <c r="FT6431"/>
      <c r="FU6431"/>
      <c r="FV6431"/>
      <c r="FW6431"/>
      <c r="FX6431"/>
      <c r="FY6431"/>
      <c r="FZ6431"/>
      <c r="GA6431"/>
      <c r="GB6431"/>
      <c r="GC6431"/>
      <c r="GD6431"/>
      <c r="GE6431"/>
      <c r="GF6431"/>
      <c r="GG6431"/>
      <c r="GH6431"/>
      <c r="GI6431"/>
      <c r="GJ6431"/>
      <c r="GK6431"/>
      <c r="GL6431"/>
      <c r="GM6431"/>
      <c r="GN6431"/>
      <c r="GO6431"/>
    </row>
    <row r="6432" spans="107:197">
      <c r="DC6432"/>
      <c r="FH6432"/>
      <c r="FI6432"/>
      <c r="FJ6432"/>
      <c r="FK6432"/>
      <c r="FL6432"/>
      <c r="FM6432"/>
      <c r="FN6432"/>
      <c r="FO6432"/>
      <c r="FP6432"/>
      <c r="FQ6432"/>
      <c r="FR6432"/>
      <c r="FS6432"/>
      <c r="FT6432"/>
      <c r="FU6432"/>
      <c r="FV6432"/>
      <c r="FW6432"/>
      <c r="FX6432"/>
      <c r="FY6432"/>
      <c r="FZ6432"/>
      <c r="GA6432"/>
      <c r="GB6432"/>
      <c r="GC6432"/>
      <c r="GD6432"/>
      <c r="GE6432"/>
      <c r="GF6432"/>
      <c r="GG6432"/>
      <c r="GH6432"/>
      <c r="GI6432"/>
      <c r="GJ6432"/>
      <c r="GK6432"/>
      <c r="GL6432"/>
      <c r="GM6432"/>
      <c r="GN6432"/>
      <c r="GO6432"/>
    </row>
    <row r="6433" spans="107:197">
      <c r="DC6433"/>
      <c r="FH6433"/>
      <c r="FI6433"/>
      <c r="FJ6433"/>
      <c r="FK6433"/>
      <c r="FL6433"/>
      <c r="FM6433"/>
      <c r="FN6433"/>
      <c r="FO6433"/>
      <c r="FP6433"/>
      <c r="FQ6433"/>
      <c r="FR6433"/>
      <c r="FS6433"/>
      <c r="FT6433"/>
      <c r="FU6433"/>
      <c r="FV6433"/>
      <c r="FW6433"/>
      <c r="FX6433"/>
      <c r="FY6433"/>
      <c r="FZ6433"/>
      <c r="GA6433"/>
      <c r="GB6433"/>
      <c r="GC6433"/>
      <c r="GD6433"/>
      <c r="GE6433"/>
      <c r="GF6433"/>
      <c r="GG6433"/>
      <c r="GH6433"/>
      <c r="GI6433"/>
      <c r="GJ6433"/>
      <c r="GK6433"/>
      <c r="GL6433"/>
      <c r="GM6433"/>
      <c r="GN6433"/>
      <c r="GO6433"/>
    </row>
    <row r="6434" spans="107:197">
      <c r="DC6434"/>
      <c r="FH6434"/>
      <c r="FI6434"/>
      <c r="FJ6434"/>
      <c r="FK6434"/>
      <c r="FL6434"/>
      <c r="FM6434"/>
      <c r="FN6434"/>
      <c r="FO6434"/>
      <c r="FP6434"/>
      <c r="FQ6434"/>
      <c r="FR6434"/>
      <c r="FS6434"/>
      <c r="FT6434"/>
      <c r="FU6434"/>
      <c r="FV6434"/>
      <c r="FW6434"/>
      <c r="FX6434"/>
      <c r="FY6434"/>
      <c r="FZ6434"/>
      <c r="GA6434"/>
      <c r="GB6434"/>
      <c r="GC6434"/>
      <c r="GD6434"/>
      <c r="GE6434"/>
      <c r="GF6434"/>
      <c r="GG6434"/>
      <c r="GH6434"/>
      <c r="GI6434"/>
      <c r="GJ6434"/>
      <c r="GK6434"/>
      <c r="GL6434"/>
      <c r="GM6434"/>
      <c r="GN6434"/>
      <c r="GO6434"/>
    </row>
    <row r="6435" spans="107:197">
      <c r="DC6435"/>
      <c r="FH6435"/>
      <c r="FI6435"/>
      <c r="FJ6435"/>
      <c r="FK6435"/>
      <c r="FL6435"/>
      <c r="FM6435"/>
      <c r="FN6435"/>
      <c r="FO6435"/>
      <c r="FP6435"/>
      <c r="FQ6435"/>
      <c r="FR6435"/>
      <c r="FS6435"/>
      <c r="FT6435"/>
      <c r="FU6435"/>
      <c r="FV6435"/>
      <c r="FW6435"/>
      <c r="FX6435"/>
      <c r="FY6435"/>
      <c r="FZ6435"/>
      <c r="GA6435"/>
      <c r="GB6435"/>
      <c r="GC6435"/>
      <c r="GD6435"/>
      <c r="GE6435"/>
      <c r="GF6435"/>
      <c r="GG6435"/>
      <c r="GH6435"/>
      <c r="GI6435"/>
      <c r="GJ6435"/>
      <c r="GK6435"/>
      <c r="GL6435"/>
      <c r="GM6435"/>
      <c r="GN6435"/>
      <c r="GO6435"/>
    </row>
    <row r="6436" spans="107:197">
      <c r="DC6436"/>
      <c r="FH6436"/>
      <c r="FI6436"/>
      <c r="FJ6436"/>
      <c r="FK6436"/>
      <c r="FL6436"/>
      <c r="FM6436"/>
      <c r="FN6436"/>
      <c r="FO6436"/>
      <c r="FP6436"/>
      <c r="FQ6436"/>
      <c r="FR6436"/>
      <c r="FS6436"/>
      <c r="FT6436"/>
      <c r="FU6436"/>
      <c r="FV6436"/>
      <c r="FW6436"/>
      <c r="FX6436"/>
      <c r="FY6436"/>
      <c r="FZ6436"/>
      <c r="GA6436"/>
      <c r="GB6436"/>
      <c r="GC6436"/>
      <c r="GD6436"/>
      <c r="GE6436"/>
      <c r="GF6436"/>
      <c r="GG6436"/>
      <c r="GH6436"/>
      <c r="GI6436"/>
      <c r="GJ6436"/>
      <c r="GK6436"/>
      <c r="GL6436"/>
      <c r="GM6436"/>
      <c r="GN6436"/>
      <c r="GO6436"/>
    </row>
    <row r="6437" spans="107:197">
      <c r="DC6437"/>
      <c r="FH6437"/>
      <c r="FI6437"/>
      <c r="FJ6437"/>
      <c r="FK6437"/>
      <c r="FL6437"/>
      <c r="FM6437"/>
      <c r="FN6437"/>
      <c r="FO6437"/>
      <c r="FP6437"/>
      <c r="FQ6437"/>
      <c r="FR6437"/>
      <c r="FS6437"/>
      <c r="FT6437"/>
      <c r="FU6437"/>
      <c r="FV6437"/>
      <c r="FW6437"/>
      <c r="FX6437"/>
      <c r="FY6437"/>
      <c r="FZ6437"/>
      <c r="GA6437"/>
      <c r="GB6437"/>
      <c r="GC6437"/>
      <c r="GD6437"/>
      <c r="GE6437"/>
      <c r="GF6437"/>
      <c r="GG6437"/>
      <c r="GH6437"/>
      <c r="GI6437"/>
      <c r="GJ6437"/>
      <c r="GK6437"/>
      <c r="GL6437"/>
      <c r="GM6437"/>
      <c r="GN6437"/>
      <c r="GO6437"/>
    </row>
    <row r="6438" spans="107:197">
      <c r="DC6438"/>
      <c r="FH6438"/>
      <c r="FI6438"/>
      <c r="FJ6438"/>
      <c r="FK6438"/>
      <c r="FL6438"/>
      <c r="FM6438"/>
      <c r="FN6438"/>
      <c r="FO6438"/>
      <c r="FP6438"/>
      <c r="FQ6438"/>
      <c r="FR6438"/>
      <c r="FS6438"/>
      <c r="FT6438"/>
      <c r="FU6438"/>
      <c r="FV6438"/>
      <c r="FW6438"/>
      <c r="FX6438"/>
      <c r="FY6438"/>
      <c r="FZ6438"/>
      <c r="GA6438"/>
      <c r="GB6438"/>
      <c r="GC6438"/>
      <c r="GD6438"/>
      <c r="GE6438"/>
      <c r="GF6438"/>
      <c r="GG6438"/>
      <c r="GH6438"/>
      <c r="GI6438"/>
      <c r="GJ6438"/>
      <c r="GK6438"/>
      <c r="GL6438"/>
      <c r="GM6438"/>
      <c r="GN6438"/>
      <c r="GO6438"/>
    </row>
    <row r="6439" spans="107:197">
      <c r="DC6439"/>
      <c r="FH6439"/>
      <c r="FI6439"/>
      <c r="FJ6439"/>
      <c r="FK6439"/>
      <c r="FL6439"/>
      <c r="FM6439"/>
      <c r="FN6439"/>
      <c r="FO6439"/>
      <c r="FP6439"/>
      <c r="FQ6439"/>
      <c r="FR6439"/>
      <c r="FS6439"/>
      <c r="FT6439"/>
      <c r="FU6439"/>
      <c r="FV6439"/>
      <c r="FW6439"/>
      <c r="FX6439"/>
      <c r="FY6439"/>
      <c r="FZ6439"/>
      <c r="GA6439"/>
      <c r="GB6439"/>
      <c r="GC6439"/>
      <c r="GD6439"/>
      <c r="GE6439"/>
      <c r="GF6439"/>
      <c r="GG6439"/>
      <c r="GH6439"/>
      <c r="GI6439"/>
      <c r="GJ6439"/>
      <c r="GK6439"/>
      <c r="GL6439"/>
      <c r="GM6439"/>
      <c r="GN6439"/>
      <c r="GO6439"/>
    </row>
    <row r="6440" spans="107:197">
      <c r="DC6440"/>
      <c r="FH6440"/>
      <c r="FI6440"/>
      <c r="FJ6440"/>
      <c r="FK6440"/>
      <c r="FL6440"/>
      <c r="FM6440"/>
      <c r="FN6440"/>
      <c r="FO6440"/>
      <c r="FP6440"/>
      <c r="FQ6440"/>
      <c r="FR6440"/>
      <c r="FS6440"/>
      <c r="FT6440"/>
      <c r="FU6440"/>
      <c r="FV6440"/>
      <c r="FW6440"/>
      <c r="FX6440"/>
      <c r="FY6440"/>
      <c r="FZ6440"/>
      <c r="GA6440"/>
      <c r="GB6440"/>
      <c r="GC6440"/>
      <c r="GD6440"/>
      <c r="GE6440"/>
      <c r="GF6440"/>
      <c r="GG6440"/>
      <c r="GH6440"/>
      <c r="GI6440"/>
      <c r="GJ6440"/>
      <c r="GK6440"/>
      <c r="GL6440"/>
      <c r="GM6440"/>
      <c r="GN6440"/>
      <c r="GO6440"/>
    </row>
    <row r="6441" spans="107:197">
      <c r="DC6441"/>
      <c r="FH6441"/>
      <c r="FI6441"/>
      <c r="FJ6441"/>
      <c r="FK6441"/>
      <c r="FL6441"/>
      <c r="FM6441"/>
      <c r="FN6441"/>
      <c r="FO6441"/>
      <c r="FP6441"/>
      <c r="FQ6441"/>
      <c r="FR6441"/>
      <c r="FS6441"/>
      <c r="FT6441"/>
      <c r="FU6441"/>
      <c r="FV6441"/>
      <c r="FW6441"/>
      <c r="FX6441"/>
      <c r="FY6441"/>
      <c r="FZ6441"/>
      <c r="GA6441"/>
      <c r="GB6441"/>
      <c r="GC6441"/>
      <c r="GD6441"/>
      <c r="GE6441"/>
      <c r="GF6441"/>
      <c r="GG6441"/>
      <c r="GH6441"/>
      <c r="GI6441"/>
      <c r="GJ6441"/>
      <c r="GK6441"/>
      <c r="GL6441"/>
      <c r="GM6441"/>
      <c r="GN6441"/>
      <c r="GO6441"/>
    </row>
    <row r="6442" spans="107:197">
      <c r="DC6442"/>
      <c r="FH6442"/>
      <c r="FI6442"/>
      <c r="FJ6442"/>
      <c r="FK6442"/>
      <c r="FL6442"/>
      <c r="FM6442"/>
      <c r="FN6442"/>
      <c r="FO6442"/>
      <c r="FP6442"/>
      <c r="FQ6442"/>
      <c r="FR6442"/>
      <c r="FS6442"/>
      <c r="FT6442"/>
      <c r="FU6442"/>
      <c r="FV6442"/>
      <c r="FW6442"/>
      <c r="FX6442"/>
      <c r="FY6442"/>
      <c r="FZ6442"/>
      <c r="GA6442"/>
      <c r="GB6442"/>
      <c r="GC6442"/>
      <c r="GD6442"/>
      <c r="GE6442"/>
      <c r="GF6442"/>
      <c r="GG6442"/>
      <c r="GH6442"/>
      <c r="GI6442"/>
      <c r="GJ6442"/>
      <c r="GK6442"/>
      <c r="GL6442"/>
      <c r="GM6442"/>
      <c r="GN6442"/>
      <c r="GO6442"/>
    </row>
    <row r="6443" spans="107:197">
      <c r="DC6443"/>
      <c r="FH6443"/>
      <c r="FI6443"/>
      <c r="FJ6443"/>
      <c r="FK6443"/>
      <c r="FL6443"/>
      <c r="FM6443"/>
      <c r="FN6443"/>
      <c r="FO6443"/>
      <c r="FP6443"/>
      <c r="FQ6443"/>
      <c r="FR6443"/>
      <c r="FS6443"/>
      <c r="FT6443"/>
      <c r="FU6443"/>
      <c r="FV6443"/>
      <c r="FW6443"/>
      <c r="FX6443"/>
      <c r="FY6443"/>
      <c r="FZ6443"/>
      <c r="GA6443"/>
      <c r="GB6443"/>
      <c r="GC6443"/>
      <c r="GD6443"/>
      <c r="GE6443"/>
      <c r="GF6443"/>
      <c r="GG6443"/>
      <c r="GH6443"/>
      <c r="GI6443"/>
      <c r="GJ6443"/>
      <c r="GK6443"/>
      <c r="GL6443"/>
      <c r="GM6443"/>
      <c r="GN6443"/>
      <c r="GO6443"/>
    </row>
    <row r="6444" spans="107:197">
      <c r="DC6444"/>
      <c r="FH6444"/>
      <c r="FI6444"/>
      <c r="FJ6444"/>
      <c r="FK6444"/>
      <c r="FL6444"/>
      <c r="FM6444"/>
      <c r="FN6444"/>
      <c r="FO6444"/>
      <c r="FP6444"/>
      <c r="FQ6444"/>
      <c r="FR6444"/>
      <c r="FS6444"/>
      <c r="FT6444"/>
      <c r="FU6444"/>
      <c r="FV6444"/>
      <c r="FW6444"/>
      <c r="FX6444"/>
      <c r="FY6444"/>
      <c r="FZ6444"/>
      <c r="GA6444"/>
      <c r="GB6444"/>
      <c r="GC6444"/>
      <c r="GD6444"/>
      <c r="GE6444"/>
      <c r="GF6444"/>
      <c r="GG6444"/>
      <c r="GH6444"/>
      <c r="GI6444"/>
      <c r="GJ6444"/>
      <c r="GK6444"/>
      <c r="GL6444"/>
      <c r="GM6444"/>
      <c r="GN6444"/>
      <c r="GO6444"/>
    </row>
    <row r="6445" spans="107:197">
      <c r="DC6445"/>
      <c r="FH6445"/>
      <c r="FI6445"/>
      <c r="FJ6445"/>
      <c r="FK6445"/>
      <c r="FL6445"/>
      <c r="FM6445"/>
      <c r="FN6445"/>
      <c r="FO6445"/>
      <c r="FP6445"/>
      <c r="FQ6445"/>
      <c r="FR6445"/>
      <c r="FS6445"/>
      <c r="FT6445"/>
      <c r="FU6445"/>
      <c r="FV6445"/>
      <c r="FW6445"/>
      <c r="FX6445"/>
      <c r="FY6445"/>
      <c r="FZ6445"/>
      <c r="GA6445"/>
      <c r="GB6445"/>
      <c r="GC6445"/>
      <c r="GD6445"/>
      <c r="GE6445"/>
      <c r="GF6445"/>
      <c r="GG6445"/>
      <c r="GH6445"/>
      <c r="GI6445"/>
      <c r="GJ6445"/>
      <c r="GK6445"/>
      <c r="GL6445"/>
      <c r="GM6445"/>
      <c r="GN6445"/>
      <c r="GO6445"/>
    </row>
    <row r="6446" spans="107:197">
      <c r="DC6446"/>
      <c r="FH6446"/>
      <c r="FI6446"/>
      <c r="FJ6446"/>
      <c r="FK6446"/>
      <c r="FL6446"/>
      <c r="FM6446"/>
      <c r="FN6446"/>
      <c r="FO6446"/>
      <c r="FP6446"/>
      <c r="FQ6446"/>
      <c r="FR6446"/>
      <c r="FS6446"/>
      <c r="FT6446"/>
      <c r="FU6446"/>
      <c r="FV6446"/>
      <c r="FW6446"/>
      <c r="FX6446"/>
      <c r="FY6446"/>
      <c r="FZ6446"/>
      <c r="GA6446"/>
      <c r="GB6446"/>
      <c r="GC6446"/>
      <c r="GD6446"/>
      <c r="GE6446"/>
      <c r="GF6446"/>
      <c r="GG6446"/>
      <c r="GH6446"/>
      <c r="GI6446"/>
      <c r="GJ6446"/>
      <c r="GK6446"/>
      <c r="GL6446"/>
      <c r="GM6446"/>
      <c r="GN6446"/>
      <c r="GO6446"/>
    </row>
    <row r="6447" spans="107:197">
      <c r="DC6447"/>
      <c r="FH6447"/>
      <c r="FI6447"/>
      <c r="FJ6447"/>
      <c r="FK6447"/>
      <c r="FL6447"/>
      <c r="FM6447"/>
      <c r="FN6447"/>
      <c r="FO6447"/>
      <c r="FP6447"/>
      <c r="FQ6447"/>
      <c r="FR6447"/>
      <c r="FS6447"/>
      <c r="FT6447"/>
      <c r="FU6447"/>
      <c r="FV6447"/>
      <c r="FW6447"/>
      <c r="FX6447"/>
      <c r="FY6447"/>
      <c r="FZ6447"/>
      <c r="GA6447"/>
      <c r="GB6447"/>
      <c r="GC6447"/>
      <c r="GD6447"/>
      <c r="GE6447"/>
      <c r="GF6447"/>
      <c r="GG6447"/>
      <c r="GH6447"/>
      <c r="GI6447"/>
      <c r="GJ6447"/>
      <c r="GK6447"/>
      <c r="GL6447"/>
      <c r="GM6447"/>
      <c r="GN6447"/>
      <c r="GO6447"/>
    </row>
    <row r="6448" spans="107:197">
      <c r="DC6448"/>
      <c r="FH6448"/>
      <c r="FI6448"/>
      <c r="FJ6448"/>
      <c r="FK6448"/>
      <c r="FL6448"/>
      <c r="FM6448"/>
      <c r="FN6448"/>
      <c r="FO6448"/>
      <c r="FP6448"/>
      <c r="FQ6448"/>
      <c r="FR6448"/>
      <c r="FS6448"/>
      <c r="FT6448"/>
      <c r="FU6448"/>
      <c r="FV6448"/>
      <c r="FW6448"/>
      <c r="FX6448"/>
      <c r="FY6448"/>
      <c r="FZ6448"/>
      <c r="GA6448"/>
      <c r="GB6448"/>
      <c r="GC6448"/>
      <c r="GD6448"/>
      <c r="GE6448"/>
      <c r="GF6448"/>
      <c r="GG6448"/>
      <c r="GH6448"/>
      <c r="GI6448"/>
      <c r="GJ6448"/>
      <c r="GK6448"/>
      <c r="GL6448"/>
      <c r="GM6448"/>
      <c r="GN6448"/>
      <c r="GO6448"/>
    </row>
    <row r="6449" spans="107:197">
      <c r="DC6449"/>
      <c r="FH6449"/>
      <c r="FI6449"/>
      <c r="FJ6449"/>
      <c r="FK6449"/>
      <c r="FL6449"/>
      <c r="FM6449"/>
      <c r="FN6449"/>
      <c r="FO6449"/>
      <c r="FP6449"/>
      <c r="FQ6449"/>
      <c r="FR6449"/>
      <c r="FS6449"/>
      <c r="FT6449"/>
      <c r="FU6449"/>
      <c r="FV6449"/>
      <c r="FW6449"/>
      <c r="FX6449"/>
      <c r="FY6449"/>
      <c r="FZ6449"/>
      <c r="GA6449"/>
      <c r="GB6449"/>
      <c r="GC6449"/>
      <c r="GD6449"/>
      <c r="GE6449"/>
      <c r="GF6449"/>
      <c r="GG6449"/>
      <c r="GH6449"/>
      <c r="GI6449"/>
      <c r="GJ6449"/>
      <c r="GK6449"/>
      <c r="GL6449"/>
      <c r="GM6449"/>
      <c r="GN6449"/>
      <c r="GO6449"/>
    </row>
    <row r="6450" spans="107:197">
      <c r="DC6450"/>
      <c r="FH6450"/>
      <c r="FI6450"/>
      <c r="FJ6450"/>
      <c r="FK6450"/>
      <c r="FL6450"/>
      <c r="FM6450"/>
      <c r="FN6450"/>
      <c r="FO6450"/>
      <c r="FP6450"/>
      <c r="FQ6450"/>
      <c r="FR6450"/>
      <c r="FS6450"/>
      <c r="FT6450"/>
      <c r="FU6450"/>
      <c r="FV6450"/>
      <c r="FW6450"/>
      <c r="FX6450"/>
      <c r="FY6450"/>
      <c r="FZ6450"/>
      <c r="GA6450"/>
      <c r="GB6450"/>
      <c r="GC6450"/>
      <c r="GD6450"/>
      <c r="GE6450"/>
      <c r="GF6450"/>
      <c r="GG6450"/>
      <c r="GH6450"/>
      <c r="GI6450"/>
      <c r="GJ6450"/>
      <c r="GK6450"/>
      <c r="GL6450"/>
      <c r="GM6450"/>
      <c r="GN6450"/>
      <c r="GO6450"/>
    </row>
    <row r="6451" spans="107:197">
      <c r="DC6451"/>
      <c r="FH6451"/>
      <c r="FI6451"/>
      <c r="FJ6451"/>
      <c r="FK6451"/>
      <c r="FL6451"/>
      <c r="FM6451"/>
      <c r="FN6451"/>
      <c r="FO6451"/>
      <c r="FP6451"/>
      <c r="FQ6451"/>
      <c r="FR6451"/>
      <c r="FS6451"/>
      <c r="FT6451"/>
      <c r="FU6451"/>
      <c r="FV6451"/>
      <c r="FW6451"/>
      <c r="FX6451"/>
      <c r="FY6451"/>
      <c r="FZ6451"/>
      <c r="GA6451"/>
      <c r="GB6451"/>
      <c r="GC6451"/>
      <c r="GD6451"/>
      <c r="GE6451"/>
      <c r="GF6451"/>
      <c r="GG6451"/>
      <c r="GH6451"/>
      <c r="GI6451"/>
      <c r="GJ6451"/>
      <c r="GK6451"/>
      <c r="GL6451"/>
      <c r="GM6451"/>
      <c r="GN6451"/>
      <c r="GO6451"/>
    </row>
    <row r="6452" spans="107:197">
      <c r="DC6452"/>
      <c r="FH6452"/>
      <c r="FI6452"/>
      <c r="FJ6452"/>
      <c r="FK6452"/>
      <c r="FL6452"/>
      <c r="FM6452"/>
      <c r="FN6452"/>
      <c r="FO6452"/>
      <c r="FP6452"/>
      <c r="FQ6452"/>
      <c r="FR6452"/>
      <c r="FS6452"/>
      <c r="FT6452"/>
      <c r="FU6452"/>
      <c r="FV6452"/>
      <c r="FW6452"/>
      <c r="FX6452"/>
      <c r="FY6452"/>
      <c r="FZ6452"/>
      <c r="GA6452"/>
      <c r="GB6452"/>
      <c r="GC6452"/>
      <c r="GD6452"/>
      <c r="GE6452"/>
      <c r="GF6452"/>
      <c r="GG6452"/>
      <c r="GH6452"/>
      <c r="GI6452"/>
      <c r="GJ6452"/>
      <c r="GK6452"/>
      <c r="GL6452"/>
      <c r="GM6452"/>
      <c r="GN6452"/>
      <c r="GO6452"/>
    </row>
    <row r="6453" spans="107:197">
      <c r="DC6453"/>
      <c r="FH6453"/>
      <c r="FI6453"/>
      <c r="FJ6453"/>
      <c r="FK6453"/>
      <c r="FL6453"/>
      <c r="FM6453"/>
      <c r="FN6453"/>
      <c r="FO6453"/>
      <c r="FP6453"/>
      <c r="FQ6453"/>
      <c r="FR6453"/>
      <c r="FS6453"/>
      <c r="FT6453"/>
      <c r="FU6453"/>
      <c r="FV6453"/>
      <c r="FW6453"/>
      <c r="FX6453"/>
      <c r="FY6453"/>
      <c r="FZ6453"/>
      <c r="GA6453"/>
      <c r="GB6453"/>
      <c r="GC6453"/>
      <c r="GD6453"/>
      <c r="GE6453"/>
      <c r="GF6453"/>
      <c r="GG6453"/>
      <c r="GH6453"/>
      <c r="GI6453"/>
      <c r="GJ6453"/>
      <c r="GK6453"/>
      <c r="GL6453"/>
      <c r="GM6453"/>
      <c r="GN6453"/>
      <c r="GO6453"/>
    </row>
    <row r="6454" spans="107:197">
      <c r="DC6454"/>
      <c r="FH6454"/>
      <c r="FI6454"/>
      <c r="FJ6454"/>
      <c r="FK6454"/>
      <c r="FL6454"/>
      <c r="FM6454"/>
      <c r="FN6454"/>
      <c r="FO6454"/>
      <c r="FP6454"/>
      <c r="FQ6454"/>
      <c r="FR6454"/>
      <c r="FS6454"/>
      <c r="FT6454"/>
      <c r="FU6454"/>
      <c r="FV6454"/>
      <c r="FW6454"/>
      <c r="FX6454"/>
      <c r="FY6454"/>
      <c r="FZ6454"/>
      <c r="GA6454"/>
      <c r="GB6454"/>
      <c r="GC6454"/>
      <c r="GD6454"/>
      <c r="GE6454"/>
      <c r="GF6454"/>
      <c r="GG6454"/>
      <c r="GH6454"/>
      <c r="GI6454"/>
      <c r="GJ6454"/>
      <c r="GK6454"/>
      <c r="GL6454"/>
      <c r="GM6454"/>
      <c r="GN6454"/>
      <c r="GO6454"/>
    </row>
    <row r="6455" spans="107:197">
      <c r="DC6455"/>
      <c r="FH6455"/>
      <c r="FI6455"/>
      <c r="FJ6455"/>
      <c r="FK6455"/>
      <c r="FL6455"/>
      <c r="FM6455"/>
      <c r="FN6455"/>
      <c r="FO6455"/>
      <c r="FP6455"/>
      <c r="FQ6455"/>
      <c r="FR6455"/>
      <c r="FS6455"/>
      <c r="FT6455"/>
      <c r="FU6455"/>
      <c r="FV6455"/>
      <c r="FW6455"/>
      <c r="FX6455"/>
      <c r="FY6455"/>
      <c r="FZ6455"/>
      <c r="GA6455"/>
      <c r="GB6455"/>
      <c r="GC6455"/>
      <c r="GD6455"/>
      <c r="GE6455"/>
      <c r="GF6455"/>
      <c r="GG6455"/>
      <c r="GH6455"/>
      <c r="GI6455"/>
      <c r="GJ6455"/>
      <c r="GK6455"/>
      <c r="GL6455"/>
      <c r="GM6455"/>
      <c r="GN6455"/>
      <c r="GO6455"/>
    </row>
    <row r="6456" spans="107:197">
      <c r="DC6456"/>
      <c r="FH6456"/>
      <c r="FI6456"/>
      <c r="FJ6456"/>
      <c r="FK6456"/>
      <c r="FL6456"/>
      <c r="FM6456"/>
      <c r="FN6456"/>
      <c r="FO6456"/>
      <c r="FP6456"/>
      <c r="FQ6456"/>
      <c r="FR6456"/>
      <c r="FS6456"/>
      <c r="FT6456"/>
      <c r="FU6456"/>
      <c r="FV6456"/>
      <c r="FW6456"/>
      <c r="FX6456"/>
      <c r="FY6456"/>
      <c r="FZ6456"/>
      <c r="GA6456"/>
      <c r="GB6456"/>
      <c r="GC6456"/>
      <c r="GD6456"/>
      <c r="GE6456"/>
      <c r="GF6456"/>
      <c r="GG6456"/>
      <c r="GH6456"/>
      <c r="GI6456"/>
      <c r="GJ6456"/>
      <c r="GK6456"/>
      <c r="GL6456"/>
      <c r="GM6456"/>
      <c r="GN6456"/>
      <c r="GO6456"/>
    </row>
    <row r="6457" spans="107:197">
      <c r="DC6457"/>
      <c r="FH6457"/>
      <c r="FI6457"/>
      <c r="FJ6457"/>
      <c r="FK6457"/>
      <c r="FL6457"/>
      <c r="FM6457"/>
      <c r="FN6457"/>
      <c r="FO6457"/>
      <c r="FP6457"/>
      <c r="FQ6457"/>
      <c r="FR6457"/>
      <c r="FS6457"/>
      <c r="FT6457"/>
      <c r="FU6457"/>
      <c r="FV6457"/>
      <c r="FW6457"/>
      <c r="FX6457"/>
      <c r="FY6457"/>
      <c r="FZ6457"/>
      <c r="GA6457"/>
      <c r="GB6457"/>
      <c r="GC6457"/>
      <c r="GD6457"/>
      <c r="GE6457"/>
      <c r="GF6457"/>
      <c r="GG6457"/>
      <c r="GH6457"/>
      <c r="GI6457"/>
      <c r="GJ6457"/>
      <c r="GK6457"/>
      <c r="GL6457"/>
      <c r="GM6457"/>
      <c r="GN6457"/>
      <c r="GO6457"/>
    </row>
    <row r="6458" spans="107:197">
      <c r="DC6458"/>
      <c r="FH6458"/>
      <c r="FI6458"/>
      <c r="FJ6458"/>
      <c r="FK6458"/>
      <c r="FL6458"/>
      <c r="FM6458"/>
      <c r="FN6458"/>
      <c r="FO6458"/>
      <c r="FP6458"/>
      <c r="FQ6458"/>
      <c r="FR6458"/>
      <c r="FS6458"/>
      <c r="FT6458"/>
      <c r="FU6458"/>
      <c r="FV6458"/>
      <c r="FW6458"/>
      <c r="FX6458"/>
      <c r="FY6458"/>
      <c r="FZ6458"/>
      <c r="GA6458"/>
      <c r="GB6458"/>
      <c r="GC6458"/>
      <c r="GD6458"/>
      <c r="GE6458"/>
      <c r="GF6458"/>
      <c r="GG6458"/>
      <c r="GH6458"/>
      <c r="GI6458"/>
      <c r="GJ6458"/>
      <c r="GK6458"/>
      <c r="GL6458"/>
      <c r="GM6458"/>
      <c r="GN6458"/>
      <c r="GO6458"/>
    </row>
    <row r="6459" spans="107:197">
      <c r="DC6459"/>
      <c r="FH6459"/>
      <c r="FI6459"/>
      <c r="FJ6459"/>
      <c r="FK6459"/>
      <c r="FL6459"/>
      <c r="FM6459"/>
      <c r="FN6459"/>
      <c r="FO6459"/>
      <c r="FP6459"/>
      <c r="FQ6459"/>
      <c r="FR6459"/>
      <c r="FS6459"/>
      <c r="FT6459"/>
      <c r="FU6459"/>
      <c r="FV6459"/>
      <c r="FW6459"/>
      <c r="FX6459"/>
      <c r="FY6459"/>
      <c r="FZ6459"/>
      <c r="GA6459"/>
      <c r="GB6459"/>
      <c r="GC6459"/>
      <c r="GD6459"/>
      <c r="GE6459"/>
      <c r="GF6459"/>
      <c r="GG6459"/>
      <c r="GH6459"/>
      <c r="GI6459"/>
      <c r="GJ6459"/>
      <c r="GK6459"/>
      <c r="GL6459"/>
      <c r="GM6459"/>
      <c r="GN6459"/>
      <c r="GO6459"/>
    </row>
    <row r="6460" spans="107:197">
      <c r="DC6460"/>
      <c r="FH6460"/>
      <c r="FI6460"/>
      <c r="FJ6460"/>
      <c r="FK6460"/>
      <c r="FL6460"/>
      <c r="FM6460"/>
      <c r="FN6460"/>
      <c r="FO6460"/>
      <c r="FP6460"/>
      <c r="FQ6460"/>
      <c r="FR6460"/>
      <c r="FS6460"/>
      <c r="FT6460"/>
      <c r="FU6460"/>
      <c r="FV6460"/>
      <c r="FW6460"/>
      <c r="FX6460"/>
      <c r="FY6460"/>
      <c r="FZ6460"/>
      <c r="GA6460"/>
      <c r="GB6460"/>
      <c r="GC6460"/>
      <c r="GD6460"/>
      <c r="GE6460"/>
      <c r="GF6460"/>
      <c r="GG6460"/>
      <c r="GH6460"/>
      <c r="GI6460"/>
      <c r="GJ6460"/>
      <c r="GK6460"/>
      <c r="GL6460"/>
      <c r="GM6460"/>
      <c r="GN6460"/>
      <c r="GO6460"/>
    </row>
    <row r="6461" spans="107:197">
      <c r="DC6461"/>
      <c r="FH6461"/>
      <c r="FI6461"/>
      <c r="FJ6461"/>
      <c r="FK6461"/>
      <c r="FL6461"/>
      <c r="FM6461"/>
      <c r="FN6461"/>
      <c r="FO6461"/>
      <c r="FP6461"/>
      <c r="FQ6461"/>
      <c r="FR6461"/>
      <c r="FS6461"/>
      <c r="FT6461"/>
      <c r="FU6461"/>
      <c r="FV6461"/>
      <c r="FW6461"/>
      <c r="FX6461"/>
      <c r="FY6461"/>
      <c r="FZ6461"/>
      <c r="GA6461"/>
      <c r="GB6461"/>
      <c r="GC6461"/>
      <c r="GD6461"/>
      <c r="GE6461"/>
      <c r="GF6461"/>
      <c r="GG6461"/>
      <c r="GH6461"/>
      <c r="GI6461"/>
      <c r="GJ6461"/>
      <c r="GK6461"/>
      <c r="GL6461"/>
      <c r="GM6461"/>
      <c r="GN6461"/>
      <c r="GO6461"/>
    </row>
    <row r="6462" spans="107:197">
      <c r="DC6462"/>
      <c r="FH6462"/>
      <c r="FI6462"/>
      <c r="FJ6462"/>
      <c r="FK6462"/>
      <c r="FL6462"/>
      <c r="FM6462"/>
      <c r="FN6462"/>
      <c r="FO6462"/>
      <c r="FP6462"/>
      <c r="FQ6462"/>
      <c r="FR6462"/>
      <c r="FS6462"/>
      <c r="FT6462"/>
      <c r="FU6462"/>
      <c r="FV6462"/>
      <c r="FW6462"/>
      <c r="FX6462"/>
      <c r="FY6462"/>
      <c r="FZ6462"/>
      <c r="GA6462"/>
      <c r="GB6462"/>
      <c r="GC6462"/>
      <c r="GD6462"/>
      <c r="GE6462"/>
      <c r="GF6462"/>
      <c r="GG6462"/>
      <c r="GH6462"/>
      <c r="GI6462"/>
      <c r="GJ6462"/>
      <c r="GK6462"/>
      <c r="GL6462"/>
      <c r="GM6462"/>
      <c r="GN6462"/>
      <c r="GO6462"/>
    </row>
    <row r="6463" spans="107:197">
      <c r="DC6463"/>
      <c r="FH6463"/>
      <c r="FI6463"/>
      <c r="FJ6463"/>
      <c r="FK6463"/>
      <c r="FL6463"/>
      <c r="FM6463"/>
      <c r="FN6463"/>
      <c r="FO6463"/>
      <c r="FP6463"/>
      <c r="FQ6463"/>
      <c r="FR6463"/>
      <c r="FS6463"/>
      <c r="FT6463"/>
      <c r="FU6463"/>
      <c r="FV6463"/>
      <c r="FW6463"/>
      <c r="FX6463"/>
      <c r="FY6463"/>
      <c r="FZ6463"/>
      <c r="GA6463"/>
      <c r="GB6463"/>
      <c r="GC6463"/>
      <c r="GD6463"/>
      <c r="GE6463"/>
      <c r="GF6463"/>
      <c r="GG6463"/>
      <c r="GH6463"/>
      <c r="GI6463"/>
      <c r="GJ6463"/>
      <c r="GK6463"/>
      <c r="GL6463"/>
      <c r="GM6463"/>
      <c r="GN6463"/>
      <c r="GO6463"/>
    </row>
    <row r="6464" spans="107:197">
      <c r="DC6464"/>
      <c r="FH6464"/>
      <c r="FI6464"/>
      <c r="FJ6464"/>
      <c r="FK6464"/>
      <c r="FL6464"/>
      <c r="FM6464"/>
      <c r="FN6464"/>
      <c r="FO6464"/>
      <c r="FP6464"/>
      <c r="FQ6464"/>
      <c r="FR6464"/>
      <c r="FS6464"/>
      <c r="FT6464"/>
      <c r="FU6464"/>
      <c r="FV6464"/>
      <c r="FW6464"/>
      <c r="FX6464"/>
      <c r="FY6464"/>
      <c r="FZ6464"/>
      <c r="GA6464"/>
      <c r="GB6464"/>
      <c r="GC6464"/>
      <c r="GD6464"/>
      <c r="GE6464"/>
      <c r="GF6464"/>
      <c r="GG6464"/>
      <c r="GH6464"/>
      <c r="GI6464"/>
      <c r="GJ6464"/>
      <c r="GK6464"/>
      <c r="GL6464"/>
      <c r="GM6464"/>
      <c r="GN6464"/>
      <c r="GO6464"/>
    </row>
    <row r="6465" spans="107:197">
      <c r="DC6465"/>
      <c r="FH6465"/>
      <c r="FI6465"/>
      <c r="FJ6465"/>
      <c r="FK6465"/>
      <c r="FL6465"/>
      <c r="FM6465"/>
      <c r="FN6465"/>
      <c r="FO6465"/>
      <c r="FP6465"/>
      <c r="FQ6465"/>
      <c r="FR6465"/>
      <c r="FS6465"/>
      <c r="FT6465"/>
      <c r="FU6465"/>
      <c r="FV6465"/>
      <c r="FW6465"/>
      <c r="FX6465"/>
      <c r="FY6465"/>
      <c r="FZ6465"/>
      <c r="GA6465"/>
      <c r="GB6465"/>
      <c r="GC6465"/>
      <c r="GD6465"/>
      <c r="GE6465"/>
      <c r="GF6465"/>
      <c r="GG6465"/>
      <c r="GH6465"/>
      <c r="GI6465"/>
      <c r="GJ6465"/>
      <c r="GK6465"/>
      <c r="GL6465"/>
      <c r="GM6465"/>
      <c r="GN6465"/>
      <c r="GO6465"/>
    </row>
    <row r="6466" spans="107:197">
      <c r="DC6466"/>
      <c r="FH6466"/>
      <c r="FI6466"/>
      <c r="FJ6466"/>
      <c r="FK6466"/>
      <c r="FL6466"/>
      <c r="FM6466"/>
      <c r="FN6466"/>
      <c r="FO6466"/>
      <c r="FP6466"/>
      <c r="FQ6466"/>
      <c r="FR6466"/>
      <c r="FS6466"/>
      <c r="FT6466"/>
      <c r="FU6466"/>
      <c r="FV6466"/>
      <c r="FW6466"/>
      <c r="FX6466"/>
      <c r="FY6466"/>
      <c r="FZ6466"/>
      <c r="GA6466"/>
      <c r="GB6466"/>
      <c r="GC6466"/>
      <c r="GD6466"/>
      <c r="GE6466"/>
      <c r="GF6466"/>
      <c r="GG6466"/>
      <c r="GH6466"/>
      <c r="GI6466"/>
      <c r="GJ6466"/>
      <c r="GK6466"/>
      <c r="GL6466"/>
      <c r="GM6466"/>
      <c r="GN6466"/>
      <c r="GO6466"/>
    </row>
    <row r="6467" spans="107:197">
      <c r="DC6467"/>
      <c r="FH6467"/>
      <c r="FI6467"/>
      <c r="FJ6467"/>
      <c r="FK6467"/>
      <c r="FL6467"/>
      <c r="FM6467"/>
      <c r="FN6467"/>
      <c r="FO6467"/>
      <c r="FP6467"/>
      <c r="FQ6467"/>
      <c r="FR6467"/>
      <c r="FS6467"/>
      <c r="FT6467"/>
      <c r="FU6467"/>
      <c r="FV6467"/>
      <c r="FW6467"/>
      <c r="FX6467"/>
      <c r="FY6467"/>
      <c r="FZ6467"/>
      <c r="GA6467"/>
      <c r="GB6467"/>
      <c r="GC6467"/>
      <c r="GD6467"/>
      <c r="GE6467"/>
      <c r="GF6467"/>
      <c r="GG6467"/>
      <c r="GH6467"/>
      <c r="GI6467"/>
      <c r="GJ6467"/>
      <c r="GK6467"/>
      <c r="GL6467"/>
      <c r="GM6467"/>
      <c r="GN6467"/>
      <c r="GO6467"/>
    </row>
    <row r="6468" spans="107:197">
      <c r="DC6468"/>
      <c r="FH6468"/>
      <c r="FI6468"/>
      <c r="FJ6468"/>
      <c r="FK6468"/>
      <c r="FL6468"/>
      <c r="FM6468"/>
      <c r="FN6468"/>
      <c r="FO6468"/>
      <c r="FP6468"/>
      <c r="FQ6468"/>
      <c r="FR6468"/>
      <c r="FS6468"/>
      <c r="FT6468"/>
      <c r="FU6468"/>
      <c r="FV6468"/>
      <c r="FW6468"/>
      <c r="FX6468"/>
      <c r="FY6468"/>
      <c r="FZ6468"/>
      <c r="GA6468"/>
      <c r="GB6468"/>
      <c r="GC6468"/>
      <c r="GD6468"/>
      <c r="GE6468"/>
      <c r="GF6468"/>
      <c r="GG6468"/>
      <c r="GH6468"/>
      <c r="GI6468"/>
      <c r="GJ6468"/>
      <c r="GK6468"/>
      <c r="GL6468"/>
      <c r="GM6468"/>
      <c r="GN6468"/>
      <c r="GO6468"/>
    </row>
    <row r="6469" spans="107:197">
      <c r="DC6469"/>
      <c r="FH6469"/>
      <c r="FI6469"/>
      <c r="FJ6469"/>
      <c r="FK6469"/>
      <c r="FL6469"/>
      <c r="FM6469"/>
      <c r="FN6469"/>
      <c r="FO6469"/>
      <c r="FP6469"/>
      <c r="FQ6469"/>
      <c r="FR6469"/>
      <c r="FS6469"/>
      <c r="FT6469"/>
      <c r="FU6469"/>
      <c r="FV6469"/>
      <c r="FW6469"/>
      <c r="FX6469"/>
      <c r="FY6469"/>
      <c r="FZ6469"/>
      <c r="GA6469"/>
      <c r="GB6469"/>
      <c r="GC6469"/>
      <c r="GD6469"/>
      <c r="GE6469"/>
      <c r="GF6469"/>
      <c r="GG6469"/>
      <c r="GH6469"/>
      <c r="GI6469"/>
      <c r="GJ6469"/>
      <c r="GK6469"/>
      <c r="GL6469"/>
      <c r="GM6469"/>
      <c r="GN6469"/>
      <c r="GO6469"/>
    </row>
    <row r="6470" spans="107:197">
      <c r="DC6470"/>
      <c r="FH6470"/>
      <c r="FI6470"/>
      <c r="FJ6470"/>
      <c r="FK6470"/>
      <c r="FL6470"/>
      <c r="FM6470"/>
      <c r="FN6470"/>
      <c r="FO6470"/>
      <c r="FP6470"/>
      <c r="FQ6470"/>
      <c r="FR6470"/>
      <c r="FS6470"/>
      <c r="FT6470"/>
      <c r="FU6470"/>
      <c r="FV6470"/>
      <c r="FW6470"/>
      <c r="FX6470"/>
      <c r="FY6470"/>
      <c r="FZ6470"/>
      <c r="GA6470"/>
      <c r="GB6470"/>
      <c r="GC6470"/>
      <c r="GD6470"/>
      <c r="GE6470"/>
      <c r="GF6470"/>
      <c r="GG6470"/>
      <c r="GH6470"/>
      <c r="GI6470"/>
      <c r="GJ6470"/>
      <c r="GK6470"/>
      <c r="GL6470"/>
      <c r="GM6470"/>
      <c r="GN6470"/>
      <c r="GO6470"/>
    </row>
    <row r="6471" spans="107:197">
      <c r="DC6471"/>
      <c r="FH6471"/>
      <c r="FI6471"/>
      <c r="FJ6471"/>
      <c r="FK6471"/>
      <c r="FL6471"/>
      <c r="FM6471"/>
      <c r="FN6471"/>
      <c r="FO6471"/>
      <c r="FP6471"/>
      <c r="FQ6471"/>
      <c r="FR6471"/>
      <c r="FS6471"/>
      <c r="FT6471"/>
      <c r="FU6471"/>
      <c r="FV6471"/>
      <c r="FW6471"/>
      <c r="FX6471"/>
      <c r="FY6471"/>
      <c r="FZ6471"/>
      <c r="GA6471"/>
      <c r="GB6471"/>
      <c r="GC6471"/>
      <c r="GD6471"/>
      <c r="GE6471"/>
      <c r="GF6471"/>
      <c r="GG6471"/>
      <c r="GH6471"/>
      <c r="GI6471"/>
      <c r="GJ6471"/>
      <c r="GK6471"/>
      <c r="GL6471"/>
      <c r="GM6471"/>
      <c r="GN6471"/>
      <c r="GO6471"/>
    </row>
    <row r="6472" spans="107:197">
      <c r="DC6472"/>
      <c r="FH6472"/>
      <c r="FI6472"/>
      <c r="FJ6472"/>
      <c r="FK6472"/>
      <c r="FL6472"/>
      <c r="FM6472"/>
      <c r="FN6472"/>
      <c r="FO6472"/>
      <c r="FP6472"/>
      <c r="FQ6472"/>
      <c r="FR6472"/>
      <c r="FS6472"/>
      <c r="FT6472"/>
      <c r="FU6472"/>
      <c r="FV6472"/>
      <c r="FW6472"/>
      <c r="FX6472"/>
      <c r="FY6472"/>
      <c r="FZ6472"/>
      <c r="GA6472"/>
      <c r="GB6472"/>
      <c r="GC6472"/>
      <c r="GD6472"/>
      <c r="GE6472"/>
      <c r="GF6472"/>
      <c r="GG6472"/>
      <c r="GH6472"/>
      <c r="GI6472"/>
      <c r="GJ6472"/>
      <c r="GK6472"/>
      <c r="GL6472"/>
      <c r="GM6472"/>
      <c r="GN6472"/>
      <c r="GO6472"/>
    </row>
    <row r="6473" spans="107:197">
      <c r="DC6473"/>
      <c r="FH6473"/>
      <c r="FI6473"/>
      <c r="FJ6473"/>
      <c r="FK6473"/>
      <c r="FL6473"/>
      <c r="FM6473"/>
      <c r="FN6473"/>
      <c r="FO6473"/>
      <c r="FP6473"/>
      <c r="FQ6473"/>
      <c r="FR6473"/>
      <c r="FS6473"/>
      <c r="FT6473"/>
      <c r="FU6473"/>
      <c r="FV6473"/>
      <c r="FW6473"/>
      <c r="FX6473"/>
      <c r="FY6473"/>
      <c r="FZ6473"/>
      <c r="GA6473"/>
      <c r="GB6473"/>
      <c r="GC6473"/>
      <c r="GD6473"/>
      <c r="GE6473"/>
      <c r="GF6473"/>
      <c r="GG6473"/>
      <c r="GH6473"/>
      <c r="GI6473"/>
      <c r="GJ6473"/>
      <c r="GK6473"/>
      <c r="GL6473"/>
      <c r="GM6473"/>
      <c r="GN6473"/>
      <c r="GO6473"/>
    </row>
    <row r="6474" spans="107:197">
      <c r="DC6474"/>
      <c r="FH6474"/>
      <c r="FI6474"/>
      <c r="FJ6474"/>
      <c r="FK6474"/>
      <c r="FL6474"/>
      <c r="FM6474"/>
      <c r="FN6474"/>
      <c r="FO6474"/>
      <c r="FP6474"/>
      <c r="FQ6474"/>
      <c r="FR6474"/>
      <c r="FS6474"/>
      <c r="FT6474"/>
      <c r="FU6474"/>
      <c r="FV6474"/>
      <c r="FW6474"/>
      <c r="FX6474"/>
      <c r="FY6474"/>
      <c r="FZ6474"/>
      <c r="GA6474"/>
      <c r="GB6474"/>
      <c r="GC6474"/>
      <c r="GD6474"/>
      <c r="GE6474"/>
      <c r="GF6474"/>
      <c r="GG6474"/>
      <c r="GH6474"/>
      <c r="GI6474"/>
      <c r="GJ6474"/>
      <c r="GK6474"/>
      <c r="GL6474"/>
      <c r="GM6474"/>
      <c r="GN6474"/>
      <c r="GO6474"/>
    </row>
    <row r="6475" spans="107:197">
      <c r="DC6475"/>
      <c r="FH6475"/>
      <c r="FI6475"/>
      <c r="FJ6475"/>
      <c r="FK6475"/>
      <c r="FL6475"/>
      <c r="FM6475"/>
      <c r="FN6475"/>
      <c r="FO6475"/>
      <c r="FP6475"/>
      <c r="FQ6475"/>
      <c r="FR6475"/>
      <c r="FS6475"/>
      <c r="FT6475"/>
      <c r="FU6475"/>
      <c r="FV6475"/>
      <c r="FW6475"/>
      <c r="FX6475"/>
      <c r="FY6475"/>
      <c r="FZ6475"/>
      <c r="GA6475"/>
      <c r="GB6475"/>
      <c r="GC6475"/>
      <c r="GD6475"/>
      <c r="GE6475"/>
      <c r="GF6475"/>
      <c r="GG6475"/>
      <c r="GH6475"/>
      <c r="GI6475"/>
      <c r="GJ6475"/>
      <c r="GK6475"/>
      <c r="GL6475"/>
      <c r="GM6475"/>
      <c r="GN6475"/>
      <c r="GO6475"/>
    </row>
    <row r="6476" spans="107:197">
      <c r="DC6476"/>
      <c r="FH6476"/>
      <c r="FI6476"/>
      <c r="FJ6476"/>
      <c r="FK6476"/>
      <c r="FL6476"/>
      <c r="FM6476"/>
      <c r="FN6476"/>
      <c r="FO6476"/>
      <c r="FP6476"/>
      <c r="FQ6476"/>
      <c r="FR6476"/>
      <c r="FS6476"/>
      <c r="FT6476"/>
      <c r="FU6476"/>
      <c r="FV6476"/>
      <c r="FW6476"/>
      <c r="FX6476"/>
      <c r="FY6476"/>
      <c r="FZ6476"/>
      <c r="GA6476"/>
      <c r="GB6476"/>
      <c r="GC6476"/>
      <c r="GD6476"/>
      <c r="GE6476"/>
      <c r="GF6476"/>
      <c r="GG6476"/>
      <c r="GH6476"/>
      <c r="GI6476"/>
      <c r="GJ6476"/>
      <c r="GK6476"/>
      <c r="GL6476"/>
      <c r="GM6476"/>
      <c r="GN6476"/>
      <c r="GO6476"/>
    </row>
    <row r="6477" spans="107:197">
      <c r="DC6477"/>
      <c r="FH6477"/>
      <c r="FI6477"/>
      <c r="FJ6477"/>
      <c r="FK6477"/>
      <c r="FL6477"/>
      <c r="FM6477"/>
      <c r="FN6477"/>
      <c r="FO6477"/>
      <c r="FP6477"/>
      <c r="FQ6477"/>
      <c r="FR6477"/>
      <c r="FS6477"/>
      <c r="FT6477"/>
      <c r="FU6477"/>
      <c r="FV6477"/>
      <c r="FW6477"/>
      <c r="FX6477"/>
      <c r="FY6477"/>
      <c r="FZ6477"/>
      <c r="GA6477"/>
      <c r="GB6477"/>
      <c r="GC6477"/>
      <c r="GD6477"/>
      <c r="GE6477"/>
      <c r="GF6477"/>
      <c r="GG6477"/>
      <c r="GH6477"/>
      <c r="GI6477"/>
      <c r="GJ6477"/>
      <c r="GK6477"/>
      <c r="GL6477"/>
      <c r="GM6477"/>
      <c r="GN6477"/>
      <c r="GO6477"/>
    </row>
    <row r="6478" spans="107:197">
      <c r="DC6478"/>
      <c r="FH6478"/>
      <c r="FI6478"/>
      <c r="FJ6478"/>
      <c r="FK6478"/>
      <c r="FL6478"/>
      <c r="FM6478"/>
      <c r="FN6478"/>
      <c r="FO6478"/>
      <c r="FP6478"/>
      <c r="FQ6478"/>
      <c r="FR6478"/>
      <c r="FS6478"/>
      <c r="FT6478"/>
      <c r="FU6478"/>
      <c r="FV6478"/>
      <c r="FW6478"/>
      <c r="FX6478"/>
      <c r="FY6478"/>
      <c r="FZ6478"/>
      <c r="GA6478"/>
      <c r="GB6478"/>
      <c r="GC6478"/>
      <c r="GD6478"/>
      <c r="GE6478"/>
      <c r="GF6478"/>
      <c r="GG6478"/>
      <c r="GH6478"/>
      <c r="GI6478"/>
      <c r="GJ6478"/>
      <c r="GK6478"/>
      <c r="GL6478"/>
      <c r="GM6478"/>
      <c r="GN6478"/>
      <c r="GO6478"/>
    </row>
    <row r="6479" spans="107:197">
      <c r="DC6479"/>
      <c r="FH6479"/>
      <c r="FI6479"/>
      <c r="FJ6479"/>
      <c r="FK6479"/>
      <c r="FL6479"/>
      <c r="FM6479"/>
      <c r="FN6479"/>
      <c r="FO6479"/>
      <c r="FP6479"/>
      <c r="FQ6479"/>
      <c r="FR6479"/>
      <c r="FS6479"/>
      <c r="FT6479"/>
      <c r="FU6479"/>
      <c r="FV6479"/>
      <c r="FW6479"/>
      <c r="FX6479"/>
      <c r="FY6479"/>
      <c r="FZ6479"/>
      <c r="GA6479"/>
      <c r="GB6479"/>
      <c r="GC6479"/>
      <c r="GD6479"/>
      <c r="GE6479"/>
      <c r="GF6479"/>
      <c r="GG6479"/>
      <c r="GH6479"/>
      <c r="GI6479"/>
      <c r="GJ6479"/>
      <c r="GK6479"/>
      <c r="GL6479"/>
      <c r="GM6479"/>
      <c r="GN6479"/>
      <c r="GO6479"/>
    </row>
    <row r="6480" spans="107:197">
      <c r="DC6480"/>
      <c r="FH6480"/>
      <c r="FI6480"/>
      <c r="FJ6480"/>
      <c r="FK6480"/>
      <c r="FL6480"/>
      <c r="FM6480"/>
      <c r="FN6480"/>
      <c r="FO6480"/>
      <c r="FP6480"/>
      <c r="FQ6480"/>
      <c r="FR6480"/>
      <c r="FS6480"/>
      <c r="FT6480"/>
      <c r="FU6480"/>
      <c r="FV6480"/>
      <c r="FW6480"/>
      <c r="FX6480"/>
      <c r="FY6480"/>
      <c r="FZ6480"/>
      <c r="GA6480"/>
      <c r="GB6480"/>
      <c r="GC6480"/>
      <c r="GD6480"/>
      <c r="GE6480"/>
      <c r="GF6480"/>
      <c r="GG6480"/>
      <c r="GH6480"/>
      <c r="GI6480"/>
      <c r="GJ6480"/>
      <c r="GK6480"/>
      <c r="GL6480"/>
      <c r="GM6480"/>
      <c r="GN6480"/>
      <c r="GO6480"/>
    </row>
    <row r="6481" spans="107:197">
      <c r="DC6481"/>
      <c r="FH6481"/>
      <c r="FI6481"/>
      <c r="FJ6481"/>
      <c r="FK6481"/>
      <c r="FL6481"/>
      <c r="FM6481"/>
      <c r="FN6481"/>
      <c r="FO6481"/>
      <c r="FP6481"/>
      <c r="FQ6481"/>
      <c r="FR6481"/>
      <c r="FS6481"/>
      <c r="FT6481"/>
      <c r="FU6481"/>
      <c r="FV6481"/>
      <c r="FW6481"/>
      <c r="FX6481"/>
      <c r="FY6481"/>
      <c r="FZ6481"/>
      <c r="GA6481"/>
      <c r="GB6481"/>
      <c r="GC6481"/>
      <c r="GD6481"/>
      <c r="GE6481"/>
      <c r="GF6481"/>
      <c r="GG6481"/>
      <c r="GH6481"/>
      <c r="GI6481"/>
      <c r="GJ6481"/>
      <c r="GK6481"/>
      <c r="GL6481"/>
      <c r="GM6481"/>
      <c r="GN6481"/>
      <c r="GO6481"/>
    </row>
    <row r="6482" spans="107:197">
      <c r="DC6482"/>
      <c r="FH6482"/>
      <c r="FI6482"/>
      <c r="FJ6482"/>
      <c r="FK6482"/>
      <c r="FL6482"/>
      <c r="FM6482"/>
      <c r="FN6482"/>
      <c r="FO6482"/>
      <c r="FP6482"/>
      <c r="FQ6482"/>
      <c r="FR6482"/>
      <c r="FS6482"/>
      <c r="FT6482"/>
      <c r="FU6482"/>
      <c r="FV6482"/>
      <c r="FW6482"/>
      <c r="FX6482"/>
      <c r="FY6482"/>
      <c r="FZ6482"/>
      <c r="GA6482"/>
      <c r="GB6482"/>
      <c r="GC6482"/>
      <c r="GD6482"/>
      <c r="GE6482"/>
      <c r="GF6482"/>
      <c r="GG6482"/>
      <c r="GH6482"/>
      <c r="GI6482"/>
      <c r="GJ6482"/>
      <c r="GK6482"/>
      <c r="GL6482"/>
      <c r="GM6482"/>
      <c r="GN6482"/>
      <c r="GO6482"/>
    </row>
    <row r="6483" spans="107:197">
      <c r="DC6483"/>
      <c r="FH6483"/>
      <c r="FI6483"/>
      <c r="FJ6483"/>
      <c r="FK6483"/>
      <c r="FL6483"/>
      <c r="FM6483"/>
      <c r="FN6483"/>
      <c r="FO6483"/>
      <c r="FP6483"/>
      <c r="FQ6483"/>
      <c r="FR6483"/>
      <c r="FS6483"/>
      <c r="FT6483"/>
      <c r="FU6483"/>
      <c r="FV6483"/>
      <c r="FW6483"/>
      <c r="FX6483"/>
      <c r="FY6483"/>
      <c r="FZ6483"/>
      <c r="GA6483"/>
      <c r="GB6483"/>
      <c r="GC6483"/>
      <c r="GD6483"/>
      <c r="GE6483"/>
      <c r="GF6483"/>
      <c r="GG6483"/>
      <c r="GH6483"/>
      <c r="GI6483"/>
      <c r="GJ6483"/>
      <c r="GK6483"/>
      <c r="GL6483"/>
      <c r="GM6483"/>
      <c r="GN6483"/>
      <c r="GO6483"/>
    </row>
    <row r="6484" spans="107:197">
      <c r="DC6484"/>
      <c r="FH6484"/>
      <c r="FI6484"/>
      <c r="FJ6484"/>
      <c r="FK6484"/>
      <c r="FL6484"/>
      <c r="FM6484"/>
      <c r="FN6484"/>
      <c r="FO6484"/>
      <c r="FP6484"/>
      <c r="FQ6484"/>
      <c r="FR6484"/>
      <c r="FS6484"/>
      <c r="FT6484"/>
      <c r="FU6484"/>
      <c r="FV6484"/>
      <c r="FW6484"/>
      <c r="FX6484"/>
      <c r="FY6484"/>
      <c r="FZ6484"/>
      <c r="GA6484"/>
      <c r="GB6484"/>
      <c r="GC6484"/>
      <c r="GD6484"/>
      <c r="GE6484"/>
      <c r="GF6484"/>
      <c r="GG6484"/>
      <c r="GH6484"/>
      <c r="GI6484"/>
      <c r="GJ6484"/>
      <c r="GK6484"/>
      <c r="GL6484"/>
      <c r="GM6484"/>
      <c r="GN6484"/>
      <c r="GO6484"/>
    </row>
    <row r="6485" spans="107:197">
      <c r="DC6485"/>
      <c r="FH6485"/>
      <c r="FI6485"/>
      <c r="FJ6485"/>
      <c r="FK6485"/>
      <c r="FL6485"/>
      <c r="FM6485"/>
      <c r="FN6485"/>
      <c r="FO6485"/>
      <c r="FP6485"/>
      <c r="FQ6485"/>
      <c r="FR6485"/>
      <c r="FS6485"/>
      <c r="FT6485"/>
      <c r="FU6485"/>
      <c r="FV6485"/>
      <c r="FW6485"/>
      <c r="FX6485"/>
      <c r="FY6485"/>
      <c r="FZ6485"/>
      <c r="GA6485"/>
      <c r="GB6485"/>
      <c r="GC6485"/>
      <c r="GD6485"/>
      <c r="GE6485"/>
      <c r="GF6485"/>
      <c r="GG6485"/>
      <c r="GH6485"/>
      <c r="GI6485"/>
      <c r="GJ6485"/>
      <c r="GK6485"/>
      <c r="GL6485"/>
      <c r="GM6485"/>
      <c r="GN6485"/>
      <c r="GO6485"/>
    </row>
    <row r="6486" spans="107:197">
      <c r="DC6486"/>
      <c r="FH6486"/>
      <c r="FI6486"/>
      <c r="FJ6486"/>
      <c r="FK6486"/>
      <c r="FL6486"/>
      <c r="FM6486"/>
      <c r="FN6486"/>
      <c r="FO6486"/>
      <c r="FP6486"/>
      <c r="FQ6486"/>
      <c r="FR6486"/>
      <c r="FS6486"/>
      <c r="FT6486"/>
      <c r="FU6486"/>
      <c r="FV6486"/>
      <c r="FW6486"/>
      <c r="FX6486"/>
      <c r="FY6486"/>
      <c r="FZ6486"/>
      <c r="GA6486"/>
      <c r="GB6486"/>
      <c r="GC6486"/>
      <c r="GD6486"/>
      <c r="GE6486"/>
      <c r="GF6486"/>
      <c r="GG6486"/>
      <c r="GH6486"/>
      <c r="GI6486"/>
      <c r="GJ6486"/>
      <c r="GK6486"/>
      <c r="GL6486"/>
      <c r="GM6486"/>
      <c r="GN6486"/>
      <c r="GO6486"/>
    </row>
    <row r="6487" spans="107:197">
      <c r="DC6487"/>
      <c r="FH6487"/>
      <c r="FI6487"/>
      <c r="FJ6487"/>
      <c r="FK6487"/>
      <c r="FL6487"/>
      <c r="FM6487"/>
      <c r="FN6487"/>
      <c r="FO6487"/>
      <c r="FP6487"/>
      <c r="FQ6487"/>
      <c r="FR6487"/>
      <c r="FS6487"/>
      <c r="FT6487"/>
      <c r="FU6487"/>
      <c r="FV6487"/>
      <c r="FW6487"/>
      <c r="FX6487"/>
      <c r="FY6487"/>
      <c r="FZ6487"/>
      <c r="GA6487"/>
      <c r="GB6487"/>
      <c r="GC6487"/>
      <c r="GD6487"/>
      <c r="GE6487"/>
      <c r="GF6487"/>
      <c r="GG6487"/>
      <c r="GH6487"/>
      <c r="GI6487"/>
      <c r="GJ6487"/>
      <c r="GK6487"/>
      <c r="GL6487"/>
      <c r="GM6487"/>
      <c r="GN6487"/>
      <c r="GO6487"/>
    </row>
    <row r="6488" spans="107:197">
      <c r="DC6488"/>
      <c r="FH6488"/>
      <c r="FI6488"/>
      <c r="FJ6488"/>
      <c r="FK6488"/>
      <c r="FL6488"/>
      <c r="FM6488"/>
      <c r="FN6488"/>
      <c r="FO6488"/>
      <c r="FP6488"/>
      <c r="FQ6488"/>
      <c r="FR6488"/>
      <c r="FS6488"/>
      <c r="FT6488"/>
      <c r="FU6488"/>
      <c r="FV6488"/>
      <c r="FW6488"/>
      <c r="FX6488"/>
      <c r="FY6488"/>
      <c r="FZ6488"/>
      <c r="GA6488"/>
      <c r="GB6488"/>
      <c r="GC6488"/>
      <c r="GD6488"/>
      <c r="GE6488"/>
      <c r="GF6488"/>
      <c r="GG6488"/>
      <c r="GH6488"/>
      <c r="GI6488"/>
      <c r="GJ6488"/>
      <c r="GK6488"/>
      <c r="GL6488"/>
      <c r="GM6488"/>
      <c r="GN6488"/>
      <c r="GO6488"/>
    </row>
    <row r="6489" spans="107:197">
      <c r="DC6489"/>
      <c r="FH6489"/>
      <c r="FI6489"/>
      <c r="FJ6489"/>
      <c r="FK6489"/>
      <c r="FL6489"/>
      <c r="FM6489"/>
      <c r="FN6489"/>
      <c r="FO6489"/>
      <c r="FP6489"/>
      <c r="FQ6489"/>
      <c r="FR6489"/>
      <c r="FS6489"/>
      <c r="FT6489"/>
      <c r="FU6489"/>
      <c r="FV6489"/>
      <c r="FW6489"/>
      <c r="FX6489"/>
      <c r="FY6489"/>
      <c r="FZ6489"/>
      <c r="GA6489"/>
      <c r="GB6489"/>
      <c r="GC6489"/>
      <c r="GD6489"/>
      <c r="GE6489"/>
      <c r="GF6489"/>
      <c r="GG6489"/>
      <c r="GH6489"/>
      <c r="GI6489"/>
      <c r="GJ6489"/>
      <c r="GK6489"/>
      <c r="GL6489"/>
      <c r="GM6489"/>
      <c r="GN6489"/>
      <c r="GO6489"/>
    </row>
    <row r="6490" spans="107:197">
      <c r="DC6490"/>
      <c r="FH6490"/>
      <c r="FI6490"/>
      <c r="FJ6490"/>
      <c r="FK6490"/>
      <c r="FL6490"/>
      <c r="FM6490"/>
      <c r="FN6490"/>
      <c r="FO6490"/>
      <c r="FP6490"/>
      <c r="FQ6490"/>
      <c r="FR6490"/>
      <c r="FS6490"/>
      <c r="FT6490"/>
      <c r="FU6490"/>
      <c r="FV6490"/>
      <c r="FW6490"/>
      <c r="FX6490"/>
      <c r="FY6490"/>
      <c r="FZ6490"/>
      <c r="GA6490"/>
      <c r="GB6490"/>
      <c r="GC6490"/>
      <c r="GD6490"/>
      <c r="GE6490"/>
      <c r="GF6490"/>
      <c r="GG6490"/>
      <c r="GH6490"/>
      <c r="GI6490"/>
      <c r="GJ6490"/>
      <c r="GK6490"/>
      <c r="GL6490"/>
      <c r="GM6490"/>
      <c r="GN6490"/>
      <c r="GO6490"/>
    </row>
    <row r="6491" spans="107:197">
      <c r="DC6491"/>
      <c r="FH6491"/>
      <c r="FI6491"/>
      <c r="FJ6491"/>
      <c r="FK6491"/>
      <c r="FL6491"/>
      <c r="FM6491"/>
      <c r="FN6491"/>
      <c r="FO6491"/>
      <c r="FP6491"/>
      <c r="FQ6491"/>
      <c r="FR6491"/>
      <c r="FS6491"/>
      <c r="FT6491"/>
      <c r="FU6491"/>
      <c r="FV6491"/>
      <c r="FW6491"/>
      <c r="FX6491"/>
      <c r="FY6491"/>
      <c r="FZ6491"/>
      <c r="GA6491"/>
      <c r="GB6491"/>
      <c r="GC6491"/>
      <c r="GD6491"/>
      <c r="GE6491"/>
      <c r="GF6491"/>
      <c r="GG6491"/>
      <c r="GH6491"/>
      <c r="GI6491"/>
      <c r="GJ6491"/>
      <c r="GK6491"/>
      <c r="GL6491"/>
      <c r="GM6491"/>
      <c r="GN6491"/>
      <c r="GO6491"/>
    </row>
    <row r="6492" spans="107:197">
      <c r="DC6492"/>
      <c r="FH6492"/>
      <c r="FI6492"/>
      <c r="FJ6492"/>
      <c r="FK6492"/>
      <c r="FL6492"/>
      <c r="FM6492"/>
      <c r="FN6492"/>
      <c r="FO6492"/>
      <c r="FP6492"/>
      <c r="FQ6492"/>
      <c r="FR6492"/>
      <c r="FS6492"/>
      <c r="FT6492"/>
      <c r="FU6492"/>
      <c r="FV6492"/>
      <c r="FW6492"/>
      <c r="FX6492"/>
      <c r="FY6492"/>
      <c r="FZ6492"/>
      <c r="GA6492"/>
      <c r="GB6492"/>
      <c r="GC6492"/>
      <c r="GD6492"/>
      <c r="GE6492"/>
      <c r="GF6492"/>
      <c r="GG6492"/>
      <c r="GH6492"/>
      <c r="GI6492"/>
      <c r="GJ6492"/>
      <c r="GK6492"/>
      <c r="GL6492"/>
      <c r="GM6492"/>
      <c r="GN6492"/>
      <c r="GO6492"/>
    </row>
    <row r="6493" spans="107:197">
      <c r="DC6493"/>
      <c r="FH6493"/>
      <c r="FI6493"/>
      <c r="FJ6493"/>
      <c r="FK6493"/>
      <c r="FL6493"/>
      <c r="FM6493"/>
      <c r="FN6493"/>
      <c r="FO6493"/>
      <c r="FP6493"/>
      <c r="FQ6493"/>
      <c r="FR6493"/>
      <c r="FS6493"/>
      <c r="FT6493"/>
      <c r="FU6493"/>
      <c r="FV6493"/>
      <c r="FW6493"/>
      <c r="FX6493"/>
      <c r="FY6493"/>
      <c r="FZ6493"/>
      <c r="GA6493"/>
      <c r="GB6493"/>
      <c r="GC6493"/>
      <c r="GD6493"/>
      <c r="GE6493"/>
      <c r="GF6493"/>
      <c r="GG6493"/>
      <c r="GH6493"/>
      <c r="GI6493"/>
      <c r="GJ6493"/>
      <c r="GK6493"/>
      <c r="GL6493"/>
      <c r="GM6493"/>
      <c r="GN6493"/>
      <c r="GO6493"/>
    </row>
    <row r="6494" spans="107:197">
      <c r="DC6494"/>
      <c r="FH6494"/>
      <c r="FI6494"/>
      <c r="FJ6494"/>
      <c r="FK6494"/>
      <c r="FL6494"/>
      <c r="FM6494"/>
      <c r="FN6494"/>
      <c r="FO6494"/>
      <c r="FP6494"/>
      <c r="FQ6494"/>
      <c r="FR6494"/>
      <c r="FS6494"/>
      <c r="FT6494"/>
      <c r="FU6494"/>
      <c r="FV6494"/>
      <c r="FW6494"/>
      <c r="FX6494"/>
      <c r="FY6494"/>
      <c r="FZ6494"/>
      <c r="GA6494"/>
      <c r="GB6494"/>
      <c r="GC6494"/>
      <c r="GD6494"/>
      <c r="GE6494"/>
      <c r="GF6494"/>
      <c r="GG6494"/>
      <c r="GH6494"/>
      <c r="GI6494"/>
      <c r="GJ6494"/>
      <c r="GK6494"/>
      <c r="GL6494"/>
      <c r="GM6494"/>
      <c r="GN6494"/>
      <c r="GO6494"/>
    </row>
    <row r="6495" spans="107:197">
      <c r="DC6495"/>
      <c r="FH6495"/>
      <c r="FI6495"/>
      <c r="FJ6495"/>
      <c r="FK6495"/>
      <c r="FL6495"/>
      <c r="FM6495"/>
      <c r="FN6495"/>
      <c r="FO6495"/>
      <c r="FP6495"/>
      <c r="FQ6495"/>
      <c r="FR6495"/>
      <c r="FS6495"/>
      <c r="FT6495"/>
      <c r="FU6495"/>
      <c r="FV6495"/>
      <c r="FW6495"/>
      <c r="FX6495"/>
      <c r="FY6495"/>
      <c r="FZ6495"/>
      <c r="GA6495"/>
      <c r="GB6495"/>
      <c r="GC6495"/>
      <c r="GD6495"/>
      <c r="GE6495"/>
      <c r="GF6495"/>
      <c r="GG6495"/>
      <c r="GH6495"/>
      <c r="GI6495"/>
      <c r="GJ6495"/>
      <c r="GK6495"/>
      <c r="GL6495"/>
      <c r="GM6495"/>
      <c r="GN6495"/>
      <c r="GO6495"/>
    </row>
    <row r="6496" spans="107:197">
      <c r="DC6496"/>
      <c r="FH6496"/>
      <c r="FI6496"/>
      <c r="FJ6496"/>
      <c r="FK6496"/>
      <c r="FL6496"/>
      <c r="FM6496"/>
      <c r="FN6496"/>
      <c r="FO6496"/>
      <c r="FP6496"/>
      <c r="FQ6496"/>
      <c r="FR6496"/>
      <c r="FS6496"/>
      <c r="FT6496"/>
      <c r="FU6496"/>
      <c r="FV6496"/>
      <c r="FW6496"/>
      <c r="FX6496"/>
      <c r="FY6496"/>
      <c r="FZ6496"/>
      <c r="GA6496"/>
      <c r="GB6496"/>
      <c r="GC6496"/>
      <c r="GD6496"/>
      <c r="GE6496"/>
      <c r="GF6496"/>
      <c r="GG6496"/>
      <c r="GH6496"/>
      <c r="GI6496"/>
      <c r="GJ6496"/>
      <c r="GK6496"/>
      <c r="GL6496"/>
      <c r="GM6496"/>
      <c r="GN6496"/>
      <c r="GO6496"/>
    </row>
    <row r="6497" spans="107:197">
      <c r="DC6497"/>
      <c r="FH6497"/>
      <c r="FI6497"/>
      <c r="FJ6497"/>
      <c r="FK6497"/>
      <c r="FL6497"/>
      <c r="FM6497"/>
      <c r="FN6497"/>
      <c r="FO6497"/>
      <c r="FP6497"/>
      <c r="FQ6497"/>
      <c r="FR6497"/>
      <c r="FS6497"/>
      <c r="FT6497"/>
      <c r="FU6497"/>
      <c r="FV6497"/>
      <c r="FW6497"/>
      <c r="FX6497"/>
      <c r="FY6497"/>
      <c r="FZ6497"/>
      <c r="GA6497"/>
      <c r="GB6497"/>
      <c r="GC6497"/>
      <c r="GD6497"/>
      <c r="GE6497"/>
      <c r="GF6497"/>
      <c r="GG6497"/>
      <c r="GH6497"/>
      <c r="GI6497"/>
      <c r="GJ6497"/>
      <c r="GK6497"/>
      <c r="GL6497"/>
      <c r="GM6497"/>
      <c r="GN6497"/>
      <c r="GO6497"/>
    </row>
    <row r="6498" spans="107:197">
      <c r="DC6498"/>
      <c r="FH6498"/>
      <c r="FI6498"/>
      <c r="FJ6498"/>
      <c r="FK6498"/>
      <c r="FL6498"/>
      <c r="FM6498"/>
      <c r="FN6498"/>
      <c r="FO6498"/>
      <c r="FP6498"/>
      <c r="FQ6498"/>
      <c r="FR6498"/>
      <c r="FS6498"/>
      <c r="FT6498"/>
      <c r="FU6498"/>
      <c r="FV6498"/>
      <c r="FW6498"/>
      <c r="FX6498"/>
      <c r="FY6498"/>
      <c r="FZ6498"/>
      <c r="GA6498"/>
      <c r="GB6498"/>
      <c r="GC6498"/>
      <c r="GD6498"/>
      <c r="GE6498"/>
      <c r="GF6498"/>
      <c r="GG6498"/>
      <c r="GH6498"/>
      <c r="GI6498"/>
      <c r="GJ6498"/>
      <c r="GK6498"/>
      <c r="GL6498"/>
      <c r="GM6498"/>
      <c r="GN6498"/>
      <c r="GO6498"/>
    </row>
    <row r="6499" spans="107:197">
      <c r="DC6499"/>
      <c r="FH6499"/>
      <c r="FI6499"/>
      <c r="FJ6499"/>
      <c r="FK6499"/>
      <c r="FL6499"/>
      <c r="FM6499"/>
      <c r="FN6499"/>
      <c r="FO6499"/>
      <c r="FP6499"/>
      <c r="FQ6499"/>
      <c r="FR6499"/>
      <c r="FS6499"/>
      <c r="FT6499"/>
      <c r="FU6499"/>
      <c r="FV6499"/>
      <c r="FW6499"/>
      <c r="FX6499"/>
      <c r="FY6499"/>
      <c r="FZ6499"/>
      <c r="GA6499"/>
      <c r="GB6499"/>
      <c r="GC6499"/>
      <c r="GD6499"/>
      <c r="GE6499"/>
      <c r="GF6499"/>
      <c r="GG6499"/>
      <c r="GH6499"/>
      <c r="GI6499"/>
      <c r="GJ6499"/>
      <c r="GK6499"/>
      <c r="GL6499"/>
      <c r="GM6499"/>
      <c r="GN6499"/>
      <c r="GO6499"/>
    </row>
    <row r="6500" spans="107:197">
      <c r="DC6500"/>
      <c r="FH6500"/>
      <c r="FI6500"/>
      <c r="FJ6500"/>
      <c r="FK6500"/>
      <c r="FL6500"/>
      <c r="FM6500"/>
      <c r="FN6500"/>
      <c r="FO6500"/>
      <c r="FP6500"/>
      <c r="FQ6500"/>
      <c r="FR6500"/>
      <c r="FS6500"/>
      <c r="FT6500"/>
      <c r="FU6500"/>
      <c r="FV6500"/>
      <c r="FW6500"/>
      <c r="FX6500"/>
      <c r="FY6500"/>
      <c r="FZ6500"/>
      <c r="GA6500"/>
      <c r="GB6500"/>
      <c r="GC6500"/>
      <c r="GD6500"/>
      <c r="GE6500"/>
      <c r="GF6500"/>
      <c r="GG6500"/>
      <c r="GH6500"/>
      <c r="GI6500"/>
      <c r="GJ6500"/>
      <c r="GK6500"/>
      <c r="GL6500"/>
      <c r="GM6500"/>
      <c r="GN6500"/>
      <c r="GO6500"/>
    </row>
    <row r="6501" spans="107:197">
      <c r="DC6501"/>
      <c r="FH6501"/>
      <c r="FI6501"/>
      <c r="FJ6501"/>
      <c r="FK6501"/>
      <c r="FL6501"/>
      <c r="FM6501"/>
      <c r="FN6501"/>
      <c r="FO6501"/>
      <c r="FP6501"/>
      <c r="FQ6501"/>
      <c r="FR6501"/>
      <c r="FS6501"/>
      <c r="FT6501"/>
      <c r="FU6501"/>
      <c r="FV6501"/>
      <c r="FW6501"/>
      <c r="FX6501"/>
      <c r="FY6501"/>
      <c r="FZ6501"/>
      <c r="GA6501"/>
      <c r="GB6501"/>
      <c r="GC6501"/>
      <c r="GD6501"/>
      <c r="GE6501"/>
      <c r="GF6501"/>
      <c r="GG6501"/>
      <c r="GH6501"/>
      <c r="GI6501"/>
      <c r="GJ6501"/>
      <c r="GK6501"/>
      <c r="GL6501"/>
      <c r="GM6501"/>
      <c r="GN6501"/>
      <c r="GO6501"/>
    </row>
    <row r="6502" spans="107:197">
      <c r="DC6502"/>
      <c r="FH6502"/>
      <c r="FI6502"/>
      <c r="FJ6502"/>
      <c r="FK6502"/>
      <c r="FL6502"/>
      <c r="FM6502"/>
      <c r="FN6502"/>
      <c r="FO6502"/>
      <c r="FP6502"/>
      <c r="FQ6502"/>
      <c r="FR6502"/>
      <c r="FS6502"/>
      <c r="FT6502"/>
      <c r="FU6502"/>
      <c r="FV6502"/>
      <c r="FW6502"/>
      <c r="FX6502"/>
      <c r="FY6502"/>
      <c r="FZ6502"/>
      <c r="GA6502"/>
      <c r="GB6502"/>
      <c r="GC6502"/>
      <c r="GD6502"/>
      <c r="GE6502"/>
      <c r="GF6502"/>
      <c r="GG6502"/>
      <c r="GH6502"/>
      <c r="GI6502"/>
      <c r="GJ6502"/>
      <c r="GK6502"/>
      <c r="GL6502"/>
      <c r="GM6502"/>
      <c r="GN6502"/>
      <c r="GO6502"/>
    </row>
    <row r="6503" spans="107:197">
      <c r="DC6503"/>
      <c r="FH6503"/>
      <c r="FI6503"/>
      <c r="FJ6503"/>
      <c r="FK6503"/>
      <c r="FL6503"/>
      <c r="FM6503"/>
      <c r="FN6503"/>
      <c r="FO6503"/>
      <c r="FP6503"/>
      <c r="FQ6503"/>
      <c r="FR6503"/>
      <c r="FS6503"/>
      <c r="FT6503"/>
      <c r="FU6503"/>
      <c r="FV6503"/>
      <c r="FW6503"/>
      <c r="FX6503"/>
      <c r="FY6503"/>
      <c r="FZ6503"/>
      <c r="GA6503"/>
      <c r="GB6503"/>
      <c r="GC6503"/>
      <c r="GD6503"/>
      <c r="GE6503"/>
      <c r="GF6503"/>
      <c r="GG6503"/>
      <c r="GH6503"/>
      <c r="GI6503"/>
      <c r="GJ6503"/>
      <c r="GK6503"/>
      <c r="GL6503"/>
      <c r="GM6503"/>
      <c r="GN6503"/>
      <c r="GO6503"/>
    </row>
    <row r="6504" spans="107:197">
      <c r="DC6504"/>
      <c r="FH6504"/>
      <c r="FI6504"/>
      <c r="FJ6504"/>
      <c r="FK6504"/>
      <c r="FL6504"/>
      <c r="FM6504"/>
      <c r="FN6504"/>
      <c r="FO6504"/>
      <c r="FP6504"/>
      <c r="FQ6504"/>
      <c r="FR6504"/>
      <c r="FS6504"/>
      <c r="FT6504"/>
      <c r="FU6504"/>
      <c r="FV6504"/>
      <c r="FW6504"/>
      <c r="FX6504"/>
      <c r="FY6504"/>
      <c r="FZ6504"/>
      <c r="GA6504"/>
      <c r="GB6504"/>
      <c r="GC6504"/>
      <c r="GD6504"/>
      <c r="GE6504"/>
      <c r="GF6504"/>
      <c r="GG6504"/>
      <c r="GH6504"/>
      <c r="GI6504"/>
      <c r="GJ6504"/>
      <c r="GK6504"/>
      <c r="GL6504"/>
      <c r="GM6504"/>
      <c r="GN6504"/>
      <c r="GO6504"/>
    </row>
    <row r="6505" spans="107:197">
      <c r="DC6505"/>
      <c r="FH6505"/>
      <c r="FI6505"/>
      <c r="FJ6505"/>
      <c r="FK6505"/>
      <c r="FL6505"/>
      <c r="FM6505"/>
      <c r="FN6505"/>
      <c r="FO6505"/>
      <c r="FP6505"/>
      <c r="FQ6505"/>
      <c r="FR6505"/>
      <c r="FS6505"/>
      <c r="FT6505"/>
      <c r="FU6505"/>
      <c r="FV6505"/>
      <c r="FW6505"/>
      <c r="FX6505"/>
      <c r="FY6505"/>
      <c r="FZ6505"/>
      <c r="GA6505"/>
      <c r="GB6505"/>
      <c r="GC6505"/>
      <c r="GD6505"/>
      <c r="GE6505"/>
      <c r="GF6505"/>
      <c r="GG6505"/>
      <c r="GH6505"/>
      <c r="GI6505"/>
      <c r="GJ6505"/>
      <c r="GK6505"/>
      <c r="GL6505"/>
      <c r="GM6505"/>
      <c r="GN6505"/>
      <c r="GO6505"/>
    </row>
    <row r="6506" spans="107:197">
      <c r="DC6506"/>
      <c r="FH6506"/>
      <c r="FI6506"/>
      <c r="FJ6506"/>
      <c r="FK6506"/>
      <c r="FL6506"/>
      <c r="FM6506"/>
      <c r="FN6506"/>
      <c r="FO6506"/>
      <c r="FP6506"/>
      <c r="FQ6506"/>
      <c r="FR6506"/>
      <c r="FS6506"/>
      <c r="FT6506"/>
      <c r="FU6506"/>
      <c r="FV6506"/>
      <c r="FW6506"/>
      <c r="FX6506"/>
      <c r="FY6506"/>
      <c r="FZ6506"/>
      <c r="GA6506"/>
      <c r="GB6506"/>
      <c r="GC6506"/>
      <c r="GD6506"/>
      <c r="GE6506"/>
      <c r="GF6506"/>
      <c r="GG6506"/>
      <c r="GH6506"/>
      <c r="GI6506"/>
      <c r="GJ6506"/>
      <c r="GK6506"/>
      <c r="GL6506"/>
      <c r="GM6506"/>
      <c r="GN6506"/>
      <c r="GO6506"/>
    </row>
    <row r="6507" spans="107:197">
      <c r="DC6507"/>
      <c r="FH6507"/>
      <c r="FI6507"/>
      <c r="FJ6507"/>
      <c r="FK6507"/>
      <c r="FL6507"/>
      <c r="FM6507"/>
      <c r="FN6507"/>
      <c r="FO6507"/>
      <c r="FP6507"/>
      <c r="FQ6507"/>
      <c r="FR6507"/>
      <c r="FS6507"/>
      <c r="FT6507"/>
      <c r="FU6507"/>
      <c r="FV6507"/>
      <c r="FW6507"/>
      <c r="FX6507"/>
      <c r="FY6507"/>
      <c r="FZ6507"/>
      <c r="GA6507"/>
      <c r="GB6507"/>
      <c r="GC6507"/>
      <c r="GD6507"/>
      <c r="GE6507"/>
      <c r="GF6507"/>
      <c r="GG6507"/>
      <c r="GH6507"/>
      <c r="GI6507"/>
      <c r="GJ6507"/>
      <c r="GK6507"/>
      <c r="GL6507"/>
      <c r="GM6507"/>
      <c r="GN6507"/>
      <c r="GO6507"/>
    </row>
    <row r="6508" spans="107:197">
      <c r="DC6508"/>
      <c r="FH6508"/>
      <c r="FI6508"/>
      <c r="FJ6508"/>
      <c r="FK6508"/>
      <c r="FL6508"/>
      <c r="FM6508"/>
      <c r="FN6508"/>
      <c r="FO6508"/>
      <c r="FP6508"/>
      <c r="FQ6508"/>
      <c r="FR6508"/>
      <c r="FS6508"/>
      <c r="FT6508"/>
      <c r="FU6508"/>
      <c r="FV6508"/>
      <c r="FW6508"/>
      <c r="FX6508"/>
      <c r="FY6508"/>
      <c r="FZ6508"/>
      <c r="GA6508"/>
      <c r="GB6508"/>
      <c r="GC6508"/>
      <c r="GD6508"/>
      <c r="GE6508"/>
      <c r="GF6508"/>
      <c r="GG6508"/>
      <c r="GH6508"/>
      <c r="GI6508"/>
      <c r="GJ6508"/>
      <c r="GK6508"/>
      <c r="GL6508"/>
      <c r="GM6508"/>
      <c r="GN6508"/>
      <c r="GO6508"/>
    </row>
    <row r="6509" spans="107:197">
      <c r="DC6509"/>
      <c r="FH6509"/>
      <c r="FI6509"/>
      <c r="FJ6509"/>
      <c r="FK6509"/>
      <c r="FL6509"/>
      <c r="FM6509"/>
      <c r="FN6509"/>
      <c r="FO6509"/>
      <c r="FP6509"/>
      <c r="FQ6509"/>
      <c r="FR6509"/>
      <c r="FS6509"/>
      <c r="FT6509"/>
      <c r="FU6509"/>
      <c r="FV6509"/>
      <c r="FW6509"/>
      <c r="FX6509"/>
      <c r="FY6509"/>
      <c r="FZ6509"/>
      <c r="GA6509"/>
      <c r="GB6509"/>
      <c r="GC6509"/>
      <c r="GD6509"/>
      <c r="GE6509"/>
      <c r="GF6509"/>
      <c r="GG6509"/>
      <c r="GH6509"/>
      <c r="GI6509"/>
      <c r="GJ6509"/>
      <c r="GK6509"/>
      <c r="GL6509"/>
      <c r="GM6509"/>
      <c r="GN6509"/>
      <c r="GO6509"/>
    </row>
    <row r="6510" spans="107:197">
      <c r="DC6510"/>
      <c r="FH6510"/>
      <c r="FI6510"/>
      <c r="FJ6510"/>
      <c r="FK6510"/>
      <c r="FL6510"/>
      <c r="FM6510"/>
      <c r="FN6510"/>
      <c r="FO6510"/>
      <c r="FP6510"/>
      <c r="FQ6510"/>
      <c r="FR6510"/>
      <c r="FS6510"/>
      <c r="FT6510"/>
      <c r="FU6510"/>
      <c r="FV6510"/>
      <c r="FW6510"/>
      <c r="FX6510"/>
      <c r="FY6510"/>
      <c r="FZ6510"/>
      <c r="GA6510"/>
      <c r="GB6510"/>
      <c r="GC6510"/>
      <c r="GD6510"/>
      <c r="GE6510"/>
      <c r="GF6510"/>
      <c r="GG6510"/>
      <c r="GH6510"/>
      <c r="GI6510"/>
      <c r="GJ6510"/>
      <c r="GK6510"/>
      <c r="GL6510"/>
      <c r="GM6510"/>
      <c r="GN6510"/>
      <c r="GO6510"/>
    </row>
    <row r="6511" spans="107:197">
      <c r="DC6511"/>
      <c r="FH6511"/>
      <c r="FI6511"/>
      <c r="FJ6511"/>
      <c r="FK6511"/>
      <c r="FL6511"/>
      <c r="FM6511"/>
      <c r="FN6511"/>
      <c r="FO6511"/>
      <c r="FP6511"/>
      <c r="FQ6511"/>
      <c r="FR6511"/>
      <c r="FS6511"/>
      <c r="FT6511"/>
      <c r="FU6511"/>
      <c r="FV6511"/>
      <c r="FW6511"/>
      <c r="FX6511"/>
      <c r="FY6511"/>
      <c r="FZ6511"/>
      <c r="GA6511"/>
      <c r="GB6511"/>
      <c r="GC6511"/>
      <c r="GD6511"/>
      <c r="GE6511"/>
      <c r="GF6511"/>
      <c r="GG6511"/>
      <c r="GH6511"/>
      <c r="GI6511"/>
      <c r="GJ6511"/>
      <c r="GK6511"/>
      <c r="GL6511"/>
      <c r="GM6511"/>
      <c r="GN6511"/>
      <c r="GO6511"/>
    </row>
    <row r="6512" spans="107:197">
      <c r="DC6512"/>
      <c r="FH6512"/>
      <c r="FI6512"/>
      <c r="FJ6512"/>
      <c r="FK6512"/>
      <c r="FL6512"/>
      <c r="FM6512"/>
      <c r="FN6512"/>
      <c r="FO6512"/>
      <c r="FP6512"/>
      <c r="FQ6512"/>
      <c r="FR6512"/>
      <c r="FS6512"/>
      <c r="FT6512"/>
      <c r="FU6512"/>
      <c r="FV6512"/>
      <c r="FW6512"/>
      <c r="FX6512"/>
      <c r="FY6512"/>
      <c r="FZ6512"/>
      <c r="GA6512"/>
      <c r="GB6512"/>
      <c r="GC6512"/>
      <c r="GD6512"/>
      <c r="GE6512"/>
      <c r="GF6512"/>
      <c r="GG6512"/>
      <c r="GH6512"/>
      <c r="GI6512"/>
      <c r="GJ6512"/>
      <c r="GK6512"/>
      <c r="GL6512"/>
      <c r="GM6512"/>
      <c r="GN6512"/>
      <c r="GO6512"/>
    </row>
    <row r="6513" spans="107:197">
      <c r="DC6513"/>
      <c r="FH6513"/>
      <c r="FI6513"/>
      <c r="FJ6513"/>
      <c r="FK6513"/>
      <c r="FL6513"/>
      <c r="FM6513"/>
      <c r="FN6513"/>
      <c r="FO6513"/>
      <c r="FP6513"/>
      <c r="FQ6513"/>
      <c r="FR6513"/>
      <c r="FS6513"/>
      <c r="FT6513"/>
      <c r="FU6513"/>
      <c r="FV6513"/>
      <c r="FW6513"/>
      <c r="FX6513"/>
      <c r="FY6513"/>
      <c r="FZ6513"/>
      <c r="GA6513"/>
      <c r="GB6513"/>
      <c r="GC6513"/>
      <c r="GD6513"/>
      <c r="GE6513"/>
      <c r="GF6513"/>
      <c r="GG6513"/>
      <c r="GH6513"/>
      <c r="GI6513"/>
      <c r="GJ6513"/>
      <c r="GK6513"/>
      <c r="GL6513"/>
      <c r="GM6513"/>
      <c r="GN6513"/>
      <c r="GO6513"/>
    </row>
    <row r="6514" spans="107:197">
      <c r="DC6514"/>
      <c r="FH6514"/>
      <c r="FI6514"/>
      <c r="FJ6514"/>
      <c r="FK6514"/>
      <c r="FL6514"/>
      <c r="FM6514"/>
      <c r="FN6514"/>
      <c r="FO6514"/>
      <c r="FP6514"/>
      <c r="FQ6514"/>
      <c r="FR6514"/>
      <c r="FS6514"/>
      <c r="FT6514"/>
      <c r="FU6514"/>
      <c r="FV6514"/>
      <c r="FW6514"/>
      <c r="FX6514"/>
      <c r="FY6514"/>
      <c r="FZ6514"/>
      <c r="GA6514"/>
      <c r="GB6514"/>
      <c r="GC6514"/>
      <c r="GD6514"/>
      <c r="GE6514"/>
      <c r="GF6514"/>
      <c r="GG6514"/>
      <c r="GH6514"/>
      <c r="GI6514"/>
      <c r="GJ6514"/>
      <c r="GK6514"/>
      <c r="GL6514"/>
      <c r="GM6514"/>
      <c r="GN6514"/>
      <c r="GO6514"/>
    </row>
    <row r="6515" spans="107:197">
      <c r="DC6515"/>
      <c r="FH6515"/>
      <c r="FI6515"/>
      <c r="FJ6515"/>
      <c r="FK6515"/>
      <c r="FL6515"/>
      <c r="FM6515"/>
      <c r="FN6515"/>
      <c r="FO6515"/>
      <c r="FP6515"/>
      <c r="FQ6515"/>
      <c r="FR6515"/>
      <c r="FS6515"/>
      <c r="FT6515"/>
      <c r="FU6515"/>
      <c r="FV6515"/>
      <c r="FW6515"/>
      <c r="FX6515"/>
      <c r="FY6515"/>
      <c r="FZ6515"/>
      <c r="GA6515"/>
      <c r="GB6515"/>
      <c r="GC6515"/>
      <c r="GD6515"/>
      <c r="GE6515"/>
      <c r="GF6515"/>
      <c r="GG6515"/>
      <c r="GH6515"/>
      <c r="GI6515"/>
      <c r="GJ6515"/>
      <c r="GK6515"/>
      <c r="GL6515"/>
      <c r="GM6515"/>
      <c r="GN6515"/>
      <c r="GO6515"/>
    </row>
    <row r="6516" spans="107:197">
      <c r="DC6516"/>
      <c r="FH6516"/>
      <c r="FI6516"/>
      <c r="FJ6516"/>
      <c r="FK6516"/>
      <c r="FL6516"/>
      <c r="FM6516"/>
      <c r="FN6516"/>
      <c r="FO6516"/>
      <c r="FP6516"/>
      <c r="FQ6516"/>
      <c r="FR6516"/>
      <c r="FS6516"/>
      <c r="FT6516"/>
      <c r="FU6516"/>
      <c r="FV6516"/>
      <c r="FW6516"/>
      <c r="FX6516"/>
      <c r="FY6516"/>
      <c r="FZ6516"/>
      <c r="GA6516"/>
      <c r="GB6516"/>
      <c r="GC6516"/>
      <c r="GD6516"/>
      <c r="GE6516"/>
      <c r="GF6516"/>
      <c r="GG6516"/>
      <c r="GH6516"/>
      <c r="GI6516"/>
      <c r="GJ6516"/>
      <c r="GK6516"/>
      <c r="GL6516"/>
      <c r="GM6516"/>
      <c r="GN6516"/>
      <c r="GO6516"/>
    </row>
    <row r="6517" spans="107:197">
      <c r="DC6517"/>
      <c r="FH6517"/>
      <c r="FI6517"/>
      <c r="FJ6517"/>
      <c r="FK6517"/>
      <c r="FL6517"/>
      <c r="FM6517"/>
      <c r="FN6517"/>
      <c r="FO6517"/>
      <c r="FP6517"/>
      <c r="FQ6517"/>
      <c r="FR6517"/>
      <c r="FS6517"/>
      <c r="FT6517"/>
      <c r="FU6517"/>
      <c r="FV6517"/>
      <c r="FW6517"/>
      <c r="FX6517"/>
      <c r="FY6517"/>
      <c r="FZ6517"/>
      <c r="GA6517"/>
      <c r="GB6517"/>
      <c r="GC6517"/>
      <c r="GD6517"/>
      <c r="GE6517"/>
      <c r="GF6517"/>
      <c r="GG6517"/>
      <c r="GH6517"/>
      <c r="GI6517"/>
      <c r="GJ6517"/>
      <c r="GK6517"/>
      <c r="GL6517"/>
      <c r="GM6517"/>
      <c r="GN6517"/>
      <c r="GO6517"/>
    </row>
    <row r="6518" spans="107:197">
      <c r="DC6518"/>
      <c r="FH6518"/>
      <c r="FI6518"/>
      <c r="FJ6518"/>
      <c r="FK6518"/>
      <c r="FL6518"/>
      <c r="FM6518"/>
      <c r="FN6518"/>
      <c r="FO6518"/>
      <c r="FP6518"/>
      <c r="FQ6518"/>
      <c r="FR6518"/>
      <c r="FS6518"/>
      <c r="FT6518"/>
      <c r="FU6518"/>
      <c r="FV6518"/>
      <c r="FW6518"/>
      <c r="FX6518"/>
      <c r="FY6518"/>
      <c r="FZ6518"/>
      <c r="GA6518"/>
      <c r="GB6518"/>
      <c r="GC6518"/>
      <c r="GD6518"/>
      <c r="GE6518"/>
      <c r="GF6518"/>
      <c r="GG6518"/>
      <c r="GH6518"/>
      <c r="GI6518"/>
      <c r="GJ6518"/>
      <c r="GK6518"/>
      <c r="GL6518"/>
      <c r="GM6518"/>
      <c r="GN6518"/>
      <c r="GO6518"/>
    </row>
    <row r="6519" spans="107:197">
      <c r="DC6519"/>
      <c r="FH6519"/>
      <c r="FI6519"/>
      <c r="FJ6519"/>
      <c r="FK6519"/>
      <c r="FL6519"/>
      <c r="FM6519"/>
      <c r="FN6519"/>
      <c r="FO6519"/>
      <c r="FP6519"/>
      <c r="FQ6519"/>
      <c r="FR6519"/>
      <c r="FS6519"/>
      <c r="FT6519"/>
      <c r="FU6519"/>
      <c r="FV6519"/>
      <c r="FW6519"/>
      <c r="FX6519"/>
      <c r="FY6519"/>
      <c r="FZ6519"/>
      <c r="GA6519"/>
      <c r="GB6519"/>
      <c r="GC6519"/>
      <c r="GD6519"/>
      <c r="GE6519"/>
      <c r="GF6519"/>
      <c r="GG6519"/>
      <c r="GH6519"/>
      <c r="GI6519"/>
      <c r="GJ6519"/>
      <c r="GK6519"/>
      <c r="GL6519"/>
      <c r="GM6519"/>
      <c r="GN6519"/>
      <c r="GO6519"/>
    </row>
    <row r="6520" spans="107:197">
      <c r="DC6520"/>
      <c r="FH6520"/>
      <c r="FI6520"/>
      <c r="FJ6520"/>
      <c r="FK6520"/>
      <c r="FL6520"/>
      <c r="FM6520"/>
      <c r="FN6520"/>
      <c r="FO6520"/>
      <c r="FP6520"/>
      <c r="FQ6520"/>
      <c r="FR6520"/>
      <c r="FS6520"/>
      <c r="FT6520"/>
      <c r="FU6520"/>
      <c r="FV6520"/>
      <c r="FW6520"/>
      <c r="FX6520"/>
      <c r="FY6520"/>
      <c r="FZ6520"/>
      <c r="GA6520"/>
      <c r="GB6520"/>
      <c r="GC6520"/>
      <c r="GD6520"/>
      <c r="GE6520"/>
      <c r="GF6520"/>
      <c r="GG6520"/>
      <c r="GH6520"/>
      <c r="GI6520"/>
      <c r="GJ6520"/>
      <c r="GK6520"/>
      <c r="GL6520"/>
      <c r="GM6520"/>
      <c r="GN6520"/>
      <c r="GO6520"/>
    </row>
    <row r="6521" spans="107:197">
      <c r="DC6521"/>
      <c r="FH6521"/>
      <c r="FI6521"/>
      <c r="FJ6521"/>
      <c r="FK6521"/>
      <c r="FL6521"/>
      <c r="FM6521"/>
      <c r="FN6521"/>
      <c r="FO6521"/>
      <c r="FP6521"/>
      <c r="FQ6521"/>
      <c r="FR6521"/>
      <c r="FS6521"/>
      <c r="FT6521"/>
      <c r="FU6521"/>
      <c r="FV6521"/>
      <c r="FW6521"/>
      <c r="FX6521"/>
      <c r="FY6521"/>
      <c r="FZ6521"/>
      <c r="GA6521"/>
      <c r="GB6521"/>
      <c r="GC6521"/>
      <c r="GD6521"/>
      <c r="GE6521"/>
      <c r="GF6521"/>
      <c r="GG6521"/>
      <c r="GH6521"/>
      <c r="GI6521"/>
      <c r="GJ6521"/>
      <c r="GK6521"/>
      <c r="GL6521"/>
      <c r="GM6521"/>
      <c r="GN6521"/>
      <c r="GO6521"/>
    </row>
    <row r="6522" spans="107:197">
      <c r="DC6522"/>
      <c r="FH6522"/>
      <c r="FI6522"/>
      <c r="FJ6522"/>
      <c r="FK6522"/>
      <c r="FL6522"/>
      <c r="FM6522"/>
      <c r="FN6522"/>
      <c r="FO6522"/>
      <c r="FP6522"/>
      <c r="FQ6522"/>
      <c r="FR6522"/>
      <c r="FS6522"/>
      <c r="FT6522"/>
      <c r="FU6522"/>
      <c r="FV6522"/>
      <c r="FW6522"/>
      <c r="FX6522"/>
      <c r="FY6522"/>
      <c r="FZ6522"/>
      <c r="GA6522"/>
      <c r="GB6522"/>
      <c r="GC6522"/>
      <c r="GD6522"/>
      <c r="GE6522"/>
      <c r="GF6522"/>
      <c r="GG6522"/>
      <c r="GH6522"/>
      <c r="GI6522"/>
      <c r="GJ6522"/>
      <c r="GK6522"/>
      <c r="GL6522"/>
      <c r="GM6522"/>
      <c r="GN6522"/>
      <c r="GO6522"/>
    </row>
    <row r="6523" spans="107:197">
      <c r="DC6523"/>
      <c r="FH6523"/>
      <c r="FI6523"/>
      <c r="FJ6523"/>
      <c r="FK6523"/>
      <c r="FL6523"/>
      <c r="FM6523"/>
      <c r="FN6523"/>
      <c r="FO6523"/>
      <c r="FP6523"/>
      <c r="FQ6523"/>
      <c r="FR6523"/>
      <c r="FS6523"/>
      <c r="FT6523"/>
      <c r="FU6523"/>
      <c r="FV6523"/>
      <c r="FW6523"/>
      <c r="FX6523"/>
      <c r="FY6523"/>
      <c r="FZ6523"/>
      <c r="GA6523"/>
      <c r="GB6523"/>
      <c r="GC6523"/>
      <c r="GD6523"/>
      <c r="GE6523"/>
      <c r="GF6523"/>
      <c r="GG6523"/>
      <c r="GH6523"/>
      <c r="GI6523"/>
      <c r="GJ6523"/>
      <c r="GK6523"/>
      <c r="GL6523"/>
      <c r="GM6523"/>
      <c r="GN6523"/>
      <c r="GO6523"/>
    </row>
    <row r="6524" spans="107:197">
      <c r="DC6524"/>
      <c r="FH6524"/>
      <c r="FI6524"/>
      <c r="FJ6524"/>
      <c r="FK6524"/>
      <c r="FL6524"/>
      <c r="FM6524"/>
      <c r="FN6524"/>
      <c r="FO6524"/>
      <c r="FP6524"/>
      <c r="FQ6524"/>
      <c r="FR6524"/>
      <c r="FS6524"/>
      <c r="FT6524"/>
      <c r="FU6524"/>
      <c r="FV6524"/>
      <c r="FW6524"/>
      <c r="FX6524"/>
      <c r="FY6524"/>
      <c r="FZ6524"/>
      <c r="GA6524"/>
      <c r="GB6524"/>
      <c r="GC6524"/>
      <c r="GD6524"/>
      <c r="GE6524"/>
      <c r="GF6524"/>
      <c r="GG6524"/>
      <c r="GH6524"/>
      <c r="GI6524"/>
      <c r="GJ6524"/>
      <c r="GK6524"/>
      <c r="GL6524"/>
      <c r="GM6524"/>
      <c r="GN6524"/>
      <c r="GO6524"/>
    </row>
    <row r="6525" spans="107:197">
      <c r="DC6525"/>
      <c r="FH6525"/>
      <c r="FI6525"/>
      <c r="FJ6525"/>
      <c r="FK6525"/>
      <c r="FL6525"/>
      <c r="FM6525"/>
      <c r="FN6525"/>
      <c r="FO6525"/>
      <c r="FP6525"/>
      <c r="FQ6525"/>
      <c r="FR6525"/>
      <c r="FS6525"/>
      <c r="FT6525"/>
      <c r="FU6525"/>
      <c r="FV6525"/>
      <c r="FW6525"/>
      <c r="FX6525"/>
      <c r="FY6525"/>
      <c r="FZ6525"/>
      <c r="GA6525"/>
      <c r="GB6525"/>
      <c r="GC6525"/>
      <c r="GD6525"/>
      <c r="GE6525"/>
      <c r="GF6525"/>
      <c r="GG6525"/>
      <c r="GH6525"/>
      <c r="GI6525"/>
      <c r="GJ6525"/>
      <c r="GK6525"/>
      <c r="GL6525"/>
      <c r="GM6525"/>
      <c r="GN6525"/>
      <c r="GO6525"/>
    </row>
    <row r="6526" spans="107:197">
      <c r="DC6526"/>
      <c r="FH6526"/>
      <c r="FI6526"/>
      <c r="FJ6526"/>
      <c r="FK6526"/>
      <c r="FL6526"/>
      <c r="FM6526"/>
      <c r="FN6526"/>
      <c r="FO6526"/>
      <c r="FP6526"/>
      <c r="FQ6526"/>
      <c r="FR6526"/>
      <c r="FS6526"/>
      <c r="FT6526"/>
      <c r="FU6526"/>
      <c r="FV6526"/>
      <c r="FW6526"/>
      <c r="FX6526"/>
      <c r="FY6526"/>
      <c r="FZ6526"/>
      <c r="GA6526"/>
      <c r="GB6526"/>
      <c r="GC6526"/>
      <c r="GD6526"/>
      <c r="GE6526"/>
      <c r="GF6526"/>
      <c r="GG6526"/>
      <c r="GH6526"/>
      <c r="GI6526"/>
      <c r="GJ6526"/>
      <c r="GK6526"/>
      <c r="GL6526"/>
      <c r="GM6526"/>
      <c r="GN6526"/>
      <c r="GO6526"/>
    </row>
    <row r="6527" spans="107:197">
      <c r="DC6527"/>
      <c r="FH6527"/>
      <c r="FI6527"/>
      <c r="FJ6527"/>
      <c r="FK6527"/>
      <c r="FL6527"/>
      <c r="FM6527"/>
      <c r="FN6527"/>
      <c r="FO6527"/>
      <c r="FP6527"/>
      <c r="FQ6527"/>
      <c r="FR6527"/>
      <c r="FS6527"/>
      <c r="FT6527"/>
      <c r="FU6527"/>
      <c r="FV6527"/>
      <c r="FW6527"/>
      <c r="FX6527"/>
      <c r="FY6527"/>
      <c r="FZ6527"/>
      <c r="GA6527"/>
      <c r="GB6527"/>
      <c r="GC6527"/>
      <c r="GD6527"/>
      <c r="GE6527"/>
      <c r="GF6527"/>
      <c r="GG6527"/>
      <c r="GH6527"/>
      <c r="GI6527"/>
      <c r="GJ6527"/>
      <c r="GK6527"/>
      <c r="GL6527"/>
      <c r="GM6527"/>
      <c r="GN6527"/>
      <c r="GO6527"/>
    </row>
    <row r="6528" spans="107:197">
      <c r="DC6528"/>
      <c r="FH6528"/>
      <c r="FI6528"/>
      <c r="FJ6528"/>
      <c r="FK6528"/>
      <c r="FL6528"/>
      <c r="FM6528"/>
      <c r="FN6528"/>
      <c r="FO6528"/>
      <c r="FP6528"/>
      <c r="FQ6528"/>
      <c r="FR6528"/>
      <c r="FS6528"/>
      <c r="FT6528"/>
      <c r="FU6528"/>
      <c r="FV6528"/>
      <c r="FW6528"/>
      <c r="FX6528"/>
      <c r="FY6528"/>
      <c r="FZ6528"/>
      <c r="GA6528"/>
      <c r="GB6528"/>
      <c r="GC6528"/>
      <c r="GD6528"/>
      <c r="GE6528"/>
      <c r="GF6528"/>
      <c r="GG6528"/>
      <c r="GH6528"/>
      <c r="GI6528"/>
      <c r="GJ6528"/>
      <c r="GK6528"/>
      <c r="GL6528"/>
      <c r="GM6528"/>
      <c r="GN6528"/>
      <c r="GO6528"/>
    </row>
    <row r="6529" spans="107:197">
      <c r="DC6529"/>
      <c r="FH6529"/>
      <c r="FI6529"/>
      <c r="FJ6529"/>
      <c r="FK6529"/>
      <c r="FL6529"/>
      <c r="FM6529"/>
      <c r="FN6529"/>
      <c r="FO6529"/>
      <c r="FP6529"/>
      <c r="FQ6529"/>
      <c r="FR6529"/>
      <c r="FS6529"/>
      <c r="FT6529"/>
      <c r="FU6529"/>
      <c r="FV6529"/>
      <c r="FW6529"/>
      <c r="FX6529"/>
      <c r="FY6529"/>
      <c r="FZ6529"/>
      <c r="GA6529"/>
      <c r="GB6529"/>
      <c r="GC6529"/>
      <c r="GD6529"/>
      <c r="GE6529"/>
      <c r="GF6529"/>
      <c r="GG6529"/>
      <c r="GH6529"/>
      <c r="GI6529"/>
      <c r="GJ6529"/>
      <c r="GK6529"/>
      <c r="GL6529"/>
      <c r="GM6529"/>
      <c r="GN6529"/>
      <c r="GO6529"/>
    </row>
    <row r="6530" spans="107:197">
      <c r="DC6530"/>
      <c r="FH6530"/>
      <c r="FI6530"/>
      <c r="FJ6530"/>
      <c r="FK6530"/>
      <c r="FL6530"/>
      <c r="FM6530"/>
      <c r="FN6530"/>
      <c r="FO6530"/>
      <c r="FP6530"/>
      <c r="FQ6530"/>
      <c r="FR6530"/>
      <c r="FS6530"/>
      <c r="FT6530"/>
      <c r="FU6530"/>
      <c r="FV6530"/>
      <c r="FW6530"/>
      <c r="FX6530"/>
      <c r="FY6530"/>
      <c r="FZ6530"/>
      <c r="GA6530"/>
      <c r="GB6530"/>
      <c r="GC6530"/>
      <c r="GD6530"/>
      <c r="GE6530"/>
      <c r="GF6530"/>
      <c r="GG6530"/>
      <c r="GH6530"/>
      <c r="GI6530"/>
      <c r="GJ6530"/>
      <c r="GK6530"/>
      <c r="GL6530"/>
      <c r="GM6530"/>
      <c r="GN6530"/>
      <c r="GO6530"/>
    </row>
    <row r="6531" spans="107:197">
      <c r="DC6531"/>
      <c r="FH6531"/>
      <c r="FI6531"/>
      <c r="FJ6531"/>
      <c r="FK6531"/>
      <c r="FL6531"/>
      <c r="FM6531"/>
      <c r="FN6531"/>
      <c r="FO6531"/>
      <c r="FP6531"/>
      <c r="FQ6531"/>
      <c r="FR6531"/>
      <c r="FS6531"/>
      <c r="FT6531"/>
      <c r="FU6531"/>
      <c r="FV6531"/>
      <c r="FW6531"/>
      <c r="FX6531"/>
      <c r="FY6531"/>
      <c r="FZ6531"/>
      <c r="GA6531"/>
      <c r="GB6531"/>
      <c r="GC6531"/>
      <c r="GD6531"/>
      <c r="GE6531"/>
      <c r="GF6531"/>
      <c r="GG6531"/>
      <c r="GH6531"/>
      <c r="GI6531"/>
      <c r="GJ6531"/>
      <c r="GK6531"/>
      <c r="GL6531"/>
      <c r="GM6531"/>
      <c r="GN6531"/>
      <c r="GO6531"/>
    </row>
    <row r="6532" spans="107:197">
      <c r="DC6532"/>
      <c r="FH6532"/>
      <c r="FI6532"/>
      <c r="FJ6532"/>
      <c r="FK6532"/>
      <c r="FL6532"/>
      <c r="FM6532"/>
      <c r="FN6532"/>
      <c r="FO6532"/>
      <c r="FP6532"/>
      <c r="FQ6532"/>
      <c r="FR6532"/>
      <c r="FS6532"/>
      <c r="FT6532"/>
      <c r="FU6532"/>
      <c r="FV6532"/>
      <c r="FW6532"/>
      <c r="FX6532"/>
      <c r="FY6532"/>
      <c r="FZ6532"/>
      <c r="GA6532"/>
      <c r="GB6532"/>
      <c r="GC6532"/>
      <c r="GD6532"/>
      <c r="GE6532"/>
      <c r="GF6532"/>
      <c r="GG6532"/>
      <c r="GH6532"/>
      <c r="GI6532"/>
      <c r="GJ6532"/>
      <c r="GK6532"/>
      <c r="GL6532"/>
      <c r="GM6532"/>
      <c r="GN6532"/>
      <c r="GO6532"/>
    </row>
    <row r="6533" spans="107:197">
      <c r="DC6533"/>
      <c r="FH6533"/>
      <c r="FI6533"/>
      <c r="FJ6533"/>
      <c r="FK6533"/>
      <c r="FL6533"/>
      <c r="FM6533"/>
      <c r="FN6533"/>
      <c r="FO6533"/>
      <c r="FP6533"/>
      <c r="FQ6533"/>
      <c r="FR6533"/>
      <c r="FS6533"/>
      <c r="FT6533"/>
      <c r="FU6533"/>
      <c r="FV6533"/>
      <c r="FW6533"/>
      <c r="FX6533"/>
      <c r="FY6533"/>
      <c r="FZ6533"/>
      <c r="GA6533"/>
      <c r="GB6533"/>
      <c r="GC6533"/>
      <c r="GD6533"/>
      <c r="GE6533"/>
      <c r="GF6533"/>
      <c r="GG6533"/>
      <c r="GH6533"/>
      <c r="GI6533"/>
      <c r="GJ6533"/>
      <c r="GK6533"/>
      <c r="GL6533"/>
      <c r="GM6533"/>
      <c r="GN6533"/>
      <c r="GO6533"/>
    </row>
    <row r="6534" spans="107:197">
      <c r="DC6534"/>
      <c r="FH6534"/>
      <c r="FI6534"/>
      <c r="FJ6534"/>
      <c r="FK6534"/>
      <c r="FL6534"/>
      <c r="FM6534"/>
      <c r="FN6534"/>
      <c r="FO6534"/>
      <c r="FP6534"/>
      <c r="FQ6534"/>
      <c r="FR6534"/>
      <c r="FS6534"/>
      <c r="FT6534"/>
      <c r="FU6534"/>
      <c r="FV6534"/>
      <c r="FW6534"/>
      <c r="FX6534"/>
      <c r="FY6534"/>
      <c r="FZ6534"/>
      <c r="GA6534"/>
      <c r="GB6534"/>
      <c r="GC6534"/>
      <c r="GD6534"/>
      <c r="GE6534"/>
      <c r="GF6534"/>
      <c r="GG6534"/>
      <c r="GH6534"/>
      <c r="GI6534"/>
      <c r="GJ6534"/>
      <c r="GK6534"/>
      <c r="GL6534"/>
      <c r="GM6534"/>
      <c r="GN6534"/>
      <c r="GO6534"/>
    </row>
    <row r="6535" spans="107:197">
      <c r="DC6535"/>
      <c r="FH6535"/>
      <c r="FI6535"/>
      <c r="FJ6535"/>
      <c r="FK6535"/>
      <c r="FL6535"/>
      <c r="FM6535"/>
      <c r="FN6535"/>
      <c r="FO6535"/>
      <c r="FP6535"/>
      <c r="FQ6535"/>
      <c r="FR6535"/>
      <c r="FS6535"/>
      <c r="FT6535"/>
      <c r="FU6535"/>
      <c r="FV6535"/>
      <c r="FW6535"/>
      <c r="FX6535"/>
      <c r="FY6535"/>
      <c r="FZ6535"/>
      <c r="GA6535"/>
      <c r="GB6535"/>
      <c r="GC6535"/>
      <c r="GD6535"/>
      <c r="GE6535"/>
      <c r="GF6535"/>
      <c r="GG6535"/>
      <c r="GH6535"/>
      <c r="GI6535"/>
      <c r="GJ6535"/>
      <c r="GK6535"/>
      <c r="GL6535"/>
      <c r="GM6535"/>
      <c r="GN6535"/>
      <c r="GO6535"/>
    </row>
    <row r="6536" spans="107:197">
      <c r="DC6536"/>
      <c r="FH6536"/>
      <c r="FI6536"/>
      <c r="FJ6536"/>
      <c r="FK6536"/>
      <c r="FL6536"/>
      <c r="FM6536"/>
      <c r="FN6536"/>
      <c r="FO6536"/>
      <c r="FP6536"/>
      <c r="FQ6536"/>
      <c r="FR6536"/>
      <c r="FS6536"/>
      <c r="FT6536"/>
      <c r="FU6536"/>
      <c r="FV6536"/>
      <c r="FW6536"/>
      <c r="FX6536"/>
      <c r="FY6536"/>
      <c r="FZ6536"/>
      <c r="GA6536"/>
      <c r="GB6536"/>
      <c r="GC6536"/>
      <c r="GD6536"/>
      <c r="GE6536"/>
      <c r="GF6536"/>
      <c r="GG6536"/>
      <c r="GH6536"/>
      <c r="GI6536"/>
      <c r="GJ6536"/>
      <c r="GK6536"/>
      <c r="GL6536"/>
      <c r="GM6536"/>
      <c r="GN6536"/>
      <c r="GO6536"/>
    </row>
    <row r="6537" spans="107:197">
      <c r="DC6537"/>
      <c r="FH6537"/>
      <c r="FI6537"/>
      <c r="FJ6537"/>
      <c r="FK6537"/>
      <c r="FL6537"/>
      <c r="FM6537"/>
      <c r="FN6537"/>
      <c r="FO6537"/>
      <c r="FP6537"/>
      <c r="FQ6537"/>
      <c r="FR6537"/>
      <c r="FS6537"/>
      <c r="FT6537"/>
      <c r="FU6537"/>
      <c r="FV6537"/>
      <c r="FW6537"/>
      <c r="FX6537"/>
      <c r="FY6537"/>
      <c r="FZ6537"/>
      <c r="GA6537"/>
      <c r="GB6537"/>
      <c r="GC6537"/>
      <c r="GD6537"/>
      <c r="GE6537"/>
      <c r="GF6537"/>
      <c r="GG6537"/>
      <c r="GH6537"/>
      <c r="GI6537"/>
      <c r="GJ6537"/>
      <c r="GK6537"/>
      <c r="GL6537"/>
      <c r="GM6537"/>
      <c r="GN6537"/>
      <c r="GO6537"/>
    </row>
    <row r="6538" spans="107:197">
      <c r="DC6538"/>
      <c r="FH6538"/>
      <c r="FI6538"/>
      <c r="FJ6538"/>
      <c r="FK6538"/>
      <c r="FL6538"/>
      <c r="FM6538"/>
      <c r="FN6538"/>
      <c r="FO6538"/>
      <c r="FP6538"/>
      <c r="FQ6538"/>
      <c r="FR6538"/>
      <c r="FS6538"/>
      <c r="FT6538"/>
      <c r="FU6538"/>
      <c r="FV6538"/>
      <c r="FW6538"/>
      <c r="FX6538"/>
      <c r="FY6538"/>
      <c r="FZ6538"/>
      <c r="GA6538"/>
      <c r="GB6538"/>
      <c r="GC6538"/>
      <c r="GD6538"/>
      <c r="GE6538"/>
      <c r="GF6538"/>
      <c r="GG6538"/>
      <c r="GH6538"/>
      <c r="GI6538"/>
      <c r="GJ6538"/>
      <c r="GK6538"/>
      <c r="GL6538"/>
      <c r="GM6538"/>
      <c r="GN6538"/>
      <c r="GO6538"/>
    </row>
    <row r="6539" spans="107:197">
      <c r="DC6539"/>
      <c r="FH6539"/>
      <c r="FI6539"/>
      <c r="FJ6539"/>
      <c r="FK6539"/>
      <c r="FL6539"/>
      <c r="FM6539"/>
      <c r="FN6539"/>
      <c r="FO6539"/>
      <c r="FP6539"/>
      <c r="FQ6539"/>
      <c r="FR6539"/>
      <c r="FS6539"/>
      <c r="FT6539"/>
      <c r="FU6539"/>
      <c r="FV6539"/>
      <c r="FW6539"/>
      <c r="FX6539"/>
      <c r="FY6539"/>
      <c r="FZ6539"/>
      <c r="GA6539"/>
      <c r="GB6539"/>
      <c r="GC6539"/>
      <c r="GD6539"/>
      <c r="GE6539"/>
      <c r="GF6539"/>
      <c r="GG6539"/>
      <c r="GH6539"/>
      <c r="GI6539"/>
      <c r="GJ6539"/>
      <c r="GK6539"/>
      <c r="GL6539"/>
      <c r="GM6539"/>
      <c r="GN6539"/>
      <c r="GO6539"/>
    </row>
    <row r="6540" spans="107:197">
      <c r="DC6540"/>
      <c r="FH6540"/>
      <c r="FI6540"/>
      <c r="FJ6540"/>
      <c r="FK6540"/>
      <c r="FL6540"/>
      <c r="FM6540"/>
      <c r="FN6540"/>
      <c r="FO6540"/>
      <c r="FP6540"/>
      <c r="FQ6540"/>
      <c r="FR6540"/>
      <c r="FS6540"/>
      <c r="FT6540"/>
      <c r="FU6540"/>
      <c r="FV6540"/>
      <c r="FW6540"/>
      <c r="FX6540"/>
      <c r="FY6540"/>
      <c r="FZ6540"/>
      <c r="GA6540"/>
      <c r="GB6540"/>
      <c r="GC6540"/>
      <c r="GD6540"/>
      <c r="GE6540"/>
      <c r="GF6540"/>
      <c r="GG6540"/>
      <c r="GH6540"/>
      <c r="GI6540"/>
      <c r="GJ6540"/>
      <c r="GK6540"/>
      <c r="GL6540"/>
      <c r="GM6540"/>
      <c r="GN6540"/>
      <c r="GO6540"/>
    </row>
    <row r="6541" spans="107:197">
      <c r="DC6541"/>
      <c r="FH6541"/>
      <c r="FI6541"/>
      <c r="FJ6541"/>
      <c r="FK6541"/>
      <c r="FL6541"/>
      <c r="FM6541"/>
      <c r="FN6541"/>
      <c r="FO6541"/>
      <c r="FP6541"/>
      <c r="FQ6541"/>
      <c r="FR6541"/>
      <c r="FS6541"/>
      <c r="FT6541"/>
      <c r="FU6541"/>
      <c r="FV6541"/>
      <c r="FW6541"/>
      <c r="FX6541"/>
      <c r="FY6541"/>
      <c r="FZ6541"/>
      <c r="GA6541"/>
      <c r="GB6541"/>
      <c r="GC6541"/>
      <c r="GD6541"/>
      <c r="GE6541"/>
      <c r="GF6541"/>
      <c r="GG6541"/>
      <c r="GH6541"/>
      <c r="GI6541"/>
      <c r="GJ6541"/>
      <c r="GK6541"/>
      <c r="GL6541"/>
      <c r="GM6541"/>
      <c r="GN6541"/>
      <c r="GO6541"/>
    </row>
    <row r="6542" spans="107:197">
      <c r="DC6542"/>
      <c r="FH6542"/>
      <c r="FI6542"/>
      <c r="FJ6542"/>
      <c r="FK6542"/>
      <c r="FL6542"/>
      <c r="FM6542"/>
      <c r="FN6542"/>
      <c r="FO6542"/>
      <c r="FP6542"/>
      <c r="FQ6542"/>
      <c r="FR6542"/>
      <c r="FS6542"/>
      <c r="FT6542"/>
      <c r="FU6542"/>
      <c r="FV6542"/>
      <c r="FW6542"/>
      <c r="FX6542"/>
      <c r="FY6542"/>
      <c r="FZ6542"/>
      <c r="GA6542"/>
      <c r="GB6542"/>
      <c r="GC6542"/>
      <c r="GD6542"/>
      <c r="GE6542"/>
      <c r="GF6542"/>
      <c r="GG6542"/>
      <c r="GH6542"/>
      <c r="GI6542"/>
      <c r="GJ6542"/>
      <c r="GK6542"/>
      <c r="GL6542"/>
      <c r="GM6542"/>
      <c r="GN6542"/>
      <c r="GO6542"/>
    </row>
    <row r="6543" spans="107:197">
      <c r="DC6543"/>
      <c r="FH6543"/>
      <c r="FI6543"/>
      <c r="FJ6543"/>
      <c r="FK6543"/>
      <c r="FL6543"/>
      <c r="FM6543"/>
      <c r="FN6543"/>
      <c r="FO6543"/>
      <c r="FP6543"/>
      <c r="FQ6543"/>
      <c r="FR6543"/>
      <c r="FS6543"/>
      <c r="FT6543"/>
      <c r="FU6543"/>
      <c r="FV6543"/>
      <c r="FW6543"/>
      <c r="FX6543"/>
      <c r="FY6543"/>
      <c r="FZ6543"/>
      <c r="GA6543"/>
      <c r="GB6543"/>
      <c r="GC6543"/>
      <c r="GD6543"/>
      <c r="GE6543"/>
      <c r="GF6543"/>
      <c r="GG6543"/>
      <c r="GH6543"/>
      <c r="GI6543"/>
      <c r="GJ6543"/>
      <c r="GK6543"/>
      <c r="GL6543"/>
      <c r="GM6543"/>
      <c r="GN6543"/>
      <c r="GO6543"/>
    </row>
    <row r="6544" spans="107:197">
      <c r="DC6544"/>
      <c r="FH6544"/>
      <c r="FI6544"/>
      <c r="FJ6544"/>
      <c r="FK6544"/>
      <c r="FL6544"/>
      <c r="FM6544"/>
      <c r="FN6544"/>
      <c r="FO6544"/>
      <c r="FP6544"/>
      <c r="FQ6544"/>
      <c r="FR6544"/>
      <c r="FS6544"/>
      <c r="FT6544"/>
      <c r="FU6544"/>
      <c r="FV6544"/>
      <c r="FW6544"/>
      <c r="FX6544"/>
      <c r="FY6544"/>
      <c r="FZ6544"/>
      <c r="GA6544"/>
      <c r="GB6544"/>
      <c r="GC6544"/>
      <c r="GD6544"/>
      <c r="GE6544"/>
      <c r="GF6544"/>
      <c r="GG6544"/>
      <c r="GH6544"/>
      <c r="GI6544"/>
      <c r="GJ6544"/>
      <c r="GK6544"/>
      <c r="GL6544"/>
      <c r="GM6544"/>
      <c r="GN6544"/>
      <c r="GO6544"/>
    </row>
    <row r="6545" spans="107:197">
      <c r="DC6545"/>
      <c r="FH6545"/>
      <c r="FI6545"/>
      <c r="FJ6545"/>
      <c r="FK6545"/>
      <c r="FL6545"/>
      <c r="FM6545"/>
      <c r="FN6545"/>
      <c r="FO6545"/>
      <c r="FP6545"/>
      <c r="FQ6545"/>
      <c r="FR6545"/>
      <c r="FS6545"/>
      <c r="FT6545"/>
      <c r="FU6545"/>
      <c r="FV6545"/>
      <c r="FW6545"/>
      <c r="FX6545"/>
      <c r="FY6545"/>
      <c r="FZ6545"/>
      <c r="GA6545"/>
      <c r="GB6545"/>
      <c r="GC6545"/>
      <c r="GD6545"/>
      <c r="GE6545"/>
      <c r="GF6545"/>
      <c r="GG6545"/>
      <c r="GH6545"/>
      <c r="GI6545"/>
      <c r="GJ6545"/>
      <c r="GK6545"/>
      <c r="GL6545"/>
      <c r="GM6545"/>
      <c r="GN6545"/>
      <c r="GO6545"/>
    </row>
    <row r="6546" spans="107:197">
      <c r="DC6546"/>
      <c r="FH6546"/>
      <c r="FI6546"/>
      <c r="FJ6546"/>
      <c r="FK6546"/>
      <c r="FL6546"/>
      <c r="FM6546"/>
      <c r="FN6546"/>
      <c r="FO6546"/>
      <c r="FP6546"/>
      <c r="FQ6546"/>
      <c r="FR6546"/>
      <c r="FS6546"/>
      <c r="FT6546"/>
      <c r="FU6546"/>
      <c r="FV6546"/>
      <c r="FW6546"/>
      <c r="FX6546"/>
      <c r="FY6546"/>
      <c r="FZ6546"/>
      <c r="GA6546"/>
      <c r="GB6546"/>
      <c r="GC6546"/>
      <c r="GD6546"/>
      <c r="GE6546"/>
      <c r="GF6546"/>
      <c r="GG6546"/>
      <c r="GH6546"/>
      <c r="GI6546"/>
      <c r="GJ6546"/>
      <c r="GK6546"/>
      <c r="GL6546"/>
      <c r="GM6546"/>
      <c r="GN6546"/>
      <c r="GO6546"/>
    </row>
    <row r="6547" spans="107:197">
      <c r="DC6547"/>
      <c r="FH6547"/>
      <c r="FI6547"/>
      <c r="FJ6547"/>
      <c r="FK6547"/>
      <c r="FL6547"/>
      <c r="FM6547"/>
      <c r="FN6547"/>
      <c r="FO6547"/>
      <c r="FP6547"/>
      <c r="FQ6547"/>
      <c r="FR6547"/>
      <c r="FS6547"/>
      <c r="FT6547"/>
      <c r="FU6547"/>
      <c r="FV6547"/>
      <c r="FW6547"/>
      <c r="FX6547"/>
      <c r="FY6547"/>
      <c r="FZ6547"/>
      <c r="GA6547"/>
      <c r="GB6547"/>
      <c r="GC6547"/>
      <c r="GD6547"/>
      <c r="GE6547"/>
      <c r="GF6547"/>
      <c r="GG6547"/>
      <c r="GH6547"/>
      <c r="GI6547"/>
      <c r="GJ6547"/>
      <c r="GK6547"/>
      <c r="GL6547"/>
      <c r="GM6547"/>
      <c r="GN6547"/>
      <c r="GO6547"/>
    </row>
    <row r="6548" spans="107:197">
      <c r="DC6548"/>
      <c r="FH6548"/>
      <c r="FI6548"/>
      <c r="FJ6548"/>
      <c r="FK6548"/>
      <c r="FL6548"/>
      <c r="FM6548"/>
      <c r="FN6548"/>
      <c r="FO6548"/>
      <c r="FP6548"/>
      <c r="FQ6548"/>
      <c r="FR6548"/>
      <c r="FS6548"/>
      <c r="FT6548"/>
      <c r="FU6548"/>
      <c r="FV6548"/>
      <c r="FW6548"/>
      <c r="FX6548"/>
      <c r="FY6548"/>
      <c r="FZ6548"/>
      <c r="GA6548"/>
      <c r="GB6548"/>
      <c r="GC6548"/>
      <c r="GD6548"/>
      <c r="GE6548"/>
      <c r="GF6548"/>
      <c r="GG6548"/>
      <c r="GH6548"/>
      <c r="GI6548"/>
      <c r="GJ6548"/>
      <c r="GK6548"/>
      <c r="GL6548"/>
      <c r="GM6548"/>
      <c r="GN6548"/>
      <c r="GO6548"/>
    </row>
    <row r="6549" spans="107:197">
      <c r="DC6549"/>
      <c r="FH6549"/>
      <c r="FI6549"/>
      <c r="FJ6549"/>
      <c r="FK6549"/>
      <c r="FL6549"/>
      <c r="FM6549"/>
      <c r="FN6549"/>
      <c r="FO6549"/>
      <c r="FP6549"/>
      <c r="FQ6549"/>
      <c r="FR6549"/>
      <c r="FS6549"/>
      <c r="FT6549"/>
      <c r="FU6549"/>
      <c r="FV6549"/>
      <c r="FW6549"/>
      <c r="FX6549"/>
      <c r="FY6549"/>
      <c r="FZ6549"/>
      <c r="GA6549"/>
      <c r="GB6549"/>
      <c r="GC6549"/>
      <c r="GD6549"/>
      <c r="GE6549"/>
      <c r="GF6549"/>
      <c r="GG6549"/>
      <c r="GH6549"/>
      <c r="GI6549"/>
      <c r="GJ6549"/>
      <c r="GK6549"/>
      <c r="GL6549"/>
      <c r="GM6549"/>
      <c r="GN6549"/>
      <c r="GO6549"/>
    </row>
    <row r="6550" spans="107:197">
      <c r="DC6550"/>
      <c r="FH6550"/>
      <c r="FI6550"/>
      <c r="FJ6550"/>
      <c r="FK6550"/>
      <c r="FL6550"/>
      <c r="FM6550"/>
      <c r="FN6550"/>
      <c r="FO6550"/>
      <c r="FP6550"/>
      <c r="FQ6550"/>
      <c r="FR6550"/>
      <c r="FS6550"/>
      <c r="FT6550"/>
      <c r="FU6550"/>
      <c r="FV6550"/>
      <c r="FW6550"/>
      <c r="FX6550"/>
      <c r="FY6550"/>
      <c r="FZ6550"/>
      <c r="GA6550"/>
      <c r="GB6550"/>
      <c r="GC6550"/>
      <c r="GD6550"/>
      <c r="GE6550"/>
      <c r="GF6550"/>
      <c r="GG6550"/>
      <c r="GH6550"/>
      <c r="GI6550"/>
      <c r="GJ6550"/>
      <c r="GK6550"/>
      <c r="GL6550"/>
      <c r="GM6550"/>
      <c r="GN6550"/>
      <c r="GO6550"/>
    </row>
    <row r="6551" spans="107:197">
      <c r="DC6551"/>
      <c r="FH6551"/>
      <c r="FI6551"/>
      <c r="FJ6551"/>
      <c r="FK6551"/>
      <c r="FL6551"/>
      <c r="FM6551"/>
      <c r="FN6551"/>
      <c r="FO6551"/>
      <c r="FP6551"/>
      <c r="FQ6551"/>
      <c r="FR6551"/>
      <c r="FS6551"/>
      <c r="FT6551"/>
      <c r="FU6551"/>
      <c r="FV6551"/>
      <c r="FW6551"/>
      <c r="FX6551"/>
      <c r="FY6551"/>
      <c r="FZ6551"/>
      <c r="GA6551"/>
      <c r="GB6551"/>
      <c r="GC6551"/>
      <c r="GD6551"/>
      <c r="GE6551"/>
      <c r="GF6551"/>
      <c r="GG6551"/>
      <c r="GH6551"/>
      <c r="GI6551"/>
      <c r="GJ6551"/>
      <c r="GK6551"/>
      <c r="GL6551"/>
      <c r="GM6551"/>
      <c r="GN6551"/>
      <c r="GO6551"/>
    </row>
    <row r="6552" spans="107:197">
      <c r="DC6552"/>
      <c r="FH6552"/>
      <c r="FI6552"/>
      <c r="FJ6552"/>
      <c r="FK6552"/>
      <c r="FL6552"/>
      <c r="FM6552"/>
      <c r="FN6552"/>
      <c r="FO6552"/>
      <c r="FP6552"/>
      <c r="FQ6552"/>
      <c r="FR6552"/>
      <c r="FS6552"/>
      <c r="FT6552"/>
      <c r="FU6552"/>
      <c r="FV6552"/>
      <c r="FW6552"/>
      <c r="FX6552"/>
      <c r="FY6552"/>
      <c r="FZ6552"/>
      <c r="GA6552"/>
      <c r="GB6552"/>
      <c r="GC6552"/>
      <c r="GD6552"/>
      <c r="GE6552"/>
      <c r="GF6552"/>
      <c r="GG6552"/>
      <c r="GH6552"/>
      <c r="GI6552"/>
      <c r="GJ6552"/>
      <c r="GK6552"/>
      <c r="GL6552"/>
      <c r="GM6552"/>
      <c r="GN6552"/>
      <c r="GO6552"/>
    </row>
    <row r="6553" spans="107:197">
      <c r="DC6553"/>
      <c r="FH6553"/>
      <c r="FI6553"/>
      <c r="FJ6553"/>
      <c r="FK6553"/>
      <c r="FL6553"/>
      <c r="FM6553"/>
      <c r="FN6553"/>
      <c r="FO6553"/>
      <c r="FP6553"/>
      <c r="FQ6553"/>
      <c r="FR6553"/>
      <c r="FS6553"/>
      <c r="FT6553"/>
      <c r="FU6553"/>
      <c r="FV6553"/>
      <c r="FW6553"/>
      <c r="FX6553"/>
      <c r="FY6553"/>
      <c r="FZ6553"/>
      <c r="GA6553"/>
      <c r="GB6553"/>
      <c r="GC6553"/>
      <c r="GD6553"/>
      <c r="GE6553"/>
      <c r="GF6553"/>
      <c r="GG6553"/>
      <c r="GH6553"/>
      <c r="GI6553"/>
      <c r="GJ6553"/>
      <c r="GK6553"/>
      <c r="GL6553"/>
      <c r="GM6553"/>
      <c r="GN6553"/>
      <c r="GO6553"/>
    </row>
    <row r="6554" spans="107:197">
      <c r="DC6554"/>
      <c r="FH6554"/>
      <c r="FI6554"/>
      <c r="FJ6554"/>
      <c r="FK6554"/>
      <c r="FL6554"/>
      <c r="FM6554"/>
      <c r="FN6554"/>
      <c r="FO6554"/>
      <c r="FP6554"/>
      <c r="FQ6554"/>
      <c r="FR6554"/>
      <c r="FS6554"/>
      <c r="FT6554"/>
      <c r="FU6554"/>
      <c r="FV6554"/>
      <c r="FW6554"/>
      <c r="FX6554"/>
      <c r="FY6554"/>
      <c r="FZ6554"/>
      <c r="GA6554"/>
      <c r="GB6554"/>
      <c r="GC6554"/>
      <c r="GD6554"/>
      <c r="GE6554"/>
      <c r="GF6554"/>
      <c r="GG6554"/>
      <c r="GH6554"/>
      <c r="GI6554"/>
      <c r="GJ6554"/>
      <c r="GK6554"/>
      <c r="GL6554"/>
      <c r="GM6554"/>
      <c r="GN6554"/>
      <c r="GO6554"/>
    </row>
    <row r="6555" spans="107:197">
      <c r="DC6555"/>
      <c r="FH6555"/>
      <c r="FI6555"/>
      <c r="FJ6555"/>
      <c r="FK6555"/>
      <c r="FL6555"/>
      <c r="FM6555"/>
      <c r="FN6555"/>
      <c r="FO6555"/>
      <c r="FP6555"/>
      <c r="FQ6555"/>
      <c r="FR6555"/>
      <c r="FS6555"/>
      <c r="FT6555"/>
      <c r="FU6555"/>
      <c r="FV6555"/>
      <c r="FW6555"/>
      <c r="FX6555"/>
      <c r="FY6555"/>
      <c r="FZ6555"/>
      <c r="GA6555"/>
      <c r="GB6555"/>
      <c r="GC6555"/>
      <c r="GD6555"/>
      <c r="GE6555"/>
      <c r="GF6555"/>
      <c r="GG6555"/>
      <c r="GH6555"/>
      <c r="GI6555"/>
      <c r="GJ6555"/>
      <c r="GK6555"/>
      <c r="GL6555"/>
      <c r="GM6555"/>
      <c r="GN6555"/>
      <c r="GO6555"/>
    </row>
    <row r="6556" spans="107:197">
      <c r="DC6556"/>
      <c r="FH6556"/>
      <c r="FI6556"/>
      <c r="FJ6556"/>
      <c r="FK6556"/>
      <c r="FL6556"/>
      <c r="FM6556"/>
      <c r="FN6556"/>
      <c r="FO6556"/>
      <c r="FP6556"/>
      <c r="FQ6556"/>
      <c r="FR6556"/>
      <c r="FS6556"/>
      <c r="FT6556"/>
      <c r="FU6556"/>
      <c r="FV6556"/>
      <c r="FW6556"/>
      <c r="FX6556"/>
      <c r="FY6556"/>
      <c r="FZ6556"/>
      <c r="GA6556"/>
      <c r="GB6556"/>
      <c r="GC6556"/>
      <c r="GD6556"/>
      <c r="GE6556"/>
      <c r="GF6556"/>
      <c r="GG6556"/>
      <c r="GH6556"/>
      <c r="GI6556"/>
      <c r="GJ6556"/>
      <c r="GK6556"/>
      <c r="GL6556"/>
      <c r="GM6556"/>
      <c r="GN6556"/>
      <c r="GO6556"/>
    </row>
    <row r="6557" spans="107:197">
      <c r="DC6557"/>
      <c r="FH6557"/>
      <c r="FI6557"/>
      <c r="FJ6557"/>
      <c r="FK6557"/>
      <c r="FL6557"/>
      <c r="FM6557"/>
      <c r="FN6557"/>
      <c r="FO6557"/>
      <c r="FP6557"/>
      <c r="FQ6557"/>
      <c r="FR6557"/>
      <c r="FS6557"/>
      <c r="FT6557"/>
      <c r="FU6557"/>
      <c r="FV6557"/>
      <c r="FW6557"/>
      <c r="FX6557"/>
      <c r="FY6557"/>
      <c r="FZ6557"/>
      <c r="GA6557"/>
      <c r="GB6557"/>
      <c r="GC6557"/>
      <c r="GD6557"/>
      <c r="GE6557"/>
      <c r="GF6557"/>
      <c r="GG6557"/>
      <c r="GH6557"/>
      <c r="GI6557"/>
      <c r="GJ6557"/>
      <c r="GK6557"/>
      <c r="GL6557"/>
      <c r="GM6557"/>
      <c r="GN6557"/>
      <c r="GO6557"/>
    </row>
    <row r="6558" spans="107:197">
      <c r="DC6558"/>
      <c r="FH6558"/>
      <c r="FI6558"/>
      <c r="FJ6558"/>
      <c r="FK6558"/>
      <c r="FL6558"/>
      <c r="FM6558"/>
      <c r="FN6558"/>
      <c r="FO6558"/>
      <c r="FP6558"/>
      <c r="FQ6558"/>
      <c r="FR6558"/>
      <c r="FS6558"/>
      <c r="FT6558"/>
      <c r="FU6558"/>
      <c r="FV6558"/>
      <c r="FW6558"/>
      <c r="FX6558"/>
      <c r="FY6558"/>
      <c r="FZ6558"/>
      <c r="GA6558"/>
      <c r="GB6558"/>
      <c r="GC6558"/>
      <c r="GD6558"/>
      <c r="GE6558"/>
      <c r="GF6558"/>
      <c r="GG6558"/>
      <c r="GH6558"/>
      <c r="GI6558"/>
      <c r="GJ6558"/>
      <c r="GK6558"/>
      <c r="GL6558"/>
      <c r="GM6558"/>
      <c r="GN6558"/>
      <c r="GO6558"/>
    </row>
    <row r="6559" spans="107:197">
      <c r="DC6559"/>
      <c r="FH6559"/>
      <c r="FI6559"/>
      <c r="FJ6559"/>
      <c r="FK6559"/>
      <c r="FL6559"/>
      <c r="FM6559"/>
      <c r="FN6559"/>
      <c r="FO6559"/>
      <c r="FP6559"/>
      <c r="FQ6559"/>
      <c r="FR6559"/>
      <c r="FS6559"/>
      <c r="FT6559"/>
      <c r="FU6559"/>
      <c r="FV6559"/>
      <c r="FW6559"/>
      <c r="FX6559"/>
      <c r="FY6559"/>
      <c r="FZ6559"/>
      <c r="GA6559"/>
      <c r="GB6559"/>
      <c r="GC6559"/>
      <c r="GD6559"/>
      <c r="GE6559"/>
      <c r="GF6559"/>
      <c r="GG6559"/>
      <c r="GH6559"/>
      <c r="GI6559"/>
      <c r="GJ6559"/>
      <c r="GK6559"/>
      <c r="GL6559"/>
      <c r="GM6559"/>
      <c r="GN6559"/>
      <c r="GO6559"/>
    </row>
    <row r="6560" spans="107:197">
      <c r="DC6560"/>
      <c r="FH6560"/>
      <c r="FI6560"/>
      <c r="FJ6560"/>
      <c r="FK6560"/>
      <c r="FL6560"/>
      <c r="FM6560"/>
      <c r="FN6560"/>
      <c r="FO6560"/>
      <c r="FP6560"/>
      <c r="FQ6560"/>
      <c r="FR6560"/>
      <c r="FS6560"/>
      <c r="FT6560"/>
      <c r="FU6560"/>
      <c r="FV6560"/>
      <c r="FW6560"/>
      <c r="FX6560"/>
      <c r="FY6560"/>
      <c r="FZ6560"/>
      <c r="GA6560"/>
      <c r="GB6560"/>
      <c r="GC6560"/>
      <c r="GD6560"/>
      <c r="GE6560"/>
      <c r="GF6560"/>
      <c r="GG6560"/>
      <c r="GH6560"/>
      <c r="GI6560"/>
      <c r="GJ6560"/>
      <c r="GK6560"/>
      <c r="GL6560"/>
      <c r="GM6560"/>
      <c r="GN6560"/>
      <c r="GO6560"/>
    </row>
    <row r="6561" spans="107:197">
      <c r="DC6561"/>
      <c r="FH6561"/>
      <c r="FI6561"/>
      <c r="FJ6561"/>
      <c r="FK6561"/>
      <c r="FL6561"/>
      <c r="FM6561"/>
      <c r="FN6561"/>
      <c r="FO6561"/>
      <c r="FP6561"/>
      <c r="FQ6561"/>
      <c r="FR6561"/>
      <c r="FS6561"/>
      <c r="FT6561"/>
      <c r="FU6561"/>
      <c r="FV6561"/>
      <c r="FW6561"/>
      <c r="FX6561"/>
      <c r="FY6561"/>
      <c r="FZ6561"/>
      <c r="GA6561"/>
      <c r="GB6561"/>
      <c r="GC6561"/>
      <c r="GD6561"/>
      <c r="GE6561"/>
      <c r="GF6561"/>
      <c r="GG6561"/>
      <c r="GH6561"/>
      <c r="GI6561"/>
      <c r="GJ6561"/>
      <c r="GK6561"/>
      <c r="GL6561"/>
      <c r="GM6561"/>
      <c r="GN6561"/>
      <c r="GO6561"/>
    </row>
    <row r="6562" spans="107:197">
      <c r="DC6562"/>
      <c r="FH6562"/>
      <c r="FI6562"/>
      <c r="FJ6562"/>
      <c r="FK6562"/>
      <c r="FL6562"/>
      <c r="FM6562"/>
      <c r="FN6562"/>
      <c r="FO6562"/>
      <c r="FP6562"/>
      <c r="FQ6562"/>
      <c r="FR6562"/>
      <c r="FS6562"/>
      <c r="FT6562"/>
      <c r="FU6562"/>
      <c r="FV6562"/>
      <c r="FW6562"/>
      <c r="FX6562"/>
      <c r="FY6562"/>
      <c r="FZ6562"/>
      <c r="GA6562"/>
      <c r="GB6562"/>
      <c r="GC6562"/>
      <c r="GD6562"/>
      <c r="GE6562"/>
      <c r="GF6562"/>
      <c r="GG6562"/>
      <c r="GH6562"/>
      <c r="GI6562"/>
      <c r="GJ6562"/>
      <c r="GK6562"/>
      <c r="GL6562"/>
      <c r="GM6562"/>
      <c r="GN6562"/>
      <c r="GO6562"/>
    </row>
    <row r="6563" spans="107:197">
      <c r="DC6563"/>
      <c r="FH6563"/>
      <c r="FI6563"/>
      <c r="FJ6563"/>
      <c r="FK6563"/>
      <c r="FL6563"/>
      <c r="FM6563"/>
      <c r="FN6563"/>
      <c r="FO6563"/>
      <c r="FP6563"/>
      <c r="FQ6563"/>
      <c r="FR6563"/>
      <c r="FS6563"/>
      <c r="FT6563"/>
      <c r="FU6563"/>
      <c r="FV6563"/>
      <c r="FW6563"/>
      <c r="FX6563"/>
      <c r="FY6563"/>
      <c r="FZ6563"/>
      <c r="GA6563"/>
      <c r="GB6563"/>
      <c r="GC6563"/>
      <c r="GD6563"/>
      <c r="GE6563"/>
      <c r="GF6563"/>
      <c r="GG6563"/>
      <c r="GH6563"/>
      <c r="GI6563"/>
      <c r="GJ6563"/>
      <c r="GK6563"/>
      <c r="GL6563"/>
      <c r="GM6563"/>
      <c r="GN6563"/>
      <c r="GO6563"/>
    </row>
    <row r="6564" spans="107:197">
      <c r="DC6564"/>
      <c r="FH6564"/>
      <c r="FI6564"/>
      <c r="FJ6564"/>
      <c r="FK6564"/>
      <c r="FL6564"/>
      <c r="FM6564"/>
      <c r="FN6564"/>
      <c r="FO6564"/>
      <c r="FP6564"/>
      <c r="FQ6564"/>
      <c r="FR6564"/>
      <c r="FS6564"/>
      <c r="FT6564"/>
      <c r="FU6564"/>
      <c r="FV6564"/>
      <c r="FW6564"/>
      <c r="FX6564"/>
      <c r="FY6564"/>
      <c r="FZ6564"/>
      <c r="GA6564"/>
      <c r="GB6564"/>
      <c r="GC6564"/>
      <c r="GD6564"/>
      <c r="GE6564"/>
      <c r="GF6564"/>
      <c r="GG6564"/>
      <c r="GH6564"/>
      <c r="GI6564"/>
      <c r="GJ6564"/>
      <c r="GK6564"/>
      <c r="GL6564"/>
      <c r="GM6564"/>
      <c r="GN6564"/>
      <c r="GO6564"/>
    </row>
    <row r="6565" spans="107:197">
      <c r="DC6565"/>
      <c r="FH6565"/>
      <c r="FI6565"/>
      <c r="FJ6565"/>
      <c r="FK6565"/>
      <c r="FL6565"/>
      <c r="FM6565"/>
      <c r="FN6565"/>
      <c r="FO6565"/>
      <c r="FP6565"/>
      <c r="FQ6565"/>
      <c r="FR6565"/>
      <c r="FS6565"/>
      <c r="FT6565"/>
      <c r="FU6565"/>
      <c r="FV6565"/>
      <c r="FW6565"/>
      <c r="FX6565"/>
      <c r="FY6565"/>
      <c r="FZ6565"/>
      <c r="GA6565"/>
      <c r="GB6565"/>
      <c r="GC6565"/>
      <c r="GD6565"/>
      <c r="GE6565"/>
      <c r="GF6565"/>
      <c r="GG6565"/>
      <c r="GH6565"/>
      <c r="GI6565"/>
      <c r="GJ6565"/>
      <c r="GK6565"/>
      <c r="GL6565"/>
      <c r="GM6565"/>
      <c r="GN6565"/>
      <c r="GO6565"/>
    </row>
    <row r="6566" spans="107:197">
      <c r="DC6566"/>
      <c r="FH6566"/>
      <c r="FI6566"/>
      <c r="FJ6566"/>
      <c r="FK6566"/>
      <c r="FL6566"/>
      <c r="FM6566"/>
      <c r="FN6566"/>
      <c r="FO6566"/>
      <c r="FP6566"/>
      <c r="FQ6566"/>
      <c r="FR6566"/>
      <c r="FS6566"/>
      <c r="FT6566"/>
      <c r="FU6566"/>
      <c r="FV6566"/>
      <c r="FW6566"/>
      <c r="FX6566"/>
      <c r="FY6566"/>
      <c r="FZ6566"/>
      <c r="GA6566"/>
      <c r="GB6566"/>
      <c r="GC6566"/>
      <c r="GD6566"/>
      <c r="GE6566"/>
      <c r="GF6566"/>
      <c r="GG6566"/>
      <c r="GH6566"/>
      <c r="GI6566"/>
      <c r="GJ6566"/>
      <c r="GK6566"/>
      <c r="GL6566"/>
      <c r="GM6566"/>
      <c r="GN6566"/>
      <c r="GO6566"/>
    </row>
    <row r="6567" spans="107:197">
      <c r="DC6567"/>
      <c r="FH6567"/>
      <c r="FI6567"/>
      <c r="FJ6567"/>
      <c r="FK6567"/>
      <c r="FL6567"/>
      <c r="FM6567"/>
      <c r="FN6567"/>
      <c r="FO6567"/>
      <c r="FP6567"/>
      <c r="FQ6567"/>
      <c r="FR6567"/>
      <c r="FS6567"/>
      <c r="FT6567"/>
      <c r="FU6567"/>
      <c r="FV6567"/>
      <c r="FW6567"/>
      <c r="FX6567"/>
      <c r="FY6567"/>
      <c r="FZ6567"/>
      <c r="GA6567"/>
      <c r="GB6567"/>
      <c r="GC6567"/>
      <c r="GD6567"/>
      <c r="GE6567"/>
      <c r="GF6567"/>
      <c r="GG6567"/>
      <c r="GH6567"/>
      <c r="GI6567"/>
      <c r="GJ6567"/>
      <c r="GK6567"/>
      <c r="GL6567"/>
      <c r="GM6567"/>
      <c r="GN6567"/>
      <c r="GO6567"/>
    </row>
    <row r="6568" spans="107:197">
      <c r="DC6568"/>
      <c r="FH6568"/>
      <c r="FI6568"/>
      <c r="FJ6568"/>
      <c r="FK6568"/>
      <c r="FL6568"/>
      <c r="FM6568"/>
      <c r="FN6568"/>
      <c r="FO6568"/>
      <c r="FP6568"/>
      <c r="FQ6568"/>
      <c r="FR6568"/>
      <c r="FS6568"/>
      <c r="FT6568"/>
      <c r="FU6568"/>
      <c r="FV6568"/>
      <c r="FW6568"/>
      <c r="FX6568"/>
      <c r="FY6568"/>
      <c r="FZ6568"/>
      <c r="GA6568"/>
      <c r="GB6568"/>
      <c r="GC6568"/>
      <c r="GD6568"/>
      <c r="GE6568"/>
      <c r="GF6568"/>
      <c r="GG6568"/>
      <c r="GH6568"/>
      <c r="GI6568"/>
      <c r="GJ6568"/>
      <c r="GK6568"/>
      <c r="GL6568"/>
      <c r="GM6568"/>
      <c r="GN6568"/>
      <c r="GO6568"/>
    </row>
    <row r="6569" spans="107:197">
      <c r="DC6569"/>
      <c r="FH6569"/>
      <c r="FI6569"/>
      <c r="FJ6569"/>
      <c r="FK6569"/>
      <c r="FL6569"/>
      <c r="FM6569"/>
      <c r="FN6569"/>
      <c r="FO6569"/>
      <c r="FP6569"/>
      <c r="FQ6569"/>
      <c r="FR6569"/>
      <c r="FS6569"/>
      <c r="FT6569"/>
      <c r="FU6569"/>
      <c r="FV6569"/>
      <c r="FW6569"/>
      <c r="FX6569"/>
      <c r="FY6569"/>
      <c r="FZ6569"/>
      <c r="GA6569"/>
      <c r="GB6569"/>
      <c r="GC6569"/>
      <c r="GD6569"/>
      <c r="GE6569"/>
      <c r="GF6569"/>
      <c r="GG6569"/>
      <c r="GH6569"/>
      <c r="GI6569"/>
      <c r="GJ6569"/>
      <c r="GK6569"/>
      <c r="GL6569"/>
      <c r="GM6569"/>
      <c r="GN6569"/>
      <c r="GO6569"/>
    </row>
    <row r="6570" spans="107:197">
      <c r="DC6570"/>
      <c r="FH6570"/>
      <c r="FI6570"/>
      <c r="FJ6570"/>
      <c r="FK6570"/>
      <c r="FL6570"/>
      <c r="FM6570"/>
      <c r="FN6570"/>
      <c r="FO6570"/>
      <c r="FP6570"/>
      <c r="FQ6570"/>
      <c r="FR6570"/>
      <c r="FS6570"/>
      <c r="FT6570"/>
      <c r="FU6570"/>
      <c r="FV6570"/>
      <c r="FW6570"/>
      <c r="FX6570"/>
      <c r="FY6570"/>
      <c r="FZ6570"/>
      <c r="GA6570"/>
      <c r="GB6570"/>
      <c r="GC6570"/>
      <c r="GD6570"/>
      <c r="GE6570"/>
      <c r="GF6570"/>
      <c r="GG6570"/>
      <c r="GH6570"/>
      <c r="GI6570"/>
      <c r="GJ6570"/>
      <c r="GK6570"/>
      <c r="GL6570"/>
      <c r="GM6570"/>
      <c r="GN6570"/>
      <c r="GO6570"/>
    </row>
    <row r="6571" spans="107:197">
      <c r="DC6571"/>
      <c r="FH6571"/>
      <c r="FI6571"/>
      <c r="FJ6571"/>
      <c r="FK6571"/>
      <c r="FL6571"/>
      <c r="FM6571"/>
      <c r="FN6571"/>
      <c r="FO6571"/>
      <c r="FP6571"/>
      <c r="FQ6571"/>
      <c r="FR6571"/>
      <c r="FS6571"/>
      <c r="FT6571"/>
      <c r="FU6571"/>
      <c r="FV6571"/>
      <c r="FW6571"/>
      <c r="FX6571"/>
      <c r="FY6571"/>
      <c r="FZ6571"/>
      <c r="GA6571"/>
      <c r="GB6571"/>
      <c r="GC6571"/>
      <c r="GD6571"/>
      <c r="GE6571"/>
      <c r="GF6571"/>
      <c r="GG6571"/>
      <c r="GH6571"/>
      <c r="GI6571"/>
      <c r="GJ6571"/>
      <c r="GK6571"/>
      <c r="GL6571"/>
      <c r="GM6571"/>
      <c r="GN6571"/>
      <c r="GO6571"/>
    </row>
    <row r="6572" spans="107:197">
      <c r="DC6572"/>
      <c r="FH6572"/>
      <c r="FI6572"/>
      <c r="FJ6572"/>
      <c r="FK6572"/>
      <c r="FL6572"/>
      <c r="FM6572"/>
      <c r="FN6572"/>
      <c r="FO6572"/>
      <c r="FP6572"/>
      <c r="FQ6572"/>
      <c r="FR6572"/>
      <c r="FS6572"/>
      <c r="FT6572"/>
      <c r="FU6572"/>
      <c r="FV6572"/>
      <c r="FW6572"/>
      <c r="FX6572"/>
      <c r="FY6572"/>
      <c r="FZ6572"/>
      <c r="GA6572"/>
      <c r="GB6572"/>
      <c r="GC6572"/>
      <c r="GD6572"/>
      <c r="GE6572"/>
      <c r="GF6572"/>
      <c r="GG6572"/>
      <c r="GH6572"/>
      <c r="GI6572"/>
      <c r="GJ6572"/>
      <c r="GK6572"/>
      <c r="GL6572"/>
      <c r="GM6572"/>
      <c r="GN6572"/>
      <c r="GO6572"/>
    </row>
    <row r="6573" spans="107:197">
      <c r="DC6573"/>
      <c r="FH6573"/>
      <c r="FI6573"/>
      <c r="FJ6573"/>
      <c r="FK6573"/>
      <c r="FL6573"/>
      <c r="FM6573"/>
      <c r="FN6573"/>
      <c r="FO6573"/>
      <c r="FP6573"/>
      <c r="FQ6573"/>
      <c r="FR6573"/>
      <c r="FS6573"/>
      <c r="FT6573"/>
      <c r="FU6573"/>
      <c r="FV6573"/>
      <c r="FW6573"/>
      <c r="FX6573"/>
      <c r="FY6573"/>
      <c r="FZ6573"/>
      <c r="GA6573"/>
      <c r="GB6573"/>
      <c r="GC6573"/>
      <c r="GD6573"/>
      <c r="GE6573"/>
      <c r="GF6573"/>
      <c r="GG6573"/>
      <c r="GH6573"/>
      <c r="GI6573"/>
      <c r="GJ6573"/>
      <c r="GK6573"/>
      <c r="GL6573"/>
      <c r="GM6573"/>
      <c r="GN6573"/>
      <c r="GO6573"/>
    </row>
    <row r="6574" spans="107:197">
      <c r="DC6574"/>
      <c r="FH6574"/>
      <c r="FI6574"/>
      <c r="FJ6574"/>
      <c r="FK6574"/>
      <c r="FL6574"/>
      <c r="FM6574"/>
      <c r="FN6574"/>
      <c r="FO6574"/>
      <c r="FP6574"/>
      <c r="FQ6574"/>
      <c r="FR6574"/>
      <c r="FS6574"/>
      <c r="FT6574"/>
      <c r="FU6574"/>
      <c r="FV6574"/>
      <c r="FW6574"/>
      <c r="FX6574"/>
      <c r="FY6574"/>
      <c r="FZ6574"/>
      <c r="GA6574"/>
      <c r="GB6574"/>
      <c r="GC6574"/>
      <c r="GD6574"/>
      <c r="GE6574"/>
      <c r="GF6574"/>
      <c r="GG6574"/>
      <c r="GH6574"/>
      <c r="GI6574"/>
      <c r="GJ6574"/>
      <c r="GK6574"/>
      <c r="GL6574"/>
      <c r="GM6574"/>
      <c r="GN6574"/>
      <c r="GO6574"/>
    </row>
    <row r="6575" spans="107:197">
      <c r="DC6575"/>
      <c r="FH6575"/>
      <c r="FI6575"/>
      <c r="FJ6575"/>
      <c r="FK6575"/>
      <c r="FL6575"/>
      <c r="FM6575"/>
      <c r="FN6575"/>
      <c r="FO6575"/>
      <c r="FP6575"/>
      <c r="FQ6575"/>
      <c r="FR6575"/>
      <c r="FS6575"/>
      <c r="FT6575"/>
      <c r="FU6575"/>
      <c r="FV6575"/>
      <c r="FW6575"/>
      <c r="FX6575"/>
      <c r="FY6575"/>
      <c r="FZ6575"/>
      <c r="GA6575"/>
      <c r="GB6575"/>
      <c r="GC6575"/>
      <c r="GD6575"/>
      <c r="GE6575"/>
      <c r="GF6575"/>
      <c r="GG6575"/>
      <c r="GH6575"/>
      <c r="GI6575"/>
      <c r="GJ6575"/>
      <c r="GK6575"/>
      <c r="GL6575"/>
      <c r="GM6575"/>
      <c r="GN6575"/>
      <c r="GO6575"/>
    </row>
    <row r="6576" spans="107:197">
      <c r="DC6576"/>
      <c r="FH6576"/>
      <c r="FI6576"/>
      <c r="FJ6576"/>
      <c r="FK6576"/>
      <c r="FL6576"/>
      <c r="FM6576"/>
      <c r="FN6576"/>
      <c r="FO6576"/>
      <c r="FP6576"/>
      <c r="FQ6576"/>
      <c r="FR6576"/>
      <c r="FS6576"/>
      <c r="FT6576"/>
      <c r="FU6576"/>
      <c r="FV6576"/>
      <c r="FW6576"/>
      <c r="FX6576"/>
      <c r="FY6576"/>
      <c r="FZ6576"/>
      <c r="GA6576"/>
      <c r="GB6576"/>
      <c r="GC6576"/>
      <c r="GD6576"/>
      <c r="GE6576"/>
      <c r="GF6576"/>
      <c r="GG6576"/>
      <c r="GH6576"/>
      <c r="GI6576"/>
      <c r="GJ6576"/>
      <c r="GK6576"/>
      <c r="GL6576"/>
      <c r="GM6576"/>
      <c r="GN6576"/>
      <c r="GO6576"/>
    </row>
    <row r="6577" spans="107:197">
      <c r="DC6577"/>
      <c r="FH6577"/>
      <c r="FI6577"/>
      <c r="FJ6577"/>
      <c r="FK6577"/>
      <c r="FL6577"/>
      <c r="FM6577"/>
      <c r="FN6577"/>
      <c r="FO6577"/>
      <c r="FP6577"/>
      <c r="FQ6577"/>
      <c r="FR6577"/>
      <c r="FS6577"/>
      <c r="FT6577"/>
      <c r="FU6577"/>
      <c r="FV6577"/>
      <c r="FW6577"/>
      <c r="FX6577"/>
      <c r="FY6577"/>
      <c r="FZ6577"/>
      <c r="GA6577"/>
      <c r="GB6577"/>
      <c r="GC6577"/>
      <c r="GD6577"/>
      <c r="GE6577"/>
      <c r="GF6577"/>
      <c r="GG6577"/>
      <c r="GH6577"/>
      <c r="GI6577"/>
      <c r="GJ6577"/>
      <c r="GK6577"/>
      <c r="GL6577"/>
      <c r="GM6577"/>
      <c r="GN6577"/>
      <c r="GO6577"/>
    </row>
    <row r="6578" spans="107:197">
      <c r="DC6578"/>
      <c r="FH6578"/>
      <c r="FI6578"/>
      <c r="FJ6578"/>
      <c r="FK6578"/>
      <c r="FL6578"/>
      <c r="FM6578"/>
      <c r="FN6578"/>
      <c r="FO6578"/>
      <c r="FP6578"/>
      <c r="FQ6578"/>
      <c r="FR6578"/>
      <c r="FS6578"/>
      <c r="FT6578"/>
      <c r="FU6578"/>
      <c r="FV6578"/>
      <c r="FW6578"/>
      <c r="FX6578"/>
      <c r="FY6578"/>
      <c r="FZ6578"/>
      <c r="GA6578"/>
      <c r="GB6578"/>
      <c r="GC6578"/>
      <c r="GD6578"/>
      <c r="GE6578"/>
      <c r="GF6578"/>
      <c r="GG6578"/>
      <c r="GH6578"/>
      <c r="GI6578"/>
      <c r="GJ6578"/>
      <c r="GK6578"/>
      <c r="GL6578"/>
      <c r="GM6578"/>
      <c r="GN6578"/>
      <c r="GO6578"/>
    </row>
    <row r="6579" spans="107:197">
      <c r="DC6579"/>
      <c r="FH6579"/>
      <c r="FI6579"/>
      <c r="FJ6579"/>
      <c r="FK6579"/>
      <c r="FL6579"/>
      <c r="FM6579"/>
      <c r="FN6579"/>
      <c r="FO6579"/>
      <c r="FP6579"/>
      <c r="FQ6579"/>
      <c r="FR6579"/>
      <c r="FS6579"/>
      <c r="FT6579"/>
      <c r="FU6579"/>
      <c r="FV6579"/>
      <c r="FW6579"/>
      <c r="FX6579"/>
      <c r="FY6579"/>
      <c r="FZ6579"/>
      <c r="GA6579"/>
      <c r="GB6579"/>
      <c r="GC6579"/>
      <c r="GD6579"/>
      <c r="GE6579"/>
      <c r="GF6579"/>
      <c r="GG6579"/>
      <c r="GH6579"/>
      <c r="GI6579"/>
      <c r="GJ6579"/>
      <c r="GK6579"/>
      <c r="GL6579"/>
      <c r="GM6579"/>
      <c r="GN6579"/>
      <c r="GO6579"/>
    </row>
    <row r="6580" spans="107:197">
      <c r="DC6580"/>
      <c r="FH6580"/>
      <c r="FI6580"/>
      <c r="FJ6580"/>
      <c r="FK6580"/>
      <c r="FL6580"/>
      <c r="FM6580"/>
      <c r="FN6580"/>
      <c r="FO6580"/>
      <c r="FP6580"/>
      <c r="FQ6580"/>
      <c r="FR6580"/>
      <c r="FS6580"/>
      <c r="FT6580"/>
      <c r="FU6580"/>
      <c r="FV6580"/>
      <c r="FW6580"/>
      <c r="FX6580"/>
      <c r="FY6580"/>
      <c r="FZ6580"/>
      <c r="GA6580"/>
      <c r="GB6580"/>
      <c r="GC6580"/>
      <c r="GD6580"/>
      <c r="GE6580"/>
      <c r="GF6580"/>
      <c r="GG6580"/>
      <c r="GH6580"/>
      <c r="GI6580"/>
      <c r="GJ6580"/>
      <c r="GK6580"/>
      <c r="GL6580"/>
      <c r="GM6580"/>
      <c r="GN6580"/>
      <c r="GO6580"/>
    </row>
    <row r="6581" spans="107:197">
      <c r="DC6581"/>
      <c r="FH6581"/>
      <c r="FI6581"/>
      <c r="FJ6581"/>
      <c r="FK6581"/>
      <c r="FL6581"/>
      <c r="FM6581"/>
      <c r="FN6581"/>
      <c r="FO6581"/>
      <c r="FP6581"/>
      <c r="FQ6581"/>
      <c r="FR6581"/>
      <c r="FS6581"/>
      <c r="FT6581"/>
      <c r="FU6581"/>
      <c r="FV6581"/>
      <c r="FW6581"/>
      <c r="FX6581"/>
      <c r="FY6581"/>
      <c r="FZ6581"/>
      <c r="GA6581"/>
      <c r="GB6581"/>
      <c r="GC6581"/>
      <c r="GD6581"/>
      <c r="GE6581"/>
      <c r="GF6581"/>
      <c r="GG6581"/>
      <c r="GH6581"/>
      <c r="GI6581"/>
      <c r="GJ6581"/>
      <c r="GK6581"/>
      <c r="GL6581"/>
      <c r="GM6581"/>
      <c r="GN6581"/>
      <c r="GO6581"/>
    </row>
    <row r="6582" spans="107:197">
      <c r="DC6582"/>
      <c r="FH6582"/>
      <c r="FI6582"/>
      <c r="FJ6582"/>
      <c r="FK6582"/>
      <c r="FL6582"/>
      <c r="FM6582"/>
      <c r="FN6582"/>
      <c r="FO6582"/>
      <c r="FP6582"/>
      <c r="FQ6582"/>
      <c r="FR6582"/>
      <c r="FS6582"/>
      <c r="FT6582"/>
      <c r="FU6582"/>
      <c r="FV6582"/>
      <c r="FW6582"/>
      <c r="FX6582"/>
      <c r="FY6582"/>
      <c r="FZ6582"/>
      <c r="GA6582"/>
      <c r="GB6582"/>
      <c r="GC6582"/>
      <c r="GD6582"/>
      <c r="GE6582"/>
      <c r="GF6582"/>
      <c r="GG6582"/>
      <c r="GH6582"/>
      <c r="GI6582"/>
      <c r="GJ6582"/>
      <c r="GK6582"/>
      <c r="GL6582"/>
      <c r="GM6582"/>
      <c r="GN6582"/>
      <c r="GO6582"/>
    </row>
    <row r="6583" spans="107:197">
      <c r="DC6583"/>
      <c r="FH6583"/>
      <c r="FI6583"/>
      <c r="FJ6583"/>
      <c r="FK6583"/>
      <c r="FL6583"/>
      <c r="FM6583"/>
      <c r="FN6583"/>
      <c r="FO6583"/>
      <c r="FP6583"/>
      <c r="FQ6583"/>
      <c r="FR6583"/>
      <c r="FS6583"/>
      <c r="FT6583"/>
      <c r="FU6583"/>
      <c r="FV6583"/>
      <c r="FW6583"/>
      <c r="FX6583"/>
      <c r="FY6583"/>
      <c r="FZ6583"/>
      <c r="GA6583"/>
      <c r="GB6583"/>
      <c r="GC6583"/>
      <c r="GD6583"/>
      <c r="GE6583"/>
      <c r="GF6583"/>
      <c r="GG6583"/>
      <c r="GH6583"/>
      <c r="GI6583"/>
      <c r="GJ6583"/>
      <c r="GK6583"/>
      <c r="GL6583"/>
      <c r="GM6583"/>
      <c r="GN6583"/>
      <c r="GO6583"/>
    </row>
    <row r="6584" spans="107:197">
      <c r="DC6584"/>
      <c r="FH6584"/>
      <c r="FI6584"/>
      <c r="FJ6584"/>
      <c r="FK6584"/>
      <c r="FL6584"/>
      <c r="FM6584"/>
      <c r="FN6584"/>
      <c r="FO6584"/>
      <c r="FP6584"/>
      <c r="FQ6584"/>
      <c r="FR6584"/>
      <c r="FS6584"/>
      <c r="FT6584"/>
      <c r="FU6584"/>
      <c r="FV6584"/>
      <c r="FW6584"/>
      <c r="FX6584"/>
      <c r="FY6584"/>
      <c r="FZ6584"/>
      <c r="GA6584"/>
      <c r="GB6584"/>
      <c r="GC6584"/>
      <c r="GD6584"/>
      <c r="GE6584"/>
      <c r="GF6584"/>
      <c r="GG6584"/>
      <c r="GH6584"/>
      <c r="GI6584"/>
      <c r="GJ6584"/>
      <c r="GK6584"/>
      <c r="GL6584"/>
      <c r="GM6584"/>
      <c r="GN6584"/>
      <c r="GO6584"/>
    </row>
    <row r="6585" spans="107:197">
      <c r="DC6585"/>
      <c r="FH6585"/>
      <c r="FI6585"/>
      <c r="FJ6585"/>
      <c r="FK6585"/>
      <c r="FL6585"/>
      <c r="FM6585"/>
      <c r="FN6585"/>
      <c r="FO6585"/>
      <c r="FP6585"/>
      <c r="FQ6585"/>
      <c r="FR6585"/>
      <c r="FS6585"/>
      <c r="FT6585"/>
      <c r="FU6585"/>
      <c r="FV6585"/>
      <c r="FW6585"/>
      <c r="FX6585"/>
      <c r="FY6585"/>
      <c r="FZ6585"/>
      <c r="GA6585"/>
      <c r="GB6585"/>
      <c r="GC6585"/>
      <c r="GD6585"/>
      <c r="GE6585"/>
      <c r="GF6585"/>
      <c r="GG6585"/>
      <c r="GH6585"/>
      <c r="GI6585"/>
      <c r="GJ6585"/>
      <c r="GK6585"/>
      <c r="GL6585"/>
      <c r="GM6585"/>
      <c r="GN6585"/>
      <c r="GO6585"/>
    </row>
    <row r="6586" spans="107:197">
      <c r="DC6586"/>
      <c r="FH6586"/>
      <c r="FI6586"/>
      <c r="FJ6586"/>
      <c r="FK6586"/>
      <c r="FL6586"/>
      <c r="FM6586"/>
      <c r="FN6586"/>
      <c r="FO6586"/>
      <c r="FP6586"/>
      <c r="FQ6586"/>
      <c r="FR6586"/>
      <c r="FS6586"/>
      <c r="FT6586"/>
      <c r="FU6586"/>
      <c r="FV6586"/>
      <c r="FW6586"/>
      <c r="FX6586"/>
      <c r="FY6586"/>
      <c r="FZ6586"/>
      <c r="GA6586"/>
      <c r="GB6586"/>
      <c r="GC6586"/>
      <c r="GD6586"/>
      <c r="GE6586"/>
      <c r="GF6586"/>
      <c r="GG6586"/>
      <c r="GH6586"/>
      <c r="GI6586"/>
      <c r="GJ6586"/>
      <c r="GK6586"/>
      <c r="GL6586"/>
      <c r="GM6586"/>
      <c r="GN6586"/>
      <c r="GO6586"/>
    </row>
    <row r="6587" spans="107:197">
      <c r="DC6587"/>
      <c r="FH6587"/>
      <c r="FI6587"/>
      <c r="FJ6587"/>
      <c r="FK6587"/>
      <c r="FL6587"/>
      <c r="FM6587"/>
      <c r="FN6587"/>
      <c r="FO6587"/>
      <c r="FP6587"/>
      <c r="FQ6587"/>
      <c r="FR6587"/>
      <c r="FS6587"/>
      <c r="FT6587"/>
      <c r="FU6587"/>
      <c r="FV6587"/>
      <c r="FW6587"/>
      <c r="FX6587"/>
      <c r="FY6587"/>
      <c r="FZ6587"/>
      <c r="GA6587"/>
      <c r="GB6587"/>
      <c r="GC6587"/>
      <c r="GD6587"/>
      <c r="GE6587"/>
      <c r="GF6587"/>
      <c r="GG6587"/>
      <c r="GH6587"/>
      <c r="GI6587"/>
      <c r="GJ6587"/>
      <c r="GK6587"/>
      <c r="GL6587"/>
      <c r="GM6587"/>
      <c r="GN6587"/>
      <c r="GO6587"/>
    </row>
    <row r="6588" spans="107:197">
      <c r="DC6588"/>
      <c r="FH6588"/>
      <c r="FI6588"/>
      <c r="FJ6588"/>
      <c r="FK6588"/>
      <c r="FL6588"/>
      <c r="FM6588"/>
      <c r="FN6588"/>
      <c r="FO6588"/>
      <c r="FP6588"/>
      <c r="FQ6588"/>
      <c r="FR6588"/>
      <c r="FS6588"/>
      <c r="FT6588"/>
      <c r="FU6588"/>
      <c r="FV6588"/>
      <c r="FW6588"/>
      <c r="FX6588"/>
      <c r="FY6588"/>
      <c r="FZ6588"/>
      <c r="GA6588"/>
      <c r="GB6588"/>
      <c r="GC6588"/>
      <c r="GD6588"/>
      <c r="GE6588"/>
      <c r="GF6588"/>
      <c r="GG6588"/>
      <c r="GH6588"/>
      <c r="GI6588"/>
      <c r="GJ6588"/>
      <c r="GK6588"/>
      <c r="GL6588"/>
      <c r="GM6588"/>
      <c r="GN6588"/>
      <c r="GO6588"/>
    </row>
    <row r="6589" spans="107:197">
      <c r="DC6589"/>
      <c r="FH6589"/>
      <c r="FI6589"/>
      <c r="FJ6589"/>
      <c r="FK6589"/>
      <c r="FL6589"/>
      <c r="FM6589"/>
      <c r="FN6589"/>
      <c r="FO6589"/>
      <c r="FP6589"/>
      <c r="FQ6589"/>
      <c r="FR6589"/>
      <c r="FS6589"/>
      <c r="FT6589"/>
      <c r="FU6589"/>
      <c r="FV6589"/>
      <c r="FW6589"/>
      <c r="FX6589"/>
      <c r="FY6589"/>
      <c r="FZ6589"/>
      <c r="GA6589"/>
      <c r="GB6589"/>
      <c r="GC6589"/>
      <c r="GD6589"/>
      <c r="GE6589"/>
      <c r="GF6589"/>
      <c r="GG6589"/>
      <c r="GH6589"/>
      <c r="GI6589"/>
      <c r="GJ6589"/>
      <c r="GK6589"/>
      <c r="GL6589"/>
      <c r="GM6589"/>
      <c r="GN6589"/>
      <c r="GO6589"/>
    </row>
    <row r="6590" spans="107:197">
      <c r="DC6590"/>
      <c r="FH6590"/>
      <c r="FI6590"/>
      <c r="FJ6590"/>
      <c r="FK6590"/>
      <c r="FL6590"/>
      <c r="FM6590"/>
      <c r="FN6590"/>
      <c r="FO6590"/>
      <c r="FP6590"/>
      <c r="FQ6590"/>
      <c r="FR6590"/>
      <c r="FS6590"/>
      <c r="FT6590"/>
      <c r="FU6590"/>
      <c r="FV6590"/>
      <c r="FW6590"/>
      <c r="FX6590"/>
      <c r="FY6590"/>
      <c r="FZ6590"/>
      <c r="GA6590"/>
      <c r="GB6590"/>
      <c r="GC6590"/>
      <c r="GD6590"/>
      <c r="GE6590"/>
      <c r="GF6590"/>
      <c r="GG6590"/>
      <c r="GH6590"/>
      <c r="GI6590"/>
      <c r="GJ6590"/>
      <c r="GK6590"/>
      <c r="GL6590"/>
      <c r="GM6590"/>
      <c r="GN6590"/>
      <c r="GO6590"/>
    </row>
    <row r="6591" spans="107:197">
      <c r="DC6591"/>
      <c r="FH6591"/>
      <c r="FI6591"/>
      <c r="FJ6591"/>
      <c r="FK6591"/>
      <c r="FL6591"/>
      <c r="FM6591"/>
      <c r="FN6591"/>
      <c r="FO6591"/>
      <c r="FP6591"/>
      <c r="FQ6591"/>
      <c r="FR6591"/>
      <c r="FS6591"/>
      <c r="FT6591"/>
      <c r="FU6591"/>
      <c r="FV6591"/>
      <c r="FW6591"/>
      <c r="FX6591"/>
      <c r="FY6591"/>
      <c r="FZ6591"/>
      <c r="GA6591"/>
      <c r="GB6591"/>
      <c r="GC6591"/>
      <c r="GD6591"/>
      <c r="GE6591"/>
      <c r="GF6591"/>
      <c r="GG6591"/>
      <c r="GH6591"/>
      <c r="GI6591"/>
      <c r="GJ6591"/>
      <c r="GK6591"/>
      <c r="GL6591"/>
      <c r="GM6591"/>
      <c r="GN6591"/>
      <c r="GO6591"/>
    </row>
    <row r="6592" spans="107:197">
      <c r="DC6592"/>
      <c r="FH6592"/>
      <c r="FI6592"/>
      <c r="FJ6592"/>
      <c r="FK6592"/>
      <c r="FL6592"/>
      <c r="FM6592"/>
      <c r="FN6592"/>
      <c r="FO6592"/>
      <c r="FP6592"/>
      <c r="FQ6592"/>
      <c r="FR6592"/>
      <c r="FS6592"/>
      <c r="FT6592"/>
      <c r="FU6592"/>
      <c r="FV6592"/>
      <c r="FW6592"/>
      <c r="FX6592"/>
      <c r="FY6592"/>
      <c r="FZ6592"/>
      <c r="GA6592"/>
      <c r="GB6592"/>
      <c r="GC6592"/>
      <c r="GD6592"/>
      <c r="GE6592"/>
      <c r="GF6592"/>
      <c r="GG6592"/>
      <c r="GH6592"/>
      <c r="GI6592"/>
      <c r="GJ6592"/>
      <c r="GK6592"/>
      <c r="GL6592"/>
      <c r="GM6592"/>
      <c r="GN6592"/>
      <c r="GO6592"/>
    </row>
    <row r="6593" spans="107:197">
      <c r="DC6593"/>
      <c r="FH6593"/>
      <c r="FI6593"/>
      <c r="FJ6593"/>
      <c r="FK6593"/>
      <c r="FL6593"/>
      <c r="FM6593"/>
      <c r="FN6593"/>
      <c r="FO6593"/>
      <c r="FP6593"/>
      <c r="FQ6593"/>
      <c r="FR6593"/>
      <c r="FS6593"/>
      <c r="FT6593"/>
      <c r="FU6593"/>
      <c r="FV6593"/>
      <c r="FW6593"/>
      <c r="FX6593"/>
      <c r="FY6593"/>
      <c r="FZ6593"/>
      <c r="GA6593"/>
      <c r="GB6593"/>
      <c r="GC6593"/>
      <c r="GD6593"/>
      <c r="GE6593"/>
      <c r="GF6593"/>
      <c r="GG6593"/>
      <c r="GH6593"/>
      <c r="GI6593"/>
      <c r="GJ6593"/>
      <c r="GK6593"/>
      <c r="GL6593"/>
      <c r="GM6593"/>
      <c r="GN6593"/>
      <c r="GO6593"/>
    </row>
    <row r="6594" spans="107:197">
      <c r="DC6594"/>
      <c r="FH6594"/>
      <c r="FI6594"/>
      <c r="FJ6594"/>
      <c r="FK6594"/>
      <c r="FL6594"/>
      <c r="FM6594"/>
      <c r="FN6594"/>
      <c r="FO6594"/>
      <c r="FP6594"/>
      <c r="FQ6594"/>
      <c r="FR6594"/>
      <c r="FS6594"/>
      <c r="FT6594"/>
      <c r="FU6594"/>
      <c r="FV6594"/>
      <c r="FW6594"/>
      <c r="FX6594"/>
      <c r="FY6594"/>
      <c r="FZ6594"/>
      <c r="GA6594"/>
      <c r="GB6594"/>
      <c r="GC6594"/>
      <c r="GD6594"/>
      <c r="GE6594"/>
      <c r="GF6594"/>
      <c r="GG6594"/>
      <c r="GH6594"/>
      <c r="GI6594"/>
      <c r="GJ6594"/>
      <c r="GK6594"/>
      <c r="GL6594"/>
      <c r="GM6594"/>
      <c r="GN6594"/>
      <c r="GO6594"/>
    </row>
    <row r="6595" spans="107:197">
      <c r="DC6595"/>
      <c r="FH6595"/>
      <c r="FI6595"/>
      <c r="FJ6595"/>
      <c r="FK6595"/>
      <c r="FL6595"/>
      <c r="FM6595"/>
      <c r="FN6595"/>
      <c r="FO6595"/>
      <c r="FP6595"/>
      <c r="FQ6595"/>
      <c r="FR6595"/>
      <c r="FS6595"/>
      <c r="FT6595"/>
      <c r="FU6595"/>
      <c r="FV6595"/>
      <c r="FW6595"/>
      <c r="FX6595"/>
      <c r="FY6595"/>
      <c r="FZ6595"/>
      <c r="GA6595"/>
      <c r="GB6595"/>
      <c r="GC6595"/>
      <c r="GD6595"/>
      <c r="GE6595"/>
      <c r="GF6595"/>
      <c r="GG6595"/>
      <c r="GH6595"/>
      <c r="GI6595"/>
      <c r="GJ6595"/>
      <c r="GK6595"/>
      <c r="GL6595"/>
      <c r="GM6595"/>
      <c r="GN6595"/>
      <c r="GO6595"/>
    </row>
    <row r="6596" spans="107:197">
      <c r="DC6596"/>
      <c r="FH6596"/>
      <c r="FI6596"/>
      <c r="FJ6596"/>
      <c r="FK6596"/>
      <c r="FL6596"/>
      <c r="FM6596"/>
      <c r="FN6596"/>
      <c r="FO6596"/>
      <c r="FP6596"/>
      <c r="FQ6596"/>
      <c r="FR6596"/>
      <c r="FS6596"/>
      <c r="FT6596"/>
      <c r="FU6596"/>
      <c r="FV6596"/>
      <c r="FW6596"/>
      <c r="FX6596"/>
      <c r="FY6596"/>
      <c r="FZ6596"/>
      <c r="GA6596"/>
      <c r="GB6596"/>
      <c r="GC6596"/>
      <c r="GD6596"/>
      <c r="GE6596"/>
      <c r="GF6596"/>
      <c r="GG6596"/>
      <c r="GH6596"/>
      <c r="GI6596"/>
      <c r="GJ6596"/>
      <c r="GK6596"/>
      <c r="GL6596"/>
      <c r="GM6596"/>
      <c r="GN6596"/>
      <c r="GO6596"/>
    </row>
    <row r="6597" spans="107:197">
      <c r="DC6597"/>
      <c r="FH6597"/>
      <c r="FI6597"/>
      <c r="FJ6597"/>
      <c r="FK6597"/>
      <c r="FL6597"/>
      <c r="FM6597"/>
      <c r="FN6597"/>
      <c r="FO6597"/>
      <c r="FP6597"/>
      <c r="FQ6597"/>
      <c r="FR6597"/>
      <c r="FS6597"/>
      <c r="FT6597"/>
      <c r="FU6597"/>
      <c r="FV6597"/>
      <c r="FW6597"/>
      <c r="FX6597"/>
      <c r="FY6597"/>
      <c r="FZ6597"/>
      <c r="GA6597"/>
      <c r="GB6597"/>
      <c r="GC6597"/>
      <c r="GD6597"/>
      <c r="GE6597"/>
      <c r="GF6597"/>
      <c r="GG6597"/>
      <c r="GH6597"/>
      <c r="GI6597"/>
      <c r="GJ6597"/>
      <c r="GK6597"/>
      <c r="GL6597"/>
      <c r="GM6597"/>
      <c r="GN6597"/>
      <c r="GO6597"/>
    </row>
    <row r="6598" spans="107:197">
      <c r="DC6598"/>
      <c r="FH6598"/>
      <c r="FI6598"/>
      <c r="FJ6598"/>
      <c r="FK6598"/>
      <c r="FL6598"/>
      <c r="FM6598"/>
      <c r="FN6598"/>
      <c r="FO6598"/>
      <c r="FP6598"/>
      <c r="FQ6598"/>
      <c r="FR6598"/>
      <c r="FS6598"/>
      <c r="FT6598"/>
      <c r="FU6598"/>
      <c r="FV6598"/>
      <c r="FW6598"/>
      <c r="FX6598"/>
      <c r="FY6598"/>
      <c r="FZ6598"/>
      <c r="GA6598"/>
      <c r="GB6598"/>
      <c r="GC6598"/>
      <c r="GD6598"/>
      <c r="GE6598"/>
      <c r="GF6598"/>
      <c r="GG6598"/>
      <c r="GH6598"/>
      <c r="GI6598"/>
      <c r="GJ6598"/>
      <c r="GK6598"/>
      <c r="GL6598"/>
      <c r="GM6598"/>
      <c r="GN6598"/>
      <c r="GO6598"/>
    </row>
    <row r="6599" spans="107:197">
      <c r="DC6599"/>
      <c r="FH6599"/>
      <c r="FI6599"/>
      <c r="FJ6599"/>
      <c r="FK6599"/>
      <c r="FL6599"/>
      <c r="FM6599"/>
      <c r="FN6599"/>
      <c r="FO6599"/>
      <c r="FP6599"/>
      <c r="FQ6599"/>
      <c r="FR6599"/>
      <c r="FS6599"/>
      <c r="FT6599"/>
      <c r="FU6599"/>
      <c r="FV6599"/>
      <c r="FW6599"/>
      <c r="FX6599"/>
      <c r="FY6599"/>
      <c r="FZ6599"/>
      <c r="GA6599"/>
      <c r="GB6599"/>
      <c r="GC6599"/>
      <c r="GD6599"/>
      <c r="GE6599"/>
      <c r="GF6599"/>
      <c r="GG6599"/>
      <c r="GH6599"/>
      <c r="GI6599"/>
      <c r="GJ6599"/>
      <c r="GK6599"/>
      <c r="GL6599"/>
      <c r="GM6599"/>
      <c r="GN6599"/>
      <c r="GO6599"/>
    </row>
    <row r="6600" spans="107:197">
      <c r="DC6600"/>
      <c r="FH6600"/>
      <c r="FI6600"/>
      <c r="FJ6600"/>
      <c r="FK6600"/>
      <c r="FL6600"/>
      <c r="FM6600"/>
      <c r="FN6600"/>
      <c r="FO6600"/>
      <c r="FP6600"/>
      <c r="FQ6600"/>
      <c r="FR6600"/>
      <c r="FS6600"/>
      <c r="FT6600"/>
      <c r="FU6600"/>
      <c r="FV6600"/>
      <c r="FW6600"/>
      <c r="FX6600"/>
      <c r="FY6600"/>
      <c r="FZ6600"/>
      <c r="GA6600"/>
      <c r="GB6600"/>
      <c r="GC6600"/>
      <c r="GD6600"/>
      <c r="GE6600"/>
      <c r="GF6600"/>
      <c r="GG6600"/>
      <c r="GH6600"/>
      <c r="GI6600"/>
      <c r="GJ6600"/>
      <c r="GK6600"/>
      <c r="GL6600"/>
      <c r="GM6600"/>
      <c r="GN6600"/>
      <c r="GO6600"/>
    </row>
    <row r="6601" spans="107:197">
      <c r="DC6601"/>
      <c r="FH6601"/>
      <c r="FI6601"/>
      <c r="FJ6601"/>
      <c r="FK6601"/>
      <c r="FL6601"/>
      <c r="FM6601"/>
      <c r="FN6601"/>
      <c r="FO6601"/>
      <c r="FP6601"/>
      <c r="FQ6601"/>
      <c r="FR6601"/>
      <c r="FS6601"/>
      <c r="FT6601"/>
      <c r="FU6601"/>
      <c r="FV6601"/>
      <c r="FW6601"/>
      <c r="FX6601"/>
      <c r="FY6601"/>
      <c r="FZ6601"/>
      <c r="GA6601"/>
      <c r="GB6601"/>
      <c r="GC6601"/>
      <c r="GD6601"/>
      <c r="GE6601"/>
      <c r="GF6601"/>
      <c r="GG6601"/>
      <c r="GH6601"/>
      <c r="GI6601"/>
      <c r="GJ6601"/>
      <c r="GK6601"/>
      <c r="GL6601"/>
      <c r="GM6601"/>
      <c r="GN6601"/>
      <c r="GO6601"/>
    </row>
    <row r="6602" spans="107:197">
      <c r="DC6602"/>
      <c r="FH6602"/>
      <c r="FI6602"/>
      <c r="FJ6602"/>
      <c r="FK6602"/>
      <c r="FL6602"/>
      <c r="FM6602"/>
      <c r="FN6602"/>
      <c r="FO6602"/>
      <c r="FP6602"/>
      <c r="FQ6602"/>
      <c r="FR6602"/>
      <c r="FS6602"/>
      <c r="FT6602"/>
      <c r="FU6602"/>
      <c r="FV6602"/>
      <c r="FW6602"/>
      <c r="FX6602"/>
      <c r="FY6602"/>
      <c r="FZ6602"/>
      <c r="GA6602"/>
      <c r="GB6602"/>
      <c r="GC6602"/>
      <c r="GD6602"/>
      <c r="GE6602"/>
      <c r="GF6602"/>
      <c r="GG6602"/>
      <c r="GH6602"/>
      <c r="GI6602"/>
      <c r="GJ6602"/>
      <c r="GK6602"/>
      <c r="GL6602"/>
      <c r="GM6602"/>
      <c r="GN6602"/>
      <c r="GO6602"/>
    </row>
    <row r="6603" spans="107:197">
      <c r="DC6603"/>
      <c r="FH6603"/>
      <c r="FI6603"/>
      <c r="FJ6603"/>
      <c r="FK6603"/>
      <c r="FL6603"/>
      <c r="FM6603"/>
      <c r="FN6603"/>
      <c r="FO6603"/>
      <c r="FP6603"/>
      <c r="FQ6603"/>
      <c r="FR6603"/>
      <c r="FS6603"/>
      <c r="FT6603"/>
      <c r="FU6603"/>
      <c r="FV6603"/>
      <c r="FW6603"/>
      <c r="FX6603"/>
      <c r="FY6603"/>
      <c r="FZ6603"/>
      <c r="GA6603"/>
      <c r="GB6603"/>
      <c r="GC6603"/>
      <c r="GD6603"/>
      <c r="GE6603"/>
      <c r="GF6603"/>
      <c r="GG6603"/>
      <c r="GH6603"/>
      <c r="GI6603"/>
      <c r="GJ6603"/>
      <c r="GK6603"/>
      <c r="GL6603"/>
      <c r="GM6603"/>
      <c r="GN6603"/>
      <c r="GO6603"/>
    </row>
    <row r="6604" spans="107:197">
      <c r="DC6604"/>
      <c r="FH6604"/>
      <c r="FI6604"/>
      <c r="FJ6604"/>
      <c r="FK6604"/>
      <c r="FL6604"/>
      <c r="FM6604"/>
      <c r="FN6604"/>
      <c r="FO6604"/>
      <c r="FP6604"/>
      <c r="FQ6604"/>
      <c r="FR6604"/>
      <c r="FS6604"/>
      <c r="FT6604"/>
      <c r="FU6604"/>
      <c r="FV6604"/>
      <c r="FW6604"/>
      <c r="FX6604"/>
      <c r="FY6604"/>
      <c r="FZ6604"/>
      <c r="GA6604"/>
      <c r="GB6604"/>
      <c r="GC6604"/>
      <c r="GD6604"/>
      <c r="GE6604"/>
      <c r="GF6604"/>
      <c r="GG6604"/>
      <c r="GH6604"/>
      <c r="GI6604"/>
      <c r="GJ6604"/>
      <c r="GK6604"/>
      <c r="GL6604"/>
      <c r="GM6604"/>
      <c r="GN6604"/>
      <c r="GO6604"/>
    </row>
    <row r="6605" spans="107:197">
      <c r="DC6605"/>
      <c r="FH6605"/>
      <c r="FI6605"/>
      <c r="FJ6605"/>
      <c r="FK6605"/>
      <c r="FL6605"/>
      <c r="FM6605"/>
      <c r="FN6605"/>
      <c r="FO6605"/>
      <c r="FP6605"/>
      <c r="FQ6605"/>
      <c r="FR6605"/>
      <c r="FS6605"/>
      <c r="FT6605"/>
      <c r="FU6605"/>
      <c r="FV6605"/>
      <c r="FW6605"/>
      <c r="FX6605"/>
      <c r="FY6605"/>
      <c r="FZ6605"/>
      <c r="GA6605"/>
      <c r="GB6605"/>
      <c r="GC6605"/>
      <c r="GD6605"/>
      <c r="GE6605"/>
      <c r="GF6605"/>
      <c r="GG6605"/>
      <c r="GH6605"/>
      <c r="GI6605"/>
      <c r="GJ6605"/>
      <c r="GK6605"/>
      <c r="GL6605"/>
      <c r="GM6605"/>
      <c r="GN6605"/>
      <c r="GO6605"/>
    </row>
    <row r="6606" spans="107:197">
      <c r="DC6606"/>
      <c r="FH6606"/>
      <c r="FI6606"/>
      <c r="FJ6606"/>
      <c r="FK6606"/>
      <c r="FL6606"/>
      <c r="FM6606"/>
      <c r="FN6606"/>
      <c r="FO6606"/>
      <c r="FP6606"/>
      <c r="FQ6606"/>
      <c r="FR6606"/>
      <c r="FS6606"/>
      <c r="FT6606"/>
      <c r="FU6606"/>
      <c r="FV6606"/>
      <c r="FW6606"/>
      <c r="FX6606"/>
      <c r="FY6606"/>
      <c r="FZ6606"/>
      <c r="GA6606"/>
      <c r="GB6606"/>
      <c r="GC6606"/>
      <c r="GD6606"/>
      <c r="GE6606"/>
      <c r="GF6606"/>
      <c r="GG6606"/>
      <c r="GH6606"/>
      <c r="GI6606"/>
      <c r="GJ6606"/>
      <c r="GK6606"/>
      <c r="GL6606"/>
      <c r="GM6606"/>
      <c r="GN6606"/>
      <c r="GO6606"/>
    </row>
    <row r="6607" spans="107:197">
      <c r="DC6607"/>
      <c r="FH6607"/>
      <c r="FI6607"/>
      <c r="FJ6607"/>
      <c r="FK6607"/>
      <c r="FL6607"/>
      <c r="FM6607"/>
      <c r="FN6607"/>
      <c r="FO6607"/>
      <c r="FP6607"/>
      <c r="FQ6607"/>
      <c r="FR6607"/>
      <c r="FS6607"/>
      <c r="FT6607"/>
      <c r="FU6607"/>
      <c r="FV6607"/>
      <c r="FW6607"/>
      <c r="FX6607"/>
      <c r="FY6607"/>
      <c r="FZ6607"/>
      <c r="GA6607"/>
      <c r="GB6607"/>
      <c r="GC6607"/>
      <c r="GD6607"/>
      <c r="GE6607"/>
      <c r="GF6607"/>
      <c r="GG6607"/>
      <c r="GH6607"/>
      <c r="GI6607"/>
      <c r="GJ6607"/>
      <c r="GK6607"/>
      <c r="GL6607"/>
      <c r="GM6607"/>
      <c r="GN6607"/>
      <c r="GO6607"/>
    </row>
    <row r="6608" spans="107:197">
      <c r="DC6608"/>
      <c r="FH6608"/>
      <c r="FI6608"/>
      <c r="FJ6608"/>
      <c r="FK6608"/>
      <c r="FL6608"/>
      <c r="FM6608"/>
      <c r="FN6608"/>
      <c r="FO6608"/>
      <c r="FP6608"/>
      <c r="FQ6608"/>
      <c r="FR6608"/>
      <c r="FS6608"/>
      <c r="FT6608"/>
      <c r="FU6608"/>
      <c r="FV6608"/>
      <c r="FW6608"/>
      <c r="FX6608"/>
      <c r="FY6608"/>
      <c r="FZ6608"/>
      <c r="GA6608"/>
      <c r="GB6608"/>
      <c r="GC6608"/>
      <c r="GD6608"/>
      <c r="GE6608"/>
      <c r="GF6608"/>
      <c r="GG6608"/>
      <c r="GH6608"/>
      <c r="GI6608"/>
      <c r="GJ6608"/>
      <c r="GK6608"/>
      <c r="GL6608"/>
      <c r="GM6608"/>
      <c r="GN6608"/>
      <c r="GO6608"/>
    </row>
    <row r="6609" spans="107:197">
      <c r="DC6609"/>
      <c r="FH6609"/>
      <c r="FI6609"/>
      <c r="FJ6609"/>
      <c r="FK6609"/>
      <c r="FL6609"/>
      <c r="FM6609"/>
      <c r="FN6609"/>
      <c r="FO6609"/>
      <c r="FP6609"/>
      <c r="FQ6609"/>
      <c r="FR6609"/>
      <c r="FS6609"/>
      <c r="FT6609"/>
      <c r="FU6609"/>
      <c r="FV6609"/>
      <c r="FW6609"/>
      <c r="FX6609"/>
      <c r="FY6609"/>
      <c r="FZ6609"/>
      <c r="GA6609"/>
      <c r="GB6609"/>
      <c r="GC6609"/>
      <c r="GD6609"/>
      <c r="GE6609"/>
      <c r="GF6609"/>
      <c r="GG6609"/>
      <c r="GH6609"/>
      <c r="GI6609"/>
      <c r="GJ6609"/>
      <c r="GK6609"/>
      <c r="GL6609"/>
      <c r="GM6609"/>
      <c r="GN6609"/>
      <c r="GO6609"/>
    </row>
    <row r="6610" spans="107:197">
      <c r="DC6610"/>
      <c r="FH6610"/>
      <c r="FI6610"/>
      <c r="FJ6610"/>
      <c r="FK6610"/>
      <c r="FL6610"/>
      <c r="FM6610"/>
      <c r="FN6610"/>
      <c r="FO6610"/>
      <c r="FP6610"/>
      <c r="FQ6610"/>
      <c r="FR6610"/>
      <c r="FS6610"/>
      <c r="FT6610"/>
      <c r="FU6610"/>
      <c r="FV6610"/>
      <c r="FW6610"/>
      <c r="FX6610"/>
      <c r="FY6610"/>
      <c r="FZ6610"/>
      <c r="GA6610"/>
      <c r="GB6610"/>
      <c r="GC6610"/>
      <c r="GD6610"/>
      <c r="GE6610"/>
      <c r="GF6610"/>
      <c r="GG6610"/>
      <c r="GH6610"/>
      <c r="GI6610"/>
      <c r="GJ6610"/>
      <c r="GK6610"/>
      <c r="GL6610"/>
      <c r="GM6610"/>
      <c r="GN6610"/>
      <c r="GO6610"/>
    </row>
    <row r="6611" spans="107:197">
      <c r="DC6611"/>
      <c r="FH6611"/>
      <c r="FI6611"/>
      <c r="FJ6611"/>
      <c r="FK6611"/>
      <c r="FL6611"/>
      <c r="FM6611"/>
      <c r="FN6611"/>
      <c r="FO6611"/>
      <c r="FP6611"/>
      <c r="FQ6611"/>
      <c r="FR6611"/>
      <c r="FS6611"/>
      <c r="FT6611"/>
      <c r="FU6611"/>
      <c r="FV6611"/>
      <c r="FW6611"/>
      <c r="FX6611"/>
      <c r="FY6611"/>
      <c r="FZ6611"/>
      <c r="GA6611"/>
      <c r="GB6611"/>
      <c r="GC6611"/>
      <c r="GD6611"/>
      <c r="GE6611"/>
      <c r="GF6611"/>
      <c r="GG6611"/>
      <c r="GH6611"/>
      <c r="GI6611"/>
      <c r="GJ6611"/>
      <c r="GK6611"/>
      <c r="GL6611"/>
      <c r="GM6611"/>
      <c r="GN6611"/>
      <c r="GO6611"/>
    </row>
    <row r="6612" spans="107:197">
      <c r="DC6612"/>
      <c r="FH6612"/>
      <c r="FI6612"/>
      <c r="FJ6612"/>
      <c r="FK6612"/>
      <c r="FL6612"/>
      <c r="FM6612"/>
      <c r="FN6612"/>
      <c r="FO6612"/>
      <c r="FP6612"/>
      <c r="FQ6612"/>
      <c r="FR6612"/>
      <c r="FS6612"/>
      <c r="FT6612"/>
      <c r="FU6612"/>
      <c r="FV6612"/>
      <c r="FW6612"/>
      <c r="FX6612"/>
      <c r="FY6612"/>
      <c r="FZ6612"/>
      <c r="GA6612"/>
      <c r="GB6612"/>
      <c r="GC6612"/>
      <c r="GD6612"/>
      <c r="GE6612"/>
      <c r="GF6612"/>
      <c r="GG6612"/>
      <c r="GH6612"/>
      <c r="GI6612"/>
      <c r="GJ6612"/>
      <c r="GK6612"/>
      <c r="GL6612"/>
      <c r="GM6612"/>
      <c r="GN6612"/>
      <c r="GO6612"/>
    </row>
    <row r="6613" spans="107:197">
      <c r="DC6613"/>
      <c r="FH6613"/>
      <c r="FI6613"/>
      <c r="FJ6613"/>
      <c r="FK6613"/>
      <c r="FL6613"/>
      <c r="FM6613"/>
      <c r="FN6613"/>
      <c r="FO6613"/>
      <c r="FP6613"/>
      <c r="FQ6613"/>
      <c r="FR6613"/>
      <c r="FS6613"/>
      <c r="FT6613"/>
      <c r="FU6613"/>
      <c r="FV6613"/>
      <c r="FW6613"/>
      <c r="FX6613"/>
      <c r="FY6613"/>
      <c r="FZ6613"/>
      <c r="GA6613"/>
      <c r="GB6613"/>
      <c r="GC6613"/>
      <c r="GD6613"/>
      <c r="GE6613"/>
      <c r="GF6613"/>
      <c r="GG6613"/>
      <c r="GH6613"/>
      <c r="GI6613"/>
      <c r="GJ6613"/>
      <c r="GK6613"/>
      <c r="GL6613"/>
      <c r="GM6613"/>
      <c r="GN6613"/>
      <c r="GO6613"/>
    </row>
    <row r="6614" spans="107:197">
      <c r="DC6614"/>
      <c r="FH6614"/>
      <c r="FI6614"/>
      <c r="FJ6614"/>
      <c r="FK6614"/>
      <c r="FL6614"/>
      <c r="FM6614"/>
      <c r="FN6614"/>
      <c r="FO6614"/>
      <c r="FP6614"/>
      <c r="FQ6614"/>
      <c r="FR6614"/>
      <c r="FS6614"/>
      <c r="FT6614"/>
      <c r="FU6614"/>
      <c r="FV6614"/>
      <c r="FW6614"/>
      <c r="FX6614"/>
      <c r="FY6614"/>
      <c r="FZ6614"/>
      <c r="GA6614"/>
      <c r="GB6614"/>
      <c r="GC6614"/>
      <c r="GD6614"/>
      <c r="GE6614"/>
      <c r="GF6614"/>
      <c r="GG6614"/>
      <c r="GH6614"/>
      <c r="GI6614"/>
      <c r="GJ6614"/>
      <c r="GK6614"/>
      <c r="GL6614"/>
      <c r="GM6614"/>
      <c r="GN6614"/>
      <c r="GO6614"/>
    </row>
    <row r="6615" spans="107:197">
      <c r="DC6615"/>
      <c r="FH6615"/>
      <c r="FI6615"/>
      <c r="FJ6615"/>
      <c r="FK6615"/>
      <c r="FL6615"/>
      <c r="FM6615"/>
      <c r="FN6615"/>
      <c r="FO6615"/>
      <c r="FP6615"/>
      <c r="FQ6615"/>
      <c r="FR6615"/>
      <c r="FS6615"/>
      <c r="FT6615"/>
      <c r="FU6615"/>
      <c r="FV6615"/>
      <c r="FW6615"/>
      <c r="FX6615"/>
      <c r="FY6615"/>
      <c r="FZ6615"/>
      <c r="GA6615"/>
      <c r="GB6615"/>
      <c r="GC6615"/>
      <c r="GD6615"/>
      <c r="GE6615"/>
      <c r="GF6615"/>
      <c r="GG6615"/>
      <c r="GH6615"/>
      <c r="GI6615"/>
      <c r="GJ6615"/>
      <c r="GK6615"/>
      <c r="GL6615"/>
      <c r="GM6615"/>
      <c r="GN6615"/>
      <c r="GO6615"/>
    </row>
    <row r="6616" spans="107:197">
      <c r="DC6616"/>
      <c r="FH6616"/>
      <c r="FI6616"/>
      <c r="FJ6616"/>
      <c r="FK6616"/>
      <c r="FL6616"/>
      <c r="FM6616"/>
      <c r="FN6616"/>
      <c r="FO6616"/>
      <c r="FP6616"/>
      <c r="FQ6616"/>
      <c r="FR6616"/>
      <c r="FS6616"/>
      <c r="FT6616"/>
      <c r="FU6616"/>
      <c r="FV6616"/>
      <c r="FW6616"/>
      <c r="FX6616"/>
      <c r="FY6616"/>
      <c r="FZ6616"/>
      <c r="GA6616"/>
      <c r="GB6616"/>
      <c r="GC6616"/>
      <c r="GD6616"/>
      <c r="GE6616"/>
      <c r="GF6616"/>
      <c r="GG6616"/>
      <c r="GH6616"/>
      <c r="GI6616"/>
      <c r="GJ6616"/>
      <c r="GK6616"/>
      <c r="GL6616"/>
      <c r="GM6616"/>
      <c r="GN6616"/>
      <c r="GO6616"/>
    </row>
    <row r="6617" spans="107:197">
      <c r="DC6617"/>
      <c r="FH6617"/>
      <c r="FI6617"/>
      <c r="FJ6617"/>
      <c r="FK6617"/>
      <c r="FL6617"/>
      <c r="FM6617"/>
      <c r="FN6617"/>
      <c r="FO6617"/>
      <c r="FP6617"/>
      <c r="FQ6617"/>
      <c r="FR6617"/>
      <c r="FS6617"/>
      <c r="FT6617"/>
      <c r="FU6617"/>
      <c r="FV6617"/>
      <c r="FW6617"/>
      <c r="FX6617"/>
      <c r="FY6617"/>
      <c r="FZ6617"/>
      <c r="GA6617"/>
      <c r="GB6617"/>
      <c r="GC6617"/>
      <c r="GD6617"/>
      <c r="GE6617"/>
      <c r="GF6617"/>
      <c r="GG6617"/>
      <c r="GH6617"/>
      <c r="GI6617"/>
      <c r="GJ6617"/>
      <c r="GK6617"/>
      <c r="GL6617"/>
      <c r="GM6617"/>
      <c r="GN6617"/>
      <c r="GO6617"/>
    </row>
    <row r="6618" spans="107:197">
      <c r="DC6618"/>
      <c r="FH6618"/>
      <c r="FI6618"/>
      <c r="FJ6618"/>
      <c r="FK6618"/>
      <c r="FL6618"/>
      <c r="FM6618"/>
      <c r="FN6618"/>
      <c r="FO6618"/>
      <c r="FP6618"/>
      <c r="FQ6618"/>
      <c r="FR6618"/>
      <c r="FS6618"/>
      <c r="FT6618"/>
      <c r="FU6618"/>
      <c r="FV6618"/>
      <c r="FW6618"/>
      <c r="FX6618"/>
      <c r="FY6618"/>
      <c r="FZ6618"/>
      <c r="GA6618"/>
      <c r="GB6618"/>
      <c r="GC6618"/>
      <c r="GD6618"/>
      <c r="GE6618"/>
      <c r="GF6618"/>
      <c r="GG6618"/>
      <c r="GH6618"/>
      <c r="GI6618"/>
      <c r="GJ6618"/>
      <c r="GK6618"/>
      <c r="GL6618"/>
      <c r="GM6618"/>
      <c r="GN6618"/>
      <c r="GO6618"/>
    </row>
    <row r="6619" spans="107:197">
      <c r="DC6619"/>
      <c r="FH6619"/>
      <c r="FI6619"/>
      <c r="FJ6619"/>
      <c r="FK6619"/>
      <c r="FL6619"/>
      <c r="FM6619"/>
      <c r="FN6619"/>
      <c r="FO6619"/>
      <c r="FP6619"/>
      <c r="FQ6619"/>
      <c r="FR6619"/>
      <c r="FS6619"/>
      <c r="FT6619"/>
      <c r="FU6619"/>
      <c r="FV6619"/>
      <c r="FW6619"/>
      <c r="FX6619"/>
      <c r="FY6619"/>
      <c r="FZ6619"/>
      <c r="GA6619"/>
      <c r="GB6619"/>
      <c r="GC6619"/>
      <c r="GD6619"/>
      <c r="GE6619"/>
      <c r="GF6619"/>
      <c r="GG6619"/>
      <c r="GH6619"/>
      <c r="GI6619"/>
      <c r="GJ6619"/>
      <c r="GK6619"/>
      <c r="GL6619"/>
      <c r="GM6619"/>
      <c r="GN6619"/>
      <c r="GO6619"/>
    </row>
    <row r="6620" spans="107:197">
      <c r="DC6620"/>
      <c r="FH6620"/>
      <c r="FI6620"/>
      <c r="FJ6620"/>
      <c r="FK6620"/>
      <c r="FL6620"/>
      <c r="FM6620"/>
      <c r="FN6620"/>
      <c r="FO6620"/>
      <c r="FP6620"/>
      <c r="FQ6620"/>
      <c r="FR6620"/>
      <c r="FS6620"/>
      <c r="FT6620"/>
      <c r="FU6620"/>
      <c r="FV6620"/>
      <c r="FW6620"/>
      <c r="FX6620"/>
      <c r="FY6620"/>
      <c r="FZ6620"/>
      <c r="GA6620"/>
      <c r="GB6620"/>
      <c r="GC6620"/>
      <c r="GD6620"/>
      <c r="GE6620"/>
      <c r="GF6620"/>
      <c r="GG6620"/>
      <c r="GH6620"/>
      <c r="GI6620"/>
      <c r="GJ6620"/>
      <c r="GK6620"/>
      <c r="GL6620"/>
      <c r="GM6620"/>
      <c r="GN6620"/>
      <c r="GO6620"/>
    </row>
    <row r="6621" spans="107:197">
      <c r="DC6621"/>
      <c r="FH6621"/>
      <c r="FI6621"/>
      <c r="FJ6621"/>
      <c r="FK6621"/>
      <c r="FL6621"/>
      <c r="FM6621"/>
      <c r="FN6621"/>
      <c r="FO6621"/>
      <c r="FP6621"/>
      <c r="FQ6621"/>
      <c r="FR6621"/>
      <c r="FS6621"/>
      <c r="FT6621"/>
      <c r="FU6621"/>
      <c r="FV6621"/>
      <c r="FW6621"/>
      <c r="FX6621"/>
      <c r="FY6621"/>
      <c r="FZ6621"/>
      <c r="GA6621"/>
      <c r="GB6621"/>
      <c r="GC6621"/>
      <c r="GD6621"/>
      <c r="GE6621"/>
      <c r="GF6621"/>
      <c r="GG6621"/>
      <c r="GH6621"/>
      <c r="GI6621"/>
      <c r="GJ6621"/>
      <c r="GK6621"/>
      <c r="GL6621"/>
      <c r="GM6621"/>
      <c r="GN6621"/>
      <c r="GO6621"/>
    </row>
    <row r="6622" spans="107:197">
      <c r="DC6622"/>
      <c r="FH6622"/>
      <c r="FI6622"/>
      <c r="FJ6622"/>
      <c r="FK6622"/>
      <c r="FL6622"/>
      <c r="FM6622"/>
      <c r="FN6622"/>
      <c r="FO6622"/>
      <c r="FP6622"/>
      <c r="FQ6622"/>
      <c r="FR6622"/>
      <c r="FS6622"/>
      <c r="FT6622"/>
      <c r="FU6622"/>
      <c r="FV6622"/>
      <c r="FW6622"/>
      <c r="FX6622"/>
      <c r="FY6622"/>
      <c r="FZ6622"/>
      <c r="GA6622"/>
      <c r="GB6622"/>
      <c r="GC6622"/>
      <c r="GD6622"/>
      <c r="GE6622"/>
      <c r="GF6622"/>
      <c r="GG6622"/>
      <c r="GH6622"/>
      <c r="GI6622"/>
      <c r="GJ6622"/>
      <c r="GK6622"/>
      <c r="GL6622"/>
      <c r="GM6622"/>
      <c r="GN6622"/>
      <c r="GO6622"/>
    </row>
    <row r="6623" spans="107:197">
      <c r="DC6623"/>
      <c r="FH6623"/>
      <c r="FI6623"/>
      <c r="FJ6623"/>
      <c r="FK6623"/>
      <c r="FL6623"/>
      <c r="FM6623"/>
      <c r="FN6623"/>
      <c r="FO6623"/>
      <c r="FP6623"/>
      <c r="FQ6623"/>
      <c r="FR6623"/>
      <c r="FS6623"/>
      <c r="FT6623"/>
      <c r="FU6623"/>
      <c r="FV6623"/>
      <c r="FW6623"/>
      <c r="FX6623"/>
      <c r="FY6623"/>
      <c r="FZ6623"/>
      <c r="GA6623"/>
      <c r="GB6623"/>
      <c r="GC6623"/>
      <c r="GD6623"/>
      <c r="GE6623"/>
      <c r="GF6623"/>
      <c r="GG6623"/>
      <c r="GH6623"/>
      <c r="GI6623"/>
      <c r="GJ6623"/>
      <c r="GK6623"/>
      <c r="GL6623"/>
      <c r="GM6623"/>
      <c r="GN6623"/>
      <c r="GO6623"/>
    </row>
    <row r="6624" spans="107:197">
      <c r="DC6624"/>
      <c r="FH6624"/>
      <c r="FI6624"/>
      <c r="FJ6624"/>
      <c r="FK6624"/>
      <c r="FL6624"/>
      <c r="FM6624"/>
      <c r="FN6624"/>
      <c r="FO6624"/>
      <c r="FP6624"/>
      <c r="FQ6624"/>
      <c r="FR6624"/>
      <c r="FS6624"/>
      <c r="FT6624"/>
      <c r="FU6624"/>
      <c r="FV6624"/>
      <c r="FW6624"/>
      <c r="FX6624"/>
      <c r="FY6624"/>
      <c r="FZ6624"/>
      <c r="GA6624"/>
      <c r="GB6624"/>
      <c r="GC6624"/>
      <c r="GD6624"/>
      <c r="GE6624"/>
      <c r="GF6624"/>
      <c r="GG6624"/>
      <c r="GH6624"/>
      <c r="GI6624"/>
      <c r="GJ6624"/>
      <c r="GK6624"/>
      <c r="GL6624"/>
      <c r="GM6624"/>
      <c r="GN6624"/>
      <c r="GO6624"/>
    </row>
    <row r="6625" spans="107:197">
      <c r="DC6625"/>
      <c r="FH6625"/>
      <c r="FI6625"/>
      <c r="FJ6625"/>
      <c r="FK6625"/>
      <c r="FL6625"/>
      <c r="FM6625"/>
      <c r="FN6625"/>
      <c r="FO6625"/>
      <c r="FP6625"/>
      <c r="FQ6625"/>
      <c r="FR6625"/>
      <c r="FS6625"/>
      <c r="FT6625"/>
      <c r="FU6625"/>
      <c r="FV6625"/>
      <c r="FW6625"/>
      <c r="FX6625"/>
      <c r="FY6625"/>
      <c r="FZ6625"/>
      <c r="GA6625"/>
      <c r="GB6625"/>
      <c r="GC6625"/>
      <c r="GD6625"/>
      <c r="GE6625"/>
      <c r="GF6625"/>
      <c r="GG6625"/>
      <c r="GH6625"/>
      <c r="GI6625"/>
      <c r="GJ6625"/>
      <c r="GK6625"/>
      <c r="GL6625"/>
      <c r="GM6625"/>
      <c r="GN6625"/>
      <c r="GO6625"/>
    </row>
    <row r="6626" spans="107:197">
      <c r="DC6626"/>
      <c r="FH6626"/>
      <c r="FI6626"/>
      <c r="FJ6626"/>
      <c r="FK6626"/>
      <c r="FL6626"/>
      <c r="FM6626"/>
      <c r="FN6626"/>
      <c r="FO6626"/>
      <c r="FP6626"/>
      <c r="FQ6626"/>
      <c r="FR6626"/>
      <c r="FS6626"/>
      <c r="FT6626"/>
      <c r="FU6626"/>
      <c r="FV6626"/>
      <c r="FW6626"/>
      <c r="FX6626"/>
      <c r="FY6626"/>
      <c r="FZ6626"/>
      <c r="GA6626"/>
      <c r="GB6626"/>
      <c r="GC6626"/>
      <c r="GD6626"/>
      <c r="GE6626"/>
      <c r="GF6626"/>
      <c r="GG6626"/>
      <c r="GH6626"/>
      <c r="GI6626"/>
      <c r="GJ6626"/>
      <c r="GK6626"/>
      <c r="GL6626"/>
      <c r="GM6626"/>
      <c r="GN6626"/>
      <c r="GO6626"/>
    </row>
    <row r="6627" spans="107:197">
      <c r="DC6627"/>
      <c r="FH6627"/>
      <c r="FI6627"/>
      <c r="FJ6627"/>
      <c r="FK6627"/>
      <c r="FL6627"/>
      <c r="FM6627"/>
      <c r="FN6627"/>
      <c r="FO6627"/>
      <c r="FP6627"/>
      <c r="FQ6627"/>
      <c r="FR6627"/>
      <c r="FS6627"/>
      <c r="FT6627"/>
      <c r="FU6627"/>
      <c r="FV6627"/>
      <c r="FW6627"/>
      <c r="FX6627"/>
      <c r="FY6627"/>
      <c r="FZ6627"/>
      <c r="GA6627"/>
      <c r="GB6627"/>
      <c r="GC6627"/>
      <c r="GD6627"/>
      <c r="GE6627"/>
      <c r="GF6627"/>
      <c r="GG6627"/>
      <c r="GH6627"/>
      <c r="GI6627"/>
      <c r="GJ6627"/>
      <c r="GK6627"/>
      <c r="GL6627"/>
      <c r="GM6627"/>
      <c r="GN6627"/>
      <c r="GO6627"/>
    </row>
    <row r="6628" spans="107:197">
      <c r="DC6628"/>
      <c r="FH6628"/>
      <c r="FI6628"/>
      <c r="FJ6628"/>
      <c r="FK6628"/>
      <c r="FL6628"/>
      <c r="FM6628"/>
      <c r="FN6628"/>
      <c r="FO6628"/>
      <c r="FP6628"/>
      <c r="FQ6628"/>
      <c r="FR6628"/>
      <c r="FS6628"/>
      <c r="FT6628"/>
      <c r="FU6628"/>
      <c r="FV6628"/>
      <c r="FW6628"/>
      <c r="FX6628"/>
      <c r="FY6628"/>
      <c r="FZ6628"/>
      <c r="GA6628"/>
      <c r="GB6628"/>
      <c r="GC6628"/>
      <c r="GD6628"/>
      <c r="GE6628"/>
      <c r="GF6628"/>
      <c r="GG6628"/>
      <c r="GH6628"/>
      <c r="GI6628"/>
      <c r="GJ6628"/>
      <c r="GK6628"/>
      <c r="GL6628"/>
      <c r="GM6628"/>
      <c r="GN6628"/>
      <c r="GO6628"/>
    </row>
    <row r="6629" spans="107:197">
      <c r="DC6629"/>
      <c r="FH6629"/>
      <c r="FI6629"/>
      <c r="FJ6629"/>
      <c r="FK6629"/>
      <c r="FL6629"/>
      <c r="FM6629"/>
      <c r="FN6629"/>
      <c r="FO6629"/>
      <c r="FP6629"/>
      <c r="FQ6629"/>
      <c r="FR6629"/>
      <c r="FS6629"/>
      <c r="FT6629"/>
      <c r="FU6629"/>
      <c r="FV6629"/>
      <c r="FW6629"/>
      <c r="FX6629"/>
      <c r="FY6629"/>
      <c r="FZ6629"/>
      <c r="GA6629"/>
      <c r="GB6629"/>
      <c r="GC6629"/>
      <c r="GD6629"/>
      <c r="GE6629"/>
      <c r="GF6629"/>
      <c r="GG6629"/>
      <c r="GH6629"/>
      <c r="GI6629"/>
      <c r="GJ6629"/>
      <c r="GK6629"/>
      <c r="GL6629"/>
      <c r="GM6629"/>
      <c r="GN6629"/>
      <c r="GO6629"/>
    </row>
    <row r="6630" spans="107:197">
      <c r="DC6630"/>
      <c r="FH6630"/>
      <c r="FI6630"/>
      <c r="FJ6630"/>
      <c r="FK6630"/>
      <c r="FL6630"/>
      <c r="FM6630"/>
      <c r="FN6630"/>
      <c r="FO6630"/>
      <c r="FP6630"/>
      <c r="FQ6630"/>
      <c r="FR6630"/>
      <c r="FS6630"/>
      <c r="FT6630"/>
      <c r="FU6630"/>
      <c r="FV6630"/>
      <c r="FW6630"/>
      <c r="FX6630"/>
      <c r="FY6630"/>
      <c r="FZ6630"/>
      <c r="GA6630"/>
      <c r="GB6630"/>
      <c r="GC6630"/>
      <c r="GD6630"/>
      <c r="GE6630"/>
      <c r="GF6630"/>
      <c r="GG6630"/>
      <c r="GH6630"/>
      <c r="GI6630"/>
      <c r="GJ6630"/>
      <c r="GK6630"/>
      <c r="GL6630"/>
      <c r="GM6630"/>
      <c r="GN6630"/>
      <c r="GO6630"/>
    </row>
    <row r="6631" spans="107:197">
      <c r="DC6631"/>
      <c r="FH6631"/>
      <c r="FI6631"/>
      <c r="FJ6631"/>
      <c r="FK6631"/>
      <c r="FL6631"/>
      <c r="FM6631"/>
      <c r="FN6631"/>
      <c r="FO6631"/>
      <c r="FP6631"/>
      <c r="FQ6631"/>
      <c r="FR6631"/>
      <c r="FS6631"/>
      <c r="FT6631"/>
      <c r="FU6631"/>
      <c r="FV6631"/>
      <c r="FW6631"/>
      <c r="FX6631"/>
      <c r="FY6631"/>
      <c r="FZ6631"/>
      <c r="GA6631"/>
      <c r="GB6631"/>
      <c r="GC6631"/>
      <c r="GD6631"/>
      <c r="GE6631"/>
      <c r="GF6631"/>
      <c r="GG6631"/>
      <c r="GH6631"/>
      <c r="GI6631"/>
      <c r="GJ6631"/>
      <c r="GK6631"/>
      <c r="GL6631"/>
      <c r="GM6631"/>
      <c r="GN6631"/>
      <c r="GO6631"/>
    </row>
    <row r="6632" spans="107:197">
      <c r="DC6632"/>
      <c r="FH6632"/>
      <c r="FI6632"/>
      <c r="FJ6632"/>
      <c r="FK6632"/>
      <c r="FL6632"/>
      <c r="FM6632"/>
      <c r="FN6632"/>
      <c r="FO6632"/>
      <c r="FP6632"/>
      <c r="FQ6632"/>
      <c r="FR6632"/>
      <c r="FS6632"/>
      <c r="FT6632"/>
      <c r="FU6632"/>
      <c r="FV6632"/>
      <c r="FW6632"/>
      <c r="FX6632"/>
      <c r="FY6632"/>
      <c r="FZ6632"/>
      <c r="GA6632"/>
      <c r="GB6632"/>
      <c r="GC6632"/>
      <c r="GD6632"/>
      <c r="GE6632"/>
      <c r="GF6632"/>
      <c r="GG6632"/>
      <c r="GH6632"/>
      <c r="GI6632"/>
      <c r="GJ6632"/>
      <c r="GK6632"/>
      <c r="GL6632"/>
      <c r="GM6632"/>
      <c r="GN6632"/>
      <c r="GO6632"/>
    </row>
    <row r="6633" spans="107:197">
      <c r="DC6633"/>
      <c r="FH6633"/>
      <c r="FI6633"/>
      <c r="FJ6633"/>
      <c r="FK6633"/>
      <c r="FL6633"/>
      <c r="FM6633"/>
      <c r="FN6633"/>
      <c r="FO6633"/>
      <c r="FP6633"/>
      <c r="FQ6633"/>
      <c r="FR6633"/>
      <c r="FS6633"/>
      <c r="FT6633"/>
      <c r="FU6633"/>
      <c r="FV6633"/>
      <c r="FW6633"/>
      <c r="FX6633"/>
      <c r="FY6633"/>
      <c r="FZ6633"/>
      <c r="GA6633"/>
      <c r="GB6633"/>
      <c r="GC6633"/>
      <c r="GD6633"/>
      <c r="GE6633"/>
      <c r="GF6633"/>
      <c r="GG6633"/>
      <c r="GH6633"/>
      <c r="GI6633"/>
      <c r="GJ6633"/>
      <c r="GK6633"/>
      <c r="GL6633"/>
      <c r="GM6633"/>
      <c r="GN6633"/>
      <c r="GO6633"/>
    </row>
    <row r="6634" spans="107:197">
      <c r="DC6634"/>
      <c r="FH6634"/>
      <c r="FI6634"/>
      <c r="FJ6634"/>
      <c r="FK6634"/>
      <c r="FL6634"/>
      <c r="FM6634"/>
      <c r="FN6634"/>
      <c r="FO6634"/>
      <c r="FP6634"/>
      <c r="FQ6634"/>
      <c r="FR6634"/>
      <c r="FS6634"/>
      <c r="FT6634"/>
      <c r="FU6634"/>
      <c r="FV6634"/>
      <c r="FW6634"/>
      <c r="FX6634"/>
      <c r="FY6634"/>
      <c r="FZ6634"/>
      <c r="GA6634"/>
      <c r="GB6634"/>
      <c r="GC6634"/>
      <c r="GD6634"/>
      <c r="GE6634"/>
      <c r="GF6634"/>
      <c r="GG6634"/>
      <c r="GH6634"/>
      <c r="GI6634"/>
      <c r="GJ6634"/>
      <c r="GK6634"/>
      <c r="GL6634"/>
      <c r="GM6634"/>
      <c r="GN6634"/>
      <c r="GO6634"/>
    </row>
    <row r="6635" spans="107:197">
      <c r="DC6635"/>
      <c r="FH6635"/>
      <c r="FI6635"/>
      <c r="FJ6635"/>
      <c r="FK6635"/>
      <c r="FL6635"/>
      <c r="FM6635"/>
      <c r="FN6635"/>
      <c r="FO6635"/>
      <c r="FP6635"/>
      <c r="FQ6635"/>
      <c r="FR6635"/>
      <c r="FS6635"/>
      <c r="FT6635"/>
      <c r="FU6635"/>
      <c r="FV6635"/>
      <c r="FW6635"/>
      <c r="FX6635"/>
      <c r="FY6635"/>
      <c r="FZ6635"/>
      <c r="GA6635"/>
      <c r="GB6635"/>
      <c r="GC6635"/>
      <c r="GD6635"/>
      <c r="GE6635"/>
      <c r="GF6635"/>
      <c r="GG6635"/>
      <c r="GH6635"/>
      <c r="GI6635"/>
      <c r="GJ6635"/>
      <c r="GK6635"/>
      <c r="GL6635"/>
      <c r="GM6635"/>
      <c r="GN6635"/>
      <c r="GO6635"/>
    </row>
    <row r="6636" spans="107:197">
      <c r="DC6636"/>
      <c r="FH6636"/>
      <c r="FI6636"/>
      <c r="FJ6636"/>
      <c r="FK6636"/>
      <c r="FL6636"/>
      <c r="FM6636"/>
      <c r="FN6636"/>
      <c r="FO6636"/>
      <c r="FP6636"/>
      <c r="FQ6636"/>
      <c r="FR6636"/>
      <c r="FS6636"/>
      <c r="FT6636"/>
      <c r="FU6636"/>
      <c r="FV6636"/>
      <c r="FW6636"/>
      <c r="FX6636"/>
      <c r="FY6636"/>
      <c r="FZ6636"/>
      <c r="GA6636"/>
      <c r="GB6636"/>
      <c r="GC6636"/>
      <c r="GD6636"/>
      <c r="GE6636"/>
      <c r="GF6636"/>
      <c r="GG6636"/>
      <c r="GH6636"/>
      <c r="GI6636"/>
      <c r="GJ6636"/>
      <c r="GK6636"/>
      <c r="GL6636"/>
      <c r="GM6636"/>
      <c r="GN6636"/>
      <c r="GO6636"/>
    </row>
    <row r="6637" spans="107:197">
      <c r="DC6637"/>
      <c r="FH6637"/>
      <c r="FI6637"/>
      <c r="FJ6637"/>
      <c r="FK6637"/>
      <c r="FL6637"/>
      <c r="FM6637"/>
      <c r="FN6637"/>
      <c r="FO6637"/>
      <c r="FP6637"/>
      <c r="FQ6637"/>
      <c r="FR6637"/>
      <c r="FS6637"/>
      <c r="FT6637"/>
      <c r="FU6637"/>
      <c r="FV6637"/>
      <c r="FW6637"/>
      <c r="FX6637"/>
      <c r="FY6637"/>
      <c r="FZ6637"/>
      <c r="GA6637"/>
      <c r="GB6637"/>
      <c r="GC6637"/>
      <c r="GD6637"/>
      <c r="GE6637"/>
      <c r="GF6637"/>
      <c r="GG6637"/>
      <c r="GH6637"/>
      <c r="GI6637"/>
      <c r="GJ6637"/>
      <c r="GK6637"/>
      <c r="GL6637"/>
      <c r="GM6637"/>
      <c r="GN6637"/>
      <c r="GO6637"/>
    </row>
    <row r="6638" spans="107:197">
      <c r="DC6638"/>
      <c r="FH6638"/>
      <c r="FI6638"/>
      <c r="FJ6638"/>
      <c r="FK6638"/>
      <c r="FL6638"/>
      <c r="FM6638"/>
      <c r="FN6638"/>
      <c r="FO6638"/>
      <c r="FP6638"/>
      <c r="FQ6638"/>
      <c r="FR6638"/>
      <c r="FS6638"/>
      <c r="FT6638"/>
      <c r="FU6638"/>
      <c r="FV6638"/>
      <c r="FW6638"/>
      <c r="FX6638"/>
      <c r="FY6638"/>
      <c r="FZ6638"/>
      <c r="GA6638"/>
      <c r="GB6638"/>
      <c r="GC6638"/>
      <c r="GD6638"/>
      <c r="GE6638"/>
      <c r="GF6638"/>
      <c r="GG6638"/>
      <c r="GH6638"/>
      <c r="GI6638"/>
      <c r="GJ6638"/>
      <c r="GK6638"/>
      <c r="GL6638"/>
      <c r="GM6638"/>
      <c r="GN6638"/>
      <c r="GO6638"/>
    </row>
    <row r="6639" spans="107:197">
      <c r="DC6639"/>
      <c r="FH6639"/>
      <c r="FI6639"/>
      <c r="FJ6639"/>
      <c r="FK6639"/>
      <c r="FL6639"/>
      <c r="FM6639"/>
      <c r="FN6639"/>
      <c r="FO6639"/>
      <c r="FP6639"/>
      <c r="FQ6639"/>
      <c r="FR6639"/>
      <c r="FS6639"/>
      <c r="FT6639"/>
      <c r="FU6639"/>
      <c r="FV6639"/>
      <c r="FW6639"/>
      <c r="FX6639"/>
      <c r="FY6639"/>
      <c r="FZ6639"/>
      <c r="GA6639"/>
      <c r="GB6639"/>
      <c r="GC6639"/>
      <c r="GD6639"/>
      <c r="GE6639"/>
      <c r="GF6639"/>
      <c r="GG6639"/>
      <c r="GH6639"/>
      <c r="GI6639"/>
      <c r="GJ6639"/>
      <c r="GK6639"/>
      <c r="GL6639"/>
      <c r="GM6639"/>
      <c r="GN6639"/>
      <c r="GO6639"/>
    </row>
    <row r="6640" spans="107:197">
      <c r="DC6640"/>
      <c r="FH6640"/>
      <c r="FI6640"/>
      <c r="FJ6640"/>
      <c r="FK6640"/>
      <c r="FL6640"/>
      <c r="FM6640"/>
      <c r="FN6640"/>
      <c r="FO6640"/>
      <c r="FP6640"/>
      <c r="FQ6640"/>
      <c r="FR6640"/>
      <c r="FS6640"/>
      <c r="FT6640"/>
      <c r="FU6640"/>
      <c r="FV6640"/>
      <c r="FW6640"/>
      <c r="FX6640"/>
      <c r="FY6640"/>
      <c r="FZ6640"/>
      <c r="GA6640"/>
      <c r="GB6640"/>
      <c r="GC6640"/>
      <c r="GD6640"/>
      <c r="GE6640"/>
      <c r="GF6640"/>
      <c r="GG6640"/>
      <c r="GH6640"/>
      <c r="GI6640"/>
      <c r="GJ6640"/>
      <c r="GK6640"/>
      <c r="GL6640"/>
      <c r="GM6640"/>
      <c r="GN6640"/>
      <c r="GO6640"/>
    </row>
    <row r="6641" spans="107:197">
      <c r="DC6641"/>
      <c r="FH6641"/>
      <c r="FI6641"/>
      <c r="FJ6641"/>
      <c r="FK6641"/>
      <c r="FL6641"/>
      <c r="FM6641"/>
      <c r="FN6641"/>
      <c r="FO6641"/>
      <c r="FP6641"/>
      <c r="FQ6641"/>
      <c r="FR6641"/>
      <c r="FS6641"/>
      <c r="FT6641"/>
      <c r="FU6641"/>
      <c r="FV6641"/>
      <c r="FW6641"/>
      <c r="FX6641"/>
      <c r="FY6641"/>
      <c r="FZ6641"/>
      <c r="GA6641"/>
      <c r="GB6641"/>
      <c r="GC6641"/>
      <c r="GD6641"/>
      <c r="GE6641"/>
      <c r="GF6641"/>
      <c r="GG6641"/>
      <c r="GH6641"/>
      <c r="GI6641"/>
      <c r="GJ6641"/>
      <c r="GK6641"/>
      <c r="GL6641"/>
      <c r="GM6641"/>
      <c r="GN6641"/>
      <c r="GO6641"/>
    </row>
    <row r="6642" spans="107:197">
      <c r="DC6642"/>
      <c r="FH6642"/>
      <c r="FI6642"/>
      <c r="FJ6642"/>
      <c r="FK6642"/>
      <c r="FL6642"/>
      <c r="FM6642"/>
      <c r="FN6642"/>
      <c r="FO6642"/>
      <c r="FP6642"/>
      <c r="FQ6642"/>
      <c r="FR6642"/>
      <c r="FS6642"/>
      <c r="FT6642"/>
      <c r="FU6642"/>
      <c r="FV6642"/>
      <c r="FW6642"/>
      <c r="FX6642"/>
      <c r="FY6642"/>
      <c r="FZ6642"/>
      <c r="GA6642"/>
      <c r="GB6642"/>
      <c r="GC6642"/>
      <c r="GD6642"/>
      <c r="GE6642"/>
      <c r="GF6642"/>
      <c r="GG6642"/>
      <c r="GH6642"/>
      <c r="GI6642"/>
      <c r="GJ6642"/>
      <c r="GK6642"/>
      <c r="GL6642"/>
      <c r="GM6642"/>
      <c r="GN6642"/>
      <c r="GO6642"/>
    </row>
    <row r="6643" spans="107:197">
      <c r="DC6643"/>
      <c r="FH6643"/>
      <c r="FI6643"/>
      <c r="FJ6643"/>
      <c r="FK6643"/>
      <c r="FL6643"/>
      <c r="FM6643"/>
      <c r="FN6643"/>
      <c r="FO6643"/>
      <c r="FP6643"/>
      <c r="FQ6643"/>
      <c r="FR6643"/>
      <c r="FS6643"/>
      <c r="FT6643"/>
      <c r="FU6643"/>
      <c r="FV6643"/>
      <c r="FW6643"/>
      <c r="FX6643"/>
      <c r="FY6643"/>
      <c r="FZ6643"/>
      <c r="GA6643"/>
      <c r="GB6643"/>
      <c r="GC6643"/>
      <c r="GD6643"/>
      <c r="GE6643"/>
      <c r="GF6643"/>
      <c r="GG6643"/>
      <c r="GH6643"/>
      <c r="GI6643"/>
      <c r="GJ6643"/>
      <c r="GK6643"/>
      <c r="GL6643"/>
      <c r="GM6643"/>
      <c r="GN6643"/>
      <c r="GO6643"/>
    </row>
    <row r="6644" spans="107:197">
      <c r="DC6644"/>
      <c r="FH6644"/>
      <c r="FI6644"/>
      <c r="FJ6644"/>
      <c r="FK6644"/>
      <c r="FL6644"/>
      <c r="FM6644"/>
      <c r="FN6644"/>
      <c r="FO6644"/>
      <c r="FP6644"/>
      <c r="FQ6644"/>
      <c r="FR6644"/>
      <c r="FS6644"/>
      <c r="FT6644"/>
      <c r="FU6644"/>
      <c r="FV6644"/>
      <c r="FW6644"/>
      <c r="FX6644"/>
      <c r="FY6644"/>
      <c r="FZ6644"/>
      <c r="GA6644"/>
      <c r="GB6644"/>
      <c r="GC6644"/>
      <c r="GD6644"/>
      <c r="GE6644"/>
      <c r="GF6644"/>
      <c r="GG6644"/>
      <c r="GH6644"/>
      <c r="GI6644"/>
      <c r="GJ6644"/>
      <c r="GK6644"/>
      <c r="GL6644"/>
      <c r="GM6644"/>
      <c r="GN6644"/>
      <c r="GO6644"/>
    </row>
    <row r="6645" spans="107:197">
      <c r="DC6645"/>
      <c r="FH6645"/>
      <c r="FI6645"/>
      <c r="FJ6645"/>
      <c r="FK6645"/>
      <c r="FL6645"/>
      <c r="FM6645"/>
      <c r="FN6645"/>
      <c r="FO6645"/>
      <c r="FP6645"/>
      <c r="FQ6645"/>
      <c r="FR6645"/>
      <c r="FS6645"/>
      <c r="FT6645"/>
      <c r="FU6645"/>
      <c r="FV6645"/>
      <c r="FW6645"/>
      <c r="FX6645"/>
      <c r="FY6645"/>
      <c r="FZ6645"/>
      <c r="GA6645"/>
      <c r="GB6645"/>
      <c r="GC6645"/>
      <c r="GD6645"/>
      <c r="GE6645"/>
      <c r="GF6645"/>
      <c r="GG6645"/>
      <c r="GH6645"/>
      <c r="GI6645"/>
      <c r="GJ6645"/>
      <c r="GK6645"/>
      <c r="GL6645"/>
      <c r="GM6645"/>
      <c r="GN6645"/>
      <c r="GO6645"/>
    </row>
    <row r="6646" spans="107:197">
      <c r="DC6646"/>
      <c r="FH6646"/>
      <c r="FI6646"/>
      <c r="FJ6646"/>
      <c r="FK6646"/>
      <c r="FL6646"/>
      <c r="FM6646"/>
      <c r="FN6646"/>
      <c r="FO6646"/>
      <c r="FP6646"/>
      <c r="FQ6646"/>
      <c r="FR6646"/>
      <c r="FS6646"/>
      <c r="FT6646"/>
      <c r="FU6646"/>
      <c r="FV6646"/>
      <c r="FW6646"/>
      <c r="FX6646"/>
      <c r="FY6646"/>
      <c r="FZ6646"/>
      <c r="GA6646"/>
      <c r="GB6646"/>
      <c r="GC6646"/>
      <c r="GD6646"/>
      <c r="GE6646"/>
      <c r="GF6646"/>
      <c r="GG6646"/>
      <c r="GH6646"/>
      <c r="GI6646"/>
      <c r="GJ6646"/>
      <c r="GK6646"/>
      <c r="GL6646"/>
      <c r="GM6646"/>
      <c r="GN6646"/>
      <c r="GO6646"/>
    </row>
    <row r="6647" spans="107:197">
      <c r="DC6647"/>
      <c r="FH6647"/>
      <c r="FI6647"/>
      <c r="FJ6647"/>
      <c r="FK6647"/>
      <c r="FL6647"/>
      <c r="FM6647"/>
      <c r="FN6647"/>
      <c r="FO6647"/>
      <c r="FP6647"/>
      <c r="FQ6647"/>
      <c r="FR6647"/>
      <c r="FS6647"/>
      <c r="FT6647"/>
      <c r="FU6647"/>
      <c r="FV6647"/>
      <c r="FW6647"/>
      <c r="FX6647"/>
      <c r="FY6647"/>
      <c r="FZ6647"/>
      <c r="GA6647"/>
      <c r="GB6647"/>
      <c r="GC6647"/>
      <c r="GD6647"/>
      <c r="GE6647"/>
      <c r="GF6647"/>
      <c r="GG6647"/>
      <c r="GH6647"/>
      <c r="GI6647"/>
      <c r="GJ6647"/>
      <c r="GK6647"/>
      <c r="GL6647"/>
      <c r="GM6647"/>
      <c r="GN6647"/>
      <c r="GO6647"/>
    </row>
    <row r="6648" spans="107:197">
      <c r="DC6648"/>
      <c r="FH6648"/>
      <c r="FI6648"/>
      <c r="FJ6648"/>
      <c r="FK6648"/>
      <c r="FL6648"/>
      <c r="FM6648"/>
      <c r="FN6648"/>
      <c r="FO6648"/>
      <c r="FP6648"/>
      <c r="FQ6648"/>
      <c r="FR6648"/>
      <c r="FS6648"/>
      <c r="FT6648"/>
      <c r="FU6648"/>
      <c r="FV6648"/>
      <c r="FW6648"/>
      <c r="FX6648"/>
      <c r="FY6648"/>
      <c r="FZ6648"/>
      <c r="GA6648"/>
      <c r="GB6648"/>
      <c r="GC6648"/>
      <c r="GD6648"/>
      <c r="GE6648"/>
      <c r="GF6648"/>
      <c r="GG6648"/>
      <c r="GH6648"/>
      <c r="GI6648"/>
      <c r="GJ6648"/>
      <c r="GK6648"/>
      <c r="GL6648"/>
      <c r="GM6648"/>
      <c r="GN6648"/>
      <c r="GO6648"/>
    </row>
    <row r="6649" spans="107:197">
      <c r="DC6649"/>
      <c r="FH6649"/>
      <c r="FI6649"/>
      <c r="FJ6649"/>
      <c r="FK6649"/>
      <c r="FL6649"/>
      <c r="FM6649"/>
      <c r="FN6649"/>
      <c r="FO6649"/>
      <c r="FP6649"/>
      <c r="FQ6649"/>
      <c r="FR6649"/>
      <c r="FS6649"/>
      <c r="FT6649"/>
      <c r="FU6649"/>
      <c r="FV6649"/>
      <c r="FW6649"/>
      <c r="FX6649"/>
      <c r="FY6649"/>
      <c r="FZ6649"/>
      <c r="GA6649"/>
      <c r="GB6649"/>
      <c r="GC6649"/>
      <c r="GD6649"/>
      <c r="GE6649"/>
      <c r="GF6649"/>
      <c r="GG6649"/>
      <c r="GH6649"/>
      <c r="GI6649"/>
      <c r="GJ6649"/>
      <c r="GK6649"/>
      <c r="GL6649"/>
      <c r="GM6649"/>
      <c r="GN6649"/>
      <c r="GO6649"/>
    </row>
    <row r="6650" spans="107:197">
      <c r="DC6650"/>
      <c r="FH6650"/>
      <c r="FI6650"/>
      <c r="FJ6650"/>
      <c r="FK6650"/>
      <c r="FL6650"/>
      <c r="FM6650"/>
      <c r="FN6650"/>
      <c r="FO6650"/>
      <c r="FP6650"/>
      <c r="FQ6650"/>
      <c r="FR6650"/>
      <c r="FS6650"/>
      <c r="FT6650"/>
      <c r="FU6650"/>
      <c r="FV6650"/>
      <c r="FW6650"/>
      <c r="FX6650"/>
      <c r="FY6650"/>
      <c r="FZ6650"/>
      <c r="GA6650"/>
      <c r="GB6650"/>
      <c r="GC6650"/>
      <c r="GD6650"/>
      <c r="GE6650"/>
      <c r="GF6650"/>
      <c r="GG6650"/>
      <c r="GH6650"/>
      <c r="GI6650"/>
      <c r="GJ6650"/>
      <c r="GK6650"/>
      <c r="GL6650"/>
      <c r="GM6650"/>
      <c r="GN6650"/>
      <c r="GO6650"/>
    </row>
    <row r="6651" spans="107:197">
      <c r="DC6651"/>
      <c r="FH6651"/>
      <c r="FI6651"/>
      <c r="FJ6651"/>
      <c r="FK6651"/>
      <c r="FL6651"/>
      <c r="FM6651"/>
      <c r="FN6651"/>
      <c r="FO6651"/>
      <c r="FP6651"/>
      <c r="FQ6651"/>
      <c r="FR6651"/>
      <c r="FS6651"/>
      <c r="FT6651"/>
      <c r="FU6651"/>
      <c r="FV6651"/>
      <c r="FW6651"/>
      <c r="FX6651"/>
      <c r="FY6651"/>
      <c r="FZ6651"/>
      <c r="GA6651"/>
      <c r="GB6651"/>
      <c r="GC6651"/>
      <c r="GD6651"/>
      <c r="GE6651"/>
      <c r="GF6651"/>
      <c r="GG6651"/>
      <c r="GH6651"/>
      <c r="GI6651"/>
      <c r="GJ6651"/>
      <c r="GK6651"/>
      <c r="GL6651"/>
      <c r="GM6651"/>
      <c r="GN6651"/>
      <c r="GO6651"/>
    </row>
    <row r="6652" spans="107:197">
      <c r="DC6652"/>
      <c r="FH6652"/>
      <c r="FI6652"/>
      <c r="FJ6652"/>
      <c r="FK6652"/>
      <c r="FL6652"/>
      <c r="FM6652"/>
      <c r="FN6652"/>
      <c r="FO6652"/>
      <c r="FP6652"/>
      <c r="FQ6652"/>
      <c r="FR6652"/>
      <c r="FS6652"/>
      <c r="FT6652"/>
      <c r="FU6652"/>
      <c r="FV6652"/>
      <c r="FW6652"/>
      <c r="FX6652"/>
      <c r="FY6652"/>
      <c r="FZ6652"/>
      <c r="GA6652"/>
      <c r="GB6652"/>
      <c r="GC6652"/>
      <c r="GD6652"/>
      <c r="GE6652"/>
      <c r="GF6652"/>
      <c r="GG6652"/>
      <c r="GH6652"/>
      <c r="GI6652"/>
      <c r="GJ6652"/>
      <c r="GK6652"/>
      <c r="GL6652"/>
      <c r="GM6652"/>
      <c r="GN6652"/>
      <c r="GO6652"/>
    </row>
    <row r="6653" spans="107:197">
      <c r="DC6653"/>
      <c r="FH6653"/>
      <c r="FI6653"/>
      <c r="FJ6653"/>
      <c r="FK6653"/>
      <c r="FL6653"/>
      <c r="FM6653"/>
      <c r="FN6653"/>
      <c r="FO6653"/>
      <c r="FP6653"/>
      <c r="FQ6653"/>
      <c r="FR6653"/>
      <c r="FS6653"/>
      <c r="FT6653"/>
      <c r="FU6653"/>
      <c r="FV6653"/>
      <c r="FW6653"/>
      <c r="FX6653"/>
      <c r="FY6653"/>
      <c r="FZ6653"/>
      <c r="GA6653"/>
      <c r="GB6653"/>
      <c r="GC6653"/>
      <c r="GD6653"/>
      <c r="GE6653"/>
      <c r="GF6653"/>
      <c r="GG6653"/>
      <c r="GH6653"/>
      <c r="GI6653"/>
      <c r="GJ6653"/>
      <c r="GK6653"/>
      <c r="GL6653"/>
      <c r="GM6653"/>
      <c r="GN6653"/>
      <c r="GO6653"/>
    </row>
    <row r="6654" spans="107:197">
      <c r="DC6654"/>
      <c r="FH6654"/>
      <c r="FI6654"/>
      <c r="FJ6654"/>
      <c r="FK6654"/>
      <c r="FL6654"/>
      <c r="FM6654"/>
      <c r="FN6654"/>
      <c r="FO6654"/>
      <c r="FP6654"/>
      <c r="FQ6654"/>
      <c r="FR6654"/>
      <c r="FS6654"/>
      <c r="FT6654"/>
      <c r="FU6654"/>
      <c r="FV6654"/>
      <c r="FW6654"/>
      <c r="FX6654"/>
      <c r="FY6654"/>
      <c r="FZ6654"/>
      <c r="GA6654"/>
      <c r="GB6654"/>
      <c r="GC6654"/>
      <c r="GD6654"/>
      <c r="GE6654"/>
      <c r="GF6654"/>
      <c r="GG6654"/>
      <c r="GH6654"/>
      <c r="GI6654"/>
      <c r="GJ6654"/>
      <c r="GK6654"/>
      <c r="GL6654"/>
      <c r="GM6654"/>
      <c r="GN6654"/>
      <c r="GO6654"/>
    </row>
    <row r="6655" spans="107:197">
      <c r="DC6655"/>
      <c r="FH6655"/>
      <c r="FI6655"/>
      <c r="FJ6655"/>
      <c r="FK6655"/>
      <c r="FL6655"/>
      <c r="FM6655"/>
      <c r="FN6655"/>
      <c r="FO6655"/>
      <c r="FP6655"/>
      <c r="FQ6655"/>
      <c r="FR6655"/>
      <c r="FS6655"/>
      <c r="FT6655"/>
      <c r="FU6655"/>
      <c r="FV6655"/>
      <c r="FW6655"/>
      <c r="FX6655"/>
      <c r="FY6655"/>
      <c r="FZ6655"/>
      <c r="GA6655"/>
      <c r="GB6655"/>
      <c r="GC6655"/>
      <c r="GD6655"/>
      <c r="GE6655"/>
      <c r="GF6655"/>
      <c r="GG6655"/>
      <c r="GH6655"/>
      <c r="GI6655"/>
      <c r="GJ6655"/>
      <c r="GK6655"/>
      <c r="GL6655"/>
      <c r="GM6655"/>
      <c r="GN6655"/>
      <c r="GO6655"/>
    </row>
    <row r="6656" spans="107:197">
      <c r="DC6656"/>
      <c r="FH6656"/>
      <c r="FI6656"/>
      <c r="FJ6656"/>
      <c r="FK6656"/>
      <c r="FL6656"/>
      <c r="FM6656"/>
      <c r="FN6656"/>
      <c r="FO6656"/>
      <c r="FP6656"/>
      <c r="FQ6656"/>
      <c r="FR6656"/>
      <c r="FS6656"/>
      <c r="FT6656"/>
      <c r="FU6656"/>
      <c r="FV6656"/>
      <c r="FW6656"/>
      <c r="FX6656"/>
      <c r="FY6656"/>
      <c r="FZ6656"/>
      <c r="GA6656"/>
      <c r="GB6656"/>
      <c r="GC6656"/>
      <c r="GD6656"/>
      <c r="GE6656"/>
      <c r="GF6656"/>
      <c r="GG6656"/>
      <c r="GH6656"/>
      <c r="GI6656"/>
      <c r="GJ6656"/>
      <c r="GK6656"/>
      <c r="GL6656"/>
      <c r="GM6656"/>
      <c r="GN6656"/>
      <c r="GO6656"/>
    </row>
    <row r="6657" spans="107:197">
      <c r="DC6657"/>
      <c r="FH6657"/>
      <c r="FI6657"/>
      <c r="FJ6657"/>
      <c r="FK6657"/>
      <c r="FL6657"/>
      <c r="FM6657"/>
      <c r="FN6657"/>
      <c r="FO6657"/>
      <c r="FP6657"/>
      <c r="FQ6657"/>
      <c r="FR6657"/>
      <c r="FS6657"/>
      <c r="FT6657"/>
      <c r="FU6657"/>
      <c r="FV6657"/>
      <c r="FW6657"/>
      <c r="FX6657"/>
      <c r="FY6657"/>
      <c r="FZ6657"/>
      <c r="GA6657"/>
      <c r="GB6657"/>
      <c r="GC6657"/>
      <c r="GD6657"/>
      <c r="GE6657"/>
      <c r="GF6657"/>
      <c r="GG6657"/>
      <c r="GH6657"/>
      <c r="GI6657"/>
      <c r="GJ6657"/>
      <c r="GK6657"/>
      <c r="GL6657"/>
      <c r="GM6657"/>
      <c r="GN6657"/>
      <c r="GO6657"/>
    </row>
    <row r="6658" spans="107:197">
      <c r="DC6658"/>
      <c r="FH6658"/>
      <c r="FI6658"/>
      <c r="FJ6658"/>
      <c r="FK6658"/>
      <c r="FL6658"/>
      <c r="FM6658"/>
      <c r="FN6658"/>
      <c r="FO6658"/>
      <c r="FP6658"/>
      <c r="FQ6658"/>
      <c r="FR6658"/>
      <c r="FS6658"/>
      <c r="FT6658"/>
      <c r="FU6658"/>
      <c r="FV6658"/>
      <c r="FW6658"/>
      <c r="FX6658"/>
      <c r="FY6658"/>
      <c r="FZ6658"/>
      <c r="GA6658"/>
      <c r="GB6658"/>
      <c r="GC6658"/>
      <c r="GD6658"/>
      <c r="GE6658"/>
      <c r="GF6658"/>
      <c r="GG6658"/>
      <c r="GH6658"/>
      <c r="GI6658"/>
      <c r="GJ6658"/>
      <c r="GK6658"/>
      <c r="GL6658"/>
      <c r="GM6658"/>
      <c r="GN6658"/>
      <c r="GO6658"/>
    </row>
    <row r="6659" spans="107:197">
      <c r="DC6659"/>
      <c r="FH6659"/>
      <c r="FI6659"/>
      <c r="FJ6659"/>
      <c r="FK6659"/>
      <c r="FL6659"/>
      <c r="FM6659"/>
      <c r="FN6659"/>
      <c r="FO6659"/>
      <c r="FP6659"/>
      <c r="FQ6659"/>
      <c r="FR6659"/>
      <c r="FS6659"/>
      <c r="FT6659"/>
      <c r="FU6659"/>
      <c r="FV6659"/>
      <c r="FW6659"/>
      <c r="FX6659"/>
      <c r="FY6659"/>
      <c r="FZ6659"/>
      <c r="GA6659"/>
      <c r="GB6659"/>
      <c r="GC6659"/>
      <c r="GD6659"/>
      <c r="GE6659"/>
      <c r="GF6659"/>
      <c r="GG6659"/>
      <c r="GH6659"/>
      <c r="GI6659"/>
      <c r="GJ6659"/>
      <c r="GK6659"/>
      <c r="GL6659"/>
      <c r="GM6659"/>
      <c r="GN6659"/>
      <c r="GO6659"/>
    </row>
    <row r="6660" spans="107:197">
      <c r="DC6660"/>
      <c r="FH6660"/>
      <c r="FI6660"/>
      <c r="FJ6660"/>
      <c r="FK6660"/>
      <c r="FL6660"/>
      <c r="FM6660"/>
      <c r="FN6660"/>
      <c r="FO6660"/>
      <c r="FP6660"/>
      <c r="FQ6660"/>
      <c r="FR6660"/>
      <c r="FS6660"/>
      <c r="FT6660"/>
      <c r="FU6660"/>
      <c r="FV6660"/>
      <c r="FW6660"/>
      <c r="FX6660"/>
      <c r="FY6660"/>
      <c r="FZ6660"/>
      <c r="GA6660"/>
      <c r="GB6660"/>
      <c r="GC6660"/>
      <c r="GD6660"/>
      <c r="GE6660"/>
      <c r="GF6660"/>
      <c r="GG6660"/>
      <c r="GH6660"/>
      <c r="GI6660"/>
      <c r="GJ6660"/>
      <c r="GK6660"/>
      <c r="GL6660"/>
      <c r="GM6660"/>
      <c r="GN6660"/>
      <c r="GO6660"/>
    </row>
    <row r="6661" spans="107:197">
      <c r="DC6661"/>
      <c r="FH6661"/>
      <c r="FI6661"/>
      <c r="FJ6661"/>
      <c r="FK6661"/>
      <c r="FL6661"/>
      <c r="FM6661"/>
      <c r="FN6661"/>
      <c r="FO6661"/>
      <c r="FP6661"/>
      <c r="FQ6661"/>
      <c r="FR6661"/>
      <c r="FS6661"/>
      <c r="FT6661"/>
      <c r="FU6661"/>
      <c r="FV6661"/>
      <c r="FW6661"/>
      <c r="FX6661"/>
      <c r="FY6661"/>
      <c r="FZ6661"/>
      <c r="GA6661"/>
      <c r="GB6661"/>
      <c r="GC6661"/>
      <c r="GD6661"/>
      <c r="GE6661"/>
      <c r="GF6661"/>
      <c r="GG6661"/>
      <c r="GH6661"/>
      <c r="GI6661"/>
      <c r="GJ6661"/>
      <c r="GK6661"/>
      <c r="GL6661"/>
      <c r="GM6661"/>
      <c r="GN6661"/>
      <c r="GO6661"/>
    </row>
    <row r="6662" spans="107:197">
      <c r="DC6662"/>
      <c r="FH6662"/>
      <c r="FI6662"/>
      <c r="FJ6662"/>
      <c r="FK6662"/>
      <c r="FL6662"/>
      <c r="FM6662"/>
      <c r="FN6662"/>
      <c r="FO6662"/>
      <c r="FP6662"/>
      <c r="FQ6662"/>
      <c r="FR6662"/>
      <c r="FS6662"/>
      <c r="FT6662"/>
      <c r="FU6662"/>
      <c r="FV6662"/>
      <c r="FW6662"/>
      <c r="FX6662"/>
      <c r="FY6662"/>
      <c r="FZ6662"/>
      <c r="GA6662"/>
      <c r="GB6662"/>
      <c r="GC6662"/>
      <c r="GD6662"/>
      <c r="GE6662"/>
      <c r="GF6662"/>
      <c r="GG6662"/>
      <c r="GH6662"/>
      <c r="GI6662"/>
      <c r="GJ6662"/>
      <c r="GK6662"/>
      <c r="GL6662"/>
      <c r="GM6662"/>
      <c r="GN6662"/>
      <c r="GO6662"/>
    </row>
    <row r="6663" spans="107:197">
      <c r="DC6663"/>
      <c r="FH6663"/>
      <c r="FI6663"/>
      <c r="FJ6663"/>
      <c r="FK6663"/>
      <c r="FL6663"/>
      <c r="FM6663"/>
      <c r="FN6663"/>
      <c r="FO6663"/>
      <c r="FP6663"/>
      <c r="FQ6663"/>
      <c r="FR6663"/>
      <c r="FS6663"/>
      <c r="FT6663"/>
      <c r="FU6663"/>
      <c r="FV6663"/>
      <c r="FW6663"/>
      <c r="FX6663"/>
      <c r="FY6663"/>
      <c r="FZ6663"/>
      <c r="GA6663"/>
      <c r="GB6663"/>
      <c r="GC6663"/>
      <c r="GD6663"/>
      <c r="GE6663"/>
      <c r="GF6663"/>
      <c r="GG6663"/>
      <c r="GH6663"/>
      <c r="GI6663"/>
      <c r="GJ6663"/>
      <c r="GK6663"/>
      <c r="GL6663"/>
      <c r="GM6663"/>
      <c r="GN6663"/>
      <c r="GO6663"/>
    </row>
    <row r="6664" spans="107:197">
      <c r="DC6664"/>
      <c r="FH6664"/>
      <c r="FI6664"/>
      <c r="FJ6664"/>
      <c r="FK6664"/>
      <c r="FL6664"/>
      <c r="FM6664"/>
      <c r="FN6664"/>
      <c r="FO6664"/>
      <c r="FP6664"/>
      <c r="FQ6664"/>
      <c r="FR6664"/>
      <c r="FS6664"/>
      <c r="FT6664"/>
      <c r="FU6664"/>
      <c r="FV6664"/>
      <c r="FW6664"/>
      <c r="FX6664"/>
      <c r="FY6664"/>
      <c r="FZ6664"/>
      <c r="GA6664"/>
      <c r="GB6664"/>
      <c r="GC6664"/>
      <c r="GD6664"/>
      <c r="GE6664"/>
      <c r="GF6664"/>
      <c r="GG6664"/>
      <c r="GH6664"/>
      <c r="GI6664"/>
      <c r="GJ6664"/>
      <c r="GK6664"/>
      <c r="GL6664"/>
      <c r="GM6664"/>
      <c r="GN6664"/>
      <c r="GO6664"/>
    </row>
    <row r="6665" spans="107:197">
      <c r="DC6665"/>
      <c r="FH6665"/>
      <c r="FI6665"/>
      <c r="FJ6665"/>
      <c r="FK6665"/>
      <c r="FL6665"/>
      <c r="FM6665"/>
      <c r="FN6665"/>
      <c r="FO6665"/>
      <c r="FP6665"/>
      <c r="FQ6665"/>
      <c r="FR6665"/>
      <c r="FS6665"/>
      <c r="FT6665"/>
      <c r="FU6665"/>
      <c r="FV6665"/>
      <c r="FW6665"/>
      <c r="FX6665"/>
      <c r="FY6665"/>
      <c r="FZ6665"/>
      <c r="GA6665"/>
      <c r="GB6665"/>
      <c r="GC6665"/>
      <c r="GD6665"/>
      <c r="GE6665"/>
      <c r="GF6665"/>
      <c r="GG6665"/>
      <c r="GH6665"/>
      <c r="GI6665"/>
      <c r="GJ6665"/>
      <c r="GK6665"/>
      <c r="GL6665"/>
      <c r="GM6665"/>
      <c r="GN6665"/>
      <c r="GO6665"/>
    </row>
    <row r="6666" spans="107:197">
      <c r="DC6666"/>
      <c r="FH6666"/>
      <c r="FI6666"/>
      <c r="FJ6666"/>
      <c r="FK6666"/>
      <c r="FL6666"/>
      <c r="FM6666"/>
      <c r="FN6666"/>
      <c r="FO6666"/>
      <c r="FP6666"/>
      <c r="FQ6666"/>
      <c r="FR6666"/>
      <c r="FS6666"/>
      <c r="FT6666"/>
      <c r="FU6666"/>
      <c r="FV6666"/>
      <c r="FW6666"/>
      <c r="FX6666"/>
      <c r="FY6666"/>
      <c r="FZ6666"/>
      <c r="GA6666"/>
      <c r="GB6666"/>
      <c r="GC6666"/>
      <c r="GD6666"/>
      <c r="GE6666"/>
      <c r="GF6666"/>
      <c r="GG6666"/>
      <c r="GH6666"/>
      <c r="GI6666"/>
      <c r="GJ6666"/>
      <c r="GK6666"/>
      <c r="GL6666"/>
      <c r="GM6666"/>
      <c r="GN6666"/>
      <c r="GO6666"/>
    </row>
    <row r="6667" spans="107:197">
      <c r="DC6667"/>
      <c r="FH6667"/>
      <c r="FI6667"/>
      <c r="FJ6667"/>
      <c r="FK6667"/>
      <c r="FL6667"/>
      <c r="FM6667"/>
      <c r="FN6667"/>
      <c r="FO6667"/>
      <c r="FP6667"/>
      <c r="FQ6667"/>
      <c r="FR6667"/>
      <c r="FS6667"/>
      <c r="FT6667"/>
      <c r="FU6667"/>
      <c r="FV6667"/>
      <c r="FW6667"/>
      <c r="FX6667"/>
      <c r="FY6667"/>
      <c r="FZ6667"/>
      <c r="GA6667"/>
      <c r="GB6667"/>
      <c r="GC6667"/>
      <c r="GD6667"/>
      <c r="GE6667"/>
      <c r="GF6667"/>
      <c r="GG6667"/>
      <c r="GH6667"/>
      <c r="GI6667"/>
      <c r="GJ6667"/>
      <c r="GK6667"/>
      <c r="GL6667"/>
      <c r="GM6667"/>
      <c r="GN6667"/>
      <c r="GO6667"/>
    </row>
    <row r="6668" spans="107:197">
      <c r="DC6668"/>
      <c r="FH6668"/>
      <c r="FI6668"/>
      <c r="FJ6668"/>
      <c r="FK6668"/>
      <c r="FL6668"/>
      <c r="FM6668"/>
      <c r="FN6668"/>
      <c r="FO6668"/>
      <c r="FP6668"/>
      <c r="FQ6668"/>
      <c r="FR6668"/>
      <c r="FS6668"/>
      <c r="FT6668"/>
      <c r="FU6668"/>
      <c r="FV6668"/>
      <c r="FW6668"/>
      <c r="FX6668"/>
      <c r="FY6668"/>
      <c r="FZ6668"/>
      <c r="GA6668"/>
      <c r="GB6668"/>
      <c r="GC6668"/>
      <c r="GD6668"/>
      <c r="GE6668"/>
      <c r="GF6668"/>
      <c r="GG6668"/>
      <c r="GH6668"/>
      <c r="GI6668"/>
      <c r="GJ6668"/>
      <c r="GK6668"/>
      <c r="GL6668"/>
      <c r="GM6668"/>
      <c r="GN6668"/>
      <c r="GO6668"/>
    </row>
    <row r="6669" spans="107:197">
      <c r="DC6669"/>
      <c r="FH6669"/>
      <c r="FI6669"/>
      <c r="FJ6669"/>
      <c r="FK6669"/>
      <c r="FL6669"/>
      <c r="FM6669"/>
      <c r="FN6669"/>
      <c r="FO6669"/>
      <c r="FP6669"/>
      <c r="FQ6669"/>
      <c r="FR6669"/>
      <c r="FS6669"/>
      <c r="FT6669"/>
      <c r="FU6669"/>
      <c r="FV6669"/>
      <c r="FW6669"/>
      <c r="FX6669"/>
      <c r="FY6669"/>
      <c r="FZ6669"/>
      <c r="GA6669"/>
      <c r="GB6669"/>
      <c r="GC6669"/>
      <c r="GD6669"/>
      <c r="GE6669"/>
      <c r="GF6669"/>
      <c r="GG6669"/>
      <c r="GH6669"/>
      <c r="GI6669"/>
      <c r="GJ6669"/>
      <c r="GK6669"/>
      <c r="GL6669"/>
      <c r="GM6669"/>
      <c r="GN6669"/>
      <c r="GO6669"/>
    </row>
    <row r="6670" spans="107:197">
      <c r="DC6670"/>
      <c r="FH6670"/>
      <c r="FI6670"/>
      <c r="FJ6670"/>
      <c r="FK6670"/>
      <c r="FL6670"/>
      <c r="FM6670"/>
      <c r="FN6670"/>
      <c r="FO6670"/>
      <c r="FP6670"/>
      <c r="FQ6670"/>
      <c r="FR6670"/>
      <c r="FS6670"/>
      <c r="FT6670"/>
      <c r="FU6670"/>
      <c r="FV6670"/>
      <c r="FW6670"/>
      <c r="FX6670"/>
      <c r="FY6670"/>
      <c r="FZ6670"/>
      <c r="GA6670"/>
      <c r="GB6670"/>
      <c r="GC6670"/>
      <c r="GD6670"/>
      <c r="GE6670"/>
      <c r="GF6670"/>
      <c r="GG6670"/>
      <c r="GH6670"/>
      <c r="GI6670"/>
      <c r="GJ6670"/>
      <c r="GK6670"/>
      <c r="GL6670"/>
      <c r="GM6670"/>
      <c r="GN6670"/>
      <c r="GO6670"/>
    </row>
    <row r="6671" spans="107:197">
      <c r="DC6671"/>
      <c r="FH6671"/>
      <c r="FI6671"/>
      <c r="FJ6671"/>
      <c r="FK6671"/>
      <c r="FL6671"/>
      <c r="FM6671"/>
      <c r="FN6671"/>
      <c r="FO6671"/>
      <c r="FP6671"/>
      <c r="FQ6671"/>
      <c r="FR6671"/>
      <c r="FS6671"/>
      <c r="FT6671"/>
      <c r="FU6671"/>
      <c r="FV6671"/>
      <c r="FW6671"/>
      <c r="FX6671"/>
      <c r="FY6671"/>
      <c r="FZ6671"/>
      <c r="GA6671"/>
      <c r="GB6671"/>
      <c r="GC6671"/>
      <c r="GD6671"/>
      <c r="GE6671"/>
      <c r="GF6671"/>
      <c r="GG6671"/>
      <c r="GH6671"/>
      <c r="GI6671"/>
      <c r="GJ6671"/>
      <c r="GK6671"/>
      <c r="GL6671"/>
      <c r="GM6671"/>
      <c r="GN6671"/>
      <c r="GO6671"/>
    </row>
    <row r="6672" spans="107:197">
      <c r="DC6672"/>
      <c r="FH6672"/>
      <c r="FI6672"/>
      <c r="FJ6672"/>
      <c r="FK6672"/>
      <c r="FL6672"/>
      <c r="FM6672"/>
      <c r="FN6672"/>
      <c r="FO6672"/>
      <c r="FP6672"/>
      <c r="FQ6672"/>
      <c r="FR6672"/>
      <c r="FS6672"/>
      <c r="FT6672"/>
      <c r="FU6672"/>
      <c r="FV6672"/>
      <c r="FW6672"/>
      <c r="FX6672"/>
      <c r="FY6672"/>
      <c r="FZ6672"/>
      <c r="GA6672"/>
      <c r="GB6672"/>
      <c r="GC6672"/>
      <c r="GD6672"/>
      <c r="GE6672"/>
      <c r="GF6672"/>
      <c r="GG6672"/>
      <c r="GH6672"/>
      <c r="GI6672"/>
      <c r="GJ6672"/>
      <c r="GK6672"/>
      <c r="GL6672"/>
      <c r="GM6672"/>
      <c r="GN6672"/>
      <c r="GO6672"/>
    </row>
    <row r="6673" spans="107:197">
      <c r="DC6673"/>
      <c r="FH6673"/>
      <c r="FI6673"/>
      <c r="FJ6673"/>
      <c r="FK6673"/>
      <c r="FL6673"/>
      <c r="FM6673"/>
      <c r="FN6673"/>
      <c r="FO6673"/>
      <c r="FP6673"/>
      <c r="FQ6673"/>
      <c r="FR6673"/>
      <c r="FS6673"/>
      <c r="FT6673"/>
      <c r="FU6673"/>
      <c r="FV6673"/>
      <c r="FW6673"/>
      <c r="FX6673"/>
      <c r="FY6673"/>
      <c r="FZ6673"/>
      <c r="GA6673"/>
      <c r="GB6673"/>
      <c r="GC6673"/>
      <c r="GD6673"/>
      <c r="GE6673"/>
      <c r="GF6673"/>
      <c r="GG6673"/>
      <c r="GH6673"/>
      <c r="GI6673"/>
      <c r="GJ6673"/>
      <c r="GK6673"/>
      <c r="GL6673"/>
      <c r="GM6673"/>
      <c r="GN6673"/>
      <c r="GO6673"/>
    </row>
    <row r="6674" spans="107:197">
      <c r="DC6674"/>
      <c r="FH6674"/>
      <c r="FI6674"/>
      <c r="FJ6674"/>
      <c r="FK6674"/>
      <c r="FL6674"/>
      <c r="FM6674"/>
      <c r="FN6674"/>
      <c r="FO6674"/>
      <c r="FP6674"/>
      <c r="FQ6674"/>
      <c r="FR6674"/>
      <c r="FS6674"/>
      <c r="FT6674"/>
      <c r="FU6674"/>
      <c r="FV6674"/>
      <c r="FW6674"/>
      <c r="FX6674"/>
      <c r="FY6674"/>
      <c r="FZ6674"/>
      <c r="GA6674"/>
      <c r="GB6674"/>
      <c r="GC6674"/>
      <c r="GD6674"/>
      <c r="GE6674"/>
      <c r="GF6674"/>
      <c r="GG6674"/>
      <c r="GH6674"/>
      <c r="GI6674"/>
      <c r="GJ6674"/>
      <c r="GK6674"/>
      <c r="GL6674"/>
      <c r="GM6674"/>
      <c r="GN6674"/>
      <c r="GO6674"/>
    </row>
    <row r="6675" spans="107:197">
      <c r="DC6675"/>
      <c r="FH6675"/>
      <c r="FI6675"/>
      <c r="FJ6675"/>
      <c r="FK6675"/>
      <c r="FL6675"/>
      <c r="FM6675"/>
      <c r="FN6675"/>
      <c r="FO6675"/>
      <c r="FP6675"/>
      <c r="FQ6675"/>
      <c r="FR6675"/>
      <c r="FS6675"/>
      <c r="FT6675"/>
      <c r="FU6675"/>
      <c r="FV6675"/>
      <c r="FW6675"/>
      <c r="FX6675"/>
      <c r="FY6675"/>
      <c r="FZ6675"/>
      <c r="GA6675"/>
      <c r="GB6675"/>
      <c r="GC6675"/>
      <c r="GD6675"/>
      <c r="GE6675"/>
      <c r="GF6675"/>
      <c r="GG6675"/>
      <c r="GH6675"/>
      <c r="GI6675"/>
      <c r="GJ6675"/>
      <c r="GK6675"/>
      <c r="GL6675"/>
      <c r="GM6675"/>
      <c r="GN6675"/>
      <c r="GO6675"/>
    </row>
    <row r="6676" spans="107:197">
      <c r="DC6676"/>
      <c r="FH6676"/>
      <c r="FI6676"/>
      <c r="FJ6676"/>
      <c r="FK6676"/>
      <c r="FL6676"/>
      <c r="FM6676"/>
      <c r="FN6676"/>
      <c r="FO6676"/>
      <c r="FP6676"/>
      <c r="FQ6676"/>
      <c r="FR6676"/>
      <c r="FS6676"/>
      <c r="FT6676"/>
      <c r="FU6676"/>
      <c r="FV6676"/>
      <c r="FW6676"/>
      <c r="FX6676"/>
      <c r="FY6676"/>
      <c r="FZ6676"/>
      <c r="GA6676"/>
      <c r="GB6676"/>
      <c r="GC6676"/>
      <c r="GD6676"/>
      <c r="GE6676"/>
      <c r="GF6676"/>
      <c r="GG6676"/>
      <c r="GH6676"/>
      <c r="GI6676"/>
      <c r="GJ6676"/>
      <c r="GK6676"/>
      <c r="GL6676"/>
      <c r="GM6676"/>
      <c r="GN6676"/>
      <c r="GO6676"/>
    </row>
    <row r="6677" spans="107:197">
      <c r="DC6677"/>
      <c r="FH6677"/>
      <c r="FI6677"/>
      <c r="FJ6677"/>
      <c r="FK6677"/>
      <c r="FL6677"/>
      <c r="FM6677"/>
      <c r="FN6677"/>
      <c r="FO6677"/>
      <c r="FP6677"/>
      <c r="FQ6677"/>
      <c r="FR6677"/>
      <c r="FS6677"/>
      <c r="FT6677"/>
      <c r="FU6677"/>
      <c r="FV6677"/>
      <c r="FW6677"/>
      <c r="FX6677"/>
      <c r="FY6677"/>
      <c r="FZ6677"/>
      <c r="GA6677"/>
      <c r="GB6677"/>
      <c r="GC6677"/>
      <c r="GD6677"/>
      <c r="GE6677"/>
      <c r="GF6677"/>
      <c r="GG6677"/>
      <c r="GH6677"/>
      <c r="GI6677"/>
      <c r="GJ6677"/>
      <c r="GK6677"/>
      <c r="GL6677"/>
      <c r="GM6677"/>
      <c r="GN6677"/>
      <c r="GO6677"/>
    </row>
    <row r="6678" spans="107:197">
      <c r="DC6678"/>
      <c r="FH6678"/>
      <c r="FI6678"/>
      <c r="FJ6678"/>
      <c r="FK6678"/>
      <c r="FL6678"/>
      <c r="FM6678"/>
      <c r="FN6678"/>
      <c r="FO6678"/>
      <c r="FP6678"/>
      <c r="FQ6678"/>
      <c r="FR6678"/>
      <c r="FS6678"/>
      <c r="FT6678"/>
      <c r="FU6678"/>
      <c r="FV6678"/>
      <c r="FW6678"/>
      <c r="FX6678"/>
      <c r="FY6678"/>
      <c r="FZ6678"/>
      <c r="GA6678"/>
      <c r="GB6678"/>
      <c r="GC6678"/>
      <c r="GD6678"/>
      <c r="GE6678"/>
      <c r="GF6678"/>
      <c r="GG6678"/>
      <c r="GH6678"/>
      <c r="GI6678"/>
      <c r="GJ6678"/>
      <c r="GK6678"/>
      <c r="GL6678"/>
      <c r="GM6678"/>
      <c r="GN6678"/>
      <c r="GO6678"/>
    </row>
    <row r="6679" spans="107:197">
      <c r="DC6679"/>
      <c r="FH6679"/>
      <c r="FI6679"/>
      <c r="FJ6679"/>
      <c r="FK6679"/>
      <c r="FL6679"/>
      <c r="FM6679"/>
      <c r="FN6679"/>
      <c r="FO6679"/>
      <c r="FP6679"/>
      <c r="FQ6679"/>
      <c r="FR6679"/>
      <c r="FS6679"/>
      <c r="FT6679"/>
      <c r="FU6679"/>
      <c r="FV6679"/>
      <c r="FW6679"/>
      <c r="FX6679"/>
      <c r="FY6679"/>
      <c r="FZ6679"/>
      <c r="GA6679"/>
      <c r="GB6679"/>
      <c r="GC6679"/>
      <c r="GD6679"/>
      <c r="GE6679"/>
      <c r="GF6679"/>
      <c r="GG6679"/>
      <c r="GH6679"/>
      <c r="GI6679"/>
      <c r="GJ6679"/>
      <c r="GK6679"/>
      <c r="GL6679"/>
      <c r="GM6679"/>
      <c r="GN6679"/>
      <c r="GO6679"/>
    </row>
    <row r="6680" spans="107:197">
      <c r="DC6680"/>
      <c r="FH6680"/>
      <c r="FI6680"/>
      <c r="FJ6680"/>
      <c r="FK6680"/>
      <c r="FL6680"/>
      <c r="FM6680"/>
      <c r="FN6680"/>
      <c r="FO6680"/>
      <c r="FP6680"/>
      <c r="FQ6680"/>
      <c r="FR6680"/>
      <c r="FS6680"/>
      <c r="FT6680"/>
      <c r="FU6680"/>
      <c r="FV6680"/>
      <c r="FW6680"/>
      <c r="FX6680"/>
      <c r="FY6680"/>
      <c r="FZ6680"/>
      <c r="GA6680"/>
      <c r="GB6680"/>
      <c r="GC6680"/>
      <c r="GD6680"/>
      <c r="GE6680"/>
      <c r="GF6680"/>
      <c r="GG6680"/>
      <c r="GH6680"/>
      <c r="GI6680"/>
      <c r="GJ6680"/>
      <c r="GK6680"/>
      <c r="GL6680"/>
      <c r="GM6680"/>
      <c r="GN6680"/>
      <c r="GO6680"/>
    </row>
    <row r="6681" spans="107:197">
      <c r="DC6681"/>
      <c r="FH6681"/>
      <c r="FI6681"/>
      <c r="FJ6681"/>
      <c r="FK6681"/>
      <c r="FL6681"/>
      <c r="FM6681"/>
      <c r="FN6681"/>
      <c r="FO6681"/>
      <c r="FP6681"/>
      <c r="FQ6681"/>
      <c r="FR6681"/>
      <c r="FS6681"/>
      <c r="FT6681"/>
      <c r="FU6681"/>
      <c r="FV6681"/>
      <c r="FW6681"/>
      <c r="FX6681"/>
      <c r="FY6681"/>
      <c r="FZ6681"/>
      <c r="GA6681"/>
      <c r="GB6681"/>
      <c r="GC6681"/>
      <c r="GD6681"/>
      <c r="GE6681"/>
      <c r="GF6681"/>
      <c r="GG6681"/>
      <c r="GH6681"/>
      <c r="GI6681"/>
      <c r="GJ6681"/>
      <c r="GK6681"/>
      <c r="GL6681"/>
      <c r="GM6681"/>
      <c r="GN6681"/>
      <c r="GO6681"/>
    </row>
    <row r="6682" spans="107:197">
      <c r="DC6682"/>
      <c r="FH6682"/>
      <c r="FI6682"/>
      <c r="FJ6682"/>
      <c r="FK6682"/>
      <c r="FL6682"/>
      <c r="FM6682"/>
      <c r="FN6682"/>
      <c r="FO6682"/>
      <c r="FP6682"/>
      <c r="FQ6682"/>
      <c r="FR6682"/>
      <c r="FS6682"/>
      <c r="FT6682"/>
      <c r="FU6682"/>
      <c r="FV6682"/>
      <c r="FW6682"/>
      <c r="FX6682"/>
      <c r="FY6682"/>
      <c r="FZ6682"/>
      <c r="GA6682"/>
      <c r="GB6682"/>
      <c r="GC6682"/>
      <c r="GD6682"/>
      <c r="GE6682"/>
      <c r="GF6682"/>
      <c r="GG6682"/>
      <c r="GH6682"/>
      <c r="GI6682"/>
      <c r="GJ6682"/>
      <c r="GK6682"/>
      <c r="GL6682"/>
      <c r="GM6682"/>
      <c r="GN6682"/>
      <c r="GO6682"/>
    </row>
    <row r="6683" spans="107:197">
      <c r="DC6683"/>
      <c r="FH6683"/>
      <c r="FI6683"/>
      <c r="FJ6683"/>
      <c r="FK6683"/>
      <c r="FL6683"/>
      <c r="FM6683"/>
      <c r="FN6683"/>
      <c r="FO6683"/>
      <c r="FP6683"/>
      <c r="FQ6683"/>
      <c r="FR6683"/>
      <c r="FS6683"/>
      <c r="FT6683"/>
      <c r="FU6683"/>
      <c r="FV6683"/>
      <c r="FW6683"/>
      <c r="FX6683"/>
      <c r="FY6683"/>
      <c r="FZ6683"/>
      <c r="GA6683"/>
      <c r="GB6683"/>
      <c r="GC6683"/>
      <c r="GD6683"/>
      <c r="GE6683"/>
      <c r="GF6683"/>
      <c r="GG6683"/>
      <c r="GH6683"/>
      <c r="GI6683"/>
      <c r="GJ6683"/>
      <c r="GK6683"/>
      <c r="GL6683"/>
      <c r="GM6683"/>
      <c r="GN6683"/>
      <c r="GO6683"/>
    </row>
    <row r="6684" spans="107:197">
      <c r="DC6684"/>
      <c r="FH6684"/>
      <c r="FI6684"/>
      <c r="FJ6684"/>
      <c r="FK6684"/>
      <c r="FL6684"/>
      <c r="FM6684"/>
      <c r="FN6684"/>
      <c r="FO6684"/>
      <c r="FP6684"/>
      <c r="FQ6684"/>
      <c r="FR6684"/>
      <c r="FS6684"/>
      <c r="FT6684"/>
      <c r="FU6684"/>
      <c r="FV6684"/>
      <c r="FW6684"/>
      <c r="FX6684"/>
      <c r="FY6684"/>
      <c r="FZ6684"/>
      <c r="GA6684"/>
      <c r="GB6684"/>
      <c r="GC6684"/>
      <c r="GD6684"/>
      <c r="GE6684"/>
      <c r="GF6684"/>
      <c r="GG6684"/>
      <c r="GH6684"/>
      <c r="GI6684"/>
      <c r="GJ6684"/>
      <c r="GK6684"/>
      <c r="GL6684"/>
      <c r="GM6684"/>
      <c r="GN6684"/>
      <c r="GO6684"/>
    </row>
    <row r="6685" spans="107:197">
      <c r="DC6685"/>
      <c r="FH6685"/>
      <c r="FI6685"/>
      <c r="FJ6685"/>
      <c r="FK6685"/>
      <c r="FL6685"/>
      <c r="FM6685"/>
      <c r="FN6685"/>
      <c r="FO6685"/>
      <c r="FP6685"/>
      <c r="FQ6685"/>
      <c r="FR6685"/>
      <c r="FS6685"/>
      <c r="FT6685"/>
      <c r="FU6685"/>
      <c r="FV6685"/>
      <c r="FW6685"/>
      <c r="FX6685"/>
      <c r="FY6685"/>
      <c r="FZ6685"/>
      <c r="GA6685"/>
      <c r="GB6685"/>
      <c r="GC6685"/>
      <c r="GD6685"/>
      <c r="GE6685"/>
      <c r="GF6685"/>
      <c r="GG6685"/>
      <c r="GH6685"/>
      <c r="GI6685"/>
      <c r="GJ6685"/>
      <c r="GK6685"/>
      <c r="GL6685"/>
      <c r="GM6685"/>
      <c r="GN6685"/>
      <c r="GO6685"/>
    </row>
    <row r="6686" spans="107:197">
      <c r="DC6686"/>
      <c r="FH6686"/>
      <c r="FI6686"/>
      <c r="FJ6686"/>
      <c r="FK6686"/>
      <c r="FL6686"/>
      <c r="FM6686"/>
      <c r="FN6686"/>
      <c r="FO6686"/>
      <c r="FP6686"/>
      <c r="FQ6686"/>
      <c r="FR6686"/>
      <c r="FS6686"/>
      <c r="FT6686"/>
      <c r="FU6686"/>
      <c r="FV6686"/>
      <c r="FW6686"/>
      <c r="FX6686"/>
      <c r="FY6686"/>
      <c r="FZ6686"/>
      <c r="GA6686"/>
      <c r="GB6686"/>
      <c r="GC6686"/>
      <c r="GD6686"/>
      <c r="GE6686"/>
      <c r="GF6686"/>
      <c r="GG6686"/>
      <c r="GH6686"/>
      <c r="GI6686"/>
      <c r="GJ6686"/>
      <c r="GK6686"/>
      <c r="GL6686"/>
      <c r="GM6686"/>
      <c r="GN6686"/>
      <c r="GO6686"/>
    </row>
    <row r="6687" spans="107:197">
      <c r="DC6687"/>
      <c r="FH6687"/>
      <c r="FI6687"/>
      <c r="FJ6687"/>
      <c r="FK6687"/>
      <c r="FL6687"/>
      <c r="FM6687"/>
      <c r="FN6687"/>
      <c r="FO6687"/>
      <c r="FP6687"/>
      <c r="FQ6687"/>
      <c r="FR6687"/>
      <c r="FS6687"/>
      <c r="FT6687"/>
      <c r="FU6687"/>
      <c r="FV6687"/>
      <c r="FW6687"/>
      <c r="FX6687"/>
      <c r="FY6687"/>
      <c r="FZ6687"/>
      <c r="GA6687"/>
      <c r="GB6687"/>
      <c r="GC6687"/>
      <c r="GD6687"/>
      <c r="GE6687"/>
      <c r="GF6687"/>
      <c r="GG6687"/>
      <c r="GH6687"/>
      <c r="GI6687"/>
      <c r="GJ6687"/>
      <c r="GK6687"/>
      <c r="GL6687"/>
      <c r="GM6687"/>
      <c r="GN6687"/>
      <c r="GO6687"/>
    </row>
    <row r="6688" spans="107:197">
      <c r="DC6688"/>
      <c r="FH6688"/>
      <c r="FI6688"/>
      <c r="FJ6688"/>
      <c r="FK6688"/>
      <c r="FL6688"/>
      <c r="FM6688"/>
      <c r="FN6688"/>
      <c r="FO6688"/>
      <c r="FP6688"/>
      <c r="FQ6688"/>
      <c r="FR6688"/>
      <c r="FS6688"/>
      <c r="FT6688"/>
      <c r="FU6688"/>
      <c r="FV6688"/>
      <c r="FW6688"/>
      <c r="FX6688"/>
      <c r="FY6688"/>
      <c r="FZ6688"/>
      <c r="GA6688"/>
      <c r="GB6688"/>
      <c r="GC6688"/>
      <c r="GD6688"/>
      <c r="GE6688"/>
      <c r="GF6688"/>
      <c r="GG6688"/>
      <c r="GH6688"/>
      <c r="GI6688"/>
      <c r="GJ6688"/>
      <c r="GK6688"/>
      <c r="GL6688"/>
      <c r="GM6688"/>
      <c r="GN6688"/>
      <c r="GO6688"/>
    </row>
    <row r="6689" spans="107:197">
      <c r="DC6689"/>
      <c r="FH6689"/>
      <c r="FI6689"/>
      <c r="FJ6689"/>
      <c r="FK6689"/>
      <c r="FL6689"/>
      <c r="FM6689"/>
      <c r="FN6689"/>
      <c r="FO6689"/>
      <c r="FP6689"/>
      <c r="FQ6689"/>
      <c r="FR6689"/>
      <c r="FS6689"/>
      <c r="FT6689"/>
      <c r="FU6689"/>
      <c r="FV6689"/>
      <c r="FW6689"/>
      <c r="FX6689"/>
      <c r="FY6689"/>
      <c r="FZ6689"/>
      <c r="GA6689"/>
      <c r="GB6689"/>
      <c r="GC6689"/>
      <c r="GD6689"/>
      <c r="GE6689"/>
      <c r="GF6689"/>
      <c r="GG6689"/>
      <c r="GH6689"/>
      <c r="GI6689"/>
      <c r="GJ6689"/>
      <c r="GK6689"/>
      <c r="GL6689"/>
      <c r="GM6689"/>
      <c r="GN6689"/>
      <c r="GO6689"/>
    </row>
    <row r="6690" spans="107:197">
      <c r="DC6690"/>
      <c r="FH6690"/>
      <c r="FI6690"/>
      <c r="FJ6690"/>
      <c r="FK6690"/>
      <c r="FL6690"/>
      <c r="FM6690"/>
      <c r="FN6690"/>
      <c r="FO6690"/>
      <c r="FP6690"/>
      <c r="FQ6690"/>
      <c r="FR6690"/>
      <c r="FS6690"/>
      <c r="FT6690"/>
      <c r="FU6690"/>
      <c r="FV6690"/>
      <c r="FW6690"/>
      <c r="FX6690"/>
      <c r="FY6690"/>
      <c r="FZ6690"/>
      <c r="GA6690"/>
      <c r="GB6690"/>
      <c r="GC6690"/>
      <c r="GD6690"/>
      <c r="GE6690"/>
      <c r="GF6690"/>
      <c r="GG6690"/>
      <c r="GH6690"/>
      <c r="GI6690"/>
      <c r="GJ6690"/>
      <c r="GK6690"/>
      <c r="GL6690"/>
      <c r="GM6690"/>
      <c r="GN6690"/>
      <c r="GO6690"/>
    </row>
    <row r="6691" spans="107:197">
      <c r="DC6691"/>
      <c r="FH6691"/>
      <c r="FI6691"/>
      <c r="FJ6691"/>
      <c r="FK6691"/>
      <c r="FL6691"/>
      <c r="FM6691"/>
      <c r="FN6691"/>
      <c r="FO6691"/>
      <c r="FP6691"/>
      <c r="FQ6691"/>
      <c r="FR6691"/>
      <c r="FS6691"/>
      <c r="FT6691"/>
      <c r="FU6691"/>
      <c r="FV6691"/>
      <c r="FW6691"/>
      <c r="FX6691"/>
      <c r="FY6691"/>
      <c r="FZ6691"/>
      <c r="GA6691"/>
      <c r="GB6691"/>
      <c r="GC6691"/>
      <c r="GD6691"/>
      <c r="GE6691"/>
      <c r="GF6691"/>
      <c r="GG6691"/>
      <c r="GH6691"/>
      <c r="GI6691"/>
      <c r="GJ6691"/>
      <c r="GK6691"/>
      <c r="GL6691"/>
      <c r="GM6691"/>
      <c r="GN6691"/>
      <c r="GO6691"/>
    </row>
    <row r="6692" spans="107:197">
      <c r="DC6692"/>
      <c r="FH6692"/>
      <c r="FI6692"/>
      <c r="FJ6692"/>
      <c r="FK6692"/>
      <c r="FL6692"/>
      <c r="FM6692"/>
      <c r="FN6692"/>
      <c r="FO6692"/>
      <c r="FP6692"/>
      <c r="FQ6692"/>
      <c r="FR6692"/>
      <c r="FS6692"/>
      <c r="FT6692"/>
      <c r="FU6692"/>
      <c r="FV6692"/>
      <c r="FW6692"/>
      <c r="FX6692"/>
      <c r="FY6692"/>
      <c r="FZ6692"/>
      <c r="GA6692"/>
      <c r="GB6692"/>
      <c r="GC6692"/>
      <c r="GD6692"/>
      <c r="GE6692"/>
      <c r="GF6692"/>
      <c r="GG6692"/>
      <c r="GH6692"/>
      <c r="GI6692"/>
      <c r="GJ6692"/>
      <c r="GK6692"/>
      <c r="GL6692"/>
      <c r="GM6692"/>
      <c r="GN6692"/>
      <c r="GO6692"/>
    </row>
    <row r="6693" spans="107:197">
      <c r="DC6693"/>
      <c r="FH6693"/>
      <c r="FI6693"/>
      <c r="FJ6693"/>
      <c r="FK6693"/>
      <c r="FL6693"/>
      <c r="FM6693"/>
      <c r="FN6693"/>
      <c r="FO6693"/>
      <c r="FP6693"/>
      <c r="FQ6693"/>
      <c r="FR6693"/>
      <c r="FS6693"/>
      <c r="FT6693"/>
      <c r="FU6693"/>
      <c r="FV6693"/>
      <c r="FW6693"/>
      <c r="FX6693"/>
      <c r="FY6693"/>
      <c r="FZ6693"/>
      <c r="GA6693"/>
      <c r="GB6693"/>
      <c r="GC6693"/>
      <c r="GD6693"/>
      <c r="GE6693"/>
      <c r="GF6693"/>
      <c r="GG6693"/>
      <c r="GH6693"/>
      <c r="GI6693"/>
      <c r="GJ6693"/>
      <c r="GK6693"/>
      <c r="GL6693"/>
      <c r="GM6693"/>
      <c r="GN6693"/>
      <c r="GO6693"/>
    </row>
    <row r="6694" spans="107:197">
      <c r="DC6694"/>
      <c r="FH6694"/>
      <c r="FI6694"/>
      <c r="FJ6694"/>
      <c r="FK6694"/>
      <c r="FL6694"/>
      <c r="FM6694"/>
      <c r="FN6694"/>
      <c r="FO6694"/>
      <c r="FP6694"/>
      <c r="FQ6694"/>
      <c r="FR6694"/>
      <c r="FS6694"/>
      <c r="FT6694"/>
      <c r="FU6694"/>
      <c r="FV6694"/>
      <c r="FW6694"/>
      <c r="FX6694"/>
      <c r="FY6694"/>
      <c r="FZ6694"/>
      <c r="GA6694"/>
      <c r="GB6694"/>
      <c r="GC6694"/>
      <c r="GD6694"/>
      <c r="GE6694"/>
      <c r="GF6694"/>
      <c r="GG6694"/>
      <c r="GH6694"/>
      <c r="GI6694"/>
      <c r="GJ6694"/>
      <c r="GK6694"/>
      <c r="GL6694"/>
      <c r="GM6694"/>
      <c r="GN6694"/>
      <c r="GO6694"/>
    </row>
    <row r="6695" spans="107:197">
      <c r="DC6695"/>
      <c r="FH6695"/>
      <c r="FI6695"/>
      <c r="FJ6695"/>
      <c r="FK6695"/>
      <c r="FL6695"/>
      <c r="FM6695"/>
      <c r="FN6695"/>
      <c r="FO6695"/>
      <c r="FP6695"/>
      <c r="FQ6695"/>
      <c r="FR6695"/>
      <c r="FS6695"/>
      <c r="FT6695"/>
      <c r="FU6695"/>
      <c r="FV6695"/>
      <c r="FW6695"/>
      <c r="FX6695"/>
      <c r="FY6695"/>
      <c r="FZ6695"/>
      <c r="GA6695"/>
      <c r="GB6695"/>
      <c r="GC6695"/>
      <c r="GD6695"/>
      <c r="GE6695"/>
      <c r="GF6695"/>
      <c r="GG6695"/>
      <c r="GH6695"/>
      <c r="GI6695"/>
      <c r="GJ6695"/>
      <c r="GK6695"/>
      <c r="GL6695"/>
      <c r="GM6695"/>
      <c r="GN6695"/>
      <c r="GO6695"/>
    </row>
    <row r="6696" spans="107:197">
      <c r="DC6696"/>
      <c r="FH6696"/>
      <c r="FI6696"/>
      <c r="FJ6696"/>
      <c r="FK6696"/>
      <c r="FL6696"/>
      <c r="FM6696"/>
      <c r="FN6696"/>
      <c r="FO6696"/>
      <c r="FP6696"/>
      <c r="FQ6696"/>
      <c r="FR6696"/>
      <c r="FS6696"/>
      <c r="FT6696"/>
      <c r="FU6696"/>
      <c r="FV6696"/>
      <c r="FW6696"/>
      <c r="FX6696"/>
      <c r="FY6696"/>
      <c r="FZ6696"/>
      <c r="GA6696"/>
      <c r="GB6696"/>
      <c r="GC6696"/>
      <c r="GD6696"/>
      <c r="GE6696"/>
      <c r="GF6696"/>
      <c r="GG6696"/>
      <c r="GH6696"/>
      <c r="GI6696"/>
      <c r="GJ6696"/>
      <c r="GK6696"/>
      <c r="GL6696"/>
      <c r="GM6696"/>
      <c r="GN6696"/>
      <c r="GO6696"/>
    </row>
    <row r="6697" spans="107:197">
      <c r="DC6697"/>
      <c r="FH6697"/>
      <c r="FI6697"/>
      <c r="FJ6697"/>
      <c r="FK6697"/>
      <c r="FL6697"/>
      <c r="FM6697"/>
      <c r="FN6697"/>
      <c r="FO6697"/>
      <c r="FP6697"/>
      <c r="FQ6697"/>
      <c r="FR6697"/>
      <c r="FS6697"/>
      <c r="FT6697"/>
      <c r="FU6697"/>
      <c r="FV6697"/>
      <c r="FW6697"/>
      <c r="FX6697"/>
      <c r="FY6697"/>
      <c r="FZ6697"/>
      <c r="GA6697"/>
      <c r="GB6697"/>
      <c r="GC6697"/>
      <c r="GD6697"/>
      <c r="GE6697"/>
      <c r="GF6697"/>
      <c r="GG6697"/>
      <c r="GH6697"/>
      <c r="GI6697"/>
      <c r="GJ6697"/>
      <c r="GK6697"/>
      <c r="GL6697"/>
      <c r="GM6697"/>
      <c r="GN6697"/>
      <c r="GO6697"/>
    </row>
    <row r="6698" spans="107:197">
      <c r="DC6698"/>
      <c r="FH6698"/>
      <c r="FI6698"/>
      <c r="FJ6698"/>
      <c r="FK6698"/>
      <c r="FL6698"/>
      <c r="FM6698"/>
      <c r="FN6698"/>
      <c r="FO6698"/>
      <c r="FP6698"/>
      <c r="FQ6698"/>
      <c r="FR6698"/>
      <c r="FS6698"/>
      <c r="FT6698"/>
      <c r="FU6698"/>
      <c r="FV6698"/>
      <c r="FW6698"/>
      <c r="FX6698"/>
      <c r="FY6698"/>
      <c r="FZ6698"/>
      <c r="GA6698"/>
      <c r="GB6698"/>
      <c r="GC6698"/>
      <c r="GD6698"/>
      <c r="GE6698"/>
      <c r="GF6698"/>
      <c r="GG6698"/>
      <c r="GH6698"/>
      <c r="GI6698"/>
      <c r="GJ6698"/>
      <c r="GK6698"/>
      <c r="GL6698"/>
      <c r="GM6698"/>
      <c r="GN6698"/>
      <c r="GO6698"/>
    </row>
    <row r="6699" spans="107:197">
      <c r="DC6699"/>
      <c r="FH6699"/>
      <c r="FI6699"/>
      <c r="FJ6699"/>
      <c r="FK6699"/>
      <c r="FL6699"/>
      <c r="FM6699"/>
      <c r="FN6699"/>
      <c r="FO6699"/>
      <c r="FP6699"/>
      <c r="FQ6699"/>
      <c r="FR6699"/>
      <c r="FS6699"/>
      <c r="FT6699"/>
      <c r="FU6699"/>
      <c r="FV6699"/>
      <c r="FW6699"/>
      <c r="FX6699"/>
      <c r="FY6699"/>
      <c r="FZ6699"/>
      <c r="GA6699"/>
      <c r="GB6699"/>
      <c r="GC6699"/>
      <c r="GD6699"/>
      <c r="GE6699"/>
      <c r="GF6699"/>
      <c r="GG6699"/>
      <c r="GH6699"/>
      <c r="GI6699"/>
      <c r="GJ6699"/>
      <c r="GK6699"/>
      <c r="GL6699"/>
      <c r="GM6699"/>
      <c r="GN6699"/>
      <c r="GO6699"/>
    </row>
    <row r="6700" spans="107:197">
      <c r="DC6700"/>
      <c r="FH6700"/>
      <c r="FI6700"/>
      <c r="FJ6700"/>
      <c r="FK6700"/>
      <c r="FL6700"/>
      <c r="FM6700"/>
      <c r="FN6700"/>
      <c r="FO6700"/>
      <c r="FP6700"/>
      <c r="FQ6700"/>
      <c r="FR6700"/>
      <c r="FS6700"/>
      <c r="FT6700"/>
      <c r="FU6700"/>
      <c r="FV6700"/>
      <c r="FW6700"/>
      <c r="FX6700"/>
      <c r="FY6700"/>
      <c r="FZ6700"/>
      <c r="GA6700"/>
      <c r="GB6700"/>
      <c r="GC6700"/>
      <c r="GD6700"/>
      <c r="GE6700"/>
      <c r="GF6700"/>
      <c r="GG6700"/>
      <c r="GH6700"/>
      <c r="GI6700"/>
      <c r="GJ6700"/>
      <c r="GK6700"/>
      <c r="GL6700"/>
      <c r="GM6700"/>
      <c r="GN6700"/>
      <c r="GO6700"/>
    </row>
    <row r="6701" spans="107:197">
      <c r="DC6701"/>
      <c r="FH6701"/>
      <c r="FI6701"/>
      <c r="FJ6701"/>
      <c r="FK6701"/>
      <c r="FL6701"/>
      <c r="FM6701"/>
      <c r="FN6701"/>
      <c r="FO6701"/>
      <c r="FP6701"/>
      <c r="FQ6701"/>
      <c r="FR6701"/>
      <c r="FS6701"/>
      <c r="FT6701"/>
      <c r="FU6701"/>
      <c r="FV6701"/>
      <c r="FW6701"/>
      <c r="FX6701"/>
      <c r="FY6701"/>
      <c r="FZ6701"/>
      <c r="GA6701"/>
      <c r="GB6701"/>
      <c r="GC6701"/>
      <c r="GD6701"/>
      <c r="GE6701"/>
      <c r="GF6701"/>
      <c r="GG6701"/>
      <c r="GH6701"/>
      <c r="GI6701"/>
      <c r="GJ6701"/>
      <c r="GK6701"/>
      <c r="GL6701"/>
      <c r="GM6701"/>
      <c r="GN6701"/>
      <c r="GO6701"/>
    </row>
    <row r="6702" spans="107:197">
      <c r="DC6702"/>
      <c r="FH6702"/>
      <c r="FI6702"/>
      <c r="FJ6702"/>
      <c r="FK6702"/>
      <c r="FL6702"/>
      <c r="FM6702"/>
      <c r="FN6702"/>
      <c r="FO6702"/>
      <c r="FP6702"/>
      <c r="FQ6702"/>
      <c r="FR6702"/>
      <c r="FS6702"/>
      <c r="FT6702"/>
      <c r="FU6702"/>
      <c r="FV6702"/>
      <c r="FW6702"/>
      <c r="FX6702"/>
      <c r="FY6702"/>
      <c r="FZ6702"/>
      <c r="GA6702"/>
      <c r="GB6702"/>
      <c r="GC6702"/>
      <c r="GD6702"/>
      <c r="GE6702"/>
      <c r="GF6702"/>
      <c r="GG6702"/>
      <c r="GH6702"/>
      <c r="GI6702"/>
      <c r="GJ6702"/>
      <c r="GK6702"/>
      <c r="GL6702"/>
      <c r="GM6702"/>
      <c r="GN6702"/>
      <c r="GO6702"/>
    </row>
    <row r="6703" spans="107:197">
      <c r="DC6703"/>
      <c r="FH6703"/>
      <c r="FI6703"/>
      <c r="FJ6703"/>
      <c r="FK6703"/>
      <c r="FL6703"/>
      <c r="FM6703"/>
      <c r="FN6703"/>
      <c r="FO6703"/>
      <c r="FP6703"/>
      <c r="FQ6703"/>
      <c r="FR6703"/>
      <c r="FS6703"/>
      <c r="FT6703"/>
      <c r="FU6703"/>
      <c r="FV6703"/>
      <c r="FW6703"/>
      <c r="FX6703"/>
      <c r="FY6703"/>
      <c r="FZ6703"/>
      <c r="GA6703"/>
      <c r="GB6703"/>
      <c r="GC6703"/>
      <c r="GD6703"/>
      <c r="GE6703"/>
      <c r="GF6703"/>
      <c r="GG6703"/>
      <c r="GH6703"/>
      <c r="GI6703"/>
      <c r="GJ6703"/>
      <c r="GK6703"/>
      <c r="GL6703"/>
      <c r="GM6703"/>
      <c r="GN6703"/>
      <c r="GO6703"/>
    </row>
    <row r="6704" spans="107:197">
      <c r="DC6704"/>
      <c r="FH6704"/>
      <c r="FI6704"/>
      <c r="FJ6704"/>
      <c r="FK6704"/>
      <c r="FL6704"/>
      <c r="FM6704"/>
      <c r="FN6704"/>
      <c r="FO6704"/>
      <c r="FP6704"/>
      <c r="FQ6704"/>
      <c r="FR6704"/>
      <c r="FS6704"/>
      <c r="FT6704"/>
      <c r="FU6704"/>
      <c r="FV6704"/>
      <c r="FW6704"/>
      <c r="FX6704"/>
      <c r="FY6704"/>
      <c r="FZ6704"/>
      <c r="GA6704"/>
      <c r="GB6704"/>
      <c r="GC6704"/>
      <c r="GD6704"/>
      <c r="GE6704"/>
      <c r="GF6704"/>
      <c r="GG6704"/>
      <c r="GH6704"/>
      <c r="GI6704"/>
      <c r="GJ6704"/>
      <c r="GK6704"/>
      <c r="GL6704"/>
      <c r="GM6704"/>
      <c r="GN6704"/>
      <c r="GO6704"/>
    </row>
    <row r="6705" spans="107:197">
      <c r="DC6705"/>
      <c r="FH6705"/>
      <c r="FI6705"/>
      <c r="FJ6705"/>
      <c r="FK6705"/>
      <c r="FL6705"/>
      <c r="FM6705"/>
      <c r="FN6705"/>
      <c r="FO6705"/>
      <c r="FP6705"/>
      <c r="FQ6705"/>
      <c r="FR6705"/>
      <c r="FS6705"/>
      <c r="FT6705"/>
      <c r="FU6705"/>
      <c r="FV6705"/>
      <c r="FW6705"/>
      <c r="FX6705"/>
      <c r="FY6705"/>
      <c r="FZ6705"/>
      <c r="GA6705"/>
      <c r="GB6705"/>
      <c r="GC6705"/>
      <c r="GD6705"/>
      <c r="GE6705"/>
      <c r="GF6705"/>
      <c r="GG6705"/>
      <c r="GH6705"/>
      <c r="GI6705"/>
      <c r="GJ6705"/>
      <c r="GK6705"/>
      <c r="GL6705"/>
      <c r="GM6705"/>
      <c r="GN6705"/>
      <c r="GO6705"/>
    </row>
    <row r="6706" spans="107:197">
      <c r="DC6706"/>
      <c r="FH6706"/>
      <c r="FI6706"/>
      <c r="FJ6706"/>
      <c r="FK6706"/>
      <c r="FL6706"/>
      <c r="FM6706"/>
      <c r="FN6706"/>
      <c r="FO6706"/>
      <c r="FP6706"/>
      <c r="FQ6706"/>
      <c r="FR6706"/>
      <c r="FS6706"/>
      <c r="FT6706"/>
      <c r="FU6706"/>
      <c r="FV6706"/>
      <c r="FW6706"/>
      <c r="FX6706"/>
      <c r="FY6706"/>
      <c r="FZ6706"/>
      <c r="GA6706"/>
      <c r="GB6706"/>
      <c r="GC6706"/>
      <c r="GD6706"/>
      <c r="GE6706"/>
      <c r="GF6706"/>
      <c r="GG6706"/>
      <c r="GH6706"/>
      <c r="GI6706"/>
      <c r="GJ6706"/>
      <c r="GK6706"/>
      <c r="GL6706"/>
      <c r="GM6706"/>
      <c r="GN6706"/>
      <c r="GO6706"/>
    </row>
    <row r="6707" spans="107:197">
      <c r="DC6707"/>
      <c r="FH6707"/>
      <c r="FI6707"/>
      <c r="FJ6707"/>
      <c r="FK6707"/>
      <c r="FL6707"/>
      <c r="FM6707"/>
      <c r="FN6707"/>
      <c r="FO6707"/>
      <c r="FP6707"/>
      <c r="FQ6707"/>
      <c r="FR6707"/>
      <c r="FS6707"/>
      <c r="FT6707"/>
      <c r="FU6707"/>
      <c r="FV6707"/>
      <c r="FW6707"/>
      <c r="FX6707"/>
      <c r="FY6707"/>
      <c r="FZ6707"/>
      <c r="GA6707"/>
      <c r="GB6707"/>
      <c r="GC6707"/>
      <c r="GD6707"/>
      <c r="GE6707"/>
      <c r="GF6707"/>
      <c r="GG6707"/>
      <c r="GH6707"/>
      <c r="GI6707"/>
      <c r="GJ6707"/>
      <c r="GK6707"/>
      <c r="GL6707"/>
      <c r="GM6707"/>
      <c r="GN6707"/>
      <c r="GO6707"/>
    </row>
    <row r="6708" spans="107:197">
      <c r="DC6708"/>
      <c r="FH6708"/>
      <c r="FI6708"/>
      <c r="FJ6708"/>
      <c r="FK6708"/>
      <c r="FL6708"/>
      <c r="FM6708"/>
      <c r="FN6708"/>
      <c r="FO6708"/>
      <c r="FP6708"/>
      <c r="FQ6708"/>
      <c r="FR6708"/>
      <c r="FS6708"/>
      <c r="FT6708"/>
      <c r="FU6708"/>
      <c r="FV6708"/>
      <c r="FW6708"/>
      <c r="FX6708"/>
      <c r="FY6708"/>
      <c r="FZ6708"/>
      <c r="GA6708"/>
      <c r="GB6708"/>
      <c r="GC6708"/>
      <c r="GD6708"/>
      <c r="GE6708"/>
      <c r="GF6708"/>
      <c r="GG6708"/>
      <c r="GH6708"/>
      <c r="GI6708"/>
      <c r="GJ6708"/>
      <c r="GK6708"/>
      <c r="GL6708"/>
      <c r="GM6708"/>
      <c r="GN6708"/>
      <c r="GO6708"/>
    </row>
    <row r="6709" spans="107:197">
      <c r="DC6709"/>
      <c r="FH6709"/>
      <c r="FI6709"/>
      <c r="FJ6709"/>
      <c r="FK6709"/>
      <c r="FL6709"/>
      <c r="FM6709"/>
      <c r="FN6709"/>
      <c r="FO6709"/>
      <c r="FP6709"/>
      <c r="FQ6709"/>
      <c r="FR6709"/>
      <c r="FS6709"/>
      <c r="FT6709"/>
      <c r="FU6709"/>
      <c r="FV6709"/>
      <c r="FW6709"/>
      <c r="FX6709"/>
      <c r="FY6709"/>
      <c r="FZ6709"/>
      <c r="GA6709"/>
      <c r="GB6709"/>
      <c r="GC6709"/>
      <c r="GD6709"/>
      <c r="GE6709"/>
      <c r="GF6709"/>
      <c r="GG6709"/>
      <c r="GH6709"/>
      <c r="GI6709"/>
      <c r="GJ6709"/>
      <c r="GK6709"/>
      <c r="GL6709"/>
      <c r="GM6709"/>
      <c r="GN6709"/>
      <c r="GO6709"/>
    </row>
    <row r="6710" spans="107:197">
      <c r="DC6710"/>
      <c r="FH6710"/>
      <c r="FI6710"/>
      <c r="FJ6710"/>
      <c r="FK6710"/>
      <c r="FL6710"/>
      <c r="FM6710"/>
      <c r="FN6710"/>
      <c r="FO6710"/>
      <c r="FP6710"/>
      <c r="FQ6710"/>
      <c r="FR6710"/>
      <c r="FS6710"/>
      <c r="FT6710"/>
      <c r="FU6710"/>
      <c r="FV6710"/>
      <c r="FW6710"/>
      <c r="FX6710"/>
      <c r="FY6710"/>
      <c r="FZ6710"/>
      <c r="GA6710"/>
      <c r="GB6710"/>
      <c r="GC6710"/>
      <c r="GD6710"/>
      <c r="GE6710"/>
      <c r="GF6710"/>
      <c r="GG6710"/>
      <c r="GH6710"/>
      <c r="GI6710"/>
      <c r="GJ6710"/>
      <c r="GK6710"/>
      <c r="GL6710"/>
      <c r="GM6710"/>
      <c r="GN6710"/>
      <c r="GO6710"/>
    </row>
    <row r="6711" spans="107:197">
      <c r="DC6711"/>
      <c r="FH6711"/>
      <c r="FI6711"/>
      <c r="FJ6711"/>
      <c r="FK6711"/>
      <c r="FL6711"/>
      <c r="FM6711"/>
      <c r="FN6711"/>
      <c r="FO6711"/>
      <c r="FP6711"/>
      <c r="FQ6711"/>
      <c r="FR6711"/>
      <c r="FS6711"/>
      <c r="FT6711"/>
      <c r="FU6711"/>
      <c r="FV6711"/>
      <c r="FW6711"/>
      <c r="FX6711"/>
      <c r="FY6711"/>
      <c r="FZ6711"/>
      <c r="GA6711"/>
      <c r="GB6711"/>
      <c r="GC6711"/>
      <c r="GD6711"/>
      <c r="GE6711"/>
      <c r="GF6711"/>
      <c r="GG6711"/>
      <c r="GH6711"/>
      <c r="GI6711"/>
      <c r="GJ6711"/>
      <c r="GK6711"/>
      <c r="GL6711"/>
      <c r="GM6711"/>
      <c r="GN6711"/>
      <c r="GO6711"/>
    </row>
    <row r="6712" spans="107:197">
      <c r="DC6712"/>
      <c r="FH6712"/>
      <c r="FI6712"/>
      <c r="FJ6712"/>
      <c r="FK6712"/>
      <c r="FL6712"/>
      <c r="FM6712"/>
      <c r="FN6712"/>
      <c r="FO6712"/>
      <c r="FP6712"/>
      <c r="FQ6712"/>
      <c r="FR6712"/>
      <c r="FS6712"/>
      <c r="FT6712"/>
      <c r="FU6712"/>
      <c r="FV6712"/>
      <c r="FW6712"/>
      <c r="FX6712"/>
      <c r="FY6712"/>
      <c r="FZ6712"/>
      <c r="GA6712"/>
      <c r="GB6712"/>
      <c r="GC6712"/>
      <c r="GD6712"/>
      <c r="GE6712"/>
      <c r="GF6712"/>
      <c r="GG6712"/>
      <c r="GH6712"/>
      <c r="GI6712"/>
      <c r="GJ6712"/>
      <c r="GK6712"/>
      <c r="GL6712"/>
      <c r="GM6712"/>
      <c r="GN6712"/>
      <c r="GO6712"/>
    </row>
    <row r="6713" spans="107:197">
      <c r="DC6713"/>
      <c r="FH6713"/>
      <c r="FI6713"/>
      <c r="FJ6713"/>
      <c r="FK6713"/>
      <c r="FL6713"/>
      <c r="FM6713"/>
      <c r="FN6713"/>
      <c r="FO6713"/>
      <c r="FP6713"/>
      <c r="FQ6713"/>
      <c r="FR6713"/>
      <c r="FS6713"/>
      <c r="FT6713"/>
      <c r="FU6713"/>
      <c r="FV6713"/>
      <c r="FW6713"/>
      <c r="FX6713"/>
      <c r="FY6713"/>
      <c r="FZ6713"/>
      <c r="GA6713"/>
      <c r="GB6713"/>
      <c r="GC6713"/>
      <c r="GD6713"/>
      <c r="GE6713"/>
      <c r="GF6713"/>
      <c r="GG6713"/>
      <c r="GH6713"/>
      <c r="GI6713"/>
      <c r="GJ6713"/>
      <c r="GK6713"/>
      <c r="GL6713"/>
      <c r="GM6713"/>
      <c r="GN6713"/>
      <c r="GO6713"/>
    </row>
    <row r="6714" spans="107:197">
      <c r="DC6714"/>
      <c r="FH6714"/>
      <c r="FI6714"/>
      <c r="FJ6714"/>
      <c r="FK6714"/>
      <c r="FL6714"/>
      <c r="FM6714"/>
      <c r="FN6714"/>
      <c r="FO6714"/>
      <c r="FP6714"/>
      <c r="FQ6714"/>
      <c r="FR6714"/>
      <c r="FS6714"/>
      <c r="FT6714"/>
      <c r="FU6714"/>
      <c r="FV6714"/>
      <c r="FW6714"/>
      <c r="FX6714"/>
      <c r="FY6714"/>
      <c r="FZ6714"/>
      <c r="GA6714"/>
      <c r="GB6714"/>
      <c r="GC6714"/>
      <c r="GD6714"/>
      <c r="GE6714"/>
      <c r="GF6714"/>
      <c r="GG6714"/>
      <c r="GH6714"/>
      <c r="GI6714"/>
      <c r="GJ6714"/>
      <c r="GK6714"/>
      <c r="GL6714"/>
      <c r="GM6714"/>
      <c r="GN6714"/>
      <c r="GO6714"/>
    </row>
    <row r="6715" spans="107:197">
      <c r="DC6715"/>
      <c r="FH6715"/>
      <c r="FI6715"/>
      <c r="FJ6715"/>
      <c r="FK6715"/>
      <c r="FL6715"/>
      <c r="FM6715"/>
      <c r="FN6715"/>
      <c r="FO6715"/>
      <c r="FP6715"/>
      <c r="FQ6715"/>
      <c r="FR6715"/>
      <c r="FS6715"/>
      <c r="FT6715"/>
      <c r="FU6715"/>
      <c r="FV6715"/>
      <c r="FW6715"/>
      <c r="FX6715"/>
      <c r="FY6715"/>
      <c r="FZ6715"/>
      <c r="GA6715"/>
      <c r="GB6715"/>
      <c r="GC6715"/>
      <c r="GD6715"/>
      <c r="GE6715"/>
      <c r="GF6715"/>
      <c r="GG6715"/>
      <c r="GH6715"/>
      <c r="GI6715"/>
      <c r="GJ6715"/>
      <c r="GK6715"/>
      <c r="GL6715"/>
      <c r="GM6715"/>
      <c r="GN6715"/>
      <c r="GO6715"/>
    </row>
    <row r="6716" spans="107:197">
      <c r="DC6716"/>
      <c r="FH6716"/>
      <c r="FI6716"/>
      <c r="FJ6716"/>
      <c r="FK6716"/>
      <c r="FL6716"/>
      <c r="FM6716"/>
      <c r="FN6716"/>
      <c r="FO6716"/>
      <c r="FP6716"/>
      <c r="FQ6716"/>
      <c r="FR6716"/>
      <c r="FS6716"/>
      <c r="FT6716"/>
      <c r="FU6716"/>
      <c r="FV6716"/>
      <c r="FW6716"/>
      <c r="FX6716"/>
      <c r="FY6716"/>
      <c r="FZ6716"/>
      <c r="GA6716"/>
      <c r="GB6716"/>
      <c r="GC6716"/>
      <c r="GD6716"/>
      <c r="GE6716"/>
      <c r="GF6716"/>
      <c r="GG6716"/>
      <c r="GH6716"/>
      <c r="GI6716"/>
      <c r="GJ6716"/>
      <c r="GK6716"/>
      <c r="GL6716"/>
      <c r="GM6716"/>
      <c r="GN6716"/>
      <c r="GO6716"/>
    </row>
    <row r="6717" spans="107:197">
      <c r="DC6717"/>
      <c r="FH6717"/>
      <c r="FI6717"/>
      <c r="FJ6717"/>
      <c r="FK6717"/>
      <c r="FL6717"/>
      <c r="FM6717"/>
      <c r="FN6717"/>
      <c r="FO6717"/>
      <c r="FP6717"/>
      <c r="FQ6717"/>
      <c r="FR6717"/>
      <c r="FS6717"/>
      <c r="FT6717"/>
      <c r="FU6717"/>
      <c r="FV6717"/>
      <c r="FW6717"/>
      <c r="FX6717"/>
      <c r="FY6717"/>
      <c r="FZ6717"/>
      <c r="GA6717"/>
      <c r="GB6717"/>
      <c r="GC6717"/>
      <c r="GD6717"/>
      <c r="GE6717"/>
      <c r="GF6717"/>
      <c r="GG6717"/>
      <c r="GH6717"/>
      <c r="GI6717"/>
      <c r="GJ6717"/>
      <c r="GK6717"/>
      <c r="GL6717"/>
      <c r="GM6717"/>
      <c r="GN6717"/>
      <c r="GO6717"/>
    </row>
    <row r="6718" spans="107:197">
      <c r="DC6718"/>
      <c r="FH6718"/>
      <c r="FI6718"/>
      <c r="FJ6718"/>
      <c r="FK6718"/>
      <c r="FL6718"/>
      <c r="FM6718"/>
      <c r="FN6718"/>
      <c r="FO6718"/>
      <c r="FP6718"/>
      <c r="FQ6718"/>
      <c r="FR6718"/>
      <c r="FS6718"/>
      <c r="FT6718"/>
      <c r="FU6718"/>
      <c r="FV6718"/>
      <c r="FW6718"/>
      <c r="FX6718"/>
      <c r="FY6718"/>
      <c r="FZ6718"/>
      <c r="GA6718"/>
      <c r="GB6718"/>
      <c r="GC6718"/>
      <c r="GD6718"/>
      <c r="GE6718"/>
      <c r="GF6718"/>
      <c r="GG6718"/>
      <c r="GH6718"/>
      <c r="GI6718"/>
      <c r="GJ6718"/>
      <c r="GK6718"/>
      <c r="GL6718"/>
      <c r="GM6718"/>
      <c r="GN6718"/>
      <c r="GO6718"/>
    </row>
    <row r="6719" spans="107:197">
      <c r="DC6719"/>
      <c r="FH6719"/>
      <c r="FI6719"/>
      <c r="FJ6719"/>
      <c r="FK6719"/>
      <c r="FL6719"/>
      <c r="FM6719"/>
      <c r="FN6719"/>
      <c r="FO6719"/>
      <c r="FP6719"/>
      <c r="FQ6719"/>
      <c r="FR6719"/>
      <c r="FS6719"/>
      <c r="FT6719"/>
      <c r="FU6719"/>
      <c r="FV6719"/>
      <c r="FW6719"/>
      <c r="FX6719"/>
      <c r="FY6719"/>
      <c r="FZ6719"/>
      <c r="GA6719"/>
      <c r="GB6719"/>
      <c r="GC6719"/>
      <c r="GD6719"/>
      <c r="GE6719"/>
      <c r="GF6719"/>
      <c r="GG6719"/>
      <c r="GH6719"/>
      <c r="GI6719"/>
      <c r="GJ6719"/>
      <c r="GK6719"/>
      <c r="GL6719"/>
      <c r="GM6719"/>
      <c r="GN6719"/>
      <c r="GO6719"/>
    </row>
    <row r="6720" spans="107:197">
      <c r="DC6720"/>
      <c r="FH6720"/>
      <c r="FI6720"/>
      <c r="FJ6720"/>
      <c r="FK6720"/>
      <c r="FL6720"/>
      <c r="FM6720"/>
      <c r="FN6720"/>
      <c r="FO6720"/>
      <c r="FP6720"/>
      <c r="FQ6720"/>
      <c r="FR6720"/>
      <c r="FS6720"/>
      <c r="FT6720"/>
      <c r="FU6720"/>
      <c r="FV6720"/>
      <c r="FW6720"/>
      <c r="FX6720"/>
      <c r="FY6720"/>
      <c r="FZ6720"/>
      <c r="GA6720"/>
      <c r="GB6720"/>
      <c r="GC6720"/>
      <c r="GD6720"/>
      <c r="GE6720"/>
      <c r="GF6720"/>
      <c r="GG6720"/>
      <c r="GH6720"/>
      <c r="GI6720"/>
      <c r="GJ6720"/>
      <c r="GK6720"/>
      <c r="GL6720"/>
      <c r="GM6720"/>
      <c r="GN6720"/>
      <c r="GO6720"/>
    </row>
    <row r="6721" spans="107:197">
      <c r="DC6721"/>
      <c r="FH6721"/>
      <c r="FI6721"/>
      <c r="FJ6721"/>
      <c r="FK6721"/>
      <c r="FL6721"/>
      <c r="FM6721"/>
      <c r="FN6721"/>
      <c r="FO6721"/>
      <c r="FP6721"/>
      <c r="FQ6721"/>
      <c r="FR6721"/>
      <c r="FS6721"/>
      <c r="FT6721"/>
      <c r="FU6721"/>
      <c r="FV6721"/>
      <c r="FW6721"/>
      <c r="FX6721"/>
      <c r="FY6721"/>
      <c r="FZ6721"/>
      <c r="GA6721"/>
      <c r="GB6721"/>
      <c r="GC6721"/>
      <c r="GD6721"/>
      <c r="GE6721"/>
      <c r="GF6721"/>
      <c r="GG6721"/>
      <c r="GH6721"/>
      <c r="GI6721"/>
      <c r="GJ6721"/>
      <c r="GK6721"/>
      <c r="GL6721"/>
      <c r="GM6721"/>
      <c r="GN6721"/>
      <c r="GO6721"/>
    </row>
    <row r="6722" spans="107:197">
      <c r="DC6722"/>
      <c r="FH6722"/>
      <c r="FI6722"/>
      <c r="FJ6722"/>
      <c r="FK6722"/>
      <c r="FL6722"/>
      <c r="FM6722"/>
      <c r="FN6722"/>
      <c r="FO6722"/>
      <c r="FP6722"/>
      <c r="FQ6722"/>
      <c r="FR6722"/>
      <c r="FS6722"/>
      <c r="FT6722"/>
      <c r="FU6722"/>
      <c r="FV6722"/>
      <c r="FW6722"/>
      <c r="FX6722"/>
      <c r="FY6722"/>
      <c r="FZ6722"/>
      <c r="GA6722"/>
      <c r="GB6722"/>
      <c r="GC6722"/>
      <c r="GD6722"/>
      <c r="GE6722"/>
      <c r="GF6722"/>
      <c r="GG6722"/>
      <c r="GH6722"/>
      <c r="GI6722"/>
      <c r="GJ6722"/>
      <c r="GK6722"/>
      <c r="GL6722"/>
      <c r="GM6722"/>
      <c r="GN6722"/>
      <c r="GO6722"/>
    </row>
    <row r="6723" spans="107:197">
      <c r="DC6723"/>
      <c r="FH6723"/>
      <c r="FI6723"/>
      <c r="FJ6723"/>
      <c r="FK6723"/>
      <c r="FL6723"/>
      <c r="FM6723"/>
      <c r="FN6723"/>
      <c r="FO6723"/>
      <c r="FP6723"/>
      <c r="FQ6723"/>
      <c r="FR6723"/>
      <c r="FS6723"/>
      <c r="FT6723"/>
      <c r="FU6723"/>
      <c r="FV6723"/>
      <c r="FW6723"/>
      <c r="FX6723"/>
      <c r="FY6723"/>
      <c r="FZ6723"/>
      <c r="GA6723"/>
      <c r="GB6723"/>
      <c r="GC6723"/>
      <c r="GD6723"/>
      <c r="GE6723"/>
      <c r="GF6723"/>
      <c r="GG6723"/>
      <c r="GH6723"/>
      <c r="GI6723"/>
      <c r="GJ6723"/>
      <c r="GK6723"/>
      <c r="GL6723"/>
      <c r="GM6723"/>
      <c r="GN6723"/>
      <c r="GO6723"/>
    </row>
    <row r="6724" spans="107:197">
      <c r="DC6724"/>
      <c r="FH6724"/>
      <c r="FI6724"/>
      <c r="FJ6724"/>
      <c r="FK6724"/>
      <c r="FL6724"/>
      <c r="FM6724"/>
      <c r="FN6724"/>
      <c r="FO6724"/>
      <c r="FP6724"/>
      <c r="FQ6724"/>
      <c r="FR6724"/>
      <c r="FS6724"/>
      <c r="FT6724"/>
      <c r="FU6724"/>
      <c r="FV6724"/>
      <c r="FW6724"/>
      <c r="FX6724"/>
      <c r="FY6724"/>
      <c r="FZ6724"/>
      <c r="GA6724"/>
      <c r="GB6724"/>
      <c r="GC6724"/>
      <c r="GD6724"/>
      <c r="GE6724"/>
      <c r="GF6724"/>
      <c r="GG6724"/>
      <c r="GH6724"/>
      <c r="GI6724"/>
      <c r="GJ6724"/>
      <c r="GK6724"/>
      <c r="GL6724"/>
      <c r="GM6724"/>
      <c r="GN6724"/>
      <c r="GO6724"/>
    </row>
    <row r="6725" spans="107:197">
      <c r="DC6725"/>
      <c r="FH6725"/>
      <c r="FI6725"/>
      <c r="FJ6725"/>
      <c r="FK6725"/>
      <c r="FL6725"/>
      <c r="FM6725"/>
      <c r="FN6725"/>
      <c r="FO6725"/>
      <c r="FP6725"/>
      <c r="FQ6725"/>
      <c r="FR6725"/>
      <c r="FS6725"/>
      <c r="FT6725"/>
      <c r="FU6725"/>
      <c r="FV6725"/>
      <c r="FW6725"/>
      <c r="FX6725"/>
      <c r="FY6725"/>
      <c r="FZ6725"/>
      <c r="GA6725"/>
      <c r="GB6725"/>
      <c r="GC6725"/>
      <c r="GD6725"/>
      <c r="GE6725"/>
      <c r="GF6725"/>
      <c r="GG6725"/>
      <c r="GH6725"/>
      <c r="GI6725"/>
      <c r="GJ6725"/>
      <c r="GK6725"/>
      <c r="GL6725"/>
      <c r="GM6725"/>
      <c r="GN6725"/>
      <c r="GO6725"/>
    </row>
    <row r="6726" spans="107:197">
      <c r="DC6726"/>
      <c r="FH6726"/>
      <c r="FI6726"/>
      <c r="FJ6726"/>
      <c r="FK6726"/>
      <c r="FL6726"/>
      <c r="FM6726"/>
      <c r="FN6726"/>
      <c r="FO6726"/>
      <c r="FP6726"/>
      <c r="FQ6726"/>
      <c r="FR6726"/>
      <c r="FS6726"/>
      <c r="FT6726"/>
      <c r="FU6726"/>
      <c r="FV6726"/>
      <c r="FW6726"/>
      <c r="FX6726"/>
      <c r="FY6726"/>
      <c r="FZ6726"/>
      <c r="GA6726"/>
      <c r="GB6726"/>
      <c r="GC6726"/>
      <c r="GD6726"/>
      <c r="GE6726"/>
      <c r="GF6726"/>
      <c r="GG6726"/>
      <c r="GH6726"/>
      <c r="GI6726"/>
      <c r="GJ6726"/>
      <c r="GK6726"/>
      <c r="GL6726"/>
      <c r="GM6726"/>
      <c r="GN6726"/>
      <c r="GO6726"/>
    </row>
    <row r="6727" spans="107:197">
      <c r="DC6727"/>
      <c r="FH6727"/>
      <c r="FI6727"/>
      <c r="FJ6727"/>
      <c r="FK6727"/>
      <c r="FL6727"/>
      <c r="FM6727"/>
      <c r="FN6727"/>
      <c r="FO6727"/>
      <c r="FP6727"/>
      <c r="FQ6727"/>
      <c r="FR6727"/>
      <c r="FS6727"/>
      <c r="FT6727"/>
      <c r="FU6727"/>
      <c r="FV6727"/>
      <c r="FW6727"/>
      <c r="FX6727"/>
      <c r="FY6727"/>
      <c r="FZ6727"/>
      <c r="GA6727"/>
      <c r="GB6727"/>
      <c r="GC6727"/>
      <c r="GD6727"/>
      <c r="GE6727"/>
      <c r="GF6727"/>
      <c r="GG6727"/>
      <c r="GH6727"/>
      <c r="GI6727"/>
      <c r="GJ6727"/>
      <c r="GK6727"/>
      <c r="GL6727"/>
      <c r="GM6727"/>
      <c r="GN6727"/>
      <c r="GO6727"/>
    </row>
    <row r="6728" spans="107:197">
      <c r="DC6728"/>
      <c r="FH6728"/>
      <c r="FI6728"/>
      <c r="FJ6728"/>
      <c r="FK6728"/>
      <c r="FL6728"/>
      <c r="FM6728"/>
      <c r="FN6728"/>
      <c r="FO6728"/>
      <c r="FP6728"/>
      <c r="FQ6728"/>
      <c r="FR6728"/>
      <c r="FS6728"/>
      <c r="FT6728"/>
      <c r="FU6728"/>
      <c r="FV6728"/>
      <c r="FW6728"/>
      <c r="FX6728"/>
      <c r="FY6728"/>
      <c r="FZ6728"/>
      <c r="GA6728"/>
      <c r="GB6728"/>
      <c r="GC6728"/>
      <c r="GD6728"/>
      <c r="GE6728"/>
      <c r="GF6728"/>
      <c r="GG6728"/>
      <c r="GH6728"/>
      <c r="GI6728"/>
      <c r="GJ6728"/>
      <c r="GK6728"/>
      <c r="GL6728"/>
      <c r="GM6728"/>
      <c r="GN6728"/>
      <c r="GO6728"/>
    </row>
    <row r="6729" spans="107:197">
      <c r="DC6729"/>
      <c r="FH6729"/>
      <c r="FI6729"/>
      <c r="FJ6729"/>
      <c r="FK6729"/>
      <c r="FL6729"/>
      <c r="FM6729"/>
      <c r="FN6729"/>
      <c r="FO6729"/>
      <c r="FP6729"/>
      <c r="FQ6729"/>
      <c r="FR6729"/>
      <c r="FS6729"/>
      <c r="FT6729"/>
      <c r="FU6729"/>
      <c r="FV6729"/>
      <c r="FW6729"/>
      <c r="FX6729"/>
      <c r="FY6729"/>
      <c r="FZ6729"/>
      <c r="GA6729"/>
      <c r="GB6729"/>
      <c r="GC6729"/>
      <c r="GD6729"/>
      <c r="GE6729"/>
      <c r="GF6729"/>
      <c r="GG6729"/>
      <c r="GH6729"/>
      <c r="GI6729"/>
      <c r="GJ6729"/>
      <c r="GK6729"/>
      <c r="GL6729"/>
      <c r="GM6729"/>
      <c r="GN6729"/>
      <c r="GO6729"/>
    </row>
    <row r="6730" spans="107:197">
      <c r="DC6730"/>
      <c r="FH6730"/>
      <c r="FI6730"/>
      <c r="FJ6730"/>
      <c r="FK6730"/>
      <c r="FL6730"/>
      <c r="FM6730"/>
      <c r="FN6730"/>
      <c r="FO6730"/>
      <c r="FP6730"/>
      <c r="FQ6730"/>
      <c r="FR6730"/>
      <c r="FS6730"/>
      <c r="FT6730"/>
      <c r="FU6730"/>
      <c r="FV6730"/>
      <c r="FW6730"/>
      <c r="FX6730"/>
      <c r="FY6730"/>
      <c r="FZ6730"/>
      <c r="GA6730"/>
      <c r="GB6730"/>
      <c r="GC6730"/>
      <c r="GD6730"/>
      <c r="GE6730"/>
      <c r="GF6730"/>
      <c r="GG6730"/>
      <c r="GH6730"/>
      <c r="GI6730"/>
      <c r="GJ6730"/>
      <c r="GK6730"/>
      <c r="GL6730"/>
      <c r="GM6730"/>
      <c r="GN6730"/>
      <c r="GO6730"/>
    </row>
    <row r="6731" spans="107:197">
      <c r="DC6731"/>
      <c r="FH6731"/>
      <c r="FI6731"/>
      <c r="FJ6731"/>
      <c r="FK6731"/>
      <c r="FL6731"/>
      <c r="FM6731"/>
      <c r="FN6731"/>
      <c r="FO6731"/>
      <c r="FP6731"/>
      <c r="FQ6731"/>
      <c r="FR6731"/>
      <c r="FS6731"/>
      <c r="FT6731"/>
      <c r="FU6731"/>
      <c r="FV6731"/>
      <c r="FW6731"/>
      <c r="FX6731"/>
      <c r="FY6731"/>
      <c r="FZ6731"/>
      <c r="GA6731"/>
      <c r="GB6731"/>
      <c r="GC6731"/>
      <c r="GD6731"/>
      <c r="GE6731"/>
      <c r="GF6731"/>
      <c r="GG6731"/>
      <c r="GH6731"/>
      <c r="GI6731"/>
      <c r="GJ6731"/>
      <c r="GK6731"/>
      <c r="GL6731"/>
      <c r="GM6731"/>
      <c r="GN6731"/>
      <c r="GO6731"/>
    </row>
    <row r="6732" spans="107:197">
      <c r="DC6732"/>
      <c r="FH6732"/>
      <c r="FI6732"/>
      <c r="FJ6732"/>
      <c r="FK6732"/>
      <c r="FL6732"/>
      <c r="FM6732"/>
      <c r="FN6732"/>
      <c r="FO6732"/>
      <c r="FP6732"/>
      <c r="FQ6732"/>
      <c r="FR6732"/>
      <c r="FS6732"/>
      <c r="FT6732"/>
      <c r="FU6732"/>
      <c r="FV6732"/>
      <c r="FW6732"/>
      <c r="FX6732"/>
      <c r="FY6732"/>
      <c r="FZ6732"/>
      <c r="GA6732"/>
      <c r="GB6732"/>
      <c r="GC6732"/>
      <c r="GD6732"/>
      <c r="GE6732"/>
      <c r="GF6732"/>
      <c r="GG6732"/>
      <c r="GH6732"/>
      <c r="GI6732"/>
      <c r="GJ6732"/>
      <c r="GK6732"/>
      <c r="GL6732"/>
      <c r="GM6732"/>
      <c r="GN6732"/>
      <c r="GO6732"/>
    </row>
    <row r="6733" spans="107:197">
      <c r="DC6733"/>
      <c r="FH6733"/>
      <c r="FI6733"/>
      <c r="FJ6733"/>
      <c r="FK6733"/>
      <c r="FL6733"/>
      <c r="FM6733"/>
      <c r="FN6733"/>
      <c r="FO6733"/>
      <c r="FP6733"/>
      <c r="FQ6733"/>
      <c r="FR6733"/>
      <c r="FS6733"/>
      <c r="FT6733"/>
      <c r="FU6733"/>
      <c r="FV6733"/>
      <c r="FW6733"/>
      <c r="FX6733"/>
      <c r="FY6733"/>
      <c r="FZ6733"/>
      <c r="GA6733"/>
      <c r="GB6733"/>
      <c r="GC6733"/>
      <c r="GD6733"/>
      <c r="GE6733"/>
      <c r="GF6733"/>
      <c r="GG6733"/>
      <c r="GH6733"/>
      <c r="GI6733"/>
      <c r="GJ6733"/>
      <c r="GK6733"/>
      <c r="GL6733"/>
      <c r="GM6733"/>
      <c r="GN6733"/>
      <c r="GO6733"/>
    </row>
    <row r="6734" spans="107:197">
      <c r="DC6734"/>
      <c r="FH6734"/>
      <c r="FI6734"/>
      <c r="FJ6734"/>
      <c r="FK6734"/>
      <c r="FL6734"/>
      <c r="FM6734"/>
      <c r="FN6734"/>
      <c r="FO6734"/>
      <c r="FP6734"/>
      <c r="FQ6734"/>
      <c r="FR6734"/>
      <c r="FS6734"/>
      <c r="FT6734"/>
      <c r="FU6734"/>
      <c r="FV6734"/>
      <c r="FW6734"/>
      <c r="FX6734"/>
      <c r="FY6734"/>
      <c r="FZ6734"/>
      <c r="GA6734"/>
      <c r="GB6734"/>
      <c r="GC6734"/>
      <c r="GD6734"/>
      <c r="GE6734"/>
      <c r="GF6734"/>
      <c r="GG6734"/>
      <c r="GH6734"/>
      <c r="GI6734"/>
      <c r="GJ6734"/>
      <c r="GK6734"/>
      <c r="GL6734"/>
      <c r="GM6734"/>
      <c r="GN6734"/>
      <c r="GO6734"/>
    </row>
    <row r="6735" spans="107:197">
      <c r="DC6735"/>
      <c r="FH6735"/>
      <c r="FI6735"/>
      <c r="FJ6735"/>
      <c r="FK6735"/>
      <c r="FL6735"/>
      <c r="FM6735"/>
      <c r="FN6735"/>
      <c r="FO6735"/>
      <c r="FP6735"/>
      <c r="FQ6735"/>
      <c r="FR6735"/>
      <c r="FS6735"/>
      <c r="FT6735"/>
      <c r="FU6735"/>
      <c r="FV6735"/>
      <c r="FW6735"/>
      <c r="FX6735"/>
      <c r="FY6735"/>
      <c r="FZ6735"/>
      <c r="GA6735"/>
      <c r="GB6735"/>
      <c r="GC6735"/>
      <c r="GD6735"/>
      <c r="GE6735"/>
      <c r="GF6735"/>
      <c r="GG6735"/>
      <c r="GH6735"/>
      <c r="GI6735"/>
      <c r="GJ6735"/>
      <c r="GK6735"/>
      <c r="GL6735"/>
      <c r="GM6735"/>
      <c r="GN6735"/>
      <c r="GO6735"/>
    </row>
    <row r="6736" spans="107:197">
      <c r="DC6736"/>
      <c r="FH6736"/>
      <c r="FI6736"/>
      <c r="FJ6736"/>
      <c r="FK6736"/>
      <c r="FL6736"/>
      <c r="FM6736"/>
      <c r="FN6736"/>
      <c r="FO6736"/>
      <c r="FP6736"/>
      <c r="FQ6736"/>
      <c r="FR6736"/>
      <c r="FS6736"/>
      <c r="FT6736"/>
      <c r="FU6736"/>
      <c r="FV6736"/>
      <c r="FW6736"/>
      <c r="FX6736"/>
      <c r="FY6736"/>
      <c r="FZ6736"/>
      <c r="GA6736"/>
      <c r="GB6736"/>
      <c r="GC6736"/>
      <c r="GD6736"/>
      <c r="GE6736"/>
      <c r="GF6736"/>
      <c r="GG6736"/>
      <c r="GH6736"/>
      <c r="GI6736"/>
      <c r="GJ6736"/>
      <c r="GK6736"/>
      <c r="GL6736"/>
      <c r="GM6736"/>
      <c r="GN6736"/>
      <c r="GO6736"/>
    </row>
    <row r="6737" spans="107:197">
      <c r="DC6737"/>
      <c r="FH6737"/>
      <c r="FI6737"/>
      <c r="FJ6737"/>
      <c r="FK6737"/>
      <c r="FL6737"/>
      <c r="FM6737"/>
      <c r="FN6737"/>
      <c r="FO6737"/>
      <c r="FP6737"/>
      <c r="FQ6737"/>
      <c r="FR6737"/>
      <c r="FS6737"/>
      <c r="FT6737"/>
      <c r="FU6737"/>
      <c r="FV6737"/>
      <c r="FW6737"/>
      <c r="FX6737"/>
      <c r="FY6737"/>
      <c r="FZ6737"/>
      <c r="GA6737"/>
      <c r="GB6737"/>
      <c r="GC6737"/>
      <c r="GD6737"/>
      <c r="GE6737"/>
      <c r="GF6737"/>
      <c r="GG6737"/>
      <c r="GH6737"/>
      <c r="GI6737"/>
      <c r="GJ6737"/>
      <c r="GK6737"/>
      <c r="GL6737"/>
      <c r="GM6737"/>
      <c r="GN6737"/>
      <c r="GO6737"/>
    </row>
    <row r="6738" spans="107:197">
      <c r="DC6738"/>
      <c r="FH6738"/>
      <c r="FI6738"/>
      <c r="FJ6738"/>
      <c r="FK6738"/>
      <c r="FL6738"/>
      <c r="FM6738"/>
      <c r="FN6738"/>
      <c r="FO6738"/>
      <c r="FP6738"/>
      <c r="FQ6738"/>
      <c r="FR6738"/>
      <c r="FS6738"/>
      <c r="FT6738"/>
      <c r="FU6738"/>
      <c r="FV6738"/>
      <c r="FW6738"/>
      <c r="FX6738"/>
      <c r="FY6738"/>
      <c r="FZ6738"/>
      <c r="GA6738"/>
      <c r="GB6738"/>
      <c r="GC6738"/>
      <c r="GD6738"/>
      <c r="GE6738"/>
      <c r="GF6738"/>
      <c r="GG6738"/>
      <c r="GH6738"/>
      <c r="GI6738"/>
      <c r="GJ6738"/>
      <c r="GK6738"/>
      <c r="GL6738"/>
      <c r="GM6738"/>
      <c r="GN6738"/>
      <c r="GO6738"/>
    </row>
    <row r="6739" spans="107:197">
      <c r="DC6739"/>
      <c r="FH6739"/>
      <c r="FI6739"/>
      <c r="FJ6739"/>
      <c r="FK6739"/>
      <c r="FL6739"/>
      <c r="FM6739"/>
      <c r="FN6739"/>
      <c r="FO6739"/>
      <c r="FP6739"/>
      <c r="FQ6739"/>
      <c r="FR6739"/>
      <c r="FS6739"/>
      <c r="FT6739"/>
      <c r="FU6739"/>
      <c r="FV6739"/>
      <c r="FW6739"/>
      <c r="FX6739"/>
      <c r="FY6739"/>
      <c r="FZ6739"/>
      <c r="GA6739"/>
      <c r="GB6739"/>
      <c r="GC6739"/>
      <c r="GD6739"/>
      <c r="GE6739"/>
      <c r="GF6739"/>
      <c r="GG6739"/>
      <c r="GH6739"/>
      <c r="GI6739"/>
      <c r="GJ6739"/>
      <c r="GK6739"/>
      <c r="GL6739"/>
      <c r="GM6739"/>
      <c r="GN6739"/>
      <c r="GO6739"/>
    </row>
    <row r="6740" spans="107:197">
      <c r="DC6740"/>
      <c r="FH6740"/>
      <c r="FI6740"/>
      <c r="FJ6740"/>
      <c r="FK6740"/>
      <c r="FL6740"/>
      <c r="FM6740"/>
      <c r="FN6740"/>
      <c r="FO6740"/>
      <c r="FP6740"/>
      <c r="FQ6740"/>
      <c r="FR6740"/>
      <c r="FS6740"/>
      <c r="FT6740"/>
      <c r="FU6740"/>
      <c r="FV6740"/>
      <c r="FW6740"/>
      <c r="FX6740"/>
      <c r="FY6740"/>
      <c r="FZ6740"/>
      <c r="GA6740"/>
      <c r="GB6740"/>
      <c r="GC6740"/>
      <c r="GD6740"/>
      <c r="GE6740"/>
      <c r="GF6740"/>
      <c r="GG6740"/>
      <c r="GH6740"/>
      <c r="GI6740"/>
      <c r="GJ6740"/>
      <c r="GK6740"/>
      <c r="GL6740"/>
      <c r="GM6740"/>
      <c r="GN6740"/>
      <c r="GO6740"/>
    </row>
    <row r="6741" spans="107:197">
      <c r="DC6741"/>
      <c r="FH6741"/>
      <c r="FI6741"/>
      <c r="FJ6741"/>
      <c r="FK6741"/>
      <c r="FL6741"/>
      <c r="FM6741"/>
      <c r="FN6741"/>
      <c r="FO6741"/>
      <c r="FP6741"/>
      <c r="FQ6741"/>
      <c r="FR6741"/>
      <c r="FS6741"/>
      <c r="FT6741"/>
      <c r="FU6741"/>
      <c r="FV6741"/>
      <c r="FW6741"/>
      <c r="FX6741"/>
      <c r="FY6741"/>
      <c r="FZ6741"/>
      <c r="GA6741"/>
      <c r="GB6741"/>
      <c r="GC6741"/>
      <c r="GD6741"/>
      <c r="GE6741"/>
      <c r="GF6741"/>
      <c r="GG6741"/>
      <c r="GH6741"/>
      <c r="GI6741"/>
      <c r="GJ6741"/>
      <c r="GK6741"/>
      <c r="GL6741"/>
      <c r="GM6741"/>
      <c r="GN6741"/>
      <c r="GO6741"/>
    </row>
    <row r="6742" spans="107:197">
      <c r="DC6742"/>
      <c r="FH6742"/>
      <c r="FI6742"/>
      <c r="FJ6742"/>
      <c r="FK6742"/>
      <c r="FL6742"/>
      <c r="FM6742"/>
      <c r="FN6742"/>
      <c r="FO6742"/>
      <c r="FP6742"/>
      <c r="FQ6742"/>
      <c r="FR6742"/>
      <c r="FS6742"/>
      <c r="FT6742"/>
      <c r="FU6742"/>
      <c r="FV6742"/>
      <c r="FW6742"/>
      <c r="FX6742"/>
      <c r="FY6742"/>
      <c r="FZ6742"/>
      <c r="GA6742"/>
      <c r="GB6742"/>
      <c r="GC6742"/>
      <c r="GD6742"/>
      <c r="GE6742"/>
      <c r="GF6742"/>
      <c r="GG6742"/>
      <c r="GH6742"/>
      <c r="GI6742"/>
      <c r="GJ6742"/>
      <c r="GK6742"/>
      <c r="GL6742"/>
      <c r="GM6742"/>
      <c r="GN6742"/>
      <c r="GO6742"/>
    </row>
    <row r="6743" spans="107:197">
      <c r="DC6743"/>
      <c r="FH6743"/>
      <c r="FI6743"/>
      <c r="FJ6743"/>
      <c r="FK6743"/>
      <c r="FL6743"/>
      <c r="FM6743"/>
      <c r="FN6743"/>
      <c r="FO6743"/>
      <c r="FP6743"/>
      <c r="FQ6743"/>
      <c r="FR6743"/>
      <c r="FS6743"/>
      <c r="FT6743"/>
      <c r="FU6743"/>
      <c r="FV6743"/>
      <c r="FW6743"/>
      <c r="FX6743"/>
      <c r="FY6743"/>
      <c r="FZ6743"/>
      <c r="GA6743"/>
      <c r="GB6743"/>
      <c r="GC6743"/>
      <c r="GD6743"/>
      <c r="GE6743"/>
      <c r="GF6743"/>
      <c r="GG6743"/>
      <c r="GH6743"/>
      <c r="GI6743"/>
      <c r="GJ6743"/>
      <c r="GK6743"/>
      <c r="GL6743"/>
      <c r="GM6743"/>
      <c r="GN6743"/>
      <c r="GO6743"/>
    </row>
    <row r="6744" spans="107:197">
      <c r="DC6744"/>
      <c r="FH6744"/>
      <c r="FI6744"/>
      <c r="FJ6744"/>
      <c r="FK6744"/>
      <c r="FL6744"/>
      <c r="FM6744"/>
      <c r="FN6744"/>
      <c r="FO6744"/>
      <c r="FP6744"/>
      <c r="FQ6744"/>
      <c r="FR6744"/>
      <c r="FS6744"/>
      <c r="FT6744"/>
      <c r="FU6744"/>
      <c r="FV6744"/>
      <c r="FW6744"/>
      <c r="FX6744"/>
      <c r="FY6744"/>
      <c r="FZ6744"/>
      <c r="GA6744"/>
      <c r="GB6744"/>
      <c r="GC6744"/>
      <c r="GD6744"/>
      <c r="GE6744"/>
      <c r="GF6744"/>
      <c r="GG6744"/>
      <c r="GH6744"/>
      <c r="GI6744"/>
      <c r="GJ6744"/>
      <c r="GK6744"/>
      <c r="GL6744"/>
      <c r="GM6744"/>
      <c r="GN6744"/>
      <c r="GO6744"/>
    </row>
    <row r="6745" spans="107:197">
      <c r="DC6745"/>
      <c r="FH6745"/>
      <c r="FI6745"/>
      <c r="FJ6745"/>
      <c r="FK6745"/>
      <c r="FL6745"/>
      <c r="FM6745"/>
      <c r="FN6745"/>
      <c r="FO6745"/>
      <c r="FP6745"/>
      <c r="FQ6745"/>
      <c r="FR6745"/>
      <c r="FS6745"/>
      <c r="FT6745"/>
      <c r="FU6745"/>
      <c r="FV6745"/>
      <c r="FW6745"/>
      <c r="FX6745"/>
      <c r="FY6745"/>
      <c r="FZ6745"/>
      <c r="GA6745"/>
      <c r="GB6745"/>
      <c r="GC6745"/>
      <c r="GD6745"/>
      <c r="GE6745"/>
      <c r="GF6745"/>
      <c r="GG6745"/>
      <c r="GH6745"/>
      <c r="GI6745"/>
      <c r="GJ6745"/>
      <c r="GK6745"/>
      <c r="GL6745"/>
      <c r="GM6745"/>
      <c r="GN6745"/>
      <c r="GO6745"/>
    </row>
    <row r="6746" spans="107:197">
      <c r="DC6746"/>
      <c r="FH6746"/>
      <c r="FI6746"/>
      <c r="FJ6746"/>
      <c r="FK6746"/>
      <c r="FL6746"/>
      <c r="FM6746"/>
      <c r="FN6746"/>
      <c r="FO6746"/>
      <c r="FP6746"/>
      <c r="FQ6746"/>
      <c r="FR6746"/>
      <c r="FS6746"/>
      <c r="FT6746"/>
      <c r="FU6746"/>
      <c r="FV6746"/>
      <c r="FW6746"/>
      <c r="FX6746"/>
      <c r="FY6746"/>
      <c r="FZ6746"/>
      <c r="GA6746"/>
      <c r="GB6746"/>
      <c r="GC6746"/>
      <c r="GD6746"/>
      <c r="GE6746"/>
      <c r="GF6746"/>
      <c r="GG6746"/>
      <c r="GH6746"/>
      <c r="GI6746"/>
      <c r="GJ6746"/>
      <c r="GK6746"/>
      <c r="GL6746"/>
      <c r="GM6746"/>
      <c r="GN6746"/>
      <c r="GO6746"/>
    </row>
    <row r="6747" spans="107:197">
      <c r="DC6747"/>
      <c r="FH6747"/>
      <c r="FI6747"/>
      <c r="FJ6747"/>
      <c r="FK6747"/>
      <c r="FL6747"/>
      <c r="FM6747"/>
      <c r="FN6747"/>
      <c r="FO6747"/>
      <c r="FP6747"/>
      <c r="FQ6747"/>
      <c r="FR6747"/>
      <c r="FS6747"/>
      <c r="FT6747"/>
      <c r="FU6747"/>
      <c r="FV6747"/>
      <c r="FW6747"/>
      <c r="FX6747"/>
      <c r="FY6747"/>
      <c r="FZ6747"/>
      <c r="GA6747"/>
      <c r="GB6747"/>
      <c r="GC6747"/>
      <c r="GD6747"/>
      <c r="GE6747"/>
      <c r="GF6747"/>
      <c r="GG6747"/>
      <c r="GH6747"/>
      <c r="GI6747"/>
      <c r="GJ6747"/>
      <c r="GK6747"/>
      <c r="GL6747"/>
      <c r="GM6747"/>
      <c r="GN6747"/>
      <c r="GO6747"/>
    </row>
    <row r="6748" spans="107:197">
      <c r="DC6748"/>
      <c r="FH6748"/>
      <c r="FI6748"/>
      <c r="FJ6748"/>
      <c r="FK6748"/>
      <c r="FL6748"/>
      <c r="FM6748"/>
      <c r="FN6748"/>
      <c r="FO6748"/>
      <c r="FP6748"/>
      <c r="FQ6748"/>
      <c r="FR6748"/>
      <c r="FS6748"/>
      <c r="FT6748"/>
      <c r="FU6748"/>
      <c r="FV6748"/>
      <c r="FW6748"/>
      <c r="FX6748"/>
      <c r="FY6748"/>
      <c r="FZ6748"/>
      <c r="GA6748"/>
      <c r="GB6748"/>
      <c r="GC6748"/>
      <c r="GD6748"/>
      <c r="GE6748"/>
      <c r="GF6748"/>
      <c r="GG6748"/>
      <c r="GH6748"/>
      <c r="GI6748"/>
      <c r="GJ6748"/>
      <c r="GK6748"/>
      <c r="GL6748"/>
      <c r="GM6748"/>
      <c r="GN6748"/>
      <c r="GO6748"/>
    </row>
    <row r="6749" spans="107:197">
      <c r="DC6749"/>
      <c r="FH6749"/>
      <c r="FI6749"/>
      <c r="FJ6749"/>
      <c r="FK6749"/>
      <c r="FL6749"/>
      <c r="FM6749"/>
      <c r="FN6749"/>
      <c r="FO6749"/>
      <c r="FP6749"/>
      <c r="FQ6749"/>
      <c r="FR6749"/>
      <c r="FS6749"/>
      <c r="FT6749"/>
      <c r="FU6749"/>
      <c r="FV6749"/>
      <c r="FW6749"/>
      <c r="FX6749"/>
      <c r="FY6749"/>
      <c r="FZ6749"/>
      <c r="GA6749"/>
      <c r="GB6749"/>
      <c r="GC6749"/>
      <c r="GD6749"/>
      <c r="GE6749"/>
      <c r="GF6749"/>
      <c r="GG6749"/>
      <c r="GH6749"/>
      <c r="GI6749"/>
      <c r="GJ6749"/>
      <c r="GK6749"/>
      <c r="GL6749"/>
      <c r="GM6749"/>
      <c r="GN6749"/>
      <c r="GO6749"/>
    </row>
    <row r="6750" spans="107:197">
      <c r="DC6750"/>
      <c r="FH6750"/>
      <c r="FI6750"/>
      <c r="FJ6750"/>
      <c r="FK6750"/>
      <c r="FL6750"/>
      <c r="FM6750"/>
      <c r="FN6750"/>
      <c r="FO6750"/>
      <c r="FP6750"/>
      <c r="FQ6750"/>
      <c r="FR6750"/>
      <c r="FS6750"/>
      <c r="FT6750"/>
      <c r="FU6750"/>
      <c r="FV6750"/>
      <c r="FW6750"/>
      <c r="FX6750"/>
      <c r="FY6750"/>
      <c r="FZ6750"/>
      <c r="GA6750"/>
      <c r="GB6750"/>
      <c r="GC6750"/>
      <c r="GD6750"/>
      <c r="GE6750"/>
      <c r="GF6750"/>
      <c r="GG6750"/>
      <c r="GH6750"/>
      <c r="GI6750"/>
      <c r="GJ6750"/>
      <c r="GK6750"/>
      <c r="GL6750"/>
      <c r="GM6750"/>
      <c r="GN6750"/>
      <c r="GO6750"/>
    </row>
    <row r="6751" spans="107:197">
      <c r="DC6751"/>
      <c r="FH6751"/>
      <c r="FI6751"/>
      <c r="FJ6751"/>
      <c r="FK6751"/>
      <c r="FL6751"/>
      <c r="FM6751"/>
      <c r="FN6751"/>
      <c r="FO6751"/>
      <c r="FP6751"/>
      <c r="FQ6751"/>
      <c r="FR6751"/>
      <c r="FS6751"/>
      <c r="FT6751"/>
      <c r="FU6751"/>
      <c r="FV6751"/>
      <c r="FW6751"/>
      <c r="FX6751"/>
      <c r="FY6751"/>
      <c r="FZ6751"/>
      <c r="GA6751"/>
      <c r="GB6751"/>
      <c r="GC6751"/>
      <c r="GD6751"/>
      <c r="GE6751"/>
      <c r="GF6751"/>
      <c r="GG6751"/>
      <c r="GH6751"/>
      <c r="GI6751"/>
      <c r="GJ6751"/>
      <c r="GK6751"/>
      <c r="GL6751"/>
      <c r="GM6751"/>
      <c r="GN6751"/>
      <c r="GO6751"/>
    </row>
    <row r="6752" spans="107:197">
      <c r="DC6752"/>
      <c r="FH6752"/>
      <c r="FI6752"/>
      <c r="FJ6752"/>
      <c r="FK6752"/>
      <c r="FL6752"/>
      <c r="FM6752"/>
      <c r="FN6752"/>
      <c r="FO6752"/>
      <c r="FP6752"/>
      <c r="FQ6752"/>
      <c r="FR6752"/>
      <c r="FS6752"/>
      <c r="FT6752"/>
      <c r="FU6752"/>
      <c r="FV6752"/>
      <c r="FW6752"/>
      <c r="FX6752"/>
      <c r="FY6752"/>
      <c r="FZ6752"/>
      <c r="GA6752"/>
      <c r="GB6752"/>
      <c r="GC6752"/>
      <c r="GD6752"/>
      <c r="GE6752"/>
      <c r="GF6752"/>
      <c r="GG6752"/>
      <c r="GH6752"/>
      <c r="GI6752"/>
      <c r="GJ6752"/>
      <c r="GK6752"/>
      <c r="GL6752"/>
      <c r="GM6752"/>
      <c r="GN6752"/>
      <c r="GO6752"/>
    </row>
    <row r="6753" spans="107:197">
      <c r="DC6753"/>
      <c r="FH6753"/>
      <c r="FI6753"/>
      <c r="FJ6753"/>
      <c r="FK6753"/>
      <c r="FL6753"/>
      <c r="FM6753"/>
      <c r="FN6753"/>
      <c r="FO6753"/>
      <c r="FP6753"/>
      <c r="FQ6753"/>
      <c r="FR6753"/>
      <c r="FS6753"/>
      <c r="FT6753"/>
      <c r="FU6753"/>
      <c r="FV6753"/>
      <c r="FW6753"/>
      <c r="FX6753"/>
      <c r="FY6753"/>
      <c r="FZ6753"/>
      <c r="GA6753"/>
      <c r="GB6753"/>
      <c r="GC6753"/>
      <c r="GD6753"/>
      <c r="GE6753"/>
      <c r="GF6753"/>
      <c r="GG6753"/>
      <c r="GH6753"/>
      <c r="GI6753"/>
      <c r="GJ6753"/>
      <c r="GK6753"/>
      <c r="GL6753"/>
      <c r="GM6753"/>
      <c r="GN6753"/>
      <c r="GO6753"/>
    </row>
    <row r="6754" spans="107:197">
      <c r="DC6754"/>
      <c r="FH6754"/>
      <c r="FI6754"/>
      <c r="FJ6754"/>
      <c r="FK6754"/>
      <c r="FL6754"/>
      <c r="FM6754"/>
      <c r="FN6754"/>
      <c r="FO6754"/>
      <c r="FP6754"/>
      <c r="FQ6754"/>
      <c r="FR6754"/>
      <c r="FS6754"/>
      <c r="FT6754"/>
      <c r="FU6754"/>
      <c r="FV6754"/>
      <c r="FW6754"/>
      <c r="FX6754"/>
      <c r="FY6754"/>
      <c r="FZ6754"/>
      <c r="GA6754"/>
      <c r="GB6754"/>
      <c r="GC6754"/>
      <c r="GD6754"/>
      <c r="GE6754"/>
      <c r="GF6754"/>
      <c r="GG6754"/>
      <c r="GH6754"/>
      <c r="GI6754"/>
      <c r="GJ6754"/>
      <c r="GK6754"/>
      <c r="GL6754"/>
      <c r="GM6754"/>
      <c r="GN6754"/>
      <c r="GO6754"/>
    </row>
    <row r="6755" spans="107:197">
      <c r="DC6755"/>
      <c r="FH6755"/>
      <c r="FI6755"/>
      <c r="FJ6755"/>
      <c r="FK6755"/>
      <c r="FL6755"/>
      <c r="FM6755"/>
      <c r="FN6755"/>
      <c r="FO6755"/>
      <c r="FP6755"/>
      <c r="FQ6755"/>
      <c r="FR6755"/>
      <c r="FS6755"/>
      <c r="FT6755"/>
      <c r="FU6755"/>
      <c r="FV6755"/>
      <c r="FW6755"/>
      <c r="FX6755"/>
      <c r="FY6755"/>
      <c r="FZ6755"/>
      <c r="GA6755"/>
      <c r="GB6755"/>
      <c r="GC6755"/>
      <c r="GD6755"/>
      <c r="GE6755"/>
      <c r="GF6755"/>
      <c r="GG6755"/>
      <c r="GH6755"/>
      <c r="GI6755"/>
      <c r="GJ6755"/>
      <c r="GK6755"/>
      <c r="GL6755"/>
      <c r="GM6755"/>
      <c r="GN6755"/>
      <c r="GO6755"/>
    </row>
    <row r="6756" spans="107:197">
      <c r="DC6756"/>
      <c r="FH6756"/>
      <c r="FI6756"/>
      <c r="FJ6756"/>
      <c r="FK6756"/>
      <c r="FL6756"/>
      <c r="FM6756"/>
      <c r="FN6756"/>
      <c r="FO6756"/>
      <c r="FP6756"/>
      <c r="FQ6756"/>
      <c r="FR6756"/>
      <c r="FS6756"/>
      <c r="FT6756"/>
      <c r="FU6756"/>
      <c r="FV6756"/>
      <c r="FW6756"/>
      <c r="FX6756"/>
      <c r="FY6756"/>
      <c r="FZ6756"/>
      <c r="GA6756"/>
      <c r="GB6756"/>
      <c r="GC6756"/>
      <c r="GD6756"/>
      <c r="GE6756"/>
      <c r="GF6756"/>
      <c r="GG6756"/>
      <c r="GH6756"/>
      <c r="GI6756"/>
      <c r="GJ6756"/>
      <c r="GK6756"/>
      <c r="GL6756"/>
      <c r="GM6756"/>
      <c r="GN6756"/>
      <c r="GO6756"/>
    </row>
    <row r="6757" spans="107:197">
      <c r="DC6757"/>
      <c r="FH6757"/>
      <c r="FI6757"/>
      <c r="FJ6757"/>
      <c r="FK6757"/>
      <c r="FL6757"/>
      <c r="FM6757"/>
      <c r="FN6757"/>
      <c r="FO6757"/>
      <c r="FP6757"/>
      <c r="FQ6757"/>
      <c r="FR6757"/>
      <c r="FS6757"/>
      <c r="FT6757"/>
      <c r="FU6757"/>
      <c r="FV6757"/>
      <c r="FW6757"/>
      <c r="FX6757"/>
      <c r="FY6757"/>
      <c r="FZ6757"/>
      <c r="GA6757"/>
      <c r="GB6757"/>
      <c r="GC6757"/>
      <c r="GD6757"/>
      <c r="GE6757"/>
      <c r="GF6757"/>
      <c r="GG6757"/>
      <c r="GH6757"/>
      <c r="GI6757"/>
      <c r="GJ6757"/>
      <c r="GK6757"/>
      <c r="GL6757"/>
      <c r="GM6757"/>
      <c r="GN6757"/>
      <c r="GO6757"/>
    </row>
    <row r="6758" spans="107:197">
      <c r="DC6758"/>
      <c r="FH6758"/>
      <c r="FI6758"/>
      <c r="FJ6758"/>
      <c r="FK6758"/>
      <c r="FL6758"/>
      <c r="FM6758"/>
      <c r="FN6758"/>
      <c r="FO6758"/>
      <c r="FP6758"/>
      <c r="FQ6758"/>
      <c r="FR6758"/>
      <c r="FS6758"/>
      <c r="FT6758"/>
      <c r="FU6758"/>
      <c r="FV6758"/>
      <c r="FW6758"/>
      <c r="FX6758"/>
      <c r="FY6758"/>
      <c r="FZ6758"/>
      <c r="GA6758"/>
      <c r="GB6758"/>
      <c r="GC6758"/>
      <c r="GD6758"/>
      <c r="GE6758"/>
      <c r="GF6758"/>
      <c r="GG6758"/>
      <c r="GH6758"/>
      <c r="GI6758"/>
      <c r="GJ6758"/>
      <c r="GK6758"/>
      <c r="GL6758"/>
      <c r="GM6758"/>
      <c r="GN6758"/>
      <c r="GO6758"/>
    </row>
    <row r="6759" spans="107:197">
      <c r="DC6759"/>
      <c r="FH6759"/>
      <c r="FI6759"/>
      <c r="FJ6759"/>
      <c r="FK6759"/>
      <c r="FL6759"/>
      <c r="FM6759"/>
      <c r="FN6759"/>
      <c r="FO6759"/>
      <c r="FP6759"/>
      <c r="FQ6759"/>
      <c r="FR6759"/>
      <c r="FS6759"/>
      <c r="FT6759"/>
      <c r="FU6759"/>
      <c r="FV6759"/>
      <c r="FW6759"/>
      <c r="FX6759"/>
      <c r="FY6759"/>
      <c r="FZ6759"/>
      <c r="GA6759"/>
      <c r="GB6759"/>
      <c r="GC6759"/>
      <c r="GD6759"/>
      <c r="GE6759"/>
      <c r="GF6759"/>
      <c r="GG6759"/>
      <c r="GH6759"/>
      <c r="GI6759"/>
      <c r="GJ6759"/>
      <c r="GK6759"/>
      <c r="GL6759"/>
      <c r="GM6759"/>
      <c r="GN6759"/>
      <c r="GO6759"/>
    </row>
    <row r="6760" spans="107:197">
      <c r="DC6760"/>
      <c r="FH6760"/>
      <c r="FI6760"/>
      <c r="FJ6760"/>
      <c r="FK6760"/>
      <c r="FL6760"/>
      <c r="FM6760"/>
      <c r="FN6760"/>
      <c r="FO6760"/>
      <c r="FP6760"/>
      <c r="FQ6760"/>
      <c r="FR6760"/>
      <c r="FS6760"/>
      <c r="FT6760"/>
      <c r="FU6760"/>
      <c r="FV6760"/>
      <c r="FW6760"/>
      <c r="FX6760"/>
      <c r="FY6760"/>
      <c r="FZ6760"/>
      <c r="GA6760"/>
      <c r="GB6760"/>
      <c r="GC6760"/>
      <c r="GD6760"/>
      <c r="GE6760"/>
      <c r="GF6760"/>
      <c r="GG6760"/>
      <c r="GH6760"/>
      <c r="GI6760"/>
      <c r="GJ6760"/>
      <c r="GK6760"/>
      <c r="GL6760"/>
      <c r="GM6760"/>
      <c r="GN6760"/>
      <c r="GO6760"/>
    </row>
    <row r="6761" spans="107:197">
      <c r="DC6761"/>
      <c r="FH6761"/>
      <c r="FI6761"/>
      <c r="FJ6761"/>
      <c r="FK6761"/>
      <c r="FL6761"/>
      <c r="FM6761"/>
      <c r="FN6761"/>
      <c r="FO6761"/>
      <c r="FP6761"/>
      <c r="FQ6761"/>
      <c r="FR6761"/>
      <c r="FS6761"/>
      <c r="FT6761"/>
      <c r="FU6761"/>
      <c r="FV6761"/>
      <c r="FW6761"/>
      <c r="FX6761"/>
      <c r="FY6761"/>
      <c r="FZ6761"/>
      <c r="GA6761"/>
      <c r="GB6761"/>
      <c r="GC6761"/>
      <c r="GD6761"/>
      <c r="GE6761"/>
      <c r="GF6761"/>
      <c r="GG6761"/>
      <c r="GH6761"/>
      <c r="GI6761"/>
      <c r="GJ6761"/>
      <c r="GK6761"/>
      <c r="GL6761"/>
      <c r="GM6761"/>
      <c r="GN6761"/>
      <c r="GO6761"/>
    </row>
    <row r="6762" spans="107:197">
      <c r="DC6762"/>
      <c r="FH6762"/>
      <c r="FI6762"/>
      <c r="FJ6762"/>
      <c r="FK6762"/>
      <c r="FL6762"/>
      <c r="FM6762"/>
      <c r="FN6762"/>
      <c r="FO6762"/>
      <c r="FP6762"/>
      <c r="FQ6762"/>
      <c r="FR6762"/>
      <c r="FS6762"/>
      <c r="FT6762"/>
      <c r="FU6762"/>
      <c r="FV6762"/>
      <c r="FW6762"/>
      <c r="FX6762"/>
      <c r="FY6762"/>
      <c r="FZ6762"/>
      <c r="GA6762"/>
      <c r="GB6762"/>
      <c r="GC6762"/>
      <c r="GD6762"/>
      <c r="GE6762"/>
      <c r="GF6762"/>
      <c r="GG6762"/>
      <c r="GH6762"/>
      <c r="GI6762"/>
      <c r="GJ6762"/>
      <c r="GK6762"/>
      <c r="GL6762"/>
      <c r="GM6762"/>
      <c r="GN6762"/>
      <c r="GO6762"/>
    </row>
    <row r="6763" spans="107:197">
      <c r="DC6763"/>
      <c r="FH6763"/>
      <c r="FI6763"/>
      <c r="FJ6763"/>
      <c r="FK6763"/>
      <c r="FL6763"/>
      <c r="FM6763"/>
      <c r="FN6763"/>
      <c r="FO6763"/>
      <c r="FP6763"/>
      <c r="FQ6763"/>
      <c r="FR6763"/>
      <c r="FS6763"/>
      <c r="FT6763"/>
      <c r="FU6763"/>
      <c r="FV6763"/>
      <c r="FW6763"/>
      <c r="FX6763"/>
      <c r="FY6763"/>
      <c r="FZ6763"/>
      <c r="GA6763"/>
      <c r="GB6763"/>
      <c r="GC6763"/>
      <c r="GD6763"/>
      <c r="GE6763"/>
      <c r="GF6763"/>
      <c r="GG6763"/>
      <c r="GH6763"/>
      <c r="GI6763"/>
      <c r="GJ6763"/>
      <c r="GK6763"/>
      <c r="GL6763"/>
      <c r="GM6763"/>
      <c r="GN6763"/>
      <c r="GO6763"/>
    </row>
    <row r="6764" spans="107:197">
      <c r="DC6764"/>
      <c r="FH6764"/>
      <c r="FI6764"/>
      <c r="FJ6764"/>
      <c r="FK6764"/>
      <c r="FL6764"/>
      <c r="FM6764"/>
      <c r="FN6764"/>
      <c r="FO6764"/>
      <c r="FP6764"/>
      <c r="FQ6764"/>
      <c r="FR6764"/>
      <c r="FS6764"/>
      <c r="FT6764"/>
      <c r="FU6764"/>
      <c r="FV6764"/>
      <c r="FW6764"/>
      <c r="FX6764"/>
      <c r="FY6764"/>
      <c r="FZ6764"/>
      <c r="GA6764"/>
      <c r="GB6764"/>
      <c r="GC6764"/>
      <c r="GD6764"/>
      <c r="GE6764"/>
      <c r="GF6764"/>
      <c r="GG6764"/>
      <c r="GH6764"/>
      <c r="GI6764"/>
      <c r="GJ6764"/>
      <c r="GK6764"/>
      <c r="GL6764"/>
      <c r="GM6764"/>
      <c r="GN6764"/>
      <c r="GO6764"/>
    </row>
    <row r="6765" spans="107:197">
      <c r="DC6765"/>
      <c r="FH6765"/>
      <c r="FI6765"/>
      <c r="FJ6765"/>
      <c r="FK6765"/>
      <c r="FL6765"/>
      <c r="FM6765"/>
      <c r="FN6765"/>
      <c r="FO6765"/>
      <c r="FP6765"/>
      <c r="FQ6765"/>
      <c r="FR6765"/>
      <c r="FS6765"/>
      <c r="FT6765"/>
      <c r="FU6765"/>
      <c r="FV6765"/>
      <c r="FW6765"/>
      <c r="FX6765"/>
      <c r="FY6765"/>
      <c r="FZ6765"/>
      <c r="GA6765"/>
      <c r="GB6765"/>
      <c r="GC6765"/>
      <c r="GD6765"/>
      <c r="GE6765"/>
      <c r="GF6765"/>
      <c r="GG6765"/>
      <c r="GH6765"/>
      <c r="GI6765"/>
      <c r="GJ6765"/>
      <c r="GK6765"/>
      <c r="GL6765"/>
      <c r="GM6765"/>
      <c r="GN6765"/>
      <c r="GO6765"/>
    </row>
    <row r="6766" spans="107:197">
      <c r="DC6766"/>
      <c r="FH6766"/>
      <c r="FI6766"/>
      <c r="FJ6766"/>
      <c r="FK6766"/>
      <c r="FL6766"/>
      <c r="FM6766"/>
      <c r="FN6766"/>
      <c r="FO6766"/>
      <c r="FP6766"/>
      <c r="FQ6766"/>
      <c r="FR6766"/>
      <c r="FS6766"/>
      <c r="FT6766"/>
      <c r="FU6766"/>
      <c r="FV6766"/>
      <c r="FW6766"/>
      <c r="FX6766"/>
      <c r="FY6766"/>
      <c r="FZ6766"/>
      <c r="GA6766"/>
      <c r="GB6766"/>
      <c r="GC6766"/>
      <c r="GD6766"/>
      <c r="GE6766"/>
      <c r="GF6766"/>
      <c r="GG6766"/>
      <c r="GH6766"/>
      <c r="GI6766"/>
      <c r="GJ6766"/>
      <c r="GK6766"/>
      <c r="GL6766"/>
      <c r="GM6766"/>
      <c r="GN6766"/>
      <c r="GO6766"/>
    </row>
    <row r="6767" spans="107:197">
      <c r="DC6767"/>
      <c r="FH6767"/>
      <c r="FI6767"/>
      <c r="FJ6767"/>
      <c r="FK6767"/>
      <c r="FL6767"/>
      <c r="FM6767"/>
      <c r="FN6767"/>
      <c r="FO6767"/>
      <c r="FP6767"/>
      <c r="FQ6767"/>
      <c r="FR6767"/>
      <c r="FS6767"/>
      <c r="FT6767"/>
      <c r="FU6767"/>
      <c r="FV6767"/>
      <c r="FW6767"/>
      <c r="FX6767"/>
      <c r="FY6767"/>
      <c r="FZ6767"/>
      <c r="GA6767"/>
      <c r="GB6767"/>
      <c r="GC6767"/>
      <c r="GD6767"/>
      <c r="GE6767"/>
      <c r="GF6767"/>
      <c r="GG6767"/>
      <c r="GH6767"/>
      <c r="GI6767"/>
      <c r="GJ6767"/>
      <c r="GK6767"/>
      <c r="GL6767"/>
      <c r="GM6767"/>
      <c r="GN6767"/>
      <c r="GO6767"/>
    </row>
    <row r="6768" spans="107:197">
      <c r="DC6768"/>
      <c r="FH6768"/>
      <c r="FI6768"/>
      <c r="FJ6768"/>
      <c r="FK6768"/>
      <c r="FL6768"/>
      <c r="FM6768"/>
      <c r="FN6768"/>
      <c r="FO6768"/>
      <c r="FP6768"/>
      <c r="FQ6768"/>
      <c r="FR6768"/>
      <c r="FS6768"/>
      <c r="FT6768"/>
      <c r="FU6768"/>
      <c r="FV6768"/>
      <c r="FW6768"/>
      <c r="FX6768"/>
      <c r="FY6768"/>
      <c r="FZ6768"/>
      <c r="GA6768"/>
      <c r="GB6768"/>
      <c r="GC6768"/>
      <c r="GD6768"/>
      <c r="GE6768"/>
      <c r="GF6768"/>
      <c r="GG6768"/>
      <c r="GH6768"/>
      <c r="GI6768"/>
      <c r="GJ6768"/>
      <c r="GK6768"/>
      <c r="GL6768"/>
      <c r="GM6768"/>
      <c r="GN6768"/>
      <c r="GO6768"/>
    </row>
    <row r="6769" spans="107:197">
      <c r="DC6769"/>
      <c r="FH6769"/>
      <c r="FI6769"/>
      <c r="FJ6769"/>
      <c r="FK6769"/>
      <c r="FL6769"/>
      <c r="FM6769"/>
      <c r="FN6769"/>
      <c r="FO6769"/>
      <c r="FP6769"/>
      <c r="FQ6769"/>
      <c r="FR6769"/>
      <c r="FS6769"/>
      <c r="FT6769"/>
      <c r="FU6769"/>
      <c r="FV6769"/>
      <c r="FW6769"/>
      <c r="FX6769"/>
      <c r="FY6769"/>
      <c r="FZ6769"/>
      <c r="GA6769"/>
      <c r="GB6769"/>
      <c r="GC6769"/>
      <c r="GD6769"/>
      <c r="GE6769"/>
      <c r="GF6769"/>
      <c r="GG6769"/>
      <c r="GH6769"/>
      <c r="GI6769"/>
      <c r="GJ6769"/>
      <c r="GK6769"/>
      <c r="GL6769"/>
      <c r="GM6769"/>
      <c r="GN6769"/>
      <c r="GO6769"/>
    </row>
    <row r="6770" spans="107:197">
      <c r="DC6770"/>
      <c r="FH6770"/>
      <c r="FI6770"/>
      <c r="FJ6770"/>
      <c r="FK6770"/>
      <c r="FL6770"/>
      <c r="FM6770"/>
      <c r="FN6770"/>
      <c r="FO6770"/>
      <c r="FP6770"/>
      <c r="FQ6770"/>
      <c r="FR6770"/>
      <c r="FS6770"/>
      <c r="FT6770"/>
      <c r="FU6770"/>
      <c r="FV6770"/>
      <c r="FW6770"/>
      <c r="FX6770"/>
      <c r="FY6770"/>
      <c r="FZ6770"/>
      <c r="GA6770"/>
      <c r="GB6770"/>
      <c r="GC6770"/>
      <c r="GD6770"/>
      <c r="GE6770"/>
      <c r="GF6770"/>
      <c r="GG6770"/>
      <c r="GH6770"/>
      <c r="GI6770"/>
      <c r="GJ6770"/>
      <c r="GK6770"/>
      <c r="GL6770"/>
      <c r="GM6770"/>
      <c r="GN6770"/>
      <c r="GO6770"/>
    </row>
    <row r="6771" spans="107:197">
      <c r="DC6771"/>
      <c r="FH6771"/>
      <c r="FI6771"/>
      <c r="FJ6771"/>
      <c r="FK6771"/>
      <c r="FL6771"/>
      <c r="FM6771"/>
      <c r="FN6771"/>
      <c r="FO6771"/>
      <c r="FP6771"/>
      <c r="FQ6771"/>
      <c r="FR6771"/>
      <c r="FS6771"/>
      <c r="FT6771"/>
      <c r="FU6771"/>
      <c r="FV6771"/>
      <c r="FW6771"/>
      <c r="FX6771"/>
      <c r="FY6771"/>
      <c r="FZ6771"/>
      <c r="GA6771"/>
      <c r="GB6771"/>
      <c r="GC6771"/>
      <c r="GD6771"/>
      <c r="GE6771"/>
      <c r="GF6771"/>
      <c r="GG6771"/>
      <c r="GH6771"/>
      <c r="GI6771"/>
      <c r="GJ6771"/>
      <c r="GK6771"/>
      <c r="GL6771"/>
      <c r="GM6771"/>
      <c r="GN6771"/>
      <c r="GO6771"/>
    </row>
    <row r="6772" spans="107:197">
      <c r="DC6772"/>
      <c r="FH6772"/>
      <c r="FI6772"/>
      <c r="FJ6772"/>
      <c r="FK6772"/>
      <c r="FL6772"/>
      <c r="FM6772"/>
      <c r="FN6772"/>
      <c r="FO6772"/>
      <c r="FP6772"/>
      <c r="FQ6772"/>
      <c r="FR6772"/>
      <c r="FS6772"/>
      <c r="FT6772"/>
      <c r="FU6772"/>
      <c r="FV6772"/>
      <c r="FW6772"/>
      <c r="FX6772"/>
      <c r="FY6772"/>
      <c r="FZ6772"/>
      <c r="GA6772"/>
      <c r="GB6772"/>
      <c r="GC6772"/>
      <c r="GD6772"/>
      <c r="GE6772"/>
      <c r="GF6772"/>
      <c r="GG6772"/>
      <c r="GH6772"/>
      <c r="GI6772"/>
      <c r="GJ6772"/>
      <c r="GK6772"/>
      <c r="GL6772"/>
      <c r="GM6772"/>
      <c r="GN6772"/>
      <c r="GO6772"/>
    </row>
    <row r="6773" spans="107:197">
      <c r="DC6773"/>
      <c r="FH6773"/>
      <c r="FI6773"/>
      <c r="FJ6773"/>
      <c r="FK6773"/>
      <c r="FL6773"/>
      <c r="FM6773"/>
      <c r="FN6773"/>
      <c r="FO6773"/>
      <c r="FP6773"/>
      <c r="FQ6773"/>
      <c r="FR6773"/>
      <c r="FS6773"/>
      <c r="FT6773"/>
      <c r="FU6773"/>
      <c r="FV6773"/>
      <c r="FW6773"/>
      <c r="FX6773"/>
      <c r="FY6773"/>
      <c r="FZ6773"/>
      <c r="GA6773"/>
      <c r="GB6773"/>
      <c r="GC6773"/>
      <c r="GD6773"/>
      <c r="GE6773"/>
      <c r="GF6773"/>
      <c r="GG6773"/>
      <c r="GH6773"/>
      <c r="GI6773"/>
      <c r="GJ6773"/>
      <c r="GK6773"/>
      <c r="GL6773"/>
      <c r="GM6773"/>
      <c r="GN6773"/>
      <c r="GO6773"/>
    </row>
    <row r="6774" spans="107:197">
      <c r="DC6774"/>
      <c r="FH6774"/>
      <c r="FI6774"/>
      <c r="FJ6774"/>
      <c r="FK6774"/>
      <c r="FL6774"/>
      <c r="FM6774"/>
      <c r="FN6774"/>
      <c r="FO6774"/>
      <c r="FP6774"/>
      <c r="FQ6774"/>
      <c r="FR6774"/>
      <c r="FS6774"/>
      <c r="FT6774"/>
      <c r="FU6774"/>
      <c r="FV6774"/>
      <c r="FW6774"/>
      <c r="FX6774"/>
      <c r="FY6774"/>
      <c r="FZ6774"/>
      <c r="GA6774"/>
      <c r="GB6774"/>
      <c r="GC6774"/>
      <c r="GD6774"/>
      <c r="GE6774"/>
      <c r="GF6774"/>
      <c r="GG6774"/>
      <c r="GH6774"/>
      <c r="GI6774"/>
      <c r="GJ6774"/>
      <c r="GK6774"/>
      <c r="GL6774"/>
      <c r="GM6774"/>
      <c r="GN6774"/>
      <c r="GO6774"/>
    </row>
    <row r="6775" spans="107:197">
      <c r="DC6775"/>
      <c r="FH6775"/>
      <c r="FI6775"/>
      <c r="FJ6775"/>
      <c r="FK6775"/>
      <c r="FL6775"/>
      <c r="FM6775"/>
      <c r="FN6775"/>
      <c r="FO6775"/>
      <c r="FP6775"/>
      <c r="FQ6775"/>
      <c r="FR6775"/>
      <c r="FS6775"/>
      <c r="FT6775"/>
      <c r="FU6775"/>
      <c r="FV6775"/>
      <c r="FW6775"/>
      <c r="FX6775"/>
      <c r="FY6775"/>
      <c r="FZ6775"/>
      <c r="GA6775"/>
      <c r="GB6775"/>
      <c r="GC6775"/>
      <c r="GD6775"/>
      <c r="GE6775"/>
      <c r="GF6775"/>
      <c r="GG6775"/>
      <c r="GH6775"/>
      <c r="GI6775"/>
      <c r="GJ6775"/>
      <c r="GK6775"/>
      <c r="GL6775"/>
      <c r="GM6775"/>
      <c r="GN6775"/>
      <c r="GO6775"/>
    </row>
    <row r="6776" spans="107:197">
      <c r="DC6776"/>
      <c r="FH6776"/>
      <c r="FI6776"/>
      <c r="FJ6776"/>
      <c r="FK6776"/>
      <c r="FL6776"/>
      <c r="FM6776"/>
      <c r="FN6776"/>
      <c r="FO6776"/>
      <c r="FP6776"/>
      <c r="FQ6776"/>
      <c r="FR6776"/>
      <c r="FS6776"/>
      <c r="FT6776"/>
      <c r="FU6776"/>
      <c r="FV6776"/>
      <c r="FW6776"/>
      <c r="FX6776"/>
      <c r="FY6776"/>
      <c r="FZ6776"/>
      <c r="GA6776"/>
      <c r="GB6776"/>
      <c r="GC6776"/>
      <c r="GD6776"/>
      <c r="GE6776"/>
      <c r="GF6776"/>
      <c r="GG6776"/>
      <c r="GH6776"/>
      <c r="GI6776"/>
      <c r="GJ6776"/>
      <c r="GK6776"/>
      <c r="GL6776"/>
      <c r="GM6776"/>
      <c r="GN6776"/>
      <c r="GO6776"/>
    </row>
    <row r="6777" spans="107:197">
      <c r="DC6777"/>
      <c r="FH6777"/>
      <c r="FI6777"/>
      <c r="FJ6777"/>
      <c r="FK6777"/>
      <c r="FL6777"/>
      <c r="FM6777"/>
      <c r="FN6777"/>
      <c r="FO6777"/>
      <c r="FP6777"/>
      <c r="FQ6777"/>
      <c r="FR6777"/>
      <c r="FS6777"/>
      <c r="FT6777"/>
      <c r="FU6777"/>
      <c r="FV6777"/>
      <c r="FW6777"/>
      <c r="FX6777"/>
      <c r="FY6777"/>
      <c r="FZ6777"/>
      <c r="GA6777"/>
      <c r="GB6777"/>
      <c r="GC6777"/>
      <c r="GD6777"/>
      <c r="GE6777"/>
      <c r="GF6777"/>
      <c r="GG6777"/>
      <c r="GH6777"/>
      <c r="GI6777"/>
      <c r="GJ6777"/>
      <c r="GK6777"/>
      <c r="GL6777"/>
      <c r="GM6777"/>
      <c r="GN6777"/>
      <c r="GO6777"/>
    </row>
    <row r="6778" spans="107:197">
      <c r="DC6778"/>
      <c r="FH6778"/>
      <c r="FI6778"/>
      <c r="FJ6778"/>
      <c r="FK6778"/>
      <c r="FL6778"/>
      <c r="FM6778"/>
      <c r="FN6778"/>
      <c r="FO6778"/>
      <c r="FP6778"/>
      <c r="FQ6778"/>
      <c r="FR6778"/>
      <c r="FS6778"/>
      <c r="FT6778"/>
      <c r="FU6778"/>
      <c r="FV6778"/>
      <c r="FW6778"/>
      <c r="FX6778"/>
      <c r="FY6778"/>
      <c r="FZ6778"/>
      <c r="GA6778"/>
      <c r="GB6778"/>
      <c r="GC6778"/>
      <c r="GD6778"/>
      <c r="GE6778"/>
      <c r="GF6778"/>
      <c r="GG6778"/>
      <c r="GH6778"/>
      <c r="GI6778"/>
      <c r="GJ6778"/>
      <c r="GK6778"/>
      <c r="GL6778"/>
      <c r="GM6778"/>
      <c r="GN6778"/>
      <c r="GO6778"/>
    </row>
    <row r="6779" spans="107:197">
      <c r="DC6779"/>
      <c r="FH6779"/>
      <c r="FI6779"/>
      <c r="FJ6779"/>
      <c r="FK6779"/>
      <c r="FL6779"/>
      <c r="FM6779"/>
      <c r="FN6779"/>
      <c r="FO6779"/>
      <c r="FP6779"/>
      <c r="FQ6779"/>
      <c r="FR6779"/>
      <c r="FS6779"/>
      <c r="FT6779"/>
      <c r="FU6779"/>
      <c r="FV6779"/>
      <c r="FW6779"/>
      <c r="FX6779"/>
      <c r="FY6779"/>
      <c r="FZ6779"/>
      <c r="GA6779"/>
      <c r="GB6779"/>
      <c r="GC6779"/>
      <c r="GD6779"/>
      <c r="GE6779"/>
      <c r="GF6779"/>
      <c r="GG6779"/>
      <c r="GH6779"/>
      <c r="GI6779"/>
      <c r="GJ6779"/>
      <c r="GK6779"/>
      <c r="GL6779"/>
      <c r="GM6779"/>
      <c r="GN6779"/>
      <c r="GO6779"/>
    </row>
    <row r="6780" spans="107:197">
      <c r="DC6780"/>
      <c r="FH6780"/>
      <c r="FI6780"/>
      <c r="FJ6780"/>
      <c r="FK6780"/>
      <c r="FL6780"/>
      <c r="FM6780"/>
      <c r="FN6780"/>
      <c r="FO6780"/>
      <c r="FP6780"/>
      <c r="FQ6780"/>
      <c r="FR6780"/>
      <c r="FS6780"/>
      <c r="FT6780"/>
      <c r="FU6780"/>
      <c r="FV6780"/>
      <c r="FW6780"/>
      <c r="FX6780"/>
      <c r="FY6780"/>
      <c r="FZ6780"/>
      <c r="GA6780"/>
      <c r="GB6780"/>
      <c r="GC6780"/>
      <c r="GD6780"/>
      <c r="GE6780"/>
      <c r="GF6780"/>
      <c r="GG6780"/>
      <c r="GH6780"/>
      <c r="GI6780"/>
      <c r="GJ6780"/>
      <c r="GK6780"/>
      <c r="GL6780"/>
      <c r="GM6780"/>
      <c r="GN6780"/>
      <c r="GO6780"/>
    </row>
    <row r="6781" spans="107:197">
      <c r="DC6781"/>
      <c r="FH6781"/>
      <c r="FI6781"/>
      <c r="FJ6781"/>
      <c r="FK6781"/>
      <c r="FL6781"/>
      <c r="FM6781"/>
      <c r="FN6781"/>
      <c r="FO6781"/>
      <c r="FP6781"/>
      <c r="FQ6781"/>
      <c r="FR6781"/>
      <c r="FS6781"/>
      <c r="FT6781"/>
      <c r="FU6781"/>
      <c r="FV6781"/>
      <c r="FW6781"/>
      <c r="FX6781"/>
      <c r="FY6781"/>
      <c r="FZ6781"/>
      <c r="GA6781"/>
      <c r="GB6781"/>
      <c r="GC6781"/>
      <c r="GD6781"/>
      <c r="GE6781"/>
      <c r="GF6781"/>
      <c r="GG6781"/>
      <c r="GH6781"/>
      <c r="GI6781"/>
      <c r="GJ6781"/>
      <c r="GK6781"/>
      <c r="GL6781"/>
      <c r="GM6781"/>
      <c r="GN6781"/>
      <c r="GO6781"/>
    </row>
    <row r="6782" spans="107:197">
      <c r="DC6782"/>
      <c r="FH6782"/>
      <c r="FI6782"/>
      <c r="FJ6782"/>
      <c r="FK6782"/>
      <c r="FL6782"/>
      <c r="FM6782"/>
      <c r="FN6782"/>
      <c r="FO6782"/>
      <c r="FP6782"/>
      <c r="FQ6782"/>
      <c r="FR6782"/>
      <c r="FS6782"/>
      <c r="FT6782"/>
      <c r="FU6782"/>
      <c r="FV6782"/>
      <c r="FW6782"/>
      <c r="FX6782"/>
      <c r="FY6782"/>
      <c r="FZ6782"/>
      <c r="GA6782"/>
      <c r="GB6782"/>
      <c r="GC6782"/>
      <c r="GD6782"/>
      <c r="GE6782"/>
      <c r="GF6782"/>
      <c r="GG6782"/>
      <c r="GH6782"/>
      <c r="GI6782"/>
      <c r="GJ6782"/>
      <c r="GK6782"/>
      <c r="GL6782"/>
      <c r="GM6782"/>
      <c r="GN6782"/>
      <c r="GO6782"/>
    </row>
    <row r="6783" spans="107:197">
      <c r="DC6783"/>
      <c r="FH6783"/>
      <c r="FI6783"/>
      <c r="FJ6783"/>
      <c r="FK6783"/>
      <c r="FL6783"/>
      <c r="FM6783"/>
      <c r="FN6783"/>
      <c r="FO6783"/>
      <c r="FP6783"/>
      <c r="FQ6783"/>
      <c r="FR6783"/>
      <c r="FS6783"/>
      <c r="FT6783"/>
      <c r="FU6783"/>
      <c r="FV6783"/>
      <c r="FW6783"/>
      <c r="FX6783"/>
      <c r="FY6783"/>
      <c r="FZ6783"/>
      <c r="GA6783"/>
      <c r="GB6783"/>
      <c r="GC6783"/>
      <c r="GD6783"/>
      <c r="GE6783"/>
      <c r="GF6783"/>
      <c r="GG6783"/>
      <c r="GH6783"/>
      <c r="GI6783"/>
      <c r="GJ6783"/>
      <c r="GK6783"/>
      <c r="GL6783"/>
      <c r="GM6783"/>
      <c r="GN6783"/>
      <c r="GO6783"/>
    </row>
    <row r="6784" spans="107:197">
      <c r="DC6784"/>
      <c r="FH6784"/>
      <c r="FI6784"/>
      <c r="FJ6784"/>
      <c r="FK6784"/>
      <c r="FL6784"/>
      <c r="FM6784"/>
      <c r="FN6784"/>
      <c r="FO6784"/>
      <c r="FP6784"/>
      <c r="FQ6784"/>
      <c r="FR6784"/>
      <c r="FS6784"/>
      <c r="FT6784"/>
      <c r="FU6784"/>
      <c r="FV6784"/>
      <c r="FW6784"/>
      <c r="FX6784"/>
      <c r="FY6784"/>
      <c r="FZ6784"/>
      <c r="GA6784"/>
      <c r="GB6784"/>
      <c r="GC6784"/>
      <c r="GD6784"/>
      <c r="GE6784"/>
      <c r="GF6784"/>
      <c r="GG6784"/>
      <c r="GH6784"/>
      <c r="GI6784"/>
      <c r="GJ6784"/>
      <c r="GK6784"/>
      <c r="GL6784"/>
      <c r="GM6784"/>
      <c r="GN6784"/>
      <c r="GO6784"/>
    </row>
    <row r="6785" spans="107:197">
      <c r="DC6785"/>
      <c r="FH6785"/>
      <c r="FI6785"/>
      <c r="FJ6785"/>
      <c r="FK6785"/>
      <c r="FL6785"/>
      <c r="FM6785"/>
      <c r="FN6785"/>
      <c r="FO6785"/>
      <c r="FP6785"/>
      <c r="FQ6785"/>
      <c r="FR6785"/>
      <c r="FS6785"/>
      <c r="FT6785"/>
      <c r="FU6785"/>
      <c r="FV6785"/>
      <c r="FW6785"/>
      <c r="FX6785"/>
      <c r="FY6785"/>
      <c r="FZ6785"/>
      <c r="GA6785"/>
      <c r="GB6785"/>
      <c r="GC6785"/>
      <c r="GD6785"/>
      <c r="GE6785"/>
      <c r="GF6785"/>
      <c r="GG6785"/>
      <c r="GH6785"/>
      <c r="GI6785"/>
      <c r="GJ6785"/>
      <c r="GK6785"/>
      <c r="GL6785"/>
      <c r="GM6785"/>
      <c r="GN6785"/>
      <c r="GO6785"/>
    </row>
    <row r="6786" spans="107:197">
      <c r="DC6786"/>
      <c r="FH6786"/>
      <c r="FI6786"/>
      <c r="FJ6786"/>
      <c r="FK6786"/>
      <c r="FL6786"/>
      <c r="FM6786"/>
      <c r="FN6786"/>
      <c r="FO6786"/>
      <c r="FP6786"/>
      <c r="FQ6786"/>
      <c r="FR6786"/>
      <c r="FS6786"/>
      <c r="FT6786"/>
      <c r="FU6786"/>
      <c r="FV6786"/>
      <c r="FW6786"/>
      <c r="FX6786"/>
      <c r="FY6786"/>
      <c r="FZ6786"/>
      <c r="GA6786"/>
      <c r="GB6786"/>
      <c r="GC6786"/>
      <c r="GD6786"/>
      <c r="GE6786"/>
      <c r="GF6786"/>
      <c r="GG6786"/>
      <c r="GH6786"/>
      <c r="GI6786"/>
      <c r="GJ6786"/>
      <c r="GK6786"/>
      <c r="GL6786"/>
      <c r="GM6786"/>
      <c r="GN6786"/>
      <c r="GO6786"/>
    </row>
    <row r="6787" spans="107:197">
      <c r="DC6787"/>
      <c r="FH6787"/>
      <c r="FI6787"/>
      <c r="FJ6787"/>
      <c r="FK6787"/>
      <c r="FL6787"/>
      <c r="FM6787"/>
      <c r="FN6787"/>
      <c r="FO6787"/>
      <c r="FP6787"/>
      <c r="FQ6787"/>
      <c r="FR6787"/>
      <c r="FS6787"/>
      <c r="FT6787"/>
      <c r="FU6787"/>
      <c r="FV6787"/>
      <c r="FW6787"/>
      <c r="FX6787"/>
      <c r="FY6787"/>
      <c r="FZ6787"/>
      <c r="GA6787"/>
      <c r="GB6787"/>
      <c r="GC6787"/>
      <c r="GD6787"/>
      <c r="GE6787"/>
      <c r="GF6787"/>
      <c r="GG6787"/>
      <c r="GH6787"/>
      <c r="GI6787"/>
      <c r="GJ6787"/>
      <c r="GK6787"/>
      <c r="GL6787"/>
      <c r="GM6787"/>
      <c r="GN6787"/>
      <c r="GO6787"/>
    </row>
    <row r="6788" spans="107:197">
      <c r="DC6788"/>
      <c r="FH6788"/>
      <c r="FI6788"/>
      <c r="FJ6788"/>
      <c r="FK6788"/>
      <c r="FL6788"/>
      <c r="FM6788"/>
      <c r="FN6788"/>
      <c r="FO6788"/>
      <c r="FP6788"/>
      <c r="FQ6788"/>
      <c r="FR6788"/>
      <c r="FS6788"/>
      <c r="FT6788"/>
      <c r="FU6788"/>
      <c r="FV6788"/>
      <c r="FW6788"/>
      <c r="FX6788"/>
      <c r="FY6788"/>
      <c r="FZ6788"/>
      <c r="GA6788"/>
      <c r="GB6788"/>
      <c r="GC6788"/>
      <c r="GD6788"/>
      <c r="GE6788"/>
      <c r="GF6788"/>
      <c r="GG6788"/>
      <c r="GH6788"/>
      <c r="GI6788"/>
      <c r="GJ6788"/>
      <c r="GK6788"/>
      <c r="GL6788"/>
      <c r="GM6788"/>
      <c r="GN6788"/>
      <c r="GO6788"/>
    </row>
    <row r="6789" spans="107:197">
      <c r="DC6789"/>
      <c r="FH6789"/>
      <c r="FI6789"/>
      <c r="FJ6789"/>
      <c r="FK6789"/>
      <c r="FL6789"/>
      <c r="FM6789"/>
      <c r="FN6789"/>
      <c r="FO6789"/>
      <c r="FP6789"/>
      <c r="FQ6789"/>
      <c r="FR6789"/>
      <c r="FS6789"/>
      <c r="FT6789"/>
      <c r="FU6789"/>
      <c r="FV6789"/>
      <c r="FW6789"/>
      <c r="FX6789"/>
      <c r="FY6789"/>
      <c r="FZ6789"/>
      <c r="GA6789"/>
      <c r="GB6789"/>
      <c r="GC6789"/>
      <c r="GD6789"/>
      <c r="GE6789"/>
      <c r="GF6789"/>
      <c r="GG6789"/>
      <c r="GH6789"/>
      <c r="GI6789"/>
      <c r="GJ6789"/>
      <c r="GK6789"/>
      <c r="GL6789"/>
      <c r="GM6789"/>
      <c r="GN6789"/>
      <c r="GO6789"/>
    </row>
    <row r="6790" spans="107:197">
      <c r="DC6790"/>
      <c r="FH6790"/>
      <c r="FI6790"/>
      <c r="FJ6790"/>
      <c r="FK6790"/>
      <c r="FL6790"/>
      <c r="FM6790"/>
      <c r="FN6790"/>
      <c r="FO6790"/>
      <c r="FP6790"/>
      <c r="FQ6790"/>
      <c r="FR6790"/>
      <c r="FS6790"/>
      <c r="FT6790"/>
      <c r="FU6790"/>
      <c r="FV6790"/>
      <c r="FW6790"/>
      <c r="FX6790"/>
      <c r="FY6790"/>
      <c r="FZ6790"/>
      <c r="GA6790"/>
      <c r="GB6790"/>
      <c r="GC6790"/>
      <c r="GD6790"/>
      <c r="GE6790"/>
      <c r="GF6790"/>
      <c r="GG6790"/>
      <c r="GH6790"/>
      <c r="GI6790"/>
      <c r="GJ6790"/>
      <c r="GK6790"/>
      <c r="GL6790"/>
      <c r="GM6790"/>
      <c r="GN6790"/>
      <c r="GO6790"/>
    </row>
    <row r="6791" spans="107:197">
      <c r="DC6791"/>
      <c r="FH6791"/>
      <c r="FI6791"/>
      <c r="FJ6791"/>
      <c r="FK6791"/>
      <c r="FL6791"/>
      <c r="FM6791"/>
      <c r="FN6791"/>
      <c r="FO6791"/>
      <c r="FP6791"/>
      <c r="FQ6791"/>
      <c r="FR6791"/>
      <c r="FS6791"/>
      <c r="FT6791"/>
      <c r="FU6791"/>
      <c r="FV6791"/>
      <c r="FW6791"/>
      <c r="FX6791"/>
      <c r="FY6791"/>
      <c r="FZ6791"/>
      <c r="GA6791"/>
      <c r="GB6791"/>
      <c r="GC6791"/>
      <c r="GD6791"/>
      <c r="GE6791"/>
      <c r="GF6791"/>
      <c r="GG6791"/>
      <c r="GH6791"/>
      <c r="GI6791"/>
      <c r="GJ6791"/>
      <c r="GK6791"/>
      <c r="GL6791"/>
      <c r="GM6791"/>
      <c r="GN6791"/>
      <c r="GO6791"/>
    </row>
    <row r="6792" spans="107:197">
      <c r="DC6792"/>
      <c r="FH6792"/>
      <c r="FI6792"/>
      <c r="FJ6792"/>
      <c r="FK6792"/>
      <c r="FL6792"/>
      <c r="FM6792"/>
      <c r="FN6792"/>
      <c r="FO6792"/>
      <c r="FP6792"/>
      <c r="FQ6792"/>
      <c r="FR6792"/>
      <c r="FS6792"/>
      <c r="FT6792"/>
      <c r="FU6792"/>
      <c r="FV6792"/>
      <c r="FW6792"/>
      <c r="FX6792"/>
      <c r="FY6792"/>
      <c r="FZ6792"/>
      <c r="GA6792"/>
      <c r="GB6792"/>
      <c r="GC6792"/>
      <c r="GD6792"/>
      <c r="GE6792"/>
      <c r="GF6792"/>
      <c r="GG6792"/>
      <c r="GH6792"/>
      <c r="GI6792"/>
      <c r="GJ6792"/>
      <c r="GK6792"/>
      <c r="GL6792"/>
      <c r="GM6792"/>
      <c r="GN6792"/>
      <c r="GO6792"/>
    </row>
    <row r="6793" spans="107:197">
      <c r="DC6793"/>
      <c r="FH6793"/>
      <c r="FI6793"/>
      <c r="FJ6793"/>
      <c r="FK6793"/>
      <c r="FL6793"/>
      <c r="FM6793"/>
      <c r="FN6793"/>
      <c r="FO6793"/>
      <c r="FP6793"/>
      <c r="FQ6793"/>
      <c r="FR6793"/>
      <c r="FS6793"/>
      <c r="FT6793"/>
      <c r="FU6793"/>
      <c r="FV6793"/>
      <c r="FW6793"/>
      <c r="FX6793"/>
      <c r="FY6793"/>
      <c r="FZ6793"/>
      <c r="GA6793"/>
      <c r="GB6793"/>
      <c r="GC6793"/>
      <c r="GD6793"/>
      <c r="GE6793"/>
      <c r="GF6793"/>
      <c r="GG6793"/>
      <c r="GH6793"/>
      <c r="GI6793"/>
      <c r="GJ6793"/>
      <c r="GK6793"/>
      <c r="GL6793"/>
      <c r="GM6793"/>
      <c r="GN6793"/>
      <c r="GO6793"/>
    </row>
    <row r="6794" spans="107:197">
      <c r="DC6794"/>
      <c r="FH6794"/>
      <c r="FI6794"/>
      <c r="FJ6794"/>
      <c r="FK6794"/>
      <c r="FL6794"/>
      <c r="FM6794"/>
      <c r="FN6794"/>
      <c r="FO6794"/>
      <c r="FP6794"/>
      <c r="FQ6794"/>
      <c r="FR6794"/>
      <c r="FS6794"/>
      <c r="FT6794"/>
      <c r="FU6794"/>
      <c r="FV6794"/>
      <c r="FW6794"/>
      <c r="FX6794"/>
      <c r="FY6794"/>
      <c r="FZ6794"/>
      <c r="GA6794"/>
      <c r="GB6794"/>
      <c r="GC6794"/>
      <c r="GD6794"/>
      <c r="GE6794"/>
      <c r="GF6794"/>
      <c r="GG6794"/>
      <c r="GH6794"/>
      <c r="GI6794"/>
      <c r="GJ6794"/>
      <c r="GK6794"/>
      <c r="GL6794"/>
      <c r="GM6794"/>
      <c r="GN6794"/>
      <c r="GO6794"/>
    </row>
    <row r="6795" spans="107:197">
      <c r="DC6795"/>
      <c r="FH6795"/>
      <c r="FI6795"/>
      <c r="FJ6795"/>
      <c r="FK6795"/>
      <c r="FL6795"/>
      <c r="FM6795"/>
      <c r="FN6795"/>
      <c r="FO6795"/>
      <c r="FP6795"/>
      <c r="FQ6795"/>
      <c r="FR6795"/>
      <c r="FS6795"/>
      <c r="FT6795"/>
      <c r="FU6795"/>
      <c r="FV6795"/>
      <c r="FW6795"/>
      <c r="FX6795"/>
      <c r="FY6795"/>
      <c r="FZ6795"/>
      <c r="GA6795"/>
      <c r="GB6795"/>
      <c r="GC6795"/>
      <c r="GD6795"/>
      <c r="GE6795"/>
      <c r="GF6795"/>
      <c r="GG6795"/>
      <c r="GH6795"/>
      <c r="GI6795"/>
      <c r="GJ6795"/>
      <c r="GK6795"/>
      <c r="GL6795"/>
      <c r="GM6795"/>
      <c r="GN6795"/>
      <c r="GO6795"/>
    </row>
    <row r="6796" spans="107:197">
      <c r="DC6796"/>
      <c r="FH6796"/>
      <c r="FI6796"/>
      <c r="FJ6796"/>
      <c r="FK6796"/>
      <c r="FL6796"/>
      <c r="FM6796"/>
      <c r="FN6796"/>
      <c r="FO6796"/>
      <c r="FP6796"/>
      <c r="FQ6796"/>
      <c r="FR6796"/>
      <c r="FS6796"/>
      <c r="FT6796"/>
      <c r="FU6796"/>
      <c r="FV6796"/>
      <c r="FW6796"/>
      <c r="FX6796"/>
      <c r="FY6796"/>
      <c r="FZ6796"/>
      <c r="GA6796"/>
      <c r="GB6796"/>
      <c r="GC6796"/>
      <c r="GD6796"/>
      <c r="GE6796"/>
      <c r="GF6796"/>
      <c r="GG6796"/>
      <c r="GH6796"/>
      <c r="GI6796"/>
      <c r="GJ6796"/>
      <c r="GK6796"/>
      <c r="GL6796"/>
      <c r="GM6796"/>
      <c r="GN6796"/>
      <c r="GO6796"/>
    </row>
    <row r="6797" spans="107:197">
      <c r="DC6797"/>
      <c r="FH6797"/>
      <c r="FI6797"/>
      <c r="FJ6797"/>
      <c r="FK6797"/>
      <c r="FL6797"/>
      <c r="FM6797"/>
      <c r="FN6797"/>
      <c r="FO6797"/>
      <c r="FP6797"/>
      <c r="FQ6797"/>
      <c r="FR6797"/>
      <c r="FS6797"/>
      <c r="FT6797"/>
      <c r="FU6797"/>
      <c r="FV6797"/>
      <c r="FW6797"/>
      <c r="FX6797"/>
      <c r="FY6797"/>
      <c r="FZ6797"/>
      <c r="GA6797"/>
      <c r="GB6797"/>
      <c r="GC6797"/>
      <c r="GD6797"/>
      <c r="GE6797"/>
      <c r="GF6797"/>
      <c r="GG6797"/>
      <c r="GH6797"/>
      <c r="GI6797"/>
      <c r="GJ6797"/>
      <c r="GK6797"/>
      <c r="GL6797"/>
      <c r="GM6797"/>
      <c r="GN6797"/>
      <c r="GO6797"/>
    </row>
    <row r="6798" spans="107:197">
      <c r="DC6798"/>
      <c r="FH6798"/>
      <c r="FI6798"/>
      <c r="FJ6798"/>
      <c r="FK6798"/>
      <c r="FL6798"/>
      <c r="FM6798"/>
      <c r="FN6798"/>
      <c r="FO6798"/>
      <c r="FP6798"/>
      <c r="FQ6798"/>
      <c r="FR6798"/>
      <c r="FS6798"/>
      <c r="FT6798"/>
      <c r="FU6798"/>
      <c r="FV6798"/>
      <c r="FW6798"/>
      <c r="FX6798"/>
      <c r="FY6798"/>
      <c r="FZ6798"/>
      <c r="GA6798"/>
      <c r="GB6798"/>
      <c r="GC6798"/>
      <c r="GD6798"/>
      <c r="GE6798"/>
      <c r="GF6798"/>
      <c r="GG6798"/>
      <c r="GH6798"/>
      <c r="GI6798"/>
      <c r="GJ6798"/>
      <c r="GK6798"/>
      <c r="GL6798"/>
      <c r="GM6798"/>
      <c r="GN6798"/>
      <c r="GO6798"/>
    </row>
    <row r="6799" spans="107:197">
      <c r="DC6799"/>
      <c r="FH6799"/>
      <c r="FI6799"/>
      <c r="FJ6799"/>
      <c r="FK6799"/>
      <c r="FL6799"/>
      <c r="FM6799"/>
      <c r="FN6799"/>
      <c r="FO6799"/>
      <c r="FP6799"/>
      <c r="FQ6799"/>
      <c r="FR6799"/>
      <c r="FS6799"/>
      <c r="FT6799"/>
      <c r="FU6799"/>
      <c r="FV6799"/>
      <c r="FW6799"/>
      <c r="FX6799"/>
      <c r="FY6799"/>
      <c r="FZ6799"/>
      <c r="GA6799"/>
      <c r="GB6799"/>
      <c r="GC6799"/>
      <c r="GD6799"/>
      <c r="GE6799"/>
      <c r="GF6799"/>
      <c r="GG6799"/>
      <c r="GH6799"/>
      <c r="GI6799"/>
      <c r="GJ6799"/>
      <c r="GK6799"/>
      <c r="GL6799"/>
      <c r="GM6799"/>
      <c r="GN6799"/>
      <c r="GO6799"/>
    </row>
    <row r="6800" spans="107:197">
      <c r="DC6800"/>
      <c r="FH6800"/>
      <c r="FI6800"/>
      <c r="FJ6800"/>
      <c r="FK6800"/>
      <c r="FL6800"/>
      <c r="FM6800"/>
      <c r="FN6800"/>
      <c r="FO6800"/>
      <c r="FP6800"/>
      <c r="FQ6800"/>
      <c r="FR6800"/>
      <c r="FS6800"/>
      <c r="FT6800"/>
      <c r="FU6800"/>
      <c r="FV6800"/>
      <c r="FW6800"/>
      <c r="FX6800"/>
      <c r="FY6800"/>
      <c r="FZ6800"/>
      <c r="GA6800"/>
      <c r="GB6800"/>
      <c r="GC6800"/>
      <c r="GD6800"/>
      <c r="GE6800"/>
      <c r="GF6800"/>
      <c r="GG6800"/>
      <c r="GH6800"/>
      <c r="GI6800"/>
      <c r="GJ6800"/>
      <c r="GK6800"/>
      <c r="GL6800"/>
      <c r="GM6800"/>
      <c r="GN6800"/>
      <c r="GO6800"/>
    </row>
    <row r="6801" spans="107:197">
      <c r="DC6801"/>
      <c r="FH6801"/>
      <c r="FI6801"/>
      <c r="FJ6801"/>
      <c r="FK6801"/>
      <c r="FL6801"/>
      <c r="FM6801"/>
      <c r="FN6801"/>
      <c r="FO6801"/>
      <c r="FP6801"/>
      <c r="FQ6801"/>
      <c r="FR6801"/>
      <c r="FS6801"/>
      <c r="FT6801"/>
      <c r="FU6801"/>
      <c r="FV6801"/>
      <c r="FW6801"/>
      <c r="FX6801"/>
      <c r="FY6801"/>
      <c r="FZ6801"/>
      <c r="GA6801"/>
      <c r="GB6801"/>
      <c r="GC6801"/>
      <c r="GD6801"/>
      <c r="GE6801"/>
      <c r="GF6801"/>
      <c r="GG6801"/>
      <c r="GH6801"/>
      <c r="GI6801"/>
      <c r="GJ6801"/>
      <c r="GK6801"/>
      <c r="GL6801"/>
      <c r="GM6801"/>
      <c r="GN6801"/>
      <c r="GO6801"/>
    </row>
    <row r="6802" spans="107:197">
      <c r="DC6802"/>
      <c r="FH6802"/>
      <c r="FI6802"/>
      <c r="FJ6802"/>
      <c r="FK6802"/>
      <c r="FL6802"/>
      <c r="FM6802"/>
      <c r="FN6802"/>
      <c r="FO6802"/>
      <c r="FP6802"/>
      <c r="FQ6802"/>
      <c r="FR6802"/>
      <c r="FS6802"/>
      <c r="FT6802"/>
      <c r="FU6802"/>
      <c r="FV6802"/>
      <c r="FW6802"/>
      <c r="FX6802"/>
      <c r="FY6802"/>
      <c r="FZ6802"/>
      <c r="GA6802"/>
      <c r="GB6802"/>
      <c r="GC6802"/>
      <c r="GD6802"/>
      <c r="GE6802"/>
      <c r="GF6802"/>
      <c r="GG6802"/>
      <c r="GH6802"/>
      <c r="GI6802"/>
      <c r="GJ6802"/>
      <c r="GK6802"/>
      <c r="GL6802"/>
      <c r="GM6802"/>
      <c r="GN6802"/>
      <c r="GO6802"/>
    </row>
    <row r="6803" spans="107:197">
      <c r="DC6803"/>
      <c r="FH6803"/>
      <c r="FI6803"/>
      <c r="FJ6803"/>
      <c r="FK6803"/>
      <c r="FL6803"/>
      <c r="FM6803"/>
      <c r="FN6803"/>
      <c r="FO6803"/>
      <c r="FP6803"/>
      <c r="FQ6803"/>
      <c r="FR6803"/>
      <c r="FS6803"/>
      <c r="FT6803"/>
      <c r="FU6803"/>
      <c r="FV6803"/>
      <c r="FW6803"/>
      <c r="FX6803"/>
      <c r="FY6803"/>
      <c r="FZ6803"/>
      <c r="GA6803"/>
      <c r="GB6803"/>
      <c r="GC6803"/>
      <c r="GD6803"/>
      <c r="GE6803"/>
      <c r="GF6803"/>
      <c r="GG6803"/>
      <c r="GH6803"/>
      <c r="GI6803"/>
      <c r="GJ6803"/>
      <c r="GK6803"/>
      <c r="GL6803"/>
      <c r="GM6803"/>
      <c r="GN6803"/>
      <c r="GO6803"/>
    </row>
    <row r="6804" spans="107:197">
      <c r="DC6804"/>
      <c r="FH6804"/>
      <c r="FI6804"/>
      <c r="FJ6804"/>
      <c r="FK6804"/>
      <c r="FL6804"/>
      <c r="FM6804"/>
      <c r="FN6804"/>
      <c r="FO6804"/>
      <c r="FP6804"/>
      <c r="FQ6804"/>
      <c r="FR6804"/>
      <c r="FS6804"/>
      <c r="FT6804"/>
      <c r="FU6804"/>
      <c r="FV6804"/>
      <c r="FW6804"/>
      <c r="FX6804"/>
      <c r="FY6804"/>
      <c r="FZ6804"/>
      <c r="GA6804"/>
      <c r="GB6804"/>
      <c r="GC6804"/>
      <c r="GD6804"/>
      <c r="GE6804"/>
      <c r="GF6804"/>
      <c r="GG6804"/>
      <c r="GH6804"/>
      <c r="GI6804"/>
      <c r="GJ6804"/>
      <c r="GK6804"/>
      <c r="GL6804"/>
      <c r="GM6804"/>
      <c r="GN6804"/>
      <c r="GO6804"/>
    </row>
    <row r="6805" spans="107:197">
      <c r="DC6805"/>
      <c r="FH6805"/>
      <c r="FI6805"/>
      <c r="FJ6805"/>
      <c r="FK6805"/>
      <c r="FL6805"/>
      <c r="FM6805"/>
      <c r="FN6805"/>
      <c r="FO6805"/>
      <c r="FP6805"/>
      <c r="FQ6805"/>
      <c r="FR6805"/>
      <c r="FS6805"/>
      <c r="FT6805"/>
      <c r="FU6805"/>
      <c r="FV6805"/>
      <c r="FW6805"/>
      <c r="FX6805"/>
      <c r="FY6805"/>
      <c r="FZ6805"/>
      <c r="GA6805"/>
      <c r="GB6805"/>
      <c r="GC6805"/>
      <c r="GD6805"/>
      <c r="GE6805"/>
      <c r="GF6805"/>
      <c r="GG6805"/>
      <c r="GH6805"/>
      <c r="GI6805"/>
      <c r="GJ6805"/>
      <c r="GK6805"/>
      <c r="GL6805"/>
      <c r="GM6805"/>
      <c r="GN6805"/>
      <c r="GO6805"/>
    </row>
    <row r="6806" spans="107:197">
      <c r="DC6806"/>
      <c r="FH6806"/>
      <c r="FI6806"/>
      <c r="FJ6806"/>
      <c r="FK6806"/>
      <c r="FL6806"/>
      <c r="FM6806"/>
      <c r="FN6806"/>
      <c r="FO6806"/>
      <c r="FP6806"/>
      <c r="FQ6806"/>
      <c r="FR6806"/>
      <c r="FS6806"/>
      <c r="FT6806"/>
      <c r="FU6806"/>
      <c r="FV6806"/>
      <c r="FW6806"/>
      <c r="FX6806"/>
      <c r="FY6806"/>
      <c r="FZ6806"/>
      <c r="GA6806"/>
      <c r="GB6806"/>
      <c r="GC6806"/>
      <c r="GD6806"/>
      <c r="GE6806"/>
      <c r="GF6806"/>
      <c r="GG6806"/>
      <c r="GH6806"/>
      <c r="GI6806"/>
      <c r="GJ6806"/>
      <c r="GK6806"/>
      <c r="GL6806"/>
      <c r="GM6806"/>
      <c r="GN6806"/>
      <c r="GO6806"/>
    </row>
    <row r="6807" spans="107:197">
      <c r="DC6807"/>
      <c r="FH6807"/>
      <c r="FI6807"/>
      <c r="FJ6807"/>
      <c r="FK6807"/>
      <c r="FL6807"/>
      <c r="FM6807"/>
      <c r="FN6807"/>
      <c r="FO6807"/>
      <c r="FP6807"/>
      <c r="FQ6807"/>
      <c r="FR6807"/>
      <c r="FS6807"/>
      <c r="FT6807"/>
      <c r="FU6807"/>
      <c r="FV6807"/>
      <c r="FW6807"/>
      <c r="FX6807"/>
      <c r="FY6807"/>
      <c r="FZ6807"/>
      <c r="GA6807"/>
      <c r="GB6807"/>
      <c r="GC6807"/>
      <c r="GD6807"/>
      <c r="GE6807"/>
      <c r="GF6807"/>
      <c r="GG6807"/>
      <c r="GH6807"/>
      <c r="GI6807"/>
      <c r="GJ6807"/>
      <c r="GK6807"/>
      <c r="GL6807"/>
      <c r="GM6807"/>
      <c r="GN6807"/>
      <c r="GO6807"/>
    </row>
    <row r="6808" spans="107:197">
      <c r="DC6808"/>
      <c r="FH6808"/>
      <c r="FI6808"/>
      <c r="FJ6808"/>
      <c r="FK6808"/>
      <c r="FL6808"/>
      <c r="FM6808"/>
      <c r="FN6808"/>
      <c r="FO6808"/>
      <c r="FP6808"/>
      <c r="FQ6808"/>
      <c r="FR6808"/>
      <c r="FS6808"/>
      <c r="FT6808"/>
      <c r="FU6808"/>
      <c r="FV6808"/>
      <c r="FW6808"/>
      <c r="FX6808"/>
      <c r="FY6808"/>
      <c r="FZ6808"/>
      <c r="GA6808"/>
      <c r="GB6808"/>
      <c r="GC6808"/>
      <c r="GD6808"/>
      <c r="GE6808"/>
      <c r="GF6808"/>
      <c r="GG6808"/>
      <c r="GH6808"/>
      <c r="GI6808"/>
      <c r="GJ6808"/>
      <c r="GK6808"/>
      <c r="GL6808"/>
      <c r="GM6808"/>
      <c r="GN6808"/>
      <c r="GO6808"/>
    </row>
    <row r="6809" spans="107:197">
      <c r="DC6809"/>
      <c r="FH6809"/>
      <c r="FI6809"/>
      <c r="FJ6809"/>
      <c r="FK6809"/>
      <c r="FL6809"/>
      <c r="FM6809"/>
      <c r="FN6809"/>
      <c r="FO6809"/>
      <c r="FP6809"/>
      <c r="FQ6809"/>
      <c r="FR6809"/>
      <c r="FS6809"/>
      <c r="FT6809"/>
      <c r="FU6809"/>
      <c r="FV6809"/>
      <c r="FW6809"/>
      <c r="FX6809"/>
      <c r="FY6809"/>
      <c r="FZ6809"/>
      <c r="GA6809"/>
      <c r="GB6809"/>
      <c r="GC6809"/>
      <c r="GD6809"/>
      <c r="GE6809"/>
      <c r="GF6809"/>
      <c r="GG6809"/>
      <c r="GH6809"/>
      <c r="GI6809"/>
      <c r="GJ6809"/>
      <c r="GK6809"/>
      <c r="GL6809"/>
      <c r="GM6809"/>
      <c r="GN6809"/>
      <c r="GO6809"/>
    </row>
    <row r="6810" spans="107:197">
      <c r="DC6810"/>
      <c r="FH6810"/>
      <c r="FI6810"/>
      <c r="FJ6810"/>
      <c r="FK6810"/>
      <c r="FL6810"/>
      <c r="FM6810"/>
      <c r="FN6810"/>
      <c r="FO6810"/>
      <c r="FP6810"/>
      <c r="FQ6810"/>
      <c r="FR6810"/>
      <c r="FS6810"/>
      <c r="FT6810"/>
      <c r="FU6810"/>
      <c r="FV6810"/>
      <c r="FW6810"/>
      <c r="FX6810"/>
      <c r="FY6810"/>
      <c r="FZ6810"/>
      <c r="GA6810"/>
      <c r="GB6810"/>
      <c r="GC6810"/>
      <c r="GD6810"/>
      <c r="GE6810"/>
      <c r="GF6810"/>
      <c r="GG6810"/>
      <c r="GH6810"/>
      <c r="GI6810"/>
      <c r="GJ6810"/>
      <c r="GK6810"/>
      <c r="GL6810"/>
      <c r="GM6810"/>
      <c r="GN6810"/>
      <c r="GO6810"/>
    </row>
    <row r="6811" spans="107:197">
      <c r="DC6811"/>
      <c r="FH6811"/>
      <c r="FI6811"/>
      <c r="FJ6811"/>
      <c r="FK6811"/>
      <c r="FL6811"/>
      <c r="FM6811"/>
      <c r="FN6811"/>
      <c r="FO6811"/>
      <c r="FP6811"/>
      <c r="FQ6811"/>
      <c r="FR6811"/>
      <c r="FS6811"/>
      <c r="FT6811"/>
      <c r="FU6811"/>
      <c r="FV6811"/>
      <c r="FW6811"/>
      <c r="FX6811"/>
      <c r="FY6811"/>
      <c r="FZ6811"/>
      <c r="GA6811"/>
      <c r="GB6811"/>
      <c r="GC6811"/>
      <c r="GD6811"/>
      <c r="GE6811"/>
      <c r="GF6811"/>
      <c r="GG6811"/>
      <c r="GH6811"/>
      <c r="GI6811"/>
      <c r="GJ6811"/>
      <c r="GK6811"/>
      <c r="GL6811"/>
      <c r="GM6811"/>
      <c r="GN6811"/>
      <c r="GO6811"/>
    </row>
    <row r="6812" spans="107:197">
      <c r="DC6812"/>
      <c r="FH6812"/>
      <c r="FI6812"/>
      <c r="FJ6812"/>
      <c r="FK6812"/>
      <c r="FL6812"/>
      <c r="FM6812"/>
      <c r="FN6812"/>
      <c r="FO6812"/>
      <c r="FP6812"/>
      <c r="FQ6812"/>
      <c r="FR6812"/>
      <c r="FS6812"/>
      <c r="FT6812"/>
      <c r="FU6812"/>
      <c r="FV6812"/>
      <c r="FW6812"/>
      <c r="FX6812"/>
      <c r="FY6812"/>
      <c r="FZ6812"/>
      <c r="GA6812"/>
      <c r="GB6812"/>
      <c r="GC6812"/>
      <c r="GD6812"/>
      <c r="GE6812"/>
      <c r="GF6812"/>
      <c r="GG6812"/>
      <c r="GH6812"/>
      <c r="GI6812"/>
      <c r="GJ6812"/>
      <c r="GK6812"/>
      <c r="GL6812"/>
      <c r="GM6812"/>
      <c r="GN6812"/>
      <c r="GO6812"/>
    </row>
    <row r="6813" spans="107:197">
      <c r="DC6813"/>
      <c r="FH6813"/>
      <c r="FI6813"/>
      <c r="FJ6813"/>
      <c r="FK6813"/>
      <c r="FL6813"/>
      <c r="FM6813"/>
      <c r="FN6813"/>
      <c r="FO6813"/>
      <c r="FP6813"/>
      <c r="FQ6813"/>
      <c r="FR6813"/>
      <c r="FS6813"/>
      <c r="FT6813"/>
      <c r="FU6813"/>
      <c r="FV6813"/>
      <c r="FW6813"/>
      <c r="FX6813"/>
      <c r="FY6813"/>
      <c r="FZ6813"/>
      <c r="GA6813"/>
      <c r="GB6813"/>
      <c r="GC6813"/>
      <c r="GD6813"/>
      <c r="GE6813"/>
      <c r="GF6813"/>
      <c r="GG6813"/>
      <c r="GH6813"/>
      <c r="GI6813"/>
      <c r="GJ6813"/>
      <c r="GK6813"/>
      <c r="GL6813"/>
      <c r="GM6813"/>
      <c r="GN6813"/>
      <c r="GO6813"/>
    </row>
    <row r="6814" spans="107:197">
      <c r="DC6814"/>
      <c r="FH6814"/>
      <c r="FI6814"/>
      <c r="FJ6814"/>
      <c r="FK6814"/>
      <c r="FL6814"/>
      <c r="FM6814"/>
      <c r="FN6814"/>
      <c r="FO6814"/>
      <c r="FP6814"/>
      <c r="FQ6814"/>
      <c r="FR6814"/>
      <c r="FS6814"/>
      <c r="FT6814"/>
      <c r="FU6814"/>
      <c r="FV6814"/>
      <c r="FW6814"/>
      <c r="FX6814"/>
      <c r="FY6814"/>
      <c r="FZ6814"/>
      <c r="GA6814"/>
      <c r="GB6814"/>
      <c r="GC6814"/>
      <c r="GD6814"/>
      <c r="GE6814"/>
      <c r="GF6814"/>
      <c r="GG6814"/>
      <c r="GH6814"/>
      <c r="GI6814"/>
      <c r="GJ6814"/>
      <c r="GK6814"/>
      <c r="GL6814"/>
      <c r="GM6814"/>
      <c r="GN6814"/>
      <c r="GO6814"/>
    </row>
    <row r="6815" spans="107:197">
      <c r="DC6815"/>
      <c r="FH6815"/>
      <c r="FI6815"/>
      <c r="FJ6815"/>
      <c r="FK6815"/>
      <c r="FL6815"/>
      <c r="FM6815"/>
      <c r="FN6815"/>
      <c r="FO6815"/>
      <c r="FP6815"/>
      <c r="FQ6815"/>
      <c r="FR6815"/>
      <c r="FS6815"/>
      <c r="FT6815"/>
      <c r="FU6815"/>
      <c r="FV6815"/>
      <c r="FW6815"/>
      <c r="FX6815"/>
      <c r="FY6815"/>
      <c r="FZ6815"/>
      <c r="GA6815"/>
      <c r="GB6815"/>
      <c r="GC6815"/>
      <c r="GD6815"/>
      <c r="GE6815"/>
      <c r="GF6815"/>
      <c r="GG6815"/>
      <c r="GH6815"/>
      <c r="GI6815"/>
      <c r="GJ6815"/>
      <c r="GK6815"/>
      <c r="GL6815"/>
      <c r="GM6815"/>
      <c r="GN6815"/>
      <c r="GO6815"/>
    </row>
    <row r="6816" spans="107:197">
      <c r="DC6816"/>
      <c r="FH6816"/>
      <c r="FI6816"/>
      <c r="FJ6816"/>
      <c r="FK6816"/>
      <c r="FL6816"/>
      <c r="FM6816"/>
      <c r="FN6816"/>
      <c r="FO6816"/>
      <c r="FP6816"/>
      <c r="FQ6816"/>
      <c r="FR6816"/>
      <c r="FS6816"/>
      <c r="FT6816"/>
      <c r="FU6816"/>
      <c r="FV6816"/>
      <c r="FW6816"/>
      <c r="FX6816"/>
      <c r="FY6816"/>
      <c r="FZ6816"/>
      <c r="GA6816"/>
      <c r="GB6816"/>
      <c r="GC6816"/>
      <c r="GD6816"/>
      <c r="GE6816"/>
      <c r="GF6816"/>
      <c r="GG6816"/>
      <c r="GH6816"/>
      <c r="GI6816"/>
      <c r="GJ6816"/>
      <c r="GK6816"/>
      <c r="GL6816"/>
      <c r="GM6816"/>
      <c r="GN6816"/>
      <c r="GO6816"/>
    </row>
    <row r="6817" spans="107:197">
      <c r="DC6817"/>
      <c r="FH6817"/>
      <c r="FI6817"/>
      <c r="FJ6817"/>
      <c r="FK6817"/>
      <c r="FL6817"/>
      <c r="FM6817"/>
      <c r="FN6817"/>
      <c r="FO6817"/>
      <c r="FP6817"/>
      <c r="FQ6817"/>
      <c r="FR6817"/>
      <c r="FS6817"/>
      <c r="FT6817"/>
      <c r="FU6817"/>
      <c r="FV6817"/>
      <c r="FW6817"/>
      <c r="FX6817"/>
      <c r="FY6817"/>
      <c r="FZ6817"/>
      <c r="GA6817"/>
      <c r="GB6817"/>
      <c r="GC6817"/>
      <c r="GD6817"/>
      <c r="GE6817"/>
      <c r="GF6817"/>
      <c r="GG6817"/>
      <c r="GH6817"/>
      <c r="GI6817"/>
      <c r="GJ6817"/>
      <c r="GK6817"/>
      <c r="GL6817"/>
      <c r="GM6817"/>
      <c r="GN6817"/>
      <c r="GO6817"/>
    </row>
    <row r="6818" spans="107:197">
      <c r="DC6818"/>
      <c r="FH6818"/>
      <c r="FI6818"/>
      <c r="FJ6818"/>
      <c r="FK6818"/>
      <c r="FL6818"/>
      <c r="FM6818"/>
      <c r="FN6818"/>
      <c r="FO6818"/>
      <c r="FP6818"/>
      <c r="FQ6818"/>
      <c r="FR6818"/>
      <c r="FS6818"/>
      <c r="FT6818"/>
      <c r="FU6818"/>
      <c r="FV6818"/>
      <c r="FW6818"/>
      <c r="FX6818"/>
      <c r="FY6818"/>
      <c r="FZ6818"/>
      <c r="GA6818"/>
      <c r="GB6818"/>
      <c r="GC6818"/>
      <c r="GD6818"/>
      <c r="GE6818"/>
      <c r="GF6818"/>
      <c r="GG6818"/>
      <c r="GH6818"/>
      <c r="GI6818"/>
      <c r="GJ6818"/>
      <c r="GK6818"/>
      <c r="GL6818"/>
      <c r="GM6818"/>
      <c r="GN6818"/>
      <c r="GO6818"/>
    </row>
    <row r="6819" spans="107:197">
      <c r="DC6819"/>
      <c r="FH6819"/>
      <c r="FI6819"/>
      <c r="FJ6819"/>
      <c r="FK6819"/>
      <c r="FL6819"/>
      <c r="FM6819"/>
      <c r="FN6819"/>
      <c r="FO6819"/>
      <c r="FP6819"/>
      <c r="FQ6819"/>
      <c r="FR6819"/>
      <c r="FS6819"/>
      <c r="FT6819"/>
      <c r="FU6819"/>
      <c r="FV6819"/>
      <c r="FW6819"/>
      <c r="FX6819"/>
      <c r="FY6819"/>
      <c r="FZ6819"/>
      <c r="GA6819"/>
      <c r="GB6819"/>
      <c r="GC6819"/>
      <c r="GD6819"/>
      <c r="GE6819"/>
      <c r="GF6819"/>
      <c r="GG6819"/>
      <c r="GH6819"/>
      <c r="GI6819"/>
      <c r="GJ6819"/>
      <c r="GK6819"/>
      <c r="GL6819"/>
      <c r="GM6819"/>
      <c r="GN6819"/>
      <c r="GO6819"/>
    </row>
    <row r="6820" spans="107:197">
      <c r="DC6820"/>
      <c r="FH6820"/>
      <c r="FI6820"/>
      <c r="FJ6820"/>
      <c r="FK6820"/>
      <c r="FL6820"/>
      <c r="FM6820"/>
      <c r="FN6820"/>
      <c r="FO6820"/>
      <c r="FP6820"/>
      <c r="FQ6820"/>
      <c r="FR6820"/>
      <c r="FS6820"/>
      <c r="FT6820"/>
      <c r="FU6820"/>
      <c r="FV6820"/>
      <c r="FW6820"/>
      <c r="FX6820"/>
      <c r="FY6820"/>
      <c r="FZ6820"/>
      <c r="GA6820"/>
      <c r="GB6820"/>
      <c r="GC6820"/>
      <c r="GD6820"/>
      <c r="GE6820"/>
      <c r="GF6820"/>
      <c r="GG6820"/>
      <c r="GH6820"/>
      <c r="GI6820"/>
      <c r="GJ6820"/>
      <c r="GK6820"/>
      <c r="GL6820"/>
      <c r="GM6820"/>
      <c r="GN6820"/>
      <c r="GO6820"/>
    </row>
    <row r="6821" spans="107:197">
      <c r="DC6821"/>
      <c r="FH6821"/>
      <c r="FI6821"/>
      <c r="FJ6821"/>
      <c r="FK6821"/>
      <c r="FL6821"/>
      <c r="FM6821"/>
      <c r="FN6821"/>
      <c r="FO6821"/>
      <c r="FP6821"/>
      <c r="FQ6821"/>
      <c r="FR6821"/>
      <c r="FS6821"/>
      <c r="FT6821"/>
      <c r="FU6821"/>
      <c r="FV6821"/>
      <c r="FW6821"/>
      <c r="FX6821"/>
      <c r="FY6821"/>
      <c r="FZ6821"/>
      <c r="GA6821"/>
      <c r="GB6821"/>
      <c r="GC6821"/>
      <c r="GD6821"/>
      <c r="GE6821"/>
      <c r="GF6821"/>
      <c r="GG6821"/>
      <c r="GH6821"/>
      <c r="GI6821"/>
      <c r="GJ6821"/>
      <c r="GK6821"/>
      <c r="GL6821"/>
      <c r="GM6821"/>
      <c r="GN6821"/>
      <c r="GO6821"/>
    </row>
    <row r="6822" spans="107:197">
      <c r="DC6822"/>
      <c r="FH6822"/>
      <c r="FI6822"/>
      <c r="FJ6822"/>
      <c r="FK6822"/>
      <c r="FL6822"/>
      <c r="FM6822"/>
      <c r="FN6822"/>
      <c r="FO6822"/>
      <c r="FP6822"/>
      <c r="FQ6822"/>
      <c r="FR6822"/>
      <c r="FS6822"/>
      <c r="FT6822"/>
      <c r="FU6822"/>
      <c r="FV6822"/>
      <c r="FW6822"/>
      <c r="FX6822"/>
      <c r="FY6822"/>
      <c r="FZ6822"/>
      <c r="GA6822"/>
      <c r="GB6822"/>
      <c r="GC6822"/>
      <c r="GD6822"/>
      <c r="GE6822"/>
      <c r="GF6822"/>
      <c r="GG6822"/>
      <c r="GH6822"/>
      <c r="GI6822"/>
      <c r="GJ6822"/>
      <c r="GK6822"/>
      <c r="GL6822"/>
      <c r="GM6822"/>
      <c r="GN6822"/>
      <c r="GO6822"/>
    </row>
    <row r="6823" spans="107:197">
      <c r="DC6823"/>
      <c r="FH6823"/>
      <c r="FI6823"/>
      <c r="FJ6823"/>
      <c r="FK6823"/>
      <c r="FL6823"/>
      <c r="FM6823"/>
      <c r="FN6823"/>
      <c r="FO6823"/>
      <c r="FP6823"/>
      <c r="FQ6823"/>
      <c r="FR6823"/>
      <c r="FS6823"/>
      <c r="FT6823"/>
      <c r="FU6823"/>
      <c r="FV6823"/>
      <c r="FW6823"/>
      <c r="FX6823"/>
      <c r="FY6823"/>
      <c r="FZ6823"/>
      <c r="GA6823"/>
      <c r="GB6823"/>
      <c r="GC6823"/>
      <c r="GD6823"/>
      <c r="GE6823"/>
      <c r="GF6823"/>
      <c r="GG6823"/>
      <c r="GH6823"/>
      <c r="GI6823"/>
      <c r="GJ6823"/>
      <c r="GK6823"/>
      <c r="GL6823"/>
      <c r="GM6823"/>
      <c r="GN6823"/>
      <c r="GO6823"/>
    </row>
    <row r="6824" spans="107:197">
      <c r="DC6824"/>
      <c r="FH6824"/>
      <c r="FI6824"/>
      <c r="FJ6824"/>
      <c r="FK6824"/>
      <c r="FL6824"/>
      <c r="FM6824"/>
      <c r="FN6824"/>
      <c r="FO6824"/>
      <c r="FP6824"/>
      <c r="FQ6824"/>
      <c r="FR6824"/>
      <c r="FS6824"/>
      <c r="FT6824"/>
      <c r="FU6824"/>
      <c r="FV6824"/>
      <c r="FW6824"/>
      <c r="FX6824"/>
      <c r="FY6824"/>
      <c r="FZ6824"/>
      <c r="GA6824"/>
      <c r="GB6824"/>
      <c r="GC6824"/>
      <c r="GD6824"/>
      <c r="GE6824"/>
      <c r="GF6824"/>
      <c r="GG6824"/>
      <c r="GH6824"/>
      <c r="GI6824"/>
      <c r="GJ6824"/>
      <c r="GK6824"/>
      <c r="GL6824"/>
      <c r="GM6824"/>
      <c r="GN6824"/>
      <c r="GO6824"/>
    </row>
    <row r="6825" spans="107:197">
      <c r="DC6825"/>
      <c r="FH6825"/>
      <c r="FI6825"/>
      <c r="FJ6825"/>
      <c r="FK6825"/>
      <c r="FL6825"/>
      <c r="FM6825"/>
      <c r="FN6825"/>
      <c r="FO6825"/>
      <c r="FP6825"/>
      <c r="FQ6825"/>
      <c r="FR6825"/>
      <c r="FS6825"/>
      <c r="FT6825"/>
      <c r="FU6825"/>
      <c r="FV6825"/>
      <c r="FW6825"/>
      <c r="FX6825"/>
      <c r="FY6825"/>
      <c r="FZ6825"/>
      <c r="GA6825"/>
      <c r="GB6825"/>
      <c r="GC6825"/>
      <c r="GD6825"/>
      <c r="GE6825"/>
      <c r="GF6825"/>
      <c r="GG6825"/>
      <c r="GH6825"/>
      <c r="GI6825"/>
      <c r="GJ6825"/>
      <c r="GK6825"/>
      <c r="GL6825"/>
      <c r="GM6825"/>
      <c r="GN6825"/>
      <c r="GO6825"/>
    </row>
    <row r="6826" spans="107:197">
      <c r="DC6826"/>
      <c r="FH6826"/>
      <c r="FI6826"/>
      <c r="FJ6826"/>
      <c r="FK6826"/>
      <c r="FL6826"/>
      <c r="FM6826"/>
      <c r="FN6826"/>
      <c r="FO6826"/>
      <c r="FP6826"/>
      <c r="FQ6826"/>
      <c r="FR6826"/>
      <c r="FS6826"/>
      <c r="FT6826"/>
      <c r="FU6826"/>
      <c r="FV6826"/>
      <c r="FW6826"/>
      <c r="FX6826"/>
      <c r="FY6826"/>
      <c r="FZ6826"/>
      <c r="GA6826"/>
      <c r="GB6826"/>
      <c r="GC6826"/>
      <c r="GD6826"/>
      <c r="GE6826"/>
      <c r="GF6826"/>
      <c r="GG6826"/>
      <c r="GH6826"/>
      <c r="GI6826"/>
      <c r="GJ6826"/>
      <c r="GK6826"/>
      <c r="GL6826"/>
      <c r="GM6826"/>
      <c r="GN6826"/>
      <c r="GO6826"/>
    </row>
    <row r="6827" spans="107:197">
      <c r="DC6827"/>
      <c r="FH6827"/>
      <c r="FI6827"/>
      <c r="FJ6827"/>
      <c r="FK6827"/>
      <c r="FL6827"/>
      <c r="FM6827"/>
      <c r="FN6827"/>
      <c r="FO6827"/>
      <c r="FP6827"/>
      <c r="FQ6827"/>
      <c r="FR6827"/>
      <c r="FS6827"/>
      <c r="FT6827"/>
      <c r="FU6827"/>
      <c r="FV6827"/>
      <c r="FW6827"/>
      <c r="FX6827"/>
      <c r="FY6827"/>
      <c r="FZ6827"/>
      <c r="GA6827"/>
      <c r="GB6827"/>
      <c r="GC6827"/>
      <c r="GD6827"/>
      <c r="GE6827"/>
      <c r="GF6827"/>
      <c r="GG6827"/>
      <c r="GH6827"/>
      <c r="GI6827"/>
      <c r="GJ6827"/>
      <c r="GK6827"/>
      <c r="GL6827"/>
      <c r="GM6827"/>
      <c r="GN6827"/>
      <c r="GO6827"/>
    </row>
    <row r="6828" spans="107:197">
      <c r="DC6828"/>
      <c r="FH6828"/>
      <c r="FI6828"/>
      <c r="FJ6828"/>
      <c r="FK6828"/>
      <c r="FL6828"/>
      <c r="FM6828"/>
      <c r="FN6828"/>
      <c r="FO6828"/>
      <c r="FP6828"/>
      <c r="FQ6828"/>
      <c r="FR6828"/>
      <c r="FS6828"/>
      <c r="FT6828"/>
      <c r="FU6828"/>
      <c r="FV6828"/>
      <c r="FW6828"/>
      <c r="FX6828"/>
      <c r="FY6828"/>
      <c r="FZ6828"/>
      <c r="GA6828"/>
      <c r="GB6828"/>
      <c r="GC6828"/>
      <c r="GD6828"/>
      <c r="GE6828"/>
      <c r="GF6828"/>
      <c r="GG6828"/>
      <c r="GH6828"/>
      <c r="GI6828"/>
      <c r="GJ6828"/>
      <c r="GK6828"/>
      <c r="GL6828"/>
      <c r="GM6828"/>
      <c r="GN6828"/>
      <c r="GO6828"/>
    </row>
    <row r="6829" spans="107:197">
      <c r="DC6829"/>
      <c r="FH6829"/>
      <c r="FI6829"/>
      <c r="FJ6829"/>
      <c r="FK6829"/>
      <c r="FL6829"/>
      <c r="FM6829"/>
      <c r="FN6829"/>
      <c r="FO6829"/>
      <c r="FP6829"/>
      <c r="FQ6829"/>
      <c r="FR6829"/>
      <c r="FS6829"/>
      <c r="FT6829"/>
      <c r="FU6829"/>
      <c r="FV6829"/>
      <c r="FW6829"/>
      <c r="FX6829"/>
      <c r="FY6829"/>
      <c r="FZ6829"/>
      <c r="GA6829"/>
      <c r="GB6829"/>
      <c r="GC6829"/>
      <c r="GD6829"/>
      <c r="GE6829"/>
      <c r="GF6829"/>
      <c r="GG6829"/>
      <c r="GH6829"/>
      <c r="GI6829"/>
      <c r="GJ6829"/>
      <c r="GK6829"/>
      <c r="GL6829"/>
      <c r="GM6829"/>
      <c r="GN6829"/>
      <c r="GO6829"/>
    </row>
    <row r="6830" spans="107:197">
      <c r="DC6830"/>
      <c r="FH6830"/>
      <c r="FI6830"/>
      <c r="FJ6830"/>
      <c r="FK6830"/>
      <c r="FL6830"/>
      <c r="FM6830"/>
      <c r="FN6830"/>
      <c r="FO6830"/>
      <c r="FP6830"/>
      <c r="FQ6830"/>
      <c r="FR6830"/>
      <c r="FS6830"/>
      <c r="FT6830"/>
      <c r="FU6830"/>
      <c r="FV6830"/>
      <c r="FW6830"/>
      <c r="FX6830"/>
      <c r="FY6830"/>
      <c r="FZ6830"/>
      <c r="GA6830"/>
      <c r="GB6830"/>
      <c r="GC6830"/>
      <c r="GD6830"/>
      <c r="GE6830"/>
      <c r="GF6830"/>
      <c r="GG6830"/>
      <c r="GH6830"/>
      <c r="GI6830"/>
      <c r="GJ6830"/>
      <c r="GK6830"/>
      <c r="GL6830"/>
      <c r="GM6830"/>
      <c r="GN6830"/>
      <c r="GO6830"/>
    </row>
    <row r="6831" spans="107:197">
      <c r="DC6831"/>
      <c r="FH6831"/>
      <c r="FI6831"/>
      <c r="FJ6831"/>
      <c r="FK6831"/>
      <c r="FL6831"/>
      <c r="FM6831"/>
      <c r="FN6831"/>
      <c r="FO6831"/>
      <c r="FP6831"/>
      <c r="FQ6831"/>
      <c r="FR6831"/>
      <c r="FS6831"/>
      <c r="FT6831"/>
      <c r="FU6831"/>
      <c r="FV6831"/>
      <c r="FW6831"/>
      <c r="FX6831"/>
      <c r="FY6831"/>
      <c r="FZ6831"/>
      <c r="GA6831"/>
      <c r="GB6831"/>
      <c r="GC6831"/>
      <c r="GD6831"/>
      <c r="GE6831"/>
      <c r="GF6831"/>
      <c r="GG6831"/>
      <c r="GH6831"/>
      <c r="GI6831"/>
      <c r="GJ6831"/>
      <c r="GK6831"/>
      <c r="GL6831"/>
      <c r="GM6831"/>
      <c r="GN6831"/>
      <c r="GO6831"/>
    </row>
    <row r="6832" spans="107:197">
      <c r="DC6832"/>
      <c r="FH6832"/>
      <c r="FI6832"/>
      <c r="FJ6832"/>
      <c r="FK6832"/>
      <c r="FL6832"/>
      <c r="FM6832"/>
      <c r="FN6832"/>
      <c r="FO6832"/>
      <c r="FP6832"/>
      <c r="FQ6832"/>
      <c r="FR6832"/>
      <c r="FS6832"/>
      <c r="FT6832"/>
      <c r="FU6832"/>
      <c r="FV6832"/>
      <c r="FW6832"/>
      <c r="FX6832"/>
      <c r="FY6832"/>
      <c r="FZ6832"/>
      <c r="GA6832"/>
      <c r="GB6832"/>
      <c r="GC6832"/>
      <c r="GD6832"/>
      <c r="GE6832"/>
      <c r="GF6832"/>
      <c r="GG6832"/>
      <c r="GH6832"/>
      <c r="GI6832"/>
      <c r="GJ6832"/>
      <c r="GK6832"/>
      <c r="GL6832"/>
      <c r="GM6832"/>
      <c r="GN6832"/>
      <c r="GO6832"/>
    </row>
    <row r="6833" spans="107:197">
      <c r="DC6833"/>
      <c r="FH6833"/>
      <c r="FI6833"/>
      <c r="FJ6833"/>
      <c r="FK6833"/>
      <c r="FL6833"/>
      <c r="FM6833"/>
      <c r="FN6833"/>
      <c r="FO6833"/>
      <c r="FP6833"/>
      <c r="FQ6833"/>
      <c r="FR6833"/>
      <c r="FS6833"/>
      <c r="FT6833"/>
      <c r="FU6833"/>
      <c r="FV6833"/>
      <c r="FW6833"/>
      <c r="FX6833"/>
      <c r="FY6833"/>
      <c r="FZ6833"/>
      <c r="GA6833"/>
      <c r="GB6833"/>
      <c r="GC6833"/>
      <c r="GD6833"/>
      <c r="GE6833"/>
      <c r="GF6833"/>
      <c r="GG6833"/>
      <c r="GH6833"/>
      <c r="GI6833"/>
      <c r="GJ6833"/>
      <c r="GK6833"/>
      <c r="GL6833"/>
      <c r="GM6833"/>
      <c r="GN6833"/>
      <c r="GO6833"/>
    </row>
    <row r="6834" spans="107:197">
      <c r="DC6834"/>
      <c r="FH6834"/>
      <c r="FI6834"/>
      <c r="FJ6834"/>
      <c r="FK6834"/>
      <c r="FL6834"/>
      <c r="FM6834"/>
      <c r="FN6834"/>
      <c r="FO6834"/>
      <c r="FP6834"/>
      <c r="FQ6834"/>
      <c r="FR6834"/>
      <c r="FS6834"/>
      <c r="FT6834"/>
      <c r="FU6834"/>
      <c r="FV6834"/>
      <c r="FW6834"/>
      <c r="FX6834"/>
      <c r="FY6834"/>
      <c r="FZ6834"/>
      <c r="GA6834"/>
      <c r="GB6834"/>
      <c r="GC6834"/>
      <c r="GD6834"/>
      <c r="GE6834"/>
      <c r="GF6834"/>
      <c r="GG6834"/>
      <c r="GH6834"/>
      <c r="GI6834"/>
      <c r="GJ6834"/>
      <c r="GK6834"/>
      <c r="GL6834"/>
      <c r="GM6834"/>
      <c r="GN6834"/>
      <c r="GO6834"/>
    </row>
    <row r="6835" spans="107:197">
      <c r="DC6835"/>
      <c r="FH6835"/>
      <c r="FI6835"/>
      <c r="FJ6835"/>
      <c r="FK6835"/>
      <c r="FL6835"/>
      <c r="FM6835"/>
      <c r="FN6835"/>
      <c r="FO6835"/>
      <c r="FP6835"/>
      <c r="FQ6835"/>
      <c r="FR6835"/>
      <c r="FS6835"/>
      <c r="FT6835"/>
      <c r="FU6835"/>
      <c r="FV6835"/>
      <c r="FW6835"/>
      <c r="FX6835"/>
      <c r="FY6835"/>
      <c r="FZ6835"/>
      <c r="GA6835"/>
      <c r="GB6835"/>
      <c r="GC6835"/>
      <c r="GD6835"/>
      <c r="GE6835"/>
      <c r="GF6835"/>
      <c r="GG6835"/>
      <c r="GH6835"/>
      <c r="GI6835"/>
      <c r="GJ6835"/>
      <c r="GK6835"/>
      <c r="GL6835"/>
      <c r="GM6835"/>
      <c r="GN6835"/>
      <c r="GO6835"/>
    </row>
    <row r="6836" spans="107:197">
      <c r="DC6836"/>
      <c r="FH6836"/>
      <c r="FI6836"/>
      <c r="FJ6836"/>
      <c r="FK6836"/>
      <c r="FL6836"/>
      <c r="FM6836"/>
      <c r="FN6836"/>
      <c r="FO6836"/>
      <c r="FP6836"/>
      <c r="FQ6836"/>
      <c r="FR6836"/>
      <c r="FS6836"/>
      <c r="FT6836"/>
      <c r="FU6836"/>
      <c r="FV6836"/>
      <c r="FW6836"/>
      <c r="FX6836"/>
      <c r="FY6836"/>
      <c r="FZ6836"/>
      <c r="GA6836"/>
      <c r="GB6836"/>
      <c r="GC6836"/>
      <c r="GD6836"/>
      <c r="GE6836"/>
      <c r="GF6836"/>
      <c r="GG6836"/>
      <c r="GH6836"/>
      <c r="GI6836"/>
      <c r="GJ6836"/>
      <c r="GK6836"/>
      <c r="GL6836"/>
      <c r="GM6836"/>
      <c r="GN6836"/>
      <c r="GO6836"/>
    </row>
    <row r="6837" spans="107:197">
      <c r="DC6837"/>
      <c r="FH6837"/>
      <c r="FI6837"/>
      <c r="FJ6837"/>
      <c r="FK6837"/>
      <c r="FL6837"/>
      <c r="FM6837"/>
      <c r="FN6837"/>
      <c r="FO6837"/>
      <c r="FP6837"/>
      <c r="FQ6837"/>
      <c r="FR6837"/>
      <c r="FS6837"/>
      <c r="FT6837"/>
      <c r="FU6837"/>
      <c r="FV6837"/>
      <c r="FW6837"/>
      <c r="FX6837"/>
      <c r="FY6837"/>
      <c r="FZ6837"/>
      <c r="GA6837"/>
      <c r="GB6837"/>
      <c r="GC6837"/>
      <c r="GD6837"/>
      <c r="GE6837"/>
      <c r="GF6837"/>
      <c r="GG6837"/>
      <c r="GH6837"/>
      <c r="GI6837"/>
      <c r="GJ6837"/>
      <c r="GK6837"/>
      <c r="GL6837"/>
      <c r="GM6837"/>
      <c r="GN6837"/>
      <c r="GO6837"/>
    </row>
    <row r="6838" spans="107:197">
      <c r="DC6838"/>
      <c r="FH6838"/>
      <c r="FI6838"/>
      <c r="FJ6838"/>
      <c r="FK6838"/>
      <c r="FL6838"/>
      <c r="FM6838"/>
      <c r="FN6838"/>
      <c r="FO6838"/>
      <c r="FP6838"/>
      <c r="FQ6838"/>
      <c r="FR6838"/>
      <c r="FS6838"/>
      <c r="FT6838"/>
      <c r="FU6838"/>
      <c r="FV6838"/>
      <c r="FW6838"/>
      <c r="FX6838"/>
      <c r="FY6838"/>
      <c r="FZ6838"/>
      <c r="GA6838"/>
      <c r="GB6838"/>
      <c r="GC6838"/>
      <c r="GD6838"/>
      <c r="GE6838"/>
      <c r="GF6838"/>
      <c r="GG6838"/>
      <c r="GH6838"/>
      <c r="GI6838"/>
      <c r="GJ6838"/>
      <c r="GK6838"/>
      <c r="GL6838"/>
      <c r="GM6838"/>
      <c r="GN6838"/>
      <c r="GO6838"/>
    </row>
    <row r="6839" spans="107:197">
      <c r="DC6839"/>
      <c r="FH6839"/>
      <c r="FI6839"/>
      <c r="FJ6839"/>
      <c r="FK6839"/>
      <c r="FL6839"/>
      <c r="FM6839"/>
      <c r="FN6839"/>
      <c r="FO6839"/>
      <c r="FP6839"/>
      <c r="FQ6839"/>
      <c r="FR6839"/>
      <c r="FS6839"/>
      <c r="FT6839"/>
      <c r="FU6839"/>
      <c r="FV6839"/>
      <c r="FW6839"/>
      <c r="FX6839"/>
      <c r="FY6839"/>
      <c r="FZ6839"/>
      <c r="GA6839"/>
      <c r="GB6839"/>
      <c r="GC6839"/>
      <c r="GD6839"/>
      <c r="GE6839"/>
      <c r="GF6839"/>
      <c r="GG6839"/>
      <c r="GH6839"/>
      <c r="GI6839"/>
      <c r="GJ6839"/>
      <c r="GK6839"/>
      <c r="GL6839"/>
      <c r="GM6839"/>
      <c r="GN6839"/>
      <c r="GO6839"/>
    </row>
    <row r="6840" spans="107:197">
      <c r="DC6840"/>
      <c r="FH6840"/>
      <c r="FI6840"/>
      <c r="FJ6840"/>
      <c r="FK6840"/>
      <c r="FL6840"/>
      <c r="FM6840"/>
      <c r="FN6840"/>
      <c r="FO6840"/>
      <c r="FP6840"/>
      <c r="FQ6840"/>
      <c r="FR6840"/>
      <c r="FS6840"/>
      <c r="FT6840"/>
      <c r="FU6840"/>
      <c r="FV6840"/>
      <c r="FW6840"/>
      <c r="FX6840"/>
      <c r="FY6840"/>
      <c r="FZ6840"/>
      <c r="GA6840"/>
      <c r="GB6840"/>
      <c r="GC6840"/>
      <c r="GD6840"/>
      <c r="GE6840"/>
      <c r="GF6840"/>
      <c r="GG6840"/>
      <c r="GH6840"/>
      <c r="GI6840"/>
      <c r="GJ6840"/>
      <c r="GK6840"/>
      <c r="GL6840"/>
      <c r="GM6840"/>
      <c r="GN6840"/>
      <c r="GO6840"/>
    </row>
    <row r="6841" spans="107:197">
      <c r="DC6841"/>
      <c r="FH6841"/>
      <c r="FI6841"/>
      <c r="FJ6841"/>
      <c r="FK6841"/>
      <c r="FL6841"/>
      <c r="FM6841"/>
      <c r="FN6841"/>
      <c r="FO6841"/>
      <c r="FP6841"/>
      <c r="FQ6841"/>
      <c r="FR6841"/>
      <c r="FS6841"/>
      <c r="FT6841"/>
      <c r="FU6841"/>
      <c r="FV6841"/>
      <c r="FW6841"/>
      <c r="FX6841"/>
      <c r="FY6841"/>
      <c r="FZ6841"/>
      <c r="GA6841"/>
      <c r="GB6841"/>
      <c r="GC6841"/>
      <c r="GD6841"/>
      <c r="GE6841"/>
      <c r="GF6841"/>
      <c r="GG6841"/>
      <c r="GH6841"/>
      <c r="GI6841"/>
      <c r="GJ6841"/>
      <c r="GK6841"/>
      <c r="GL6841"/>
      <c r="GM6841"/>
      <c r="GN6841"/>
      <c r="GO6841"/>
    </row>
    <row r="6842" spans="107:197">
      <c r="DC6842"/>
      <c r="FH6842"/>
      <c r="FI6842"/>
      <c r="FJ6842"/>
      <c r="FK6842"/>
      <c r="FL6842"/>
      <c r="FM6842"/>
      <c r="FN6842"/>
      <c r="FO6842"/>
      <c r="FP6842"/>
      <c r="FQ6842"/>
      <c r="FR6842"/>
      <c r="FS6842"/>
      <c r="FT6842"/>
      <c r="FU6842"/>
      <c r="FV6842"/>
      <c r="FW6842"/>
      <c r="FX6842"/>
      <c r="FY6842"/>
      <c r="FZ6842"/>
      <c r="GA6842"/>
      <c r="GB6842"/>
      <c r="GC6842"/>
      <c r="GD6842"/>
      <c r="GE6842"/>
      <c r="GF6842"/>
      <c r="GG6842"/>
      <c r="GH6842"/>
      <c r="GI6842"/>
      <c r="GJ6842"/>
      <c r="GK6842"/>
      <c r="GL6842"/>
      <c r="GM6842"/>
      <c r="GN6842"/>
      <c r="GO6842"/>
    </row>
    <row r="6843" spans="107:197">
      <c r="DC6843"/>
      <c r="FH6843"/>
      <c r="FI6843"/>
      <c r="FJ6843"/>
      <c r="FK6843"/>
      <c r="FL6843"/>
      <c r="FM6843"/>
      <c r="FN6843"/>
      <c r="FO6843"/>
      <c r="FP6843"/>
      <c r="FQ6843"/>
      <c r="FR6843"/>
      <c r="FS6843"/>
      <c r="FT6843"/>
      <c r="FU6843"/>
      <c r="FV6843"/>
      <c r="FW6843"/>
      <c r="FX6843"/>
      <c r="FY6843"/>
      <c r="FZ6843"/>
      <c r="GA6843"/>
      <c r="GB6843"/>
      <c r="GC6843"/>
      <c r="GD6843"/>
      <c r="GE6843"/>
      <c r="GF6843"/>
      <c r="GG6843"/>
      <c r="GH6843"/>
      <c r="GI6843"/>
      <c r="GJ6843"/>
      <c r="GK6843"/>
      <c r="GL6843"/>
      <c r="GM6843"/>
      <c r="GN6843"/>
      <c r="GO6843"/>
    </row>
    <row r="6844" spans="107:197">
      <c r="DC6844"/>
      <c r="FH6844"/>
      <c r="FI6844"/>
      <c r="FJ6844"/>
      <c r="FK6844"/>
      <c r="FL6844"/>
      <c r="FM6844"/>
      <c r="FN6844"/>
      <c r="FO6844"/>
      <c r="FP6844"/>
      <c r="FQ6844"/>
      <c r="FR6844"/>
      <c r="FS6844"/>
      <c r="FT6844"/>
      <c r="FU6844"/>
      <c r="FV6844"/>
      <c r="FW6844"/>
      <c r="FX6844"/>
      <c r="FY6844"/>
      <c r="FZ6844"/>
      <c r="GA6844"/>
      <c r="GB6844"/>
      <c r="GC6844"/>
      <c r="GD6844"/>
      <c r="GE6844"/>
      <c r="GF6844"/>
      <c r="GG6844"/>
      <c r="GH6844"/>
      <c r="GI6844"/>
      <c r="GJ6844"/>
      <c r="GK6844"/>
      <c r="GL6844"/>
      <c r="GM6844"/>
      <c r="GN6844"/>
      <c r="GO6844"/>
    </row>
    <row r="6845" spans="107:197">
      <c r="DC6845"/>
      <c r="FH6845"/>
      <c r="FI6845"/>
      <c r="FJ6845"/>
      <c r="FK6845"/>
      <c r="FL6845"/>
      <c r="FM6845"/>
      <c r="FN6845"/>
      <c r="FO6845"/>
      <c r="FP6845"/>
      <c r="FQ6845"/>
      <c r="FR6845"/>
      <c r="FS6845"/>
      <c r="FT6845"/>
      <c r="FU6845"/>
      <c r="FV6845"/>
      <c r="FW6845"/>
      <c r="FX6845"/>
      <c r="FY6845"/>
      <c r="FZ6845"/>
      <c r="GA6845"/>
      <c r="GB6845"/>
      <c r="GC6845"/>
      <c r="GD6845"/>
      <c r="GE6845"/>
      <c r="GF6845"/>
      <c r="GG6845"/>
      <c r="GH6845"/>
      <c r="GI6845"/>
      <c r="GJ6845"/>
      <c r="GK6845"/>
      <c r="GL6845"/>
      <c r="GM6845"/>
      <c r="GN6845"/>
      <c r="GO6845"/>
    </row>
    <row r="6846" spans="107:197">
      <c r="DC6846"/>
      <c r="FH6846"/>
      <c r="FI6846"/>
      <c r="FJ6846"/>
      <c r="FK6846"/>
      <c r="FL6846"/>
      <c r="FM6846"/>
      <c r="FN6846"/>
      <c r="FO6846"/>
      <c r="FP6846"/>
      <c r="FQ6846"/>
      <c r="FR6846"/>
      <c r="FS6846"/>
      <c r="FT6846"/>
      <c r="FU6846"/>
      <c r="FV6846"/>
      <c r="FW6846"/>
      <c r="FX6846"/>
      <c r="FY6846"/>
      <c r="FZ6846"/>
      <c r="GA6846"/>
      <c r="GB6846"/>
      <c r="GC6846"/>
      <c r="GD6846"/>
      <c r="GE6846"/>
      <c r="GF6846"/>
      <c r="GG6846"/>
      <c r="GH6846"/>
      <c r="GI6846"/>
      <c r="GJ6846"/>
      <c r="GK6846"/>
      <c r="GL6846"/>
      <c r="GM6846"/>
      <c r="GN6846"/>
      <c r="GO6846"/>
    </row>
    <row r="6847" spans="107:197">
      <c r="DC6847"/>
      <c r="FH6847"/>
      <c r="FI6847"/>
      <c r="FJ6847"/>
      <c r="FK6847"/>
      <c r="FL6847"/>
      <c r="FM6847"/>
      <c r="FN6847"/>
      <c r="FO6847"/>
      <c r="FP6847"/>
      <c r="FQ6847"/>
      <c r="FR6847"/>
      <c r="FS6847"/>
      <c r="FT6847"/>
      <c r="FU6847"/>
      <c r="FV6847"/>
      <c r="FW6847"/>
      <c r="FX6847"/>
      <c r="FY6847"/>
      <c r="FZ6847"/>
      <c r="GA6847"/>
      <c r="GB6847"/>
      <c r="GC6847"/>
      <c r="GD6847"/>
      <c r="GE6847"/>
      <c r="GF6847"/>
      <c r="GG6847"/>
      <c r="GH6847"/>
      <c r="GI6847"/>
      <c r="GJ6847"/>
      <c r="GK6847"/>
      <c r="GL6847"/>
      <c r="GM6847"/>
      <c r="GN6847"/>
      <c r="GO6847"/>
    </row>
    <row r="6848" spans="107:197">
      <c r="DC6848"/>
      <c r="FH6848"/>
      <c r="FI6848"/>
      <c r="FJ6848"/>
      <c r="FK6848"/>
      <c r="FL6848"/>
      <c r="FM6848"/>
      <c r="FN6848"/>
      <c r="FO6848"/>
      <c r="FP6848"/>
      <c r="FQ6848"/>
      <c r="FR6848"/>
      <c r="FS6848"/>
      <c r="FT6848"/>
      <c r="FU6848"/>
      <c r="FV6848"/>
      <c r="FW6848"/>
      <c r="FX6848"/>
      <c r="FY6848"/>
      <c r="FZ6848"/>
      <c r="GA6848"/>
      <c r="GB6848"/>
      <c r="GC6848"/>
      <c r="GD6848"/>
      <c r="GE6848"/>
      <c r="GF6848"/>
      <c r="GG6848"/>
      <c r="GH6848"/>
      <c r="GI6848"/>
      <c r="GJ6848"/>
      <c r="GK6848"/>
      <c r="GL6848"/>
      <c r="GM6848"/>
      <c r="GN6848"/>
      <c r="GO6848"/>
    </row>
    <row r="6849" spans="107:197">
      <c r="DC6849"/>
      <c r="FH6849"/>
      <c r="FI6849"/>
      <c r="FJ6849"/>
      <c r="FK6849"/>
      <c r="FL6849"/>
      <c r="FM6849"/>
      <c r="FN6849"/>
      <c r="FO6849"/>
      <c r="FP6849"/>
      <c r="FQ6849"/>
      <c r="FR6849"/>
      <c r="FS6849"/>
      <c r="FT6849"/>
      <c r="FU6849"/>
      <c r="FV6849"/>
      <c r="FW6849"/>
      <c r="FX6849"/>
      <c r="FY6849"/>
      <c r="FZ6849"/>
      <c r="GA6849"/>
      <c r="GB6849"/>
      <c r="GC6849"/>
      <c r="GD6849"/>
      <c r="GE6849"/>
      <c r="GF6849"/>
      <c r="GG6849"/>
      <c r="GH6849"/>
      <c r="GI6849"/>
      <c r="GJ6849"/>
      <c r="GK6849"/>
      <c r="GL6849"/>
      <c r="GM6849"/>
      <c r="GN6849"/>
      <c r="GO6849"/>
    </row>
    <row r="6850" spans="107:197">
      <c r="DC6850"/>
      <c r="FH6850"/>
      <c r="FI6850"/>
      <c r="FJ6850"/>
      <c r="FK6850"/>
      <c r="FL6850"/>
      <c r="FM6850"/>
      <c r="FN6850"/>
      <c r="FO6850"/>
      <c r="FP6850"/>
      <c r="FQ6850"/>
      <c r="FR6850"/>
      <c r="FS6850"/>
      <c r="FT6850"/>
      <c r="FU6850"/>
      <c r="FV6850"/>
      <c r="FW6850"/>
      <c r="FX6850"/>
      <c r="FY6850"/>
      <c r="FZ6850"/>
      <c r="GA6850"/>
      <c r="GB6850"/>
      <c r="GC6850"/>
      <c r="GD6850"/>
      <c r="GE6850"/>
      <c r="GF6850"/>
      <c r="GG6850"/>
      <c r="GH6850"/>
      <c r="GI6850"/>
      <c r="GJ6850"/>
      <c r="GK6850"/>
      <c r="GL6850"/>
      <c r="GM6850"/>
      <c r="GN6850"/>
      <c r="GO6850"/>
    </row>
    <row r="6851" spans="107:197">
      <c r="DC6851"/>
      <c r="FH6851"/>
      <c r="FI6851"/>
      <c r="FJ6851"/>
      <c r="FK6851"/>
      <c r="FL6851"/>
      <c r="FM6851"/>
      <c r="FN6851"/>
      <c r="FO6851"/>
      <c r="FP6851"/>
      <c r="FQ6851"/>
      <c r="FR6851"/>
      <c r="FS6851"/>
      <c r="FT6851"/>
      <c r="FU6851"/>
      <c r="FV6851"/>
      <c r="FW6851"/>
      <c r="FX6851"/>
      <c r="FY6851"/>
      <c r="FZ6851"/>
      <c r="GA6851"/>
      <c r="GB6851"/>
      <c r="GC6851"/>
      <c r="GD6851"/>
      <c r="GE6851"/>
      <c r="GF6851"/>
      <c r="GG6851"/>
      <c r="GH6851"/>
      <c r="GI6851"/>
      <c r="GJ6851"/>
      <c r="GK6851"/>
      <c r="GL6851"/>
      <c r="GM6851"/>
      <c r="GN6851"/>
      <c r="GO6851"/>
    </row>
    <row r="6852" spans="107:197">
      <c r="DC6852"/>
      <c r="FH6852"/>
      <c r="FI6852"/>
      <c r="FJ6852"/>
      <c r="FK6852"/>
      <c r="FL6852"/>
      <c r="FM6852"/>
      <c r="FN6852"/>
      <c r="FO6852"/>
      <c r="FP6852"/>
      <c r="FQ6852"/>
      <c r="FR6852"/>
      <c r="FS6852"/>
      <c r="FT6852"/>
      <c r="FU6852"/>
      <c r="FV6852"/>
      <c r="FW6852"/>
      <c r="FX6852"/>
      <c r="FY6852"/>
      <c r="FZ6852"/>
      <c r="GA6852"/>
      <c r="GB6852"/>
      <c r="GC6852"/>
      <c r="GD6852"/>
      <c r="GE6852"/>
      <c r="GF6852"/>
      <c r="GG6852"/>
      <c r="GH6852"/>
      <c r="GI6852"/>
      <c r="GJ6852"/>
      <c r="GK6852"/>
      <c r="GL6852"/>
      <c r="GM6852"/>
      <c r="GN6852"/>
      <c r="GO6852"/>
    </row>
    <row r="6853" spans="107:197">
      <c r="DC6853"/>
      <c r="FH6853"/>
      <c r="FI6853"/>
      <c r="FJ6853"/>
      <c r="FK6853"/>
      <c r="FL6853"/>
      <c r="FM6853"/>
      <c r="FN6853"/>
      <c r="FO6853"/>
      <c r="FP6853"/>
      <c r="FQ6853"/>
      <c r="FR6853"/>
      <c r="FS6853"/>
      <c r="FT6853"/>
      <c r="FU6853"/>
      <c r="FV6853"/>
      <c r="FW6853"/>
      <c r="FX6853"/>
      <c r="FY6853"/>
      <c r="FZ6853"/>
      <c r="GA6853"/>
      <c r="GB6853"/>
      <c r="GC6853"/>
      <c r="GD6853"/>
      <c r="GE6853"/>
      <c r="GF6853"/>
      <c r="GG6853"/>
      <c r="GH6853"/>
      <c r="GI6853"/>
      <c r="GJ6853"/>
      <c r="GK6853"/>
      <c r="GL6853"/>
      <c r="GM6853"/>
      <c r="GN6853"/>
      <c r="GO6853"/>
    </row>
    <row r="6854" spans="107:197">
      <c r="DC6854"/>
      <c r="FH6854"/>
      <c r="FI6854"/>
      <c r="FJ6854"/>
      <c r="FK6854"/>
      <c r="FL6854"/>
      <c r="FM6854"/>
      <c r="FN6854"/>
      <c r="FO6854"/>
      <c r="FP6854"/>
      <c r="FQ6854"/>
      <c r="FR6854"/>
      <c r="FS6854"/>
      <c r="FT6854"/>
      <c r="FU6854"/>
      <c r="FV6854"/>
      <c r="FW6854"/>
      <c r="FX6854"/>
      <c r="FY6854"/>
      <c r="FZ6854"/>
      <c r="GA6854"/>
      <c r="GB6854"/>
      <c r="GC6854"/>
      <c r="GD6854"/>
      <c r="GE6854"/>
      <c r="GF6854"/>
      <c r="GG6854"/>
      <c r="GH6854"/>
      <c r="GI6854"/>
      <c r="GJ6854"/>
      <c r="GK6854"/>
      <c r="GL6854"/>
      <c r="GM6854"/>
      <c r="GN6854"/>
      <c r="GO6854"/>
    </row>
    <row r="6855" spans="107:197">
      <c r="DC6855"/>
      <c r="FH6855"/>
      <c r="FI6855"/>
      <c r="FJ6855"/>
      <c r="FK6855"/>
      <c r="FL6855"/>
      <c r="FM6855"/>
      <c r="FN6855"/>
      <c r="FO6855"/>
      <c r="FP6855"/>
      <c r="FQ6855"/>
      <c r="FR6855"/>
      <c r="FS6855"/>
      <c r="FT6855"/>
      <c r="FU6855"/>
      <c r="FV6855"/>
      <c r="FW6855"/>
      <c r="FX6855"/>
      <c r="FY6855"/>
      <c r="FZ6855"/>
      <c r="GA6855"/>
      <c r="GB6855"/>
      <c r="GC6855"/>
      <c r="GD6855"/>
      <c r="GE6855"/>
      <c r="GF6855"/>
      <c r="GG6855"/>
      <c r="GH6855"/>
      <c r="GI6855"/>
      <c r="GJ6855"/>
      <c r="GK6855"/>
      <c r="GL6855"/>
      <c r="GM6855"/>
      <c r="GN6855"/>
      <c r="GO6855"/>
    </row>
    <row r="6856" spans="107:197">
      <c r="DC6856"/>
      <c r="FH6856"/>
      <c r="FI6856"/>
      <c r="FJ6856"/>
      <c r="FK6856"/>
      <c r="FL6856"/>
      <c r="FM6856"/>
      <c r="FN6856"/>
      <c r="FO6856"/>
      <c r="FP6856"/>
      <c r="FQ6856"/>
      <c r="FR6856"/>
      <c r="FS6856"/>
      <c r="FT6856"/>
      <c r="FU6856"/>
      <c r="FV6856"/>
      <c r="FW6856"/>
      <c r="FX6856"/>
      <c r="FY6856"/>
      <c r="FZ6856"/>
      <c r="GA6856"/>
      <c r="GB6856"/>
      <c r="GC6856"/>
      <c r="GD6856"/>
      <c r="GE6856"/>
      <c r="GF6856"/>
      <c r="GG6856"/>
      <c r="GH6856"/>
      <c r="GI6856"/>
      <c r="GJ6856"/>
      <c r="GK6856"/>
      <c r="GL6856"/>
      <c r="GM6856"/>
      <c r="GN6856"/>
      <c r="GO6856"/>
    </row>
    <row r="6857" spans="107:197">
      <c r="DC6857"/>
      <c r="FH6857"/>
      <c r="FI6857"/>
      <c r="FJ6857"/>
      <c r="FK6857"/>
      <c r="FL6857"/>
      <c r="FM6857"/>
      <c r="FN6857"/>
      <c r="FO6857"/>
      <c r="FP6857"/>
      <c r="FQ6857"/>
      <c r="FR6857"/>
      <c r="FS6857"/>
      <c r="FT6857"/>
      <c r="FU6857"/>
      <c r="FV6857"/>
      <c r="FW6857"/>
      <c r="FX6857"/>
      <c r="FY6857"/>
      <c r="FZ6857"/>
      <c r="GA6857"/>
      <c r="GB6857"/>
      <c r="GC6857"/>
      <c r="GD6857"/>
      <c r="GE6857"/>
      <c r="GF6857"/>
      <c r="GG6857"/>
      <c r="GH6857"/>
      <c r="GI6857"/>
      <c r="GJ6857"/>
      <c r="GK6857"/>
      <c r="GL6857"/>
      <c r="GM6857"/>
      <c r="GN6857"/>
      <c r="GO6857"/>
    </row>
    <row r="6858" spans="107:197">
      <c r="DC6858"/>
      <c r="FH6858"/>
      <c r="FI6858"/>
      <c r="FJ6858"/>
      <c r="FK6858"/>
      <c r="FL6858"/>
      <c r="FM6858"/>
      <c r="FN6858"/>
      <c r="FO6858"/>
      <c r="FP6858"/>
      <c r="FQ6858"/>
      <c r="FR6858"/>
      <c r="FS6858"/>
      <c r="FT6858"/>
      <c r="FU6858"/>
      <c r="FV6858"/>
      <c r="FW6858"/>
      <c r="FX6858"/>
      <c r="FY6858"/>
      <c r="FZ6858"/>
      <c r="GA6858"/>
      <c r="GB6858"/>
      <c r="GC6858"/>
      <c r="GD6858"/>
      <c r="GE6858"/>
      <c r="GF6858"/>
      <c r="GG6858"/>
      <c r="GH6858"/>
      <c r="GI6858"/>
      <c r="GJ6858"/>
      <c r="GK6858"/>
      <c r="GL6858"/>
      <c r="GM6858"/>
      <c r="GN6858"/>
      <c r="GO6858"/>
    </row>
    <row r="6859" spans="107:197">
      <c r="DC6859"/>
      <c r="FH6859"/>
      <c r="FI6859"/>
      <c r="FJ6859"/>
      <c r="FK6859"/>
      <c r="FL6859"/>
      <c r="FM6859"/>
      <c r="FN6859"/>
      <c r="FO6859"/>
      <c r="FP6859"/>
      <c r="FQ6859"/>
      <c r="FR6859"/>
      <c r="FS6859"/>
      <c r="FT6859"/>
      <c r="FU6859"/>
      <c r="FV6859"/>
      <c r="FW6859"/>
      <c r="FX6859"/>
      <c r="FY6859"/>
      <c r="FZ6859"/>
      <c r="GA6859"/>
      <c r="GB6859"/>
      <c r="GC6859"/>
      <c r="GD6859"/>
      <c r="GE6859"/>
      <c r="GF6859"/>
      <c r="GG6859"/>
      <c r="GH6859"/>
      <c r="GI6859"/>
      <c r="GJ6859"/>
      <c r="GK6859"/>
      <c r="GL6859"/>
      <c r="GM6859"/>
      <c r="GN6859"/>
      <c r="GO6859"/>
    </row>
    <row r="6860" spans="107:197">
      <c r="DC6860"/>
      <c r="FH6860"/>
      <c r="FI6860"/>
      <c r="FJ6860"/>
      <c r="FK6860"/>
      <c r="FL6860"/>
      <c r="FM6860"/>
      <c r="FN6860"/>
      <c r="FO6860"/>
      <c r="FP6860"/>
      <c r="FQ6860"/>
      <c r="FR6860"/>
      <c r="FS6860"/>
      <c r="FT6860"/>
      <c r="FU6860"/>
      <c r="FV6860"/>
      <c r="FW6860"/>
      <c r="FX6860"/>
      <c r="FY6860"/>
      <c r="FZ6860"/>
      <c r="GA6860"/>
      <c r="GB6860"/>
      <c r="GC6860"/>
      <c r="GD6860"/>
      <c r="GE6860"/>
      <c r="GF6860"/>
      <c r="GG6860"/>
      <c r="GH6860"/>
      <c r="GI6860"/>
      <c r="GJ6860"/>
      <c r="GK6860"/>
      <c r="GL6860"/>
      <c r="GM6860"/>
      <c r="GN6860"/>
      <c r="GO6860"/>
    </row>
    <row r="6861" spans="107:197">
      <c r="DC6861"/>
      <c r="FH6861"/>
      <c r="FI6861"/>
      <c r="FJ6861"/>
      <c r="FK6861"/>
      <c r="FL6861"/>
      <c r="FM6861"/>
      <c r="FN6861"/>
      <c r="FO6861"/>
      <c r="FP6861"/>
      <c r="FQ6861"/>
      <c r="FR6861"/>
      <c r="FS6861"/>
      <c r="FT6861"/>
      <c r="FU6861"/>
      <c r="FV6861"/>
      <c r="FW6861"/>
      <c r="FX6861"/>
      <c r="FY6861"/>
      <c r="FZ6861"/>
      <c r="GA6861"/>
      <c r="GB6861"/>
      <c r="GC6861"/>
      <c r="GD6861"/>
      <c r="GE6861"/>
      <c r="GF6861"/>
      <c r="GG6861"/>
      <c r="GH6861"/>
      <c r="GI6861"/>
      <c r="GJ6861"/>
      <c r="GK6861"/>
      <c r="GL6861"/>
      <c r="GM6861"/>
      <c r="GN6861"/>
      <c r="GO6861"/>
    </row>
    <row r="6862" spans="107:197">
      <c r="DC6862"/>
      <c r="FH6862"/>
      <c r="FI6862"/>
      <c r="FJ6862"/>
      <c r="FK6862"/>
      <c r="FL6862"/>
      <c r="FM6862"/>
      <c r="FN6862"/>
      <c r="FO6862"/>
      <c r="FP6862"/>
      <c r="FQ6862"/>
      <c r="FR6862"/>
      <c r="FS6862"/>
      <c r="FT6862"/>
      <c r="FU6862"/>
      <c r="FV6862"/>
      <c r="FW6862"/>
      <c r="FX6862"/>
      <c r="FY6862"/>
      <c r="FZ6862"/>
      <c r="GA6862"/>
      <c r="GB6862"/>
      <c r="GC6862"/>
      <c r="GD6862"/>
      <c r="GE6862"/>
      <c r="GF6862"/>
      <c r="GG6862"/>
      <c r="GH6862"/>
      <c r="GI6862"/>
      <c r="GJ6862"/>
      <c r="GK6862"/>
      <c r="GL6862"/>
      <c r="GM6862"/>
      <c r="GN6862"/>
      <c r="GO6862"/>
    </row>
    <row r="6863" spans="107:197">
      <c r="DC6863"/>
      <c r="FH6863"/>
      <c r="FI6863"/>
      <c r="FJ6863"/>
      <c r="FK6863"/>
      <c r="FL6863"/>
      <c r="FM6863"/>
      <c r="FN6863"/>
      <c r="FO6863"/>
      <c r="FP6863"/>
      <c r="FQ6863"/>
      <c r="FR6863"/>
      <c r="FS6863"/>
      <c r="FT6863"/>
      <c r="FU6863"/>
      <c r="FV6863"/>
      <c r="FW6863"/>
      <c r="FX6863"/>
      <c r="FY6863"/>
      <c r="FZ6863"/>
      <c r="GA6863"/>
      <c r="GB6863"/>
      <c r="GC6863"/>
      <c r="GD6863"/>
      <c r="GE6863"/>
      <c r="GF6863"/>
      <c r="GG6863"/>
      <c r="GH6863"/>
      <c r="GI6863"/>
      <c r="GJ6863"/>
      <c r="GK6863"/>
      <c r="GL6863"/>
      <c r="GM6863"/>
      <c r="GN6863"/>
      <c r="GO6863"/>
    </row>
    <row r="6864" spans="107:197">
      <c r="DC6864"/>
      <c r="FH6864"/>
      <c r="FI6864"/>
      <c r="FJ6864"/>
      <c r="FK6864"/>
      <c r="FL6864"/>
      <c r="FM6864"/>
      <c r="FN6864"/>
      <c r="FO6864"/>
      <c r="FP6864"/>
      <c r="FQ6864"/>
      <c r="FR6864"/>
      <c r="FS6864"/>
      <c r="FT6864"/>
      <c r="FU6864"/>
      <c r="FV6864"/>
      <c r="FW6864"/>
      <c r="FX6864"/>
      <c r="FY6864"/>
      <c r="FZ6864"/>
      <c r="GA6864"/>
      <c r="GB6864"/>
      <c r="GC6864"/>
      <c r="GD6864"/>
      <c r="GE6864"/>
      <c r="GF6864"/>
      <c r="GG6864"/>
      <c r="GH6864"/>
      <c r="GI6864"/>
      <c r="GJ6864"/>
      <c r="GK6864"/>
      <c r="GL6864"/>
      <c r="GM6864"/>
      <c r="GN6864"/>
      <c r="GO6864"/>
    </row>
    <row r="6865" spans="107:197">
      <c r="DC6865"/>
      <c r="FH6865"/>
      <c r="FI6865"/>
      <c r="FJ6865"/>
      <c r="FK6865"/>
      <c r="FL6865"/>
      <c r="FM6865"/>
      <c r="FN6865"/>
      <c r="FO6865"/>
      <c r="FP6865"/>
      <c r="FQ6865"/>
      <c r="FR6865"/>
      <c r="FS6865"/>
      <c r="FT6865"/>
      <c r="FU6865"/>
      <c r="FV6865"/>
      <c r="FW6865"/>
      <c r="FX6865"/>
      <c r="FY6865"/>
      <c r="FZ6865"/>
      <c r="GA6865"/>
      <c r="GB6865"/>
      <c r="GC6865"/>
      <c r="GD6865"/>
      <c r="GE6865"/>
      <c r="GF6865"/>
      <c r="GG6865"/>
      <c r="GH6865"/>
      <c r="GI6865"/>
      <c r="GJ6865"/>
      <c r="GK6865"/>
      <c r="GL6865"/>
      <c r="GM6865"/>
      <c r="GN6865"/>
      <c r="GO6865"/>
    </row>
    <row r="6866" spans="107:197">
      <c r="DC6866"/>
      <c r="FH6866"/>
      <c r="FI6866"/>
      <c r="FJ6866"/>
      <c r="FK6866"/>
      <c r="FL6866"/>
      <c r="FM6866"/>
      <c r="FN6866"/>
      <c r="FO6866"/>
      <c r="FP6866"/>
      <c r="FQ6866"/>
      <c r="FR6866"/>
      <c r="FS6866"/>
      <c r="FT6866"/>
      <c r="FU6866"/>
      <c r="FV6866"/>
      <c r="FW6866"/>
      <c r="FX6866"/>
      <c r="FY6866"/>
      <c r="FZ6866"/>
      <c r="GA6866"/>
      <c r="GB6866"/>
      <c r="GC6866"/>
      <c r="GD6866"/>
      <c r="GE6866"/>
      <c r="GF6866"/>
      <c r="GG6866"/>
      <c r="GH6866"/>
      <c r="GI6866"/>
      <c r="GJ6866"/>
      <c r="GK6866"/>
      <c r="GL6866"/>
      <c r="GM6866"/>
      <c r="GN6866"/>
      <c r="GO6866"/>
    </row>
    <row r="6867" spans="107:197">
      <c r="DC6867"/>
      <c r="FH6867"/>
      <c r="FI6867"/>
      <c r="FJ6867"/>
      <c r="FK6867"/>
      <c r="FL6867"/>
      <c r="FM6867"/>
      <c r="FN6867"/>
      <c r="FO6867"/>
      <c r="FP6867"/>
      <c r="FQ6867"/>
      <c r="FR6867"/>
      <c r="FS6867"/>
      <c r="FT6867"/>
      <c r="FU6867"/>
      <c r="FV6867"/>
      <c r="FW6867"/>
      <c r="FX6867"/>
      <c r="FY6867"/>
      <c r="FZ6867"/>
      <c r="GA6867"/>
      <c r="GB6867"/>
      <c r="GC6867"/>
      <c r="GD6867"/>
      <c r="GE6867"/>
      <c r="GF6867"/>
      <c r="GG6867"/>
      <c r="GH6867"/>
      <c r="GI6867"/>
      <c r="GJ6867"/>
      <c r="GK6867"/>
      <c r="GL6867"/>
      <c r="GM6867"/>
      <c r="GN6867"/>
      <c r="GO6867"/>
    </row>
    <row r="6868" spans="107:197">
      <c r="DC6868"/>
      <c r="FH6868"/>
      <c r="FI6868"/>
      <c r="FJ6868"/>
      <c r="FK6868"/>
      <c r="FL6868"/>
      <c r="FM6868"/>
      <c r="FN6868"/>
      <c r="FO6868"/>
      <c r="FP6868"/>
      <c r="FQ6868"/>
      <c r="FR6868"/>
      <c r="FS6868"/>
      <c r="FT6868"/>
      <c r="FU6868"/>
      <c r="FV6868"/>
      <c r="FW6868"/>
      <c r="FX6868"/>
      <c r="FY6868"/>
      <c r="FZ6868"/>
      <c r="GA6868"/>
      <c r="GB6868"/>
      <c r="GC6868"/>
      <c r="GD6868"/>
      <c r="GE6868"/>
      <c r="GF6868"/>
      <c r="GG6868"/>
      <c r="GH6868"/>
      <c r="GI6868"/>
      <c r="GJ6868"/>
      <c r="GK6868"/>
      <c r="GL6868"/>
      <c r="GM6868"/>
      <c r="GN6868"/>
      <c r="GO6868"/>
    </row>
    <row r="6869" spans="107:197">
      <c r="DC6869"/>
      <c r="FH6869"/>
      <c r="FI6869"/>
      <c r="FJ6869"/>
      <c r="FK6869"/>
      <c r="FL6869"/>
      <c r="FM6869"/>
      <c r="FN6869"/>
      <c r="FO6869"/>
      <c r="FP6869"/>
      <c r="FQ6869"/>
      <c r="FR6869"/>
      <c r="FS6869"/>
      <c r="FT6869"/>
      <c r="FU6869"/>
      <c r="FV6869"/>
      <c r="FW6869"/>
      <c r="FX6869"/>
      <c r="FY6869"/>
      <c r="FZ6869"/>
      <c r="GA6869"/>
      <c r="GB6869"/>
      <c r="GC6869"/>
      <c r="GD6869"/>
      <c r="GE6869"/>
      <c r="GF6869"/>
      <c r="GG6869"/>
      <c r="GH6869"/>
      <c r="GI6869"/>
      <c r="GJ6869"/>
      <c r="GK6869"/>
      <c r="GL6869"/>
      <c r="GM6869"/>
      <c r="GN6869"/>
      <c r="GO6869"/>
    </row>
    <row r="6870" spans="107:197">
      <c r="DC6870"/>
      <c r="FH6870"/>
      <c r="FI6870"/>
      <c r="FJ6870"/>
      <c r="FK6870"/>
      <c r="FL6870"/>
      <c r="FM6870"/>
      <c r="FN6870"/>
      <c r="FO6870"/>
      <c r="FP6870"/>
      <c r="FQ6870"/>
      <c r="FR6870"/>
      <c r="FS6870"/>
      <c r="FT6870"/>
      <c r="FU6870"/>
      <c r="FV6870"/>
      <c r="FW6870"/>
      <c r="FX6870"/>
      <c r="FY6870"/>
      <c r="FZ6870"/>
      <c r="GA6870"/>
      <c r="GB6870"/>
      <c r="GC6870"/>
      <c r="GD6870"/>
      <c r="GE6870"/>
      <c r="GF6870"/>
      <c r="GG6870"/>
      <c r="GH6870"/>
      <c r="GI6870"/>
      <c r="GJ6870"/>
      <c r="GK6870"/>
      <c r="GL6870"/>
      <c r="GM6870"/>
      <c r="GN6870"/>
      <c r="GO6870"/>
    </row>
    <row r="6871" spans="107:197">
      <c r="DC6871"/>
      <c r="FH6871"/>
      <c r="FI6871"/>
      <c r="FJ6871"/>
      <c r="FK6871"/>
      <c r="FL6871"/>
      <c r="FM6871"/>
      <c r="FN6871"/>
      <c r="FO6871"/>
      <c r="FP6871"/>
      <c r="FQ6871"/>
      <c r="FR6871"/>
      <c r="FS6871"/>
      <c r="FT6871"/>
      <c r="FU6871"/>
      <c r="FV6871"/>
      <c r="FW6871"/>
      <c r="FX6871"/>
      <c r="FY6871"/>
      <c r="FZ6871"/>
      <c r="GA6871"/>
      <c r="GB6871"/>
      <c r="GC6871"/>
      <c r="GD6871"/>
      <c r="GE6871"/>
      <c r="GF6871"/>
      <c r="GG6871"/>
      <c r="GH6871"/>
      <c r="GI6871"/>
      <c r="GJ6871"/>
      <c r="GK6871"/>
      <c r="GL6871"/>
      <c r="GM6871"/>
      <c r="GN6871"/>
      <c r="GO6871"/>
    </row>
    <row r="6872" spans="107:197">
      <c r="DC6872"/>
      <c r="FH6872"/>
      <c r="FI6872"/>
      <c r="FJ6872"/>
      <c r="FK6872"/>
      <c r="FL6872"/>
      <c r="FM6872"/>
      <c r="FN6872"/>
      <c r="FO6872"/>
      <c r="FP6872"/>
      <c r="FQ6872"/>
      <c r="FR6872"/>
      <c r="FS6872"/>
      <c r="FT6872"/>
      <c r="FU6872"/>
      <c r="FV6872"/>
      <c r="FW6872"/>
      <c r="FX6872"/>
      <c r="FY6872"/>
      <c r="FZ6872"/>
      <c r="GA6872"/>
      <c r="GB6872"/>
      <c r="GC6872"/>
      <c r="GD6872"/>
      <c r="GE6872"/>
      <c r="GF6872"/>
      <c r="GG6872"/>
      <c r="GH6872"/>
      <c r="GI6872"/>
      <c r="GJ6872"/>
      <c r="GK6872"/>
      <c r="GL6872"/>
      <c r="GM6872"/>
      <c r="GN6872"/>
      <c r="GO6872"/>
    </row>
    <row r="6873" spans="107:197">
      <c r="DC6873"/>
      <c r="FH6873"/>
      <c r="FI6873"/>
      <c r="FJ6873"/>
      <c r="FK6873"/>
      <c r="FL6873"/>
      <c r="FM6873"/>
      <c r="FN6873"/>
      <c r="FO6873"/>
      <c r="FP6873"/>
      <c r="FQ6873"/>
      <c r="FR6873"/>
      <c r="FS6873"/>
      <c r="FT6873"/>
      <c r="FU6873"/>
      <c r="FV6873"/>
      <c r="FW6873"/>
      <c r="FX6873"/>
      <c r="FY6873"/>
      <c r="FZ6873"/>
      <c r="GA6873"/>
      <c r="GB6873"/>
      <c r="GC6873"/>
      <c r="GD6873"/>
      <c r="GE6873"/>
      <c r="GF6873"/>
      <c r="GG6873"/>
      <c r="GH6873"/>
      <c r="GI6873"/>
      <c r="GJ6873"/>
      <c r="GK6873"/>
      <c r="GL6873"/>
      <c r="GM6873"/>
      <c r="GN6873"/>
      <c r="GO6873"/>
    </row>
    <row r="6874" spans="107:197">
      <c r="DC6874"/>
      <c r="FH6874"/>
      <c r="FI6874"/>
      <c r="FJ6874"/>
      <c r="FK6874"/>
      <c r="FL6874"/>
      <c r="FM6874"/>
      <c r="FN6874"/>
      <c r="FO6874"/>
      <c r="FP6874"/>
      <c r="FQ6874"/>
      <c r="FR6874"/>
      <c r="FS6874"/>
      <c r="FT6874"/>
      <c r="FU6874"/>
      <c r="FV6874"/>
      <c r="FW6874"/>
      <c r="FX6874"/>
      <c r="FY6874"/>
      <c r="FZ6874"/>
      <c r="GA6874"/>
      <c r="GB6874"/>
      <c r="GC6874"/>
      <c r="GD6874"/>
      <c r="GE6874"/>
      <c r="GF6874"/>
      <c r="GG6874"/>
      <c r="GH6874"/>
      <c r="GI6874"/>
      <c r="GJ6874"/>
      <c r="GK6874"/>
      <c r="GL6874"/>
      <c r="GM6874"/>
      <c r="GN6874"/>
      <c r="GO6874"/>
    </row>
    <row r="6875" spans="107:197">
      <c r="DC6875"/>
      <c r="FH6875"/>
      <c r="FI6875"/>
      <c r="FJ6875"/>
      <c r="FK6875"/>
      <c r="FL6875"/>
      <c r="FM6875"/>
      <c r="FN6875"/>
      <c r="FO6875"/>
      <c r="FP6875"/>
      <c r="FQ6875"/>
      <c r="FR6875"/>
      <c r="FS6875"/>
      <c r="FT6875"/>
      <c r="FU6875"/>
      <c r="FV6875"/>
      <c r="FW6875"/>
      <c r="FX6875"/>
      <c r="FY6875"/>
      <c r="FZ6875"/>
      <c r="GA6875"/>
      <c r="GB6875"/>
      <c r="GC6875"/>
      <c r="GD6875"/>
      <c r="GE6875"/>
      <c r="GF6875"/>
      <c r="GG6875"/>
      <c r="GH6875"/>
      <c r="GI6875"/>
      <c r="GJ6875"/>
      <c r="GK6875"/>
      <c r="GL6875"/>
      <c r="GM6875"/>
      <c r="GN6875"/>
      <c r="GO6875"/>
    </row>
    <row r="6876" spans="107:197">
      <c r="DC6876"/>
      <c r="FH6876"/>
      <c r="FI6876"/>
      <c r="FJ6876"/>
      <c r="FK6876"/>
      <c r="FL6876"/>
      <c r="FM6876"/>
      <c r="FN6876"/>
      <c r="FO6876"/>
      <c r="FP6876"/>
      <c r="FQ6876"/>
      <c r="FR6876"/>
      <c r="FS6876"/>
      <c r="FT6876"/>
      <c r="FU6876"/>
      <c r="FV6876"/>
      <c r="FW6876"/>
      <c r="FX6876"/>
      <c r="FY6876"/>
      <c r="FZ6876"/>
      <c r="GA6876"/>
      <c r="GB6876"/>
      <c r="GC6876"/>
      <c r="GD6876"/>
      <c r="GE6876"/>
      <c r="GF6876"/>
      <c r="GG6876"/>
      <c r="GH6876"/>
      <c r="GI6876"/>
      <c r="GJ6876"/>
      <c r="GK6876"/>
      <c r="GL6876"/>
      <c r="GM6876"/>
      <c r="GN6876"/>
      <c r="GO6876"/>
    </row>
    <row r="6877" spans="107:197">
      <c r="DC6877"/>
      <c r="FH6877"/>
      <c r="FI6877"/>
      <c r="FJ6877"/>
      <c r="FK6877"/>
      <c r="FL6877"/>
      <c r="FM6877"/>
      <c r="FN6877"/>
      <c r="FO6877"/>
      <c r="FP6877"/>
      <c r="FQ6877"/>
      <c r="FR6877"/>
      <c r="FS6877"/>
      <c r="FT6877"/>
      <c r="FU6877"/>
      <c r="FV6877"/>
      <c r="FW6877"/>
      <c r="FX6877"/>
      <c r="FY6877"/>
      <c r="FZ6877"/>
      <c r="GA6877"/>
      <c r="GB6877"/>
      <c r="GC6877"/>
      <c r="GD6877"/>
      <c r="GE6877"/>
      <c r="GF6877"/>
      <c r="GG6877"/>
      <c r="GH6877"/>
      <c r="GI6877"/>
      <c r="GJ6877"/>
      <c r="GK6877"/>
      <c r="GL6877"/>
      <c r="GM6877"/>
      <c r="GN6877"/>
      <c r="GO6877"/>
    </row>
    <row r="6878" spans="107:197">
      <c r="DC6878"/>
      <c r="FH6878"/>
      <c r="FI6878"/>
      <c r="FJ6878"/>
      <c r="FK6878"/>
      <c r="FL6878"/>
      <c r="FM6878"/>
      <c r="FN6878"/>
      <c r="FO6878"/>
      <c r="FP6878"/>
      <c r="FQ6878"/>
      <c r="FR6878"/>
      <c r="FS6878"/>
      <c r="FT6878"/>
      <c r="FU6878"/>
      <c r="FV6878"/>
      <c r="FW6878"/>
      <c r="FX6878"/>
      <c r="FY6878"/>
      <c r="FZ6878"/>
      <c r="GA6878"/>
      <c r="GB6878"/>
      <c r="GC6878"/>
      <c r="GD6878"/>
      <c r="GE6878"/>
      <c r="GF6878"/>
      <c r="GG6878"/>
      <c r="GH6878"/>
      <c r="GI6878"/>
      <c r="GJ6878"/>
      <c r="GK6878"/>
      <c r="GL6878"/>
      <c r="GM6878"/>
      <c r="GN6878"/>
      <c r="GO6878"/>
    </row>
    <row r="6879" spans="107:197">
      <c r="DC6879"/>
      <c r="FH6879"/>
      <c r="FI6879"/>
      <c r="FJ6879"/>
      <c r="FK6879"/>
      <c r="FL6879"/>
      <c r="FM6879"/>
      <c r="FN6879"/>
      <c r="FO6879"/>
      <c r="FP6879"/>
      <c r="FQ6879"/>
      <c r="FR6879"/>
      <c r="FS6879"/>
      <c r="FT6879"/>
      <c r="FU6879"/>
      <c r="FV6879"/>
      <c r="FW6879"/>
      <c r="FX6879"/>
      <c r="FY6879"/>
      <c r="FZ6879"/>
      <c r="GA6879"/>
      <c r="GB6879"/>
      <c r="GC6879"/>
      <c r="GD6879"/>
      <c r="GE6879"/>
      <c r="GF6879"/>
      <c r="GG6879"/>
      <c r="GH6879"/>
      <c r="GI6879"/>
      <c r="GJ6879"/>
      <c r="GK6879"/>
      <c r="GL6879"/>
      <c r="GM6879"/>
      <c r="GN6879"/>
      <c r="GO6879"/>
    </row>
    <row r="6880" spans="107:197">
      <c r="DC6880"/>
      <c r="FH6880"/>
      <c r="FI6880"/>
      <c r="FJ6880"/>
      <c r="FK6880"/>
      <c r="FL6880"/>
      <c r="FM6880"/>
      <c r="FN6880"/>
      <c r="FO6880"/>
      <c r="FP6880"/>
      <c r="FQ6880"/>
      <c r="FR6880"/>
      <c r="FS6880"/>
      <c r="FT6880"/>
      <c r="FU6880"/>
      <c r="FV6880"/>
      <c r="FW6880"/>
      <c r="FX6880"/>
      <c r="FY6880"/>
      <c r="FZ6880"/>
      <c r="GA6880"/>
      <c r="GB6880"/>
      <c r="GC6880"/>
      <c r="GD6880"/>
      <c r="GE6880"/>
      <c r="GF6880"/>
      <c r="GG6880"/>
      <c r="GH6880"/>
      <c r="GI6880"/>
      <c r="GJ6880"/>
      <c r="GK6880"/>
      <c r="GL6880"/>
      <c r="GM6880"/>
      <c r="GN6880"/>
      <c r="GO6880"/>
    </row>
    <row r="6881" spans="107:197">
      <c r="DC6881"/>
      <c r="FH6881"/>
      <c r="FI6881"/>
      <c r="FJ6881"/>
      <c r="FK6881"/>
      <c r="FL6881"/>
      <c r="FM6881"/>
      <c r="FN6881"/>
      <c r="FO6881"/>
      <c r="FP6881"/>
      <c r="FQ6881"/>
      <c r="FR6881"/>
      <c r="FS6881"/>
      <c r="FT6881"/>
      <c r="FU6881"/>
      <c r="FV6881"/>
      <c r="FW6881"/>
      <c r="FX6881"/>
      <c r="FY6881"/>
      <c r="FZ6881"/>
      <c r="GA6881"/>
      <c r="GB6881"/>
      <c r="GC6881"/>
      <c r="GD6881"/>
      <c r="GE6881"/>
      <c r="GF6881"/>
      <c r="GG6881"/>
      <c r="GH6881"/>
      <c r="GI6881"/>
      <c r="GJ6881"/>
      <c r="GK6881"/>
      <c r="GL6881"/>
      <c r="GM6881"/>
      <c r="GN6881"/>
      <c r="GO6881"/>
    </row>
    <row r="6882" spans="107:197">
      <c r="DC6882"/>
      <c r="FH6882"/>
      <c r="FI6882"/>
      <c r="FJ6882"/>
      <c r="FK6882"/>
      <c r="FL6882"/>
      <c r="FM6882"/>
      <c r="FN6882"/>
      <c r="FO6882"/>
      <c r="FP6882"/>
      <c r="FQ6882"/>
      <c r="FR6882"/>
      <c r="FS6882"/>
      <c r="FT6882"/>
      <c r="FU6882"/>
      <c r="FV6882"/>
      <c r="FW6882"/>
      <c r="FX6882"/>
      <c r="FY6882"/>
      <c r="FZ6882"/>
      <c r="GA6882"/>
      <c r="GB6882"/>
      <c r="GC6882"/>
      <c r="GD6882"/>
      <c r="GE6882"/>
      <c r="GF6882"/>
      <c r="GG6882"/>
      <c r="GH6882"/>
      <c r="GI6882"/>
      <c r="GJ6882"/>
      <c r="GK6882"/>
      <c r="GL6882"/>
      <c r="GM6882"/>
      <c r="GN6882"/>
      <c r="GO6882"/>
    </row>
    <row r="6883" spans="107:197">
      <c r="DC6883"/>
      <c r="FH6883"/>
      <c r="FI6883"/>
      <c r="FJ6883"/>
      <c r="FK6883"/>
      <c r="FL6883"/>
      <c r="FM6883"/>
      <c r="FN6883"/>
      <c r="FO6883"/>
      <c r="FP6883"/>
      <c r="FQ6883"/>
      <c r="FR6883"/>
      <c r="FS6883"/>
      <c r="FT6883"/>
      <c r="FU6883"/>
      <c r="FV6883"/>
      <c r="FW6883"/>
      <c r="FX6883"/>
      <c r="FY6883"/>
      <c r="FZ6883"/>
      <c r="GA6883"/>
      <c r="GB6883"/>
      <c r="GC6883"/>
      <c r="GD6883"/>
      <c r="GE6883"/>
      <c r="GF6883"/>
      <c r="GG6883"/>
      <c r="GH6883"/>
      <c r="GI6883"/>
      <c r="GJ6883"/>
      <c r="GK6883"/>
      <c r="GL6883"/>
      <c r="GM6883"/>
      <c r="GN6883"/>
      <c r="GO6883"/>
    </row>
    <row r="6884" spans="107:197">
      <c r="DC6884"/>
      <c r="FH6884"/>
      <c r="FI6884"/>
      <c r="FJ6884"/>
      <c r="FK6884"/>
      <c r="FL6884"/>
      <c r="FM6884"/>
      <c r="FN6884"/>
      <c r="FO6884"/>
      <c r="FP6884"/>
      <c r="FQ6884"/>
      <c r="FR6884"/>
      <c r="FS6884"/>
      <c r="FT6884"/>
      <c r="FU6884"/>
      <c r="FV6884"/>
      <c r="FW6884"/>
      <c r="FX6884"/>
      <c r="FY6884"/>
      <c r="FZ6884"/>
      <c r="GA6884"/>
      <c r="GB6884"/>
      <c r="GC6884"/>
      <c r="GD6884"/>
      <c r="GE6884"/>
      <c r="GF6884"/>
      <c r="GG6884"/>
      <c r="GH6884"/>
      <c r="GI6884"/>
      <c r="GJ6884"/>
      <c r="GK6884"/>
      <c r="GL6884"/>
      <c r="GM6884"/>
      <c r="GN6884"/>
      <c r="GO6884"/>
    </row>
    <row r="6885" spans="107:197">
      <c r="DC6885"/>
      <c r="FH6885"/>
      <c r="FI6885"/>
      <c r="FJ6885"/>
      <c r="FK6885"/>
      <c r="FL6885"/>
      <c r="FM6885"/>
      <c r="FN6885"/>
      <c r="FO6885"/>
      <c r="FP6885"/>
      <c r="FQ6885"/>
      <c r="FR6885"/>
      <c r="FS6885"/>
      <c r="FT6885"/>
      <c r="FU6885"/>
      <c r="FV6885"/>
      <c r="FW6885"/>
      <c r="FX6885"/>
      <c r="FY6885"/>
      <c r="FZ6885"/>
      <c r="GA6885"/>
      <c r="GB6885"/>
      <c r="GC6885"/>
      <c r="GD6885"/>
      <c r="GE6885"/>
      <c r="GF6885"/>
      <c r="GG6885"/>
      <c r="GH6885"/>
      <c r="GI6885"/>
      <c r="GJ6885"/>
      <c r="GK6885"/>
      <c r="GL6885"/>
      <c r="GM6885"/>
      <c r="GN6885"/>
      <c r="GO6885"/>
    </row>
    <row r="6886" spans="107:197">
      <c r="DC6886"/>
      <c r="FH6886"/>
      <c r="FI6886"/>
      <c r="FJ6886"/>
      <c r="FK6886"/>
      <c r="FL6886"/>
      <c r="FM6886"/>
      <c r="FN6886"/>
      <c r="FO6886"/>
      <c r="FP6886"/>
      <c r="FQ6886"/>
      <c r="FR6886"/>
      <c r="FS6886"/>
      <c r="FT6886"/>
      <c r="FU6886"/>
      <c r="FV6886"/>
      <c r="FW6886"/>
      <c r="FX6886"/>
      <c r="FY6886"/>
      <c r="FZ6886"/>
      <c r="GA6886"/>
      <c r="GB6886"/>
      <c r="GC6886"/>
      <c r="GD6886"/>
      <c r="GE6886"/>
      <c r="GF6886"/>
      <c r="GG6886"/>
      <c r="GH6886"/>
      <c r="GI6886"/>
      <c r="GJ6886"/>
      <c r="GK6886"/>
      <c r="GL6886"/>
      <c r="GM6886"/>
      <c r="GN6886"/>
      <c r="GO6886"/>
    </row>
    <row r="6887" spans="107:197">
      <c r="DC6887"/>
      <c r="FH6887"/>
      <c r="FI6887"/>
      <c r="FJ6887"/>
      <c r="FK6887"/>
      <c r="FL6887"/>
      <c r="FM6887"/>
      <c r="FN6887"/>
      <c r="FO6887"/>
      <c r="FP6887"/>
      <c r="FQ6887"/>
      <c r="FR6887"/>
      <c r="FS6887"/>
      <c r="FT6887"/>
      <c r="FU6887"/>
      <c r="FV6887"/>
      <c r="FW6887"/>
      <c r="FX6887"/>
      <c r="FY6887"/>
      <c r="FZ6887"/>
      <c r="GA6887"/>
      <c r="GB6887"/>
      <c r="GC6887"/>
      <c r="GD6887"/>
      <c r="GE6887"/>
      <c r="GF6887"/>
      <c r="GG6887"/>
      <c r="GH6887"/>
      <c r="GI6887"/>
      <c r="GJ6887"/>
      <c r="GK6887"/>
      <c r="GL6887"/>
      <c r="GM6887"/>
      <c r="GN6887"/>
      <c r="GO6887"/>
    </row>
    <row r="6888" spans="107:197">
      <c r="DC6888"/>
      <c r="FH6888"/>
      <c r="FI6888"/>
      <c r="FJ6888"/>
      <c r="FK6888"/>
      <c r="FL6888"/>
      <c r="FM6888"/>
      <c r="FN6888"/>
      <c r="FO6888"/>
      <c r="FP6888"/>
      <c r="FQ6888"/>
      <c r="FR6888"/>
      <c r="FS6888"/>
      <c r="FT6888"/>
      <c r="FU6888"/>
      <c r="FV6888"/>
      <c r="FW6888"/>
      <c r="FX6888"/>
      <c r="FY6888"/>
      <c r="FZ6888"/>
      <c r="GA6888"/>
      <c r="GB6888"/>
      <c r="GC6888"/>
      <c r="GD6888"/>
      <c r="GE6888"/>
      <c r="GF6888"/>
      <c r="GG6888"/>
      <c r="GH6888"/>
      <c r="GI6888"/>
      <c r="GJ6888"/>
      <c r="GK6888"/>
      <c r="GL6888"/>
      <c r="GM6888"/>
      <c r="GN6888"/>
      <c r="GO6888"/>
    </row>
    <row r="6889" spans="107:197">
      <c r="DC6889"/>
      <c r="FH6889"/>
      <c r="FI6889"/>
      <c r="FJ6889"/>
      <c r="FK6889"/>
      <c r="FL6889"/>
      <c r="FM6889"/>
      <c r="FN6889"/>
      <c r="FO6889"/>
      <c r="FP6889"/>
      <c r="FQ6889"/>
      <c r="FR6889"/>
      <c r="FS6889"/>
      <c r="FT6889"/>
      <c r="FU6889"/>
      <c r="FV6889"/>
      <c r="FW6889"/>
      <c r="FX6889"/>
      <c r="FY6889"/>
      <c r="FZ6889"/>
      <c r="GA6889"/>
      <c r="GB6889"/>
      <c r="GC6889"/>
      <c r="GD6889"/>
      <c r="GE6889"/>
      <c r="GF6889"/>
      <c r="GG6889"/>
      <c r="GH6889"/>
      <c r="GI6889"/>
      <c r="GJ6889"/>
      <c r="GK6889"/>
      <c r="GL6889"/>
      <c r="GM6889"/>
      <c r="GN6889"/>
      <c r="GO6889"/>
    </row>
    <row r="6890" spans="107:197">
      <c r="DC6890"/>
      <c r="FH6890"/>
      <c r="FI6890"/>
      <c r="FJ6890"/>
      <c r="FK6890"/>
      <c r="FL6890"/>
      <c r="FM6890"/>
      <c r="FN6890"/>
      <c r="FO6890"/>
      <c r="FP6890"/>
      <c r="FQ6890"/>
      <c r="FR6890"/>
      <c r="FS6890"/>
      <c r="FT6890"/>
      <c r="FU6890"/>
      <c r="FV6890"/>
      <c r="FW6890"/>
      <c r="FX6890"/>
      <c r="FY6890"/>
      <c r="FZ6890"/>
      <c r="GA6890"/>
      <c r="GB6890"/>
      <c r="GC6890"/>
      <c r="GD6890"/>
      <c r="GE6890"/>
      <c r="GF6890"/>
      <c r="GG6890"/>
      <c r="GH6890"/>
      <c r="GI6890"/>
      <c r="GJ6890"/>
      <c r="GK6890"/>
      <c r="GL6890"/>
      <c r="GM6890"/>
      <c r="GN6890"/>
      <c r="GO6890"/>
    </row>
    <row r="6891" spans="107:197">
      <c r="DC6891"/>
      <c r="FH6891"/>
      <c r="FI6891"/>
      <c r="FJ6891"/>
      <c r="FK6891"/>
      <c r="FL6891"/>
      <c r="FM6891"/>
      <c r="FN6891"/>
      <c r="FO6891"/>
      <c r="FP6891"/>
      <c r="FQ6891"/>
      <c r="FR6891"/>
      <c r="FS6891"/>
      <c r="FT6891"/>
      <c r="FU6891"/>
      <c r="FV6891"/>
      <c r="FW6891"/>
      <c r="FX6891"/>
      <c r="FY6891"/>
      <c r="FZ6891"/>
      <c r="GA6891"/>
      <c r="GB6891"/>
      <c r="GC6891"/>
      <c r="GD6891"/>
      <c r="GE6891"/>
      <c r="GF6891"/>
      <c r="GG6891"/>
      <c r="GH6891"/>
      <c r="GI6891"/>
      <c r="GJ6891"/>
      <c r="GK6891"/>
      <c r="GL6891"/>
      <c r="GM6891"/>
      <c r="GN6891"/>
      <c r="GO6891"/>
    </row>
    <row r="6892" spans="107:197">
      <c r="DC6892"/>
      <c r="FH6892"/>
      <c r="FI6892"/>
      <c r="FJ6892"/>
      <c r="FK6892"/>
      <c r="FL6892"/>
      <c r="FM6892"/>
      <c r="FN6892"/>
      <c r="FO6892"/>
      <c r="FP6892"/>
      <c r="FQ6892"/>
      <c r="FR6892"/>
      <c r="FS6892"/>
      <c r="FT6892"/>
      <c r="FU6892"/>
      <c r="FV6892"/>
      <c r="FW6892"/>
      <c r="FX6892"/>
      <c r="FY6892"/>
      <c r="FZ6892"/>
      <c r="GA6892"/>
      <c r="GB6892"/>
      <c r="GC6892"/>
      <c r="GD6892"/>
      <c r="GE6892"/>
      <c r="GF6892"/>
      <c r="GG6892"/>
      <c r="GH6892"/>
      <c r="GI6892"/>
      <c r="GJ6892"/>
      <c r="GK6892"/>
      <c r="GL6892"/>
      <c r="GM6892"/>
      <c r="GN6892"/>
      <c r="GO6892"/>
    </row>
    <row r="6893" spans="107:197">
      <c r="DC6893"/>
      <c r="FH6893"/>
      <c r="FI6893"/>
      <c r="FJ6893"/>
      <c r="FK6893"/>
      <c r="FL6893"/>
      <c r="FM6893"/>
      <c r="FN6893"/>
      <c r="FO6893"/>
      <c r="FP6893"/>
      <c r="FQ6893"/>
      <c r="FR6893"/>
      <c r="FS6893"/>
      <c r="FT6893"/>
      <c r="FU6893"/>
      <c r="FV6893"/>
      <c r="FW6893"/>
      <c r="FX6893"/>
      <c r="FY6893"/>
      <c r="FZ6893"/>
      <c r="GA6893"/>
      <c r="GB6893"/>
      <c r="GC6893"/>
      <c r="GD6893"/>
      <c r="GE6893"/>
      <c r="GF6893"/>
      <c r="GG6893"/>
      <c r="GH6893"/>
      <c r="GI6893"/>
      <c r="GJ6893"/>
      <c r="GK6893"/>
      <c r="GL6893"/>
      <c r="GM6893"/>
      <c r="GN6893"/>
      <c r="GO6893"/>
    </row>
    <row r="6894" spans="107:197">
      <c r="DC6894"/>
      <c r="FH6894"/>
      <c r="FI6894"/>
      <c r="FJ6894"/>
      <c r="FK6894"/>
      <c r="FL6894"/>
      <c r="FM6894"/>
      <c r="FN6894"/>
      <c r="FO6894"/>
      <c r="FP6894"/>
      <c r="FQ6894"/>
      <c r="FR6894"/>
      <c r="FS6894"/>
      <c r="FT6894"/>
      <c r="FU6894"/>
      <c r="FV6894"/>
      <c r="FW6894"/>
      <c r="FX6894"/>
      <c r="FY6894"/>
      <c r="FZ6894"/>
      <c r="GA6894"/>
      <c r="GB6894"/>
      <c r="GC6894"/>
      <c r="GD6894"/>
      <c r="GE6894"/>
      <c r="GF6894"/>
      <c r="GG6894"/>
      <c r="GH6894"/>
      <c r="GI6894"/>
      <c r="GJ6894"/>
      <c r="GK6894"/>
      <c r="GL6894"/>
      <c r="GM6894"/>
      <c r="GN6894"/>
      <c r="GO6894"/>
    </row>
    <row r="6895" spans="107:197">
      <c r="DC6895"/>
      <c r="FH6895"/>
      <c r="FI6895"/>
      <c r="FJ6895"/>
      <c r="FK6895"/>
      <c r="FL6895"/>
      <c r="FM6895"/>
      <c r="FN6895"/>
      <c r="FO6895"/>
      <c r="FP6895"/>
      <c r="FQ6895"/>
      <c r="FR6895"/>
      <c r="FS6895"/>
      <c r="FT6895"/>
      <c r="FU6895"/>
      <c r="FV6895"/>
      <c r="FW6895"/>
      <c r="FX6895"/>
      <c r="FY6895"/>
      <c r="FZ6895"/>
      <c r="GA6895"/>
      <c r="GB6895"/>
      <c r="GC6895"/>
      <c r="GD6895"/>
      <c r="GE6895"/>
      <c r="GF6895"/>
      <c r="GG6895"/>
      <c r="GH6895"/>
      <c r="GI6895"/>
      <c r="GJ6895"/>
      <c r="GK6895"/>
      <c r="GL6895"/>
      <c r="GM6895"/>
      <c r="GN6895"/>
      <c r="GO6895"/>
    </row>
    <row r="6896" spans="107:197">
      <c r="DC6896"/>
      <c r="FH6896"/>
      <c r="FI6896"/>
      <c r="FJ6896"/>
      <c r="FK6896"/>
      <c r="FL6896"/>
      <c r="FM6896"/>
      <c r="FN6896"/>
      <c r="FO6896"/>
      <c r="FP6896"/>
      <c r="FQ6896"/>
      <c r="FR6896"/>
      <c r="FS6896"/>
      <c r="FT6896"/>
      <c r="FU6896"/>
      <c r="FV6896"/>
      <c r="FW6896"/>
      <c r="FX6896"/>
      <c r="FY6896"/>
      <c r="FZ6896"/>
      <c r="GA6896"/>
      <c r="GB6896"/>
      <c r="GC6896"/>
      <c r="GD6896"/>
      <c r="GE6896"/>
      <c r="GF6896"/>
      <c r="GG6896"/>
      <c r="GH6896"/>
      <c r="GI6896"/>
      <c r="GJ6896"/>
      <c r="GK6896"/>
      <c r="GL6896"/>
      <c r="GM6896"/>
      <c r="GN6896"/>
      <c r="GO6896"/>
    </row>
    <row r="6897" spans="107:197">
      <c r="DC6897"/>
      <c r="FH6897"/>
      <c r="FI6897"/>
      <c r="FJ6897"/>
      <c r="FK6897"/>
      <c r="FL6897"/>
      <c r="FM6897"/>
      <c r="FN6897"/>
      <c r="FO6897"/>
      <c r="FP6897"/>
      <c r="FQ6897"/>
      <c r="FR6897"/>
      <c r="FS6897"/>
      <c r="FT6897"/>
      <c r="FU6897"/>
      <c r="FV6897"/>
      <c r="FW6897"/>
      <c r="FX6897"/>
      <c r="FY6897"/>
      <c r="FZ6897"/>
      <c r="GA6897"/>
      <c r="GB6897"/>
      <c r="GC6897"/>
      <c r="GD6897"/>
      <c r="GE6897"/>
      <c r="GF6897"/>
      <c r="GG6897"/>
      <c r="GH6897"/>
      <c r="GI6897"/>
      <c r="GJ6897"/>
      <c r="GK6897"/>
      <c r="GL6897"/>
      <c r="GM6897"/>
      <c r="GN6897"/>
      <c r="GO6897"/>
    </row>
    <row r="6898" spans="107:197">
      <c r="DC6898"/>
      <c r="FH6898"/>
      <c r="FI6898"/>
      <c r="FJ6898"/>
      <c r="FK6898"/>
      <c r="FL6898"/>
      <c r="FM6898"/>
      <c r="FN6898"/>
      <c r="FO6898"/>
      <c r="FP6898"/>
      <c r="FQ6898"/>
      <c r="FR6898"/>
      <c r="FS6898"/>
      <c r="FT6898"/>
      <c r="FU6898"/>
      <c r="FV6898"/>
      <c r="FW6898"/>
      <c r="FX6898"/>
      <c r="FY6898"/>
      <c r="FZ6898"/>
      <c r="GA6898"/>
      <c r="GB6898"/>
      <c r="GC6898"/>
      <c r="GD6898"/>
      <c r="GE6898"/>
      <c r="GF6898"/>
      <c r="GG6898"/>
      <c r="GH6898"/>
      <c r="GI6898"/>
      <c r="GJ6898"/>
      <c r="GK6898"/>
      <c r="GL6898"/>
      <c r="GM6898"/>
      <c r="GN6898"/>
      <c r="GO6898"/>
    </row>
    <row r="6899" spans="107:197">
      <c r="DC6899"/>
      <c r="FH6899"/>
      <c r="FI6899"/>
      <c r="FJ6899"/>
      <c r="FK6899"/>
      <c r="FL6899"/>
      <c r="FM6899"/>
      <c r="FN6899"/>
      <c r="FO6899"/>
      <c r="FP6899"/>
      <c r="FQ6899"/>
      <c r="FR6899"/>
      <c r="FS6899"/>
      <c r="FT6899"/>
      <c r="FU6899"/>
      <c r="FV6899"/>
      <c r="FW6899"/>
      <c r="FX6899"/>
      <c r="FY6899"/>
      <c r="FZ6899"/>
      <c r="GA6899"/>
      <c r="GB6899"/>
      <c r="GC6899"/>
      <c r="GD6899"/>
      <c r="GE6899"/>
      <c r="GF6899"/>
      <c r="GG6899"/>
      <c r="GH6899"/>
      <c r="GI6899"/>
      <c r="GJ6899"/>
      <c r="GK6899"/>
      <c r="GL6899"/>
      <c r="GM6899"/>
      <c r="GN6899"/>
      <c r="GO6899"/>
    </row>
    <row r="6900" spans="107:197">
      <c r="DC6900"/>
      <c r="FH6900"/>
      <c r="FI6900"/>
      <c r="FJ6900"/>
      <c r="FK6900"/>
      <c r="FL6900"/>
      <c r="FM6900"/>
      <c r="FN6900"/>
      <c r="FO6900"/>
      <c r="FP6900"/>
      <c r="FQ6900"/>
      <c r="FR6900"/>
      <c r="FS6900"/>
      <c r="FT6900"/>
      <c r="FU6900"/>
      <c r="FV6900"/>
      <c r="FW6900"/>
      <c r="FX6900"/>
      <c r="FY6900"/>
      <c r="FZ6900"/>
      <c r="GA6900"/>
      <c r="GB6900"/>
      <c r="GC6900"/>
      <c r="GD6900"/>
      <c r="GE6900"/>
      <c r="GF6900"/>
      <c r="GG6900"/>
      <c r="GH6900"/>
      <c r="GI6900"/>
      <c r="GJ6900"/>
      <c r="GK6900"/>
      <c r="GL6900"/>
      <c r="GM6900"/>
      <c r="GN6900"/>
      <c r="GO6900"/>
    </row>
    <row r="6901" spans="107:197">
      <c r="DC6901"/>
      <c r="FH6901"/>
      <c r="FI6901"/>
      <c r="FJ6901"/>
      <c r="FK6901"/>
      <c r="FL6901"/>
      <c r="FM6901"/>
      <c r="FN6901"/>
      <c r="FO6901"/>
      <c r="FP6901"/>
      <c r="FQ6901"/>
      <c r="FR6901"/>
      <c r="FS6901"/>
      <c r="FT6901"/>
      <c r="FU6901"/>
      <c r="FV6901"/>
      <c r="FW6901"/>
      <c r="FX6901"/>
      <c r="FY6901"/>
      <c r="FZ6901"/>
      <c r="GA6901"/>
      <c r="GB6901"/>
      <c r="GC6901"/>
      <c r="GD6901"/>
      <c r="GE6901"/>
      <c r="GF6901"/>
      <c r="GG6901"/>
      <c r="GH6901"/>
      <c r="GI6901"/>
      <c r="GJ6901"/>
      <c r="GK6901"/>
      <c r="GL6901"/>
      <c r="GM6901"/>
      <c r="GN6901"/>
      <c r="GO6901"/>
    </row>
    <row r="6902" spans="107:197">
      <c r="DC6902"/>
      <c r="FH6902"/>
      <c r="FI6902"/>
      <c r="FJ6902"/>
      <c r="FK6902"/>
      <c r="FL6902"/>
      <c r="FM6902"/>
      <c r="FN6902"/>
      <c r="FO6902"/>
      <c r="FP6902"/>
      <c r="FQ6902"/>
      <c r="FR6902"/>
      <c r="FS6902"/>
      <c r="FT6902"/>
      <c r="FU6902"/>
      <c r="FV6902"/>
      <c r="FW6902"/>
      <c r="FX6902"/>
      <c r="FY6902"/>
      <c r="FZ6902"/>
      <c r="GA6902"/>
      <c r="GB6902"/>
      <c r="GC6902"/>
      <c r="GD6902"/>
      <c r="GE6902"/>
      <c r="GF6902"/>
      <c r="GG6902"/>
      <c r="GH6902"/>
      <c r="GI6902"/>
      <c r="GJ6902"/>
      <c r="GK6902"/>
      <c r="GL6902"/>
      <c r="GM6902"/>
      <c r="GN6902"/>
      <c r="GO6902"/>
    </row>
    <row r="6903" spans="107:197">
      <c r="DC6903"/>
      <c r="FH6903"/>
      <c r="FI6903"/>
      <c r="FJ6903"/>
      <c r="FK6903"/>
      <c r="FL6903"/>
      <c r="FM6903"/>
      <c r="FN6903"/>
      <c r="FO6903"/>
      <c r="FP6903"/>
      <c r="FQ6903"/>
      <c r="FR6903"/>
      <c r="FS6903"/>
      <c r="FT6903"/>
      <c r="FU6903"/>
      <c r="FV6903"/>
      <c r="FW6903"/>
      <c r="FX6903"/>
      <c r="FY6903"/>
      <c r="FZ6903"/>
      <c r="GA6903"/>
      <c r="GB6903"/>
      <c r="GC6903"/>
      <c r="GD6903"/>
      <c r="GE6903"/>
      <c r="GF6903"/>
      <c r="GG6903"/>
      <c r="GH6903"/>
      <c r="GI6903"/>
      <c r="GJ6903"/>
      <c r="GK6903"/>
      <c r="GL6903"/>
      <c r="GM6903"/>
      <c r="GN6903"/>
      <c r="GO6903"/>
    </row>
    <row r="6904" spans="107:197">
      <c r="DC6904"/>
      <c r="FH6904"/>
      <c r="FI6904"/>
      <c r="FJ6904"/>
      <c r="FK6904"/>
      <c r="FL6904"/>
      <c r="FM6904"/>
      <c r="FN6904"/>
      <c r="FO6904"/>
      <c r="FP6904"/>
      <c r="FQ6904"/>
      <c r="FR6904"/>
      <c r="FS6904"/>
      <c r="FT6904"/>
      <c r="FU6904"/>
      <c r="FV6904"/>
      <c r="FW6904"/>
      <c r="FX6904"/>
      <c r="FY6904"/>
      <c r="FZ6904"/>
      <c r="GA6904"/>
      <c r="GB6904"/>
      <c r="GC6904"/>
      <c r="GD6904"/>
      <c r="GE6904"/>
      <c r="GF6904"/>
      <c r="GG6904"/>
      <c r="GH6904"/>
      <c r="GI6904"/>
      <c r="GJ6904"/>
      <c r="GK6904"/>
      <c r="GL6904"/>
      <c r="GM6904"/>
      <c r="GN6904"/>
      <c r="GO6904"/>
    </row>
    <row r="6905" spans="107:197">
      <c r="DC6905"/>
      <c r="FH6905"/>
      <c r="FI6905"/>
      <c r="FJ6905"/>
      <c r="FK6905"/>
      <c r="FL6905"/>
      <c r="FM6905"/>
      <c r="FN6905"/>
      <c r="FO6905"/>
      <c r="FP6905"/>
      <c r="FQ6905"/>
      <c r="FR6905"/>
      <c r="FS6905"/>
      <c r="FT6905"/>
      <c r="FU6905"/>
      <c r="FV6905"/>
      <c r="FW6905"/>
      <c r="FX6905"/>
      <c r="FY6905"/>
      <c r="FZ6905"/>
      <c r="GA6905"/>
      <c r="GB6905"/>
      <c r="GC6905"/>
      <c r="GD6905"/>
      <c r="GE6905"/>
      <c r="GF6905"/>
      <c r="GG6905"/>
      <c r="GH6905"/>
      <c r="GI6905"/>
      <c r="GJ6905"/>
      <c r="GK6905"/>
      <c r="GL6905"/>
      <c r="GM6905"/>
      <c r="GN6905"/>
      <c r="GO6905"/>
    </row>
    <row r="6906" spans="107:197">
      <c r="DC6906"/>
      <c r="FH6906"/>
      <c r="FI6906"/>
      <c r="FJ6906"/>
      <c r="FK6906"/>
      <c r="FL6906"/>
      <c r="FM6906"/>
      <c r="FN6906"/>
      <c r="FO6906"/>
      <c r="FP6906"/>
      <c r="FQ6906"/>
      <c r="FR6906"/>
      <c r="FS6906"/>
      <c r="FT6906"/>
      <c r="FU6906"/>
      <c r="FV6906"/>
      <c r="FW6906"/>
      <c r="FX6906"/>
      <c r="FY6906"/>
      <c r="FZ6906"/>
      <c r="GA6906"/>
      <c r="GB6906"/>
      <c r="GC6906"/>
      <c r="GD6906"/>
      <c r="GE6906"/>
      <c r="GF6906"/>
      <c r="GG6906"/>
      <c r="GH6906"/>
      <c r="GI6906"/>
      <c r="GJ6906"/>
      <c r="GK6906"/>
      <c r="GL6906"/>
      <c r="GM6906"/>
      <c r="GN6906"/>
      <c r="GO6906"/>
    </row>
    <row r="6907" spans="107:197">
      <c r="DC6907"/>
      <c r="FH6907"/>
      <c r="FI6907"/>
      <c r="FJ6907"/>
      <c r="FK6907"/>
      <c r="FL6907"/>
      <c r="FM6907"/>
      <c r="FN6907"/>
      <c r="FO6907"/>
      <c r="FP6907"/>
      <c r="FQ6907"/>
      <c r="FR6907"/>
      <c r="FS6907"/>
      <c r="FT6907"/>
      <c r="FU6907"/>
      <c r="FV6907"/>
      <c r="FW6907"/>
      <c r="FX6907"/>
      <c r="FY6907"/>
      <c r="FZ6907"/>
      <c r="GA6907"/>
      <c r="GB6907"/>
      <c r="GC6907"/>
      <c r="GD6907"/>
      <c r="GE6907"/>
      <c r="GF6907"/>
      <c r="GG6907"/>
      <c r="GH6907"/>
      <c r="GI6907"/>
      <c r="GJ6907"/>
      <c r="GK6907"/>
      <c r="GL6907"/>
      <c r="GM6907"/>
      <c r="GN6907"/>
      <c r="GO6907"/>
    </row>
    <row r="6908" spans="107:197">
      <c r="DC6908"/>
      <c r="FH6908"/>
      <c r="FI6908"/>
      <c r="FJ6908"/>
      <c r="FK6908"/>
      <c r="FL6908"/>
      <c r="FM6908"/>
      <c r="FN6908"/>
      <c r="FO6908"/>
      <c r="FP6908"/>
      <c r="FQ6908"/>
      <c r="FR6908"/>
      <c r="FS6908"/>
      <c r="FT6908"/>
      <c r="FU6908"/>
      <c r="FV6908"/>
      <c r="FW6908"/>
      <c r="FX6908"/>
      <c r="FY6908"/>
      <c r="FZ6908"/>
      <c r="GA6908"/>
      <c r="GB6908"/>
      <c r="GC6908"/>
      <c r="GD6908"/>
      <c r="GE6908"/>
      <c r="GF6908"/>
      <c r="GG6908"/>
      <c r="GH6908"/>
      <c r="GI6908"/>
      <c r="GJ6908"/>
      <c r="GK6908"/>
      <c r="GL6908"/>
      <c r="GM6908"/>
      <c r="GN6908"/>
      <c r="GO6908"/>
    </row>
    <row r="6909" spans="107:197">
      <c r="DC6909"/>
      <c r="FH6909"/>
      <c r="FI6909"/>
      <c r="FJ6909"/>
      <c r="FK6909"/>
      <c r="FL6909"/>
      <c r="FM6909"/>
      <c r="FN6909"/>
      <c r="FO6909"/>
      <c r="FP6909"/>
      <c r="FQ6909"/>
      <c r="FR6909"/>
      <c r="FS6909"/>
      <c r="FT6909"/>
      <c r="FU6909"/>
      <c r="FV6909"/>
      <c r="FW6909"/>
      <c r="FX6909"/>
      <c r="FY6909"/>
      <c r="FZ6909"/>
      <c r="GA6909"/>
      <c r="GB6909"/>
      <c r="GC6909"/>
      <c r="GD6909"/>
      <c r="GE6909"/>
      <c r="GF6909"/>
      <c r="GG6909"/>
      <c r="GH6909"/>
      <c r="GI6909"/>
      <c r="GJ6909"/>
      <c r="GK6909"/>
      <c r="GL6909"/>
      <c r="GM6909"/>
      <c r="GN6909"/>
      <c r="GO6909"/>
    </row>
    <row r="6910" spans="107:197">
      <c r="DC6910"/>
      <c r="FH6910"/>
      <c r="FI6910"/>
      <c r="FJ6910"/>
      <c r="FK6910"/>
      <c r="FL6910"/>
      <c r="FM6910"/>
      <c r="FN6910"/>
      <c r="FO6910"/>
      <c r="FP6910"/>
      <c r="FQ6910"/>
      <c r="FR6910"/>
      <c r="FS6910"/>
      <c r="FT6910"/>
      <c r="FU6910"/>
      <c r="FV6910"/>
      <c r="FW6910"/>
      <c r="FX6910"/>
      <c r="FY6910"/>
      <c r="FZ6910"/>
      <c r="GA6910"/>
      <c r="GB6910"/>
      <c r="GC6910"/>
      <c r="GD6910"/>
      <c r="GE6910"/>
      <c r="GF6910"/>
      <c r="GG6910"/>
      <c r="GH6910"/>
      <c r="GI6910"/>
      <c r="GJ6910"/>
      <c r="GK6910"/>
      <c r="GL6910"/>
      <c r="GM6910"/>
      <c r="GN6910"/>
      <c r="GO6910"/>
    </row>
    <row r="6911" spans="107:197">
      <c r="DC6911"/>
      <c r="FH6911"/>
      <c r="FI6911"/>
      <c r="FJ6911"/>
      <c r="FK6911"/>
      <c r="FL6911"/>
      <c r="FM6911"/>
      <c r="FN6911"/>
      <c r="FO6911"/>
      <c r="FP6911"/>
      <c r="FQ6911"/>
      <c r="FR6911"/>
      <c r="FS6911"/>
      <c r="FT6911"/>
      <c r="FU6911"/>
      <c r="FV6911"/>
      <c r="FW6911"/>
      <c r="FX6911"/>
      <c r="FY6911"/>
      <c r="FZ6911"/>
      <c r="GA6911"/>
      <c r="GB6911"/>
      <c r="GC6911"/>
      <c r="GD6911"/>
      <c r="GE6911"/>
      <c r="GF6911"/>
      <c r="GG6911"/>
      <c r="GH6911"/>
      <c r="GI6911"/>
      <c r="GJ6911"/>
      <c r="GK6911"/>
      <c r="GL6911"/>
      <c r="GM6911"/>
      <c r="GN6911"/>
      <c r="GO6911"/>
    </row>
    <row r="6912" spans="107:197">
      <c r="DC6912"/>
      <c r="FH6912"/>
      <c r="FI6912"/>
      <c r="FJ6912"/>
      <c r="FK6912"/>
      <c r="FL6912"/>
      <c r="FM6912"/>
      <c r="FN6912"/>
      <c r="FO6912"/>
      <c r="FP6912"/>
      <c r="FQ6912"/>
      <c r="FR6912"/>
      <c r="FS6912"/>
      <c r="FT6912"/>
      <c r="FU6912"/>
      <c r="FV6912"/>
      <c r="FW6912"/>
      <c r="FX6912"/>
      <c r="FY6912"/>
      <c r="FZ6912"/>
      <c r="GA6912"/>
      <c r="GB6912"/>
      <c r="GC6912"/>
      <c r="GD6912"/>
      <c r="GE6912"/>
      <c r="GF6912"/>
      <c r="GG6912"/>
      <c r="GH6912"/>
      <c r="GI6912"/>
      <c r="GJ6912"/>
      <c r="GK6912"/>
      <c r="GL6912"/>
      <c r="GM6912"/>
      <c r="GN6912"/>
      <c r="GO6912"/>
    </row>
    <row r="6913" spans="107:197">
      <c r="DC6913"/>
      <c r="FH6913"/>
      <c r="FI6913"/>
      <c r="FJ6913"/>
      <c r="FK6913"/>
      <c r="FL6913"/>
      <c r="FM6913"/>
      <c r="FN6913"/>
      <c r="FO6913"/>
      <c r="FP6913"/>
      <c r="FQ6913"/>
      <c r="FR6913"/>
      <c r="FS6913"/>
      <c r="FT6913"/>
      <c r="FU6913"/>
      <c r="FV6913"/>
      <c r="FW6913"/>
      <c r="FX6913"/>
      <c r="FY6913"/>
      <c r="FZ6913"/>
      <c r="GA6913"/>
      <c r="GB6913"/>
      <c r="GC6913"/>
      <c r="GD6913"/>
      <c r="GE6913"/>
      <c r="GF6913"/>
      <c r="GG6913"/>
      <c r="GH6913"/>
      <c r="GI6913"/>
      <c r="GJ6913"/>
      <c r="GK6913"/>
      <c r="GL6913"/>
      <c r="GM6913"/>
      <c r="GN6913"/>
      <c r="GO6913"/>
    </row>
    <row r="6914" spans="107:197">
      <c r="DC6914"/>
      <c r="FH6914"/>
      <c r="FI6914"/>
      <c r="FJ6914"/>
      <c r="FK6914"/>
      <c r="FL6914"/>
      <c r="FM6914"/>
      <c r="FN6914"/>
      <c r="FO6914"/>
      <c r="FP6914"/>
      <c r="FQ6914"/>
      <c r="FR6914"/>
      <c r="FS6914"/>
      <c r="FT6914"/>
      <c r="FU6914"/>
      <c r="FV6914"/>
      <c r="FW6914"/>
      <c r="FX6914"/>
      <c r="FY6914"/>
      <c r="FZ6914"/>
      <c r="GA6914"/>
      <c r="GB6914"/>
      <c r="GC6914"/>
      <c r="GD6914"/>
      <c r="GE6914"/>
      <c r="GF6914"/>
      <c r="GG6914"/>
      <c r="GH6914"/>
      <c r="GI6914"/>
      <c r="GJ6914"/>
      <c r="GK6914"/>
      <c r="GL6914"/>
      <c r="GM6914"/>
      <c r="GN6914"/>
      <c r="GO6914"/>
    </row>
    <row r="6915" spans="107:197">
      <c r="DC6915"/>
      <c r="FH6915"/>
      <c r="FI6915"/>
      <c r="FJ6915"/>
      <c r="FK6915"/>
      <c r="FL6915"/>
      <c r="FM6915"/>
      <c r="FN6915"/>
      <c r="FO6915"/>
      <c r="FP6915"/>
      <c r="FQ6915"/>
      <c r="FR6915"/>
      <c r="FS6915"/>
      <c r="FT6915"/>
      <c r="FU6915"/>
      <c r="FV6915"/>
      <c r="FW6915"/>
      <c r="FX6915"/>
      <c r="FY6915"/>
      <c r="FZ6915"/>
      <c r="GA6915"/>
      <c r="GB6915"/>
      <c r="GC6915"/>
      <c r="GD6915"/>
      <c r="GE6915"/>
      <c r="GF6915"/>
      <c r="GG6915"/>
      <c r="GH6915"/>
      <c r="GI6915"/>
      <c r="GJ6915"/>
      <c r="GK6915"/>
      <c r="GL6915"/>
      <c r="GM6915"/>
      <c r="GN6915"/>
      <c r="GO6915"/>
    </row>
    <row r="6916" spans="107:197">
      <c r="DC6916"/>
      <c r="FH6916"/>
      <c r="FI6916"/>
      <c r="FJ6916"/>
      <c r="FK6916"/>
      <c r="FL6916"/>
      <c r="FM6916"/>
      <c r="FN6916"/>
      <c r="FO6916"/>
      <c r="FP6916"/>
      <c r="FQ6916"/>
      <c r="FR6916"/>
      <c r="FS6916"/>
      <c r="FT6916"/>
      <c r="FU6916"/>
      <c r="FV6916"/>
      <c r="FW6916"/>
      <c r="FX6916"/>
      <c r="FY6916"/>
      <c r="FZ6916"/>
      <c r="GA6916"/>
      <c r="GB6916"/>
      <c r="GC6916"/>
      <c r="GD6916"/>
      <c r="GE6916"/>
      <c r="GF6916"/>
      <c r="GG6916"/>
      <c r="GH6916"/>
      <c r="GI6916"/>
      <c r="GJ6916"/>
      <c r="GK6916"/>
      <c r="GL6916"/>
      <c r="GM6916"/>
      <c r="GN6916"/>
      <c r="GO6916"/>
    </row>
    <row r="6917" spans="107:197">
      <c r="DC6917"/>
      <c r="FH6917"/>
      <c r="FI6917"/>
      <c r="FJ6917"/>
      <c r="FK6917"/>
      <c r="FL6917"/>
      <c r="FM6917"/>
      <c r="FN6917"/>
      <c r="FO6917"/>
      <c r="FP6917"/>
      <c r="FQ6917"/>
      <c r="FR6917"/>
      <c r="FS6917"/>
      <c r="FT6917"/>
      <c r="FU6917"/>
      <c r="FV6917"/>
      <c r="FW6917"/>
      <c r="FX6917"/>
      <c r="FY6917"/>
      <c r="FZ6917"/>
      <c r="GA6917"/>
      <c r="GB6917"/>
      <c r="GC6917"/>
      <c r="GD6917"/>
      <c r="GE6917"/>
      <c r="GF6917"/>
      <c r="GG6917"/>
      <c r="GH6917"/>
      <c r="GI6917"/>
      <c r="GJ6917"/>
      <c r="GK6917"/>
      <c r="GL6917"/>
      <c r="GM6917"/>
      <c r="GN6917"/>
      <c r="GO6917"/>
    </row>
    <row r="6918" spans="107:197">
      <c r="DC6918"/>
      <c r="FH6918"/>
      <c r="FI6918"/>
      <c r="FJ6918"/>
      <c r="FK6918"/>
      <c r="FL6918"/>
      <c r="FM6918"/>
      <c r="FN6918"/>
      <c r="FO6918"/>
      <c r="FP6918"/>
      <c r="FQ6918"/>
      <c r="FR6918"/>
      <c r="FS6918"/>
      <c r="FT6918"/>
      <c r="FU6918"/>
      <c r="FV6918"/>
      <c r="FW6918"/>
      <c r="FX6918"/>
      <c r="FY6918"/>
      <c r="FZ6918"/>
      <c r="GA6918"/>
      <c r="GB6918"/>
      <c r="GC6918"/>
      <c r="GD6918"/>
      <c r="GE6918"/>
      <c r="GF6918"/>
      <c r="GG6918"/>
      <c r="GH6918"/>
      <c r="GI6918"/>
      <c r="GJ6918"/>
      <c r="GK6918"/>
      <c r="GL6918"/>
      <c r="GM6918"/>
      <c r="GN6918"/>
      <c r="GO6918"/>
    </row>
    <row r="6919" spans="107:197">
      <c r="DC6919"/>
      <c r="FH6919"/>
      <c r="FI6919"/>
      <c r="FJ6919"/>
      <c r="FK6919"/>
      <c r="FL6919"/>
      <c r="FM6919"/>
      <c r="FN6919"/>
      <c r="FO6919"/>
      <c r="FP6919"/>
      <c r="FQ6919"/>
      <c r="FR6919"/>
      <c r="FS6919"/>
      <c r="FT6919"/>
      <c r="FU6919"/>
      <c r="FV6919"/>
      <c r="FW6919"/>
      <c r="FX6919"/>
      <c r="FY6919"/>
      <c r="FZ6919"/>
      <c r="GA6919"/>
      <c r="GB6919"/>
      <c r="GC6919"/>
      <c r="GD6919"/>
      <c r="GE6919"/>
      <c r="GF6919"/>
      <c r="GG6919"/>
      <c r="GH6919"/>
      <c r="GI6919"/>
      <c r="GJ6919"/>
      <c r="GK6919"/>
      <c r="GL6919"/>
      <c r="GM6919"/>
      <c r="GN6919"/>
      <c r="GO6919"/>
    </row>
    <row r="6920" spans="107:197">
      <c r="DC6920"/>
      <c r="FH6920"/>
      <c r="FI6920"/>
      <c r="FJ6920"/>
      <c r="FK6920"/>
      <c r="FL6920"/>
      <c r="FM6920"/>
      <c r="FN6920"/>
      <c r="FO6920"/>
      <c r="FP6920"/>
      <c r="FQ6920"/>
      <c r="FR6920"/>
      <c r="FS6920"/>
      <c r="FT6920"/>
      <c r="FU6920"/>
      <c r="FV6920"/>
      <c r="FW6920"/>
      <c r="FX6920"/>
      <c r="FY6920"/>
      <c r="FZ6920"/>
      <c r="GA6920"/>
      <c r="GB6920"/>
      <c r="GC6920"/>
      <c r="GD6920"/>
      <c r="GE6920"/>
      <c r="GF6920"/>
      <c r="GG6920"/>
      <c r="GH6920"/>
      <c r="GI6920"/>
      <c r="GJ6920"/>
      <c r="GK6920"/>
      <c r="GL6920"/>
      <c r="GM6920"/>
      <c r="GN6920"/>
      <c r="GO6920"/>
    </row>
    <row r="6921" spans="107:197">
      <c r="DC6921"/>
      <c r="FH6921"/>
      <c r="FI6921"/>
      <c r="FJ6921"/>
      <c r="FK6921"/>
      <c r="FL6921"/>
      <c r="FM6921"/>
      <c r="FN6921"/>
      <c r="FO6921"/>
      <c r="FP6921"/>
      <c r="FQ6921"/>
      <c r="FR6921"/>
      <c r="FS6921"/>
      <c r="FT6921"/>
      <c r="FU6921"/>
      <c r="FV6921"/>
      <c r="FW6921"/>
      <c r="FX6921"/>
      <c r="FY6921"/>
      <c r="FZ6921"/>
      <c r="GA6921"/>
      <c r="GB6921"/>
      <c r="GC6921"/>
      <c r="GD6921"/>
      <c r="GE6921"/>
      <c r="GF6921"/>
      <c r="GG6921"/>
      <c r="GH6921"/>
      <c r="GI6921"/>
      <c r="GJ6921"/>
      <c r="GK6921"/>
      <c r="GL6921"/>
      <c r="GM6921"/>
      <c r="GN6921"/>
      <c r="GO6921"/>
    </row>
    <row r="6922" spans="107:197">
      <c r="DC6922"/>
      <c r="FH6922"/>
      <c r="FI6922"/>
      <c r="FJ6922"/>
      <c r="FK6922"/>
      <c r="FL6922"/>
      <c r="FM6922"/>
      <c r="FN6922"/>
      <c r="FO6922"/>
      <c r="FP6922"/>
      <c r="FQ6922"/>
      <c r="FR6922"/>
      <c r="FS6922"/>
      <c r="FT6922"/>
      <c r="FU6922"/>
      <c r="FV6922"/>
      <c r="FW6922"/>
      <c r="FX6922"/>
      <c r="FY6922"/>
      <c r="FZ6922"/>
      <c r="GA6922"/>
      <c r="GB6922"/>
      <c r="GC6922"/>
      <c r="GD6922"/>
      <c r="GE6922"/>
      <c r="GF6922"/>
      <c r="GG6922"/>
      <c r="GH6922"/>
      <c r="GI6922"/>
      <c r="GJ6922"/>
      <c r="GK6922"/>
      <c r="GL6922"/>
      <c r="GM6922"/>
      <c r="GN6922"/>
      <c r="GO6922"/>
    </row>
    <row r="6923" spans="107:197">
      <c r="DC6923"/>
      <c r="FH6923"/>
      <c r="FI6923"/>
      <c r="FJ6923"/>
      <c r="FK6923"/>
      <c r="FL6923"/>
      <c r="FM6923"/>
      <c r="FN6923"/>
      <c r="FO6923"/>
      <c r="FP6923"/>
      <c r="FQ6923"/>
      <c r="FR6923"/>
      <c r="FS6923"/>
      <c r="FT6923"/>
      <c r="FU6923"/>
      <c r="FV6923"/>
      <c r="FW6923"/>
      <c r="FX6923"/>
      <c r="FY6923"/>
      <c r="FZ6923"/>
      <c r="GA6923"/>
      <c r="GB6923"/>
      <c r="GC6923"/>
      <c r="GD6923"/>
      <c r="GE6923"/>
      <c r="GF6923"/>
      <c r="GG6923"/>
      <c r="GH6923"/>
      <c r="GI6923"/>
      <c r="GJ6923"/>
      <c r="GK6923"/>
      <c r="GL6923"/>
      <c r="GM6923"/>
      <c r="GN6923"/>
      <c r="GO6923"/>
    </row>
    <row r="6924" spans="107:197">
      <c r="DC6924"/>
      <c r="FH6924"/>
      <c r="FI6924"/>
      <c r="FJ6924"/>
      <c r="FK6924"/>
      <c r="FL6924"/>
      <c r="FM6924"/>
      <c r="FN6924"/>
      <c r="FO6924"/>
      <c r="FP6924"/>
      <c r="FQ6924"/>
      <c r="FR6924"/>
      <c r="FS6924"/>
      <c r="FT6924"/>
      <c r="FU6924"/>
      <c r="FV6924"/>
      <c r="FW6924"/>
      <c r="FX6924"/>
      <c r="FY6924"/>
      <c r="FZ6924"/>
      <c r="GA6924"/>
      <c r="GB6924"/>
      <c r="GC6924"/>
      <c r="GD6924"/>
      <c r="GE6924"/>
      <c r="GF6924"/>
      <c r="GG6924"/>
      <c r="GH6924"/>
      <c r="GI6924"/>
      <c r="GJ6924"/>
      <c r="GK6924"/>
      <c r="GL6924"/>
      <c r="GM6924"/>
      <c r="GN6924"/>
      <c r="GO6924"/>
    </row>
    <row r="6925" spans="107:197">
      <c r="DC6925"/>
      <c r="FH6925"/>
      <c r="FI6925"/>
      <c r="FJ6925"/>
      <c r="FK6925"/>
      <c r="FL6925"/>
      <c r="FM6925"/>
      <c r="FN6925"/>
      <c r="FO6925"/>
      <c r="FP6925"/>
      <c r="FQ6925"/>
      <c r="FR6925"/>
      <c r="FS6925"/>
      <c r="FT6925"/>
      <c r="FU6925"/>
      <c r="FV6925"/>
      <c r="FW6925"/>
      <c r="FX6925"/>
      <c r="FY6925"/>
      <c r="FZ6925"/>
      <c r="GA6925"/>
      <c r="GB6925"/>
      <c r="GC6925"/>
      <c r="GD6925"/>
      <c r="GE6925"/>
      <c r="GF6925"/>
      <c r="GG6925"/>
      <c r="GH6925"/>
      <c r="GI6925"/>
      <c r="GJ6925"/>
      <c r="GK6925"/>
      <c r="GL6925"/>
      <c r="GM6925"/>
      <c r="GN6925"/>
      <c r="GO6925"/>
    </row>
    <row r="6926" spans="107:197">
      <c r="DC6926"/>
      <c r="FH6926"/>
      <c r="FI6926"/>
      <c r="FJ6926"/>
      <c r="FK6926"/>
      <c r="FL6926"/>
      <c r="FM6926"/>
      <c r="FN6926"/>
      <c r="FO6926"/>
      <c r="FP6926"/>
      <c r="FQ6926"/>
      <c r="FR6926"/>
      <c r="FS6926"/>
      <c r="FT6926"/>
      <c r="FU6926"/>
      <c r="FV6926"/>
      <c r="FW6926"/>
      <c r="FX6926"/>
      <c r="FY6926"/>
      <c r="FZ6926"/>
      <c r="GA6926"/>
      <c r="GB6926"/>
      <c r="GC6926"/>
      <c r="GD6926"/>
      <c r="GE6926"/>
      <c r="GF6926"/>
      <c r="GG6926"/>
      <c r="GH6926"/>
      <c r="GI6926"/>
      <c r="GJ6926"/>
      <c r="GK6926"/>
      <c r="GL6926"/>
      <c r="GM6926"/>
      <c r="GN6926"/>
      <c r="GO6926"/>
    </row>
    <row r="6927" spans="107:197">
      <c r="DC6927"/>
      <c r="FH6927"/>
      <c r="FI6927"/>
      <c r="FJ6927"/>
      <c r="FK6927"/>
      <c r="FL6927"/>
      <c r="FM6927"/>
      <c r="FN6927"/>
      <c r="FO6927"/>
      <c r="FP6927"/>
      <c r="FQ6927"/>
      <c r="FR6927"/>
      <c r="FS6927"/>
      <c r="FT6927"/>
      <c r="FU6927"/>
      <c r="FV6927"/>
      <c r="FW6927"/>
      <c r="FX6927"/>
      <c r="FY6927"/>
      <c r="FZ6927"/>
      <c r="GA6927"/>
      <c r="GB6927"/>
      <c r="GC6927"/>
      <c r="GD6927"/>
      <c r="GE6927"/>
      <c r="GF6927"/>
      <c r="GG6927"/>
      <c r="GH6927"/>
      <c r="GI6927"/>
      <c r="GJ6927"/>
      <c r="GK6927"/>
      <c r="GL6927"/>
      <c r="GM6927"/>
      <c r="GN6927"/>
      <c r="GO6927"/>
    </row>
    <row r="6928" spans="107:197">
      <c r="DC6928"/>
      <c r="FH6928"/>
      <c r="FI6928"/>
      <c r="FJ6928"/>
      <c r="FK6928"/>
      <c r="FL6928"/>
      <c r="FM6928"/>
      <c r="FN6928"/>
      <c r="FO6928"/>
      <c r="FP6928"/>
      <c r="FQ6928"/>
      <c r="FR6928"/>
      <c r="FS6928"/>
      <c r="FT6928"/>
      <c r="FU6928"/>
      <c r="FV6928"/>
      <c r="FW6928"/>
      <c r="FX6928"/>
      <c r="FY6928"/>
      <c r="FZ6928"/>
      <c r="GA6928"/>
      <c r="GB6928"/>
      <c r="GC6928"/>
      <c r="GD6928"/>
      <c r="GE6928"/>
      <c r="GF6928"/>
      <c r="GG6928"/>
      <c r="GH6928"/>
      <c r="GI6928"/>
      <c r="GJ6928"/>
      <c r="GK6928"/>
      <c r="GL6928"/>
      <c r="GM6928"/>
      <c r="GN6928"/>
      <c r="GO6928"/>
    </row>
    <row r="6929" spans="107:197">
      <c r="DC6929"/>
      <c r="FH6929"/>
      <c r="FI6929"/>
      <c r="FJ6929"/>
      <c r="FK6929"/>
      <c r="FL6929"/>
      <c r="FM6929"/>
      <c r="FN6929"/>
      <c r="FO6929"/>
      <c r="FP6929"/>
      <c r="FQ6929"/>
      <c r="FR6929"/>
      <c r="FS6929"/>
      <c r="FT6929"/>
      <c r="FU6929"/>
      <c r="FV6929"/>
      <c r="FW6929"/>
      <c r="FX6929"/>
      <c r="FY6929"/>
      <c r="FZ6929"/>
      <c r="GA6929"/>
      <c r="GB6929"/>
      <c r="GC6929"/>
      <c r="GD6929"/>
      <c r="GE6929"/>
      <c r="GF6929"/>
      <c r="GG6929"/>
      <c r="GH6929"/>
      <c r="GI6929"/>
      <c r="GJ6929"/>
      <c r="GK6929"/>
      <c r="GL6929"/>
      <c r="GM6929"/>
      <c r="GN6929"/>
      <c r="GO6929"/>
    </row>
    <row r="6930" spans="107:197">
      <c r="DC6930"/>
      <c r="FH6930"/>
      <c r="FI6930"/>
      <c r="FJ6930"/>
      <c r="FK6930"/>
      <c r="FL6930"/>
      <c r="FM6930"/>
      <c r="FN6930"/>
      <c r="FO6930"/>
      <c r="FP6930"/>
      <c r="FQ6930"/>
      <c r="FR6930"/>
      <c r="FS6930"/>
      <c r="FT6930"/>
      <c r="FU6930"/>
      <c r="FV6930"/>
      <c r="FW6930"/>
      <c r="FX6930"/>
      <c r="FY6930"/>
      <c r="FZ6930"/>
      <c r="GA6930"/>
      <c r="GB6930"/>
      <c r="GC6930"/>
      <c r="GD6930"/>
      <c r="GE6930"/>
      <c r="GF6930"/>
      <c r="GG6930"/>
      <c r="GH6930"/>
      <c r="GI6930"/>
      <c r="GJ6930"/>
      <c r="GK6930"/>
      <c r="GL6930"/>
      <c r="GM6930"/>
      <c r="GN6930"/>
      <c r="GO6930"/>
    </row>
    <row r="6931" spans="107:197">
      <c r="DC6931"/>
      <c r="FH6931"/>
      <c r="FI6931"/>
      <c r="FJ6931"/>
      <c r="FK6931"/>
      <c r="FL6931"/>
      <c r="FM6931"/>
      <c r="FN6931"/>
      <c r="FO6931"/>
      <c r="FP6931"/>
      <c r="FQ6931"/>
      <c r="FR6931"/>
      <c r="FS6931"/>
      <c r="FT6931"/>
      <c r="FU6931"/>
      <c r="FV6931"/>
      <c r="FW6931"/>
      <c r="FX6931"/>
      <c r="FY6931"/>
      <c r="FZ6931"/>
      <c r="GA6931"/>
      <c r="GB6931"/>
      <c r="GC6931"/>
      <c r="GD6931"/>
      <c r="GE6931"/>
      <c r="GF6931"/>
      <c r="GG6931"/>
      <c r="GH6931"/>
      <c r="GI6931"/>
      <c r="GJ6931"/>
      <c r="GK6931"/>
      <c r="GL6931"/>
      <c r="GM6931"/>
      <c r="GN6931"/>
      <c r="GO6931"/>
    </row>
    <row r="6932" spans="107:197">
      <c r="DC6932"/>
      <c r="FH6932"/>
      <c r="FI6932"/>
      <c r="FJ6932"/>
      <c r="FK6932"/>
      <c r="FL6932"/>
      <c r="FM6932"/>
      <c r="FN6932"/>
      <c r="FO6932"/>
      <c r="FP6932"/>
      <c r="FQ6932"/>
      <c r="FR6932"/>
      <c r="FS6932"/>
      <c r="FT6932"/>
      <c r="FU6932"/>
      <c r="FV6932"/>
      <c r="FW6932"/>
      <c r="FX6932"/>
      <c r="FY6932"/>
      <c r="FZ6932"/>
      <c r="GA6932"/>
      <c r="GB6932"/>
      <c r="GC6932"/>
      <c r="GD6932"/>
      <c r="GE6932"/>
      <c r="GF6932"/>
      <c r="GG6932"/>
      <c r="GH6932"/>
      <c r="GI6932"/>
      <c r="GJ6932"/>
      <c r="GK6932"/>
      <c r="GL6932"/>
      <c r="GM6932"/>
      <c r="GN6932"/>
      <c r="GO6932"/>
    </row>
    <row r="6933" spans="107:197">
      <c r="DC6933"/>
      <c r="FH6933"/>
      <c r="FI6933"/>
      <c r="FJ6933"/>
      <c r="FK6933"/>
      <c r="FL6933"/>
      <c r="FM6933"/>
      <c r="FN6933"/>
      <c r="FO6933"/>
      <c r="FP6933"/>
      <c r="FQ6933"/>
      <c r="FR6933"/>
      <c r="FS6933"/>
      <c r="FT6933"/>
      <c r="FU6933"/>
      <c r="FV6933"/>
      <c r="FW6933"/>
      <c r="FX6933"/>
      <c r="FY6933"/>
      <c r="FZ6933"/>
      <c r="GA6933"/>
      <c r="GB6933"/>
      <c r="GC6933"/>
      <c r="GD6933"/>
      <c r="GE6933"/>
      <c r="GF6933"/>
      <c r="GG6933"/>
      <c r="GH6933"/>
      <c r="GI6933"/>
      <c r="GJ6933"/>
      <c r="GK6933"/>
      <c r="GL6933"/>
      <c r="GM6933"/>
      <c r="GN6933"/>
      <c r="GO6933"/>
    </row>
    <row r="6934" spans="107:197">
      <c r="DC6934"/>
      <c r="FH6934"/>
      <c r="FI6934"/>
      <c r="FJ6934"/>
      <c r="FK6934"/>
      <c r="FL6934"/>
      <c r="FM6934"/>
      <c r="FN6934"/>
      <c r="FO6934"/>
      <c r="FP6934"/>
      <c r="FQ6934"/>
      <c r="FR6934"/>
      <c r="FS6934"/>
      <c r="FT6934"/>
      <c r="FU6934"/>
      <c r="FV6934"/>
      <c r="FW6934"/>
      <c r="FX6934"/>
      <c r="FY6934"/>
      <c r="FZ6934"/>
      <c r="GA6934"/>
      <c r="GB6934"/>
      <c r="GC6934"/>
      <c r="GD6934"/>
      <c r="GE6934"/>
      <c r="GF6934"/>
      <c r="GG6934"/>
      <c r="GH6934"/>
      <c r="GI6934"/>
      <c r="GJ6934"/>
      <c r="GK6934"/>
      <c r="GL6934"/>
      <c r="GM6934"/>
      <c r="GN6934"/>
      <c r="GO6934"/>
    </row>
    <row r="6935" spans="107:197">
      <c r="DC6935"/>
      <c r="FH6935"/>
      <c r="FI6935"/>
      <c r="FJ6935"/>
      <c r="FK6935"/>
      <c r="FL6935"/>
      <c r="FM6935"/>
      <c r="FN6935"/>
      <c r="FO6935"/>
      <c r="FP6935"/>
      <c r="FQ6935"/>
      <c r="FR6935"/>
      <c r="FS6935"/>
      <c r="FT6935"/>
      <c r="FU6935"/>
      <c r="FV6935"/>
      <c r="FW6935"/>
      <c r="FX6935"/>
      <c r="FY6935"/>
      <c r="FZ6935"/>
      <c r="GA6935"/>
      <c r="GB6935"/>
      <c r="GC6935"/>
      <c r="GD6935"/>
      <c r="GE6935"/>
      <c r="GF6935"/>
      <c r="GG6935"/>
      <c r="GH6935"/>
      <c r="GI6935"/>
      <c r="GJ6935"/>
      <c r="GK6935"/>
      <c r="GL6935"/>
      <c r="GM6935"/>
      <c r="GN6935"/>
      <c r="GO6935"/>
    </row>
    <row r="6936" spans="107:197">
      <c r="DC6936"/>
      <c r="FH6936"/>
      <c r="FI6936"/>
      <c r="FJ6936"/>
      <c r="FK6936"/>
      <c r="FL6936"/>
      <c r="FM6936"/>
      <c r="FN6936"/>
      <c r="FO6936"/>
      <c r="FP6936"/>
      <c r="FQ6936"/>
      <c r="FR6936"/>
      <c r="FS6936"/>
      <c r="FT6936"/>
      <c r="FU6936"/>
      <c r="FV6936"/>
      <c r="FW6936"/>
      <c r="FX6936"/>
      <c r="FY6936"/>
      <c r="FZ6936"/>
      <c r="GA6936"/>
      <c r="GB6936"/>
      <c r="GC6936"/>
      <c r="GD6936"/>
      <c r="GE6936"/>
      <c r="GF6936"/>
      <c r="GG6936"/>
      <c r="GH6936"/>
      <c r="GI6936"/>
      <c r="GJ6936"/>
      <c r="GK6936"/>
      <c r="GL6936"/>
      <c r="GM6936"/>
      <c r="GN6936"/>
      <c r="GO6936"/>
    </row>
    <row r="6937" spans="107:197">
      <c r="DC6937"/>
      <c r="FH6937"/>
      <c r="FI6937"/>
      <c r="FJ6937"/>
      <c r="FK6937"/>
      <c r="FL6937"/>
      <c r="FM6937"/>
      <c r="FN6937"/>
      <c r="FO6937"/>
      <c r="FP6937"/>
      <c r="FQ6937"/>
      <c r="FR6937"/>
      <c r="FS6937"/>
      <c r="FT6937"/>
      <c r="FU6937"/>
      <c r="FV6937"/>
      <c r="FW6937"/>
      <c r="FX6937"/>
      <c r="FY6937"/>
      <c r="FZ6937"/>
      <c r="GA6937"/>
      <c r="GB6937"/>
      <c r="GC6937"/>
      <c r="GD6937"/>
      <c r="GE6937"/>
      <c r="GF6937"/>
      <c r="GG6937"/>
      <c r="GH6937"/>
      <c r="GI6937"/>
      <c r="GJ6937"/>
      <c r="GK6937"/>
      <c r="GL6937"/>
      <c r="GM6937"/>
      <c r="GN6937"/>
      <c r="GO6937"/>
    </row>
    <row r="6938" spans="107:197">
      <c r="DC6938"/>
      <c r="FH6938"/>
      <c r="FI6938"/>
      <c r="FJ6938"/>
      <c r="FK6938"/>
      <c r="FL6938"/>
      <c r="FM6938"/>
      <c r="FN6938"/>
      <c r="FO6938"/>
      <c r="FP6938"/>
      <c r="FQ6938"/>
      <c r="FR6938"/>
      <c r="FS6938"/>
      <c r="FT6938"/>
      <c r="FU6938"/>
      <c r="FV6938"/>
      <c r="FW6938"/>
      <c r="FX6938"/>
      <c r="FY6938"/>
      <c r="FZ6938"/>
      <c r="GA6938"/>
      <c r="GB6938"/>
      <c r="GC6938"/>
      <c r="GD6938"/>
      <c r="GE6938"/>
      <c r="GF6938"/>
      <c r="GG6938"/>
      <c r="GH6938"/>
      <c r="GI6938"/>
      <c r="GJ6938"/>
      <c r="GK6938"/>
      <c r="GL6938"/>
      <c r="GM6938"/>
      <c r="GN6938"/>
      <c r="GO6938"/>
    </row>
    <row r="6939" spans="107:197">
      <c r="DC6939"/>
      <c r="FH6939"/>
      <c r="FI6939"/>
      <c r="FJ6939"/>
      <c r="FK6939"/>
      <c r="FL6939"/>
      <c r="FM6939"/>
      <c r="FN6939"/>
      <c r="FO6939"/>
      <c r="FP6939"/>
      <c r="FQ6939"/>
      <c r="FR6939"/>
      <c r="FS6939"/>
      <c r="FT6939"/>
      <c r="FU6939"/>
      <c r="FV6939"/>
      <c r="FW6939"/>
      <c r="FX6939"/>
      <c r="FY6939"/>
      <c r="FZ6939"/>
      <c r="GA6939"/>
      <c r="GB6939"/>
      <c r="GC6939"/>
      <c r="GD6939"/>
      <c r="GE6939"/>
      <c r="GF6939"/>
      <c r="GG6939"/>
      <c r="GH6939"/>
      <c r="GI6939"/>
      <c r="GJ6939"/>
      <c r="GK6939"/>
      <c r="GL6939"/>
      <c r="GM6939"/>
      <c r="GN6939"/>
      <c r="GO6939"/>
    </row>
    <row r="6940" spans="107:197">
      <c r="DC6940"/>
      <c r="FH6940"/>
      <c r="FI6940"/>
      <c r="FJ6940"/>
      <c r="FK6940"/>
      <c r="FL6940"/>
      <c r="FM6940"/>
      <c r="FN6940"/>
      <c r="FO6940"/>
      <c r="FP6940"/>
      <c r="FQ6940"/>
      <c r="FR6940"/>
      <c r="FS6940"/>
      <c r="FT6940"/>
      <c r="FU6940"/>
      <c r="FV6940"/>
      <c r="FW6940"/>
      <c r="FX6940"/>
      <c r="FY6940"/>
      <c r="FZ6940"/>
      <c r="GA6940"/>
      <c r="GB6940"/>
      <c r="GC6940"/>
      <c r="GD6940"/>
      <c r="GE6940"/>
      <c r="GF6940"/>
      <c r="GG6940"/>
      <c r="GH6940"/>
      <c r="GI6940"/>
      <c r="GJ6940"/>
      <c r="GK6940"/>
      <c r="GL6940"/>
      <c r="GM6940"/>
      <c r="GN6940"/>
      <c r="GO6940"/>
    </row>
    <row r="6941" spans="107:197">
      <c r="DC6941"/>
      <c r="FH6941"/>
      <c r="FI6941"/>
      <c r="FJ6941"/>
      <c r="FK6941"/>
      <c r="FL6941"/>
      <c r="FM6941"/>
      <c r="FN6941"/>
      <c r="FO6941"/>
      <c r="FP6941"/>
      <c r="FQ6941"/>
      <c r="FR6941"/>
      <c r="FS6941"/>
      <c r="FT6941"/>
      <c r="FU6941"/>
      <c r="FV6941"/>
      <c r="FW6941"/>
      <c r="FX6941"/>
      <c r="FY6941"/>
      <c r="FZ6941"/>
      <c r="GA6941"/>
      <c r="GB6941"/>
      <c r="GC6941"/>
      <c r="GD6941"/>
      <c r="GE6941"/>
      <c r="GF6941"/>
      <c r="GG6941"/>
      <c r="GH6941"/>
      <c r="GI6941"/>
      <c r="GJ6941"/>
      <c r="GK6941"/>
      <c r="GL6941"/>
      <c r="GM6941"/>
      <c r="GN6941"/>
      <c r="GO6941"/>
    </row>
    <row r="6942" spans="107:197">
      <c r="DC6942"/>
      <c r="FH6942"/>
      <c r="FI6942"/>
      <c r="FJ6942"/>
      <c r="FK6942"/>
      <c r="FL6942"/>
      <c r="FM6942"/>
      <c r="FN6942"/>
      <c r="FO6942"/>
      <c r="FP6942"/>
      <c r="FQ6942"/>
      <c r="FR6942"/>
      <c r="FS6942"/>
      <c r="FT6942"/>
      <c r="FU6942"/>
      <c r="FV6942"/>
      <c r="FW6942"/>
      <c r="FX6942"/>
      <c r="FY6942"/>
      <c r="FZ6942"/>
      <c r="GA6942"/>
      <c r="GB6942"/>
      <c r="GC6942"/>
      <c r="GD6942"/>
      <c r="GE6942"/>
      <c r="GF6942"/>
      <c r="GG6942"/>
      <c r="GH6942"/>
      <c r="GI6942"/>
      <c r="GJ6942"/>
      <c r="GK6942"/>
      <c r="GL6942"/>
      <c r="GM6942"/>
      <c r="GN6942"/>
      <c r="GO6942"/>
    </row>
    <row r="6943" spans="107:197">
      <c r="DC6943"/>
      <c r="FH6943"/>
      <c r="FI6943"/>
      <c r="FJ6943"/>
      <c r="FK6943"/>
      <c r="FL6943"/>
      <c r="FM6943"/>
      <c r="FN6943"/>
      <c r="FO6943"/>
      <c r="FP6943"/>
      <c r="FQ6943"/>
      <c r="FR6943"/>
      <c r="FS6943"/>
      <c r="FT6943"/>
      <c r="FU6943"/>
      <c r="FV6943"/>
      <c r="FW6943"/>
      <c r="FX6943"/>
      <c r="FY6943"/>
      <c r="FZ6943"/>
      <c r="GA6943"/>
      <c r="GB6943"/>
      <c r="GC6943"/>
      <c r="GD6943"/>
      <c r="GE6943"/>
      <c r="GF6943"/>
      <c r="GG6943"/>
      <c r="GH6943"/>
      <c r="GI6943"/>
      <c r="GJ6943"/>
      <c r="GK6943"/>
      <c r="GL6943"/>
      <c r="GM6943"/>
      <c r="GN6943"/>
      <c r="GO6943"/>
    </row>
    <row r="6944" spans="107:197">
      <c r="DC6944"/>
      <c r="FH6944"/>
      <c r="FI6944"/>
      <c r="FJ6944"/>
      <c r="FK6944"/>
      <c r="FL6944"/>
      <c r="FM6944"/>
      <c r="FN6944"/>
      <c r="FO6944"/>
      <c r="FP6944"/>
      <c r="FQ6944"/>
      <c r="FR6944"/>
      <c r="FS6944"/>
      <c r="FT6944"/>
      <c r="FU6944"/>
      <c r="FV6944"/>
      <c r="FW6944"/>
      <c r="FX6944"/>
      <c r="FY6944"/>
      <c r="FZ6944"/>
      <c r="GA6944"/>
      <c r="GB6944"/>
      <c r="GC6944"/>
      <c r="GD6944"/>
      <c r="GE6944"/>
      <c r="GF6944"/>
      <c r="GG6944"/>
      <c r="GH6944"/>
      <c r="GI6944"/>
      <c r="GJ6944"/>
      <c r="GK6944"/>
      <c r="GL6944"/>
      <c r="GM6944"/>
      <c r="GN6944"/>
      <c r="GO6944"/>
    </row>
    <row r="6945" spans="107:197">
      <c r="DC6945"/>
      <c r="FH6945"/>
      <c r="FI6945"/>
      <c r="FJ6945"/>
      <c r="FK6945"/>
      <c r="FL6945"/>
      <c r="FM6945"/>
      <c r="FN6945"/>
      <c r="FO6945"/>
      <c r="FP6945"/>
      <c r="FQ6945"/>
      <c r="FR6945"/>
      <c r="FS6945"/>
      <c r="FT6945"/>
      <c r="FU6945"/>
      <c r="FV6945"/>
      <c r="FW6945"/>
      <c r="FX6945"/>
      <c r="FY6945"/>
      <c r="FZ6945"/>
      <c r="GA6945"/>
      <c r="GB6945"/>
      <c r="GC6945"/>
      <c r="GD6945"/>
      <c r="GE6945"/>
      <c r="GF6945"/>
      <c r="GG6945"/>
      <c r="GH6945"/>
      <c r="GI6945"/>
      <c r="GJ6945"/>
      <c r="GK6945"/>
      <c r="GL6945"/>
      <c r="GM6945"/>
      <c r="GN6945"/>
      <c r="GO6945"/>
    </row>
    <row r="6946" spans="107:197">
      <c r="DC6946"/>
      <c r="FH6946"/>
      <c r="FI6946"/>
      <c r="FJ6946"/>
      <c r="FK6946"/>
      <c r="FL6946"/>
      <c r="FM6946"/>
      <c r="FN6946"/>
      <c r="FO6946"/>
      <c r="FP6946"/>
      <c r="FQ6946"/>
      <c r="FR6946"/>
      <c r="FS6946"/>
      <c r="FT6946"/>
      <c r="FU6946"/>
      <c r="FV6946"/>
      <c r="FW6946"/>
      <c r="FX6946"/>
      <c r="FY6946"/>
      <c r="FZ6946"/>
      <c r="GA6946"/>
      <c r="GB6946"/>
      <c r="GC6946"/>
      <c r="GD6946"/>
      <c r="GE6946"/>
      <c r="GF6946"/>
      <c r="GG6946"/>
      <c r="GH6946"/>
      <c r="GI6946"/>
      <c r="GJ6946"/>
      <c r="GK6946"/>
      <c r="GL6946"/>
      <c r="GM6946"/>
      <c r="GN6946"/>
      <c r="GO6946"/>
    </row>
    <row r="6947" spans="107:197">
      <c r="DC6947"/>
      <c r="FH6947"/>
      <c r="FI6947"/>
      <c r="FJ6947"/>
      <c r="FK6947"/>
      <c r="FL6947"/>
      <c r="FM6947"/>
      <c r="FN6947"/>
      <c r="FO6947"/>
      <c r="FP6947"/>
      <c r="FQ6947"/>
      <c r="FR6947"/>
      <c r="FS6947"/>
      <c r="FT6947"/>
      <c r="FU6947"/>
      <c r="FV6947"/>
      <c r="FW6947"/>
      <c r="FX6947"/>
      <c r="FY6947"/>
      <c r="FZ6947"/>
      <c r="GA6947"/>
      <c r="GB6947"/>
      <c r="GC6947"/>
      <c r="GD6947"/>
      <c r="GE6947"/>
      <c r="GF6947"/>
      <c r="GG6947"/>
      <c r="GH6947"/>
      <c r="GI6947"/>
      <c r="GJ6947"/>
      <c r="GK6947"/>
      <c r="GL6947"/>
      <c r="GM6947"/>
      <c r="GN6947"/>
      <c r="GO6947"/>
    </row>
    <row r="6948" spans="107:197">
      <c r="DC6948"/>
      <c r="FH6948"/>
      <c r="FI6948"/>
      <c r="FJ6948"/>
      <c r="FK6948"/>
      <c r="FL6948"/>
      <c r="FM6948"/>
      <c r="FN6948"/>
      <c r="FO6948"/>
      <c r="FP6948"/>
      <c r="FQ6948"/>
      <c r="FR6948"/>
      <c r="FS6948"/>
      <c r="FT6948"/>
      <c r="FU6948"/>
      <c r="FV6948"/>
      <c r="FW6948"/>
      <c r="FX6948"/>
      <c r="FY6948"/>
      <c r="FZ6948"/>
      <c r="GA6948"/>
      <c r="GB6948"/>
      <c r="GC6948"/>
      <c r="GD6948"/>
      <c r="GE6948"/>
      <c r="GF6948"/>
      <c r="GG6948"/>
      <c r="GH6948"/>
      <c r="GI6948"/>
      <c r="GJ6948"/>
      <c r="GK6948"/>
      <c r="GL6948"/>
      <c r="GM6948"/>
      <c r="GN6948"/>
      <c r="GO6948"/>
    </row>
    <row r="6949" spans="107:197">
      <c r="DC6949"/>
      <c r="FH6949"/>
      <c r="FI6949"/>
      <c r="FJ6949"/>
      <c r="FK6949"/>
      <c r="FL6949"/>
      <c r="FM6949"/>
      <c r="FN6949"/>
      <c r="FO6949"/>
      <c r="FP6949"/>
      <c r="FQ6949"/>
      <c r="FR6949"/>
      <c r="FS6949"/>
      <c r="FT6949"/>
      <c r="FU6949"/>
      <c r="FV6949"/>
      <c r="FW6949"/>
      <c r="FX6949"/>
      <c r="FY6949"/>
      <c r="FZ6949"/>
      <c r="GA6949"/>
      <c r="GB6949"/>
      <c r="GC6949"/>
      <c r="GD6949"/>
      <c r="GE6949"/>
      <c r="GF6949"/>
      <c r="GG6949"/>
      <c r="GH6949"/>
      <c r="GI6949"/>
      <c r="GJ6949"/>
      <c r="GK6949"/>
      <c r="GL6949"/>
      <c r="GM6949"/>
      <c r="GN6949"/>
      <c r="GO6949"/>
    </row>
    <row r="6950" spans="107:197">
      <c r="DC6950"/>
      <c r="FH6950"/>
      <c r="FI6950"/>
      <c r="FJ6950"/>
      <c r="FK6950"/>
      <c r="FL6950"/>
      <c r="FM6950"/>
      <c r="FN6950"/>
      <c r="FO6950"/>
      <c r="FP6950"/>
      <c r="FQ6950"/>
      <c r="FR6950"/>
      <c r="FS6950"/>
      <c r="FT6950"/>
      <c r="FU6950"/>
      <c r="FV6950"/>
      <c r="FW6950"/>
      <c r="FX6950"/>
      <c r="FY6950"/>
      <c r="FZ6950"/>
      <c r="GA6950"/>
      <c r="GB6950"/>
      <c r="GC6950"/>
      <c r="GD6950"/>
      <c r="GE6950"/>
      <c r="GF6950"/>
      <c r="GG6950"/>
      <c r="GH6950"/>
      <c r="GI6950"/>
      <c r="GJ6950"/>
      <c r="GK6950"/>
      <c r="GL6950"/>
      <c r="GM6950"/>
      <c r="GN6950"/>
      <c r="GO6950"/>
    </row>
    <row r="6951" spans="107:197">
      <c r="DC6951"/>
      <c r="FH6951"/>
      <c r="FI6951"/>
      <c r="FJ6951"/>
      <c r="FK6951"/>
      <c r="FL6951"/>
      <c r="FM6951"/>
      <c r="FN6951"/>
      <c r="FO6951"/>
      <c r="FP6951"/>
      <c r="FQ6951"/>
      <c r="FR6951"/>
      <c r="FS6951"/>
      <c r="FT6951"/>
      <c r="FU6951"/>
      <c r="FV6951"/>
      <c r="FW6951"/>
      <c r="FX6951"/>
      <c r="FY6951"/>
      <c r="FZ6951"/>
      <c r="GA6951"/>
      <c r="GB6951"/>
      <c r="GC6951"/>
      <c r="GD6951"/>
      <c r="GE6951"/>
      <c r="GF6951"/>
      <c r="GG6951"/>
      <c r="GH6951"/>
      <c r="GI6951"/>
      <c r="GJ6951"/>
      <c r="GK6951"/>
      <c r="GL6951"/>
      <c r="GM6951"/>
      <c r="GN6951"/>
      <c r="GO6951"/>
    </row>
    <row r="6952" spans="107:197">
      <c r="DC6952"/>
      <c r="FH6952"/>
      <c r="FI6952"/>
      <c r="FJ6952"/>
      <c r="FK6952"/>
      <c r="FL6952"/>
      <c r="FM6952"/>
      <c r="FN6952"/>
      <c r="FO6952"/>
      <c r="FP6952"/>
      <c r="FQ6952"/>
      <c r="FR6952"/>
      <c r="FS6952"/>
      <c r="FT6952"/>
      <c r="FU6952"/>
      <c r="FV6952"/>
      <c r="FW6952"/>
      <c r="FX6952"/>
      <c r="FY6952"/>
      <c r="FZ6952"/>
      <c r="GA6952"/>
      <c r="GB6952"/>
      <c r="GC6952"/>
      <c r="GD6952"/>
      <c r="GE6952"/>
      <c r="GF6952"/>
      <c r="GG6952"/>
      <c r="GH6952"/>
      <c r="GI6952"/>
      <c r="GJ6952"/>
      <c r="GK6952"/>
      <c r="GL6952"/>
      <c r="GM6952"/>
      <c r="GN6952"/>
      <c r="GO6952"/>
    </row>
    <row r="6953" spans="107:197">
      <c r="DC6953"/>
      <c r="FH6953"/>
      <c r="FI6953"/>
      <c r="FJ6953"/>
      <c r="FK6953"/>
      <c r="FL6953"/>
      <c r="FM6953"/>
      <c r="FN6953"/>
      <c r="FO6953"/>
      <c r="FP6953"/>
      <c r="FQ6953"/>
      <c r="FR6953"/>
      <c r="FS6953"/>
      <c r="FT6953"/>
      <c r="FU6953"/>
      <c r="FV6953"/>
      <c r="FW6953"/>
      <c r="FX6953"/>
      <c r="FY6953"/>
      <c r="FZ6953"/>
      <c r="GA6953"/>
      <c r="GB6953"/>
      <c r="GC6953"/>
      <c r="GD6953"/>
      <c r="GE6953"/>
      <c r="GF6953"/>
      <c r="GG6953"/>
      <c r="GH6953"/>
      <c r="GI6953"/>
      <c r="GJ6953"/>
      <c r="GK6953"/>
      <c r="GL6953"/>
      <c r="GM6953"/>
      <c r="GN6953"/>
      <c r="GO6953"/>
    </row>
    <row r="6954" spans="107:197">
      <c r="DC6954"/>
      <c r="FH6954"/>
      <c r="FI6954"/>
      <c r="FJ6954"/>
      <c r="FK6954"/>
      <c r="FL6954"/>
      <c r="FM6954"/>
      <c r="FN6954"/>
      <c r="FO6954"/>
      <c r="FP6954"/>
      <c r="FQ6954"/>
      <c r="FR6954"/>
      <c r="FS6954"/>
      <c r="FT6954"/>
      <c r="FU6954"/>
      <c r="FV6954"/>
      <c r="FW6954"/>
      <c r="FX6954"/>
      <c r="FY6954"/>
      <c r="FZ6954"/>
      <c r="GA6954"/>
      <c r="GB6954"/>
      <c r="GC6954"/>
      <c r="GD6954"/>
      <c r="GE6954"/>
      <c r="GF6954"/>
      <c r="GG6954"/>
      <c r="GH6954"/>
      <c r="GI6954"/>
      <c r="GJ6954"/>
      <c r="GK6954"/>
      <c r="GL6954"/>
      <c r="GM6954"/>
      <c r="GN6954"/>
      <c r="GO6954"/>
    </row>
    <row r="6955" spans="107:197">
      <c r="DC6955"/>
      <c r="FH6955"/>
      <c r="FI6955"/>
      <c r="FJ6955"/>
      <c r="FK6955"/>
      <c r="FL6955"/>
      <c r="FM6955"/>
      <c r="FN6955"/>
      <c r="FO6955"/>
      <c r="FP6955"/>
      <c r="FQ6955"/>
      <c r="FR6955"/>
      <c r="FS6955"/>
      <c r="FT6955"/>
      <c r="FU6955"/>
      <c r="FV6955"/>
      <c r="FW6955"/>
      <c r="FX6955"/>
      <c r="FY6955"/>
      <c r="FZ6955"/>
      <c r="GA6955"/>
      <c r="GB6955"/>
      <c r="GC6955"/>
      <c r="GD6955"/>
      <c r="GE6955"/>
      <c r="GF6955"/>
      <c r="GG6955"/>
      <c r="GH6955"/>
      <c r="GI6955"/>
      <c r="GJ6955"/>
      <c r="GK6955"/>
      <c r="GL6955"/>
      <c r="GM6955"/>
      <c r="GN6955"/>
      <c r="GO6955"/>
    </row>
    <row r="6956" spans="107:197">
      <c r="DC6956"/>
      <c r="FH6956"/>
      <c r="FI6956"/>
      <c r="FJ6956"/>
      <c r="FK6956"/>
      <c r="FL6956"/>
      <c r="FM6956"/>
      <c r="FN6956"/>
      <c r="FO6956"/>
      <c r="FP6956"/>
      <c r="FQ6956"/>
      <c r="FR6956"/>
      <c r="FS6956"/>
      <c r="FT6956"/>
      <c r="FU6956"/>
      <c r="FV6956"/>
      <c r="FW6956"/>
      <c r="FX6956"/>
      <c r="FY6956"/>
      <c r="FZ6956"/>
      <c r="GA6956"/>
      <c r="GB6956"/>
      <c r="GC6956"/>
      <c r="GD6956"/>
      <c r="GE6956"/>
      <c r="GF6956"/>
      <c r="GG6956"/>
      <c r="GH6956"/>
      <c r="GI6956"/>
      <c r="GJ6956"/>
      <c r="GK6956"/>
      <c r="GL6956"/>
      <c r="GM6956"/>
      <c r="GN6956"/>
      <c r="GO6956"/>
    </row>
    <row r="6957" spans="107:197">
      <c r="DC6957"/>
      <c r="FH6957"/>
      <c r="FI6957"/>
      <c r="FJ6957"/>
      <c r="FK6957"/>
      <c r="FL6957"/>
      <c r="FM6957"/>
      <c r="FN6957"/>
      <c r="FO6957"/>
      <c r="FP6957"/>
      <c r="FQ6957"/>
      <c r="FR6957"/>
      <c r="FS6957"/>
      <c r="FT6957"/>
      <c r="FU6957"/>
      <c r="FV6957"/>
      <c r="FW6957"/>
      <c r="FX6957"/>
      <c r="FY6957"/>
      <c r="FZ6957"/>
      <c r="GA6957"/>
      <c r="GB6957"/>
      <c r="GC6957"/>
      <c r="GD6957"/>
      <c r="GE6957"/>
      <c r="GF6957"/>
      <c r="GG6957"/>
      <c r="GH6957"/>
      <c r="GI6957"/>
      <c r="GJ6957"/>
      <c r="GK6957"/>
      <c r="GL6957"/>
      <c r="GM6957"/>
      <c r="GN6957"/>
      <c r="GO6957"/>
    </row>
    <row r="6958" spans="107:197">
      <c r="DC6958"/>
      <c r="FH6958"/>
      <c r="FI6958"/>
      <c r="FJ6958"/>
      <c r="FK6958"/>
      <c r="FL6958"/>
      <c r="FM6958"/>
      <c r="FN6958"/>
      <c r="FO6958"/>
      <c r="FP6958"/>
      <c r="FQ6958"/>
      <c r="FR6958"/>
      <c r="FS6958"/>
      <c r="FT6958"/>
      <c r="FU6958"/>
      <c r="FV6958"/>
      <c r="FW6958"/>
      <c r="FX6958"/>
      <c r="FY6958"/>
      <c r="FZ6958"/>
      <c r="GA6958"/>
      <c r="GB6958"/>
      <c r="GC6958"/>
      <c r="GD6958"/>
      <c r="GE6958"/>
      <c r="GF6958"/>
      <c r="GG6958"/>
      <c r="GH6958"/>
      <c r="GI6958"/>
      <c r="GJ6958"/>
      <c r="GK6958"/>
      <c r="GL6958"/>
      <c r="GM6958"/>
      <c r="GN6958"/>
      <c r="GO6958"/>
    </row>
    <row r="6959" spans="107:197">
      <c r="DC6959"/>
      <c r="FH6959"/>
      <c r="FI6959"/>
      <c r="FJ6959"/>
      <c r="FK6959"/>
      <c r="FL6959"/>
      <c r="FM6959"/>
      <c r="FN6959"/>
      <c r="FO6959"/>
      <c r="FP6959"/>
      <c r="FQ6959"/>
      <c r="FR6959"/>
      <c r="FS6959"/>
      <c r="FT6959"/>
      <c r="FU6959"/>
      <c r="FV6959"/>
      <c r="FW6959"/>
      <c r="FX6959"/>
      <c r="FY6959"/>
      <c r="FZ6959"/>
      <c r="GA6959"/>
      <c r="GB6959"/>
      <c r="GC6959"/>
      <c r="GD6959"/>
      <c r="GE6959"/>
      <c r="GF6959"/>
      <c r="GG6959"/>
      <c r="GH6959"/>
      <c r="GI6959"/>
      <c r="GJ6959"/>
      <c r="GK6959"/>
      <c r="GL6959"/>
      <c r="GM6959"/>
      <c r="GN6959"/>
      <c r="GO6959"/>
    </row>
    <row r="6960" spans="107:197">
      <c r="DC6960"/>
      <c r="FH6960"/>
      <c r="FI6960"/>
      <c r="FJ6960"/>
      <c r="FK6960"/>
      <c r="FL6960"/>
      <c r="FM6960"/>
      <c r="FN6960"/>
      <c r="FO6960"/>
      <c r="FP6960"/>
      <c r="FQ6960"/>
      <c r="FR6960"/>
      <c r="FS6960"/>
      <c r="FT6960"/>
      <c r="FU6960"/>
      <c r="FV6960"/>
      <c r="FW6960"/>
      <c r="FX6960"/>
      <c r="FY6960"/>
      <c r="FZ6960"/>
      <c r="GA6960"/>
      <c r="GB6960"/>
      <c r="GC6960"/>
      <c r="GD6960"/>
      <c r="GE6960"/>
      <c r="GF6960"/>
      <c r="GG6960"/>
      <c r="GH6960"/>
      <c r="GI6960"/>
      <c r="GJ6960"/>
      <c r="GK6960"/>
      <c r="GL6960"/>
      <c r="GM6960"/>
      <c r="GN6960"/>
      <c r="GO6960"/>
    </row>
    <row r="6961" spans="107:197">
      <c r="DC6961"/>
      <c r="FH6961"/>
      <c r="FI6961"/>
      <c r="FJ6961"/>
      <c r="FK6961"/>
      <c r="FL6961"/>
      <c r="FM6961"/>
      <c r="FN6961"/>
      <c r="FO6961"/>
      <c r="FP6961"/>
      <c r="FQ6961"/>
      <c r="FR6961"/>
      <c r="FS6961"/>
      <c r="FT6961"/>
      <c r="FU6961"/>
      <c r="FV6961"/>
      <c r="FW6961"/>
      <c r="FX6961"/>
      <c r="FY6961"/>
      <c r="FZ6961"/>
      <c r="GA6961"/>
      <c r="GB6961"/>
      <c r="GC6961"/>
      <c r="GD6961"/>
      <c r="GE6961"/>
      <c r="GF6961"/>
      <c r="GG6961"/>
      <c r="GH6961"/>
      <c r="GI6961"/>
      <c r="GJ6961"/>
      <c r="GK6961"/>
      <c r="GL6961"/>
      <c r="GM6961"/>
      <c r="GN6961"/>
      <c r="GO6961"/>
    </row>
    <row r="6962" spans="107:197">
      <c r="DC6962"/>
      <c r="FH6962"/>
      <c r="FI6962"/>
      <c r="FJ6962"/>
      <c r="FK6962"/>
      <c r="FL6962"/>
      <c r="FM6962"/>
      <c r="FN6962"/>
      <c r="FO6962"/>
      <c r="FP6962"/>
      <c r="FQ6962"/>
      <c r="FR6962"/>
      <c r="FS6962"/>
      <c r="FT6962"/>
      <c r="FU6962"/>
      <c r="FV6962"/>
      <c r="FW6962"/>
      <c r="FX6962"/>
      <c r="FY6962"/>
      <c r="FZ6962"/>
      <c r="GA6962"/>
      <c r="GB6962"/>
      <c r="GC6962"/>
      <c r="GD6962"/>
      <c r="GE6962"/>
      <c r="GF6962"/>
      <c r="GG6962"/>
      <c r="GH6962"/>
      <c r="GI6962"/>
      <c r="GJ6962"/>
      <c r="GK6962"/>
      <c r="GL6962"/>
      <c r="GM6962"/>
      <c r="GN6962"/>
      <c r="GO6962"/>
    </row>
    <row r="6963" spans="107:197">
      <c r="DC6963"/>
      <c r="FH6963"/>
      <c r="FI6963"/>
      <c r="FJ6963"/>
      <c r="FK6963"/>
      <c r="FL6963"/>
      <c r="FM6963"/>
      <c r="FN6963"/>
      <c r="FO6963"/>
      <c r="FP6963"/>
      <c r="FQ6963"/>
      <c r="FR6963"/>
      <c r="FS6963"/>
      <c r="FT6963"/>
      <c r="FU6963"/>
      <c r="FV6963"/>
      <c r="FW6963"/>
      <c r="FX6963"/>
      <c r="FY6963"/>
      <c r="FZ6963"/>
      <c r="GA6963"/>
      <c r="GB6963"/>
      <c r="GC6963"/>
      <c r="GD6963"/>
      <c r="GE6963"/>
      <c r="GF6963"/>
      <c r="GG6963"/>
      <c r="GH6963"/>
      <c r="GI6963"/>
      <c r="GJ6963"/>
      <c r="GK6963"/>
      <c r="GL6963"/>
      <c r="GM6963"/>
      <c r="GN6963"/>
      <c r="GO6963"/>
    </row>
    <row r="6964" spans="107:197">
      <c r="DC6964"/>
      <c r="FH6964"/>
      <c r="FI6964"/>
      <c r="FJ6964"/>
      <c r="FK6964"/>
      <c r="FL6964"/>
      <c r="FM6964"/>
      <c r="FN6964"/>
      <c r="FO6964"/>
      <c r="FP6964"/>
      <c r="FQ6964"/>
      <c r="FR6964"/>
      <c r="FS6964"/>
      <c r="FT6964"/>
      <c r="FU6964"/>
      <c r="FV6964"/>
      <c r="FW6964"/>
      <c r="FX6964"/>
      <c r="FY6964"/>
      <c r="FZ6964"/>
      <c r="GA6964"/>
      <c r="GB6964"/>
      <c r="GC6964"/>
      <c r="GD6964"/>
      <c r="GE6964"/>
      <c r="GF6964"/>
      <c r="GG6964"/>
      <c r="GH6964"/>
      <c r="GI6964"/>
      <c r="GJ6964"/>
      <c r="GK6964"/>
      <c r="GL6964"/>
      <c r="GM6964"/>
      <c r="GN6964"/>
      <c r="GO6964"/>
    </row>
    <row r="6965" spans="107:197">
      <c r="DC6965"/>
      <c r="FH6965"/>
      <c r="FI6965"/>
      <c r="FJ6965"/>
      <c r="FK6965"/>
      <c r="FL6965"/>
      <c r="FM6965"/>
      <c r="FN6965"/>
      <c r="FO6965"/>
      <c r="FP6965"/>
      <c r="FQ6965"/>
      <c r="FR6965"/>
      <c r="FS6965"/>
      <c r="FT6965"/>
      <c r="FU6965"/>
      <c r="FV6965"/>
      <c r="FW6965"/>
      <c r="FX6965"/>
      <c r="FY6965"/>
      <c r="FZ6965"/>
      <c r="GA6965"/>
      <c r="GB6965"/>
      <c r="GC6965"/>
      <c r="GD6965"/>
      <c r="GE6965"/>
      <c r="GF6965"/>
      <c r="GG6965"/>
      <c r="GH6965"/>
      <c r="GI6965"/>
      <c r="GJ6965"/>
      <c r="GK6965"/>
      <c r="GL6965"/>
      <c r="GM6965"/>
      <c r="GN6965"/>
      <c r="GO6965"/>
    </row>
    <row r="6966" spans="107:197">
      <c r="DC6966"/>
      <c r="FH6966"/>
      <c r="FI6966"/>
      <c r="FJ6966"/>
      <c r="FK6966"/>
      <c r="FL6966"/>
      <c r="FM6966"/>
      <c r="FN6966"/>
      <c r="FO6966"/>
      <c r="FP6966"/>
      <c r="FQ6966"/>
      <c r="FR6966"/>
      <c r="FS6966"/>
      <c r="FT6966"/>
      <c r="FU6966"/>
      <c r="FV6966"/>
      <c r="FW6966"/>
      <c r="FX6966"/>
      <c r="FY6966"/>
      <c r="FZ6966"/>
      <c r="GA6966"/>
      <c r="GB6966"/>
      <c r="GC6966"/>
      <c r="GD6966"/>
      <c r="GE6966"/>
      <c r="GF6966"/>
      <c r="GG6966"/>
      <c r="GH6966"/>
      <c r="GI6966"/>
      <c r="GJ6966"/>
      <c r="GK6966"/>
      <c r="GL6966"/>
      <c r="GM6966"/>
      <c r="GN6966"/>
      <c r="GO6966"/>
    </row>
    <row r="6967" spans="107:197">
      <c r="DC6967"/>
      <c r="FH6967"/>
      <c r="FI6967"/>
      <c r="FJ6967"/>
      <c r="FK6967"/>
      <c r="FL6967"/>
      <c r="FM6967"/>
      <c r="FN6967"/>
      <c r="FO6967"/>
      <c r="FP6967"/>
      <c r="FQ6967"/>
      <c r="FR6967"/>
      <c r="FS6967"/>
      <c r="FT6967"/>
      <c r="FU6967"/>
      <c r="FV6967"/>
      <c r="FW6967"/>
      <c r="FX6967"/>
      <c r="FY6967"/>
      <c r="FZ6967"/>
      <c r="GA6967"/>
      <c r="GB6967"/>
      <c r="GC6967"/>
      <c r="GD6967"/>
      <c r="GE6967"/>
      <c r="GF6967"/>
      <c r="GG6967"/>
      <c r="GH6967"/>
      <c r="GI6967"/>
      <c r="GJ6967"/>
      <c r="GK6967"/>
      <c r="GL6967"/>
      <c r="GM6967"/>
      <c r="GN6967"/>
      <c r="GO6967"/>
    </row>
    <row r="6968" spans="107:197">
      <c r="DC6968"/>
      <c r="FH6968"/>
      <c r="FI6968"/>
      <c r="FJ6968"/>
      <c r="FK6968"/>
      <c r="FL6968"/>
      <c r="FM6968"/>
      <c r="FN6968"/>
      <c r="FO6968"/>
      <c r="FP6968"/>
      <c r="FQ6968"/>
      <c r="FR6968"/>
      <c r="FS6968"/>
      <c r="FT6968"/>
      <c r="FU6968"/>
      <c r="FV6968"/>
      <c r="FW6968"/>
      <c r="FX6968"/>
      <c r="FY6968"/>
      <c r="FZ6968"/>
      <c r="GA6968"/>
      <c r="GB6968"/>
      <c r="GC6968"/>
      <c r="GD6968"/>
      <c r="GE6968"/>
      <c r="GF6968"/>
      <c r="GG6968"/>
      <c r="GH6968"/>
      <c r="GI6968"/>
      <c r="GJ6968"/>
      <c r="GK6968"/>
      <c r="GL6968"/>
      <c r="GM6968"/>
      <c r="GN6968"/>
      <c r="GO6968"/>
    </row>
    <row r="6969" spans="107:197">
      <c r="DC6969"/>
      <c r="FH6969"/>
      <c r="FI6969"/>
      <c r="FJ6969"/>
      <c r="FK6969"/>
      <c r="FL6969"/>
      <c r="FM6969"/>
      <c r="FN6969"/>
      <c r="FO6969"/>
      <c r="FP6969"/>
      <c r="FQ6969"/>
      <c r="FR6969"/>
      <c r="FS6969"/>
      <c r="FT6969"/>
      <c r="FU6969"/>
      <c r="FV6969"/>
      <c r="FW6969"/>
      <c r="FX6969"/>
      <c r="FY6969"/>
      <c r="FZ6969"/>
      <c r="GA6969"/>
      <c r="GB6969"/>
      <c r="GC6969"/>
      <c r="GD6969"/>
      <c r="GE6969"/>
      <c r="GF6969"/>
      <c r="GG6969"/>
      <c r="GH6969"/>
      <c r="GI6969"/>
      <c r="GJ6969"/>
      <c r="GK6969"/>
      <c r="GL6969"/>
      <c r="GM6969"/>
      <c r="GN6969"/>
      <c r="GO6969"/>
    </row>
    <row r="6970" spans="107:197">
      <c r="DC6970"/>
      <c r="FH6970"/>
      <c r="FI6970"/>
      <c r="FJ6970"/>
      <c r="FK6970"/>
      <c r="FL6970"/>
      <c r="FM6970"/>
      <c r="FN6970"/>
      <c r="FO6970"/>
      <c r="FP6970"/>
      <c r="FQ6970"/>
      <c r="FR6970"/>
      <c r="FS6970"/>
      <c r="FT6970"/>
      <c r="FU6970"/>
      <c r="FV6970"/>
      <c r="FW6970"/>
      <c r="FX6970"/>
      <c r="FY6970"/>
      <c r="FZ6970"/>
      <c r="GA6970"/>
      <c r="GB6970"/>
      <c r="GC6970"/>
      <c r="GD6970"/>
      <c r="GE6970"/>
      <c r="GF6970"/>
      <c r="GG6970"/>
      <c r="GH6970"/>
      <c r="GI6970"/>
      <c r="GJ6970"/>
      <c r="GK6970"/>
      <c r="GL6970"/>
      <c r="GM6970"/>
      <c r="GN6970"/>
      <c r="GO6970"/>
    </row>
    <row r="6971" spans="107:197">
      <c r="DC6971"/>
      <c r="FH6971"/>
      <c r="FI6971"/>
      <c r="FJ6971"/>
      <c r="FK6971"/>
      <c r="FL6971"/>
      <c r="FM6971"/>
      <c r="FN6971"/>
      <c r="FO6971"/>
      <c r="FP6971"/>
      <c r="FQ6971"/>
      <c r="FR6971"/>
      <c r="FS6971"/>
      <c r="FT6971"/>
      <c r="FU6971"/>
      <c r="FV6971"/>
      <c r="FW6971"/>
      <c r="FX6971"/>
      <c r="FY6971"/>
      <c r="FZ6971"/>
      <c r="GA6971"/>
      <c r="GB6971"/>
      <c r="GC6971"/>
      <c r="GD6971"/>
      <c r="GE6971"/>
      <c r="GF6971"/>
      <c r="GG6971"/>
      <c r="GH6971"/>
      <c r="GI6971"/>
      <c r="GJ6971"/>
      <c r="GK6971"/>
      <c r="GL6971"/>
      <c r="GM6971"/>
      <c r="GN6971"/>
      <c r="GO6971"/>
    </row>
    <row r="6972" spans="107:197">
      <c r="DC6972"/>
      <c r="FH6972"/>
      <c r="FI6972"/>
      <c r="FJ6972"/>
      <c r="FK6972"/>
      <c r="FL6972"/>
      <c r="FM6972"/>
      <c r="FN6972"/>
      <c r="FO6972"/>
      <c r="FP6972"/>
      <c r="FQ6972"/>
      <c r="FR6972"/>
      <c r="FS6972"/>
      <c r="FT6972"/>
      <c r="FU6972"/>
      <c r="FV6972"/>
      <c r="FW6972"/>
      <c r="FX6972"/>
      <c r="FY6972"/>
      <c r="FZ6972"/>
      <c r="GA6972"/>
      <c r="GB6972"/>
      <c r="GC6972"/>
      <c r="GD6972"/>
      <c r="GE6972"/>
      <c r="GF6972"/>
      <c r="GG6972"/>
      <c r="GH6972"/>
      <c r="GI6972"/>
      <c r="GJ6972"/>
      <c r="GK6972"/>
      <c r="GL6972"/>
      <c r="GM6972"/>
      <c r="GN6972"/>
      <c r="GO6972"/>
    </row>
    <row r="6973" spans="107:197">
      <c r="DC6973"/>
      <c r="FH6973"/>
      <c r="FI6973"/>
      <c r="FJ6973"/>
      <c r="FK6973"/>
      <c r="FL6973"/>
      <c r="FM6973"/>
      <c r="FN6973"/>
      <c r="FO6973"/>
      <c r="FP6973"/>
      <c r="FQ6973"/>
      <c r="FR6973"/>
      <c r="FS6973"/>
      <c r="FT6973"/>
      <c r="FU6973"/>
      <c r="FV6973"/>
      <c r="FW6973"/>
      <c r="FX6973"/>
      <c r="FY6973"/>
      <c r="FZ6973"/>
      <c r="GA6973"/>
      <c r="GB6973"/>
      <c r="GC6973"/>
      <c r="GD6973"/>
      <c r="GE6973"/>
      <c r="GF6973"/>
      <c r="GG6973"/>
      <c r="GH6973"/>
      <c r="GI6973"/>
      <c r="GJ6973"/>
      <c r="GK6973"/>
      <c r="GL6973"/>
      <c r="GM6973"/>
      <c r="GN6973"/>
      <c r="GO6973"/>
    </row>
    <row r="6974" spans="107:197">
      <c r="DC6974"/>
      <c r="FH6974"/>
      <c r="FI6974"/>
      <c r="FJ6974"/>
      <c r="FK6974"/>
      <c r="FL6974"/>
      <c r="FM6974"/>
      <c r="FN6974"/>
      <c r="FO6974"/>
      <c r="FP6974"/>
      <c r="FQ6974"/>
      <c r="FR6974"/>
      <c r="FS6974"/>
      <c r="FT6974"/>
      <c r="FU6974"/>
      <c r="FV6974"/>
      <c r="FW6974"/>
      <c r="FX6974"/>
      <c r="FY6974"/>
      <c r="FZ6974"/>
      <c r="GA6974"/>
      <c r="GB6974"/>
      <c r="GC6974"/>
      <c r="GD6974"/>
      <c r="GE6974"/>
      <c r="GF6974"/>
      <c r="GG6974"/>
      <c r="GH6974"/>
      <c r="GI6974"/>
      <c r="GJ6974"/>
      <c r="GK6974"/>
      <c r="GL6974"/>
      <c r="GM6974"/>
      <c r="GN6974"/>
      <c r="GO6974"/>
    </row>
    <row r="6975" spans="107:197">
      <c r="DC6975"/>
      <c r="FH6975"/>
      <c r="FI6975"/>
      <c r="FJ6975"/>
      <c r="FK6975"/>
      <c r="FL6975"/>
      <c r="FM6975"/>
      <c r="FN6975"/>
      <c r="FO6975"/>
      <c r="FP6975"/>
      <c r="FQ6975"/>
      <c r="FR6975"/>
      <c r="FS6975"/>
      <c r="FT6975"/>
      <c r="FU6975"/>
      <c r="FV6975"/>
      <c r="FW6975"/>
      <c r="FX6975"/>
      <c r="FY6975"/>
      <c r="FZ6975"/>
      <c r="GA6975"/>
      <c r="GB6975"/>
      <c r="GC6975"/>
      <c r="GD6975"/>
      <c r="GE6975"/>
      <c r="GF6975"/>
      <c r="GG6975"/>
      <c r="GH6975"/>
      <c r="GI6975"/>
      <c r="GJ6975"/>
      <c r="GK6975"/>
      <c r="GL6975"/>
      <c r="GM6975"/>
      <c r="GN6975"/>
      <c r="GO6975"/>
    </row>
    <row r="6976" spans="107:197">
      <c r="DC6976"/>
      <c r="FH6976"/>
      <c r="FI6976"/>
      <c r="FJ6976"/>
      <c r="FK6976"/>
      <c r="FL6976"/>
      <c r="FM6976"/>
      <c r="FN6976"/>
      <c r="FO6976"/>
      <c r="FP6976"/>
      <c r="FQ6976"/>
      <c r="FR6976"/>
      <c r="FS6976"/>
      <c r="FT6976"/>
      <c r="FU6976"/>
      <c r="FV6976"/>
      <c r="FW6976"/>
      <c r="FX6976"/>
      <c r="FY6976"/>
      <c r="FZ6976"/>
      <c r="GA6976"/>
      <c r="GB6976"/>
      <c r="GC6976"/>
      <c r="GD6976"/>
      <c r="GE6976"/>
      <c r="GF6976"/>
      <c r="GG6976"/>
      <c r="GH6976"/>
      <c r="GI6976"/>
      <c r="GJ6976"/>
      <c r="GK6976"/>
      <c r="GL6976"/>
      <c r="GM6976"/>
      <c r="GN6976"/>
      <c r="GO6976"/>
    </row>
    <row r="6977" spans="107:197">
      <c r="DC6977"/>
      <c r="FH6977"/>
      <c r="FI6977"/>
      <c r="FJ6977"/>
      <c r="FK6977"/>
      <c r="FL6977"/>
      <c r="FM6977"/>
      <c r="FN6977"/>
      <c r="FO6977"/>
      <c r="FP6977"/>
      <c r="FQ6977"/>
      <c r="FR6977"/>
      <c r="FS6977"/>
      <c r="FT6977"/>
      <c r="FU6977"/>
      <c r="FV6977"/>
      <c r="FW6977"/>
      <c r="FX6977"/>
      <c r="FY6977"/>
      <c r="FZ6977"/>
      <c r="GA6977"/>
      <c r="GB6977"/>
      <c r="GC6977"/>
      <c r="GD6977"/>
      <c r="GE6977"/>
      <c r="GF6977"/>
      <c r="GG6977"/>
      <c r="GH6977"/>
      <c r="GI6977"/>
      <c r="GJ6977"/>
      <c r="GK6977"/>
      <c r="GL6977"/>
      <c r="GM6977"/>
      <c r="GN6977"/>
      <c r="GO6977"/>
    </row>
    <row r="6978" spans="107:197">
      <c r="DC6978"/>
      <c r="FH6978"/>
      <c r="FI6978"/>
      <c r="FJ6978"/>
      <c r="FK6978"/>
      <c r="FL6978"/>
      <c r="FM6978"/>
      <c r="FN6978"/>
      <c r="FO6978"/>
      <c r="FP6978"/>
      <c r="FQ6978"/>
      <c r="FR6978"/>
      <c r="FS6978"/>
      <c r="FT6978"/>
      <c r="FU6978"/>
      <c r="FV6978"/>
      <c r="FW6978"/>
      <c r="FX6978"/>
      <c r="FY6978"/>
      <c r="FZ6978"/>
      <c r="GA6978"/>
      <c r="GB6978"/>
      <c r="GC6978"/>
      <c r="GD6978"/>
      <c r="GE6978"/>
      <c r="GF6978"/>
      <c r="GG6978"/>
      <c r="GH6978"/>
      <c r="GI6978"/>
      <c r="GJ6978"/>
      <c r="GK6978"/>
      <c r="GL6978"/>
      <c r="GM6978"/>
      <c r="GN6978"/>
      <c r="GO6978"/>
    </row>
    <row r="6979" spans="107:197">
      <c r="DC6979"/>
      <c r="FH6979"/>
      <c r="FI6979"/>
      <c r="FJ6979"/>
      <c r="FK6979"/>
      <c r="FL6979"/>
      <c r="FM6979"/>
      <c r="FN6979"/>
      <c r="FO6979"/>
      <c r="FP6979"/>
      <c r="FQ6979"/>
      <c r="FR6979"/>
      <c r="FS6979"/>
      <c r="FT6979"/>
      <c r="FU6979"/>
      <c r="FV6979"/>
      <c r="FW6979"/>
      <c r="FX6979"/>
      <c r="FY6979"/>
      <c r="FZ6979"/>
      <c r="GA6979"/>
      <c r="GB6979"/>
      <c r="GC6979"/>
      <c r="GD6979"/>
      <c r="GE6979"/>
      <c r="GF6979"/>
      <c r="GG6979"/>
      <c r="GH6979"/>
      <c r="GI6979"/>
      <c r="GJ6979"/>
      <c r="GK6979"/>
      <c r="GL6979"/>
      <c r="GM6979"/>
      <c r="GN6979"/>
      <c r="GO6979"/>
    </row>
    <row r="6980" spans="107:197">
      <c r="DC6980"/>
      <c r="FH6980"/>
      <c r="FI6980"/>
      <c r="FJ6980"/>
      <c r="FK6980"/>
      <c r="FL6980"/>
      <c r="FM6980"/>
      <c r="FN6980"/>
      <c r="FO6980"/>
      <c r="FP6980"/>
      <c r="FQ6980"/>
      <c r="FR6980"/>
      <c r="FS6980"/>
      <c r="FT6980"/>
      <c r="FU6980"/>
      <c r="FV6980"/>
      <c r="FW6980"/>
      <c r="FX6980"/>
      <c r="FY6980"/>
      <c r="FZ6980"/>
      <c r="GA6980"/>
      <c r="GB6980"/>
      <c r="GC6980"/>
      <c r="GD6980"/>
      <c r="GE6980"/>
      <c r="GF6980"/>
      <c r="GG6980"/>
      <c r="GH6980"/>
      <c r="GI6980"/>
      <c r="GJ6980"/>
      <c r="GK6980"/>
      <c r="GL6980"/>
      <c r="GM6980"/>
      <c r="GN6980"/>
      <c r="GO6980"/>
    </row>
    <row r="6981" spans="107:197">
      <c r="DC6981"/>
      <c r="FH6981"/>
      <c r="FI6981"/>
      <c r="FJ6981"/>
      <c r="FK6981"/>
      <c r="FL6981"/>
      <c r="FM6981"/>
      <c r="FN6981"/>
      <c r="FO6981"/>
      <c r="FP6981"/>
      <c r="FQ6981"/>
      <c r="FR6981"/>
      <c r="FS6981"/>
      <c r="FT6981"/>
      <c r="FU6981"/>
      <c r="FV6981"/>
      <c r="FW6981"/>
      <c r="FX6981"/>
      <c r="FY6981"/>
      <c r="FZ6981"/>
      <c r="GA6981"/>
      <c r="GB6981"/>
      <c r="GC6981"/>
      <c r="GD6981"/>
      <c r="GE6981"/>
      <c r="GF6981"/>
      <c r="GG6981"/>
      <c r="GH6981"/>
      <c r="GI6981"/>
      <c r="GJ6981"/>
      <c r="GK6981"/>
      <c r="GL6981"/>
      <c r="GM6981"/>
      <c r="GN6981"/>
      <c r="GO6981"/>
    </row>
    <row r="6982" spans="107:197">
      <c r="DC6982"/>
      <c r="FH6982"/>
      <c r="FI6982"/>
      <c r="FJ6982"/>
      <c r="FK6982"/>
      <c r="FL6982"/>
      <c r="FM6982"/>
      <c r="FN6982"/>
      <c r="FO6982"/>
      <c r="FP6982"/>
      <c r="FQ6982"/>
      <c r="FR6982"/>
      <c r="FS6982"/>
      <c r="FT6982"/>
      <c r="FU6982"/>
      <c r="FV6982"/>
      <c r="FW6982"/>
      <c r="FX6982"/>
      <c r="FY6982"/>
      <c r="FZ6982"/>
      <c r="GA6982"/>
      <c r="GB6982"/>
      <c r="GC6982"/>
      <c r="GD6982"/>
      <c r="GE6982"/>
      <c r="GF6982"/>
      <c r="GG6982"/>
      <c r="GH6982"/>
      <c r="GI6982"/>
      <c r="GJ6982"/>
      <c r="GK6982"/>
      <c r="GL6982"/>
      <c r="GM6982"/>
      <c r="GN6982"/>
      <c r="GO6982"/>
    </row>
    <row r="6983" spans="107:197">
      <c r="DC6983"/>
      <c r="FH6983"/>
      <c r="FI6983"/>
      <c r="FJ6983"/>
      <c r="FK6983"/>
      <c r="FL6983"/>
      <c r="FM6983"/>
      <c r="FN6983"/>
      <c r="FO6983"/>
      <c r="FP6983"/>
      <c r="FQ6983"/>
      <c r="FR6983"/>
      <c r="FS6983"/>
      <c r="FT6983"/>
      <c r="FU6983"/>
      <c r="FV6983"/>
      <c r="FW6983"/>
      <c r="FX6983"/>
      <c r="FY6983"/>
      <c r="FZ6983"/>
      <c r="GA6983"/>
      <c r="GB6983"/>
      <c r="GC6983"/>
      <c r="GD6983"/>
      <c r="GE6983"/>
      <c r="GF6983"/>
      <c r="GG6983"/>
      <c r="GH6983"/>
      <c r="GI6983"/>
      <c r="GJ6983"/>
      <c r="GK6983"/>
      <c r="GL6983"/>
      <c r="GM6983"/>
      <c r="GN6983"/>
      <c r="GO6983"/>
    </row>
    <row r="6984" spans="107:197">
      <c r="DC6984"/>
      <c r="FH6984"/>
      <c r="FI6984"/>
      <c r="FJ6984"/>
      <c r="FK6984"/>
      <c r="FL6984"/>
      <c r="FM6984"/>
      <c r="FN6984"/>
      <c r="FO6984"/>
      <c r="FP6984"/>
      <c r="FQ6984"/>
      <c r="FR6984"/>
      <c r="FS6984"/>
      <c r="FT6984"/>
      <c r="FU6984"/>
      <c r="FV6984"/>
      <c r="FW6984"/>
      <c r="FX6984"/>
      <c r="FY6984"/>
      <c r="FZ6984"/>
      <c r="GA6984"/>
      <c r="GB6984"/>
      <c r="GC6984"/>
      <c r="GD6984"/>
      <c r="GE6984"/>
      <c r="GF6984"/>
      <c r="GG6984"/>
      <c r="GH6984"/>
      <c r="GI6984"/>
      <c r="GJ6984"/>
      <c r="GK6984"/>
      <c r="GL6984"/>
      <c r="GM6984"/>
      <c r="GN6984"/>
      <c r="GO6984"/>
    </row>
    <row r="6985" spans="107:197">
      <c r="DC6985"/>
      <c r="FH6985"/>
      <c r="FI6985"/>
      <c r="FJ6985"/>
      <c r="FK6985"/>
      <c r="FL6985"/>
      <c r="FM6985"/>
      <c r="FN6985"/>
      <c r="FO6985"/>
      <c r="FP6985"/>
      <c r="FQ6985"/>
      <c r="FR6985"/>
      <c r="FS6985"/>
      <c r="FT6985"/>
      <c r="FU6985"/>
      <c r="FV6985"/>
      <c r="FW6985"/>
      <c r="FX6985"/>
      <c r="FY6985"/>
      <c r="FZ6985"/>
      <c r="GA6985"/>
      <c r="GB6985"/>
      <c r="GC6985"/>
      <c r="GD6985"/>
      <c r="GE6985"/>
      <c r="GF6985"/>
      <c r="GG6985"/>
      <c r="GH6985"/>
      <c r="GI6985"/>
      <c r="GJ6985"/>
      <c r="GK6985"/>
      <c r="GL6985"/>
      <c r="GM6985"/>
      <c r="GN6985"/>
      <c r="GO6985"/>
    </row>
    <row r="6986" spans="107:197">
      <c r="DC6986"/>
      <c r="FH6986"/>
      <c r="FI6986"/>
      <c r="FJ6986"/>
      <c r="FK6986"/>
      <c r="FL6986"/>
      <c r="FM6986"/>
      <c r="FN6986"/>
      <c r="FO6986"/>
      <c r="FP6986"/>
      <c r="FQ6986"/>
      <c r="FR6986"/>
      <c r="FS6986"/>
      <c r="FT6986"/>
      <c r="FU6986"/>
      <c r="FV6986"/>
      <c r="FW6986"/>
      <c r="FX6986"/>
      <c r="FY6986"/>
      <c r="FZ6986"/>
      <c r="GA6986"/>
      <c r="GB6986"/>
      <c r="GC6986"/>
      <c r="GD6986"/>
      <c r="GE6986"/>
      <c r="GF6986"/>
      <c r="GG6986"/>
      <c r="GH6986"/>
      <c r="GI6986"/>
      <c r="GJ6986"/>
      <c r="GK6986"/>
      <c r="GL6986"/>
      <c r="GM6986"/>
      <c r="GN6986"/>
      <c r="GO6986"/>
    </row>
    <row r="6987" spans="107:197">
      <c r="DC6987"/>
      <c r="FH6987"/>
      <c r="FI6987"/>
      <c r="FJ6987"/>
      <c r="FK6987"/>
      <c r="FL6987"/>
      <c r="FM6987"/>
      <c r="FN6987"/>
      <c r="FO6987"/>
      <c r="FP6987"/>
      <c r="FQ6987"/>
      <c r="FR6987"/>
      <c r="FS6987"/>
      <c r="FT6987"/>
      <c r="FU6987"/>
      <c r="FV6987"/>
      <c r="FW6987"/>
      <c r="FX6987"/>
      <c r="FY6987"/>
      <c r="FZ6987"/>
      <c r="GA6987"/>
      <c r="GB6987"/>
      <c r="GC6987"/>
      <c r="GD6987"/>
      <c r="GE6987"/>
      <c r="GF6987"/>
      <c r="GG6987"/>
      <c r="GH6987"/>
      <c r="GI6987"/>
      <c r="GJ6987"/>
      <c r="GK6987"/>
      <c r="GL6987"/>
      <c r="GM6987"/>
      <c r="GN6987"/>
      <c r="GO6987"/>
    </row>
    <row r="6988" spans="107:197">
      <c r="DC6988"/>
      <c r="FH6988"/>
      <c r="FI6988"/>
      <c r="FJ6988"/>
      <c r="FK6988"/>
      <c r="FL6988"/>
      <c r="FM6988"/>
      <c r="FN6988"/>
      <c r="FO6988"/>
      <c r="FP6988"/>
      <c r="FQ6988"/>
      <c r="FR6988"/>
      <c r="FS6988"/>
      <c r="FT6988"/>
      <c r="FU6988"/>
      <c r="FV6988"/>
      <c r="FW6988"/>
      <c r="FX6988"/>
      <c r="FY6988"/>
      <c r="FZ6988"/>
      <c r="GA6988"/>
      <c r="GB6988"/>
      <c r="GC6988"/>
      <c r="GD6988"/>
      <c r="GE6988"/>
      <c r="GF6988"/>
      <c r="GG6988"/>
      <c r="GH6988"/>
      <c r="GI6988"/>
      <c r="GJ6988"/>
      <c r="GK6988"/>
      <c r="GL6988"/>
      <c r="GM6988"/>
      <c r="GN6988"/>
      <c r="GO6988"/>
    </row>
    <row r="6989" spans="107:197">
      <c r="DC6989"/>
      <c r="FH6989"/>
      <c r="FI6989"/>
      <c r="FJ6989"/>
      <c r="FK6989"/>
      <c r="FL6989"/>
      <c r="FM6989"/>
      <c r="FN6989"/>
      <c r="FO6989"/>
      <c r="FP6989"/>
      <c r="FQ6989"/>
      <c r="FR6989"/>
      <c r="FS6989"/>
      <c r="FT6989"/>
      <c r="FU6989"/>
      <c r="FV6989"/>
      <c r="FW6989"/>
      <c r="FX6989"/>
      <c r="FY6989"/>
      <c r="FZ6989"/>
      <c r="GA6989"/>
      <c r="GB6989"/>
      <c r="GC6989"/>
      <c r="GD6989"/>
      <c r="GE6989"/>
      <c r="GF6989"/>
      <c r="GG6989"/>
      <c r="GH6989"/>
      <c r="GI6989"/>
      <c r="GJ6989"/>
      <c r="GK6989"/>
      <c r="GL6989"/>
      <c r="GM6989"/>
      <c r="GN6989"/>
      <c r="GO6989"/>
    </row>
    <row r="6990" spans="107:197">
      <c r="DC6990"/>
      <c r="FH6990"/>
      <c r="FI6990"/>
      <c r="FJ6990"/>
      <c r="FK6990"/>
      <c r="FL6990"/>
      <c r="FM6990"/>
      <c r="FN6990"/>
      <c r="FO6990"/>
      <c r="FP6990"/>
      <c r="FQ6990"/>
      <c r="FR6990"/>
      <c r="FS6990"/>
      <c r="FT6990"/>
      <c r="FU6990"/>
      <c r="FV6990"/>
      <c r="FW6990"/>
      <c r="FX6990"/>
      <c r="FY6990"/>
      <c r="FZ6990"/>
      <c r="GA6990"/>
      <c r="GB6990"/>
      <c r="GC6990"/>
      <c r="GD6990"/>
      <c r="GE6990"/>
      <c r="GF6990"/>
      <c r="GG6990"/>
      <c r="GH6990"/>
      <c r="GI6990"/>
      <c r="GJ6990"/>
      <c r="GK6990"/>
      <c r="GL6990"/>
      <c r="GM6990"/>
      <c r="GN6990"/>
      <c r="GO6990"/>
    </row>
    <row r="6991" spans="107:197">
      <c r="DC6991"/>
      <c r="FH6991"/>
      <c r="FI6991"/>
      <c r="FJ6991"/>
      <c r="FK6991"/>
      <c r="FL6991"/>
      <c r="FM6991"/>
      <c r="FN6991"/>
      <c r="FO6991"/>
      <c r="FP6991"/>
      <c r="FQ6991"/>
      <c r="FR6991"/>
      <c r="FS6991"/>
      <c r="FT6991"/>
      <c r="FU6991"/>
      <c r="FV6991"/>
      <c r="FW6991"/>
      <c r="FX6991"/>
      <c r="FY6991"/>
      <c r="FZ6991"/>
      <c r="GA6991"/>
      <c r="GB6991"/>
      <c r="GC6991"/>
      <c r="GD6991"/>
      <c r="GE6991"/>
      <c r="GF6991"/>
      <c r="GG6991"/>
      <c r="GH6991"/>
      <c r="GI6991"/>
      <c r="GJ6991"/>
      <c r="GK6991"/>
      <c r="GL6991"/>
      <c r="GM6991"/>
      <c r="GN6991"/>
      <c r="GO6991"/>
    </row>
    <row r="6992" spans="107:197">
      <c r="DC6992"/>
      <c r="FH6992"/>
      <c r="FI6992"/>
      <c r="FJ6992"/>
      <c r="FK6992"/>
      <c r="FL6992"/>
      <c r="FM6992"/>
      <c r="FN6992"/>
      <c r="FO6992"/>
      <c r="FP6992"/>
      <c r="FQ6992"/>
      <c r="FR6992"/>
      <c r="FS6992"/>
      <c r="FT6992"/>
      <c r="FU6992"/>
      <c r="FV6992"/>
      <c r="FW6992"/>
      <c r="FX6992"/>
      <c r="FY6992"/>
      <c r="FZ6992"/>
      <c r="GA6992"/>
      <c r="GB6992"/>
      <c r="GC6992"/>
      <c r="GD6992"/>
      <c r="GE6992"/>
      <c r="GF6992"/>
      <c r="GG6992"/>
      <c r="GH6992"/>
      <c r="GI6992"/>
      <c r="GJ6992"/>
      <c r="GK6992"/>
      <c r="GL6992"/>
      <c r="GM6992"/>
      <c r="GN6992"/>
      <c r="GO6992"/>
    </row>
    <row r="6993" spans="107:197">
      <c r="DC6993"/>
      <c r="FH6993"/>
      <c r="FI6993"/>
      <c r="FJ6993"/>
      <c r="FK6993"/>
      <c r="FL6993"/>
      <c r="FM6993"/>
      <c r="FN6993"/>
      <c r="FO6993"/>
      <c r="FP6993"/>
      <c r="FQ6993"/>
      <c r="FR6993"/>
      <c r="FS6993"/>
      <c r="FT6993"/>
      <c r="FU6993"/>
      <c r="FV6993"/>
      <c r="FW6993"/>
      <c r="FX6993"/>
      <c r="FY6993"/>
      <c r="FZ6993"/>
      <c r="GA6993"/>
      <c r="GB6993"/>
      <c r="GC6993"/>
      <c r="GD6993"/>
      <c r="GE6993"/>
      <c r="GF6993"/>
      <c r="GG6993"/>
      <c r="GH6993"/>
      <c r="GI6993"/>
      <c r="GJ6993"/>
      <c r="GK6993"/>
      <c r="GL6993"/>
      <c r="GM6993"/>
      <c r="GN6993"/>
      <c r="GO6993"/>
    </row>
    <row r="6994" spans="107:197">
      <c r="DC6994"/>
      <c r="FH6994"/>
      <c r="FI6994"/>
      <c r="FJ6994"/>
      <c r="FK6994"/>
      <c r="FL6994"/>
      <c r="FM6994"/>
      <c r="FN6994"/>
      <c r="FO6994"/>
      <c r="FP6994"/>
      <c r="FQ6994"/>
      <c r="FR6994"/>
      <c r="FS6994"/>
      <c r="FT6994"/>
      <c r="FU6994"/>
      <c r="FV6994"/>
      <c r="FW6994"/>
      <c r="FX6994"/>
      <c r="FY6994"/>
      <c r="FZ6994"/>
      <c r="GA6994"/>
      <c r="GB6994"/>
      <c r="GC6994"/>
      <c r="GD6994"/>
      <c r="GE6994"/>
      <c r="GF6994"/>
      <c r="GG6994"/>
      <c r="GH6994"/>
      <c r="GI6994"/>
      <c r="GJ6994"/>
      <c r="GK6994"/>
      <c r="GL6994"/>
      <c r="GM6994"/>
      <c r="GN6994"/>
      <c r="GO6994"/>
    </row>
    <row r="6995" spans="107:197">
      <c r="DC6995"/>
      <c r="FH6995"/>
      <c r="FI6995"/>
      <c r="FJ6995"/>
      <c r="FK6995"/>
      <c r="FL6995"/>
      <c r="FM6995"/>
      <c r="FN6995"/>
      <c r="FO6995"/>
      <c r="FP6995"/>
      <c r="FQ6995"/>
      <c r="FR6995"/>
      <c r="FS6995"/>
      <c r="FT6995"/>
      <c r="FU6995"/>
      <c r="FV6995"/>
      <c r="FW6995"/>
      <c r="FX6995"/>
      <c r="FY6995"/>
      <c r="FZ6995"/>
      <c r="GA6995"/>
      <c r="GB6995"/>
      <c r="GC6995"/>
      <c r="GD6995"/>
      <c r="GE6995"/>
      <c r="GF6995"/>
      <c r="GG6995"/>
      <c r="GH6995"/>
      <c r="GI6995"/>
      <c r="GJ6995"/>
      <c r="GK6995"/>
      <c r="GL6995"/>
      <c r="GM6995"/>
      <c r="GN6995"/>
      <c r="GO6995"/>
    </row>
    <row r="6996" spans="107:197">
      <c r="DC6996"/>
      <c r="FH6996"/>
      <c r="FI6996"/>
      <c r="FJ6996"/>
      <c r="FK6996"/>
      <c r="FL6996"/>
      <c r="FM6996"/>
      <c r="FN6996"/>
      <c r="FO6996"/>
      <c r="FP6996"/>
      <c r="FQ6996"/>
      <c r="FR6996"/>
      <c r="FS6996"/>
      <c r="FT6996"/>
      <c r="FU6996"/>
      <c r="FV6996"/>
      <c r="FW6996"/>
      <c r="FX6996"/>
      <c r="FY6996"/>
      <c r="FZ6996"/>
      <c r="GA6996"/>
      <c r="GB6996"/>
      <c r="GC6996"/>
      <c r="GD6996"/>
      <c r="GE6996"/>
      <c r="GF6996"/>
      <c r="GG6996"/>
      <c r="GH6996"/>
      <c r="GI6996"/>
      <c r="GJ6996"/>
      <c r="GK6996"/>
      <c r="GL6996"/>
      <c r="GM6996"/>
      <c r="GN6996"/>
      <c r="GO6996"/>
    </row>
    <row r="6997" spans="107:197">
      <c r="DC6997"/>
      <c r="FH6997"/>
      <c r="FI6997"/>
      <c r="FJ6997"/>
      <c r="FK6997"/>
      <c r="FL6997"/>
      <c r="FM6997"/>
      <c r="FN6997"/>
      <c r="FO6997"/>
      <c r="FP6997"/>
      <c r="FQ6997"/>
      <c r="FR6997"/>
      <c r="FS6997"/>
      <c r="FT6997"/>
      <c r="FU6997"/>
      <c r="FV6997"/>
      <c r="FW6997"/>
      <c r="FX6997"/>
      <c r="FY6997"/>
      <c r="FZ6997"/>
      <c r="GA6997"/>
      <c r="GB6997"/>
      <c r="GC6997"/>
      <c r="GD6997"/>
      <c r="GE6997"/>
      <c r="GF6997"/>
      <c r="GG6997"/>
      <c r="GH6997"/>
      <c r="GI6997"/>
      <c r="GJ6997"/>
      <c r="GK6997"/>
      <c r="GL6997"/>
      <c r="GM6997"/>
      <c r="GN6997"/>
      <c r="GO6997"/>
    </row>
    <row r="6998" spans="107:197">
      <c r="DC6998"/>
      <c r="FH6998"/>
      <c r="FI6998"/>
      <c r="FJ6998"/>
      <c r="FK6998"/>
      <c r="FL6998"/>
      <c r="FM6998"/>
      <c r="FN6998"/>
      <c r="FO6998"/>
      <c r="FP6998"/>
      <c r="FQ6998"/>
      <c r="FR6998"/>
      <c r="FS6998"/>
      <c r="FT6998"/>
      <c r="FU6998"/>
      <c r="FV6998"/>
      <c r="FW6998"/>
      <c r="FX6998"/>
      <c r="FY6998"/>
      <c r="FZ6998"/>
      <c r="GA6998"/>
      <c r="GB6998"/>
      <c r="GC6998"/>
      <c r="GD6998"/>
      <c r="GE6998"/>
      <c r="GF6998"/>
      <c r="GG6998"/>
      <c r="GH6998"/>
      <c r="GI6998"/>
      <c r="GJ6998"/>
      <c r="GK6998"/>
      <c r="GL6998"/>
      <c r="GM6998"/>
      <c r="GN6998"/>
      <c r="GO6998"/>
    </row>
    <row r="6999" spans="107:197">
      <c r="DC6999"/>
      <c r="FH6999"/>
      <c r="FI6999"/>
      <c r="FJ6999"/>
      <c r="FK6999"/>
      <c r="FL6999"/>
      <c r="FM6999"/>
      <c r="FN6999"/>
      <c r="FO6999"/>
      <c r="FP6999"/>
      <c r="FQ6999"/>
      <c r="FR6999"/>
      <c r="FS6999"/>
      <c r="FT6999"/>
      <c r="FU6999"/>
      <c r="FV6999"/>
      <c r="FW6999"/>
      <c r="FX6999"/>
      <c r="FY6999"/>
      <c r="FZ6999"/>
      <c r="GA6999"/>
      <c r="GB6999"/>
      <c r="GC6999"/>
      <c r="GD6999"/>
      <c r="GE6999"/>
      <c r="GF6999"/>
      <c r="GG6999"/>
      <c r="GH6999"/>
      <c r="GI6999"/>
      <c r="GJ6999"/>
      <c r="GK6999"/>
      <c r="GL6999"/>
      <c r="GM6999"/>
      <c r="GN6999"/>
      <c r="GO6999"/>
    </row>
    <row r="7000" spans="107:197">
      <c r="DC7000"/>
      <c r="FH7000"/>
      <c r="FI7000"/>
      <c r="FJ7000"/>
      <c r="FK7000"/>
      <c r="FL7000"/>
      <c r="FM7000"/>
      <c r="FN7000"/>
      <c r="FO7000"/>
      <c r="FP7000"/>
      <c r="FQ7000"/>
      <c r="FR7000"/>
      <c r="FS7000"/>
      <c r="FT7000"/>
      <c r="FU7000"/>
      <c r="FV7000"/>
      <c r="FW7000"/>
      <c r="FX7000"/>
      <c r="FY7000"/>
      <c r="FZ7000"/>
      <c r="GA7000"/>
      <c r="GB7000"/>
      <c r="GC7000"/>
      <c r="GD7000"/>
      <c r="GE7000"/>
      <c r="GF7000"/>
      <c r="GG7000"/>
      <c r="GH7000"/>
      <c r="GI7000"/>
      <c r="GJ7000"/>
      <c r="GK7000"/>
      <c r="GL7000"/>
      <c r="GM7000"/>
      <c r="GN7000"/>
      <c r="GO7000"/>
    </row>
    <row r="7001" spans="107:197">
      <c r="DC7001"/>
      <c r="FH7001"/>
      <c r="FI7001"/>
      <c r="FJ7001"/>
      <c r="FK7001"/>
      <c r="FL7001"/>
      <c r="FM7001"/>
      <c r="FN7001"/>
      <c r="FO7001"/>
      <c r="FP7001"/>
      <c r="FQ7001"/>
      <c r="FR7001"/>
      <c r="FS7001"/>
      <c r="FT7001"/>
      <c r="FU7001"/>
      <c r="FV7001"/>
      <c r="FW7001"/>
      <c r="FX7001"/>
      <c r="FY7001"/>
      <c r="FZ7001"/>
      <c r="GA7001"/>
      <c r="GB7001"/>
      <c r="GC7001"/>
      <c r="GD7001"/>
      <c r="GE7001"/>
      <c r="GF7001"/>
      <c r="GG7001"/>
      <c r="GH7001"/>
      <c r="GI7001"/>
      <c r="GJ7001"/>
      <c r="GK7001"/>
      <c r="GL7001"/>
      <c r="GM7001"/>
      <c r="GN7001"/>
      <c r="GO7001"/>
    </row>
    <row r="7002" spans="107:197">
      <c r="DC7002"/>
      <c r="FH7002"/>
      <c r="FI7002"/>
      <c r="FJ7002"/>
      <c r="FK7002"/>
      <c r="FL7002"/>
      <c r="FM7002"/>
      <c r="FN7002"/>
      <c r="FO7002"/>
      <c r="FP7002"/>
      <c r="FQ7002"/>
      <c r="FR7002"/>
      <c r="FS7002"/>
      <c r="FT7002"/>
      <c r="FU7002"/>
      <c r="FV7002"/>
      <c r="FW7002"/>
      <c r="FX7002"/>
      <c r="FY7002"/>
      <c r="FZ7002"/>
      <c r="GA7002"/>
      <c r="GB7002"/>
      <c r="GC7002"/>
      <c r="GD7002"/>
      <c r="GE7002"/>
      <c r="GF7002"/>
      <c r="GG7002"/>
      <c r="GH7002"/>
      <c r="GI7002"/>
      <c r="GJ7002"/>
      <c r="GK7002"/>
      <c r="GL7002"/>
      <c r="GM7002"/>
      <c r="GN7002"/>
      <c r="GO7002"/>
    </row>
    <row r="7003" spans="107:197">
      <c r="DC7003"/>
      <c r="FH7003"/>
      <c r="FI7003"/>
      <c r="FJ7003"/>
      <c r="FK7003"/>
      <c r="FL7003"/>
      <c r="FM7003"/>
      <c r="FN7003"/>
      <c r="FO7003"/>
      <c r="FP7003"/>
      <c r="FQ7003"/>
      <c r="FR7003"/>
      <c r="FS7003"/>
      <c r="FT7003"/>
      <c r="FU7003"/>
      <c r="FV7003"/>
      <c r="FW7003"/>
      <c r="FX7003"/>
      <c r="FY7003"/>
      <c r="FZ7003"/>
      <c r="GA7003"/>
      <c r="GB7003"/>
      <c r="GC7003"/>
      <c r="GD7003"/>
      <c r="GE7003"/>
      <c r="GF7003"/>
      <c r="GG7003"/>
      <c r="GH7003"/>
      <c r="GI7003"/>
      <c r="GJ7003"/>
      <c r="GK7003"/>
      <c r="GL7003"/>
      <c r="GM7003"/>
      <c r="GN7003"/>
      <c r="GO7003"/>
    </row>
    <row r="7004" spans="107:197">
      <c r="DC7004"/>
      <c r="FH7004"/>
      <c r="FI7004"/>
      <c r="FJ7004"/>
      <c r="FK7004"/>
      <c r="FL7004"/>
      <c r="FM7004"/>
      <c r="FN7004"/>
      <c r="FO7004"/>
      <c r="FP7004"/>
      <c r="FQ7004"/>
      <c r="FR7004"/>
      <c r="FS7004"/>
      <c r="FT7004"/>
      <c r="FU7004"/>
      <c r="FV7004"/>
      <c r="FW7004"/>
      <c r="FX7004"/>
      <c r="FY7004"/>
      <c r="FZ7004"/>
      <c r="GA7004"/>
      <c r="GB7004"/>
      <c r="GC7004"/>
      <c r="GD7004"/>
      <c r="GE7004"/>
      <c r="GF7004"/>
      <c r="GG7004"/>
      <c r="GH7004"/>
      <c r="GI7004"/>
      <c r="GJ7004"/>
      <c r="GK7004"/>
      <c r="GL7004"/>
      <c r="GM7004"/>
      <c r="GN7004"/>
      <c r="GO7004"/>
    </row>
    <row r="7005" spans="107:197">
      <c r="DC7005"/>
      <c r="FH7005"/>
      <c r="FI7005"/>
      <c r="FJ7005"/>
      <c r="FK7005"/>
      <c r="FL7005"/>
      <c r="FM7005"/>
      <c r="FN7005"/>
      <c r="FO7005"/>
      <c r="FP7005"/>
      <c r="FQ7005"/>
      <c r="FR7005"/>
      <c r="FS7005"/>
      <c r="FT7005"/>
      <c r="FU7005"/>
      <c r="FV7005"/>
      <c r="FW7005"/>
      <c r="FX7005"/>
      <c r="FY7005"/>
      <c r="FZ7005"/>
      <c r="GA7005"/>
      <c r="GB7005"/>
      <c r="GC7005"/>
      <c r="GD7005"/>
      <c r="GE7005"/>
      <c r="GF7005"/>
      <c r="GG7005"/>
      <c r="GH7005"/>
      <c r="GI7005"/>
      <c r="GJ7005"/>
      <c r="GK7005"/>
      <c r="GL7005"/>
      <c r="GM7005"/>
      <c r="GN7005"/>
      <c r="GO7005"/>
    </row>
    <row r="7006" spans="107:197">
      <c r="DC7006"/>
      <c r="FH7006"/>
      <c r="FI7006"/>
      <c r="FJ7006"/>
      <c r="FK7006"/>
      <c r="FL7006"/>
      <c r="FM7006"/>
      <c r="FN7006"/>
      <c r="FO7006"/>
      <c r="FP7006"/>
      <c r="FQ7006"/>
      <c r="FR7006"/>
      <c r="FS7006"/>
      <c r="FT7006"/>
      <c r="FU7006"/>
      <c r="FV7006"/>
      <c r="FW7006"/>
      <c r="FX7006"/>
      <c r="FY7006"/>
      <c r="FZ7006"/>
      <c r="GA7006"/>
      <c r="GB7006"/>
      <c r="GC7006"/>
      <c r="GD7006"/>
      <c r="GE7006"/>
      <c r="GF7006"/>
      <c r="GG7006"/>
      <c r="GH7006"/>
      <c r="GI7006"/>
      <c r="GJ7006"/>
      <c r="GK7006"/>
      <c r="GL7006"/>
      <c r="GM7006"/>
      <c r="GN7006"/>
      <c r="GO7006"/>
    </row>
    <row r="7007" spans="107:197">
      <c r="DC7007"/>
      <c r="FH7007"/>
      <c r="FI7007"/>
      <c r="FJ7007"/>
      <c r="FK7007"/>
      <c r="FL7007"/>
      <c r="FM7007"/>
      <c r="FN7007"/>
      <c r="FO7007"/>
      <c r="FP7007"/>
      <c r="FQ7007"/>
      <c r="FR7007"/>
      <c r="FS7007"/>
      <c r="FT7007"/>
      <c r="FU7007"/>
      <c r="FV7007"/>
      <c r="FW7007"/>
      <c r="FX7007"/>
      <c r="FY7007"/>
      <c r="FZ7007"/>
      <c r="GA7007"/>
      <c r="GB7007"/>
      <c r="GC7007"/>
      <c r="GD7007"/>
      <c r="GE7007"/>
      <c r="GF7007"/>
      <c r="GG7007"/>
      <c r="GH7007"/>
      <c r="GI7007"/>
      <c r="GJ7007"/>
      <c r="GK7007"/>
      <c r="GL7007"/>
      <c r="GM7007"/>
      <c r="GN7007"/>
      <c r="GO7007"/>
    </row>
    <row r="7008" spans="107:197">
      <c r="DC7008"/>
      <c r="FH7008"/>
      <c r="FI7008"/>
      <c r="FJ7008"/>
      <c r="FK7008"/>
      <c r="FL7008"/>
      <c r="FM7008"/>
      <c r="FN7008"/>
      <c r="FO7008"/>
      <c r="FP7008"/>
      <c r="FQ7008"/>
      <c r="FR7008"/>
      <c r="FS7008"/>
      <c r="FT7008"/>
      <c r="FU7008"/>
      <c r="FV7008"/>
      <c r="FW7008"/>
      <c r="FX7008"/>
      <c r="FY7008"/>
      <c r="FZ7008"/>
      <c r="GA7008"/>
      <c r="GB7008"/>
      <c r="GC7008"/>
      <c r="GD7008"/>
      <c r="GE7008"/>
      <c r="GF7008"/>
      <c r="GG7008"/>
      <c r="GH7008"/>
      <c r="GI7008"/>
      <c r="GJ7008"/>
      <c r="GK7008"/>
      <c r="GL7008"/>
      <c r="GM7008"/>
      <c r="GN7008"/>
      <c r="GO7008"/>
    </row>
    <row r="7009" spans="107:197">
      <c r="DC7009"/>
      <c r="FH7009"/>
      <c r="FI7009"/>
      <c r="FJ7009"/>
      <c r="FK7009"/>
      <c r="FL7009"/>
      <c r="FM7009"/>
      <c r="FN7009"/>
      <c r="FO7009"/>
      <c r="FP7009"/>
      <c r="FQ7009"/>
      <c r="FR7009"/>
      <c r="FS7009"/>
      <c r="FT7009"/>
      <c r="FU7009"/>
      <c r="FV7009"/>
      <c r="FW7009"/>
      <c r="FX7009"/>
      <c r="FY7009"/>
      <c r="FZ7009"/>
      <c r="GA7009"/>
      <c r="GB7009"/>
      <c r="GC7009"/>
      <c r="GD7009"/>
      <c r="GE7009"/>
      <c r="GF7009"/>
      <c r="GG7009"/>
      <c r="GH7009"/>
      <c r="GI7009"/>
      <c r="GJ7009"/>
      <c r="GK7009"/>
      <c r="GL7009"/>
      <c r="GM7009"/>
      <c r="GN7009"/>
      <c r="GO7009"/>
    </row>
    <row r="7010" spans="107:197">
      <c r="DC7010"/>
      <c r="FH7010"/>
      <c r="FI7010"/>
      <c r="FJ7010"/>
      <c r="FK7010"/>
      <c r="FL7010"/>
      <c r="FM7010"/>
      <c r="FN7010"/>
      <c r="FO7010"/>
      <c r="FP7010"/>
      <c r="FQ7010"/>
      <c r="FR7010"/>
      <c r="FS7010"/>
      <c r="FT7010"/>
      <c r="FU7010"/>
      <c r="FV7010"/>
      <c r="FW7010"/>
      <c r="FX7010"/>
      <c r="FY7010"/>
      <c r="FZ7010"/>
      <c r="GA7010"/>
      <c r="GB7010"/>
      <c r="GC7010"/>
      <c r="GD7010"/>
      <c r="GE7010"/>
      <c r="GF7010"/>
      <c r="GG7010"/>
      <c r="GH7010"/>
      <c r="GI7010"/>
      <c r="GJ7010"/>
      <c r="GK7010"/>
      <c r="GL7010"/>
      <c r="GM7010"/>
      <c r="GN7010"/>
      <c r="GO7010"/>
    </row>
    <row r="7011" spans="107:197">
      <c r="DC7011"/>
      <c r="FH7011"/>
      <c r="FI7011"/>
      <c r="FJ7011"/>
      <c r="FK7011"/>
      <c r="FL7011"/>
      <c r="FM7011"/>
      <c r="FN7011"/>
      <c r="FO7011"/>
      <c r="FP7011"/>
      <c r="FQ7011"/>
      <c r="FR7011"/>
      <c r="FS7011"/>
      <c r="FT7011"/>
      <c r="FU7011"/>
      <c r="FV7011"/>
      <c r="FW7011"/>
      <c r="FX7011"/>
      <c r="FY7011"/>
      <c r="FZ7011"/>
      <c r="GA7011"/>
      <c r="GB7011"/>
      <c r="GC7011"/>
      <c r="GD7011"/>
      <c r="GE7011"/>
      <c r="GF7011"/>
      <c r="GG7011"/>
      <c r="GH7011"/>
      <c r="GI7011"/>
      <c r="GJ7011"/>
      <c r="GK7011"/>
      <c r="GL7011"/>
      <c r="GM7011"/>
      <c r="GN7011"/>
      <c r="GO7011"/>
    </row>
    <row r="7012" spans="107:197">
      <c r="DC7012"/>
      <c r="FH7012"/>
      <c r="FI7012"/>
      <c r="FJ7012"/>
      <c r="FK7012"/>
      <c r="FL7012"/>
      <c r="FM7012"/>
      <c r="FN7012"/>
      <c r="FO7012"/>
      <c r="FP7012"/>
      <c r="FQ7012"/>
      <c r="FR7012"/>
      <c r="FS7012"/>
      <c r="FT7012"/>
      <c r="FU7012"/>
      <c r="FV7012"/>
      <c r="FW7012"/>
      <c r="FX7012"/>
      <c r="FY7012"/>
      <c r="FZ7012"/>
      <c r="GA7012"/>
      <c r="GB7012"/>
      <c r="GC7012"/>
      <c r="GD7012"/>
      <c r="GE7012"/>
      <c r="GF7012"/>
      <c r="GG7012"/>
      <c r="GH7012"/>
      <c r="GI7012"/>
      <c r="GJ7012"/>
      <c r="GK7012"/>
      <c r="GL7012"/>
      <c r="GM7012"/>
      <c r="GN7012"/>
      <c r="GO7012"/>
    </row>
    <row r="7013" spans="107:197">
      <c r="DC7013"/>
      <c r="FH7013"/>
      <c r="FI7013"/>
      <c r="FJ7013"/>
      <c r="FK7013"/>
      <c r="FL7013"/>
      <c r="FM7013"/>
      <c r="FN7013"/>
      <c r="FO7013"/>
      <c r="FP7013"/>
      <c r="FQ7013"/>
      <c r="FR7013"/>
      <c r="FS7013"/>
      <c r="FT7013"/>
      <c r="FU7013"/>
      <c r="FV7013"/>
      <c r="FW7013"/>
      <c r="FX7013"/>
      <c r="FY7013"/>
      <c r="FZ7013"/>
      <c r="GA7013"/>
      <c r="GB7013"/>
      <c r="GC7013"/>
      <c r="GD7013"/>
      <c r="GE7013"/>
      <c r="GF7013"/>
      <c r="GG7013"/>
      <c r="GH7013"/>
      <c r="GI7013"/>
      <c r="GJ7013"/>
      <c r="GK7013"/>
      <c r="GL7013"/>
      <c r="GM7013"/>
      <c r="GN7013"/>
      <c r="GO7013"/>
    </row>
    <row r="7014" spans="107:197">
      <c r="DC7014"/>
      <c r="FH7014"/>
      <c r="FI7014"/>
      <c r="FJ7014"/>
      <c r="FK7014"/>
      <c r="FL7014"/>
      <c r="FM7014"/>
      <c r="FN7014"/>
      <c r="FO7014"/>
      <c r="FP7014"/>
      <c r="FQ7014"/>
      <c r="FR7014"/>
      <c r="FS7014"/>
      <c r="FT7014"/>
      <c r="FU7014"/>
      <c r="FV7014"/>
      <c r="FW7014"/>
      <c r="FX7014"/>
      <c r="FY7014"/>
      <c r="FZ7014"/>
      <c r="GA7014"/>
      <c r="GB7014"/>
      <c r="GC7014"/>
      <c r="GD7014"/>
      <c r="GE7014"/>
      <c r="GF7014"/>
      <c r="GG7014"/>
      <c r="GH7014"/>
      <c r="GI7014"/>
      <c r="GJ7014"/>
      <c r="GK7014"/>
      <c r="GL7014"/>
      <c r="GM7014"/>
      <c r="GN7014"/>
      <c r="GO7014"/>
    </row>
    <row r="7015" spans="107:197">
      <c r="DC7015"/>
      <c r="FH7015"/>
      <c r="FI7015"/>
      <c r="FJ7015"/>
      <c r="FK7015"/>
      <c r="FL7015"/>
      <c r="FM7015"/>
      <c r="FN7015"/>
      <c r="FO7015"/>
      <c r="FP7015"/>
      <c r="FQ7015"/>
      <c r="FR7015"/>
      <c r="FS7015"/>
      <c r="FT7015"/>
      <c r="FU7015"/>
      <c r="FV7015"/>
      <c r="FW7015"/>
      <c r="FX7015"/>
      <c r="FY7015"/>
      <c r="FZ7015"/>
      <c r="GA7015"/>
      <c r="GB7015"/>
      <c r="GC7015"/>
      <c r="GD7015"/>
      <c r="GE7015"/>
      <c r="GF7015"/>
      <c r="GG7015"/>
      <c r="GH7015"/>
      <c r="GI7015"/>
      <c r="GJ7015"/>
      <c r="GK7015"/>
      <c r="GL7015"/>
      <c r="GM7015"/>
      <c r="GN7015"/>
      <c r="GO7015"/>
    </row>
    <row r="7016" spans="107:197">
      <c r="DC7016"/>
      <c r="FH7016"/>
      <c r="FI7016"/>
      <c r="FJ7016"/>
      <c r="FK7016"/>
      <c r="FL7016"/>
      <c r="FM7016"/>
      <c r="FN7016"/>
      <c r="FO7016"/>
      <c r="FP7016"/>
      <c r="FQ7016"/>
      <c r="FR7016"/>
      <c r="FS7016"/>
      <c r="FT7016"/>
      <c r="FU7016"/>
      <c r="FV7016"/>
      <c r="FW7016"/>
      <c r="FX7016"/>
      <c r="FY7016"/>
      <c r="FZ7016"/>
      <c r="GA7016"/>
      <c r="GB7016"/>
      <c r="GC7016"/>
      <c r="GD7016"/>
      <c r="GE7016"/>
      <c r="GF7016"/>
      <c r="GG7016"/>
      <c r="GH7016"/>
      <c r="GI7016"/>
      <c r="GJ7016"/>
      <c r="GK7016"/>
      <c r="GL7016"/>
      <c r="GM7016"/>
      <c r="GN7016"/>
      <c r="GO7016"/>
    </row>
    <row r="7017" spans="107:197">
      <c r="DC7017"/>
      <c r="FH7017"/>
      <c r="FI7017"/>
      <c r="FJ7017"/>
      <c r="FK7017"/>
      <c r="FL7017"/>
      <c r="FM7017"/>
      <c r="FN7017"/>
      <c r="FO7017"/>
      <c r="FP7017"/>
      <c r="FQ7017"/>
      <c r="FR7017"/>
      <c r="FS7017"/>
      <c r="FT7017"/>
      <c r="FU7017"/>
      <c r="FV7017"/>
      <c r="FW7017"/>
      <c r="FX7017"/>
      <c r="FY7017"/>
      <c r="FZ7017"/>
      <c r="GA7017"/>
      <c r="GB7017"/>
      <c r="GC7017"/>
      <c r="GD7017"/>
      <c r="GE7017"/>
      <c r="GF7017"/>
      <c r="GG7017"/>
      <c r="GH7017"/>
      <c r="GI7017"/>
      <c r="GJ7017"/>
      <c r="GK7017"/>
      <c r="GL7017"/>
      <c r="GM7017"/>
      <c r="GN7017"/>
      <c r="GO7017"/>
    </row>
    <row r="7018" spans="107:197">
      <c r="DC7018"/>
      <c r="FH7018"/>
      <c r="FI7018"/>
      <c r="FJ7018"/>
      <c r="FK7018"/>
      <c r="FL7018"/>
      <c r="FM7018"/>
      <c r="FN7018"/>
      <c r="FO7018"/>
      <c r="FP7018"/>
      <c r="FQ7018"/>
      <c r="FR7018"/>
      <c r="FS7018"/>
      <c r="FT7018"/>
      <c r="FU7018"/>
      <c r="FV7018"/>
      <c r="FW7018"/>
      <c r="FX7018"/>
      <c r="FY7018"/>
      <c r="FZ7018"/>
      <c r="GA7018"/>
      <c r="GB7018"/>
      <c r="GC7018"/>
      <c r="GD7018"/>
      <c r="GE7018"/>
      <c r="GF7018"/>
      <c r="GG7018"/>
      <c r="GH7018"/>
      <c r="GI7018"/>
      <c r="GJ7018"/>
      <c r="GK7018"/>
      <c r="GL7018"/>
      <c r="GM7018"/>
      <c r="GN7018"/>
      <c r="GO7018"/>
    </row>
    <row r="7019" spans="107:197">
      <c r="DC7019"/>
      <c r="FH7019"/>
      <c r="FI7019"/>
      <c r="FJ7019"/>
      <c r="FK7019"/>
      <c r="FL7019"/>
      <c r="FM7019"/>
      <c r="FN7019"/>
      <c r="FO7019"/>
      <c r="FP7019"/>
      <c r="FQ7019"/>
      <c r="FR7019"/>
      <c r="FS7019"/>
      <c r="FT7019"/>
      <c r="FU7019"/>
      <c r="FV7019"/>
      <c r="FW7019"/>
      <c r="FX7019"/>
      <c r="FY7019"/>
      <c r="FZ7019"/>
      <c r="GA7019"/>
      <c r="GB7019"/>
      <c r="GC7019"/>
      <c r="GD7019"/>
      <c r="GE7019"/>
      <c r="GF7019"/>
      <c r="GG7019"/>
      <c r="GH7019"/>
      <c r="GI7019"/>
      <c r="GJ7019"/>
      <c r="GK7019"/>
      <c r="GL7019"/>
      <c r="GM7019"/>
      <c r="GN7019"/>
      <c r="GO7019"/>
    </row>
    <row r="7020" spans="107:197">
      <c r="DC7020"/>
      <c r="FH7020"/>
      <c r="FI7020"/>
      <c r="FJ7020"/>
      <c r="FK7020"/>
      <c r="FL7020"/>
      <c r="FM7020"/>
      <c r="FN7020"/>
      <c r="FO7020"/>
      <c r="FP7020"/>
      <c r="FQ7020"/>
      <c r="FR7020"/>
      <c r="FS7020"/>
      <c r="FT7020"/>
      <c r="FU7020"/>
      <c r="FV7020"/>
      <c r="FW7020"/>
      <c r="FX7020"/>
      <c r="FY7020"/>
      <c r="FZ7020"/>
      <c r="GA7020"/>
      <c r="GB7020"/>
      <c r="GC7020"/>
      <c r="GD7020"/>
      <c r="GE7020"/>
      <c r="GF7020"/>
      <c r="GG7020"/>
      <c r="GH7020"/>
      <c r="GI7020"/>
      <c r="GJ7020"/>
      <c r="GK7020"/>
      <c r="GL7020"/>
      <c r="GM7020"/>
      <c r="GN7020"/>
      <c r="GO7020"/>
    </row>
    <row r="7021" spans="107:197">
      <c r="DC7021"/>
      <c r="FH7021"/>
      <c r="FI7021"/>
      <c r="FJ7021"/>
      <c r="FK7021"/>
      <c r="FL7021"/>
      <c r="FM7021"/>
      <c r="FN7021"/>
      <c r="FO7021"/>
      <c r="FP7021"/>
      <c r="FQ7021"/>
      <c r="FR7021"/>
      <c r="FS7021"/>
      <c r="FT7021"/>
      <c r="FU7021"/>
      <c r="FV7021"/>
      <c r="FW7021"/>
      <c r="FX7021"/>
      <c r="FY7021"/>
      <c r="FZ7021"/>
      <c r="GA7021"/>
      <c r="GB7021"/>
      <c r="GC7021"/>
      <c r="GD7021"/>
      <c r="GE7021"/>
      <c r="GF7021"/>
      <c r="GG7021"/>
      <c r="GH7021"/>
      <c r="GI7021"/>
      <c r="GJ7021"/>
      <c r="GK7021"/>
      <c r="GL7021"/>
      <c r="GM7021"/>
      <c r="GN7021"/>
      <c r="GO7021"/>
    </row>
    <row r="7022" spans="107:197">
      <c r="DC7022"/>
      <c r="FH7022"/>
      <c r="FI7022"/>
      <c r="FJ7022"/>
      <c r="FK7022"/>
      <c r="FL7022"/>
      <c r="FM7022"/>
      <c r="FN7022"/>
      <c r="FO7022"/>
      <c r="FP7022"/>
      <c r="FQ7022"/>
      <c r="FR7022"/>
      <c r="FS7022"/>
      <c r="FT7022"/>
      <c r="FU7022"/>
      <c r="FV7022"/>
      <c r="FW7022"/>
      <c r="FX7022"/>
      <c r="FY7022"/>
      <c r="FZ7022"/>
      <c r="GA7022"/>
      <c r="GB7022"/>
      <c r="GC7022"/>
      <c r="GD7022"/>
      <c r="GE7022"/>
      <c r="GF7022"/>
      <c r="GG7022"/>
      <c r="GH7022"/>
      <c r="GI7022"/>
      <c r="GJ7022"/>
      <c r="GK7022"/>
      <c r="GL7022"/>
      <c r="GM7022"/>
      <c r="GN7022"/>
      <c r="GO7022"/>
    </row>
    <row r="7023" spans="107:197">
      <c r="DC7023"/>
      <c r="FH7023"/>
      <c r="FI7023"/>
      <c r="FJ7023"/>
      <c r="FK7023"/>
      <c r="FL7023"/>
      <c r="FM7023"/>
      <c r="FN7023"/>
      <c r="FO7023"/>
      <c r="FP7023"/>
      <c r="FQ7023"/>
      <c r="FR7023"/>
      <c r="FS7023"/>
      <c r="FT7023"/>
      <c r="FU7023"/>
      <c r="FV7023"/>
      <c r="FW7023"/>
      <c r="FX7023"/>
      <c r="FY7023"/>
      <c r="FZ7023"/>
      <c r="GA7023"/>
      <c r="GB7023"/>
      <c r="GC7023"/>
      <c r="GD7023"/>
      <c r="GE7023"/>
      <c r="GF7023"/>
      <c r="GG7023"/>
      <c r="GH7023"/>
      <c r="GI7023"/>
      <c r="GJ7023"/>
      <c r="GK7023"/>
      <c r="GL7023"/>
      <c r="GM7023"/>
      <c r="GN7023"/>
      <c r="GO7023"/>
    </row>
    <row r="7024" spans="107:197">
      <c r="DC7024"/>
      <c r="FH7024"/>
      <c r="FI7024"/>
      <c r="FJ7024"/>
      <c r="FK7024"/>
      <c r="FL7024"/>
      <c r="FM7024"/>
      <c r="FN7024"/>
      <c r="FO7024"/>
      <c r="FP7024"/>
      <c r="FQ7024"/>
      <c r="FR7024"/>
      <c r="FS7024"/>
      <c r="FT7024"/>
      <c r="FU7024"/>
      <c r="FV7024"/>
      <c r="FW7024"/>
      <c r="FX7024"/>
      <c r="FY7024"/>
      <c r="FZ7024"/>
      <c r="GA7024"/>
      <c r="GB7024"/>
      <c r="GC7024"/>
      <c r="GD7024"/>
      <c r="GE7024"/>
      <c r="GF7024"/>
      <c r="GG7024"/>
      <c r="GH7024"/>
      <c r="GI7024"/>
      <c r="GJ7024"/>
      <c r="GK7024"/>
      <c r="GL7024"/>
      <c r="GM7024"/>
      <c r="GN7024"/>
      <c r="GO7024"/>
    </row>
    <row r="7025" spans="107:197">
      <c r="DC7025"/>
      <c r="FH7025"/>
      <c r="FI7025"/>
      <c r="FJ7025"/>
      <c r="FK7025"/>
      <c r="FL7025"/>
      <c r="FM7025"/>
      <c r="FN7025"/>
      <c r="FO7025"/>
      <c r="FP7025"/>
      <c r="FQ7025"/>
      <c r="FR7025"/>
      <c r="FS7025"/>
      <c r="FT7025"/>
      <c r="FU7025"/>
      <c r="FV7025"/>
      <c r="FW7025"/>
      <c r="FX7025"/>
      <c r="FY7025"/>
      <c r="FZ7025"/>
      <c r="GA7025"/>
      <c r="GB7025"/>
      <c r="GC7025"/>
      <c r="GD7025"/>
      <c r="GE7025"/>
      <c r="GF7025"/>
      <c r="GG7025"/>
      <c r="GH7025"/>
      <c r="GI7025"/>
      <c r="GJ7025"/>
      <c r="GK7025"/>
      <c r="GL7025"/>
      <c r="GM7025"/>
      <c r="GN7025"/>
      <c r="GO7025"/>
    </row>
    <row r="7026" spans="107:197">
      <c r="DC7026"/>
      <c r="FH7026"/>
      <c r="FI7026"/>
      <c r="FJ7026"/>
      <c r="FK7026"/>
      <c r="FL7026"/>
      <c r="FM7026"/>
      <c r="FN7026"/>
      <c r="FO7026"/>
      <c r="FP7026"/>
      <c r="FQ7026"/>
      <c r="FR7026"/>
      <c r="FS7026"/>
      <c r="FT7026"/>
      <c r="FU7026"/>
      <c r="FV7026"/>
      <c r="FW7026"/>
      <c r="FX7026"/>
      <c r="FY7026"/>
      <c r="FZ7026"/>
      <c r="GA7026"/>
      <c r="GB7026"/>
      <c r="GC7026"/>
      <c r="GD7026"/>
      <c r="GE7026"/>
      <c r="GF7026"/>
      <c r="GG7026"/>
      <c r="GH7026"/>
      <c r="GI7026"/>
      <c r="GJ7026"/>
      <c r="GK7026"/>
      <c r="GL7026"/>
      <c r="GM7026"/>
      <c r="GN7026"/>
      <c r="GO7026"/>
    </row>
    <row r="7027" spans="107:197">
      <c r="DC7027"/>
      <c r="FH7027"/>
      <c r="FI7027"/>
      <c r="FJ7027"/>
      <c r="FK7027"/>
      <c r="FL7027"/>
      <c r="FM7027"/>
      <c r="FN7027"/>
      <c r="FO7027"/>
      <c r="FP7027"/>
      <c r="FQ7027"/>
      <c r="FR7027"/>
      <c r="FS7027"/>
      <c r="FT7027"/>
      <c r="FU7027"/>
      <c r="FV7027"/>
      <c r="FW7027"/>
      <c r="FX7027"/>
      <c r="FY7027"/>
      <c r="FZ7027"/>
      <c r="GA7027"/>
      <c r="GB7027"/>
      <c r="GC7027"/>
      <c r="GD7027"/>
      <c r="GE7027"/>
      <c r="GF7027"/>
      <c r="GG7027"/>
      <c r="GH7027"/>
      <c r="GI7027"/>
      <c r="GJ7027"/>
      <c r="GK7027"/>
      <c r="GL7027"/>
      <c r="GM7027"/>
      <c r="GN7027"/>
      <c r="GO7027"/>
    </row>
    <row r="7028" spans="107:197">
      <c r="DC7028"/>
      <c r="FH7028"/>
      <c r="FI7028"/>
      <c r="FJ7028"/>
      <c r="FK7028"/>
      <c r="FL7028"/>
      <c r="FM7028"/>
      <c r="FN7028"/>
      <c r="FO7028"/>
      <c r="FP7028"/>
      <c r="FQ7028"/>
      <c r="FR7028"/>
      <c r="FS7028"/>
      <c r="FT7028"/>
      <c r="FU7028"/>
      <c r="FV7028"/>
      <c r="FW7028"/>
      <c r="FX7028"/>
      <c r="FY7028"/>
      <c r="FZ7028"/>
      <c r="GA7028"/>
      <c r="GB7028"/>
      <c r="GC7028"/>
      <c r="GD7028"/>
      <c r="GE7028"/>
      <c r="GF7028"/>
      <c r="GG7028"/>
      <c r="GH7028"/>
      <c r="GI7028"/>
      <c r="GJ7028"/>
      <c r="GK7028"/>
      <c r="GL7028"/>
      <c r="GM7028"/>
      <c r="GN7028"/>
      <c r="GO7028"/>
    </row>
    <row r="7029" spans="107:197">
      <c r="DC7029"/>
      <c r="FH7029"/>
      <c r="FI7029"/>
      <c r="FJ7029"/>
      <c r="FK7029"/>
      <c r="FL7029"/>
      <c r="FM7029"/>
      <c r="FN7029"/>
      <c r="FO7029"/>
      <c r="FP7029"/>
      <c r="FQ7029"/>
      <c r="FR7029"/>
      <c r="FS7029"/>
      <c r="FT7029"/>
      <c r="FU7029"/>
      <c r="FV7029"/>
      <c r="FW7029"/>
      <c r="FX7029"/>
      <c r="FY7029"/>
      <c r="FZ7029"/>
      <c r="GA7029"/>
      <c r="GB7029"/>
      <c r="GC7029"/>
      <c r="GD7029"/>
      <c r="GE7029"/>
      <c r="GF7029"/>
      <c r="GG7029"/>
      <c r="GH7029"/>
      <c r="GI7029"/>
      <c r="GJ7029"/>
      <c r="GK7029"/>
      <c r="GL7029"/>
      <c r="GM7029"/>
      <c r="GN7029"/>
      <c r="GO7029"/>
    </row>
    <row r="7030" spans="107:197">
      <c r="DC7030"/>
      <c r="FH7030"/>
      <c r="FI7030"/>
      <c r="FJ7030"/>
      <c r="FK7030"/>
      <c r="FL7030"/>
      <c r="FM7030"/>
      <c r="FN7030"/>
      <c r="FO7030"/>
      <c r="FP7030"/>
      <c r="FQ7030"/>
      <c r="FR7030"/>
      <c r="FS7030"/>
      <c r="FT7030"/>
      <c r="FU7030"/>
      <c r="FV7030"/>
      <c r="FW7030"/>
      <c r="FX7030"/>
      <c r="FY7030"/>
      <c r="FZ7030"/>
      <c r="GA7030"/>
      <c r="GB7030"/>
      <c r="GC7030"/>
      <c r="GD7030"/>
      <c r="GE7030"/>
      <c r="GF7030"/>
      <c r="GG7030"/>
      <c r="GH7030"/>
      <c r="GI7030"/>
      <c r="GJ7030"/>
      <c r="GK7030"/>
      <c r="GL7030"/>
      <c r="GM7030"/>
      <c r="GN7030"/>
      <c r="GO7030"/>
    </row>
    <row r="7031" spans="107:197">
      <c r="DC7031"/>
      <c r="FH7031"/>
      <c r="FI7031"/>
      <c r="FJ7031"/>
      <c r="FK7031"/>
      <c r="FL7031"/>
      <c r="FM7031"/>
      <c r="FN7031"/>
      <c r="FO7031"/>
      <c r="FP7031"/>
      <c r="FQ7031"/>
      <c r="FR7031"/>
      <c r="FS7031"/>
      <c r="FT7031"/>
      <c r="FU7031"/>
      <c r="FV7031"/>
      <c r="FW7031"/>
      <c r="FX7031"/>
      <c r="FY7031"/>
      <c r="FZ7031"/>
      <c r="GA7031"/>
      <c r="GB7031"/>
      <c r="GC7031"/>
      <c r="GD7031"/>
      <c r="GE7031"/>
      <c r="GF7031"/>
      <c r="GG7031"/>
      <c r="GH7031"/>
      <c r="GI7031"/>
      <c r="GJ7031"/>
      <c r="GK7031"/>
      <c r="GL7031"/>
      <c r="GM7031"/>
      <c r="GN7031"/>
      <c r="GO7031"/>
    </row>
    <row r="7032" spans="107:197">
      <c r="DC7032"/>
      <c r="FH7032"/>
      <c r="FI7032"/>
      <c r="FJ7032"/>
      <c r="FK7032"/>
      <c r="FL7032"/>
      <c r="FM7032"/>
      <c r="FN7032"/>
      <c r="FO7032"/>
      <c r="FP7032"/>
      <c r="FQ7032"/>
      <c r="FR7032"/>
      <c r="FS7032"/>
      <c r="FT7032"/>
      <c r="FU7032"/>
      <c r="FV7032"/>
      <c r="FW7032"/>
      <c r="FX7032"/>
      <c r="FY7032"/>
      <c r="FZ7032"/>
      <c r="GA7032"/>
      <c r="GB7032"/>
      <c r="GC7032"/>
      <c r="GD7032"/>
      <c r="GE7032"/>
      <c r="GF7032"/>
      <c r="GG7032"/>
      <c r="GH7032"/>
      <c r="GI7032"/>
      <c r="GJ7032"/>
      <c r="GK7032"/>
      <c r="GL7032"/>
      <c r="GM7032"/>
      <c r="GN7032"/>
      <c r="GO7032"/>
    </row>
    <row r="7033" spans="107:197">
      <c r="DC7033"/>
      <c r="FH7033"/>
      <c r="FI7033"/>
      <c r="FJ7033"/>
      <c r="FK7033"/>
      <c r="FL7033"/>
      <c r="FM7033"/>
      <c r="FN7033"/>
      <c r="FO7033"/>
      <c r="FP7033"/>
      <c r="FQ7033"/>
      <c r="FR7033"/>
      <c r="FS7033"/>
      <c r="FT7033"/>
      <c r="FU7033"/>
      <c r="FV7033"/>
      <c r="FW7033"/>
      <c r="FX7033"/>
      <c r="FY7033"/>
      <c r="FZ7033"/>
      <c r="GA7033"/>
      <c r="GB7033"/>
      <c r="GC7033"/>
      <c r="GD7033"/>
      <c r="GE7033"/>
      <c r="GF7033"/>
      <c r="GG7033"/>
      <c r="GH7033"/>
      <c r="GI7033"/>
      <c r="GJ7033"/>
      <c r="GK7033"/>
      <c r="GL7033"/>
      <c r="GM7033"/>
      <c r="GN7033"/>
      <c r="GO7033"/>
    </row>
    <row r="7034" spans="107:197">
      <c r="DC7034"/>
      <c r="FH7034"/>
      <c r="FI7034"/>
      <c r="FJ7034"/>
      <c r="FK7034"/>
      <c r="FL7034"/>
      <c r="FM7034"/>
      <c r="FN7034"/>
      <c r="FO7034"/>
      <c r="FP7034"/>
      <c r="FQ7034"/>
      <c r="FR7034"/>
      <c r="FS7034"/>
      <c r="FT7034"/>
      <c r="FU7034"/>
      <c r="FV7034"/>
      <c r="FW7034"/>
      <c r="FX7034"/>
      <c r="FY7034"/>
      <c r="FZ7034"/>
      <c r="GA7034"/>
      <c r="GB7034"/>
      <c r="GC7034"/>
      <c r="GD7034"/>
      <c r="GE7034"/>
      <c r="GF7034"/>
      <c r="GG7034"/>
      <c r="GH7034"/>
      <c r="GI7034"/>
      <c r="GJ7034"/>
      <c r="GK7034"/>
      <c r="GL7034"/>
      <c r="GM7034"/>
      <c r="GN7034"/>
      <c r="GO7034"/>
    </row>
    <row r="7035" spans="107:197">
      <c r="DC7035"/>
      <c r="FH7035"/>
      <c r="FI7035"/>
      <c r="FJ7035"/>
      <c r="FK7035"/>
      <c r="FL7035"/>
      <c r="FM7035"/>
      <c r="FN7035"/>
      <c r="FO7035"/>
      <c r="FP7035"/>
      <c r="FQ7035"/>
      <c r="FR7035"/>
      <c r="FS7035"/>
      <c r="FT7035"/>
      <c r="FU7035"/>
      <c r="FV7035"/>
      <c r="FW7035"/>
      <c r="FX7035"/>
      <c r="FY7035"/>
      <c r="FZ7035"/>
      <c r="GA7035"/>
      <c r="GB7035"/>
      <c r="GC7035"/>
      <c r="GD7035"/>
      <c r="GE7035"/>
      <c r="GF7035"/>
      <c r="GG7035"/>
      <c r="GH7035"/>
      <c r="GI7035"/>
      <c r="GJ7035"/>
      <c r="GK7035"/>
      <c r="GL7035"/>
      <c r="GM7035"/>
      <c r="GN7035"/>
      <c r="GO7035"/>
    </row>
    <row r="7036" spans="107:197">
      <c r="DC7036"/>
      <c r="FH7036"/>
      <c r="FI7036"/>
      <c r="FJ7036"/>
      <c r="FK7036"/>
      <c r="FL7036"/>
      <c r="FM7036"/>
      <c r="FN7036"/>
      <c r="FO7036"/>
      <c r="FP7036"/>
      <c r="FQ7036"/>
      <c r="FR7036"/>
      <c r="FS7036"/>
      <c r="FT7036"/>
      <c r="FU7036"/>
      <c r="FV7036"/>
      <c r="FW7036"/>
      <c r="FX7036"/>
      <c r="FY7036"/>
      <c r="FZ7036"/>
      <c r="GA7036"/>
      <c r="GB7036"/>
      <c r="GC7036"/>
      <c r="GD7036"/>
      <c r="GE7036"/>
      <c r="GF7036"/>
      <c r="GG7036"/>
      <c r="GH7036"/>
      <c r="GI7036"/>
      <c r="GJ7036"/>
      <c r="GK7036"/>
      <c r="GL7036"/>
      <c r="GM7036"/>
      <c r="GN7036"/>
      <c r="GO7036"/>
    </row>
    <row r="7037" spans="107:197">
      <c r="DC7037"/>
      <c r="FH7037"/>
      <c r="FI7037"/>
      <c r="FJ7037"/>
      <c r="FK7037"/>
      <c r="FL7037"/>
      <c r="FM7037"/>
      <c r="FN7037"/>
      <c r="FO7037"/>
      <c r="FP7037"/>
      <c r="FQ7037"/>
      <c r="FR7037"/>
      <c r="FS7037"/>
      <c r="FT7037"/>
      <c r="FU7037"/>
      <c r="FV7037"/>
      <c r="FW7037"/>
      <c r="FX7037"/>
      <c r="FY7037"/>
      <c r="FZ7037"/>
      <c r="GA7037"/>
      <c r="GB7037"/>
      <c r="GC7037"/>
      <c r="GD7037"/>
      <c r="GE7037"/>
      <c r="GF7037"/>
      <c r="GG7037"/>
      <c r="GH7037"/>
      <c r="GI7037"/>
      <c r="GJ7037"/>
      <c r="GK7037"/>
      <c r="GL7037"/>
      <c r="GM7037"/>
      <c r="GN7037"/>
      <c r="GO7037"/>
    </row>
    <row r="7038" spans="107:197">
      <c r="DC7038"/>
      <c r="FH7038"/>
      <c r="FI7038"/>
      <c r="FJ7038"/>
      <c r="FK7038"/>
      <c r="FL7038"/>
      <c r="FM7038"/>
      <c r="FN7038"/>
      <c r="FO7038"/>
      <c r="FP7038"/>
      <c r="FQ7038"/>
      <c r="FR7038"/>
      <c r="FS7038"/>
      <c r="FT7038"/>
      <c r="FU7038"/>
      <c r="FV7038"/>
      <c r="FW7038"/>
      <c r="FX7038"/>
      <c r="FY7038"/>
      <c r="FZ7038"/>
      <c r="GA7038"/>
      <c r="GB7038"/>
      <c r="GC7038"/>
      <c r="GD7038"/>
      <c r="GE7038"/>
      <c r="GF7038"/>
      <c r="GG7038"/>
      <c r="GH7038"/>
      <c r="GI7038"/>
      <c r="GJ7038"/>
      <c r="GK7038"/>
      <c r="GL7038"/>
      <c r="GM7038"/>
      <c r="GN7038"/>
      <c r="GO7038"/>
    </row>
    <row r="7039" spans="107:197">
      <c r="DC7039"/>
      <c r="FH7039"/>
      <c r="FI7039"/>
      <c r="FJ7039"/>
      <c r="FK7039"/>
      <c r="FL7039"/>
      <c r="FM7039"/>
      <c r="FN7039"/>
      <c r="FO7039"/>
      <c r="FP7039"/>
      <c r="FQ7039"/>
      <c r="FR7039"/>
      <c r="FS7039"/>
      <c r="FT7039"/>
      <c r="FU7039"/>
      <c r="FV7039"/>
      <c r="FW7039"/>
      <c r="FX7039"/>
      <c r="FY7039"/>
      <c r="FZ7039"/>
      <c r="GA7039"/>
      <c r="GB7039"/>
      <c r="GC7039"/>
      <c r="GD7039"/>
      <c r="GE7039"/>
      <c r="GF7039"/>
      <c r="GG7039"/>
      <c r="GH7039"/>
      <c r="GI7039"/>
      <c r="GJ7039"/>
      <c r="GK7039"/>
      <c r="GL7039"/>
      <c r="GM7039"/>
      <c r="GN7039"/>
      <c r="GO7039"/>
    </row>
    <row r="7040" spans="107:197">
      <c r="DC7040"/>
      <c r="FH7040"/>
      <c r="FI7040"/>
      <c r="FJ7040"/>
      <c r="FK7040"/>
      <c r="FL7040"/>
      <c r="FM7040"/>
      <c r="FN7040"/>
      <c r="FO7040"/>
      <c r="FP7040"/>
      <c r="FQ7040"/>
      <c r="FR7040"/>
      <c r="FS7040"/>
      <c r="FT7040"/>
      <c r="FU7040"/>
      <c r="FV7040"/>
      <c r="FW7040"/>
      <c r="FX7040"/>
      <c r="FY7040"/>
      <c r="FZ7040"/>
      <c r="GA7040"/>
      <c r="GB7040"/>
      <c r="GC7040"/>
      <c r="GD7040"/>
      <c r="GE7040"/>
      <c r="GF7040"/>
      <c r="GG7040"/>
      <c r="GH7040"/>
      <c r="GI7040"/>
      <c r="GJ7040"/>
      <c r="GK7040"/>
      <c r="GL7040"/>
      <c r="GM7040"/>
      <c r="GN7040"/>
      <c r="GO7040"/>
    </row>
    <row r="7041" spans="107:197">
      <c r="DC7041"/>
      <c r="FH7041"/>
      <c r="FI7041"/>
      <c r="FJ7041"/>
      <c r="FK7041"/>
      <c r="FL7041"/>
      <c r="FM7041"/>
      <c r="FN7041"/>
      <c r="FO7041"/>
      <c r="FP7041"/>
      <c r="FQ7041"/>
      <c r="FR7041"/>
      <c r="FS7041"/>
      <c r="FT7041"/>
      <c r="FU7041"/>
      <c r="FV7041"/>
      <c r="FW7041"/>
      <c r="FX7041"/>
      <c r="FY7041"/>
      <c r="FZ7041"/>
      <c r="GA7041"/>
      <c r="GB7041"/>
      <c r="GC7041"/>
      <c r="GD7041"/>
      <c r="GE7041"/>
      <c r="GF7041"/>
      <c r="GG7041"/>
      <c r="GH7041"/>
      <c r="GI7041"/>
      <c r="GJ7041"/>
      <c r="GK7041"/>
      <c r="GL7041"/>
      <c r="GM7041"/>
      <c r="GN7041"/>
      <c r="GO7041"/>
    </row>
    <row r="7042" spans="107:197">
      <c r="DC7042"/>
      <c r="FH7042"/>
      <c r="FI7042"/>
      <c r="FJ7042"/>
      <c r="FK7042"/>
      <c r="FL7042"/>
      <c r="FM7042"/>
      <c r="FN7042"/>
      <c r="FO7042"/>
      <c r="FP7042"/>
      <c r="FQ7042"/>
      <c r="FR7042"/>
      <c r="FS7042"/>
      <c r="FT7042"/>
      <c r="FU7042"/>
      <c r="FV7042"/>
      <c r="FW7042"/>
      <c r="FX7042"/>
      <c r="FY7042"/>
      <c r="FZ7042"/>
      <c r="GA7042"/>
      <c r="GB7042"/>
      <c r="GC7042"/>
      <c r="GD7042"/>
      <c r="GE7042"/>
      <c r="GF7042"/>
      <c r="GG7042"/>
      <c r="GH7042"/>
      <c r="GI7042"/>
      <c r="GJ7042"/>
      <c r="GK7042"/>
      <c r="GL7042"/>
      <c r="GM7042"/>
      <c r="GN7042"/>
      <c r="GO7042"/>
    </row>
    <row r="7043" spans="107:197">
      <c r="DC7043"/>
      <c r="FH7043"/>
      <c r="FI7043"/>
      <c r="FJ7043"/>
      <c r="FK7043"/>
      <c r="FL7043"/>
      <c r="FM7043"/>
      <c r="FN7043"/>
      <c r="FO7043"/>
      <c r="FP7043"/>
      <c r="FQ7043"/>
      <c r="FR7043"/>
      <c r="FS7043"/>
      <c r="FT7043"/>
      <c r="FU7043"/>
      <c r="FV7043"/>
      <c r="FW7043"/>
      <c r="FX7043"/>
      <c r="FY7043"/>
      <c r="FZ7043"/>
      <c r="GA7043"/>
      <c r="GB7043"/>
      <c r="GC7043"/>
      <c r="GD7043"/>
      <c r="GE7043"/>
      <c r="GF7043"/>
      <c r="GG7043"/>
      <c r="GH7043"/>
      <c r="GI7043"/>
      <c r="GJ7043"/>
      <c r="GK7043"/>
      <c r="GL7043"/>
      <c r="GM7043"/>
      <c r="GN7043"/>
      <c r="GO7043"/>
    </row>
    <row r="7044" spans="107:197">
      <c r="DC7044"/>
      <c r="FH7044"/>
      <c r="FI7044"/>
      <c r="FJ7044"/>
      <c r="FK7044"/>
      <c r="FL7044"/>
      <c r="FM7044"/>
      <c r="FN7044"/>
      <c r="FO7044"/>
      <c r="FP7044"/>
      <c r="FQ7044"/>
      <c r="FR7044"/>
      <c r="FS7044"/>
      <c r="FT7044"/>
      <c r="FU7044"/>
      <c r="FV7044"/>
      <c r="FW7044"/>
      <c r="FX7044"/>
      <c r="FY7044"/>
      <c r="FZ7044"/>
      <c r="GA7044"/>
      <c r="GB7044"/>
      <c r="GC7044"/>
      <c r="GD7044"/>
      <c r="GE7044"/>
      <c r="GF7044"/>
      <c r="GG7044"/>
      <c r="GH7044"/>
      <c r="GI7044"/>
      <c r="GJ7044"/>
      <c r="GK7044"/>
      <c r="GL7044"/>
      <c r="GM7044"/>
      <c r="GN7044"/>
      <c r="GO7044"/>
    </row>
    <row r="7045" spans="107:197">
      <c r="DC7045"/>
      <c r="FH7045"/>
      <c r="FI7045"/>
      <c r="FJ7045"/>
      <c r="FK7045"/>
      <c r="FL7045"/>
      <c r="FM7045"/>
      <c r="FN7045"/>
      <c r="FO7045"/>
      <c r="FP7045"/>
      <c r="FQ7045"/>
      <c r="FR7045"/>
      <c r="FS7045"/>
      <c r="FT7045"/>
      <c r="FU7045"/>
      <c r="FV7045"/>
      <c r="FW7045"/>
      <c r="FX7045"/>
      <c r="FY7045"/>
      <c r="FZ7045"/>
      <c r="GA7045"/>
      <c r="GB7045"/>
      <c r="GC7045"/>
      <c r="GD7045"/>
      <c r="GE7045"/>
      <c r="GF7045"/>
      <c r="GG7045"/>
      <c r="GH7045"/>
      <c r="GI7045"/>
      <c r="GJ7045"/>
      <c r="GK7045"/>
      <c r="GL7045"/>
      <c r="GM7045"/>
      <c r="GN7045"/>
      <c r="GO7045"/>
    </row>
    <row r="7046" spans="107:197">
      <c r="DC7046"/>
      <c r="FH7046"/>
      <c r="FI7046"/>
      <c r="FJ7046"/>
      <c r="FK7046"/>
      <c r="FL7046"/>
      <c r="FM7046"/>
      <c r="FN7046"/>
      <c r="FO7046"/>
      <c r="FP7046"/>
      <c r="FQ7046"/>
      <c r="FR7046"/>
      <c r="FS7046"/>
      <c r="FT7046"/>
      <c r="FU7046"/>
      <c r="FV7046"/>
      <c r="FW7046"/>
      <c r="FX7046"/>
      <c r="FY7046"/>
      <c r="FZ7046"/>
      <c r="GA7046"/>
      <c r="GB7046"/>
      <c r="GC7046"/>
      <c r="GD7046"/>
      <c r="GE7046"/>
      <c r="GF7046"/>
      <c r="GG7046"/>
      <c r="GH7046"/>
      <c r="GI7046"/>
      <c r="GJ7046"/>
      <c r="GK7046"/>
      <c r="GL7046"/>
      <c r="GM7046"/>
      <c r="GN7046"/>
      <c r="GO7046"/>
    </row>
    <row r="7047" spans="107:197">
      <c r="DC7047"/>
      <c r="FH7047"/>
      <c r="FI7047"/>
      <c r="FJ7047"/>
      <c r="FK7047"/>
      <c r="FL7047"/>
      <c r="FM7047"/>
      <c r="FN7047"/>
      <c r="FO7047"/>
      <c r="FP7047"/>
      <c r="FQ7047"/>
      <c r="FR7047"/>
      <c r="FS7047"/>
      <c r="FT7047"/>
      <c r="FU7047"/>
      <c r="FV7047"/>
      <c r="FW7047"/>
      <c r="FX7047"/>
      <c r="FY7047"/>
      <c r="FZ7047"/>
      <c r="GA7047"/>
      <c r="GB7047"/>
      <c r="GC7047"/>
      <c r="GD7047"/>
      <c r="GE7047"/>
      <c r="GF7047"/>
      <c r="GG7047"/>
      <c r="GH7047"/>
      <c r="GI7047"/>
      <c r="GJ7047"/>
      <c r="GK7047"/>
      <c r="GL7047"/>
      <c r="GM7047"/>
      <c r="GN7047"/>
      <c r="GO7047"/>
    </row>
    <row r="7048" spans="107:197">
      <c r="DC7048"/>
      <c r="FH7048"/>
      <c r="FI7048"/>
      <c r="FJ7048"/>
      <c r="FK7048"/>
      <c r="FL7048"/>
      <c r="FM7048"/>
      <c r="FN7048"/>
      <c r="FO7048"/>
      <c r="FP7048"/>
      <c r="FQ7048"/>
      <c r="FR7048"/>
      <c r="FS7048"/>
      <c r="FT7048"/>
      <c r="FU7048"/>
      <c r="FV7048"/>
      <c r="FW7048"/>
      <c r="FX7048"/>
      <c r="FY7048"/>
      <c r="FZ7048"/>
      <c r="GA7048"/>
      <c r="GB7048"/>
      <c r="GC7048"/>
      <c r="GD7048"/>
      <c r="GE7048"/>
      <c r="GF7048"/>
      <c r="GG7048"/>
      <c r="GH7048"/>
      <c r="GI7048"/>
      <c r="GJ7048"/>
      <c r="GK7048"/>
      <c r="GL7048"/>
      <c r="GM7048"/>
      <c r="GN7048"/>
      <c r="GO7048"/>
    </row>
    <row r="7049" spans="107:197">
      <c r="DC7049"/>
      <c r="FH7049"/>
      <c r="FI7049"/>
      <c r="FJ7049"/>
      <c r="FK7049"/>
      <c r="FL7049"/>
      <c r="FM7049"/>
      <c r="FN7049"/>
      <c r="FO7049"/>
      <c r="FP7049"/>
      <c r="FQ7049"/>
      <c r="FR7049"/>
      <c r="FS7049"/>
      <c r="FT7049"/>
      <c r="FU7049"/>
      <c r="FV7049"/>
      <c r="FW7049"/>
      <c r="FX7049"/>
      <c r="FY7049"/>
      <c r="FZ7049"/>
      <c r="GA7049"/>
      <c r="GB7049"/>
      <c r="GC7049"/>
      <c r="GD7049"/>
      <c r="GE7049"/>
      <c r="GF7049"/>
      <c r="GG7049"/>
      <c r="GH7049"/>
      <c r="GI7049"/>
      <c r="GJ7049"/>
      <c r="GK7049"/>
      <c r="GL7049"/>
      <c r="GM7049"/>
      <c r="GN7049"/>
      <c r="GO7049"/>
    </row>
    <row r="7050" spans="107:197">
      <c r="DC7050"/>
      <c r="FH7050"/>
      <c r="FI7050"/>
      <c r="FJ7050"/>
      <c r="FK7050"/>
      <c r="FL7050"/>
      <c r="FM7050"/>
      <c r="FN7050"/>
      <c r="FO7050"/>
      <c r="FP7050"/>
      <c r="FQ7050"/>
      <c r="FR7050"/>
      <c r="FS7050"/>
      <c r="FT7050"/>
      <c r="FU7050"/>
      <c r="FV7050"/>
      <c r="FW7050"/>
      <c r="FX7050"/>
      <c r="FY7050"/>
      <c r="FZ7050"/>
      <c r="GA7050"/>
      <c r="GB7050"/>
      <c r="GC7050"/>
      <c r="GD7050"/>
      <c r="GE7050"/>
      <c r="GF7050"/>
      <c r="GG7050"/>
      <c r="GH7050"/>
      <c r="GI7050"/>
      <c r="GJ7050"/>
      <c r="GK7050"/>
      <c r="GL7050"/>
      <c r="GM7050"/>
      <c r="GN7050"/>
      <c r="GO7050"/>
    </row>
    <row r="7051" spans="107:197">
      <c r="DC7051"/>
      <c r="FH7051"/>
      <c r="FI7051"/>
      <c r="FJ7051"/>
      <c r="FK7051"/>
      <c r="FL7051"/>
      <c r="FM7051"/>
      <c r="FN7051"/>
      <c r="FO7051"/>
      <c r="FP7051"/>
      <c r="FQ7051"/>
      <c r="FR7051"/>
      <c r="FS7051"/>
      <c r="FT7051"/>
      <c r="FU7051"/>
      <c r="FV7051"/>
      <c r="FW7051"/>
      <c r="FX7051"/>
      <c r="FY7051"/>
      <c r="FZ7051"/>
      <c r="GA7051"/>
      <c r="GB7051"/>
      <c r="GC7051"/>
      <c r="GD7051"/>
      <c r="GE7051"/>
      <c r="GF7051"/>
      <c r="GG7051"/>
      <c r="GH7051"/>
      <c r="GI7051"/>
      <c r="GJ7051"/>
      <c r="GK7051"/>
      <c r="GL7051"/>
      <c r="GM7051"/>
      <c r="GN7051"/>
      <c r="GO7051"/>
    </row>
    <row r="7052" spans="107:197">
      <c r="DC7052"/>
      <c r="FH7052"/>
      <c r="FI7052"/>
      <c r="FJ7052"/>
      <c r="FK7052"/>
      <c r="FL7052"/>
      <c r="FM7052"/>
      <c r="FN7052"/>
      <c r="FO7052"/>
      <c r="FP7052"/>
      <c r="FQ7052"/>
      <c r="FR7052"/>
      <c r="FS7052"/>
      <c r="FT7052"/>
      <c r="FU7052"/>
      <c r="FV7052"/>
      <c r="FW7052"/>
      <c r="FX7052"/>
      <c r="FY7052"/>
      <c r="FZ7052"/>
      <c r="GA7052"/>
      <c r="GB7052"/>
      <c r="GC7052"/>
      <c r="GD7052"/>
      <c r="GE7052"/>
      <c r="GF7052"/>
      <c r="GG7052"/>
      <c r="GH7052"/>
      <c r="GI7052"/>
      <c r="GJ7052"/>
      <c r="GK7052"/>
      <c r="GL7052"/>
      <c r="GM7052"/>
      <c r="GN7052"/>
      <c r="GO7052"/>
    </row>
    <row r="7053" spans="107:197">
      <c r="DC7053"/>
      <c r="FH7053"/>
      <c r="FI7053"/>
      <c r="FJ7053"/>
      <c r="FK7053"/>
      <c r="FL7053"/>
      <c r="FM7053"/>
      <c r="FN7053"/>
      <c r="FO7053"/>
      <c r="FP7053"/>
      <c r="FQ7053"/>
      <c r="FR7053"/>
      <c r="FS7053"/>
      <c r="FT7053"/>
      <c r="FU7053"/>
      <c r="FV7053"/>
      <c r="FW7053"/>
      <c r="FX7053"/>
      <c r="FY7053"/>
      <c r="FZ7053"/>
      <c r="GA7053"/>
      <c r="GB7053"/>
      <c r="GC7053"/>
      <c r="GD7053"/>
      <c r="GE7053"/>
      <c r="GF7053"/>
      <c r="GG7053"/>
      <c r="GH7053"/>
      <c r="GI7053"/>
      <c r="GJ7053"/>
      <c r="GK7053"/>
      <c r="GL7053"/>
      <c r="GM7053"/>
      <c r="GN7053"/>
      <c r="GO7053"/>
    </row>
    <row r="7054" spans="107:197">
      <c r="DC7054"/>
      <c r="FH7054"/>
      <c r="FI7054"/>
      <c r="FJ7054"/>
      <c r="FK7054"/>
      <c r="FL7054"/>
      <c r="FM7054"/>
      <c r="FN7054"/>
      <c r="FO7054"/>
      <c r="FP7054"/>
      <c r="FQ7054"/>
      <c r="FR7054"/>
      <c r="FS7054"/>
      <c r="FT7054"/>
      <c r="FU7054"/>
      <c r="FV7054"/>
      <c r="FW7054"/>
      <c r="FX7054"/>
      <c r="FY7054"/>
      <c r="FZ7054"/>
      <c r="GA7054"/>
      <c r="GB7054"/>
      <c r="GC7054"/>
      <c r="GD7054"/>
      <c r="GE7054"/>
      <c r="GF7054"/>
      <c r="GG7054"/>
      <c r="GH7054"/>
      <c r="GI7054"/>
      <c r="GJ7054"/>
      <c r="GK7054"/>
      <c r="GL7054"/>
      <c r="GM7054"/>
      <c r="GN7054"/>
      <c r="GO7054"/>
    </row>
    <row r="7055" spans="107:197">
      <c r="DC7055"/>
      <c r="FH7055"/>
      <c r="FI7055"/>
      <c r="FJ7055"/>
      <c r="FK7055"/>
      <c r="FL7055"/>
      <c r="FM7055"/>
      <c r="FN7055"/>
      <c r="FO7055"/>
      <c r="FP7055"/>
      <c r="FQ7055"/>
      <c r="FR7055"/>
      <c r="FS7055"/>
      <c r="FT7055"/>
      <c r="FU7055"/>
      <c r="FV7055"/>
      <c r="FW7055"/>
      <c r="FX7055"/>
      <c r="FY7055"/>
      <c r="FZ7055"/>
      <c r="GA7055"/>
      <c r="GB7055"/>
      <c r="GC7055"/>
      <c r="GD7055"/>
      <c r="GE7055"/>
      <c r="GF7055"/>
      <c r="GG7055"/>
      <c r="GH7055"/>
      <c r="GI7055"/>
      <c r="GJ7055"/>
      <c r="GK7055"/>
      <c r="GL7055"/>
      <c r="GM7055"/>
      <c r="GN7055"/>
      <c r="GO7055"/>
    </row>
    <row r="7056" spans="107:197">
      <c r="DC7056"/>
      <c r="FH7056"/>
      <c r="FI7056"/>
      <c r="FJ7056"/>
      <c r="FK7056"/>
      <c r="FL7056"/>
      <c r="FM7056"/>
      <c r="FN7056"/>
      <c r="FO7056"/>
      <c r="FP7056"/>
      <c r="FQ7056"/>
      <c r="FR7056"/>
      <c r="FS7056"/>
      <c r="FT7056"/>
      <c r="FU7056"/>
      <c r="FV7056"/>
      <c r="FW7056"/>
      <c r="FX7056"/>
      <c r="FY7056"/>
      <c r="FZ7056"/>
      <c r="GA7056"/>
      <c r="GB7056"/>
      <c r="GC7056"/>
      <c r="GD7056"/>
      <c r="GE7056"/>
      <c r="GF7056"/>
      <c r="GG7056"/>
      <c r="GH7056"/>
      <c r="GI7056"/>
      <c r="GJ7056"/>
      <c r="GK7056"/>
      <c r="GL7056"/>
      <c r="GM7056"/>
      <c r="GN7056"/>
      <c r="GO7056"/>
    </row>
    <row r="7057" spans="107:197">
      <c r="DC7057"/>
      <c r="FH7057"/>
      <c r="FI7057"/>
      <c r="FJ7057"/>
      <c r="FK7057"/>
      <c r="FL7057"/>
      <c r="FM7057"/>
      <c r="FN7057"/>
      <c r="FO7057"/>
      <c r="FP7057"/>
      <c r="FQ7057"/>
      <c r="FR7057"/>
      <c r="FS7057"/>
      <c r="FT7057"/>
      <c r="FU7057"/>
      <c r="FV7057"/>
      <c r="FW7057"/>
      <c r="FX7057"/>
      <c r="FY7057"/>
      <c r="FZ7057"/>
      <c r="GA7057"/>
      <c r="GB7057"/>
      <c r="GC7057"/>
      <c r="GD7057"/>
      <c r="GE7057"/>
      <c r="GF7057"/>
      <c r="GG7057"/>
      <c r="GH7057"/>
      <c r="GI7057"/>
      <c r="GJ7057"/>
      <c r="GK7057"/>
      <c r="GL7057"/>
      <c r="GM7057"/>
      <c r="GN7057"/>
      <c r="GO7057"/>
    </row>
    <row r="7058" spans="107:197">
      <c r="DC7058"/>
      <c r="FH7058"/>
      <c r="FI7058"/>
      <c r="FJ7058"/>
      <c r="FK7058"/>
      <c r="FL7058"/>
      <c r="FM7058"/>
      <c r="FN7058"/>
      <c r="FO7058"/>
      <c r="FP7058"/>
      <c r="FQ7058"/>
      <c r="FR7058"/>
      <c r="FS7058"/>
      <c r="FT7058"/>
      <c r="FU7058"/>
      <c r="FV7058"/>
      <c r="FW7058"/>
      <c r="FX7058"/>
      <c r="FY7058"/>
      <c r="FZ7058"/>
      <c r="GA7058"/>
      <c r="GB7058"/>
      <c r="GC7058"/>
      <c r="GD7058"/>
      <c r="GE7058"/>
      <c r="GF7058"/>
      <c r="GG7058"/>
      <c r="GH7058"/>
      <c r="GI7058"/>
      <c r="GJ7058"/>
      <c r="GK7058"/>
      <c r="GL7058"/>
      <c r="GM7058"/>
      <c r="GN7058"/>
      <c r="GO7058"/>
    </row>
    <row r="7059" spans="107:197">
      <c r="DC7059"/>
      <c r="FH7059"/>
      <c r="FI7059"/>
      <c r="FJ7059"/>
      <c r="FK7059"/>
      <c r="FL7059"/>
      <c r="FM7059"/>
      <c r="FN7059"/>
      <c r="FO7059"/>
      <c r="FP7059"/>
      <c r="FQ7059"/>
      <c r="FR7059"/>
      <c r="FS7059"/>
      <c r="FT7059"/>
      <c r="FU7059"/>
      <c r="FV7059"/>
      <c r="FW7059"/>
      <c r="FX7059"/>
      <c r="FY7059"/>
      <c r="FZ7059"/>
      <c r="GA7059"/>
      <c r="GB7059"/>
      <c r="GC7059"/>
      <c r="GD7059"/>
      <c r="GE7059"/>
      <c r="GF7059"/>
      <c r="GG7059"/>
      <c r="GH7059"/>
      <c r="GI7059"/>
      <c r="GJ7059"/>
      <c r="GK7059"/>
      <c r="GL7059"/>
      <c r="GM7059"/>
      <c r="GN7059"/>
      <c r="GO7059"/>
    </row>
    <row r="7060" spans="107:197">
      <c r="DC7060"/>
      <c r="FH7060"/>
      <c r="FI7060"/>
      <c r="FJ7060"/>
      <c r="FK7060"/>
      <c r="FL7060"/>
      <c r="FM7060"/>
      <c r="FN7060"/>
      <c r="FO7060"/>
      <c r="FP7060"/>
      <c r="FQ7060"/>
      <c r="FR7060"/>
      <c r="FS7060"/>
      <c r="FT7060"/>
      <c r="FU7060"/>
      <c r="FV7060"/>
      <c r="FW7060"/>
      <c r="FX7060"/>
      <c r="FY7060"/>
      <c r="FZ7060"/>
      <c r="GA7060"/>
      <c r="GB7060"/>
      <c r="GC7060"/>
      <c r="GD7060"/>
      <c r="GE7060"/>
      <c r="GF7060"/>
      <c r="GG7060"/>
      <c r="GH7060"/>
      <c r="GI7060"/>
      <c r="GJ7060"/>
      <c r="GK7060"/>
      <c r="GL7060"/>
      <c r="GM7060"/>
      <c r="GN7060"/>
      <c r="GO7060"/>
    </row>
    <row r="7061" spans="107:197">
      <c r="DC7061"/>
      <c r="FH7061"/>
      <c r="FI7061"/>
      <c r="FJ7061"/>
      <c r="FK7061"/>
      <c r="FL7061"/>
      <c r="FM7061"/>
      <c r="FN7061"/>
      <c r="FO7061"/>
      <c r="FP7061"/>
      <c r="FQ7061"/>
      <c r="FR7061"/>
      <c r="FS7061"/>
      <c r="FT7061"/>
      <c r="FU7061"/>
      <c r="FV7061"/>
      <c r="FW7061"/>
      <c r="FX7061"/>
      <c r="FY7061"/>
      <c r="FZ7061"/>
      <c r="GA7061"/>
      <c r="GB7061"/>
      <c r="GC7061"/>
      <c r="GD7061"/>
      <c r="GE7061"/>
      <c r="GF7061"/>
      <c r="GG7061"/>
      <c r="GH7061"/>
      <c r="GI7061"/>
      <c r="GJ7061"/>
      <c r="GK7061"/>
      <c r="GL7061"/>
      <c r="GM7061"/>
      <c r="GN7061"/>
      <c r="GO7061"/>
    </row>
    <row r="7062" spans="107:197">
      <c r="DC7062"/>
      <c r="FH7062"/>
      <c r="FI7062"/>
      <c r="FJ7062"/>
      <c r="FK7062"/>
      <c r="FL7062"/>
      <c r="FM7062"/>
      <c r="FN7062"/>
      <c r="FO7062"/>
      <c r="FP7062"/>
      <c r="FQ7062"/>
      <c r="FR7062"/>
      <c r="FS7062"/>
      <c r="FT7062"/>
      <c r="FU7062"/>
      <c r="FV7062"/>
      <c r="FW7062"/>
      <c r="FX7062"/>
      <c r="FY7062"/>
      <c r="FZ7062"/>
      <c r="GA7062"/>
      <c r="GB7062"/>
      <c r="GC7062"/>
      <c r="GD7062"/>
      <c r="GE7062"/>
      <c r="GF7062"/>
      <c r="GG7062"/>
      <c r="GH7062"/>
      <c r="GI7062"/>
      <c r="GJ7062"/>
      <c r="GK7062"/>
      <c r="GL7062"/>
      <c r="GM7062"/>
      <c r="GN7062"/>
      <c r="GO7062"/>
    </row>
    <row r="7063" spans="107:197">
      <c r="DC7063"/>
      <c r="FH7063"/>
      <c r="FI7063"/>
      <c r="FJ7063"/>
      <c r="FK7063"/>
      <c r="FL7063"/>
      <c r="FM7063"/>
      <c r="FN7063"/>
      <c r="FO7063"/>
      <c r="FP7063"/>
      <c r="FQ7063"/>
      <c r="FR7063"/>
      <c r="FS7063"/>
      <c r="FT7063"/>
      <c r="FU7063"/>
      <c r="FV7063"/>
      <c r="FW7063"/>
      <c r="FX7063"/>
      <c r="FY7063"/>
      <c r="FZ7063"/>
      <c r="GA7063"/>
      <c r="GB7063"/>
      <c r="GC7063"/>
      <c r="GD7063"/>
      <c r="GE7063"/>
      <c r="GF7063"/>
      <c r="GG7063"/>
      <c r="GH7063"/>
      <c r="GI7063"/>
      <c r="GJ7063"/>
      <c r="GK7063"/>
      <c r="GL7063"/>
      <c r="GM7063"/>
      <c r="GN7063"/>
      <c r="GO7063"/>
    </row>
    <row r="7064" spans="107:197">
      <c r="DC7064"/>
      <c r="FH7064"/>
      <c r="FI7064"/>
      <c r="FJ7064"/>
      <c r="FK7064"/>
      <c r="FL7064"/>
      <c r="FM7064"/>
      <c r="FN7064"/>
      <c r="FO7064"/>
      <c r="FP7064"/>
      <c r="FQ7064"/>
      <c r="FR7064"/>
      <c r="FS7064"/>
      <c r="FT7064"/>
      <c r="FU7064"/>
      <c r="FV7064"/>
      <c r="FW7064"/>
      <c r="FX7064"/>
      <c r="FY7064"/>
      <c r="FZ7064"/>
      <c r="GA7064"/>
      <c r="GB7064"/>
      <c r="GC7064"/>
      <c r="GD7064"/>
      <c r="GE7064"/>
      <c r="GF7064"/>
      <c r="GG7064"/>
      <c r="GH7064"/>
      <c r="GI7064"/>
      <c r="GJ7064"/>
      <c r="GK7064"/>
      <c r="GL7064"/>
      <c r="GM7064"/>
      <c r="GN7064"/>
      <c r="GO7064"/>
    </row>
    <row r="7065" spans="107:197">
      <c r="DC7065"/>
      <c r="FH7065"/>
      <c r="FI7065"/>
      <c r="FJ7065"/>
      <c r="FK7065"/>
      <c r="FL7065"/>
      <c r="FM7065"/>
      <c r="FN7065"/>
      <c r="FO7065"/>
      <c r="FP7065"/>
      <c r="FQ7065"/>
      <c r="FR7065"/>
      <c r="FS7065"/>
      <c r="FT7065"/>
      <c r="FU7065"/>
      <c r="FV7065"/>
      <c r="FW7065"/>
      <c r="FX7065"/>
      <c r="FY7065"/>
      <c r="FZ7065"/>
      <c r="GA7065"/>
      <c r="GB7065"/>
      <c r="GC7065"/>
      <c r="GD7065"/>
      <c r="GE7065"/>
      <c r="GF7065"/>
      <c r="GG7065"/>
      <c r="GH7065"/>
      <c r="GI7065"/>
      <c r="GJ7065"/>
      <c r="GK7065"/>
      <c r="GL7065"/>
      <c r="GM7065"/>
      <c r="GN7065"/>
      <c r="GO7065"/>
    </row>
    <row r="7066" spans="107:197">
      <c r="DC7066"/>
      <c r="FH7066"/>
      <c r="FI7066"/>
      <c r="FJ7066"/>
      <c r="FK7066"/>
      <c r="FL7066"/>
      <c r="FM7066"/>
      <c r="FN7066"/>
      <c r="FO7066"/>
      <c r="FP7066"/>
      <c r="FQ7066"/>
      <c r="FR7066"/>
      <c r="FS7066"/>
      <c r="FT7066"/>
      <c r="FU7066"/>
      <c r="FV7066"/>
      <c r="FW7066"/>
      <c r="FX7066"/>
      <c r="FY7066"/>
      <c r="FZ7066"/>
      <c r="GA7066"/>
      <c r="GB7066"/>
      <c r="GC7066"/>
      <c r="GD7066"/>
      <c r="GE7066"/>
      <c r="GF7066"/>
      <c r="GG7066"/>
      <c r="GH7066"/>
      <c r="GI7066"/>
      <c r="GJ7066"/>
      <c r="GK7066"/>
      <c r="GL7066"/>
      <c r="GM7066"/>
      <c r="GN7066"/>
      <c r="GO7066"/>
    </row>
    <row r="7067" spans="107:197">
      <c r="DC7067"/>
      <c r="FH7067"/>
      <c r="FI7067"/>
      <c r="FJ7067"/>
      <c r="FK7067"/>
      <c r="FL7067"/>
      <c r="FM7067"/>
      <c r="FN7067"/>
      <c r="FO7067"/>
      <c r="FP7067"/>
      <c r="FQ7067"/>
      <c r="FR7067"/>
      <c r="FS7067"/>
      <c r="FT7067"/>
      <c r="FU7067"/>
      <c r="FV7067"/>
      <c r="FW7067"/>
      <c r="FX7067"/>
      <c r="FY7067"/>
      <c r="FZ7067"/>
      <c r="GA7067"/>
      <c r="GB7067"/>
      <c r="GC7067"/>
      <c r="GD7067"/>
      <c r="GE7067"/>
      <c r="GF7067"/>
      <c r="GG7067"/>
      <c r="GH7067"/>
      <c r="GI7067"/>
      <c r="GJ7067"/>
      <c r="GK7067"/>
      <c r="GL7067"/>
      <c r="GM7067"/>
      <c r="GN7067"/>
      <c r="GO7067"/>
    </row>
    <row r="7068" spans="107:197">
      <c r="DC7068"/>
      <c r="FH7068"/>
      <c r="FI7068"/>
      <c r="FJ7068"/>
      <c r="FK7068"/>
      <c r="FL7068"/>
      <c r="FM7068"/>
      <c r="FN7068"/>
      <c r="FO7068"/>
      <c r="FP7068"/>
      <c r="FQ7068"/>
      <c r="FR7068"/>
      <c r="FS7068"/>
      <c r="FT7068"/>
      <c r="FU7068"/>
      <c r="FV7068"/>
      <c r="FW7068"/>
      <c r="FX7068"/>
      <c r="FY7068"/>
      <c r="FZ7068"/>
      <c r="GA7068"/>
      <c r="GB7068"/>
      <c r="GC7068"/>
      <c r="GD7068"/>
      <c r="GE7068"/>
      <c r="GF7068"/>
      <c r="GG7068"/>
      <c r="GH7068"/>
      <c r="GI7068"/>
      <c r="GJ7068"/>
      <c r="GK7068"/>
      <c r="GL7068"/>
      <c r="GM7068"/>
      <c r="GN7068"/>
      <c r="GO7068"/>
    </row>
    <row r="7069" spans="107:197">
      <c r="DC7069"/>
      <c r="FH7069"/>
      <c r="FI7069"/>
      <c r="FJ7069"/>
      <c r="FK7069"/>
      <c r="FL7069"/>
      <c r="FM7069"/>
      <c r="FN7069"/>
      <c r="FO7069"/>
      <c r="FP7069"/>
      <c r="FQ7069"/>
      <c r="FR7069"/>
      <c r="FS7069"/>
      <c r="FT7069"/>
      <c r="FU7069"/>
      <c r="FV7069"/>
      <c r="FW7069"/>
      <c r="FX7069"/>
      <c r="FY7069"/>
      <c r="FZ7069"/>
      <c r="GA7069"/>
      <c r="GB7069"/>
      <c r="GC7069"/>
      <c r="GD7069"/>
      <c r="GE7069"/>
      <c r="GF7069"/>
      <c r="GG7069"/>
      <c r="GH7069"/>
      <c r="GI7069"/>
      <c r="GJ7069"/>
      <c r="GK7069"/>
      <c r="GL7069"/>
      <c r="GM7069"/>
      <c r="GN7069"/>
      <c r="GO7069"/>
    </row>
    <row r="7070" spans="107:197">
      <c r="DC7070"/>
      <c r="FH7070"/>
      <c r="FI7070"/>
      <c r="FJ7070"/>
      <c r="FK7070"/>
      <c r="FL7070"/>
      <c r="FM7070"/>
      <c r="FN7070"/>
      <c r="FO7070"/>
      <c r="FP7070"/>
      <c r="FQ7070"/>
      <c r="FR7070"/>
      <c r="FS7070"/>
      <c r="FT7070"/>
      <c r="FU7070"/>
      <c r="FV7070"/>
      <c r="FW7070"/>
      <c r="FX7070"/>
      <c r="FY7070"/>
      <c r="FZ7070"/>
      <c r="GA7070"/>
      <c r="GB7070"/>
      <c r="GC7070"/>
      <c r="GD7070"/>
      <c r="GE7070"/>
      <c r="GF7070"/>
      <c r="GG7070"/>
      <c r="GH7070"/>
      <c r="GI7070"/>
      <c r="GJ7070"/>
      <c r="GK7070"/>
      <c r="GL7070"/>
      <c r="GM7070"/>
      <c r="GN7070"/>
      <c r="GO7070"/>
    </row>
    <row r="7071" spans="107:197">
      <c r="DC7071"/>
      <c r="FH7071"/>
      <c r="FI7071"/>
      <c r="FJ7071"/>
      <c r="FK7071"/>
      <c r="FL7071"/>
      <c r="FM7071"/>
      <c r="FN7071"/>
      <c r="FO7071"/>
      <c r="FP7071"/>
      <c r="FQ7071"/>
      <c r="FR7071"/>
      <c r="FS7071"/>
      <c r="FT7071"/>
      <c r="FU7071"/>
      <c r="FV7071"/>
      <c r="FW7071"/>
      <c r="FX7071"/>
      <c r="FY7071"/>
      <c r="FZ7071"/>
      <c r="GA7071"/>
      <c r="GB7071"/>
      <c r="GC7071"/>
      <c r="GD7071"/>
      <c r="GE7071"/>
      <c r="GF7071"/>
      <c r="GG7071"/>
      <c r="GH7071"/>
      <c r="GI7071"/>
      <c r="GJ7071"/>
      <c r="GK7071"/>
      <c r="GL7071"/>
      <c r="GM7071"/>
      <c r="GN7071"/>
      <c r="GO7071"/>
    </row>
    <row r="7072" spans="107:197">
      <c r="DC7072"/>
      <c r="FH7072"/>
      <c r="FI7072"/>
      <c r="FJ7072"/>
      <c r="FK7072"/>
      <c r="FL7072"/>
      <c r="FM7072"/>
      <c r="FN7072"/>
      <c r="FO7072"/>
      <c r="FP7072"/>
      <c r="FQ7072"/>
      <c r="FR7072"/>
      <c r="FS7072"/>
      <c r="FT7072"/>
      <c r="FU7072"/>
      <c r="FV7072"/>
      <c r="FW7072"/>
      <c r="FX7072"/>
      <c r="FY7072"/>
      <c r="FZ7072"/>
      <c r="GA7072"/>
      <c r="GB7072"/>
      <c r="GC7072"/>
      <c r="GD7072"/>
      <c r="GE7072"/>
      <c r="GF7072"/>
      <c r="GG7072"/>
      <c r="GH7072"/>
      <c r="GI7072"/>
      <c r="GJ7072"/>
      <c r="GK7072"/>
      <c r="GL7072"/>
      <c r="GM7072"/>
      <c r="GN7072"/>
      <c r="GO7072"/>
    </row>
    <row r="7073" spans="107:197">
      <c r="DC7073"/>
      <c r="FH7073"/>
      <c r="FI7073"/>
      <c r="FJ7073"/>
      <c r="FK7073"/>
      <c r="FL7073"/>
      <c r="FM7073"/>
      <c r="FN7073"/>
      <c r="FO7073"/>
      <c r="FP7073"/>
      <c r="FQ7073"/>
      <c r="FR7073"/>
      <c r="FS7073"/>
      <c r="FT7073"/>
      <c r="FU7073"/>
      <c r="FV7073"/>
      <c r="FW7073"/>
      <c r="FX7073"/>
      <c r="FY7073"/>
      <c r="FZ7073"/>
      <c r="GA7073"/>
      <c r="GB7073"/>
      <c r="GC7073"/>
      <c r="GD7073"/>
      <c r="GE7073"/>
      <c r="GF7073"/>
      <c r="GG7073"/>
      <c r="GH7073"/>
      <c r="GI7073"/>
      <c r="GJ7073"/>
      <c r="GK7073"/>
      <c r="GL7073"/>
      <c r="GM7073"/>
      <c r="GN7073"/>
      <c r="GO7073"/>
    </row>
    <row r="7074" spans="107:197">
      <c r="DC7074"/>
      <c r="FH7074"/>
      <c r="FI7074"/>
      <c r="FJ7074"/>
      <c r="FK7074"/>
      <c r="FL7074"/>
      <c r="FM7074"/>
      <c r="FN7074"/>
      <c r="FO7074"/>
      <c r="FP7074"/>
      <c r="FQ7074"/>
      <c r="FR7074"/>
      <c r="FS7074"/>
      <c r="FT7074"/>
      <c r="FU7074"/>
      <c r="FV7074"/>
      <c r="FW7074"/>
      <c r="FX7074"/>
      <c r="FY7074"/>
      <c r="FZ7074"/>
      <c r="GA7074"/>
      <c r="GB7074"/>
      <c r="GC7074"/>
      <c r="GD7074"/>
      <c r="GE7074"/>
      <c r="GF7074"/>
      <c r="GG7074"/>
      <c r="GH7074"/>
      <c r="GI7074"/>
      <c r="GJ7074"/>
      <c r="GK7074"/>
      <c r="GL7074"/>
      <c r="GM7074"/>
      <c r="GN7074"/>
      <c r="GO7074"/>
    </row>
    <row r="7075" spans="107:197">
      <c r="DC7075"/>
      <c r="FH7075"/>
      <c r="FI7075"/>
      <c r="FJ7075"/>
      <c r="FK7075"/>
      <c r="FL7075"/>
      <c r="FM7075"/>
      <c r="FN7075"/>
      <c r="FO7075"/>
      <c r="FP7075"/>
      <c r="FQ7075"/>
      <c r="FR7075"/>
      <c r="FS7075"/>
      <c r="FT7075"/>
      <c r="FU7075"/>
      <c r="FV7075"/>
      <c r="FW7075"/>
      <c r="FX7075"/>
      <c r="FY7075"/>
      <c r="FZ7075"/>
      <c r="GA7075"/>
      <c r="GB7075"/>
      <c r="GC7075"/>
      <c r="GD7075"/>
      <c r="GE7075"/>
      <c r="GF7075"/>
      <c r="GG7075"/>
      <c r="GH7075"/>
      <c r="GI7075"/>
      <c r="GJ7075"/>
      <c r="GK7075"/>
      <c r="GL7075"/>
      <c r="GM7075"/>
      <c r="GN7075"/>
      <c r="GO7075"/>
    </row>
    <row r="7076" spans="107:197">
      <c r="DC7076"/>
      <c r="FH7076"/>
      <c r="FI7076"/>
      <c r="FJ7076"/>
      <c r="FK7076"/>
      <c r="FL7076"/>
      <c r="FM7076"/>
      <c r="FN7076"/>
      <c r="FO7076"/>
      <c r="FP7076"/>
      <c r="FQ7076"/>
      <c r="FR7076"/>
      <c r="FS7076"/>
      <c r="FT7076"/>
      <c r="FU7076"/>
      <c r="FV7076"/>
      <c r="FW7076"/>
      <c r="FX7076"/>
      <c r="FY7076"/>
      <c r="FZ7076"/>
      <c r="GA7076"/>
      <c r="GB7076"/>
      <c r="GC7076"/>
      <c r="GD7076"/>
      <c r="GE7076"/>
      <c r="GF7076"/>
      <c r="GG7076"/>
      <c r="GH7076"/>
      <c r="GI7076"/>
      <c r="GJ7076"/>
      <c r="GK7076"/>
      <c r="GL7076"/>
      <c r="GM7076"/>
      <c r="GN7076"/>
      <c r="GO7076"/>
    </row>
    <row r="7077" spans="107:197">
      <c r="DC7077"/>
      <c r="FH7077"/>
      <c r="FI7077"/>
      <c r="FJ7077"/>
      <c r="FK7077"/>
      <c r="FL7077"/>
      <c r="FM7077"/>
      <c r="FN7077"/>
      <c r="FO7077"/>
      <c r="FP7077"/>
      <c r="FQ7077"/>
      <c r="FR7077"/>
      <c r="FS7077"/>
      <c r="FT7077"/>
      <c r="FU7077"/>
      <c r="FV7077"/>
      <c r="FW7077"/>
      <c r="FX7077"/>
      <c r="FY7077"/>
      <c r="FZ7077"/>
      <c r="GA7077"/>
      <c r="GB7077"/>
      <c r="GC7077"/>
      <c r="GD7077"/>
      <c r="GE7077"/>
      <c r="GF7077"/>
      <c r="GG7077"/>
      <c r="GH7077"/>
      <c r="GI7077"/>
      <c r="GJ7077"/>
      <c r="GK7077"/>
      <c r="GL7077"/>
      <c r="GM7077"/>
      <c r="GN7077"/>
      <c r="GO7077"/>
    </row>
    <row r="7078" spans="107:197">
      <c r="DC7078"/>
      <c r="FH7078"/>
      <c r="FI7078"/>
      <c r="FJ7078"/>
      <c r="FK7078"/>
      <c r="FL7078"/>
      <c r="FM7078"/>
      <c r="FN7078"/>
      <c r="FO7078"/>
      <c r="FP7078"/>
      <c r="FQ7078"/>
      <c r="FR7078"/>
      <c r="FS7078"/>
      <c r="FT7078"/>
      <c r="FU7078"/>
      <c r="FV7078"/>
      <c r="FW7078"/>
      <c r="FX7078"/>
      <c r="FY7078"/>
      <c r="FZ7078"/>
      <c r="GA7078"/>
      <c r="GB7078"/>
      <c r="GC7078"/>
      <c r="GD7078"/>
      <c r="GE7078"/>
      <c r="GF7078"/>
      <c r="GG7078"/>
      <c r="GH7078"/>
      <c r="GI7078"/>
      <c r="GJ7078"/>
      <c r="GK7078"/>
      <c r="GL7078"/>
      <c r="GM7078"/>
      <c r="GN7078"/>
      <c r="GO7078"/>
    </row>
    <row r="7079" spans="107:197">
      <c r="DC7079"/>
      <c r="FH7079"/>
      <c r="FI7079"/>
      <c r="FJ7079"/>
      <c r="FK7079"/>
      <c r="FL7079"/>
      <c r="FM7079"/>
      <c r="FN7079"/>
      <c r="FO7079"/>
      <c r="FP7079"/>
      <c r="FQ7079"/>
      <c r="FR7079"/>
      <c r="FS7079"/>
      <c r="FT7079"/>
      <c r="FU7079"/>
      <c r="FV7079"/>
      <c r="FW7079"/>
      <c r="FX7079"/>
      <c r="FY7079"/>
      <c r="FZ7079"/>
      <c r="GA7079"/>
      <c r="GB7079"/>
      <c r="GC7079"/>
      <c r="GD7079"/>
      <c r="GE7079"/>
      <c r="GF7079"/>
      <c r="GG7079"/>
      <c r="GH7079"/>
      <c r="GI7079"/>
      <c r="GJ7079"/>
      <c r="GK7079"/>
      <c r="GL7079"/>
      <c r="GM7079"/>
      <c r="GN7079"/>
      <c r="GO7079"/>
    </row>
    <row r="7080" spans="107:197">
      <c r="DC7080"/>
      <c r="FH7080"/>
      <c r="FI7080"/>
      <c r="FJ7080"/>
      <c r="FK7080"/>
      <c r="FL7080"/>
      <c r="FM7080"/>
      <c r="FN7080"/>
      <c r="FO7080"/>
      <c r="FP7080"/>
      <c r="FQ7080"/>
      <c r="FR7080"/>
      <c r="FS7080"/>
      <c r="FT7080"/>
      <c r="FU7080"/>
      <c r="FV7080"/>
      <c r="FW7080"/>
      <c r="FX7080"/>
      <c r="FY7080"/>
      <c r="FZ7080"/>
      <c r="GA7080"/>
      <c r="GB7080"/>
      <c r="GC7080"/>
      <c r="GD7080"/>
      <c r="GE7080"/>
      <c r="GF7080"/>
      <c r="GG7080"/>
      <c r="GH7080"/>
      <c r="GI7080"/>
      <c r="GJ7080"/>
      <c r="GK7080"/>
      <c r="GL7080"/>
      <c r="GM7080"/>
      <c r="GN7080"/>
      <c r="GO7080"/>
    </row>
    <row r="7081" spans="107:197">
      <c r="DC7081"/>
      <c r="FH7081"/>
      <c r="FI7081"/>
      <c r="FJ7081"/>
      <c r="FK7081"/>
      <c r="FL7081"/>
      <c r="FM7081"/>
      <c r="FN7081"/>
      <c r="FO7081"/>
      <c r="FP7081"/>
      <c r="FQ7081"/>
      <c r="FR7081"/>
      <c r="FS7081"/>
      <c r="FT7081"/>
      <c r="FU7081"/>
      <c r="FV7081"/>
      <c r="FW7081"/>
      <c r="FX7081"/>
      <c r="FY7081"/>
      <c r="FZ7081"/>
      <c r="GA7081"/>
      <c r="GB7081"/>
      <c r="GC7081"/>
      <c r="GD7081"/>
      <c r="GE7081"/>
      <c r="GF7081"/>
      <c r="GG7081"/>
      <c r="GH7081"/>
      <c r="GI7081"/>
      <c r="GJ7081"/>
      <c r="GK7081"/>
      <c r="GL7081"/>
      <c r="GM7081"/>
      <c r="GN7081"/>
      <c r="GO7081"/>
    </row>
    <row r="7082" spans="107:197">
      <c r="DC7082"/>
      <c r="FH7082"/>
      <c r="FI7082"/>
      <c r="FJ7082"/>
      <c r="FK7082"/>
      <c r="FL7082"/>
      <c r="FM7082"/>
      <c r="FN7082"/>
      <c r="FO7082"/>
      <c r="FP7082"/>
      <c r="FQ7082"/>
      <c r="FR7082"/>
      <c r="FS7082"/>
      <c r="FT7082"/>
      <c r="FU7082"/>
      <c r="FV7082"/>
      <c r="FW7082"/>
      <c r="FX7082"/>
      <c r="FY7082"/>
      <c r="FZ7082"/>
      <c r="GA7082"/>
      <c r="GB7082"/>
      <c r="GC7082"/>
      <c r="GD7082"/>
      <c r="GE7082"/>
      <c r="GF7082"/>
      <c r="GG7082"/>
      <c r="GH7082"/>
      <c r="GI7082"/>
      <c r="GJ7082"/>
      <c r="GK7082"/>
      <c r="GL7082"/>
      <c r="GM7082"/>
      <c r="GN7082"/>
      <c r="GO7082"/>
    </row>
    <row r="7083" spans="107:197">
      <c r="DC7083"/>
      <c r="FH7083"/>
      <c r="FI7083"/>
      <c r="FJ7083"/>
      <c r="FK7083"/>
      <c r="FL7083"/>
      <c r="FM7083"/>
      <c r="FN7083"/>
      <c r="FO7083"/>
      <c r="FP7083"/>
      <c r="FQ7083"/>
      <c r="FR7083"/>
      <c r="FS7083"/>
      <c r="FT7083"/>
      <c r="FU7083"/>
      <c r="FV7083"/>
      <c r="FW7083"/>
      <c r="FX7083"/>
      <c r="FY7083"/>
      <c r="FZ7083"/>
      <c r="GA7083"/>
      <c r="GB7083"/>
      <c r="GC7083"/>
      <c r="GD7083"/>
      <c r="GE7083"/>
      <c r="GF7083"/>
      <c r="GG7083"/>
      <c r="GH7083"/>
      <c r="GI7083"/>
      <c r="GJ7083"/>
      <c r="GK7083"/>
      <c r="GL7083"/>
      <c r="GM7083"/>
      <c r="GN7083"/>
      <c r="GO7083"/>
    </row>
    <row r="7084" spans="107:197">
      <c r="DC7084"/>
      <c r="FH7084"/>
      <c r="FI7084"/>
      <c r="FJ7084"/>
      <c r="FK7084"/>
      <c r="FL7084"/>
      <c r="FM7084"/>
      <c r="FN7084"/>
      <c r="FO7084"/>
      <c r="FP7084"/>
      <c r="FQ7084"/>
      <c r="FR7084"/>
      <c r="FS7084"/>
      <c r="FT7084"/>
      <c r="FU7084"/>
      <c r="FV7084"/>
      <c r="FW7084"/>
      <c r="FX7084"/>
      <c r="FY7084"/>
      <c r="FZ7084"/>
      <c r="GA7084"/>
      <c r="GB7084"/>
      <c r="GC7084"/>
      <c r="GD7084"/>
      <c r="GE7084"/>
      <c r="GF7084"/>
      <c r="GG7084"/>
      <c r="GH7084"/>
      <c r="GI7084"/>
      <c r="GJ7084"/>
      <c r="GK7084"/>
      <c r="GL7084"/>
      <c r="GM7084"/>
      <c r="GN7084"/>
      <c r="GO7084"/>
    </row>
    <row r="7085" spans="107:197">
      <c r="DC7085"/>
      <c r="FH7085"/>
      <c r="FI7085"/>
      <c r="FJ7085"/>
      <c r="FK7085"/>
      <c r="FL7085"/>
      <c r="FM7085"/>
      <c r="FN7085"/>
      <c r="FO7085"/>
      <c r="FP7085"/>
      <c r="FQ7085"/>
      <c r="FR7085"/>
      <c r="FS7085"/>
      <c r="FT7085"/>
      <c r="FU7085"/>
      <c r="FV7085"/>
      <c r="FW7085"/>
      <c r="FX7085"/>
      <c r="FY7085"/>
      <c r="FZ7085"/>
      <c r="GA7085"/>
      <c r="GB7085"/>
      <c r="GC7085"/>
      <c r="GD7085"/>
      <c r="GE7085"/>
      <c r="GF7085"/>
      <c r="GG7085"/>
      <c r="GH7085"/>
      <c r="GI7085"/>
      <c r="GJ7085"/>
      <c r="GK7085"/>
      <c r="GL7085"/>
      <c r="GM7085"/>
      <c r="GN7085"/>
      <c r="GO7085"/>
    </row>
    <row r="7086" spans="107:197">
      <c r="DC7086"/>
      <c r="FH7086"/>
      <c r="FI7086"/>
      <c r="FJ7086"/>
      <c r="FK7086"/>
      <c r="FL7086"/>
      <c r="FM7086"/>
      <c r="FN7086"/>
      <c r="FO7086"/>
      <c r="FP7086"/>
      <c r="FQ7086"/>
      <c r="FR7086"/>
      <c r="FS7086"/>
      <c r="FT7086"/>
      <c r="FU7086"/>
      <c r="FV7086"/>
      <c r="FW7086"/>
      <c r="FX7086"/>
      <c r="FY7086"/>
      <c r="FZ7086"/>
      <c r="GA7086"/>
      <c r="GB7086"/>
      <c r="GC7086"/>
      <c r="GD7086"/>
      <c r="GE7086"/>
      <c r="GF7086"/>
      <c r="GG7086"/>
      <c r="GH7086"/>
      <c r="GI7086"/>
      <c r="GJ7086"/>
      <c r="GK7086"/>
      <c r="GL7086"/>
      <c r="GM7086"/>
      <c r="GN7086"/>
      <c r="GO7086"/>
    </row>
    <row r="7087" spans="107:197">
      <c r="DC7087"/>
      <c r="FH7087"/>
      <c r="FI7087"/>
      <c r="FJ7087"/>
      <c r="FK7087"/>
      <c r="FL7087"/>
      <c r="FM7087"/>
      <c r="FN7087"/>
      <c r="FO7087"/>
      <c r="FP7087"/>
      <c r="FQ7087"/>
      <c r="FR7087"/>
      <c r="FS7087"/>
      <c r="FT7087"/>
      <c r="FU7087"/>
      <c r="FV7087"/>
      <c r="FW7087"/>
      <c r="FX7087"/>
      <c r="FY7087"/>
      <c r="FZ7087"/>
      <c r="GA7087"/>
      <c r="GB7087"/>
      <c r="GC7087"/>
      <c r="GD7087"/>
      <c r="GE7087"/>
      <c r="GF7087"/>
      <c r="GG7087"/>
      <c r="GH7087"/>
      <c r="GI7087"/>
      <c r="GJ7087"/>
      <c r="GK7087"/>
      <c r="GL7087"/>
      <c r="GM7087"/>
      <c r="GN7087"/>
      <c r="GO7087"/>
    </row>
    <row r="7088" spans="107:197">
      <c r="DC7088"/>
      <c r="FH7088"/>
      <c r="FI7088"/>
      <c r="FJ7088"/>
      <c r="FK7088"/>
      <c r="FL7088"/>
      <c r="FM7088"/>
      <c r="FN7088"/>
      <c r="FO7088"/>
      <c r="FP7088"/>
      <c r="FQ7088"/>
      <c r="FR7088"/>
      <c r="FS7088"/>
      <c r="FT7088"/>
      <c r="FU7088"/>
      <c r="FV7088"/>
      <c r="FW7088"/>
      <c r="FX7088"/>
      <c r="FY7088"/>
      <c r="FZ7088"/>
      <c r="GA7088"/>
      <c r="GB7088"/>
      <c r="GC7088"/>
      <c r="GD7088"/>
      <c r="GE7088"/>
      <c r="GF7088"/>
      <c r="GG7088"/>
      <c r="GH7088"/>
      <c r="GI7088"/>
      <c r="GJ7088"/>
      <c r="GK7088"/>
      <c r="GL7088"/>
      <c r="GM7088"/>
      <c r="GN7088"/>
      <c r="GO7088"/>
    </row>
    <row r="7089" spans="107:197">
      <c r="DC7089"/>
      <c r="FH7089"/>
      <c r="FI7089"/>
      <c r="FJ7089"/>
      <c r="FK7089"/>
      <c r="FL7089"/>
      <c r="FM7089"/>
      <c r="FN7089"/>
      <c r="FO7089"/>
      <c r="FP7089"/>
      <c r="FQ7089"/>
      <c r="FR7089"/>
      <c r="FS7089"/>
      <c r="FT7089"/>
      <c r="FU7089"/>
      <c r="FV7089"/>
      <c r="FW7089"/>
      <c r="FX7089"/>
      <c r="FY7089"/>
      <c r="FZ7089"/>
      <c r="GA7089"/>
      <c r="GB7089"/>
      <c r="GC7089"/>
      <c r="GD7089"/>
      <c r="GE7089"/>
      <c r="GF7089"/>
      <c r="GG7089"/>
      <c r="GH7089"/>
      <c r="GI7089"/>
      <c r="GJ7089"/>
      <c r="GK7089"/>
      <c r="GL7089"/>
      <c r="GM7089"/>
      <c r="GN7089"/>
      <c r="GO7089"/>
    </row>
    <row r="7090" spans="107:197">
      <c r="DC7090"/>
      <c r="FH7090"/>
      <c r="FI7090"/>
      <c r="FJ7090"/>
      <c r="FK7090"/>
      <c r="FL7090"/>
      <c r="FM7090"/>
      <c r="FN7090"/>
      <c r="FO7090"/>
      <c r="FP7090"/>
      <c r="FQ7090"/>
      <c r="FR7090"/>
      <c r="FS7090"/>
      <c r="FT7090"/>
      <c r="FU7090"/>
      <c r="FV7090"/>
      <c r="FW7090"/>
      <c r="FX7090"/>
      <c r="FY7090"/>
      <c r="FZ7090"/>
      <c r="GA7090"/>
      <c r="GB7090"/>
      <c r="GC7090"/>
      <c r="GD7090"/>
      <c r="GE7090"/>
      <c r="GF7090"/>
      <c r="GG7090"/>
      <c r="GH7090"/>
      <c r="GI7090"/>
      <c r="GJ7090"/>
      <c r="GK7090"/>
      <c r="GL7090"/>
      <c r="GM7090"/>
      <c r="GN7090"/>
      <c r="GO7090"/>
    </row>
    <row r="7091" spans="107:197">
      <c r="DC7091"/>
      <c r="FH7091"/>
      <c r="FI7091"/>
      <c r="FJ7091"/>
      <c r="FK7091"/>
      <c r="FL7091"/>
      <c r="FM7091"/>
      <c r="FN7091"/>
      <c r="FO7091"/>
      <c r="FP7091"/>
      <c r="FQ7091"/>
      <c r="FR7091"/>
      <c r="FS7091"/>
      <c r="FT7091"/>
      <c r="FU7091"/>
      <c r="FV7091"/>
      <c r="FW7091"/>
      <c r="FX7091"/>
      <c r="FY7091"/>
      <c r="FZ7091"/>
      <c r="GA7091"/>
      <c r="GB7091"/>
      <c r="GC7091"/>
      <c r="GD7091"/>
      <c r="GE7091"/>
      <c r="GF7091"/>
      <c r="GG7091"/>
      <c r="GH7091"/>
      <c r="GI7091"/>
      <c r="GJ7091"/>
      <c r="GK7091"/>
      <c r="GL7091"/>
      <c r="GM7091"/>
      <c r="GN7091"/>
      <c r="GO7091"/>
    </row>
    <row r="7092" spans="107:197">
      <c r="DC7092"/>
      <c r="FH7092"/>
      <c r="FI7092"/>
      <c r="FJ7092"/>
      <c r="FK7092"/>
      <c r="FL7092"/>
      <c r="FM7092"/>
      <c r="FN7092"/>
      <c r="FO7092"/>
      <c r="FP7092"/>
      <c r="FQ7092"/>
      <c r="FR7092"/>
      <c r="FS7092"/>
      <c r="FT7092"/>
      <c r="FU7092"/>
      <c r="FV7092"/>
      <c r="FW7092"/>
      <c r="FX7092"/>
      <c r="FY7092"/>
      <c r="FZ7092"/>
      <c r="GA7092"/>
      <c r="GB7092"/>
      <c r="GC7092"/>
      <c r="GD7092"/>
      <c r="GE7092"/>
      <c r="GF7092"/>
      <c r="GG7092"/>
      <c r="GH7092"/>
      <c r="GI7092"/>
      <c r="GJ7092"/>
      <c r="GK7092"/>
      <c r="GL7092"/>
      <c r="GM7092"/>
      <c r="GN7092"/>
      <c r="GO7092"/>
    </row>
    <row r="7093" spans="107:197">
      <c r="DC7093"/>
      <c r="FH7093"/>
      <c r="FI7093"/>
      <c r="FJ7093"/>
      <c r="FK7093"/>
      <c r="FL7093"/>
      <c r="FM7093"/>
      <c r="FN7093"/>
      <c r="FO7093"/>
      <c r="FP7093"/>
      <c r="FQ7093"/>
      <c r="FR7093"/>
      <c r="FS7093"/>
      <c r="FT7093"/>
      <c r="FU7093"/>
      <c r="FV7093"/>
      <c r="FW7093"/>
      <c r="FX7093"/>
      <c r="FY7093"/>
      <c r="FZ7093"/>
      <c r="GA7093"/>
      <c r="GB7093"/>
      <c r="GC7093"/>
      <c r="GD7093"/>
      <c r="GE7093"/>
      <c r="GF7093"/>
      <c r="GG7093"/>
      <c r="GH7093"/>
      <c r="GI7093"/>
      <c r="GJ7093"/>
      <c r="GK7093"/>
      <c r="GL7093"/>
      <c r="GM7093"/>
      <c r="GN7093"/>
      <c r="GO7093"/>
    </row>
    <row r="7094" spans="107:197">
      <c r="DC7094"/>
      <c r="FH7094"/>
      <c r="FI7094"/>
      <c r="FJ7094"/>
      <c r="FK7094"/>
      <c r="FL7094"/>
      <c r="FM7094"/>
      <c r="FN7094"/>
      <c r="FO7094"/>
      <c r="FP7094"/>
      <c r="FQ7094"/>
      <c r="FR7094"/>
      <c r="FS7094"/>
      <c r="FT7094"/>
      <c r="FU7094"/>
      <c r="FV7094"/>
      <c r="FW7094"/>
      <c r="FX7094"/>
      <c r="FY7094"/>
      <c r="FZ7094"/>
      <c r="GA7094"/>
      <c r="GB7094"/>
      <c r="GC7094"/>
      <c r="GD7094"/>
      <c r="GE7094"/>
      <c r="GF7094"/>
      <c r="GG7094"/>
      <c r="GH7094"/>
      <c r="GI7094"/>
      <c r="GJ7094"/>
      <c r="GK7094"/>
      <c r="GL7094"/>
      <c r="GM7094"/>
      <c r="GN7094"/>
      <c r="GO7094"/>
    </row>
    <row r="7095" spans="107:197">
      <c r="DC7095"/>
      <c r="FH7095"/>
      <c r="FI7095"/>
      <c r="FJ7095"/>
      <c r="FK7095"/>
      <c r="FL7095"/>
      <c r="FM7095"/>
      <c r="FN7095"/>
      <c r="FO7095"/>
      <c r="FP7095"/>
      <c r="FQ7095"/>
      <c r="FR7095"/>
      <c r="FS7095"/>
      <c r="FT7095"/>
      <c r="FU7095"/>
      <c r="FV7095"/>
      <c r="FW7095"/>
      <c r="FX7095"/>
      <c r="FY7095"/>
      <c r="FZ7095"/>
      <c r="GA7095"/>
      <c r="GB7095"/>
      <c r="GC7095"/>
      <c r="GD7095"/>
      <c r="GE7095"/>
      <c r="GF7095"/>
      <c r="GG7095"/>
      <c r="GH7095"/>
      <c r="GI7095"/>
      <c r="GJ7095"/>
      <c r="GK7095"/>
      <c r="GL7095"/>
      <c r="GM7095"/>
      <c r="GN7095"/>
      <c r="GO7095"/>
    </row>
    <row r="7096" spans="107:197">
      <c r="DC7096"/>
      <c r="FH7096"/>
      <c r="FI7096"/>
      <c r="FJ7096"/>
      <c r="FK7096"/>
      <c r="FL7096"/>
      <c r="FM7096"/>
      <c r="FN7096"/>
      <c r="FO7096"/>
      <c r="FP7096"/>
      <c r="FQ7096"/>
      <c r="FR7096"/>
      <c r="FS7096"/>
      <c r="FT7096"/>
      <c r="FU7096"/>
      <c r="FV7096"/>
      <c r="FW7096"/>
      <c r="FX7096"/>
      <c r="FY7096"/>
      <c r="FZ7096"/>
      <c r="GA7096"/>
      <c r="GB7096"/>
      <c r="GC7096"/>
      <c r="GD7096"/>
      <c r="GE7096"/>
      <c r="GF7096"/>
      <c r="GG7096"/>
      <c r="GH7096"/>
      <c r="GI7096"/>
      <c r="GJ7096"/>
      <c r="GK7096"/>
      <c r="GL7096"/>
      <c r="GM7096"/>
      <c r="GN7096"/>
      <c r="GO7096"/>
    </row>
    <row r="7097" spans="107:197">
      <c r="DC7097"/>
      <c r="FH7097"/>
      <c r="FI7097"/>
      <c r="FJ7097"/>
      <c r="FK7097"/>
      <c r="FL7097"/>
      <c r="FM7097"/>
      <c r="FN7097"/>
      <c r="FO7097"/>
      <c r="FP7097"/>
      <c r="FQ7097"/>
      <c r="FR7097"/>
      <c r="FS7097"/>
      <c r="FT7097"/>
      <c r="FU7097"/>
      <c r="FV7097"/>
      <c r="FW7097"/>
      <c r="FX7097"/>
      <c r="FY7097"/>
      <c r="FZ7097"/>
      <c r="GA7097"/>
      <c r="GB7097"/>
      <c r="GC7097"/>
      <c r="GD7097"/>
      <c r="GE7097"/>
      <c r="GF7097"/>
      <c r="GG7097"/>
      <c r="GH7097"/>
      <c r="GI7097"/>
      <c r="GJ7097"/>
      <c r="GK7097"/>
      <c r="GL7097"/>
      <c r="GM7097"/>
      <c r="GN7097"/>
      <c r="GO7097"/>
    </row>
    <row r="7098" spans="107:197">
      <c r="DC7098"/>
      <c r="FH7098"/>
      <c r="FI7098"/>
      <c r="FJ7098"/>
      <c r="FK7098"/>
      <c r="FL7098"/>
      <c r="FM7098"/>
      <c r="FN7098"/>
      <c r="FO7098"/>
      <c r="FP7098"/>
      <c r="FQ7098"/>
      <c r="FR7098"/>
      <c r="FS7098"/>
      <c r="FT7098"/>
      <c r="FU7098"/>
      <c r="FV7098"/>
      <c r="FW7098"/>
      <c r="FX7098"/>
      <c r="FY7098"/>
      <c r="FZ7098"/>
      <c r="GA7098"/>
      <c r="GB7098"/>
      <c r="GC7098"/>
      <c r="GD7098"/>
      <c r="GE7098"/>
      <c r="GF7098"/>
      <c r="GG7098"/>
      <c r="GH7098"/>
      <c r="GI7098"/>
      <c r="GJ7098"/>
      <c r="GK7098"/>
      <c r="GL7098"/>
      <c r="GM7098"/>
      <c r="GN7098"/>
      <c r="GO7098"/>
    </row>
    <row r="7099" spans="107:197">
      <c r="DC7099"/>
      <c r="FH7099"/>
      <c r="FI7099"/>
      <c r="FJ7099"/>
      <c r="FK7099"/>
      <c r="FL7099"/>
      <c r="FM7099"/>
      <c r="FN7099"/>
      <c r="FO7099"/>
      <c r="FP7099"/>
      <c r="FQ7099"/>
      <c r="FR7099"/>
      <c r="FS7099"/>
      <c r="FT7099"/>
      <c r="FU7099"/>
      <c r="FV7099"/>
      <c r="FW7099"/>
      <c r="FX7099"/>
      <c r="FY7099"/>
      <c r="FZ7099"/>
      <c r="GA7099"/>
      <c r="GB7099"/>
      <c r="GC7099"/>
      <c r="GD7099"/>
      <c r="GE7099"/>
      <c r="GF7099"/>
      <c r="GG7099"/>
      <c r="GH7099"/>
      <c r="GI7099"/>
      <c r="GJ7099"/>
      <c r="GK7099"/>
      <c r="GL7099"/>
      <c r="GM7099"/>
      <c r="GN7099"/>
      <c r="GO7099"/>
    </row>
    <row r="7100" spans="107:197">
      <c r="DC7100"/>
      <c r="FH7100"/>
      <c r="FI7100"/>
      <c r="FJ7100"/>
      <c r="FK7100"/>
      <c r="FL7100"/>
      <c r="FM7100"/>
      <c r="FN7100"/>
      <c r="FO7100"/>
      <c r="FP7100"/>
      <c r="FQ7100"/>
      <c r="FR7100"/>
      <c r="FS7100"/>
      <c r="FT7100"/>
      <c r="FU7100"/>
      <c r="FV7100"/>
      <c r="FW7100"/>
      <c r="FX7100"/>
      <c r="FY7100"/>
      <c r="FZ7100"/>
      <c r="GA7100"/>
      <c r="GB7100"/>
      <c r="GC7100"/>
      <c r="GD7100"/>
      <c r="GE7100"/>
      <c r="GF7100"/>
      <c r="GG7100"/>
      <c r="GH7100"/>
      <c r="GI7100"/>
      <c r="GJ7100"/>
      <c r="GK7100"/>
      <c r="GL7100"/>
      <c r="GM7100"/>
      <c r="GN7100"/>
      <c r="GO7100"/>
    </row>
    <row r="7101" spans="107:197">
      <c r="DC7101"/>
      <c r="FH7101"/>
      <c r="FI7101"/>
      <c r="FJ7101"/>
      <c r="FK7101"/>
      <c r="FL7101"/>
      <c r="FM7101"/>
      <c r="FN7101"/>
      <c r="FO7101"/>
      <c r="FP7101"/>
      <c r="FQ7101"/>
      <c r="FR7101"/>
      <c r="FS7101"/>
      <c r="FT7101"/>
      <c r="FU7101"/>
      <c r="FV7101"/>
      <c r="FW7101"/>
      <c r="FX7101"/>
      <c r="FY7101"/>
      <c r="FZ7101"/>
      <c r="GA7101"/>
      <c r="GB7101"/>
      <c r="GC7101"/>
      <c r="GD7101"/>
      <c r="GE7101"/>
      <c r="GF7101"/>
      <c r="GG7101"/>
      <c r="GH7101"/>
      <c r="GI7101"/>
      <c r="GJ7101"/>
      <c r="GK7101"/>
      <c r="GL7101"/>
      <c r="GM7101"/>
      <c r="GN7101"/>
      <c r="GO7101"/>
    </row>
    <row r="7102" spans="107:197">
      <c r="DC7102"/>
      <c r="FH7102"/>
      <c r="FI7102"/>
      <c r="FJ7102"/>
      <c r="FK7102"/>
      <c r="FL7102"/>
      <c r="FM7102"/>
      <c r="FN7102"/>
      <c r="FO7102"/>
      <c r="FP7102"/>
      <c r="FQ7102"/>
      <c r="FR7102"/>
      <c r="FS7102"/>
      <c r="FT7102"/>
      <c r="FU7102"/>
      <c r="FV7102"/>
      <c r="FW7102"/>
      <c r="FX7102"/>
      <c r="FY7102"/>
      <c r="FZ7102"/>
      <c r="GA7102"/>
      <c r="GB7102"/>
      <c r="GC7102"/>
      <c r="GD7102"/>
      <c r="GE7102"/>
      <c r="GF7102"/>
      <c r="GG7102"/>
      <c r="GH7102"/>
      <c r="GI7102"/>
      <c r="GJ7102"/>
      <c r="GK7102"/>
      <c r="GL7102"/>
      <c r="GM7102"/>
      <c r="GN7102"/>
      <c r="GO7102"/>
    </row>
    <row r="7103" spans="107:197">
      <c r="DC7103"/>
      <c r="FH7103"/>
      <c r="FI7103"/>
      <c r="FJ7103"/>
      <c r="FK7103"/>
      <c r="FL7103"/>
      <c r="FM7103"/>
      <c r="FN7103"/>
      <c r="FO7103"/>
      <c r="FP7103"/>
      <c r="FQ7103"/>
      <c r="FR7103"/>
      <c r="FS7103"/>
      <c r="FT7103"/>
      <c r="FU7103"/>
      <c r="FV7103"/>
      <c r="FW7103"/>
      <c r="FX7103"/>
      <c r="FY7103"/>
      <c r="FZ7103"/>
      <c r="GA7103"/>
      <c r="GB7103"/>
      <c r="GC7103"/>
      <c r="GD7103"/>
      <c r="GE7103"/>
      <c r="GF7103"/>
      <c r="GG7103"/>
      <c r="GH7103"/>
      <c r="GI7103"/>
      <c r="GJ7103"/>
      <c r="GK7103"/>
      <c r="GL7103"/>
      <c r="GM7103"/>
      <c r="GN7103"/>
      <c r="GO7103"/>
    </row>
    <row r="7104" spans="107:197">
      <c r="DC7104"/>
      <c r="FH7104"/>
      <c r="FI7104"/>
      <c r="FJ7104"/>
      <c r="FK7104"/>
      <c r="FL7104"/>
      <c r="FM7104"/>
      <c r="FN7104"/>
      <c r="FO7104"/>
      <c r="FP7104"/>
      <c r="FQ7104"/>
      <c r="FR7104"/>
      <c r="FS7104"/>
      <c r="FT7104"/>
      <c r="FU7104"/>
      <c r="FV7104"/>
      <c r="FW7104"/>
      <c r="FX7104"/>
      <c r="FY7104"/>
      <c r="FZ7104"/>
      <c r="GA7104"/>
      <c r="GB7104"/>
      <c r="GC7104"/>
      <c r="GD7104"/>
      <c r="GE7104"/>
      <c r="GF7104"/>
      <c r="GG7104"/>
      <c r="GH7104"/>
      <c r="GI7104"/>
      <c r="GJ7104"/>
      <c r="GK7104"/>
      <c r="GL7104"/>
      <c r="GM7104"/>
      <c r="GN7104"/>
      <c r="GO7104"/>
    </row>
    <row r="7105" spans="107:197">
      <c r="DC7105"/>
      <c r="FH7105"/>
      <c r="FI7105"/>
      <c r="FJ7105"/>
      <c r="FK7105"/>
      <c r="FL7105"/>
      <c r="FM7105"/>
      <c r="FN7105"/>
      <c r="FO7105"/>
      <c r="FP7105"/>
      <c r="FQ7105"/>
      <c r="FR7105"/>
      <c r="FS7105"/>
      <c r="FT7105"/>
      <c r="FU7105"/>
      <c r="FV7105"/>
      <c r="FW7105"/>
      <c r="FX7105"/>
      <c r="FY7105"/>
      <c r="FZ7105"/>
      <c r="GA7105"/>
      <c r="GB7105"/>
      <c r="GC7105"/>
      <c r="GD7105"/>
      <c r="GE7105"/>
      <c r="GF7105"/>
      <c r="GG7105"/>
      <c r="GH7105"/>
      <c r="GI7105"/>
      <c r="GJ7105"/>
      <c r="GK7105"/>
      <c r="GL7105"/>
      <c r="GM7105"/>
      <c r="GN7105"/>
      <c r="GO7105"/>
    </row>
    <row r="7106" spans="107:197">
      <c r="DC7106"/>
      <c r="FH7106"/>
      <c r="FI7106"/>
      <c r="FJ7106"/>
      <c r="FK7106"/>
      <c r="FL7106"/>
      <c r="FM7106"/>
      <c r="FN7106"/>
      <c r="FO7106"/>
      <c r="FP7106"/>
      <c r="FQ7106"/>
      <c r="FR7106"/>
      <c r="FS7106"/>
      <c r="FT7106"/>
      <c r="FU7106"/>
      <c r="FV7106"/>
      <c r="FW7106"/>
      <c r="FX7106"/>
      <c r="FY7106"/>
      <c r="FZ7106"/>
      <c r="GA7106"/>
      <c r="GB7106"/>
      <c r="GC7106"/>
      <c r="GD7106"/>
      <c r="GE7106"/>
      <c r="GF7106"/>
      <c r="GG7106"/>
      <c r="GH7106"/>
      <c r="GI7106"/>
      <c r="GJ7106"/>
      <c r="GK7106"/>
      <c r="GL7106"/>
      <c r="GM7106"/>
      <c r="GN7106"/>
      <c r="GO7106"/>
    </row>
    <row r="7107" spans="107:197">
      <c r="DC7107"/>
      <c r="FH7107"/>
      <c r="FI7107"/>
      <c r="FJ7107"/>
      <c r="FK7107"/>
      <c r="FL7107"/>
      <c r="FM7107"/>
      <c r="FN7107"/>
      <c r="FO7107"/>
      <c r="FP7107"/>
      <c r="FQ7107"/>
      <c r="FR7107"/>
      <c r="FS7107"/>
      <c r="FT7107"/>
      <c r="FU7107"/>
      <c r="FV7107"/>
      <c r="FW7107"/>
      <c r="FX7107"/>
      <c r="FY7107"/>
      <c r="FZ7107"/>
      <c r="GA7107"/>
      <c r="GB7107"/>
      <c r="GC7107"/>
      <c r="GD7107"/>
      <c r="GE7107"/>
      <c r="GF7107"/>
      <c r="GG7107"/>
      <c r="GH7107"/>
      <c r="GI7107"/>
      <c r="GJ7107"/>
      <c r="GK7107"/>
      <c r="GL7107"/>
      <c r="GM7107"/>
      <c r="GN7107"/>
      <c r="GO7107"/>
    </row>
    <row r="7108" spans="107:197">
      <c r="DC7108"/>
      <c r="FH7108"/>
      <c r="FI7108"/>
      <c r="FJ7108"/>
      <c r="FK7108"/>
      <c r="FL7108"/>
      <c r="FM7108"/>
      <c r="FN7108"/>
      <c r="FO7108"/>
      <c r="FP7108"/>
      <c r="FQ7108"/>
      <c r="FR7108"/>
      <c r="FS7108"/>
      <c r="FT7108"/>
      <c r="FU7108"/>
      <c r="FV7108"/>
      <c r="FW7108"/>
      <c r="FX7108"/>
      <c r="FY7108"/>
      <c r="FZ7108"/>
      <c r="GA7108"/>
      <c r="GB7108"/>
      <c r="GC7108"/>
      <c r="GD7108"/>
      <c r="GE7108"/>
      <c r="GF7108"/>
      <c r="GG7108"/>
      <c r="GH7108"/>
      <c r="GI7108"/>
      <c r="GJ7108"/>
      <c r="GK7108"/>
      <c r="GL7108"/>
      <c r="GM7108"/>
      <c r="GN7108"/>
      <c r="GO7108"/>
    </row>
    <row r="7109" spans="107:197">
      <c r="DC7109"/>
      <c r="FH7109"/>
      <c r="FI7109"/>
      <c r="FJ7109"/>
      <c r="FK7109"/>
      <c r="FL7109"/>
      <c r="FM7109"/>
      <c r="FN7109"/>
      <c r="FO7109"/>
      <c r="FP7109"/>
      <c r="FQ7109"/>
      <c r="FR7109"/>
      <c r="FS7109"/>
      <c r="FT7109"/>
      <c r="FU7109"/>
      <c r="FV7109"/>
      <c r="FW7109"/>
      <c r="FX7109"/>
      <c r="FY7109"/>
      <c r="FZ7109"/>
      <c r="GA7109"/>
      <c r="GB7109"/>
      <c r="GC7109"/>
      <c r="GD7109"/>
      <c r="GE7109"/>
      <c r="GF7109"/>
      <c r="GG7109"/>
      <c r="GH7109"/>
      <c r="GI7109"/>
      <c r="GJ7109"/>
      <c r="GK7109"/>
      <c r="GL7109"/>
      <c r="GM7109"/>
      <c r="GN7109"/>
      <c r="GO7109"/>
    </row>
    <row r="7110" spans="107:197">
      <c r="DC7110"/>
      <c r="FH7110"/>
      <c r="FI7110"/>
      <c r="FJ7110"/>
      <c r="FK7110"/>
      <c r="FL7110"/>
      <c r="FM7110"/>
      <c r="FN7110"/>
      <c r="FO7110"/>
      <c r="FP7110"/>
      <c r="FQ7110"/>
      <c r="FR7110"/>
      <c r="FS7110"/>
      <c r="FT7110"/>
      <c r="FU7110"/>
      <c r="FV7110"/>
      <c r="FW7110"/>
      <c r="FX7110"/>
      <c r="FY7110"/>
      <c r="FZ7110"/>
      <c r="GA7110"/>
      <c r="GB7110"/>
      <c r="GC7110"/>
      <c r="GD7110"/>
      <c r="GE7110"/>
      <c r="GF7110"/>
      <c r="GG7110"/>
      <c r="GH7110"/>
      <c r="GI7110"/>
      <c r="GJ7110"/>
      <c r="GK7110"/>
      <c r="GL7110"/>
      <c r="GM7110"/>
      <c r="GN7110"/>
      <c r="GO7110"/>
    </row>
    <row r="7111" spans="107:197">
      <c r="DC7111"/>
      <c r="FH7111"/>
      <c r="FI7111"/>
      <c r="FJ7111"/>
      <c r="FK7111"/>
      <c r="FL7111"/>
      <c r="FM7111"/>
      <c r="FN7111"/>
      <c r="FO7111"/>
      <c r="FP7111"/>
      <c r="FQ7111"/>
      <c r="FR7111"/>
      <c r="FS7111"/>
      <c r="FT7111"/>
      <c r="FU7111"/>
      <c r="FV7111"/>
      <c r="FW7111"/>
      <c r="FX7111"/>
      <c r="FY7111"/>
      <c r="FZ7111"/>
      <c r="GA7111"/>
      <c r="GB7111"/>
      <c r="GC7111"/>
      <c r="GD7111"/>
      <c r="GE7111"/>
      <c r="GF7111"/>
      <c r="GG7111"/>
      <c r="GH7111"/>
      <c r="GI7111"/>
      <c r="GJ7111"/>
      <c r="GK7111"/>
      <c r="GL7111"/>
      <c r="GM7111"/>
      <c r="GN7111"/>
      <c r="GO7111"/>
    </row>
    <row r="7112" spans="107:197">
      <c r="DC7112"/>
      <c r="FH7112"/>
      <c r="FI7112"/>
      <c r="FJ7112"/>
      <c r="FK7112"/>
      <c r="FL7112"/>
      <c r="FM7112"/>
      <c r="FN7112"/>
      <c r="FO7112"/>
      <c r="FP7112"/>
      <c r="FQ7112"/>
      <c r="FR7112"/>
      <c r="FS7112"/>
      <c r="FT7112"/>
      <c r="FU7112"/>
      <c r="FV7112"/>
      <c r="FW7112"/>
      <c r="FX7112"/>
      <c r="FY7112"/>
      <c r="FZ7112"/>
      <c r="GA7112"/>
      <c r="GB7112"/>
      <c r="GC7112"/>
      <c r="GD7112"/>
      <c r="GE7112"/>
      <c r="GF7112"/>
      <c r="GG7112"/>
      <c r="GH7112"/>
      <c r="GI7112"/>
      <c r="GJ7112"/>
      <c r="GK7112"/>
      <c r="GL7112"/>
      <c r="GM7112"/>
      <c r="GN7112"/>
      <c r="GO7112"/>
    </row>
    <row r="7113" spans="107:197">
      <c r="DC7113"/>
      <c r="FH7113"/>
      <c r="FI7113"/>
      <c r="FJ7113"/>
      <c r="FK7113"/>
      <c r="FL7113"/>
      <c r="FM7113"/>
      <c r="FN7113"/>
      <c r="FO7113"/>
      <c r="FP7113"/>
      <c r="FQ7113"/>
      <c r="FR7113"/>
      <c r="FS7113"/>
      <c r="FT7113"/>
      <c r="FU7113"/>
      <c r="FV7113"/>
      <c r="FW7113"/>
      <c r="FX7113"/>
      <c r="FY7113"/>
      <c r="FZ7113"/>
      <c r="GA7113"/>
      <c r="GB7113"/>
      <c r="GC7113"/>
      <c r="GD7113"/>
      <c r="GE7113"/>
      <c r="GF7113"/>
      <c r="GG7113"/>
      <c r="GH7113"/>
      <c r="GI7113"/>
      <c r="GJ7113"/>
      <c r="GK7113"/>
      <c r="GL7113"/>
      <c r="GM7113"/>
      <c r="GN7113"/>
      <c r="GO7113"/>
    </row>
    <row r="7114" spans="107:197">
      <c r="DC7114"/>
      <c r="FH7114"/>
      <c r="FI7114"/>
      <c r="FJ7114"/>
      <c r="FK7114"/>
      <c r="FL7114"/>
      <c r="FM7114"/>
      <c r="FN7114"/>
      <c r="FO7114"/>
      <c r="FP7114"/>
      <c r="FQ7114"/>
      <c r="FR7114"/>
      <c r="FS7114"/>
      <c r="FT7114"/>
      <c r="FU7114"/>
      <c r="FV7114"/>
      <c r="FW7114"/>
      <c r="FX7114"/>
      <c r="FY7114"/>
      <c r="FZ7114"/>
      <c r="GA7114"/>
      <c r="GB7114"/>
      <c r="GC7114"/>
      <c r="GD7114"/>
      <c r="GE7114"/>
      <c r="GF7114"/>
      <c r="GG7114"/>
      <c r="GH7114"/>
      <c r="GI7114"/>
      <c r="GJ7114"/>
      <c r="GK7114"/>
      <c r="GL7114"/>
      <c r="GM7114"/>
      <c r="GN7114"/>
      <c r="GO7114"/>
    </row>
    <row r="7115" spans="107:197">
      <c r="DC7115"/>
      <c r="FH7115"/>
      <c r="FI7115"/>
      <c r="FJ7115"/>
      <c r="FK7115"/>
      <c r="FL7115"/>
      <c r="FM7115"/>
      <c r="FN7115"/>
      <c r="FO7115"/>
      <c r="FP7115"/>
      <c r="FQ7115"/>
      <c r="FR7115"/>
      <c r="FS7115"/>
      <c r="FT7115"/>
      <c r="FU7115"/>
      <c r="FV7115"/>
      <c r="FW7115"/>
      <c r="FX7115"/>
      <c r="FY7115"/>
      <c r="FZ7115"/>
      <c r="GA7115"/>
      <c r="GB7115"/>
      <c r="GC7115"/>
      <c r="GD7115"/>
      <c r="GE7115"/>
      <c r="GF7115"/>
      <c r="GG7115"/>
      <c r="GH7115"/>
      <c r="GI7115"/>
      <c r="GJ7115"/>
      <c r="GK7115"/>
      <c r="GL7115"/>
      <c r="GM7115"/>
      <c r="GN7115"/>
      <c r="GO7115"/>
    </row>
    <row r="7116" spans="107:197">
      <c r="DC7116"/>
      <c r="FH7116"/>
      <c r="FI7116"/>
      <c r="FJ7116"/>
      <c r="FK7116"/>
      <c r="FL7116"/>
      <c r="FM7116"/>
      <c r="FN7116"/>
      <c r="FO7116"/>
      <c r="FP7116"/>
      <c r="FQ7116"/>
      <c r="FR7116"/>
      <c r="FS7116"/>
      <c r="FT7116"/>
      <c r="FU7116"/>
      <c r="FV7116"/>
      <c r="FW7116"/>
      <c r="FX7116"/>
      <c r="FY7116"/>
      <c r="FZ7116"/>
      <c r="GA7116"/>
      <c r="GB7116"/>
      <c r="GC7116"/>
      <c r="GD7116"/>
      <c r="GE7116"/>
      <c r="GF7116"/>
      <c r="GG7116"/>
      <c r="GH7116"/>
      <c r="GI7116"/>
      <c r="GJ7116"/>
      <c r="GK7116"/>
      <c r="GL7116"/>
      <c r="GM7116"/>
      <c r="GN7116"/>
      <c r="GO7116"/>
    </row>
    <row r="7117" spans="107:197">
      <c r="DC7117"/>
      <c r="FH7117"/>
      <c r="FI7117"/>
      <c r="FJ7117"/>
      <c r="FK7117"/>
      <c r="FL7117"/>
      <c r="FM7117"/>
      <c r="FN7117"/>
      <c r="FO7117"/>
      <c r="FP7117"/>
      <c r="FQ7117"/>
      <c r="FR7117"/>
      <c r="FS7117"/>
      <c r="FT7117"/>
      <c r="FU7117"/>
      <c r="FV7117"/>
      <c r="FW7117"/>
      <c r="FX7117"/>
      <c r="FY7117"/>
      <c r="FZ7117"/>
      <c r="GA7117"/>
      <c r="GB7117"/>
      <c r="GC7117"/>
      <c r="GD7117"/>
      <c r="GE7117"/>
      <c r="GF7117"/>
      <c r="GG7117"/>
      <c r="GH7117"/>
      <c r="GI7117"/>
      <c r="GJ7117"/>
      <c r="GK7117"/>
      <c r="GL7117"/>
      <c r="GM7117"/>
      <c r="GN7117"/>
      <c r="GO7117"/>
    </row>
    <row r="7118" spans="107:197">
      <c r="DC7118"/>
      <c r="FH7118"/>
      <c r="FI7118"/>
      <c r="FJ7118"/>
      <c r="FK7118"/>
      <c r="FL7118"/>
      <c r="FM7118"/>
      <c r="FN7118"/>
      <c r="FO7118"/>
      <c r="FP7118"/>
      <c r="FQ7118"/>
      <c r="FR7118"/>
      <c r="FS7118"/>
      <c r="FT7118"/>
      <c r="FU7118"/>
      <c r="FV7118"/>
      <c r="FW7118"/>
      <c r="FX7118"/>
      <c r="FY7118"/>
      <c r="FZ7118"/>
      <c r="GA7118"/>
      <c r="GB7118"/>
      <c r="GC7118"/>
      <c r="GD7118"/>
      <c r="GE7118"/>
      <c r="GF7118"/>
      <c r="GG7118"/>
      <c r="GH7118"/>
      <c r="GI7118"/>
      <c r="GJ7118"/>
      <c r="GK7118"/>
      <c r="GL7118"/>
      <c r="GM7118"/>
      <c r="GN7118"/>
      <c r="GO7118"/>
    </row>
    <row r="7119" spans="107:197">
      <c r="DC7119"/>
      <c r="FH7119"/>
      <c r="FI7119"/>
      <c r="FJ7119"/>
      <c r="FK7119"/>
      <c r="FL7119"/>
      <c r="FM7119"/>
      <c r="FN7119"/>
      <c r="FO7119"/>
      <c r="FP7119"/>
      <c r="FQ7119"/>
      <c r="FR7119"/>
      <c r="FS7119"/>
      <c r="FT7119"/>
      <c r="FU7119"/>
      <c r="FV7119"/>
      <c r="FW7119"/>
      <c r="FX7119"/>
      <c r="FY7119"/>
      <c r="FZ7119"/>
      <c r="GA7119"/>
      <c r="GB7119"/>
      <c r="GC7119"/>
      <c r="GD7119"/>
      <c r="GE7119"/>
      <c r="GF7119"/>
      <c r="GG7119"/>
      <c r="GH7119"/>
      <c r="GI7119"/>
      <c r="GJ7119"/>
      <c r="GK7119"/>
      <c r="GL7119"/>
      <c r="GM7119"/>
      <c r="GN7119"/>
      <c r="GO7119"/>
    </row>
    <row r="7120" spans="107:197">
      <c r="DC7120"/>
      <c r="FH7120"/>
      <c r="FI7120"/>
      <c r="FJ7120"/>
      <c r="FK7120"/>
      <c r="FL7120"/>
      <c r="FM7120"/>
      <c r="FN7120"/>
      <c r="FO7120"/>
      <c r="FP7120"/>
      <c r="FQ7120"/>
      <c r="FR7120"/>
      <c r="FS7120"/>
      <c r="FT7120"/>
      <c r="FU7120"/>
      <c r="FV7120"/>
      <c r="FW7120"/>
      <c r="FX7120"/>
      <c r="FY7120"/>
      <c r="FZ7120"/>
      <c r="GA7120"/>
      <c r="GB7120"/>
      <c r="GC7120"/>
      <c r="GD7120"/>
      <c r="GE7120"/>
      <c r="GF7120"/>
      <c r="GG7120"/>
      <c r="GH7120"/>
      <c r="GI7120"/>
      <c r="GJ7120"/>
      <c r="GK7120"/>
      <c r="GL7120"/>
      <c r="GM7120"/>
      <c r="GN7120"/>
      <c r="GO7120"/>
    </row>
    <row r="7121" spans="107:197">
      <c r="DC7121"/>
      <c r="FH7121"/>
      <c r="FI7121"/>
      <c r="FJ7121"/>
      <c r="FK7121"/>
      <c r="FL7121"/>
      <c r="FM7121"/>
      <c r="FN7121"/>
      <c r="FO7121"/>
      <c r="FP7121"/>
      <c r="FQ7121"/>
      <c r="FR7121"/>
      <c r="FS7121"/>
      <c r="FT7121"/>
      <c r="FU7121"/>
      <c r="FV7121"/>
      <c r="FW7121"/>
      <c r="FX7121"/>
      <c r="FY7121"/>
      <c r="FZ7121"/>
      <c r="GA7121"/>
      <c r="GB7121"/>
      <c r="GC7121"/>
      <c r="GD7121"/>
      <c r="GE7121"/>
      <c r="GF7121"/>
      <c r="GG7121"/>
      <c r="GH7121"/>
      <c r="GI7121"/>
      <c r="GJ7121"/>
      <c r="GK7121"/>
      <c r="GL7121"/>
      <c r="GM7121"/>
      <c r="GN7121"/>
      <c r="GO7121"/>
    </row>
    <row r="7122" spans="107:197">
      <c r="DC7122"/>
      <c r="FH7122"/>
      <c r="FI7122"/>
      <c r="FJ7122"/>
      <c r="FK7122"/>
      <c r="FL7122"/>
      <c r="FM7122"/>
      <c r="FN7122"/>
      <c r="FO7122"/>
      <c r="FP7122"/>
      <c r="FQ7122"/>
      <c r="FR7122"/>
      <c r="FS7122"/>
      <c r="FT7122"/>
      <c r="FU7122"/>
      <c r="FV7122"/>
      <c r="FW7122"/>
      <c r="FX7122"/>
      <c r="FY7122"/>
      <c r="FZ7122"/>
      <c r="GA7122"/>
      <c r="GB7122"/>
      <c r="GC7122"/>
      <c r="GD7122"/>
      <c r="GE7122"/>
      <c r="GF7122"/>
      <c r="GG7122"/>
      <c r="GH7122"/>
      <c r="GI7122"/>
      <c r="GJ7122"/>
      <c r="GK7122"/>
      <c r="GL7122"/>
      <c r="GM7122"/>
      <c r="GN7122"/>
      <c r="GO7122"/>
    </row>
    <row r="7123" spans="107:197">
      <c r="DC7123"/>
      <c r="FH7123"/>
      <c r="FI7123"/>
      <c r="FJ7123"/>
      <c r="FK7123"/>
      <c r="FL7123"/>
      <c r="FM7123"/>
      <c r="FN7123"/>
      <c r="FO7123"/>
      <c r="FP7123"/>
      <c r="FQ7123"/>
      <c r="FR7123"/>
      <c r="FS7123"/>
      <c r="FT7123"/>
      <c r="FU7123"/>
      <c r="FV7123"/>
      <c r="FW7123"/>
      <c r="FX7123"/>
      <c r="FY7123"/>
      <c r="FZ7123"/>
      <c r="GA7123"/>
      <c r="GB7123"/>
      <c r="GC7123"/>
      <c r="GD7123"/>
      <c r="GE7123"/>
      <c r="GF7123"/>
      <c r="GG7123"/>
      <c r="GH7123"/>
      <c r="GI7123"/>
      <c r="GJ7123"/>
      <c r="GK7123"/>
      <c r="GL7123"/>
      <c r="GM7123"/>
      <c r="GN7123"/>
      <c r="GO7123"/>
    </row>
    <row r="7124" spans="107:197">
      <c r="DC7124"/>
      <c r="FH7124"/>
      <c r="FI7124"/>
      <c r="FJ7124"/>
      <c r="FK7124"/>
      <c r="FL7124"/>
      <c r="FM7124"/>
      <c r="FN7124"/>
      <c r="FO7124"/>
      <c r="FP7124"/>
      <c r="FQ7124"/>
      <c r="FR7124"/>
      <c r="FS7124"/>
      <c r="FT7124"/>
      <c r="FU7124"/>
      <c r="FV7124"/>
      <c r="FW7124"/>
      <c r="FX7124"/>
      <c r="FY7124"/>
      <c r="FZ7124"/>
      <c r="GA7124"/>
      <c r="GB7124"/>
      <c r="GC7124"/>
      <c r="GD7124"/>
      <c r="GE7124"/>
      <c r="GF7124"/>
      <c r="GG7124"/>
      <c r="GH7124"/>
      <c r="GI7124"/>
      <c r="GJ7124"/>
      <c r="GK7124"/>
      <c r="GL7124"/>
      <c r="GM7124"/>
      <c r="GN7124"/>
      <c r="GO7124"/>
    </row>
    <row r="7125" spans="107:197">
      <c r="DC7125"/>
      <c r="FH7125"/>
      <c r="FI7125"/>
      <c r="FJ7125"/>
      <c r="FK7125"/>
      <c r="FL7125"/>
      <c r="FM7125"/>
      <c r="FN7125"/>
      <c r="FO7125"/>
      <c r="FP7125"/>
      <c r="FQ7125"/>
      <c r="FR7125"/>
      <c r="FS7125"/>
      <c r="FT7125"/>
      <c r="FU7125"/>
      <c r="FV7125"/>
      <c r="FW7125"/>
      <c r="FX7125"/>
      <c r="FY7125"/>
      <c r="FZ7125"/>
      <c r="GA7125"/>
      <c r="GB7125"/>
      <c r="GC7125"/>
      <c r="GD7125"/>
      <c r="GE7125"/>
      <c r="GF7125"/>
      <c r="GG7125"/>
      <c r="GH7125"/>
      <c r="GI7125"/>
      <c r="GJ7125"/>
      <c r="GK7125"/>
      <c r="GL7125"/>
      <c r="GM7125"/>
      <c r="GN7125"/>
      <c r="GO7125"/>
    </row>
    <row r="7126" spans="107:197">
      <c r="DC7126"/>
      <c r="FH7126"/>
      <c r="FI7126"/>
      <c r="FJ7126"/>
      <c r="FK7126"/>
      <c r="FL7126"/>
      <c r="FM7126"/>
      <c r="FN7126"/>
      <c r="FO7126"/>
      <c r="FP7126"/>
      <c r="FQ7126"/>
      <c r="FR7126"/>
      <c r="FS7126"/>
      <c r="FT7126"/>
      <c r="FU7126"/>
      <c r="FV7126"/>
      <c r="FW7126"/>
      <c r="FX7126"/>
      <c r="FY7126"/>
      <c r="FZ7126"/>
      <c r="GA7126"/>
      <c r="GB7126"/>
      <c r="GC7126"/>
      <c r="GD7126"/>
      <c r="GE7126"/>
      <c r="GF7126"/>
      <c r="GG7126"/>
      <c r="GH7126"/>
      <c r="GI7126"/>
      <c r="GJ7126"/>
      <c r="GK7126"/>
      <c r="GL7126"/>
      <c r="GM7126"/>
      <c r="GN7126"/>
      <c r="GO7126"/>
    </row>
    <row r="7127" spans="107:197">
      <c r="DC7127"/>
      <c r="FH7127"/>
      <c r="FI7127"/>
      <c r="FJ7127"/>
      <c r="FK7127"/>
      <c r="FL7127"/>
      <c r="FM7127"/>
      <c r="FN7127"/>
      <c r="FO7127"/>
      <c r="FP7127"/>
      <c r="FQ7127"/>
      <c r="FR7127"/>
      <c r="FS7127"/>
      <c r="FT7127"/>
      <c r="FU7127"/>
      <c r="FV7127"/>
      <c r="FW7127"/>
      <c r="FX7127"/>
      <c r="FY7127"/>
      <c r="FZ7127"/>
      <c r="GA7127"/>
      <c r="GB7127"/>
      <c r="GC7127"/>
      <c r="GD7127"/>
      <c r="GE7127"/>
      <c r="GF7127"/>
      <c r="GG7127"/>
      <c r="GH7127"/>
      <c r="GI7127"/>
      <c r="GJ7127"/>
      <c r="GK7127"/>
      <c r="GL7127"/>
      <c r="GM7127"/>
      <c r="GN7127"/>
      <c r="GO7127"/>
    </row>
    <row r="7128" spans="107:197">
      <c r="DC7128"/>
      <c r="FH7128"/>
      <c r="FI7128"/>
      <c r="FJ7128"/>
      <c r="FK7128"/>
      <c r="FL7128"/>
      <c r="FM7128"/>
      <c r="FN7128"/>
      <c r="FO7128"/>
      <c r="FP7128"/>
      <c r="FQ7128"/>
      <c r="FR7128"/>
      <c r="FS7128"/>
      <c r="FT7128"/>
      <c r="FU7128"/>
      <c r="FV7128"/>
      <c r="FW7128"/>
      <c r="FX7128"/>
      <c r="FY7128"/>
      <c r="FZ7128"/>
      <c r="GA7128"/>
      <c r="GB7128"/>
      <c r="GC7128"/>
      <c r="GD7128"/>
      <c r="GE7128"/>
      <c r="GF7128"/>
      <c r="GG7128"/>
      <c r="GH7128"/>
      <c r="GI7128"/>
      <c r="GJ7128"/>
      <c r="GK7128"/>
      <c r="GL7128"/>
      <c r="GM7128"/>
      <c r="GN7128"/>
      <c r="GO7128"/>
    </row>
    <row r="7129" spans="107:197">
      <c r="DC7129"/>
      <c r="FH7129"/>
      <c r="FI7129"/>
      <c r="FJ7129"/>
      <c r="FK7129"/>
      <c r="FL7129"/>
      <c r="FM7129"/>
      <c r="FN7129"/>
      <c r="FO7129"/>
      <c r="FP7129"/>
      <c r="FQ7129"/>
      <c r="FR7129"/>
      <c r="FS7129"/>
      <c r="FT7129"/>
      <c r="FU7129"/>
      <c r="FV7129"/>
      <c r="FW7129"/>
      <c r="FX7129"/>
      <c r="FY7129"/>
      <c r="FZ7129"/>
      <c r="GA7129"/>
      <c r="GB7129"/>
      <c r="GC7129"/>
      <c r="GD7129"/>
      <c r="GE7129"/>
      <c r="GF7129"/>
      <c r="GG7129"/>
      <c r="GH7129"/>
      <c r="GI7129"/>
      <c r="GJ7129"/>
      <c r="GK7129"/>
      <c r="GL7129"/>
      <c r="GM7129"/>
      <c r="GN7129"/>
      <c r="GO7129"/>
    </row>
    <row r="7130" spans="107:197">
      <c r="DC7130"/>
      <c r="FH7130"/>
      <c r="FI7130"/>
      <c r="FJ7130"/>
      <c r="FK7130"/>
      <c r="FL7130"/>
      <c r="FM7130"/>
      <c r="FN7130"/>
      <c r="FO7130"/>
      <c r="FP7130"/>
      <c r="FQ7130"/>
      <c r="FR7130"/>
      <c r="FS7130"/>
      <c r="FT7130"/>
      <c r="FU7130"/>
      <c r="FV7130"/>
      <c r="FW7130"/>
      <c r="FX7130"/>
      <c r="FY7130"/>
      <c r="FZ7130"/>
      <c r="GA7130"/>
      <c r="GB7130"/>
      <c r="GC7130"/>
      <c r="GD7130"/>
      <c r="GE7130"/>
      <c r="GF7130"/>
      <c r="GG7130"/>
      <c r="GH7130"/>
      <c r="GI7130"/>
      <c r="GJ7130"/>
      <c r="GK7130"/>
      <c r="GL7130"/>
      <c r="GM7130"/>
      <c r="GN7130"/>
      <c r="GO7130"/>
    </row>
    <row r="7131" spans="107:197">
      <c r="DC7131"/>
      <c r="FH7131"/>
      <c r="FI7131"/>
      <c r="FJ7131"/>
      <c r="FK7131"/>
      <c r="FL7131"/>
      <c r="FM7131"/>
      <c r="FN7131"/>
      <c r="FO7131"/>
      <c r="FP7131"/>
      <c r="FQ7131"/>
      <c r="FR7131"/>
      <c r="FS7131"/>
      <c r="FT7131"/>
      <c r="FU7131"/>
      <c r="FV7131"/>
      <c r="FW7131"/>
      <c r="FX7131"/>
      <c r="FY7131"/>
      <c r="FZ7131"/>
      <c r="GA7131"/>
      <c r="GB7131"/>
      <c r="GC7131"/>
      <c r="GD7131"/>
      <c r="GE7131"/>
      <c r="GF7131"/>
      <c r="GG7131"/>
      <c r="GH7131"/>
      <c r="GI7131"/>
      <c r="GJ7131"/>
      <c r="GK7131"/>
      <c r="GL7131"/>
      <c r="GM7131"/>
      <c r="GN7131"/>
      <c r="GO7131"/>
    </row>
    <row r="7132" spans="107:197">
      <c r="DC7132"/>
      <c r="FH7132"/>
      <c r="FI7132"/>
      <c r="FJ7132"/>
      <c r="FK7132"/>
      <c r="FL7132"/>
      <c r="FM7132"/>
      <c r="FN7132"/>
      <c r="FO7132"/>
      <c r="FP7132"/>
      <c r="FQ7132"/>
      <c r="FR7132"/>
      <c r="FS7132"/>
      <c r="FT7132"/>
      <c r="FU7132"/>
      <c r="FV7132"/>
      <c r="FW7132"/>
      <c r="FX7132"/>
      <c r="FY7132"/>
      <c r="FZ7132"/>
      <c r="GA7132"/>
      <c r="GB7132"/>
      <c r="GC7132"/>
      <c r="GD7132"/>
      <c r="GE7132"/>
      <c r="GF7132"/>
      <c r="GG7132"/>
      <c r="GH7132"/>
      <c r="GI7132"/>
      <c r="GJ7132"/>
      <c r="GK7132"/>
      <c r="GL7132"/>
      <c r="GM7132"/>
      <c r="GN7132"/>
      <c r="GO7132"/>
    </row>
    <row r="7133" spans="107:197">
      <c r="DC7133"/>
      <c r="FH7133"/>
      <c r="FI7133"/>
      <c r="FJ7133"/>
      <c r="FK7133"/>
      <c r="FL7133"/>
      <c r="FM7133"/>
      <c r="FN7133"/>
      <c r="FO7133"/>
      <c r="FP7133"/>
      <c r="FQ7133"/>
      <c r="FR7133"/>
      <c r="FS7133"/>
      <c r="FT7133"/>
      <c r="FU7133"/>
      <c r="FV7133"/>
      <c r="FW7133"/>
      <c r="FX7133"/>
      <c r="FY7133"/>
      <c r="FZ7133"/>
      <c r="GA7133"/>
      <c r="GB7133"/>
      <c r="GC7133"/>
      <c r="GD7133"/>
      <c r="GE7133"/>
      <c r="GF7133"/>
      <c r="GG7133"/>
      <c r="GH7133"/>
      <c r="GI7133"/>
      <c r="GJ7133"/>
      <c r="GK7133"/>
      <c r="GL7133"/>
      <c r="GM7133"/>
      <c r="GN7133"/>
      <c r="GO7133"/>
    </row>
    <row r="7134" spans="107:197">
      <c r="DC7134"/>
      <c r="FH7134"/>
      <c r="FI7134"/>
      <c r="FJ7134"/>
      <c r="FK7134"/>
      <c r="FL7134"/>
      <c r="FM7134"/>
      <c r="FN7134"/>
      <c r="FO7134"/>
      <c r="FP7134"/>
      <c r="FQ7134"/>
      <c r="FR7134"/>
      <c r="FS7134"/>
      <c r="FT7134"/>
      <c r="FU7134"/>
      <c r="FV7134"/>
      <c r="FW7134"/>
      <c r="FX7134"/>
      <c r="FY7134"/>
      <c r="FZ7134"/>
      <c r="GA7134"/>
      <c r="GB7134"/>
      <c r="GC7134"/>
      <c r="GD7134"/>
      <c r="GE7134"/>
      <c r="GF7134"/>
      <c r="GG7134"/>
      <c r="GH7134"/>
      <c r="GI7134"/>
      <c r="GJ7134"/>
      <c r="GK7134"/>
      <c r="GL7134"/>
      <c r="GM7134"/>
      <c r="GN7134"/>
      <c r="GO7134"/>
    </row>
    <row r="7135" spans="107:197">
      <c r="DC7135"/>
      <c r="FH7135"/>
      <c r="FI7135"/>
      <c r="FJ7135"/>
      <c r="FK7135"/>
      <c r="FL7135"/>
      <c r="FM7135"/>
      <c r="FN7135"/>
      <c r="FO7135"/>
      <c r="FP7135"/>
      <c r="FQ7135"/>
      <c r="FR7135"/>
      <c r="FS7135"/>
      <c r="FT7135"/>
      <c r="FU7135"/>
      <c r="FV7135"/>
      <c r="FW7135"/>
      <c r="FX7135"/>
      <c r="FY7135"/>
      <c r="FZ7135"/>
      <c r="GA7135"/>
      <c r="GB7135"/>
      <c r="GC7135"/>
      <c r="GD7135"/>
      <c r="GE7135"/>
      <c r="GF7135"/>
      <c r="GG7135"/>
      <c r="GH7135"/>
      <c r="GI7135"/>
      <c r="GJ7135"/>
      <c r="GK7135"/>
      <c r="GL7135"/>
      <c r="GM7135"/>
      <c r="GN7135"/>
      <c r="GO7135"/>
    </row>
    <row r="7136" spans="107:197">
      <c r="DC7136"/>
      <c r="FH7136"/>
      <c r="FI7136"/>
      <c r="FJ7136"/>
      <c r="FK7136"/>
      <c r="FL7136"/>
      <c r="FM7136"/>
      <c r="FN7136"/>
      <c r="FO7136"/>
      <c r="FP7136"/>
      <c r="FQ7136"/>
      <c r="FR7136"/>
      <c r="FS7136"/>
      <c r="FT7136"/>
      <c r="FU7136"/>
      <c r="FV7136"/>
      <c r="FW7136"/>
      <c r="FX7136"/>
      <c r="FY7136"/>
      <c r="FZ7136"/>
      <c r="GA7136"/>
      <c r="GB7136"/>
      <c r="GC7136"/>
      <c r="GD7136"/>
      <c r="GE7136"/>
      <c r="GF7136"/>
      <c r="GG7136"/>
      <c r="GH7136"/>
      <c r="GI7136"/>
      <c r="GJ7136"/>
      <c r="GK7136"/>
      <c r="GL7136"/>
      <c r="GM7136"/>
      <c r="GN7136"/>
      <c r="GO7136"/>
    </row>
    <row r="7137" spans="107:197">
      <c r="DC7137"/>
      <c r="FH7137"/>
      <c r="FI7137"/>
      <c r="FJ7137"/>
      <c r="FK7137"/>
      <c r="FL7137"/>
      <c r="FM7137"/>
      <c r="FN7137"/>
      <c r="FO7137"/>
      <c r="FP7137"/>
      <c r="FQ7137"/>
      <c r="FR7137"/>
      <c r="FS7137"/>
      <c r="FT7137"/>
      <c r="FU7137"/>
      <c r="FV7137"/>
      <c r="FW7137"/>
      <c r="FX7137"/>
      <c r="FY7137"/>
      <c r="FZ7137"/>
      <c r="GA7137"/>
      <c r="GB7137"/>
      <c r="GC7137"/>
      <c r="GD7137"/>
      <c r="GE7137"/>
      <c r="GF7137"/>
      <c r="GG7137"/>
      <c r="GH7137"/>
      <c r="GI7137"/>
      <c r="GJ7137"/>
      <c r="GK7137"/>
      <c r="GL7137"/>
      <c r="GM7137"/>
      <c r="GN7137"/>
      <c r="GO7137"/>
    </row>
    <row r="7138" spans="107:197">
      <c r="DC7138"/>
      <c r="FH7138"/>
      <c r="FI7138"/>
      <c r="FJ7138"/>
      <c r="FK7138"/>
      <c r="FL7138"/>
      <c r="FM7138"/>
      <c r="FN7138"/>
      <c r="FO7138"/>
      <c r="FP7138"/>
      <c r="FQ7138"/>
      <c r="FR7138"/>
      <c r="FS7138"/>
      <c r="FT7138"/>
      <c r="FU7138"/>
      <c r="FV7138"/>
      <c r="FW7138"/>
      <c r="FX7138"/>
      <c r="FY7138"/>
      <c r="FZ7138"/>
      <c r="GA7138"/>
      <c r="GB7138"/>
      <c r="GC7138"/>
      <c r="GD7138"/>
      <c r="GE7138"/>
      <c r="GF7138"/>
      <c r="GG7138"/>
      <c r="GH7138"/>
      <c r="GI7138"/>
      <c r="GJ7138"/>
      <c r="GK7138"/>
      <c r="GL7138"/>
      <c r="GM7138"/>
      <c r="GN7138"/>
      <c r="GO7138"/>
    </row>
    <row r="7139" spans="107:197">
      <c r="DC7139"/>
      <c r="FH7139"/>
      <c r="FI7139"/>
      <c r="FJ7139"/>
      <c r="FK7139"/>
      <c r="FL7139"/>
      <c r="FM7139"/>
      <c r="FN7139"/>
      <c r="FO7139"/>
      <c r="FP7139"/>
      <c r="FQ7139"/>
      <c r="FR7139"/>
      <c r="FS7139"/>
      <c r="FT7139"/>
      <c r="FU7139"/>
      <c r="FV7139"/>
      <c r="FW7139"/>
      <c r="FX7139"/>
      <c r="FY7139"/>
      <c r="FZ7139"/>
      <c r="GA7139"/>
      <c r="GB7139"/>
      <c r="GC7139"/>
      <c r="GD7139"/>
      <c r="GE7139"/>
      <c r="GF7139"/>
      <c r="GG7139"/>
      <c r="GH7139"/>
      <c r="GI7139"/>
      <c r="GJ7139"/>
      <c r="GK7139"/>
      <c r="GL7139"/>
      <c r="GM7139"/>
      <c r="GN7139"/>
      <c r="GO7139"/>
    </row>
    <row r="7140" spans="107:197">
      <c r="DC7140"/>
      <c r="FH7140"/>
      <c r="FI7140"/>
      <c r="FJ7140"/>
      <c r="FK7140"/>
      <c r="FL7140"/>
      <c r="FM7140"/>
      <c r="FN7140"/>
      <c r="FO7140"/>
      <c r="FP7140"/>
      <c r="FQ7140"/>
      <c r="FR7140"/>
      <c r="FS7140"/>
      <c r="FT7140"/>
      <c r="FU7140"/>
      <c r="FV7140"/>
      <c r="FW7140"/>
      <c r="FX7140"/>
      <c r="FY7140"/>
      <c r="FZ7140"/>
      <c r="GA7140"/>
      <c r="GB7140"/>
      <c r="GC7140"/>
      <c r="GD7140"/>
      <c r="GE7140"/>
      <c r="GF7140"/>
      <c r="GG7140"/>
      <c r="GH7140"/>
      <c r="GI7140"/>
      <c r="GJ7140"/>
      <c r="GK7140"/>
      <c r="GL7140"/>
      <c r="GM7140"/>
      <c r="GN7140"/>
      <c r="GO7140"/>
    </row>
    <row r="7141" spans="107:197">
      <c r="DC7141"/>
      <c r="FH7141"/>
      <c r="FI7141"/>
      <c r="FJ7141"/>
      <c r="FK7141"/>
      <c r="FL7141"/>
      <c r="FM7141"/>
      <c r="FN7141"/>
      <c r="FO7141"/>
      <c r="FP7141"/>
      <c r="FQ7141"/>
      <c r="FR7141"/>
      <c r="FS7141"/>
      <c r="FT7141"/>
      <c r="FU7141"/>
      <c r="FV7141"/>
      <c r="FW7141"/>
      <c r="FX7141"/>
      <c r="FY7141"/>
      <c r="FZ7141"/>
      <c r="GA7141"/>
      <c r="GB7141"/>
      <c r="GC7141"/>
      <c r="GD7141"/>
      <c r="GE7141"/>
      <c r="GF7141"/>
      <c r="GG7141"/>
      <c r="GH7141"/>
      <c r="GI7141"/>
      <c r="GJ7141"/>
      <c r="GK7141"/>
      <c r="GL7141"/>
      <c r="GM7141"/>
      <c r="GN7141"/>
      <c r="GO7141"/>
    </row>
    <row r="7142" spans="107:197">
      <c r="DC7142"/>
      <c r="FH7142"/>
      <c r="FI7142"/>
      <c r="FJ7142"/>
      <c r="FK7142"/>
      <c r="FL7142"/>
      <c r="FM7142"/>
      <c r="FN7142"/>
      <c r="FO7142"/>
      <c r="FP7142"/>
      <c r="FQ7142"/>
      <c r="FR7142"/>
      <c r="FS7142"/>
      <c r="FT7142"/>
      <c r="FU7142"/>
      <c r="FV7142"/>
      <c r="FW7142"/>
      <c r="FX7142"/>
      <c r="FY7142"/>
      <c r="FZ7142"/>
      <c r="GA7142"/>
      <c r="GB7142"/>
      <c r="GC7142"/>
      <c r="GD7142"/>
      <c r="GE7142"/>
      <c r="GF7142"/>
      <c r="GG7142"/>
      <c r="GH7142"/>
      <c r="GI7142"/>
      <c r="GJ7142"/>
      <c r="GK7142"/>
      <c r="GL7142"/>
      <c r="GM7142"/>
      <c r="GN7142"/>
      <c r="GO7142"/>
    </row>
    <row r="7143" spans="107:197">
      <c r="DC7143"/>
      <c r="FH7143"/>
      <c r="FI7143"/>
      <c r="FJ7143"/>
      <c r="FK7143"/>
      <c r="FL7143"/>
      <c r="FM7143"/>
      <c r="FN7143"/>
      <c r="FO7143"/>
      <c r="FP7143"/>
      <c r="FQ7143"/>
      <c r="FR7143"/>
      <c r="FS7143"/>
      <c r="FT7143"/>
      <c r="FU7143"/>
      <c r="FV7143"/>
      <c r="FW7143"/>
      <c r="FX7143"/>
      <c r="FY7143"/>
      <c r="FZ7143"/>
      <c r="GA7143"/>
      <c r="GB7143"/>
      <c r="GC7143"/>
      <c r="GD7143"/>
      <c r="GE7143"/>
      <c r="GF7143"/>
      <c r="GG7143"/>
      <c r="GH7143"/>
      <c r="GI7143"/>
      <c r="GJ7143"/>
      <c r="GK7143"/>
      <c r="GL7143"/>
      <c r="GM7143"/>
      <c r="GN7143"/>
      <c r="GO7143"/>
    </row>
    <row r="7144" spans="107:197">
      <c r="DC7144"/>
      <c r="FH7144"/>
      <c r="FI7144"/>
      <c r="FJ7144"/>
      <c r="FK7144"/>
      <c r="FL7144"/>
      <c r="FM7144"/>
      <c r="FN7144"/>
      <c r="FO7144"/>
      <c r="FP7144"/>
      <c r="FQ7144"/>
      <c r="FR7144"/>
      <c r="FS7144"/>
      <c r="FT7144"/>
      <c r="FU7144"/>
      <c r="FV7144"/>
      <c r="FW7144"/>
      <c r="FX7144"/>
      <c r="FY7144"/>
      <c r="FZ7144"/>
      <c r="GA7144"/>
      <c r="GB7144"/>
      <c r="GC7144"/>
      <c r="GD7144"/>
      <c r="GE7144"/>
      <c r="GF7144"/>
      <c r="GG7144"/>
      <c r="GH7144"/>
      <c r="GI7144"/>
      <c r="GJ7144"/>
      <c r="GK7144"/>
      <c r="GL7144"/>
      <c r="GM7144"/>
      <c r="GN7144"/>
      <c r="GO7144"/>
    </row>
    <row r="7145" spans="107:197">
      <c r="DC7145"/>
      <c r="FH7145"/>
      <c r="FI7145"/>
      <c r="FJ7145"/>
      <c r="FK7145"/>
      <c r="FL7145"/>
      <c r="FM7145"/>
      <c r="FN7145"/>
      <c r="FO7145"/>
      <c r="FP7145"/>
      <c r="FQ7145"/>
      <c r="FR7145"/>
      <c r="FS7145"/>
      <c r="FT7145"/>
      <c r="FU7145"/>
      <c r="FV7145"/>
      <c r="FW7145"/>
      <c r="FX7145"/>
      <c r="FY7145"/>
      <c r="FZ7145"/>
      <c r="GA7145"/>
      <c r="GB7145"/>
      <c r="GC7145"/>
      <c r="GD7145"/>
      <c r="GE7145"/>
      <c r="GF7145"/>
      <c r="GG7145"/>
      <c r="GH7145"/>
      <c r="GI7145"/>
      <c r="GJ7145"/>
      <c r="GK7145"/>
      <c r="GL7145"/>
      <c r="GM7145"/>
      <c r="GN7145"/>
      <c r="GO7145"/>
    </row>
    <row r="7146" spans="107:197">
      <c r="DC7146"/>
      <c r="FH7146"/>
      <c r="FI7146"/>
      <c r="FJ7146"/>
      <c r="FK7146"/>
      <c r="FL7146"/>
      <c r="FM7146"/>
      <c r="FN7146"/>
      <c r="FO7146"/>
      <c r="FP7146"/>
      <c r="FQ7146"/>
      <c r="FR7146"/>
      <c r="FS7146"/>
      <c r="FT7146"/>
      <c r="FU7146"/>
      <c r="FV7146"/>
      <c r="FW7146"/>
      <c r="FX7146"/>
      <c r="FY7146"/>
      <c r="FZ7146"/>
      <c r="GA7146"/>
      <c r="GB7146"/>
      <c r="GC7146"/>
      <c r="GD7146"/>
      <c r="GE7146"/>
      <c r="GF7146"/>
      <c r="GG7146"/>
      <c r="GH7146"/>
      <c r="GI7146"/>
      <c r="GJ7146"/>
      <c r="GK7146"/>
      <c r="GL7146"/>
      <c r="GM7146"/>
      <c r="GN7146"/>
      <c r="GO7146"/>
    </row>
    <row r="7147" spans="107:197">
      <c r="DC7147"/>
      <c r="FH7147"/>
      <c r="FI7147"/>
      <c r="FJ7147"/>
      <c r="FK7147"/>
      <c r="FL7147"/>
      <c r="FM7147"/>
      <c r="FN7147"/>
      <c r="FO7147"/>
      <c r="FP7147"/>
      <c r="FQ7147"/>
      <c r="FR7147"/>
      <c r="FS7147"/>
      <c r="FT7147"/>
      <c r="FU7147"/>
      <c r="FV7147"/>
      <c r="FW7147"/>
      <c r="FX7147"/>
      <c r="FY7147"/>
      <c r="FZ7147"/>
      <c r="GA7147"/>
      <c r="GB7147"/>
      <c r="GC7147"/>
      <c r="GD7147"/>
      <c r="GE7147"/>
      <c r="GF7147"/>
      <c r="GG7147"/>
      <c r="GH7147"/>
      <c r="GI7147"/>
      <c r="GJ7147"/>
      <c r="GK7147"/>
      <c r="GL7147"/>
      <c r="GM7147"/>
      <c r="GN7147"/>
      <c r="GO7147"/>
    </row>
    <row r="7148" spans="107:197">
      <c r="DC7148"/>
      <c r="FH7148"/>
      <c r="FI7148"/>
      <c r="FJ7148"/>
      <c r="FK7148"/>
      <c r="FL7148"/>
      <c r="FM7148"/>
      <c r="FN7148"/>
      <c r="FO7148"/>
      <c r="FP7148"/>
      <c r="FQ7148"/>
      <c r="FR7148"/>
      <c r="FS7148"/>
      <c r="FT7148"/>
      <c r="FU7148"/>
      <c r="FV7148"/>
      <c r="FW7148"/>
      <c r="FX7148"/>
      <c r="FY7148"/>
      <c r="FZ7148"/>
      <c r="GA7148"/>
      <c r="GB7148"/>
      <c r="GC7148"/>
      <c r="GD7148"/>
      <c r="GE7148"/>
      <c r="GF7148"/>
      <c r="GG7148"/>
      <c r="GH7148"/>
      <c r="GI7148"/>
      <c r="GJ7148"/>
      <c r="GK7148"/>
      <c r="GL7148"/>
      <c r="GM7148"/>
      <c r="GN7148"/>
      <c r="GO7148"/>
    </row>
    <row r="7149" spans="107:197">
      <c r="DC7149"/>
      <c r="FH7149"/>
      <c r="FI7149"/>
      <c r="FJ7149"/>
      <c r="FK7149"/>
      <c r="FL7149"/>
      <c r="FM7149"/>
      <c r="FN7149"/>
      <c r="FO7149"/>
      <c r="FP7149"/>
      <c r="FQ7149"/>
      <c r="FR7149"/>
      <c r="FS7149"/>
      <c r="FT7149"/>
      <c r="FU7149"/>
      <c r="FV7149"/>
      <c r="FW7149"/>
      <c r="FX7149"/>
      <c r="FY7149"/>
      <c r="FZ7149"/>
      <c r="GA7149"/>
      <c r="GB7149"/>
      <c r="GC7149"/>
      <c r="GD7149"/>
      <c r="GE7149"/>
      <c r="GF7149"/>
      <c r="GG7149"/>
      <c r="GH7149"/>
      <c r="GI7149"/>
      <c r="GJ7149"/>
      <c r="GK7149"/>
      <c r="GL7149"/>
      <c r="GM7149"/>
      <c r="GN7149"/>
      <c r="GO7149"/>
    </row>
    <row r="7150" spans="107:197">
      <c r="DC7150"/>
      <c r="FH7150"/>
      <c r="FI7150"/>
      <c r="FJ7150"/>
      <c r="FK7150"/>
      <c r="FL7150"/>
      <c r="FM7150"/>
      <c r="FN7150"/>
      <c r="FO7150"/>
      <c r="FP7150"/>
      <c r="FQ7150"/>
      <c r="FR7150"/>
      <c r="FS7150"/>
      <c r="FT7150"/>
      <c r="FU7150"/>
      <c r="FV7150"/>
      <c r="FW7150"/>
      <c r="FX7150"/>
      <c r="FY7150"/>
      <c r="FZ7150"/>
      <c r="GA7150"/>
      <c r="GB7150"/>
      <c r="GC7150"/>
      <c r="GD7150"/>
      <c r="GE7150"/>
      <c r="GF7150"/>
      <c r="GG7150"/>
      <c r="GH7150"/>
      <c r="GI7150"/>
      <c r="GJ7150"/>
      <c r="GK7150"/>
      <c r="GL7150"/>
      <c r="GM7150"/>
      <c r="GN7150"/>
      <c r="GO7150"/>
    </row>
    <row r="7151" spans="107:197">
      <c r="DC7151"/>
      <c r="FH7151"/>
      <c r="FI7151"/>
      <c r="FJ7151"/>
      <c r="FK7151"/>
      <c r="FL7151"/>
      <c r="FM7151"/>
      <c r="FN7151"/>
      <c r="FO7151"/>
      <c r="FP7151"/>
      <c r="FQ7151"/>
      <c r="FR7151"/>
      <c r="FS7151"/>
      <c r="FT7151"/>
      <c r="FU7151"/>
      <c r="FV7151"/>
      <c r="FW7151"/>
      <c r="FX7151"/>
      <c r="FY7151"/>
      <c r="FZ7151"/>
      <c r="GA7151"/>
      <c r="GB7151"/>
      <c r="GC7151"/>
      <c r="GD7151"/>
      <c r="GE7151"/>
      <c r="GF7151"/>
      <c r="GG7151"/>
      <c r="GH7151"/>
      <c r="GI7151"/>
      <c r="GJ7151"/>
      <c r="GK7151"/>
      <c r="GL7151"/>
      <c r="GM7151"/>
      <c r="GN7151"/>
      <c r="GO7151"/>
    </row>
    <row r="7152" spans="107:197">
      <c r="DC7152"/>
      <c r="FH7152"/>
      <c r="FI7152"/>
      <c r="FJ7152"/>
      <c r="FK7152"/>
      <c r="FL7152"/>
      <c r="FM7152"/>
      <c r="FN7152"/>
      <c r="FO7152"/>
      <c r="FP7152"/>
      <c r="FQ7152"/>
      <c r="FR7152"/>
      <c r="FS7152"/>
      <c r="FT7152"/>
      <c r="FU7152"/>
      <c r="FV7152"/>
      <c r="FW7152"/>
      <c r="FX7152"/>
      <c r="FY7152"/>
      <c r="FZ7152"/>
      <c r="GA7152"/>
      <c r="GB7152"/>
      <c r="GC7152"/>
      <c r="GD7152"/>
      <c r="GE7152"/>
      <c r="GF7152"/>
      <c r="GG7152"/>
      <c r="GH7152"/>
      <c r="GI7152"/>
      <c r="GJ7152"/>
      <c r="GK7152"/>
      <c r="GL7152"/>
      <c r="GM7152"/>
      <c r="GN7152"/>
      <c r="GO7152"/>
    </row>
    <row r="7153" spans="107:197">
      <c r="DC7153"/>
      <c r="FH7153"/>
      <c r="FI7153"/>
      <c r="FJ7153"/>
      <c r="FK7153"/>
      <c r="FL7153"/>
      <c r="FM7153"/>
      <c r="FN7153"/>
      <c r="FO7153"/>
      <c r="FP7153"/>
      <c r="FQ7153"/>
      <c r="FR7153"/>
      <c r="FS7153"/>
      <c r="FT7153"/>
      <c r="FU7153"/>
      <c r="FV7153"/>
      <c r="FW7153"/>
      <c r="FX7153"/>
      <c r="FY7153"/>
      <c r="FZ7153"/>
      <c r="GA7153"/>
      <c r="GB7153"/>
      <c r="GC7153"/>
      <c r="GD7153"/>
      <c r="GE7153"/>
      <c r="GF7153"/>
      <c r="GG7153"/>
      <c r="GH7153"/>
      <c r="GI7153"/>
      <c r="GJ7153"/>
      <c r="GK7153"/>
      <c r="GL7153"/>
      <c r="GM7153"/>
      <c r="GN7153"/>
      <c r="GO7153"/>
    </row>
    <row r="7154" spans="107:197">
      <c r="DC7154"/>
      <c r="FH7154"/>
      <c r="FI7154"/>
      <c r="FJ7154"/>
      <c r="FK7154"/>
      <c r="FL7154"/>
      <c r="FM7154"/>
      <c r="FN7154"/>
      <c r="FO7154"/>
      <c r="FP7154"/>
      <c r="FQ7154"/>
      <c r="FR7154"/>
      <c r="FS7154"/>
      <c r="FT7154"/>
      <c r="FU7154"/>
      <c r="FV7154"/>
      <c r="FW7154"/>
      <c r="FX7154"/>
      <c r="FY7154"/>
      <c r="FZ7154"/>
      <c r="GA7154"/>
      <c r="GB7154"/>
      <c r="GC7154"/>
      <c r="GD7154"/>
      <c r="GE7154"/>
      <c r="GF7154"/>
      <c r="GG7154"/>
      <c r="GH7154"/>
      <c r="GI7154"/>
      <c r="GJ7154"/>
      <c r="GK7154"/>
      <c r="GL7154"/>
      <c r="GM7154"/>
      <c r="GN7154"/>
      <c r="GO7154"/>
    </row>
    <row r="7155" spans="107:197">
      <c r="DC7155"/>
      <c r="FH7155"/>
      <c r="FI7155"/>
      <c r="FJ7155"/>
      <c r="FK7155"/>
      <c r="FL7155"/>
      <c r="FM7155"/>
      <c r="FN7155"/>
      <c r="FO7155"/>
      <c r="FP7155"/>
      <c r="FQ7155"/>
      <c r="FR7155"/>
      <c r="FS7155"/>
      <c r="FT7155"/>
      <c r="FU7155"/>
      <c r="FV7155"/>
      <c r="FW7155"/>
      <c r="FX7155"/>
      <c r="FY7155"/>
      <c r="FZ7155"/>
      <c r="GA7155"/>
      <c r="GB7155"/>
      <c r="GC7155"/>
      <c r="GD7155"/>
      <c r="GE7155"/>
      <c r="GF7155"/>
      <c r="GG7155"/>
      <c r="GH7155"/>
      <c r="GI7155"/>
      <c r="GJ7155"/>
      <c r="GK7155"/>
      <c r="GL7155"/>
      <c r="GM7155"/>
      <c r="GN7155"/>
      <c r="GO7155"/>
    </row>
    <row r="7156" spans="107:197">
      <c r="DC7156"/>
      <c r="FH7156"/>
      <c r="FI7156"/>
      <c r="FJ7156"/>
      <c r="FK7156"/>
      <c r="FL7156"/>
      <c r="FM7156"/>
      <c r="FN7156"/>
      <c r="FO7156"/>
      <c r="FP7156"/>
      <c r="FQ7156"/>
      <c r="FR7156"/>
      <c r="FS7156"/>
      <c r="FT7156"/>
      <c r="FU7156"/>
      <c r="FV7156"/>
      <c r="FW7156"/>
      <c r="FX7156"/>
      <c r="FY7156"/>
      <c r="FZ7156"/>
      <c r="GA7156"/>
      <c r="GB7156"/>
      <c r="GC7156"/>
      <c r="GD7156"/>
      <c r="GE7156"/>
      <c r="GF7156"/>
      <c r="GG7156"/>
      <c r="GH7156"/>
      <c r="GI7156"/>
      <c r="GJ7156"/>
      <c r="GK7156"/>
      <c r="GL7156"/>
      <c r="GM7156"/>
      <c r="GN7156"/>
      <c r="GO7156"/>
    </row>
    <row r="7157" spans="107:197">
      <c r="DC7157"/>
      <c r="FH7157"/>
      <c r="FI7157"/>
      <c r="FJ7157"/>
      <c r="FK7157"/>
      <c r="FL7157"/>
      <c r="FM7157"/>
      <c r="FN7157"/>
      <c r="FO7157"/>
      <c r="FP7157"/>
      <c r="FQ7157"/>
      <c r="FR7157"/>
      <c r="FS7157"/>
      <c r="FT7157"/>
      <c r="FU7157"/>
      <c r="FV7157"/>
      <c r="FW7157"/>
      <c r="FX7157"/>
      <c r="FY7157"/>
      <c r="FZ7157"/>
      <c r="GA7157"/>
      <c r="GB7157"/>
      <c r="GC7157"/>
      <c r="GD7157"/>
      <c r="GE7157"/>
      <c r="GF7157"/>
      <c r="GG7157"/>
      <c r="GH7157"/>
      <c r="GI7157"/>
      <c r="GJ7157"/>
      <c r="GK7157"/>
      <c r="GL7157"/>
      <c r="GM7157"/>
      <c r="GN7157"/>
      <c r="GO7157"/>
    </row>
    <row r="7158" spans="107:197">
      <c r="DC7158"/>
      <c r="FH7158"/>
      <c r="FI7158"/>
      <c r="FJ7158"/>
      <c r="FK7158"/>
      <c r="FL7158"/>
      <c r="FM7158"/>
      <c r="FN7158"/>
      <c r="FO7158"/>
      <c r="FP7158"/>
      <c r="FQ7158"/>
      <c r="FR7158"/>
      <c r="FS7158"/>
      <c r="FT7158"/>
      <c r="FU7158"/>
      <c r="FV7158"/>
      <c r="FW7158"/>
      <c r="FX7158"/>
      <c r="FY7158"/>
      <c r="FZ7158"/>
      <c r="GA7158"/>
      <c r="GB7158"/>
      <c r="GC7158"/>
      <c r="GD7158"/>
      <c r="GE7158"/>
      <c r="GF7158"/>
      <c r="GG7158"/>
      <c r="GH7158"/>
      <c r="GI7158"/>
      <c r="GJ7158"/>
      <c r="GK7158"/>
      <c r="GL7158"/>
      <c r="GM7158"/>
      <c r="GN7158"/>
      <c r="GO7158"/>
    </row>
    <row r="7159" spans="107:197">
      <c r="DC7159"/>
      <c r="FH7159"/>
      <c r="FI7159"/>
      <c r="FJ7159"/>
      <c r="FK7159"/>
      <c r="FL7159"/>
      <c r="FM7159"/>
      <c r="FN7159"/>
      <c r="FO7159"/>
      <c r="FP7159"/>
      <c r="FQ7159"/>
      <c r="FR7159"/>
      <c r="FS7159"/>
      <c r="FT7159"/>
      <c r="FU7159"/>
      <c r="FV7159"/>
      <c r="FW7159"/>
      <c r="FX7159"/>
      <c r="FY7159"/>
      <c r="FZ7159"/>
      <c r="GA7159"/>
      <c r="GB7159"/>
      <c r="GC7159"/>
      <c r="GD7159"/>
      <c r="GE7159"/>
      <c r="GF7159"/>
      <c r="GG7159"/>
      <c r="GH7159"/>
      <c r="GI7159"/>
      <c r="GJ7159"/>
      <c r="GK7159"/>
      <c r="GL7159"/>
      <c r="GM7159"/>
      <c r="GN7159"/>
      <c r="GO7159"/>
    </row>
    <row r="7160" spans="107:197">
      <c r="DC7160"/>
      <c r="FH7160"/>
      <c r="FI7160"/>
      <c r="FJ7160"/>
      <c r="FK7160"/>
      <c r="FL7160"/>
      <c r="FM7160"/>
      <c r="FN7160"/>
      <c r="FO7160"/>
      <c r="FP7160"/>
      <c r="FQ7160"/>
      <c r="FR7160"/>
      <c r="FS7160"/>
      <c r="FT7160"/>
      <c r="FU7160"/>
      <c r="FV7160"/>
      <c r="FW7160"/>
      <c r="FX7160"/>
      <c r="FY7160"/>
      <c r="FZ7160"/>
      <c r="GA7160"/>
      <c r="GB7160"/>
      <c r="GC7160"/>
      <c r="GD7160"/>
      <c r="GE7160"/>
      <c r="GF7160"/>
      <c r="GG7160"/>
      <c r="GH7160"/>
      <c r="GI7160"/>
      <c r="GJ7160"/>
      <c r="GK7160"/>
      <c r="GL7160"/>
      <c r="GM7160"/>
      <c r="GN7160"/>
      <c r="GO7160"/>
    </row>
    <row r="7161" spans="107:197">
      <c r="DC7161"/>
      <c r="FH7161"/>
      <c r="FI7161"/>
      <c r="FJ7161"/>
      <c r="FK7161"/>
      <c r="FL7161"/>
      <c r="FM7161"/>
      <c r="FN7161"/>
      <c r="FO7161"/>
      <c r="FP7161"/>
      <c r="FQ7161"/>
      <c r="FR7161"/>
      <c r="FS7161"/>
      <c r="FT7161"/>
      <c r="FU7161"/>
      <c r="FV7161"/>
      <c r="FW7161"/>
      <c r="FX7161"/>
      <c r="FY7161"/>
      <c r="FZ7161"/>
      <c r="GA7161"/>
      <c r="GB7161"/>
      <c r="GC7161"/>
      <c r="GD7161"/>
      <c r="GE7161"/>
      <c r="GF7161"/>
      <c r="GG7161"/>
      <c r="GH7161"/>
      <c r="GI7161"/>
      <c r="GJ7161"/>
      <c r="GK7161"/>
      <c r="GL7161"/>
      <c r="GM7161"/>
      <c r="GN7161"/>
      <c r="GO7161"/>
    </row>
    <row r="7162" spans="107:197">
      <c r="DC7162"/>
      <c r="FH7162"/>
      <c r="FI7162"/>
      <c r="FJ7162"/>
      <c r="FK7162"/>
      <c r="FL7162"/>
      <c r="FM7162"/>
      <c r="FN7162"/>
      <c r="FO7162"/>
      <c r="FP7162"/>
      <c r="FQ7162"/>
      <c r="FR7162"/>
      <c r="FS7162"/>
      <c r="FT7162"/>
      <c r="FU7162"/>
      <c r="FV7162"/>
      <c r="FW7162"/>
      <c r="FX7162"/>
      <c r="FY7162"/>
      <c r="FZ7162"/>
      <c r="GA7162"/>
      <c r="GB7162"/>
      <c r="GC7162"/>
      <c r="GD7162"/>
      <c r="GE7162"/>
      <c r="GF7162"/>
      <c r="GG7162"/>
      <c r="GH7162"/>
      <c r="GI7162"/>
      <c r="GJ7162"/>
      <c r="GK7162"/>
      <c r="GL7162"/>
      <c r="GM7162"/>
      <c r="GN7162"/>
      <c r="GO7162"/>
    </row>
    <row r="7163" spans="107:197">
      <c r="DC7163"/>
      <c r="FH7163"/>
      <c r="FI7163"/>
      <c r="FJ7163"/>
      <c r="FK7163"/>
      <c r="FL7163"/>
      <c r="FM7163"/>
      <c r="FN7163"/>
      <c r="FO7163"/>
      <c r="FP7163"/>
      <c r="FQ7163"/>
      <c r="FR7163"/>
      <c r="FS7163"/>
      <c r="FT7163"/>
      <c r="FU7163"/>
      <c r="FV7163"/>
      <c r="FW7163"/>
      <c r="FX7163"/>
      <c r="FY7163"/>
      <c r="FZ7163"/>
      <c r="GA7163"/>
      <c r="GB7163"/>
      <c r="GC7163"/>
      <c r="GD7163"/>
      <c r="GE7163"/>
      <c r="GF7163"/>
      <c r="GG7163"/>
      <c r="GH7163"/>
      <c r="GI7163"/>
      <c r="GJ7163"/>
      <c r="GK7163"/>
      <c r="GL7163"/>
      <c r="GM7163"/>
      <c r="GN7163"/>
      <c r="GO7163"/>
    </row>
    <row r="7164" spans="107:197">
      <c r="DC7164"/>
      <c r="FH7164"/>
      <c r="FI7164"/>
      <c r="FJ7164"/>
      <c r="FK7164"/>
      <c r="FL7164"/>
      <c r="FM7164"/>
      <c r="FN7164"/>
      <c r="FO7164"/>
      <c r="FP7164"/>
      <c r="FQ7164"/>
      <c r="FR7164"/>
      <c r="FS7164"/>
      <c r="FT7164"/>
      <c r="FU7164"/>
      <c r="FV7164"/>
      <c r="FW7164"/>
      <c r="FX7164"/>
      <c r="FY7164"/>
      <c r="FZ7164"/>
      <c r="GA7164"/>
      <c r="GB7164"/>
      <c r="GC7164"/>
      <c r="GD7164"/>
      <c r="GE7164"/>
      <c r="GF7164"/>
      <c r="GG7164"/>
      <c r="GH7164"/>
      <c r="GI7164"/>
      <c r="GJ7164"/>
      <c r="GK7164"/>
      <c r="GL7164"/>
      <c r="GM7164"/>
      <c r="GN7164"/>
      <c r="GO7164"/>
    </row>
    <row r="7165" spans="107:197">
      <c r="DC7165"/>
      <c r="FH7165"/>
      <c r="FI7165"/>
      <c r="FJ7165"/>
      <c r="FK7165"/>
      <c r="FL7165"/>
      <c r="FM7165"/>
      <c r="FN7165"/>
      <c r="FO7165"/>
      <c r="FP7165"/>
      <c r="FQ7165"/>
      <c r="FR7165"/>
      <c r="FS7165"/>
      <c r="FT7165"/>
      <c r="FU7165"/>
      <c r="FV7165"/>
      <c r="FW7165"/>
      <c r="FX7165"/>
      <c r="FY7165"/>
      <c r="FZ7165"/>
      <c r="GA7165"/>
      <c r="GB7165"/>
      <c r="GC7165"/>
      <c r="GD7165"/>
      <c r="GE7165"/>
      <c r="GF7165"/>
      <c r="GG7165"/>
      <c r="GH7165"/>
      <c r="GI7165"/>
      <c r="GJ7165"/>
      <c r="GK7165"/>
      <c r="GL7165"/>
      <c r="GM7165"/>
      <c r="GN7165"/>
      <c r="GO7165"/>
    </row>
    <row r="7166" spans="107:197">
      <c r="DC7166"/>
      <c r="FH7166"/>
      <c r="FI7166"/>
      <c r="FJ7166"/>
      <c r="FK7166"/>
      <c r="FL7166"/>
      <c r="FM7166"/>
      <c r="FN7166"/>
      <c r="FO7166"/>
      <c r="FP7166"/>
      <c r="FQ7166"/>
      <c r="FR7166"/>
      <c r="FS7166"/>
      <c r="FT7166"/>
      <c r="FU7166"/>
      <c r="FV7166"/>
      <c r="FW7166"/>
      <c r="FX7166"/>
      <c r="FY7166"/>
      <c r="FZ7166"/>
      <c r="GA7166"/>
      <c r="GB7166"/>
      <c r="GC7166"/>
      <c r="GD7166"/>
      <c r="GE7166"/>
      <c r="GF7166"/>
      <c r="GG7166"/>
      <c r="GH7166"/>
      <c r="GI7166"/>
      <c r="GJ7166"/>
      <c r="GK7166"/>
      <c r="GL7166"/>
      <c r="GM7166"/>
      <c r="GN7166"/>
      <c r="GO7166"/>
    </row>
    <row r="7167" spans="107:197">
      <c r="DC7167"/>
      <c r="FH7167"/>
      <c r="FI7167"/>
      <c r="FJ7167"/>
      <c r="FK7167"/>
      <c r="FL7167"/>
      <c r="FM7167"/>
      <c r="FN7167"/>
      <c r="FO7167"/>
      <c r="FP7167"/>
      <c r="FQ7167"/>
      <c r="FR7167"/>
      <c r="FS7167"/>
      <c r="FT7167"/>
      <c r="FU7167"/>
      <c r="FV7167"/>
      <c r="FW7167"/>
      <c r="FX7167"/>
      <c r="FY7167"/>
      <c r="FZ7167"/>
      <c r="GA7167"/>
      <c r="GB7167"/>
      <c r="GC7167"/>
      <c r="GD7167"/>
      <c r="GE7167"/>
      <c r="GF7167"/>
      <c r="GG7167"/>
      <c r="GH7167"/>
      <c r="GI7167"/>
      <c r="GJ7167"/>
      <c r="GK7167"/>
      <c r="GL7167"/>
      <c r="GM7167"/>
      <c r="GN7167"/>
      <c r="GO7167"/>
    </row>
    <row r="7168" spans="107:197">
      <c r="DC7168"/>
      <c r="FH7168"/>
      <c r="FI7168"/>
      <c r="FJ7168"/>
      <c r="FK7168"/>
      <c r="FL7168"/>
      <c r="FM7168"/>
      <c r="FN7168"/>
      <c r="FO7168"/>
      <c r="FP7168"/>
      <c r="FQ7168"/>
      <c r="FR7168"/>
      <c r="FS7168"/>
      <c r="FT7168"/>
      <c r="FU7168"/>
      <c r="FV7168"/>
      <c r="FW7168"/>
      <c r="FX7168"/>
      <c r="FY7168"/>
      <c r="FZ7168"/>
      <c r="GA7168"/>
      <c r="GB7168"/>
      <c r="GC7168"/>
      <c r="GD7168"/>
      <c r="GE7168"/>
      <c r="GF7168"/>
      <c r="GG7168"/>
      <c r="GH7168"/>
      <c r="GI7168"/>
      <c r="GJ7168"/>
      <c r="GK7168"/>
      <c r="GL7168"/>
      <c r="GM7168"/>
      <c r="GN7168"/>
      <c r="GO7168"/>
    </row>
    <row r="7169" spans="107:197">
      <c r="DC7169"/>
      <c r="FH7169"/>
      <c r="FI7169"/>
      <c r="FJ7169"/>
      <c r="FK7169"/>
      <c r="FL7169"/>
      <c r="FM7169"/>
      <c r="FN7169"/>
      <c r="FO7169"/>
      <c r="FP7169"/>
      <c r="FQ7169"/>
      <c r="FR7169"/>
      <c r="FS7169"/>
      <c r="FT7169"/>
      <c r="FU7169"/>
      <c r="FV7169"/>
      <c r="FW7169"/>
      <c r="FX7169"/>
      <c r="FY7169"/>
      <c r="FZ7169"/>
      <c r="GA7169"/>
      <c r="GB7169"/>
      <c r="GC7169"/>
      <c r="GD7169"/>
      <c r="GE7169"/>
      <c r="GF7169"/>
      <c r="GG7169"/>
      <c r="GH7169"/>
      <c r="GI7169"/>
      <c r="GJ7169"/>
      <c r="GK7169"/>
      <c r="GL7169"/>
      <c r="GM7169"/>
      <c r="GN7169"/>
      <c r="GO7169"/>
    </row>
    <row r="7170" spans="107:197">
      <c r="DC7170"/>
      <c r="FH7170"/>
      <c r="FI7170"/>
      <c r="FJ7170"/>
      <c r="FK7170"/>
      <c r="FL7170"/>
      <c r="FM7170"/>
      <c r="FN7170"/>
      <c r="FO7170"/>
      <c r="FP7170"/>
      <c r="FQ7170"/>
      <c r="FR7170"/>
      <c r="FS7170"/>
      <c r="FT7170"/>
      <c r="FU7170"/>
      <c r="FV7170"/>
      <c r="FW7170"/>
      <c r="FX7170"/>
      <c r="FY7170"/>
      <c r="FZ7170"/>
      <c r="GA7170"/>
      <c r="GB7170"/>
      <c r="GC7170"/>
      <c r="GD7170"/>
      <c r="GE7170"/>
      <c r="GF7170"/>
      <c r="GG7170"/>
      <c r="GH7170"/>
      <c r="GI7170"/>
      <c r="GJ7170"/>
      <c r="GK7170"/>
      <c r="GL7170"/>
      <c r="GM7170"/>
      <c r="GN7170"/>
      <c r="GO7170"/>
    </row>
    <row r="7171" spans="107:197">
      <c r="DC7171"/>
      <c r="FH7171"/>
      <c r="FI7171"/>
      <c r="FJ7171"/>
      <c r="FK7171"/>
      <c r="FL7171"/>
      <c r="FM7171"/>
      <c r="FN7171"/>
      <c r="FO7171"/>
      <c r="FP7171"/>
      <c r="FQ7171"/>
      <c r="FR7171"/>
      <c r="FS7171"/>
      <c r="FT7171"/>
      <c r="FU7171"/>
      <c r="FV7171"/>
      <c r="FW7171"/>
      <c r="FX7171"/>
      <c r="FY7171"/>
      <c r="FZ7171"/>
      <c r="GA7171"/>
      <c r="GB7171"/>
      <c r="GC7171"/>
      <c r="GD7171"/>
      <c r="GE7171"/>
      <c r="GF7171"/>
      <c r="GG7171"/>
      <c r="GH7171"/>
      <c r="GI7171"/>
      <c r="GJ7171"/>
      <c r="GK7171"/>
      <c r="GL7171"/>
      <c r="GM7171"/>
      <c r="GN7171"/>
      <c r="GO7171"/>
    </row>
    <row r="7172" spans="107:197">
      <c r="DC7172"/>
      <c r="FH7172"/>
      <c r="FI7172"/>
      <c r="FJ7172"/>
      <c r="FK7172"/>
      <c r="FL7172"/>
      <c r="FM7172"/>
      <c r="FN7172"/>
      <c r="FO7172"/>
      <c r="FP7172"/>
      <c r="FQ7172"/>
      <c r="FR7172"/>
      <c r="FS7172"/>
      <c r="FT7172"/>
      <c r="FU7172"/>
      <c r="FV7172"/>
      <c r="FW7172"/>
      <c r="FX7172"/>
      <c r="FY7172"/>
      <c r="FZ7172"/>
      <c r="GA7172"/>
      <c r="GB7172"/>
      <c r="GC7172"/>
      <c r="GD7172"/>
      <c r="GE7172"/>
      <c r="GF7172"/>
      <c r="GG7172"/>
      <c r="GH7172"/>
      <c r="GI7172"/>
      <c r="GJ7172"/>
      <c r="GK7172"/>
      <c r="GL7172"/>
      <c r="GM7172"/>
      <c r="GN7172"/>
      <c r="GO7172"/>
    </row>
    <row r="7173" spans="107:197">
      <c r="DC7173"/>
      <c r="FH7173"/>
      <c r="FI7173"/>
      <c r="FJ7173"/>
      <c r="FK7173"/>
      <c r="FL7173"/>
      <c r="FM7173"/>
      <c r="FN7173"/>
      <c r="FO7173"/>
      <c r="FP7173"/>
      <c r="FQ7173"/>
      <c r="FR7173"/>
      <c r="FS7173"/>
      <c r="FT7173"/>
      <c r="FU7173"/>
      <c r="FV7173"/>
      <c r="FW7173"/>
      <c r="FX7173"/>
      <c r="FY7173"/>
      <c r="FZ7173"/>
      <c r="GA7173"/>
      <c r="GB7173"/>
      <c r="GC7173"/>
      <c r="GD7173"/>
      <c r="GE7173"/>
      <c r="GF7173"/>
      <c r="GG7173"/>
      <c r="GH7173"/>
      <c r="GI7173"/>
      <c r="GJ7173"/>
      <c r="GK7173"/>
      <c r="GL7173"/>
      <c r="GM7173"/>
      <c r="GN7173"/>
      <c r="GO7173"/>
    </row>
    <row r="7174" spans="107:197">
      <c r="DC7174"/>
      <c r="FH7174"/>
      <c r="FI7174"/>
      <c r="FJ7174"/>
      <c r="FK7174"/>
      <c r="FL7174"/>
      <c r="FM7174"/>
      <c r="FN7174"/>
      <c r="FO7174"/>
      <c r="FP7174"/>
      <c r="FQ7174"/>
      <c r="FR7174"/>
      <c r="FS7174"/>
      <c r="FT7174"/>
      <c r="FU7174"/>
      <c r="FV7174"/>
      <c r="FW7174"/>
      <c r="FX7174"/>
      <c r="FY7174"/>
      <c r="FZ7174"/>
      <c r="GA7174"/>
      <c r="GB7174"/>
      <c r="GC7174"/>
      <c r="GD7174"/>
      <c r="GE7174"/>
      <c r="GF7174"/>
      <c r="GG7174"/>
      <c r="GH7174"/>
      <c r="GI7174"/>
      <c r="GJ7174"/>
      <c r="GK7174"/>
      <c r="GL7174"/>
      <c r="GM7174"/>
      <c r="GN7174"/>
      <c r="GO7174"/>
    </row>
    <row r="7175" spans="107:197">
      <c r="DC7175"/>
      <c r="FH7175"/>
      <c r="FI7175"/>
      <c r="FJ7175"/>
      <c r="FK7175"/>
      <c r="FL7175"/>
      <c r="FM7175"/>
      <c r="FN7175"/>
      <c r="FO7175"/>
      <c r="FP7175"/>
      <c r="FQ7175"/>
      <c r="FR7175"/>
      <c r="FS7175"/>
      <c r="FT7175"/>
      <c r="FU7175"/>
      <c r="FV7175"/>
      <c r="FW7175"/>
      <c r="FX7175"/>
      <c r="FY7175"/>
      <c r="FZ7175"/>
      <c r="GA7175"/>
      <c r="GB7175"/>
      <c r="GC7175"/>
      <c r="GD7175"/>
      <c r="GE7175"/>
      <c r="GF7175"/>
      <c r="GG7175"/>
      <c r="GH7175"/>
      <c r="GI7175"/>
      <c r="GJ7175"/>
      <c r="GK7175"/>
      <c r="GL7175"/>
      <c r="GM7175"/>
      <c r="GN7175"/>
      <c r="GO7175"/>
    </row>
    <row r="7176" spans="107:197">
      <c r="DC7176"/>
      <c r="FH7176"/>
      <c r="FI7176"/>
      <c r="FJ7176"/>
      <c r="FK7176"/>
      <c r="FL7176"/>
      <c r="FM7176"/>
      <c r="FN7176"/>
      <c r="FO7176"/>
      <c r="FP7176"/>
      <c r="FQ7176"/>
      <c r="FR7176"/>
      <c r="FS7176"/>
      <c r="FT7176"/>
      <c r="FU7176"/>
      <c r="FV7176"/>
      <c r="FW7176"/>
      <c r="FX7176"/>
      <c r="FY7176"/>
      <c r="FZ7176"/>
      <c r="GA7176"/>
      <c r="GB7176"/>
      <c r="GC7176"/>
      <c r="GD7176"/>
      <c r="GE7176"/>
      <c r="GF7176"/>
      <c r="GG7176"/>
      <c r="GH7176"/>
      <c r="GI7176"/>
      <c r="GJ7176"/>
      <c r="GK7176"/>
      <c r="GL7176"/>
      <c r="GM7176"/>
      <c r="GN7176"/>
      <c r="GO7176"/>
    </row>
    <row r="7177" spans="107:197">
      <c r="DC7177"/>
      <c r="FH7177"/>
      <c r="FI7177"/>
      <c r="FJ7177"/>
      <c r="FK7177"/>
      <c r="FL7177"/>
      <c r="FM7177"/>
      <c r="FN7177"/>
      <c r="FO7177"/>
      <c r="FP7177"/>
      <c r="FQ7177"/>
      <c r="FR7177"/>
      <c r="FS7177"/>
      <c r="FT7177"/>
      <c r="FU7177"/>
      <c r="FV7177"/>
      <c r="FW7177"/>
      <c r="FX7177"/>
      <c r="FY7177"/>
      <c r="FZ7177"/>
      <c r="GA7177"/>
      <c r="GB7177"/>
      <c r="GC7177"/>
      <c r="GD7177"/>
      <c r="GE7177"/>
      <c r="GF7177"/>
      <c r="GG7177"/>
      <c r="GH7177"/>
      <c r="GI7177"/>
      <c r="GJ7177"/>
      <c r="GK7177"/>
      <c r="GL7177"/>
      <c r="GM7177"/>
      <c r="GN7177"/>
      <c r="GO7177"/>
    </row>
    <row r="7178" spans="107:197">
      <c r="DC7178"/>
      <c r="FH7178"/>
      <c r="FI7178"/>
      <c r="FJ7178"/>
      <c r="FK7178"/>
      <c r="FL7178"/>
      <c r="FM7178"/>
      <c r="FN7178"/>
      <c r="FO7178"/>
      <c r="FP7178"/>
      <c r="FQ7178"/>
      <c r="FR7178"/>
      <c r="FS7178"/>
      <c r="FT7178"/>
      <c r="FU7178"/>
      <c r="FV7178"/>
      <c r="FW7178"/>
      <c r="FX7178"/>
      <c r="FY7178"/>
      <c r="FZ7178"/>
      <c r="GA7178"/>
      <c r="GB7178"/>
      <c r="GC7178"/>
      <c r="GD7178"/>
      <c r="GE7178"/>
      <c r="GF7178"/>
      <c r="GG7178"/>
      <c r="GH7178"/>
      <c r="GI7178"/>
      <c r="GJ7178"/>
      <c r="GK7178"/>
      <c r="GL7178"/>
      <c r="GM7178"/>
      <c r="GN7178"/>
      <c r="GO7178"/>
    </row>
    <row r="7179" spans="107:197">
      <c r="DC7179"/>
      <c r="FH7179"/>
      <c r="FI7179"/>
      <c r="FJ7179"/>
      <c r="FK7179"/>
      <c r="FL7179"/>
      <c r="FM7179"/>
      <c r="FN7179"/>
      <c r="FO7179"/>
      <c r="FP7179"/>
      <c r="FQ7179"/>
      <c r="FR7179"/>
      <c r="FS7179"/>
      <c r="FT7179"/>
      <c r="FU7179"/>
      <c r="FV7179"/>
      <c r="FW7179"/>
      <c r="FX7179"/>
      <c r="FY7179"/>
      <c r="FZ7179"/>
      <c r="GA7179"/>
      <c r="GB7179"/>
      <c r="GC7179"/>
      <c r="GD7179"/>
      <c r="GE7179"/>
      <c r="GF7179"/>
      <c r="GG7179"/>
      <c r="GH7179"/>
      <c r="GI7179"/>
      <c r="GJ7179"/>
      <c r="GK7179"/>
      <c r="GL7179"/>
      <c r="GM7179"/>
      <c r="GN7179"/>
      <c r="GO7179"/>
    </row>
    <row r="7180" spans="107:197">
      <c r="DC7180"/>
      <c r="FH7180"/>
      <c r="FI7180"/>
      <c r="FJ7180"/>
      <c r="FK7180"/>
      <c r="FL7180"/>
      <c r="FM7180"/>
      <c r="FN7180"/>
      <c r="FO7180"/>
      <c r="FP7180"/>
      <c r="FQ7180"/>
      <c r="FR7180"/>
      <c r="FS7180"/>
      <c r="FT7180"/>
      <c r="FU7180"/>
      <c r="FV7180"/>
      <c r="FW7180"/>
      <c r="FX7180"/>
      <c r="FY7180"/>
      <c r="FZ7180"/>
      <c r="GA7180"/>
      <c r="GB7180"/>
      <c r="GC7180"/>
      <c r="GD7180"/>
      <c r="GE7180"/>
      <c r="GF7180"/>
      <c r="GG7180"/>
      <c r="GH7180"/>
      <c r="GI7180"/>
      <c r="GJ7180"/>
      <c r="GK7180"/>
      <c r="GL7180"/>
      <c r="GM7180"/>
      <c r="GN7180"/>
      <c r="GO7180"/>
    </row>
    <row r="7181" spans="107:197">
      <c r="DC7181"/>
      <c r="FH7181"/>
      <c r="FI7181"/>
      <c r="FJ7181"/>
      <c r="FK7181"/>
      <c r="FL7181"/>
      <c r="FM7181"/>
      <c r="FN7181"/>
      <c r="FO7181"/>
      <c r="FP7181"/>
      <c r="FQ7181"/>
      <c r="FR7181"/>
      <c r="FS7181"/>
      <c r="FT7181"/>
      <c r="FU7181"/>
      <c r="FV7181"/>
      <c r="FW7181"/>
      <c r="FX7181"/>
      <c r="FY7181"/>
      <c r="FZ7181"/>
      <c r="GA7181"/>
      <c r="GB7181"/>
      <c r="GC7181"/>
      <c r="GD7181"/>
      <c r="GE7181"/>
      <c r="GF7181"/>
      <c r="GG7181"/>
      <c r="GH7181"/>
      <c r="GI7181"/>
      <c r="GJ7181"/>
      <c r="GK7181"/>
      <c r="GL7181"/>
      <c r="GM7181"/>
      <c r="GN7181"/>
      <c r="GO7181"/>
    </row>
    <row r="7182" spans="107:197">
      <c r="DC7182"/>
      <c r="FH7182"/>
      <c r="FI7182"/>
      <c r="FJ7182"/>
      <c r="FK7182"/>
      <c r="FL7182"/>
      <c r="FM7182"/>
      <c r="FN7182"/>
      <c r="FO7182"/>
      <c r="FP7182"/>
      <c r="FQ7182"/>
      <c r="FR7182"/>
      <c r="FS7182"/>
      <c r="FT7182"/>
      <c r="FU7182"/>
      <c r="FV7182"/>
      <c r="FW7182"/>
      <c r="FX7182"/>
      <c r="FY7182"/>
      <c r="FZ7182"/>
      <c r="GA7182"/>
      <c r="GB7182"/>
      <c r="GC7182"/>
      <c r="GD7182"/>
      <c r="GE7182"/>
      <c r="GF7182"/>
      <c r="GG7182"/>
      <c r="GH7182"/>
      <c r="GI7182"/>
      <c r="GJ7182"/>
      <c r="GK7182"/>
      <c r="GL7182"/>
      <c r="GM7182"/>
      <c r="GN7182"/>
      <c r="GO7182"/>
    </row>
    <row r="7183" spans="107:197">
      <c r="DC7183"/>
      <c r="FH7183"/>
      <c r="FI7183"/>
      <c r="FJ7183"/>
      <c r="FK7183"/>
      <c r="FL7183"/>
      <c r="FM7183"/>
      <c r="FN7183"/>
      <c r="FO7183"/>
      <c r="FP7183"/>
      <c r="FQ7183"/>
      <c r="FR7183"/>
      <c r="FS7183"/>
      <c r="FT7183"/>
      <c r="FU7183"/>
      <c r="FV7183"/>
      <c r="FW7183"/>
      <c r="FX7183"/>
      <c r="FY7183"/>
      <c r="FZ7183"/>
      <c r="GA7183"/>
      <c r="GB7183"/>
      <c r="GC7183"/>
      <c r="GD7183"/>
      <c r="GE7183"/>
      <c r="GF7183"/>
      <c r="GG7183"/>
      <c r="GH7183"/>
      <c r="GI7183"/>
      <c r="GJ7183"/>
      <c r="GK7183"/>
      <c r="GL7183"/>
      <c r="GM7183"/>
      <c r="GN7183"/>
      <c r="GO7183"/>
    </row>
    <row r="7184" spans="107:197">
      <c r="DC7184"/>
      <c r="FH7184"/>
      <c r="FI7184"/>
      <c r="FJ7184"/>
      <c r="FK7184"/>
      <c r="FL7184"/>
      <c r="FM7184"/>
      <c r="FN7184"/>
      <c r="FO7184"/>
      <c r="FP7184"/>
      <c r="FQ7184"/>
      <c r="FR7184"/>
      <c r="FS7184"/>
      <c r="FT7184"/>
      <c r="FU7184"/>
      <c r="FV7184"/>
      <c r="FW7184"/>
      <c r="FX7184"/>
      <c r="FY7184"/>
      <c r="FZ7184"/>
      <c r="GA7184"/>
      <c r="GB7184"/>
      <c r="GC7184"/>
      <c r="GD7184"/>
      <c r="GE7184"/>
      <c r="GF7184"/>
      <c r="GG7184"/>
      <c r="GH7184"/>
      <c r="GI7184"/>
      <c r="GJ7184"/>
      <c r="GK7184"/>
      <c r="GL7184"/>
      <c r="GM7184"/>
      <c r="GN7184"/>
      <c r="GO7184"/>
    </row>
    <row r="7185" spans="107:197">
      <c r="DC7185"/>
      <c r="FH7185"/>
      <c r="FI7185"/>
      <c r="FJ7185"/>
      <c r="FK7185"/>
      <c r="FL7185"/>
      <c r="FM7185"/>
      <c r="FN7185"/>
      <c r="FO7185"/>
      <c r="FP7185"/>
      <c r="FQ7185"/>
      <c r="FR7185"/>
      <c r="FS7185"/>
      <c r="FT7185"/>
      <c r="FU7185"/>
      <c r="FV7185"/>
      <c r="FW7185"/>
      <c r="FX7185"/>
      <c r="FY7185"/>
      <c r="FZ7185"/>
      <c r="GA7185"/>
      <c r="GB7185"/>
      <c r="GC7185"/>
      <c r="GD7185"/>
      <c r="GE7185"/>
      <c r="GF7185"/>
      <c r="GG7185"/>
      <c r="GH7185"/>
      <c r="GI7185"/>
      <c r="GJ7185"/>
      <c r="GK7185"/>
      <c r="GL7185"/>
      <c r="GM7185"/>
      <c r="GN7185"/>
      <c r="GO7185"/>
    </row>
    <row r="7186" spans="107:197">
      <c r="DC7186"/>
      <c r="FH7186"/>
      <c r="FI7186"/>
      <c r="FJ7186"/>
      <c r="FK7186"/>
      <c r="FL7186"/>
      <c r="FM7186"/>
      <c r="FN7186"/>
      <c r="FO7186"/>
      <c r="FP7186"/>
      <c r="FQ7186"/>
      <c r="FR7186"/>
      <c r="FS7186"/>
      <c r="FT7186"/>
      <c r="FU7186"/>
      <c r="FV7186"/>
      <c r="FW7186"/>
      <c r="FX7186"/>
      <c r="FY7186"/>
      <c r="FZ7186"/>
      <c r="GA7186"/>
      <c r="GB7186"/>
      <c r="GC7186"/>
      <c r="GD7186"/>
      <c r="GE7186"/>
      <c r="GF7186"/>
      <c r="GG7186"/>
      <c r="GH7186"/>
      <c r="GI7186"/>
      <c r="GJ7186"/>
      <c r="GK7186"/>
      <c r="GL7186"/>
      <c r="GM7186"/>
      <c r="GN7186"/>
      <c r="GO7186"/>
    </row>
    <row r="7187" spans="107:197">
      <c r="DC7187"/>
      <c r="FH7187"/>
      <c r="FI7187"/>
      <c r="FJ7187"/>
      <c r="FK7187"/>
      <c r="FL7187"/>
      <c r="FM7187"/>
      <c r="FN7187"/>
      <c r="FO7187"/>
      <c r="FP7187"/>
      <c r="FQ7187"/>
      <c r="FR7187"/>
      <c r="FS7187"/>
      <c r="FT7187"/>
      <c r="FU7187"/>
      <c r="FV7187"/>
      <c r="FW7187"/>
      <c r="FX7187"/>
      <c r="FY7187"/>
      <c r="FZ7187"/>
      <c r="GA7187"/>
      <c r="GB7187"/>
      <c r="GC7187"/>
      <c r="GD7187"/>
      <c r="GE7187"/>
      <c r="GF7187"/>
      <c r="GG7187"/>
      <c r="GH7187"/>
      <c r="GI7187"/>
      <c r="GJ7187"/>
      <c r="GK7187"/>
      <c r="GL7187"/>
      <c r="GM7187"/>
      <c r="GN7187"/>
      <c r="GO7187"/>
    </row>
    <row r="7188" spans="107:197">
      <c r="DC7188"/>
      <c r="FH7188"/>
      <c r="FI7188"/>
      <c r="FJ7188"/>
      <c r="FK7188"/>
      <c r="FL7188"/>
      <c r="FM7188"/>
      <c r="FN7188"/>
      <c r="FO7188"/>
      <c r="FP7188"/>
      <c r="FQ7188"/>
      <c r="FR7188"/>
      <c r="FS7188"/>
      <c r="FT7188"/>
      <c r="FU7188"/>
      <c r="FV7188"/>
      <c r="FW7188"/>
      <c r="FX7188"/>
      <c r="FY7188"/>
      <c r="FZ7188"/>
      <c r="GA7188"/>
      <c r="GB7188"/>
      <c r="GC7188"/>
      <c r="GD7188"/>
      <c r="GE7188"/>
      <c r="GF7188"/>
      <c r="GG7188"/>
      <c r="GH7188"/>
      <c r="GI7188"/>
      <c r="GJ7188"/>
      <c r="GK7188"/>
      <c r="GL7188"/>
      <c r="GM7188"/>
      <c r="GN7188"/>
      <c r="GO7188"/>
    </row>
    <row r="7189" spans="107:197">
      <c r="DC7189"/>
      <c r="FH7189"/>
      <c r="FI7189"/>
      <c r="FJ7189"/>
      <c r="FK7189"/>
      <c r="FL7189"/>
      <c r="FM7189"/>
      <c r="FN7189"/>
      <c r="FO7189"/>
      <c r="FP7189"/>
      <c r="FQ7189"/>
      <c r="FR7189"/>
      <c r="FS7189"/>
      <c r="FT7189"/>
      <c r="FU7189"/>
      <c r="FV7189"/>
      <c r="FW7189"/>
      <c r="FX7189"/>
      <c r="FY7189"/>
      <c r="FZ7189"/>
      <c r="GA7189"/>
      <c r="GB7189"/>
      <c r="GC7189"/>
      <c r="GD7189"/>
      <c r="GE7189"/>
      <c r="GF7189"/>
      <c r="GG7189"/>
      <c r="GH7189"/>
      <c r="GI7189"/>
      <c r="GJ7189"/>
      <c r="GK7189"/>
      <c r="GL7189"/>
      <c r="GM7189"/>
      <c r="GN7189"/>
      <c r="GO7189"/>
    </row>
    <row r="7190" spans="107:197">
      <c r="DC7190"/>
      <c r="FH7190"/>
      <c r="FI7190"/>
      <c r="FJ7190"/>
      <c r="FK7190"/>
      <c r="FL7190"/>
      <c r="FM7190"/>
      <c r="FN7190"/>
      <c r="FO7190"/>
      <c r="FP7190"/>
      <c r="FQ7190"/>
      <c r="FR7190"/>
      <c r="FS7190"/>
      <c r="FT7190"/>
      <c r="FU7190"/>
      <c r="FV7190"/>
      <c r="FW7190"/>
      <c r="FX7190"/>
      <c r="FY7190"/>
      <c r="FZ7190"/>
      <c r="GA7190"/>
      <c r="GB7190"/>
      <c r="GC7190"/>
      <c r="GD7190"/>
      <c r="GE7190"/>
      <c r="GF7190"/>
      <c r="GG7190"/>
      <c r="GH7190"/>
      <c r="GI7190"/>
      <c r="GJ7190"/>
      <c r="GK7190"/>
      <c r="GL7190"/>
      <c r="GM7190"/>
      <c r="GN7190"/>
      <c r="GO7190"/>
    </row>
    <row r="7191" spans="107:197">
      <c r="DC7191"/>
      <c r="FH7191"/>
      <c r="FI7191"/>
      <c r="FJ7191"/>
      <c r="FK7191"/>
      <c r="FL7191"/>
      <c r="FM7191"/>
      <c r="FN7191"/>
      <c r="FO7191"/>
      <c r="FP7191"/>
      <c r="FQ7191"/>
      <c r="FR7191"/>
      <c r="FS7191"/>
      <c r="FT7191"/>
      <c r="FU7191"/>
      <c r="FV7191"/>
      <c r="FW7191"/>
      <c r="FX7191"/>
      <c r="FY7191"/>
      <c r="FZ7191"/>
      <c r="GA7191"/>
      <c r="GB7191"/>
      <c r="GC7191"/>
      <c r="GD7191"/>
      <c r="GE7191"/>
      <c r="GF7191"/>
      <c r="GG7191"/>
      <c r="GH7191"/>
      <c r="GI7191"/>
      <c r="GJ7191"/>
      <c r="GK7191"/>
      <c r="GL7191"/>
      <c r="GM7191"/>
      <c r="GN7191"/>
      <c r="GO7191"/>
    </row>
    <row r="7192" spans="107:197">
      <c r="DC7192"/>
      <c r="FH7192"/>
      <c r="FI7192"/>
      <c r="FJ7192"/>
      <c r="FK7192"/>
      <c r="FL7192"/>
      <c r="FM7192"/>
      <c r="FN7192"/>
      <c r="FO7192"/>
      <c r="FP7192"/>
      <c r="FQ7192"/>
      <c r="FR7192"/>
      <c r="FS7192"/>
      <c r="FT7192"/>
      <c r="FU7192"/>
      <c r="FV7192"/>
      <c r="FW7192"/>
      <c r="FX7192"/>
      <c r="FY7192"/>
      <c r="FZ7192"/>
      <c r="GA7192"/>
      <c r="GB7192"/>
      <c r="GC7192"/>
      <c r="GD7192"/>
      <c r="GE7192"/>
      <c r="GF7192"/>
      <c r="GG7192"/>
      <c r="GH7192"/>
      <c r="GI7192"/>
      <c r="GJ7192"/>
      <c r="GK7192"/>
      <c r="GL7192"/>
      <c r="GM7192"/>
      <c r="GN7192"/>
      <c r="GO7192"/>
    </row>
    <row r="7193" spans="107:197">
      <c r="DC7193"/>
      <c r="FH7193"/>
      <c r="FI7193"/>
      <c r="FJ7193"/>
      <c r="FK7193"/>
      <c r="FL7193"/>
      <c r="FM7193"/>
      <c r="FN7193"/>
      <c r="FO7193"/>
      <c r="FP7193"/>
      <c r="FQ7193"/>
      <c r="FR7193"/>
      <c r="FS7193"/>
      <c r="FT7193"/>
      <c r="FU7193"/>
      <c r="FV7193"/>
      <c r="FW7193"/>
      <c r="FX7193"/>
      <c r="FY7193"/>
      <c r="FZ7193"/>
      <c r="GA7193"/>
      <c r="GB7193"/>
      <c r="GC7193"/>
      <c r="GD7193"/>
      <c r="GE7193"/>
      <c r="GF7193"/>
      <c r="GG7193"/>
      <c r="GH7193"/>
      <c r="GI7193"/>
      <c r="GJ7193"/>
      <c r="GK7193"/>
      <c r="GL7193"/>
      <c r="GM7193"/>
      <c r="GN7193"/>
      <c r="GO7193"/>
    </row>
    <row r="7194" spans="107:197">
      <c r="DC7194"/>
      <c r="FH7194"/>
      <c r="FI7194"/>
      <c r="FJ7194"/>
      <c r="FK7194"/>
      <c r="FL7194"/>
      <c r="FM7194"/>
      <c r="FN7194"/>
      <c r="FO7194"/>
      <c r="FP7194"/>
      <c r="FQ7194"/>
      <c r="FR7194"/>
      <c r="FS7194"/>
      <c r="FT7194"/>
      <c r="FU7194"/>
      <c r="FV7194"/>
      <c r="FW7194"/>
      <c r="FX7194"/>
      <c r="FY7194"/>
      <c r="FZ7194"/>
      <c r="GA7194"/>
      <c r="GB7194"/>
      <c r="GC7194"/>
      <c r="GD7194"/>
      <c r="GE7194"/>
      <c r="GF7194"/>
      <c r="GG7194"/>
      <c r="GH7194"/>
      <c r="GI7194"/>
      <c r="GJ7194"/>
      <c r="GK7194"/>
      <c r="GL7194"/>
      <c r="GM7194"/>
      <c r="GN7194"/>
      <c r="GO7194"/>
    </row>
    <row r="7195" spans="107:197">
      <c r="DC7195"/>
      <c r="FH7195"/>
      <c r="FI7195"/>
      <c r="FJ7195"/>
      <c r="FK7195"/>
      <c r="FL7195"/>
      <c r="FM7195"/>
      <c r="FN7195"/>
      <c r="FO7195"/>
      <c r="FP7195"/>
      <c r="FQ7195"/>
      <c r="FR7195"/>
      <c r="FS7195"/>
      <c r="FT7195"/>
      <c r="FU7195"/>
      <c r="FV7195"/>
      <c r="FW7195"/>
      <c r="FX7195"/>
      <c r="FY7195"/>
      <c r="FZ7195"/>
      <c r="GA7195"/>
      <c r="GB7195"/>
      <c r="GC7195"/>
      <c r="GD7195"/>
      <c r="GE7195"/>
      <c r="GF7195"/>
      <c r="GG7195"/>
      <c r="GH7195"/>
      <c r="GI7195"/>
      <c r="GJ7195"/>
      <c r="GK7195"/>
      <c r="GL7195"/>
      <c r="GM7195"/>
      <c r="GN7195"/>
      <c r="GO7195"/>
    </row>
    <row r="7196" spans="107:197">
      <c r="DC7196"/>
      <c r="FH7196"/>
      <c r="FI7196"/>
      <c r="FJ7196"/>
      <c r="FK7196"/>
      <c r="FL7196"/>
      <c r="FM7196"/>
      <c r="FN7196"/>
      <c r="FO7196"/>
      <c r="FP7196"/>
      <c r="FQ7196"/>
      <c r="FR7196"/>
      <c r="FS7196"/>
      <c r="FT7196"/>
      <c r="FU7196"/>
      <c r="FV7196"/>
      <c r="FW7196"/>
      <c r="FX7196"/>
      <c r="FY7196"/>
      <c r="FZ7196"/>
      <c r="GA7196"/>
      <c r="GB7196"/>
      <c r="GC7196"/>
      <c r="GD7196"/>
      <c r="GE7196"/>
      <c r="GF7196"/>
      <c r="GG7196"/>
      <c r="GH7196"/>
      <c r="GI7196"/>
      <c r="GJ7196"/>
      <c r="GK7196"/>
      <c r="GL7196"/>
      <c r="GM7196"/>
      <c r="GN7196"/>
      <c r="GO7196"/>
    </row>
    <row r="7197" spans="107:197">
      <c r="DC7197"/>
      <c r="FH7197"/>
      <c r="FI7197"/>
      <c r="FJ7197"/>
      <c r="FK7197"/>
      <c r="FL7197"/>
      <c r="FM7197"/>
      <c r="FN7197"/>
      <c r="FO7197"/>
      <c r="FP7197"/>
      <c r="FQ7197"/>
      <c r="FR7197"/>
      <c r="FS7197"/>
      <c r="FT7197"/>
      <c r="FU7197"/>
      <c r="FV7197"/>
      <c r="FW7197"/>
      <c r="FX7197"/>
      <c r="FY7197"/>
      <c r="FZ7197"/>
      <c r="GA7197"/>
      <c r="GB7197"/>
      <c r="GC7197"/>
      <c r="GD7197"/>
      <c r="GE7197"/>
      <c r="GF7197"/>
      <c r="GG7197"/>
      <c r="GH7197"/>
      <c r="GI7197"/>
      <c r="GJ7197"/>
      <c r="GK7197"/>
      <c r="GL7197"/>
      <c r="GM7197"/>
      <c r="GN7197"/>
      <c r="GO7197"/>
    </row>
    <row r="7198" spans="107:197">
      <c r="DC7198"/>
      <c r="FH7198"/>
      <c r="FI7198"/>
      <c r="FJ7198"/>
      <c r="FK7198"/>
      <c r="FL7198"/>
      <c r="FM7198"/>
      <c r="FN7198"/>
      <c r="FO7198"/>
      <c r="FP7198"/>
      <c r="FQ7198"/>
      <c r="FR7198"/>
      <c r="FS7198"/>
      <c r="FT7198"/>
      <c r="FU7198"/>
      <c r="FV7198"/>
      <c r="FW7198"/>
      <c r="FX7198"/>
      <c r="FY7198"/>
      <c r="FZ7198"/>
      <c r="GA7198"/>
      <c r="GB7198"/>
      <c r="GC7198"/>
      <c r="GD7198"/>
      <c r="GE7198"/>
      <c r="GF7198"/>
      <c r="GG7198"/>
      <c r="GH7198"/>
      <c r="GI7198"/>
      <c r="GJ7198"/>
      <c r="GK7198"/>
      <c r="GL7198"/>
      <c r="GM7198"/>
      <c r="GN7198"/>
      <c r="GO7198"/>
    </row>
    <row r="7199" spans="107:197">
      <c r="DC7199"/>
      <c r="FH7199"/>
      <c r="FI7199"/>
      <c r="FJ7199"/>
      <c r="FK7199"/>
      <c r="FL7199"/>
      <c r="FM7199"/>
      <c r="FN7199"/>
      <c r="FO7199"/>
      <c r="FP7199"/>
      <c r="FQ7199"/>
      <c r="FR7199"/>
      <c r="FS7199"/>
      <c r="FT7199"/>
      <c r="FU7199"/>
      <c r="FV7199"/>
      <c r="FW7199"/>
      <c r="FX7199"/>
      <c r="FY7199"/>
      <c r="FZ7199"/>
      <c r="GA7199"/>
      <c r="GB7199"/>
      <c r="GC7199"/>
      <c r="GD7199"/>
      <c r="GE7199"/>
      <c r="GF7199"/>
      <c r="GG7199"/>
      <c r="GH7199"/>
      <c r="GI7199"/>
      <c r="GJ7199"/>
      <c r="GK7199"/>
      <c r="GL7199"/>
      <c r="GM7199"/>
      <c r="GN7199"/>
      <c r="GO7199"/>
    </row>
    <row r="7200" spans="107:197">
      <c r="DC7200"/>
      <c r="FH7200"/>
      <c r="FI7200"/>
      <c r="FJ7200"/>
      <c r="FK7200"/>
      <c r="FL7200"/>
      <c r="FM7200"/>
      <c r="FN7200"/>
      <c r="FO7200"/>
      <c r="FP7200"/>
      <c r="FQ7200"/>
      <c r="FR7200"/>
      <c r="FS7200"/>
      <c r="FT7200"/>
      <c r="FU7200"/>
      <c r="FV7200"/>
      <c r="FW7200"/>
      <c r="FX7200"/>
      <c r="FY7200"/>
      <c r="FZ7200"/>
      <c r="GA7200"/>
      <c r="GB7200"/>
      <c r="GC7200"/>
      <c r="GD7200"/>
      <c r="GE7200"/>
      <c r="GF7200"/>
      <c r="GG7200"/>
      <c r="GH7200"/>
      <c r="GI7200"/>
      <c r="GJ7200"/>
      <c r="GK7200"/>
      <c r="GL7200"/>
      <c r="GM7200"/>
      <c r="GN7200"/>
      <c r="GO7200"/>
    </row>
    <row r="7201" spans="107:197">
      <c r="DC7201"/>
      <c r="FH7201"/>
      <c r="FI7201"/>
      <c r="FJ7201"/>
      <c r="FK7201"/>
      <c r="FL7201"/>
      <c r="FM7201"/>
      <c r="FN7201"/>
      <c r="FO7201"/>
      <c r="FP7201"/>
      <c r="FQ7201"/>
      <c r="FR7201"/>
      <c r="FS7201"/>
      <c r="FT7201"/>
      <c r="FU7201"/>
      <c r="FV7201"/>
      <c r="FW7201"/>
      <c r="FX7201"/>
      <c r="FY7201"/>
      <c r="FZ7201"/>
      <c r="GA7201"/>
      <c r="GB7201"/>
      <c r="GC7201"/>
      <c r="GD7201"/>
      <c r="GE7201"/>
      <c r="GF7201"/>
      <c r="GG7201"/>
      <c r="GH7201"/>
      <c r="GI7201"/>
      <c r="GJ7201"/>
      <c r="GK7201"/>
      <c r="GL7201"/>
      <c r="GM7201"/>
      <c r="GN7201"/>
      <c r="GO7201"/>
    </row>
    <row r="7202" spans="107:197">
      <c r="DC7202"/>
      <c r="FH7202"/>
      <c r="FI7202"/>
      <c r="FJ7202"/>
      <c r="FK7202"/>
      <c r="FL7202"/>
      <c r="FM7202"/>
      <c r="FN7202"/>
      <c r="FO7202"/>
      <c r="FP7202"/>
      <c r="FQ7202"/>
      <c r="FR7202"/>
      <c r="FS7202"/>
      <c r="FT7202"/>
      <c r="FU7202"/>
      <c r="FV7202"/>
      <c r="FW7202"/>
      <c r="FX7202"/>
      <c r="FY7202"/>
      <c r="FZ7202"/>
      <c r="GA7202"/>
      <c r="GB7202"/>
      <c r="GC7202"/>
      <c r="GD7202"/>
      <c r="GE7202"/>
      <c r="GF7202"/>
      <c r="GG7202"/>
      <c r="GH7202"/>
      <c r="GI7202"/>
      <c r="GJ7202"/>
      <c r="GK7202"/>
      <c r="GL7202"/>
      <c r="GM7202"/>
      <c r="GN7202"/>
      <c r="GO7202"/>
    </row>
    <row r="7203" spans="107:197">
      <c r="DC7203"/>
      <c r="FH7203"/>
      <c r="FI7203"/>
      <c r="FJ7203"/>
      <c r="FK7203"/>
      <c r="FL7203"/>
      <c r="FM7203"/>
      <c r="FN7203"/>
      <c r="FO7203"/>
      <c r="FP7203"/>
      <c r="FQ7203"/>
      <c r="FR7203"/>
      <c r="FS7203"/>
      <c r="FT7203"/>
      <c r="FU7203"/>
      <c r="FV7203"/>
      <c r="FW7203"/>
      <c r="FX7203"/>
      <c r="FY7203"/>
      <c r="FZ7203"/>
      <c r="GA7203"/>
      <c r="GB7203"/>
      <c r="GC7203"/>
      <c r="GD7203"/>
      <c r="GE7203"/>
      <c r="GF7203"/>
      <c r="GG7203"/>
      <c r="GH7203"/>
      <c r="GI7203"/>
      <c r="GJ7203"/>
      <c r="GK7203"/>
      <c r="GL7203"/>
      <c r="GM7203"/>
      <c r="GN7203"/>
      <c r="GO7203"/>
    </row>
    <row r="7204" spans="107:197">
      <c r="DC7204"/>
      <c r="FH7204"/>
      <c r="FI7204"/>
      <c r="FJ7204"/>
      <c r="FK7204"/>
      <c r="FL7204"/>
      <c r="FM7204"/>
      <c r="FN7204"/>
      <c r="FO7204"/>
      <c r="FP7204"/>
      <c r="FQ7204"/>
      <c r="FR7204"/>
      <c r="FS7204"/>
      <c r="FT7204"/>
      <c r="FU7204"/>
      <c r="FV7204"/>
      <c r="FW7204"/>
      <c r="FX7204"/>
      <c r="FY7204"/>
      <c r="FZ7204"/>
      <c r="GA7204"/>
      <c r="GB7204"/>
      <c r="GC7204"/>
      <c r="GD7204"/>
      <c r="GE7204"/>
      <c r="GF7204"/>
      <c r="GG7204"/>
      <c r="GH7204"/>
      <c r="GI7204"/>
      <c r="GJ7204"/>
      <c r="GK7204"/>
      <c r="GL7204"/>
      <c r="GM7204"/>
      <c r="GN7204"/>
      <c r="GO7204"/>
    </row>
    <row r="7205" spans="107:197">
      <c r="DC7205"/>
      <c r="FH7205"/>
      <c r="FI7205"/>
      <c r="FJ7205"/>
      <c r="FK7205"/>
      <c r="FL7205"/>
      <c r="FM7205"/>
      <c r="FN7205"/>
      <c r="FO7205"/>
      <c r="FP7205"/>
      <c r="FQ7205"/>
      <c r="FR7205"/>
      <c r="FS7205"/>
      <c r="FT7205"/>
      <c r="FU7205"/>
      <c r="FV7205"/>
      <c r="FW7205"/>
      <c r="FX7205"/>
      <c r="FY7205"/>
      <c r="FZ7205"/>
      <c r="GA7205"/>
      <c r="GB7205"/>
      <c r="GC7205"/>
      <c r="GD7205"/>
      <c r="GE7205"/>
      <c r="GF7205"/>
      <c r="GG7205"/>
      <c r="GH7205"/>
      <c r="GI7205"/>
      <c r="GJ7205"/>
      <c r="GK7205"/>
      <c r="GL7205"/>
      <c r="GM7205"/>
      <c r="GN7205"/>
      <c r="GO7205"/>
    </row>
    <row r="7206" spans="107:197">
      <c r="DC7206"/>
      <c r="FH7206"/>
      <c r="FI7206"/>
      <c r="FJ7206"/>
      <c r="FK7206"/>
      <c r="FL7206"/>
      <c r="FM7206"/>
      <c r="FN7206"/>
      <c r="FO7206"/>
      <c r="FP7206"/>
      <c r="FQ7206"/>
      <c r="FR7206"/>
      <c r="FS7206"/>
      <c r="FT7206"/>
      <c r="FU7206"/>
      <c r="FV7206"/>
      <c r="FW7206"/>
      <c r="FX7206"/>
      <c r="FY7206"/>
      <c r="FZ7206"/>
      <c r="GA7206"/>
      <c r="GB7206"/>
      <c r="GC7206"/>
      <c r="GD7206"/>
      <c r="GE7206"/>
      <c r="GF7206"/>
      <c r="GG7206"/>
      <c r="GH7206"/>
      <c r="GI7206"/>
      <c r="GJ7206"/>
      <c r="GK7206"/>
      <c r="GL7206"/>
      <c r="GM7206"/>
      <c r="GN7206"/>
      <c r="GO7206"/>
    </row>
    <row r="7207" spans="107:197">
      <c r="DC7207"/>
      <c r="FH7207"/>
      <c r="FI7207"/>
      <c r="FJ7207"/>
      <c r="FK7207"/>
      <c r="FL7207"/>
      <c r="FM7207"/>
      <c r="FN7207"/>
      <c r="FO7207"/>
      <c r="FP7207"/>
      <c r="FQ7207"/>
      <c r="FR7207"/>
      <c r="FS7207"/>
      <c r="FT7207"/>
      <c r="FU7207"/>
      <c r="FV7207"/>
      <c r="FW7207"/>
      <c r="FX7207"/>
      <c r="FY7207"/>
      <c r="FZ7207"/>
      <c r="GA7207"/>
      <c r="GB7207"/>
      <c r="GC7207"/>
      <c r="GD7207"/>
      <c r="GE7207"/>
      <c r="GF7207"/>
      <c r="GG7207"/>
      <c r="GH7207"/>
      <c r="GI7207"/>
      <c r="GJ7207"/>
      <c r="GK7207"/>
      <c r="GL7207"/>
      <c r="GM7207"/>
      <c r="GN7207"/>
      <c r="GO7207"/>
    </row>
    <row r="7208" spans="107:197">
      <c r="DC7208"/>
      <c r="FH7208"/>
      <c r="FI7208"/>
      <c r="FJ7208"/>
      <c r="FK7208"/>
      <c r="FL7208"/>
      <c r="FM7208"/>
      <c r="FN7208"/>
      <c r="FO7208"/>
      <c r="FP7208"/>
      <c r="FQ7208"/>
      <c r="FR7208"/>
      <c r="FS7208"/>
      <c r="FT7208"/>
      <c r="FU7208"/>
      <c r="FV7208"/>
      <c r="FW7208"/>
      <c r="FX7208"/>
      <c r="FY7208"/>
      <c r="FZ7208"/>
      <c r="GA7208"/>
      <c r="GB7208"/>
      <c r="GC7208"/>
      <c r="GD7208"/>
      <c r="GE7208"/>
      <c r="GF7208"/>
      <c r="GG7208"/>
      <c r="GH7208"/>
      <c r="GI7208"/>
      <c r="GJ7208"/>
      <c r="GK7208"/>
      <c r="GL7208"/>
      <c r="GM7208"/>
      <c r="GN7208"/>
      <c r="GO7208"/>
    </row>
    <row r="7209" spans="107:197">
      <c r="DC7209"/>
      <c r="FH7209"/>
      <c r="FI7209"/>
      <c r="FJ7209"/>
      <c r="FK7209"/>
      <c r="FL7209"/>
      <c r="FM7209"/>
      <c r="FN7209"/>
      <c r="FO7209"/>
      <c r="FP7209"/>
      <c r="FQ7209"/>
      <c r="FR7209"/>
      <c r="FS7209"/>
      <c r="FT7209"/>
      <c r="FU7209"/>
      <c r="FV7209"/>
      <c r="FW7209"/>
      <c r="FX7209"/>
      <c r="FY7209"/>
      <c r="FZ7209"/>
      <c r="GA7209"/>
      <c r="GB7209"/>
      <c r="GC7209"/>
      <c r="GD7209"/>
      <c r="GE7209"/>
      <c r="GF7209"/>
      <c r="GG7209"/>
      <c r="GH7209"/>
      <c r="GI7209"/>
      <c r="GJ7209"/>
      <c r="GK7209"/>
      <c r="GL7209"/>
      <c r="GM7209"/>
      <c r="GN7209"/>
      <c r="GO7209"/>
    </row>
    <row r="7210" spans="107:197">
      <c r="DC7210"/>
      <c r="FH7210"/>
      <c r="FI7210"/>
      <c r="FJ7210"/>
      <c r="FK7210"/>
      <c r="FL7210"/>
      <c r="FM7210"/>
      <c r="FN7210"/>
      <c r="FO7210"/>
      <c r="FP7210"/>
      <c r="FQ7210"/>
      <c r="FR7210"/>
      <c r="FS7210"/>
      <c r="FT7210"/>
      <c r="FU7210"/>
      <c r="FV7210"/>
      <c r="FW7210"/>
      <c r="FX7210"/>
      <c r="FY7210"/>
      <c r="FZ7210"/>
      <c r="GA7210"/>
      <c r="GB7210"/>
      <c r="GC7210"/>
      <c r="GD7210"/>
      <c r="GE7210"/>
      <c r="GF7210"/>
      <c r="GG7210"/>
      <c r="GH7210"/>
      <c r="GI7210"/>
      <c r="GJ7210"/>
      <c r="GK7210"/>
      <c r="GL7210"/>
      <c r="GM7210"/>
      <c r="GN7210"/>
      <c r="GO7210"/>
    </row>
    <row r="7211" spans="107:197">
      <c r="DC7211"/>
      <c r="FH7211"/>
      <c r="FI7211"/>
      <c r="FJ7211"/>
      <c r="FK7211"/>
      <c r="FL7211"/>
      <c r="FM7211"/>
      <c r="FN7211"/>
      <c r="FO7211"/>
      <c r="FP7211"/>
      <c r="FQ7211"/>
      <c r="FR7211"/>
      <c r="FS7211"/>
      <c r="FT7211"/>
      <c r="FU7211"/>
      <c r="FV7211"/>
      <c r="FW7211"/>
      <c r="FX7211"/>
      <c r="FY7211"/>
      <c r="FZ7211"/>
      <c r="GA7211"/>
      <c r="GB7211"/>
      <c r="GC7211"/>
      <c r="GD7211"/>
      <c r="GE7211"/>
      <c r="GF7211"/>
      <c r="GG7211"/>
      <c r="GH7211"/>
      <c r="GI7211"/>
      <c r="GJ7211"/>
      <c r="GK7211"/>
      <c r="GL7211"/>
      <c r="GM7211"/>
      <c r="GN7211"/>
      <c r="GO7211"/>
    </row>
    <row r="7212" spans="107:197">
      <c r="DC7212"/>
      <c r="FH7212"/>
      <c r="FI7212"/>
      <c r="FJ7212"/>
      <c r="FK7212"/>
      <c r="FL7212"/>
      <c r="FM7212"/>
      <c r="FN7212"/>
      <c r="FO7212"/>
      <c r="FP7212"/>
      <c r="FQ7212"/>
      <c r="FR7212"/>
      <c r="FS7212"/>
      <c r="FT7212"/>
      <c r="FU7212"/>
      <c r="FV7212"/>
      <c r="FW7212"/>
      <c r="FX7212"/>
      <c r="FY7212"/>
      <c r="FZ7212"/>
      <c r="GA7212"/>
      <c r="GB7212"/>
      <c r="GC7212"/>
      <c r="GD7212"/>
      <c r="GE7212"/>
      <c r="GF7212"/>
      <c r="GG7212"/>
      <c r="GH7212"/>
      <c r="GI7212"/>
      <c r="GJ7212"/>
      <c r="GK7212"/>
      <c r="GL7212"/>
      <c r="GM7212"/>
      <c r="GN7212"/>
      <c r="GO7212"/>
    </row>
    <row r="7213" spans="107:197">
      <c r="DC7213"/>
      <c r="FH7213"/>
      <c r="FI7213"/>
      <c r="FJ7213"/>
      <c r="FK7213"/>
      <c r="FL7213"/>
      <c r="FM7213"/>
      <c r="FN7213"/>
      <c r="FO7213"/>
      <c r="FP7213"/>
      <c r="FQ7213"/>
      <c r="FR7213"/>
      <c r="FS7213"/>
      <c r="FT7213"/>
      <c r="FU7213"/>
      <c r="FV7213"/>
      <c r="FW7213"/>
      <c r="FX7213"/>
      <c r="FY7213"/>
      <c r="FZ7213"/>
      <c r="GA7213"/>
      <c r="GB7213"/>
      <c r="GC7213"/>
      <c r="GD7213"/>
      <c r="GE7213"/>
      <c r="GF7213"/>
      <c r="GG7213"/>
      <c r="GH7213"/>
      <c r="GI7213"/>
      <c r="GJ7213"/>
      <c r="GK7213"/>
      <c r="GL7213"/>
      <c r="GM7213"/>
      <c r="GN7213"/>
      <c r="GO7213"/>
    </row>
    <row r="7214" spans="107:197">
      <c r="DC7214"/>
      <c r="FH7214"/>
      <c r="FI7214"/>
      <c r="FJ7214"/>
      <c r="FK7214"/>
      <c r="FL7214"/>
      <c r="FM7214"/>
      <c r="FN7214"/>
      <c r="FO7214"/>
      <c r="FP7214"/>
      <c r="FQ7214"/>
      <c r="FR7214"/>
      <c r="FS7214"/>
      <c r="FT7214"/>
      <c r="FU7214"/>
      <c r="FV7214"/>
      <c r="FW7214"/>
      <c r="FX7214"/>
      <c r="FY7214"/>
      <c r="FZ7214"/>
      <c r="GA7214"/>
      <c r="GB7214"/>
      <c r="GC7214"/>
      <c r="GD7214"/>
      <c r="GE7214"/>
      <c r="GF7214"/>
      <c r="GG7214"/>
      <c r="GH7214"/>
      <c r="GI7214"/>
      <c r="GJ7214"/>
      <c r="GK7214"/>
      <c r="GL7214"/>
      <c r="GM7214"/>
      <c r="GN7214"/>
      <c r="GO7214"/>
    </row>
    <row r="7215" spans="107:197">
      <c r="DC7215"/>
      <c r="FH7215"/>
      <c r="FI7215"/>
      <c r="FJ7215"/>
      <c r="FK7215"/>
      <c r="FL7215"/>
      <c r="FM7215"/>
      <c r="FN7215"/>
      <c r="FO7215"/>
      <c r="FP7215"/>
      <c r="FQ7215"/>
      <c r="FR7215"/>
      <c r="FS7215"/>
      <c r="FT7215"/>
      <c r="FU7215"/>
      <c r="FV7215"/>
      <c r="FW7215"/>
      <c r="FX7215"/>
      <c r="FY7215"/>
      <c r="FZ7215"/>
      <c r="GA7215"/>
      <c r="GB7215"/>
      <c r="GC7215"/>
      <c r="GD7215"/>
      <c r="GE7215"/>
      <c r="GF7215"/>
      <c r="GG7215"/>
      <c r="GH7215"/>
      <c r="GI7215"/>
      <c r="GJ7215"/>
      <c r="GK7215"/>
      <c r="GL7215"/>
      <c r="GM7215"/>
      <c r="GN7215"/>
      <c r="GO7215"/>
    </row>
    <row r="7216" spans="107:197">
      <c r="DC7216"/>
      <c r="FH7216"/>
      <c r="FI7216"/>
      <c r="FJ7216"/>
      <c r="FK7216"/>
      <c r="FL7216"/>
      <c r="FM7216"/>
      <c r="FN7216"/>
      <c r="FO7216"/>
      <c r="FP7216"/>
      <c r="FQ7216"/>
      <c r="FR7216"/>
      <c r="FS7216"/>
      <c r="FT7216"/>
      <c r="FU7216"/>
      <c r="FV7216"/>
      <c r="FW7216"/>
      <c r="FX7216"/>
      <c r="FY7216"/>
      <c r="FZ7216"/>
      <c r="GA7216"/>
      <c r="GB7216"/>
      <c r="GC7216"/>
      <c r="GD7216"/>
      <c r="GE7216"/>
      <c r="GF7216"/>
      <c r="GG7216"/>
      <c r="GH7216"/>
      <c r="GI7216"/>
      <c r="GJ7216"/>
      <c r="GK7216"/>
      <c r="GL7216"/>
      <c r="GM7216"/>
      <c r="GN7216"/>
      <c r="GO7216"/>
    </row>
    <row r="7217" spans="107:197">
      <c r="DC7217"/>
      <c r="FH7217"/>
      <c r="FI7217"/>
      <c r="FJ7217"/>
      <c r="FK7217"/>
      <c r="FL7217"/>
      <c r="FM7217"/>
      <c r="FN7217"/>
      <c r="FO7217"/>
      <c r="FP7217"/>
      <c r="FQ7217"/>
      <c r="FR7217"/>
      <c r="FS7217"/>
      <c r="FT7217"/>
      <c r="FU7217"/>
      <c r="FV7217"/>
      <c r="FW7217"/>
      <c r="FX7217"/>
      <c r="FY7217"/>
      <c r="FZ7217"/>
      <c r="GA7217"/>
      <c r="GB7217"/>
      <c r="GC7217"/>
      <c r="GD7217"/>
      <c r="GE7217"/>
      <c r="GF7217"/>
      <c r="GG7217"/>
      <c r="GH7217"/>
      <c r="GI7217"/>
      <c r="GJ7217"/>
      <c r="GK7217"/>
      <c r="GL7217"/>
      <c r="GM7217"/>
      <c r="GN7217"/>
      <c r="GO7217"/>
    </row>
    <row r="7218" spans="107:197">
      <c r="DC7218"/>
      <c r="FH7218"/>
      <c r="FI7218"/>
      <c r="FJ7218"/>
      <c r="FK7218"/>
      <c r="FL7218"/>
      <c r="FM7218"/>
      <c r="FN7218"/>
      <c r="FO7218"/>
      <c r="FP7218"/>
      <c r="FQ7218"/>
      <c r="FR7218"/>
      <c r="FS7218"/>
      <c r="FT7218"/>
      <c r="FU7218"/>
      <c r="FV7218"/>
      <c r="FW7218"/>
      <c r="FX7218"/>
      <c r="FY7218"/>
      <c r="FZ7218"/>
      <c r="GA7218"/>
      <c r="GB7218"/>
      <c r="GC7218"/>
      <c r="GD7218"/>
      <c r="GE7218"/>
      <c r="GF7218"/>
      <c r="GG7218"/>
      <c r="GH7218"/>
      <c r="GI7218"/>
      <c r="GJ7218"/>
      <c r="GK7218"/>
      <c r="GL7218"/>
      <c r="GM7218"/>
      <c r="GN7218"/>
      <c r="GO7218"/>
    </row>
    <row r="7219" spans="107:197">
      <c r="DC7219"/>
      <c r="FH7219"/>
      <c r="FI7219"/>
      <c r="FJ7219"/>
      <c r="FK7219"/>
      <c r="FL7219"/>
      <c r="FM7219"/>
      <c r="FN7219"/>
      <c r="FO7219"/>
      <c r="FP7219"/>
      <c r="FQ7219"/>
      <c r="FR7219"/>
      <c r="FS7219"/>
      <c r="FT7219"/>
      <c r="FU7219"/>
      <c r="FV7219"/>
      <c r="FW7219"/>
      <c r="FX7219"/>
      <c r="FY7219"/>
      <c r="FZ7219"/>
      <c r="GA7219"/>
      <c r="GB7219"/>
      <c r="GC7219"/>
      <c r="GD7219"/>
      <c r="GE7219"/>
      <c r="GF7219"/>
      <c r="GG7219"/>
      <c r="GH7219"/>
      <c r="GI7219"/>
      <c r="GJ7219"/>
      <c r="GK7219"/>
      <c r="GL7219"/>
      <c r="GM7219"/>
      <c r="GN7219"/>
      <c r="GO7219"/>
    </row>
    <row r="7220" spans="107:197">
      <c r="DC7220"/>
      <c r="FH7220"/>
      <c r="FI7220"/>
      <c r="FJ7220"/>
      <c r="FK7220"/>
      <c r="FL7220"/>
      <c r="FM7220"/>
      <c r="FN7220"/>
      <c r="FO7220"/>
      <c r="FP7220"/>
      <c r="FQ7220"/>
      <c r="FR7220"/>
      <c r="FS7220"/>
      <c r="FT7220"/>
      <c r="FU7220"/>
      <c r="FV7220"/>
      <c r="FW7220"/>
      <c r="FX7220"/>
      <c r="FY7220"/>
      <c r="FZ7220"/>
      <c r="GA7220"/>
      <c r="GB7220"/>
      <c r="GC7220"/>
      <c r="GD7220"/>
      <c r="GE7220"/>
      <c r="GF7220"/>
      <c r="GG7220"/>
      <c r="GH7220"/>
      <c r="GI7220"/>
      <c r="GJ7220"/>
      <c r="GK7220"/>
      <c r="GL7220"/>
      <c r="GM7220"/>
      <c r="GN7220"/>
      <c r="GO7220"/>
    </row>
    <row r="7221" spans="107:197">
      <c r="DC7221"/>
      <c r="FH7221"/>
      <c r="FI7221"/>
      <c r="FJ7221"/>
      <c r="FK7221"/>
      <c r="FL7221"/>
      <c r="FM7221"/>
      <c r="FN7221"/>
      <c r="FO7221"/>
      <c r="FP7221"/>
      <c r="FQ7221"/>
      <c r="FR7221"/>
      <c r="FS7221"/>
      <c r="FT7221"/>
      <c r="FU7221"/>
      <c r="FV7221"/>
      <c r="FW7221"/>
      <c r="FX7221"/>
      <c r="FY7221"/>
      <c r="FZ7221"/>
      <c r="GA7221"/>
      <c r="GB7221"/>
      <c r="GC7221"/>
      <c r="GD7221"/>
      <c r="GE7221"/>
      <c r="GF7221"/>
      <c r="GG7221"/>
      <c r="GH7221"/>
      <c r="GI7221"/>
      <c r="GJ7221"/>
      <c r="GK7221"/>
      <c r="GL7221"/>
      <c r="GM7221"/>
      <c r="GN7221"/>
      <c r="GO7221"/>
    </row>
    <row r="7222" spans="107:197">
      <c r="DC7222"/>
      <c r="FH7222"/>
      <c r="FI7222"/>
      <c r="FJ7222"/>
      <c r="FK7222"/>
      <c r="FL7222"/>
      <c r="FM7222"/>
      <c r="FN7222"/>
      <c r="FO7222"/>
      <c r="FP7222"/>
      <c r="FQ7222"/>
      <c r="FR7222"/>
      <c r="FS7222"/>
      <c r="FT7222"/>
      <c r="FU7222"/>
      <c r="FV7222"/>
      <c r="FW7222"/>
      <c r="FX7222"/>
      <c r="FY7222"/>
      <c r="FZ7222"/>
      <c r="GA7222"/>
      <c r="GB7222"/>
      <c r="GC7222"/>
      <c r="GD7222"/>
      <c r="GE7222"/>
      <c r="GF7222"/>
      <c r="GG7222"/>
      <c r="GH7222"/>
      <c r="GI7222"/>
      <c r="GJ7222"/>
      <c r="GK7222"/>
      <c r="GL7222"/>
      <c r="GM7222"/>
      <c r="GN7222"/>
      <c r="GO7222"/>
    </row>
    <row r="7223" spans="107:197">
      <c r="DC7223"/>
      <c r="FH7223"/>
      <c r="FI7223"/>
      <c r="FJ7223"/>
      <c r="FK7223"/>
      <c r="FL7223"/>
      <c r="FM7223"/>
      <c r="FN7223"/>
      <c r="FO7223"/>
      <c r="FP7223"/>
      <c r="FQ7223"/>
      <c r="FR7223"/>
      <c r="FS7223"/>
      <c r="FT7223"/>
      <c r="FU7223"/>
      <c r="FV7223"/>
      <c r="FW7223"/>
      <c r="FX7223"/>
      <c r="FY7223"/>
      <c r="FZ7223"/>
      <c r="GA7223"/>
      <c r="GB7223"/>
      <c r="GC7223"/>
      <c r="GD7223"/>
      <c r="GE7223"/>
      <c r="GF7223"/>
      <c r="GG7223"/>
      <c r="GH7223"/>
      <c r="GI7223"/>
      <c r="GJ7223"/>
      <c r="GK7223"/>
      <c r="GL7223"/>
      <c r="GM7223"/>
      <c r="GN7223"/>
      <c r="GO7223"/>
    </row>
    <row r="7224" spans="107:197">
      <c r="DC7224"/>
      <c r="FH7224"/>
      <c r="FI7224"/>
      <c r="FJ7224"/>
      <c r="FK7224"/>
      <c r="FL7224"/>
      <c r="FM7224"/>
      <c r="FN7224"/>
      <c r="FO7224"/>
      <c r="FP7224"/>
      <c r="FQ7224"/>
      <c r="FR7224"/>
      <c r="FS7224"/>
      <c r="FT7224"/>
      <c r="FU7224"/>
      <c r="FV7224"/>
      <c r="FW7224"/>
      <c r="FX7224"/>
      <c r="FY7224"/>
      <c r="FZ7224"/>
      <c r="GA7224"/>
      <c r="GB7224"/>
      <c r="GC7224"/>
      <c r="GD7224"/>
      <c r="GE7224"/>
      <c r="GF7224"/>
      <c r="GG7224"/>
      <c r="GH7224"/>
      <c r="GI7224"/>
      <c r="GJ7224"/>
      <c r="GK7224"/>
      <c r="GL7224"/>
      <c r="GM7224"/>
      <c r="GN7224"/>
      <c r="GO7224"/>
    </row>
    <row r="7225" spans="107:197">
      <c r="DC7225"/>
      <c r="FH7225"/>
      <c r="FI7225"/>
      <c r="FJ7225"/>
      <c r="FK7225"/>
      <c r="FL7225"/>
      <c r="FM7225"/>
      <c r="FN7225"/>
      <c r="FO7225"/>
      <c r="FP7225"/>
      <c r="FQ7225"/>
      <c r="FR7225"/>
      <c r="FS7225"/>
      <c r="FT7225"/>
      <c r="FU7225"/>
      <c r="FV7225"/>
      <c r="FW7225"/>
      <c r="FX7225"/>
      <c r="FY7225"/>
      <c r="FZ7225"/>
      <c r="GA7225"/>
      <c r="GB7225"/>
      <c r="GC7225"/>
      <c r="GD7225"/>
      <c r="GE7225"/>
      <c r="GF7225"/>
      <c r="GG7225"/>
      <c r="GH7225"/>
      <c r="GI7225"/>
      <c r="GJ7225"/>
      <c r="GK7225"/>
      <c r="GL7225"/>
      <c r="GM7225"/>
      <c r="GN7225"/>
      <c r="GO7225"/>
    </row>
    <row r="7226" spans="107:197">
      <c r="DC7226"/>
      <c r="FH7226"/>
      <c r="FI7226"/>
      <c r="FJ7226"/>
      <c r="FK7226"/>
      <c r="FL7226"/>
      <c r="FM7226"/>
      <c r="FN7226"/>
      <c r="FO7226"/>
      <c r="FP7226"/>
      <c r="FQ7226"/>
      <c r="FR7226"/>
      <c r="FS7226"/>
      <c r="FT7226"/>
      <c r="FU7226"/>
      <c r="FV7226"/>
      <c r="FW7226"/>
      <c r="FX7226"/>
      <c r="FY7226"/>
      <c r="FZ7226"/>
      <c r="GA7226"/>
      <c r="GB7226"/>
      <c r="GC7226"/>
      <c r="GD7226"/>
      <c r="GE7226"/>
      <c r="GF7226"/>
      <c r="GG7226"/>
      <c r="GH7226"/>
      <c r="GI7226"/>
      <c r="GJ7226"/>
      <c r="GK7226"/>
      <c r="GL7226"/>
      <c r="GM7226"/>
      <c r="GN7226"/>
      <c r="GO7226"/>
    </row>
    <row r="7227" spans="107:197">
      <c r="DC7227"/>
      <c r="FH7227"/>
      <c r="FI7227"/>
      <c r="FJ7227"/>
      <c r="FK7227"/>
      <c r="FL7227"/>
      <c r="FM7227"/>
      <c r="FN7227"/>
      <c r="FO7227"/>
      <c r="FP7227"/>
      <c r="FQ7227"/>
      <c r="FR7227"/>
      <c r="FS7227"/>
      <c r="FT7227"/>
      <c r="FU7227"/>
      <c r="FV7227"/>
      <c r="FW7227"/>
      <c r="FX7227"/>
      <c r="FY7227"/>
      <c r="FZ7227"/>
      <c r="GA7227"/>
      <c r="GB7227"/>
      <c r="GC7227"/>
      <c r="GD7227"/>
      <c r="GE7227"/>
      <c r="GF7227"/>
      <c r="GG7227"/>
      <c r="GH7227"/>
      <c r="GI7227"/>
      <c r="GJ7227"/>
      <c r="GK7227"/>
      <c r="GL7227"/>
      <c r="GM7227"/>
      <c r="GN7227"/>
      <c r="GO7227"/>
    </row>
    <row r="7228" spans="107:197">
      <c r="DC7228"/>
      <c r="FH7228"/>
      <c r="FI7228"/>
      <c r="FJ7228"/>
      <c r="FK7228"/>
      <c r="FL7228"/>
      <c r="FM7228"/>
      <c r="FN7228"/>
      <c r="FO7228"/>
      <c r="FP7228"/>
      <c r="FQ7228"/>
      <c r="FR7228"/>
      <c r="FS7228"/>
      <c r="FT7228"/>
      <c r="FU7228"/>
      <c r="FV7228"/>
      <c r="FW7228"/>
      <c r="FX7228"/>
      <c r="FY7228"/>
      <c r="FZ7228"/>
      <c r="GA7228"/>
      <c r="GB7228"/>
      <c r="GC7228"/>
      <c r="GD7228"/>
      <c r="GE7228"/>
      <c r="GF7228"/>
      <c r="GG7228"/>
      <c r="GH7228"/>
      <c r="GI7228"/>
      <c r="GJ7228"/>
      <c r="GK7228"/>
      <c r="GL7228"/>
      <c r="GM7228"/>
      <c r="GN7228"/>
      <c r="GO7228"/>
    </row>
    <row r="7229" spans="107:197">
      <c r="DC7229"/>
      <c r="FH7229"/>
      <c r="FI7229"/>
      <c r="FJ7229"/>
      <c r="FK7229"/>
      <c r="FL7229"/>
      <c r="FM7229"/>
      <c r="FN7229"/>
      <c r="FO7229"/>
      <c r="FP7229"/>
      <c r="FQ7229"/>
      <c r="FR7229"/>
      <c r="FS7229"/>
      <c r="FT7229"/>
      <c r="FU7229"/>
      <c r="FV7229"/>
      <c r="FW7229"/>
      <c r="FX7229"/>
      <c r="FY7229"/>
      <c r="FZ7229"/>
      <c r="GA7229"/>
      <c r="GB7229"/>
      <c r="GC7229"/>
      <c r="GD7229"/>
      <c r="GE7229"/>
      <c r="GF7229"/>
      <c r="GG7229"/>
      <c r="GH7229"/>
      <c r="GI7229"/>
      <c r="GJ7229"/>
      <c r="GK7229"/>
      <c r="GL7229"/>
      <c r="GM7229"/>
      <c r="GN7229"/>
      <c r="GO7229"/>
    </row>
    <row r="7230" spans="107:197">
      <c r="DC7230"/>
      <c r="FH7230"/>
      <c r="FI7230"/>
      <c r="FJ7230"/>
      <c r="FK7230"/>
      <c r="FL7230"/>
      <c r="FM7230"/>
      <c r="FN7230"/>
      <c r="FO7230"/>
      <c r="FP7230"/>
      <c r="FQ7230"/>
      <c r="FR7230"/>
      <c r="FS7230"/>
      <c r="FT7230"/>
      <c r="FU7230"/>
      <c r="FV7230"/>
      <c r="FW7230"/>
      <c r="FX7230"/>
      <c r="FY7230"/>
      <c r="FZ7230"/>
      <c r="GA7230"/>
      <c r="GB7230"/>
      <c r="GC7230"/>
      <c r="GD7230"/>
      <c r="GE7230"/>
      <c r="GF7230"/>
      <c r="GG7230"/>
      <c r="GH7230"/>
      <c r="GI7230"/>
      <c r="GJ7230"/>
      <c r="GK7230"/>
      <c r="GL7230"/>
      <c r="GM7230"/>
      <c r="GN7230"/>
      <c r="GO7230"/>
    </row>
    <row r="7231" spans="107:197">
      <c r="DC7231"/>
      <c r="FH7231"/>
      <c r="FI7231"/>
      <c r="FJ7231"/>
      <c r="FK7231"/>
      <c r="FL7231"/>
      <c r="FM7231"/>
      <c r="FN7231"/>
      <c r="FO7231"/>
      <c r="FP7231"/>
      <c r="FQ7231"/>
      <c r="FR7231"/>
      <c r="FS7231"/>
      <c r="FT7231"/>
      <c r="FU7231"/>
      <c r="FV7231"/>
      <c r="FW7231"/>
      <c r="FX7231"/>
      <c r="FY7231"/>
      <c r="FZ7231"/>
      <c r="GA7231"/>
      <c r="GB7231"/>
      <c r="GC7231"/>
      <c r="GD7231"/>
      <c r="GE7231"/>
      <c r="GF7231"/>
      <c r="GG7231"/>
      <c r="GH7231"/>
      <c r="GI7231"/>
      <c r="GJ7231"/>
      <c r="GK7231"/>
      <c r="GL7231"/>
      <c r="GM7231"/>
      <c r="GN7231"/>
      <c r="GO7231"/>
    </row>
    <row r="7232" spans="107:197">
      <c r="DC7232"/>
      <c r="FH7232"/>
      <c r="FI7232"/>
      <c r="FJ7232"/>
      <c r="FK7232"/>
      <c r="FL7232"/>
      <c r="FM7232"/>
      <c r="FN7232"/>
      <c r="FO7232"/>
      <c r="FP7232"/>
      <c r="FQ7232"/>
      <c r="FR7232"/>
      <c r="FS7232"/>
      <c r="FT7232"/>
      <c r="FU7232"/>
      <c r="FV7232"/>
      <c r="FW7232"/>
      <c r="FX7232"/>
      <c r="FY7232"/>
      <c r="FZ7232"/>
      <c r="GA7232"/>
      <c r="GB7232"/>
      <c r="GC7232"/>
      <c r="GD7232"/>
      <c r="GE7232"/>
      <c r="GF7232"/>
      <c r="GG7232"/>
      <c r="GH7232"/>
      <c r="GI7232"/>
      <c r="GJ7232"/>
      <c r="GK7232"/>
      <c r="GL7232"/>
      <c r="GM7232"/>
      <c r="GN7232"/>
      <c r="GO7232"/>
    </row>
    <row r="7233" spans="107:197">
      <c r="DC7233"/>
      <c r="FH7233"/>
      <c r="FI7233"/>
      <c r="FJ7233"/>
      <c r="FK7233"/>
      <c r="FL7233"/>
      <c r="FM7233"/>
      <c r="FN7233"/>
      <c r="FO7233"/>
      <c r="FP7233"/>
      <c r="FQ7233"/>
      <c r="FR7233"/>
      <c r="FS7233"/>
      <c r="FT7233"/>
      <c r="FU7233"/>
      <c r="FV7233"/>
      <c r="FW7233"/>
      <c r="FX7233"/>
      <c r="FY7233"/>
      <c r="FZ7233"/>
      <c r="GA7233"/>
      <c r="GB7233"/>
      <c r="GC7233"/>
      <c r="GD7233"/>
      <c r="GE7233"/>
      <c r="GF7233"/>
      <c r="GG7233"/>
      <c r="GH7233"/>
      <c r="GI7233"/>
      <c r="GJ7233"/>
      <c r="GK7233"/>
      <c r="GL7233"/>
      <c r="GM7233"/>
      <c r="GN7233"/>
      <c r="GO7233"/>
    </row>
    <row r="7234" spans="107:197">
      <c r="DC7234"/>
      <c r="FH7234"/>
      <c r="FI7234"/>
      <c r="FJ7234"/>
      <c r="FK7234"/>
      <c r="FL7234"/>
      <c r="FM7234"/>
      <c r="FN7234"/>
      <c r="FO7234"/>
      <c r="FP7234"/>
      <c r="FQ7234"/>
      <c r="FR7234"/>
      <c r="FS7234"/>
      <c r="FT7234"/>
      <c r="FU7234"/>
      <c r="FV7234"/>
      <c r="FW7234"/>
      <c r="FX7234"/>
      <c r="FY7234"/>
      <c r="FZ7234"/>
      <c r="GA7234"/>
      <c r="GB7234"/>
      <c r="GC7234"/>
      <c r="GD7234"/>
      <c r="GE7234"/>
      <c r="GF7234"/>
      <c r="GG7234"/>
      <c r="GH7234"/>
      <c r="GI7234"/>
      <c r="GJ7234"/>
      <c r="GK7234"/>
      <c r="GL7234"/>
      <c r="GM7234"/>
      <c r="GN7234"/>
      <c r="GO7234"/>
    </row>
    <row r="7235" spans="107:197">
      <c r="DC7235"/>
      <c r="FH7235"/>
      <c r="FI7235"/>
      <c r="FJ7235"/>
      <c r="FK7235"/>
      <c r="FL7235"/>
      <c r="FM7235"/>
      <c r="FN7235"/>
      <c r="FO7235"/>
      <c r="FP7235"/>
      <c r="FQ7235"/>
      <c r="FR7235"/>
      <c r="FS7235"/>
      <c r="FT7235"/>
      <c r="FU7235"/>
      <c r="FV7235"/>
      <c r="FW7235"/>
      <c r="FX7235"/>
      <c r="FY7235"/>
      <c r="FZ7235"/>
      <c r="GA7235"/>
      <c r="GB7235"/>
      <c r="GC7235"/>
      <c r="GD7235"/>
      <c r="GE7235"/>
      <c r="GF7235"/>
      <c r="GG7235"/>
      <c r="GH7235"/>
      <c r="GI7235"/>
      <c r="GJ7235"/>
      <c r="GK7235"/>
      <c r="GL7235"/>
      <c r="GM7235"/>
      <c r="GN7235"/>
      <c r="GO7235"/>
    </row>
    <row r="7236" spans="107:197">
      <c r="DC7236"/>
      <c r="FH7236"/>
      <c r="FI7236"/>
      <c r="FJ7236"/>
      <c r="FK7236"/>
      <c r="FL7236"/>
      <c r="FM7236"/>
      <c r="FN7236"/>
      <c r="FO7236"/>
      <c r="FP7236"/>
      <c r="FQ7236"/>
      <c r="FR7236"/>
      <c r="FS7236"/>
      <c r="FT7236"/>
      <c r="FU7236"/>
      <c r="FV7236"/>
      <c r="FW7236"/>
      <c r="FX7236"/>
      <c r="FY7236"/>
      <c r="FZ7236"/>
      <c r="GA7236"/>
      <c r="GB7236"/>
      <c r="GC7236"/>
      <c r="GD7236"/>
      <c r="GE7236"/>
      <c r="GF7236"/>
      <c r="GG7236"/>
      <c r="GH7236"/>
      <c r="GI7236"/>
      <c r="GJ7236"/>
      <c r="GK7236"/>
      <c r="GL7236"/>
      <c r="GM7236"/>
      <c r="GN7236"/>
      <c r="GO7236"/>
    </row>
    <row r="7237" spans="107:197">
      <c r="DC7237"/>
      <c r="FH7237"/>
      <c r="FI7237"/>
      <c r="FJ7237"/>
      <c r="FK7237"/>
      <c r="FL7237"/>
      <c r="FM7237"/>
      <c r="FN7237"/>
      <c r="FO7237"/>
      <c r="FP7237"/>
      <c r="FQ7237"/>
      <c r="FR7237"/>
      <c r="FS7237"/>
      <c r="FT7237"/>
      <c r="FU7237"/>
      <c r="FV7237"/>
      <c r="FW7237"/>
      <c r="FX7237"/>
      <c r="FY7237"/>
      <c r="FZ7237"/>
      <c r="GA7237"/>
      <c r="GB7237"/>
      <c r="GC7237"/>
      <c r="GD7237"/>
      <c r="GE7237"/>
      <c r="GF7237"/>
      <c r="GG7237"/>
      <c r="GH7237"/>
      <c r="GI7237"/>
      <c r="GJ7237"/>
      <c r="GK7237"/>
      <c r="GL7237"/>
      <c r="GM7237"/>
      <c r="GN7237"/>
      <c r="GO7237"/>
    </row>
    <row r="7238" spans="107:197">
      <c r="DC7238"/>
      <c r="FH7238"/>
      <c r="FI7238"/>
      <c r="FJ7238"/>
      <c r="FK7238"/>
      <c r="FL7238"/>
      <c r="FM7238"/>
      <c r="FN7238"/>
      <c r="FO7238"/>
      <c r="FP7238"/>
      <c r="FQ7238"/>
      <c r="FR7238"/>
      <c r="FS7238"/>
      <c r="FT7238"/>
      <c r="FU7238"/>
      <c r="FV7238"/>
      <c r="FW7238"/>
      <c r="FX7238"/>
      <c r="FY7238"/>
      <c r="FZ7238"/>
      <c r="GA7238"/>
      <c r="GB7238"/>
      <c r="GC7238"/>
      <c r="GD7238"/>
      <c r="GE7238"/>
      <c r="GF7238"/>
      <c r="GG7238"/>
      <c r="GH7238"/>
      <c r="GI7238"/>
      <c r="GJ7238"/>
      <c r="GK7238"/>
      <c r="GL7238"/>
      <c r="GM7238"/>
      <c r="GN7238"/>
      <c r="GO7238"/>
    </row>
    <row r="7239" spans="107:197">
      <c r="DC7239"/>
      <c r="FH7239"/>
      <c r="FI7239"/>
      <c r="FJ7239"/>
      <c r="FK7239"/>
      <c r="FL7239"/>
      <c r="FM7239"/>
      <c r="FN7239"/>
      <c r="FO7239"/>
      <c r="FP7239"/>
      <c r="FQ7239"/>
      <c r="FR7239"/>
      <c r="FS7239"/>
      <c r="FT7239"/>
      <c r="FU7239"/>
      <c r="FV7239"/>
      <c r="FW7239"/>
      <c r="FX7239"/>
      <c r="FY7239"/>
      <c r="FZ7239"/>
      <c r="GA7239"/>
      <c r="GB7239"/>
      <c r="GC7239"/>
      <c r="GD7239"/>
      <c r="GE7239"/>
      <c r="GF7239"/>
      <c r="GG7239"/>
      <c r="GH7239"/>
      <c r="GI7239"/>
      <c r="GJ7239"/>
      <c r="GK7239"/>
      <c r="GL7239"/>
      <c r="GM7239"/>
      <c r="GN7239"/>
      <c r="GO7239"/>
    </row>
    <row r="7240" spans="107:197">
      <c r="DC7240"/>
      <c r="FH7240"/>
      <c r="FI7240"/>
      <c r="FJ7240"/>
      <c r="FK7240"/>
      <c r="FL7240"/>
      <c r="FM7240"/>
      <c r="FN7240"/>
      <c r="FO7240"/>
      <c r="FP7240"/>
      <c r="FQ7240"/>
      <c r="FR7240"/>
      <c r="FS7240"/>
      <c r="FT7240"/>
      <c r="FU7240"/>
      <c r="FV7240"/>
      <c r="FW7240"/>
      <c r="FX7240"/>
      <c r="FY7240"/>
      <c r="FZ7240"/>
      <c r="GA7240"/>
      <c r="GB7240"/>
      <c r="GC7240"/>
      <c r="GD7240"/>
      <c r="GE7240"/>
      <c r="GF7240"/>
      <c r="GG7240"/>
      <c r="GH7240"/>
      <c r="GI7240"/>
      <c r="GJ7240"/>
      <c r="GK7240"/>
      <c r="GL7240"/>
      <c r="GM7240"/>
      <c r="GN7240"/>
      <c r="GO7240"/>
    </row>
    <row r="7241" spans="107:197">
      <c r="DC7241"/>
      <c r="FH7241"/>
      <c r="FI7241"/>
      <c r="FJ7241"/>
      <c r="FK7241"/>
      <c r="FL7241"/>
      <c r="FM7241"/>
      <c r="FN7241"/>
      <c r="FO7241"/>
      <c r="FP7241"/>
      <c r="FQ7241"/>
      <c r="FR7241"/>
      <c r="FS7241"/>
      <c r="FT7241"/>
      <c r="FU7241"/>
      <c r="FV7241"/>
      <c r="FW7241"/>
      <c r="FX7241"/>
      <c r="FY7241"/>
      <c r="FZ7241"/>
      <c r="GA7241"/>
      <c r="GB7241"/>
      <c r="GC7241"/>
      <c r="GD7241"/>
      <c r="GE7241"/>
      <c r="GF7241"/>
      <c r="GG7241"/>
      <c r="GH7241"/>
      <c r="GI7241"/>
      <c r="GJ7241"/>
      <c r="GK7241"/>
      <c r="GL7241"/>
      <c r="GM7241"/>
      <c r="GN7241"/>
      <c r="GO7241"/>
    </row>
    <row r="7242" spans="107:197">
      <c r="DC7242"/>
      <c r="FH7242"/>
      <c r="FI7242"/>
      <c r="FJ7242"/>
      <c r="FK7242"/>
      <c r="FL7242"/>
      <c r="FM7242"/>
      <c r="FN7242"/>
      <c r="FO7242"/>
      <c r="FP7242"/>
      <c r="FQ7242"/>
      <c r="FR7242"/>
      <c r="FS7242"/>
      <c r="FT7242"/>
      <c r="FU7242"/>
      <c r="FV7242"/>
      <c r="FW7242"/>
      <c r="FX7242"/>
      <c r="FY7242"/>
      <c r="FZ7242"/>
      <c r="GA7242"/>
      <c r="GB7242"/>
      <c r="GC7242"/>
      <c r="GD7242"/>
      <c r="GE7242"/>
      <c r="GF7242"/>
      <c r="GG7242"/>
      <c r="GH7242"/>
      <c r="GI7242"/>
      <c r="GJ7242"/>
      <c r="GK7242"/>
      <c r="GL7242"/>
      <c r="GM7242"/>
      <c r="GN7242"/>
      <c r="GO7242"/>
    </row>
    <row r="7243" spans="107:197">
      <c r="DC7243"/>
      <c r="FH7243"/>
      <c r="FI7243"/>
      <c r="FJ7243"/>
      <c r="FK7243"/>
      <c r="FL7243"/>
      <c r="FM7243"/>
      <c r="FN7243"/>
      <c r="FO7243"/>
      <c r="FP7243"/>
      <c r="FQ7243"/>
      <c r="FR7243"/>
      <c r="FS7243"/>
      <c r="FT7243"/>
      <c r="FU7243"/>
      <c r="FV7243"/>
      <c r="FW7243"/>
      <c r="FX7243"/>
      <c r="FY7243"/>
      <c r="FZ7243"/>
      <c r="GA7243"/>
      <c r="GB7243"/>
      <c r="GC7243"/>
      <c r="GD7243"/>
      <c r="GE7243"/>
      <c r="GF7243"/>
      <c r="GG7243"/>
      <c r="GH7243"/>
      <c r="GI7243"/>
      <c r="GJ7243"/>
      <c r="GK7243"/>
      <c r="GL7243"/>
      <c r="GM7243"/>
      <c r="GN7243"/>
      <c r="GO7243"/>
    </row>
    <row r="7244" spans="107:197">
      <c r="DC7244"/>
      <c r="FH7244"/>
      <c r="FI7244"/>
      <c r="FJ7244"/>
      <c r="FK7244"/>
      <c r="FL7244"/>
      <c r="FM7244"/>
      <c r="FN7244"/>
      <c r="FO7244"/>
      <c r="FP7244"/>
      <c r="FQ7244"/>
      <c r="FR7244"/>
      <c r="FS7244"/>
      <c r="FT7244"/>
      <c r="FU7244"/>
      <c r="FV7244"/>
      <c r="FW7244"/>
      <c r="FX7244"/>
      <c r="FY7244"/>
      <c r="FZ7244"/>
      <c r="GA7244"/>
      <c r="GB7244"/>
      <c r="GC7244"/>
      <c r="GD7244"/>
      <c r="GE7244"/>
      <c r="GF7244"/>
      <c r="GG7244"/>
      <c r="GH7244"/>
      <c r="GI7244"/>
      <c r="GJ7244"/>
      <c r="GK7244"/>
      <c r="GL7244"/>
      <c r="GM7244"/>
      <c r="GN7244"/>
      <c r="GO7244"/>
    </row>
    <row r="7245" spans="107:197">
      <c r="DC7245"/>
      <c r="FH7245"/>
      <c r="FI7245"/>
      <c r="FJ7245"/>
      <c r="FK7245"/>
      <c r="FL7245"/>
      <c r="FM7245"/>
      <c r="FN7245"/>
      <c r="FO7245"/>
      <c r="FP7245"/>
      <c r="FQ7245"/>
      <c r="FR7245"/>
      <c r="FS7245"/>
      <c r="FT7245"/>
      <c r="FU7245"/>
      <c r="FV7245"/>
      <c r="FW7245"/>
      <c r="FX7245"/>
      <c r="FY7245"/>
      <c r="FZ7245"/>
      <c r="GA7245"/>
      <c r="GB7245"/>
      <c r="GC7245"/>
      <c r="GD7245"/>
      <c r="GE7245"/>
      <c r="GF7245"/>
      <c r="GG7245"/>
      <c r="GH7245"/>
      <c r="GI7245"/>
      <c r="GJ7245"/>
      <c r="GK7245"/>
      <c r="GL7245"/>
      <c r="GM7245"/>
      <c r="GN7245"/>
      <c r="GO7245"/>
    </row>
    <row r="7246" spans="107:197">
      <c r="DC7246"/>
      <c r="FH7246"/>
      <c r="FI7246"/>
      <c r="FJ7246"/>
      <c r="FK7246"/>
      <c r="FL7246"/>
      <c r="FM7246"/>
      <c r="FN7246"/>
      <c r="FO7246"/>
      <c r="FP7246"/>
      <c r="FQ7246"/>
      <c r="FR7246"/>
      <c r="FS7246"/>
      <c r="FT7246"/>
      <c r="FU7246"/>
      <c r="FV7246"/>
      <c r="FW7246"/>
      <c r="FX7246"/>
      <c r="FY7246"/>
      <c r="FZ7246"/>
      <c r="GA7246"/>
      <c r="GB7246"/>
      <c r="GC7246"/>
      <c r="GD7246"/>
      <c r="GE7246"/>
      <c r="GF7246"/>
      <c r="GG7246"/>
      <c r="GH7246"/>
      <c r="GI7246"/>
      <c r="GJ7246"/>
      <c r="GK7246"/>
      <c r="GL7246"/>
      <c r="GM7246"/>
      <c r="GN7246"/>
      <c r="GO7246"/>
    </row>
    <row r="7247" spans="107:197">
      <c r="DC7247"/>
      <c r="FH7247"/>
      <c r="FI7247"/>
      <c r="FJ7247"/>
      <c r="FK7247"/>
      <c r="FL7247"/>
      <c r="FM7247"/>
      <c r="FN7247"/>
      <c r="FO7247"/>
      <c r="FP7247"/>
      <c r="FQ7247"/>
      <c r="FR7247"/>
      <c r="FS7247"/>
      <c r="FT7247"/>
      <c r="FU7247"/>
      <c r="FV7247"/>
      <c r="FW7247"/>
      <c r="FX7247"/>
      <c r="FY7247"/>
      <c r="FZ7247"/>
      <c r="GA7247"/>
      <c r="GB7247"/>
      <c r="GC7247"/>
      <c r="GD7247"/>
      <c r="GE7247"/>
      <c r="GF7247"/>
      <c r="GG7247"/>
      <c r="GH7247"/>
      <c r="GI7247"/>
      <c r="GJ7247"/>
      <c r="GK7247"/>
      <c r="GL7247"/>
      <c r="GM7247"/>
      <c r="GN7247"/>
      <c r="GO7247"/>
    </row>
    <row r="7248" spans="107:197">
      <c r="DC7248"/>
      <c r="FH7248"/>
      <c r="FI7248"/>
      <c r="FJ7248"/>
      <c r="FK7248"/>
      <c r="FL7248"/>
      <c r="FM7248"/>
      <c r="FN7248"/>
      <c r="FO7248"/>
      <c r="FP7248"/>
      <c r="FQ7248"/>
      <c r="FR7248"/>
      <c r="FS7248"/>
      <c r="FT7248"/>
      <c r="FU7248"/>
      <c r="FV7248"/>
      <c r="FW7248"/>
      <c r="FX7248"/>
      <c r="FY7248"/>
      <c r="FZ7248"/>
      <c r="GA7248"/>
      <c r="GB7248"/>
      <c r="GC7248"/>
      <c r="GD7248"/>
      <c r="GE7248"/>
      <c r="GF7248"/>
      <c r="GG7248"/>
      <c r="GH7248"/>
      <c r="GI7248"/>
      <c r="GJ7248"/>
      <c r="GK7248"/>
      <c r="GL7248"/>
      <c r="GM7248"/>
      <c r="GN7248"/>
      <c r="GO7248"/>
    </row>
    <row r="7249" spans="107:197">
      <c r="DC7249"/>
      <c r="FH7249"/>
      <c r="FI7249"/>
      <c r="FJ7249"/>
      <c r="FK7249"/>
      <c r="FL7249"/>
      <c r="FM7249"/>
      <c r="FN7249"/>
      <c r="FO7249"/>
      <c r="FP7249"/>
      <c r="FQ7249"/>
      <c r="FR7249"/>
      <c r="FS7249"/>
      <c r="FT7249"/>
      <c r="FU7249"/>
      <c r="FV7249"/>
      <c r="FW7249"/>
      <c r="FX7249"/>
      <c r="FY7249"/>
      <c r="FZ7249"/>
      <c r="GA7249"/>
      <c r="GB7249"/>
      <c r="GC7249"/>
      <c r="GD7249"/>
      <c r="GE7249"/>
      <c r="GF7249"/>
      <c r="GG7249"/>
      <c r="GH7249"/>
      <c r="GI7249"/>
      <c r="GJ7249"/>
      <c r="GK7249"/>
      <c r="GL7249"/>
      <c r="GM7249"/>
      <c r="GN7249"/>
      <c r="GO7249"/>
    </row>
    <row r="7250" spans="107:197">
      <c r="DC7250"/>
      <c r="FH7250"/>
      <c r="FI7250"/>
      <c r="FJ7250"/>
      <c r="FK7250"/>
      <c r="FL7250"/>
      <c r="FM7250"/>
      <c r="FN7250"/>
      <c r="FO7250"/>
      <c r="FP7250"/>
      <c r="FQ7250"/>
      <c r="FR7250"/>
      <c r="FS7250"/>
      <c r="FT7250"/>
      <c r="FU7250"/>
      <c r="FV7250"/>
      <c r="FW7250"/>
      <c r="FX7250"/>
      <c r="FY7250"/>
      <c r="FZ7250"/>
      <c r="GA7250"/>
      <c r="GB7250"/>
      <c r="GC7250"/>
      <c r="GD7250"/>
      <c r="GE7250"/>
      <c r="GF7250"/>
      <c r="GG7250"/>
      <c r="GH7250"/>
      <c r="GI7250"/>
      <c r="GJ7250"/>
      <c r="GK7250"/>
      <c r="GL7250"/>
      <c r="GM7250"/>
      <c r="GN7250"/>
      <c r="GO7250"/>
    </row>
    <row r="7251" spans="107:197">
      <c r="DC7251"/>
      <c r="FH7251"/>
      <c r="FI7251"/>
      <c r="FJ7251"/>
      <c r="FK7251"/>
      <c r="FL7251"/>
      <c r="FM7251"/>
      <c r="FN7251"/>
      <c r="FO7251"/>
      <c r="FP7251"/>
      <c r="FQ7251"/>
      <c r="FR7251"/>
      <c r="FS7251"/>
      <c r="FT7251"/>
      <c r="FU7251"/>
      <c r="FV7251"/>
      <c r="FW7251"/>
      <c r="FX7251"/>
      <c r="FY7251"/>
      <c r="FZ7251"/>
      <c r="GA7251"/>
      <c r="GB7251"/>
      <c r="GC7251"/>
      <c r="GD7251"/>
      <c r="GE7251"/>
      <c r="GF7251"/>
      <c r="GG7251"/>
      <c r="GH7251"/>
      <c r="GI7251"/>
      <c r="GJ7251"/>
      <c r="GK7251"/>
      <c r="GL7251"/>
      <c r="GM7251"/>
      <c r="GN7251"/>
      <c r="GO7251"/>
    </row>
    <row r="7252" spans="107:197">
      <c r="DC7252"/>
      <c r="FH7252"/>
      <c r="FI7252"/>
      <c r="FJ7252"/>
      <c r="FK7252"/>
      <c r="FL7252"/>
      <c r="FM7252"/>
      <c r="FN7252"/>
      <c r="FO7252"/>
      <c r="FP7252"/>
      <c r="FQ7252"/>
      <c r="FR7252"/>
      <c r="FS7252"/>
      <c r="FT7252"/>
      <c r="FU7252"/>
      <c r="FV7252"/>
      <c r="FW7252"/>
      <c r="FX7252"/>
      <c r="FY7252"/>
      <c r="FZ7252"/>
      <c r="GA7252"/>
      <c r="GB7252"/>
      <c r="GC7252"/>
      <c r="GD7252"/>
      <c r="GE7252"/>
      <c r="GF7252"/>
      <c r="GG7252"/>
      <c r="GH7252"/>
      <c r="GI7252"/>
      <c r="GJ7252"/>
      <c r="GK7252"/>
      <c r="GL7252"/>
      <c r="GM7252"/>
      <c r="GN7252"/>
      <c r="GO7252"/>
    </row>
    <row r="7253" spans="107:197">
      <c r="DC7253"/>
      <c r="FH7253"/>
      <c r="FI7253"/>
      <c r="FJ7253"/>
      <c r="FK7253"/>
      <c r="FL7253"/>
      <c r="FM7253"/>
      <c r="FN7253"/>
      <c r="FO7253"/>
      <c r="FP7253"/>
      <c r="FQ7253"/>
      <c r="FR7253"/>
      <c r="FS7253"/>
      <c r="FT7253"/>
      <c r="FU7253"/>
      <c r="FV7253"/>
      <c r="FW7253"/>
      <c r="FX7253"/>
      <c r="FY7253"/>
      <c r="FZ7253"/>
      <c r="GA7253"/>
      <c r="GB7253"/>
      <c r="GC7253"/>
      <c r="GD7253"/>
      <c r="GE7253"/>
      <c r="GF7253"/>
      <c r="GG7253"/>
      <c r="GH7253"/>
      <c r="GI7253"/>
      <c r="GJ7253"/>
      <c r="GK7253"/>
      <c r="GL7253"/>
      <c r="GM7253"/>
      <c r="GN7253"/>
      <c r="GO7253"/>
    </row>
    <row r="7254" spans="107:197">
      <c r="DC7254"/>
      <c r="FH7254"/>
      <c r="FI7254"/>
      <c r="FJ7254"/>
      <c r="FK7254"/>
      <c r="FL7254"/>
      <c r="FM7254"/>
      <c r="FN7254"/>
      <c r="FO7254"/>
      <c r="FP7254"/>
      <c r="FQ7254"/>
      <c r="FR7254"/>
      <c r="FS7254"/>
      <c r="FT7254"/>
      <c r="FU7254"/>
      <c r="FV7254"/>
      <c r="FW7254"/>
      <c r="FX7254"/>
      <c r="FY7254"/>
      <c r="FZ7254"/>
      <c r="GA7254"/>
      <c r="GB7254"/>
      <c r="GC7254"/>
      <c r="GD7254"/>
      <c r="GE7254"/>
      <c r="GF7254"/>
      <c r="GG7254"/>
      <c r="GH7254"/>
      <c r="GI7254"/>
      <c r="GJ7254"/>
      <c r="GK7254"/>
      <c r="GL7254"/>
      <c r="GM7254"/>
      <c r="GN7254"/>
      <c r="GO7254"/>
    </row>
    <row r="7255" spans="107:197">
      <c r="DC7255"/>
      <c r="FH7255"/>
      <c r="FI7255"/>
      <c r="FJ7255"/>
      <c r="FK7255"/>
      <c r="FL7255"/>
      <c r="FM7255"/>
      <c r="FN7255"/>
      <c r="FO7255"/>
      <c r="FP7255"/>
      <c r="FQ7255"/>
      <c r="FR7255"/>
      <c r="FS7255"/>
      <c r="FT7255"/>
      <c r="FU7255"/>
      <c r="FV7255"/>
      <c r="FW7255"/>
      <c r="FX7255"/>
      <c r="FY7255"/>
      <c r="FZ7255"/>
      <c r="GA7255"/>
      <c r="GB7255"/>
      <c r="GC7255"/>
      <c r="GD7255"/>
      <c r="GE7255"/>
      <c r="GF7255"/>
      <c r="GG7255"/>
      <c r="GH7255"/>
      <c r="GI7255"/>
      <c r="GJ7255"/>
      <c r="GK7255"/>
      <c r="GL7255"/>
      <c r="GM7255"/>
      <c r="GN7255"/>
      <c r="GO7255"/>
    </row>
    <row r="7256" spans="107:197">
      <c r="DC7256"/>
      <c r="FH7256"/>
      <c r="FI7256"/>
      <c r="FJ7256"/>
      <c r="FK7256"/>
      <c r="FL7256"/>
      <c r="FM7256"/>
      <c r="FN7256"/>
      <c r="FO7256"/>
      <c r="FP7256"/>
      <c r="FQ7256"/>
      <c r="FR7256"/>
      <c r="FS7256"/>
      <c r="FT7256"/>
      <c r="FU7256"/>
      <c r="FV7256"/>
      <c r="FW7256"/>
      <c r="FX7256"/>
      <c r="FY7256"/>
      <c r="FZ7256"/>
      <c r="GA7256"/>
      <c r="GB7256"/>
      <c r="GC7256"/>
      <c r="GD7256"/>
      <c r="GE7256"/>
      <c r="GF7256"/>
      <c r="GG7256"/>
      <c r="GH7256"/>
      <c r="GI7256"/>
      <c r="GJ7256"/>
      <c r="GK7256"/>
      <c r="GL7256"/>
      <c r="GM7256"/>
      <c r="GN7256"/>
      <c r="GO7256"/>
    </row>
    <row r="7257" spans="107:197">
      <c r="DC7257"/>
      <c r="FH7257"/>
      <c r="FI7257"/>
      <c r="FJ7257"/>
      <c r="FK7257"/>
      <c r="FL7257"/>
      <c r="FM7257"/>
      <c r="FN7257"/>
      <c r="FO7257"/>
      <c r="FP7257"/>
      <c r="FQ7257"/>
      <c r="FR7257"/>
      <c r="FS7257"/>
      <c r="FT7257"/>
      <c r="FU7257"/>
      <c r="FV7257"/>
      <c r="FW7257"/>
      <c r="FX7257"/>
      <c r="FY7257"/>
      <c r="FZ7257"/>
      <c r="GA7257"/>
      <c r="GB7257"/>
      <c r="GC7257"/>
      <c r="GD7257"/>
      <c r="GE7257"/>
      <c r="GF7257"/>
      <c r="GG7257"/>
      <c r="GH7257"/>
      <c r="GI7257"/>
      <c r="GJ7257"/>
      <c r="GK7257"/>
      <c r="GL7257"/>
      <c r="GM7257"/>
      <c r="GN7257"/>
      <c r="GO7257"/>
    </row>
    <row r="7258" spans="107:197">
      <c r="DC7258"/>
      <c r="FH7258"/>
      <c r="FI7258"/>
      <c r="FJ7258"/>
      <c r="FK7258"/>
      <c r="FL7258"/>
      <c r="FM7258"/>
      <c r="FN7258"/>
      <c r="FO7258"/>
      <c r="FP7258"/>
      <c r="FQ7258"/>
      <c r="FR7258"/>
      <c r="FS7258"/>
      <c r="FT7258"/>
      <c r="FU7258"/>
      <c r="FV7258"/>
      <c r="FW7258"/>
      <c r="FX7258"/>
      <c r="FY7258"/>
      <c r="FZ7258"/>
      <c r="GA7258"/>
      <c r="GB7258"/>
      <c r="GC7258"/>
      <c r="GD7258"/>
      <c r="GE7258"/>
      <c r="GF7258"/>
      <c r="GG7258"/>
      <c r="GH7258"/>
      <c r="GI7258"/>
      <c r="GJ7258"/>
      <c r="GK7258"/>
      <c r="GL7258"/>
      <c r="GM7258"/>
      <c r="GN7258"/>
      <c r="GO7258"/>
    </row>
    <row r="7259" spans="107:197">
      <c r="DC7259"/>
      <c r="FH7259"/>
      <c r="FI7259"/>
      <c r="FJ7259"/>
      <c r="FK7259"/>
      <c r="FL7259"/>
      <c r="FM7259"/>
      <c r="FN7259"/>
      <c r="FO7259"/>
      <c r="FP7259"/>
      <c r="FQ7259"/>
      <c r="FR7259"/>
      <c r="FS7259"/>
      <c r="FT7259"/>
      <c r="FU7259"/>
      <c r="FV7259"/>
      <c r="FW7259"/>
      <c r="FX7259"/>
      <c r="FY7259"/>
      <c r="FZ7259"/>
      <c r="GA7259"/>
      <c r="GB7259"/>
      <c r="GC7259"/>
      <c r="GD7259"/>
      <c r="GE7259"/>
      <c r="GF7259"/>
      <c r="GG7259"/>
      <c r="GH7259"/>
      <c r="GI7259"/>
      <c r="GJ7259"/>
      <c r="GK7259"/>
      <c r="GL7259"/>
      <c r="GM7259"/>
      <c r="GN7259"/>
      <c r="GO7259"/>
    </row>
    <row r="7260" spans="107:197">
      <c r="DC7260"/>
      <c r="FH7260"/>
      <c r="FI7260"/>
      <c r="FJ7260"/>
      <c r="FK7260"/>
      <c r="FL7260"/>
      <c r="FM7260"/>
      <c r="FN7260"/>
      <c r="FO7260"/>
      <c r="FP7260"/>
      <c r="FQ7260"/>
      <c r="FR7260"/>
      <c r="FS7260"/>
      <c r="FT7260"/>
      <c r="FU7260"/>
      <c r="FV7260"/>
      <c r="FW7260"/>
      <c r="FX7260"/>
      <c r="FY7260"/>
      <c r="FZ7260"/>
      <c r="GA7260"/>
      <c r="GB7260"/>
      <c r="GC7260"/>
      <c r="GD7260"/>
      <c r="GE7260"/>
      <c r="GF7260"/>
      <c r="GG7260"/>
      <c r="GH7260"/>
      <c r="GI7260"/>
      <c r="GJ7260"/>
      <c r="GK7260"/>
      <c r="GL7260"/>
      <c r="GM7260"/>
      <c r="GN7260"/>
      <c r="GO7260"/>
    </row>
    <row r="7261" spans="107:197">
      <c r="DC7261"/>
      <c r="FH7261"/>
      <c r="FI7261"/>
      <c r="FJ7261"/>
      <c r="FK7261"/>
      <c r="FL7261"/>
      <c r="FM7261"/>
      <c r="FN7261"/>
      <c r="FO7261"/>
      <c r="FP7261"/>
      <c r="FQ7261"/>
      <c r="FR7261"/>
      <c r="FS7261"/>
      <c r="FT7261"/>
      <c r="FU7261"/>
      <c r="FV7261"/>
      <c r="FW7261"/>
      <c r="FX7261"/>
      <c r="FY7261"/>
      <c r="FZ7261"/>
      <c r="GA7261"/>
      <c r="GB7261"/>
      <c r="GC7261"/>
      <c r="GD7261"/>
      <c r="GE7261"/>
      <c r="GF7261"/>
      <c r="GG7261"/>
      <c r="GH7261"/>
      <c r="GI7261"/>
      <c r="GJ7261"/>
      <c r="GK7261"/>
      <c r="GL7261"/>
      <c r="GM7261"/>
      <c r="GN7261"/>
      <c r="GO7261"/>
    </row>
    <row r="7262" spans="107:197">
      <c r="DC7262"/>
      <c r="FH7262"/>
      <c r="FI7262"/>
      <c r="FJ7262"/>
      <c r="FK7262"/>
      <c r="FL7262"/>
      <c r="FM7262"/>
      <c r="FN7262"/>
      <c r="FO7262"/>
      <c r="FP7262"/>
      <c r="FQ7262"/>
      <c r="FR7262"/>
      <c r="FS7262"/>
      <c r="FT7262"/>
      <c r="FU7262"/>
      <c r="FV7262"/>
      <c r="FW7262"/>
      <c r="FX7262"/>
      <c r="FY7262"/>
      <c r="FZ7262"/>
      <c r="GA7262"/>
      <c r="GB7262"/>
      <c r="GC7262"/>
      <c r="GD7262"/>
      <c r="GE7262"/>
      <c r="GF7262"/>
      <c r="GG7262"/>
      <c r="GH7262"/>
      <c r="GI7262"/>
      <c r="GJ7262"/>
      <c r="GK7262"/>
      <c r="GL7262"/>
      <c r="GM7262"/>
      <c r="GN7262"/>
      <c r="GO7262"/>
    </row>
    <row r="7263" spans="107:197">
      <c r="DC7263"/>
      <c r="FH7263"/>
      <c r="FI7263"/>
      <c r="FJ7263"/>
      <c r="FK7263"/>
      <c r="FL7263"/>
      <c r="FM7263"/>
      <c r="FN7263"/>
      <c r="FO7263"/>
      <c r="FP7263"/>
      <c r="FQ7263"/>
      <c r="FR7263"/>
      <c r="FS7263"/>
      <c r="FT7263"/>
      <c r="FU7263"/>
      <c r="FV7263"/>
      <c r="FW7263"/>
      <c r="FX7263"/>
      <c r="FY7263"/>
      <c r="FZ7263"/>
      <c r="GA7263"/>
      <c r="GB7263"/>
      <c r="GC7263"/>
      <c r="GD7263"/>
      <c r="GE7263"/>
      <c r="GF7263"/>
      <c r="GG7263"/>
      <c r="GH7263"/>
      <c r="GI7263"/>
      <c r="GJ7263"/>
      <c r="GK7263"/>
      <c r="GL7263"/>
      <c r="GM7263"/>
      <c r="GN7263"/>
      <c r="GO7263"/>
    </row>
    <row r="7264" spans="107:197">
      <c r="DC7264"/>
      <c r="FH7264"/>
      <c r="FI7264"/>
      <c r="FJ7264"/>
      <c r="FK7264"/>
      <c r="FL7264"/>
      <c r="FM7264"/>
      <c r="FN7264"/>
      <c r="FO7264"/>
      <c r="FP7264"/>
      <c r="FQ7264"/>
      <c r="FR7264"/>
      <c r="FS7264"/>
      <c r="FT7264"/>
      <c r="FU7264"/>
      <c r="FV7264"/>
      <c r="FW7264"/>
      <c r="FX7264"/>
      <c r="FY7264"/>
      <c r="FZ7264"/>
      <c r="GA7264"/>
      <c r="GB7264"/>
      <c r="GC7264"/>
      <c r="GD7264"/>
      <c r="GE7264"/>
      <c r="GF7264"/>
      <c r="GG7264"/>
      <c r="GH7264"/>
      <c r="GI7264"/>
      <c r="GJ7264"/>
      <c r="GK7264"/>
      <c r="GL7264"/>
      <c r="GM7264"/>
      <c r="GN7264"/>
      <c r="GO7264"/>
    </row>
    <row r="7265" spans="107:197">
      <c r="DC7265"/>
      <c r="FH7265"/>
      <c r="FI7265"/>
      <c r="FJ7265"/>
      <c r="FK7265"/>
      <c r="FL7265"/>
      <c r="FM7265"/>
      <c r="FN7265"/>
      <c r="FO7265"/>
      <c r="FP7265"/>
      <c r="FQ7265"/>
      <c r="FR7265"/>
      <c r="FS7265"/>
      <c r="FT7265"/>
      <c r="FU7265"/>
      <c r="FV7265"/>
      <c r="FW7265"/>
      <c r="FX7265"/>
      <c r="FY7265"/>
      <c r="FZ7265"/>
      <c r="GA7265"/>
      <c r="GB7265"/>
      <c r="GC7265"/>
      <c r="GD7265"/>
      <c r="GE7265"/>
      <c r="GF7265"/>
      <c r="GG7265"/>
      <c r="GH7265"/>
      <c r="GI7265"/>
      <c r="GJ7265"/>
      <c r="GK7265"/>
      <c r="GL7265"/>
      <c r="GM7265"/>
      <c r="GN7265"/>
      <c r="GO7265"/>
    </row>
    <row r="7266" spans="107:197">
      <c r="DC7266"/>
      <c r="FH7266"/>
      <c r="FI7266"/>
      <c r="FJ7266"/>
      <c r="FK7266"/>
      <c r="FL7266"/>
      <c r="FM7266"/>
      <c r="FN7266"/>
      <c r="FO7266"/>
      <c r="FP7266"/>
      <c r="FQ7266"/>
      <c r="FR7266"/>
      <c r="FS7266"/>
      <c r="FT7266"/>
      <c r="FU7266"/>
      <c r="FV7266"/>
      <c r="FW7266"/>
      <c r="FX7266"/>
      <c r="FY7266"/>
      <c r="FZ7266"/>
      <c r="GA7266"/>
      <c r="GB7266"/>
      <c r="GC7266"/>
      <c r="GD7266"/>
      <c r="GE7266"/>
      <c r="GF7266"/>
      <c r="GG7266"/>
      <c r="GH7266"/>
      <c r="GI7266"/>
      <c r="GJ7266"/>
      <c r="GK7266"/>
      <c r="GL7266"/>
      <c r="GM7266"/>
      <c r="GN7266"/>
      <c r="GO7266"/>
    </row>
    <row r="7267" spans="107:197">
      <c r="DC7267"/>
      <c r="FH7267"/>
      <c r="FI7267"/>
      <c r="FJ7267"/>
      <c r="FK7267"/>
      <c r="FL7267"/>
      <c r="FM7267"/>
      <c r="FN7267"/>
      <c r="FO7267"/>
      <c r="FP7267"/>
      <c r="FQ7267"/>
      <c r="FR7267"/>
      <c r="FS7267"/>
      <c r="FT7267"/>
      <c r="FU7267"/>
      <c r="FV7267"/>
      <c r="FW7267"/>
      <c r="FX7267"/>
      <c r="FY7267"/>
      <c r="FZ7267"/>
      <c r="GA7267"/>
      <c r="GB7267"/>
      <c r="GC7267"/>
      <c r="GD7267"/>
      <c r="GE7267"/>
      <c r="GF7267"/>
      <c r="GG7267"/>
      <c r="GH7267"/>
      <c r="GI7267"/>
      <c r="GJ7267"/>
      <c r="GK7267"/>
      <c r="GL7267"/>
      <c r="GM7267"/>
      <c r="GN7267"/>
      <c r="GO7267"/>
    </row>
    <row r="7268" spans="107:197">
      <c r="DC7268"/>
      <c r="FH7268"/>
      <c r="FI7268"/>
      <c r="FJ7268"/>
      <c r="FK7268"/>
      <c r="FL7268"/>
      <c r="FM7268"/>
      <c r="FN7268"/>
      <c r="FO7268"/>
      <c r="FP7268"/>
      <c r="FQ7268"/>
      <c r="FR7268"/>
      <c r="FS7268"/>
      <c r="FT7268"/>
      <c r="FU7268"/>
      <c r="FV7268"/>
      <c r="FW7268"/>
      <c r="FX7268"/>
      <c r="FY7268"/>
      <c r="FZ7268"/>
      <c r="GA7268"/>
      <c r="GB7268"/>
      <c r="GC7268"/>
      <c r="GD7268"/>
      <c r="GE7268"/>
      <c r="GF7268"/>
      <c r="GG7268"/>
      <c r="GH7268"/>
      <c r="GI7268"/>
      <c r="GJ7268"/>
      <c r="GK7268"/>
      <c r="GL7268"/>
      <c r="GM7268"/>
      <c r="GN7268"/>
      <c r="GO7268"/>
    </row>
    <row r="7269" spans="107:197">
      <c r="DC7269"/>
      <c r="FH7269"/>
      <c r="FI7269"/>
      <c r="FJ7269"/>
      <c r="FK7269"/>
      <c r="FL7269"/>
      <c r="FM7269"/>
      <c r="FN7269"/>
      <c r="FO7269"/>
      <c r="FP7269"/>
      <c r="FQ7269"/>
      <c r="FR7269"/>
      <c r="FS7269"/>
      <c r="FT7269"/>
      <c r="FU7269"/>
      <c r="FV7269"/>
      <c r="FW7269"/>
      <c r="FX7269"/>
      <c r="FY7269"/>
      <c r="FZ7269"/>
      <c r="GA7269"/>
      <c r="GB7269"/>
      <c r="GC7269"/>
      <c r="GD7269"/>
      <c r="GE7269"/>
      <c r="GF7269"/>
      <c r="GG7269"/>
      <c r="GH7269"/>
      <c r="GI7269"/>
      <c r="GJ7269"/>
      <c r="GK7269"/>
      <c r="GL7269"/>
      <c r="GM7269"/>
      <c r="GN7269"/>
      <c r="GO7269"/>
    </row>
    <row r="7270" spans="107:197">
      <c r="DC7270"/>
      <c r="FH7270"/>
      <c r="FI7270"/>
      <c r="FJ7270"/>
      <c r="FK7270"/>
      <c r="FL7270"/>
      <c r="FM7270"/>
      <c r="FN7270"/>
      <c r="FO7270"/>
      <c r="FP7270"/>
      <c r="FQ7270"/>
      <c r="FR7270"/>
      <c r="FS7270"/>
      <c r="FT7270"/>
      <c r="FU7270"/>
      <c r="FV7270"/>
      <c r="FW7270"/>
      <c r="FX7270"/>
      <c r="FY7270"/>
      <c r="FZ7270"/>
      <c r="GA7270"/>
      <c r="GB7270"/>
      <c r="GC7270"/>
      <c r="GD7270"/>
      <c r="GE7270"/>
      <c r="GF7270"/>
      <c r="GG7270"/>
      <c r="GH7270"/>
      <c r="GI7270"/>
      <c r="GJ7270"/>
      <c r="GK7270"/>
      <c r="GL7270"/>
      <c r="GM7270"/>
      <c r="GN7270"/>
      <c r="GO7270"/>
    </row>
    <row r="7271" spans="107:197">
      <c r="DC7271"/>
      <c r="FH7271"/>
      <c r="FI7271"/>
      <c r="FJ7271"/>
      <c r="FK7271"/>
      <c r="FL7271"/>
      <c r="FM7271"/>
      <c r="FN7271"/>
      <c r="FO7271"/>
      <c r="FP7271"/>
      <c r="FQ7271"/>
      <c r="FR7271"/>
      <c r="FS7271"/>
      <c r="FT7271"/>
      <c r="FU7271"/>
      <c r="FV7271"/>
      <c r="FW7271"/>
      <c r="FX7271"/>
      <c r="FY7271"/>
      <c r="FZ7271"/>
      <c r="GA7271"/>
      <c r="GB7271"/>
      <c r="GC7271"/>
      <c r="GD7271"/>
      <c r="GE7271"/>
      <c r="GF7271"/>
      <c r="GG7271"/>
      <c r="GH7271"/>
      <c r="GI7271"/>
      <c r="GJ7271"/>
      <c r="GK7271"/>
      <c r="GL7271"/>
      <c r="GM7271"/>
      <c r="GN7271"/>
      <c r="GO7271"/>
    </row>
    <row r="7272" spans="107:197">
      <c r="DC7272"/>
      <c r="FH7272"/>
      <c r="FI7272"/>
      <c r="FJ7272"/>
      <c r="FK7272"/>
      <c r="FL7272"/>
      <c r="FM7272"/>
      <c r="FN7272"/>
      <c r="FO7272"/>
      <c r="FP7272"/>
      <c r="FQ7272"/>
      <c r="FR7272"/>
      <c r="FS7272"/>
      <c r="FT7272"/>
      <c r="FU7272"/>
      <c r="FV7272"/>
      <c r="FW7272"/>
      <c r="FX7272"/>
      <c r="FY7272"/>
      <c r="FZ7272"/>
      <c r="GA7272"/>
      <c r="GB7272"/>
      <c r="GC7272"/>
      <c r="GD7272"/>
      <c r="GE7272"/>
      <c r="GF7272"/>
      <c r="GG7272"/>
      <c r="GH7272"/>
      <c r="GI7272"/>
      <c r="GJ7272"/>
      <c r="GK7272"/>
      <c r="GL7272"/>
      <c r="GM7272"/>
      <c r="GN7272"/>
      <c r="GO7272"/>
    </row>
    <row r="7273" spans="107:197">
      <c r="DC7273"/>
      <c r="FH7273"/>
      <c r="FI7273"/>
      <c r="FJ7273"/>
      <c r="FK7273"/>
      <c r="FL7273"/>
      <c r="FM7273"/>
      <c r="FN7273"/>
      <c r="FO7273"/>
      <c r="FP7273"/>
      <c r="FQ7273"/>
      <c r="FR7273"/>
      <c r="FS7273"/>
      <c r="FT7273"/>
      <c r="FU7273"/>
      <c r="FV7273"/>
      <c r="FW7273"/>
      <c r="FX7273"/>
      <c r="FY7273"/>
      <c r="FZ7273"/>
      <c r="GA7273"/>
      <c r="GB7273"/>
      <c r="GC7273"/>
      <c r="GD7273"/>
      <c r="GE7273"/>
      <c r="GF7273"/>
      <c r="GG7273"/>
      <c r="GH7273"/>
      <c r="GI7273"/>
      <c r="GJ7273"/>
      <c r="GK7273"/>
      <c r="GL7273"/>
      <c r="GM7273"/>
      <c r="GN7273"/>
      <c r="GO7273"/>
    </row>
    <row r="7274" spans="107:197">
      <c r="DC7274"/>
      <c r="FH7274"/>
      <c r="FI7274"/>
      <c r="FJ7274"/>
      <c r="FK7274"/>
      <c r="FL7274"/>
      <c r="FM7274"/>
      <c r="FN7274"/>
      <c r="FO7274"/>
      <c r="FP7274"/>
      <c r="FQ7274"/>
      <c r="FR7274"/>
      <c r="FS7274"/>
      <c r="FT7274"/>
      <c r="FU7274"/>
      <c r="FV7274"/>
      <c r="FW7274"/>
      <c r="FX7274"/>
      <c r="FY7274"/>
      <c r="FZ7274"/>
      <c r="GA7274"/>
      <c r="GB7274"/>
      <c r="GC7274"/>
      <c r="GD7274"/>
      <c r="GE7274"/>
      <c r="GF7274"/>
      <c r="GG7274"/>
      <c r="GH7274"/>
      <c r="GI7274"/>
      <c r="GJ7274"/>
      <c r="GK7274"/>
      <c r="GL7274"/>
      <c r="GM7274"/>
      <c r="GN7274"/>
      <c r="GO7274"/>
    </row>
    <row r="7275" spans="107:197">
      <c r="DC7275"/>
      <c r="FH7275"/>
      <c r="FI7275"/>
      <c r="FJ7275"/>
      <c r="FK7275"/>
      <c r="FL7275"/>
      <c r="FM7275"/>
      <c r="FN7275"/>
      <c r="FO7275"/>
      <c r="FP7275"/>
      <c r="FQ7275"/>
      <c r="FR7275"/>
      <c r="FS7275"/>
      <c r="FT7275"/>
      <c r="FU7275"/>
      <c r="FV7275"/>
      <c r="FW7275"/>
      <c r="FX7275"/>
      <c r="FY7275"/>
      <c r="FZ7275"/>
      <c r="GA7275"/>
      <c r="GB7275"/>
      <c r="GC7275"/>
      <c r="GD7275"/>
      <c r="GE7275"/>
      <c r="GF7275"/>
      <c r="GG7275"/>
      <c r="GH7275"/>
      <c r="GI7275"/>
      <c r="GJ7275"/>
      <c r="GK7275"/>
      <c r="GL7275"/>
      <c r="GM7275"/>
      <c r="GN7275"/>
      <c r="GO7275"/>
    </row>
    <row r="7276" spans="107:197">
      <c r="DC7276"/>
      <c r="FH7276"/>
      <c r="FI7276"/>
      <c r="FJ7276"/>
      <c r="FK7276"/>
      <c r="FL7276"/>
      <c r="FM7276"/>
      <c r="FN7276"/>
      <c r="FO7276"/>
      <c r="FP7276"/>
      <c r="FQ7276"/>
      <c r="FR7276"/>
      <c r="FS7276"/>
      <c r="FT7276"/>
      <c r="FU7276"/>
      <c r="FV7276"/>
      <c r="FW7276"/>
      <c r="FX7276"/>
      <c r="FY7276"/>
      <c r="FZ7276"/>
      <c r="GA7276"/>
      <c r="GB7276"/>
      <c r="GC7276"/>
      <c r="GD7276"/>
      <c r="GE7276"/>
      <c r="GF7276"/>
      <c r="GG7276"/>
      <c r="GH7276"/>
      <c r="GI7276"/>
      <c r="GJ7276"/>
      <c r="GK7276"/>
      <c r="GL7276"/>
      <c r="GM7276"/>
      <c r="GN7276"/>
      <c r="GO7276"/>
    </row>
    <row r="7277" spans="107:197">
      <c r="DC7277"/>
      <c r="FH7277"/>
      <c r="FI7277"/>
      <c r="FJ7277"/>
      <c r="FK7277"/>
      <c r="FL7277"/>
      <c r="FM7277"/>
      <c r="FN7277"/>
      <c r="FO7277"/>
      <c r="FP7277"/>
      <c r="FQ7277"/>
      <c r="FR7277"/>
      <c r="FS7277"/>
      <c r="FT7277"/>
      <c r="FU7277"/>
      <c r="FV7277"/>
      <c r="FW7277"/>
      <c r="FX7277"/>
      <c r="FY7277"/>
      <c r="FZ7277"/>
      <c r="GA7277"/>
      <c r="GB7277"/>
      <c r="GC7277"/>
      <c r="GD7277"/>
      <c r="GE7277"/>
      <c r="GF7277"/>
      <c r="GG7277"/>
      <c r="GH7277"/>
      <c r="GI7277"/>
      <c r="GJ7277"/>
      <c r="GK7277"/>
      <c r="GL7277"/>
      <c r="GM7277"/>
      <c r="GN7277"/>
      <c r="GO7277"/>
    </row>
    <row r="7278" spans="107:197">
      <c r="DC7278"/>
      <c r="FH7278"/>
      <c r="FI7278"/>
      <c r="FJ7278"/>
      <c r="FK7278"/>
      <c r="FL7278"/>
      <c r="FM7278"/>
      <c r="FN7278"/>
      <c r="FO7278"/>
      <c r="FP7278"/>
      <c r="FQ7278"/>
      <c r="FR7278"/>
      <c r="FS7278"/>
      <c r="FT7278"/>
      <c r="FU7278"/>
      <c r="FV7278"/>
      <c r="FW7278"/>
      <c r="FX7278"/>
      <c r="FY7278"/>
      <c r="FZ7278"/>
      <c r="GA7278"/>
      <c r="GB7278"/>
      <c r="GC7278"/>
      <c r="GD7278"/>
      <c r="GE7278"/>
      <c r="GF7278"/>
      <c r="GG7278"/>
      <c r="GH7278"/>
      <c r="GI7278"/>
      <c r="GJ7278"/>
      <c r="GK7278"/>
      <c r="GL7278"/>
      <c r="GM7278"/>
      <c r="GN7278"/>
      <c r="GO7278"/>
    </row>
    <row r="7279" spans="107:197">
      <c r="DC7279"/>
      <c r="FH7279"/>
      <c r="FI7279"/>
      <c r="FJ7279"/>
      <c r="FK7279"/>
      <c r="FL7279"/>
      <c r="FM7279"/>
      <c r="FN7279"/>
      <c r="FO7279"/>
      <c r="FP7279"/>
      <c r="FQ7279"/>
      <c r="FR7279"/>
      <c r="FS7279"/>
      <c r="FT7279"/>
      <c r="FU7279"/>
      <c r="FV7279"/>
      <c r="FW7279"/>
      <c r="FX7279"/>
      <c r="FY7279"/>
      <c r="FZ7279"/>
      <c r="GA7279"/>
      <c r="GB7279"/>
      <c r="GC7279"/>
      <c r="GD7279"/>
      <c r="GE7279"/>
      <c r="GF7279"/>
      <c r="GG7279"/>
      <c r="GH7279"/>
      <c r="GI7279"/>
      <c r="GJ7279"/>
      <c r="GK7279"/>
      <c r="GL7279"/>
      <c r="GM7279"/>
      <c r="GN7279"/>
      <c r="GO7279"/>
    </row>
    <row r="7280" spans="107:197">
      <c r="DC7280"/>
      <c r="FH7280"/>
      <c r="FI7280"/>
      <c r="FJ7280"/>
      <c r="FK7280"/>
      <c r="FL7280"/>
      <c r="FM7280"/>
      <c r="FN7280"/>
      <c r="FO7280"/>
      <c r="FP7280"/>
      <c r="FQ7280"/>
      <c r="FR7280"/>
      <c r="FS7280"/>
      <c r="FT7280"/>
      <c r="FU7280"/>
      <c r="FV7280"/>
      <c r="FW7280"/>
      <c r="FX7280"/>
      <c r="FY7280"/>
      <c r="FZ7280"/>
      <c r="GA7280"/>
      <c r="GB7280"/>
      <c r="GC7280"/>
      <c r="GD7280"/>
      <c r="GE7280"/>
      <c r="GF7280"/>
      <c r="GG7280"/>
      <c r="GH7280"/>
      <c r="GI7280"/>
      <c r="GJ7280"/>
      <c r="GK7280"/>
      <c r="GL7280"/>
      <c r="GM7280"/>
      <c r="GN7280"/>
      <c r="GO7280"/>
    </row>
    <row r="7281" spans="107:197">
      <c r="DC7281"/>
      <c r="FH7281"/>
      <c r="FI7281"/>
      <c r="FJ7281"/>
      <c r="FK7281"/>
      <c r="FL7281"/>
      <c r="FM7281"/>
      <c r="FN7281"/>
      <c r="FO7281"/>
      <c r="FP7281"/>
      <c r="FQ7281"/>
      <c r="FR7281"/>
      <c r="FS7281"/>
      <c r="FT7281"/>
      <c r="FU7281"/>
      <c r="FV7281"/>
      <c r="FW7281"/>
      <c r="FX7281"/>
      <c r="FY7281"/>
      <c r="FZ7281"/>
      <c r="GA7281"/>
      <c r="GB7281"/>
      <c r="GC7281"/>
      <c r="GD7281"/>
      <c r="GE7281"/>
      <c r="GF7281"/>
      <c r="GG7281"/>
      <c r="GH7281"/>
      <c r="GI7281"/>
      <c r="GJ7281"/>
      <c r="GK7281"/>
      <c r="GL7281"/>
      <c r="GM7281"/>
      <c r="GN7281"/>
      <c r="GO7281"/>
    </row>
    <row r="7282" spans="107:197">
      <c r="DC7282"/>
      <c r="FH7282"/>
      <c r="FI7282"/>
      <c r="FJ7282"/>
      <c r="FK7282"/>
      <c r="FL7282"/>
      <c r="FM7282"/>
      <c r="FN7282"/>
      <c r="FO7282"/>
      <c r="FP7282"/>
      <c r="FQ7282"/>
      <c r="FR7282"/>
      <c r="FS7282"/>
      <c r="FT7282"/>
      <c r="FU7282"/>
      <c r="FV7282"/>
      <c r="FW7282"/>
      <c r="FX7282"/>
      <c r="FY7282"/>
      <c r="FZ7282"/>
      <c r="GA7282"/>
      <c r="GB7282"/>
      <c r="GC7282"/>
      <c r="GD7282"/>
      <c r="GE7282"/>
      <c r="GF7282"/>
      <c r="GG7282"/>
      <c r="GH7282"/>
      <c r="GI7282"/>
      <c r="GJ7282"/>
      <c r="GK7282"/>
      <c r="GL7282"/>
      <c r="GM7282"/>
      <c r="GN7282"/>
      <c r="GO7282"/>
    </row>
    <row r="7283" spans="107:197">
      <c r="DC7283"/>
      <c r="FH7283"/>
      <c r="FI7283"/>
      <c r="FJ7283"/>
      <c r="FK7283"/>
      <c r="FL7283"/>
      <c r="FM7283"/>
      <c r="FN7283"/>
      <c r="FO7283"/>
      <c r="FP7283"/>
      <c r="FQ7283"/>
      <c r="FR7283"/>
      <c r="FS7283"/>
      <c r="FT7283"/>
      <c r="FU7283"/>
      <c r="FV7283"/>
      <c r="FW7283"/>
      <c r="FX7283"/>
      <c r="FY7283"/>
      <c r="FZ7283"/>
      <c r="GA7283"/>
      <c r="GB7283"/>
      <c r="GC7283"/>
      <c r="GD7283"/>
      <c r="GE7283"/>
      <c r="GF7283"/>
      <c r="GG7283"/>
      <c r="GH7283"/>
      <c r="GI7283"/>
      <c r="GJ7283"/>
      <c r="GK7283"/>
      <c r="GL7283"/>
      <c r="GM7283"/>
      <c r="GN7283"/>
      <c r="GO7283"/>
    </row>
    <row r="7284" spans="107:197">
      <c r="DC7284"/>
      <c r="FH7284"/>
      <c r="FI7284"/>
      <c r="FJ7284"/>
      <c r="FK7284"/>
      <c r="FL7284"/>
      <c r="FM7284"/>
      <c r="FN7284"/>
      <c r="FO7284"/>
      <c r="FP7284"/>
      <c r="FQ7284"/>
      <c r="FR7284"/>
      <c r="FS7284"/>
      <c r="FT7284"/>
      <c r="FU7284"/>
      <c r="FV7284"/>
      <c r="FW7284"/>
      <c r="FX7284"/>
      <c r="FY7284"/>
      <c r="FZ7284"/>
      <c r="GA7284"/>
      <c r="GB7284"/>
      <c r="GC7284"/>
      <c r="GD7284"/>
      <c r="GE7284"/>
      <c r="GF7284"/>
      <c r="GG7284"/>
      <c r="GH7284"/>
      <c r="GI7284"/>
      <c r="GJ7284"/>
      <c r="GK7284"/>
      <c r="GL7284"/>
      <c r="GM7284"/>
      <c r="GN7284"/>
      <c r="GO7284"/>
    </row>
    <row r="7285" spans="107:197">
      <c r="DC7285"/>
      <c r="FH7285"/>
      <c r="FI7285"/>
      <c r="FJ7285"/>
      <c r="FK7285"/>
      <c r="FL7285"/>
      <c r="FM7285"/>
      <c r="FN7285"/>
      <c r="FO7285"/>
      <c r="FP7285"/>
      <c r="FQ7285"/>
      <c r="FR7285"/>
      <c r="FS7285"/>
      <c r="FT7285"/>
      <c r="FU7285"/>
      <c r="FV7285"/>
      <c r="FW7285"/>
      <c r="FX7285"/>
      <c r="FY7285"/>
      <c r="FZ7285"/>
      <c r="GA7285"/>
      <c r="GB7285"/>
      <c r="GC7285"/>
      <c r="GD7285"/>
      <c r="GE7285"/>
      <c r="GF7285"/>
      <c r="GG7285"/>
      <c r="GH7285"/>
      <c r="GI7285"/>
      <c r="GJ7285"/>
      <c r="GK7285"/>
      <c r="GL7285"/>
      <c r="GM7285"/>
      <c r="GN7285"/>
      <c r="GO7285"/>
    </row>
    <row r="7286" spans="107:197">
      <c r="DC7286"/>
      <c r="FH7286"/>
      <c r="FI7286"/>
      <c r="FJ7286"/>
      <c r="FK7286"/>
      <c r="FL7286"/>
      <c r="FM7286"/>
      <c r="FN7286"/>
      <c r="FO7286"/>
      <c r="FP7286"/>
      <c r="FQ7286"/>
      <c r="FR7286"/>
      <c r="FS7286"/>
      <c r="FT7286"/>
      <c r="FU7286"/>
      <c r="FV7286"/>
      <c r="FW7286"/>
      <c r="FX7286"/>
      <c r="FY7286"/>
      <c r="FZ7286"/>
      <c r="GA7286"/>
      <c r="GB7286"/>
      <c r="GC7286"/>
      <c r="GD7286"/>
      <c r="GE7286"/>
      <c r="GF7286"/>
      <c r="GG7286"/>
      <c r="GH7286"/>
      <c r="GI7286"/>
      <c r="GJ7286"/>
      <c r="GK7286"/>
      <c r="GL7286"/>
      <c r="GM7286"/>
      <c r="GN7286"/>
      <c r="GO7286"/>
    </row>
    <row r="7287" spans="107:197">
      <c r="DC7287"/>
      <c r="FH7287"/>
      <c r="FI7287"/>
      <c r="FJ7287"/>
      <c r="FK7287"/>
      <c r="FL7287"/>
      <c r="FM7287"/>
      <c r="FN7287"/>
      <c r="FO7287"/>
      <c r="FP7287"/>
      <c r="FQ7287"/>
      <c r="FR7287"/>
      <c r="FS7287"/>
      <c r="FT7287"/>
      <c r="FU7287"/>
      <c r="FV7287"/>
      <c r="FW7287"/>
      <c r="FX7287"/>
      <c r="FY7287"/>
      <c r="FZ7287"/>
      <c r="GA7287"/>
      <c r="GB7287"/>
      <c r="GC7287"/>
      <c r="GD7287"/>
      <c r="GE7287"/>
      <c r="GF7287"/>
      <c r="GG7287"/>
      <c r="GH7287"/>
      <c r="GI7287"/>
      <c r="GJ7287"/>
      <c r="GK7287"/>
      <c r="GL7287"/>
      <c r="GM7287"/>
      <c r="GN7287"/>
      <c r="GO7287"/>
    </row>
    <row r="7288" spans="107:197">
      <c r="DC7288"/>
      <c r="FH7288"/>
      <c r="FI7288"/>
      <c r="FJ7288"/>
      <c r="FK7288"/>
      <c r="FL7288"/>
      <c r="FM7288"/>
      <c r="FN7288"/>
      <c r="FO7288"/>
      <c r="FP7288"/>
      <c r="FQ7288"/>
      <c r="FR7288"/>
      <c r="FS7288"/>
      <c r="FT7288"/>
      <c r="FU7288"/>
      <c r="FV7288"/>
      <c r="FW7288"/>
      <c r="FX7288"/>
      <c r="FY7288"/>
      <c r="FZ7288"/>
      <c r="GA7288"/>
      <c r="GB7288"/>
      <c r="GC7288"/>
      <c r="GD7288"/>
      <c r="GE7288"/>
      <c r="GF7288"/>
      <c r="GG7288"/>
      <c r="GH7288"/>
      <c r="GI7288"/>
      <c r="GJ7288"/>
      <c r="GK7288"/>
      <c r="GL7288"/>
      <c r="GM7288"/>
      <c r="GN7288"/>
      <c r="GO7288"/>
    </row>
    <row r="7289" spans="107:197">
      <c r="DC7289"/>
      <c r="FH7289"/>
      <c r="FI7289"/>
      <c r="FJ7289"/>
      <c r="FK7289"/>
      <c r="FL7289"/>
      <c r="FM7289"/>
      <c r="FN7289"/>
      <c r="FO7289"/>
      <c r="FP7289"/>
      <c r="FQ7289"/>
      <c r="FR7289"/>
      <c r="FS7289"/>
      <c r="FT7289"/>
      <c r="FU7289"/>
      <c r="FV7289"/>
      <c r="FW7289"/>
      <c r="FX7289"/>
      <c r="FY7289"/>
      <c r="FZ7289"/>
      <c r="GA7289"/>
      <c r="GB7289"/>
      <c r="GC7289"/>
      <c r="GD7289"/>
      <c r="GE7289"/>
      <c r="GF7289"/>
      <c r="GG7289"/>
      <c r="GH7289"/>
      <c r="GI7289"/>
      <c r="GJ7289"/>
      <c r="GK7289"/>
      <c r="GL7289"/>
      <c r="GM7289"/>
      <c r="GN7289"/>
      <c r="GO7289"/>
    </row>
    <row r="7290" spans="107:197">
      <c r="DC7290"/>
      <c r="FH7290"/>
      <c r="FI7290"/>
      <c r="FJ7290"/>
      <c r="FK7290"/>
      <c r="FL7290"/>
      <c r="FM7290"/>
      <c r="FN7290"/>
      <c r="FO7290"/>
      <c r="FP7290"/>
      <c r="FQ7290"/>
      <c r="FR7290"/>
      <c r="FS7290"/>
      <c r="FT7290"/>
      <c r="FU7290"/>
      <c r="FV7290"/>
      <c r="FW7290"/>
      <c r="FX7290"/>
      <c r="FY7290"/>
      <c r="FZ7290"/>
      <c r="GA7290"/>
      <c r="GB7290"/>
      <c r="GC7290"/>
      <c r="GD7290"/>
      <c r="GE7290"/>
      <c r="GF7290"/>
      <c r="GG7290"/>
      <c r="GH7290"/>
      <c r="GI7290"/>
      <c r="GJ7290"/>
      <c r="GK7290"/>
      <c r="GL7290"/>
      <c r="GM7290"/>
      <c r="GN7290"/>
      <c r="GO7290"/>
    </row>
    <row r="7291" spans="107:197">
      <c r="DC7291"/>
      <c r="FH7291"/>
      <c r="FI7291"/>
      <c r="FJ7291"/>
      <c r="FK7291"/>
      <c r="FL7291"/>
      <c r="FM7291"/>
      <c r="FN7291"/>
      <c r="FO7291"/>
      <c r="FP7291"/>
      <c r="FQ7291"/>
      <c r="FR7291"/>
      <c r="FS7291"/>
      <c r="FT7291"/>
      <c r="FU7291"/>
      <c r="FV7291"/>
      <c r="FW7291"/>
      <c r="FX7291"/>
      <c r="FY7291"/>
      <c r="FZ7291"/>
      <c r="GA7291"/>
      <c r="GB7291"/>
      <c r="GC7291"/>
      <c r="GD7291"/>
      <c r="GE7291"/>
      <c r="GF7291"/>
      <c r="GG7291"/>
      <c r="GH7291"/>
      <c r="GI7291"/>
      <c r="GJ7291"/>
      <c r="GK7291"/>
      <c r="GL7291"/>
      <c r="GM7291"/>
      <c r="GN7291"/>
      <c r="GO7291"/>
    </row>
    <row r="7292" spans="107:197">
      <c r="DC7292"/>
      <c r="FH7292"/>
      <c r="FI7292"/>
      <c r="FJ7292"/>
      <c r="FK7292"/>
      <c r="FL7292"/>
      <c r="FM7292"/>
      <c r="FN7292"/>
      <c r="FO7292"/>
      <c r="FP7292"/>
      <c r="FQ7292"/>
      <c r="FR7292"/>
      <c r="FS7292"/>
      <c r="FT7292"/>
      <c r="FU7292"/>
      <c r="FV7292"/>
      <c r="FW7292"/>
      <c r="FX7292"/>
      <c r="FY7292"/>
      <c r="FZ7292"/>
      <c r="GA7292"/>
      <c r="GB7292"/>
      <c r="GC7292"/>
      <c r="GD7292"/>
      <c r="GE7292"/>
      <c r="GF7292"/>
      <c r="GG7292"/>
      <c r="GH7292"/>
      <c r="GI7292"/>
      <c r="GJ7292"/>
      <c r="GK7292"/>
      <c r="GL7292"/>
      <c r="GM7292"/>
      <c r="GN7292"/>
      <c r="GO7292"/>
    </row>
    <row r="7293" spans="107:197">
      <c r="DC7293"/>
      <c r="FH7293"/>
      <c r="FI7293"/>
      <c r="FJ7293"/>
      <c r="FK7293"/>
      <c r="FL7293"/>
      <c r="FM7293"/>
      <c r="FN7293"/>
      <c r="FO7293"/>
      <c r="FP7293"/>
      <c r="FQ7293"/>
      <c r="FR7293"/>
      <c r="FS7293"/>
      <c r="FT7293"/>
      <c r="FU7293"/>
      <c r="FV7293"/>
      <c r="FW7293"/>
      <c r="FX7293"/>
      <c r="FY7293"/>
      <c r="FZ7293"/>
      <c r="GA7293"/>
      <c r="GB7293"/>
      <c r="GC7293"/>
      <c r="GD7293"/>
      <c r="GE7293"/>
      <c r="GF7293"/>
      <c r="GG7293"/>
      <c r="GH7293"/>
      <c r="GI7293"/>
      <c r="GJ7293"/>
      <c r="GK7293"/>
      <c r="GL7293"/>
      <c r="GM7293"/>
      <c r="GN7293"/>
      <c r="GO7293"/>
    </row>
    <row r="7294" spans="107:197">
      <c r="DC7294"/>
      <c r="FH7294"/>
      <c r="FI7294"/>
      <c r="FJ7294"/>
      <c r="FK7294"/>
      <c r="FL7294"/>
      <c r="FM7294"/>
      <c r="FN7294"/>
      <c r="FO7294"/>
      <c r="FP7294"/>
      <c r="FQ7294"/>
      <c r="FR7294"/>
      <c r="FS7294"/>
      <c r="FT7294"/>
      <c r="FU7294"/>
      <c r="FV7294"/>
      <c r="FW7294"/>
      <c r="FX7294"/>
      <c r="FY7294"/>
      <c r="FZ7294"/>
      <c r="GA7294"/>
      <c r="GB7294"/>
      <c r="GC7294"/>
      <c r="GD7294"/>
      <c r="GE7294"/>
      <c r="GF7294"/>
      <c r="GG7294"/>
      <c r="GH7294"/>
      <c r="GI7294"/>
      <c r="GJ7294"/>
      <c r="GK7294"/>
      <c r="GL7294"/>
      <c r="GM7294"/>
      <c r="GN7294"/>
      <c r="GO7294"/>
    </row>
    <row r="7295" spans="107:197">
      <c r="DC7295"/>
      <c r="FH7295"/>
      <c r="FI7295"/>
      <c r="FJ7295"/>
      <c r="FK7295"/>
      <c r="FL7295"/>
      <c r="FM7295"/>
      <c r="FN7295"/>
      <c r="FO7295"/>
      <c r="FP7295"/>
      <c r="FQ7295"/>
      <c r="FR7295"/>
      <c r="FS7295"/>
      <c r="FT7295"/>
      <c r="FU7295"/>
      <c r="FV7295"/>
      <c r="FW7295"/>
      <c r="FX7295"/>
      <c r="FY7295"/>
      <c r="FZ7295"/>
      <c r="GA7295"/>
      <c r="GB7295"/>
      <c r="GC7295"/>
      <c r="GD7295"/>
      <c r="GE7295"/>
      <c r="GF7295"/>
      <c r="GG7295"/>
      <c r="GH7295"/>
      <c r="GI7295"/>
      <c r="GJ7295"/>
      <c r="GK7295"/>
      <c r="GL7295"/>
      <c r="GM7295"/>
      <c r="GN7295"/>
      <c r="GO7295"/>
    </row>
    <row r="7296" spans="107:197">
      <c r="DC7296"/>
      <c r="FH7296"/>
      <c r="FI7296"/>
      <c r="FJ7296"/>
      <c r="FK7296"/>
      <c r="FL7296"/>
      <c r="FM7296"/>
      <c r="FN7296"/>
      <c r="FO7296"/>
      <c r="FP7296"/>
      <c r="FQ7296"/>
      <c r="FR7296"/>
      <c r="FS7296"/>
      <c r="FT7296"/>
      <c r="FU7296"/>
      <c r="FV7296"/>
      <c r="FW7296"/>
      <c r="FX7296"/>
      <c r="FY7296"/>
      <c r="FZ7296"/>
      <c r="GA7296"/>
      <c r="GB7296"/>
      <c r="GC7296"/>
      <c r="GD7296"/>
      <c r="GE7296"/>
      <c r="GF7296"/>
      <c r="GG7296"/>
      <c r="GH7296"/>
      <c r="GI7296"/>
      <c r="GJ7296"/>
      <c r="GK7296"/>
      <c r="GL7296"/>
      <c r="GM7296"/>
      <c r="GN7296"/>
      <c r="GO7296"/>
    </row>
    <row r="7297" spans="107:197">
      <c r="DC7297"/>
      <c r="FH7297"/>
      <c r="FI7297"/>
      <c r="FJ7297"/>
      <c r="FK7297"/>
      <c r="FL7297"/>
      <c r="FM7297"/>
      <c r="FN7297"/>
      <c r="FO7297"/>
      <c r="FP7297"/>
      <c r="FQ7297"/>
      <c r="FR7297"/>
      <c r="FS7297"/>
      <c r="FT7297"/>
      <c r="FU7297"/>
      <c r="FV7297"/>
      <c r="FW7297"/>
      <c r="FX7297"/>
      <c r="FY7297"/>
      <c r="FZ7297"/>
      <c r="GA7297"/>
      <c r="GB7297"/>
      <c r="GC7297"/>
      <c r="GD7297"/>
      <c r="GE7297"/>
      <c r="GF7297"/>
      <c r="GG7297"/>
      <c r="GH7297"/>
      <c r="GI7297"/>
      <c r="GJ7297"/>
      <c r="GK7297"/>
      <c r="GL7297"/>
      <c r="GM7297"/>
      <c r="GN7297"/>
      <c r="GO7297"/>
    </row>
    <row r="7298" spans="107:197">
      <c r="DC7298"/>
      <c r="FH7298"/>
      <c r="FI7298"/>
      <c r="FJ7298"/>
      <c r="FK7298"/>
      <c r="FL7298"/>
      <c r="FM7298"/>
      <c r="FN7298"/>
      <c r="FO7298"/>
      <c r="FP7298"/>
      <c r="FQ7298"/>
      <c r="FR7298"/>
      <c r="FS7298"/>
      <c r="FT7298"/>
      <c r="FU7298"/>
      <c r="FV7298"/>
      <c r="FW7298"/>
      <c r="FX7298"/>
      <c r="FY7298"/>
      <c r="FZ7298"/>
      <c r="GA7298"/>
      <c r="GB7298"/>
      <c r="GC7298"/>
      <c r="GD7298"/>
      <c r="GE7298"/>
      <c r="GF7298"/>
      <c r="GG7298"/>
      <c r="GH7298"/>
      <c r="GI7298"/>
      <c r="GJ7298"/>
      <c r="GK7298"/>
      <c r="GL7298"/>
      <c r="GM7298"/>
      <c r="GN7298"/>
      <c r="GO7298"/>
    </row>
    <row r="7299" spans="107:197">
      <c r="DC7299"/>
      <c r="FH7299"/>
      <c r="FI7299"/>
      <c r="FJ7299"/>
      <c r="FK7299"/>
      <c r="FL7299"/>
      <c r="FM7299"/>
      <c r="FN7299"/>
      <c r="FO7299"/>
      <c r="FP7299"/>
      <c r="FQ7299"/>
      <c r="FR7299"/>
      <c r="FS7299"/>
      <c r="FT7299"/>
      <c r="FU7299"/>
      <c r="FV7299"/>
      <c r="FW7299"/>
      <c r="FX7299"/>
      <c r="FY7299"/>
      <c r="FZ7299"/>
      <c r="GA7299"/>
      <c r="GB7299"/>
      <c r="GC7299"/>
      <c r="GD7299"/>
      <c r="GE7299"/>
      <c r="GF7299"/>
      <c r="GG7299"/>
      <c r="GH7299"/>
      <c r="GI7299"/>
      <c r="GJ7299"/>
      <c r="GK7299"/>
      <c r="GL7299"/>
      <c r="GM7299"/>
      <c r="GN7299"/>
      <c r="GO7299"/>
    </row>
    <row r="7300" spans="107:197">
      <c r="DC7300"/>
      <c r="FH7300"/>
      <c r="FI7300"/>
      <c r="FJ7300"/>
      <c r="FK7300"/>
      <c r="FL7300"/>
      <c r="FM7300"/>
      <c r="FN7300"/>
      <c r="FO7300"/>
      <c r="FP7300"/>
      <c r="FQ7300"/>
      <c r="FR7300"/>
      <c r="FS7300"/>
      <c r="FT7300"/>
      <c r="FU7300"/>
      <c r="FV7300"/>
      <c r="FW7300"/>
      <c r="FX7300"/>
      <c r="FY7300"/>
      <c r="FZ7300"/>
      <c r="GA7300"/>
      <c r="GB7300"/>
      <c r="GC7300"/>
      <c r="GD7300"/>
      <c r="GE7300"/>
      <c r="GF7300"/>
      <c r="GG7300"/>
      <c r="GH7300"/>
      <c r="GI7300"/>
      <c r="GJ7300"/>
      <c r="GK7300"/>
      <c r="GL7300"/>
      <c r="GM7300"/>
      <c r="GN7300"/>
      <c r="GO7300"/>
    </row>
    <row r="7301" spans="107:197">
      <c r="DC7301"/>
      <c r="FH7301"/>
      <c r="FI7301"/>
      <c r="FJ7301"/>
      <c r="FK7301"/>
      <c r="FL7301"/>
      <c r="FM7301"/>
      <c r="FN7301"/>
      <c r="FO7301"/>
      <c r="FP7301"/>
      <c r="FQ7301"/>
      <c r="FR7301"/>
      <c r="FS7301"/>
      <c r="FT7301"/>
      <c r="FU7301"/>
      <c r="FV7301"/>
      <c r="FW7301"/>
      <c r="FX7301"/>
      <c r="FY7301"/>
      <c r="FZ7301"/>
      <c r="GA7301"/>
      <c r="GB7301"/>
      <c r="GC7301"/>
      <c r="GD7301"/>
      <c r="GE7301"/>
      <c r="GF7301"/>
      <c r="GG7301"/>
      <c r="GH7301"/>
      <c r="GI7301"/>
      <c r="GJ7301"/>
      <c r="GK7301"/>
      <c r="GL7301"/>
      <c r="GM7301"/>
      <c r="GN7301"/>
      <c r="GO7301"/>
    </row>
    <row r="7302" spans="107:197">
      <c r="DC7302"/>
      <c r="FH7302"/>
      <c r="FI7302"/>
      <c r="FJ7302"/>
      <c r="FK7302"/>
      <c r="FL7302"/>
      <c r="FM7302"/>
      <c r="FN7302"/>
      <c r="FO7302"/>
      <c r="FP7302"/>
      <c r="FQ7302"/>
      <c r="FR7302"/>
      <c r="FS7302"/>
      <c r="FT7302"/>
      <c r="FU7302"/>
      <c r="FV7302"/>
      <c r="FW7302"/>
      <c r="FX7302"/>
      <c r="FY7302"/>
      <c r="FZ7302"/>
      <c r="GA7302"/>
      <c r="GB7302"/>
      <c r="GC7302"/>
      <c r="GD7302"/>
      <c r="GE7302"/>
      <c r="GF7302"/>
      <c r="GG7302"/>
      <c r="GH7302"/>
      <c r="GI7302"/>
      <c r="GJ7302"/>
      <c r="GK7302"/>
      <c r="GL7302"/>
      <c r="GM7302"/>
      <c r="GN7302"/>
      <c r="GO7302"/>
    </row>
    <row r="7303" spans="107:197">
      <c r="DC7303"/>
      <c r="FH7303"/>
      <c r="FI7303"/>
      <c r="FJ7303"/>
      <c r="FK7303"/>
      <c r="FL7303"/>
      <c r="FM7303"/>
      <c r="FN7303"/>
      <c r="FO7303"/>
      <c r="FP7303"/>
      <c r="FQ7303"/>
      <c r="FR7303"/>
      <c r="FS7303"/>
      <c r="FT7303"/>
      <c r="FU7303"/>
      <c r="FV7303"/>
      <c r="FW7303"/>
      <c r="FX7303"/>
      <c r="FY7303"/>
      <c r="FZ7303"/>
      <c r="GA7303"/>
      <c r="GB7303"/>
      <c r="GC7303"/>
      <c r="GD7303"/>
      <c r="GE7303"/>
      <c r="GF7303"/>
      <c r="GG7303"/>
      <c r="GH7303"/>
      <c r="GI7303"/>
      <c r="GJ7303"/>
      <c r="GK7303"/>
      <c r="GL7303"/>
      <c r="GM7303"/>
      <c r="GN7303"/>
      <c r="GO7303"/>
    </row>
    <row r="7304" spans="107:197">
      <c r="DC7304"/>
      <c r="FH7304"/>
      <c r="FI7304"/>
      <c r="FJ7304"/>
      <c r="FK7304"/>
      <c r="FL7304"/>
      <c r="FM7304"/>
      <c r="FN7304"/>
      <c r="FO7304"/>
      <c r="FP7304"/>
      <c r="FQ7304"/>
      <c r="FR7304"/>
      <c r="FS7304"/>
      <c r="FT7304"/>
      <c r="FU7304"/>
      <c r="FV7304"/>
      <c r="FW7304"/>
      <c r="FX7304"/>
      <c r="FY7304"/>
      <c r="FZ7304"/>
      <c r="GA7304"/>
      <c r="GB7304"/>
      <c r="GC7304"/>
      <c r="GD7304"/>
      <c r="GE7304"/>
      <c r="GF7304"/>
      <c r="GG7304"/>
      <c r="GH7304"/>
      <c r="GI7304"/>
      <c r="GJ7304"/>
      <c r="GK7304"/>
      <c r="GL7304"/>
      <c r="GM7304"/>
      <c r="GN7304"/>
      <c r="GO7304"/>
    </row>
    <row r="7305" spans="107:197">
      <c r="DC7305"/>
      <c r="FH7305"/>
      <c r="FI7305"/>
      <c r="FJ7305"/>
      <c r="FK7305"/>
      <c r="FL7305"/>
      <c r="FM7305"/>
      <c r="FN7305"/>
      <c r="FO7305"/>
      <c r="FP7305"/>
      <c r="FQ7305"/>
      <c r="FR7305"/>
      <c r="FS7305"/>
      <c r="FT7305"/>
      <c r="FU7305"/>
      <c r="FV7305"/>
      <c r="FW7305"/>
      <c r="FX7305"/>
      <c r="FY7305"/>
      <c r="FZ7305"/>
      <c r="GA7305"/>
      <c r="GB7305"/>
      <c r="GC7305"/>
      <c r="GD7305"/>
      <c r="GE7305"/>
      <c r="GF7305"/>
      <c r="GG7305"/>
      <c r="GH7305"/>
      <c r="GI7305"/>
      <c r="GJ7305"/>
      <c r="GK7305"/>
      <c r="GL7305"/>
      <c r="GM7305"/>
      <c r="GN7305"/>
      <c r="GO7305"/>
    </row>
    <row r="7306" spans="107:197">
      <c r="DC7306"/>
      <c r="FH7306"/>
      <c r="FI7306"/>
      <c r="FJ7306"/>
      <c r="FK7306"/>
      <c r="FL7306"/>
      <c r="FM7306"/>
      <c r="FN7306"/>
      <c r="FO7306"/>
      <c r="FP7306"/>
      <c r="FQ7306"/>
      <c r="FR7306"/>
      <c r="FS7306"/>
      <c r="FT7306"/>
      <c r="FU7306"/>
      <c r="FV7306"/>
      <c r="FW7306"/>
      <c r="FX7306"/>
      <c r="FY7306"/>
      <c r="FZ7306"/>
      <c r="GA7306"/>
      <c r="GB7306"/>
      <c r="GC7306"/>
      <c r="GD7306"/>
      <c r="GE7306"/>
      <c r="GF7306"/>
      <c r="GG7306"/>
      <c r="GH7306"/>
      <c r="GI7306"/>
      <c r="GJ7306"/>
      <c r="GK7306"/>
      <c r="GL7306"/>
      <c r="GM7306"/>
      <c r="GN7306"/>
      <c r="GO7306"/>
    </row>
    <row r="7307" spans="107:197">
      <c r="DC7307"/>
      <c r="FH7307"/>
      <c r="FI7307"/>
      <c r="FJ7307"/>
      <c r="FK7307"/>
      <c r="FL7307"/>
      <c r="FM7307"/>
      <c r="FN7307"/>
      <c r="FO7307"/>
      <c r="FP7307"/>
      <c r="FQ7307"/>
      <c r="FR7307"/>
      <c r="FS7307"/>
      <c r="FT7307"/>
      <c r="FU7307"/>
      <c r="FV7307"/>
      <c r="FW7307"/>
      <c r="FX7307"/>
      <c r="FY7307"/>
      <c r="FZ7307"/>
      <c r="GA7307"/>
      <c r="GB7307"/>
      <c r="GC7307"/>
      <c r="GD7307"/>
      <c r="GE7307"/>
      <c r="GF7307"/>
      <c r="GG7307"/>
      <c r="GH7307"/>
      <c r="GI7307"/>
      <c r="GJ7307"/>
      <c r="GK7307"/>
      <c r="GL7307"/>
      <c r="GM7307"/>
      <c r="GN7307"/>
      <c r="GO7307"/>
    </row>
    <row r="7308" spans="107:197">
      <c r="DC7308"/>
      <c r="FH7308"/>
      <c r="FI7308"/>
      <c r="FJ7308"/>
      <c r="FK7308"/>
      <c r="FL7308"/>
      <c r="FM7308"/>
      <c r="FN7308"/>
      <c r="FO7308"/>
      <c r="FP7308"/>
      <c r="FQ7308"/>
      <c r="FR7308"/>
      <c r="FS7308"/>
      <c r="FT7308"/>
      <c r="FU7308"/>
      <c r="FV7308"/>
      <c r="FW7308"/>
      <c r="FX7308"/>
      <c r="FY7308"/>
      <c r="FZ7308"/>
      <c r="GA7308"/>
      <c r="GB7308"/>
      <c r="GC7308"/>
      <c r="GD7308"/>
      <c r="GE7308"/>
      <c r="GF7308"/>
      <c r="GG7308"/>
      <c r="GH7308"/>
      <c r="GI7308"/>
      <c r="GJ7308"/>
      <c r="GK7308"/>
      <c r="GL7308"/>
      <c r="GM7308"/>
      <c r="GN7308"/>
      <c r="GO7308"/>
    </row>
    <row r="7309" spans="107:197">
      <c r="DC7309"/>
      <c r="FH7309"/>
      <c r="FI7309"/>
      <c r="FJ7309"/>
      <c r="FK7309"/>
      <c r="FL7309"/>
      <c r="FM7309"/>
      <c r="FN7309"/>
      <c r="FO7309"/>
      <c r="FP7309"/>
      <c r="FQ7309"/>
      <c r="FR7309"/>
      <c r="FS7309"/>
      <c r="FT7309"/>
      <c r="FU7309"/>
      <c r="FV7309"/>
      <c r="FW7309"/>
      <c r="FX7309"/>
      <c r="FY7309"/>
      <c r="FZ7309"/>
      <c r="GA7309"/>
      <c r="GB7309"/>
      <c r="GC7309"/>
      <c r="GD7309"/>
      <c r="GE7309"/>
      <c r="GF7309"/>
      <c r="GG7309"/>
      <c r="GH7309"/>
      <c r="GI7309"/>
      <c r="GJ7309"/>
      <c r="GK7309"/>
      <c r="GL7309"/>
      <c r="GM7309"/>
      <c r="GN7309"/>
      <c r="GO7309"/>
    </row>
    <row r="7310" spans="107:197">
      <c r="DC7310"/>
      <c r="FH7310"/>
      <c r="FI7310"/>
      <c r="FJ7310"/>
      <c r="FK7310"/>
      <c r="FL7310"/>
      <c r="FM7310"/>
      <c r="FN7310"/>
      <c r="FO7310"/>
      <c r="FP7310"/>
      <c r="FQ7310"/>
      <c r="FR7310"/>
      <c r="FS7310"/>
      <c r="FT7310"/>
      <c r="FU7310"/>
      <c r="FV7310"/>
      <c r="FW7310"/>
      <c r="FX7310"/>
      <c r="FY7310"/>
      <c r="FZ7310"/>
      <c r="GA7310"/>
      <c r="GB7310"/>
      <c r="GC7310"/>
      <c r="GD7310"/>
      <c r="GE7310"/>
      <c r="GF7310"/>
      <c r="GG7310"/>
      <c r="GH7310"/>
      <c r="GI7310"/>
      <c r="GJ7310"/>
      <c r="GK7310"/>
      <c r="GL7310"/>
      <c r="GM7310"/>
      <c r="GN7310"/>
      <c r="GO7310"/>
    </row>
    <row r="7311" spans="107:197">
      <c r="DC7311"/>
      <c r="FH7311"/>
      <c r="FI7311"/>
      <c r="FJ7311"/>
      <c r="FK7311"/>
      <c r="FL7311"/>
      <c r="FM7311"/>
      <c r="FN7311"/>
      <c r="FO7311"/>
      <c r="FP7311"/>
      <c r="FQ7311"/>
      <c r="FR7311"/>
      <c r="FS7311"/>
      <c r="FT7311"/>
      <c r="FU7311"/>
      <c r="FV7311"/>
      <c r="FW7311"/>
      <c r="FX7311"/>
      <c r="FY7311"/>
      <c r="FZ7311"/>
      <c r="GA7311"/>
      <c r="GB7311"/>
      <c r="GC7311"/>
      <c r="GD7311"/>
      <c r="GE7311"/>
      <c r="GF7311"/>
      <c r="GG7311"/>
      <c r="GH7311"/>
      <c r="GI7311"/>
      <c r="GJ7311"/>
      <c r="GK7311"/>
      <c r="GL7311"/>
      <c r="GM7311"/>
      <c r="GN7311"/>
      <c r="GO7311"/>
    </row>
    <row r="7312" spans="107:197">
      <c r="DC7312"/>
      <c r="FH7312"/>
      <c r="FI7312"/>
      <c r="FJ7312"/>
      <c r="FK7312"/>
      <c r="FL7312"/>
      <c r="FM7312"/>
      <c r="FN7312"/>
      <c r="FO7312"/>
      <c r="FP7312"/>
      <c r="FQ7312"/>
      <c r="FR7312"/>
      <c r="FS7312"/>
      <c r="FT7312"/>
      <c r="FU7312"/>
      <c r="FV7312"/>
      <c r="FW7312"/>
      <c r="FX7312"/>
      <c r="FY7312"/>
      <c r="FZ7312"/>
      <c r="GA7312"/>
      <c r="GB7312"/>
      <c r="GC7312"/>
      <c r="GD7312"/>
      <c r="GE7312"/>
      <c r="GF7312"/>
      <c r="GG7312"/>
      <c r="GH7312"/>
      <c r="GI7312"/>
      <c r="GJ7312"/>
      <c r="GK7312"/>
      <c r="GL7312"/>
      <c r="GM7312"/>
      <c r="GN7312"/>
      <c r="GO7312"/>
    </row>
    <row r="7313" spans="107:197">
      <c r="DC7313"/>
      <c r="FH7313"/>
      <c r="FI7313"/>
      <c r="FJ7313"/>
      <c r="FK7313"/>
      <c r="FL7313"/>
      <c r="FM7313"/>
      <c r="FN7313"/>
      <c r="FO7313"/>
      <c r="FP7313"/>
      <c r="FQ7313"/>
      <c r="FR7313"/>
      <c r="FS7313"/>
      <c r="FT7313"/>
      <c r="FU7313"/>
      <c r="FV7313"/>
      <c r="FW7313"/>
      <c r="FX7313"/>
      <c r="FY7313"/>
      <c r="FZ7313"/>
      <c r="GA7313"/>
      <c r="GB7313"/>
      <c r="GC7313"/>
      <c r="GD7313"/>
      <c r="GE7313"/>
      <c r="GF7313"/>
      <c r="GG7313"/>
      <c r="GH7313"/>
      <c r="GI7313"/>
      <c r="GJ7313"/>
      <c r="GK7313"/>
      <c r="GL7313"/>
      <c r="GM7313"/>
      <c r="GN7313"/>
      <c r="GO7313"/>
    </row>
    <row r="7314" spans="107:197">
      <c r="DC7314"/>
      <c r="FH7314"/>
      <c r="FI7314"/>
      <c r="FJ7314"/>
      <c r="FK7314"/>
      <c r="FL7314"/>
      <c r="FM7314"/>
      <c r="FN7314"/>
      <c r="FO7314"/>
      <c r="FP7314"/>
      <c r="FQ7314"/>
      <c r="FR7314"/>
      <c r="FS7314"/>
      <c r="FT7314"/>
      <c r="FU7314"/>
      <c r="FV7314"/>
      <c r="FW7314"/>
      <c r="FX7314"/>
      <c r="FY7314"/>
      <c r="FZ7314"/>
      <c r="GA7314"/>
      <c r="GB7314"/>
      <c r="GC7314"/>
      <c r="GD7314"/>
      <c r="GE7314"/>
      <c r="GF7314"/>
      <c r="GG7314"/>
      <c r="GH7314"/>
      <c r="GI7314"/>
      <c r="GJ7314"/>
      <c r="GK7314"/>
      <c r="GL7314"/>
      <c r="GM7314"/>
      <c r="GN7314"/>
      <c r="GO7314"/>
    </row>
    <row r="7315" spans="107:197">
      <c r="DC7315"/>
      <c r="FH7315"/>
      <c r="FI7315"/>
      <c r="FJ7315"/>
      <c r="FK7315"/>
      <c r="FL7315"/>
      <c r="FM7315"/>
      <c r="FN7315"/>
      <c r="FO7315"/>
      <c r="FP7315"/>
      <c r="FQ7315"/>
      <c r="FR7315"/>
      <c r="FS7315"/>
      <c r="FT7315"/>
      <c r="FU7315"/>
      <c r="FV7315"/>
      <c r="FW7315"/>
      <c r="FX7315"/>
      <c r="FY7315"/>
      <c r="FZ7315"/>
      <c r="GA7315"/>
      <c r="GB7315"/>
      <c r="GC7315"/>
      <c r="GD7315"/>
      <c r="GE7315"/>
      <c r="GF7315"/>
      <c r="GG7315"/>
      <c r="GH7315"/>
      <c r="GI7315"/>
      <c r="GJ7315"/>
      <c r="GK7315"/>
      <c r="GL7315"/>
      <c r="GM7315"/>
      <c r="GN7315"/>
      <c r="GO7315"/>
    </row>
    <row r="7316" spans="107:197">
      <c r="DC7316"/>
      <c r="FH7316"/>
      <c r="FI7316"/>
      <c r="FJ7316"/>
      <c r="FK7316"/>
      <c r="FL7316"/>
      <c r="FM7316"/>
      <c r="FN7316"/>
      <c r="FO7316"/>
      <c r="FP7316"/>
      <c r="FQ7316"/>
      <c r="FR7316"/>
      <c r="FS7316"/>
      <c r="FT7316"/>
      <c r="FU7316"/>
      <c r="FV7316"/>
      <c r="FW7316"/>
      <c r="FX7316"/>
      <c r="FY7316"/>
      <c r="FZ7316"/>
      <c r="GA7316"/>
      <c r="GB7316"/>
      <c r="GC7316"/>
      <c r="GD7316"/>
      <c r="GE7316"/>
      <c r="GF7316"/>
      <c r="GG7316"/>
      <c r="GH7316"/>
      <c r="GI7316"/>
      <c r="GJ7316"/>
      <c r="GK7316"/>
      <c r="GL7316"/>
      <c r="GM7316"/>
      <c r="GN7316"/>
      <c r="GO7316"/>
    </row>
    <row r="7317" spans="107:197">
      <c r="DC7317"/>
      <c r="FH7317"/>
      <c r="FI7317"/>
      <c r="FJ7317"/>
      <c r="FK7317"/>
      <c r="FL7317"/>
      <c r="FM7317"/>
      <c r="FN7317"/>
      <c r="FO7317"/>
      <c r="FP7317"/>
      <c r="FQ7317"/>
      <c r="FR7317"/>
      <c r="FS7317"/>
      <c r="FT7317"/>
      <c r="FU7317"/>
      <c r="FV7317"/>
      <c r="FW7317"/>
      <c r="FX7317"/>
      <c r="FY7317"/>
      <c r="FZ7317"/>
      <c r="GA7317"/>
      <c r="GB7317"/>
      <c r="GC7317"/>
      <c r="GD7317"/>
      <c r="GE7317"/>
      <c r="GF7317"/>
      <c r="GG7317"/>
      <c r="GH7317"/>
      <c r="GI7317"/>
      <c r="GJ7317"/>
      <c r="GK7317"/>
      <c r="GL7317"/>
      <c r="GM7317"/>
      <c r="GN7317"/>
      <c r="GO7317"/>
    </row>
    <row r="7318" spans="107:197">
      <c r="DC7318"/>
      <c r="FH7318"/>
      <c r="FI7318"/>
      <c r="FJ7318"/>
      <c r="FK7318"/>
      <c r="FL7318"/>
      <c r="FM7318"/>
      <c r="FN7318"/>
      <c r="FO7318"/>
      <c r="FP7318"/>
      <c r="FQ7318"/>
      <c r="FR7318"/>
      <c r="FS7318"/>
      <c r="FT7318"/>
      <c r="FU7318"/>
      <c r="FV7318"/>
      <c r="FW7318"/>
      <c r="FX7318"/>
      <c r="FY7318"/>
      <c r="FZ7318"/>
      <c r="GA7318"/>
      <c r="GB7318"/>
      <c r="GC7318"/>
      <c r="GD7318"/>
      <c r="GE7318"/>
      <c r="GF7318"/>
      <c r="GG7318"/>
      <c r="GH7318"/>
      <c r="GI7318"/>
      <c r="GJ7318"/>
      <c r="GK7318"/>
      <c r="GL7318"/>
      <c r="GM7318"/>
      <c r="GN7318"/>
      <c r="GO7318"/>
    </row>
    <row r="7319" spans="107:197">
      <c r="DC7319"/>
      <c r="FH7319"/>
      <c r="FI7319"/>
      <c r="FJ7319"/>
      <c r="FK7319"/>
      <c r="FL7319"/>
      <c r="FM7319"/>
      <c r="FN7319"/>
      <c r="FO7319"/>
      <c r="FP7319"/>
      <c r="FQ7319"/>
      <c r="FR7319"/>
      <c r="FS7319"/>
      <c r="FT7319"/>
      <c r="FU7319"/>
      <c r="FV7319"/>
      <c r="FW7319"/>
      <c r="FX7319"/>
      <c r="FY7319"/>
      <c r="FZ7319"/>
      <c r="GA7319"/>
      <c r="GB7319"/>
      <c r="GC7319"/>
      <c r="GD7319"/>
      <c r="GE7319"/>
      <c r="GF7319"/>
      <c r="GG7319"/>
      <c r="GH7319"/>
      <c r="GI7319"/>
      <c r="GJ7319"/>
      <c r="GK7319"/>
      <c r="GL7319"/>
      <c r="GM7319"/>
      <c r="GN7319"/>
      <c r="GO7319"/>
    </row>
    <row r="7320" spans="107:197">
      <c r="DC7320"/>
      <c r="FH7320"/>
      <c r="FI7320"/>
      <c r="FJ7320"/>
      <c r="FK7320"/>
      <c r="FL7320"/>
      <c r="FM7320"/>
      <c r="FN7320"/>
      <c r="FO7320"/>
      <c r="FP7320"/>
      <c r="FQ7320"/>
      <c r="FR7320"/>
      <c r="FS7320"/>
      <c r="FT7320"/>
      <c r="FU7320"/>
      <c r="FV7320"/>
      <c r="FW7320"/>
      <c r="FX7320"/>
      <c r="FY7320"/>
      <c r="FZ7320"/>
      <c r="GA7320"/>
      <c r="GB7320"/>
      <c r="GC7320"/>
      <c r="GD7320"/>
      <c r="GE7320"/>
      <c r="GF7320"/>
      <c r="GG7320"/>
      <c r="GH7320"/>
      <c r="GI7320"/>
      <c r="GJ7320"/>
      <c r="GK7320"/>
      <c r="GL7320"/>
      <c r="GM7320"/>
      <c r="GN7320"/>
      <c r="GO7320"/>
    </row>
    <row r="7321" spans="107:197">
      <c r="DC7321"/>
      <c r="FH7321"/>
      <c r="FI7321"/>
      <c r="FJ7321"/>
      <c r="FK7321"/>
      <c r="FL7321"/>
      <c r="FM7321"/>
      <c r="FN7321"/>
      <c r="FO7321"/>
      <c r="FP7321"/>
      <c r="FQ7321"/>
      <c r="FR7321"/>
      <c r="FS7321"/>
      <c r="FT7321"/>
      <c r="FU7321"/>
      <c r="FV7321"/>
      <c r="FW7321"/>
      <c r="FX7321"/>
      <c r="FY7321"/>
      <c r="FZ7321"/>
      <c r="GA7321"/>
      <c r="GB7321"/>
      <c r="GC7321"/>
      <c r="GD7321"/>
      <c r="GE7321"/>
      <c r="GF7321"/>
      <c r="GG7321"/>
      <c r="GH7321"/>
      <c r="GI7321"/>
      <c r="GJ7321"/>
      <c r="GK7321"/>
      <c r="GL7321"/>
      <c r="GM7321"/>
      <c r="GN7321"/>
      <c r="GO7321"/>
    </row>
    <row r="7322" spans="107:197">
      <c r="DC7322"/>
      <c r="FH7322"/>
      <c r="FI7322"/>
      <c r="FJ7322"/>
      <c r="FK7322"/>
      <c r="FL7322"/>
      <c r="FM7322"/>
      <c r="FN7322"/>
      <c r="FO7322"/>
      <c r="FP7322"/>
      <c r="FQ7322"/>
      <c r="FR7322"/>
      <c r="FS7322"/>
      <c r="FT7322"/>
      <c r="FU7322"/>
      <c r="FV7322"/>
      <c r="FW7322"/>
      <c r="FX7322"/>
      <c r="FY7322"/>
      <c r="FZ7322"/>
      <c r="GA7322"/>
      <c r="GB7322"/>
      <c r="GC7322"/>
      <c r="GD7322"/>
      <c r="GE7322"/>
      <c r="GF7322"/>
      <c r="GG7322"/>
      <c r="GH7322"/>
      <c r="GI7322"/>
      <c r="GJ7322"/>
      <c r="GK7322"/>
      <c r="GL7322"/>
      <c r="GM7322"/>
      <c r="GN7322"/>
      <c r="GO7322"/>
    </row>
    <row r="7323" spans="107:197">
      <c r="DC7323"/>
      <c r="FH7323"/>
      <c r="FI7323"/>
      <c r="FJ7323"/>
      <c r="FK7323"/>
      <c r="FL7323"/>
      <c r="FM7323"/>
      <c r="FN7323"/>
      <c r="FO7323"/>
      <c r="FP7323"/>
      <c r="FQ7323"/>
      <c r="FR7323"/>
      <c r="FS7323"/>
      <c r="FT7323"/>
      <c r="FU7323"/>
      <c r="FV7323"/>
      <c r="FW7323"/>
      <c r="FX7323"/>
      <c r="FY7323"/>
      <c r="FZ7323"/>
      <c r="GA7323"/>
      <c r="GB7323"/>
      <c r="GC7323"/>
      <c r="GD7323"/>
      <c r="GE7323"/>
      <c r="GF7323"/>
      <c r="GG7323"/>
      <c r="GH7323"/>
      <c r="GI7323"/>
      <c r="GJ7323"/>
      <c r="GK7323"/>
      <c r="GL7323"/>
      <c r="GM7323"/>
      <c r="GN7323"/>
      <c r="GO7323"/>
    </row>
    <row r="7324" spans="107:197">
      <c r="DC7324"/>
      <c r="FH7324"/>
      <c r="FI7324"/>
      <c r="FJ7324"/>
      <c r="FK7324"/>
      <c r="FL7324"/>
      <c r="FM7324"/>
      <c r="FN7324"/>
      <c r="FO7324"/>
      <c r="FP7324"/>
      <c r="FQ7324"/>
      <c r="FR7324"/>
      <c r="FS7324"/>
      <c r="FT7324"/>
      <c r="FU7324"/>
      <c r="FV7324"/>
      <c r="FW7324"/>
      <c r="FX7324"/>
      <c r="FY7324"/>
      <c r="FZ7324"/>
      <c r="GA7324"/>
      <c r="GB7324"/>
      <c r="GC7324"/>
      <c r="GD7324"/>
      <c r="GE7324"/>
      <c r="GF7324"/>
      <c r="GG7324"/>
      <c r="GH7324"/>
      <c r="GI7324"/>
      <c r="GJ7324"/>
      <c r="GK7324"/>
      <c r="GL7324"/>
      <c r="GM7324"/>
      <c r="GN7324"/>
      <c r="GO7324"/>
    </row>
    <row r="7325" spans="107:197">
      <c r="DC7325"/>
      <c r="FH7325"/>
      <c r="FI7325"/>
      <c r="FJ7325"/>
      <c r="FK7325"/>
      <c r="FL7325"/>
      <c r="FM7325"/>
      <c r="FN7325"/>
      <c r="FO7325"/>
      <c r="FP7325"/>
      <c r="FQ7325"/>
      <c r="FR7325"/>
      <c r="FS7325"/>
      <c r="FT7325"/>
      <c r="FU7325"/>
      <c r="FV7325"/>
      <c r="FW7325"/>
      <c r="FX7325"/>
      <c r="FY7325"/>
      <c r="FZ7325"/>
      <c r="GA7325"/>
      <c r="GB7325"/>
      <c r="GC7325"/>
      <c r="GD7325"/>
      <c r="GE7325"/>
      <c r="GF7325"/>
      <c r="GG7325"/>
      <c r="GH7325"/>
      <c r="GI7325"/>
      <c r="GJ7325"/>
      <c r="GK7325"/>
      <c r="GL7325"/>
      <c r="GM7325"/>
      <c r="GN7325"/>
      <c r="GO7325"/>
    </row>
    <row r="7326" spans="107:197">
      <c r="DC7326"/>
      <c r="FH7326"/>
      <c r="FI7326"/>
      <c r="FJ7326"/>
      <c r="FK7326"/>
      <c r="FL7326"/>
      <c r="FM7326"/>
      <c r="FN7326"/>
      <c r="FO7326"/>
      <c r="FP7326"/>
      <c r="FQ7326"/>
      <c r="FR7326"/>
      <c r="FS7326"/>
      <c r="FT7326"/>
      <c r="FU7326"/>
      <c r="FV7326"/>
      <c r="FW7326"/>
      <c r="FX7326"/>
      <c r="FY7326"/>
      <c r="FZ7326"/>
      <c r="GA7326"/>
      <c r="GB7326"/>
      <c r="GC7326"/>
      <c r="GD7326"/>
      <c r="GE7326"/>
      <c r="GF7326"/>
      <c r="GG7326"/>
      <c r="GH7326"/>
      <c r="GI7326"/>
      <c r="GJ7326"/>
      <c r="GK7326"/>
      <c r="GL7326"/>
      <c r="GM7326"/>
      <c r="GN7326"/>
      <c r="GO7326"/>
    </row>
    <row r="7327" spans="107:197">
      <c r="DC7327"/>
      <c r="FH7327"/>
      <c r="FI7327"/>
      <c r="FJ7327"/>
      <c r="FK7327"/>
      <c r="FL7327"/>
      <c r="FM7327"/>
      <c r="FN7327"/>
      <c r="FO7327"/>
      <c r="FP7327"/>
      <c r="FQ7327"/>
      <c r="FR7327"/>
      <c r="FS7327"/>
      <c r="FT7327"/>
      <c r="FU7327"/>
      <c r="FV7327"/>
      <c r="FW7327"/>
      <c r="FX7327"/>
      <c r="FY7327"/>
      <c r="FZ7327"/>
      <c r="GA7327"/>
      <c r="GB7327"/>
      <c r="GC7327"/>
      <c r="GD7327"/>
      <c r="GE7327"/>
      <c r="GF7327"/>
      <c r="GG7327"/>
      <c r="GH7327"/>
      <c r="GI7327"/>
      <c r="GJ7327"/>
      <c r="GK7327"/>
      <c r="GL7327"/>
      <c r="GM7327"/>
      <c r="GN7327"/>
      <c r="GO7327"/>
    </row>
    <row r="7328" spans="107:197">
      <c r="DC7328"/>
      <c r="FH7328"/>
      <c r="FI7328"/>
      <c r="FJ7328"/>
      <c r="FK7328"/>
      <c r="FL7328"/>
      <c r="FM7328"/>
      <c r="FN7328"/>
      <c r="FO7328"/>
      <c r="FP7328"/>
      <c r="FQ7328"/>
      <c r="FR7328"/>
      <c r="FS7328"/>
      <c r="FT7328"/>
      <c r="FU7328"/>
      <c r="FV7328"/>
      <c r="FW7328"/>
      <c r="FX7328"/>
      <c r="FY7328"/>
      <c r="FZ7328"/>
      <c r="GA7328"/>
      <c r="GB7328"/>
      <c r="GC7328"/>
      <c r="GD7328"/>
      <c r="GE7328"/>
      <c r="GF7328"/>
      <c r="GG7328"/>
      <c r="GH7328"/>
      <c r="GI7328"/>
      <c r="GJ7328"/>
      <c r="GK7328"/>
      <c r="GL7328"/>
      <c r="GM7328"/>
      <c r="GN7328"/>
      <c r="GO7328"/>
    </row>
    <row r="7329" spans="107:197">
      <c r="DC7329"/>
      <c r="FH7329"/>
      <c r="FI7329"/>
      <c r="FJ7329"/>
      <c r="FK7329"/>
      <c r="FL7329"/>
      <c r="FM7329"/>
      <c r="FN7329"/>
      <c r="FO7329"/>
      <c r="FP7329"/>
      <c r="FQ7329"/>
      <c r="FR7329"/>
      <c r="FS7329"/>
      <c r="FT7329"/>
      <c r="FU7329"/>
      <c r="FV7329"/>
      <c r="FW7329"/>
      <c r="FX7329"/>
      <c r="FY7329"/>
      <c r="FZ7329"/>
      <c r="GA7329"/>
      <c r="GB7329"/>
      <c r="GC7329"/>
      <c r="GD7329"/>
      <c r="GE7329"/>
      <c r="GF7329"/>
      <c r="GG7329"/>
      <c r="GH7329"/>
      <c r="GI7329"/>
      <c r="GJ7329"/>
      <c r="GK7329"/>
      <c r="GL7329"/>
      <c r="GM7329"/>
      <c r="GN7329"/>
      <c r="GO7329"/>
    </row>
    <row r="7330" spans="107:197">
      <c r="DC7330"/>
      <c r="FH7330"/>
      <c r="FI7330"/>
      <c r="FJ7330"/>
      <c r="FK7330"/>
      <c r="FL7330"/>
      <c r="FM7330"/>
      <c r="FN7330"/>
      <c r="FO7330"/>
      <c r="FP7330"/>
      <c r="FQ7330"/>
      <c r="FR7330"/>
      <c r="FS7330"/>
      <c r="FT7330"/>
      <c r="FU7330"/>
      <c r="FV7330"/>
      <c r="FW7330"/>
      <c r="FX7330"/>
      <c r="FY7330"/>
      <c r="FZ7330"/>
      <c r="GA7330"/>
      <c r="GB7330"/>
      <c r="GC7330"/>
      <c r="GD7330"/>
      <c r="GE7330"/>
      <c r="GF7330"/>
      <c r="GG7330"/>
      <c r="GH7330"/>
      <c r="GI7330"/>
      <c r="GJ7330"/>
      <c r="GK7330"/>
      <c r="GL7330"/>
      <c r="GM7330"/>
      <c r="GN7330"/>
      <c r="GO7330"/>
    </row>
    <row r="7331" spans="107:197">
      <c r="DC7331"/>
      <c r="FH7331"/>
      <c r="FI7331"/>
      <c r="FJ7331"/>
      <c r="FK7331"/>
      <c r="FL7331"/>
      <c r="FM7331"/>
      <c r="FN7331"/>
      <c r="FO7331"/>
      <c r="FP7331"/>
      <c r="FQ7331"/>
      <c r="FR7331"/>
      <c r="FS7331"/>
      <c r="FT7331"/>
      <c r="FU7331"/>
      <c r="FV7331"/>
      <c r="FW7331"/>
      <c r="FX7331"/>
      <c r="FY7331"/>
      <c r="FZ7331"/>
      <c r="GA7331"/>
      <c r="GB7331"/>
      <c r="GC7331"/>
      <c r="GD7331"/>
      <c r="GE7331"/>
      <c r="GF7331"/>
      <c r="GG7331"/>
      <c r="GH7331"/>
      <c r="GI7331"/>
      <c r="GJ7331"/>
      <c r="GK7331"/>
      <c r="GL7331"/>
      <c r="GM7331"/>
      <c r="GN7331"/>
      <c r="GO7331"/>
    </row>
    <row r="7332" spans="107:197">
      <c r="DC7332"/>
      <c r="FH7332"/>
      <c r="FI7332"/>
      <c r="FJ7332"/>
      <c r="FK7332"/>
      <c r="FL7332"/>
      <c r="FM7332"/>
      <c r="FN7332"/>
      <c r="FO7332"/>
      <c r="FP7332"/>
      <c r="FQ7332"/>
      <c r="FR7332"/>
      <c r="FS7332"/>
      <c r="FT7332"/>
      <c r="FU7332"/>
      <c r="FV7332"/>
      <c r="FW7332"/>
      <c r="FX7332"/>
      <c r="FY7332"/>
      <c r="FZ7332"/>
      <c r="GA7332"/>
      <c r="GB7332"/>
      <c r="GC7332"/>
      <c r="GD7332"/>
      <c r="GE7332"/>
      <c r="GF7332"/>
      <c r="GG7332"/>
      <c r="GH7332"/>
      <c r="GI7332"/>
      <c r="GJ7332"/>
      <c r="GK7332"/>
      <c r="GL7332"/>
      <c r="GM7332"/>
      <c r="GN7332"/>
      <c r="GO7332"/>
    </row>
    <row r="7333" spans="107:197">
      <c r="DC7333"/>
      <c r="FH7333"/>
      <c r="FI7333"/>
      <c r="FJ7333"/>
      <c r="FK7333"/>
      <c r="FL7333"/>
      <c r="FM7333"/>
      <c r="FN7333"/>
      <c r="FO7333"/>
      <c r="FP7333"/>
      <c r="FQ7333"/>
      <c r="FR7333"/>
      <c r="FS7333"/>
      <c r="FT7333"/>
      <c r="FU7333"/>
      <c r="FV7333"/>
      <c r="FW7333"/>
      <c r="FX7333"/>
      <c r="FY7333"/>
      <c r="FZ7333"/>
      <c r="GA7333"/>
      <c r="GB7333"/>
      <c r="GC7333"/>
      <c r="GD7333"/>
      <c r="GE7333"/>
      <c r="GF7333"/>
      <c r="GG7333"/>
      <c r="GH7333"/>
      <c r="GI7333"/>
      <c r="GJ7333"/>
      <c r="GK7333"/>
      <c r="GL7333"/>
      <c r="GM7333"/>
      <c r="GN7333"/>
      <c r="GO7333"/>
    </row>
    <row r="7334" spans="107:197">
      <c r="DC7334"/>
      <c r="FH7334"/>
      <c r="FI7334"/>
      <c r="FJ7334"/>
      <c r="FK7334"/>
      <c r="FL7334"/>
      <c r="FM7334"/>
      <c r="FN7334"/>
      <c r="FO7334"/>
      <c r="FP7334"/>
      <c r="FQ7334"/>
      <c r="FR7334"/>
      <c r="FS7334"/>
      <c r="FT7334"/>
      <c r="FU7334"/>
      <c r="FV7334"/>
      <c r="FW7334"/>
      <c r="FX7334"/>
      <c r="FY7334"/>
      <c r="FZ7334"/>
      <c r="GA7334"/>
      <c r="GB7334"/>
      <c r="GC7334"/>
      <c r="GD7334"/>
      <c r="GE7334"/>
      <c r="GF7334"/>
      <c r="GG7334"/>
      <c r="GH7334"/>
      <c r="GI7334"/>
      <c r="GJ7334"/>
      <c r="GK7334"/>
      <c r="GL7334"/>
      <c r="GM7334"/>
      <c r="GN7334"/>
      <c r="GO7334"/>
    </row>
    <row r="7335" spans="107:197">
      <c r="DC7335"/>
      <c r="FH7335"/>
      <c r="FI7335"/>
      <c r="FJ7335"/>
      <c r="FK7335"/>
      <c r="FL7335"/>
      <c r="FM7335"/>
      <c r="FN7335"/>
      <c r="FO7335"/>
      <c r="FP7335"/>
      <c r="FQ7335"/>
      <c r="FR7335"/>
      <c r="FS7335"/>
      <c r="FT7335"/>
      <c r="FU7335"/>
      <c r="FV7335"/>
      <c r="FW7335"/>
      <c r="FX7335"/>
      <c r="FY7335"/>
      <c r="FZ7335"/>
      <c r="GA7335"/>
      <c r="GB7335"/>
      <c r="GC7335"/>
      <c r="GD7335"/>
      <c r="GE7335"/>
      <c r="GF7335"/>
      <c r="GG7335"/>
      <c r="GH7335"/>
      <c r="GI7335"/>
      <c r="GJ7335"/>
      <c r="GK7335"/>
      <c r="GL7335"/>
      <c r="GM7335"/>
      <c r="GN7335"/>
      <c r="GO7335"/>
    </row>
    <row r="7336" spans="107:197">
      <c r="DC7336"/>
      <c r="FH7336"/>
      <c r="FI7336"/>
      <c r="FJ7336"/>
      <c r="FK7336"/>
      <c r="FL7336"/>
      <c r="FM7336"/>
      <c r="FN7336"/>
      <c r="FO7336"/>
      <c r="FP7336"/>
      <c r="FQ7336"/>
      <c r="FR7336"/>
      <c r="FS7336"/>
      <c r="FT7336"/>
      <c r="FU7336"/>
      <c r="FV7336"/>
      <c r="FW7336"/>
      <c r="FX7336"/>
      <c r="FY7336"/>
      <c r="FZ7336"/>
      <c r="GA7336"/>
      <c r="GB7336"/>
      <c r="GC7336"/>
      <c r="GD7336"/>
      <c r="GE7336"/>
      <c r="GF7336"/>
      <c r="GG7336"/>
      <c r="GH7336"/>
      <c r="GI7336"/>
      <c r="GJ7336"/>
      <c r="GK7336"/>
      <c r="GL7336"/>
      <c r="GM7336"/>
      <c r="GN7336"/>
      <c r="GO7336"/>
    </row>
    <row r="7337" spans="107:197">
      <c r="DC7337"/>
      <c r="FH7337"/>
      <c r="FI7337"/>
      <c r="FJ7337"/>
      <c r="FK7337"/>
      <c r="FL7337"/>
      <c r="FM7337"/>
      <c r="FN7337"/>
      <c r="FO7337"/>
      <c r="FP7337"/>
      <c r="FQ7337"/>
      <c r="FR7337"/>
      <c r="FS7337"/>
      <c r="FT7337"/>
      <c r="FU7337"/>
      <c r="FV7337"/>
      <c r="FW7337"/>
      <c r="FX7337"/>
      <c r="FY7337"/>
      <c r="FZ7337"/>
      <c r="GA7337"/>
      <c r="GB7337"/>
      <c r="GC7337"/>
      <c r="GD7337"/>
      <c r="GE7337"/>
      <c r="GF7337"/>
      <c r="GG7337"/>
      <c r="GH7337"/>
      <c r="GI7337"/>
      <c r="GJ7337"/>
      <c r="GK7337"/>
      <c r="GL7337"/>
      <c r="GM7337"/>
      <c r="GN7337"/>
      <c r="GO7337"/>
    </row>
    <row r="7338" spans="107:197">
      <c r="DC7338"/>
      <c r="FH7338"/>
      <c r="FI7338"/>
      <c r="FJ7338"/>
      <c r="FK7338"/>
      <c r="FL7338"/>
      <c r="FM7338"/>
      <c r="FN7338"/>
      <c r="FO7338"/>
      <c r="FP7338"/>
      <c r="FQ7338"/>
      <c r="FR7338"/>
      <c r="FS7338"/>
      <c r="FT7338"/>
      <c r="FU7338"/>
      <c r="FV7338"/>
      <c r="FW7338"/>
      <c r="FX7338"/>
      <c r="FY7338"/>
      <c r="FZ7338"/>
      <c r="GA7338"/>
      <c r="GB7338"/>
      <c r="GC7338"/>
      <c r="GD7338"/>
      <c r="GE7338"/>
      <c r="GF7338"/>
      <c r="GG7338"/>
      <c r="GH7338"/>
      <c r="GI7338"/>
      <c r="GJ7338"/>
      <c r="GK7338"/>
      <c r="GL7338"/>
      <c r="GM7338"/>
      <c r="GN7338"/>
      <c r="GO7338"/>
    </row>
    <row r="7339" spans="107:197">
      <c r="DC7339"/>
      <c r="FH7339"/>
      <c r="FI7339"/>
      <c r="FJ7339"/>
      <c r="FK7339"/>
      <c r="FL7339"/>
      <c r="FM7339"/>
      <c r="FN7339"/>
      <c r="FO7339"/>
      <c r="FP7339"/>
      <c r="FQ7339"/>
      <c r="FR7339"/>
      <c r="FS7339"/>
      <c r="FT7339"/>
      <c r="FU7339"/>
      <c r="FV7339"/>
      <c r="FW7339"/>
      <c r="FX7339"/>
      <c r="FY7339"/>
      <c r="FZ7339"/>
      <c r="GA7339"/>
      <c r="GB7339"/>
      <c r="GC7339"/>
      <c r="GD7339"/>
      <c r="GE7339"/>
      <c r="GF7339"/>
      <c r="GG7339"/>
      <c r="GH7339"/>
      <c r="GI7339"/>
      <c r="GJ7339"/>
      <c r="GK7339"/>
      <c r="GL7339"/>
      <c r="GM7339"/>
      <c r="GN7339"/>
      <c r="GO7339"/>
    </row>
    <row r="7340" spans="107:197">
      <c r="DC7340"/>
      <c r="FH7340"/>
      <c r="FI7340"/>
      <c r="FJ7340"/>
      <c r="FK7340"/>
      <c r="FL7340"/>
      <c r="FM7340"/>
      <c r="FN7340"/>
      <c r="FO7340"/>
      <c r="FP7340"/>
      <c r="FQ7340"/>
      <c r="FR7340"/>
      <c r="FS7340"/>
      <c r="FT7340"/>
      <c r="FU7340"/>
      <c r="FV7340"/>
      <c r="FW7340"/>
      <c r="FX7340"/>
      <c r="FY7340"/>
      <c r="FZ7340"/>
      <c r="GA7340"/>
      <c r="GB7340"/>
      <c r="GC7340"/>
      <c r="GD7340"/>
      <c r="GE7340"/>
      <c r="GF7340"/>
      <c r="GG7340"/>
      <c r="GH7340"/>
      <c r="GI7340"/>
      <c r="GJ7340"/>
      <c r="GK7340"/>
      <c r="GL7340"/>
      <c r="GM7340"/>
      <c r="GN7340"/>
      <c r="GO7340"/>
    </row>
    <row r="7341" spans="107:197">
      <c r="DC7341"/>
      <c r="FH7341"/>
      <c r="FI7341"/>
      <c r="FJ7341"/>
      <c r="FK7341"/>
      <c r="FL7341"/>
      <c r="FM7341"/>
      <c r="FN7341"/>
      <c r="FO7341"/>
      <c r="FP7341"/>
      <c r="FQ7341"/>
      <c r="FR7341"/>
      <c r="FS7341"/>
      <c r="FT7341"/>
      <c r="FU7341"/>
      <c r="FV7341"/>
      <c r="FW7341"/>
      <c r="FX7341"/>
      <c r="FY7341"/>
      <c r="FZ7341"/>
      <c r="GA7341"/>
      <c r="GB7341"/>
      <c r="GC7341"/>
      <c r="GD7341"/>
      <c r="GE7341"/>
      <c r="GF7341"/>
      <c r="GG7341"/>
      <c r="GH7341"/>
      <c r="GI7341"/>
      <c r="GJ7341"/>
      <c r="GK7341"/>
      <c r="GL7341"/>
      <c r="GM7341"/>
      <c r="GN7341"/>
      <c r="GO7341"/>
    </row>
    <row r="7342" spans="107:197">
      <c r="DC7342"/>
      <c r="FH7342"/>
      <c r="FI7342"/>
      <c r="FJ7342"/>
      <c r="FK7342"/>
      <c r="FL7342"/>
      <c r="FM7342"/>
      <c r="FN7342"/>
      <c r="FO7342"/>
      <c r="FP7342"/>
      <c r="FQ7342"/>
      <c r="FR7342"/>
      <c r="FS7342"/>
      <c r="FT7342"/>
      <c r="FU7342"/>
      <c r="FV7342"/>
      <c r="FW7342"/>
      <c r="FX7342"/>
      <c r="FY7342"/>
      <c r="FZ7342"/>
      <c r="GA7342"/>
      <c r="GB7342"/>
      <c r="GC7342"/>
      <c r="GD7342"/>
      <c r="GE7342"/>
      <c r="GF7342"/>
      <c r="GG7342"/>
      <c r="GH7342"/>
      <c r="GI7342"/>
      <c r="GJ7342"/>
      <c r="GK7342"/>
      <c r="GL7342"/>
      <c r="GM7342"/>
      <c r="GN7342"/>
      <c r="GO7342"/>
    </row>
    <row r="7343" spans="107:197">
      <c r="DC7343"/>
      <c r="FH7343"/>
      <c r="FI7343"/>
      <c r="FJ7343"/>
      <c r="FK7343"/>
      <c r="FL7343"/>
      <c r="FM7343"/>
      <c r="FN7343"/>
      <c r="FO7343"/>
      <c r="FP7343"/>
      <c r="FQ7343"/>
      <c r="FR7343"/>
      <c r="FS7343"/>
      <c r="FT7343"/>
      <c r="FU7343"/>
      <c r="FV7343"/>
      <c r="FW7343"/>
      <c r="FX7343"/>
      <c r="FY7343"/>
      <c r="FZ7343"/>
      <c r="GA7343"/>
      <c r="GB7343"/>
      <c r="GC7343"/>
      <c r="GD7343"/>
      <c r="GE7343"/>
      <c r="GF7343"/>
      <c r="GG7343"/>
      <c r="GH7343"/>
      <c r="GI7343"/>
      <c r="GJ7343"/>
      <c r="GK7343"/>
      <c r="GL7343"/>
      <c r="GM7343"/>
      <c r="GN7343"/>
      <c r="GO7343"/>
    </row>
    <row r="7344" spans="107:197">
      <c r="DC7344"/>
      <c r="FH7344"/>
      <c r="FI7344"/>
      <c r="FJ7344"/>
      <c r="FK7344"/>
      <c r="FL7344"/>
      <c r="FM7344"/>
      <c r="FN7344"/>
      <c r="FO7344"/>
      <c r="FP7344"/>
      <c r="FQ7344"/>
      <c r="FR7344"/>
      <c r="FS7344"/>
      <c r="FT7344"/>
      <c r="FU7344"/>
      <c r="FV7344"/>
      <c r="FW7344"/>
      <c r="FX7344"/>
      <c r="FY7344"/>
      <c r="FZ7344"/>
      <c r="GA7344"/>
      <c r="GB7344"/>
      <c r="GC7344"/>
      <c r="GD7344"/>
      <c r="GE7344"/>
      <c r="GF7344"/>
      <c r="GG7344"/>
      <c r="GH7344"/>
      <c r="GI7344"/>
      <c r="GJ7344"/>
      <c r="GK7344"/>
      <c r="GL7344"/>
      <c r="GM7344"/>
      <c r="GN7344"/>
      <c r="GO7344"/>
    </row>
    <row r="7345" spans="107:197">
      <c r="DC7345"/>
      <c r="FH7345"/>
      <c r="FI7345"/>
      <c r="FJ7345"/>
      <c r="FK7345"/>
      <c r="FL7345"/>
      <c r="FM7345"/>
      <c r="FN7345"/>
      <c r="FO7345"/>
      <c r="FP7345"/>
      <c r="FQ7345"/>
      <c r="FR7345"/>
      <c r="FS7345"/>
      <c r="FT7345"/>
      <c r="FU7345"/>
      <c r="FV7345"/>
      <c r="FW7345"/>
      <c r="FX7345"/>
      <c r="FY7345"/>
      <c r="FZ7345"/>
      <c r="GA7345"/>
      <c r="GB7345"/>
      <c r="GC7345"/>
      <c r="GD7345"/>
      <c r="GE7345"/>
      <c r="GF7345"/>
      <c r="GG7345"/>
      <c r="GH7345"/>
      <c r="GI7345"/>
      <c r="GJ7345"/>
      <c r="GK7345"/>
      <c r="GL7345"/>
      <c r="GM7345"/>
      <c r="GN7345"/>
      <c r="GO7345"/>
    </row>
    <row r="7346" spans="107:197">
      <c r="DC7346"/>
      <c r="FH7346"/>
      <c r="FI7346"/>
      <c r="FJ7346"/>
      <c r="FK7346"/>
      <c r="FL7346"/>
      <c r="FM7346"/>
      <c r="FN7346"/>
      <c r="FO7346"/>
      <c r="FP7346"/>
      <c r="FQ7346"/>
      <c r="FR7346"/>
      <c r="FS7346"/>
      <c r="FT7346"/>
      <c r="FU7346"/>
      <c r="FV7346"/>
      <c r="FW7346"/>
      <c r="FX7346"/>
      <c r="FY7346"/>
      <c r="FZ7346"/>
      <c r="GA7346"/>
      <c r="GB7346"/>
      <c r="GC7346"/>
      <c r="GD7346"/>
      <c r="GE7346"/>
      <c r="GF7346"/>
      <c r="GG7346"/>
      <c r="GH7346"/>
      <c r="GI7346"/>
      <c r="GJ7346"/>
      <c r="GK7346"/>
      <c r="GL7346"/>
      <c r="GM7346"/>
      <c r="GN7346"/>
      <c r="GO7346"/>
    </row>
    <row r="7347" spans="107:197">
      <c r="DC7347"/>
      <c r="FH7347"/>
      <c r="FI7347"/>
      <c r="FJ7347"/>
      <c r="FK7347"/>
      <c r="FL7347"/>
      <c r="FM7347"/>
      <c r="FN7347"/>
      <c r="FO7347"/>
      <c r="FP7347"/>
      <c r="FQ7347"/>
      <c r="FR7347"/>
      <c r="FS7347"/>
      <c r="FT7347"/>
      <c r="FU7347"/>
      <c r="FV7347"/>
      <c r="FW7347"/>
      <c r="FX7347"/>
      <c r="FY7347"/>
      <c r="FZ7347"/>
      <c r="GA7347"/>
      <c r="GB7347"/>
      <c r="GC7347"/>
      <c r="GD7347"/>
      <c r="GE7347"/>
      <c r="GF7347"/>
      <c r="GG7347"/>
      <c r="GH7347"/>
      <c r="GI7347"/>
      <c r="GJ7347"/>
      <c r="GK7347"/>
      <c r="GL7347"/>
      <c r="GM7347"/>
      <c r="GN7347"/>
      <c r="GO7347"/>
    </row>
    <row r="7348" spans="107:197">
      <c r="DC7348"/>
      <c r="FH7348"/>
      <c r="FI7348"/>
      <c r="FJ7348"/>
      <c r="FK7348"/>
      <c r="FL7348"/>
      <c r="FM7348"/>
      <c r="FN7348"/>
      <c r="FO7348"/>
      <c r="FP7348"/>
      <c r="FQ7348"/>
      <c r="FR7348"/>
      <c r="FS7348"/>
      <c r="FT7348"/>
      <c r="FU7348"/>
      <c r="FV7348"/>
      <c r="FW7348"/>
      <c r="FX7348"/>
      <c r="FY7348"/>
      <c r="FZ7348"/>
      <c r="GA7348"/>
      <c r="GB7348"/>
      <c r="GC7348"/>
      <c r="GD7348"/>
      <c r="GE7348"/>
      <c r="GF7348"/>
      <c r="GG7348"/>
      <c r="GH7348"/>
      <c r="GI7348"/>
      <c r="GJ7348"/>
      <c r="GK7348"/>
      <c r="GL7348"/>
      <c r="GM7348"/>
      <c r="GN7348"/>
      <c r="GO7348"/>
    </row>
    <row r="7349" spans="107:197">
      <c r="DC7349"/>
      <c r="FH7349"/>
      <c r="FI7349"/>
      <c r="FJ7349"/>
      <c r="FK7349"/>
      <c r="FL7349"/>
      <c r="FM7349"/>
      <c r="FN7349"/>
      <c r="FO7349"/>
      <c r="FP7349"/>
      <c r="FQ7349"/>
      <c r="FR7349"/>
      <c r="FS7349"/>
      <c r="FT7349"/>
      <c r="FU7349"/>
      <c r="FV7349"/>
      <c r="FW7349"/>
      <c r="FX7349"/>
      <c r="FY7349"/>
      <c r="FZ7349"/>
      <c r="GA7349"/>
      <c r="GB7349"/>
      <c r="GC7349"/>
      <c r="GD7349"/>
      <c r="GE7349"/>
      <c r="GF7349"/>
      <c r="GG7349"/>
      <c r="GH7349"/>
      <c r="GI7349"/>
      <c r="GJ7349"/>
      <c r="GK7349"/>
      <c r="GL7349"/>
      <c r="GM7349"/>
      <c r="GN7349"/>
      <c r="GO7349"/>
    </row>
    <row r="7350" spans="107:197">
      <c r="DC7350"/>
      <c r="FH7350"/>
      <c r="FI7350"/>
      <c r="FJ7350"/>
      <c r="FK7350"/>
      <c r="FL7350"/>
      <c r="FM7350"/>
      <c r="FN7350"/>
      <c r="FO7350"/>
      <c r="FP7350"/>
      <c r="FQ7350"/>
      <c r="FR7350"/>
      <c r="FS7350"/>
      <c r="FT7350"/>
      <c r="FU7350"/>
      <c r="FV7350"/>
      <c r="FW7350"/>
      <c r="FX7350"/>
      <c r="FY7350"/>
      <c r="FZ7350"/>
      <c r="GA7350"/>
      <c r="GB7350"/>
      <c r="GC7350"/>
      <c r="GD7350"/>
      <c r="GE7350"/>
      <c r="GF7350"/>
      <c r="GG7350"/>
      <c r="GH7350"/>
      <c r="GI7350"/>
      <c r="GJ7350"/>
      <c r="GK7350"/>
      <c r="GL7350"/>
      <c r="GM7350"/>
      <c r="GN7350"/>
      <c r="GO7350"/>
    </row>
    <row r="7351" spans="107:197">
      <c r="DC7351"/>
      <c r="FH7351"/>
      <c r="FI7351"/>
      <c r="FJ7351"/>
      <c r="FK7351"/>
      <c r="FL7351"/>
      <c r="FM7351"/>
      <c r="FN7351"/>
      <c r="FO7351"/>
      <c r="FP7351"/>
      <c r="FQ7351"/>
      <c r="FR7351"/>
      <c r="FS7351"/>
      <c r="FT7351"/>
      <c r="FU7351"/>
      <c r="FV7351"/>
      <c r="FW7351"/>
      <c r="FX7351"/>
      <c r="FY7351"/>
      <c r="FZ7351"/>
      <c r="GA7351"/>
      <c r="GB7351"/>
      <c r="GC7351"/>
      <c r="GD7351"/>
      <c r="GE7351"/>
      <c r="GF7351"/>
      <c r="GG7351"/>
      <c r="GH7351"/>
      <c r="GI7351"/>
      <c r="GJ7351"/>
      <c r="GK7351"/>
      <c r="GL7351"/>
      <c r="GM7351"/>
      <c r="GN7351"/>
      <c r="GO7351"/>
    </row>
    <row r="7352" spans="107:197">
      <c r="DC7352"/>
      <c r="FH7352"/>
      <c r="FI7352"/>
      <c r="FJ7352"/>
      <c r="FK7352"/>
      <c r="FL7352"/>
      <c r="FM7352"/>
      <c r="FN7352"/>
      <c r="FO7352"/>
      <c r="FP7352"/>
      <c r="FQ7352"/>
      <c r="FR7352"/>
      <c r="FS7352"/>
      <c r="FT7352"/>
      <c r="FU7352"/>
      <c r="FV7352"/>
      <c r="FW7352"/>
      <c r="FX7352"/>
      <c r="FY7352"/>
      <c r="FZ7352"/>
      <c r="GA7352"/>
      <c r="GB7352"/>
      <c r="GC7352"/>
      <c r="GD7352"/>
      <c r="GE7352"/>
      <c r="GF7352"/>
      <c r="GG7352"/>
      <c r="GH7352"/>
      <c r="GI7352"/>
      <c r="GJ7352"/>
      <c r="GK7352"/>
      <c r="GL7352"/>
      <c r="GM7352"/>
      <c r="GN7352"/>
      <c r="GO7352"/>
    </row>
    <row r="7353" spans="107:197">
      <c r="DC7353"/>
      <c r="FH7353"/>
      <c r="FI7353"/>
      <c r="FJ7353"/>
      <c r="FK7353"/>
      <c r="FL7353"/>
      <c r="FM7353"/>
      <c r="FN7353"/>
      <c r="FO7353"/>
      <c r="FP7353"/>
      <c r="FQ7353"/>
      <c r="FR7353"/>
      <c r="FS7353"/>
      <c r="FT7353"/>
      <c r="FU7353"/>
      <c r="FV7353"/>
      <c r="FW7353"/>
      <c r="FX7353"/>
      <c r="FY7353"/>
      <c r="FZ7353"/>
      <c r="GA7353"/>
      <c r="GB7353"/>
      <c r="GC7353"/>
      <c r="GD7353"/>
      <c r="GE7353"/>
      <c r="GF7353"/>
      <c r="GG7353"/>
      <c r="GH7353"/>
      <c r="GI7353"/>
      <c r="GJ7353"/>
      <c r="GK7353"/>
      <c r="GL7353"/>
      <c r="GM7353"/>
      <c r="GN7353"/>
      <c r="GO7353"/>
    </row>
    <row r="7354" spans="107:197">
      <c r="DC7354"/>
      <c r="FH7354"/>
      <c r="FI7354"/>
      <c r="FJ7354"/>
      <c r="FK7354"/>
      <c r="FL7354"/>
      <c r="FM7354"/>
      <c r="FN7354"/>
      <c r="FO7354"/>
      <c r="FP7354"/>
      <c r="FQ7354"/>
      <c r="FR7354"/>
      <c r="FS7354"/>
      <c r="FT7354"/>
      <c r="FU7354"/>
      <c r="FV7354"/>
      <c r="FW7354"/>
      <c r="FX7354"/>
      <c r="FY7354"/>
      <c r="FZ7354"/>
      <c r="GA7354"/>
      <c r="GB7354"/>
      <c r="GC7354"/>
      <c r="GD7354"/>
      <c r="GE7354"/>
      <c r="GF7354"/>
      <c r="GG7354"/>
      <c r="GH7354"/>
      <c r="GI7354"/>
      <c r="GJ7354"/>
      <c r="GK7354"/>
      <c r="GL7354"/>
      <c r="GM7354"/>
      <c r="GN7354"/>
      <c r="GO7354"/>
    </row>
    <row r="7355" spans="107:197">
      <c r="DC7355"/>
      <c r="FH7355"/>
      <c r="FI7355"/>
      <c r="FJ7355"/>
      <c r="FK7355"/>
      <c r="FL7355"/>
      <c r="FM7355"/>
      <c r="FN7355"/>
      <c r="FO7355"/>
      <c r="FP7355"/>
      <c r="FQ7355"/>
      <c r="FR7355"/>
      <c r="FS7355"/>
      <c r="FT7355"/>
      <c r="FU7355"/>
      <c r="FV7355"/>
      <c r="FW7355"/>
      <c r="FX7355"/>
      <c r="FY7355"/>
      <c r="FZ7355"/>
      <c r="GA7355"/>
      <c r="GB7355"/>
      <c r="GC7355"/>
      <c r="GD7355"/>
      <c r="GE7355"/>
      <c r="GF7355"/>
      <c r="GG7355"/>
      <c r="GH7355"/>
      <c r="GI7355"/>
      <c r="GJ7355"/>
      <c r="GK7355"/>
      <c r="GL7355"/>
      <c r="GM7355"/>
      <c r="GN7355"/>
      <c r="GO7355"/>
    </row>
    <row r="7356" spans="107:197">
      <c r="DC7356"/>
      <c r="FH7356"/>
      <c r="FI7356"/>
      <c r="FJ7356"/>
      <c r="FK7356"/>
      <c r="FL7356"/>
      <c r="FM7356"/>
      <c r="FN7356"/>
      <c r="FO7356"/>
      <c r="FP7356"/>
      <c r="FQ7356"/>
      <c r="FR7356"/>
      <c r="FS7356"/>
      <c r="FT7356"/>
      <c r="FU7356"/>
      <c r="FV7356"/>
      <c r="FW7356"/>
      <c r="FX7356"/>
      <c r="FY7356"/>
      <c r="FZ7356"/>
      <c r="GA7356"/>
      <c r="GB7356"/>
      <c r="GC7356"/>
      <c r="GD7356"/>
      <c r="GE7356"/>
      <c r="GF7356"/>
      <c r="GG7356"/>
      <c r="GH7356"/>
      <c r="GI7356"/>
      <c r="GJ7356"/>
      <c r="GK7356"/>
      <c r="GL7356"/>
      <c r="GM7356"/>
      <c r="GN7356"/>
      <c r="GO7356"/>
    </row>
    <row r="7357" spans="107:197">
      <c r="DC7357"/>
      <c r="FH7357"/>
      <c r="FI7357"/>
      <c r="FJ7357"/>
      <c r="FK7357"/>
      <c r="FL7357"/>
      <c r="FM7357"/>
      <c r="FN7357"/>
      <c r="FO7357"/>
      <c r="FP7357"/>
      <c r="FQ7357"/>
      <c r="FR7357"/>
      <c r="FS7357"/>
      <c r="FT7357"/>
      <c r="FU7357"/>
      <c r="FV7357"/>
      <c r="FW7357"/>
      <c r="FX7357"/>
      <c r="FY7357"/>
      <c r="FZ7357"/>
      <c r="GA7357"/>
      <c r="GB7357"/>
      <c r="GC7357"/>
      <c r="GD7357"/>
      <c r="GE7357"/>
      <c r="GF7357"/>
      <c r="GG7357"/>
      <c r="GH7357"/>
      <c r="GI7357"/>
      <c r="GJ7357"/>
      <c r="GK7357"/>
      <c r="GL7357"/>
      <c r="GM7357"/>
      <c r="GN7357"/>
      <c r="GO7357"/>
    </row>
    <row r="7358" spans="107:197">
      <c r="DC7358"/>
      <c r="FH7358"/>
      <c r="FI7358"/>
      <c r="FJ7358"/>
      <c r="FK7358"/>
      <c r="FL7358"/>
      <c r="FM7358"/>
      <c r="FN7358"/>
      <c r="FO7358"/>
      <c r="FP7358"/>
      <c r="FQ7358"/>
      <c r="FR7358"/>
      <c r="FS7358"/>
      <c r="FT7358"/>
      <c r="FU7358"/>
      <c r="FV7358"/>
      <c r="FW7358"/>
      <c r="FX7358"/>
      <c r="FY7358"/>
      <c r="FZ7358"/>
      <c r="GA7358"/>
      <c r="GB7358"/>
      <c r="GC7358"/>
      <c r="GD7358"/>
      <c r="GE7358"/>
      <c r="GF7358"/>
      <c r="GG7358"/>
      <c r="GH7358"/>
      <c r="GI7358"/>
      <c r="GJ7358"/>
      <c r="GK7358"/>
      <c r="GL7358"/>
      <c r="GM7358"/>
      <c r="GN7358"/>
      <c r="GO7358"/>
    </row>
    <row r="7359" spans="107:197">
      <c r="DC7359"/>
      <c r="FH7359"/>
      <c r="FI7359"/>
      <c r="FJ7359"/>
      <c r="FK7359"/>
      <c r="FL7359"/>
      <c r="FM7359"/>
      <c r="FN7359"/>
      <c r="FO7359"/>
      <c r="FP7359"/>
      <c r="FQ7359"/>
      <c r="FR7359"/>
      <c r="FS7359"/>
      <c r="FT7359"/>
      <c r="FU7359"/>
      <c r="FV7359"/>
      <c r="FW7359"/>
      <c r="FX7359"/>
      <c r="FY7359"/>
      <c r="FZ7359"/>
      <c r="GA7359"/>
      <c r="GB7359"/>
      <c r="GC7359"/>
      <c r="GD7359"/>
      <c r="GE7359"/>
      <c r="GF7359"/>
      <c r="GG7359"/>
      <c r="GH7359"/>
      <c r="GI7359"/>
      <c r="GJ7359"/>
      <c r="GK7359"/>
      <c r="GL7359"/>
      <c r="GM7359"/>
      <c r="GN7359"/>
      <c r="GO7359"/>
    </row>
    <row r="7360" spans="107:197">
      <c r="DC7360"/>
      <c r="FH7360"/>
      <c r="FI7360"/>
      <c r="FJ7360"/>
      <c r="FK7360"/>
      <c r="FL7360"/>
      <c r="FM7360"/>
      <c r="FN7360"/>
      <c r="FO7360"/>
      <c r="FP7360"/>
      <c r="FQ7360"/>
      <c r="FR7360"/>
      <c r="FS7360"/>
      <c r="FT7360"/>
      <c r="FU7360"/>
      <c r="FV7360"/>
      <c r="FW7360"/>
      <c r="FX7360"/>
      <c r="FY7360"/>
      <c r="FZ7360"/>
      <c r="GA7360"/>
      <c r="GB7360"/>
      <c r="GC7360"/>
      <c r="GD7360"/>
      <c r="GE7360"/>
      <c r="GF7360"/>
      <c r="GG7360"/>
      <c r="GH7360"/>
      <c r="GI7360"/>
      <c r="GJ7360"/>
      <c r="GK7360"/>
      <c r="GL7360"/>
      <c r="GM7360"/>
      <c r="GN7360"/>
      <c r="GO7360"/>
    </row>
    <row r="7361" spans="107:197">
      <c r="DC7361"/>
      <c r="FH7361"/>
      <c r="FI7361"/>
      <c r="FJ7361"/>
      <c r="FK7361"/>
      <c r="FL7361"/>
      <c r="FM7361"/>
      <c r="FN7361"/>
      <c r="FO7361"/>
      <c r="FP7361"/>
      <c r="FQ7361"/>
      <c r="FR7361"/>
      <c r="FS7361"/>
      <c r="FT7361"/>
      <c r="FU7361"/>
      <c r="FV7361"/>
      <c r="FW7361"/>
      <c r="FX7361"/>
      <c r="FY7361"/>
      <c r="FZ7361"/>
      <c r="GA7361"/>
      <c r="GB7361"/>
      <c r="GC7361"/>
      <c r="GD7361"/>
      <c r="GE7361"/>
      <c r="GF7361"/>
      <c r="GG7361"/>
      <c r="GH7361"/>
      <c r="GI7361"/>
      <c r="GJ7361"/>
      <c r="GK7361"/>
      <c r="GL7361"/>
      <c r="GM7361"/>
      <c r="GN7361"/>
      <c r="GO7361"/>
    </row>
    <row r="7362" spans="107:197">
      <c r="DC7362"/>
      <c r="FH7362"/>
      <c r="FI7362"/>
      <c r="FJ7362"/>
      <c r="FK7362"/>
      <c r="FL7362"/>
      <c r="FM7362"/>
      <c r="FN7362"/>
      <c r="FO7362"/>
      <c r="FP7362"/>
      <c r="FQ7362"/>
      <c r="FR7362"/>
      <c r="FS7362"/>
      <c r="FT7362"/>
      <c r="FU7362"/>
      <c r="FV7362"/>
      <c r="FW7362"/>
      <c r="FX7362"/>
      <c r="FY7362"/>
      <c r="FZ7362"/>
      <c r="GA7362"/>
      <c r="GB7362"/>
      <c r="GC7362"/>
      <c r="GD7362"/>
      <c r="GE7362"/>
      <c r="GF7362"/>
      <c r="GG7362"/>
      <c r="GH7362"/>
      <c r="GI7362"/>
      <c r="GJ7362"/>
      <c r="GK7362"/>
      <c r="GL7362"/>
      <c r="GM7362"/>
      <c r="GN7362"/>
      <c r="GO7362"/>
    </row>
    <row r="7363" spans="107:197">
      <c r="DC7363"/>
      <c r="FH7363"/>
      <c r="FI7363"/>
      <c r="FJ7363"/>
      <c r="FK7363"/>
      <c r="FL7363"/>
      <c r="FM7363"/>
      <c r="FN7363"/>
      <c r="FO7363"/>
      <c r="FP7363"/>
      <c r="FQ7363"/>
      <c r="FR7363"/>
      <c r="FS7363"/>
      <c r="FT7363"/>
      <c r="FU7363"/>
      <c r="FV7363"/>
      <c r="FW7363"/>
      <c r="FX7363"/>
      <c r="FY7363"/>
      <c r="FZ7363"/>
      <c r="GA7363"/>
      <c r="GB7363"/>
      <c r="GC7363"/>
      <c r="GD7363"/>
      <c r="GE7363"/>
      <c r="GF7363"/>
      <c r="GG7363"/>
      <c r="GH7363"/>
      <c r="GI7363"/>
      <c r="GJ7363"/>
      <c r="GK7363"/>
      <c r="GL7363"/>
      <c r="GM7363"/>
      <c r="GN7363"/>
      <c r="GO7363"/>
    </row>
    <row r="7364" spans="107:197">
      <c r="DC7364"/>
      <c r="FH7364"/>
      <c r="FI7364"/>
      <c r="FJ7364"/>
      <c r="FK7364"/>
      <c r="FL7364"/>
      <c r="FM7364"/>
      <c r="FN7364"/>
      <c r="FO7364"/>
      <c r="FP7364"/>
      <c r="FQ7364"/>
      <c r="FR7364"/>
      <c r="FS7364"/>
      <c r="FT7364"/>
      <c r="FU7364"/>
      <c r="FV7364"/>
      <c r="FW7364"/>
      <c r="FX7364"/>
      <c r="FY7364"/>
      <c r="FZ7364"/>
      <c r="GA7364"/>
      <c r="GB7364"/>
      <c r="GC7364"/>
      <c r="GD7364"/>
      <c r="GE7364"/>
      <c r="GF7364"/>
      <c r="GG7364"/>
      <c r="GH7364"/>
      <c r="GI7364"/>
      <c r="GJ7364"/>
      <c r="GK7364"/>
      <c r="GL7364"/>
      <c r="GM7364"/>
      <c r="GN7364"/>
      <c r="GO7364"/>
    </row>
    <row r="7365" spans="107:197">
      <c r="DC7365"/>
      <c r="FH7365"/>
      <c r="FI7365"/>
      <c r="FJ7365"/>
      <c r="FK7365"/>
      <c r="FL7365"/>
      <c r="FM7365"/>
      <c r="FN7365"/>
      <c r="FO7365"/>
      <c r="FP7365"/>
      <c r="FQ7365"/>
      <c r="FR7365"/>
      <c r="FS7365"/>
      <c r="FT7365"/>
      <c r="FU7365"/>
      <c r="FV7365"/>
      <c r="FW7365"/>
      <c r="FX7365"/>
      <c r="FY7365"/>
      <c r="FZ7365"/>
      <c r="GA7365"/>
      <c r="GB7365"/>
      <c r="GC7365"/>
      <c r="GD7365"/>
      <c r="GE7365"/>
      <c r="GF7365"/>
      <c r="GG7365"/>
      <c r="GH7365"/>
      <c r="GI7365"/>
      <c r="GJ7365"/>
      <c r="GK7365"/>
      <c r="GL7365"/>
      <c r="GM7365"/>
      <c r="GN7365"/>
      <c r="GO7365"/>
    </row>
    <row r="7366" spans="107:197">
      <c r="DC7366"/>
      <c r="FH7366"/>
      <c r="FI7366"/>
      <c r="FJ7366"/>
      <c r="FK7366"/>
      <c r="FL7366"/>
      <c r="FM7366"/>
      <c r="FN7366"/>
      <c r="FO7366"/>
      <c r="FP7366"/>
      <c r="FQ7366"/>
      <c r="FR7366"/>
      <c r="FS7366"/>
      <c r="FT7366"/>
      <c r="FU7366"/>
      <c r="FV7366"/>
      <c r="FW7366"/>
      <c r="FX7366"/>
      <c r="FY7366"/>
      <c r="FZ7366"/>
      <c r="GA7366"/>
      <c r="GB7366"/>
      <c r="GC7366"/>
      <c r="GD7366"/>
      <c r="GE7366"/>
      <c r="GF7366"/>
      <c r="GG7366"/>
      <c r="GH7366"/>
      <c r="GI7366"/>
      <c r="GJ7366"/>
      <c r="GK7366"/>
      <c r="GL7366"/>
      <c r="GM7366"/>
      <c r="GN7366"/>
      <c r="GO7366"/>
    </row>
    <row r="7367" spans="107:197">
      <c r="DC7367"/>
      <c r="FH7367"/>
      <c r="FI7367"/>
      <c r="FJ7367"/>
      <c r="FK7367"/>
      <c r="FL7367"/>
      <c r="FM7367"/>
      <c r="FN7367"/>
      <c r="FO7367"/>
      <c r="FP7367"/>
      <c r="FQ7367"/>
      <c r="FR7367"/>
      <c r="FS7367"/>
      <c r="FT7367"/>
      <c r="FU7367"/>
      <c r="FV7367"/>
      <c r="FW7367"/>
      <c r="FX7367"/>
      <c r="FY7367"/>
      <c r="FZ7367"/>
      <c r="GA7367"/>
      <c r="GB7367"/>
      <c r="GC7367"/>
      <c r="GD7367"/>
      <c r="GE7367"/>
      <c r="GF7367"/>
      <c r="GG7367"/>
      <c r="GH7367"/>
      <c r="GI7367"/>
      <c r="GJ7367"/>
      <c r="GK7367"/>
      <c r="GL7367"/>
      <c r="GM7367"/>
      <c r="GN7367"/>
      <c r="GO7367"/>
    </row>
    <row r="7368" spans="107:197">
      <c r="DC7368"/>
      <c r="FH7368"/>
      <c r="FI7368"/>
      <c r="FJ7368"/>
      <c r="FK7368"/>
      <c r="FL7368"/>
      <c r="FM7368"/>
      <c r="FN7368"/>
      <c r="FO7368"/>
      <c r="FP7368"/>
      <c r="FQ7368"/>
      <c r="FR7368"/>
      <c r="FS7368"/>
      <c r="FT7368"/>
      <c r="FU7368"/>
      <c r="FV7368"/>
      <c r="FW7368"/>
      <c r="FX7368"/>
      <c r="FY7368"/>
      <c r="FZ7368"/>
      <c r="GA7368"/>
      <c r="GB7368"/>
      <c r="GC7368"/>
      <c r="GD7368"/>
      <c r="GE7368"/>
      <c r="GF7368"/>
      <c r="GG7368"/>
      <c r="GH7368"/>
      <c r="GI7368"/>
      <c r="GJ7368"/>
      <c r="GK7368"/>
      <c r="GL7368"/>
      <c r="GM7368"/>
      <c r="GN7368"/>
      <c r="GO7368"/>
    </row>
    <row r="7369" spans="107:197">
      <c r="DC7369"/>
      <c r="FH7369"/>
      <c r="FI7369"/>
      <c r="FJ7369"/>
      <c r="FK7369"/>
      <c r="FL7369"/>
      <c r="FM7369"/>
      <c r="FN7369"/>
      <c r="FO7369"/>
      <c r="FP7369"/>
      <c r="FQ7369"/>
      <c r="FR7369"/>
      <c r="FS7369"/>
      <c r="FT7369"/>
      <c r="FU7369"/>
      <c r="FV7369"/>
      <c r="FW7369"/>
      <c r="FX7369"/>
      <c r="FY7369"/>
      <c r="FZ7369"/>
      <c r="GA7369"/>
      <c r="GB7369"/>
      <c r="GC7369"/>
      <c r="GD7369"/>
      <c r="GE7369"/>
      <c r="GF7369"/>
      <c r="GG7369"/>
      <c r="GH7369"/>
      <c r="GI7369"/>
      <c r="GJ7369"/>
      <c r="GK7369"/>
      <c r="GL7369"/>
      <c r="GM7369"/>
      <c r="GN7369"/>
      <c r="GO7369"/>
    </row>
    <row r="7370" spans="107:197">
      <c r="DC7370"/>
      <c r="FH7370"/>
      <c r="FI7370"/>
      <c r="FJ7370"/>
      <c r="FK7370"/>
      <c r="FL7370"/>
      <c r="FM7370"/>
      <c r="FN7370"/>
      <c r="FO7370"/>
      <c r="FP7370"/>
      <c r="FQ7370"/>
      <c r="FR7370"/>
      <c r="FS7370"/>
      <c r="FT7370"/>
      <c r="FU7370"/>
      <c r="FV7370"/>
      <c r="FW7370"/>
      <c r="FX7370"/>
      <c r="FY7370"/>
      <c r="FZ7370"/>
      <c r="GA7370"/>
      <c r="GB7370"/>
      <c r="GC7370"/>
      <c r="GD7370"/>
      <c r="GE7370"/>
      <c r="GF7370"/>
      <c r="GG7370"/>
      <c r="GH7370"/>
      <c r="GI7370"/>
      <c r="GJ7370"/>
      <c r="GK7370"/>
      <c r="GL7370"/>
      <c r="GM7370"/>
      <c r="GN7370"/>
      <c r="GO7370"/>
    </row>
    <row r="7371" spans="107:197">
      <c r="DC7371"/>
      <c r="FH7371"/>
      <c r="FI7371"/>
      <c r="FJ7371"/>
      <c r="FK7371"/>
      <c r="FL7371"/>
      <c r="FM7371"/>
      <c r="FN7371"/>
      <c r="FO7371"/>
      <c r="FP7371"/>
      <c r="FQ7371"/>
      <c r="FR7371"/>
      <c r="FS7371"/>
      <c r="FT7371"/>
      <c r="FU7371"/>
      <c r="FV7371"/>
      <c r="FW7371"/>
      <c r="FX7371"/>
      <c r="FY7371"/>
      <c r="FZ7371"/>
      <c r="GA7371"/>
      <c r="GB7371"/>
      <c r="GC7371"/>
      <c r="GD7371"/>
      <c r="GE7371"/>
      <c r="GF7371"/>
      <c r="GG7371"/>
      <c r="GH7371"/>
      <c r="GI7371"/>
      <c r="GJ7371"/>
      <c r="GK7371"/>
      <c r="GL7371"/>
      <c r="GM7371"/>
      <c r="GN7371"/>
      <c r="GO7371"/>
    </row>
    <row r="7372" spans="107:197">
      <c r="DC7372"/>
      <c r="FH7372"/>
      <c r="FI7372"/>
      <c r="FJ7372"/>
      <c r="FK7372"/>
      <c r="FL7372"/>
      <c r="FM7372"/>
      <c r="FN7372"/>
      <c r="FO7372"/>
      <c r="FP7372"/>
      <c r="FQ7372"/>
      <c r="FR7372"/>
      <c r="FS7372"/>
      <c r="FT7372"/>
      <c r="FU7372"/>
      <c r="FV7372"/>
      <c r="FW7372"/>
      <c r="FX7372"/>
      <c r="FY7372"/>
      <c r="FZ7372"/>
      <c r="GA7372"/>
      <c r="GB7372"/>
      <c r="GC7372"/>
      <c r="GD7372"/>
      <c r="GE7372"/>
      <c r="GF7372"/>
      <c r="GG7372"/>
      <c r="GH7372"/>
      <c r="GI7372"/>
      <c r="GJ7372"/>
      <c r="GK7372"/>
      <c r="GL7372"/>
      <c r="GM7372"/>
      <c r="GN7372"/>
      <c r="GO7372"/>
    </row>
    <row r="7373" spans="107:197">
      <c r="DC7373"/>
      <c r="FH7373"/>
      <c r="FI7373"/>
      <c r="FJ7373"/>
      <c r="FK7373"/>
      <c r="FL7373"/>
      <c r="FM7373"/>
      <c r="FN7373"/>
      <c r="FO7373"/>
      <c r="FP7373"/>
      <c r="FQ7373"/>
      <c r="FR7373"/>
      <c r="FS7373"/>
      <c r="FT7373"/>
      <c r="FU7373"/>
      <c r="FV7373"/>
      <c r="FW7373"/>
      <c r="FX7373"/>
      <c r="FY7373"/>
      <c r="FZ7373"/>
      <c r="GA7373"/>
      <c r="GB7373"/>
      <c r="GC7373"/>
      <c r="GD7373"/>
      <c r="GE7373"/>
      <c r="GF7373"/>
      <c r="GG7373"/>
      <c r="GH7373"/>
      <c r="GI7373"/>
      <c r="GJ7373"/>
      <c r="GK7373"/>
      <c r="GL7373"/>
      <c r="GM7373"/>
      <c r="GN7373"/>
      <c r="GO7373"/>
    </row>
    <row r="7374" spans="107:197">
      <c r="DC7374"/>
      <c r="FH7374"/>
      <c r="FI7374"/>
      <c r="FJ7374"/>
      <c r="FK7374"/>
      <c r="FL7374"/>
      <c r="FM7374"/>
      <c r="FN7374"/>
      <c r="FO7374"/>
      <c r="FP7374"/>
      <c r="FQ7374"/>
      <c r="FR7374"/>
      <c r="FS7374"/>
      <c r="FT7374"/>
      <c r="FU7374"/>
      <c r="FV7374"/>
      <c r="FW7374"/>
      <c r="FX7374"/>
      <c r="FY7374"/>
      <c r="FZ7374"/>
      <c r="GA7374"/>
      <c r="GB7374"/>
      <c r="GC7374"/>
      <c r="GD7374"/>
      <c r="GE7374"/>
      <c r="GF7374"/>
      <c r="GG7374"/>
      <c r="GH7374"/>
      <c r="GI7374"/>
      <c r="GJ7374"/>
      <c r="GK7374"/>
      <c r="GL7374"/>
      <c r="GM7374"/>
      <c r="GN7374"/>
      <c r="GO7374"/>
    </row>
    <row r="7375" spans="107:197">
      <c r="DC7375"/>
      <c r="FH7375"/>
      <c r="FI7375"/>
      <c r="FJ7375"/>
      <c r="FK7375"/>
      <c r="FL7375"/>
      <c r="FM7375"/>
      <c r="FN7375"/>
      <c r="FO7375"/>
      <c r="FP7375"/>
      <c r="FQ7375"/>
      <c r="FR7375"/>
      <c r="FS7375"/>
      <c r="FT7375"/>
      <c r="FU7375"/>
      <c r="FV7375"/>
      <c r="FW7375"/>
      <c r="FX7375"/>
      <c r="FY7375"/>
      <c r="FZ7375"/>
      <c r="GA7375"/>
      <c r="GB7375"/>
      <c r="GC7375"/>
      <c r="GD7375"/>
      <c r="GE7375"/>
      <c r="GF7375"/>
      <c r="GG7375"/>
      <c r="GH7375"/>
      <c r="GI7375"/>
      <c r="GJ7375"/>
      <c r="GK7375"/>
      <c r="GL7375"/>
      <c r="GM7375"/>
      <c r="GN7375"/>
      <c r="GO7375"/>
    </row>
    <row r="7376" spans="107:197">
      <c r="DC7376"/>
      <c r="FH7376"/>
      <c r="FI7376"/>
      <c r="FJ7376"/>
      <c r="FK7376"/>
      <c r="FL7376"/>
      <c r="FM7376"/>
      <c r="FN7376"/>
      <c r="FO7376"/>
      <c r="FP7376"/>
      <c r="FQ7376"/>
      <c r="FR7376"/>
      <c r="FS7376"/>
      <c r="FT7376"/>
      <c r="FU7376"/>
      <c r="FV7376"/>
      <c r="FW7376"/>
      <c r="FX7376"/>
      <c r="FY7376"/>
      <c r="FZ7376"/>
      <c r="GA7376"/>
      <c r="GB7376"/>
      <c r="GC7376"/>
      <c r="GD7376"/>
      <c r="GE7376"/>
      <c r="GF7376"/>
      <c r="GG7376"/>
      <c r="GH7376"/>
      <c r="GI7376"/>
      <c r="GJ7376"/>
      <c r="GK7376"/>
      <c r="GL7376"/>
      <c r="GM7376"/>
      <c r="GN7376"/>
      <c r="GO7376"/>
    </row>
    <row r="7377" spans="107:197">
      <c r="DC7377"/>
      <c r="FH7377"/>
      <c r="FI7377"/>
      <c r="FJ7377"/>
      <c r="FK7377"/>
      <c r="FL7377"/>
      <c r="FM7377"/>
      <c r="FN7377"/>
      <c r="FO7377"/>
      <c r="FP7377"/>
      <c r="FQ7377"/>
      <c r="FR7377"/>
      <c r="FS7377"/>
      <c r="FT7377"/>
      <c r="FU7377"/>
      <c r="FV7377"/>
      <c r="FW7377"/>
      <c r="FX7377"/>
      <c r="FY7377"/>
      <c r="FZ7377"/>
      <c r="GA7377"/>
      <c r="GB7377"/>
      <c r="GC7377"/>
      <c r="GD7377"/>
      <c r="GE7377"/>
      <c r="GF7377"/>
      <c r="GG7377"/>
      <c r="GH7377"/>
      <c r="GI7377"/>
      <c r="GJ7377"/>
      <c r="GK7377"/>
      <c r="GL7377"/>
      <c r="GM7377"/>
      <c r="GN7377"/>
      <c r="GO7377"/>
    </row>
    <row r="7378" spans="107:197">
      <c r="DC7378"/>
      <c r="FH7378"/>
      <c r="FI7378"/>
      <c r="FJ7378"/>
      <c r="FK7378"/>
      <c r="FL7378"/>
      <c r="FM7378"/>
      <c r="FN7378"/>
      <c r="FO7378"/>
      <c r="FP7378"/>
      <c r="FQ7378"/>
      <c r="FR7378"/>
      <c r="FS7378"/>
      <c r="FT7378"/>
      <c r="FU7378"/>
      <c r="FV7378"/>
      <c r="FW7378"/>
      <c r="FX7378"/>
      <c r="FY7378"/>
      <c r="FZ7378"/>
      <c r="GA7378"/>
      <c r="GB7378"/>
      <c r="GC7378"/>
      <c r="GD7378"/>
      <c r="GE7378"/>
      <c r="GF7378"/>
      <c r="GG7378"/>
      <c r="GH7378"/>
      <c r="GI7378"/>
      <c r="GJ7378"/>
      <c r="GK7378"/>
      <c r="GL7378"/>
      <c r="GM7378"/>
      <c r="GN7378"/>
      <c r="GO7378"/>
    </row>
    <row r="7379" spans="107:197">
      <c r="DC7379"/>
      <c r="FH7379"/>
      <c r="FI7379"/>
      <c r="FJ7379"/>
      <c r="FK7379"/>
      <c r="FL7379"/>
      <c r="FM7379"/>
      <c r="FN7379"/>
      <c r="FO7379"/>
      <c r="FP7379"/>
      <c r="FQ7379"/>
      <c r="FR7379"/>
      <c r="FS7379"/>
      <c r="FT7379"/>
      <c r="FU7379"/>
      <c r="FV7379"/>
      <c r="FW7379"/>
      <c r="FX7379"/>
      <c r="FY7379"/>
      <c r="FZ7379"/>
      <c r="GA7379"/>
      <c r="GB7379"/>
      <c r="GC7379"/>
      <c r="GD7379"/>
      <c r="GE7379"/>
      <c r="GF7379"/>
      <c r="GG7379"/>
      <c r="GH7379"/>
      <c r="GI7379"/>
      <c r="GJ7379"/>
      <c r="GK7379"/>
      <c r="GL7379"/>
      <c r="GM7379"/>
      <c r="GN7379"/>
      <c r="GO7379"/>
    </row>
    <row r="7380" spans="107:197">
      <c r="DC7380"/>
      <c r="FH7380"/>
      <c r="FI7380"/>
      <c r="FJ7380"/>
      <c r="FK7380"/>
      <c r="FL7380"/>
      <c r="FM7380"/>
      <c r="FN7380"/>
      <c r="FO7380"/>
      <c r="FP7380"/>
      <c r="FQ7380"/>
      <c r="FR7380"/>
      <c r="FS7380"/>
      <c r="FT7380"/>
      <c r="FU7380"/>
      <c r="FV7380"/>
      <c r="FW7380"/>
      <c r="FX7380"/>
      <c r="FY7380"/>
      <c r="FZ7380"/>
      <c r="GA7380"/>
      <c r="GB7380"/>
      <c r="GC7380"/>
      <c r="GD7380"/>
      <c r="GE7380"/>
      <c r="GF7380"/>
      <c r="GG7380"/>
      <c r="GH7380"/>
      <c r="GI7380"/>
      <c r="GJ7380"/>
      <c r="GK7380"/>
      <c r="GL7380"/>
      <c r="GM7380"/>
      <c r="GN7380"/>
      <c r="GO7380"/>
    </row>
    <row r="7381" spans="107:197">
      <c r="DC7381"/>
      <c r="FH7381"/>
      <c r="FI7381"/>
      <c r="FJ7381"/>
      <c r="FK7381"/>
      <c r="FL7381"/>
      <c r="FM7381"/>
      <c r="FN7381"/>
      <c r="FO7381"/>
      <c r="FP7381"/>
      <c r="FQ7381"/>
      <c r="FR7381"/>
      <c r="FS7381"/>
      <c r="FT7381"/>
      <c r="FU7381"/>
      <c r="FV7381"/>
      <c r="FW7381"/>
      <c r="FX7381"/>
      <c r="FY7381"/>
      <c r="FZ7381"/>
      <c r="GA7381"/>
      <c r="GB7381"/>
      <c r="GC7381"/>
      <c r="GD7381"/>
      <c r="GE7381"/>
      <c r="GF7381"/>
      <c r="GG7381"/>
      <c r="GH7381"/>
      <c r="GI7381"/>
      <c r="GJ7381"/>
      <c r="GK7381"/>
      <c r="GL7381"/>
      <c r="GM7381"/>
      <c r="GN7381"/>
      <c r="GO7381"/>
    </row>
    <row r="7382" spans="107:197">
      <c r="DC7382"/>
      <c r="FH7382"/>
      <c r="FI7382"/>
      <c r="FJ7382"/>
      <c r="FK7382"/>
      <c r="FL7382"/>
      <c r="FM7382"/>
      <c r="FN7382"/>
      <c r="FO7382"/>
      <c r="FP7382"/>
      <c r="FQ7382"/>
      <c r="FR7382"/>
      <c r="FS7382"/>
      <c r="FT7382"/>
      <c r="FU7382"/>
      <c r="FV7382"/>
      <c r="FW7382"/>
      <c r="FX7382"/>
      <c r="FY7382"/>
      <c r="FZ7382"/>
      <c r="GA7382"/>
      <c r="GB7382"/>
      <c r="GC7382"/>
      <c r="GD7382"/>
      <c r="GE7382"/>
      <c r="GF7382"/>
      <c r="GG7382"/>
      <c r="GH7382"/>
      <c r="GI7382"/>
      <c r="GJ7382"/>
      <c r="GK7382"/>
      <c r="GL7382"/>
      <c r="GM7382"/>
      <c r="GN7382"/>
      <c r="GO7382"/>
    </row>
    <row r="7383" spans="107:197">
      <c r="DC7383"/>
      <c r="FH7383"/>
      <c r="FI7383"/>
      <c r="FJ7383"/>
      <c r="FK7383"/>
      <c r="FL7383"/>
      <c r="FM7383"/>
      <c r="FN7383"/>
      <c r="FO7383"/>
      <c r="FP7383"/>
      <c r="FQ7383"/>
      <c r="FR7383"/>
      <c r="FS7383"/>
      <c r="FT7383"/>
      <c r="FU7383"/>
      <c r="FV7383"/>
      <c r="FW7383"/>
      <c r="FX7383"/>
      <c r="FY7383"/>
      <c r="FZ7383"/>
      <c r="GA7383"/>
      <c r="GB7383"/>
      <c r="GC7383"/>
      <c r="GD7383"/>
      <c r="GE7383"/>
      <c r="GF7383"/>
      <c r="GG7383"/>
      <c r="GH7383"/>
      <c r="GI7383"/>
      <c r="GJ7383"/>
      <c r="GK7383"/>
      <c r="GL7383"/>
      <c r="GM7383"/>
      <c r="GN7383"/>
      <c r="GO7383"/>
    </row>
    <row r="7384" spans="107:197">
      <c r="DC7384"/>
      <c r="FH7384"/>
      <c r="FI7384"/>
      <c r="FJ7384"/>
      <c r="FK7384"/>
      <c r="FL7384"/>
      <c r="FM7384"/>
      <c r="FN7384"/>
      <c r="FO7384"/>
      <c r="FP7384"/>
      <c r="FQ7384"/>
      <c r="FR7384"/>
      <c r="FS7384"/>
      <c r="FT7384"/>
      <c r="FU7384"/>
      <c r="FV7384"/>
      <c r="FW7384"/>
      <c r="FX7384"/>
      <c r="FY7384"/>
      <c r="FZ7384"/>
      <c r="GA7384"/>
      <c r="GB7384"/>
      <c r="GC7384"/>
      <c r="GD7384"/>
      <c r="GE7384"/>
      <c r="GF7384"/>
      <c r="GG7384"/>
      <c r="GH7384"/>
      <c r="GI7384"/>
      <c r="GJ7384"/>
      <c r="GK7384"/>
      <c r="GL7384"/>
      <c r="GM7384"/>
      <c r="GN7384"/>
      <c r="GO7384"/>
    </row>
    <row r="7385" spans="107:197">
      <c r="DC7385"/>
      <c r="FH7385"/>
      <c r="FI7385"/>
      <c r="FJ7385"/>
      <c r="FK7385"/>
      <c r="FL7385"/>
      <c r="FM7385"/>
      <c r="FN7385"/>
      <c r="FO7385"/>
      <c r="FP7385"/>
      <c r="FQ7385"/>
      <c r="FR7385"/>
      <c r="FS7385"/>
      <c r="FT7385"/>
      <c r="FU7385"/>
      <c r="FV7385"/>
      <c r="FW7385"/>
      <c r="FX7385"/>
      <c r="FY7385"/>
      <c r="FZ7385"/>
      <c r="GA7385"/>
      <c r="GB7385"/>
      <c r="GC7385"/>
      <c r="GD7385"/>
      <c r="GE7385"/>
      <c r="GF7385"/>
      <c r="GG7385"/>
      <c r="GH7385"/>
      <c r="GI7385"/>
      <c r="GJ7385"/>
      <c r="GK7385"/>
      <c r="GL7385"/>
      <c r="GM7385"/>
      <c r="GN7385"/>
      <c r="GO7385"/>
    </row>
    <row r="7386" spans="107:197">
      <c r="DC7386"/>
      <c r="FH7386"/>
      <c r="FI7386"/>
      <c r="FJ7386"/>
      <c r="FK7386"/>
      <c r="FL7386"/>
      <c r="FM7386"/>
      <c r="FN7386"/>
      <c r="FO7386"/>
      <c r="FP7386"/>
      <c r="FQ7386"/>
      <c r="FR7386"/>
      <c r="FS7386"/>
      <c r="FT7386"/>
      <c r="FU7386"/>
      <c r="FV7386"/>
      <c r="FW7386"/>
      <c r="FX7386"/>
      <c r="FY7386"/>
      <c r="FZ7386"/>
      <c r="GA7386"/>
      <c r="GB7386"/>
      <c r="GC7386"/>
      <c r="GD7386"/>
      <c r="GE7386"/>
      <c r="GF7386"/>
      <c r="GG7386"/>
      <c r="GH7386"/>
      <c r="GI7386"/>
      <c r="GJ7386"/>
      <c r="GK7386"/>
      <c r="GL7386"/>
      <c r="GM7386"/>
      <c r="GN7386"/>
      <c r="GO7386"/>
    </row>
    <row r="7387" spans="107:197">
      <c r="DC7387"/>
      <c r="FH7387"/>
      <c r="FI7387"/>
      <c r="FJ7387"/>
      <c r="FK7387"/>
      <c r="FL7387"/>
      <c r="FM7387"/>
      <c r="FN7387"/>
      <c r="FO7387"/>
      <c r="FP7387"/>
      <c r="FQ7387"/>
      <c r="FR7387"/>
      <c r="FS7387"/>
      <c r="FT7387"/>
      <c r="FU7387"/>
      <c r="FV7387"/>
      <c r="FW7387"/>
      <c r="FX7387"/>
      <c r="FY7387"/>
      <c r="FZ7387"/>
      <c r="GA7387"/>
      <c r="GB7387"/>
      <c r="GC7387"/>
      <c r="GD7387"/>
      <c r="GE7387"/>
      <c r="GF7387"/>
      <c r="GG7387"/>
      <c r="GH7387"/>
      <c r="GI7387"/>
      <c r="GJ7387"/>
      <c r="GK7387"/>
      <c r="GL7387"/>
      <c r="GM7387"/>
      <c r="GN7387"/>
      <c r="GO7387"/>
    </row>
    <row r="7388" spans="107:197">
      <c r="DC7388"/>
      <c r="FH7388"/>
      <c r="FI7388"/>
      <c r="FJ7388"/>
      <c r="FK7388"/>
      <c r="FL7388"/>
      <c r="FM7388"/>
      <c r="FN7388"/>
      <c r="FO7388"/>
      <c r="FP7388"/>
      <c r="FQ7388"/>
      <c r="FR7388"/>
      <c r="FS7388"/>
      <c r="FT7388"/>
      <c r="FU7388"/>
      <c r="FV7388"/>
      <c r="FW7388"/>
      <c r="FX7388"/>
      <c r="FY7388"/>
      <c r="FZ7388"/>
      <c r="GA7388"/>
      <c r="GB7388"/>
      <c r="GC7388"/>
      <c r="GD7388"/>
      <c r="GE7388"/>
      <c r="GF7388"/>
      <c r="GG7388"/>
      <c r="GH7388"/>
      <c r="GI7388"/>
      <c r="GJ7388"/>
      <c r="GK7388"/>
      <c r="GL7388"/>
      <c r="GM7388"/>
      <c r="GN7388"/>
      <c r="GO7388"/>
    </row>
    <row r="7389" spans="107:197">
      <c r="DC7389"/>
      <c r="FH7389"/>
      <c r="FI7389"/>
      <c r="FJ7389"/>
      <c r="FK7389"/>
      <c r="FL7389"/>
      <c r="FM7389"/>
      <c r="FN7389"/>
      <c r="FO7389"/>
      <c r="FP7389"/>
      <c r="FQ7389"/>
      <c r="FR7389"/>
      <c r="FS7389"/>
      <c r="FT7389"/>
      <c r="FU7389"/>
      <c r="FV7389"/>
      <c r="FW7389"/>
      <c r="FX7389"/>
      <c r="FY7389"/>
      <c r="FZ7389"/>
      <c r="GA7389"/>
      <c r="GB7389"/>
      <c r="GC7389"/>
      <c r="GD7389"/>
      <c r="GE7389"/>
      <c r="GF7389"/>
      <c r="GG7389"/>
      <c r="GH7389"/>
      <c r="GI7389"/>
      <c r="GJ7389"/>
      <c r="GK7389"/>
      <c r="GL7389"/>
      <c r="GM7389"/>
      <c r="GN7389"/>
      <c r="GO7389"/>
    </row>
    <row r="7390" spans="107:197">
      <c r="DC7390"/>
      <c r="FH7390"/>
      <c r="FI7390"/>
      <c r="FJ7390"/>
      <c r="FK7390"/>
      <c r="FL7390"/>
      <c r="FM7390"/>
      <c r="FN7390"/>
      <c r="FO7390"/>
      <c r="FP7390"/>
      <c r="FQ7390"/>
      <c r="FR7390"/>
      <c r="FS7390"/>
      <c r="FT7390"/>
      <c r="FU7390"/>
      <c r="FV7390"/>
      <c r="FW7390"/>
      <c r="FX7390"/>
      <c r="FY7390"/>
      <c r="FZ7390"/>
      <c r="GA7390"/>
      <c r="GB7390"/>
      <c r="GC7390"/>
      <c r="GD7390"/>
      <c r="GE7390"/>
      <c r="GF7390"/>
      <c r="GG7390"/>
      <c r="GH7390"/>
      <c r="GI7390"/>
      <c r="GJ7390"/>
      <c r="GK7390"/>
      <c r="GL7390"/>
      <c r="GM7390"/>
      <c r="GN7390"/>
      <c r="GO7390"/>
    </row>
    <row r="7391" spans="107:197">
      <c r="DC7391"/>
      <c r="FH7391"/>
      <c r="FI7391"/>
      <c r="FJ7391"/>
      <c r="FK7391"/>
      <c r="FL7391"/>
      <c r="FM7391"/>
      <c r="FN7391"/>
      <c r="FO7391"/>
      <c r="FP7391"/>
      <c r="FQ7391"/>
      <c r="FR7391"/>
      <c r="FS7391"/>
      <c r="FT7391"/>
      <c r="FU7391"/>
      <c r="FV7391"/>
      <c r="FW7391"/>
      <c r="FX7391"/>
      <c r="FY7391"/>
      <c r="FZ7391"/>
      <c r="GA7391"/>
      <c r="GB7391"/>
      <c r="GC7391"/>
      <c r="GD7391"/>
      <c r="GE7391"/>
      <c r="GF7391"/>
      <c r="GG7391"/>
      <c r="GH7391"/>
      <c r="GI7391"/>
      <c r="GJ7391"/>
      <c r="GK7391"/>
      <c r="GL7391"/>
      <c r="GM7391"/>
      <c r="GN7391"/>
      <c r="GO7391"/>
    </row>
    <row r="7392" spans="107:197">
      <c r="DC7392"/>
      <c r="FH7392"/>
      <c r="FI7392"/>
      <c r="FJ7392"/>
      <c r="FK7392"/>
      <c r="FL7392"/>
      <c r="FM7392"/>
      <c r="FN7392"/>
      <c r="FO7392"/>
      <c r="FP7392"/>
      <c r="FQ7392"/>
      <c r="FR7392"/>
      <c r="FS7392"/>
      <c r="FT7392"/>
      <c r="FU7392"/>
      <c r="FV7392"/>
      <c r="FW7392"/>
      <c r="FX7392"/>
      <c r="FY7392"/>
      <c r="FZ7392"/>
      <c r="GA7392"/>
      <c r="GB7392"/>
      <c r="GC7392"/>
      <c r="GD7392"/>
      <c r="GE7392"/>
      <c r="GF7392"/>
      <c r="GG7392"/>
      <c r="GH7392"/>
      <c r="GI7392"/>
      <c r="GJ7392"/>
      <c r="GK7392"/>
      <c r="GL7392"/>
      <c r="GM7392"/>
      <c r="GN7392"/>
      <c r="GO7392"/>
    </row>
    <row r="7393" spans="107:197">
      <c r="DC7393"/>
      <c r="FH7393"/>
      <c r="FI7393"/>
      <c r="FJ7393"/>
      <c r="FK7393"/>
      <c r="FL7393"/>
      <c r="FM7393"/>
      <c r="FN7393"/>
      <c r="FO7393"/>
      <c r="FP7393"/>
      <c r="FQ7393"/>
      <c r="FR7393"/>
      <c r="FS7393"/>
      <c r="FT7393"/>
      <c r="FU7393"/>
      <c r="FV7393"/>
      <c r="FW7393"/>
      <c r="FX7393"/>
      <c r="FY7393"/>
      <c r="FZ7393"/>
      <c r="GA7393"/>
      <c r="GB7393"/>
      <c r="GC7393"/>
      <c r="GD7393"/>
      <c r="GE7393"/>
      <c r="GF7393"/>
      <c r="GG7393"/>
      <c r="GH7393"/>
      <c r="GI7393"/>
      <c r="GJ7393"/>
      <c r="GK7393"/>
      <c r="GL7393"/>
      <c r="GM7393"/>
      <c r="GN7393"/>
      <c r="GO7393"/>
    </row>
    <row r="7394" spans="107:197">
      <c r="DC7394"/>
      <c r="FH7394"/>
      <c r="FI7394"/>
      <c r="FJ7394"/>
      <c r="FK7394"/>
      <c r="FL7394"/>
      <c r="FM7394"/>
      <c r="FN7394"/>
      <c r="FO7394"/>
      <c r="FP7394"/>
      <c r="FQ7394"/>
      <c r="FR7394"/>
      <c r="FS7394"/>
      <c r="FT7394"/>
      <c r="FU7394"/>
      <c r="FV7394"/>
      <c r="FW7394"/>
      <c r="FX7394"/>
      <c r="FY7394"/>
      <c r="FZ7394"/>
      <c r="GA7394"/>
      <c r="GB7394"/>
      <c r="GC7394"/>
      <c r="GD7394"/>
      <c r="GE7394"/>
      <c r="GF7394"/>
      <c r="GG7394"/>
      <c r="GH7394"/>
      <c r="GI7394"/>
      <c r="GJ7394"/>
      <c r="GK7394"/>
      <c r="GL7394"/>
      <c r="GM7394"/>
      <c r="GN7394"/>
      <c r="GO7394"/>
    </row>
    <row r="7395" spans="107:197">
      <c r="DC7395"/>
      <c r="FH7395"/>
      <c r="FI7395"/>
      <c r="FJ7395"/>
      <c r="FK7395"/>
      <c r="FL7395"/>
      <c r="FM7395"/>
      <c r="FN7395"/>
      <c r="FO7395"/>
      <c r="FP7395"/>
      <c r="FQ7395"/>
      <c r="FR7395"/>
      <c r="FS7395"/>
      <c r="FT7395"/>
      <c r="FU7395"/>
      <c r="FV7395"/>
      <c r="FW7395"/>
      <c r="FX7395"/>
      <c r="FY7395"/>
      <c r="FZ7395"/>
      <c r="GA7395"/>
      <c r="GB7395"/>
      <c r="GC7395"/>
      <c r="GD7395"/>
      <c r="GE7395"/>
      <c r="GF7395"/>
      <c r="GG7395"/>
      <c r="GH7395"/>
      <c r="GI7395"/>
      <c r="GJ7395"/>
      <c r="GK7395"/>
      <c r="GL7395"/>
      <c r="GM7395"/>
      <c r="GN7395"/>
      <c r="GO7395"/>
    </row>
    <row r="7396" spans="107:197">
      <c r="DC7396"/>
      <c r="FH7396"/>
      <c r="FI7396"/>
      <c r="FJ7396"/>
      <c r="FK7396"/>
      <c r="FL7396"/>
      <c r="FM7396"/>
      <c r="FN7396"/>
      <c r="FO7396"/>
      <c r="FP7396"/>
      <c r="FQ7396"/>
      <c r="FR7396"/>
      <c r="FS7396"/>
      <c r="FT7396"/>
      <c r="FU7396"/>
      <c r="FV7396"/>
      <c r="FW7396"/>
      <c r="FX7396"/>
      <c r="FY7396"/>
      <c r="FZ7396"/>
      <c r="GA7396"/>
      <c r="GB7396"/>
      <c r="GC7396"/>
      <c r="GD7396"/>
      <c r="GE7396"/>
      <c r="GF7396"/>
      <c r="GG7396"/>
      <c r="GH7396"/>
      <c r="GI7396"/>
      <c r="GJ7396"/>
      <c r="GK7396"/>
      <c r="GL7396"/>
      <c r="GM7396"/>
      <c r="GN7396"/>
      <c r="GO7396"/>
    </row>
    <row r="7397" spans="107:197">
      <c r="DC7397"/>
      <c r="FH7397"/>
      <c r="FI7397"/>
      <c r="FJ7397"/>
      <c r="FK7397"/>
      <c r="FL7397"/>
      <c r="FM7397"/>
      <c r="FN7397"/>
      <c r="FO7397"/>
      <c r="FP7397"/>
      <c r="FQ7397"/>
      <c r="FR7397"/>
      <c r="FS7397"/>
      <c r="FT7397"/>
      <c r="FU7397"/>
      <c r="FV7397"/>
      <c r="FW7397"/>
      <c r="FX7397"/>
      <c r="FY7397"/>
      <c r="FZ7397"/>
      <c r="GA7397"/>
      <c r="GB7397"/>
      <c r="GC7397"/>
      <c r="GD7397"/>
      <c r="GE7397"/>
      <c r="GF7397"/>
      <c r="GG7397"/>
      <c r="GH7397"/>
      <c r="GI7397"/>
      <c r="GJ7397"/>
      <c r="GK7397"/>
      <c r="GL7397"/>
      <c r="GM7397"/>
      <c r="GN7397"/>
      <c r="GO7397"/>
    </row>
    <row r="7398" spans="107:197">
      <c r="DC7398"/>
      <c r="FH7398"/>
      <c r="FI7398"/>
      <c r="FJ7398"/>
      <c r="FK7398"/>
      <c r="FL7398"/>
      <c r="FM7398"/>
      <c r="FN7398"/>
      <c r="FO7398"/>
      <c r="FP7398"/>
      <c r="FQ7398"/>
      <c r="FR7398"/>
      <c r="FS7398"/>
      <c r="FT7398"/>
      <c r="FU7398"/>
      <c r="FV7398"/>
      <c r="FW7398"/>
      <c r="FX7398"/>
      <c r="FY7398"/>
      <c r="FZ7398"/>
      <c r="GA7398"/>
      <c r="GB7398"/>
      <c r="GC7398"/>
      <c r="GD7398"/>
      <c r="GE7398"/>
      <c r="GF7398"/>
      <c r="GG7398"/>
      <c r="GH7398"/>
      <c r="GI7398"/>
      <c r="GJ7398"/>
      <c r="GK7398"/>
      <c r="GL7398"/>
      <c r="GM7398"/>
      <c r="GN7398"/>
      <c r="GO7398"/>
    </row>
    <row r="7399" spans="107:197">
      <c r="DC7399"/>
      <c r="FH7399"/>
      <c r="FI7399"/>
      <c r="FJ7399"/>
      <c r="FK7399"/>
      <c r="FL7399"/>
      <c r="FM7399"/>
      <c r="FN7399"/>
      <c r="FO7399"/>
      <c r="FP7399"/>
      <c r="FQ7399"/>
      <c r="FR7399"/>
      <c r="FS7399"/>
      <c r="FT7399"/>
      <c r="FU7399"/>
      <c r="FV7399"/>
      <c r="FW7399"/>
      <c r="FX7399"/>
      <c r="FY7399"/>
      <c r="FZ7399"/>
      <c r="GA7399"/>
      <c r="GB7399"/>
      <c r="GC7399"/>
      <c r="GD7399"/>
      <c r="GE7399"/>
      <c r="GF7399"/>
      <c r="GG7399"/>
      <c r="GH7399"/>
      <c r="GI7399"/>
      <c r="GJ7399"/>
      <c r="GK7399"/>
      <c r="GL7399"/>
      <c r="GM7399"/>
      <c r="GN7399"/>
      <c r="GO7399"/>
    </row>
    <row r="7400" spans="107:197">
      <c r="DC7400"/>
      <c r="FH7400"/>
      <c r="FI7400"/>
      <c r="FJ7400"/>
      <c r="FK7400"/>
      <c r="FL7400"/>
      <c r="FM7400"/>
      <c r="FN7400"/>
      <c r="FO7400"/>
      <c r="FP7400"/>
      <c r="FQ7400"/>
      <c r="FR7400"/>
      <c r="FS7400"/>
      <c r="FT7400"/>
      <c r="FU7400"/>
      <c r="FV7400"/>
      <c r="FW7400"/>
      <c r="FX7400"/>
      <c r="FY7400"/>
      <c r="FZ7400"/>
      <c r="GA7400"/>
      <c r="GB7400"/>
      <c r="GC7400"/>
      <c r="GD7400"/>
      <c r="GE7400"/>
      <c r="GF7400"/>
      <c r="GG7400"/>
      <c r="GH7400"/>
      <c r="GI7400"/>
      <c r="GJ7400"/>
      <c r="GK7400"/>
      <c r="GL7400"/>
      <c r="GM7400"/>
      <c r="GN7400"/>
      <c r="GO7400"/>
    </row>
    <row r="7401" spans="107:197">
      <c r="DC7401"/>
      <c r="FH7401"/>
      <c r="FI7401"/>
      <c r="FJ7401"/>
      <c r="FK7401"/>
      <c r="FL7401"/>
      <c r="FM7401"/>
      <c r="FN7401"/>
      <c r="FO7401"/>
      <c r="FP7401"/>
      <c r="FQ7401"/>
      <c r="FR7401"/>
      <c r="FS7401"/>
      <c r="FT7401"/>
      <c r="FU7401"/>
      <c r="FV7401"/>
      <c r="FW7401"/>
      <c r="FX7401"/>
      <c r="FY7401"/>
      <c r="FZ7401"/>
      <c r="GA7401"/>
      <c r="GB7401"/>
      <c r="GC7401"/>
      <c r="GD7401"/>
      <c r="GE7401"/>
      <c r="GF7401"/>
      <c r="GG7401"/>
      <c r="GH7401"/>
      <c r="GI7401"/>
      <c r="GJ7401"/>
      <c r="GK7401"/>
      <c r="GL7401"/>
      <c r="GM7401"/>
      <c r="GN7401"/>
      <c r="GO7401"/>
    </row>
    <row r="7402" spans="107:197">
      <c r="DC7402"/>
      <c r="FH7402"/>
      <c r="FI7402"/>
      <c r="FJ7402"/>
      <c r="FK7402"/>
      <c r="FL7402"/>
      <c r="FM7402"/>
      <c r="FN7402"/>
      <c r="FO7402"/>
      <c r="FP7402"/>
      <c r="FQ7402"/>
      <c r="FR7402"/>
      <c r="FS7402"/>
      <c r="FT7402"/>
      <c r="FU7402"/>
      <c r="FV7402"/>
      <c r="FW7402"/>
      <c r="FX7402"/>
      <c r="FY7402"/>
      <c r="FZ7402"/>
      <c r="GA7402"/>
      <c r="GB7402"/>
      <c r="GC7402"/>
      <c r="GD7402"/>
      <c r="GE7402"/>
      <c r="GF7402"/>
      <c r="GG7402"/>
      <c r="GH7402"/>
      <c r="GI7402"/>
      <c r="GJ7402"/>
      <c r="GK7402"/>
      <c r="GL7402"/>
      <c r="GM7402"/>
      <c r="GN7402"/>
      <c r="GO7402"/>
    </row>
    <row r="7403" spans="107:197">
      <c r="DC7403"/>
      <c r="FH7403"/>
      <c r="FI7403"/>
      <c r="FJ7403"/>
      <c r="FK7403"/>
      <c r="FL7403"/>
      <c r="FM7403"/>
      <c r="FN7403"/>
      <c r="FO7403"/>
      <c r="FP7403"/>
      <c r="FQ7403"/>
      <c r="FR7403"/>
      <c r="FS7403"/>
      <c r="FT7403"/>
      <c r="FU7403"/>
      <c r="FV7403"/>
      <c r="FW7403"/>
      <c r="FX7403"/>
      <c r="FY7403"/>
      <c r="FZ7403"/>
      <c r="GA7403"/>
      <c r="GB7403"/>
      <c r="GC7403"/>
      <c r="GD7403"/>
      <c r="GE7403"/>
      <c r="GF7403"/>
      <c r="GG7403"/>
      <c r="GH7403"/>
      <c r="GI7403"/>
      <c r="GJ7403"/>
      <c r="GK7403"/>
      <c r="GL7403"/>
      <c r="GM7403"/>
      <c r="GN7403"/>
      <c r="GO7403"/>
    </row>
    <row r="7404" spans="107:197">
      <c r="DC7404"/>
      <c r="FH7404"/>
      <c r="FI7404"/>
      <c r="FJ7404"/>
      <c r="FK7404"/>
      <c r="FL7404"/>
      <c r="FM7404"/>
      <c r="FN7404"/>
      <c r="FO7404"/>
      <c r="FP7404"/>
      <c r="FQ7404"/>
      <c r="FR7404"/>
      <c r="FS7404"/>
      <c r="FT7404"/>
      <c r="FU7404"/>
      <c r="FV7404"/>
      <c r="FW7404"/>
      <c r="FX7404"/>
      <c r="FY7404"/>
      <c r="FZ7404"/>
      <c r="GA7404"/>
      <c r="GB7404"/>
      <c r="GC7404"/>
      <c r="GD7404"/>
      <c r="GE7404"/>
      <c r="GF7404"/>
      <c r="GG7404"/>
      <c r="GH7404"/>
      <c r="GI7404"/>
      <c r="GJ7404"/>
      <c r="GK7404"/>
      <c r="GL7404"/>
      <c r="GM7404"/>
      <c r="GN7404"/>
      <c r="GO7404"/>
    </row>
    <row r="7405" spans="107:197">
      <c r="DC7405"/>
      <c r="FH7405"/>
      <c r="FI7405"/>
      <c r="FJ7405"/>
      <c r="FK7405"/>
      <c r="FL7405"/>
      <c r="FM7405"/>
      <c r="FN7405"/>
      <c r="FO7405"/>
      <c r="FP7405"/>
      <c r="FQ7405"/>
      <c r="FR7405"/>
      <c r="FS7405"/>
      <c r="FT7405"/>
      <c r="FU7405"/>
      <c r="FV7405"/>
      <c r="FW7405"/>
      <c r="FX7405"/>
      <c r="FY7405"/>
      <c r="FZ7405"/>
      <c r="GA7405"/>
      <c r="GB7405"/>
      <c r="GC7405"/>
      <c r="GD7405"/>
      <c r="GE7405"/>
      <c r="GF7405"/>
      <c r="GG7405"/>
      <c r="GH7405"/>
      <c r="GI7405"/>
      <c r="GJ7405"/>
      <c r="GK7405"/>
      <c r="GL7405"/>
      <c r="GM7405"/>
      <c r="GN7405"/>
      <c r="GO7405"/>
    </row>
    <row r="7406" spans="107:197">
      <c r="DC7406"/>
      <c r="FH7406"/>
      <c r="FI7406"/>
      <c r="FJ7406"/>
      <c r="FK7406"/>
      <c r="FL7406"/>
      <c r="FM7406"/>
      <c r="FN7406"/>
      <c r="FO7406"/>
      <c r="FP7406"/>
      <c r="FQ7406"/>
      <c r="FR7406"/>
      <c r="FS7406"/>
      <c r="FT7406"/>
      <c r="FU7406"/>
      <c r="FV7406"/>
      <c r="FW7406"/>
      <c r="FX7406"/>
      <c r="FY7406"/>
      <c r="FZ7406"/>
      <c r="GA7406"/>
      <c r="GB7406"/>
      <c r="GC7406"/>
      <c r="GD7406"/>
      <c r="GE7406"/>
      <c r="GF7406"/>
      <c r="GG7406"/>
      <c r="GH7406"/>
      <c r="GI7406"/>
      <c r="GJ7406"/>
      <c r="GK7406"/>
      <c r="GL7406"/>
      <c r="GM7406"/>
      <c r="GN7406"/>
      <c r="GO7406"/>
    </row>
    <row r="7407" spans="107:197">
      <c r="DC7407"/>
      <c r="FH7407"/>
      <c r="FI7407"/>
      <c r="FJ7407"/>
      <c r="FK7407"/>
      <c r="FL7407"/>
      <c r="FM7407"/>
      <c r="FN7407"/>
      <c r="FO7407"/>
      <c r="FP7407"/>
      <c r="FQ7407"/>
      <c r="FR7407"/>
      <c r="FS7407"/>
      <c r="FT7407"/>
      <c r="FU7407"/>
      <c r="FV7407"/>
      <c r="FW7407"/>
      <c r="FX7407"/>
      <c r="FY7407"/>
      <c r="FZ7407"/>
      <c r="GA7407"/>
      <c r="GB7407"/>
      <c r="GC7407"/>
      <c r="GD7407"/>
      <c r="GE7407"/>
      <c r="GF7407"/>
      <c r="GG7407"/>
      <c r="GH7407"/>
      <c r="GI7407"/>
      <c r="GJ7407"/>
      <c r="GK7407"/>
      <c r="GL7407"/>
      <c r="GM7407"/>
      <c r="GN7407"/>
      <c r="GO7407"/>
    </row>
    <row r="7408" spans="107:197">
      <c r="DC7408"/>
      <c r="FH7408"/>
      <c r="FI7408"/>
      <c r="FJ7408"/>
      <c r="FK7408"/>
      <c r="FL7408"/>
      <c r="FM7408"/>
      <c r="FN7408"/>
      <c r="FO7408"/>
      <c r="FP7408"/>
      <c r="FQ7408"/>
      <c r="FR7408"/>
      <c r="FS7408"/>
      <c r="FT7408"/>
      <c r="FU7408"/>
      <c r="FV7408"/>
      <c r="FW7408"/>
      <c r="FX7408"/>
      <c r="FY7408"/>
      <c r="FZ7408"/>
      <c r="GA7408"/>
      <c r="GB7408"/>
      <c r="GC7408"/>
      <c r="GD7408"/>
      <c r="GE7408"/>
      <c r="GF7408"/>
      <c r="GG7408"/>
      <c r="GH7408"/>
      <c r="GI7408"/>
      <c r="GJ7408"/>
      <c r="GK7408"/>
      <c r="GL7408"/>
      <c r="GM7408"/>
      <c r="GN7408"/>
      <c r="GO7408"/>
    </row>
    <row r="7409" spans="107:197">
      <c r="DC7409"/>
      <c r="FH7409"/>
      <c r="FI7409"/>
      <c r="FJ7409"/>
      <c r="FK7409"/>
      <c r="FL7409"/>
      <c r="FM7409"/>
      <c r="FN7409"/>
      <c r="FO7409"/>
      <c r="FP7409"/>
      <c r="FQ7409"/>
      <c r="FR7409"/>
      <c r="FS7409"/>
      <c r="FT7409"/>
      <c r="FU7409"/>
      <c r="FV7409"/>
      <c r="FW7409"/>
      <c r="FX7409"/>
      <c r="FY7409"/>
      <c r="FZ7409"/>
      <c r="GA7409"/>
      <c r="GB7409"/>
      <c r="GC7409"/>
      <c r="GD7409"/>
      <c r="GE7409"/>
      <c r="GF7409"/>
      <c r="GG7409"/>
      <c r="GH7409"/>
      <c r="GI7409"/>
      <c r="GJ7409"/>
      <c r="GK7409"/>
      <c r="GL7409"/>
      <c r="GM7409"/>
      <c r="GN7409"/>
      <c r="GO7409"/>
    </row>
    <row r="7410" spans="107:197">
      <c r="DC7410"/>
      <c r="FH7410"/>
      <c r="FI7410"/>
      <c r="FJ7410"/>
      <c r="FK7410"/>
      <c r="FL7410"/>
      <c r="FM7410"/>
      <c r="FN7410"/>
      <c r="FO7410"/>
      <c r="FP7410"/>
      <c r="FQ7410"/>
      <c r="FR7410"/>
      <c r="FS7410"/>
      <c r="FT7410"/>
      <c r="FU7410"/>
      <c r="FV7410"/>
      <c r="FW7410"/>
      <c r="FX7410"/>
      <c r="FY7410"/>
      <c r="FZ7410"/>
      <c r="GA7410"/>
      <c r="GB7410"/>
      <c r="GC7410"/>
      <c r="GD7410"/>
      <c r="GE7410"/>
      <c r="GF7410"/>
      <c r="GG7410"/>
      <c r="GH7410"/>
      <c r="GI7410"/>
      <c r="GJ7410"/>
      <c r="GK7410"/>
      <c r="GL7410"/>
      <c r="GM7410"/>
      <c r="GN7410"/>
      <c r="GO7410"/>
    </row>
    <row r="7411" spans="107:197">
      <c r="DC7411"/>
      <c r="FH7411"/>
      <c r="FI7411"/>
      <c r="FJ7411"/>
      <c r="FK7411"/>
      <c r="FL7411"/>
      <c r="FM7411"/>
      <c r="FN7411"/>
      <c r="FO7411"/>
      <c r="FP7411"/>
      <c r="FQ7411"/>
      <c r="FR7411"/>
      <c r="FS7411"/>
      <c r="FT7411"/>
      <c r="FU7411"/>
      <c r="FV7411"/>
      <c r="FW7411"/>
      <c r="FX7411"/>
      <c r="FY7411"/>
      <c r="FZ7411"/>
      <c r="GA7411"/>
      <c r="GB7411"/>
      <c r="GC7411"/>
      <c r="GD7411"/>
      <c r="GE7411"/>
      <c r="GF7411"/>
      <c r="GG7411"/>
      <c r="GH7411"/>
      <c r="GI7411"/>
      <c r="GJ7411"/>
      <c r="GK7411"/>
      <c r="GL7411"/>
      <c r="GM7411"/>
      <c r="GN7411"/>
      <c r="GO7411"/>
    </row>
    <row r="7412" spans="107:197">
      <c r="DC7412"/>
      <c r="FH7412"/>
      <c r="FI7412"/>
      <c r="FJ7412"/>
      <c r="FK7412"/>
      <c r="FL7412"/>
      <c r="FM7412"/>
      <c r="FN7412"/>
      <c r="FO7412"/>
      <c r="FP7412"/>
      <c r="FQ7412"/>
      <c r="FR7412"/>
      <c r="FS7412"/>
      <c r="FT7412"/>
      <c r="FU7412"/>
      <c r="FV7412"/>
      <c r="FW7412"/>
      <c r="FX7412"/>
      <c r="FY7412"/>
      <c r="FZ7412"/>
      <c r="GA7412"/>
      <c r="GB7412"/>
      <c r="GC7412"/>
      <c r="GD7412"/>
      <c r="GE7412"/>
      <c r="GF7412"/>
      <c r="GG7412"/>
      <c r="GH7412"/>
      <c r="GI7412"/>
      <c r="GJ7412"/>
      <c r="GK7412"/>
      <c r="GL7412"/>
      <c r="GM7412"/>
      <c r="GN7412"/>
      <c r="GO7412"/>
    </row>
    <row r="7413" spans="107:197">
      <c r="DC7413"/>
      <c r="FH7413"/>
      <c r="FI7413"/>
      <c r="FJ7413"/>
      <c r="FK7413"/>
      <c r="FL7413"/>
      <c r="FM7413"/>
      <c r="FN7413"/>
      <c r="FO7413"/>
      <c r="FP7413"/>
      <c r="FQ7413"/>
      <c r="FR7413"/>
      <c r="FS7413"/>
      <c r="FT7413"/>
      <c r="FU7413"/>
      <c r="FV7413"/>
      <c r="FW7413"/>
      <c r="FX7413"/>
      <c r="FY7413"/>
      <c r="FZ7413"/>
      <c r="GA7413"/>
      <c r="GB7413"/>
      <c r="GC7413"/>
      <c r="GD7413"/>
      <c r="GE7413"/>
      <c r="GF7413"/>
      <c r="GG7413"/>
      <c r="GH7413"/>
      <c r="GI7413"/>
      <c r="GJ7413"/>
      <c r="GK7413"/>
      <c r="GL7413"/>
      <c r="GM7413"/>
      <c r="GN7413"/>
      <c r="GO7413"/>
    </row>
    <row r="7414" spans="107:197">
      <c r="DC7414"/>
      <c r="FH7414"/>
      <c r="FI7414"/>
      <c r="FJ7414"/>
      <c r="FK7414"/>
      <c r="FL7414"/>
      <c r="FM7414"/>
      <c r="FN7414"/>
      <c r="FO7414"/>
      <c r="FP7414"/>
      <c r="FQ7414"/>
      <c r="FR7414"/>
      <c r="FS7414"/>
      <c r="FT7414"/>
      <c r="FU7414"/>
      <c r="FV7414"/>
      <c r="FW7414"/>
      <c r="FX7414"/>
      <c r="FY7414"/>
      <c r="FZ7414"/>
      <c r="GA7414"/>
      <c r="GB7414"/>
      <c r="GC7414"/>
      <c r="GD7414"/>
      <c r="GE7414"/>
      <c r="GF7414"/>
      <c r="GG7414"/>
      <c r="GH7414"/>
      <c r="GI7414"/>
      <c r="GJ7414"/>
      <c r="GK7414"/>
      <c r="GL7414"/>
      <c r="GM7414"/>
      <c r="GN7414"/>
      <c r="GO7414"/>
    </row>
    <row r="7415" spans="107:197">
      <c r="DC7415"/>
      <c r="FH7415"/>
      <c r="FI7415"/>
      <c r="FJ7415"/>
      <c r="FK7415"/>
      <c r="FL7415"/>
      <c r="FM7415"/>
      <c r="FN7415"/>
      <c r="FO7415"/>
      <c r="FP7415"/>
      <c r="FQ7415"/>
      <c r="FR7415"/>
      <c r="FS7415"/>
      <c r="FT7415"/>
      <c r="FU7415"/>
      <c r="FV7415"/>
      <c r="FW7415"/>
      <c r="FX7415"/>
      <c r="FY7415"/>
      <c r="FZ7415"/>
      <c r="GA7415"/>
      <c r="GB7415"/>
      <c r="GC7415"/>
      <c r="GD7415"/>
      <c r="GE7415"/>
      <c r="GF7415"/>
      <c r="GG7415"/>
      <c r="GH7415"/>
      <c r="GI7415"/>
      <c r="GJ7415"/>
      <c r="GK7415"/>
      <c r="GL7415"/>
      <c r="GM7415"/>
      <c r="GN7415"/>
      <c r="GO7415"/>
    </row>
    <row r="7416" spans="107:197">
      <c r="DC7416"/>
      <c r="FH7416"/>
      <c r="FI7416"/>
      <c r="FJ7416"/>
      <c r="FK7416"/>
      <c r="FL7416"/>
      <c r="FM7416"/>
      <c r="FN7416"/>
      <c r="FO7416"/>
      <c r="FP7416"/>
      <c r="FQ7416"/>
      <c r="FR7416"/>
      <c r="FS7416"/>
      <c r="FT7416"/>
      <c r="FU7416"/>
      <c r="FV7416"/>
      <c r="FW7416"/>
      <c r="FX7416"/>
      <c r="FY7416"/>
      <c r="FZ7416"/>
      <c r="GA7416"/>
      <c r="GB7416"/>
      <c r="GC7416"/>
      <c r="GD7416"/>
      <c r="GE7416"/>
      <c r="GF7416"/>
      <c r="GG7416"/>
      <c r="GH7416"/>
      <c r="GI7416"/>
      <c r="GJ7416"/>
      <c r="GK7416"/>
      <c r="GL7416"/>
      <c r="GM7416"/>
      <c r="GN7416"/>
      <c r="GO7416"/>
    </row>
    <row r="7417" spans="107:197">
      <c r="DC7417"/>
      <c r="FH7417"/>
      <c r="FI7417"/>
      <c r="FJ7417"/>
      <c r="FK7417"/>
      <c r="FL7417"/>
      <c r="FM7417"/>
      <c r="FN7417"/>
      <c r="FO7417"/>
      <c r="FP7417"/>
      <c r="FQ7417"/>
      <c r="FR7417"/>
      <c r="FS7417"/>
      <c r="FT7417"/>
      <c r="FU7417"/>
      <c r="FV7417"/>
      <c r="FW7417"/>
      <c r="FX7417"/>
      <c r="FY7417"/>
      <c r="FZ7417"/>
      <c r="GA7417"/>
      <c r="GB7417"/>
      <c r="GC7417"/>
      <c r="GD7417"/>
      <c r="GE7417"/>
      <c r="GF7417"/>
      <c r="GG7417"/>
      <c r="GH7417"/>
      <c r="GI7417"/>
      <c r="GJ7417"/>
      <c r="GK7417"/>
      <c r="GL7417"/>
      <c r="GM7417"/>
      <c r="GN7417"/>
      <c r="GO7417"/>
    </row>
    <row r="7418" spans="107:197">
      <c r="DC7418"/>
      <c r="FH7418"/>
      <c r="FI7418"/>
      <c r="FJ7418"/>
      <c r="FK7418"/>
      <c r="FL7418"/>
      <c r="FM7418"/>
      <c r="FN7418"/>
      <c r="FO7418"/>
      <c r="FP7418"/>
      <c r="FQ7418"/>
      <c r="FR7418"/>
      <c r="FS7418"/>
      <c r="FT7418"/>
      <c r="FU7418"/>
      <c r="FV7418"/>
      <c r="FW7418"/>
      <c r="FX7418"/>
      <c r="FY7418"/>
      <c r="FZ7418"/>
      <c r="GA7418"/>
      <c r="GB7418"/>
      <c r="GC7418"/>
      <c r="GD7418"/>
      <c r="GE7418"/>
      <c r="GF7418"/>
      <c r="GG7418"/>
      <c r="GH7418"/>
      <c r="GI7418"/>
      <c r="GJ7418"/>
      <c r="GK7418"/>
      <c r="GL7418"/>
      <c r="GM7418"/>
      <c r="GN7418"/>
      <c r="GO7418"/>
    </row>
    <row r="7419" spans="107:197">
      <c r="DC7419"/>
      <c r="FH7419"/>
      <c r="FI7419"/>
      <c r="FJ7419"/>
      <c r="FK7419"/>
      <c r="FL7419"/>
      <c r="FM7419"/>
      <c r="FN7419"/>
      <c r="FO7419"/>
      <c r="FP7419"/>
      <c r="FQ7419"/>
      <c r="FR7419"/>
      <c r="FS7419"/>
      <c r="FT7419"/>
      <c r="FU7419"/>
      <c r="FV7419"/>
      <c r="FW7419"/>
      <c r="FX7419"/>
      <c r="FY7419"/>
      <c r="FZ7419"/>
      <c r="GA7419"/>
      <c r="GB7419"/>
      <c r="GC7419"/>
      <c r="GD7419"/>
      <c r="GE7419"/>
      <c r="GF7419"/>
      <c r="GG7419"/>
      <c r="GH7419"/>
      <c r="GI7419"/>
      <c r="GJ7419"/>
      <c r="GK7419"/>
      <c r="GL7419"/>
      <c r="GM7419"/>
      <c r="GN7419"/>
      <c r="GO7419"/>
    </row>
    <row r="7420" spans="107:197">
      <c r="DC7420"/>
      <c r="FH7420"/>
      <c r="FI7420"/>
      <c r="FJ7420"/>
      <c r="FK7420"/>
      <c r="FL7420"/>
      <c r="FM7420"/>
      <c r="FN7420"/>
      <c r="FO7420"/>
      <c r="FP7420"/>
      <c r="FQ7420"/>
      <c r="FR7420"/>
      <c r="FS7420"/>
      <c r="FT7420"/>
      <c r="FU7420"/>
      <c r="FV7420"/>
      <c r="FW7420"/>
      <c r="FX7420"/>
      <c r="FY7420"/>
      <c r="FZ7420"/>
      <c r="GA7420"/>
      <c r="GB7420"/>
      <c r="GC7420"/>
      <c r="GD7420"/>
      <c r="GE7420"/>
      <c r="GF7420"/>
      <c r="GG7420"/>
      <c r="GH7420"/>
      <c r="GI7420"/>
      <c r="GJ7420"/>
      <c r="GK7420"/>
      <c r="GL7420"/>
      <c r="GM7420"/>
      <c r="GN7420"/>
      <c r="GO7420"/>
    </row>
    <row r="7421" spans="107:197">
      <c r="DC7421"/>
      <c r="FH7421"/>
      <c r="FI7421"/>
      <c r="FJ7421"/>
      <c r="FK7421"/>
      <c r="FL7421"/>
      <c r="FM7421"/>
      <c r="FN7421"/>
      <c r="FO7421"/>
      <c r="FP7421"/>
      <c r="FQ7421"/>
      <c r="FR7421"/>
      <c r="FS7421"/>
      <c r="FT7421"/>
      <c r="FU7421"/>
      <c r="FV7421"/>
      <c r="FW7421"/>
      <c r="FX7421"/>
      <c r="FY7421"/>
      <c r="FZ7421"/>
      <c r="GA7421"/>
      <c r="GB7421"/>
      <c r="GC7421"/>
      <c r="GD7421"/>
      <c r="GE7421"/>
      <c r="GF7421"/>
      <c r="GG7421"/>
      <c r="GH7421"/>
      <c r="GI7421"/>
      <c r="GJ7421"/>
      <c r="GK7421"/>
      <c r="GL7421"/>
      <c r="GM7421"/>
      <c r="GN7421"/>
      <c r="GO7421"/>
    </row>
    <row r="7422" spans="107:197">
      <c r="DC7422"/>
      <c r="FH7422"/>
      <c r="FI7422"/>
      <c r="FJ7422"/>
      <c r="FK7422"/>
      <c r="FL7422"/>
      <c r="FM7422"/>
      <c r="FN7422"/>
      <c r="FO7422"/>
      <c r="FP7422"/>
      <c r="FQ7422"/>
      <c r="FR7422"/>
      <c r="FS7422"/>
      <c r="FT7422"/>
      <c r="FU7422"/>
      <c r="FV7422"/>
      <c r="FW7422"/>
      <c r="FX7422"/>
      <c r="FY7422"/>
      <c r="FZ7422"/>
      <c r="GA7422"/>
      <c r="GB7422"/>
      <c r="GC7422"/>
      <c r="GD7422"/>
      <c r="GE7422"/>
      <c r="GF7422"/>
      <c r="GG7422"/>
      <c r="GH7422"/>
      <c r="GI7422"/>
      <c r="GJ7422"/>
      <c r="GK7422"/>
      <c r="GL7422"/>
      <c r="GM7422"/>
      <c r="GN7422"/>
      <c r="GO7422"/>
    </row>
    <row r="7423" spans="107:197">
      <c r="DC7423"/>
      <c r="FH7423"/>
      <c r="FI7423"/>
      <c r="FJ7423"/>
      <c r="FK7423"/>
      <c r="FL7423"/>
      <c r="FM7423"/>
      <c r="FN7423"/>
      <c r="FO7423"/>
      <c r="FP7423"/>
      <c r="FQ7423"/>
      <c r="FR7423"/>
      <c r="FS7423"/>
      <c r="FT7423"/>
      <c r="FU7423"/>
      <c r="FV7423"/>
      <c r="FW7423"/>
      <c r="FX7423"/>
      <c r="FY7423"/>
      <c r="FZ7423"/>
      <c r="GA7423"/>
      <c r="GB7423"/>
      <c r="GC7423"/>
      <c r="GD7423"/>
      <c r="GE7423"/>
      <c r="GF7423"/>
      <c r="GG7423"/>
      <c r="GH7423"/>
      <c r="GI7423"/>
      <c r="GJ7423"/>
      <c r="GK7423"/>
      <c r="GL7423"/>
      <c r="GM7423"/>
      <c r="GN7423"/>
      <c r="GO7423"/>
    </row>
    <row r="7424" spans="107:197">
      <c r="DC7424"/>
      <c r="FH7424"/>
      <c r="FI7424"/>
      <c r="FJ7424"/>
      <c r="FK7424"/>
      <c r="FL7424"/>
      <c r="FM7424"/>
      <c r="FN7424"/>
      <c r="FO7424"/>
      <c r="FP7424"/>
      <c r="FQ7424"/>
      <c r="FR7424"/>
      <c r="FS7424"/>
      <c r="FT7424"/>
      <c r="FU7424"/>
      <c r="FV7424"/>
      <c r="FW7424"/>
      <c r="FX7424"/>
      <c r="FY7424"/>
      <c r="FZ7424"/>
      <c r="GA7424"/>
      <c r="GB7424"/>
      <c r="GC7424"/>
      <c r="GD7424"/>
      <c r="GE7424"/>
      <c r="GF7424"/>
      <c r="GG7424"/>
      <c r="GH7424"/>
      <c r="GI7424"/>
      <c r="GJ7424"/>
      <c r="GK7424"/>
      <c r="GL7424"/>
      <c r="GM7424"/>
      <c r="GN7424"/>
      <c r="GO7424"/>
    </row>
    <row r="7425" spans="107:197">
      <c r="DC7425"/>
      <c r="FH7425"/>
      <c r="FI7425"/>
      <c r="FJ7425"/>
      <c r="FK7425"/>
      <c r="FL7425"/>
      <c r="FM7425"/>
      <c r="FN7425"/>
      <c r="FO7425"/>
      <c r="FP7425"/>
      <c r="FQ7425"/>
      <c r="FR7425"/>
      <c r="FS7425"/>
      <c r="FT7425"/>
      <c r="FU7425"/>
      <c r="FV7425"/>
      <c r="FW7425"/>
      <c r="FX7425"/>
      <c r="FY7425"/>
      <c r="FZ7425"/>
      <c r="GA7425"/>
      <c r="GB7425"/>
      <c r="GC7425"/>
      <c r="GD7425"/>
      <c r="GE7425"/>
      <c r="GF7425"/>
      <c r="GG7425"/>
      <c r="GH7425"/>
      <c r="GI7425"/>
      <c r="GJ7425"/>
      <c r="GK7425"/>
      <c r="GL7425"/>
      <c r="GM7425"/>
      <c r="GN7425"/>
      <c r="GO7425"/>
    </row>
    <row r="7426" spans="107:197">
      <c r="DC7426"/>
      <c r="FH7426"/>
      <c r="FI7426"/>
      <c r="FJ7426"/>
      <c r="FK7426"/>
      <c r="FL7426"/>
      <c r="FM7426"/>
      <c r="FN7426"/>
      <c r="FO7426"/>
      <c r="FP7426"/>
      <c r="FQ7426"/>
      <c r="FR7426"/>
      <c r="FS7426"/>
      <c r="FT7426"/>
      <c r="FU7426"/>
      <c r="FV7426"/>
      <c r="FW7426"/>
      <c r="FX7426"/>
      <c r="FY7426"/>
      <c r="FZ7426"/>
      <c r="GA7426"/>
      <c r="GB7426"/>
      <c r="GC7426"/>
      <c r="GD7426"/>
      <c r="GE7426"/>
      <c r="GF7426"/>
      <c r="GG7426"/>
      <c r="GH7426"/>
      <c r="GI7426"/>
      <c r="GJ7426"/>
      <c r="GK7426"/>
      <c r="GL7426"/>
      <c r="GM7426"/>
      <c r="GN7426"/>
      <c r="GO7426"/>
    </row>
    <row r="7427" spans="107:197">
      <c r="DC7427"/>
      <c r="FH7427"/>
      <c r="FI7427"/>
      <c r="FJ7427"/>
      <c r="FK7427"/>
      <c r="FL7427"/>
      <c r="FM7427"/>
      <c r="FN7427"/>
      <c r="FO7427"/>
      <c r="FP7427"/>
      <c r="FQ7427"/>
      <c r="FR7427"/>
      <c r="FS7427"/>
      <c r="FT7427"/>
      <c r="FU7427"/>
      <c r="FV7427"/>
      <c r="FW7427"/>
      <c r="FX7427"/>
      <c r="FY7427"/>
      <c r="FZ7427"/>
      <c r="GA7427"/>
      <c r="GB7427"/>
      <c r="GC7427"/>
      <c r="GD7427"/>
      <c r="GE7427"/>
      <c r="GF7427"/>
      <c r="GG7427"/>
      <c r="GH7427"/>
      <c r="GI7427"/>
      <c r="GJ7427"/>
      <c r="GK7427"/>
      <c r="GL7427"/>
      <c r="GM7427"/>
      <c r="GN7427"/>
      <c r="GO7427"/>
    </row>
    <row r="7428" spans="107:197">
      <c r="DC7428"/>
      <c r="FH7428"/>
      <c r="FI7428"/>
      <c r="FJ7428"/>
      <c r="FK7428"/>
      <c r="FL7428"/>
      <c r="FM7428"/>
      <c r="FN7428"/>
      <c r="FO7428"/>
      <c r="FP7428"/>
      <c r="FQ7428"/>
      <c r="FR7428"/>
      <c r="FS7428"/>
      <c r="FT7428"/>
      <c r="FU7428"/>
      <c r="FV7428"/>
      <c r="FW7428"/>
      <c r="FX7428"/>
      <c r="FY7428"/>
      <c r="FZ7428"/>
      <c r="GA7428"/>
      <c r="GB7428"/>
      <c r="GC7428"/>
      <c r="GD7428"/>
      <c r="GE7428"/>
      <c r="GF7428"/>
      <c r="GG7428"/>
      <c r="GH7428"/>
      <c r="GI7428"/>
      <c r="GJ7428"/>
      <c r="GK7428"/>
      <c r="GL7428"/>
      <c r="GM7428"/>
      <c r="GN7428"/>
      <c r="GO7428"/>
    </row>
    <row r="7429" spans="107:197">
      <c r="DC7429"/>
      <c r="FH7429"/>
      <c r="FI7429"/>
      <c r="FJ7429"/>
      <c r="FK7429"/>
      <c r="FL7429"/>
      <c r="FM7429"/>
      <c r="FN7429"/>
      <c r="FO7429"/>
      <c r="FP7429"/>
      <c r="FQ7429"/>
      <c r="FR7429"/>
      <c r="FS7429"/>
      <c r="FT7429"/>
      <c r="FU7429"/>
      <c r="FV7429"/>
      <c r="FW7429"/>
      <c r="FX7429"/>
      <c r="FY7429"/>
      <c r="FZ7429"/>
      <c r="GA7429"/>
      <c r="GB7429"/>
      <c r="GC7429"/>
      <c r="GD7429"/>
      <c r="GE7429"/>
      <c r="GF7429"/>
      <c r="GG7429"/>
      <c r="GH7429"/>
      <c r="GI7429"/>
      <c r="GJ7429"/>
      <c r="GK7429"/>
      <c r="GL7429"/>
      <c r="GM7429"/>
      <c r="GN7429"/>
      <c r="GO7429"/>
    </row>
    <row r="7430" spans="107:197">
      <c r="DC7430"/>
      <c r="FH7430"/>
      <c r="FI7430"/>
      <c r="FJ7430"/>
      <c r="FK7430"/>
      <c r="FL7430"/>
      <c r="FM7430"/>
      <c r="FN7430"/>
      <c r="FO7430"/>
      <c r="FP7430"/>
      <c r="FQ7430"/>
      <c r="FR7430"/>
      <c r="FS7430"/>
      <c r="FT7430"/>
      <c r="FU7430"/>
      <c r="FV7430"/>
      <c r="FW7430"/>
      <c r="FX7430"/>
      <c r="FY7430"/>
      <c r="FZ7430"/>
      <c r="GA7430"/>
      <c r="GB7430"/>
      <c r="GC7430"/>
      <c r="GD7430"/>
      <c r="GE7430"/>
      <c r="GF7430"/>
      <c r="GG7430"/>
      <c r="GH7430"/>
      <c r="GI7430"/>
      <c r="GJ7430"/>
      <c r="GK7430"/>
      <c r="GL7430"/>
      <c r="GM7430"/>
      <c r="GN7430"/>
      <c r="GO7430"/>
    </row>
    <row r="7431" spans="107:197">
      <c r="DC7431"/>
      <c r="FH7431"/>
      <c r="FI7431"/>
      <c r="FJ7431"/>
      <c r="FK7431"/>
      <c r="FL7431"/>
      <c r="FM7431"/>
      <c r="FN7431"/>
      <c r="FO7431"/>
      <c r="FP7431"/>
      <c r="FQ7431"/>
      <c r="FR7431"/>
      <c r="FS7431"/>
      <c r="FT7431"/>
      <c r="FU7431"/>
      <c r="FV7431"/>
      <c r="FW7431"/>
      <c r="FX7431"/>
      <c r="FY7431"/>
      <c r="FZ7431"/>
      <c r="GA7431"/>
      <c r="GB7431"/>
      <c r="GC7431"/>
      <c r="GD7431"/>
      <c r="GE7431"/>
      <c r="GF7431"/>
      <c r="GG7431"/>
      <c r="GH7431"/>
      <c r="GI7431"/>
      <c r="GJ7431"/>
      <c r="GK7431"/>
      <c r="GL7431"/>
      <c r="GM7431"/>
      <c r="GN7431"/>
      <c r="GO7431"/>
    </row>
    <row r="7432" spans="107:197">
      <c r="DC7432"/>
      <c r="FH7432"/>
      <c r="FI7432"/>
      <c r="FJ7432"/>
      <c r="FK7432"/>
      <c r="FL7432"/>
      <c r="FM7432"/>
      <c r="FN7432"/>
      <c r="FO7432"/>
      <c r="FP7432"/>
      <c r="FQ7432"/>
      <c r="FR7432"/>
      <c r="FS7432"/>
      <c r="FT7432"/>
      <c r="FU7432"/>
      <c r="FV7432"/>
      <c r="FW7432"/>
      <c r="FX7432"/>
      <c r="FY7432"/>
      <c r="FZ7432"/>
      <c r="GA7432"/>
      <c r="GB7432"/>
      <c r="GC7432"/>
      <c r="GD7432"/>
      <c r="GE7432"/>
      <c r="GF7432"/>
      <c r="GG7432"/>
      <c r="GH7432"/>
      <c r="GI7432"/>
      <c r="GJ7432"/>
      <c r="GK7432"/>
      <c r="GL7432"/>
      <c r="GM7432"/>
      <c r="GN7432"/>
      <c r="GO7432"/>
    </row>
    <row r="7433" spans="107:197">
      <c r="DC7433"/>
      <c r="FH7433"/>
      <c r="FI7433"/>
      <c r="FJ7433"/>
      <c r="FK7433"/>
      <c r="FL7433"/>
      <c r="FM7433"/>
      <c r="FN7433"/>
      <c r="FO7433"/>
      <c r="FP7433"/>
      <c r="FQ7433"/>
      <c r="FR7433"/>
      <c r="FS7433"/>
      <c r="FT7433"/>
      <c r="FU7433"/>
      <c r="FV7433"/>
      <c r="FW7433"/>
      <c r="FX7433"/>
      <c r="FY7433"/>
      <c r="FZ7433"/>
      <c r="GA7433"/>
      <c r="GB7433"/>
      <c r="GC7433"/>
      <c r="GD7433"/>
      <c r="GE7433"/>
      <c r="GF7433"/>
      <c r="GG7433"/>
      <c r="GH7433"/>
      <c r="GI7433"/>
      <c r="GJ7433"/>
      <c r="GK7433"/>
      <c r="GL7433"/>
      <c r="GM7433"/>
      <c r="GN7433"/>
      <c r="GO7433"/>
    </row>
    <row r="7434" spans="107:197">
      <c r="DC7434"/>
      <c r="FH7434"/>
      <c r="FI7434"/>
      <c r="FJ7434"/>
      <c r="FK7434"/>
      <c r="FL7434"/>
      <c r="FM7434"/>
      <c r="FN7434"/>
      <c r="FO7434"/>
      <c r="FP7434"/>
      <c r="FQ7434"/>
      <c r="FR7434"/>
      <c r="FS7434"/>
      <c r="FT7434"/>
      <c r="FU7434"/>
      <c r="FV7434"/>
      <c r="FW7434"/>
      <c r="FX7434"/>
      <c r="FY7434"/>
      <c r="FZ7434"/>
      <c r="GA7434"/>
      <c r="GB7434"/>
      <c r="GC7434"/>
      <c r="GD7434"/>
      <c r="GE7434"/>
      <c r="GF7434"/>
      <c r="GG7434"/>
      <c r="GH7434"/>
      <c r="GI7434"/>
      <c r="GJ7434"/>
      <c r="GK7434"/>
      <c r="GL7434"/>
      <c r="GM7434"/>
      <c r="GN7434"/>
      <c r="GO7434"/>
    </row>
    <row r="7435" spans="107:197">
      <c r="DC7435"/>
      <c r="FH7435"/>
      <c r="FI7435"/>
      <c r="FJ7435"/>
      <c r="FK7435"/>
      <c r="FL7435"/>
      <c r="FM7435"/>
      <c r="FN7435"/>
      <c r="FO7435"/>
      <c r="FP7435"/>
      <c r="FQ7435"/>
      <c r="FR7435"/>
      <c r="FS7435"/>
      <c r="FT7435"/>
      <c r="FU7435"/>
      <c r="FV7435"/>
      <c r="FW7435"/>
      <c r="FX7435"/>
      <c r="FY7435"/>
      <c r="FZ7435"/>
      <c r="GA7435"/>
      <c r="GB7435"/>
      <c r="GC7435"/>
      <c r="GD7435"/>
      <c r="GE7435"/>
      <c r="GF7435"/>
      <c r="GG7435"/>
      <c r="GH7435"/>
      <c r="GI7435"/>
      <c r="GJ7435"/>
      <c r="GK7435"/>
      <c r="GL7435"/>
      <c r="GM7435"/>
      <c r="GN7435"/>
      <c r="GO7435"/>
    </row>
    <row r="7436" spans="107:197">
      <c r="DC7436"/>
      <c r="FH7436"/>
      <c r="FI7436"/>
      <c r="FJ7436"/>
      <c r="FK7436"/>
      <c r="FL7436"/>
      <c r="FM7436"/>
      <c r="FN7436"/>
      <c r="FO7436"/>
      <c r="FP7436"/>
      <c r="FQ7436"/>
      <c r="FR7436"/>
      <c r="FS7436"/>
      <c r="FT7436"/>
      <c r="FU7436"/>
      <c r="FV7436"/>
      <c r="FW7436"/>
      <c r="FX7436"/>
      <c r="FY7436"/>
      <c r="FZ7436"/>
      <c r="GA7436"/>
      <c r="GB7436"/>
      <c r="GC7436"/>
      <c r="GD7436"/>
      <c r="GE7436"/>
      <c r="GF7436"/>
      <c r="GG7436"/>
      <c r="GH7436"/>
      <c r="GI7436"/>
      <c r="GJ7436"/>
      <c r="GK7436"/>
      <c r="GL7436"/>
      <c r="GM7436"/>
      <c r="GN7436"/>
      <c r="GO7436"/>
    </row>
    <row r="7437" spans="107:197">
      <c r="DC7437"/>
      <c r="FH7437"/>
      <c r="FI7437"/>
      <c r="FJ7437"/>
      <c r="FK7437"/>
      <c r="FL7437"/>
      <c r="FM7437"/>
      <c r="FN7437"/>
      <c r="FO7437"/>
      <c r="FP7437"/>
      <c r="FQ7437"/>
      <c r="FR7437"/>
      <c r="FS7437"/>
      <c r="FT7437"/>
      <c r="FU7437"/>
      <c r="FV7437"/>
      <c r="FW7437"/>
      <c r="FX7437"/>
      <c r="FY7437"/>
      <c r="FZ7437"/>
      <c r="GA7437"/>
      <c r="GB7437"/>
      <c r="GC7437"/>
      <c r="GD7437"/>
      <c r="GE7437"/>
      <c r="GF7437"/>
      <c r="GG7437"/>
      <c r="GH7437"/>
      <c r="GI7437"/>
      <c r="GJ7437"/>
      <c r="GK7437"/>
      <c r="GL7437"/>
      <c r="GM7437"/>
      <c r="GN7437"/>
      <c r="GO7437"/>
    </row>
    <row r="7438" spans="107:197">
      <c r="DC7438"/>
      <c r="FH7438"/>
      <c r="FI7438"/>
      <c r="FJ7438"/>
      <c r="FK7438"/>
      <c r="FL7438"/>
      <c r="FM7438"/>
      <c r="FN7438"/>
      <c r="FO7438"/>
      <c r="FP7438"/>
      <c r="FQ7438"/>
      <c r="FR7438"/>
      <c r="FS7438"/>
      <c r="FT7438"/>
      <c r="FU7438"/>
      <c r="FV7438"/>
      <c r="FW7438"/>
      <c r="FX7438"/>
      <c r="FY7438"/>
      <c r="FZ7438"/>
      <c r="GA7438"/>
      <c r="GB7438"/>
      <c r="GC7438"/>
      <c r="GD7438"/>
      <c r="GE7438"/>
      <c r="GF7438"/>
      <c r="GG7438"/>
      <c r="GH7438"/>
      <c r="GI7438"/>
      <c r="GJ7438"/>
      <c r="GK7438"/>
      <c r="GL7438"/>
      <c r="GM7438"/>
      <c r="GN7438"/>
      <c r="GO7438"/>
    </row>
    <row r="7439" spans="107:197">
      <c r="DC7439"/>
      <c r="FH7439"/>
      <c r="FI7439"/>
      <c r="FJ7439"/>
      <c r="FK7439"/>
      <c r="FL7439"/>
      <c r="FM7439"/>
      <c r="FN7439"/>
      <c r="FO7439"/>
      <c r="FP7439"/>
      <c r="FQ7439"/>
      <c r="FR7439"/>
      <c r="FS7439"/>
      <c r="FT7439"/>
      <c r="FU7439"/>
      <c r="FV7439"/>
      <c r="FW7439"/>
      <c r="FX7439"/>
      <c r="FY7439"/>
      <c r="FZ7439"/>
      <c r="GA7439"/>
      <c r="GB7439"/>
      <c r="GC7439"/>
      <c r="GD7439"/>
      <c r="GE7439"/>
      <c r="GF7439"/>
      <c r="GG7439"/>
      <c r="GH7439"/>
      <c r="GI7439"/>
      <c r="GJ7439"/>
      <c r="GK7439"/>
      <c r="GL7439"/>
      <c r="GM7439"/>
      <c r="GN7439"/>
      <c r="GO7439"/>
    </row>
    <row r="7440" spans="107:197">
      <c r="DC7440"/>
      <c r="FH7440"/>
      <c r="FI7440"/>
      <c r="FJ7440"/>
      <c r="FK7440"/>
      <c r="FL7440"/>
      <c r="FM7440"/>
      <c r="FN7440"/>
      <c r="FO7440"/>
      <c r="FP7440"/>
      <c r="FQ7440"/>
      <c r="FR7440"/>
      <c r="FS7440"/>
      <c r="FT7440"/>
      <c r="FU7440"/>
      <c r="FV7440"/>
      <c r="FW7440"/>
      <c r="FX7440"/>
      <c r="FY7440"/>
      <c r="FZ7440"/>
      <c r="GA7440"/>
      <c r="GB7440"/>
      <c r="GC7440"/>
      <c r="GD7440"/>
      <c r="GE7440"/>
      <c r="GF7440"/>
      <c r="GG7440"/>
      <c r="GH7440"/>
      <c r="GI7440"/>
      <c r="GJ7440"/>
      <c r="GK7440"/>
      <c r="GL7440"/>
      <c r="GM7440"/>
      <c r="GN7440"/>
      <c r="GO7440"/>
    </row>
    <row r="7441" spans="107:197">
      <c r="DC7441"/>
      <c r="FH7441"/>
      <c r="FI7441"/>
      <c r="FJ7441"/>
      <c r="FK7441"/>
      <c r="FL7441"/>
      <c r="FM7441"/>
      <c r="FN7441"/>
      <c r="FO7441"/>
      <c r="FP7441"/>
      <c r="FQ7441"/>
      <c r="FR7441"/>
      <c r="FS7441"/>
      <c r="FT7441"/>
      <c r="FU7441"/>
      <c r="FV7441"/>
      <c r="FW7441"/>
      <c r="FX7441"/>
      <c r="FY7441"/>
      <c r="FZ7441"/>
      <c r="GA7441"/>
      <c r="GB7441"/>
      <c r="GC7441"/>
      <c r="GD7441"/>
      <c r="GE7441"/>
      <c r="GF7441"/>
      <c r="GG7441"/>
      <c r="GH7441"/>
      <c r="GI7441"/>
      <c r="GJ7441"/>
      <c r="GK7441"/>
      <c r="GL7441"/>
      <c r="GM7441"/>
      <c r="GN7441"/>
      <c r="GO7441"/>
    </row>
    <row r="7442" spans="107:197">
      <c r="DC7442"/>
      <c r="FH7442"/>
      <c r="FI7442"/>
      <c r="FJ7442"/>
      <c r="FK7442"/>
      <c r="FL7442"/>
      <c r="FM7442"/>
      <c r="FN7442"/>
      <c r="FO7442"/>
      <c r="FP7442"/>
      <c r="FQ7442"/>
      <c r="FR7442"/>
      <c r="FS7442"/>
      <c r="FT7442"/>
      <c r="FU7442"/>
      <c r="FV7442"/>
      <c r="FW7442"/>
      <c r="FX7442"/>
      <c r="FY7442"/>
      <c r="FZ7442"/>
      <c r="GA7442"/>
      <c r="GB7442"/>
      <c r="GC7442"/>
      <c r="GD7442"/>
      <c r="GE7442"/>
      <c r="GF7442"/>
      <c r="GG7442"/>
      <c r="GH7442"/>
      <c r="GI7442"/>
      <c r="GJ7442"/>
      <c r="GK7442"/>
      <c r="GL7442"/>
      <c r="GM7442"/>
      <c r="GN7442"/>
      <c r="GO7442"/>
    </row>
    <row r="7443" spans="107:197">
      <c r="DC7443"/>
      <c r="FH7443"/>
      <c r="FI7443"/>
      <c r="FJ7443"/>
      <c r="FK7443"/>
      <c r="FL7443"/>
      <c r="FM7443"/>
      <c r="FN7443"/>
      <c r="FO7443"/>
      <c r="FP7443"/>
      <c r="FQ7443"/>
      <c r="FR7443"/>
      <c r="FS7443"/>
      <c r="FT7443"/>
      <c r="FU7443"/>
      <c r="FV7443"/>
      <c r="FW7443"/>
      <c r="FX7443"/>
      <c r="FY7443"/>
      <c r="FZ7443"/>
      <c r="GA7443"/>
      <c r="GB7443"/>
      <c r="GC7443"/>
      <c r="GD7443"/>
      <c r="GE7443"/>
      <c r="GF7443"/>
      <c r="GG7443"/>
      <c r="GH7443"/>
      <c r="GI7443"/>
      <c r="GJ7443"/>
      <c r="GK7443"/>
      <c r="GL7443"/>
      <c r="GM7443"/>
      <c r="GN7443"/>
      <c r="GO7443"/>
    </row>
    <row r="7444" spans="107:197">
      <c r="DC7444"/>
      <c r="FH7444"/>
      <c r="FI7444"/>
      <c r="FJ7444"/>
      <c r="FK7444"/>
      <c r="FL7444"/>
      <c r="FM7444"/>
      <c r="FN7444"/>
      <c r="FO7444"/>
      <c r="FP7444"/>
      <c r="FQ7444"/>
      <c r="FR7444"/>
      <c r="FS7444"/>
      <c r="FT7444"/>
      <c r="FU7444"/>
      <c r="FV7444"/>
      <c r="FW7444"/>
      <c r="FX7444"/>
      <c r="FY7444"/>
      <c r="FZ7444"/>
      <c r="GA7444"/>
      <c r="GB7444"/>
      <c r="GC7444"/>
      <c r="GD7444"/>
      <c r="GE7444"/>
      <c r="GF7444"/>
      <c r="GG7444"/>
      <c r="GH7444"/>
      <c r="GI7444"/>
      <c r="GJ7444"/>
      <c r="GK7444"/>
      <c r="GL7444"/>
      <c r="GM7444"/>
      <c r="GN7444"/>
      <c r="GO7444"/>
    </row>
    <row r="7445" spans="107:197">
      <c r="DC7445"/>
      <c r="FH7445"/>
      <c r="FI7445"/>
      <c r="FJ7445"/>
      <c r="FK7445"/>
      <c r="FL7445"/>
      <c r="FM7445"/>
      <c r="FN7445"/>
      <c r="FO7445"/>
      <c r="FP7445"/>
      <c r="FQ7445"/>
      <c r="FR7445"/>
      <c r="FS7445"/>
      <c r="FT7445"/>
      <c r="FU7445"/>
      <c r="FV7445"/>
      <c r="FW7445"/>
      <c r="FX7445"/>
      <c r="FY7445"/>
      <c r="FZ7445"/>
      <c r="GA7445"/>
      <c r="GB7445"/>
      <c r="GC7445"/>
      <c r="GD7445"/>
      <c r="GE7445"/>
      <c r="GF7445"/>
      <c r="GG7445"/>
      <c r="GH7445"/>
      <c r="GI7445"/>
      <c r="GJ7445"/>
      <c r="GK7445"/>
      <c r="GL7445"/>
      <c r="GM7445"/>
      <c r="GN7445"/>
      <c r="GO7445"/>
    </row>
    <row r="7446" spans="107:197">
      <c r="DC7446"/>
      <c r="FH7446"/>
      <c r="FI7446"/>
      <c r="FJ7446"/>
      <c r="FK7446"/>
      <c r="FL7446"/>
      <c r="FM7446"/>
      <c r="FN7446"/>
      <c r="FO7446"/>
      <c r="FP7446"/>
      <c r="FQ7446"/>
      <c r="FR7446"/>
      <c r="FS7446"/>
      <c r="FT7446"/>
      <c r="FU7446"/>
      <c r="FV7446"/>
      <c r="FW7446"/>
      <c r="FX7446"/>
      <c r="FY7446"/>
      <c r="FZ7446"/>
      <c r="GA7446"/>
      <c r="GB7446"/>
      <c r="GC7446"/>
      <c r="GD7446"/>
      <c r="GE7446"/>
      <c r="GF7446"/>
      <c r="GG7446"/>
      <c r="GH7446"/>
      <c r="GI7446"/>
      <c r="GJ7446"/>
      <c r="GK7446"/>
      <c r="GL7446"/>
      <c r="GM7446"/>
      <c r="GN7446"/>
      <c r="GO7446"/>
    </row>
    <row r="7447" spans="107:197">
      <c r="DC7447"/>
      <c r="FH7447"/>
      <c r="FI7447"/>
      <c r="FJ7447"/>
      <c r="FK7447"/>
      <c r="FL7447"/>
      <c r="FM7447"/>
      <c r="FN7447"/>
      <c r="FO7447"/>
      <c r="FP7447"/>
      <c r="FQ7447"/>
      <c r="FR7447"/>
      <c r="FS7447"/>
      <c r="FT7447"/>
      <c r="FU7447"/>
      <c r="FV7447"/>
      <c r="FW7447"/>
      <c r="FX7447"/>
      <c r="FY7447"/>
      <c r="FZ7447"/>
      <c r="GA7447"/>
      <c r="GB7447"/>
      <c r="GC7447"/>
      <c r="GD7447"/>
      <c r="GE7447"/>
      <c r="GF7447"/>
      <c r="GG7447"/>
      <c r="GH7447"/>
      <c r="GI7447"/>
      <c r="GJ7447"/>
      <c r="GK7447"/>
      <c r="GL7447"/>
      <c r="GM7447"/>
      <c r="GN7447"/>
      <c r="GO7447"/>
    </row>
    <row r="7448" spans="107:197">
      <c r="DC7448"/>
      <c r="FH7448"/>
      <c r="FI7448"/>
      <c r="FJ7448"/>
      <c r="FK7448"/>
      <c r="FL7448"/>
      <c r="FM7448"/>
      <c r="FN7448"/>
      <c r="FO7448"/>
      <c r="FP7448"/>
      <c r="FQ7448"/>
      <c r="FR7448"/>
      <c r="FS7448"/>
      <c r="FT7448"/>
      <c r="FU7448"/>
      <c r="FV7448"/>
      <c r="FW7448"/>
      <c r="FX7448"/>
      <c r="FY7448"/>
      <c r="FZ7448"/>
      <c r="GA7448"/>
      <c r="GB7448"/>
      <c r="GC7448"/>
      <c r="GD7448"/>
      <c r="GE7448"/>
      <c r="GF7448"/>
      <c r="GG7448"/>
      <c r="GH7448"/>
      <c r="GI7448"/>
      <c r="GJ7448"/>
      <c r="GK7448"/>
      <c r="GL7448"/>
      <c r="GM7448"/>
      <c r="GN7448"/>
      <c r="GO7448"/>
    </row>
    <row r="7449" spans="107:197">
      <c r="DC7449"/>
      <c r="FH7449"/>
      <c r="FI7449"/>
      <c r="FJ7449"/>
      <c r="FK7449"/>
      <c r="FL7449"/>
      <c r="FM7449"/>
      <c r="FN7449"/>
      <c r="FO7449"/>
      <c r="FP7449"/>
      <c r="FQ7449"/>
      <c r="FR7449"/>
      <c r="FS7449"/>
      <c r="FT7449"/>
      <c r="FU7449"/>
      <c r="FV7449"/>
      <c r="FW7449"/>
      <c r="FX7449"/>
      <c r="FY7449"/>
      <c r="FZ7449"/>
      <c r="GA7449"/>
      <c r="GB7449"/>
      <c r="GC7449"/>
      <c r="GD7449"/>
      <c r="GE7449"/>
      <c r="GF7449"/>
      <c r="GG7449"/>
      <c r="GH7449"/>
      <c r="GI7449"/>
      <c r="GJ7449"/>
      <c r="GK7449"/>
      <c r="GL7449"/>
      <c r="GM7449"/>
      <c r="GN7449"/>
      <c r="GO7449"/>
    </row>
    <row r="7450" spans="107:197">
      <c r="DC7450"/>
      <c r="FH7450"/>
      <c r="FI7450"/>
      <c r="FJ7450"/>
      <c r="FK7450"/>
      <c r="FL7450"/>
      <c r="FM7450"/>
      <c r="FN7450"/>
      <c r="FO7450"/>
      <c r="FP7450"/>
      <c r="FQ7450"/>
      <c r="FR7450"/>
      <c r="FS7450"/>
      <c r="FT7450"/>
      <c r="FU7450"/>
      <c r="FV7450"/>
      <c r="FW7450"/>
      <c r="FX7450"/>
      <c r="FY7450"/>
      <c r="FZ7450"/>
      <c r="GA7450"/>
      <c r="GB7450"/>
      <c r="GC7450"/>
      <c r="GD7450"/>
      <c r="GE7450"/>
      <c r="GF7450"/>
      <c r="GG7450"/>
      <c r="GH7450"/>
      <c r="GI7450"/>
      <c r="GJ7450"/>
      <c r="GK7450"/>
      <c r="GL7450"/>
      <c r="GM7450"/>
      <c r="GN7450"/>
      <c r="GO7450"/>
    </row>
    <row r="7451" spans="107:197">
      <c r="DC7451"/>
      <c r="FH7451"/>
      <c r="FI7451"/>
      <c r="FJ7451"/>
      <c r="FK7451"/>
      <c r="FL7451"/>
      <c r="FM7451"/>
      <c r="FN7451"/>
      <c r="FO7451"/>
      <c r="FP7451"/>
      <c r="FQ7451"/>
      <c r="FR7451"/>
      <c r="FS7451"/>
      <c r="FT7451"/>
      <c r="FU7451"/>
      <c r="FV7451"/>
      <c r="FW7451"/>
      <c r="FX7451"/>
      <c r="FY7451"/>
      <c r="FZ7451"/>
      <c r="GA7451"/>
      <c r="GB7451"/>
      <c r="GC7451"/>
      <c r="GD7451"/>
      <c r="GE7451"/>
      <c r="GF7451"/>
      <c r="GG7451"/>
      <c r="GH7451"/>
      <c r="GI7451"/>
      <c r="GJ7451"/>
      <c r="GK7451"/>
      <c r="GL7451"/>
      <c r="GM7451"/>
      <c r="GN7451"/>
      <c r="GO7451"/>
    </row>
    <row r="7452" spans="107:197">
      <c r="DC7452"/>
      <c r="FH7452"/>
      <c r="FI7452"/>
      <c r="FJ7452"/>
      <c r="FK7452"/>
      <c r="FL7452"/>
      <c r="FM7452"/>
      <c r="FN7452"/>
      <c r="FO7452"/>
      <c r="FP7452"/>
      <c r="FQ7452"/>
      <c r="FR7452"/>
      <c r="FS7452"/>
      <c r="FT7452"/>
      <c r="FU7452"/>
      <c r="FV7452"/>
      <c r="FW7452"/>
      <c r="FX7452"/>
      <c r="FY7452"/>
      <c r="FZ7452"/>
      <c r="GA7452"/>
      <c r="GB7452"/>
      <c r="GC7452"/>
      <c r="GD7452"/>
      <c r="GE7452"/>
      <c r="GF7452"/>
      <c r="GG7452"/>
      <c r="GH7452"/>
      <c r="GI7452"/>
      <c r="GJ7452"/>
      <c r="GK7452"/>
      <c r="GL7452"/>
      <c r="GM7452"/>
      <c r="GN7452"/>
      <c r="GO7452"/>
    </row>
    <row r="7453" spans="107:197">
      <c r="DC7453"/>
      <c r="FH7453"/>
      <c r="FI7453"/>
      <c r="FJ7453"/>
      <c r="FK7453"/>
      <c r="FL7453"/>
      <c r="FM7453"/>
      <c r="FN7453"/>
      <c r="FO7453"/>
      <c r="FP7453"/>
      <c r="FQ7453"/>
      <c r="FR7453"/>
      <c r="FS7453"/>
      <c r="FT7453"/>
      <c r="FU7453"/>
      <c r="FV7453"/>
      <c r="FW7453"/>
      <c r="FX7453"/>
      <c r="FY7453"/>
      <c r="FZ7453"/>
      <c r="GA7453"/>
      <c r="GB7453"/>
      <c r="GC7453"/>
      <c r="GD7453"/>
      <c r="GE7453"/>
      <c r="GF7453"/>
      <c r="GG7453"/>
      <c r="GH7453"/>
      <c r="GI7453"/>
      <c r="GJ7453"/>
      <c r="GK7453"/>
      <c r="GL7453"/>
      <c r="GM7453"/>
      <c r="GN7453"/>
      <c r="GO7453"/>
    </row>
    <row r="7454" spans="107:197">
      <c r="DC7454"/>
      <c r="FH7454"/>
      <c r="FI7454"/>
      <c r="FJ7454"/>
      <c r="FK7454"/>
      <c r="FL7454"/>
      <c r="FM7454"/>
      <c r="FN7454"/>
      <c r="FO7454"/>
      <c r="FP7454"/>
      <c r="FQ7454"/>
      <c r="FR7454"/>
      <c r="FS7454"/>
      <c r="FT7454"/>
      <c r="FU7454"/>
      <c r="FV7454"/>
      <c r="FW7454"/>
      <c r="FX7454"/>
      <c r="FY7454"/>
      <c r="FZ7454"/>
      <c r="GA7454"/>
      <c r="GB7454"/>
      <c r="GC7454"/>
      <c r="GD7454"/>
      <c r="GE7454"/>
      <c r="GF7454"/>
      <c r="GG7454"/>
      <c r="GH7454"/>
      <c r="GI7454"/>
      <c r="GJ7454"/>
      <c r="GK7454"/>
      <c r="GL7454"/>
      <c r="GM7454"/>
      <c r="GN7454"/>
      <c r="GO7454"/>
    </row>
    <row r="7455" spans="107:197">
      <c r="DC7455"/>
      <c r="FH7455"/>
      <c r="FI7455"/>
      <c r="FJ7455"/>
      <c r="FK7455"/>
      <c r="FL7455"/>
      <c r="FM7455"/>
      <c r="FN7455"/>
      <c r="FO7455"/>
      <c r="FP7455"/>
      <c r="FQ7455"/>
      <c r="FR7455"/>
      <c r="FS7455"/>
      <c r="FT7455"/>
      <c r="FU7455"/>
      <c r="FV7455"/>
      <c r="FW7455"/>
      <c r="FX7455"/>
      <c r="FY7455"/>
      <c r="FZ7455"/>
      <c r="GA7455"/>
      <c r="GB7455"/>
      <c r="GC7455"/>
      <c r="GD7455"/>
      <c r="GE7455"/>
      <c r="GF7455"/>
      <c r="GG7455"/>
      <c r="GH7455"/>
      <c r="GI7455"/>
      <c r="GJ7455"/>
      <c r="GK7455"/>
      <c r="GL7455"/>
      <c r="GM7455"/>
      <c r="GN7455"/>
      <c r="GO7455"/>
    </row>
    <row r="7456" spans="107:197">
      <c r="DC7456"/>
      <c r="FH7456"/>
      <c r="FI7456"/>
      <c r="FJ7456"/>
      <c r="FK7456"/>
      <c r="FL7456"/>
      <c r="FM7456"/>
      <c r="FN7456"/>
      <c r="FO7456"/>
      <c r="FP7456"/>
      <c r="FQ7456"/>
      <c r="FR7456"/>
      <c r="FS7456"/>
      <c r="FT7456"/>
      <c r="FU7456"/>
      <c r="FV7456"/>
      <c r="FW7456"/>
      <c r="FX7456"/>
      <c r="FY7456"/>
      <c r="FZ7456"/>
      <c r="GA7456"/>
      <c r="GB7456"/>
      <c r="GC7456"/>
      <c r="GD7456"/>
      <c r="GE7456"/>
      <c r="GF7456"/>
      <c r="GG7456"/>
      <c r="GH7456"/>
      <c r="GI7456"/>
      <c r="GJ7456"/>
      <c r="GK7456"/>
      <c r="GL7456"/>
      <c r="GM7456"/>
      <c r="GN7456"/>
      <c r="GO7456"/>
    </row>
    <row r="7457" spans="107:197">
      <c r="DC7457"/>
      <c r="FH7457"/>
      <c r="FI7457"/>
      <c r="FJ7457"/>
      <c r="FK7457"/>
      <c r="FL7457"/>
      <c r="FM7457"/>
      <c r="FN7457"/>
      <c r="FO7457"/>
      <c r="FP7457"/>
      <c r="FQ7457"/>
      <c r="FR7457"/>
      <c r="FS7457"/>
      <c r="FT7457"/>
      <c r="FU7457"/>
      <c r="FV7457"/>
      <c r="FW7457"/>
      <c r="FX7457"/>
      <c r="FY7457"/>
      <c r="FZ7457"/>
      <c r="GA7457"/>
      <c r="GB7457"/>
      <c r="GC7457"/>
      <c r="GD7457"/>
      <c r="GE7457"/>
      <c r="GF7457"/>
      <c r="GG7457"/>
      <c r="GH7457"/>
      <c r="GI7457"/>
      <c r="GJ7457"/>
      <c r="GK7457"/>
      <c r="GL7457"/>
      <c r="GM7457"/>
      <c r="GN7457"/>
      <c r="GO7457"/>
    </row>
    <row r="7458" spans="107:197">
      <c r="DC7458"/>
      <c r="FH7458"/>
      <c r="FI7458"/>
      <c r="FJ7458"/>
      <c r="FK7458"/>
      <c r="FL7458"/>
      <c r="FM7458"/>
      <c r="FN7458"/>
      <c r="FO7458"/>
      <c r="FP7458"/>
      <c r="FQ7458"/>
      <c r="FR7458"/>
      <c r="FS7458"/>
      <c r="FT7458"/>
      <c r="FU7458"/>
      <c r="FV7458"/>
      <c r="FW7458"/>
      <c r="FX7458"/>
      <c r="FY7458"/>
      <c r="FZ7458"/>
      <c r="GA7458"/>
      <c r="GB7458"/>
      <c r="GC7458"/>
      <c r="GD7458"/>
      <c r="GE7458"/>
      <c r="GF7458"/>
      <c r="GG7458"/>
      <c r="GH7458"/>
      <c r="GI7458"/>
      <c r="GJ7458"/>
      <c r="GK7458"/>
      <c r="GL7458"/>
      <c r="GM7458"/>
      <c r="GN7458"/>
      <c r="GO7458"/>
    </row>
    <row r="7459" spans="107:197">
      <c r="DC7459"/>
      <c r="FH7459"/>
      <c r="FI7459"/>
      <c r="FJ7459"/>
      <c r="FK7459"/>
      <c r="FL7459"/>
      <c r="FM7459"/>
      <c r="FN7459"/>
      <c r="FO7459"/>
      <c r="FP7459"/>
      <c r="FQ7459"/>
      <c r="FR7459"/>
      <c r="FS7459"/>
      <c r="FT7459"/>
      <c r="FU7459"/>
      <c r="FV7459"/>
      <c r="FW7459"/>
      <c r="FX7459"/>
      <c r="FY7459"/>
      <c r="FZ7459"/>
      <c r="GA7459"/>
      <c r="GB7459"/>
      <c r="GC7459"/>
      <c r="GD7459"/>
      <c r="GE7459"/>
      <c r="GF7459"/>
      <c r="GG7459"/>
      <c r="GH7459"/>
      <c r="GI7459"/>
      <c r="GJ7459"/>
      <c r="GK7459"/>
      <c r="GL7459"/>
      <c r="GM7459"/>
      <c r="GN7459"/>
      <c r="GO7459"/>
    </row>
    <row r="7460" spans="107:197">
      <c r="DC7460"/>
      <c r="FH7460"/>
      <c r="FI7460"/>
      <c r="FJ7460"/>
      <c r="FK7460"/>
      <c r="FL7460"/>
      <c r="FM7460"/>
      <c r="FN7460"/>
      <c r="FO7460"/>
      <c r="FP7460"/>
      <c r="FQ7460"/>
      <c r="FR7460"/>
      <c r="FS7460"/>
      <c r="FT7460"/>
      <c r="FU7460"/>
      <c r="FV7460"/>
      <c r="FW7460"/>
      <c r="FX7460"/>
      <c r="FY7460"/>
      <c r="FZ7460"/>
      <c r="GA7460"/>
      <c r="GB7460"/>
      <c r="GC7460"/>
      <c r="GD7460"/>
      <c r="GE7460"/>
      <c r="GF7460"/>
      <c r="GG7460"/>
      <c r="GH7460"/>
      <c r="GI7460"/>
      <c r="GJ7460"/>
      <c r="GK7460"/>
      <c r="GL7460"/>
      <c r="GM7460"/>
      <c r="GN7460"/>
      <c r="GO7460"/>
    </row>
    <row r="7461" spans="107:197">
      <c r="DC7461"/>
      <c r="FH7461"/>
      <c r="FI7461"/>
      <c r="FJ7461"/>
      <c r="FK7461"/>
      <c r="FL7461"/>
      <c r="FM7461"/>
      <c r="FN7461"/>
      <c r="FO7461"/>
      <c r="FP7461"/>
      <c r="FQ7461"/>
      <c r="FR7461"/>
      <c r="FS7461"/>
      <c r="FT7461"/>
      <c r="FU7461"/>
      <c r="FV7461"/>
      <c r="FW7461"/>
      <c r="FX7461"/>
      <c r="FY7461"/>
      <c r="FZ7461"/>
      <c r="GA7461"/>
      <c r="GB7461"/>
      <c r="GC7461"/>
      <c r="GD7461"/>
      <c r="GE7461"/>
      <c r="GF7461"/>
      <c r="GG7461"/>
      <c r="GH7461"/>
      <c r="GI7461"/>
      <c r="GJ7461"/>
      <c r="GK7461"/>
      <c r="GL7461"/>
      <c r="GM7461"/>
      <c r="GN7461"/>
      <c r="GO7461"/>
    </row>
    <row r="7462" spans="107:197">
      <c r="DC7462"/>
      <c r="FH7462"/>
      <c r="FI7462"/>
      <c r="FJ7462"/>
      <c r="FK7462"/>
      <c r="FL7462"/>
      <c r="FM7462"/>
      <c r="FN7462"/>
      <c r="FO7462"/>
      <c r="FP7462"/>
      <c r="FQ7462"/>
      <c r="FR7462"/>
      <c r="FS7462"/>
      <c r="FT7462"/>
      <c r="FU7462"/>
      <c r="FV7462"/>
      <c r="FW7462"/>
      <c r="FX7462"/>
      <c r="FY7462"/>
      <c r="FZ7462"/>
      <c r="GA7462"/>
      <c r="GB7462"/>
      <c r="GC7462"/>
      <c r="GD7462"/>
      <c r="GE7462"/>
      <c r="GF7462"/>
      <c r="GG7462"/>
      <c r="GH7462"/>
      <c r="GI7462"/>
      <c r="GJ7462"/>
      <c r="GK7462"/>
      <c r="GL7462"/>
      <c r="GM7462"/>
      <c r="GN7462"/>
      <c r="GO7462"/>
    </row>
    <row r="7463" spans="107:197">
      <c r="DC7463"/>
      <c r="FH7463"/>
      <c r="FI7463"/>
      <c r="FJ7463"/>
      <c r="FK7463"/>
      <c r="FL7463"/>
      <c r="FM7463"/>
      <c r="FN7463"/>
      <c r="FO7463"/>
      <c r="FP7463"/>
      <c r="FQ7463"/>
      <c r="FR7463"/>
      <c r="FS7463"/>
      <c r="FT7463"/>
      <c r="FU7463"/>
      <c r="FV7463"/>
      <c r="FW7463"/>
      <c r="FX7463"/>
      <c r="FY7463"/>
      <c r="FZ7463"/>
      <c r="GA7463"/>
      <c r="GB7463"/>
      <c r="GC7463"/>
      <c r="GD7463"/>
      <c r="GE7463"/>
      <c r="GF7463"/>
      <c r="GG7463"/>
      <c r="GH7463"/>
      <c r="GI7463"/>
      <c r="GJ7463"/>
      <c r="GK7463"/>
      <c r="GL7463"/>
      <c r="GM7463"/>
      <c r="GN7463"/>
      <c r="GO7463"/>
    </row>
    <row r="7464" spans="107:197">
      <c r="DC7464"/>
      <c r="FH7464"/>
      <c r="FI7464"/>
      <c r="FJ7464"/>
      <c r="FK7464"/>
      <c r="FL7464"/>
      <c r="FM7464"/>
      <c r="FN7464"/>
      <c r="FO7464"/>
      <c r="FP7464"/>
      <c r="FQ7464"/>
      <c r="FR7464"/>
      <c r="FS7464"/>
      <c r="FT7464"/>
      <c r="FU7464"/>
      <c r="FV7464"/>
      <c r="FW7464"/>
      <c r="FX7464"/>
      <c r="FY7464"/>
      <c r="FZ7464"/>
      <c r="GA7464"/>
      <c r="GB7464"/>
      <c r="GC7464"/>
      <c r="GD7464"/>
      <c r="GE7464"/>
      <c r="GF7464"/>
      <c r="GG7464"/>
      <c r="GH7464"/>
      <c r="GI7464"/>
      <c r="GJ7464"/>
      <c r="GK7464"/>
      <c r="GL7464"/>
      <c r="GM7464"/>
      <c r="GN7464"/>
      <c r="GO7464"/>
    </row>
    <row r="7465" spans="107:197">
      <c r="DC7465"/>
      <c r="FH7465"/>
      <c r="FI7465"/>
      <c r="FJ7465"/>
      <c r="FK7465"/>
      <c r="FL7465"/>
      <c r="FM7465"/>
      <c r="FN7465"/>
      <c r="FO7465"/>
      <c r="FP7465"/>
      <c r="FQ7465"/>
      <c r="FR7465"/>
      <c r="FS7465"/>
      <c r="FT7465"/>
      <c r="FU7465"/>
      <c r="FV7465"/>
      <c r="FW7465"/>
      <c r="FX7465"/>
      <c r="FY7465"/>
      <c r="FZ7465"/>
      <c r="GA7465"/>
      <c r="GB7465"/>
      <c r="GC7465"/>
      <c r="GD7465"/>
      <c r="GE7465"/>
      <c r="GF7465"/>
      <c r="GG7465"/>
      <c r="GH7465"/>
      <c r="GI7465"/>
      <c r="GJ7465"/>
      <c r="GK7465"/>
      <c r="GL7465"/>
      <c r="GM7465"/>
      <c r="GN7465"/>
      <c r="GO7465"/>
    </row>
    <row r="7466" spans="107:197">
      <c r="DC7466"/>
      <c r="FH7466"/>
      <c r="FI7466"/>
      <c r="FJ7466"/>
      <c r="FK7466"/>
      <c r="FL7466"/>
      <c r="FM7466"/>
      <c r="FN7466"/>
      <c r="FO7466"/>
      <c r="FP7466"/>
      <c r="FQ7466"/>
      <c r="FR7466"/>
      <c r="FS7466"/>
      <c r="FT7466"/>
      <c r="FU7466"/>
      <c r="FV7466"/>
      <c r="FW7466"/>
      <c r="FX7466"/>
      <c r="FY7466"/>
      <c r="FZ7466"/>
      <c r="GA7466"/>
      <c r="GB7466"/>
      <c r="GC7466"/>
      <c r="GD7466"/>
      <c r="GE7466"/>
      <c r="GF7466"/>
      <c r="GG7466"/>
      <c r="GH7466"/>
      <c r="GI7466"/>
      <c r="GJ7466"/>
      <c r="GK7466"/>
      <c r="GL7466"/>
      <c r="GM7466"/>
      <c r="GN7466"/>
      <c r="GO7466"/>
    </row>
    <row r="7467" spans="107:197">
      <c r="DC7467"/>
      <c r="FH7467"/>
      <c r="FI7467"/>
      <c r="FJ7467"/>
      <c r="FK7467"/>
      <c r="FL7467"/>
      <c r="FM7467"/>
      <c r="FN7467"/>
      <c r="FO7467"/>
      <c r="FP7467"/>
      <c r="FQ7467"/>
      <c r="FR7467"/>
      <c r="FS7467"/>
      <c r="FT7467"/>
      <c r="FU7467"/>
      <c r="FV7467"/>
      <c r="FW7467"/>
      <c r="FX7467"/>
      <c r="FY7467"/>
      <c r="FZ7467"/>
      <c r="GA7467"/>
      <c r="GB7467"/>
      <c r="GC7467"/>
      <c r="GD7467"/>
      <c r="GE7467"/>
      <c r="GF7467"/>
      <c r="GG7467"/>
      <c r="GH7467"/>
      <c r="GI7467"/>
      <c r="GJ7467"/>
      <c r="GK7467"/>
      <c r="GL7467"/>
      <c r="GM7467"/>
      <c r="GN7467"/>
      <c r="GO7467"/>
    </row>
    <row r="7468" spans="107:197">
      <c r="DC7468"/>
      <c r="FH7468"/>
      <c r="FI7468"/>
      <c r="FJ7468"/>
      <c r="FK7468"/>
      <c r="FL7468"/>
      <c r="FM7468"/>
      <c r="FN7468"/>
      <c r="FO7468"/>
      <c r="FP7468"/>
      <c r="FQ7468"/>
      <c r="FR7468"/>
      <c r="FS7468"/>
      <c r="FT7468"/>
      <c r="FU7468"/>
      <c r="FV7468"/>
      <c r="FW7468"/>
      <c r="FX7468"/>
      <c r="FY7468"/>
      <c r="FZ7468"/>
      <c r="GA7468"/>
      <c r="GB7468"/>
      <c r="GC7468"/>
      <c r="GD7468"/>
      <c r="GE7468"/>
      <c r="GF7468"/>
      <c r="GG7468"/>
      <c r="GH7468"/>
      <c r="GI7468"/>
      <c r="GJ7468"/>
      <c r="GK7468"/>
      <c r="GL7468"/>
      <c r="GM7468"/>
      <c r="GN7468"/>
      <c r="GO7468"/>
    </row>
    <row r="7469" spans="107:197">
      <c r="DC7469"/>
      <c r="FH7469"/>
      <c r="FI7469"/>
      <c r="FJ7469"/>
      <c r="FK7469"/>
      <c r="FL7469"/>
      <c r="FM7469"/>
      <c r="FN7469"/>
      <c r="FO7469"/>
      <c r="FP7469"/>
      <c r="FQ7469"/>
      <c r="FR7469"/>
      <c r="FS7469"/>
      <c r="FT7469"/>
      <c r="FU7469"/>
      <c r="FV7469"/>
      <c r="FW7469"/>
      <c r="FX7469"/>
      <c r="FY7469"/>
      <c r="FZ7469"/>
      <c r="GA7469"/>
      <c r="GB7469"/>
      <c r="GC7469"/>
      <c r="GD7469"/>
      <c r="GE7469"/>
      <c r="GF7469"/>
      <c r="GG7469"/>
      <c r="GH7469"/>
      <c r="GI7469"/>
      <c r="GJ7469"/>
      <c r="GK7469"/>
      <c r="GL7469"/>
      <c r="GM7469"/>
      <c r="GN7469"/>
      <c r="GO7469"/>
    </row>
    <row r="7470" spans="107:197">
      <c r="DC7470"/>
      <c r="FH7470"/>
      <c r="FI7470"/>
      <c r="FJ7470"/>
      <c r="FK7470"/>
      <c r="FL7470"/>
      <c r="FM7470"/>
      <c r="FN7470"/>
      <c r="FO7470"/>
      <c r="FP7470"/>
      <c r="FQ7470"/>
      <c r="FR7470"/>
      <c r="FS7470"/>
      <c r="FT7470"/>
      <c r="FU7470"/>
      <c r="FV7470"/>
      <c r="FW7470"/>
      <c r="FX7470"/>
      <c r="FY7470"/>
      <c r="FZ7470"/>
      <c r="GA7470"/>
      <c r="GB7470"/>
      <c r="GC7470"/>
      <c r="GD7470"/>
      <c r="GE7470"/>
      <c r="GF7470"/>
      <c r="GG7470"/>
      <c r="GH7470"/>
      <c r="GI7470"/>
      <c r="GJ7470"/>
      <c r="GK7470"/>
      <c r="GL7470"/>
      <c r="GM7470"/>
      <c r="GN7470"/>
      <c r="GO7470"/>
    </row>
    <row r="7471" spans="107:197">
      <c r="DC7471"/>
      <c r="FH7471"/>
      <c r="FI7471"/>
      <c r="FJ7471"/>
      <c r="FK7471"/>
      <c r="FL7471"/>
      <c r="FM7471"/>
      <c r="FN7471"/>
      <c r="FO7471"/>
      <c r="FP7471"/>
      <c r="FQ7471"/>
      <c r="FR7471"/>
      <c r="FS7471"/>
      <c r="FT7471"/>
      <c r="FU7471"/>
      <c r="FV7471"/>
      <c r="FW7471"/>
      <c r="FX7471"/>
      <c r="FY7471"/>
      <c r="FZ7471"/>
      <c r="GA7471"/>
      <c r="GB7471"/>
      <c r="GC7471"/>
      <c r="GD7471"/>
      <c r="GE7471"/>
      <c r="GF7471"/>
      <c r="GG7471"/>
      <c r="GH7471"/>
      <c r="GI7471"/>
      <c r="GJ7471"/>
      <c r="GK7471"/>
      <c r="GL7471"/>
      <c r="GM7471"/>
      <c r="GN7471"/>
      <c r="GO7471"/>
    </row>
    <row r="7472" spans="107:197">
      <c r="DC7472"/>
      <c r="FH7472"/>
      <c r="FI7472"/>
      <c r="FJ7472"/>
      <c r="FK7472"/>
      <c r="FL7472"/>
      <c r="FM7472"/>
      <c r="FN7472"/>
      <c r="FO7472"/>
      <c r="FP7472"/>
      <c r="FQ7472"/>
      <c r="FR7472"/>
      <c r="FS7472"/>
      <c r="FT7472"/>
      <c r="FU7472"/>
      <c r="FV7472"/>
      <c r="FW7472"/>
      <c r="FX7472"/>
      <c r="FY7472"/>
      <c r="FZ7472"/>
      <c r="GA7472"/>
      <c r="GB7472"/>
      <c r="GC7472"/>
      <c r="GD7472"/>
      <c r="GE7472"/>
      <c r="GF7472"/>
      <c r="GG7472"/>
      <c r="GH7472"/>
      <c r="GI7472"/>
      <c r="GJ7472"/>
      <c r="GK7472"/>
      <c r="GL7472"/>
      <c r="GM7472"/>
      <c r="GN7472"/>
      <c r="GO7472"/>
    </row>
    <row r="7473" spans="107:197">
      <c r="DC7473"/>
      <c r="FH7473"/>
      <c r="FI7473"/>
      <c r="FJ7473"/>
      <c r="FK7473"/>
      <c r="FL7473"/>
      <c r="FM7473"/>
      <c r="FN7473"/>
      <c r="FO7473"/>
      <c r="FP7473"/>
      <c r="FQ7473"/>
      <c r="FR7473"/>
      <c r="FS7473"/>
      <c r="FT7473"/>
      <c r="FU7473"/>
      <c r="FV7473"/>
      <c r="FW7473"/>
      <c r="FX7473"/>
      <c r="FY7473"/>
      <c r="FZ7473"/>
      <c r="GA7473"/>
      <c r="GB7473"/>
      <c r="GC7473"/>
      <c r="GD7473"/>
      <c r="GE7473"/>
      <c r="GF7473"/>
      <c r="GG7473"/>
      <c r="GH7473"/>
      <c r="GI7473"/>
      <c r="GJ7473"/>
      <c r="GK7473"/>
      <c r="GL7473"/>
      <c r="GM7473"/>
      <c r="GN7473"/>
      <c r="GO7473"/>
    </row>
    <row r="7474" spans="107:197">
      <c r="DC7474"/>
      <c r="FH7474"/>
      <c r="FI7474"/>
      <c r="FJ7474"/>
      <c r="FK7474"/>
      <c r="FL7474"/>
      <c r="FM7474"/>
      <c r="FN7474"/>
      <c r="FO7474"/>
      <c r="FP7474"/>
      <c r="FQ7474"/>
      <c r="FR7474"/>
      <c r="FS7474"/>
      <c r="FT7474"/>
      <c r="FU7474"/>
      <c r="FV7474"/>
      <c r="FW7474"/>
      <c r="FX7474"/>
      <c r="FY7474"/>
      <c r="FZ7474"/>
      <c r="GA7474"/>
      <c r="GB7474"/>
      <c r="GC7474"/>
      <c r="GD7474"/>
      <c r="GE7474"/>
      <c r="GF7474"/>
      <c r="GG7474"/>
      <c r="GH7474"/>
      <c r="GI7474"/>
      <c r="GJ7474"/>
      <c r="GK7474"/>
      <c r="GL7474"/>
      <c r="GM7474"/>
      <c r="GN7474"/>
      <c r="GO7474"/>
    </row>
    <row r="7475" spans="107:197">
      <c r="DC7475"/>
      <c r="FH7475"/>
      <c r="FI7475"/>
      <c r="FJ7475"/>
      <c r="FK7475"/>
      <c r="FL7475"/>
      <c r="FM7475"/>
      <c r="FN7475"/>
      <c r="FO7475"/>
      <c r="FP7475"/>
      <c r="FQ7475"/>
      <c r="FR7475"/>
      <c r="FS7475"/>
      <c r="FT7475"/>
      <c r="FU7475"/>
      <c r="FV7475"/>
      <c r="FW7475"/>
      <c r="FX7475"/>
      <c r="FY7475"/>
      <c r="FZ7475"/>
      <c r="GA7475"/>
      <c r="GB7475"/>
      <c r="GC7475"/>
      <c r="GD7475"/>
      <c r="GE7475"/>
      <c r="GF7475"/>
      <c r="GG7475"/>
      <c r="GH7475"/>
      <c r="GI7475"/>
      <c r="GJ7475"/>
      <c r="GK7475"/>
      <c r="GL7475"/>
      <c r="GM7475"/>
      <c r="GN7475"/>
      <c r="GO7475"/>
    </row>
    <row r="7476" spans="107:197">
      <c r="DC7476"/>
      <c r="FH7476"/>
      <c r="FI7476"/>
      <c r="FJ7476"/>
      <c r="FK7476"/>
      <c r="FL7476"/>
      <c r="FM7476"/>
      <c r="FN7476"/>
      <c r="FO7476"/>
      <c r="FP7476"/>
      <c r="FQ7476"/>
      <c r="FR7476"/>
      <c r="FS7476"/>
      <c r="FT7476"/>
      <c r="FU7476"/>
      <c r="FV7476"/>
      <c r="FW7476"/>
      <c r="FX7476"/>
      <c r="FY7476"/>
      <c r="FZ7476"/>
      <c r="GA7476"/>
      <c r="GB7476"/>
      <c r="GC7476"/>
      <c r="GD7476"/>
      <c r="GE7476"/>
      <c r="GF7476"/>
      <c r="GG7476"/>
      <c r="GH7476"/>
      <c r="GI7476"/>
      <c r="GJ7476"/>
      <c r="GK7476"/>
      <c r="GL7476"/>
      <c r="GM7476"/>
      <c r="GN7476"/>
      <c r="GO7476"/>
    </row>
    <row r="7477" spans="107:197">
      <c r="DC7477"/>
      <c r="FH7477"/>
      <c r="FI7477"/>
      <c r="FJ7477"/>
      <c r="FK7477"/>
      <c r="FL7477"/>
      <c r="FM7477"/>
      <c r="FN7477"/>
      <c r="FO7477"/>
      <c r="FP7477"/>
      <c r="FQ7477"/>
      <c r="FR7477"/>
      <c r="FS7477"/>
      <c r="FT7477"/>
      <c r="FU7477"/>
      <c r="FV7477"/>
      <c r="FW7477"/>
      <c r="FX7477"/>
      <c r="FY7477"/>
      <c r="FZ7477"/>
      <c r="GA7477"/>
      <c r="GB7477"/>
      <c r="GC7477"/>
      <c r="GD7477"/>
      <c r="GE7477"/>
      <c r="GF7477"/>
      <c r="GG7477"/>
      <c r="GH7477"/>
      <c r="GI7477"/>
      <c r="GJ7477"/>
      <c r="GK7477"/>
      <c r="GL7477"/>
      <c r="GM7477"/>
      <c r="GN7477"/>
      <c r="GO7477"/>
    </row>
    <row r="7478" spans="107:197">
      <c r="DC7478"/>
      <c r="FH7478"/>
      <c r="FI7478"/>
      <c r="FJ7478"/>
      <c r="FK7478"/>
      <c r="FL7478"/>
      <c r="FM7478"/>
      <c r="FN7478"/>
      <c r="FO7478"/>
      <c r="FP7478"/>
      <c r="FQ7478"/>
      <c r="FR7478"/>
      <c r="FS7478"/>
      <c r="FT7478"/>
      <c r="FU7478"/>
      <c r="FV7478"/>
      <c r="FW7478"/>
      <c r="FX7478"/>
      <c r="FY7478"/>
      <c r="FZ7478"/>
      <c r="GA7478"/>
      <c r="GB7478"/>
      <c r="GC7478"/>
      <c r="GD7478"/>
      <c r="GE7478"/>
      <c r="GF7478"/>
      <c r="GG7478"/>
      <c r="GH7478"/>
      <c r="GI7478"/>
      <c r="GJ7478"/>
      <c r="GK7478"/>
      <c r="GL7478"/>
      <c r="GM7478"/>
      <c r="GN7478"/>
      <c r="GO7478"/>
    </row>
    <row r="7479" spans="107:197">
      <c r="DC7479"/>
      <c r="FH7479"/>
      <c r="FI7479"/>
      <c r="FJ7479"/>
      <c r="FK7479"/>
      <c r="FL7479"/>
      <c r="FM7479"/>
      <c r="FN7479"/>
      <c r="FO7479"/>
      <c r="FP7479"/>
      <c r="FQ7479"/>
      <c r="FR7479"/>
      <c r="FS7479"/>
      <c r="FT7479"/>
      <c r="FU7479"/>
      <c r="FV7479"/>
      <c r="FW7479"/>
      <c r="FX7479"/>
      <c r="FY7479"/>
      <c r="FZ7479"/>
      <c r="GA7479"/>
      <c r="GB7479"/>
      <c r="GC7479"/>
      <c r="GD7479"/>
      <c r="GE7479"/>
      <c r="GF7479"/>
      <c r="GG7479"/>
      <c r="GH7479"/>
      <c r="GI7479"/>
      <c r="GJ7479"/>
      <c r="GK7479"/>
      <c r="GL7479"/>
      <c r="GM7479"/>
      <c r="GN7479"/>
      <c r="GO7479"/>
    </row>
    <row r="7480" spans="107:197">
      <c r="DC7480"/>
      <c r="FH7480"/>
      <c r="FI7480"/>
      <c r="FJ7480"/>
      <c r="FK7480"/>
      <c r="FL7480"/>
      <c r="FM7480"/>
      <c r="FN7480"/>
      <c r="FO7480"/>
      <c r="FP7480"/>
      <c r="FQ7480"/>
      <c r="FR7480"/>
      <c r="FS7480"/>
      <c r="FT7480"/>
      <c r="FU7480"/>
      <c r="FV7480"/>
      <c r="FW7480"/>
      <c r="FX7480"/>
      <c r="FY7480"/>
      <c r="FZ7480"/>
      <c r="GA7480"/>
      <c r="GB7480"/>
      <c r="GC7480"/>
      <c r="GD7480"/>
      <c r="GE7480"/>
      <c r="GF7480"/>
      <c r="GG7480"/>
      <c r="GH7480"/>
      <c r="GI7480"/>
      <c r="GJ7480"/>
      <c r="GK7480"/>
      <c r="GL7480"/>
      <c r="GM7480"/>
      <c r="GN7480"/>
      <c r="GO7480"/>
    </row>
    <row r="7481" spans="107:197">
      <c r="DC7481"/>
      <c r="FH7481"/>
      <c r="FI7481"/>
      <c r="FJ7481"/>
      <c r="FK7481"/>
      <c r="FL7481"/>
      <c r="FM7481"/>
      <c r="FN7481"/>
      <c r="FO7481"/>
      <c r="FP7481"/>
      <c r="FQ7481"/>
      <c r="FR7481"/>
      <c r="FS7481"/>
      <c r="FT7481"/>
      <c r="FU7481"/>
      <c r="FV7481"/>
      <c r="FW7481"/>
      <c r="FX7481"/>
      <c r="FY7481"/>
      <c r="FZ7481"/>
      <c r="GA7481"/>
      <c r="GB7481"/>
      <c r="GC7481"/>
      <c r="GD7481"/>
      <c r="GE7481"/>
      <c r="GF7481"/>
      <c r="GG7481"/>
      <c r="GH7481"/>
      <c r="GI7481"/>
      <c r="GJ7481"/>
      <c r="GK7481"/>
      <c r="GL7481"/>
      <c r="GM7481"/>
      <c r="GN7481"/>
      <c r="GO7481"/>
    </row>
    <row r="7482" spans="107:197">
      <c r="DC7482"/>
      <c r="FH7482"/>
      <c r="FI7482"/>
      <c r="FJ7482"/>
      <c r="FK7482"/>
      <c r="FL7482"/>
      <c r="FM7482"/>
      <c r="FN7482"/>
      <c r="FO7482"/>
      <c r="FP7482"/>
      <c r="FQ7482"/>
      <c r="FR7482"/>
      <c r="FS7482"/>
      <c r="FT7482"/>
      <c r="FU7482"/>
      <c r="FV7482"/>
      <c r="FW7482"/>
      <c r="FX7482"/>
      <c r="FY7482"/>
      <c r="FZ7482"/>
      <c r="GA7482"/>
      <c r="GB7482"/>
      <c r="GC7482"/>
      <c r="GD7482"/>
      <c r="GE7482"/>
      <c r="GF7482"/>
      <c r="GG7482"/>
      <c r="GH7482"/>
      <c r="GI7482"/>
      <c r="GJ7482"/>
      <c r="GK7482"/>
      <c r="GL7482"/>
      <c r="GM7482"/>
      <c r="GN7482"/>
      <c r="GO7482"/>
    </row>
    <row r="7483" spans="107:197">
      <c r="DC7483"/>
      <c r="FH7483"/>
      <c r="FI7483"/>
      <c r="FJ7483"/>
      <c r="FK7483"/>
      <c r="FL7483"/>
      <c r="FM7483"/>
      <c r="FN7483"/>
      <c r="FO7483"/>
      <c r="FP7483"/>
      <c r="FQ7483"/>
      <c r="FR7483"/>
      <c r="FS7483"/>
      <c r="FT7483"/>
      <c r="FU7483"/>
      <c r="FV7483"/>
      <c r="FW7483"/>
      <c r="FX7483"/>
      <c r="FY7483"/>
      <c r="FZ7483"/>
      <c r="GA7483"/>
      <c r="GB7483"/>
      <c r="GC7483"/>
      <c r="GD7483"/>
      <c r="GE7483"/>
      <c r="GF7483"/>
      <c r="GG7483"/>
      <c r="GH7483"/>
      <c r="GI7483"/>
      <c r="GJ7483"/>
      <c r="GK7483"/>
      <c r="GL7483"/>
      <c r="GM7483"/>
      <c r="GN7483"/>
      <c r="GO7483"/>
    </row>
    <row r="7484" spans="107:197">
      <c r="DC7484"/>
      <c r="FH7484"/>
      <c r="FI7484"/>
      <c r="FJ7484"/>
      <c r="FK7484"/>
      <c r="FL7484"/>
      <c r="FM7484"/>
      <c r="FN7484"/>
      <c r="FO7484"/>
      <c r="FP7484"/>
      <c r="FQ7484"/>
      <c r="FR7484"/>
      <c r="FS7484"/>
      <c r="FT7484"/>
      <c r="FU7484"/>
      <c r="FV7484"/>
      <c r="FW7484"/>
      <c r="FX7484"/>
      <c r="FY7484"/>
      <c r="FZ7484"/>
      <c r="GA7484"/>
      <c r="GB7484"/>
      <c r="GC7484"/>
      <c r="GD7484"/>
      <c r="GE7484"/>
      <c r="GF7484"/>
      <c r="GG7484"/>
      <c r="GH7484"/>
      <c r="GI7484"/>
      <c r="GJ7484"/>
      <c r="GK7484"/>
      <c r="GL7484"/>
      <c r="GM7484"/>
      <c r="GN7484"/>
      <c r="GO7484"/>
    </row>
    <row r="7485" spans="107:197">
      <c r="DC7485"/>
      <c r="FH7485"/>
      <c r="FI7485"/>
      <c r="FJ7485"/>
      <c r="FK7485"/>
      <c r="FL7485"/>
      <c r="FM7485"/>
      <c r="FN7485"/>
      <c r="FO7485"/>
      <c r="FP7485"/>
      <c r="FQ7485"/>
      <c r="FR7485"/>
      <c r="FS7485"/>
      <c r="FT7485"/>
      <c r="FU7485"/>
      <c r="FV7485"/>
      <c r="FW7485"/>
      <c r="FX7485"/>
      <c r="FY7485"/>
      <c r="FZ7485"/>
      <c r="GA7485"/>
      <c r="GB7485"/>
      <c r="GC7485"/>
      <c r="GD7485"/>
      <c r="GE7485"/>
      <c r="GF7485"/>
      <c r="GG7485"/>
      <c r="GH7485"/>
      <c r="GI7485"/>
      <c r="GJ7485"/>
      <c r="GK7485"/>
      <c r="GL7485"/>
      <c r="GM7485"/>
      <c r="GN7485"/>
      <c r="GO7485"/>
    </row>
    <row r="7486" spans="107:197">
      <c r="DC7486"/>
      <c r="FH7486"/>
      <c r="FI7486"/>
      <c r="FJ7486"/>
      <c r="FK7486"/>
      <c r="FL7486"/>
      <c r="FM7486"/>
      <c r="FN7486"/>
      <c r="FO7486"/>
      <c r="FP7486"/>
      <c r="FQ7486"/>
      <c r="FR7486"/>
      <c r="FS7486"/>
      <c r="FT7486"/>
      <c r="FU7486"/>
      <c r="FV7486"/>
      <c r="FW7486"/>
      <c r="FX7486"/>
      <c r="FY7486"/>
      <c r="FZ7486"/>
      <c r="GA7486"/>
      <c r="GB7486"/>
      <c r="GC7486"/>
      <c r="GD7486"/>
      <c r="GE7486"/>
      <c r="GF7486"/>
      <c r="GG7486"/>
      <c r="GH7486"/>
      <c r="GI7486"/>
      <c r="GJ7486"/>
      <c r="GK7486"/>
      <c r="GL7486"/>
      <c r="GM7486"/>
      <c r="GN7486"/>
      <c r="GO7486"/>
    </row>
    <row r="7487" spans="107:197">
      <c r="DC7487"/>
      <c r="FH7487"/>
      <c r="FI7487"/>
      <c r="FJ7487"/>
      <c r="FK7487"/>
      <c r="FL7487"/>
      <c r="FM7487"/>
      <c r="FN7487"/>
      <c r="FO7487"/>
      <c r="FP7487"/>
      <c r="FQ7487"/>
      <c r="FR7487"/>
      <c r="FS7487"/>
      <c r="FT7487"/>
      <c r="FU7487"/>
      <c r="FV7487"/>
      <c r="FW7487"/>
      <c r="FX7487"/>
      <c r="FY7487"/>
      <c r="FZ7487"/>
      <c r="GA7487"/>
      <c r="GB7487"/>
      <c r="GC7487"/>
      <c r="GD7487"/>
      <c r="GE7487"/>
      <c r="GF7487"/>
      <c r="GG7487"/>
      <c r="GH7487"/>
      <c r="GI7487"/>
      <c r="GJ7487"/>
      <c r="GK7487"/>
      <c r="GL7487"/>
      <c r="GM7487"/>
      <c r="GN7487"/>
      <c r="GO7487"/>
    </row>
    <row r="7488" spans="107:197">
      <c r="DC7488"/>
      <c r="FH7488"/>
      <c r="FI7488"/>
      <c r="FJ7488"/>
      <c r="FK7488"/>
      <c r="FL7488"/>
      <c r="FM7488"/>
      <c r="FN7488"/>
      <c r="FO7488"/>
      <c r="FP7488"/>
      <c r="FQ7488"/>
      <c r="FR7488"/>
      <c r="FS7488"/>
      <c r="FT7488"/>
      <c r="FU7488"/>
      <c r="FV7488"/>
      <c r="FW7488"/>
      <c r="FX7488"/>
      <c r="FY7488"/>
      <c r="FZ7488"/>
      <c r="GA7488"/>
      <c r="GB7488"/>
      <c r="GC7488"/>
      <c r="GD7488"/>
      <c r="GE7488"/>
      <c r="GF7488"/>
      <c r="GG7488"/>
      <c r="GH7488"/>
      <c r="GI7488"/>
      <c r="GJ7488"/>
      <c r="GK7488"/>
      <c r="GL7488"/>
      <c r="GM7488"/>
      <c r="GN7488"/>
      <c r="GO7488"/>
    </row>
    <row r="7489" spans="107:197">
      <c r="DC7489"/>
      <c r="FH7489"/>
      <c r="FI7489"/>
      <c r="FJ7489"/>
      <c r="FK7489"/>
      <c r="FL7489"/>
      <c r="FM7489"/>
      <c r="FN7489"/>
      <c r="FO7489"/>
      <c r="FP7489"/>
      <c r="FQ7489"/>
      <c r="FR7489"/>
      <c r="FS7489"/>
      <c r="FT7489"/>
      <c r="FU7489"/>
      <c r="FV7489"/>
      <c r="FW7489"/>
      <c r="FX7489"/>
      <c r="FY7489"/>
      <c r="FZ7489"/>
      <c r="GA7489"/>
      <c r="GB7489"/>
      <c r="GC7489"/>
      <c r="GD7489"/>
      <c r="GE7489"/>
      <c r="GF7489"/>
      <c r="GG7489"/>
      <c r="GH7489"/>
      <c r="GI7489"/>
      <c r="GJ7489"/>
      <c r="GK7489"/>
      <c r="GL7489"/>
      <c r="GM7489"/>
      <c r="GN7489"/>
      <c r="GO7489"/>
    </row>
    <row r="7490" spans="107:197">
      <c r="DC7490"/>
      <c r="FH7490"/>
      <c r="FI7490"/>
      <c r="FJ7490"/>
      <c r="FK7490"/>
      <c r="FL7490"/>
      <c r="FM7490"/>
      <c r="FN7490"/>
      <c r="FO7490"/>
      <c r="FP7490"/>
      <c r="FQ7490"/>
      <c r="FR7490"/>
      <c r="FS7490"/>
      <c r="FT7490"/>
      <c r="FU7490"/>
      <c r="FV7490"/>
      <c r="FW7490"/>
      <c r="FX7490"/>
      <c r="FY7490"/>
      <c r="FZ7490"/>
      <c r="GA7490"/>
      <c r="GB7490"/>
      <c r="GC7490"/>
      <c r="GD7490"/>
      <c r="GE7490"/>
      <c r="GF7490"/>
      <c r="GG7490"/>
      <c r="GH7490"/>
      <c r="GI7490"/>
      <c r="GJ7490"/>
      <c r="GK7490"/>
      <c r="GL7490"/>
      <c r="GM7490"/>
      <c r="GN7490"/>
      <c r="GO7490"/>
    </row>
    <row r="7491" spans="107:197">
      <c r="DC7491"/>
      <c r="FH7491"/>
      <c r="FI7491"/>
      <c r="FJ7491"/>
      <c r="FK7491"/>
      <c r="FL7491"/>
      <c r="FM7491"/>
      <c r="FN7491"/>
      <c r="FO7491"/>
      <c r="FP7491"/>
      <c r="FQ7491"/>
      <c r="FR7491"/>
      <c r="FS7491"/>
      <c r="FT7491"/>
      <c r="FU7491"/>
      <c r="FV7491"/>
      <c r="FW7491"/>
      <c r="FX7491"/>
      <c r="FY7491"/>
      <c r="FZ7491"/>
      <c r="GA7491"/>
      <c r="GB7491"/>
      <c r="GC7491"/>
      <c r="GD7491"/>
      <c r="GE7491"/>
      <c r="GF7491"/>
      <c r="GG7491"/>
      <c r="GH7491"/>
      <c r="GI7491"/>
      <c r="GJ7491"/>
      <c r="GK7491"/>
      <c r="GL7491"/>
      <c r="GM7491"/>
      <c r="GN7491"/>
      <c r="GO7491"/>
    </row>
    <row r="7492" spans="107:197">
      <c r="DC7492"/>
      <c r="FH7492"/>
      <c r="FI7492"/>
      <c r="FJ7492"/>
      <c r="FK7492"/>
      <c r="FL7492"/>
      <c r="FM7492"/>
      <c r="FN7492"/>
      <c r="FO7492"/>
      <c r="FP7492"/>
      <c r="FQ7492"/>
      <c r="FR7492"/>
      <c r="FS7492"/>
      <c r="FT7492"/>
      <c r="FU7492"/>
      <c r="FV7492"/>
      <c r="FW7492"/>
      <c r="FX7492"/>
      <c r="FY7492"/>
      <c r="FZ7492"/>
      <c r="GA7492"/>
      <c r="GB7492"/>
      <c r="GC7492"/>
      <c r="GD7492"/>
      <c r="GE7492"/>
      <c r="GF7492"/>
      <c r="GG7492"/>
      <c r="GH7492"/>
      <c r="GI7492"/>
      <c r="GJ7492"/>
      <c r="GK7492"/>
      <c r="GL7492"/>
      <c r="GM7492"/>
      <c r="GN7492"/>
      <c r="GO7492"/>
    </row>
    <row r="7493" spans="107:197">
      <c r="DC7493"/>
      <c r="FH7493"/>
      <c r="FI7493"/>
      <c r="FJ7493"/>
      <c r="FK7493"/>
      <c r="FL7493"/>
      <c r="FM7493"/>
      <c r="FN7493"/>
      <c r="FO7493"/>
      <c r="FP7493"/>
      <c r="FQ7493"/>
      <c r="FR7493"/>
      <c r="FS7493"/>
      <c r="FT7493"/>
      <c r="FU7493"/>
      <c r="FV7493"/>
      <c r="FW7493"/>
      <c r="FX7493"/>
      <c r="FY7493"/>
      <c r="FZ7493"/>
      <c r="GA7493"/>
      <c r="GB7493"/>
      <c r="GC7493"/>
      <c r="GD7493"/>
      <c r="GE7493"/>
      <c r="GF7493"/>
      <c r="GG7493"/>
      <c r="GH7493"/>
      <c r="GI7493"/>
      <c r="GJ7493"/>
      <c r="GK7493"/>
      <c r="GL7493"/>
      <c r="GM7493"/>
      <c r="GN7493"/>
      <c r="GO7493"/>
    </row>
    <row r="7494" spans="107:197">
      <c r="DC7494"/>
      <c r="FH7494"/>
      <c r="FI7494"/>
      <c r="FJ7494"/>
      <c r="FK7494"/>
      <c r="FL7494"/>
      <c r="FM7494"/>
      <c r="FN7494"/>
      <c r="FO7494"/>
      <c r="FP7494"/>
      <c r="FQ7494"/>
      <c r="FR7494"/>
      <c r="FS7494"/>
      <c r="FT7494"/>
      <c r="FU7494"/>
      <c r="FV7494"/>
      <c r="FW7494"/>
      <c r="FX7494"/>
      <c r="FY7494"/>
      <c r="FZ7494"/>
      <c r="GA7494"/>
      <c r="GB7494"/>
      <c r="GC7494"/>
      <c r="GD7494"/>
      <c r="GE7494"/>
      <c r="GF7494"/>
      <c r="GG7494"/>
      <c r="GH7494"/>
      <c r="GI7494"/>
      <c r="GJ7494"/>
      <c r="GK7494"/>
      <c r="GL7494"/>
      <c r="GM7494"/>
      <c r="GN7494"/>
      <c r="GO7494"/>
    </row>
    <row r="7495" spans="107:197">
      <c r="DC7495"/>
      <c r="FH7495"/>
      <c r="FI7495"/>
      <c r="FJ7495"/>
      <c r="FK7495"/>
      <c r="FL7495"/>
      <c r="FM7495"/>
      <c r="FN7495"/>
      <c r="FO7495"/>
      <c r="FP7495"/>
      <c r="FQ7495"/>
      <c r="FR7495"/>
      <c r="FS7495"/>
      <c r="FT7495"/>
      <c r="FU7495"/>
      <c r="FV7495"/>
      <c r="FW7495"/>
      <c r="FX7495"/>
      <c r="FY7495"/>
      <c r="FZ7495"/>
      <c r="GA7495"/>
      <c r="GB7495"/>
      <c r="GC7495"/>
      <c r="GD7495"/>
      <c r="GE7495"/>
      <c r="GF7495"/>
      <c r="GG7495"/>
      <c r="GH7495"/>
      <c r="GI7495"/>
      <c r="GJ7495"/>
      <c r="GK7495"/>
      <c r="GL7495"/>
      <c r="GM7495"/>
      <c r="GN7495"/>
      <c r="GO7495"/>
    </row>
    <row r="7496" spans="107:197">
      <c r="DC7496"/>
      <c r="FH7496"/>
      <c r="FI7496"/>
      <c r="FJ7496"/>
      <c r="FK7496"/>
      <c r="FL7496"/>
      <c r="FM7496"/>
      <c r="FN7496"/>
      <c r="FO7496"/>
      <c r="FP7496"/>
      <c r="FQ7496"/>
      <c r="FR7496"/>
      <c r="FS7496"/>
      <c r="FT7496"/>
      <c r="FU7496"/>
      <c r="FV7496"/>
      <c r="FW7496"/>
      <c r="FX7496"/>
      <c r="FY7496"/>
      <c r="FZ7496"/>
      <c r="GA7496"/>
      <c r="GB7496"/>
      <c r="GC7496"/>
      <c r="GD7496"/>
      <c r="GE7496"/>
      <c r="GF7496"/>
      <c r="GG7496"/>
      <c r="GH7496"/>
      <c r="GI7496"/>
      <c r="GJ7496"/>
      <c r="GK7496"/>
      <c r="GL7496"/>
      <c r="GM7496"/>
      <c r="GN7496"/>
      <c r="GO7496"/>
    </row>
    <row r="7497" spans="107:197">
      <c r="DC7497"/>
      <c r="FH7497"/>
      <c r="FI7497"/>
      <c r="FJ7497"/>
      <c r="FK7497"/>
      <c r="FL7497"/>
      <c r="FM7497"/>
      <c r="FN7497"/>
      <c r="FO7497"/>
      <c r="FP7497"/>
      <c r="FQ7497"/>
      <c r="FR7497"/>
      <c r="FS7497"/>
      <c r="FT7497"/>
      <c r="FU7497"/>
      <c r="FV7497"/>
      <c r="FW7497"/>
      <c r="FX7497"/>
      <c r="FY7497"/>
      <c r="FZ7497"/>
      <c r="GA7497"/>
      <c r="GB7497"/>
      <c r="GC7497"/>
      <c r="GD7497"/>
      <c r="GE7497"/>
      <c r="GF7497"/>
      <c r="GG7497"/>
      <c r="GH7497"/>
      <c r="GI7497"/>
      <c r="GJ7497"/>
      <c r="GK7497"/>
      <c r="GL7497"/>
      <c r="GM7497"/>
      <c r="GN7497"/>
      <c r="GO7497"/>
    </row>
    <row r="7498" spans="107:197">
      <c r="DC7498"/>
      <c r="FH7498"/>
      <c r="FI7498"/>
      <c r="FJ7498"/>
      <c r="FK7498"/>
      <c r="FL7498"/>
      <c r="FM7498"/>
      <c r="FN7498"/>
      <c r="FO7498"/>
      <c r="FP7498"/>
      <c r="FQ7498"/>
      <c r="FR7498"/>
      <c r="FS7498"/>
      <c r="FT7498"/>
      <c r="FU7498"/>
      <c r="FV7498"/>
      <c r="FW7498"/>
      <c r="FX7498"/>
      <c r="FY7498"/>
      <c r="FZ7498"/>
      <c r="GA7498"/>
      <c r="GB7498"/>
      <c r="GC7498"/>
      <c r="GD7498"/>
      <c r="GE7498"/>
      <c r="GF7498"/>
      <c r="GG7498"/>
      <c r="GH7498"/>
      <c r="GI7498"/>
      <c r="GJ7498"/>
      <c r="GK7498"/>
      <c r="GL7498"/>
      <c r="GM7498"/>
      <c r="GN7498"/>
      <c r="GO7498"/>
    </row>
    <row r="7499" spans="107:197">
      <c r="DC7499"/>
      <c r="FH7499"/>
      <c r="FI7499"/>
      <c r="FJ7499"/>
      <c r="FK7499"/>
      <c r="FL7499"/>
      <c r="FM7499"/>
      <c r="FN7499"/>
      <c r="FO7499"/>
      <c r="FP7499"/>
      <c r="FQ7499"/>
      <c r="FR7499"/>
      <c r="FS7499"/>
      <c r="FT7499"/>
      <c r="FU7499"/>
      <c r="FV7499"/>
      <c r="FW7499"/>
      <c r="FX7499"/>
      <c r="FY7499"/>
      <c r="FZ7499"/>
      <c r="GA7499"/>
      <c r="GB7499"/>
      <c r="GC7499"/>
      <c r="GD7499"/>
      <c r="GE7499"/>
      <c r="GF7499"/>
      <c r="GG7499"/>
      <c r="GH7499"/>
      <c r="GI7499"/>
      <c r="GJ7499"/>
      <c r="GK7499"/>
      <c r="GL7499"/>
      <c r="GM7499"/>
      <c r="GN7499"/>
      <c r="GO7499"/>
    </row>
    <row r="7500" spans="107:197">
      <c r="DC7500"/>
      <c r="FH7500"/>
      <c r="FI7500"/>
      <c r="FJ7500"/>
      <c r="FK7500"/>
      <c r="FL7500"/>
      <c r="FM7500"/>
      <c r="FN7500"/>
      <c r="FO7500"/>
      <c r="FP7500"/>
      <c r="FQ7500"/>
      <c r="FR7500"/>
      <c r="FS7500"/>
      <c r="FT7500"/>
      <c r="FU7500"/>
      <c r="FV7500"/>
      <c r="FW7500"/>
      <c r="FX7500"/>
      <c r="FY7500"/>
      <c r="FZ7500"/>
      <c r="GA7500"/>
      <c r="GB7500"/>
      <c r="GC7500"/>
      <c r="GD7500"/>
      <c r="GE7500"/>
      <c r="GF7500"/>
      <c r="GG7500"/>
      <c r="GH7500"/>
      <c r="GI7500"/>
      <c r="GJ7500"/>
      <c r="GK7500"/>
      <c r="GL7500"/>
      <c r="GM7500"/>
      <c r="GN7500"/>
      <c r="GO7500"/>
    </row>
    <row r="7501" spans="107:197">
      <c r="DC7501"/>
      <c r="FH7501"/>
      <c r="FI7501"/>
      <c r="FJ7501"/>
      <c r="FK7501"/>
      <c r="FL7501"/>
      <c r="FM7501"/>
      <c r="FN7501"/>
      <c r="FO7501"/>
      <c r="FP7501"/>
      <c r="FQ7501"/>
      <c r="FR7501"/>
      <c r="FS7501"/>
      <c r="FT7501"/>
      <c r="FU7501"/>
      <c r="FV7501"/>
      <c r="FW7501"/>
      <c r="FX7501"/>
      <c r="FY7501"/>
      <c r="FZ7501"/>
      <c r="GA7501"/>
      <c r="GB7501"/>
      <c r="GC7501"/>
      <c r="GD7501"/>
      <c r="GE7501"/>
      <c r="GF7501"/>
      <c r="GG7501"/>
      <c r="GH7501"/>
      <c r="GI7501"/>
      <c r="GJ7501"/>
      <c r="GK7501"/>
      <c r="GL7501"/>
      <c r="GM7501"/>
      <c r="GN7501"/>
      <c r="GO7501"/>
    </row>
    <row r="7502" spans="107:197">
      <c r="DC7502"/>
      <c r="FH7502"/>
      <c r="FI7502"/>
      <c r="FJ7502"/>
      <c r="FK7502"/>
      <c r="FL7502"/>
      <c r="FM7502"/>
      <c r="FN7502"/>
      <c r="FO7502"/>
      <c r="FP7502"/>
      <c r="FQ7502"/>
      <c r="FR7502"/>
      <c r="FS7502"/>
      <c r="FT7502"/>
      <c r="FU7502"/>
      <c r="FV7502"/>
      <c r="FW7502"/>
      <c r="FX7502"/>
      <c r="FY7502"/>
      <c r="FZ7502"/>
      <c r="GA7502"/>
      <c r="GB7502"/>
      <c r="GC7502"/>
      <c r="GD7502"/>
      <c r="GE7502"/>
      <c r="GF7502"/>
      <c r="GG7502"/>
      <c r="GH7502"/>
      <c r="GI7502"/>
      <c r="GJ7502"/>
      <c r="GK7502"/>
      <c r="GL7502"/>
      <c r="GM7502"/>
      <c r="GN7502"/>
      <c r="GO7502"/>
    </row>
    <row r="7503" spans="107:197">
      <c r="DC7503"/>
      <c r="FH7503"/>
      <c r="FI7503"/>
      <c r="FJ7503"/>
      <c r="FK7503"/>
      <c r="FL7503"/>
      <c r="FM7503"/>
      <c r="FN7503"/>
      <c r="FO7503"/>
      <c r="FP7503"/>
      <c r="FQ7503"/>
      <c r="FR7503"/>
      <c r="FS7503"/>
      <c r="FT7503"/>
      <c r="FU7503"/>
      <c r="FV7503"/>
      <c r="FW7503"/>
      <c r="FX7503"/>
      <c r="FY7503"/>
      <c r="FZ7503"/>
      <c r="GA7503"/>
      <c r="GB7503"/>
      <c r="GC7503"/>
      <c r="GD7503"/>
      <c r="GE7503"/>
      <c r="GF7503"/>
      <c r="GG7503"/>
      <c r="GH7503"/>
      <c r="GI7503"/>
      <c r="GJ7503"/>
      <c r="GK7503"/>
      <c r="GL7503"/>
      <c r="GM7503"/>
      <c r="GN7503"/>
      <c r="GO7503"/>
    </row>
    <row r="7504" spans="107:197">
      <c r="DC7504"/>
      <c r="FH7504"/>
      <c r="FI7504"/>
      <c r="FJ7504"/>
      <c r="FK7504"/>
      <c r="FL7504"/>
      <c r="FM7504"/>
      <c r="FN7504"/>
      <c r="FO7504"/>
      <c r="FP7504"/>
      <c r="FQ7504"/>
      <c r="FR7504"/>
      <c r="FS7504"/>
      <c r="FT7504"/>
      <c r="FU7504"/>
      <c r="FV7504"/>
      <c r="FW7504"/>
      <c r="FX7504"/>
      <c r="FY7504"/>
      <c r="FZ7504"/>
      <c r="GA7504"/>
      <c r="GB7504"/>
      <c r="GC7504"/>
      <c r="GD7504"/>
      <c r="GE7504"/>
      <c r="GF7504"/>
      <c r="GG7504"/>
      <c r="GH7504"/>
      <c r="GI7504"/>
      <c r="GJ7504"/>
      <c r="GK7504"/>
      <c r="GL7504"/>
      <c r="GM7504"/>
      <c r="GN7504"/>
      <c r="GO7504"/>
    </row>
    <row r="7505" spans="107:197">
      <c r="DC7505"/>
      <c r="FH7505"/>
      <c r="FI7505"/>
      <c r="FJ7505"/>
      <c r="FK7505"/>
      <c r="FL7505"/>
      <c r="FM7505"/>
      <c r="FN7505"/>
      <c r="FO7505"/>
      <c r="FP7505"/>
      <c r="FQ7505"/>
      <c r="FR7505"/>
      <c r="FS7505"/>
      <c r="FT7505"/>
      <c r="FU7505"/>
      <c r="FV7505"/>
      <c r="FW7505"/>
      <c r="FX7505"/>
      <c r="FY7505"/>
      <c r="FZ7505"/>
      <c r="GA7505"/>
      <c r="GB7505"/>
      <c r="GC7505"/>
      <c r="GD7505"/>
      <c r="GE7505"/>
      <c r="GF7505"/>
      <c r="GG7505"/>
      <c r="GH7505"/>
      <c r="GI7505"/>
      <c r="GJ7505"/>
      <c r="GK7505"/>
      <c r="GL7505"/>
      <c r="GM7505"/>
      <c r="GN7505"/>
      <c r="GO7505"/>
    </row>
    <row r="7506" spans="107:197">
      <c r="DC7506"/>
      <c r="FH7506"/>
      <c r="FI7506"/>
      <c r="FJ7506"/>
      <c r="FK7506"/>
      <c r="FL7506"/>
      <c r="FM7506"/>
      <c r="FN7506"/>
      <c r="FO7506"/>
      <c r="FP7506"/>
      <c r="FQ7506"/>
      <c r="FR7506"/>
      <c r="FS7506"/>
      <c r="FT7506"/>
      <c r="FU7506"/>
      <c r="FV7506"/>
      <c r="FW7506"/>
      <c r="FX7506"/>
      <c r="FY7506"/>
      <c r="FZ7506"/>
      <c r="GA7506"/>
      <c r="GB7506"/>
      <c r="GC7506"/>
      <c r="GD7506"/>
      <c r="GE7506"/>
      <c r="GF7506"/>
      <c r="GG7506"/>
      <c r="GH7506"/>
      <c r="GI7506"/>
      <c r="GJ7506"/>
      <c r="GK7506"/>
      <c r="GL7506"/>
      <c r="GM7506"/>
      <c r="GN7506"/>
      <c r="GO7506"/>
    </row>
    <row r="7507" spans="107:197">
      <c r="DC7507"/>
      <c r="FH7507"/>
      <c r="FI7507"/>
      <c r="FJ7507"/>
      <c r="FK7507"/>
      <c r="FL7507"/>
      <c r="FM7507"/>
      <c r="FN7507"/>
      <c r="FO7507"/>
      <c r="FP7507"/>
      <c r="FQ7507"/>
      <c r="FR7507"/>
      <c r="FS7507"/>
      <c r="FT7507"/>
      <c r="FU7507"/>
      <c r="FV7507"/>
      <c r="FW7507"/>
      <c r="FX7507"/>
      <c r="FY7507"/>
      <c r="FZ7507"/>
      <c r="GA7507"/>
      <c r="GB7507"/>
      <c r="GC7507"/>
      <c r="GD7507"/>
      <c r="GE7507"/>
      <c r="GF7507"/>
      <c r="GG7507"/>
      <c r="GH7507"/>
      <c r="GI7507"/>
      <c r="GJ7507"/>
      <c r="GK7507"/>
      <c r="GL7507"/>
      <c r="GM7507"/>
      <c r="GN7507"/>
      <c r="GO7507"/>
    </row>
    <row r="7508" spans="107:197">
      <c r="DC7508"/>
      <c r="FH7508"/>
      <c r="FI7508"/>
      <c r="FJ7508"/>
      <c r="FK7508"/>
      <c r="FL7508"/>
      <c r="FM7508"/>
      <c r="FN7508"/>
      <c r="FO7508"/>
      <c r="FP7508"/>
      <c r="FQ7508"/>
      <c r="FR7508"/>
      <c r="FS7508"/>
      <c r="FT7508"/>
      <c r="FU7508"/>
      <c r="FV7508"/>
      <c r="FW7508"/>
      <c r="FX7508"/>
      <c r="FY7508"/>
      <c r="FZ7508"/>
      <c r="GA7508"/>
      <c r="GB7508"/>
      <c r="GC7508"/>
      <c r="GD7508"/>
      <c r="GE7508"/>
      <c r="GF7508"/>
      <c r="GG7508"/>
      <c r="GH7508"/>
      <c r="GI7508"/>
      <c r="GJ7508"/>
      <c r="GK7508"/>
      <c r="GL7508"/>
      <c r="GM7508"/>
      <c r="GN7508"/>
      <c r="GO7508"/>
    </row>
    <row r="7509" spans="107:197">
      <c r="DC7509"/>
      <c r="FH7509"/>
      <c r="FI7509"/>
      <c r="FJ7509"/>
      <c r="FK7509"/>
      <c r="FL7509"/>
      <c r="FM7509"/>
      <c r="FN7509"/>
      <c r="FO7509"/>
      <c r="FP7509"/>
      <c r="FQ7509"/>
      <c r="FR7509"/>
      <c r="FS7509"/>
      <c r="FT7509"/>
      <c r="FU7509"/>
      <c r="FV7509"/>
      <c r="FW7509"/>
      <c r="FX7509"/>
      <c r="FY7509"/>
      <c r="FZ7509"/>
      <c r="GA7509"/>
      <c r="GB7509"/>
      <c r="GC7509"/>
      <c r="GD7509"/>
      <c r="GE7509"/>
      <c r="GF7509"/>
      <c r="GG7509"/>
      <c r="GH7509"/>
      <c r="GI7509"/>
      <c r="GJ7509"/>
      <c r="GK7509"/>
      <c r="GL7509"/>
      <c r="GM7509"/>
      <c r="GN7509"/>
      <c r="GO7509"/>
    </row>
    <row r="7510" spans="107:197">
      <c r="DC7510"/>
      <c r="FH7510"/>
      <c r="FI7510"/>
      <c r="FJ7510"/>
      <c r="FK7510"/>
      <c r="FL7510"/>
      <c r="FM7510"/>
      <c r="FN7510"/>
      <c r="FO7510"/>
      <c r="FP7510"/>
      <c r="FQ7510"/>
      <c r="FR7510"/>
      <c r="FS7510"/>
      <c r="FT7510"/>
      <c r="FU7510"/>
      <c r="FV7510"/>
      <c r="FW7510"/>
      <c r="FX7510"/>
      <c r="FY7510"/>
      <c r="FZ7510"/>
      <c r="GA7510"/>
      <c r="GB7510"/>
      <c r="GC7510"/>
      <c r="GD7510"/>
      <c r="GE7510"/>
      <c r="GF7510"/>
      <c r="GG7510"/>
      <c r="GH7510"/>
      <c r="GI7510"/>
      <c r="GJ7510"/>
      <c r="GK7510"/>
      <c r="GL7510"/>
      <c r="GM7510"/>
      <c r="GN7510"/>
      <c r="GO7510"/>
    </row>
    <row r="7511" spans="107:197">
      <c r="DC7511"/>
      <c r="FH7511"/>
      <c r="FI7511"/>
      <c r="FJ7511"/>
      <c r="FK7511"/>
      <c r="FL7511"/>
      <c r="FM7511"/>
      <c r="FN7511"/>
      <c r="FO7511"/>
      <c r="FP7511"/>
      <c r="FQ7511"/>
      <c r="FR7511"/>
      <c r="FS7511"/>
      <c r="FT7511"/>
      <c r="FU7511"/>
      <c r="FV7511"/>
      <c r="FW7511"/>
      <c r="FX7511"/>
      <c r="FY7511"/>
      <c r="FZ7511"/>
      <c r="GA7511"/>
      <c r="GB7511"/>
      <c r="GC7511"/>
      <c r="GD7511"/>
      <c r="GE7511"/>
      <c r="GF7511"/>
      <c r="GG7511"/>
      <c r="GH7511"/>
      <c r="GI7511"/>
      <c r="GJ7511"/>
      <c r="GK7511"/>
      <c r="GL7511"/>
      <c r="GM7511"/>
      <c r="GN7511"/>
      <c r="GO7511"/>
    </row>
    <row r="7512" spans="107:197">
      <c r="DC7512"/>
      <c r="FH7512"/>
      <c r="FI7512"/>
      <c r="FJ7512"/>
      <c r="FK7512"/>
      <c r="FL7512"/>
      <c r="FM7512"/>
      <c r="FN7512"/>
      <c r="FO7512"/>
      <c r="FP7512"/>
      <c r="FQ7512"/>
      <c r="FR7512"/>
      <c r="FS7512"/>
      <c r="FT7512"/>
      <c r="FU7512"/>
      <c r="FV7512"/>
      <c r="FW7512"/>
      <c r="FX7512"/>
      <c r="FY7512"/>
      <c r="FZ7512"/>
      <c r="GA7512"/>
      <c r="GB7512"/>
      <c r="GC7512"/>
      <c r="GD7512"/>
      <c r="GE7512"/>
      <c r="GF7512"/>
      <c r="GG7512"/>
      <c r="GH7512"/>
      <c r="GI7512"/>
      <c r="GJ7512"/>
      <c r="GK7512"/>
      <c r="GL7512"/>
      <c r="GM7512"/>
      <c r="GN7512"/>
      <c r="GO7512"/>
    </row>
    <row r="7513" spans="107:197">
      <c r="DC7513"/>
      <c r="FH7513"/>
      <c r="FI7513"/>
      <c r="FJ7513"/>
      <c r="FK7513"/>
      <c r="FL7513"/>
      <c r="FM7513"/>
      <c r="FN7513"/>
      <c r="FO7513"/>
      <c r="FP7513"/>
      <c r="FQ7513"/>
      <c r="FR7513"/>
      <c r="FS7513"/>
      <c r="FT7513"/>
      <c r="FU7513"/>
      <c r="FV7513"/>
      <c r="FW7513"/>
      <c r="FX7513"/>
      <c r="FY7513"/>
      <c r="FZ7513"/>
      <c r="GA7513"/>
      <c r="GB7513"/>
      <c r="GC7513"/>
      <c r="GD7513"/>
      <c r="GE7513"/>
      <c r="GF7513"/>
      <c r="GG7513"/>
      <c r="GH7513"/>
      <c r="GI7513"/>
      <c r="GJ7513"/>
      <c r="GK7513"/>
      <c r="GL7513"/>
      <c r="GM7513"/>
      <c r="GN7513"/>
      <c r="GO7513"/>
    </row>
    <row r="7514" spans="107:197">
      <c r="DC7514"/>
      <c r="FH7514"/>
      <c r="FI7514"/>
      <c r="FJ7514"/>
      <c r="FK7514"/>
      <c r="FL7514"/>
      <c r="FM7514"/>
      <c r="FN7514"/>
      <c r="FO7514"/>
      <c r="FP7514"/>
      <c r="FQ7514"/>
      <c r="FR7514"/>
      <c r="FS7514"/>
      <c r="FT7514"/>
      <c r="FU7514"/>
      <c r="FV7514"/>
      <c r="FW7514"/>
      <c r="FX7514"/>
      <c r="FY7514"/>
      <c r="FZ7514"/>
      <c r="GA7514"/>
      <c r="GB7514"/>
      <c r="GC7514"/>
      <c r="GD7514"/>
      <c r="GE7514"/>
      <c r="GF7514"/>
      <c r="GG7514"/>
      <c r="GH7514"/>
      <c r="GI7514"/>
      <c r="GJ7514"/>
      <c r="GK7514"/>
      <c r="GL7514"/>
      <c r="GM7514"/>
      <c r="GN7514"/>
      <c r="GO7514"/>
    </row>
    <row r="7515" spans="107:197">
      <c r="DC7515"/>
      <c r="FH7515"/>
      <c r="FI7515"/>
      <c r="FJ7515"/>
      <c r="FK7515"/>
      <c r="FL7515"/>
      <c r="FM7515"/>
      <c r="FN7515"/>
      <c r="FO7515"/>
      <c r="FP7515"/>
      <c r="FQ7515"/>
      <c r="FR7515"/>
      <c r="FS7515"/>
      <c r="FT7515"/>
      <c r="FU7515"/>
      <c r="FV7515"/>
      <c r="FW7515"/>
      <c r="FX7515"/>
      <c r="FY7515"/>
      <c r="FZ7515"/>
      <c r="GA7515"/>
      <c r="GB7515"/>
      <c r="GC7515"/>
      <c r="GD7515"/>
      <c r="GE7515"/>
      <c r="GF7515"/>
      <c r="GG7515"/>
      <c r="GH7515"/>
      <c r="GI7515"/>
      <c r="GJ7515"/>
      <c r="GK7515"/>
      <c r="GL7515"/>
      <c r="GM7515"/>
      <c r="GN7515"/>
      <c r="GO7515"/>
    </row>
    <row r="7516" spans="107:197">
      <c r="DC7516"/>
      <c r="FH7516"/>
      <c r="FI7516"/>
      <c r="FJ7516"/>
      <c r="FK7516"/>
      <c r="FL7516"/>
      <c r="FM7516"/>
      <c r="FN7516"/>
      <c r="FO7516"/>
      <c r="FP7516"/>
      <c r="FQ7516"/>
      <c r="FR7516"/>
      <c r="FS7516"/>
      <c r="FT7516"/>
      <c r="FU7516"/>
      <c r="FV7516"/>
      <c r="FW7516"/>
      <c r="FX7516"/>
      <c r="FY7516"/>
      <c r="FZ7516"/>
      <c r="GA7516"/>
      <c r="GB7516"/>
      <c r="GC7516"/>
      <c r="GD7516"/>
      <c r="GE7516"/>
      <c r="GF7516"/>
      <c r="GG7516"/>
      <c r="GH7516"/>
      <c r="GI7516"/>
      <c r="GJ7516"/>
      <c r="GK7516"/>
      <c r="GL7516"/>
      <c r="GM7516"/>
      <c r="GN7516"/>
      <c r="GO7516"/>
    </row>
    <row r="7517" spans="107:197">
      <c r="DC7517"/>
      <c r="FH7517"/>
      <c r="FI7517"/>
      <c r="FJ7517"/>
      <c r="FK7517"/>
      <c r="FL7517"/>
      <c r="FM7517"/>
      <c r="FN7517"/>
      <c r="FO7517"/>
      <c r="FP7517"/>
      <c r="FQ7517"/>
      <c r="FR7517"/>
      <c r="FS7517"/>
      <c r="FT7517"/>
      <c r="FU7517"/>
      <c r="FV7517"/>
      <c r="FW7517"/>
      <c r="FX7517"/>
      <c r="FY7517"/>
      <c r="FZ7517"/>
      <c r="GA7517"/>
      <c r="GB7517"/>
      <c r="GC7517"/>
      <c r="GD7517"/>
      <c r="GE7517"/>
      <c r="GF7517"/>
      <c r="GG7517"/>
      <c r="GH7517"/>
      <c r="GI7517"/>
      <c r="GJ7517"/>
      <c r="GK7517"/>
      <c r="GL7517"/>
      <c r="GM7517"/>
      <c r="GN7517"/>
      <c r="GO7517"/>
    </row>
    <row r="7518" spans="107:197">
      <c r="DC7518"/>
      <c r="FH7518"/>
      <c r="FI7518"/>
      <c r="FJ7518"/>
      <c r="FK7518"/>
      <c r="FL7518"/>
      <c r="FM7518"/>
      <c r="FN7518"/>
      <c r="FO7518"/>
      <c r="FP7518"/>
      <c r="FQ7518"/>
      <c r="FR7518"/>
      <c r="FS7518"/>
      <c r="FT7518"/>
      <c r="FU7518"/>
      <c r="FV7518"/>
      <c r="FW7518"/>
      <c r="FX7518"/>
      <c r="FY7518"/>
      <c r="FZ7518"/>
      <c r="GA7518"/>
      <c r="GB7518"/>
      <c r="GC7518"/>
      <c r="GD7518"/>
      <c r="GE7518"/>
      <c r="GF7518"/>
      <c r="GG7518"/>
      <c r="GH7518"/>
      <c r="GI7518"/>
      <c r="GJ7518"/>
      <c r="GK7518"/>
      <c r="GL7518"/>
      <c r="GM7518"/>
      <c r="GN7518"/>
      <c r="GO7518"/>
    </row>
    <row r="7519" spans="107:197">
      <c r="DC7519"/>
      <c r="FH7519"/>
      <c r="FI7519"/>
      <c r="FJ7519"/>
      <c r="FK7519"/>
      <c r="FL7519"/>
      <c r="FM7519"/>
      <c r="FN7519"/>
      <c r="FO7519"/>
      <c r="FP7519"/>
      <c r="FQ7519"/>
      <c r="FR7519"/>
      <c r="FS7519"/>
      <c r="FT7519"/>
      <c r="FU7519"/>
      <c r="FV7519"/>
      <c r="FW7519"/>
      <c r="FX7519"/>
      <c r="FY7519"/>
      <c r="FZ7519"/>
      <c r="GA7519"/>
      <c r="GB7519"/>
      <c r="GC7519"/>
      <c r="GD7519"/>
      <c r="GE7519"/>
      <c r="GF7519"/>
      <c r="GG7519"/>
      <c r="GH7519"/>
      <c r="GI7519"/>
      <c r="GJ7519"/>
      <c r="GK7519"/>
      <c r="GL7519"/>
      <c r="GM7519"/>
      <c r="GN7519"/>
      <c r="GO7519"/>
    </row>
    <row r="7520" spans="107:197">
      <c r="DC7520"/>
      <c r="FH7520"/>
      <c r="FI7520"/>
      <c r="FJ7520"/>
      <c r="FK7520"/>
      <c r="FL7520"/>
      <c r="FM7520"/>
      <c r="FN7520"/>
      <c r="FO7520"/>
      <c r="FP7520"/>
      <c r="FQ7520"/>
      <c r="FR7520"/>
      <c r="FS7520"/>
      <c r="FT7520"/>
      <c r="FU7520"/>
      <c r="FV7520"/>
      <c r="FW7520"/>
      <c r="FX7520"/>
      <c r="FY7520"/>
      <c r="FZ7520"/>
      <c r="GA7520"/>
      <c r="GB7520"/>
      <c r="GC7520"/>
      <c r="GD7520"/>
      <c r="GE7520"/>
      <c r="GF7520"/>
      <c r="GG7520"/>
      <c r="GH7520"/>
      <c r="GI7520"/>
      <c r="GJ7520"/>
      <c r="GK7520"/>
      <c r="GL7520"/>
      <c r="GM7520"/>
      <c r="GN7520"/>
      <c r="GO7520"/>
    </row>
    <row r="7521" spans="107:197">
      <c r="DC7521"/>
      <c r="FH7521"/>
      <c r="FI7521"/>
      <c r="FJ7521"/>
      <c r="FK7521"/>
      <c r="FL7521"/>
      <c r="FM7521"/>
      <c r="FN7521"/>
      <c r="FO7521"/>
      <c r="FP7521"/>
      <c r="FQ7521"/>
      <c r="FR7521"/>
      <c r="FS7521"/>
      <c r="FT7521"/>
      <c r="FU7521"/>
      <c r="FV7521"/>
      <c r="FW7521"/>
      <c r="FX7521"/>
      <c r="FY7521"/>
      <c r="FZ7521"/>
      <c r="GA7521"/>
      <c r="GB7521"/>
      <c r="GC7521"/>
      <c r="GD7521"/>
      <c r="GE7521"/>
      <c r="GF7521"/>
      <c r="GG7521"/>
      <c r="GH7521"/>
      <c r="GI7521"/>
      <c r="GJ7521"/>
      <c r="GK7521"/>
      <c r="GL7521"/>
      <c r="GM7521"/>
      <c r="GN7521"/>
      <c r="GO7521"/>
    </row>
    <row r="7522" spans="107:197">
      <c r="DC7522"/>
      <c r="FH7522"/>
      <c r="FI7522"/>
      <c r="FJ7522"/>
      <c r="FK7522"/>
      <c r="FL7522"/>
      <c r="FM7522"/>
      <c r="FN7522"/>
      <c r="FO7522"/>
      <c r="FP7522"/>
      <c r="FQ7522"/>
      <c r="FR7522"/>
      <c r="FS7522"/>
      <c r="FT7522"/>
      <c r="FU7522"/>
      <c r="FV7522"/>
      <c r="FW7522"/>
      <c r="FX7522"/>
      <c r="FY7522"/>
      <c r="FZ7522"/>
      <c r="GA7522"/>
      <c r="GB7522"/>
      <c r="GC7522"/>
      <c r="GD7522"/>
      <c r="GE7522"/>
      <c r="GF7522"/>
      <c r="GG7522"/>
      <c r="GH7522"/>
      <c r="GI7522"/>
      <c r="GJ7522"/>
      <c r="GK7522"/>
      <c r="GL7522"/>
      <c r="GM7522"/>
      <c r="GN7522"/>
      <c r="GO7522"/>
    </row>
    <row r="7523" spans="107:197">
      <c r="DC7523"/>
      <c r="FH7523"/>
      <c r="FI7523"/>
      <c r="FJ7523"/>
      <c r="FK7523"/>
      <c r="FL7523"/>
      <c r="FM7523"/>
      <c r="FN7523"/>
      <c r="FO7523"/>
      <c r="FP7523"/>
      <c r="FQ7523"/>
      <c r="FR7523"/>
      <c r="FS7523"/>
      <c r="FT7523"/>
      <c r="FU7523"/>
      <c r="FV7523"/>
      <c r="FW7523"/>
      <c r="FX7523"/>
      <c r="FY7523"/>
      <c r="FZ7523"/>
      <c r="GA7523"/>
      <c r="GB7523"/>
      <c r="GC7523"/>
      <c r="GD7523"/>
      <c r="GE7523"/>
      <c r="GF7523"/>
      <c r="GG7523"/>
      <c r="GH7523"/>
      <c r="GI7523"/>
      <c r="GJ7523"/>
      <c r="GK7523"/>
      <c r="GL7523"/>
      <c r="GM7523"/>
      <c r="GN7523"/>
      <c r="GO7523"/>
    </row>
    <row r="7524" spans="107:197">
      <c r="DC7524"/>
      <c r="FH7524"/>
      <c r="FI7524"/>
      <c r="FJ7524"/>
      <c r="FK7524"/>
      <c r="FL7524"/>
      <c r="FM7524"/>
      <c r="FN7524"/>
      <c r="FO7524"/>
      <c r="FP7524"/>
      <c r="FQ7524"/>
      <c r="FR7524"/>
      <c r="FS7524"/>
      <c r="FT7524"/>
      <c r="FU7524"/>
      <c r="FV7524"/>
      <c r="FW7524"/>
      <c r="FX7524"/>
      <c r="FY7524"/>
      <c r="FZ7524"/>
      <c r="GA7524"/>
      <c r="GB7524"/>
      <c r="GC7524"/>
      <c r="GD7524"/>
      <c r="GE7524"/>
      <c r="GF7524"/>
      <c r="GG7524"/>
      <c r="GH7524"/>
      <c r="GI7524"/>
      <c r="GJ7524"/>
      <c r="GK7524"/>
      <c r="GL7524"/>
      <c r="GM7524"/>
      <c r="GN7524"/>
      <c r="GO7524"/>
    </row>
    <row r="7525" spans="107:197">
      <c r="DC7525"/>
      <c r="FH7525"/>
      <c r="FI7525"/>
      <c r="FJ7525"/>
      <c r="FK7525"/>
      <c r="FL7525"/>
      <c r="FM7525"/>
      <c r="FN7525"/>
      <c r="FO7525"/>
      <c r="FP7525"/>
      <c r="FQ7525"/>
      <c r="FR7525"/>
      <c r="FS7525"/>
      <c r="FT7525"/>
      <c r="FU7525"/>
      <c r="FV7525"/>
      <c r="FW7525"/>
      <c r="FX7525"/>
      <c r="FY7525"/>
      <c r="FZ7525"/>
      <c r="GA7525"/>
      <c r="GB7525"/>
      <c r="GC7525"/>
      <c r="GD7525"/>
      <c r="GE7525"/>
      <c r="GF7525"/>
      <c r="GG7525"/>
      <c r="GH7525"/>
      <c r="GI7525"/>
      <c r="GJ7525"/>
      <c r="GK7525"/>
      <c r="GL7525"/>
      <c r="GM7525"/>
      <c r="GN7525"/>
      <c r="GO7525"/>
    </row>
    <row r="7526" spans="107:197">
      <c r="DC7526"/>
      <c r="FH7526"/>
      <c r="FI7526"/>
      <c r="FJ7526"/>
      <c r="FK7526"/>
      <c r="FL7526"/>
      <c r="FM7526"/>
      <c r="FN7526"/>
      <c r="FO7526"/>
      <c r="FP7526"/>
      <c r="FQ7526"/>
      <c r="FR7526"/>
      <c r="FS7526"/>
      <c r="FT7526"/>
      <c r="FU7526"/>
      <c r="FV7526"/>
      <c r="FW7526"/>
      <c r="FX7526"/>
      <c r="FY7526"/>
      <c r="FZ7526"/>
      <c r="GA7526"/>
      <c r="GB7526"/>
      <c r="GC7526"/>
      <c r="GD7526"/>
      <c r="GE7526"/>
      <c r="GF7526"/>
      <c r="GG7526"/>
      <c r="GH7526"/>
      <c r="GI7526"/>
      <c r="GJ7526"/>
      <c r="GK7526"/>
      <c r="GL7526"/>
      <c r="GM7526"/>
      <c r="GN7526"/>
      <c r="GO7526"/>
    </row>
    <row r="7527" spans="107:197">
      <c r="DC7527"/>
      <c r="FH7527"/>
      <c r="FI7527"/>
      <c r="FJ7527"/>
      <c r="FK7527"/>
      <c r="FL7527"/>
      <c r="FM7527"/>
      <c r="FN7527"/>
      <c r="FO7527"/>
      <c r="FP7527"/>
      <c r="FQ7527"/>
      <c r="FR7527"/>
      <c r="FS7527"/>
      <c r="FT7527"/>
      <c r="FU7527"/>
      <c r="FV7527"/>
      <c r="FW7527"/>
      <c r="FX7527"/>
      <c r="FY7527"/>
      <c r="FZ7527"/>
      <c r="GA7527"/>
      <c r="GB7527"/>
      <c r="GC7527"/>
      <c r="GD7527"/>
      <c r="GE7527"/>
      <c r="GF7527"/>
      <c r="GG7527"/>
      <c r="GH7527"/>
      <c r="GI7527"/>
      <c r="GJ7527"/>
      <c r="GK7527"/>
      <c r="GL7527"/>
      <c r="GM7527"/>
      <c r="GN7527"/>
      <c r="GO7527"/>
    </row>
    <row r="7528" spans="107:197">
      <c r="DC7528"/>
      <c r="FH7528"/>
      <c r="FI7528"/>
      <c r="FJ7528"/>
      <c r="FK7528"/>
      <c r="FL7528"/>
      <c r="FM7528"/>
      <c r="FN7528"/>
      <c r="FO7528"/>
      <c r="FP7528"/>
      <c r="FQ7528"/>
      <c r="FR7528"/>
      <c r="FS7528"/>
      <c r="FT7528"/>
      <c r="FU7528"/>
      <c r="FV7528"/>
      <c r="FW7528"/>
      <c r="FX7528"/>
      <c r="FY7528"/>
      <c r="FZ7528"/>
      <c r="GA7528"/>
      <c r="GB7528"/>
      <c r="GC7528"/>
      <c r="GD7528"/>
      <c r="GE7528"/>
      <c r="GF7528"/>
      <c r="GG7528"/>
      <c r="GH7528"/>
      <c r="GI7528"/>
      <c r="GJ7528"/>
      <c r="GK7528"/>
      <c r="GL7528"/>
      <c r="GM7528"/>
      <c r="GN7528"/>
      <c r="GO7528"/>
    </row>
    <row r="7529" spans="107:197">
      <c r="DC7529"/>
      <c r="FH7529"/>
      <c r="FI7529"/>
      <c r="FJ7529"/>
      <c r="FK7529"/>
      <c r="FL7529"/>
      <c r="FM7529"/>
      <c r="FN7529"/>
      <c r="FO7529"/>
      <c r="FP7529"/>
      <c r="FQ7529"/>
      <c r="FR7529"/>
      <c r="FS7529"/>
      <c r="FT7529"/>
      <c r="FU7529"/>
      <c r="FV7529"/>
      <c r="FW7529"/>
      <c r="FX7529"/>
      <c r="FY7529"/>
      <c r="FZ7529"/>
      <c r="GA7529"/>
      <c r="GB7529"/>
      <c r="GC7529"/>
      <c r="GD7529"/>
      <c r="GE7529"/>
      <c r="GF7529"/>
      <c r="GG7529"/>
      <c r="GH7529"/>
      <c r="GI7529"/>
      <c r="GJ7529"/>
      <c r="GK7529"/>
      <c r="GL7529"/>
      <c r="GM7529"/>
      <c r="GN7529"/>
      <c r="GO7529"/>
    </row>
    <row r="7530" spans="107:197">
      <c r="DC7530"/>
      <c r="FH7530"/>
      <c r="FI7530"/>
      <c r="FJ7530"/>
      <c r="FK7530"/>
      <c r="FL7530"/>
      <c r="FM7530"/>
      <c r="FN7530"/>
      <c r="FO7530"/>
      <c r="FP7530"/>
      <c r="FQ7530"/>
      <c r="FR7530"/>
      <c r="FS7530"/>
      <c r="FT7530"/>
      <c r="FU7530"/>
      <c r="FV7530"/>
      <c r="FW7530"/>
      <c r="FX7530"/>
      <c r="FY7530"/>
      <c r="FZ7530"/>
      <c r="GA7530"/>
      <c r="GB7530"/>
      <c r="GC7530"/>
      <c r="GD7530"/>
      <c r="GE7530"/>
      <c r="GF7530"/>
      <c r="GG7530"/>
      <c r="GH7530"/>
      <c r="GI7530"/>
      <c r="GJ7530"/>
      <c r="GK7530"/>
      <c r="GL7530"/>
      <c r="GM7530"/>
      <c r="GN7530"/>
      <c r="GO7530"/>
    </row>
    <row r="7531" spans="107:197">
      <c r="DC7531"/>
      <c r="FH7531"/>
      <c r="FI7531"/>
      <c r="FJ7531"/>
      <c r="FK7531"/>
      <c r="FL7531"/>
      <c r="FM7531"/>
      <c r="FN7531"/>
      <c r="FO7531"/>
      <c r="FP7531"/>
      <c r="FQ7531"/>
      <c r="FR7531"/>
      <c r="FS7531"/>
      <c r="FT7531"/>
      <c r="FU7531"/>
      <c r="FV7531"/>
      <c r="FW7531"/>
      <c r="FX7531"/>
      <c r="FY7531"/>
      <c r="FZ7531"/>
      <c r="GA7531"/>
      <c r="GB7531"/>
      <c r="GC7531"/>
      <c r="GD7531"/>
      <c r="GE7531"/>
      <c r="GF7531"/>
      <c r="GG7531"/>
      <c r="GH7531"/>
      <c r="GI7531"/>
      <c r="GJ7531"/>
      <c r="GK7531"/>
      <c r="GL7531"/>
      <c r="GM7531"/>
      <c r="GN7531"/>
      <c r="GO7531"/>
    </row>
    <row r="7532" spans="107:197">
      <c r="DC7532"/>
      <c r="FH7532"/>
      <c r="FI7532"/>
      <c r="FJ7532"/>
      <c r="FK7532"/>
      <c r="FL7532"/>
      <c r="FM7532"/>
      <c r="FN7532"/>
      <c r="FO7532"/>
      <c r="FP7532"/>
      <c r="FQ7532"/>
      <c r="FR7532"/>
      <c r="FS7532"/>
      <c r="FT7532"/>
      <c r="FU7532"/>
      <c r="FV7532"/>
      <c r="FW7532"/>
      <c r="FX7532"/>
      <c r="FY7532"/>
      <c r="FZ7532"/>
      <c r="GA7532"/>
      <c r="GB7532"/>
      <c r="GC7532"/>
      <c r="GD7532"/>
      <c r="GE7532"/>
      <c r="GF7532"/>
      <c r="GG7532"/>
      <c r="GH7532"/>
      <c r="GI7532"/>
      <c r="GJ7532"/>
      <c r="GK7532"/>
      <c r="GL7532"/>
      <c r="GM7532"/>
      <c r="GN7532"/>
      <c r="GO7532"/>
    </row>
    <row r="7533" spans="107:197">
      <c r="DC7533"/>
      <c r="FH7533"/>
      <c r="FI7533"/>
      <c r="FJ7533"/>
      <c r="FK7533"/>
      <c r="FL7533"/>
      <c r="FM7533"/>
      <c r="FN7533"/>
      <c r="FO7533"/>
      <c r="FP7533"/>
      <c r="FQ7533"/>
      <c r="FR7533"/>
      <c r="FS7533"/>
      <c r="FT7533"/>
      <c r="FU7533"/>
      <c r="FV7533"/>
      <c r="FW7533"/>
      <c r="FX7533"/>
      <c r="FY7533"/>
      <c r="FZ7533"/>
      <c r="GA7533"/>
      <c r="GB7533"/>
      <c r="GC7533"/>
      <c r="GD7533"/>
      <c r="GE7533"/>
      <c r="GF7533"/>
      <c r="GG7533"/>
      <c r="GH7533"/>
      <c r="GI7533"/>
      <c r="GJ7533"/>
      <c r="GK7533"/>
      <c r="GL7533"/>
      <c r="GM7533"/>
      <c r="GN7533"/>
      <c r="GO7533"/>
    </row>
    <row r="7534" spans="107:197">
      <c r="DC7534"/>
      <c r="FH7534"/>
      <c r="FI7534"/>
      <c r="FJ7534"/>
      <c r="FK7534"/>
      <c r="FL7534"/>
      <c r="FM7534"/>
      <c r="FN7534"/>
      <c r="FO7534"/>
      <c r="FP7534"/>
      <c r="FQ7534"/>
      <c r="FR7534"/>
      <c r="FS7534"/>
      <c r="FT7534"/>
      <c r="FU7534"/>
      <c r="FV7534"/>
      <c r="FW7534"/>
      <c r="FX7534"/>
      <c r="FY7534"/>
      <c r="FZ7534"/>
      <c r="GA7534"/>
      <c r="GB7534"/>
      <c r="GC7534"/>
      <c r="GD7534"/>
      <c r="GE7534"/>
      <c r="GF7534"/>
      <c r="GG7534"/>
      <c r="GH7534"/>
      <c r="GI7534"/>
      <c r="GJ7534"/>
      <c r="GK7534"/>
      <c r="GL7534"/>
      <c r="GM7534"/>
      <c r="GN7534"/>
      <c r="GO7534"/>
    </row>
    <row r="7535" spans="107:197">
      <c r="DC7535"/>
      <c r="FH7535"/>
      <c r="FI7535"/>
      <c r="FJ7535"/>
      <c r="FK7535"/>
      <c r="FL7535"/>
      <c r="FM7535"/>
      <c r="FN7535"/>
      <c r="FO7535"/>
      <c r="FP7535"/>
      <c r="FQ7535"/>
      <c r="FR7535"/>
      <c r="FS7535"/>
      <c r="FT7535"/>
      <c r="FU7535"/>
      <c r="FV7535"/>
      <c r="FW7535"/>
      <c r="FX7535"/>
      <c r="FY7535"/>
      <c r="FZ7535"/>
      <c r="GA7535"/>
      <c r="GB7535"/>
      <c r="GC7535"/>
      <c r="GD7535"/>
      <c r="GE7535"/>
      <c r="GF7535"/>
      <c r="GG7535"/>
      <c r="GH7535"/>
      <c r="GI7535"/>
      <c r="GJ7535"/>
      <c r="GK7535"/>
      <c r="GL7535"/>
      <c r="GM7535"/>
      <c r="GN7535"/>
      <c r="GO7535"/>
    </row>
    <row r="7536" spans="107:197">
      <c r="DC7536"/>
      <c r="FH7536"/>
      <c r="FI7536"/>
      <c r="FJ7536"/>
      <c r="FK7536"/>
      <c r="FL7536"/>
      <c r="FM7536"/>
      <c r="FN7536"/>
      <c r="FO7536"/>
      <c r="FP7536"/>
      <c r="FQ7536"/>
      <c r="FR7536"/>
      <c r="FS7536"/>
      <c r="FT7536"/>
      <c r="FU7536"/>
      <c r="FV7536"/>
      <c r="FW7536"/>
      <c r="FX7536"/>
      <c r="FY7536"/>
      <c r="FZ7536"/>
      <c r="GA7536"/>
      <c r="GB7536"/>
      <c r="GC7536"/>
      <c r="GD7536"/>
      <c r="GE7536"/>
      <c r="GF7536"/>
      <c r="GG7536"/>
      <c r="GH7536"/>
      <c r="GI7536"/>
      <c r="GJ7536"/>
      <c r="GK7536"/>
      <c r="GL7536"/>
      <c r="GM7536"/>
      <c r="GN7536"/>
      <c r="GO7536"/>
    </row>
    <row r="7537" spans="107:197">
      <c r="DC7537"/>
      <c r="FH7537"/>
      <c r="FI7537"/>
      <c r="FJ7537"/>
      <c r="FK7537"/>
      <c r="FL7537"/>
      <c r="FM7537"/>
      <c r="FN7537"/>
      <c r="FO7537"/>
      <c r="FP7537"/>
      <c r="FQ7537"/>
      <c r="FR7537"/>
      <c r="FS7537"/>
      <c r="FT7537"/>
      <c r="FU7537"/>
      <c r="FV7537"/>
      <c r="FW7537"/>
      <c r="FX7537"/>
      <c r="FY7537"/>
      <c r="FZ7537"/>
      <c r="GA7537"/>
      <c r="GB7537"/>
      <c r="GC7537"/>
      <c r="GD7537"/>
      <c r="GE7537"/>
      <c r="GF7537"/>
      <c r="GG7537"/>
      <c r="GH7537"/>
      <c r="GI7537"/>
      <c r="GJ7537"/>
      <c r="GK7537"/>
      <c r="GL7537"/>
      <c r="GM7537"/>
      <c r="GN7537"/>
      <c r="GO7537"/>
    </row>
    <row r="7538" spans="107:197">
      <c r="DC7538"/>
      <c r="FH7538"/>
      <c r="FI7538"/>
      <c r="FJ7538"/>
      <c r="FK7538"/>
      <c r="FL7538"/>
      <c r="FM7538"/>
      <c r="FN7538"/>
      <c r="FO7538"/>
      <c r="FP7538"/>
      <c r="FQ7538"/>
      <c r="FR7538"/>
      <c r="FS7538"/>
      <c r="FT7538"/>
      <c r="FU7538"/>
      <c r="FV7538"/>
      <c r="FW7538"/>
      <c r="FX7538"/>
      <c r="FY7538"/>
      <c r="FZ7538"/>
      <c r="GA7538"/>
      <c r="GB7538"/>
      <c r="GC7538"/>
      <c r="GD7538"/>
      <c r="GE7538"/>
      <c r="GF7538"/>
      <c r="GG7538"/>
      <c r="GH7538"/>
      <c r="GI7538"/>
      <c r="GJ7538"/>
      <c r="GK7538"/>
      <c r="GL7538"/>
      <c r="GM7538"/>
      <c r="GN7538"/>
      <c r="GO7538"/>
    </row>
    <row r="7539" spans="107:197">
      <c r="DC7539"/>
      <c r="FH7539"/>
      <c r="FI7539"/>
      <c r="FJ7539"/>
      <c r="FK7539"/>
      <c r="FL7539"/>
      <c r="FM7539"/>
      <c r="FN7539"/>
      <c r="FO7539"/>
      <c r="FP7539"/>
      <c r="FQ7539"/>
      <c r="FR7539"/>
      <c r="FS7539"/>
      <c r="FT7539"/>
      <c r="FU7539"/>
      <c r="FV7539"/>
      <c r="FW7539"/>
      <c r="FX7539"/>
      <c r="FY7539"/>
      <c r="FZ7539"/>
      <c r="GA7539"/>
      <c r="GB7539"/>
      <c r="GC7539"/>
      <c r="GD7539"/>
      <c r="GE7539"/>
      <c r="GF7539"/>
      <c r="GG7539"/>
      <c r="GH7539"/>
      <c r="GI7539"/>
      <c r="GJ7539"/>
      <c r="GK7539"/>
      <c r="GL7539"/>
      <c r="GM7539"/>
      <c r="GN7539"/>
      <c r="GO7539"/>
    </row>
    <row r="7540" spans="107:197">
      <c r="DC7540"/>
      <c r="FH7540"/>
      <c r="FI7540"/>
      <c r="FJ7540"/>
      <c r="FK7540"/>
      <c r="FL7540"/>
      <c r="FM7540"/>
      <c r="FN7540"/>
      <c r="FO7540"/>
      <c r="FP7540"/>
      <c r="FQ7540"/>
      <c r="FR7540"/>
      <c r="FS7540"/>
      <c r="FT7540"/>
      <c r="FU7540"/>
      <c r="FV7540"/>
      <c r="FW7540"/>
      <c r="FX7540"/>
      <c r="FY7540"/>
      <c r="FZ7540"/>
      <c r="GA7540"/>
      <c r="GB7540"/>
      <c r="GC7540"/>
      <c r="GD7540"/>
      <c r="GE7540"/>
      <c r="GF7540"/>
      <c r="GG7540"/>
      <c r="GH7540"/>
      <c r="GI7540"/>
      <c r="GJ7540"/>
      <c r="GK7540"/>
      <c r="GL7540"/>
      <c r="GM7540"/>
      <c r="GN7540"/>
      <c r="GO7540"/>
    </row>
    <row r="7541" spans="107:197">
      <c r="DC7541"/>
      <c r="FH7541"/>
      <c r="FI7541"/>
      <c r="FJ7541"/>
      <c r="FK7541"/>
      <c r="FL7541"/>
      <c r="FM7541"/>
      <c r="FN7541"/>
      <c r="FO7541"/>
      <c r="FP7541"/>
      <c r="FQ7541"/>
      <c r="FR7541"/>
      <c r="FS7541"/>
      <c r="FT7541"/>
      <c r="FU7541"/>
      <c r="FV7541"/>
      <c r="FW7541"/>
      <c r="FX7541"/>
      <c r="FY7541"/>
      <c r="FZ7541"/>
      <c r="GA7541"/>
      <c r="GB7541"/>
      <c r="GC7541"/>
      <c r="GD7541"/>
      <c r="GE7541"/>
      <c r="GF7541"/>
      <c r="GG7541"/>
      <c r="GH7541"/>
      <c r="GI7541"/>
      <c r="GJ7541"/>
      <c r="GK7541"/>
      <c r="GL7541"/>
      <c r="GM7541"/>
      <c r="GN7541"/>
      <c r="GO7541"/>
    </row>
    <row r="7542" spans="107:197">
      <c r="DC7542"/>
      <c r="FH7542"/>
      <c r="FI7542"/>
      <c r="FJ7542"/>
      <c r="FK7542"/>
      <c r="FL7542"/>
      <c r="FM7542"/>
      <c r="FN7542"/>
      <c r="FO7542"/>
      <c r="FP7542"/>
      <c r="FQ7542"/>
      <c r="FR7542"/>
      <c r="FS7542"/>
      <c r="FT7542"/>
      <c r="FU7542"/>
      <c r="FV7542"/>
      <c r="FW7542"/>
      <c r="FX7542"/>
      <c r="FY7542"/>
      <c r="FZ7542"/>
      <c r="GA7542"/>
      <c r="GB7542"/>
      <c r="GC7542"/>
      <c r="GD7542"/>
      <c r="GE7542"/>
      <c r="GF7542"/>
      <c r="GG7542"/>
      <c r="GH7542"/>
      <c r="GI7542"/>
      <c r="GJ7542"/>
      <c r="GK7542"/>
      <c r="GL7542"/>
      <c r="GM7542"/>
      <c r="GN7542"/>
      <c r="GO7542"/>
    </row>
    <row r="7543" spans="107:197">
      <c r="DC7543"/>
      <c r="FH7543"/>
      <c r="FI7543"/>
      <c r="FJ7543"/>
      <c r="FK7543"/>
      <c r="FL7543"/>
      <c r="FM7543"/>
      <c r="FN7543"/>
      <c r="FO7543"/>
      <c r="FP7543"/>
      <c r="FQ7543"/>
      <c r="FR7543"/>
      <c r="FS7543"/>
      <c r="FT7543"/>
      <c r="FU7543"/>
      <c r="FV7543"/>
      <c r="FW7543"/>
      <c r="FX7543"/>
      <c r="FY7543"/>
      <c r="FZ7543"/>
      <c r="GA7543"/>
      <c r="GB7543"/>
      <c r="GC7543"/>
      <c r="GD7543"/>
      <c r="GE7543"/>
      <c r="GF7543"/>
      <c r="GG7543"/>
      <c r="GH7543"/>
      <c r="GI7543"/>
      <c r="GJ7543"/>
      <c r="GK7543"/>
      <c r="GL7543"/>
      <c r="GM7543"/>
      <c r="GN7543"/>
      <c r="GO7543"/>
    </row>
    <row r="7544" spans="107:197">
      <c r="DC7544"/>
      <c r="FH7544"/>
      <c r="FI7544"/>
      <c r="FJ7544"/>
      <c r="FK7544"/>
      <c r="FL7544"/>
      <c r="FM7544"/>
      <c r="FN7544"/>
      <c r="FO7544"/>
      <c r="FP7544"/>
      <c r="FQ7544"/>
      <c r="FR7544"/>
      <c r="FS7544"/>
      <c r="FT7544"/>
      <c r="FU7544"/>
      <c r="FV7544"/>
      <c r="FW7544"/>
      <c r="FX7544"/>
      <c r="FY7544"/>
      <c r="FZ7544"/>
      <c r="GA7544"/>
      <c r="GB7544"/>
      <c r="GC7544"/>
      <c r="GD7544"/>
      <c r="GE7544"/>
      <c r="GF7544"/>
      <c r="GG7544"/>
      <c r="GH7544"/>
      <c r="GI7544"/>
      <c r="GJ7544"/>
      <c r="GK7544"/>
      <c r="GL7544"/>
      <c r="GM7544"/>
      <c r="GN7544"/>
      <c r="GO7544"/>
    </row>
    <row r="7545" spans="107:197">
      <c r="DC7545"/>
      <c r="FH7545"/>
      <c r="FI7545"/>
      <c r="FJ7545"/>
      <c r="FK7545"/>
      <c r="FL7545"/>
      <c r="FM7545"/>
      <c r="FN7545"/>
      <c r="FO7545"/>
      <c r="FP7545"/>
      <c r="FQ7545"/>
      <c r="FR7545"/>
      <c r="FS7545"/>
      <c r="FT7545"/>
      <c r="FU7545"/>
      <c r="FV7545"/>
      <c r="FW7545"/>
      <c r="FX7545"/>
      <c r="FY7545"/>
      <c r="FZ7545"/>
      <c r="GA7545"/>
      <c r="GB7545"/>
      <c r="GC7545"/>
      <c r="GD7545"/>
      <c r="GE7545"/>
      <c r="GF7545"/>
      <c r="GG7545"/>
      <c r="GH7545"/>
      <c r="GI7545"/>
      <c r="GJ7545"/>
      <c r="GK7545"/>
      <c r="GL7545"/>
      <c r="GM7545"/>
      <c r="GN7545"/>
      <c r="GO7545"/>
    </row>
    <row r="7546" spans="107:197">
      <c r="DC7546"/>
      <c r="FH7546"/>
      <c r="FI7546"/>
      <c r="FJ7546"/>
      <c r="FK7546"/>
      <c r="FL7546"/>
      <c r="FM7546"/>
      <c r="FN7546"/>
      <c r="FO7546"/>
      <c r="FP7546"/>
      <c r="FQ7546"/>
      <c r="FR7546"/>
      <c r="FS7546"/>
      <c r="FT7546"/>
      <c r="FU7546"/>
      <c r="FV7546"/>
      <c r="FW7546"/>
      <c r="FX7546"/>
      <c r="FY7546"/>
      <c r="FZ7546"/>
      <c r="GA7546"/>
      <c r="GB7546"/>
      <c r="GC7546"/>
      <c r="GD7546"/>
      <c r="GE7546"/>
      <c r="GF7546"/>
      <c r="GG7546"/>
      <c r="GH7546"/>
      <c r="GI7546"/>
      <c r="GJ7546"/>
      <c r="GK7546"/>
      <c r="GL7546"/>
      <c r="GM7546"/>
      <c r="GN7546"/>
      <c r="GO7546"/>
    </row>
    <row r="7547" spans="107:197">
      <c r="DC7547"/>
      <c r="FH7547"/>
      <c r="FI7547"/>
      <c r="FJ7547"/>
      <c r="FK7547"/>
      <c r="FL7547"/>
      <c r="FM7547"/>
      <c r="FN7547"/>
      <c r="FO7547"/>
      <c r="FP7547"/>
      <c r="FQ7547"/>
      <c r="FR7547"/>
      <c r="FS7547"/>
      <c r="FT7547"/>
      <c r="FU7547"/>
      <c r="FV7547"/>
      <c r="FW7547"/>
      <c r="FX7547"/>
      <c r="FY7547"/>
      <c r="FZ7547"/>
      <c r="GA7547"/>
      <c r="GB7547"/>
      <c r="GC7547"/>
      <c r="GD7547"/>
      <c r="GE7547"/>
      <c r="GF7547"/>
      <c r="GG7547"/>
      <c r="GH7547"/>
      <c r="GI7547"/>
      <c r="GJ7547"/>
      <c r="GK7547"/>
      <c r="GL7547"/>
      <c r="GM7547"/>
      <c r="GN7547"/>
      <c r="GO7547"/>
    </row>
    <row r="7548" spans="107:197">
      <c r="DC7548"/>
      <c r="FH7548"/>
      <c r="FI7548"/>
      <c r="FJ7548"/>
      <c r="FK7548"/>
      <c r="FL7548"/>
      <c r="FM7548"/>
      <c r="FN7548"/>
      <c r="FO7548"/>
      <c r="FP7548"/>
      <c r="FQ7548"/>
      <c r="FR7548"/>
      <c r="FS7548"/>
      <c r="FT7548"/>
      <c r="FU7548"/>
      <c r="FV7548"/>
      <c r="FW7548"/>
      <c r="FX7548"/>
      <c r="FY7548"/>
      <c r="FZ7548"/>
      <c r="GA7548"/>
      <c r="GB7548"/>
      <c r="GC7548"/>
      <c r="GD7548"/>
      <c r="GE7548"/>
      <c r="GF7548"/>
      <c r="GG7548"/>
      <c r="GH7548"/>
      <c r="GI7548"/>
      <c r="GJ7548"/>
      <c r="GK7548"/>
      <c r="GL7548"/>
      <c r="GM7548"/>
      <c r="GN7548"/>
      <c r="GO7548"/>
    </row>
    <row r="7549" spans="107:197">
      <c r="DC7549"/>
      <c r="FH7549"/>
      <c r="FI7549"/>
      <c r="FJ7549"/>
      <c r="FK7549"/>
      <c r="FL7549"/>
      <c r="FM7549"/>
      <c r="FN7549"/>
      <c r="FO7549"/>
      <c r="FP7549"/>
      <c r="FQ7549"/>
      <c r="FR7549"/>
      <c r="FS7549"/>
      <c r="FT7549"/>
      <c r="FU7549"/>
      <c r="FV7549"/>
      <c r="FW7549"/>
      <c r="FX7549"/>
      <c r="FY7549"/>
      <c r="FZ7549"/>
      <c r="GA7549"/>
      <c r="GB7549"/>
      <c r="GC7549"/>
      <c r="GD7549"/>
      <c r="GE7549"/>
      <c r="GF7549"/>
      <c r="GG7549"/>
      <c r="GH7549"/>
      <c r="GI7549"/>
      <c r="GJ7549"/>
      <c r="GK7549"/>
      <c r="GL7549"/>
      <c r="GM7549"/>
      <c r="GN7549"/>
      <c r="GO7549"/>
    </row>
    <row r="7550" spans="107:197">
      <c r="DC7550"/>
      <c r="FH7550"/>
      <c r="FI7550"/>
      <c r="FJ7550"/>
      <c r="FK7550"/>
      <c r="FL7550"/>
      <c r="FM7550"/>
      <c r="FN7550"/>
      <c r="FO7550"/>
      <c r="FP7550"/>
      <c r="FQ7550"/>
      <c r="FR7550"/>
      <c r="FS7550"/>
      <c r="FT7550"/>
      <c r="FU7550"/>
      <c r="FV7550"/>
      <c r="FW7550"/>
      <c r="FX7550"/>
      <c r="FY7550"/>
      <c r="FZ7550"/>
      <c r="GA7550"/>
      <c r="GB7550"/>
      <c r="GC7550"/>
      <c r="GD7550"/>
      <c r="GE7550"/>
      <c r="GF7550"/>
      <c r="GG7550"/>
      <c r="GH7550"/>
      <c r="GI7550"/>
      <c r="GJ7550"/>
      <c r="GK7550"/>
      <c r="GL7550"/>
      <c r="GM7550"/>
      <c r="GN7550"/>
      <c r="GO7550"/>
    </row>
    <row r="7551" spans="107:197">
      <c r="DC7551"/>
      <c r="FH7551"/>
      <c r="FI7551"/>
      <c r="FJ7551"/>
      <c r="FK7551"/>
      <c r="FL7551"/>
      <c r="FM7551"/>
      <c r="FN7551"/>
      <c r="FO7551"/>
      <c r="FP7551"/>
      <c r="FQ7551"/>
      <c r="FR7551"/>
      <c r="FS7551"/>
      <c r="FT7551"/>
      <c r="FU7551"/>
      <c r="FV7551"/>
      <c r="FW7551"/>
      <c r="FX7551"/>
      <c r="FY7551"/>
      <c r="FZ7551"/>
      <c r="GA7551"/>
      <c r="GB7551"/>
      <c r="GC7551"/>
      <c r="GD7551"/>
      <c r="GE7551"/>
      <c r="GF7551"/>
      <c r="GG7551"/>
      <c r="GH7551"/>
      <c r="GI7551"/>
      <c r="GJ7551"/>
      <c r="GK7551"/>
      <c r="GL7551"/>
      <c r="GM7551"/>
      <c r="GN7551"/>
      <c r="GO7551"/>
    </row>
    <row r="7552" spans="107:197">
      <c r="DC7552"/>
      <c r="FH7552"/>
      <c r="FI7552"/>
      <c r="FJ7552"/>
      <c r="FK7552"/>
      <c r="FL7552"/>
      <c r="FM7552"/>
      <c r="FN7552"/>
      <c r="FO7552"/>
      <c r="FP7552"/>
      <c r="FQ7552"/>
      <c r="FR7552"/>
      <c r="FS7552"/>
      <c r="FT7552"/>
      <c r="FU7552"/>
      <c r="FV7552"/>
      <c r="FW7552"/>
      <c r="FX7552"/>
      <c r="FY7552"/>
      <c r="FZ7552"/>
      <c r="GA7552"/>
      <c r="GB7552"/>
      <c r="GC7552"/>
      <c r="GD7552"/>
      <c r="GE7552"/>
      <c r="GF7552"/>
      <c r="GG7552"/>
      <c r="GH7552"/>
      <c r="GI7552"/>
      <c r="GJ7552"/>
      <c r="GK7552"/>
      <c r="GL7552"/>
      <c r="GM7552"/>
      <c r="GN7552"/>
      <c r="GO7552"/>
    </row>
    <row r="7553" spans="107:197">
      <c r="DC7553"/>
      <c r="FH7553"/>
      <c r="FI7553"/>
      <c r="FJ7553"/>
      <c r="FK7553"/>
      <c r="FL7553"/>
      <c r="FM7553"/>
      <c r="FN7553"/>
      <c r="FO7553"/>
      <c r="FP7553"/>
      <c r="FQ7553"/>
      <c r="FR7553"/>
      <c r="FS7553"/>
      <c r="FT7553"/>
      <c r="FU7553"/>
      <c r="FV7553"/>
      <c r="FW7553"/>
      <c r="FX7553"/>
      <c r="FY7553"/>
      <c r="FZ7553"/>
      <c r="GA7553"/>
      <c r="GB7553"/>
      <c r="GC7553"/>
      <c r="GD7553"/>
      <c r="GE7553"/>
      <c r="GF7553"/>
      <c r="GG7553"/>
      <c r="GH7553"/>
      <c r="GI7553"/>
      <c r="GJ7553"/>
      <c r="GK7553"/>
      <c r="GL7553"/>
      <c r="GM7553"/>
      <c r="GN7553"/>
      <c r="GO7553"/>
    </row>
    <row r="7554" spans="107:197">
      <c r="DC7554"/>
      <c r="FH7554"/>
      <c r="FI7554"/>
      <c r="FJ7554"/>
      <c r="FK7554"/>
      <c r="FL7554"/>
      <c r="FM7554"/>
      <c r="FN7554"/>
      <c r="FO7554"/>
      <c r="FP7554"/>
      <c r="FQ7554"/>
      <c r="FR7554"/>
      <c r="FS7554"/>
      <c r="FT7554"/>
      <c r="FU7554"/>
      <c r="FV7554"/>
      <c r="FW7554"/>
      <c r="FX7554"/>
      <c r="FY7554"/>
      <c r="FZ7554"/>
      <c r="GA7554"/>
      <c r="GB7554"/>
      <c r="GC7554"/>
      <c r="GD7554"/>
      <c r="GE7554"/>
      <c r="GF7554"/>
      <c r="GG7554"/>
      <c r="GH7554"/>
      <c r="GI7554"/>
      <c r="GJ7554"/>
      <c r="GK7554"/>
      <c r="GL7554"/>
      <c r="GM7554"/>
      <c r="GN7554"/>
      <c r="GO7554"/>
    </row>
    <row r="7555" spans="107:197">
      <c r="DC7555"/>
      <c r="FH7555"/>
      <c r="FI7555"/>
      <c r="FJ7555"/>
      <c r="FK7555"/>
      <c r="FL7555"/>
      <c r="FM7555"/>
      <c r="FN7555"/>
      <c r="FO7555"/>
      <c r="FP7555"/>
      <c r="FQ7555"/>
      <c r="FR7555"/>
      <c r="FS7555"/>
      <c r="FT7555"/>
      <c r="FU7555"/>
      <c r="FV7555"/>
      <c r="FW7555"/>
      <c r="FX7555"/>
      <c r="FY7555"/>
      <c r="FZ7555"/>
      <c r="GA7555"/>
      <c r="GB7555"/>
      <c r="GC7555"/>
      <c r="GD7555"/>
      <c r="GE7555"/>
      <c r="GF7555"/>
      <c r="GG7555"/>
      <c r="GH7555"/>
      <c r="GI7555"/>
      <c r="GJ7555"/>
      <c r="GK7555"/>
      <c r="GL7555"/>
      <c r="GM7555"/>
      <c r="GN7555"/>
      <c r="GO7555"/>
    </row>
    <row r="7556" spans="107:197">
      <c r="DC7556"/>
      <c r="FH7556"/>
      <c r="FI7556"/>
      <c r="FJ7556"/>
      <c r="FK7556"/>
      <c r="FL7556"/>
      <c r="FM7556"/>
      <c r="FN7556"/>
      <c r="FO7556"/>
      <c r="FP7556"/>
      <c r="FQ7556"/>
      <c r="FR7556"/>
      <c r="FS7556"/>
      <c r="FT7556"/>
      <c r="FU7556"/>
      <c r="FV7556"/>
      <c r="FW7556"/>
      <c r="FX7556"/>
      <c r="FY7556"/>
      <c r="FZ7556"/>
      <c r="GA7556"/>
      <c r="GB7556"/>
      <c r="GC7556"/>
      <c r="GD7556"/>
      <c r="GE7556"/>
      <c r="GF7556"/>
      <c r="GG7556"/>
      <c r="GH7556"/>
      <c r="GI7556"/>
      <c r="GJ7556"/>
      <c r="GK7556"/>
      <c r="GL7556"/>
      <c r="GM7556"/>
      <c r="GN7556"/>
      <c r="GO7556"/>
    </row>
    <row r="7557" spans="107:197">
      <c r="DC7557"/>
      <c r="FH7557"/>
      <c r="FI7557"/>
      <c r="FJ7557"/>
      <c r="FK7557"/>
      <c r="FL7557"/>
      <c r="FM7557"/>
      <c r="FN7557"/>
      <c r="FO7557"/>
      <c r="FP7557"/>
      <c r="FQ7557"/>
      <c r="FR7557"/>
      <c r="FS7557"/>
      <c r="FT7557"/>
      <c r="FU7557"/>
      <c r="FV7557"/>
      <c r="FW7557"/>
      <c r="FX7557"/>
      <c r="FY7557"/>
      <c r="FZ7557"/>
      <c r="GA7557"/>
      <c r="GB7557"/>
      <c r="GC7557"/>
      <c r="GD7557"/>
      <c r="GE7557"/>
      <c r="GF7557"/>
      <c r="GG7557"/>
      <c r="GH7557"/>
      <c r="GI7557"/>
      <c r="GJ7557"/>
      <c r="GK7557"/>
      <c r="GL7557"/>
      <c r="GM7557"/>
      <c r="GN7557"/>
      <c r="GO7557"/>
    </row>
    <row r="7558" spans="107:197">
      <c r="DC7558"/>
      <c r="FH7558"/>
      <c r="FI7558"/>
      <c r="FJ7558"/>
      <c r="FK7558"/>
      <c r="FL7558"/>
      <c r="FM7558"/>
      <c r="FN7558"/>
      <c r="FO7558"/>
      <c r="FP7558"/>
      <c r="FQ7558"/>
      <c r="FR7558"/>
      <c r="FS7558"/>
      <c r="FT7558"/>
      <c r="FU7558"/>
      <c r="FV7558"/>
      <c r="FW7558"/>
      <c r="FX7558"/>
      <c r="FY7558"/>
      <c r="FZ7558"/>
      <c r="GA7558"/>
      <c r="GB7558"/>
      <c r="GC7558"/>
      <c r="GD7558"/>
      <c r="GE7558"/>
      <c r="GF7558"/>
      <c r="GG7558"/>
      <c r="GH7558"/>
      <c r="GI7558"/>
      <c r="GJ7558"/>
      <c r="GK7558"/>
      <c r="GL7558"/>
      <c r="GM7558"/>
      <c r="GN7558"/>
      <c r="GO7558"/>
    </row>
    <row r="7559" spans="107:197">
      <c r="DC7559"/>
      <c r="FH7559"/>
      <c r="FI7559"/>
      <c r="FJ7559"/>
      <c r="FK7559"/>
      <c r="FL7559"/>
      <c r="FM7559"/>
      <c r="FN7559"/>
      <c r="FO7559"/>
      <c r="FP7559"/>
      <c r="FQ7559"/>
      <c r="FR7559"/>
      <c r="FS7559"/>
      <c r="FT7559"/>
      <c r="FU7559"/>
      <c r="FV7559"/>
      <c r="FW7559"/>
      <c r="FX7559"/>
      <c r="FY7559"/>
      <c r="FZ7559"/>
      <c r="GA7559"/>
      <c r="GB7559"/>
      <c r="GC7559"/>
      <c r="GD7559"/>
      <c r="GE7559"/>
      <c r="GF7559"/>
      <c r="GG7559"/>
      <c r="GH7559"/>
      <c r="GI7559"/>
      <c r="GJ7559"/>
      <c r="GK7559"/>
      <c r="GL7559"/>
      <c r="GM7559"/>
      <c r="GN7559"/>
      <c r="GO7559"/>
    </row>
    <row r="7560" spans="107:197">
      <c r="DC7560"/>
      <c r="FH7560"/>
      <c r="FI7560"/>
      <c r="FJ7560"/>
      <c r="FK7560"/>
      <c r="FL7560"/>
      <c r="FM7560"/>
      <c r="FN7560"/>
      <c r="FO7560"/>
      <c r="FP7560"/>
      <c r="FQ7560"/>
      <c r="FR7560"/>
      <c r="FS7560"/>
      <c r="FT7560"/>
      <c r="FU7560"/>
      <c r="FV7560"/>
      <c r="FW7560"/>
      <c r="FX7560"/>
      <c r="FY7560"/>
      <c r="FZ7560"/>
      <c r="GA7560"/>
      <c r="GB7560"/>
      <c r="GC7560"/>
      <c r="GD7560"/>
      <c r="GE7560"/>
      <c r="GF7560"/>
      <c r="GG7560"/>
      <c r="GH7560"/>
      <c r="GI7560"/>
      <c r="GJ7560"/>
      <c r="GK7560"/>
      <c r="GL7560"/>
      <c r="GM7560"/>
      <c r="GN7560"/>
      <c r="GO7560"/>
    </row>
    <row r="7561" spans="107:197">
      <c r="DC7561"/>
      <c r="FH7561"/>
      <c r="FI7561"/>
      <c r="FJ7561"/>
      <c r="FK7561"/>
      <c r="FL7561"/>
      <c r="FM7561"/>
      <c r="FN7561"/>
      <c r="FO7561"/>
      <c r="FP7561"/>
      <c r="FQ7561"/>
      <c r="FR7561"/>
      <c r="FS7561"/>
      <c r="FT7561"/>
      <c r="FU7561"/>
      <c r="FV7561"/>
      <c r="FW7561"/>
      <c r="FX7561"/>
      <c r="FY7561"/>
      <c r="FZ7561"/>
      <c r="GA7561"/>
      <c r="GB7561"/>
      <c r="GC7561"/>
      <c r="GD7561"/>
      <c r="GE7561"/>
      <c r="GF7561"/>
      <c r="GG7561"/>
      <c r="GH7561"/>
      <c r="GI7561"/>
      <c r="GJ7561"/>
      <c r="GK7561"/>
      <c r="GL7561"/>
      <c r="GM7561"/>
      <c r="GN7561"/>
      <c r="GO7561"/>
    </row>
    <row r="7562" spans="107:197">
      <c r="DC7562"/>
      <c r="FH7562"/>
      <c r="FI7562"/>
      <c r="FJ7562"/>
      <c r="FK7562"/>
      <c r="FL7562"/>
      <c r="FM7562"/>
      <c r="FN7562"/>
      <c r="FO7562"/>
      <c r="FP7562"/>
      <c r="FQ7562"/>
      <c r="FR7562"/>
      <c r="FS7562"/>
      <c r="FT7562"/>
      <c r="FU7562"/>
      <c r="FV7562"/>
      <c r="FW7562"/>
      <c r="FX7562"/>
      <c r="FY7562"/>
      <c r="FZ7562"/>
      <c r="GA7562"/>
      <c r="GB7562"/>
      <c r="GC7562"/>
      <c r="GD7562"/>
      <c r="GE7562"/>
      <c r="GF7562"/>
      <c r="GG7562"/>
      <c r="GH7562"/>
      <c r="GI7562"/>
      <c r="GJ7562"/>
      <c r="GK7562"/>
      <c r="GL7562"/>
      <c r="GM7562"/>
      <c r="GN7562"/>
      <c r="GO7562"/>
    </row>
    <row r="7563" spans="107:197">
      <c r="DC7563"/>
      <c r="FH7563"/>
      <c r="FI7563"/>
      <c r="FJ7563"/>
      <c r="FK7563"/>
      <c r="FL7563"/>
      <c r="FM7563"/>
      <c r="FN7563"/>
      <c r="FO7563"/>
      <c r="FP7563"/>
      <c r="FQ7563"/>
      <c r="FR7563"/>
      <c r="FS7563"/>
      <c r="FT7563"/>
      <c r="FU7563"/>
      <c r="FV7563"/>
      <c r="FW7563"/>
      <c r="FX7563"/>
      <c r="FY7563"/>
      <c r="FZ7563"/>
      <c r="GA7563"/>
      <c r="GB7563"/>
      <c r="GC7563"/>
      <c r="GD7563"/>
      <c r="GE7563"/>
      <c r="GF7563"/>
      <c r="GG7563"/>
      <c r="GH7563"/>
      <c r="GI7563"/>
      <c r="GJ7563"/>
      <c r="GK7563"/>
      <c r="GL7563"/>
      <c r="GM7563"/>
      <c r="GN7563"/>
      <c r="GO7563"/>
    </row>
    <row r="7564" spans="107:197">
      <c r="DC7564"/>
      <c r="FH7564"/>
      <c r="FI7564"/>
      <c r="FJ7564"/>
      <c r="FK7564"/>
      <c r="FL7564"/>
      <c r="FM7564"/>
      <c r="FN7564"/>
      <c r="FO7564"/>
      <c r="FP7564"/>
      <c r="FQ7564"/>
      <c r="FR7564"/>
      <c r="FS7564"/>
      <c r="FT7564"/>
      <c r="FU7564"/>
      <c r="FV7564"/>
      <c r="FW7564"/>
      <c r="FX7564"/>
      <c r="FY7564"/>
      <c r="FZ7564"/>
      <c r="GA7564"/>
      <c r="GB7564"/>
      <c r="GC7564"/>
      <c r="GD7564"/>
      <c r="GE7564"/>
      <c r="GF7564"/>
      <c r="GG7564"/>
      <c r="GH7564"/>
      <c r="GI7564"/>
      <c r="GJ7564"/>
      <c r="GK7564"/>
      <c r="GL7564"/>
      <c r="GM7564"/>
      <c r="GN7564"/>
      <c r="GO7564"/>
    </row>
    <row r="7565" spans="107:197">
      <c r="DC7565"/>
      <c r="FH7565"/>
      <c r="FI7565"/>
      <c r="FJ7565"/>
      <c r="FK7565"/>
      <c r="FL7565"/>
      <c r="FM7565"/>
      <c r="FN7565"/>
      <c r="FO7565"/>
      <c r="FP7565"/>
      <c r="FQ7565"/>
      <c r="FR7565"/>
      <c r="FS7565"/>
      <c r="FT7565"/>
      <c r="FU7565"/>
      <c r="FV7565"/>
      <c r="FW7565"/>
      <c r="FX7565"/>
      <c r="FY7565"/>
      <c r="FZ7565"/>
      <c r="GA7565"/>
      <c r="GB7565"/>
      <c r="GC7565"/>
      <c r="GD7565"/>
      <c r="GE7565"/>
      <c r="GF7565"/>
      <c r="GG7565"/>
      <c r="GH7565"/>
      <c r="GI7565"/>
      <c r="GJ7565"/>
      <c r="GK7565"/>
      <c r="GL7565"/>
      <c r="GM7565"/>
      <c r="GN7565"/>
      <c r="GO7565"/>
    </row>
    <row r="7566" spans="107:197">
      <c r="DC7566"/>
      <c r="FH7566"/>
      <c r="FI7566"/>
      <c r="FJ7566"/>
      <c r="FK7566"/>
      <c r="FL7566"/>
      <c r="FM7566"/>
      <c r="FN7566"/>
      <c r="FO7566"/>
      <c r="FP7566"/>
      <c r="FQ7566"/>
      <c r="FR7566"/>
      <c r="FS7566"/>
      <c r="FT7566"/>
      <c r="FU7566"/>
      <c r="FV7566"/>
      <c r="FW7566"/>
      <c r="FX7566"/>
      <c r="FY7566"/>
      <c r="FZ7566"/>
      <c r="GA7566"/>
      <c r="GB7566"/>
      <c r="GC7566"/>
      <c r="GD7566"/>
      <c r="GE7566"/>
      <c r="GF7566"/>
      <c r="GG7566"/>
      <c r="GH7566"/>
      <c r="GI7566"/>
      <c r="GJ7566"/>
      <c r="GK7566"/>
      <c r="GL7566"/>
      <c r="GM7566"/>
      <c r="GN7566"/>
      <c r="GO7566"/>
    </row>
    <row r="7567" spans="107:197">
      <c r="DC7567"/>
      <c r="FH7567"/>
      <c r="FI7567"/>
      <c r="FJ7567"/>
      <c r="FK7567"/>
      <c r="FL7567"/>
      <c r="FM7567"/>
      <c r="FN7567"/>
      <c r="FO7567"/>
      <c r="FP7567"/>
      <c r="FQ7567"/>
      <c r="FR7567"/>
      <c r="FS7567"/>
      <c r="FT7567"/>
      <c r="FU7567"/>
      <c r="FV7567"/>
      <c r="FW7567"/>
      <c r="FX7567"/>
      <c r="FY7567"/>
      <c r="FZ7567"/>
      <c r="GA7567"/>
      <c r="GB7567"/>
      <c r="GC7567"/>
      <c r="GD7567"/>
      <c r="GE7567"/>
      <c r="GF7567"/>
      <c r="GG7567"/>
      <c r="GH7567"/>
      <c r="GI7567"/>
      <c r="GJ7567"/>
      <c r="GK7567"/>
      <c r="GL7567"/>
      <c r="GM7567"/>
      <c r="GN7567"/>
      <c r="GO7567"/>
    </row>
    <row r="7568" spans="107:197">
      <c r="DC7568"/>
      <c r="FH7568"/>
      <c r="FI7568"/>
      <c r="FJ7568"/>
      <c r="FK7568"/>
      <c r="FL7568"/>
      <c r="FM7568"/>
      <c r="FN7568"/>
      <c r="FO7568"/>
      <c r="FP7568"/>
      <c r="FQ7568"/>
      <c r="FR7568"/>
      <c r="FS7568"/>
      <c r="FT7568"/>
      <c r="FU7568"/>
      <c r="FV7568"/>
      <c r="FW7568"/>
      <c r="FX7568"/>
      <c r="FY7568"/>
      <c r="FZ7568"/>
      <c r="GA7568"/>
      <c r="GB7568"/>
      <c r="GC7568"/>
      <c r="GD7568"/>
      <c r="GE7568"/>
      <c r="GF7568"/>
      <c r="GG7568"/>
      <c r="GH7568"/>
      <c r="GI7568"/>
      <c r="GJ7568"/>
      <c r="GK7568"/>
      <c r="GL7568"/>
      <c r="GM7568"/>
      <c r="GN7568"/>
      <c r="GO7568"/>
    </row>
    <row r="7569" spans="107:197">
      <c r="DC7569"/>
      <c r="FH7569"/>
      <c r="FI7569"/>
      <c r="FJ7569"/>
      <c r="FK7569"/>
      <c r="FL7569"/>
      <c r="FM7569"/>
      <c r="FN7569"/>
      <c r="FO7569"/>
      <c r="FP7569"/>
      <c r="FQ7569"/>
      <c r="FR7569"/>
      <c r="FS7569"/>
      <c r="FT7569"/>
      <c r="FU7569"/>
      <c r="FV7569"/>
      <c r="FW7569"/>
      <c r="FX7569"/>
      <c r="FY7569"/>
      <c r="FZ7569"/>
      <c r="GA7569"/>
      <c r="GB7569"/>
      <c r="GC7569"/>
      <c r="GD7569"/>
      <c r="GE7569"/>
      <c r="GF7569"/>
      <c r="GG7569"/>
      <c r="GH7569"/>
      <c r="GI7569"/>
      <c r="GJ7569"/>
      <c r="GK7569"/>
      <c r="GL7569"/>
      <c r="GM7569"/>
      <c r="GN7569"/>
      <c r="GO7569"/>
    </row>
    <row r="7570" spans="107:197">
      <c r="DC7570"/>
      <c r="FH7570"/>
      <c r="FI7570"/>
      <c r="FJ7570"/>
      <c r="FK7570"/>
      <c r="FL7570"/>
      <c r="FM7570"/>
      <c r="FN7570"/>
      <c r="FO7570"/>
      <c r="FP7570"/>
      <c r="FQ7570"/>
      <c r="FR7570"/>
      <c r="FS7570"/>
      <c r="FT7570"/>
      <c r="FU7570"/>
      <c r="FV7570"/>
      <c r="FW7570"/>
      <c r="FX7570"/>
      <c r="FY7570"/>
      <c r="FZ7570"/>
      <c r="GA7570"/>
      <c r="GB7570"/>
      <c r="GC7570"/>
      <c r="GD7570"/>
      <c r="GE7570"/>
      <c r="GF7570"/>
      <c r="GG7570"/>
      <c r="GH7570"/>
      <c r="GI7570"/>
      <c r="GJ7570"/>
      <c r="GK7570"/>
      <c r="GL7570"/>
      <c r="GM7570"/>
      <c r="GN7570"/>
      <c r="GO7570"/>
    </row>
    <row r="7571" spans="107:197">
      <c r="DC7571"/>
      <c r="FH7571"/>
      <c r="FI7571"/>
      <c r="FJ7571"/>
      <c r="FK7571"/>
      <c r="FL7571"/>
      <c r="FM7571"/>
      <c r="FN7571"/>
      <c r="FO7571"/>
      <c r="FP7571"/>
      <c r="FQ7571"/>
      <c r="FR7571"/>
      <c r="FS7571"/>
      <c r="FT7571"/>
      <c r="FU7571"/>
      <c r="FV7571"/>
      <c r="FW7571"/>
      <c r="FX7571"/>
      <c r="FY7571"/>
      <c r="FZ7571"/>
      <c r="GA7571"/>
      <c r="GB7571"/>
      <c r="GC7571"/>
      <c r="GD7571"/>
      <c r="GE7571"/>
      <c r="GF7571"/>
      <c r="GG7571"/>
      <c r="GH7571"/>
      <c r="GI7571"/>
      <c r="GJ7571"/>
      <c r="GK7571"/>
      <c r="GL7571"/>
      <c r="GM7571"/>
      <c r="GN7571"/>
      <c r="GO7571"/>
    </row>
    <row r="7572" spans="107:197">
      <c r="DC7572"/>
      <c r="FH7572"/>
      <c r="FI7572"/>
      <c r="FJ7572"/>
      <c r="FK7572"/>
      <c r="FL7572"/>
      <c r="FM7572"/>
      <c r="FN7572"/>
      <c r="FO7572"/>
      <c r="FP7572"/>
      <c r="FQ7572"/>
      <c r="FR7572"/>
      <c r="FS7572"/>
      <c r="FT7572"/>
      <c r="FU7572"/>
      <c r="FV7572"/>
      <c r="FW7572"/>
      <c r="FX7572"/>
      <c r="FY7572"/>
      <c r="FZ7572"/>
      <c r="GA7572"/>
      <c r="GB7572"/>
      <c r="GC7572"/>
      <c r="GD7572"/>
      <c r="GE7572"/>
      <c r="GF7572"/>
      <c r="GG7572"/>
      <c r="GH7572"/>
      <c r="GI7572"/>
      <c r="GJ7572"/>
      <c r="GK7572"/>
      <c r="GL7572"/>
      <c r="GM7572"/>
      <c r="GN7572"/>
      <c r="GO7572"/>
    </row>
    <row r="7573" spans="107:197">
      <c r="DC7573"/>
      <c r="FH7573"/>
      <c r="FI7573"/>
      <c r="FJ7573"/>
      <c r="FK7573"/>
      <c r="FL7573"/>
      <c r="FM7573"/>
      <c r="FN7573"/>
      <c r="FO7573"/>
      <c r="FP7573"/>
      <c r="FQ7573"/>
      <c r="FR7573"/>
      <c r="FS7573"/>
      <c r="FT7573"/>
      <c r="FU7573"/>
      <c r="FV7573"/>
      <c r="FW7573"/>
      <c r="FX7573"/>
      <c r="FY7573"/>
      <c r="FZ7573"/>
      <c r="GA7573"/>
      <c r="GB7573"/>
      <c r="GC7573"/>
      <c r="GD7573"/>
      <c r="GE7573"/>
      <c r="GF7573"/>
      <c r="GG7573"/>
      <c r="GH7573"/>
      <c r="GI7573"/>
      <c r="GJ7573"/>
      <c r="GK7573"/>
      <c r="GL7573"/>
      <c r="GM7573"/>
      <c r="GN7573"/>
      <c r="GO7573"/>
    </row>
    <row r="7574" spans="107:197">
      <c r="DC7574"/>
      <c r="FH7574"/>
      <c r="FI7574"/>
      <c r="FJ7574"/>
      <c r="FK7574"/>
      <c r="FL7574"/>
      <c r="FM7574"/>
      <c r="FN7574"/>
      <c r="FO7574"/>
      <c r="FP7574"/>
      <c r="FQ7574"/>
      <c r="FR7574"/>
      <c r="FS7574"/>
      <c r="FT7574"/>
      <c r="FU7574"/>
      <c r="FV7574"/>
      <c r="FW7574"/>
      <c r="FX7574"/>
      <c r="FY7574"/>
      <c r="FZ7574"/>
      <c r="GA7574"/>
      <c r="GB7574"/>
      <c r="GC7574"/>
      <c r="GD7574"/>
      <c r="GE7574"/>
      <c r="GF7574"/>
      <c r="GG7574"/>
      <c r="GH7574"/>
      <c r="GI7574"/>
      <c r="GJ7574"/>
      <c r="GK7574"/>
      <c r="GL7574"/>
      <c r="GM7574"/>
      <c r="GN7574"/>
      <c r="GO7574"/>
    </row>
    <row r="7575" spans="107:197">
      <c r="DC7575"/>
      <c r="FH7575"/>
      <c r="FI7575"/>
      <c r="FJ7575"/>
      <c r="FK7575"/>
      <c r="FL7575"/>
      <c r="FM7575"/>
      <c r="FN7575"/>
      <c r="FO7575"/>
      <c r="FP7575"/>
      <c r="FQ7575"/>
      <c r="FR7575"/>
      <c r="FS7575"/>
      <c r="FT7575"/>
      <c r="FU7575"/>
      <c r="FV7575"/>
      <c r="FW7575"/>
      <c r="FX7575"/>
      <c r="FY7575"/>
      <c r="FZ7575"/>
      <c r="GA7575"/>
      <c r="GB7575"/>
      <c r="GC7575"/>
      <c r="GD7575"/>
      <c r="GE7575"/>
      <c r="GF7575"/>
      <c r="GG7575"/>
      <c r="GH7575"/>
      <c r="GI7575"/>
      <c r="GJ7575"/>
      <c r="GK7575"/>
      <c r="GL7575"/>
      <c r="GM7575"/>
      <c r="GN7575"/>
      <c r="GO7575"/>
    </row>
    <row r="7576" spans="107:197">
      <c r="DC7576"/>
      <c r="FH7576"/>
      <c r="FI7576"/>
      <c r="FJ7576"/>
      <c r="FK7576"/>
      <c r="FL7576"/>
      <c r="FM7576"/>
      <c r="FN7576"/>
      <c r="FO7576"/>
      <c r="FP7576"/>
      <c r="FQ7576"/>
      <c r="FR7576"/>
      <c r="FS7576"/>
      <c r="FT7576"/>
      <c r="FU7576"/>
      <c r="FV7576"/>
      <c r="FW7576"/>
      <c r="FX7576"/>
      <c r="FY7576"/>
      <c r="FZ7576"/>
      <c r="GA7576"/>
      <c r="GB7576"/>
      <c r="GC7576"/>
      <c r="GD7576"/>
      <c r="GE7576"/>
      <c r="GF7576"/>
      <c r="GG7576"/>
      <c r="GH7576"/>
      <c r="GI7576"/>
      <c r="GJ7576"/>
      <c r="GK7576"/>
      <c r="GL7576"/>
      <c r="GM7576"/>
      <c r="GN7576"/>
      <c r="GO7576"/>
    </row>
    <row r="7577" spans="107:197">
      <c r="DC7577"/>
      <c r="FH7577"/>
      <c r="FI7577"/>
      <c r="FJ7577"/>
      <c r="FK7577"/>
      <c r="FL7577"/>
      <c r="FM7577"/>
      <c r="FN7577"/>
      <c r="FO7577"/>
      <c r="FP7577"/>
      <c r="FQ7577"/>
      <c r="FR7577"/>
      <c r="FS7577"/>
      <c r="FT7577"/>
      <c r="FU7577"/>
      <c r="FV7577"/>
      <c r="FW7577"/>
      <c r="FX7577"/>
      <c r="FY7577"/>
      <c r="FZ7577"/>
      <c r="GA7577"/>
      <c r="GB7577"/>
      <c r="GC7577"/>
      <c r="GD7577"/>
      <c r="GE7577"/>
      <c r="GF7577"/>
      <c r="GG7577"/>
      <c r="GH7577"/>
      <c r="GI7577"/>
      <c r="GJ7577"/>
      <c r="GK7577"/>
      <c r="GL7577"/>
      <c r="GM7577"/>
      <c r="GN7577"/>
      <c r="GO7577"/>
    </row>
    <row r="7578" spans="107:197">
      <c r="DC7578"/>
      <c r="FH7578"/>
      <c r="FI7578"/>
      <c r="FJ7578"/>
      <c r="FK7578"/>
      <c r="FL7578"/>
      <c r="FM7578"/>
      <c r="FN7578"/>
      <c r="FO7578"/>
      <c r="FP7578"/>
      <c r="FQ7578"/>
      <c r="FR7578"/>
      <c r="FS7578"/>
      <c r="FT7578"/>
      <c r="FU7578"/>
      <c r="FV7578"/>
      <c r="FW7578"/>
      <c r="FX7578"/>
      <c r="FY7578"/>
      <c r="FZ7578"/>
      <c r="GA7578"/>
      <c r="GB7578"/>
      <c r="GC7578"/>
      <c r="GD7578"/>
      <c r="GE7578"/>
      <c r="GF7578"/>
      <c r="GG7578"/>
      <c r="GH7578"/>
      <c r="GI7578"/>
      <c r="GJ7578"/>
      <c r="GK7578"/>
      <c r="GL7578"/>
      <c r="GM7578"/>
      <c r="GN7578"/>
      <c r="GO7578"/>
    </row>
    <row r="7579" spans="107:197">
      <c r="DC7579"/>
      <c r="FH7579"/>
      <c r="FI7579"/>
      <c r="FJ7579"/>
      <c r="FK7579"/>
      <c r="FL7579"/>
      <c r="FM7579"/>
      <c r="FN7579"/>
      <c r="FO7579"/>
      <c r="FP7579"/>
      <c r="FQ7579"/>
      <c r="FR7579"/>
      <c r="FS7579"/>
      <c r="FT7579"/>
      <c r="FU7579"/>
      <c r="FV7579"/>
      <c r="FW7579"/>
      <c r="FX7579"/>
      <c r="FY7579"/>
      <c r="FZ7579"/>
      <c r="GA7579"/>
      <c r="GB7579"/>
      <c r="GC7579"/>
      <c r="GD7579"/>
      <c r="GE7579"/>
      <c r="GF7579"/>
      <c r="GG7579"/>
      <c r="GH7579"/>
      <c r="GI7579"/>
      <c r="GJ7579"/>
      <c r="GK7579"/>
      <c r="GL7579"/>
      <c r="GM7579"/>
      <c r="GN7579"/>
      <c r="GO7579"/>
    </row>
    <row r="7580" spans="107:197">
      <c r="DC7580"/>
      <c r="FH7580"/>
      <c r="FI7580"/>
      <c r="FJ7580"/>
      <c r="FK7580"/>
      <c r="FL7580"/>
      <c r="FM7580"/>
      <c r="FN7580"/>
      <c r="FO7580"/>
      <c r="FP7580"/>
      <c r="FQ7580"/>
      <c r="FR7580"/>
      <c r="FS7580"/>
      <c r="FT7580"/>
      <c r="FU7580"/>
      <c r="FV7580"/>
      <c r="FW7580"/>
      <c r="FX7580"/>
      <c r="FY7580"/>
      <c r="FZ7580"/>
      <c r="GA7580"/>
      <c r="GB7580"/>
      <c r="GC7580"/>
      <c r="GD7580"/>
      <c r="GE7580"/>
      <c r="GF7580"/>
      <c r="GG7580"/>
      <c r="GH7580"/>
      <c r="GI7580"/>
      <c r="GJ7580"/>
      <c r="GK7580"/>
      <c r="GL7580"/>
      <c r="GM7580"/>
      <c r="GN7580"/>
      <c r="GO7580"/>
    </row>
    <row r="7581" spans="107:197">
      <c r="DC7581"/>
      <c r="FH7581"/>
      <c r="FI7581"/>
      <c r="FJ7581"/>
      <c r="FK7581"/>
      <c r="FL7581"/>
      <c r="FM7581"/>
      <c r="FN7581"/>
      <c r="FO7581"/>
      <c r="FP7581"/>
      <c r="FQ7581"/>
      <c r="FR7581"/>
      <c r="FS7581"/>
      <c r="FT7581"/>
      <c r="FU7581"/>
      <c r="FV7581"/>
      <c r="FW7581"/>
      <c r="FX7581"/>
      <c r="FY7581"/>
      <c r="FZ7581"/>
      <c r="GA7581"/>
      <c r="GB7581"/>
      <c r="GC7581"/>
      <c r="GD7581"/>
      <c r="GE7581"/>
      <c r="GF7581"/>
      <c r="GG7581"/>
      <c r="GH7581"/>
      <c r="GI7581"/>
      <c r="GJ7581"/>
      <c r="GK7581"/>
      <c r="GL7581"/>
      <c r="GM7581"/>
      <c r="GN7581"/>
      <c r="GO7581"/>
    </row>
    <row r="7582" spans="107:197">
      <c r="DC7582"/>
      <c r="FH7582"/>
      <c r="FI7582"/>
      <c r="FJ7582"/>
      <c r="FK7582"/>
      <c r="FL7582"/>
      <c r="FM7582"/>
      <c r="FN7582"/>
      <c r="FO7582"/>
      <c r="FP7582"/>
      <c r="FQ7582"/>
      <c r="FR7582"/>
      <c r="FS7582"/>
      <c r="FT7582"/>
      <c r="FU7582"/>
      <c r="FV7582"/>
      <c r="FW7582"/>
      <c r="FX7582"/>
      <c r="FY7582"/>
      <c r="FZ7582"/>
      <c r="GA7582"/>
      <c r="GB7582"/>
      <c r="GC7582"/>
      <c r="GD7582"/>
      <c r="GE7582"/>
      <c r="GF7582"/>
      <c r="GG7582"/>
      <c r="GH7582"/>
      <c r="GI7582"/>
      <c r="GJ7582"/>
      <c r="GK7582"/>
      <c r="GL7582"/>
      <c r="GM7582"/>
      <c r="GN7582"/>
      <c r="GO7582"/>
    </row>
    <row r="7583" spans="107:197">
      <c r="DC7583"/>
      <c r="FH7583"/>
      <c r="FI7583"/>
      <c r="FJ7583"/>
      <c r="FK7583"/>
      <c r="FL7583"/>
      <c r="FM7583"/>
      <c r="FN7583"/>
      <c r="FO7583"/>
      <c r="FP7583"/>
      <c r="FQ7583"/>
      <c r="FR7583"/>
      <c r="FS7583"/>
      <c r="FT7583"/>
      <c r="FU7583"/>
      <c r="FV7583"/>
      <c r="FW7583"/>
      <c r="FX7583"/>
      <c r="FY7583"/>
      <c r="FZ7583"/>
      <c r="GA7583"/>
      <c r="GB7583"/>
      <c r="GC7583"/>
      <c r="GD7583"/>
      <c r="GE7583"/>
      <c r="GF7583"/>
      <c r="GG7583"/>
      <c r="GH7583"/>
      <c r="GI7583"/>
      <c r="GJ7583"/>
      <c r="GK7583"/>
      <c r="GL7583"/>
      <c r="GM7583"/>
      <c r="GN7583"/>
      <c r="GO7583"/>
    </row>
    <row r="7584" spans="107:197">
      <c r="DC7584"/>
      <c r="FH7584"/>
      <c r="FI7584"/>
      <c r="FJ7584"/>
      <c r="FK7584"/>
      <c r="FL7584"/>
      <c r="FM7584"/>
      <c r="FN7584"/>
      <c r="FO7584"/>
      <c r="FP7584"/>
      <c r="FQ7584"/>
      <c r="FR7584"/>
      <c r="FS7584"/>
      <c r="FT7584"/>
      <c r="FU7584"/>
      <c r="FV7584"/>
      <c r="FW7584"/>
      <c r="FX7584"/>
      <c r="FY7584"/>
      <c r="FZ7584"/>
      <c r="GA7584"/>
      <c r="GB7584"/>
      <c r="GC7584"/>
      <c r="GD7584"/>
      <c r="GE7584"/>
      <c r="GF7584"/>
      <c r="GG7584"/>
      <c r="GH7584"/>
      <c r="GI7584"/>
      <c r="GJ7584"/>
      <c r="GK7584"/>
      <c r="GL7584"/>
      <c r="GM7584"/>
      <c r="GN7584"/>
      <c r="GO7584"/>
    </row>
    <row r="7585" spans="107:197">
      <c r="DC7585"/>
      <c r="FH7585"/>
      <c r="FI7585"/>
      <c r="FJ7585"/>
      <c r="FK7585"/>
      <c r="FL7585"/>
      <c r="FM7585"/>
      <c r="FN7585"/>
      <c r="FO7585"/>
      <c r="FP7585"/>
      <c r="FQ7585"/>
      <c r="FR7585"/>
      <c r="FS7585"/>
      <c r="FT7585"/>
      <c r="FU7585"/>
      <c r="FV7585"/>
      <c r="FW7585"/>
      <c r="FX7585"/>
      <c r="FY7585"/>
      <c r="FZ7585"/>
      <c r="GA7585"/>
      <c r="GB7585"/>
      <c r="GC7585"/>
      <c r="GD7585"/>
      <c r="GE7585"/>
      <c r="GF7585"/>
      <c r="GG7585"/>
      <c r="GH7585"/>
      <c r="GI7585"/>
      <c r="GJ7585"/>
      <c r="GK7585"/>
      <c r="GL7585"/>
      <c r="GM7585"/>
      <c r="GN7585"/>
      <c r="GO7585"/>
    </row>
    <row r="7586" spans="107:197">
      <c r="DC7586"/>
      <c r="FH7586"/>
      <c r="FI7586"/>
      <c r="FJ7586"/>
      <c r="FK7586"/>
      <c r="FL7586"/>
      <c r="FM7586"/>
      <c r="FN7586"/>
      <c r="FO7586"/>
      <c r="FP7586"/>
      <c r="FQ7586"/>
      <c r="FR7586"/>
      <c r="FS7586"/>
      <c r="FT7586"/>
      <c r="FU7586"/>
      <c r="FV7586"/>
      <c r="FW7586"/>
      <c r="FX7586"/>
      <c r="FY7586"/>
      <c r="FZ7586"/>
      <c r="GA7586"/>
      <c r="GB7586"/>
      <c r="GC7586"/>
      <c r="GD7586"/>
      <c r="GE7586"/>
      <c r="GF7586"/>
      <c r="GG7586"/>
      <c r="GH7586"/>
      <c r="GI7586"/>
      <c r="GJ7586"/>
      <c r="GK7586"/>
      <c r="GL7586"/>
      <c r="GM7586"/>
      <c r="GN7586"/>
      <c r="GO7586"/>
    </row>
    <row r="7587" spans="107:197">
      <c r="DC7587"/>
      <c r="FH7587"/>
      <c r="FI7587"/>
      <c r="FJ7587"/>
      <c r="FK7587"/>
      <c r="FL7587"/>
      <c r="FM7587"/>
      <c r="FN7587"/>
      <c r="FO7587"/>
      <c r="FP7587"/>
      <c r="FQ7587"/>
      <c r="FR7587"/>
      <c r="FS7587"/>
      <c r="FT7587"/>
      <c r="FU7587"/>
      <c r="FV7587"/>
      <c r="FW7587"/>
      <c r="FX7587"/>
      <c r="FY7587"/>
      <c r="FZ7587"/>
      <c r="GA7587"/>
      <c r="GB7587"/>
      <c r="GC7587"/>
      <c r="GD7587"/>
      <c r="GE7587"/>
      <c r="GF7587"/>
      <c r="GG7587"/>
      <c r="GH7587"/>
      <c r="GI7587"/>
      <c r="GJ7587"/>
      <c r="GK7587"/>
      <c r="GL7587"/>
      <c r="GM7587"/>
      <c r="GN7587"/>
      <c r="GO7587"/>
    </row>
    <row r="7588" spans="107:197">
      <c r="DC7588"/>
      <c r="FH7588"/>
      <c r="FI7588"/>
      <c r="FJ7588"/>
      <c r="FK7588"/>
      <c r="FL7588"/>
      <c r="FM7588"/>
      <c r="FN7588"/>
      <c r="FO7588"/>
      <c r="FP7588"/>
      <c r="FQ7588"/>
      <c r="FR7588"/>
      <c r="FS7588"/>
      <c r="FT7588"/>
      <c r="FU7588"/>
      <c r="FV7588"/>
      <c r="FW7588"/>
      <c r="FX7588"/>
      <c r="FY7588"/>
      <c r="FZ7588"/>
      <c r="GA7588"/>
      <c r="GB7588"/>
      <c r="GC7588"/>
      <c r="GD7588"/>
      <c r="GE7588"/>
      <c r="GF7588"/>
      <c r="GG7588"/>
      <c r="GH7588"/>
      <c r="GI7588"/>
      <c r="GJ7588"/>
      <c r="GK7588"/>
      <c r="GL7588"/>
      <c r="GM7588"/>
      <c r="GN7588"/>
      <c r="GO7588"/>
    </row>
    <row r="7589" spans="107:197">
      <c r="DC7589"/>
      <c r="FH7589"/>
      <c r="FI7589"/>
      <c r="FJ7589"/>
      <c r="FK7589"/>
      <c r="FL7589"/>
      <c r="FM7589"/>
      <c r="FN7589"/>
      <c r="FO7589"/>
      <c r="FP7589"/>
      <c r="FQ7589"/>
      <c r="FR7589"/>
      <c r="FS7589"/>
      <c r="FT7589"/>
      <c r="FU7589"/>
      <c r="FV7589"/>
      <c r="FW7589"/>
      <c r="FX7589"/>
      <c r="FY7589"/>
      <c r="FZ7589"/>
      <c r="GA7589"/>
      <c r="GB7589"/>
      <c r="GC7589"/>
      <c r="GD7589"/>
      <c r="GE7589"/>
      <c r="GF7589"/>
      <c r="GG7589"/>
      <c r="GH7589"/>
      <c r="GI7589"/>
      <c r="GJ7589"/>
      <c r="GK7589"/>
      <c r="GL7589"/>
      <c r="GM7589"/>
      <c r="GN7589"/>
      <c r="GO7589"/>
    </row>
    <row r="7590" spans="107:197">
      <c r="DC7590"/>
      <c r="FH7590"/>
      <c r="FI7590"/>
      <c r="FJ7590"/>
      <c r="FK7590"/>
      <c r="FL7590"/>
      <c r="FM7590"/>
      <c r="FN7590"/>
      <c r="FO7590"/>
      <c r="FP7590"/>
      <c r="FQ7590"/>
      <c r="FR7590"/>
      <c r="FS7590"/>
      <c r="FT7590"/>
      <c r="FU7590"/>
      <c r="FV7590"/>
      <c r="FW7590"/>
      <c r="FX7590"/>
      <c r="FY7590"/>
      <c r="FZ7590"/>
      <c r="GA7590"/>
      <c r="GB7590"/>
      <c r="GC7590"/>
      <c r="GD7590"/>
      <c r="GE7590"/>
      <c r="GF7590"/>
      <c r="GG7590"/>
      <c r="GH7590"/>
      <c r="GI7590"/>
      <c r="GJ7590"/>
      <c r="GK7590"/>
      <c r="GL7590"/>
      <c r="GM7590"/>
      <c r="GN7590"/>
      <c r="GO7590"/>
    </row>
    <row r="7591" spans="107:197">
      <c r="DC7591"/>
      <c r="FH7591"/>
      <c r="FI7591"/>
      <c r="FJ7591"/>
      <c r="FK7591"/>
      <c r="FL7591"/>
      <c r="FM7591"/>
      <c r="FN7591"/>
      <c r="FO7591"/>
      <c r="FP7591"/>
      <c r="FQ7591"/>
      <c r="FR7591"/>
      <c r="FS7591"/>
      <c r="FT7591"/>
      <c r="FU7591"/>
      <c r="FV7591"/>
      <c r="FW7591"/>
      <c r="FX7591"/>
      <c r="FY7591"/>
      <c r="FZ7591"/>
      <c r="GA7591"/>
      <c r="GB7591"/>
      <c r="GC7591"/>
      <c r="GD7591"/>
      <c r="GE7591"/>
      <c r="GF7591"/>
      <c r="GG7591"/>
      <c r="GH7591"/>
      <c r="GI7591"/>
      <c r="GJ7591"/>
      <c r="GK7591"/>
      <c r="GL7591"/>
      <c r="GM7591"/>
      <c r="GN7591"/>
      <c r="GO7591"/>
    </row>
    <row r="7592" spans="107:197">
      <c r="DC7592"/>
      <c r="FH7592"/>
      <c r="FI7592"/>
      <c r="FJ7592"/>
      <c r="FK7592"/>
      <c r="FL7592"/>
      <c r="FM7592"/>
      <c r="FN7592"/>
      <c r="FO7592"/>
      <c r="FP7592"/>
      <c r="FQ7592"/>
      <c r="FR7592"/>
      <c r="FS7592"/>
      <c r="FT7592"/>
      <c r="FU7592"/>
      <c r="FV7592"/>
      <c r="FW7592"/>
      <c r="FX7592"/>
      <c r="FY7592"/>
      <c r="FZ7592"/>
      <c r="GA7592"/>
      <c r="GB7592"/>
      <c r="GC7592"/>
      <c r="GD7592"/>
      <c r="GE7592"/>
      <c r="GF7592"/>
      <c r="GG7592"/>
      <c r="GH7592"/>
      <c r="GI7592"/>
      <c r="GJ7592"/>
      <c r="GK7592"/>
      <c r="GL7592"/>
      <c r="GM7592"/>
      <c r="GN7592"/>
      <c r="GO7592"/>
    </row>
    <row r="7593" spans="107:197">
      <c r="DC7593"/>
      <c r="FH7593"/>
      <c r="FI7593"/>
      <c r="FJ7593"/>
      <c r="FK7593"/>
      <c r="FL7593"/>
      <c r="FM7593"/>
      <c r="FN7593"/>
      <c r="FO7593"/>
      <c r="FP7593"/>
      <c r="FQ7593"/>
      <c r="FR7593"/>
      <c r="FS7593"/>
      <c r="FT7593"/>
      <c r="FU7593"/>
      <c r="FV7593"/>
      <c r="FW7593"/>
      <c r="FX7593"/>
      <c r="FY7593"/>
      <c r="FZ7593"/>
      <c r="GA7593"/>
      <c r="GB7593"/>
      <c r="GC7593"/>
      <c r="GD7593"/>
      <c r="GE7593"/>
      <c r="GF7593"/>
      <c r="GG7593"/>
      <c r="GH7593"/>
      <c r="GI7593"/>
      <c r="GJ7593"/>
      <c r="GK7593"/>
      <c r="GL7593"/>
      <c r="GM7593"/>
      <c r="GN7593"/>
      <c r="GO7593"/>
    </row>
    <row r="7594" spans="107:197">
      <c r="DC7594"/>
      <c r="FH7594"/>
      <c r="FI7594"/>
      <c r="FJ7594"/>
      <c r="FK7594"/>
      <c r="FL7594"/>
      <c r="FM7594"/>
      <c r="FN7594"/>
      <c r="FO7594"/>
      <c r="FP7594"/>
      <c r="FQ7594"/>
      <c r="FR7594"/>
      <c r="FS7594"/>
      <c r="FT7594"/>
      <c r="FU7594"/>
      <c r="FV7594"/>
      <c r="FW7594"/>
      <c r="FX7594"/>
      <c r="FY7594"/>
      <c r="FZ7594"/>
      <c r="GA7594"/>
      <c r="GB7594"/>
      <c r="GC7594"/>
      <c r="GD7594"/>
      <c r="GE7594"/>
      <c r="GF7594"/>
      <c r="GG7594"/>
      <c r="GH7594"/>
      <c r="GI7594"/>
      <c r="GJ7594"/>
      <c r="GK7594"/>
      <c r="GL7594"/>
      <c r="GM7594"/>
      <c r="GN7594"/>
      <c r="GO7594"/>
    </row>
    <row r="7595" spans="107:197">
      <c r="DC7595"/>
      <c r="FH7595"/>
      <c r="FI7595"/>
      <c r="FJ7595"/>
      <c r="FK7595"/>
      <c r="FL7595"/>
      <c r="FM7595"/>
      <c r="FN7595"/>
      <c r="FO7595"/>
      <c r="FP7595"/>
      <c r="FQ7595"/>
      <c r="FR7595"/>
      <c r="FS7595"/>
      <c r="FT7595"/>
      <c r="FU7595"/>
      <c r="FV7595"/>
      <c r="FW7595"/>
      <c r="FX7595"/>
      <c r="FY7595"/>
      <c r="FZ7595"/>
      <c r="GA7595"/>
      <c r="GB7595"/>
      <c r="GC7595"/>
      <c r="GD7595"/>
      <c r="GE7595"/>
      <c r="GF7595"/>
      <c r="GG7595"/>
      <c r="GH7595"/>
      <c r="GI7595"/>
      <c r="GJ7595"/>
      <c r="GK7595"/>
      <c r="GL7595"/>
      <c r="GM7595"/>
      <c r="GN7595"/>
      <c r="GO7595"/>
    </row>
    <row r="7596" spans="107:197">
      <c r="DC7596"/>
      <c r="FH7596"/>
      <c r="FI7596"/>
      <c r="FJ7596"/>
      <c r="FK7596"/>
      <c r="FL7596"/>
      <c r="FM7596"/>
      <c r="FN7596"/>
      <c r="FO7596"/>
      <c r="FP7596"/>
      <c r="FQ7596"/>
      <c r="FR7596"/>
      <c r="FS7596"/>
      <c r="FT7596"/>
      <c r="FU7596"/>
      <c r="FV7596"/>
      <c r="FW7596"/>
      <c r="FX7596"/>
      <c r="FY7596"/>
      <c r="FZ7596"/>
      <c r="GA7596"/>
      <c r="GB7596"/>
      <c r="GC7596"/>
      <c r="GD7596"/>
      <c r="GE7596"/>
      <c r="GF7596"/>
      <c r="GG7596"/>
      <c r="GH7596"/>
      <c r="GI7596"/>
      <c r="GJ7596"/>
      <c r="GK7596"/>
      <c r="GL7596"/>
      <c r="GM7596"/>
      <c r="GN7596"/>
      <c r="GO7596"/>
    </row>
    <row r="7597" spans="107:197">
      <c r="DC7597"/>
      <c r="FH7597"/>
      <c r="FI7597"/>
      <c r="FJ7597"/>
      <c r="FK7597"/>
      <c r="FL7597"/>
      <c r="FM7597"/>
      <c r="FN7597"/>
      <c r="FO7597"/>
      <c r="FP7597"/>
      <c r="FQ7597"/>
      <c r="FR7597"/>
      <c r="FS7597"/>
      <c r="FT7597"/>
      <c r="FU7597"/>
      <c r="FV7597"/>
      <c r="FW7597"/>
      <c r="FX7597"/>
      <c r="FY7597"/>
      <c r="FZ7597"/>
      <c r="GA7597"/>
      <c r="GB7597"/>
      <c r="GC7597"/>
      <c r="GD7597"/>
      <c r="GE7597"/>
      <c r="GF7597"/>
      <c r="GG7597"/>
      <c r="GH7597"/>
      <c r="GI7597"/>
      <c r="GJ7597"/>
      <c r="GK7597"/>
      <c r="GL7597"/>
      <c r="GM7597"/>
      <c r="GN7597"/>
      <c r="GO7597"/>
    </row>
    <row r="7598" spans="107:197">
      <c r="DC7598"/>
      <c r="FH7598"/>
      <c r="FI7598"/>
      <c r="FJ7598"/>
      <c r="FK7598"/>
      <c r="FL7598"/>
      <c r="FM7598"/>
      <c r="FN7598"/>
      <c r="FO7598"/>
      <c r="FP7598"/>
      <c r="FQ7598"/>
      <c r="FR7598"/>
      <c r="FS7598"/>
      <c r="FT7598"/>
      <c r="FU7598"/>
      <c r="FV7598"/>
      <c r="FW7598"/>
      <c r="FX7598"/>
      <c r="FY7598"/>
      <c r="FZ7598"/>
      <c r="GA7598"/>
      <c r="GB7598"/>
      <c r="GC7598"/>
      <c r="GD7598"/>
      <c r="GE7598"/>
      <c r="GF7598"/>
      <c r="GG7598"/>
      <c r="GH7598"/>
      <c r="GI7598"/>
      <c r="GJ7598"/>
      <c r="GK7598"/>
      <c r="GL7598"/>
      <c r="GM7598"/>
      <c r="GN7598"/>
      <c r="GO7598"/>
    </row>
    <row r="7599" spans="107:197">
      <c r="DC7599"/>
      <c r="FH7599"/>
      <c r="FI7599"/>
      <c r="FJ7599"/>
      <c r="FK7599"/>
      <c r="FL7599"/>
      <c r="FM7599"/>
      <c r="FN7599"/>
      <c r="FO7599"/>
      <c r="FP7599"/>
      <c r="FQ7599"/>
      <c r="FR7599"/>
      <c r="FS7599"/>
      <c r="FT7599"/>
      <c r="FU7599"/>
      <c r="FV7599"/>
      <c r="FW7599"/>
      <c r="FX7599"/>
      <c r="FY7599"/>
      <c r="FZ7599"/>
      <c r="GA7599"/>
      <c r="GB7599"/>
      <c r="GC7599"/>
      <c r="GD7599"/>
      <c r="GE7599"/>
      <c r="GF7599"/>
      <c r="GG7599"/>
      <c r="GH7599"/>
      <c r="GI7599"/>
      <c r="GJ7599"/>
      <c r="GK7599"/>
      <c r="GL7599"/>
      <c r="GM7599"/>
      <c r="GN7599"/>
      <c r="GO7599"/>
    </row>
    <row r="7600" spans="107:197">
      <c r="DC7600"/>
      <c r="FH7600"/>
      <c r="FI7600"/>
      <c r="FJ7600"/>
      <c r="FK7600"/>
      <c r="FL7600"/>
      <c r="FM7600"/>
      <c r="FN7600"/>
      <c r="FO7600"/>
      <c r="FP7600"/>
      <c r="FQ7600"/>
      <c r="FR7600"/>
      <c r="FS7600"/>
      <c r="FT7600"/>
      <c r="FU7600"/>
      <c r="FV7600"/>
      <c r="FW7600"/>
      <c r="FX7600"/>
      <c r="FY7600"/>
      <c r="FZ7600"/>
      <c r="GA7600"/>
      <c r="GB7600"/>
      <c r="GC7600"/>
      <c r="GD7600"/>
      <c r="GE7600"/>
      <c r="GF7600"/>
      <c r="GG7600"/>
      <c r="GH7600"/>
      <c r="GI7600"/>
      <c r="GJ7600"/>
      <c r="GK7600"/>
      <c r="GL7600"/>
      <c r="GM7600"/>
      <c r="GN7600"/>
      <c r="GO7600"/>
    </row>
    <row r="7601" spans="107:197">
      <c r="DC7601"/>
      <c r="FH7601"/>
      <c r="FI7601"/>
      <c r="FJ7601"/>
      <c r="FK7601"/>
      <c r="FL7601"/>
      <c r="FM7601"/>
      <c r="FN7601"/>
      <c r="FO7601"/>
      <c r="FP7601"/>
      <c r="FQ7601"/>
      <c r="FR7601"/>
      <c r="FS7601"/>
      <c r="FT7601"/>
      <c r="FU7601"/>
      <c r="FV7601"/>
      <c r="FW7601"/>
      <c r="FX7601"/>
      <c r="FY7601"/>
      <c r="FZ7601"/>
      <c r="GA7601"/>
      <c r="GB7601"/>
      <c r="GC7601"/>
      <c r="GD7601"/>
      <c r="GE7601"/>
      <c r="GF7601"/>
      <c r="GG7601"/>
      <c r="GH7601"/>
      <c r="GI7601"/>
      <c r="GJ7601"/>
      <c r="GK7601"/>
      <c r="GL7601"/>
      <c r="GM7601"/>
      <c r="GN7601"/>
      <c r="GO7601"/>
    </row>
    <row r="7602" spans="107:197">
      <c r="DC7602"/>
      <c r="FH7602"/>
      <c r="FI7602"/>
      <c r="FJ7602"/>
      <c r="FK7602"/>
      <c r="FL7602"/>
      <c r="FM7602"/>
      <c r="FN7602"/>
      <c r="FO7602"/>
      <c r="FP7602"/>
      <c r="FQ7602"/>
      <c r="FR7602"/>
      <c r="FS7602"/>
      <c r="FT7602"/>
      <c r="FU7602"/>
      <c r="FV7602"/>
      <c r="FW7602"/>
      <c r="FX7602"/>
      <c r="FY7602"/>
      <c r="FZ7602"/>
      <c r="GA7602"/>
      <c r="GB7602"/>
      <c r="GC7602"/>
      <c r="GD7602"/>
      <c r="GE7602"/>
      <c r="GF7602"/>
      <c r="GG7602"/>
      <c r="GH7602"/>
      <c r="GI7602"/>
      <c r="GJ7602"/>
      <c r="GK7602"/>
      <c r="GL7602"/>
      <c r="GM7602"/>
      <c r="GN7602"/>
      <c r="GO7602"/>
    </row>
    <row r="7603" spans="107:197">
      <c r="DC7603"/>
      <c r="FH7603"/>
      <c r="FI7603"/>
      <c r="FJ7603"/>
      <c r="FK7603"/>
      <c r="FL7603"/>
      <c r="FM7603"/>
      <c r="FN7603"/>
      <c r="FO7603"/>
      <c r="FP7603"/>
      <c r="FQ7603"/>
      <c r="FR7603"/>
      <c r="FS7603"/>
      <c r="FT7603"/>
      <c r="FU7603"/>
      <c r="FV7603"/>
      <c r="FW7603"/>
      <c r="FX7603"/>
      <c r="FY7603"/>
      <c r="FZ7603"/>
      <c r="GA7603"/>
      <c r="GB7603"/>
      <c r="GC7603"/>
      <c r="GD7603"/>
      <c r="GE7603"/>
      <c r="GF7603"/>
      <c r="GG7603"/>
      <c r="GH7603"/>
      <c r="GI7603"/>
      <c r="GJ7603"/>
      <c r="GK7603"/>
      <c r="GL7603"/>
      <c r="GM7603"/>
      <c r="GN7603"/>
      <c r="GO7603"/>
    </row>
    <row r="7604" spans="107:197">
      <c r="DC7604"/>
      <c r="FH7604"/>
      <c r="FI7604"/>
      <c r="FJ7604"/>
      <c r="FK7604"/>
      <c r="FL7604"/>
      <c r="FM7604"/>
      <c r="FN7604"/>
      <c r="FO7604"/>
      <c r="FP7604"/>
      <c r="FQ7604"/>
      <c r="FR7604"/>
      <c r="FS7604"/>
      <c r="FT7604"/>
      <c r="FU7604"/>
      <c r="FV7604"/>
      <c r="FW7604"/>
      <c r="FX7604"/>
      <c r="FY7604"/>
      <c r="FZ7604"/>
      <c r="GA7604"/>
      <c r="GB7604"/>
      <c r="GC7604"/>
      <c r="GD7604"/>
      <c r="GE7604"/>
      <c r="GF7604"/>
      <c r="GG7604"/>
      <c r="GH7604"/>
      <c r="GI7604"/>
      <c r="GJ7604"/>
      <c r="GK7604"/>
      <c r="GL7604"/>
      <c r="GM7604"/>
      <c r="GN7604"/>
      <c r="GO7604"/>
    </row>
    <row r="7605" spans="107:197">
      <c r="DC7605"/>
      <c r="FH7605"/>
      <c r="FI7605"/>
      <c r="FJ7605"/>
      <c r="FK7605"/>
      <c r="FL7605"/>
      <c r="FM7605"/>
      <c r="FN7605"/>
      <c r="FO7605"/>
      <c r="FP7605"/>
      <c r="FQ7605"/>
      <c r="FR7605"/>
      <c r="FS7605"/>
      <c r="FT7605"/>
      <c r="FU7605"/>
      <c r="FV7605"/>
      <c r="FW7605"/>
      <c r="FX7605"/>
      <c r="FY7605"/>
      <c r="FZ7605"/>
      <c r="GA7605"/>
      <c r="GB7605"/>
      <c r="GC7605"/>
      <c r="GD7605"/>
      <c r="GE7605"/>
      <c r="GF7605"/>
      <c r="GG7605"/>
      <c r="GH7605"/>
      <c r="GI7605"/>
      <c r="GJ7605"/>
      <c r="GK7605"/>
      <c r="GL7605"/>
      <c r="GM7605"/>
      <c r="GN7605"/>
      <c r="GO7605"/>
    </row>
    <row r="7606" spans="107:197">
      <c r="DC7606"/>
      <c r="FH7606"/>
      <c r="FI7606"/>
      <c r="FJ7606"/>
      <c r="FK7606"/>
      <c r="FL7606"/>
      <c r="FM7606"/>
      <c r="FN7606"/>
      <c r="FO7606"/>
      <c r="FP7606"/>
      <c r="FQ7606"/>
      <c r="FR7606"/>
      <c r="FS7606"/>
      <c r="FT7606"/>
      <c r="FU7606"/>
      <c r="FV7606"/>
      <c r="FW7606"/>
      <c r="FX7606"/>
      <c r="FY7606"/>
      <c r="FZ7606"/>
      <c r="GA7606"/>
      <c r="GB7606"/>
      <c r="GC7606"/>
      <c r="GD7606"/>
      <c r="GE7606"/>
      <c r="GF7606"/>
      <c r="GG7606"/>
      <c r="GH7606"/>
      <c r="GI7606"/>
      <c r="GJ7606"/>
      <c r="GK7606"/>
      <c r="GL7606"/>
      <c r="GM7606"/>
      <c r="GN7606"/>
      <c r="GO7606"/>
    </row>
    <row r="7607" spans="107:197">
      <c r="DC7607"/>
      <c r="FH7607"/>
      <c r="FI7607"/>
      <c r="FJ7607"/>
      <c r="FK7607"/>
      <c r="FL7607"/>
      <c r="FM7607"/>
      <c r="FN7607"/>
      <c r="FO7607"/>
      <c r="FP7607"/>
      <c r="FQ7607"/>
      <c r="FR7607"/>
      <c r="FS7607"/>
      <c r="FT7607"/>
      <c r="FU7607"/>
      <c r="FV7607"/>
      <c r="FW7607"/>
      <c r="FX7607"/>
      <c r="FY7607"/>
      <c r="FZ7607"/>
      <c r="GA7607"/>
      <c r="GB7607"/>
      <c r="GC7607"/>
      <c r="GD7607"/>
      <c r="GE7607"/>
      <c r="GF7607"/>
      <c r="GG7607"/>
      <c r="GH7607"/>
      <c r="GI7607"/>
      <c r="GJ7607"/>
      <c r="GK7607"/>
      <c r="GL7607"/>
      <c r="GM7607"/>
      <c r="GN7607"/>
      <c r="GO7607"/>
    </row>
    <row r="7608" spans="107:197">
      <c r="DC7608"/>
      <c r="FH7608"/>
      <c r="FI7608"/>
      <c r="FJ7608"/>
      <c r="FK7608"/>
      <c r="FL7608"/>
      <c r="FM7608"/>
      <c r="FN7608"/>
      <c r="FO7608"/>
      <c r="FP7608"/>
      <c r="FQ7608"/>
      <c r="FR7608"/>
      <c r="FS7608"/>
      <c r="FT7608"/>
      <c r="FU7608"/>
      <c r="FV7608"/>
      <c r="FW7608"/>
      <c r="FX7608"/>
      <c r="FY7608"/>
      <c r="FZ7608"/>
      <c r="GA7608"/>
      <c r="GB7608"/>
      <c r="GC7608"/>
      <c r="GD7608"/>
      <c r="GE7608"/>
      <c r="GF7608"/>
      <c r="GG7608"/>
      <c r="GH7608"/>
      <c r="GI7608"/>
      <c r="GJ7608"/>
      <c r="GK7608"/>
      <c r="GL7608"/>
      <c r="GM7608"/>
      <c r="GN7608"/>
      <c r="GO7608"/>
    </row>
    <row r="7609" spans="107:197">
      <c r="DC7609"/>
      <c r="FH7609"/>
      <c r="FI7609"/>
      <c r="FJ7609"/>
      <c r="FK7609"/>
      <c r="FL7609"/>
      <c r="FM7609"/>
      <c r="FN7609"/>
      <c r="FO7609"/>
      <c r="FP7609"/>
      <c r="FQ7609"/>
      <c r="FR7609"/>
      <c r="FS7609"/>
      <c r="FT7609"/>
      <c r="FU7609"/>
      <c r="FV7609"/>
      <c r="FW7609"/>
      <c r="FX7609"/>
      <c r="FY7609"/>
      <c r="FZ7609"/>
      <c r="GA7609"/>
      <c r="GB7609"/>
      <c r="GC7609"/>
      <c r="GD7609"/>
      <c r="GE7609"/>
      <c r="GF7609"/>
      <c r="GG7609"/>
      <c r="GH7609"/>
      <c r="GI7609"/>
      <c r="GJ7609"/>
      <c r="GK7609"/>
      <c r="GL7609"/>
      <c r="GM7609"/>
      <c r="GN7609"/>
      <c r="GO7609"/>
    </row>
    <row r="7610" spans="107:197">
      <c r="DC7610"/>
      <c r="FH7610"/>
      <c r="FI7610"/>
      <c r="FJ7610"/>
      <c r="FK7610"/>
      <c r="FL7610"/>
      <c r="FM7610"/>
      <c r="FN7610"/>
      <c r="FO7610"/>
      <c r="FP7610"/>
      <c r="FQ7610"/>
      <c r="FR7610"/>
      <c r="FS7610"/>
      <c r="FT7610"/>
      <c r="FU7610"/>
      <c r="FV7610"/>
      <c r="FW7610"/>
      <c r="FX7610"/>
      <c r="FY7610"/>
      <c r="FZ7610"/>
      <c r="GA7610"/>
      <c r="GB7610"/>
      <c r="GC7610"/>
      <c r="GD7610"/>
      <c r="GE7610"/>
      <c r="GF7610"/>
      <c r="GG7610"/>
      <c r="GH7610"/>
      <c r="GI7610"/>
      <c r="GJ7610"/>
      <c r="GK7610"/>
      <c r="GL7610"/>
      <c r="GM7610"/>
      <c r="GN7610"/>
      <c r="GO7610"/>
    </row>
    <row r="7611" spans="107:197">
      <c r="DC7611"/>
      <c r="FH7611"/>
      <c r="FI7611"/>
      <c r="FJ7611"/>
      <c r="FK7611"/>
      <c r="FL7611"/>
      <c r="FM7611"/>
      <c r="FN7611"/>
      <c r="FO7611"/>
      <c r="FP7611"/>
      <c r="FQ7611"/>
      <c r="FR7611"/>
      <c r="FS7611"/>
      <c r="FT7611"/>
      <c r="FU7611"/>
      <c r="FV7611"/>
      <c r="FW7611"/>
      <c r="FX7611"/>
      <c r="FY7611"/>
      <c r="FZ7611"/>
      <c r="GA7611"/>
      <c r="GB7611"/>
      <c r="GC7611"/>
      <c r="GD7611"/>
      <c r="GE7611"/>
      <c r="GF7611"/>
      <c r="GG7611"/>
      <c r="GH7611"/>
      <c r="GI7611"/>
      <c r="GJ7611"/>
      <c r="GK7611"/>
      <c r="GL7611"/>
      <c r="GM7611"/>
      <c r="GN7611"/>
      <c r="GO7611"/>
    </row>
    <row r="7612" spans="107:197">
      <c r="DC7612"/>
      <c r="FH7612"/>
      <c r="FI7612"/>
      <c r="FJ7612"/>
      <c r="FK7612"/>
      <c r="FL7612"/>
      <c r="FM7612"/>
      <c r="FN7612"/>
      <c r="FO7612"/>
      <c r="FP7612"/>
      <c r="FQ7612"/>
      <c r="FR7612"/>
      <c r="FS7612"/>
      <c r="FT7612"/>
      <c r="FU7612"/>
      <c r="FV7612"/>
      <c r="FW7612"/>
      <c r="FX7612"/>
      <c r="FY7612"/>
      <c r="FZ7612"/>
      <c r="GA7612"/>
      <c r="GB7612"/>
      <c r="GC7612"/>
      <c r="GD7612"/>
      <c r="GE7612"/>
      <c r="GF7612"/>
      <c r="GG7612"/>
      <c r="GH7612"/>
      <c r="GI7612"/>
      <c r="GJ7612"/>
      <c r="GK7612"/>
      <c r="GL7612"/>
      <c r="GM7612"/>
      <c r="GN7612"/>
      <c r="GO7612"/>
    </row>
    <row r="7613" spans="107:197">
      <c r="DC7613"/>
      <c r="FH7613"/>
      <c r="FI7613"/>
      <c r="FJ7613"/>
      <c r="FK7613"/>
      <c r="FL7613"/>
      <c r="FM7613"/>
      <c r="FN7613"/>
      <c r="FO7613"/>
      <c r="FP7613"/>
      <c r="FQ7613"/>
      <c r="FR7613"/>
      <c r="FS7613"/>
      <c r="FT7613"/>
      <c r="FU7613"/>
      <c r="FV7613"/>
      <c r="FW7613"/>
      <c r="FX7613"/>
      <c r="FY7613"/>
      <c r="FZ7613"/>
      <c r="GA7613"/>
      <c r="GB7613"/>
      <c r="GC7613"/>
      <c r="GD7613"/>
      <c r="GE7613"/>
      <c r="GF7613"/>
      <c r="GG7613"/>
      <c r="GH7613"/>
      <c r="GI7613"/>
      <c r="GJ7613"/>
      <c r="GK7613"/>
      <c r="GL7613"/>
      <c r="GM7613"/>
      <c r="GN7613"/>
      <c r="GO7613"/>
    </row>
    <row r="7614" spans="107:197">
      <c r="DC7614"/>
      <c r="FH7614"/>
      <c r="FI7614"/>
      <c r="FJ7614"/>
      <c r="FK7614"/>
      <c r="FL7614"/>
      <c r="FM7614"/>
      <c r="FN7614"/>
      <c r="FO7614"/>
      <c r="FP7614"/>
      <c r="FQ7614"/>
      <c r="FR7614"/>
      <c r="FS7614"/>
      <c r="FT7614"/>
      <c r="FU7614"/>
      <c r="FV7614"/>
      <c r="FW7614"/>
      <c r="FX7614"/>
      <c r="FY7614"/>
      <c r="FZ7614"/>
      <c r="GA7614"/>
      <c r="GB7614"/>
      <c r="GC7614"/>
      <c r="GD7614"/>
      <c r="GE7614"/>
      <c r="GF7614"/>
      <c r="GG7614"/>
      <c r="GH7614"/>
      <c r="GI7614"/>
      <c r="GJ7614"/>
      <c r="GK7614"/>
      <c r="GL7614"/>
      <c r="GM7614"/>
      <c r="GN7614"/>
      <c r="GO7614"/>
    </row>
    <row r="7615" spans="107:197">
      <c r="DC7615"/>
      <c r="FH7615"/>
      <c r="FI7615"/>
      <c r="FJ7615"/>
      <c r="FK7615"/>
      <c r="FL7615"/>
      <c r="FM7615"/>
      <c r="FN7615"/>
      <c r="FO7615"/>
      <c r="FP7615"/>
      <c r="FQ7615"/>
      <c r="FR7615"/>
      <c r="FS7615"/>
      <c r="FT7615"/>
      <c r="FU7615"/>
      <c r="FV7615"/>
      <c r="FW7615"/>
      <c r="FX7615"/>
      <c r="FY7615"/>
      <c r="FZ7615"/>
      <c r="GA7615"/>
      <c r="GB7615"/>
      <c r="GC7615"/>
      <c r="GD7615"/>
      <c r="GE7615"/>
      <c r="GF7615"/>
      <c r="GG7615"/>
      <c r="GH7615"/>
      <c r="GI7615"/>
      <c r="GJ7615"/>
      <c r="GK7615"/>
      <c r="GL7615"/>
      <c r="GM7615"/>
      <c r="GN7615"/>
      <c r="GO7615"/>
    </row>
    <row r="7616" spans="107:197">
      <c r="DC7616"/>
      <c r="FH7616"/>
      <c r="FI7616"/>
      <c r="FJ7616"/>
      <c r="FK7616"/>
      <c r="FL7616"/>
      <c r="FM7616"/>
      <c r="FN7616"/>
      <c r="FO7616"/>
      <c r="FP7616"/>
      <c r="FQ7616"/>
      <c r="FR7616"/>
      <c r="FS7616"/>
      <c r="FT7616"/>
      <c r="FU7616"/>
      <c r="FV7616"/>
      <c r="FW7616"/>
      <c r="FX7616"/>
      <c r="FY7616"/>
      <c r="FZ7616"/>
      <c r="GA7616"/>
      <c r="GB7616"/>
      <c r="GC7616"/>
      <c r="GD7616"/>
      <c r="GE7616"/>
      <c r="GF7616"/>
      <c r="GG7616"/>
      <c r="GH7616"/>
      <c r="GI7616"/>
      <c r="GJ7616"/>
      <c r="GK7616"/>
      <c r="GL7616"/>
      <c r="GM7616"/>
      <c r="GN7616"/>
      <c r="GO7616"/>
    </row>
    <row r="7617" spans="107:197">
      <c r="DC7617"/>
      <c r="FH7617"/>
      <c r="FI7617"/>
      <c r="FJ7617"/>
      <c r="FK7617"/>
      <c r="FL7617"/>
      <c r="FM7617"/>
      <c r="FN7617"/>
      <c r="FO7617"/>
      <c r="FP7617"/>
      <c r="FQ7617"/>
      <c r="FR7617"/>
      <c r="FS7617"/>
      <c r="FT7617"/>
      <c r="FU7617"/>
      <c r="FV7617"/>
      <c r="FW7617"/>
      <c r="FX7617"/>
      <c r="FY7617"/>
      <c r="FZ7617"/>
      <c r="GA7617"/>
      <c r="GB7617"/>
      <c r="GC7617"/>
      <c r="GD7617"/>
      <c r="GE7617"/>
      <c r="GF7617"/>
      <c r="GG7617"/>
      <c r="GH7617"/>
      <c r="GI7617"/>
      <c r="GJ7617"/>
      <c r="GK7617"/>
      <c r="GL7617"/>
      <c r="GM7617"/>
      <c r="GN7617"/>
      <c r="GO7617"/>
    </row>
    <row r="7618" spans="107:197">
      <c r="DC7618"/>
      <c r="FH7618"/>
      <c r="FI7618"/>
      <c r="FJ7618"/>
      <c r="FK7618"/>
      <c r="FL7618"/>
      <c r="FM7618"/>
      <c r="FN7618"/>
      <c r="FO7618"/>
      <c r="FP7618"/>
      <c r="FQ7618"/>
      <c r="FR7618"/>
      <c r="FS7618"/>
      <c r="FT7618"/>
      <c r="FU7618"/>
      <c r="FV7618"/>
      <c r="FW7618"/>
      <c r="FX7618"/>
      <c r="FY7618"/>
      <c r="FZ7618"/>
      <c r="GA7618"/>
      <c r="GB7618"/>
      <c r="GC7618"/>
      <c r="GD7618"/>
      <c r="GE7618"/>
      <c r="GF7618"/>
      <c r="GG7618"/>
      <c r="GH7618"/>
      <c r="GI7618"/>
      <c r="GJ7618"/>
      <c r="GK7618"/>
      <c r="GL7618"/>
      <c r="GM7618"/>
      <c r="GN7618"/>
      <c r="GO7618"/>
    </row>
    <row r="7619" spans="107:197">
      <c r="DC7619"/>
      <c r="FH7619"/>
      <c r="FI7619"/>
      <c r="FJ7619"/>
      <c r="FK7619"/>
      <c r="FL7619"/>
      <c r="FM7619"/>
      <c r="FN7619"/>
      <c r="FO7619"/>
      <c r="FP7619"/>
      <c r="FQ7619"/>
      <c r="FR7619"/>
      <c r="FS7619"/>
      <c r="FT7619"/>
      <c r="FU7619"/>
      <c r="FV7619"/>
      <c r="FW7619"/>
      <c r="FX7619"/>
      <c r="FY7619"/>
      <c r="FZ7619"/>
      <c r="GA7619"/>
      <c r="GB7619"/>
      <c r="GC7619"/>
      <c r="GD7619"/>
      <c r="GE7619"/>
      <c r="GF7619"/>
      <c r="GG7619"/>
      <c r="GH7619"/>
      <c r="GI7619"/>
      <c r="GJ7619"/>
      <c r="GK7619"/>
      <c r="GL7619"/>
      <c r="GM7619"/>
      <c r="GN7619"/>
      <c r="GO7619"/>
    </row>
    <row r="7620" spans="107:197">
      <c r="DC7620"/>
      <c r="FH7620"/>
      <c r="FI7620"/>
      <c r="FJ7620"/>
      <c r="FK7620"/>
      <c r="FL7620"/>
      <c r="FM7620"/>
      <c r="FN7620"/>
      <c r="FO7620"/>
      <c r="FP7620"/>
      <c r="FQ7620"/>
      <c r="FR7620"/>
      <c r="FS7620"/>
      <c r="FT7620"/>
      <c r="FU7620"/>
      <c r="FV7620"/>
      <c r="FW7620"/>
      <c r="FX7620"/>
      <c r="FY7620"/>
      <c r="FZ7620"/>
      <c r="GA7620"/>
      <c r="GB7620"/>
      <c r="GC7620"/>
      <c r="GD7620"/>
      <c r="GE7620"/>
      <c r="GF7620"/>
      <c r="GG7620"/>
      <c r="GH7620"/>
      <c r="GI7620"/>
      <c r="GJ7620"/>
      <c r="GK7620"/>
      <c r="GL7620"/>
      <c r="GM7620"/>
      <c r="GN7620"/>
      <c r="GO7620"/>
    </row>
    <row r="7621" spans="107:197">
      <c r="DC7621"/>
      <c r="FH7621"/>
      <c r="FI7621"/>
      <c r="FJ7621"/>
      <c r="FK7621"/>
      <c r="FL7621"/>
      <c r="FM7621"/>
      <c r="FN7621"/>
      <c r="FO7621"/>
      <c r="FP7621"/>
      <c r="FQ7621"/>
      <c r="FR7621"/>
      <c r="FS7621"/>
      <c r="FT7621"/>
      <c r="FU7621"/>
      <c r="FV7621"/>
      <c r="FW7621"/>
      <c r="FX7621"/>
      <c r="FY7621"/>
      <c r="FZ7621"/>
      <c r="GA7621"/>
      <c r="GB7621"/>
      <c r="GC7621"/>
      <c r="GD7621"/>
      <c r="GE7621"/>
      <c r="GF7621"/>
      <c r="GG7621"/>
      <c r="GH7621"/>
      <c r="GI7621"/>
      <c r="GJ7621"/>
      <c r="GK7621"/>
      <c r="GL7621"/>
      <c r="GM7621"/>
      <c r="GN7621"/>
      <c r="GO7621"/>
    </row>
    <row r="7622" spans="107:197">
      <c r="DC7622"/>
      <c r="FH7622"/>
      <c r="FI7622"/>
      <c r="FJ7622"/>
      <c r="FK7622"/>
      <c r="FL7622"/>
      <c r="FM7622"/>
      <c r="FN7622"/>
      <c r="FO7622"/>
      <c r="FP7622"/>
      <c r="FQ7622"/>
      <c r="FR7622"/>
      <c r="FS7622"/>
      <c r="FT7622"/>
      <c r="FU7622"/>
      <c r="FV7622"/>
      <c r="FW7622"/>
      <c r="FX7622"/>
      <c r="FY7622"/>
      <c r="FZ7622"/>
      <c r="GA7622"/>
      <c r="GB7622"/>
      <c r="GC7622"/>
      <c r="GD7622"/>
      <c r="GE7622"/>
      <c r="GF7622"/>
      <c r="GG7622"/>
      <c r="GH7622"/>
      <c r="GI7622"/>
      <c r="GJ7622"/>
      <c r="GK7622"/>
      <c r="GL7622"/>
      <c r="GM7622"/>
      <c r="GN7622"/>
      <c r="GO7622"/>
    </row>
    <row r="7623" spans="107:197">
      <c r="DC7623"/>
      <c r="FH7623"/>
      <c r="FI7623"/>
      <c r="FJ7623"/>
      <c r="FK7623"/>
      <c r="FL7623"/>
      <c r="FM7623"/>
      <c r="FN7623"/>
      <c r="FO7623"/>
      <c r="FP7623"/>
      <c r="FQ7623"/>
      <c r="FR7623"/>
      <c r="FS7623"/>
      <c r="FT7623"/>
      <c r="FU7623"/>
      <c r="FV7623"/>
      <c r="FW7623"/>
      <c r="FX7623"/>
      <c r="FY7623"/>
      <c r="FZ7623"/>
      <c r="GA7623"/>
      <c r="GB7623"/>
      <c r="GC7623"/>
      <c r="GD7623"/>
      <c r="GE7623"/>
      <c r="GF7623"/>
      <c r="GG7623"/>
      <c r="GH7623"/>
      <c r="GI7623"/>
      <c r="GJ7623"/>
      <c r="GK7623"/>
      <c r="GL7623"/>
      <c r="GM7623"/>
      <c r="GN7623"/>
      <c r="GO7623"/>
    </row>
    <row r="7624" spans="107:197">
      <c r="DC7624"/>
      <c r="FH7624"/>
      <c r="FI7624"/>
      <c r="FJ7624"/>
      <c r="FK7624"/>
      <c r="FL7624"/>
      <c r="FM7624"/>
      <c r="FN7624"/>
      <c r="FO7624"/>
      <c r="FP7624"/>
      <c r="FQ7624"/>
      <c r="FR7624"/>
      <c r="FS7624"/>
      <c r="FT7624"/>
      <c r="FU7624"/>
      <c r="FV7624"/>
      <c r="FW7624"/>
      <c r="FX7624"/>
      <c r="FY7624"/>
      <c r="FZ7624"/>
      <c r="GA7624"/>
      <c r="GB7624"/>
      <c r="GC7624"/>
      <c r="GD7624"/>
      <c r="GE7624"/>
      <c r="GF7624"/>
      <c r="GG7624"/>
      <c r="GH7624"/>
      <c r="GI7624"/>
      <c r="GJ7624"/>
      <c r="GK7624"/>
      <c r="GL7624"/>
      <c r="GM7624"/>
      <c r="GN7624"/>
      <c r="GO7624"/>
    </row>
    <row r="7625" spans="107:197">
      <c r="DC7625"/>
      <c r="FH7625"/>
      <c r="FI7625"/>
      <c r="FJ7625"/>
      <c r="FK7625"/>
      <c r="FL7625"/>
      <c r="FM7625"/>
      <c r="FN7625"/>
      <c r="FO7625"/>
      <c r="FP7625"/>
      <c r="FQ7625"/>
      <c r="FR7625"/>
      <c r="FS7625"/>
      <c r="FT7625"/>
      <c r="FU7625"/>
      <c r="FV7625"/>
      <c r="FW7625"/>
      <c r="FX7625"/>
      <c r="FY7625"/>
      <c r="FZ7625"/>
      <c r="GA7625"/>
      <c r="GB7625"/>
      <c r="GC7625"/>
      <c r="GD7625"/>
      <c r="GE7625"/>
      <c r="GF7625"/>
      <c r="GG7625"/>
      <c r="GH7625"/>
      <c r="GI7625"/>
      <c r="GJ7625"/>
      <c r="GK7625"/>
      <c r="GL7625"/>
      <c r="GM7625"/>
      <c r="GN7625"/>
      <c r="GO7625"/>
    </row>
    <row r="7626" spans="107:197">
      <c r="DC7626"/>
      <c r="FH7626"/>
      <c r="FI7626"/>
      <c r="FJ7626"/>
      <c r="FK7626"/>
      <c r="FL7626"/>
      <c r="FM7626"/>
      <c r="FN7626"/>
      <c r="FO7626"/>
      <c r="FP7626"/>
      <c r="FQ7626"/>
      <c r="FR7626"/>
      <c r="FS7626"/>
      <c r="FT7626"/>
      <c r="FU7626"/>
      <c r="FV7626"/>
      <c r="FW7626"/>
      <c r="FX7626"/>
      <c r="FY7626"/>
      <c r="FZ7626"/>
      <c r="GA7626"/>
      <c r="GB7626"/>
      <c r="GC7626"/>
      <c r="GD7626"/>
      <c r="GE7626"/>
      <c r="GF7626"/>
      <c r="GG7626"/>
      <c r="GH7626"/>
      <c r="GI7626"/>
      <c r="GJ7626"/>
      <c r="GK7626"/>
      <c r="GL7626"/>
      <c r="GM7626"/>
      <c r="GN7626"/>
      <c r="GO7626"/>
    </row>
    <row r="7627" spans="107:197">
      <c r="DC7627"/>
      <c r="FH7627"/>
      <c r="FI7627"/>
      <c r="FJ7627"/>
      <c r="FK7627"/>
      <c r="FL7627"/>
      <c r="FM7627"/>
      <c r="FN7627"/>
      <c r="FO7627"/>
      <c r="FP7627"/>
      <c r="FQ7627"/>
      <c r="FR7627"/>
      <c r="FS7627"/>
      <c r="FT7627"/>
      <c r="FU7627"/>
      <c r="FV7627"/>
      <c r="FW7627"/>
      <c r="FX7627"/>
      <c r="FY7627"/>
      <c r="FZ7627"/>
      <c r="GA7627"/>
      <c r="GB7627"/>
      <c r="GC7627"/>
      <c r="GD7627"/>
      <c r="GE7627"/>
      <c r="GF7627"/>
      <c r="GG7627"/>
      <c r="GH7627"/>
      <c r="GI7627"/>
      <c r="GJ7627"/>
      <c r="GK7627"/>
      <c r="GL7627"/>
      <c r="GM7627"/>
      <c r="GN7627"/>
      <c r="GO7627"/>
    </row>
    <row r="7628" spans="107:197">
      <c r="DC7628"/>
      <c r="FH7628"/>
      <c r="FI7628"/>
      <c r="FJ7628"/>
      <c r="FK7628"/>
      <c r="FL7628"/>
      <c r="FM7628"/>
      <c r="FN7628"/>
      <c r="FO7628"/>
      <c r="FP7628"/>
      <c r="FQ7628"/>
      <c r="FR7628"/>
      <c r="FS7628"/>
      <c r="FT7628"/>
      <c r="FU7628"/>
      <c r="FV7628"/>
      <c r="FW7628"/>
      <c r="FX7628"/>
      <c r="FY7628"/>
      <c r="FZ7628"/>
      <c r="GA7628"/>
      <c r="GB7628"/>
      <c r="GC7628"/>
      <c r="GD7628"/>
      <c r="GE7628"/>
      <c r="GF7628"/>
      <c r="GG7628"/>
      <c r="GH7628"/>
      <c r="GI7628"/>
      <c r="GJ7628"/>
      <c r="GK7628"/>
      <c r="GL7628"/>
      <c r="GM7628"/>
      <c r="GN7628"/>
      <c r="GO7628"/>
    </row>
    <row r="7629" spans="107:197">
      <c r="DC7629"/>
      <c r="FH7629"/>
      <c r="FI7629"/>
      <c r="FJ7629"/>
      <c r="FK7629"/>
      <c r="FL7629"/>
      <c r="FM7629"/>
      <c r="FN7629"/>
      <c r="FO7629"/>
      <c r="FP7629"/>
      <c r="FQ7629"/>
      <c r="FR7629"/>
      <c r="FS7629"/>
      <c r="FT7629"/>
      <c r="FU7629"/>
      <c r="FV7629"/>
      <c r="FW7629"/>
      <c r="FX7629"/>
      <c r="FY7629"/>
      <c r="FZ7629"/>
      <c r="GA7629"/>
      <c r="GB7629"/>
      <c r="GC7629"/>
      <c r="GD7629"/>
      <c r="GE7629"/>
      <c r="GF7629"/>
      <c r="GG7629"/>
      <c r="GH7629"/>
      <c r="GI7629"/>
      <c r="GJ7629"/>
      <c r="GK7629"/>
      <c r="GL7629"/>
      <c r="GM7629"/>
      <c r="GN7629"/>
      <c r="GO7629"/>
    </row>
    <row r="7630" spans="107:197">
      <c r="DC7630"/>
      <c r="FH7630"/>
      <c r="FI7630"/>
      <c r="FJ7630"/>
      <c r="FK7630"/>
      <c r="FL7630"/>
      <c r="FM7630"/>
      <c r="FN7630"/>
      <c r="FO7630"/>
      <c r="FP7630"/>
      <c r="FQ7630"/>
      <c r="FR7630"/>
      <c r="FS7630"/>
      <c r="FT7630"/>
      <c r="FU7630"/>
      <c r="FV7630"/>
      <c r="FW7630"/>
      <c r="FX7630"/>
      <c r="FY7630"/>
      <c r="FZ7630"/>
      <c r="GA7630"/>
      <c r="GB7630"/>
      <c r="GC7630"/>
      <c r="GD7630"/>
      <c r="GE7630"/>
      <c r="GF7630"/>
      <c r="GG7630"/>
      <c r="GH7630"/>
      <c r="GI7630"/>
      <c r="GJ7630"/>
      <c r="GK7630"/>
      <c r="GL7630"/>
      <c r="GM7630"/>
      <c r="GN7630"/>
      <c r="GO7630"/>
    </row>
    <row r="7631" spans="107:197">
      <c r="DC7631"/>
      <c r="FH7631"/>
      <c r="FI7631"/>
      <c r="FJ7631"/>
      <c r="FK7631"/>
      <c r="FL7631"/>
      <c r="FM7631"/>
      <c r="FN7631"/>
      <c r="FO7631"/>
      <c r="FP7631"/>
      <c r="FQ7631"/>
      <c r="FR7631"/>
      <c r="FS7631"/>
      <c r="FT7631"/>
      <c r="FU7631"/>
      <c r="FV7631"/>
      <c r="FW7631"/>
      <c r="FX7631"/>
      <c r="FY7631"/>
      <c r="FZ7631"/>
      <c r="GA7631"/>
      <c r="GB7631"/>
      <c r="GC7631"/>
      <c r="GD7631"/>
      <c r="GE7631"/>
      <c r="GF7631"/>
      <c r="GG7631"/>
      <c r="GH7631"/>
      <c r="GI7631"/>
      <c r="GJ7631"/>
      <c r="GK7631"/>
      <c r="GL7631"/>
      <c r="GM7631"/>
      <c r="GN7631"/>
      <c r="GO7631"/>
    </row>
    <row r="7632" spans="107:197">
      <c r="DC7632"/>
      <c r="FH7632"/>
      <c r="FI7632"/>
      <c r="FJ7632"/>
      <c r="FK7632"/>
      <c r="FL7632"/>
      <c r="FM7632"/>
      <c r="FN7632"/>
      <c r="FO7632"/>
      <c r="FP7632"/>
      <c r="FQ7632"/>
      <c r="FR7632"/>
      <c r="FS7632"/>
      <c r="FT7632"/>
      <c r="FU7632"/>
      <c r="FV7632"/>
      <c r="FW7632"/>
      <c r="FX7632"/>
      <c r="FY7632"/>
      <c r="FZ7632"/>
      <c r="GA7632"/>
      <c r="GB7632"/>
      <c r="GC7632"/>
      <c r="GD7632"/>
      <c r="GE7632"/>
      <c r="GF7632"/>
      <c r="GG7632"/>
      <c r="GH7632"/>
      <c r="GI7632"/>
      <c r="GJ7632"/>
      <c r="GK7632"/>
      <c r="GL7632"/>
      <c r="GM7632"/>
      <c r="GN7632"/>
      <c r="GO7632"/>
    </row>
    <row r="7633" spans="107:197">
      <c r="DC7633"/>
      <c r="FH7633"/>
      <c r="FI7633"/>
      <c r="FJ7633"/>
      <c r="FK7633"/>
      <c r="FL7633"/>
      <c r="FM7633"/>
      <c r="FN7633"/>
      <c r="FO7633"/>
      <c r="FP7633"/>
      <c r="FQ7633"/>
      <c r="FR7633"/>
      <c r="FS7633"/>
      <c r="FT7633"/>
      <c r="FU7633"/>
      <c r="FV7633"/>
      <c r="FW7633"/>
      <c r="FX7633"/>
      <c r="FY7633"/>
      <c r="FZ7633"/>
      <c r="GA7633"/>
      <c r="GB7633"/>
      <c r="GC7633"/>
      <c r="GD7633"/>
      <c r="GE7633"/>
      <c r="GF7633"/>
      <c r="GG7633"/>
      <c r="GH7633"/>
      <c r="GI7633"/>
      <c r="GJ7633"/>
      <c r="GK7633"/>
      <c r="GL7633"/>
      <c r="GM7633"/>
      <c r="GN7633"/>
      <c r="GO7633"/>
    </row>
    <row r="7634" spans="107:197">
      <c r="DC7634"/>
      <c r="FH7634"/>
      <c r="FI7634"/>
      <c r="FJ7634"/>
      <c r="FK7634"/>
      <c r="FL7634"/>
      <c r="FM7634"/>
      <c r="FN7634"/>
      <c r="FO7634"/>
      <c r="FP7634"/>
      <c r="FQ7634"/>
      <c r="FR7634"/>
      <c r="FS7634"/>
      <c r="FT7634"/>
      <c r="FU7634"/>
      <c r="FV7634"/>
      <c r="FW7634"/>
      <c r="FX7634"/>
      <c r="FY7634"/>
      <c r="FZ7634"/>
      <c r="GA7634"/>
      <c r="GB7634"/>
      <c r="GC7634"/>
      <c r="GD7634"/>
      <c r="GE7634"/>
      <c r="GF7634"/>
      <c r="GG7634"/>
      <c r="GH7634"/>
      <c r="GI7634"/>
      <c r="GJ7634"/>
      <c r="GK7634"/>
      <c r="GL7634"/>
      <c r="GM7634"/>
      <c r="GN7634"/>
      <c r="GO7634"/>
    </row>
    <row r="7635" spans="107:197">
      <c r="DC7635"/>
      <c r="FH7635"/>
      <c r="FI7635"/>
      <c r="FJ7635"/>
      <c r="FK7635"/>
      <c r="FL7635"/>
      <c r="FM7635"/>
      <c r="FN7635"/>
      <c r="FO7635"/>
      <c r="FP7635"/>
      <c r="FQ7635"/>
      <c r="FR7635"/>
      <c r="FS7635"/>
      <c r="FT7635"/>
      <c r="FU7635"/>
      <c r="FV7635"/>
      <c r="FW7635"/>
      <c r="FX7635"/>
      <c r="FY7635"/>
      <c r="FZ7635"/>
      <c r="GA7635"/>
      <c r="GB7635"/>
      <c r="GC7635"/>
      <c r="GD7635"/>
      <c r="GE7635"/>
      <c r="GF7635"/>
      <c r="GG7635"/>
      <c r="GH7635"/>
      <c r="GI7635"/>
      <c r="GJ7635"/>
      <c r="GK7635"/>
      <c r="GL7635"/>
      <c r="GM7635"/>
      <c r="GN7635"/>
      <c r="GO7635"/>
    </row>
    <row r="7636" spans="107:197">
      <c r="DC7636"/>
      <c r="FH7636"/>
      <c r="FI7636"/>
      <c r="FJ7636"/>
      <c r="FK7636"/>
      <c r="FL7636"/>
      <c r="FM7636"/>
      <c r="FN7636"/>
      <c r="FO7636"/>
      <c r="FP7636"/>
      <c r="FQ7636"/>
      <c r="FR7636"/>
      <c r="FS7636"/>
      <c r="FT7636"/>
      <c r="FU7636"/>
      <c r="FV7636"/>
      <c r="FW7636"/>
      <c r="FX7636"/>
      <c r="FY7636"/>
      <c r="FZ7636"/>
      <c r="GA7636"/>
      <c r="GB7636"/>
      <c r="GC7636"/>
      <c r="GD7636"/>
      <c r="GE7636"/>
      <c r="GF7636"/>
      <c r="GG7636"/>
      <c r="GH7636"/>
      <c r="GI7636"/>
      <c r="GJ7636"/>
      <c r="GK7636"/>
      <c r="GL7636"/>
      <c r="GM7636"/>
      <c r="GN7636"/>
      <c r="GO7636"/>
    </row>
    <row r="7637" spans="107:197">
      <c r="DC7637"/>
      <c r="FH7637"/>
      <c r="FI7637"/>
      <c r="FJ7637"/>
      <c r="FK7637"/>
      <c r="FL7637"/>
      <c r="FM7637"/>
      <c r="FN7637"/>
      <c r="FO7637"/>
      <c r="FP7637"/>
      <c r="FQ7637"/>
      <c r="FR7637"/>
      <c r="FS7637"/>
      <c r="FT7637"/>
      <c r="FU7637"/>
      <c r="FV7637"/>
      <c r="FW7637"/>
      <c r="FX7637"/>
      <c r="FY7637"/>
      <c r="FZ7637"/>
      <c r="GA7637"/>
      <c r="GB7637"/>
      <c r="GC7637"/>
      <c r="GD7637"/>
      <c r="GE7637"/>
      <c r="GF7637"/>
      <c r="GG7637"/>
      <c r="GH7637"/>
      <c r="GI7637"/>
      <c r="GJ7637"/>
      <c r="GK7637"/>
      <c r="GL7637"/>
      <c r="GM7637"/>
      <c r="GN7637"/>
      <c r="GO7637"/>
    </row>
    <row r="7638" spans="107:197">
      <c r="DC7638"/>
      <c r="FH7638"/>
      <c r="FI7638"/>
      <c r="FJ7638"/>
      <c r="FK7638"/>
      <c r="FL7638"/>
      <c r="FM7638"/>
      <c r="FN7638"/>
      <c r="FO7638"/>
      <c r="FP7638"/>
      <c r="FQ7638"/>
      <c r="FR7638"/>
      <c r="FS7638"/>
      <c r="FT7638"/>
      <c r="FU7638"/>
      <c r="FV7638"/>
      <c r="FW7638"/>
      <c r="FX7638"/>
      <c r="FY7638"/>
      <c r="FZ7638"/>
      <c r="GA7638"/>
      <c r="GB7638"/>
      <c r="GC7638"/>
      <c r="GD7638"/>
      <c r="GE7638"/>
      <c r="GF7638"/>
      <c r="GG7638"/>
      <c r="GH7638"/>
      <c r="GI7638"/>
      <c r="GJ7638"/>
      <c r="GK7638"/>
      <c r="GL7638"/>
      <c r="GM7638"/>
      <c r="GN7638"/>
      <c r="GO7638"/>
    </row>
    <row r="7639" spans="107:197">
      <c r="DC7639"/>
      <c r="FH7639"/>
      <c r="FI7639"/>
      <c r="FJ7639"/>
      <c r="FK7639"/>
      <c r="FL7639"/>
      <c r="FM7639"/>
      <c r="FN7639"/>
      <c r="FO7639"/>
      <c r="FP7639"/>
      <c r="FQ7639"/>
      <c r="FR7639"/>
      <c r="FS7639"/>
      <c r="FT7639"/>
      <c r="FU7639"/>
      <c r="FV7639"/>
      <c r="FW7639"/>
      <c r="FX7639"/>
      <c r="FY7639"/>
      <c r="FZ7639"/>
      <c r="GA7639"/>
      <c r="GB7639"/>
      <c r="GC7639"/>
      <c r="GD7639"/>
      <c r="GE7639"/>
      <c r="GF7639"/>
      <c r="GG7639"/>
      <c r="GH7639"/>
      <c r="GI7639"/>
      <c r="GJ7639"/>
      <c r="GK7639"/>
      <c r="GL7639"/>
      <c r="GM7639"/>
      <c r="GN7639"/>
      <c r="GO7639"/>
    </row>
    <row r="7640" spans="107:197">
      <c r="DC7640"/>
      <c r="FH7640"/>
      <c r="FI7640"/>
      <c r="FJ7640"/>
      <c r="FK7640"/>
      <c r="FL7640"/>
      <c r="FM7640"/>
      <c r="FN7640"/>
      <c r="FO7640"/>
      <c r="FP7640"/>
      <c r="FQ7640"/>
      <c r="FR7640"/>
      <c r="FS7640"/>
      <c r="FT7640"/>
      <c r="FU7640"/>
      <c r="FV7640"/>
      <c r="FW7640"/>
      <c r="FX7640"/>
      <c r="FY7640"/>
      <c r="FZ7640"/>
      <c r="GA7640"/>
      <c r="GB7640"/>
      <c r="GC7640"/>
      <c r="GD7640"/>
      <c r="GE7640"/>
      <c r="GF7640"/>
      <c r="GG7640"/>
      <c r="GH7640"/>
      <c r="GI7640"/>
      <c r="GJ7640"/>
      <c r="GK7640"/>
      <c r="GL7640"/>
      <c r="GM7640"/>
      <c r="GN7640"/>
      <c r="GO7640"/>
    </row>
    <row r="7641" spans="107:197">
      <c r="DC7641"/>
      <c r="FH7641"/>
      <c r="FI7641"/>
      <c r="FJ7641"/>
      <c r="FK7641"/>
      <c r="FL7641"/>
      <c r="FM7641"/>
      <c r="FN7641"/>
      <c r="FO7641"/>
      <c r="FP7641"/>
      <c r="FQ7641"/>
      <c r="FR7641"/>
      <c r="FS7641"/>
      <c r="FT7641"/>
      <c r="FU7641"/>
      <c r="FV7641"/>
      <c r="FW7641"/>
      <c r="FX7641"/>
      <c r="FY7641"/>
      <c r="FZ7641"/>
      <c r="GA7641"/>
      <c r="GB7641"/>
      <c r="GC7641"/>
      <c r="GD7641"/>
      <c r="GE7641"/>
      <c r="GF7641"/>
      <c r="GG7641"/>
      <c r="GH7641"/>
      <c r="GI7641"/>
      <c r="GJ7641"/>
      <c r="GK7641"/>
      <c r="GL7641"/>
      <c r="GM7641"/>
      <c r="GN7641"/>
      <c r="GO7641"/>
    </row>
    <row r="7642" spans="107:197">
      <c r="DC7642"/>
      <c r="FH7642"/>
      <c r="FI7642"/>
      <c r="FJ7642"/>
      <c r="FK7642"/>
      <c r="FL7642"/>
      <c r="FM7642"/>
      <c r="FN7642"/>
      <c r="FO7642"/>
      <c r="FP7642"/>
      <c r="FQ7642"/>
      <c r="FR7642"/>
      <c r="FS7642"/>
      <c r="FT7642"/>
      <c r="FU7642"/>
      <c r="FV7642"/>
      <c r="FW7642"/>
      <c r="FX7642"/>
      <c r="FY7642"/>
      <c r="FZ7642"/>
      <c r="GA7642"/>
      <c r="GB7642"/>
      <c r="GC7642"/>
      <c r="GD7642"/>
      <c r="GE7642"/>
      <c r="GF7642"/>
      <c r="GG7642"/>
      <c r="GH7642"/>
      <c r="GI7642"/>
      <c r="GJ7642"/>
      <c r="GK7642"/>
      <c r="GL7642"/>
      <c r="GM7642"/>
      <c r="GN7642"/>
      <c r="GO7642"/>
    </row>
    <row r="7643" spans="107:197">
      <c r="DC7643"/>
      <c r="FH7643"/>
      <c r="FI7643"/>
      <c r="FJ7643"/>
      <c r="FK7643"/>
      <c r="FL7643"/>
      <c r="FM7643"/>
      <c r="FN7643"/>
      <c r="FO7643"/>
      <c r="FP7643"/>
      <c r="FQ7643"/>
      <c r="FR7643"/>
      <c r="FS7643"/>
      <c r="FT7643"/>
      <c r="FU7643"/>
      <c r="FV7643"/>
      <c r="FW7643"/>
      <c r="FX7643"/>
      <c r="FY7643"/>
      <c r="FZ7643"/>
      <c r="GA7643"/>
      <c r="GB7643"/>
      <c r="GC7643"/>
      <c r="GD7643"/>
      <c r="GE7643"/>
      <c r="GF7643"/>
      <c r="GG7643"/>
      <c r="GH7643"/>
      <c r="GI7643"/>
      <c r="GJ7643"/>
      <c r="GK7643"/>
      <c r="GL7643"/>
      <c r="GM7643"/>
      <c r="GN7643"/>
      <c r="GO7643"/>
    </row>
    <row r="7644" spans="107:197">
      <c r="DC7644"/>
      <c r="FH7644"/>
      <c r="FI7644"/>
      <c r="FJ7644"/>
      <c r="FK7644"/>
      <c r="FL7644"/>
      <c r="FM7644"/>
      <c r="FN7644"/>
      <c r="FO7644"/>
      <c r="FP7644"/>
      <c r="FQ7644"/>
      <c r="FR7644"/>
      <c r="FS7644"/>
      <c r="FT7644"/>
      <c r="FU7644"/>
      <c r="FV7644"/>
      <c r="FW7644"/>
      <c r="FX7644"/>
      <c r="FY7644"/>
      <c r="FZ7644"/>
      <c r="GA7644"/>
      <c r="GB7644"/>
      <c r="GC7644"/>
      <c r="GD7644"/>
      <c r="GE7644"/>
      <c r="GF7644"/>
      <c r="GG7644"/>
      <c r="GH7644"/>
      <c r="GI7644"/>
      <c r="GJ7644"/>
      <c r="GK7644"/>
      <c r="GL7644"/>
      <c r="GM7644"/>
      <c r="GN7644"/>
      <c r="GO7644"/>
    </row>
    <row r="7645" spans="107:197">
      <c r="DC7645"/>
      <c r="FH7645"/>
      <c r="FI7645"/>
      <c r="FJ7645"/>
      <c r="FK7645"/>
      <c r="FL7645"/>
      <c r="FM7645"/>
      <c r="FN7645"/>
      <c r="FO7645"/>
      <c r="FP7645"/>
      <c r="FQ7645"/>
      <c r="FR7645"/>
      <c r="FS7645"/>
      <c r="FT7645"/>
      <c r="FU7645"/>
      <c r="FV7645"/>
      <c r="FW7645"/>
      <c r="FX7645"/>
      <c r="FY7645"/>
      <c r="FZ7645"/>
      <c r="GA7645"/>
      <c r="GB7645"/>
      <c r="GC7645"/>
      <c r="GD7645"/>
      <c r="GE7645"/>
      <c r="GF7645"/>
      <c r="GG7645"/>
      <c r="GH7645"/>
      <c r="GI7645"/>
      <c r="GJ7645"/>
      <c r="GK7645"/>
      <c r="GL7645"/>
      <c r="GM7645"/>
      <c r="GN7645"/>
      <c r="GO7645"/>
    </row>
    <row r="7646" spans="107:197">
      <c r="DC7646"/>
      <c r="FH7646"/>
      <c r="FI7646"/>
      <c r="FJ7646"/>
      <c r="FK7646"/>
      <c r="FL7646"/>
      <c r="FM7646"/>
      <c r="FN7646"/>
      <c r="FO7646"/>
      <c r="FP7646"/>
      <c r="FQ7646"/>
      <c r="FR7646"/>
      <c r="FS7646"/>
      <c r="FT7646"/>
      <c r="FU7646"/>
      <c r="FV7646"/>
      <c r="FW7646"/>
      <c r="FX7646"/>
      <c r="FY7646"/>
      <c r="FZ7646"/>
      <c r="GA7646"/>
      <c r="GB7646"/>
      <c r="GC7646"/>
      <c r="GD7646"/>
      <c r="GE7646"/>
      <c r="GF7646"/>
      <c r="GG7646"/>
      <c r="GH7646"/>
      <c r="GI7646"/>
      <c r="GJ7646"/>
      <c r="GK7646"/>
      <c r="GL7646"/>
      <c r="GM7646"/>
      <c r="GN7646"/>
      <c r="GO7646"/>
    </row>
    <row r="7647" spans="107:197">
      <c r="DC7647"/>
      <c r="FH7647"/>
      <c r="FI7647"/>
      <c r="FJ7647"/>
      <c r="FK7647"/>
      <c r="FL7647"/>
      <c r="FM7647"/>
      <c r="FN7647"/>
      <c r="FO7647"/>
      <c r="FP7647"/>
      <c r="FQ7647"/>
      <c r="FR7647"/>
      <c r="FS7647"/>
      <c r="FT7647"/>
      <c r="FU7647"/>
      <c r="FV7647"/>
      <c r="FW7647"/>
      <c r="FX7647"/>
      <c r="FY7647"/>
      <c r="FZ7647"/>
      <c r="GA7647"/>
      <c r="GB7647"/>
      <c r="GC7647"/>
      <c r="GD7647"/>
      <c r="GE7647"/>
      <c r="GF7647"/>
      <c r="GG7647"/>
      <c r="GH7647"/>
      <c r="GI7647"/>
      <c r="GJ7647"/>
      <c r="GK7647"/>
      <c r="GL7647"/>
      <c r="GM7647"/>
      <c r="GN7647"/>
      <c r="GO7647"/>
    </row>
    <row r="7648" spans="107:197">
      <c r="DC7648"/>
      <c r="FH7648"/>
      <c r="FI7648"/>
      <c r="FJ7648"/>
      <c r="FK7648"/>
      <c r="FL7648"/>
      <c r="FM7648"/>
      <c r="FN7648"/>
      <c r="FO7648"/>
      <c r="FP7648"/>
      <c r="FQ7648"/>
      <c r="FR7648"/>
      <c r="FS7648"/>
      <c r="FT7648"/>
      <c r="FU7648"/>
      <c r="FV7648"/>
      <c r="FW7648"/>
      <c r="FX7648"/>
      <c r="FY7648"/>
      <c r="FZ7648"/>
      <c r="GA7648"/>
      <c r="GB7648"/>
      <c r="GC7648"/>
      <c r="GD7648"/>
      <c r="GE7648"/>
      <c r="GF7648"/>
      <c r="GG7648"/>
      <c r="GH7648"/>
      <c r="GI7648"/>
      <c r="GJ7648"/>
      <c r="GK7648"/>
      <c r="GL7648"/>
      <c r="GM7648"/>
      <c r="GN7648"/>
      <c r="GO7648"/>
    </row>
    <row r="7649" spans="107:197">
      <c r="DC7649"/>
      <c r="FH7649"/>
      <c r="FI7649"/>
      <c r="FJ7649"/>
      <c r="FK7649"/>
      <c r="FL7649"/>
      <c r="FM7649"/>
      <c r="FN7649"/>
      <c r="FO7649"/>
      <c r="FP7649"/>
      <c r="FQ7649"/>
      <c r="FR7649"/>
      <c r="FS7649"/>
      <c r="FT7649"/>
      <c r="FU7649"/>
      <c r="FV7649"/>
      <c r="FW7649"/>
      <c r="FX7649"/>
      <c r="FY7649"/>
      <c r="FZ7649"/>
      <c r="GA7649"/>
      <c r="GB7649"/>
      <c r="GC7649"/>
      <c r="GD7649"/>
      <c r="GE7649"/>
      <c r="GF7649"/>
      <c r="GG7649"/>
      <c r="GH7649"/>
      <c r="GI7649"/>
      <c r="GJ7649"/>
      <c r="GK7649"/>
      <c r="GL7649"/>
      <c r="GM7649"/>
      <c r="GN7649"/>
      <c r="GO7649"/>
    </row>
    <row r="7650" spans="107:197">
      <c r="DC7650"/>
      <c r="FH7650"/>
      <c r="FI7650"/>
      <c r="FJ7650"/>
      <c r="FK7650"/>
      <c r="FL7650"/>
      <c r="FM7650"/>
      <c r="FN7650"/>
      <c r="FO7650"/>
      <c r="FP7650"/>
      <c r="FQ7650"/>
      <c r="FR7650"/>
      <c r="FS7650"/>
      <c r="FT7650"/>
      <c r="FU7650"/>
      <c r="FV7650"/>
      <c r="FW7650"/>
      <c r="FX7650"/>
      <c r="FY7650"/>
      <c r="FZ7650"/>
      <c r="GA7650"/>
      <c r="GB7650"/>
      <c r="GC7650"/>
      <c r="GD7650"/>
      <c r="GE7650"/>
      <c r="GF7650"/>
      <c r="GG7650"/>
      <c r="GH7650"/>
      <c r="GI7650"/>
      <c r="GJ7650"/>
      <c r="GK7650"/>
      <c r="GL7650"/>
      <c r="GM7650"/>
      <c r="GN7650"/>
      <c r="GO7650"/>
    </row>
    <row r="7651" spans="107:197">
      <c r="DC7651"/>
      <c r="FH7651"/>
      <c r="FI7651"/>
      <c r="FJ7651"/>
      <c r="FK7651"/>
      <c r="FL7651"/>
      <c r="FM7651"/>
      <c r="FN7651"/>
      <c r="FO7651"/>
      <c r="FP7651"/>
      <c r="FQ7651"/>
      <c r="FR7651"/>
      <c r="FS7651"/>
      <c r="FT7651"/>
      <c r="FU7651"/>
      <c r="FV7651"/>
      <c r="FW7651"/>
      <c r="FX7651"/>
      <c r="FY7651"/>
      <c r="FZ7651"/>
      <c r="GA7651"/>
      <c r="GB7651"/>
      <c r="GC7651"/>
      <c r="GD7651"/>
      <c r="GE7651"/>
      <c r="GF7651"/>
      <c r="GG7651"/>
      <c r="GH7651"/>
      <c r="GI7651"/>
      <c r="GJ7651"/>
      <c r="GK7651"/>
      <c r="GL7651"/>
      <c r="GM7651"/>
      <c r="GN7651"/>
      <c r="GO7651"/>
    </row>
    <row r="7652" spans="107:197">
      <c r="DC7652"/>
      <c r="FH7652"/>
      <c r="FI7652"/>
      <c r="FJ7652"/>
      <c r="FK7652"/>
      <c r="FL7652"/>
      <c r="FM7652"/>
      <c r="FN7652"/>
      <c r="FO7652"/>
      <c r="FP7652"/>
      <c r="FQ7652"/>
      <c r="FR7652"/>
      <c r="FS7652"/>
      <c r="FT7652"/>
      <c r="FU7652"/>
      <c r="FV7652"/>
      <c r="FW7652"/>
      <c r="FX7652"/>
      <c r="FY7652"/>
      <c r="FZ7652"/>
      <c r="GA7652"/>
      <c r="GB7652"/>
      <c r="GC7652"/>
      <c r="GD7652"/>
      <c r="GE7652"/>
      <c r="GF7652"/>
      <c r="GG7652"/>
      <c r="GH7652"/>
      <c r="GI7652"/>
      <c r="GJ7652"/>
      <c r="GK7652"/>
      <c r="GL7652"/>
      <c r="GM7652"/>
      <c r="GN7652"/>
      <c r="GO7652"/>
    </row>
    <row r="7653" spans="107:197">
      <c r="DC7653"/>
      <c r="FH7653"/>
      <c r="FI7653"/>
      <c r="FJ7653"/>
      <c r="FK7653"/>
      <c r="FL7653"/>
      <c r="FM7653"/>
      <c r="FN7653"/>
      <c r="FO7653"/>
      <c r="FP7653"/>
      <c r="FQ7653"/>
      <c r="FR7653"/>
      <c r="FS7653"/>
      <c r="FT7653"/>
      <c r="FU7653"/>
      <c r="FV7653"/>
      <c r="FW7653"/>
      <c r="FX7653"/>
      <c r="FY7653"/>
      <c r="FZ7653"/>
      <c r="GA7653"/>
      <c r="GB7653"/>
      <c r="GC7653"/>
      <c r="GD7653"/>
      <c r="GE7653"/>
      <c r="GF7653"/>
      <c r="GG7653"/>
      <c r="GH7653"/>
      <c r="GI7653"/>
      <c r="GJ7653"/>
      <c r="GK7653"/>
      <c r="GL7653"/>
      <c r="GM7653"/>
      <c r="GN7653"/>
      <c r="GO7653"/>
    </row>
    <row r="7654" spans="107:197">
      <c r="DC7654"/>
      <c r="FH7654"/>
      <c r="FI7654"/>
      <c r="FJ7654"/>
      <c r="FK7654"/>
      <c r="FL7654"/>
      <c r="FM7654"/>
      <c r="FN7654"/>
      <c r="FO7654"/>
      <c r="FP7654"/>
      <c r="FQ7654"/>
      <c r="FR7654"/>
      <c r="FS7654"/>
      <c r="FT7654"/>
      <c r="FU7654"/>
      <c r="FV7654"/>
      <c r="FW7654"/>
      <c r="FX7654"/>
      <c r="FY7654"/>
      <c r="FZ7654"/>
      <c r="GA7654"/>
      <c r="GB7654"/>
      <c r="GC7654"/>
      <c r="GD7654"/>
      <c r="GE7654"/>
      <c r="GF7654"/>
      <c r="GG7654"/>
      <c r="GH7654"/>
      <c r="GI7654"/>
      <c r="GJ7654"/>
      <c r="GK7654"/>
      <c r="GL7654"/>
      <c r="GM7654"/>
      <c r="GN7654"/>
      <c r="GO7654"/>
    </row>
    <row r="7655" spans="107:197">
      <c r="DC7655"/>
      <c r="FH7655"/>
      <c r="FI7655"/>
      <c r="FJ7655"/>
      <c r="FK7655"/>
      <c r="FL7655"/>
      <c r="FM7655"/>
      <c r="FN7655"/>
      <c r="FO7655"/>
      <c r="FP7655"/>
      <c r="FQ7655"/>
      <c r="FR7655"/>
      <c r="FS7655"/>
      <c r="FT7655"/>
      <c r="FU7655"/>
      <c r="FV7655"/>
      <c r="FW7655"/>
      <c r="FX7655"/>
      <c r="FY7655"/>
      <c r="FZ7655"/>
      <c r="GA7655"/>
      <c r="GB7655"/>
      <c r="GC7655"/>
      <c r="GD7655"/>
      <c r="GE7655"/>
      <c r="GF7655"/>
      <c r="GG7655"/>
      <c r="GH7655"/>
      <c r="GI7655"/>
      <c r="GJ7655"/>
      <c r="GK7655"/>
      <c r="GL7655"/>
      <c r="GM7655"/>
      <c r="GN7655"/>
      <c r="GO7655"/>
    </row>
    <row r="7656" spans="107:197">
      <c r="DC7656"/>
      <c r="FH7656"/>
      <c r="FI7656"/>
      <c r="FJ7656"/>
      <c r="FK7656"/>
      <c r="FL7656"/>
      <c r="FM7656"/>
      <c r="FN7656"/>
      <c r="FO7656"/>
      <c r="FP7656"/>
      <c r="FQ7656"/>
      <c r="FR7656"/>
      <c r="FS7656"/>
      <c r="FT7656"/>
      <c r="FU7656"/>
      <c r="FV7656"/>
      <c r="FW7656"/>
      <c r="FX7656"/>
      <c r="FY7656"/>
      <c r="FZ7656"/>
      <c r="GA7656"/>
      <c r="GB7656"/>
      <c r="GC7656"/>
      <c r="GD7656"/>
      <c r="GE7656"/>
      <c r="GF7656"/>
      <c r="GG7656"/>
      <c r="GH7656"/>
      <c r="GI7656"/>
      <c r="GJ7656"/>
      <c r="GK7656"/>
      <c r="GL7656"/>
      <c r="GM7656"/>
      <c r="GN7656"/>
      <c r="GO7656"/>
    </row>
    <row r="7657" spans="107:197">
      <c r="DC7657"/>
      <c r="FH7657"/>
      <c r="FI7657"/>
      <c r="FJ7657"/>
      <c r="FK7657"/>
      <c r="FL7657"/>
      <c r="FM7657"/>
      <c r="FN7657"/>
      <c r="FO7657"/>
      <c r="FP7657"/>
      <c r="FQ7657"/>
      <c r="FR7657"/>
      <c r="FS7657"/>
      <c r="FT7657"/>
      <c r="FU7657"/>
      <c r="FV7657"/>
      <c r="FW7657"/>
      <c r="FX7657"/>
      <c r="FY7657"/>
      <c r="FZ7657"/>
      <c r="GA7657"/>
      <c r="GB7657"/>
      <c r="GC7657"/>
      <c r="GD7657"/>
      <c r="GE7657"/>
      <c r="GF7657"/>
      <c r="GG7657"/>
      <c r="GH7657"/>
      <c r="GI7657"/>
      <c r="GJ7657"/>
      <c r="GK7657"/>
      <c r="GL7657"/>
      <c r="GM7657"/>
      <c r="GN7657"/>
      <c r="GO7657"/>
    </row>
    <row r="7658" spans="107:197">
      <c r="DC7658"/>
      <c r="FH7658"/>
      <c r="FI7658"/>
      <c r="FJ7658"/>
      <c r="FK7658"/>
      <c r="FL7658"/>
      <c r="FM7658"/>
      <c r="FN7658"/>
      <c r="FO7658"/>
      <c r="FP7658"/>
      <c r="FQ7658"/>
      <c r="FR7658"/>
      <c r="FS7658"/>
      <c r="FT7658"/>
      <c r="FU7658"/>
      <c r="FV7658"/>
      <c r="FW7658"/>
      <c r="FX7658"/>
      <c r="FY7658"/>
      <c r="FZ7658"/>
      <c r="GA7658"/>
      <c r="GB7658"/>
      <c r="GC7658"/>
      <c r="GD7658"/>
      <c r="GE7658"/>
      <c r="GF7658"/>
      <c r="GG7658"/>
      <c r="GH7658"/>
      <c r="GI7658"/>
      <c r="GJ7658"/>
      <c r="GK7658"/>
      <c r="GL7658"/>
      <c r="GM7658"/>
      <c r="GN7658"/>
      <c r="GO7658"/>
    </row>
    <row r="7659" spans="107:197">
      <c r="DC7659"/>
      <c r="FH7659"/>
      <c r="FI7659"/>
      <c r="FJ7659"/>
      <c r="FK7659"/>
      <c r="FL7659"/>
      <c r="FM7659"/>
      <c r="FN7659"/>
      <c r="FO7659"/>
      <c r="FP7659"/>
      <c r="FQ7659"/>
      <c r="FR7659"/>
      <c r="FS7659"/>
      <c r="FT7659"/>
      <c r="FU7659"/>
      <c r="FV7659"/>
      <c r="FW7659"/>
      <c r="FX7659"/>
      <c r="FY7659"/>
      <c r="FZ7659"/>
      <c r="GA7659"/>
      <c r="GB7659"/>
      <c r="GC7659"/>
      <c r="GD7659"/>
      <c r="GE7659"/>
      <c r="GF7659"/>
      <c r="GG7659"/>
      <c r="GH7659"/>
      <c r="GI7659"/>
      <c r="GJ7659"/>
      <c r="GK7659"/>
      <c r="GL7659"/>
      <c r="GM7659"/>
      <c r="GN7659"/>
      <c r="GO7659"/>
    </row>
    <row r="7660" spans="107:197">
      <c r="DC7660"/>
      <c r="FH7660"/>
      <c r="FI7660"/>
      <c r="FJ7660"/>
      <c r="FK7660"/>
      <c r="FL7660"/>
      <c r="FM7660"/>
      <c r="FN7660"/>
      <c r="FO7660"/>
      <c r="FP7660"/>
      <c r="FQ7660"/>
      <c r="FR7660"/>
      <c r="FS7660"/>
      <c r="FT7660"/>
      <c r="FU7660"/>
      <c r="FV7660"/>
      <c r="FW7660"/>
      <c r="FX7660"/>
      <c r="FY7660"/>
      <c r="FZ7660"/>
      <c r="GA7660"/>
      <c r="GB7660"/>
      <c r="GC7660"/>
      <c r="GD7660"/>
      <c r="GE7660"/>
      <c r="GF7660"/>
      <c r="GG7660"/>
      <c r="GH7660"/>
      <c r="GI7660"/>
      <c r="GJ7660"/>
      <c r="GK7660"/>
      <c r="GL7660"/>
      <c r="GM7660"/>
      <c r="GN7660"/>
      <c r="GO7660"/>
    </row>
    <row r="7661" spans="107:197">
      <c r="DC7661"/>
      <c r="FH7661"/>
      <c r="FI7661"/>
      <c r="FJ7661"/>
      <c r="FK7661"/>
      <c r="FL7661"/>
      <c r="FM7661"/>
      <c r="FN7661"/>
      <c r="FO7661"/>
      <c r="FP7661"/>
      <c r="FQ7661"/>
      <c r="FR7661"/>
      <c r="FS7661"/>
      <c r="FT7661"/>
      <c r="FU7661"/>
      <c r="FV7661"/>
      <c r="FW7661"/>
      <c r="FX7661"/>
      <c r="FY7661"/>
      <c r="FZ7661"/>
      <c r="GA7661"/>
      <c r="GB7661"/>
      <c r="GC7661"/>
      <c r="GD7661"/>
      <c r="GE7661"/>
      <c r="GF7661"/>
      <c r="GG7661"/>
      <c r="GH7661"/>
      <c r="GI7661"/>
      <c r="GJ7661"/>
      <c r="GK7661"/>
      <c r="GL7661"/>
      <c r="GM7661"/>
      <c r="GN7661"/>
      <c r="GO7661"/>
    </row>
    <row r="7662" spans="107:197">
      <c r="DC7662"/>
      <c r="FH7662"/>
      <c r="FI7662"/>
      <c r="FJ7662"/>
      <c r="FK7662"/>
      <c r="FL7662"/>
      <c r="FM7662"/>
      <c r="FN7662"/>
      <c r="FO7662"/>
      <c r="FP7662"/>
      <c r="FQ7662"/>
      <c r="FR7662"/>
      <c r="FS7662"/>
      <c r="FT7662"/>
      <c r="FU7662"/>
      <c r="FV7662"/>
      <c r="FW7662"/>
      <c r="FX7662"/>
      <c r="FY7662"/>
      <c r="FZ7662"/>
      <c r="GA7662"/>
      <c r="GB7662"/>
      <c r="GC7662"/>
      <c r="GD7662"/>
      <c r="GE7662"/>
      <c r="GF7662"/>
      <c r="GG7662"/>
      <c r="GH7662"/>
      <c r="GI7662"/>
      <c r="GJ7662"/>
      <c r="GK7662"/>
      <c r="GL7662"/>
      <c r="GM7662"/>
      <c r="GN7662"/>
      <c r="GO7662"/>
    </row>
    <row r="7663" spans="107:197">
      <c r="DC7663"/>
      <c r="FH7663"/>
      <c r="FI7663"/>
      <c r="FJ7663"/>
      <c r="FK7663"/>
      <c r="FL7663"/>
      <c r="FM7663"/>
      <c r="FN7663"/>
      <c r="FO7663"/>
      <c r="FP7663"/>
      <c r="FQ7663"/>
      <c r="FR7663"/>
      <c r="FS7663"/>
      <c r="FT7663"/>
      <c r="FU7663"/>
      <c r="FV7663"/>
      <c r="FW7663"/>
      <c r="FX7663"/>
      <c r="FY7663"/>
      <c r="FZ7663"/>
      <c r="GA7663"/>
      <c r="GB7663"/>
      <c r="GC7663"/>
      <c r="GD7663"/>
      <c r="GE7663"/>
      <c r="GF7663"/>
      <c r="GG7663"/>
      <c r="GH7663"/>
      <c r="GI7663"/>
      <c r="GJ7663"/>
      <c r="GK7663"/>
      <c r="GL7663"/>
      <c r="GM7663"/>
      <c r="GN7663"/>
      <c r="GO7663"/>
    </row>
    <row r="7664" spans="107:197">
      <c r="DC7664"/>
      <c r="FH7664"/>
      <c r="FI7664"/>
      <c r="FJ7664"/>
      <c r="FK7664"/>
      <c r="FL7664"/>
      <c r="FM7664"/>
      <c r="FN7664"/>
      <c r="FO7664"/>
      <c r="FP7664"/>
      <c r="FQ7664"/>
      <c r="FR7664"/>
      <c r="FS7664"/>
      <c r="FT7664"/>
      <c r="FU7664"/>
      <c r="FV7664"/>
      <c r="FW7664"/>
      <c r="FX7664"/>
      <c r="FY7664"/>
      <c r="FZ7664"/>
      <c r="GA7664"/>
      <c r="GB7664"/>
      <c r="GC7664"/>
      <c r="GD7664"/>
      <c r="GE7664"/>
      <c r="GF7664"/>
      <c r="GG7664"/>
      <c r="GH7664"/>
      <c r="GI7664"/>
      <c r="GJ7664"/>
      <c r="GK7664"/>
      <c r="GL7664"/>
      <c r="GM7664"/>
      <c r="GN7664"/>
      <c r="GO7664"/>
    </row>
    <row r="7665" spans="107:197">
      <c r="DC7665"/>
      <c r="FH7665"/>
      <c r="FI7665"/>
      <c r="FJ7665"/>
      <c r="FK7665"/>
      <c r="FL7665"/>
      <c r="FM7665"/>
      <c r="FN7665"/>
      <c r="FO7665"/>
      <c r="FP7665"/>
      <c r="FQ7665"/>
      <c r="FR7665"/>
      <c r="FS7665"/>
      <c r="FT7665"/>
      <c r="FU7665"/>
      <c r="FV7665"/>
      <c r="FW7665"/>
      <c r="FX7665"/>
      <c r="FY7665"/>
      <c r="FZ7665"/>
      <c r="GA7665"/>
      <c r="GB7665"/>
      <c r="GC7665"/>
      <c r="GD7665"/>
      <c r="GE7665"/>
      <c r="GF7665"/>
      <c r="GG7665"/>
      <c r="GH7665"/>
      <c r="GI7665"/>
      <c r="GJ7665"/>
      <c r="GK7665"/>
      <c r="GL7665"/>
      <c r="GM7665"/>
      <c r="GN7665"/>
      <c r="GO7665"/>
    </row>
    <row r="7666" spans="107:197">
      <c r="DC7666"/>
      <c r="FH7666"/>
      <c r="FI7666"/>
      <c r="FJ7666"/>
      <c r="FK7666"/>
      <c r="FL7666"/>
      <c r="FM7666"/>
      <c r="FN7666"/>
      <c r="FO7666"/>
      <c r="FP7666"/>
      <c r="FQ7666"/>
      <c r="FR7666"/>
      <c r="FS7666"/>
      <c r="FT7666"/>
      <c r="FU7666"/>
      <c r="FV7666"/>
      <c r="FW7666"/>
      <c r="FX7666"/>
      <c r="FY7666"/>
      <c r="FZ7666"/>
      <c r="GA7666"/>
      <c r="GB7666"/>
      <c r="GC7666"/>
      <c r="GD7666"/>
      <c r="GE7666"/>
      <c r="GF7666"/>
      <c r="GG7666"/>
      <c r="GH7666"/>
      <c r="GI7666"/>
      <c r="GJ7666"/>
      <c r="GK7666"/>
      <c r="GL7666"/>
      <c r="GM7666"/>
      <c r="GN7666"/>
      <c r="GO7666"/>
    </row>
    <row r="7667" spans="107:197">
      <c r="DC7667"/>
      <c r="FH7667"/>
      <c r="FI7667"/>
      <c r="FJ7667"/>
      <c r="FK7667"/>
      <c r="FL7667"/>
      <c r="FM7667"/>
      <c r="FN7667"/>
      <c r="FO7667"/>
      <c r="FP7667"/>
      <c r="FQ7667"/>
      <c r="FR7667"/>
      <c r="FS7667"/>
      <c r="FT7667"/>
      <c r="FU7667"/>
      <c r="FV7667"/>
      <c r="FW7667"/>
      <c r="FX7667"/>
      <c r="FY7667"/>
      <c r="FZ7667"/>
      <c r="GA7667"/>
      <c r="GB7667"/>
      <c r="GC7667"/>
      <c r="GD7667"/>
      <c r="GE7667"/>
      <c r="GF7667"/>
      <c r="GG7667"/>
      <c r="GH7667"/>
      <c r="GI7667"/>
      <c r="GJ7667"/>
      <c r="GK7667"/>
      <c r="GL7667"/>
      <c r="GM7667"/>
      <c r="GN7667"/>
      <c r="GO7667"/>
    </row>
    <row r="7668" spans="107:197">
      <c r="DC7668"/>
      <c r="FH7668"/>
      <c r="FI7668"/>
      <c r="FJ7668"/>
      <c r="FK7668"/>
      <c r="FL7668"/>
      <c r="FM7668"/>
      <c r="FN7668"/>
      <c r="FO7668"/>
      <c r="FP7668"/>
      <c r="FQ7668"/>
      <c r="FR7668"/>
      <c r="FS7668"/>
      <c r="FT7668"/>
      <c r="FU7668"/>
      <c r="FV7668"/>
      <c r="FW7668"/>
      <c r="FX7668"/>
      <c r="FY7668"/>
      <c r="FZ7668"/>
      <c r="GA7668"/>
      <c r="GB7668"/>
      <c r="GC7668"/>
      <c r="GD7668"/>
      <c r="GE7668"/>
      <c r="GF7668"/>
      <c r="GG7668"/>
      <c r="GH7668"/>
      <c r="GI7668"/>
      <c r="GJ7668"/>
      <c r="GK7668"/>
      <c r="GL7668"/>
      <c r="GM7668"/>
      <c r="GN7668"/>
      <c r="GO7668"/>
    </row>
    <row r="7669" spans="107:197">
      <c r="DC7669"/>
      <c r="FH7669"/>
      <c r="FI7669"/>
      <c r="FJ7669"/>
      <c r="FK7669"/>
      <c r="FL7669"/>
      <c r="FM7669"/>
      <c r="FN7669"/>
      <c r="FO7669"/>
      <c r="FP7669"/>
      <c r="FQ7669"/>
      <c r="FR7669"/>
      <c r="FS7669"/>
      <c r="FT7669"/>
      <c r="FU7669"/>
      <c r="FV7669"/>
      <c r="FW7669"/>
      <c r="FX7669"/>
      <c r="FY7669"/>
      <c r="FZ7669"/>
      <c r="GA7669"/>
      <c r="GB7669"/>
      <c r="GC7669"/>
      <c r="GD7669"/>
      <c r="GE7669"/>
      <c r="GF7669"/>
      <c r="GG7669"/>
      <c r="GH7669"/>
      <c r="GI7669"/>
      <c r="GJ7669"/>
      <c r="GK7669"/>
      <c r="GL7669"/>
      <c r="GM7669"/>
      <c r="GN7669"/>
      <c r="GO7669"/>
    </row>
    <row r="7670" spans="107:197">
      <c r="DC7670"/>
      <c r="FH7670"/>
      <c r="FI7670"/>
      <c r="FJ7670"/>
      <c r="FK7670"/>
      <c r="FL7670"/>
      <c r="FM7670"/>
      <c r="FN7670"/>
      <c r="FO7670"/>
      <c r="FP7670"/>
      <c r="FQ7670"/>
      <c r="FR7670"/>
      <c r="FS7670"/>
      <c r="FT7670"/>
      <c r="FU7670"/>
      <c r="FV7670"/>
      <c r="FW7670"/>
      <c r="FX7670"/>
      <c r="FY7670"/>
      <c r="FZ7670"/>
      <c r="GA7670"/>
      <c r="GB7670"/>
      <c r="GC7670"/>
      <c r="GD7670"/>
      <c r="GE7670"/>
      <c r="GF7670"/>
      <c r="GG7670"/>
      <c r="GH7670"/>
      <c r="GI7670"/>
      <c r="GJ7670"/>
      <c r="GK7670"/>
      <c r="GL7670"/>
      <c r="GM7670"/>
      <c r="GN7670"/>
      <c r="GO7670"/>
    </row>
    <row r="7671" spans="107:197">
      <c r="DC7671"/>
      <c r="FH7671"/>
      <c r="FI7671"/>
      <c r="FJ7671"/>
      <c r="FK7671"/>
      <c r="FL7671"/>
      <c r="FM7671"/>
      <c r="FN7671"/>
      <c r="FO7671"/>
      <c r="FP7671"/>
      <c r="FQ7671"/>
      <c r="FR7671"/>
      <c r="FS7671"/>
      <c r="FT7671"/>
      <c r="FU7671"/>
      <c r="FV7671"/>
      <c r="FW7671"/>
      <c r="FX7671"/>
      <c r="FY7671"/>
      <c r="FZ7671"/>
      <c r="GA7671"/>
      <c r="GB7671"/>
      <c r="GC7671"/>
      <c r="GD7671"/>
      <c r="GE7671"/>
      <c r="GF7671"/>
      <c r="GG7671"/>
      <c r="GH7671"/>
      <c r="GI7671"/>
      <c r="GJ7671"/>
      <c r="GK7671"/>
      <c r="GL7671"/>
      <c r="GM7671"/>
      <c r="GN7671"/>
      <c r="GO7671"/>
    </row>
    <row r="7672" spans="107:197">
      <c r="DC7672"/>
      <c r="FH7672"/>
      <c r="FI7672"/>
      <c r="FJ7672"/>
      <c r="FK7672"/>
      <c r="FL7672"/>
      <c r="FM7672"/>
      <c r="FN7672"/>
      <c r="FO7672"/>
      <c r="FP7672"/>
      <c r="FQ7672"/>
      <c r="FR7672"/>
      <c r="FS7672"/>
      <c r="FT7672"/>
      <c r="FU7672"/>
      <c r="FV7672"/>
      <c r="FW7672"/>
      <c r="FX7672"/>
      <c r="FY7672"/>
      <c r="FZ7672"/>
      <c r="GA7672"/>
      <c r="GB7672"/>
      <c r="GC7672"/>
      <c r="GD7672"/>
      <c r="GE7672"/>
      <c r="GF7672"/>
      <c r="GG7672"/>
      <c r="GH7672"/>
      <c r="GI7672"/>
      <c r="GJ7672"/>
      <c r="GK7672"/>
      <c r="GL7672"/>
      <c r="GM7672"/>
      <c r="GN7672"/>
      <c r="GO7672"/>
    </row>
    <row r="7673" spans="107:197">
      <c r="DC7673"/>
      <c r="FH7673"/>
      <c r="FI7673"/>
      <c r="FJ7673"/>
      <c r="FK7673"/>
      <c r="FL7673"/>
      <c r="FM7673"/>
      <c r="FN7673"/>
      <c r="FO7673"/>
      <c r="FP7673"/>
      <c r="FQ7673"/>
      <c r="FR7673"/>
      <c r="FS7673"/>
      <c r="FT7673"/>
      <c r="FU7673"/>
      <c r="FV7673"/>
      <c r="FW7673"/>
      <c r="FX7673"/>
      <c r="FY7673"/>
      <c r="FZ7673"/>
      <c r="GA7673"/>
      <c r="GB7673"/>
      <c r="GC7673"/>
      <c r="GD7673"/>
      <c r="GE7673"/>
      <c r="GF7673"/>
      <c r="GG7673"/>
      <c r="GH7673"/>
      <c r="GI7673"/>
      <c r="GJ7673"/>
      <c r="GK7673"/>
      <c r="GL7673"/>
      <c r="GM7673"/>
      <c r="GN7673"/>
      <c r="GO7673"/>
    </row>
    <row r="7674" spans="107:197">
      <c r="DC7674"/>
      <c r="FH7674"/>
      <c r="FI7674"/>
      <c r="FJ7674"/>
      <c r="FK7674"/>
      <c r="FL7674"/>
      <c r="FM7674"/>
      <c r="FN7674"/>
      <c r="FO7674"/>
      <c r="FP7674"/>
      <c r="FQ7674"/>
      <c r="FR7674"/>
      <c r="FS7674"/>
      <c r="FT7674"/>
      <c r="FU7674"/>
      <c r="FV7674"/>
      <c r="FW7674"/>
      <c r="FX7674"/>
      <c r="FY7674"/>
      <c r="FZ7674"/>
      <c r="GA7674"/>
      <c r="GB7674"/>
      <c r="GC7674"/>
      <c r="GD7674"/>
      <c r="GE7674"/>
      <c r="GF7674"/>
      <c r="GG7674"/>
      <c r="GH7674"/>
      <c r="GI7674"/>
      <c r="GJ7674"/>
      <c r="GK7674"/>
      <c r="GL7674"/>
      <c r="GM7674"/>
      <c r="GN7674"/>
      <c r="GO7674"/>
    </row>
    <row r="7675" spans="107:197">
      <c r="DC7675"/>
      <c r="FH7675"/>
      <c r="FI7675"/>
      <c r="FJ7675"/>
      <c r="FK7675"/>
      <c r="FL7675"/>
      <c r="FM7675"/>
      <c r="FN7675"/>
      <c r="FO7675"/>
      <c r="FP7675"/>
      <c r="FQ7675"/>
      <c r="FR7675"/>
      <c r="FS7675"/>
      <c r="FT7675"/>
      <c r="FU7675"/>
      <c r="FV7675"/>
      <c r="FW7675"/>
      <c r="FX7675"/>
      <c r="FY7675"/>
      <c r="FZ7675"/>
      <c r="GA7675"/>
      <c r="GB7675"/>
      <c r="GC7675"/>
      <c r="GD7675"/>
      <c r="GE7675"/>
      <c r="GF7675"/>
      <c r="GG7675"/>
      <c r="GH7675"/>
      <c r="GI7675"/>
      <c r="GJ7675"/>
      <c r="GK7675"/>
      <c r="GL7675"/>
      <c r="GM7675"/>
      <c r="GN7675"/>
      <c r="GO7675"/>
    </row>
    <row r="7676" spans="107:197">
      <c r="DC7676"/>
      <c r="FH7676"/>
      <c r="FI7676"/>
      <c r="FJ7676"/>
      <c r="FK7676"/>
      <c r="FL7676"/>
      <c r="FM7676"/>
      <c r="FN7676"/>
      <c r="FO7676"/>
      <c r="FP7676"/>
      <c r="FQ7676"/>
      <c r="FR7676"/>
      <c r="FS7676"/>
      <c r="FT7676"/>
      <c r="FU7676"/>
      <c r="FV7676"/>
      <c r="FW7676"/>
      <c r="FX7676"/>
      <c r="FY7676"/>
      <c r="FZ7676"/>
      <c r="GA7676"/>
      <c r="GB7676"/>
      <c r="GC7676"/>
      <c r="GD7676"/>
      <c r="GE7676"/>
      <c r="GF7676"/>
      <c r="GG7676"/>
      <c r="GH7676"/>
      <c r="GI7676"/>
      <c r="GJ7676"/>
      <c r="GK7676"/>
      <c r="GL7676"/>
      <c r="GM7676"/>
      <c r="GN7676"/>
      <c r="GO7676"/>
    </row>
    <row r="7677" spans="107:197">
      <c r="DC7677"/>
      <c r="FH7677"/>
      <c r="FI7677"/>
      <c r="FJ7677"/>
      <c r="FK7677"/>
      <c r="FL7677"/>
      <c r="FM7677"/>
      <c r="FN7677"/>
      <c r="FO7677"/>
      <c r="FP7677"/>
      <c r="FQ7677"/>
      <c r="FR7677"/>
      <c r="FS7677"/>
      <c r="FT7677"/>
      <c r="FU7677"/>
      <c r="FV7677"/>
      <c r="FW7677"/>
      <c r="FX7677"/>
      <c r="FY7677"/>
      <c r="FZ7677"/>
      <c r="GA7677"/>
      <c r="GB7677"/>
      <c r="GC7677"/>
      <c r="GD7677"/>
      <c r="GE7677"/>
      <c r="GF7677"/>
      <c r="GG7677"/>
      <c r="GH7677"/>
      <c r="GI7677"/>
      <c r="GJ7677"/>
      <c r="GK7677"/>
      <c r="GL7677"/>
      <c r="GM7677"/>
      <c r="GN7677"/>
      <c r="GO7677"/>
    </row>
    <row r="7678" spans="107:197">
      <c r="DC7678"/>
      <c r="FH7678"/>
      <c r="FI7678"/>
      <c r="FJ7678"/>
      <c r="FK7678"/>
      <c r="FL7678"/>
      <c r="FM7678"/>
      <c r="FN7678"/>
      <c r="FO7678"/>
      <c r="FP7678"/>
      <c r="FQ7678"/>
      <c r="FR7678"/>
      <c r="FS7678"/>
      <c r="FT7678"/>
      <c r="FU7678"/>
      <c r="FV7678"/>
      <c r="FW7678"/>
      <c r="FX7678"/>
      <c r="FY7678"/>
      <c r="FZ7678"/>
      <c r="GA7678"/>
      <c r="GB7678"/>
      <c r="GC7678"/>
      <c r="GD7678"/>
      <c r="GE7678"/>
      <c r="GF7678"/>
      <c r="GG7678"/>
      <c r="GH7678"/>
      <c r="GI7678"/>
      <c r="GJ7678"/>
      <c r="GK7678"/>
      <c r="GL7678"/>
      <c r="GM7678"/>
      <c r="GN7678"/>
      <c r="GO7678"/>
    </row>
    <row r="7679" spans="107:197">
      <c r="DC7679"/>
      <c r="FH7679"/>
      <c r="FI7679"/>
      <c r="FJ7679"/>
      <c r="FK7679"/>
      <c r="FL7679"/>
      <c r="FM7679"/>
      <c r="FN7679"/>
      <c r="FO7679"/>
      <c r="FP7679"/>
      <c r="FQ7679"/>
      <c r="FR7679"/>
      <c r="FS7679"/>
      <c r="FT7679"/>
      <c r="FU7679"/>
      <c r="FV7679"/>
      <c r="FW7679"/>
      <c r="FX7679"/>
      <c r="FY7679"/>
      <c r="FZ7679"/>
      <c r="GA7679"/>
      <c r="GB7679"/>
      <c r="GC7679"/>
      <c r="GD7679"/>
      <c r="GE7679"/>
      <c r="GF7679"/>
      <c r="GG7679"/>
      <c r="GH7679"/>
      <c r="GI7679"/>
      <c r="GJ7679"/>
      <c r="GK7679"/>
      <c r="GL7679"/>
      <c r="GM7679"/>
      <c r="GN7679"/>
      <c r="GO7679"/>
    </row>
    <row r="7680" spans="107:197">
      <c r="DC7680"/>
      <c r="FH7680"/>
      <c r="FI7680"/>
      <c r="FJ7680"/>
      <c r="FK7680"/>
      <c r="FL7680"/>
      <c r="FM7680"/>
      <c r="FN7680"/>
      <c r="FO7680"/>
      <c r="FP7680"/>
      <c r="FQ7680"/>
      <c r="FR7680"/>
      <c r="FS7680"/>
      <c r="FT7680"/>
      <c r="FU7680"/>
      <c r="FV7680"/>
      <c r="FW7680"/>
      <c r="FX7680"/>
      <c r="FY7680"/>
      <c r="FZ7680"/>
      <c r="GA7680"/>
      <c r="GB7680"/>
      <c r="GC7680"/>
      <c r="GD7680"/>
      <c r="GE7680"/>
      <c r="GF7680"/>
      <c r="GG7680"/>
      <c r="GH7680"/>
      <c r="GI7680"/>
      <c r="GJ7680"/>
      <c r="GK7680"/>
      <c r="GL7680"/>
      <c r="GM7680"/>
      <c r="GN7680"/>
      <c r="GO7680"/>
    </row>
    <row r="7681" spans="107:197">
      <c r="DC7681"/>
      <c r="FH7681"/>
      <c r="FI7681"/>
      <c r="FJ7681"/>
      <c r="FK7681"/>
      <c r="FL7681"/>
      <c r="FM7681"/>
      <c r="FN7681"/>
      <c r="FO7681"/>
      <c r="FP7681"/>
      <c r="FQ7681"/>
      <c r="FR7681"/>
      <c r="FS7681"/>
      <c r="FT7681"/>
      <c r="FU7681"/>
      <c r="FV7681"/>
      <c r="FW7681"/>
      <c r="FX7681"/>
      <c r="FY7681"/>
      <c r="FZ7681"/>
      <c r="GA7681"/>
      <c r="GB7681"/>
      <c r="GC7681"/>
      <c r="GD7681"/>
      <c r="GE7681"/>
      <c r="GF7681"/>
      <c r="GG7681"/>
      <c r="GH7681"/>
      <c r="GI7681"/>
      <c r="GJ7681"/>
      <c r="GK7681"/>
      <c r="GL7681"/>
      <c r="GM7681"/>
      <c r="GN7681"/>
      <c r="GO7681"/>
    </row>
    <row r="7682" spans="107:197">
      <c r="DC7682"/>
      <c r="FH7682"/>
      <c r="FI7682"/>
      <c r="FJ7682"/>
      <c r="FK7682"/>
      <c r="FL7682"/>
      <c r="FM7682"/>
      <c r="FN7682"/>
      <c r="FO7682"/>
      <c r="FP7682"/>
      <c r="FQ7682"/>
      <c r="FR7682"/>
      <c r="FS7682"/>
      <c r="FT7682"/>
      <c r="FU7682"/>
      <c r="FV7682"/>
      <c r="FW7682"/>
      <c r="FX7682"/>
      <c r="FY7682"/>
      <c r="FZ7682"/>
      <c r="GA7682"/>
      <c r="GB7682"/>
      <c r="GC7682"/>
      <c r="GD7682"/>
      <c r="GE7682"/>
      <c r="GF7682"/>
      <c r="GG7682"/>
      <c r="GH7682"/>
      <c r="GI7682"/>
      <c r="GJ7682"/>
      <c r="GK7682"/>
      <c r="GL7682"/>
      <c r="GM7682"/>
      <c r="GN7682"/>
      <c r="GO7682"/>
    </row>
    <row r="7683" spans="107:197">
      <c r="DC7683"/>
      <c r="FH7683"/>
      <c r="FI7683"/>
      <c r="FJ7683"/>
      <c r="FK7683"/>
      <c r="FL7683"/>
      <c r="FM7683"/>
      <c r="FN7683"/>
      <c r="FO7683"/>
      <c r="FP7683"/>
      <c r="FQ7683"/>
      <c r="FR7683"/>
      <c r="FS7683"/>
      <c r="FT7683"/>
      <c r="FU7683"/>
      <c r="FV7683"/>
      <c r="FW7683"/>
      <c r="FX7683"/>
      <c r="FY7683"/>
      <c r="FZ7683"/>
      <c r="GA7683"/>
      <c r="GB7683"/>
      <c r="GC7683"/>
      <c r="GD7683"/>
      <c r="GE7683"/>
      <c r="GF7683"/>
      <c r="GG7683"/>
      <c r="GH7683"/>
      <c r="GI7683"/>
      <c r="GJ7683"/>
      <c r="GK7683"/>
      <c r="GL7683"/>
      <c r="GM7683"/>
      <c r="GN7683"/>
      <c r="GO7683"/>
    </row>
    <row r="7684" spans="107:197">
      <c r="DC7684"/>
      <c r="FH7684"/>
      <c r="FI7684"/>
      <c r="FJ7684"/>
      <c r="FK7684"/>
      <c r="FL7684"/>
      <c r="FM7684"/>
      <c r="FN7684"/>
      <c r="FO7684"/>
      <c r="FP7684"/>
      <c r="FQ7684"/>
      <c r="FR7684"/>
      <c r="FS7684"/>
      <c r="FT7684"/>
      <c r="FU7684"/>
      <c r="FV7684"/>
      <c r="FW7684"/>
      <c r="FX7684"/>
      <c r="FY7684"/>
      <c r="FZ7684"/>
      <c r="GA7684"/>
      <c r="GB7684"/>
      <c r="GC7684"/>
      <c r="GD7684"/>
      <c r="GE7684"/>
      <c r="GF7684"/>
      <c r="GG7684"/>
      <c r="GH7684"/>
      <c r="GI7684"/>
      <c r="GJ7684"/>
      <c r="GK7684"/>
      <c r="GL7684"/>
      <c r="GM7684"/>
      <c r="GN7684"/>
      <c r="GO7684"/>
    </row>
    <row r="7685" spans="107:197">
      <c r="DC7685"/>
      <c r="FH7685"/>
      <c r="FI7685"/>
      <c r="FJ7685"/>
      <c r="FK7685"/>
      <c r="FL7685"/>
      <c r="FM7685"/>
      <c r="FN7685"/>
      <c r="FO7685"/>
      <c r="FP7685"/>
      <c r="FQ7685"/>
      <c r="FR7685"/>
      <c r="FS7685"/>
      <c r="FT7685"/>
      <c r="FU7685"/>
      <c r="FV7685"/>
      <c r="FW7685"/>
      <c r="FX7685"/>
      <c r="FY7685"/>
      <c r="FZ7685"/>
      <c r="GA7685"/>
      <c r="GB7685"/>
      <c r="GC7685"/>
      <c r="GD7685"/>
      <c r="GE7685"/>
      <c r="GF7685"/>
      <c r="GG7685"/>
      <c r="GH7685"/>
      <c r="GI7685"/>
      <c r="GJ7685"/>
      <c r="GK7685"/>
      <c r="GL7685"/>
      <c r="GM7685"/>
      <c r="GN7685"/>
      <c r="GO7685"/>
    </row>
    <row r="7686" spans="107:197">
      <c r="DC7686"/>
      <c r="FH7686"/>
      <c r="FI7686"/>
      <c r="FJ7686"/>
      <c r="FK7686"/>
      <c r="FL7686"/>
      <c r="FM7686"/>
      <c r="FN7686"/>
      <c r="FO7686"/>
      <c r="FP7686"/>
      <c r="FQ7686"/>
      <c r="FR7686"/>
      <c r="FS7686"/>
      <c r="FT7686"/>
      <c r="FU7686"/>
      <c r="FV7686"/>
      <c r="FW7686"/>
      <c r="FX7686"/>
      <c r="FY7686"/>
      <c r="FZ7686"/>
      <c r="GA7686"/>
      <c r="GB7686"/>
      <c r="GC7686"/>
      <c r="GD7686"/>
      <c r="GE7686"/>
      <c r="GF7686"/>
      <c r="GG7686"/>
      <c r="GH7686"/>
      <c r="GI7686"/>
      <c r="GJ7686"/>
      <c r="GK7686"/>
      <c r="GL7686"/>
      <c r="GM7686"/>
      <c r="GN7686"/>
      <c r="GO7686"/>
    </row>
    <row r="7687" spans="107:197">
      <c r="DC7687"/>
      <c r="FH7687"/>
      <c r="FI7687"/>
      <c r="FJ7687"/>
      <c r="FK7687"/>
      <c r="FL7687"/>
      <c r="FM7687"/>
      <c r="FN7687"/>
      <c r="FO7687"/>
      <c r="FP7687"/>
      <c r="FQ7687"/>
      <c r="FR7687"/>
      <c r="FS7687"/>
      <c r="FT7687"/>
      <c r="FU7687"/>
      <c r="FV7687"/>
      <c r="FW7687"/>
      <c r="FX7687"/>
      <c r="FY7687"/>
      <c r="FZ7687"/>
      <c r="GA7687"/>
      <c r="GB7687"/>
      <c r="GC7687"/>
      <c r="GD7687"/>
      <c r="GE7687"/>
      <c r="GF7687"/>
      <c r="GG7687"/>
      <c r="GH7687"/>
      <c r="GI7687"/>
      <c r="GJ7687"/>
      <c r="GK7687"/>
      <c r="GL7687"/>
      <c r="GM7687"/>
      <c r="GN7687"/>
      <c r="GO7687"/>
    </row>
    <row r="7688" spans="107:197">
      <c r="DC7688"/>
      <c r="FH7688"/>
      <c r="FI7688"/>
      <c r="FJ7688"/>
      <c r="FK7688"/>
      <c r="FL7688"/>
      <c r="FM7688"/>
      <c r="FN7688"/>
      <c r="FO7688"/>
      <c r="FP7688"/>
      <c r="FQ7688"/>
      <c r="FR7688"/>
      <c r="FS7688"/>
      <c r="FT7688"/>
      <c r="FU7688"/>
      <c r="FV7688"/>
      <c r="FW7688"/>
      <c r="FX7688"/>
      <c r="FY7688"/>
      <c r="FZ7688"/>
      <c r="GA7688"/>
      <c r="GB7688"/>
      <c r="GC7688"/>
      <c r="GD7688"/>
      <c r="GE7688"/>
      <c r="GF7688"/>
      <c r="GG7688"/>
      <c r="GH7688"/>
      <c r="GI7688"/>
      <c r="GJ7688"/>
      <c r="GK7688"/>
      <c r="GL7688"/>
      <c r="GM7688"/>
      <c r="GN7688"/>
      <c r="GO7688"/>
    </row>
    <row r="7689" spans="107:197">
      <c r="DC7689"/>
      <c r="FH7689"/>
      <c r="FI7689"/>
      <c r="FJ7689"/>
      <c r="FK7689"/>
      <c r="FL7689"/>
      <c r="FM7689"/>
      <c r="FN7689"/>
      <c r="FO7689"/>
      <c r="FP7689"/>
      <c r="FQ7689"/>
      <c r="FR7689"/>
      <c r="FS7689"/>
      <c r="FT7689"/>
      <c r="FU7689"/>
      <c r="FV7689"/>
      <c r="FW7689"/>
      <c r="FX7689"/>
      <c r="FY7689"/>
      <c r="FZ7689"/>
      <c r="GA7689"/>
      <c r="GB7689"/>
      <c r="GC7689"/>
      <c r="GD7689"/>
      <c r="GE7689"/>
      <c r="GF7689"/>
      <c r="GG7689"/>
      <c r="GH7689"/>
      <c r="GI7689"/>
      <c r="GJ7689"/>
      <c r="GK7689"/>
      <c r="GL7689"/>
      <c r="GM7689"/>
      <c r="GN7689"/>
      <c r="GO7689"/>
    </row>
    <row r="7690" spans="107:197">
      <c r="DC7690"/>
      <c r="FH7690"/>
      <c r="FI7690"/>
      <c r="FJ7690"/>
      <c r="FK7690"/>
      <c r="FL7690"/>
      <c r="FM7690"/>
      <c r="FN7690"/>
      <c r="FO7690"/>
      <c r="FP7690"/>
      <c r="FQ7690"/>
      <c r="FR7690"/>
      <c r="FS7690"/>
      <c r="FT7690"/>
      <c r="FU7690"/>
      <c r="FV7690"/>
      <c r="FW7690"/>
      <c r="FX7690"/>
      <c r="FY7690"/>
      <c r="FZ7690"/>
      <c r="GA7690"/>
      <c r="GB7690"/>
      <c r="GC7690"/>
      <c r="GD7690"/>
      <c r="GE7690"/>
      <c r="GF7690"/>
      <c r="GG7690"/>
      <c r="GH7690"/>
      <c r="GI7690"/>
      <c r="GJ7690"/>
      <c r="GK7690"/>
      <c r="GL7690"/>
      <c r="GM7690"/>
      <c r="GN7690"/>
      <c r="GO7690"/>
    </row>
    <row r="7691" spans="107:197">
      <c r="DC7691"/>
      <c r="FH7691"/>
      <c r="FI7691"/>
      <c r="FJ7691"/>
      <c r="FK7691"/>
      <c r="FL7691"/>
      <c r="FM7691"/>
      <c r="FN7691"/>
      <c r="FO7691"/>
      <c r="FP7691"/>
      <c r="FQ7691"/>
      <c r="FR7691"/>
      <c r="FS7691"/>
      <c r="FT7691"/>
      <c r="FU7691"/>
      <c r="FV7691"/>
      <c r="FW7691"/>
      <c r="FX7691"/>
      <c r="FY7691"/>
      <c r="FZ7691"/>
      <c r="GA7691"/>
      <c r="GB7691"/>
      <c r="GC7691"/>
      <c r="GD7691"/>
      <c r="GE7691"/>
      <c r="GF7691"/>
      <c r="GG7691"/>
      <c r="GH7691"/>
      <c r="GI7691"/>
      <c r="GJ7691"/>
      <c r="GK7691"/>
      <c r="GL7691"/>
      <c r="GM7691"/>
      <c r="GN7691"/>
      <c r="GO7691"/>
    </row>
    <row r="7692" spans="107:197">
      <c r="DC7692"/>
      <c r="FH7692"/>
      <c r="FI7692"/>
      <c r="FJ7692"/>
      <c r="FK7692"/>
      <c r="FL7692"/>
      <c r="FM7692"/>
      <c r="FN7692"/>
      <c r="FO7692"/>
      <c r="FP7692"/>
      <c r="FQ7692"/>
      <c r="FR7692"/>
      <c r="FS7692"/>
      <c r="FT7692"/>
      <c r="FU7692"/>
      <c r="FV7692"/>
      <c r="FW7692"/>
      <c r="FX7692"/>
      <c r="FY7692"/>
      <c r="FZ7692"/>
      <c r="GA7692"/>
      <c r="GB7692"/>
      <c r="GC7692"/>
      <c r="GD7692"/>
      <c r="GE7692"/>
      <c r="GF7692"/>
      <c r="GG7692"/>
      <c r="GH7692"/>
      <c r="GI7692"/>
      <c r="GJ7692"/>
      <c r="GK7692"/>
      <c r="GL7692"/>
      <c r="GM7692"/>
      <c r="GN7692"/>
      <c r="GO7692"/>
    </row>
    <row r="7693" spans="107:197">
      <c r="DC7693"/>
      <c r="FH7693"/>
      <c r="FI7693"/>
      <c r="FJ7693"/>
      <c r="FK7693"/>
      <c r="FL7693"/>
      <c r="FM7693"/>
      <c r="FN7693"/>
      <c r="FO7693"/>
      <c r="FP7693"/>
      <c r="FQ7693"/>
      <c r="FR7693"/>
      <c r="FS7693"/>
      <c r="FT7693"/>
      <c r="FU7693"/>
      <c r="FV7693"/>
      <c r="FW7693"/>
      <c r="FX7693"/>
      <c r="FY7693"/>
      <c r="FZ7693"/>
      <c r="GA7693"/>
      <c r="GB7693"/>
      <c r="GC7693"/>
      <c r="GD7693"/>
      <c r="GE7693"/>
      <c r="GF7693"/>
      <c r="GG7693"/>
      <c r="GH7693"/>
      <c r="GI7693"/>
      <c r="GJ7693"/>
      <c r="GK7693"/>
      <c r="GL7693"/>
      <c r="GM7693"/>
      <c r="GN7693"/>
      <c r="GO7693"/>
    </row>
    <row r="7694" spans="107:197">
      <c r="DC7694"/>
      <c r="FH7694"/>
      <c r="FI7694"/>
      <c r="FJ7694"/>
      <c r="FK7694"/>
      <c r="FL7694"/>
      <c r="FM7694"/>
      <c r="FN7694"/>
      <c r="FO7694"/>
      <c r="FP7694"/>
      <c r="FQ7694"/>
      <c r="FR7694"/>
      <c r="FS7694"/>
      <c r="FT7694"/>
      <c r="FU7694"/>
      <c r="FV7694"/>
      <c r="FW7694"/>
      <c r="FX7694"/>
      <c r="FY7694"/>
      <c r="FZ7694"/>
      <c r="GA7694"/>
      <c r="GB7694"/>
      <c r="GC7694"/>
      <c r="GD7694"/>
      <c r="GE7694"/>
      <c r="GF7694"/>
      <c r="GG7694"/>
      <c r="GH7694"/>
      <c r="GI7694"/>
      <c r="GJ7694"/>
      <c r="GK7694"/>
      <c r="GL7694"/>
      <c r="GM7694"/>
      <c r="GN7694"/>
      <c r="GO7694"/>
    </row>
    <row r="7695" spans="107:197">
      <c r="DC7695"/>
      <c r="FH7695"/>
      <c r="FI7695"/>
      <c r="FJ7695"/>
      <c r="FK7695"/>
      <c r="FL7695"/>
      <c r="FM7695"/>
      <c r="FN7695"/>
      <c r="FO7695"/>
      <c r="FP7695"/>
      <c r="FQ7695"/>
      <c r="FR7695"/>
      <c r="FS7695"/>
      <c r="FT7695"/>
      <c r="FU7695"/>
      <c r="FV7695"/>
      <c r="FW7695"/>
      <c r="FX7695"/>
      <c r="FY7695"/>
      <c r="FZ7695"/>
      <c r="GA7695"/>
      <c r="GB7695"/>
      <c r="GC7695"/>
      <c r="GD7695"/>
      <c r="GE7695"/>
      <c r="GF7695"/>
      <c r="GG7695"/>
      <c r="GH7695"/>
      <c r="GI7695"/>
      <c r="GJ7695"/>
      <c r="GK7695"/>
      <c r="GL7695"/>
      <c r="GM7695"/>
      <c r="GN7695"/>
      <c r="GO7695"/>
    </row>
    <row r="7696" spans="107:197">
      <c r="DC7696"/>
      <c r="FH7696"/>
      <c r="FI7696"/>
      <c r="FJ7696"/>
      <c r="FK7696"/>
      <c r="FL7696"/>
      <c r="FM7696"/>
      <c r="FN7696"/>
      <c r="FO7696"/>
      <c r="FP7696"/>
      <c r="FQ7696"/>
      <c r="FR7696"/>
      <c r="FS7696"/>
      <c r="FT7696"/>
      <c r="FU7696"/>
      <c r="FV7696"/>
      <c r="FW7696"/>
      <c r="FX7696"/>
      <c r="FY7696"/>
      <c r="FZ7696"/>
      <c r="GA7696"/>
      <c r="GB7696"/>
      <c r="GC7696"/>
      <c r="GD7696"/>
      <c r="GE7696"/>
      <c r="GF7696"/>
      <c r="GG7696"/>
      <c r="GH7696"/>
      <c r="GI7696"/>
      <c r="GJ7696"/>
      <c r="GK7696"/>
      <c r="GL7696"/>
      <c r="GM7696"/>
      <c r="GN7696"/>
      <c r="GO7696"/>
    </row>
    <row r="7697" spans="107:197">
      <c r="DC7697"/>
      <c r="FH7697"/>
      <c r="FI7697"/>
      <c r="FJ7697"/>
      <c r="FK7697"/>
      <c r="FL7697"/>
      <c r="FM7697"/>
      <c r="FN7697"/>
      <c r="FO7697"/>
      <c r="FP7697"/>
      <c r="FQ7697"/>
      <c r="FR7697"/>
      <c r="FS7697"/>
      <c r="FT7697"/>
      <c r="FU7697"/>
      <c r="FV7697"/>
      <c r="FW7697"/>
      <c r="FX7697"/>
      <c r="FY7697"/>
      <c r="FZ7697"/>
      <c r="GA7697"/>
      <c r="GB7697"/>
      <c r="GC7697"/>
      <c r="GD7697"/>
      <c r="GE7697"/>
      <c r="GF7697"/>
      <c r="GG7697"/>
      <c r="GH7697"/>
      <c r="GI7697"/>
      <c r="GJ7697"/>
      <c r="GK7697"/>
      <c r="GL7697"/>
      <c r="GM7697"/>
      <c r="GN7697"/>
      <c r="GO7697"/>
    </row>
    <row r="7698" spans="107:197">
      <c r="DC7698"/>
      <c r="FH7698"/>
      <c r="FI7698"/>
      <c r="FJ7698"/>
      <c r="FK7698"/>
      <c r="FL7698"/>
      <c r="FM7698"/>
      <c r="FN7698"/>
      <c r="FO7698"/>
      <c r="FP7698"/>
      <c r="FQ7698"/>
      <c r="FR7698"/>
      <c r="FS7698"/>
      <c r="FT7698"/>
      <c r="FU7698"/>
      <c r="FV7698"/>
      <c r="FW7698"/>
      <c r="FX7698"/>
      <c r="FY7698"/>
      <c r="FZ7698"/>
      <c r="GA7698"/>
      <c r="GB7698"/>
      <c r="GC7698"/>
      <c r="GD7698"/>
      <c r="GE7698"/>
      <c r="GF7698"/>
      <c r="GG7698"/>
      <c r="GH7698"/>
      <c r="GI7698"/>
      <c r="GJ7698"/>
      <c r="GK7698"/>
      <c r="GL7698"/>
      <c r="GM7698"/>
      <c r="GN7698"/>
      <c r="GO7698"/>
    </row>
    <row r="7699" spans="107:197">
      <c r="DC7699"/>
      <c r="FH7699"/>
      <c r="FI7699"/>
      <c r="FJ7699"/>
      <c r="FK7699"/>
      <c r="FL7699"/>
      <c r="FM7699"/>
      <c r="FN7699"/>
      <c r="FO7699"/>
      <c r="FP7699"/>
      <c r="FQ7699"/>
      <c r="FR7699"/>
      <c r="FS7699"/>
      <c r="FT7699"/>
      <c r="FU7699"/>
      <c r="FV7699"/>
      <c r="FW7699"/>
      <c r="FX7699"/>
      <c r="FY7699"/>
      <c r="FZ7699"/>
      <c r="GA7699"/>
      <c r="GB7699"/>
      <c r="GC7699"/>
      <c r="GD7699"/>
      <c r="GE7699"/>
      <c r="GF7699"/>
      <c r="GG7699"/>
      <c r="GH7699"/>
      <c r="GI7699"/>
      <c r="GJ7699"/>
      <c r="GK7699"/>
      <c r="GL7699"/>
      <c r="GM7699"/>
      <c r="GN7699"/>
      <c r="GO7699"/>
    </row>
    <row r="7700" spans="107:197">
      <c r="DC7700"/>
      <c r="FH7700"/>
      <c r="FI7700"/>
      <c r="FJ7700"/>
      <c r="FK7700"/>
      <c r="FL7700"/>
      <c r="FM7700"/>
      <c r="FN7700"/>
      <c r="FO7700"/>
      <c r="FP7700"/>
      <c r="FQ7700"/>
      <c r="FR7700"/>
      <c r="FS7700"/>
      <c r="FT7700"/>
      <c r="FU7700"/>
      <c r="FV7700"/>
      <c r="FW7700"/>
      <c r="FX7700"/>
      <c r="FY7700"/>
      <c r="FZ7700"/>
      <c r="GA7700"/>
      <c r="GB7700"/>
      <c r="GC7700"/>
      <c r="GD7700"/>
      <c r="GE7700"/>
      <c r="GF7700"/>
      <c r="GG7700"/>
      <c r="GH7700"/>
      <c r="GI7700"/>
      <c r="GJ7700"/>
      <c r="GK7700"/>
      <c r="GL7700"/>
      <c r="GM7700"/>
      <c r="GN7700"/>
      <c r="GO7700"/>
    </row>
    <row r="7701" spans="107:197">
      <c r="DC7701"/>
      <c r="FH7701"/>
      <c r="FI7701"/>
      <c r="FJ7701"/>
      <c r="FK7701"/>
      <c r="FL7701"/>
      <c r="FM7701"/>
      <c r="FN7701"/>
      <c r="FO7701"/>
      <c r="FP7701"/>
      <c r="FQ7701"/>
      <c r="FR7701"/>
      <c r="FS7701"/>
      <c r="FT7701"/>
      <c r="FU7701"/>
      <c r="FV7701"/>
      <c r="FW7701"/>
      <c r="FX7701"/>
      <c r="FY7701"/>
      <c r="FZ7701"/>
      <c r="GA7701"/>
      <c r="GB7701"/>
      <c r="GC7701"/>
      <c r="GD7701"/>
      <c r="GE7701"/>
      <c r="GF7701"/>
      <c r="GG7701"/>
      <c r="GH7701"/>
      <c r="GI7701"/>
      <c r="GJ7701"/>
      <c r="GK7701"/>
      <c r="GL7701"/>
      <c r="GM7701"/>
      <c r="GN7701"/>
      <c r="GO7701"/>
    </row>
    <row r="7702" spans="107:197">
      <c r="DC7702"/>
      <c r="FH7702"/>
      <c r="FI7702"/>
      <c r="FJ7702"/>
      <c r="FK7702"/>
      <c r="FL7702"/>
      <c r="FM7702"/>
      <c r="FN7702"/>
      <c r="FO7702"/>
      <c r="FP7702"/>
      <c r="FQ7702"/>
      <c r="FR7702"/>
      <c r="FS7702"/>
      <c r="FT7702"/>
      <c r="FU7702"/>
      <c r="FV7702"/>
      <c r="FW7702"/>
      <c r="FX7702"/>
      <c r="FY7702"/>
      <c r="FZ7702"/>
      <c r="GA7702"/>
      <c r="GB7702"/>
      <c r="GC7702"/>
      <c r="GD7702"/>
      <c r="GE7702"/>
      <c r="GF7702"/>
      <c r="GG7702"/>
      <c r="GH7702"/>
      <c r="GI7702"/>
      <c r="GJ7702"/>
      <c r="GK7702"/>
      <c r="GL7702"/>
      <c r="GM7702"/>
      <c r="GN7702"/>
      <c r="GO7702"/>
    </row>
    <row r="7703" spans="107:197">
      <c r="DC7703"/>
      <c r="FH7703"/>
      <c r="FI7703"/>
      <c r="FJ7703"/>
      <c r="FK7703"/>
      <c r="FL7703"/>
      <c r="FM7703"/>
      <c r="FN7703"/>
      <c r="FO7703"/>
      <c r="FP7703"/>
      <c r="FQ7703"/>
      <c r="FR7703"/>
      <c r="FS7703"/>
      <c r="FT7703"/>
      <c r="FU7703"/>
      <c r="FV7703"/>
      <c r="FW7703"/>
      <c r="FX7703"/>
      <c r="FY7703"/>
      <c r="FZ7703"/>
      <c r="GA7703"/>
      <c r="GB7703"/>
      <c r="GC7703"/>
      <c r="GD7703"/>
      <c r="GE7703"/>
      <c r="GF7703"/>
      <c r="GG7703"/>
      <c r="GH7703"/>
      <c r="GI7703"/>
      <c r="GJ7703"/>
      <c r="GK7703"/>
      <c r="GL7703"/>
      <c r="GM7703"/>
      <c r="GN7703"/>
      <c r="GO7703"/>
    </row>
    <row r="7704" spans="107:197">
      <c r="DC7704"/>
      <c r="FH7704"/>
      <c r="FI7704"/>
      <c r="FJ7704"/>
      <c r="FK7704"/>
      <c r="FL7704"/>
      <c r="FM7704"/>
      <c r="FN7704"/>
      <c r="FO7704"/>
      <c r="FP7704"/>
      <c r="FQ7704"/>
      <c r="FR7704"/>
      <c r="FS7704"/>
      <c r="FT7704"/>
      <c r="FU7704"/>
      <c r="FV7704"/>
      <c r="FW7704"/>
      <c r="FX7704"/>
      <c r="FY7704"/>
      <c r="FZ7704"/>
      <c r="GA7704"/>
      <c r="GB7704"/>
      <c r="GC7704"/>
      <c r="GD7704"/>
      <c r="GE7704"/>
      <c r="GF7704"/>
      <c r="GG7704"/>
      <c r="GH7704"/>
      <c r="GI7704"/>
      <c r="GJ7704"/>
      <c r="GK7704"/>
      <c r="GL7704"/>
      <c r="GM7704"/>
      <c r="GN7704"/>
      <c r="GO7704"/>
    </row>
    <row r="7705" spans="107:197">
      <c r="DC7705"/>
      <c r="FH7705"/>
      <c r="FI7705"/>
      <c r="FJ7705"/>
      <c r="FK7705"/>
      <c r="FL7705"/>
      <c r="FM7705"/>
      <c r="FN7705"/>
      <c r="FO7705"/>
      <c r="FP7705"/>
      <c r="FQ7705"/>
      <c r="FR7705"/>
      <c r="FS7705"/>
      <c r="FT7705"/>
      <c r="FU7705"/>
      <c r="FV7705"/>
      <c r="FW7705"/>
      <c r="FX7705"/>
      <c r="FY7705"/>
      <c r="FZ7705"/>
      <c r="GA7705"/>
      <c r="GB7705"/>
      <c r="GC7705"/>
      <c r="GD7705"/>
      <c r="GE7705"/>
      <c r="GF7705"/>
      <c r="GG7705"/>
      <c r="GH7705"/>
      <c r="GI7705"/>
      <c r="GJ7705"/>
      <c r="GK7705"/>
      <c r="GL7705"/>
      <c r="GM7705"/>
      <c r="GN7705"/>
      <c r="GO7705"/>
    </row>
    <row r="7706" spans="107:197">
      <c r="DC7706"/>
      <c r="FH7706"/>
      <c r="FI7706"/>
      <c r="FJ7706"/>
      <c r="FK7706"/>
      <c r="FL7706"/>
      <c r="FM7706"/>
      <c r="FN7706"/>
      <c r="FO7706"/>
      <c r="FP7706"/>
      <c r="FQ7706"/>
      <c r="FR7706"/>
      <c r="FS7706"/>
      <c r="FT7706"/>
      <c r="FU7706"/>
      <c r="FV7706"/>
      <c r="FW7706"/>
      <c r="FX7706"/>
      <c r="FY7706"/>
      <c r="FZ7706"/>
      <c r="GA7706"/>
      <c r="GB7706"/>
      <c r="GC7706"/>
      <c r="GD7706"/>
      <c r="GE7706"/>
      <c r="GF7706"/>
      <c r="GG7706"/>
      <c r="GH7706"/>
      <c r="GI7706"/>
      <c r="GJ7706"/>
      <c r="GK7706"/>
      <c r="GL7706"/>
      <c r="GM7706"/>
      <c r="GN7706"/>
      <c r="GO7706"/>
    </row>
    <row r="7707" spans="107:197">
      <c r="DC7707"/>
      <c r="FH7707"/>
      <c r="FI7707"/>
      <c r="FJ7707"/>
      <c r="FK7707"/>
      <c r="FL7707"/>
      <c r="FM7707"/>
      <c r="FN7707"/>
      <c r="FO7707"/>
      <c r="FP7707"/>
      <c r="FQ7707"/>
      <c r="FR7707"/>
      <c r="FS7707"/>
      <c r="FT7707"/>
      <c r="FU7707"/>
      <c r="FV7707"/>
      <c r="FW7707"/>
      <c r="FX7707"/>
      <c r="FY7707"/>
      <c r="FZ7707"/>
      <c r="GA7707"/>
      <c r="GB7707"/>
      <c r="GC7707"/>
      <c r="GD7707"/>
      <c r="GE7707"/>
      <c r="GF7707"/>
      <c r="GG7707"/>
      <c r="GH7707"/>
      <c r="GI7707"/>
      <c r="GJ7707"/>
      <c r="GK7707"/>
      <c r="GL7707"/>
      <c r="GM7707"/>
      <c r="GN7707"/>
      <c r="GO7707"/>
    </row>
    <row r="7708" spans="107:197">
      <c r="DC7708"/>
      <c r="FH7708"/>
      <c r="FI7708"/>
      <c r="FJ7708"/>
      <c r="FK7708"/>
      <c r="FL7708"/>
      <c r="FM7708"/>
      <c r="FN7708"/>
      <c r="FO7708"/>
      <c r="FP7708"/>
      <c r="FQ7708"/>
      <c r="FR7708"/>
      <c r="FS7708"/>
      <c r="FT7708"/>
      <c r="FU7708"/>
      <c r="FV7708"/>
      <c r="FW7708"/>
      <c r="FX7708"/>
      <c r="FY7708"/>
      <c r="FZ7708"/>
      <c r="GA7708"/>
      <c r="GB7708"/>
      <c r="GC7708"/>
      <c r="GD7708"/>
      <c r="GE7708"/>
      <c r="GF7708"/>
      <c r="GG7708"/>
      <c r="GH7708"/>
      <c r="GI7708"/>
      <c r="GJ7708"/>
      <c r="GK7708"/>
      <c r="GL7708"/>
      <c r="GM7708"/>
      <c r="GN7708"/>
      <c r="GO7708"/>
    </row>
    <row r="7709" spans="107:197">
      <c r="DC7709"/>
      <c r="FH7709"/>
      <c r="FI7709"/>
      <c r="FJ7709"/>
      <c r="FK7709"/>
      <c r="FL7709"/>
      <c r="FM7709"/>
      <c r="FN7709"/>
      <c r="FO7709"/>
      <c r="FP7709"/>
      <c r="FQ7709"/>
      <c r="FR7709"/>
      <c r="FS7709"/>
      <c r="FT7709"/>
      <c r="FU7709"/>
      <c r="FV7709"/>
      <c r="FW7709"/>
      <c r="FX7709"/>
      <c r="FY7709"/>
      <c r="FZ7709"/>
      <c r="GA7709"/>
      <c r="GB7709"/>
      <c r="GC7709"/>
      <c r="GD7709"/>
      <c r="GE7709"/>
      <c r="GF7709"/>
      <c r="GG7709"/>
      <c r="GH7709"/>
      <c r="GI7709"/>
      <c r="GJ7709"/>
      <c r="GK7709"/>
      <c r="GL7709"/>
      <c r="GM7709"/>
      <c r="GN7709"/>
      <c r="GO7709"/>
    </row>
    <row r="7710" spans="107:197">
      <c r="DC7710"/>
      <c r="FH7710"/>
      <c r="FI7710"/>
      <c r="FJ7710"/>
      <c r="FK7710"/>
      <c r="FL7710"/>
      <c r="FM7710"/>
      <c r="FN7710"/>
      <c r="FO7710"/>
      <c r="FP7710"/>
      <c r="FQ7710"/>
      <c r="FR7710"/>
      <c r="FS7710"/>
      <c r="FT7710"/>
      <c r="FU7710"/>
      <c r="FV7710"/>
      <c r="FW7710"/>
      <c r="FX7710"/>
      <c r="FY7710"/>
      <c r="FZ7710"/>
      <c r="GA7710"/>
      <c r="GB7710"/>
      <c r="GC7710"/>
      <c r="GD7710"/>
      <c r="GE7710"/>
      <c r="GF7710"/>
      <c r="GG7710"/>
      <c r="GH7710"/>
      <c r="GI7710"/>
      <c r="GJ7710"/>
      <c r="GK7710"/>
      <c r="GL7710"/>
      <c r="GM7710"/>
      <c r="GN7710"/>
      <c r="GO7710"/>
    </row>
    <row r="7711" spans="107:197">
      <c r="DC7711"/>
      <c r="FH7711"/>
      <c r="FI7711"/>
      <c r="FJ7711"/>
      <c r="FK7711"/>
      <c r="FL7711"/>
      <c r="FM7711"/>
      <c r="FN7711"/>
      <c r="FO7711"/>
      <c r="FP7711"/>
      <c r="FQ7711"/>
      <c r="FR7711"/>
      <c r="FS7711"/>
      <c r="FT7711"/>
      <c r="FU7711"/>
      <c r="FV7711"/>
      <c r="FW7711"/>
      <c r="FX7711"/>
      <c r="FY7711"/>
      <c r="FZ7711"/>
      <c r="GA7711"/>
      <c r="GB7711"/>
      <c r="GC7711"/>
      <c r="GD7711"/>
      <c r="GE7711"/>
      <c r="GF7711"/>
      <c r="GG7711"/>
      <c r="GH7711"/>
      <c r="GI7711"/>
      <c r="GJ7711"/>
      <c r="GK7711"/>
      <c r="GL7711"/>
      <c r="GM7711"/>
      <c r="GN7711"/>
      <c r="GO7711"/>
    </row>
    <row r="7712" spans="107:197">
      <c r="DC7712"/>
      <c r="FH7712"/>
      <c r="FI7712"/>
      <c r="FJ7712"/>
      <c r="FK7712"/>
      <c r="FL7712"/>
      <c r="FM7712"/>
      <c r="FN7712"/>
      <c r="FO7712"/>
      <c r="FP7712"/>
      <c r="FQ7712"/>
      <c r="FR7712"/>
      <c r="FS7712"/>
      <c r="FT7712"/>
      <c r="FU7712"/>
      <c r="FV7712"/>
      <c r="FW7712"/>
      <c r="FX7712"/>
      <c r="FY7712"/>
      <c r="FZ7712"/>
      <c r="GA7712"/>
      <c r="GB7712"/>
      <c r="GC7712"/>
      <c r="GD7712"/>
      <c r="GE7712"/>
      <c r="GF7712"/>
      <c r="GG7712"/>
      <c r="GH7712"/>
      <c r="GI7712"/>
      <c r="GJ7712"/>
      <c r="GK7712"/>
      <c r="GL7712"/>
      <c r="GM7712"/>
      <c r="GN7712"/>
      <c r="GO7712"/>
    </row>
    <row r="7713" spans="107:197">
      <c r="DC7713"/>
      <c r="FH7713"/>
      <c r="FI7713"/>
      <c r="FJ7713"/>
      <c r="FK7713"/>
      <c r="FL7713"/>
      <c r="FM7713"/>
      <c r="FN7713"/>
      <c r="FO7713"/>
      <c r="FP7713"/>
      <c r="FQ7713"/>
      <c r="FR7713"/>
      <c r="FS7713"/>
      <c r="FT7713"/>
      <c r="FU7713"/>
      <c r="FV7713"/>
      <c r="FW7713"/>
      <c r="FX7713"/>
      <c r="FY7713"/>
      <c r="FZ7713"/>
      <c r="GA7713"/>
      <c r="GB7713"/>
      <c r="GC7713"/>
      <c r="GD7713"/>
      <c r="GE7713"/>
      <c r="GF7713"/>
      <c r="GG7713"/>
      <c r="GH7713"/>
      <c r="GI7713"/>
      <c r="GJ7713"/>
      <c r="GK7713"/>
      <c r="GL7713"/>
      <c r="GM7713"/>
      <c r="GN7713"/>
      <c r="GO7713"/>
    </row>
    <row r="7714" spans="107:197">
      <c r="DC7714"/>
      <c r="FH7714"/>
      <c r="FI7714"/>
      <c r="FJ7714"/>
      <c r="FK7714"/>
      <c r="FL7714"/>
      <c r="FM7714"/>
      <c r="FN7714"/>
      <c r="FO7714"/>
      <c r="FP7714"/>
      <c r="FQ7714"/>
      <c r="FR7714"/>
      <c r="FS7714"/>
      <c r="FT7714"/>
      <c r="FU7714"/>
      <c r="FV7714"/>
      <c r="FW7714"/>
      <c r="FX7714"/>
      <c r="FY7714"/>
      <c r="FZ7714"/>
      <c r="GA7714"/>
      <c r="GB7714"/>
      <c r="GC7714"/>
      <c r="GD7714"/>
      <c r="GE7714"/>
      <c r="GF7714"/>
      <c r="GG7714"/>
      <c r="GH7714"/>
      <c r="GI7714"/>
      <c r="GJ7714"/>
      <c r="GK7714"/>
      <c r="GL7714"/>
      <c r="GM7714"/>
      <c r="GN7714"/>
      <c r="GO7714"/>
    </row>
    <row r="7715" spans="107:197">
      <c r="DC7715"/>
      <c r="FH7715"/>
      <c r="FI7715"/>
      <c r="FJ7715"/>
      <c r="FK7715"/>
      <c r="FL7715"/>
      <c r="FM7715"/>
      <c r="FN7715"/>
      <c r="FO7715"/>
      <c r="FP7715"/>
      <c r="FQ7715"/>
      <c r="FR7715"/>
      <c r="FS7715"/>
      <c r="FT7715"/>
      <c r="FU7715"/>
      <c r="FV7715"/>
      <c r="FW7715"/>
      <c r="FX7715"/>
      <c r="FY7715"/>
      <c r="FZ7715"/>
      <c r="GA7715"/>
      <c r="GB7715"/>
      <c r="GC7715"/>
      <c r="GD7715"/>
      <c r="GE7715"/>
      <c r="GF7715"/>
      <c r="GG7715"/>
      <c r="GH7715"/>
      <c r="GI7715"/>
      <c r="GJ7715"/>
      <c r="GK7715"/>
      <c r="GL7715"/>
      <c r="GM7715"/>
      <c r="GN7715"/>
      <c r="GO7715"/>
    </row>
    <row r="7716" spans="107:197">
      <c r="DC7716"/>
      <c r="FH7716"/>
      <c r="FI7716"/>
      <c r="FJ7716"/>
      <c r="FK7716"/>
      <c r="FL7716"/>
      <c r="FM7716"/>
      <c r="FN7716"/>
      <c r="FO7716"/>
      <c r="FP7716"/>
      <c r="FQ7716"/>
      <c r="FR7716"/>
      <c r="FS7716"/>
      <c r="FT7716"/>
      <c r="FU7716"/>
      <c r="FV7716"/>
      <c r="FW7716"/>
      <c r="FX7716"/>
      <c r="FY7716"/>
      <c r="FZ7716"/>
      <c r="GA7716"/>
      <c r="GB7716"/>
      <c r="GC7716"/>
      <c r="GD7716"/>
      <c r="GE7716"/>
      <c r="GF7716"/>
      <c r="GG7716"/>
      <c r="GH7716"/>
      <c r="GI7716"/>
      <c r="GJ7716"/>
      <c r="GK7716"/>
      <c r="GL7716"/>
      <c r="GM7716"/>
      <c r="GN7716"/>
      <c r="GO7716"/>
    </row>
    <row r="7717" spans="107:197">
      <c r="DC7717"/>
      <c r="FH7717"/>
      <c r="FI7717"/>
      <c r="FJ7717"/>
      <c r="FK7717"/>
      <c r="FL7717"/>
      <c r="FM7717"/>
      <c r="FN7717"/>
      <c r="FO7717"/>
      <c r="FP7717"/>
      <c r="FQ7717"/>
      <c r="FR7717"/>
      <c r="FS7717"/>
      <c r="FT7717"/>
      <c r="FU7717"/>
      <c r="FV7717"/>
      <c r="FW7717"/>
      <c r="FX7717"/>
      <c r="FY7717"/>
      <c r="FZ7717"/>
      <c r="GA7717"/>
      <c r="GB7717"/>
      <c r="GC7717"/>
      <c r="GD7717"/>
      <c r="GE7717"/>
      <c r="GF7717"/>
      <c r="GG7717"/>
      <c r="GH7717"/>
      <c r="GI7717"/>
      <c r="GJ7717"/>
      <c r="GK7717"/>
      <c r="GL7717"/>
      <c r="GM7717"/>
      <c r="GN7717"/>
      <c r="GO7717"/>
    </row>
    <row r="7718" spans="107:197">
      <c r="DC7718"/>
      <c r="FH7718"/>
      <c r="FI7718"/>
      <c r="FJ7718"/>
      <c r="FK7718"/>
      <c r="FL7718"/>
      <c r="FM7718"/>
      <c r="FN7718"/>
      <c r="FO7718"/>
      <c r="FP7718"/>
      <c r="FQ7718"/>
      <c r="FR7718"/>
      <c r="FS7718"/>
      <c r="FT7718"/>
      <c r="FU7718"/>
      <c r="FV7718"/>
      <c r="FW7718"/>
      <c r="FX7718"/>
      <c r="FY7718"/>
      <c r="FZ7718"/>
      <c r="GA7718"/>
      <c r="GB7718"/>
      <c r="GC7718"/>
      <c r="GD7718"/>
      <c r="GE7718"/>
      <c r="GF7718"/>
      <c r="GG7718"/>
      <c r="GH7718"/>
      <c r="GI7718"/>
      <c r="GJ7718"/>
      <c r="GK7718"/>
      <c r="GL7718"/>
      <c r="GM7718"/>
      <c r="GN7718"/>
      <c r="GO7718"/>
    </row>
    <row r="7719" spans="107:197">
      <c r="DC7719"/>
      <c r="FH7719"/>
      <c r="FI7719"/>
      <c r="FJ7719"/>
      <c r="FK7719"/>
      <c r="FL7719"/>
      <c r="FM7719"/>
      <c r="FN7719"/>
      <c r="FO7719"/>
      <c r="FP7719"/>
      <c r="FQ7719"/>
      <c r="FR7719"/>
      <c r="FS7719"/>
      <c r="FT7719"/>
      <c r="FU7719"/>
      <c r="FV7719"/>
      <c r="FW7719"/>
      <c r="FX7719"/>
      <c r="FY7719"/>
      <c r="FZ7719"/>
      <c r="GA7719"/>
      <c r="GB7719"/>
      <c r="GC7719"/>
      <c r="GD7719"/>
      <c r="GE7719"/>
      <c r="GF7719"/>
      <c r="GG7719"/>
      <c r="GH7719"/>
      <c r="GI7719"/>
      <c r="GJ7719"/>
      <c r="GK7719"/>
      <c r="GL7719"/>
      <c r="GM7719"/>
      <c r="GN7719"/>
      <c r="GO7719"/>
    </row>
    <row r="7720" spans="107:197">
      <c r="DC7720"/>
      <c r="FH7720"/>
      <c r="FI7720"/>
      <c r="FJ7720"/>
      <c r="FK7720"/>
      <c r="FL7720"/>
      <c r="FM7720"/>
      <c r="FN7720"/>
      <c r="FO7720"/>
      <c r="FP7720"/>
      <c r="FQ7720"/>
      <c r="FR7720"/>
      <c r="FS7720"/>
      <c r="FT7720"/>
      <c r="FU7720"/>
      <c r="FV7720"/>
      <c r="FW7720"/>
      <c r="FX7720"/>
      <c r="FY7720"/>
      <c r="FZ7720"/>
      <c r="GA7720"/>
      <c r="GB7720"/>
      <c r="GC7720"/>
      <c r="GD7720"/>
      <c r="GE7720"/>
      <c r="GF7720"/>
      <c r="GG7720"/>
      <c r="GH7720"/>
      <c r="GI7720"/>
      <c r="GJ7720"/>
      <c r="GK7720"/>
      <c r="GL7720"/>
      <c r="GM7720"/>
      <c r="GN7720"/>
      <c r="GO7720"/>
    </row>
    <row r="7721" spans="107:197">
      <c r="DC7721"/>
      <c r="FH7721"/>
      <c r="FI7721"/>
      <c r="FJ7721"/>
      <c r="FK7721"/>
      <c r="FL7721"/>
      <c r="FM7721"/>
      <c r="FN7721"/>
      <c r="FO7721"/>
      <c r="FP7721"/>
      <c r="FQ7721"/>
      <c r="FR7721"/>
      <c r="FS7721"/>
      <c r="FT7721"/>
      <c r="FU7721"/>
      <c r="FV7721"/>
      <c r="FW7721"/>
      <c r="FX7721"/>
      <c r="FY7721"/>
      <c r="FZ7721"/>
      <c r="GA7721"/>
      <c r="GB7721"/>
      <c r="GC7721"/>
      <c r="GD7721"/>
      <c r="GE7721"/>
      <c r="GF7721"/>
      <c r="GG7721"/>
      <c r="GH7721"/>
      <c r="GI7721"/>
      <c r="GJ7721"/>
      <c r="GK7721"/>
      <c r="GL7721"/>
      <c r="GM7721"/>
      <c r="GN7721"/>
      <c r="GO7721"/>
    </row>
    <row r="7722" spans="107:197">
      <c r="DC7722"/>
      <c r="FH7722"/>
      <c r="FI7722"/>
      <c r="FJ7722"/>
      <c r="FK7722"/>
      <c r="FL7722"/>
      <c r="FM7722"/>
      <c r="FN7722"/>
      <c r="FO7722"/>
      <c r="FP7722"/>
      <c r="FQ7722"/>
      <c r="FR7722"/>
      <c r="FS7722"/>
      <c r="FT7722"/>
      <c r="FU7722"/>
      <c r="FV7722"/>
      <c r="FW7722"/>
      <c r="FX7722"/>
      <c r="FY7722"/>
      <c r="FZ7722"/>
      <c r="GA7722"/>
      <c r="GB7722"/>
      <c r="GC7722"/>
      <c r="GD7722"/>
      <c r="GE7722"/>
      <c r="GF7722"/>
      <c r="GG7722"/>
      <c r="GH7722"/>
      <c r="GI7722"/>
      <c r="GJ7722"/>
      <c r="GK7722"/>
      <c r="GL7722"/>
      <c r="GM7722"/>
      <c r="GN7722"/>
      <c r="GO7722"/>
    </row>
    <row r="7723" spans="107:197">
      <c r="DC7723"/>
      <c r="FH7723"/>
      <c r="FI7723"/>
      <c r="FJ7723"/>
      <c r="FK7723"/>
      <c r="FL7723"/>
      <c r="FM7723"/>
      <c r="FN7723"/>
      <c r="FO7723"/>
      <c r="FP7723"/>
      <c r="FQ7723"/>
      <c r="FR7723"/>
      <c r="FS7723"/>
      <c r="FT7723"/>
      <c r="FU7723"/>
      <c r="FV7723"/>
      <c r="FW7723"/>
      <c r="FX7723"/>
      <c r="FY7723"/>
      <c r="FZ7723"/>
      <c r="GA7723"/>
      <c r="GB7723"/>
      <c r="GC7723"/>
      <c r="GD7723"/>
      <c r="GE7723"/>
      <c r="GF7723"/>
      <c r="GG7723"/>
      <c r="GH7723"/>
      <c r="GI7723"/>
      <c r="GJ7723"/>
      <c r="GK7723"/>
      <c r="GL7723"/>
      <c r="GM7723"/>
      <c r="GN7723"/>
      <c r="GO7723"/>
    </row>
    <row r="7724" spans="107:197">
      <c r="DC7724"/>
      <c r="FH7724"/>
      <c r="FI7724"/>
      <c r="FJ7724"/>
      <c r="FK7724"/>
      <c r="FL7724"/>
      <c r="FM7724"/>
      <c r="FN7724"/>
      <c r="FO7724"/>
      <c r="FP7724"/>
      <c r="FQ7724"/>
      <c r="FR7724"/>
      <c r="FS7724"/>
      <c r="FT7724"/>
      <c r="FU7724"/>
      <c r="FV7724"/>
      <c r="FW7724"/>
      <c r="FX7724"/>
      <c r="FY7724"/>
      <c r="FZ7724"/>
      <c r="GA7724"/>
      <c r="GB7724"/>
      <c r="GC7724"/>
      <c r="GD7724"/>
      <c r="GE7724"/>
      <c r="GF7724"/>
      <c r="GG7724"/>
      <c r="GH7724"/>
      <c r="GI7724"/>
      <c r="GJ7724"/>
      <c r="GK7724"/>
      <c r="GL7724"/>
      <c r="GM7724"/>
      <c r="GN7724"/>
      <c r="GO7724"/>
    </row>
    <row r="7725" spans="107:197">
      <c r="DC7725"/>
      <c r="FH7725"/>
      <c r="FI7725"/>
      <c r="FJ7725"/>
      <c r="FK7725"/>
      <c r="FL7725"/>
      <c r="FM7725"/>
      <c r="FN7725"/>
      <c r="FO7725"/>
      <c r="FP7725"/>
      <c r="FQ7725"/>
      <c r="FR7725"/>
      <c r="FS7725"/>
      <c r="FT7725"/>
      <c r="FU7725"/>
      <c r="FV7725"/>
      <c r="FW7725"/>
      <c r="FX7725"/>
      <c r="FY7725"/>
      <c r="FZ7725"/>
      <c r="GA7725"/>
      <c r="GB7725"/>
      <c r="GC7725"/>
      <c r="GD7725"/>
      <c r="GE7725"/>
      <c r="GF7725"/>
      <c r="GG7725"/>
      <c r="GH7725"/>
      <c r="GI7725"/>
      <c r="GJ7725"/>
      <c r="GK7725"/>
      <c r="GL7725"/>
      <c r="GM7725"/>
      <c r="GN7725"/>
      <c r="GO7725"/>
    </row>
    <row r="7726" spans="107:197">
      <c r="DC7726"/>
      <c r="FH7726"/>
      <c r="FI7726"/>
      <c r="FJ7726"/>
      <c r="FK7726"/>
      <c r="FL7726"/>
      <c r="FM7726"/>
      <c r="FN7726"/>
      <c r="FO7726"/>
      <c r="FP7726"/>
      <c r="FQ7726"/>
      <c r="FR7726"/>
      <c r="FS7726"/>
      <c r="FT7726"/>
      <c r="FU7726"/>
      <c r="FV7726"/>
      <c r="FW7726"/>
      <c r="FX7726"/>
      <c r="FY7726"/>
      <c r="FZ7726"/>
      <c r="GA7726"/>
      <c r="GB7726"/>
      <c r="GC7726"/>
      <c r="GD7726"/>
      <c r="GE7726"/>
      <c r="GF7726"/>
      <c r="GG7726"/>
      <c r="GH7726"/>
      <c r="GI7726"/>
      <c r="GJ7726"/>
      <c r="GK7726"/>
      <c r="GL7726"/>
      <c r="GM7726"/>
      <c r="GN7726"/>
      <c r="GO7726"/>
    </row>
    <row r="7727" spans="107:197">
      <c r="DC7727"/>
      <c r="FH7727"/>
      <c r="FI7727"/>
      <c r="FJ7727"/>
      <c r="FK7727"/>
      <c r="FL7727"/>
      <c r="FM7727"/>
      <c r="FN7727"/>
      <c r="FO7727"/>
      <c r="FP7727"/>
      <c r="FQ7727"/>
      <c r="FR7727"/>
      <c r="FS7727"/>
      <c r="FT7727"/>
      <c r="FU7727"/>
      <c r="FV7727"/>
      <c r="FW7727"/>
      <c r="FX7727"/>
      <c r="FY7727"/>
      <c r="FZ7727"/>
      <c r="GA7727"/>
      <c r="GB7727"/>
      <c r="GC7727"/>
      <c r="GD7727"/>
      <c r="GE7727"/>
      <c r="GF7727"/>
      <c r="GG7727"/>
      <c r="GH7727"/>
      <c r="GI7727"/>
      <c r="GJ7727"/>
      <c r="GK7727"/>
      <c r="GL7727"/>
      <c r="GM7727"/>
      <c r="GN7727"/>
      <c r="GO7727"/>
    </row>
    <row r="7728" spans="107:197">
      <c r="DC7728"/>
      <c r="FH7728"/>
      <c r="FI7728"/>
      <c r="FJ7728"/>
      <c r="FK7728"/>
      <c r="FL7728"/>
      <c r="FM7728"/>
      <c r="FN7728"/>
      <c r="FO7728"/>
      <c r="FP7728"/>
      <c r="FQ7728"/>
      <c r="FR7728"/>
      <c r="FS7728"/>
      <c r="FT7728"/>
      <c r="FU7728"/>
      <c r="FV7728"/>
      <c r="FW7728"/>
      <c r="FX7728"/>
      <c r="FY7728"/>
      <c r="FZ7728"/>
      <c r="GA7728"/>
      <c r="GB7728"/>
      <c r="GC7728"/>
      <c r="GD7728"/>
      <c r="GE7728"/>
      <c r="GF7728"/>
      <c r="GG7728"/>
      <c r="GH7728"/>
      <c r="GI7728"/>
      <c r="GJ7728"/>
      <c r="GK7728"/>
      <c r="GL7728"/>
      <c r="GM7728"/>
      <c r="GN7728"/>
      <c r="GO7728"/>
    </row>
    <row r="7729" spans="107:197">
      <c r="DC7729"/>
      <c r="FH7729"/>
      <c r="FI7729"/>
      <c r="FJ7729"/>
      <c r="FK7729"/>
      <c r="FL7729"/>
      <c r="FM7729"/>
      <c r="FN7729"/>
      <c r="FO7729"/>
      <c r="FP7729"/>
      <c r="FQ7729"/>
      <c r="FR7729"/>
      <c r="FS7729"/>
      <c r="FT7729"/>
      <c r="FU7729"/>
      <c r="FV7729"/>
      <c r="FW7729"/>
      <c r="FX7729"/>
      <c r="FY7729"/>
      <c r="FZ7729"/>
      <c r="GA7729"/>
      <c r="GB7729"/>
      <c r="GC7729"/>
      <c r="GD7729"/>
      <c r="GE7729"/>
      <c r="GF7729"/>
      <c r="GG7729"/>
      <c r="GH7729"/>
      <c r="GI7729"/>
      <c r="GJ7729"/>
      <c r="GK7729"/>
      <c r="GL7729"/>
      <c r="GM7729"/>
      <c r="GN7729"/>
      <c r="GO7729"/>
    </row>
    <row r="7730" spans="107:197">
      <c r="DC7730"/>
      <c r="FH7730"/>
      <c r="FI7730"/>
      <c r="FJ7730"/>
      <c r="FK7730"/>
      <c r="FL7730"/>
      <c r="FM7730"/>
      <c r="FN7730"/>
      <c r="FO7730"/>
      <c r="FP7730"/>
      <c r="FQ7730"/>
      <c r="FR7730"/>
      <c r="FS7730"/>
      <c r="FT7730"/>
      <c r="FU7730"/>
      <c r="FV7730"/>
      <c r="FW7730"/>
      <c r="FX7730"/>
      <c r="FY7730"/>
      <c r="FZ7730"/>
      <c r="GA7730"/>
      <c r="GB7730"/>
      <c r="GC7730"/>
      <c r="GD7730"/>
      <c r="GE7730"/>
      <c r="GF7730"/>
      <c r="GG7730"/>
      <c r="GH7730"/>
      <c r="GI7730"/>
      <c r="GJ7730"/>
      <c r="GK7730"/>
      <c r="GL7730"/>
      <c r="GM7730"/>
      <c r="GN7730"/>
      <c r="GO7730"/>
    </row>
    <row r="7731" spans="107:197">
      <c r="DC7731"/>
      <c r="FH7731"/>
      <c r="FI7731"/>
      <c r="FJ7731"/>
      <c r="FK7731"/>
      <c r="FL7731"/>
      <c r="FM7731"/>
      <c r="FN7731"/>
      <c r="FO7731"/>
      <c r="FP7731"/>
      <c r="FQ7731"/>
      <c r="FR7731"/>
      <c r="FS7731"/>
      <c r="FT7731"/>
      <c r="FU7731"/>
      <c r="FV7731"/>
      <c r="FW7731"/>
      <c r="FX7731"/>
      <c r="FY7731"/>
      <c r="FZ7731"/>
      <c r="GA7731"/>
      <c r="GB7731"/>
      <c r="GC7731"/>
      <c r="GD7731"/>
      <c r="GE7731"/>
      <c r="GF7731"/>
      <c r="GG7731"/>
      <c r="GH7731"/>
      <c r="GI7731"/>
      <c r="GJ7731"/>
      <c r="GK7731"/>
      <c r="GL7731"/>
      <c r="GM7731"/>
      <c r="GN7731"/>
      <c r="GO7731"/>
    </row>
    <row r="7732" spans="107:197">
      <c r="DC7732"/>
      <c r="FH7732"/>
      <c r="FI7732"/>
      <c r="FJ7732"/>
      <c r="FK7732"/>
      <c r="FL7732"/>
      <c r="FM7732"/>
      <c r="FN7732"/>
      <c r="FO7732"/>
      <c r="FP7732"/>
      <c r="FQ7732"/>
      <c r="FR7732"/>
      <c r="FS7732"/>
      <c r="FT7732"/>
      <c r="FU7732"/>
      <c r="FV7732"/>
      <c r="FW7732"/>
      <c r="FX7732"/>
      <c r="FY7732"/>
      <c r="FZ7732"/>
      <c r="GA7732"/>
      <c r="GB7732"/>
      <c r="GC7732"/>
      <c r="GD7732"/>
      <c r="GE7732"/>
      <c r="GF7732"/>
      <c r="GG7732"/>
      <c r="GH7732"/>
      <c r="GI7732"/>
      <c r="GJ7732"/>
      <c r="GK7732"/>
      <c r="GL7732"/>
      <c r="GM7732"/>
      <c r="GN7732"/>
      <c r="GO7732"/>
    </row>
    <row r="7733" spans="107:197">
      <c r="DC7733"/>
      <c r="FH7733"/>
      <c r="FI7733"/>
      <c r="FJ7733"/>
      <c r="FK7733"/>
      <c r="FL7733"/>
      <c r="FM7733"/>
      <c r="FN7733"/>
      <c r="FO7733"/>
      <c r="FP7733"/>
      <c r="FQ7733"/>
      <c r="FR7733"/>
      <c r="FS7733"/>
      <c r="FT7733"/>
      <c r="FU7733"/>
      <c r="FV7733"/>
      <c r="FW7733"/>
      <c r="FX7733"/>
      <c r="FY7733"/>
      <c r="FZ7733"/>
      <c r="GA7733"/>
      <c r="GB7733"/>
      <c r="GC7733"/>
      <c r="GD7733"/>
      <c r="GE7733"/>
      <c r="GF7733"/>
      <c r="GG7733"/>
      <c r="GH7733"/>
      <c r="GI7733"/>
      <c r="GJ7733"/>
      <c r="GK7733"/>
      <c r="GL7733"/>
      <c r="GM7733"/>
      <c r="GN7733"/>
      <c r="GO7733"/>
    </row>
    <row r="7734" spans="107:197">
      <c r="DC7734"/>
      <c r="FH7734"/>
      <c r="FI7734"/>
      <c r="FJ7734"/>
      <c r="FK7734"/>
      <c r="FL7734"/>
      <c r="FM7734"/>
      <c r="FN7734"/>
      <c r="FO7734"/>
      <c r="FP7734"/>
      <c r="FQ7734"/>
      <c r="FR7734"/>
      <c r="FS7734"/>
      <c r="FT7734"/>
      <c r="FU7734"/>
      <c r="FV7734"/>
      <c r="FW7734"/>
      <c r="FX7734"/>
      <c r="FY7734"/>
      <c r="FZ7734"/>
      <c r="GA7734"/>
      <c r="GB7734"/>
      <c r="GC7734"/>
      <c r="GD7734"/>
      <c r="GE7734"/>
      <c r="GF7734"/>
      <c r="GG7734"/>
      <c r="GH7734"/>
      <c r="GI7734"/>
      <c r="GJ7734"/>
      <c r="GK7734"/>
      <c r="GL7734"/>
      <c r="GM7734"/>
      <c r="GN7734"/>
      <c r="GO7734"/>
    </row>
    <row r="7735" spans="107:197">
      <c r="DC7735"/>
      <c r="FH7735"/>
      <c r="FI7735"/>
      <c r="FJ7735"/>
      <c r="FK7735"/>
      <c r="FL7735"/>
      <c r="FM7735"/>
      <c r="FN7735"/>
      <c r="FO7735"/>
      <c r="FP7735"/>
      <c r="FQ7735"/>
      <c r="FR7735"/>
      <c r="FS7735"/>
      <c r="FT7735"/>
      <c r="FU7735"/>
      <c r="FV7735"/>
      <c r="FW7735"/>
      <c r="FX7735"/>
      <c r="FY7735"/>
      <c r="FZ7735"/>
      <c r="GA7735"/>
      <c r="GB7735"/>
      <c r="GC7735"/>
      <c r="GD7735"/>
      <c r="GE7735"/>
      <c r="GF7735"/>
      <c r="GG7735"/>
      <c r="GH7735"/>
      <c r="GI7735"/>
      <c r="GJ7735"/>
      <c r="GK7735"/>
      <c r="GL7735"/>
      <c r="GM7735"/>
      <c r="GN7735"/>
      <c r="GO7735"/>
    </row>
    <row r="7736" spans="107:197">
      <c r="DC7736"/>
      <c r="FH7736"/>
      <c r="FI7736"/>
      <c r="FJ7736"/>
      <c r="FK7736"/>
      <c r="FL7736"/>
      <c r="FM7736"/>
      <c r="FN7736"/>
      <c r="FO7736"/>
      <c r="FP7736"/>
      <c r="FQ7736"/>
      <c r="FR7736"/>
      <c r="FS7736"/>
      <c r="FT7736"/>
      <c r="FU7736"/>
      <c r="FV7736"/>
      <c r="FW7736"/>
      <c r="FX7736"/>
      <c r="FY7736"/>
      <c r="FZ7736"/>
      <c r="GA7736"/>
      <c r="GB7736"/>
      <c r="GC7736"/>
      <c r="GD7736"/>
      <c r="GE7736"/>
      <c r="GF7736"/>
      <c r="GG7736"/>
      <c r="GH7736"/>
      <c r="GI7736"/>
      <c r="GJ7736"/>
      <c r="GK7736"/>
      <c r="GL7736"/>
      <c r="GM7736"/>
      <c r="GN7736"/>
      <c r="GO7736"/>
    </row>
    <row r="7737" spans="107:197">
      <c r="DC7737"/>
      <c r="FH7737"/>
      <c r="FI7737"/>
      <c r="FJ7737"/>
      <c r="FK7737"/>
      <c r="FL7737"/>
      <c r="FM7737"/>
      <c r="FN7737"/>
      <c r="FO7737"/>
      <c r="FP7737"/>
      <c r="FQ7737"/>
      <c r="FR7737"/>
      <c r="FS7737"/>
      <c r="FT7737"/>
      <c r="FU7737"/>
      <c r="FV7737"/>
      <c r="FW7737"/>
      <c r="FX7737"/>
      <c r="FY7737"/>
      <c r="FZ7737"/>
      <c r="GA7737"/>
      <c r="GB7737"/>
      <c r="GC7737"/>
      <c r="GD7737"/>
      <c r="GE7737"/>
      <c r="GF7737"/>
      <c r="GG7737"/>
      <c r="GH7737"/>
      <c r="GI7737"/>
      <c r="GJ7737"/>
      <c r="GK7737"/>
      <c r="GL7737"/>
      <c r="GM7737"/>
      <c r="GN7737"/>
      <c r="GO7737"/>
    </row>
    <row r="7738" spans="107:197">
      <c r="DC7738"/>
      <c r="FH7738"/>
      <c r="FI7738"/>
      <c r="FJ7738"/>
      <c r="FK7738"/>
      <c r="FL7738"/>
      <c r="FM7738"/>
      <c r="FN7738"/>
      <c r="FO7738"/>
      <c r="FP7738"/>
      <c r="FQ7738"/>
      <c r="FR7738"/>
      <c r="FS7738"/>
      <c r="FT7738"/>
      <c r="FU7738"/>
      <c r="FV7738"/>
      <c r="FW7738"/>
      <c r="FX7738"/>
      <c r="FY7738"/>
      <c r="FZ7738"/>
      <c r="GA7738"/>
      <c r="GB7738"/>
      <c r="GC7738"/>
      <c r="GD7738"/>
      <c r="GE7738"/>
      <c r="GF7738"/>
      <c r="GG7738"/>
      <c r="GH7738"/>
      <c r="GI7738"/>
      <c r="GJ7738"/>
      <c r="GK7738"/>
      <c r="GL7738"/>
      <c r="GM7738"/>
      <c r="GN7738"/>
      <c r="GO7738"/>
    </row>
    <row r="7739" spans="107:197">
      <c r="DC7739"/>
      <c r="FH7739"/>
      <c r="FI7739"/>
      <c r="FJ7739"/>
      <c r="FK7739"/>
      <c r="FL7739"/>
      <c r="FM7739"/>
      <c r="FN7739"/>
      <c r="FO7739"/>
      <c r="FP7739"/>
      <c r="FQ7739"/>
      <c r="FR7739"/>
      <c r="FS7739"/>
      <c r="FT7739"/>
      <c r="FU7739"/>
      <c r="FV7739"/>
      <c r="FW7739"/>
      <c r="FX7739"/>
      <c r="FY7739"/>
      <c r="FZ7739"/>
      <c r="GA7739"/>
      <c r="GB7739"/>
      <c r="GC7739"/>
      <c r="GD7739"/>
      <c r="GE7739"/>
      <c r="GF7739"/>
      <c r="GG7739"/>
      <c r="GH7739"/>
      <c r="GI7739"/>
      <c r="GJ7739"/>
      <c r="GK7739"/>
      <c r="GL7739"/>
      <c r="GM7739"/>
      <c r="GN7739"/>
      <c r="GO7739"/>
    </row>
    <row r="7740" spans="107:197">
      <c r="DC7740"/>
      <c r="FH7740"/>
      <c r="FI7740"/>
      <c r="FJ7740"/>
      <c r="FK7740"/>
      <c r="FL7740"/>
      <c r="FM7740"/>
      <c r="FN7740"/>
      <c r="FO7740"/>
      <c r="FP7740"/>
      <c r="FQ7740"/>
      <c r="FR7740"/>
      <c r="FS7740"/>
      <c r="FT7740"/>
      <c r="FU7740"/>
      <c r="FV7740"/>
      <c r="FW7740"/>
      <c r="FX7740"/>
      <c r="FY7740"/>
      <c r="FZ7740"/>
      <c r="GA7740"/>
      <c r="GB7740"/>
      <c r="GC7740"/>
      <c r="GD7740"/>
      <c r="GE7740"/>
      <c r="GF7740"/>
      <c r="GG7740"/>
      <c r="GH7740"/>
      <c r="GI7740"/>
      <c r="GJ7740"/>
      <c r="GK7740"/>
      <c r="GL7740"/>
      <c r="GM7740"/>
      <c r="GN7740"/>
      <c r="GO7740"/>
    </row>
    <row r="7741" spans="107:197">
      <c r="DC7741"/>
      <c r="FH7741"/>
      <c r="FI7741"/>
      <c r="FJ7741"/>
      <c r="FK7741"/>
      <c r="FL7741"/>
      <c r="FM7741"/>
      <c r="FN7741"/>
      <c r="FO7741"/>
      <c r="FP7741"/>
      <c r="FQ7741"/>
      <c r="FR7741"/>
      <c r="FS7741"/>
      <c r="FT7741"/>
      <c r="FU7741"/>
      <c r="FV7741"/>
      <c r="FW7741"/>
      <c r="FX7741"/>
      <c r="FY7741"/>
      <c r="FZ7741"/>
      <c r="GA7741"/>
      <c r="GB7741"/>
      <c r="GC7741"/>
      <c r="GD7741"/>
      <c r="GE7741"/>
      <c r="GF7741"/>
      <c r="GG7741"/>
      <c r="GH7741"/>
      <c r="GI7741"/>
      <c r="GJ7741"/>
      <c r="GK7741"/>
      <c r="GL7741"/>
      <c r="GM7741"/>
      <c r="GN7741"/>
      <c r="GO7741"/>
    </row>
    <row r="7742" spans="107:197">
      <c r="DC7742"/>
      <c r="FH7742"/>
      <c r="FI7742"/>
      <c r="FJ7742"/>
      <c r="FK7742"/>
      <c r="FL7742"/>
      <c r="FM7742"/>
      <c r="FN7742"/>
      <c r="FO7742"/>
      <c r="FP7742"/>
      <c r="FQ7742"/>
      <c r="FR7742"/>
      <c r="FS7742"/>
      <c r="FT7742"/>
      <c r="FU7742"/>
      <c r="FV7742"/>
      <c r="FW7742"/>
      <c r="FX7742"/>
      <c r="FY7742"/>
      <c r="FZ7742"/>
      <c r="GA7742"/>
      <c r="GB7742"/>
      <c r="GC7742"/>
      <c r="GD7742"/>
      <c r="GE7742"/>
      <c r="GF7742"/>
      <c r="GG7742"/>
      <c r="GH7742"/>
      <c r="GI7742"/>
      <c r="GJ7742"/>
      <c r="GK7742"/>
      <c r="GL7742"/>
      <c r="GM7742"/>
      <c r="GN7742"/>
      <c r="GO7742"/>
    </row>
    <row r="7743" spans="107:197">
      <c r="DC7743"/>
      <c r="FH7743"/>
      <c r="FI7743"/>
      <c r="FJ7743"/>
      <c r="FK7743"/>
      <c r="FL7743"/>
      <c r="FM7743"/>
      <c r="FN7743"/>
      <c r="FO7743"/>
      <c r="FP7743"/>
      <c r="FQ7743"/>
      <c r="FR7743"/>
      <c r="FS7743"/>
      <c r="FT7743"/>
      <c r="FU7743"/>
      <c r="FV7743"/>
      <c r="FW7743"/>
      <c r="FX7743"/>
      <c r="FY7743"/>
      <c r="FZ7743"/>
      <c r="GA7743"/>
      <c r="GB7743"/>
      <c r="GC7743"/>
      <c r="GD7743"/>
      <c r="GE7743"/>
      <c r="GF7743"/>
      <c r="GG7743"/>
      <c r="GH7743"/>
      <c r="GI7743"/>
      <c r="GJ7743"/>
      <c r="GK7743"/>
      <c r="GL7743"/>
      <c r="GM7743"/>
      <c r="GN7743"/>
      <c r="GO7743"/>
    </row>
    <row r="7744" spans="107:197">
      <c r="DC7744"/>
      <c r="FH7744"/>
      <c r="FI7744"/>
      <c r="FJ7744"/>
      <c r="FK7744"/>
      <c r="FL7744"/>
      <c r="FM7744"/>
      <c r="FN7744"/>
      <c r="FO7744"/>
      <c r="FP7744"/>
      <c r="FQ7744"/>
      <c r="FR7744"/>
      <c r="FS7744"/>
      <c r="FT7744"/>
      <c r="FU7744"/>
      <c r="FV7744"/>
      <c r="FW7744"/>
      <c r="FX7744"/>
      <c r="FY7744"/>
      <c r="FZ7744"/>
      <c r="GA7744"/>
      <c r="GB7744"/>
      <c r="GC7744"/>
      <c r="GD7744"/>
      <c r="GE7744"/>
      <c r="GF7744"/>
      <c r="GG7744"/>
      <c r="GH7744"/>
      <c r="GI7744"/>
      <c r="GJ7744"/>
      <c r="GK7744"/>
      <c r="GL7744"/>
      <c r="GM7744"/>
      <c r="GN7744"/>
      <c r="GO7744"/>
    </row>
    <row r="7745" spans="107:197">
      <c r="DC7745"/>
      <c r="FH7745"/>
      <c r="FI7745"/>
      <c r="FJ7745"/>
      <c r="FK7745"/>
      <c r="FL7745"/>
      <c r="FM7745"/>
      <c r="FN7745"/>
      <c r="FO7745"/>
      <c r="FP7745"/>
      <c r="FQ7745"/>
      <c r="FR7745"/>
      <c r="FS7745"/>
      <c r="FT7745"/>
      <c r="FU7745"/>
      <c r="FV7745"/>
      <c r="FW7745"/>
      <c r="FX7745"/>
      <c r="FY7745"/>
      <c r="FZ7745"/>
      <c r="GA7745"/>
      <c r="GB7745"/>
      <c r="GC7745"/>
      <c r="GD7745"/>
      <c r="GE7745"/>
      <c r="GF7745"/>
      <c r="GG7745"/>
      <c r="GH7745"/>
      <c r="GI7745"/>
      <c r="GJ7745"/>
      <c r="GK7745"/>
      <c r="GL7745"/>
      <c r="GM7745"/>
      <c r="GN7745"/>
      <c r="GO7745"/>
    </row>
    <row r="7746" spans="107:197">
      <c r="DC7746"/>
      <c r="FH7746"/>
      <c r="FI7746"/>
      <c r="FJ7746"/>
      <c r="FK7746"/>
      <c r="FL7746"/>
      <c r="FM7746"/>
      <c r="FN7746"/>
      <c r="FO7746"/>
      <c r="FP7746"/>
      <c r="FQ7746"/>
      <c r="FR7746"/>
      <c r="FS7746"/>
      <c r="FT7746"/>
      <c r="FU7746"/>
      <c r="FV7746"/>
      <c r="FW7746"/>
      <c r="FX7746"/>
      <c r="FY7746"/>
      <c r="FZ7746"/>
      <c r="GA7746"/>
      <c r="GB7746"/>
      <c r="GC7746"/>
      <c r="GD7746"/>
      <c r="GE7746"/>
      <c r="GF7746"/>
      <c r="GG7746"/>
      <c r="GH7746"/>
      <c r="GI7746"/>
      <c r="GJ7746"/>
      <c r="GK7746"/>
      <c r="GL7746"/>
      <c r="GM7746"/>
      <c r="GN7746"/>
      <c r="GO7746"/>
    </row>
    <row r="7747" spans="107:197">
      <c r="DC7747"/>
      <c r="FH7747"/>
      <c r="FI7747"/>
      <c r="FJ7747"/>
      <c r="FK7747"/>
      <c r="FL7747"/>
      <c r="FM7747"/>
      <c r="FN7747"/>
      <c r="FO7747"/>
      <c r="FP7747"/>
      <c r="FQ7747"/>
      <c r="FR7747"/>
      <c r="FS7747"/>
      <c r="FT7747"/>
      <c r="FU7747"/>
      <c r="FV7747"/>
      <c r="FW7747"/>
      <c r="FX7747"/>
      <c r="FY7747"/>
      <c r="FZ7747"/>
      <c r="GA7747"/>
      <c r="GB7747"/>
      <c r="GC7747"/>
      <c r="GD7747"/>
      <c r="GE7747"/>
      <c r="GF7747"/>
      <c r="GG7747"/>
      <c r="GH7747"/>
      <c r="GI7747"/>
      <c r="GJ7747"/>
      <c r="GK7747"/>
      <c r="GL7747"/>
      <c r="GM7747"/>
      <c r="GN7747"/>
      <c r="GO7747"/>
    </row>
    <row r="7748" spans="107:197">
      <c r="DC7748"/>
      <c r="FH7748"/>
      <c r="FI7748"/>
      <c r="FJ7748"/>
      <c r="FK7748"/>
      <c r="FL7748"/>
      <c r="FM7748"/>
      <c r="FN7748"/>
      <c r="FO7748"/>
      <c r="FP7748"/>
      <c r="FQ7748"/>
      <c r="FR7748"/>
      <c r="FS7748"/>
      <c r="FT7748"/>
      <c r="FU7748"/>
      <c r="FV7748"/>
      <c r="FW7748"/>
      <c r="FX7748"/>
      <c r="FY7748"/>
      <c r="FZ7748"/>
      <c r="GA7748"/>
      <c r="GB7748"/>
      <c r="GC7748"/>
      <c r="GD7748"/>
      <c r="GE7748"/>
      <c r="GF7748"/>
      <c r="GG7748"/>
      <c r="GH7748"/>
      <c r="GI7748"/>
      <c r="GJ7748"/>
      <c r="GK7748"/>
      <c r="GL7748"/>
      <c r="GM7748"/>
      <c r="GN7748"/>
      <c r="GO7748"/>
    </row>
    <row r="7749" spans="107:197">
      <c r="DC7749"/>
      <c r="FH7749"/>
      <c r="FI7749"/>
      <c r="FJ7749"/>
      <c r="FK7749"/>
      <c r="FL7749"/>
      <c r="FM7749"/>
      <c r="FN7749"/>
      <c r="FO7749"/>
      <c r="FP7749"/>
      <c r="FQ7749"/>
      <c r="FR7749"/>
      <c r="FS7749"/>
      <c r="FT7749"/>
      <c r="FU7749"/>
      <c r="FV7749"/>
      <c r="FW7749"/>
      <c r="FX7749"/>
      <c r="FY7749"/>
      <c r="FZ7749"/>
      <c r="GA7749"/>
      <c r="GB7749"/>
      <c r="GC7749"/>
      <c r="GD7749"/>
      <c r="GE7749"/>
      <c r="GF7749"/>
      <c r="GG7749"/>
      <c r="GH7749"/>
      <c r="GI7749"/>
      <c r="GJ7749"/>
      <c r="GK7749"/>
      <c r="GL7749"/>
      <c r="GM7749"/>
      <c r="GN7749"/>
      <c r="GO7749"/>
    </row>
    <row r="7750" spans="107:197">
      <c r="DC7750"/>
      <c r="FH7750"/>
      <c r="FI7750"/>
      <c r="FJ7750"/>
      <c r="FK7750"/>
      <c r="FL7750"/>
      <c r="FM7750"/>
      <c r="FN7750"/>
      <c r="FO7750"/>
      <c r="FP7750"/>
      <c r="FQ7750"/>
      <c r="FR7750"/>
      <c r="FS7750"/>
      <c r="FT7750"/>
      <c r="FU7750"/>
      <c r="FV7750"/>
      <c r="FW7750"/>
      <c r="FX7750"/>
      <c r="FY7750"/>
      <c r="FZ7750"/>
      <c r="GA7750"/>
      <c r="GB7750"/>
      <c r="GC7750"/>
      <c r="GD7750"/>
      <c r="GE7750"/>
      <c r="GF7750"/>
      <c r="GG7750"/>
      <c r="GH7750"/>
      <c r="GI7750"/>
      <c r="GJ7750"/>
      <c r="GK7750"/>
      <c r="GL7750"/>
      <c r="GM7750"/>
      <c r="GN7750"/>
      <c r="GO7750"/>
    </row>
    <row r="7751" spans="107:197">
      <c r="DC7751"/>
      <c r="FH7751"/>
      <c r="FI7751"/>
      <c r="FJ7751"/>
      <c r="FK7751"/>
      <c r="FL7751"/>
      <c r="FM7751"/>
      <c r="FN7751"/>
      <c r="FO7751"/>
      <c r="FP7751"/>
      <c r="FQ7751"/>
      <c r="FR7751"/>
      <c r="FS7751"/>
      <c r="FT7751"/>
      <c r="FU7751"/>
      <c r="FV7751"/>
      <c r="FW7751"/>
      <c r="FX7751"/>
      <c r="FY7751"/>
      <c r="FZ7751"/>
      <c r="GA7751"/>
      <c r="GB7751"/>
      <c r="GC7751"/>
      <c r="GD7751"/>
      <c r="GE7751"/>
      <c r="GF7751"/>
      <c r="GG7751"/>
      <c r="GH7751"/>
      <c r="GI7751"/>
      <c r="GJ7751"/>
      <c r="GK7751"/>
      <c r="GL7751"/>
      <c r="GM7751"/>
      <c r="GN7751"/>
      <c r="GO7751"/>
    </row>
    <row r="7752" spans="107:197">
      <c r="DC7752"/>
      <c r="FH7752"/>
      <c r="FI7752"/>
      <c r="FJ7752"/>
      <c r="FK7752"/>
      <c r="FL7752"/>
      <c r="FM7752"/>
      <c r="FN7752"/>
      <c r="FO7752"/>
      <c r="FP7752"/>
      <c r="FQ7752"/>
      <c r="FR7752"/>
      <c r="FS7752"/>
      <c r="FT7752"/>
      <c r="FU7752"/>
      <c r="FV7752"/>
      <c r="FW7752"/>
      <c r="FX7752"/>
      <c r="FY7752"/>
      <c r="FZ7752"/>
      <c r="GA7752"/>
      <c r="GB7752"/>
      <c r="GC7752"/>
      <c r="GD7752"/>
      <c r="GE7752"/>
      <c r="GF7752"/>
      <c r="GG7752"/>
      <c r="GH7752"/>
      <c r="GI7752"/>
      <c r="GJ7752"/>
      <c r="GK7752"/>
      <c r="GL7752"/>
      <c r="GM7752"/>
      <c r="GN7752"/>
      <c r="GO7752"/>
    </row>
    <row r="7753" spans="107:197">
      <c r="DC7753"/>
      <c r="FH7753"/>
      <c r="FI7753"/>
      <c r="FJ7753"/>
      <c r="FK7753"/>
      <c r="FL7753"/>
      <c r="FM7753"/>
      <c r="FN7753"/>
      <c r="FO7753"/>
      <c r="FP7753"/>
      <c r="FQ7753"/>
      <c r="FR7753"/>
      <c r="FS7753"/>
      <c r="FT7753"/>
      <c r="FU7753"/>
      <c r="FV7753"/>
      <c r="FW7753"/>
      <c r="FX7753"/>
      <c r="FY7753"/>
      <c r="FZ7753"/>
      <c r="GA7753"/>
      <c r="GB7753"/>
      <c r="GC7753"/>
      <c r="GD7753"/>
      <c r="GE7753"/>
      <c r="GF7753"/>
      <c r="GG7753"/>
      <c r="GH7753"/>
      <c r="GI7753"/>
      <c r="GJ7753"/>
      <c r="GK7753"/>
      <c r="GL7753"/>
      <c r="GM7753"/>
      <c r="GN7753"/>
      <c r="GO7753"/>
    </row>
    <row r="7754" spans="107:197">
      <c r="DC7754"/>
      <c r="FH7754"/>
      <c r="FI7754"/>
      <c r="FJ7754"/>
      <c r="FK7754"/>
      <c r="FL7754"/>
      <c r="FM7754"/>
      <c r="FN7754"/>
      <c r="FO7754"/>
      <c r="FP7754"/>
      <c r="FQ7754"/>
      <c r="FR7754"/>
      <c r="FS7754"/>
      <c r="FT7754"/>
      <c r="FU7754"/>
      <c r="FV7754"/>
      <c r="FW7754"/>
      <c r="FX7754"/>
      <c r="FY7754"/>
      <c r="FZ7754"/>
      <c r="GA7754"/>
      <c r="GB7754"/>
      <c r="GC7754"/>
      <c r="GD7754"/>
      <c r="GE7754"/>
      <c r="GF7754"/>
      <c r="GG7754"/>
      <c r="GH7754"/>
      <c r="GI7754"/>
      <c r="GJ7754"/>
      <c r="GK7754"/>
      <c r="GL7754"/>
      <c r="GM7754"/>
      <c r="GN7754"/>
      <c r="GO7754"/>
    </row>
    <row r="7755" spans="107:197">
      <c r="DC7755"/>
      <c r="FH7755"/>
      <c r="FI7755"/>
      <c r="FJ7755"/>
      <c r="FK7755"/>
      <c r="FL7755"/>
      <c r="FM7755"/>
      <c r="FN7755"/>
      <c r="FO7755"/>
      <c r="FP7755"/>
      <c r="FQ7755"/>
      <c r="FR7755"/>
      <c r="FS7755"/>
      <c r="FT7755"/>
      <c r="FU7755"/>
      <c r="FV7755"/>
      <c r="FW7755"/>
      <c r="FX7755"/>
      <c r="FY7755"/>
      <c r="FZ7755"/>
      <c r="GA7755"/>
      <c r="GB7755"/>
      <c r="GC7755"/>
      <c r="GD7755"/>
      <c r="GE7755"/>
      <c r="GF7755"/>
      <c r="GG7755"/>
      <c r="GH7755"/>
      <c r="GI7755"/>
      <c r="GJ7755"/>
      <c r="GK7755"/>
      <c r="GL7755"/>
      <c r="GM7755"/>
      <c r="GN7755"/>
      <c r="GO7755"/>
    </row>
    <row r="7756" spans="107:197">
      <c r="DC7756"/>
      <c r="FH7756"/>
      <c r="FI7756"/>
      <c r="FJ7756"/>
      <c r="FK7756"/>
      <c r="FL7756"/>
      <c r="FM7756"/>
      <c r="FN7756"/>
      <c r="FO7756"/>
      <c r="FP7756"/>
      <c r="FQ7756"/>
      <c r="FR7756"/>
      <c r="FS7756"/>
      <c r="FT7756"/>
      <c r="FU7756"/>
      <c r="FV7756"/>
      <c r="FW7756"/>
      <c r="FX7756"/>
      <c r="FY7756"/>
      <c r="FZ7756"/>
      <c r="GA7756"/>
      <c r="GB7756"/>
      <c r="GC7756"/>
      <c r="GD7756"/>
      <c r="GE7756"/>
      <c r="GF7756"/>
      <c r="GG7756"/>
      <c r="GH7756"/>
      <c r="GI7756"/>
      <c r="GJ7756"/>
      <c r="GK7756"/>
      <c r="GL7756"/>
      <c r="GM7756"/>
      <c r="GN7756"/>
      <c r="GO7756"/>
    </row>
    <row r="7757" spans="107:197">
      <c r="DC7757"/>
      <c r="FH7757"/>
      <c r="FI7757"/>
      <c r="FJ7757"/>
      <c r="FK7757"/>
      <c r="FL7757"/>
      <c r="FM7757"/>
      <c r="FN7757"/>
      <c r="FO7757"/>
      <c r="FP7757"/>
      <c r="FQ7757"/>
      <c r="FR7757"/>
      <c r="FS7757"/>
      <c r="FT7757"/>
      <c r="FU7757"/>
      <c r="FV7757"/>
      <c r="FW7757"/>
      <c r="FX7757"/>
      <c r="FY7757"/>
      <c r="FZ7757"/>
      <c r="GA7757"/>
      <c r="GB7757"/>
      <c r="GC7757"/>
      <c r="GD7757"/>
      <c r="GE7757"/>
      <c r="GF7757"/>
      <c r="GG7757"/>
      <c r="GH7757"/>
      <c r="GI7757"/>
      <c r="GJ7757"/>
      <c r="GK7757"/>
      <c r="GL7757"/>
      <c r="GM7757"/>
      <c r="GN7757"/>
      <c r="GO7757"/>
    </row>
    <row r="7758" spans="107:197">
      <c r="DC7758"/>
      <c r="FH7758"/>
      <c r="FI7758"/>
      <c r="FJ7758"/>
      <c r="FK7758"/>
      <c r="FL7758"/>
      <c r="FM7758"/>
      <c r="FN7758"/>
      <c r="FO7758"/>
      <c r="FP7758"/>
      <c r="FQ7758"/>
      <c r="FR7758"/>
      <c r="FS7758"/>
      <c r="FT7758"/>
      <c r="FU7758"/>
      <c r="FV7758"/>
      <c r="FW7758"/>
      <c r="FX7758"/>
      <c r="FY7758"/>
      <c r="FZ7758"/>
      <c r="GA7758"/>
      <c r="GB7758"/>
      <c r="GC7758"/>
      <c r="GD7758"/>
      <c r="GE7758"/>
      <c r="GF7758"/>
      <c r="GG7758"/>
      <c r="GH7758"/>
      <c r="GI7758"/>
      <c r="GJ7758"/>
      <c r="GK7758"/>
      <c r="GL7758"/>
      <c r="GM7758"/>
      <c r="GN7758"/>
      <c r="GO7758"/>
    </row>
    <row r="7759" spans="107:197">
      <c r="DC7759"/>
      <c r="FH7759"/>
      <c r="FI7759"/>
      <c r="FJ7759"/>
      <c r="FK7759"/>
      <c r="FL7759"/>
      <c r="FM7759"/>
      <c r="FN7759"/>
      <c r="FO7759"/>
      <c r="FP7759"/>
      <c r="FQ7759"/>
      <c r="FR7759"/>
      <c r="FS7759"/>
      <c r="FT7759"/>
      <c r="FU7759"/>
      <c r="FV7759"/>
      <c r="FW7759"/>
      <c r="FX7759"/>
      <c r="FY7759"/>
      <c r="FZ7759"/>
      <c r="GA7759"/>
      <c r="GB7759"/>
      <c r="GC7759"/>
      <c r="GD7759"/>
      <c r="GE7759"/>
      <c r="GF7759"/>
      <c r="GG7759"/>
      <c r="GH7759"/>
      <c r="GI7759"/>
      <c r="GJ7759"/>
      <c r="GK7759"/>
      <c r="GL7759"/>
      <c r="GM7759"/>
      <c r="GN7759"/>
      <c r="GO7759"/>
    </row>
    <row r="7760" spans="107:197">
      <c r="DC7760"/>
      <c r="FH7760"/>
      <c r="FI7760"/>
      <c r="FJ7760"/>
      <c r="FK7760"/>
      <c r="FL7760"/>
      <c r="FM7760"/>
      <c r="FN7760"/>
      <c r="FO7760"/>
      <c r="FP7760"/>
      <c r="FQ7760"/>
      <c r="FR7760"/>
      <c r="FS7760"/>
      <c r="FT7760"/>
      <c r="FU7760"/>
      <c r="FV7760"/>
      <c r="FW7760"/>
      <c r="FX7760"/>
      <c r="FY7760"/>
      <c r="FZ7760"/>
      <c r="GA7760"/>
      <c r="GB7760"/>
      <c r="GC7760"/>
      <c r="GD7760"/>
      <c r="GE7760"/>
      <c r="GF7760"/>
      <c r="GG7760"/>
      <c r="GH7760"/>
      <c r="GI7760"/>
      <c r="GJ7760"/>
      <c r="GK7760"/>
      <c r="GL7760"/>
      <c r="GM7760"/>
      <c r="GN7760"/>
      <c r="GO7760"/>
    </row>
    <row r="7761" spans="107:197">
      <c r="DC7761"/>
      <c r="FH7761"/>
      <c r="FI7761"/>
      <c r="FJ7761"/>
      <c r="FK7761"/>
      <c r="FL7761"/>
      <c r="FM7761"/>
      <c r="FN7761"/>
      <c r="FO7761"/>
      <c r="FP7761"/>
      <c r="FQ7761"/>
      <c r="FR7761"/>
      <c r="FS7761"/>
      <c r="FT7761"/>
      <c r="FU7761"/>
      <c r="FV7761"/>
      <c r="FW7761"/>
      <c r="FX7761"/>
      <c r="FY7761"/>
      <c r="FZ7761"/>
      <c r="GA7761"/>
      <c r="GB7761"/>
      <c r="GC7761"/>
      <c r="GD7761"/>
      <c r="GE7761"/>
      <c r="GF7761"/>
      <c r="GG7761"/>
      <c r="GH7761"/>
      <c r="GI7761"/>
      <c r="GJ7761"/>
      <c r="GK7761"/>
      <c r="GL7761"/>
      <c r="GM7761"/>
      <c r="GN7761"/>
      <c r="GO7761"/>
    </row>
    <row r="7762" spans="107:197">
      <c r="DC7762"/>
      <c r="FH7762"/>
      <c r="FI7762"/>
      <c r="FJ7762"/>
      <c r="FK7762"/>
      <c r="FL7762"/>
      <c r="FM7762"/>
      <c r="FN7762"/>
      <c r="FO7762"/>
      <c r="FP7762"/>
      <c r="FQ7762"/>
      <c r="FR7762"/>
      <c r="FS7762"/>
      <c r="FT7762"/>
      <c r="FU7762"/>
      <c r="FV7762"/>
      <c r="FW7762"/>
      <c r="FX7762"/>
      <c r="FY7762"/>
      <c r="FZ7762"/>
      <c r="GA7762"/>
      <c r="GB7762"/>
      <c r="GC7762"/>
      <c r="GD7762"/>
      <c r="GE7762"/>
      <c r="GF7762"/>
      <c r="GG7762"/>
      <c r="GH7762"/>
      <c r="GI7762"/>
      <c r="GJ7762"/>
      <c r="GK7762"/>
      <c r="GL7762"/>
      <c r="GM7762"/>
      <c r="GN7762"/>
      <c r="GO7762"/>
    </row>
    <row r="7763" spans="107:197">
      <c r="DC7763"/>
      <c r="FH7763"/>
      <c r="FI7763"/>
      <c r="FJ7763"/>
      <c r="FK7763"/>
      <c r="FL7763"/>
      <c r="FM7763"/>
      <c r="FN7763"/>
      <c r="FO7763"/>
      <c r="FP7763"/>
      <c r="FQ7763"/>
      <c r="FR7763"/>
      <c r="FS7763"/>
      <c r="FT7763"/>
      <c r="FU7763"/>
      <c r="FV7763"/>
      <c r="FW7763"/>
      <c r="FX7763"/>
      <c r="FY7763"/>
      <c r="FZ7763"/>
      <c r="GA7763"/>
      <c r="GB7763"/>
      <c r="GC7763"/>
      <c r="GD7763"/>
      <c r="GE7763"/>
      <c r="GF7763"/>
      <c r="GG7763"/>
      <c r="GH7763"/>
      <c r="GI7763"/>
      <c r="GJ7763"/>
      <c r="GK7763"/>
      <c r="GL7763"/>
      <c r="GM7763"/>
      <c r="GN7763"/>
      <c r="GO7763"/>
    </row>
    <row r="7764" spans="107:197">
      <c r="DC7764"/>
      <c r="FH7764"/>
      <c r="FI7764"/>
      <c r="FJ7764"/>
      <c r="FK7764"/>
      <c r="FL7764"/>
      <c r="FM7764"/>
      <c r="FN7764"/>
      <c r="FO7764"/>
      <c r="FP7764"/>
      <c r="FQ7764"/>
      <c r="FR7764"/>
      <c r="FS7764"/>
      <c r="FT7764"/>
      <c r="FU7764"/>
      <c r="FV7764"/>
      <c r="FW7764"/>
      <c r="FX7764"/>
      <c r="FY7764"/>
      <c r="FZ7764"/>
      <c r="GA7764"/>
      <c r="GB7764"/>
      <c r="GC7764"/>
      <c r="GD7764"/>
      <c r="GE7764"/>
      <c r="GF7764"/>
      <c r="GG7764"/>
      <c r="GH7764"/>
      <c r="GI7764"/>
      <c r="GJ7764"/>
      <c r="GK7764"/>
      <c r="GL7764"/>
      <c r="GM7764"/>
      <c r="GN7764"/>
      <c r="GO7764"/>
    </row>
    <row r="7765" spans="107:197">
      <c r="DC7765"/>
      <c r="FH7765"/>
      <c r="FI7765"/>
      <c r="FJ7765"/>
      <c r="FK7765"/>
      <c r="FL7765"/>
      <c r="FM7765"/>
      <c r="FN7765"/>
      <c r="FO7765"/>
      <c r="FP7765"/>
      <c r="FQ7765"/>
      <c r="FR7765"/>
      <c r="FS7765"/>
      <c r="FT7765"/>
      <c r="FU7765"/>
      <c r="FV7765"/>
      <c r="FW7765"/>
      <c r="FX7765"/>
      <c r="FY7765"/>
      <c r="FZ7765"/>
      <c r="GA7765"/>
      <c r="GB7765"/>
      <c r="GC7765"/>
      <c r="GD7765"/>
      <c r="GE7765"/>
      <c r="GF7765"/>
      <c r="GG7765"/>
      <c r="GH7765"/>
      <c r="GI7765"/>
      <c r="GJ7765"/>
      <c r="GK7765"/>
      <c r="GL7765"/>
      <c r="GM7765"/>
      <c r="GN7765"/>
      <c r="GO7765"/>
    </row>
    <row r="7766" spans="107:197">
      <c r="DC7766"/>
      <c r="FH7766"/>
      <c r="FI7766"/>
      <c r="FJ7766"/>
      <c r="FK7766"/>
      <c r="FL7766"/>
      <c r="FM7766"/>
      <c r="FN7766"/>
      <c r="FO7766"/>
      <c r="FP7766"/>
      <c r="FQ7766"/>
      <c r="FR7766"/>
      <c r="FS7766"/>
      <c r="FT7766"/>
      <c r="FU7766"/>
      <c r="FV7766"/>
      <c r="FW7766"/>
      <c r="FX7766"/>
      <c r="FY7766"/>
      <c r="FZ7766"/>
      <c r="GA7766"/>
      <c r="GB7766"/>
      <c r="GC7766"/>
      <c r="GD7766"/>
      <c r="GE7766"/>
      <c r="GF7766"/>
      <c r="GG7766"/>
      <c r="GH7766"/>
      <c r="GI7766"/>
      <c r="GJ7766"/>
      <c r="GK7766"/>
      <c r="GL7766"/>
      <c r="GM7766"/>
      <c r="GN7766"/>
      <c r="GO7766"/>
    </row>
    <row r="7767" spans="107:197">
      <c r="DC7767"/>
      <c r="FH7767"/>
      <c r="FI7767"/>
      <c r="FJ7767"/>
      <c r="FK7767"/>
      <c r="FL7767"/>
      <c r="FM7767"/>
      <c r="FN7767"/>
      <c r="FO7767"/>
      <c r="FP7767"/>
      <c r="FQ7767"/>
      <c r="FR7767"/>
      <c r="FS7767"/>
      <c r="FT7767"/>
      <c r="FU7767"/>
      <c r="FV7767"/>
      <c r="FW7767"/>
      <c r="FX7767"/>
      <c r="FY7767"/>
      <c r="FZ7767"/>
      <c r="GA7767"/>
      <c r="GB7767"/>
      <c r="GC7767"/>
      <c r="GD7767"/>
      <c r="GE7767"/>
      <c r="GF7767"/>
      <c r="GG7767"/>
      <c r="GH7767"/>
      <c r="GI7767"/>
      <c r="GJ7767"/>
      <c r="GK7767"/>
      <c r="GL7767"/>
      <c r="GM7767"/>
      <c r="GN7767"/>
      <c r="GO7767"/>
    </row>
    <row r="7768" spans="107:197">
      <c r="DC7768"/>
      <c r="FH7768"/>
      <c r="FI7768"/>
      <c r="FJ7768"/>
      <c r="FK7768"/>
      <c r="FL7768"/>
      <c r="FM7768"/>
      <c r="FN7768"/>
      <c r="FO7768"/>
      <c r="FP7768"/>
      <c r="FQ7768"/>
      <c r="FR7768"/>
      <c r="FS7768"/>
      <c r="FT7768"/>
      <c r="FU7768"/>
      <c r="FV7768"/>
      <c r="FW7768"/>
      <c r="FX7768"/>
      <c r="FY7768"/>
      <c r="FZ7768"/>
      <c r="GA7768"/>
      <c r="GB7768"/>
      <c r="GC7768"/>
      <c r="GD7768"/>
      <c r="GE7768"/>
      <c r="GF7768"/>
      <c r="GG7768"/>
      <c r="GH7768"/>
      <c r="GI7768"/>
      <c r="GJ7768"/>
      <c r="GK7768"/>
      <c r="GL7768"/>
      <c r="GM7768"/>
      <c r="GN7768"/>
      <c r="GO7768"/>
    </row>
    <row r="7769" spans="107:197">
      <c r="DC7769"/>
      <c r="FH7769"/>
      <c r="FI7769"/>
      <c r="FJ7769"/>
      <c r="FK7769"/>
      <c r="FL7769"/>
      <c r="FM7769"/>
      <c r="FN7769"/>
      <c r="FO7769"/>
      <c r="FP7769"/>
      <c r="FQ7769"/>
      <c r="FR7769"/>
      <c r="FS7769"/>
      <c r="FT7769"/>
      <c r="FU7769"/>
      <c r="FV7769"/>
      <c r="FW7769"/>
      <c r="FX7769"/>
      <c r="FY7769"/>
      <c r="FZ7769"/>
      <c r="GA7769"/>
      <c r="GB7769"/>
      <c r="GC7769"/>
      <c r="GD7769"/>
      <c r="GE7769"/>
      <c r="GF7769"/>
      <c r="GG7769"/>
      <c r="GH7769"/>
      <c r="GI7769"/>
      <c r="GJ7769"/>
      <c r="GK7769"/>
      <c r="GL7769"/>
      <c r="GM7769"/>
      <c r="GN7769"/>
      <c r="GO7769"/>
    </row>
    <row r="7770" spans="107:197">
      <c r="DC7770"/>
      <c r="FH7770"/>
      <c r="FI7770"/>
      <c r="FJ7770"/>
      <c r="FK7770"/>
      <c r="FL7770"/>
      <c r="FM7770"/>
      <c r="FN7770"/>
      <c r="FO7770"/>
      <c r="FP7770"/>
      <c r="FQ7770"/>
      <c r="FR7770"/>
      <c r="FS7770"/>
      <c r="FT7770"/>
      <c r="FU7770"/>
      <c r="FV7770"/>
      <c r="FW7770"/>
      <c r="FX7770"/>
      <c r="FY7770"/>
      <c r="FZ7770"/>
      <c r="GA7770"/>
      <c r="GB7770"/>
      <c r="GC7770"/>
      <c r="GD7770"/>
      <c r="GE7770"/>
      <c r="GF7770"/>
      <c r="GG7770"/>
      <c r="GH7770"/>
      <c r="GI7770"/>
      <c r="GJ7770"/>
      <c r="GK7770"/>
      <c r="GL7770"/>
      <c r="GM7770"/>
      <c r="GN7770"/>
      <c r="GO7770"/>
    </row>
    <row r="7771" spans="107:197">
      <c r="DC7771"/>
      <c r="FH7771"/>
      <c r="FI7771"/>
      <c r="FJ7771"/>
      <c r="FK7771"/>
      <c r="FL7771"/>
      <c r="FM7771"/>
      <c r="FN7771"/>
      <c r="FO7771"/>
      <c r="FP7771"/>
      <c r="FQ7771"/>
      <c r="FR7771"/>
      <c r="FS7771"/>
      <c r="FT7771"/>
      <c r="FU7771"/>
      <c r="FV7771"/>
      <c r="FW7771"/>
      <c r="FX7771"/>
      <c r="FY7771"/>
      <c r="FZ7771"/>
      <c r="GA7771"/>
      <c r="GB7771"/>
      <c r="GC7771"/>
      <c r="GD7771"/>
      <c r="GE7771"/>
      <c r="GF7771"/>
      <c r="GG7771"/>
      <c r="GH7771"/>
      <c r="GI7771"/>
      <c r="GJ7771"/>
      <c r="GK7771"/>
      <c r="GL7771"/>
      <c r="GM7771"/>
      <c r="GN7771"/>
      <c r="GO7771"/>
    </row>
    <row r="7772" spans="107:197">
      <c r="DC7772"/>
      <c r="FH7772"/>
      <c r="FI7772"/>
      <c r="FJ7772"/>
      <c r="FK7772"/>
      <c r="FL7772"/>
      <c r="FM7772"/>
      <c r="FN7772"/>
      <c r="FO7772"/>
      <c r="FP7772"/>
      <c r="FQ7772"/>
      <c r="FR7772"/>
      <c r="FS7772"/>
      <c r="FT7772"/>
      <c r="FU7772"/>
      <c r="FV7772"/>
      <c r="FW7772"/>
      <c r="FX7772"/>
      <c r="FY7772"/>
      <c r="FZ7772"/>
      <c r="GA7772"/>
      <c r="GB7772"/>
      <c r="GC7772"/>
      <c r="GD7772"/>
      <c r="GE7772"/>
      <c r="GF7772"/>
      <c r="GG7772"/>
      <c r="GH7772"/>
      <c r="GI7772"/>
      <c r="GJ7772"/>
      <c r="GK7772"/>
      <c r="GL7772"/>
      <c r="GM7772"/>
      <c r="GN7772"/>
      <c r="GO7772"/>
    </row>
    <row r="7773" spans="107:197">
      <c r="DC7773"/>
      <c r="FH7773"/>
      <c r="FI7773"/>
      <c r="FJ7773"/>
      <c r="FK7773"/>
      <c r="FL7773"/>
      <c r="FM7773"/>
      <c r="FN7773"/>
      <c r="FO7773"/>
      <c r="FP7773"/>
      <c r="FQ7773"/>
      <c r="FR7773"/>
      <c r="FS7773"/>
      <c r="FT7773"/>
      <c r="FU7773"/>
      <c r="FV7773"/>
      <c r="FW7773"/>
      <c r="FX7773"/>
      <c r="FY7773"/>
      <c r="FZ7773"/>
      <c r="GA7773"/>
      <c r="GB7773"/>
      <c r="GC7773"/>
      <c r="GD7773"/>
      <c r="GE7773"/>
      <c r="GF7773"/>
      <c r="GG7773"/>
      <c r="GH7773"/>
      <c r="GI7773"/>
      <c r="GJ7773"/>
      <c r="GK7773"/>
      <c r="GL7773"/>
      <c r="GM7773"/>
      <c r="GN7773"/>
      <c r="GO7773"/>
    </row>
    <row r="7774" spans="107:197">
      <c r="DC7774"/>
      <c r="FH7774"/>
      <c r="FI7774"/>
      <c r="FJ7774"/>
      <c r="FK7774"/>
      <c r="FL7774"/>
      <c r="FM7774"/>
      <c r="FN7774"/>
      <c r="FO7774"/>
      <c r="FP7774"/>
      <c r="FQ7774"/>
      <c r="FR7774"/>
      <c r="FS7774"/>
      <c r="FT7774"/>
      <c r="FU7774"/>
      <c r="FV7774"/>
      <c r="FW7774"/>
      <c r="FX7774"/>
      <c r="FY7774"/>
      <c r="FZ7774"/>
      <c r="GA7774"/>
      <c r="GB7774"/>
      <c r="GC7774"/>
      <c r="GD7774"/>
      <c r="GE7774"/>
      <c r="GF7774"/>
      <c r="GG7774"/>
      <c r="GH7774"/>
      <c r="GI7774"/>
      <c r="GJ7774"/>
      <c r="GK7774"/>
      <c r="GL7774"/>
      <c r="GM7774"/>
      <c r="GN7774"/>
      <c r="GO7774"/>
    </row>
    <row r="7775" spans="107:197">
      <c r="DC7775"/>
      <c r="FH7775"/>
      <c r="FI7775"/>
      <c r="FJ7775"/>
      <c r="FK7775"/>
      <c r="FL7775"/>
      <c r="FM7775"/>
      <c r="FN7775"/>
      <c r="FO7775"/>
      <c r="FP7775"/>
      <c r="FQ7775"/>
      <c r="FR7775"/>
      <c r="FS7775"/>
      <c r="FT7775"/>
      <c r="FU7775"/>
      <c r="FV7775"/>
      <c r="FW7775"/>
      <c r="FX7775"/>
      <c r="FY7775"/>
      <c r="FZ7775"/>
      <c r="GA7775"/>
      <c r="GB7775"/>
      <c r="GC7775"/>
      <c r="GD7775"/>
      <c r="GE7775"/>
      <c r="GF7775"/>
      <c r="GG7775"/>
      <c r="GH7775"/>
      <c r="GI7775"/>
      <c r="GJ7775"/>
      <c r="GK7775"/>
      <c r="GL7775"/>
      <c r="GM7775"/>
      <c r="GN7775"/>
      <c r="GO7775"/>
    </row>
    <row r="7776" spans="107:197">
      <c r="DC7776"/>
      <c r="FH7776"/>
      <c r="FI7776"/>
      <c r="FJ7776"/>
      <c r="FK7776"/>
      <c r="FL7776"/>
      <c r="FM7776"/>
      <c r="FN7776"/>
      <c r="FO7776"/>
      <c r="FP7776"/>
      <c r="FQ7776"/>
      <c r="FR7776"/>
      <c r="FS7776"/>
      <c r="FT7776"/>
      <c r="FU7776"/>
      <c r="FV7776"/>
      <c r="FW7776"/>
      <c r="FX7776"/>
      <c r="FY7776"/>
      <c r="FZ7776"/>
      <c r="GA7776"/>
      <c r="GB7776"/>
      <c r="GC7776"/>
      <c r="GD7776"/>
      <c r="GE7776"/>
      <c r="GF7776"/>
      <c r="GG7776"/>
      <c r="GH7776"/>
      <c r="GI7776"/>
      <c r="GJ7776"/>
      <c r="GK7776"/>
      <c r="GL7776"/>
      <c r="GM7776"/>
      <c r="GN7776"/>
      <c r="GO7776"/>
    </row>
    <row r="7777" spans="107:197">
      <c r="DC7777"/>
      <c r="FH7777"/>
      <c r="FI7777"/>
      <c r="FJ7777"/>
      <c r="FK7777"/>
      <c r="FL7777"/>
      <c r="FM7777"/>
      <c r="FN7777"/>
      <c r="FO7777"/>
      <c r="FP7777"/>
      <c r="FQ7777"/>
      <c r="FR7777"/>
      <c r="FS7777"/>
      <c r="FT7777"/>
      <c r="FU7777"/>
      <c r="FV7777"/>
      <c r="FW7777"/>
      <c r="FX7777"/>
      <c r="FY7777"/>
      <c r="FZ7777"/>
      <c r="GA7777"/>
      <c r="GB7777"/>
      <c r="GC7777"/>
      <c r="GD7777"/>
      <c r="GE7777"/>
      <c r="GF7777"/>
      <c r="GG7777"/>
      <c r="GH7777"/>
      <c r="GI7777"/>
      <c r="GJ7777"/>
      <c r="GK7777"/>
      <c r="GL7777"/>
      <c r="GM7777"/>
      <c r="GN7777"/>
      <c r="GO7777"/>
    </row>
    <row r="7778" spans="107:197">
      <c r="DC7778"/>
      <c r="FH7778"/>
      <c r="FI7778"/>
      <c r="FJ7778"/>
      <c r="FK7778"/>
      <c r="FL7778"/>
      <c r="FM7778"/>
      <c r="FN7778"/>
      <c r="FO7778"/>
      <c r="FP7778"/>
      <c r="FQ7778"/>
      <c r="FR7778"/>
      <c r="FS7778"/>
      <c r="FT7778"/>
      <c r="FU7778"/>
      <c r="FV7778"/>
      <c r="FW7778"/>
      <c r="FX7778"/>
      <c r="FY7778"/>
      <c r="FZ7778"/>
      <c r="GA7778"/>
      <c r="GB7778"/>
      <c r="GC7778"/>
      <c r="GD7778"/>
      <c r="GE7778"/>
      <c r="GF7778"/>
      <c r="GG7778"/>
      <c r="GH7778"/>
      <c r="GI7778"/>
      <c r="GJ7778"/>
      <c r="GK7778"/>
      <c r="GL7778"/>
      <c r="GM7778"/>
      <c r="GN7778"/>
      <c r="GO7778"/>
    </row>
    <row r="7779" spans="107:197">
      <c r="DC7779"/>
      <c r="FH7779"/>
      <c r="FI7779"/>
      <c r="FJ7779"/>
      <c r="FK7779"/>
      <c r="FL7779"/>
      <c r="FM7779"/>
      <c r="FN7779"/>
      <c r="FO7779"/>
      <c r="FP7779"/>
      <c r="FQ7779"/>
      <c r="FR7779"/>
      <c r="FS7779"/>
      <c r="FT7779"/>
      <c r="FU7779"/>
      <c r="FV7779"/>
      <c r="FW7779"/>
      <c r="FX7779"/>
      <c r="FY7779"/>
      <c r="FZ7779"/>
      <c r="GA7779"/>
      <c r="GB7779"/>
      <c r="GC7779"/>
      <c r="GD7779"/>
      <c r="GE7779"/>
      <c r="GF7779"/>
      <c r="GG7779"/>
      <c r="GH7779"/>
      <c r="GI7779"/>
      <c r="GJ7779"/>
      <c r="GK7779"/>
      <c r="GL7779"/>
      <c r="GM7779"/>
      <c r="GN7779"/>
      <c r="GO7779"/>
    </row>
    <row r="7780" spans="107:197">
      <c r="DC7780"/>
      <c r="FH7780"/>
      <c r="FI7780"/>
      <c r="FJ7780"/>
      <c r="FK7780"/>
      <c r="FL7780"/>
      <c r="FM7780"/>
      <c r="FN7780"/>
      <c r="FO7780"/>
      <c r="FP7780"/>
      <c r="FQ7780"/>
      <c r="FR7780"/>
      <c r="FS7780"/>
      <c r="FT7780"/>
      <c r="FU7780"/>
      <c r="FV7780"/>
      <c r="FW7780"/>
      <c r="FX7780"/>
      <c r="FY7780"/>
      <c r="FZ7780"/>
      <c r="GA7780"/>
      <c r="GB7780"/>
      <c r="GC7780"/>
      <c r="GD7780"/>
      <c r="GE7780"/>
      <c r="GF7780"/>
      <c r="GG7780"/>
      <c r="GH7780"/>
      <c r="GI7780"/>
      <c r="GJ7780"/>
      <c r="GK7780"/>
      <c r="GL7780"/>
      <c r="GM7780"/>
      <c r="GN7780"/>
      <c r="GO7780"/>
    </row>
    <row r="7781" spans="107:197">
      <c r="DC7781"/>
      <c r="FH7781"/>
      <c r="FI7781"/>
      <c r="FJ7781"/>
      <c r="FK7781"/>
      <c r="FL7781"/>
      <c r="FM7781"/>
      <c r="FN7781"/>
      <c r="FO7781"/>
      <c r="FP7781"/>
      <c r="FQ7781"/>
      <c r="FR7781"/>
      <c r="FS7781"/>
      <c r="FT7781"/>
      <c r="FU7781"/>
      <c r="FV7781"/>
      <c r="FW7781"/>
      <c r="FX7781"/>
      <c r="FY7781"/>
      <c r="FZ7781"/>
      <c r="GA7781"/>
      <c r="GB7781"/>
      <c r="GC7781"/>
      <c r="GD7781"/>
      <c r="GE7781"/>
      <c r="GF7781"/>
      <c r="GG7781"/>
      <c r="GH7781"/>
      <c r="GI7781"/>
      <c r="GJ7781"/>
      <c r="GK7781"/>
      <c r="GL7781"/>
      <c r="GM7781"/>
      <c r="GN7781"/>
      <c r="GO7781"/>
    </row>
    <row r="7782" spans="107:197">
      <c r="DC7782"/>
      <c r="FH7782"/>
      <c r="FI7782"/>
      <c r="FJ7782"/>
      <c r="FK7782"/>
      <c r="FL7782"/>
      <c r="FM7782"/>
      <c r="FN7782"/>
      <c r="FO7782"/>
      <c r="FP7782"/>
      <c r="FQ7782"/>
      <c r="FR7782"/>
      <c r="FS7782"/>
      <c r="FT7782"/>
      <c r="FU7782"/>
      <c r="FV7782"/>
      <c r="FW7782"/>
      <c r="FX7782"/>
      <c r="FY7782"/>
      <c r="FZ7782"/>
      <c r="GA7782"/>
      <c r="GB7782"/>
      <c r="GC7782"/>
      <c r="GD7782"/>
      <c r="GE7782"/>
      <c r="GF7782"/>
      <c r="GG7782"/>
      <c r="GH7782"/>
      <c r="GI7782"/>
      <c r="GJ7782"/>
      <c r="GK7782"/>
      <c r="GL7782"/>
      <c r="GM7782"/>
      <c r="GN7782"/>
      <c r="GO7782"/>
    </row>
    <row r="7783" spans="107:197">
      <c r="DC7783"/>
      <c r="FH7783"/>
      <c r="FI7783"/>
      <c r="FJ7783"/>
      <c r="FK7783"/>
      <c r="FL7783"/>
      <c r="FM7783"/>
      <c r="FN7783"/>
      <c r="FO7783"/>
      <c r="FP7783"/>
      <c r="FQ7783"/>
      <c r="FR7783"/>
      <c r="FS7783"/>
      <c r="FT7783"/>
      <c r="FU7783"/>
      <c r="FV7783"/>
      <c r="FW7783"/>
      <c r="FX7783"/>
      <c r="FY7783"/>
      <c r="FZ7783"/>
      <c r="GA7783"/>
      <c r="GB7783"/>
      <c r="GC7783"/>
      <c r="GD7783"/>
      <c r="GE7783"/>
      <c r="GF7783"/>
      <c r="GG7783"/>
      <c r="GH7783"/>
      <c r="GI7783"/>
      <c r="GJ7783"/>
      <c r="GK7783"/>
      <c r="GL7783"/>
      <c r="GM7783"/>
      <c r="GN7783"/>
      <c r="GO7783"/>
    </row>
    <row r="7784" spans="107:197">
      <c r="DC7784"/>
      <c r="FH7784"/>
      <c r="FI7784"/>
      <c r="FJ7784"/>
      <c r="FK7784"/>
      <c r="FL7784"/>
      <c r="FM7784"/>
      <c r="FN7784"/>
      <c r="FO7784"/>
      <c r="FP7784"/>
      <c r="FQ7784"/>
      <c r="FR7784"/>
      <c r="FS7784"/>
      <c r="FT7784"/>
      <c r="FU7784"/>
      <c r="FV7784"/>
      <c r="FW7784"/>
      <c r="FX7784"/>
      <c r="FY7784"/>
      <c r="FZ7784"/>
      <c r="GA7784"/>
      <c r="GB7784"/>
      <c r="GC7784"/>
      <c r="GD7784"/>
      <c r="GE7784"/>
      <c r="GF7784"/>
      <c r="GG7784"/>
      <c r="GH7784"/>
      <c r="GI7784"/>
      <c r="GJ7784"/>
      <c r="GK7784"/>
      <c r="GL7784"/>
      <c r="GM7784"/>
      <c r="GN7784"/>
      <c r="GO7784"/>
    </row>
    <row r="7785" spans="107:197">
      <c r="DC7785"/>
      <c r="FH7785"/>
      <c r="FI7785"/>
      <c r="FJ7785"/>
      <c r="FK7785"/>
      <c r="FL7785"/>
      <c r="FM7785"/>
      <c r="FN7785"/>
      <c r="FO7785"/>
      <c r="FP7785"/>
      <c r="FQ7785"/>
      <c r="FR7785"/>
      <c r="FS7785"/>
      <c r="FT7785"/>
      <c r="FU7785"/>
      <c r="FV7785"/>
      <c r="FW7785"/>
      <c r="FX7785"/>
      <c r="FY7785"/>
      <c r="FZ7785"/>
      <c r="GA7785"/>
      <c r="GB7785"/>
      <c r="GC7785"/>
      <c r="GD7785"/>
      <c r="GE7785"/>
      <c r="GF7785"/>
      <c r="GG7785"/>
      <c r="GH7785"/>
      <c r="GI7785"/>
      <c r="GJ7785"/>
      <c r="GK7785"/>
      <c r="GL7785"/>
      <c r="GM7785"/>
      <c r="GN7785"/>
      <c r="GO7785"/>
    </row>
    <row r="7786" spans="107:197">
      <c r="DC7786"/>
      <c r="FH7786"/>
      <c r="FI7786"/>
      <c r="FJ7786"/>
      <c r="FK7786"/>
      <c r="FL7786"/>
      <c r="FM7786"/>
      <c r="FN7786"/>
      <c r="FO7786"/>
      <c r="FP7786"/>
      <c r="FQ7786"/>
      <c r="FR7786"/>
      <c r="FS7786"/>
      <c r="FT7786"/>
      <c r="FU7786"/>
      <c r="FV7786"/>
      <c r="FW7786"/>
      <c r="FX7786"/>
      <c r="FY7786"/>
      <c r="FZ7786"/>
      <c r="GA7786"/>
      <c r="GB7786"/>
      <c r="GC7786"/>
      <c r="GD7786"/>
      <c r="GE7786"/>
      <c r="GF7786"/>
      <c r="GG7786"/>
      <c r="GH7786"/>
      <c r="GI7786"/>
      <c r="GJ7786"/>
      <c r="GK7786"/>
      <c r="GL7786"/>
      <c r="GM7786"/>
      <c r="GN7786"/>
      <c r="GO7786"/>
    </row>
    <row r="7787" spans="107:197">
      <c r="DC7787"/>
      <c r="FH7787"/>
      <c r="FI7787"/>
      <c r="FJ7787"/>
      <c r="FK7787"/>
      <c r="FL7787"/>
      <c r="FM7787"/>
      <c r="FN7787"/>
      <c r="FO7787"/>
      <c r="FP7787"/>
      <c r="FQ7787"/>
      <c r="FR7787"/>
      <c r="FS7787"/>
      <c r="FT7787"/>
      <c r="FU7787"/>
      <c r="FV7787"/>
      <c r="FW7787"/>
      <c r="FX7787"/>
      <c r="FY7787"/>
      <c r="FZ7787"/>
      <c r="GA7787"/>
      <c r="GB7787"/>
      <c r="GC7787"/>
      <c r="GD7787"/>
      <c r="GE7787"/>
      <c r="GF7787"/>
      <c r="GG7787"/>
      <c r="GH7787"/>
      <c r="GI7787"/>
      <c r="GJ7787"/>
      <c r="GK7787"/>
      <c r="GL7787"/>
      <c r="GM7787"/>
      <c r="GN7787"/>
      <c r="GO7787"/>
    </row>
    <row r="7788" spans="107:197">
      <c r="DC7788"/>
      <c r="FH7788"/>
      <c r="FI7788"/>
      <c r="FJ7788"/>
      <c r="FK7788"/>
      <c r="FL7788"/>
      <c r="FM7788"/>
      <c r="FN7788"/>
      <c r="FO7788"/>
      <c r="FP7788"/>
      <c r="FQ7788"/>
      <c r="FR7788"/>
      <c r="FS7788"/>
      <c r="FT7788"/>
      <c r="FU7788"/>
      <c r="FV7788"/>
      <c r="FW7788"/>
      <c r="FX7788"/>
      <c r="FY7788"/>
      <c r="FZ7788"/>
      <c r="GA7788"/>
      <c r="GB7788"/>
      <c r="GC7788"/>
      <c r="GD7788"/>
      <c r="GE7788"/>
      <c r="GF7788"/>
      <c r="GG7788"/>
      <c r="GH7788"/>
      <c r="GI7788"/>
      <c r="GJ7788"/>
      <c r="GK7788"/>
      <c r="GL7788"/>
      <c r="GM7788"/>
      <c r="GN7788"/>
      <c r="GO7788"/>
    </row>
    <row r="7789" spans="107:197">
      <c r="DC7789"/>
      <c r="FH7789"/>
      <c r="FI7789"/>
      <c r="FJ7789"/>
      <c r="FK7789"/>
      <c r="FL7789"/>
      <c r="FM7789"/>
      <c r="FN7789"/>
      <c r="FO7789"/>
      <c r="FP7789"/>
      <c r="FQ7789"/>
      <c r="FR7789"/>
      <c r="FS7789"/>
      <c r="FT7789"/>
      <c r="FU7789"/>
      <c r="FV7789"/>
      <c r="FW7789"/>
      <c r="FX7789"/>
      <c r="FY7789"/>
      <c r="FZ7789"/>
      <c r="GA7789"/>
      <c r="GB7789"/>
      <c r="GC7789"/>
      <c r="GD7789"/>
      <c r="GE7789"/>
      <c r="GF7789"/>
      <c r="GG7789"/>
      <c r="GH7789"/>
      <c r="GI7789"/>
      <c r="GJ7789"/>
      <c r="GK7789"/>
      <c r="GL7789"/>
      <c r="GM7789"/>
      <c r="GN7789"/>
      <c r="GO7789"/>
    </row>
    <row r="7790" spans="107:197">
      <c r="DC7790"/>
      <c r="FH7790"/>
      <c r="FI7790"/>
      <c r="FJ7790"/>
      <c r="FK7790"/>
      <c r="FL7790"/>
      <c r="FM7790"/>
      <c r="FN7790"/>
      <c r="FO7790"/>
      <c r="FP7790"/>
      <c r="FQ7790"/>
      <c r="FR7790"/>
      <c r="FS7790"/>
      <c r="FT7790"/>
      <c r="FU7790"/>
      <c r="FV7790"/>
      <c r="FW7790"/>
      <c r="FX7790"/>
      <c r="FY7790"/>
      <c r="FZ7790"/>
      <c r="GA7790"/>
      <c r="GB7790"/>
      <c r="GC7790"/>
      <c r="GD7790"/>
      <c r="GE7790"/>
      <c r="GF7790"/>
      <c r="GG7790"/>
      <c r="GH7790"/>
      <c r="GI7790"/>
      <c r="GJ7790"/>
      <c r="GK7790"/>
      <c r="GL7790"/>
      <c r="GM7790"/>
      <c r="GN7790"/>
      <c r="GO7790"/>
    </row>
    <row r="7791" spans="107:197">
      <c r="DC7791"/>
      <c r="FH7791"/>
      <c r="FI7791"/>
      <c r="FJ7791"/>
      <c r="FK7791"/>
      <c r="FL7791"/>
      <c r="FM7791"/>
      <c r="FN7791"/>
      <c r="FO7791"/>
      <c r="FP7791"/>
      <c r="FQ7791"/>
      <c r="FR7791"/>
      <c r="FS7791"/>
      <c r="FT7791"/>
      <c r="FU7791"/>
      <c r="FV7791"/>
      <c r="FW7791"/>
      <c r="FX7791"/>
      <c r="FY7791"/>
      <c r="FZ7791"/>
      <c r="GA7791"/>
      <c r="GB7791"/>
      <c r="GC7791"/>
      <c r="GD7791"/>
      <c r="GE7791"/>
      <c r="GF7791"/>
      <c r="GG7791"/>
      <c r="GH7791"/>
      <c r="GI7791"/>
      <c r="GJ7791"/>
      <c r="GK7791"/>
      <c r="GL7791"/>
      <c r="GM7791"/>
      <c r="GN7791"/>
      <c r="GO7791"/>
    </row>
    <row r="7792" spans="107:197">
      <c r="DC7792"/>
      <c r="FH7792"/>
      <c r="FI7792"/>
      <c r="FJ7792"/>
      <c r="FK7792"/>
      <c r="FL7792"/>
      <c r="FM7792"/>
      <c r="FN7792"/>
      <c r="FO7792"/>
      <c r="FP7792"/>
      <c r="FQ7792"/>
      <c r="FR7792"/>
      <c r="FS7792"/>
      <c r="FT7792"/>
      <c r="FU7792"/>
      <c r="FV7792"/>
      <c r="FW7792"/>
      <c r="FX7792"/>
      <c r="FY7792"/>
      <c r="FZ7792"/>
      <c r="GA7792"/>
      <c r="GB7792"/>
      <c r="GC7792"/>
      <c r="GD7792"/>
      <c r="GE7792"/>
      <c r="GF7792"/>
      <c r="GG7792"/>
      <c r="GH7792"/>
      <c r="GI7792"/>
      <c r="GJ7792"/>
      <c r="GK7792"/>
      <c r="GL7792"/>
      <c r="GM7792"/>
      <c r="GN7792"/>
      <c r="GO7792"/>
    </row>
    <row r="7793" spans="107:197">
      <c r="DC7793"/>
      <c r="FH7793"/>
      <c r="FI7793"/>
      <c r="FJ7793"/>
      <c r="FK7793"/>
      <c r="FL7793"/>
      <c r="FM7793"/>
      <c r="FN7793"/>
      <c r="FO7793"/>
      <c r="FP7793"/>
      <c r="FQ7793"/>
      <c r="FR7793"/>
      <c r="FS7793"/>
      <c r="FT7793"/>
      <c r="FU7793"/>
      <c r="FV7793"/>
      <c r="FW7793"/>
      <c r="FX7793"/>
      <c r="FY7793"/>
      <c r="FZ7793"/>
      <c r="GA7793"/>
      <c r="GB7793"/>
      <c r="GC7793"/>
      <c r="GD7793"/>
      <c r="GE7793"/>
      <c r="GF7793"/>
      <c r="GG7793"/>
      <c r="GH7793"/>
      <c r="GI7793"/>
      <c r="GJ7793"/>
      <c r="GK7793"/>
      <c r="GL7793"/>
      <c r="GM7793"/>
      <c r="GN7793"/>
      <c r="GO7793"/>
    </row>
    <row r="7794" spans="107:197">
      <c r="DC7794"/>
      <c r="FH7794"/>
      <c r="FI7794"/>
      <c r="FJ7794"/>
      <c r="FK7794"/>
      <c r="FL7794"/>
      <c r="FM7794"/>
      <c r="FN7794"/>
      <c r="FO7794"/>
      <c r="FP7794"/>
      <c r="FQ7794"/>
      <c r="FR7794"/>
      <c r="FS7794"/>
      <c r="FT7794"/>
      <c r="FU7794"/>
      <c r="FV7794"/>
      <c r="FW7794"/>
      <c r="FX7794"/>
      <c r="FY7794"/>
      <c r="FZ7794"/>
      <c r="GA7794"/>
      <c r="GB7794"/>
      <c r="GC7794"/>
      <c r="GD7794"/>
      <c r="GE7794"/>
      <c r="GF7794"/>
      <c r="GG7794"/>
      <c r="GH7794"/>
      <c r="GI7794"/>
      <c r="GJ7794"/>
      <c r="GK7794"/>
      <c r="GL7794"/>
      <c r="GM7794"/>
      <c r="GN7794"/>
      <c r="GO7794"/>
    </row>
    <row r="7795" spans="107:197">
      <c r="DC7795"/>
      <c r="FH7795"/>
      <c r="FI7795"/>
      <c r="FJ7795"/>
      <c r="FK7795"/>
      <c r="FL7795"/>
      <c r="FM7795"/>
      <c r="FN7795"/>
      <c r="FO7795"/>
      <c r="FP7795"/>
      <c r="FQ7795"/>
      <c r="FR7795"/>
      <c r="FS7795"/>
      <c r="FT7795"/>
      <c r="FU7795"/>
      <c r="FV7795"/>
      <c r="FW7795"/>
      <c r="FX7795"/>
      <c r="FY7795"/>
      <c r="FZ7795"/>
      <c r="GA7795"/>
      <c r="GB7795"/>
      <c r="GC7795"/>
      <c r="GD7795"/>
      <c r="GE7795"/>
      <c r="GF7795"/>
      <c r="GG7795"/>
      <c r="GH7795"/>
      <c r="GI7795"/>
      <c r="GJ7795"/>
      <c r="GK7795"/>
      <c r="GL7795"/>
      <c r="GM7795"/>
      <c r="GN7795"/>
      <c r="GO7795"/>
    </row>
    <row r="7796" spans="107:197">
      <c r="DC7796"/>
      <c r="FH7796"/>
      <c r="FI7796"/>
      <c r="FJ7796"/>
      <c r="FK7796"/>
      <c r="FL7796"/>
      <c r="FM7796"/>
      <c r="FN7796"/>
      <c r="FO7796"/>
      <c r="FP7796"/>
      <c r="FQ7796"/>
      <c r="FR7796"/>
      <c r="FS7796"/>
      <c r="FT7796"/>
      <c r="FU7796"/>
      <c r="FV7796"/>
      <c r="FW7796"/>
      <c r="FX7796"/>
      <c r="FY7796"/>
      <c r="FZ7796"/>
      <c r="GA7796"/>
      <c r="GB7796"/>
      <c r="GC7796"/>
      <c r="GD7796"/>
      <c r="GE7796"/>
      <c r="GF7796"/>
      <c r="GG7796"/>
      <c r="GH7796"/>
      <c r="GI7796"/>
      <c r="GJ7796"/>
      <c r="GK7796"/>
      <c r="GL7796"/>
      <c r="GM7796"/>
      <c r="GN7796"/>
      <c r="GO7796"/>
    </row>
    <row r="7797" spans="107:197">
      <c r="DC7797"/>
      <c r="FH7797"/>
      <c r="FI7797"/>
      <c r="FJ7797"/>
      <c r="FK7797"/>
      <c r="FL7797"/>
      <c r="FM7797"/>
      <c r="FN7797"/>
      <c r="FO7797"/>
      <c r="FP7797"/>
      <c r="FQ7797"/>
      <c r="FR7797"/>
      <c r="FS7797"/>
      <c r="FT7797"/>
      <c r="FU7797"/>
      <c r="FV7797"/>
      <c r="FW7797"/>
      <c r="FX7797"/>
      <c r="FY7797"/>
      <c r="FZ7797"/>
      <c r="GA7797"/>
      <c r="GB7797"/>
      <c r="GC7797"/>
      <c r="GD7797"/>
      <c r="GE7797"/>
      <c r="GF7797"/>
      <c r="GG7797"/>
      <c r="GH7797"/>
      <c r="GI7797"/>
      <c r="GJ7797"/>
      <c r="GK7797"/>
      <c r="GL7797"/>
      <c r="GM7797"/>
      <c r="GN7797"/>
      <c r="GO7797"/>
    </row>
    <row r="7798" spans="107:197">
      <c r="DC7798"/>
      <c r="FH7798"/>
      <c r="FI7798"/>
      <c r="FJ7798"/>
      <c r="FK7798"/>
      <c r="FL7798"/>
      <c r="FM7798"/>
      <c r="FN7798"/>
      <c r="FO7798"/>
      <c r="FP7798"/>
      <c r="FQ7798"/>
      <c r="FR7798"/>
      <c r="FS7798"/>
      <c r="FT7798"/>
      <c r="FU7798"/>
      <c r="FV7798"/>
      <c r="FW7798"/>
      <c r="FX7798"/>
      <c r="FY7798"/>
      <c r="FZ7798"/>
      <c r="GA7798"/>
      <c r="GB7798"/>
      <c r="GC7798"/>
      <c r="GD7798"/>
      <c r="GE7798"/>
      <c r="GF7798"/>
      <c r="GG7798"/>
      <c r="GH7798"/>
      <c r="GI7798"/>
      <c r="GJ7798"/>
      <c r="GK7798"/>
      <c r="GL7798"/>
      <c r="GM7798"/>
      <c r="GN7798"/>
      <c r="GO7798"/>
    </row>
    <row r="7799" spans="107:197">
      <c r="DC7799"/>
      <c r="FH7799"/>
      <c r="FI7799"/>
      <c r="FJ7799"/>
      <c r="FK7799"/>
      <c r="FL7799"/>
      <c r="FM7799"/>
      <c r="FN7799"/>
      <c r="FO7799"/>
      <c r="FP7799"/>
      <c r="FQ7799"/>
      <c r="FR7799"/>
      <c r="FS7799"/>
      <c r="FT7799"/>
      <c r="FU7799"/>
      <c r="FV7799"/>
      <c r="FW7799"/>
      <c r="FX7799"/>
      <c r="FY7799"/>
      <c r="FZ7799"/>
      <c r="GA7799"/>
      <c r="GB7799"/>
      <c r="GC7799"/>
      <c r="GD7799"/>
      <c r="GE7799"/>
      <c r="GF7799"/>
      <c r="GG7799"/>
      <c r="GH7799"/>
      <c r="GI7799"/>
      <c r="GJ7799"/>
      <c r="GK7799"/>
      <c r="GL7799"/>
      <c r="GM7799"/>
      <c r="GN7799"/>
      <c r="GO7799"/>
    </row>
    <row r="7800" spans="107:197">
      <c r="DC7800"/>
      <c r="FH7800"/>
      <c r="FI7800"/>
      <c r="FJ7800"/>
      <c r="FK7800"/>
      <c r="FL7800"/>
      <c r="FM7800"/>
      <c r="FN7800"/>
      <c r="FO7800"/>
      <c r="FP7800"/>
      <c r="FQ7800"/>
      <c r="FR7800"/>
      <c r="FS7800"/>
      <c r="FT7800"/>
      <c r="FU7800"/>
      <c r="FV7800"/>
      <c r="FW7800"/>
      <c r="FX7800"/>
      <c r="FY7800"/>
      <c r="FZ7800"/>
      <c r="GA7800"/>
      <c r="GB7800"/>
      <c r="GC7800"/>
      <c r="GD7800"/>
      <c r="GE7800"/>
      <c r="GF7800"/>
      <c r="GG7800"/>
      <c r="GH7800"/>
      <c r="GI7800"/>
      <c r="GJ7800"/>
      <c r="GK7800"/>
      <c r="GL7800"/>
      <c r="GM7800"/>
      <c r="GN7800"/>
      <c r="GO7800"/>
    </row>
    <row r="7801" spans="107:197">
      <c r="DC7801"/>
      <c r="FH7801"/>
      <c r="FI7801"/>
      <c r="FJ7801"/>
      <c r="FK7801"/>
      <c r="FL7801"/>
      <c r="FM7801"/>
      <c r="FN7801"/>
      <c r="FO7801"/>
      <c r="FP7801"/>
      <c r="FQ7801"/>
      <c r="FR7801"/>
      <c r="FS7801"/>
      <c r="FT7801"/>
      <c r="FU7801"/>
      <c r="FV7801"/>
      <c r="FW7801"/>
      <c r="FX7801"/>
      <c r="FY7801"/>
      <c r="FZ7801"/>
      <c r="GA7801"/>
      <c r="GB7801"/>
      <c r="GC7801"/>
      <c r="GD7801"/>
      <c r="GE7801"/>
      <c r="GF7801"/>
      <c r="GG7801"/>
      <c r="GH7801"/>
      <c r="GI7801"/>
      <c r="GJ7801"/>
      <c r="GK7801"/>
      <c r="GL7801"/>
      <c r="GM7801"/>
      <c r="GN7801"/>
      <c r="GO7801"/>
    </row>
    <row r="7802" spans="107:197">
      <c r="DC7802"/>
      <c r="FH7802"/>
      <c r="FI7802"/>
      <c r="FJ7802"/>
      <c r="FK7802"/>
      <c r="FL7802"/>
      <c r="FM7802"/>
      <c r="FN7802"/>
      <c r="FO7802"/>
      <c r="FP7802"/>
      <c r="FQ7802"/>
      <c r="FR7802"/>
      <c r="FS7802"/>
      <c r="FT7802"/>
      <c r="FU7802"/>
      <c r="FV7802"/>
      <c r="FW7802"/>
      <c r="FX7802"/>
      <c r="FY7802"/>
      <c r="FZ7802"/>
      <c r="GA7802"/>
      <c r="GB7802"/>
      <c r="GC7802"/>
      <c r="GD7802"/>
      <c r="GE7802"/>
      <c r="GF7802"/>
      <c r="GG7802"/>
      <c r="GH7802"/>
      <c r="GI7802"/>
      <c r="GJ7802"/>
      <c r="GK7802"/>
      <c r="GL7802"/>
      <c r="GM7802"/>
      <c r="GN7802"/>
      <c r="GO7802"/>
    </row>
    <row r="7803" spans="107:197">
      <c r="DC7803"/>
      <c r="FH7803"/>
      <c r="FI7803"/>
      <c r="FJ7803"/>
      <c r="FK7803"/>
      <c r="FL7803"/>
      <c r="FM7803"/>
      <c r="FN7803"/>
      <c r="FO7803"/>
      <c r="FP7803"/>
      <c r="FQ7803"/>
      <c r="FR7803"/>
      <c r="FS7803"/>
      <c r="FT7803"/>
      <c r="FU7803"/>
      <c r="FV7803"/>
      <c r="FW7803"/>
      <c r="FX7803"/>
      <c r="FY7803"/>
      <c r="FZ7803"/>
      <c r="GA7803"/>
      <c r="GB7803"/>
      <c r="GC7803"/>
      <c r="GD7803"/>
      <c r="GE7803"/>
      <c r="GF7803"/>
      <c r="GG7803"/>
      <c r="GH7803"/>
      <c r="GI7803"/>
      <c r="GJ7803"/>
      <c r="GK7803"/>
      <c r="GL7803"/>
      <c r="GM7803"/>
      <c r="GN7803"/>
      <c r="GO7803"/>
    </row>
    <row r="7804" spans="107:197">
      <c r="DC7804"/>
      <c r="FH7804"/>
      <c r="FI7804"/>
      <c r="FJ7804"/>
      <c r="FK7804"/>
      <c r="FL7804"/>
      <c r="FM7804"/>
      <c r="FN7804"/>
      <c r="FO7804"/>
      <c r="FP7804"/>
      <c r="FQ7804"/>
      <c r="FR7804"/>
      <c r="FS7804"/>
      <c r="FT7804"/>
      <c r="FU7804"/>
      <c r="FV7804"/>
      <c r="FW7804"/>
      <c r="FX7804"/>
      <c r="FY7804"/>
      <c r="FZ7804"/>
      <c r="GA7804"/>
      <c r="GB7804"/>
      <c r="GC7804"/>
      <c r="GD7804"/>
      <c r="GE7804"/>
      <c r="GF7804"/>
      <c r="GG7804"/>
      <c r="GH7804"/>
      <c r="GI7804"/>
      <c r="GJ7804"/>
      <c r="GK7804"/>
      <c r="GL7804"/>
      <c r="GM7804"/>
      <c r="GN7804"/>
      <c r="GO7804"/>
    </row>
    <row r="7805" spans="107:197">
      <c r="DC7805"/>
      <c r="FH7805"/>
      <c r="FI7805"/>
      <c r="FJ7805"/>
      <c r="FK7805"/>
      <c r="FL7805"/>
      <c r="FM7805"/>
      <c r="FN7805"/>
      <c r="FO7805"/>
      <c r="FP7805"/>
      <c r="FQ7805"/>
      <c r="FR7805"/>
      <c r="FS7805"/>
      <c r="FT7805"/>
      <c r="FU7805"/>
      <c r="FV7805"/>
      <c r="FW7805"/>
      <c r="FX7805"/>
      <c r="FY7805"/>
      <c r="FZ7805"/>
      <c r="GA7805"/>
      <c r="GB7805"/>
      <c r="GC7805"/>
      <c r="GD7805"/>
      <c r="GE7805"/>
      <c r="GF7805"/>
      <c r="GG7805"/>
      <c r="GH7805"/>
      <c r="GI7805"/>
      <c r="GJ7805"/>
      <c r="GK7805"/>
      <c r="GL7805"/>
      <c r="GM7805"/>
      <c r="GN7805"/>
      <c r="GO7805"/>
    </row>
    <row r="7806" spans="107:197">
      <c r="DC7806"/>
      <c r="FH7806"/>
      <c r="FI7806"/>
      <c r="FJ7806"/>
      <c r="FK7806"/>
      <c r="FL7806"/>
      <c r="FM7806"/>
      <c r="FN7806"/>
      <c r="FO7806"/>
      <c r="FP7806"/>
      <c r="FQ7806"/>
      <c r="FR7806"/>
      <c r="FS7806"/>
      <c r="FT7806"/>
      <c r="FU7806"/>
      <c r="FV7806"/>
      <c r="FW7806"/>
      <c r="FX7806"/>
      <c r="FY7806"/>
      <c r="FZ7806"/>
      <c r="GA7806"/>
      <c r="GB7806"/>
      <c r="GC7806"/>
      <c r="GD7806"/>
      <c r="GE7806"/>
      <c r="GF7806"/>
      <c r="GG7806"/>
      <c r="GH7806"/>
      <c r="GI7806"/>
      <c r="GJ7806"/>
      <c r="GK7806"/>
      <c r="GL7806"/>
      <c r="GM7806"/>
      <c r="GN7806"/>
      <c r="GO7806"/>
    </row>
    <row r="7807" spans="107:197">
      <c r="DC7807"/>
      <c r="FH7807"/>
      <c r="FI7807"/>
      <c r="FJ7807"/>
      <c r="FK7807"/>
      <c r="FL7807"/>
      <c r="FM7807"/>
      <c r="FN7807"/>
      <c r="FO7807"/>
      <c r="FP7807"/>
      <c r="FQ7807"/>
      <c r="FR7807"/>
      <c r="FS7807"/>
      <c r="FT7807"/>
      <c r="FU7807"/>
      <c r="FV7807"/>
      <c r="FW7807"/>
      <c r="FX7807"/>
      <c r="FY7807"/>
      <c r="FZ7807"/>
      <c r="GA7807"/>
      <c r="GB7807"/>
      <c r="GC7807"/>
      <c r="GD7807"/>
      <c r="GE7807"/>
      <c r="GF7807"/>
      <c r="GG7807"/>
      <c r="GH7807"/>
      <c r="GI7807"/>
      <c r="GJ7807"/>
      <c r="GK7807"/>
      <c r="GL7807"/>
      <c r="GM7807"/>
      <c r="GN7807"/>
      <c r="GO7807"/>
    </row>
    <row r="7808" spans="107:197">
      <c r="DC7808"/>
      <c r="FH7808"/>
      <c r="FI7808"/>
      <c r="FJ7808"/>
      <c r="FK7808"/>
      <c r="FL7808"/>
      <c r="FM7808"/>
      <c r="FN7808"/>
      <c r="FO7808"/>
      <c r="FP7808"/>
      <c r="FQ7808"/>
      <c r="FR7808"/>
      <c r="FS7808"/>
      <c r="FT7808"/>
      <c r="FU7808"/>
      <c r="FV7808"/>
      <c r="FW7808"/>
      <c r="FX7808"/>
      <c r="FY7808"/>
      <c r="FZ7808"/>
      <c r="GA7808"/>
      <c r="GB7808"/>
      <c r="GC7808"/>
      <c r="GD7808"/>
      <c r="GE7808"/>
      <c r="GF7808"/>
      <c r="GG7808"/>
      <c r="GH7808"/>
      <c r="GI7808"/>
      <c r="GJ7808"/>
      <c r="GK7808"/>
      <c r="GL7808"/>
      <c r="GM7808"/>
      <c r="GN7808"/>
      <c r="GO7808"/>
    </row>
    <row r="7809" spans="107:197">
      <c r="DC7809"/>
      <c r="FH7809"/>
      <c r="FI7809"/>
      <c r="FJ7809"/>
      <c r="FK7809"/>
      <c r="FL7809"/>
      <c r="FM7809"/>
      <c r="FN7809"/>
      <c r="FO7809"/>
      <c r="FP7809"/>
      <c r="FQ7809"/>
      <c r="FR7809"/>
      <c r="FS7809"/>
      <c r="FT7809"/>
      <c r="FU7809"/>
      <c r="FV7809"/>
      <c r="FW7809"/>
      <c r="FX7809"/>
      <c r="FY7809"/>
      <c r="FZ7809"/>
      <c r="GA7809"/>
      <c r="GB7809"/>
      <c r="GC7809"/>
      <c r="GD7809"/>
      <c r="GE7809"/>
      <c r="GF7809"/>
      <c r="GG7809"/>
      <c r="GH7809"/>
      <c r="GI7809"/>
      <c r="GJ7809"/>
      <c r="GK7809"/>
      <c r="GL7809"/>
      <c r="GM7809"/>
      <c r="GN7809"/>
      <c r="GO7809"/>
    </row>
    <row r="7810" spans="107:197">
      <c r="DC7810"/>
      <c r="FH7810"/>
      <c r="FI7810"/>
      <c r="FJ7810"/>
      <c r="FK7810"/>
      <c r="FL7810"/>
      <c r="FM7810"/>
      <c r="FN7810"/>
      <c r="FO7810"/>
      <c r="FP7810"/>
      <c r="FQ7810"/>
      <c r="FR7810"/>
      <c r="FS7810"/>
      <c r="FT7810"/>
      <c r="FU7810"/>
      <c r="FV7810"/>
      <c r="FW7810"/>
      <c r="FX7810"/>
      <c r="FY7810"/>
      <c r="FZ7810"/>
      <c r="GA7810"/>
      <c r="GB7810"/>
      <c r="GC7810"/>
      <c r="GD7810"/>
      <c r="GE7810"/>
      <c r="GF7810"/>
      <c r="GG7810"/>
      <c r="GH7810"/>
      <c r="GI7810"/>
      <c r="GJ7810"/>
      <c r="GK7810"/>
      <c r="GL7810"/>
      <c r="GM7810"/>
      <c r="GN7810"/>
      <c r="GO7810"/>
    </row>
    <row r="7811" spans="107:197">
      <c r="DC7811"/>
      <c r="FH7811"/>
      <c r="FI7811"/>
      <c r="FJ7811"/>
      <c r="FK7811"/>
      <c r="FL7811"/>
      <c r="FM7811"/>
      <c r="FN7811"/>
      <c r="FO7811"/>
      <c r="FP7811"/>
      <c r="FQ7811"/>
      <c r="FR7811"/>
      <c r="FS7811"/>
      <c r="FT7811"/>
      <c r="FU7811"/>
      <c r="FV7811"/>
      <c r="FW7811"/>
      <c r="FX7811"/>
      <c r="FY7811"/>
      <c r="FZ7811"/>
      <c r="GA7811"/>
      <c r="GB7811"/>
      <c r="GC7811"/>
      <c r="GD7811"/>
      <c r="GE7811"/>
      <c r="GF7811"/>
      <c r="GG7811"/>
      <c r="GH7811"/>
      <c r="GI7811"/>
      <c r="GJ7811"/>
      <c r="GK7811"/>
      <c r="GL7811"/>
      <c r="GM7811"/>
      <c r="GN7811"/>
      <c r="GO7811"/>
    </row>
    <row r="7812" spans="107:197">
      <c r="DC7812"/>
      <c r="FH7812"/>
      <c r="FI7812"/>
      <c r="FJ7812"/>
      <c r="FK7812"/>
      <c r="FL7812"/>
      <c r="FM7812"/>
      <c r="FN7812"/>
      <c r="FO7812"/>
      <c r="FP7812"/>
      <c r="FQ7812"/>
      <c r="FR7812"/>
      <c r="FS7812"/>
      <c r="FT7812"/>
      <c r="FU7812"/>
      <c r="FV7812"/>
      <c r="FW7812"/>
      <c r="FX7812"/>
      <c r="FY7812"/>
      <c r="FZ7812"/>
      <c r="GA7812"/>
      <c r="GB7812"/>
      <c r="GC7812"/>
      <c r="GD7812"/>
      <c r="GE7812"/>
      <c r="GF7812"/>
      <c r="GG7812"/>
      <c r="GH7812"/>
      <c r="GI7812"/>
      <c r="GJ7812"/>
      <c r="GK7812"/>
      <c r="GL7812"/>
      <c r="GM7812"/>
      <c r="GN7812"/>
      <c r="GO7812"/>
    </row>
    <row r="7813" spans="107:197">
      <c r="DC7813"/>
      <c r="FH7813"/>
      <c r="FI7813"/>
      <c r="FJ7813"/>
      <c r="FK7813"/>
      <c r="FL7813"/>
      <c r="FM7813"/>
      <c r="FN7813"/>
      <c r="FO7813"/>
      <c r="FP7813"/>
      <c r="FQ7813"/>
      <c r="FR7813"/>
      <c r="FS7813"/>
      <c r="FT7813"/>
      <c r="FU7813"/>
      <c r="FV7813"/>
      <c r="FW7813"/>
      <c r="FX7813"/>
      <c r="FY7813"/>
      <c r="FZ7813"/>
      <c r="GA7813"/>
      <c r="GB7813"/>
      <c r="GC7813"/>
      <c r="GD7813"/>
      <c r="GE7813"/>
      <c r="GF7813"/>
      <c r="GG7813"/>
      <c r="GH7813"/>
      <c r="GI7813"/>
      <c r="GJ7813"/>
      <c r="GK7813"/>
      <c r="GL7813"/>
      <c r="GM7813"/>
      <c r="GN7813"/>
      <c r="GO7813"/>
    </row>
    <row r="7814" spans="107:197">
      <c r="DC7814"/>
      <c r="FH7814"/>
      <c r="FI7814"/>
      <c r="FJ7814"/>
      <c r="FK7814"/>
      <c r="FL7814"/>
      <c r="FM7814"/>
      <c r="FN7814"/>
      <c r="FO7814"/>
      <c r="FP7814"/>
      <c r="FQ7814"/>
      <c r="FR7814"/>
      <c r="FS7814"/>
      <c r="FT7814"/>
      <c r="FU7814"/>
      <c r="FV7814"/>
      <c r="FW7814"/>
      <c r="FX7814"/>
      <c r="FY7814"/>
      <c r="FZ7814"/>
      <c r="GA7814"/>
      <c r="GB7814"/>
      <c r="GC7814"/>
      <c r="GD7814"/>
      <c r="GE7814"/>
      <c r="GF7814"/>
      <c r="GG7814"/>
      <c r="GH7814"/>
      <c r="GI7814"/>
      <c r="GJ7814"/>
      <c r="GK7814"/>
      <c r="GL7814"/>
      <c r="GM7814"/>
      <c r="GN7814"/>
      <c r="GO7814"/>
    </row>
    <row r="7815" spans="107:197">
      <c r="DC7815"/>
      <c r="FH7815"/>
      <c r="FI7815"/>
      <c r="FJ7815"/>
      <c r="FK7815"/>
      <c r="FL7815"/>
      <c r="FM7815"/>
      <c r="FN7815"/>
      <c r="FO7815"/>
      <c r="FP7815"/>
      <c r="FQ7815"/>
      <c r="FR7815"/>
      <c r="FS7815"/>
      <c r="FT7815"/>
      <c r="FU7815"/>
      <c r="FV7815"/>
      <c r="FW7815"/>
      <c r="FX7815"/>
      <c r="FY7815"/>
      <c r="FZ7815"/>
      <c r="GA7815"/>
      <c r="GB7815"/>
      <c r="GC7815"/>
      <c r="GD7815"/>
      <c r="GE7815"/>
      <c r="GF7815"/>
      <c r="GG7815"/>
      <c r="GH7815"/>
      <c r="GI7815"/>
      <c r="GJ7815"/>
      <c r="GK7815"/>
      <c r="GL7815"/>
      <c r="GM7815"/>
      <c r="GN7815"/>
      <c r="GO7815"/>
    </row>
    <row r="7816" spans="107:197">
      <c r="DC7816"/>
      <c r="FH7816"/>
      <c r="FI7816"/>
      <c r="FJ7816"/>
      <c r="FK7816"/>
      <c r="FL7816"/>
      <c r="FM7816"/>
      <c r="FN7816"/>
      <c r="FO7816"/>
      <c r="FP7816"/>
      <c r="FQ7816"/>
      <c r="FR7816"/>
      <c r="FS7816"/>
      <c r="FT7816"/>
      <c r="FU7816"/>
      <c r="FV7816"/>
      <c r="FW7816"/>
      <c r="FX7816"/>
      <c r="FY7816"/>
      <c r="FZ7816"/>
      <c r="GA7816"/>
      <c r="GB7816"/>
      <c r="GC7816"/>
      <c r="GD7816"/>
      <c r="GE7816"/>
      <c r="GF7816"/>
      <c r="GG7816"/>
      <c r="GH7816"/>
      <c r="GI7816"/>
      <c r="GJ7816"/>
      <c r="GK7816"/>
      <c r="GL7816"/>
      <c r="GM7816"/>
      <c r="GN7816"/>
      <c r="GO7816"/>
    </row>
    <row r="7817" spans="107:197">
      <c r="DC7817"/>
      <c r="FH7817"/>
      <c r="FI7817"/>
      <c r="FJ7817"/>
      <c r="FK7817"/>
      <c r="FL7817"/>
      <c r="FM7817"/>
      <c r="FN7817"/>
      <c r="FO7817"/>
      <c r="FP7817"/>
      <c r="FQ7817"/>
      <c r="FR7817"/>
      <c r="FS7817"/>
      <c r="FT7817"/>
      <c r="FU7817"/>
      <c r="FV7817"/>
      <c r="FW7817"/>
      <c r="FX7817"/>
      <c r="FY7817"/>
      <c r="FZ7817"/>
      <c r="GA7817"/>
      <c r="GB7817"/>
      <c r="GC7817"/>
      <c r="GD7817"/>
      <c r="GE7817"/>
      <c r="GF7817"/>
      <c r="GG7817"/>
      <c r="GH7817"/>
      <c r="GI7817"/>
      <c r="GJ7817"/>
      <c r="GK7817"/>
      <c r="GL7817"/>
      <c r="GM7817"/>
      <c r="GN7817"/>
      <c r="GO7817"/>
    </row>
    <row r="7818" spans="107:197">
      <c r="DC7818"/>
      <c r="FH7818"/>
      <c r="FI7818"/>
      <c r="FJ7818"/>
      <c r="FK7818"/>
      <c r="FL7818"/>
      <c r="FM7818"/>
      <c r="FN7818"/>
      <c r="FO7818"/>
      <c r="FP7818"/>
      <c r="FQ7818"/>
      <c r="FR7818"/>
      <c r="FS7818"/>
      <c r="FT7818"/>
      <c r="FU7818"/>
      <c r="FV7818"/>
      <c r="FW7818"/>
      <c r="FX7818"/>
      <c r="FY7818"/>
      <c r="FZ7818"/>
      <c r="GA7818"/>
      <c r="GB7818"/>
      <c r="GC7818"/>
      <c r="GD7818"/>
      <c r="GE7818"/>
      <c r="GF7818"/>
      <c r="GG7818"/>
      <c r="GH7818"/>
      <c r="GI7818"/>
      <c r="GJ7818"/>
      <c r="GK7818"/>
      <c r="GL7818"/>
      <c r="GM7818"/>
      <c r="GN7818"/>
      <c r="GO7818"/>
    </row>
    <row r="7819" spans="107:197">
      <c r="DC7819"/>
      <c r="FH7819"/>
      <c r="FI7819"/>
      <c r="FJ7819"/>
      <c r="FK7819"/>
      <c r="FL7819"/>
      <c r="FM7819"/>
      <c r="FN7819"/>
      <c r="FO7819"/>
      <c r="FP7819"/>
      <c r="FQ7819"/>
      <c r="FR7819"/>
      <c r="FS7819"/>
      <c r="FT7819"/>
      <c r="FU7819"/>
      <c r="FV7819"/>
      <c r="FW7819"/>
      <c r="FX7819"/>
      <c r="FY7819"/>
      <c r="FZ7819"/>
      <c r="GA7819"/>
      <c r="GB7819"/>
      <c r="GC7819"/>
      <c r="GD7819"/>
      <c r="GE7819"/>
      <c r="GF7819"/>
      <c r="GG7819"/>
      <c r="GH7819"/>
      <c r="GI7819"/>
      <c r="GJ7819"/>
      <c r="GK7819"/>
      <c r="GL7819"/>
      <c r="GM7819"/>
      <c r="GN7819"/>
      <c r="GO7819"/>
    </row>
    <row r="7820" spans="107:197">
      <c r="DC7820"/>
      <c r="FH7820"/>
      <c r="FI7820"/>
      <c r="FJ7820"/>
      <c r="FK7820"/>
      <c r="FL7820"/>
      <c r="FM7820"/>
      <c r="FN7820"/>
      <c r="FO7820"/>
      <c r="FP7820"/>
      <c r="FQ7820"/>
      <c r="FR7820"/>
      <c r="FS7820"/>
      <c r="FT7820"/>
      <c r="FU7820"/>
      <c r="FV7820"/>
      <c r="FW7820"/>
      <c r="FX7820"/>
      <c r="FY7820"/>
      <c r="FZ7820"/>
      <c r="GA7820"/>
      <c r="GB7820"/>
      <c r="GC7820"/>
      <c r="GD7820"/>
      <c r="GE7820"/>
      <c r="GF7820"/>
      <c r="GG7820"/>
      <c r="GH7820"/>
      <c r="GI7820"/>
      <c r="GJ7820"/>
      <c r="GK7820"/>
      <c r="GL7820"/>
      <c r="GM7820"/>
      <c r="GN7820"/>
      <c r="GO7820"/>
    </row>
    <row r="7821" spans="107:197">
      <c r="DC7821"/>
      <c r="FH7821"/>
      <c r="FI7821"/>
      <c r="FJ7821"/>
      <c r="FK7821"/>
      <c r="FL7821"/>
      <c r="FM7821"/>
      <c r="FN7821"/>
      <c r="FO7821"/>
      <c r="FP7821"/>
      <c r="FQ7821"/>
      <c r="FR7821"/>
      <c r="FS7821"/>
      <c r="FT7821"/>
      <c r="FU7821"/>
      <c r="FV7821"/>
      <c r="FW7821"/>
      <c r="FX7821"/>
      <c r="FY7821"/>
      <c r="FZ7821"/>
      <c r="GA7821"/>
      <c r="GB7821"/>
      <c r="GC7821"/>
      <c r="GD7821"/>
      <c r="GE7821"/>
      <c r="GF7821"/>
      <c r="GG7821"/>
      <c r="GH7821"/>
      <c r="GI7821"/>
      <c r="GJ7821"/>
      <c r="GK7821"/>
      <c r="GL7821"/>
      <c r="GM7821"/>
      <c r="GN7821"/>
      <c r="GO7821"/>
    </row>
    <row r="7822" spans="107:197">
      <c r="DC7822"/>
      <c r="FH7822"/>
      <c r="FI7822"/>
      <c r="FJ7822"/>
      <c r="FK7822"/>
      <c r="FL7822"/>
      <c r="FM7822"/>
      <c r="FN7822"/>
      <c r="FO7822"/>
      <c r="FP7822"/>
      <c r="FQ7822"/>
      <c r="FR7822"/>
      <c r="FS7822"/>
      <c r="FT7822"/>
      <c r="FU7822"/>
      <c r="FV7822"/>
      <c r="FW7822"/>
      <c r="FX7822"/>
      <c r="FY7822"/>
      <c r="FZ7822"/>
      <c r="GA7822"/>
      <c r="GB7822"/>
      <c r="GC7822"/>
      <c r="GD7822"/>
      <c r="GE7822"/>
      <c r="GF7822"/>
      <c r="GG7822"/>
      <c r="GH7822"/>
      <c r="GI7822"/>
      <c r="GJ7822"/>
      <c r="GK7822"/>
      <c r="GL7822"/>
      <c r="GM7822"/>
      <c r="GN7822"/>
      <c r="GO7822"/>
    </row>
    <row r="7823" spans="107:197">
      <c r="DC7823"/>
      <c r="FH7823"/>
      <c r="FI7823"/>
      <c r="FJ7823"/>
      <c r="FK7823"/>
      <c r="FL7823"/>
      <c r="FM7823"/>
      <c r="FN7823"/>
      <c r="FO7823"/>
      <c r="FP7823"/>
      <c r="FQ7823"/>
      <c r="FR7823"/>
      <c r="FS7823"/>
      <c r="FT7823"/>
      <c r="FU7823"/>
      <c r="FV7823"/>
      <c r="FW7823"/>
      <c r="FX7823"/>
      <c r="FY7823"/>
      <c r="FZ7823"/>
      <c r="GA7823"/>
      <c r="GB7823"/>
      <c r="GC7823"/>
      <c r="GD7823"/>
      <c r="GE7823"/>
      <c r="GF7823"/>
      <c r="GG7823"/>
      <c r="GH7823"/>
      <c r="GI7823"/>
      <c r="GJ7823"/>
      <c r="GK7823"/>
      <c r="GL7823"/>
      <c r="GM7823"/>
      <c r="GN7823"/>
      <c r="GO7823"/>
    </row>
    <row r="7824" spans="107:197">
      <c r="DC7824"/>
      <c r="FH7824"/>
      <c r="FI7824"/>
      <c r="FJ7824"/>
      <c r="FK7824"/>
      <c r="FL7824"/>
      <c r="FM7824"/>
      <c r="FN7824"/>
      <c r="FO7824"/>
      <c r="FP7824"/>
      <c r="FQ7824"/>
      <c r="FR7824"/>
      <c r="FS7824"/>
      <c r="FT7824"/>
      <c r="FU7824"/>
      <c r="FV7824"/>
      <c r="FW7824"/>
      <c r="FX7824"/>
      <c r="FY7824"/>
      <c r="FZ7824"/>
      <c r="GA7824"/>
      <c r="GB7824"/>
      <c r="GC7824"/>
      <c r="GD7824"/>
      <c r="GE7824"/>
      <c r="GF7824"/>
      <c r="GG7824"/>
      <c r="GH7824"/>
      <c r="GI7824"/>
      <c r="GJ7824"/>
      <c r="GK7824"/>
      <c r="GL7824"/>
      <c r="GM7824"/>
      <c r="GN7824"/>
      <c r="GO7824"/>
    </row>
    <row r="7825" spans="107:197">
      <c r="DC7825"/>
      <c r="FH7825"/>
      <c r="FI7825"/>
      <c r="FJ7825"/>
      <c r="FK7825"/>
      <c r="FL7825"/>
      <c r="FM7825"/>
      <c r="FN7825"/>
      <c r="FO7825"/>
      <c r="FP7825"/>
      <c r="FQ7825"/>
      <c r="FR7825"/>
      <c r="FS7825"/>
      <c r="FT7825"/>
      <c r="FU7825"/>
      <c r="FV7825"/>
      <c r="FW7825"/>
      <c r="FX7825"/>
      <c r="FY7825"/>
      <c r="FZ7825"/>
      <c r="GA7825"/>
      <c r="GB7825"/>
      <c r="GC7825"/>
      <c r="GD7825"/>
      <c r="GE7825"/>
      <c r="GF7825"/>
      <c r="GG7825"/>
      <c r="GH7825"/>
      <c r="GI7825"/>
      <c r="GJ7825"/>
      <c r="GK7825"/>
      <c r="GL7825"/>
      <c r="GM7825"/>
      <c r="GN7825"/>
      <c r="GO7825"/>
    </row>
    <row r="7826" spans="107:197">
      <c r="DC7826"/>
      <c r="FH7826"/>
      <c r="FI7826"/>
      <c r="FJ7826"/>
      <c r="FK7826"/>
      <c r="FL7826"/>
      <c r="FM7826"/>
      <c r="FN7826"/>
      <c r="FO7826"/>
      <c r="FP7826"/>
      <c r="FQ7826"/>
      <c r="FR7826"/>
      <c r="FS7826"/>
      <c r="FT7826"/>
      <c r="FU7826"/>
      <c r="FV7826"/>
      <c r="FW7826"/>
      <c r="FX7826"/>
      <c r="FY7826"/>
      <c r="FZ7826"/>
      <c r="GA7826"/>
      <c r="GB7826"/>
      <c r="GC7826"/>
      <c r="GD7826"/>
      <c r="GE7826"/>
      <c r="GF7826"/>
      <c r="GG7826"/>
      <c r="GH7826"/>
      <c r="GI7826"/>
      <c r="GJ7826"/>
      <c r="GK7826"/>
      <c r="GL7826"/>
      <c r="GM7826"/>
      <c r="GN7826"/>
      <c r="GO7826"/>
    </row>
    <row r="7827" spans="107:197">
      <c r="DC7827"/>
      <c r="FH7827"/>
      <c r="FI7827"/>
      <c r="FJ7827"/>
      <c r="FK7827"/>
      <c r="FL7827"/>
      <c r="FM7827"/>
      <c r="FN7827"/>
      <c r="FO7827"/>
      <c r="FP7827"/>
      <c r="FQ7827"/>
      <c r="FR7827"/>
      <c r="FS7827"/>
      <c r="FT7827"/>
      <c r="FU7827"/>
      <c r="FV7827"/>
      <c r="FW7827"/>
      <c r="FX7827"/>
      <c r="FY7827"/>
      <c r="FZ7827"/>
      <c r="GA7827"/>
      <c r="GB7827"/>
      <c r="GC7827"/>
      <c r="GD7827"/>
      <c r="GE7827"/>
      <c r="GF7827"/>
      <c r="GG7827"/>
      <c r="GH7827"/>
      <c r="GI7827"/>
      <c r="GJ7827"/>
      <c r="GK7827"/>
      <c r="GL7827"/>
      <c r="GM7827"/>
      <c r="GN7827"/>
      <c r="GO7827"/>
    </row>
    <row r="7828" spans="107:197">
      <c r="DC7828"/>
      <c r="FH7828"/>
      <c r="FI7828"/>
      <c r="FJ7828"/>
      <c r="FK7828"/>
      <c r="FL7828"/>
      <c r="FM7828"/>
      <c r="FN7828"/>
      <c r="FO7828"/>
      <c r="FP7828"/>
      <c r="FQ7828"/>
      <c r="FR7828"/>
      <c r="FS7828"/>
      <c r="FT7828"/>
      <c r="FU7828"/>
      <c r="FV7828"/>
      <c r="FW7828"/>
      <c r="FX7828"/>
      <c r="FY7828"/>
      <c r="FZ7828"/>
      <c r="GA7828"/>
      <c r="GB7828"/>
      <c r="GC7828"/>
      <c r="GD7828"/>
      <c r="GE7828"/>
      <c r="GF7828"/>
      <c r="GG7828"/>
      <c r="GH7828"/>
      <c r="GI7828"/>
      <c r="GJ7828"/>
      <c r="GK7828"/>
      <c r="GL7828"/>
      <c r="GM7828"/>
      <c r="GN7828"/>
      <c r="GO7828"/>
    </row>
    <row r="7829" spans="107:197">
      <c r="DC7829"/>
      <c r="FH7829"/>
      <c r="FI7829"/>
      <c r="FJ7829"/>
      <c r="FK7829"/>
      <c r="FL7829"/>
      <c r="FM7829"/>
      <c r="FN7829"/>
      <c r="FO7829"/>
      <c r="FP7829"/>
      <c r="FQ7829"/>
      <c r="FR7829"/>
      <c r="FS7829"/>
      <c r="FT7829"/>
      <c r="FU7829"/>
      <c r="FV7829"/>
      <c r="FW7829"/>
      <c r="FX7829"/>
      <c r="FY7829"/>
      <c r="FZ7829"/>
      <c r="GA7829"/>
      <c r="GB7829"/>
      <c r="GC7829"/>
      <c r="GD7829"/>
      <c r="GE7829"/>
      <c r="GF7829"/>
      <c r="GG7829"/>
      <c r="GH7829"/>
      <c r="GI7829"/>
      <c r="GJ7829"/>
      <c r="GK7829"/>
      <c r="GL7829"/>
      <c r="GM7829"/>
      <c r="GN7829"/>
      <c r="GO7829"/>
    </row>
    <row r="7830" spans="107:197">
      <c r="DC7830"/>
      <c r="FH7830"/>
      <c r="FI7830"/>
      <c r="FJ7830"/>
      <c r="FK7830"/>
      <c r="FL7830"/>
      <c r="FM7830"/>
      <c r="FN7830"/>
      <c r="FO7830"/>
      <c r="FP7830"/>
      <c r="FQ7830"/>
      <c r="FR7830"/>
      <c r="FS7830"/>
      <c r="FT7830"/>
      <c r="FU7830"/>
      <c r="FV7830"/>
      <c r="FW7830"/>
      <c r="FX7830"/>
      <c r="FY7830"/>
      <c r="FZ7830"/>
      <c r="GA7830"/>
      <c r="GB7830"/>
      <c r="GC7830"/>
      <c r="GD7830"/>
      <c r="GE7830"/>
      <c r="GF7830"/>
      <c r="GG7830"/>
      <c r="GH7830"/>
      <c r="GI7830"/>
      <c r="GJ7830"/>
      <c r="GK7830"/>
      <c r="GL7830"/>
      <c r="GM7830"/>
      <c r="GN7830"/>
      <c r="GO7830"/>
    </row>
    <row r="7831" spans="107:197">
      <c r="DC7831"/>
      <c r="FH7831"/>
      <c r="FI7831"/>
      <c r="FJ7831"/>
      <c r="FK7831"/>
      <c r="FL7831"/>
      <c r="FM7831"/>
      <c r="FN7831"/>
      <c r="FO7831"/>
      <c r="FP7831"/>
      <c r="FQ7831"/>
      <c r="FR7831"/>
      <c r="FS7831"/>
      <c r="FT7831"/>
      <c r="FU7831"/>
      <c r="FV7831"/>
      <c r="FW7831"/>
      <c r="FX7831"/>
      <c r="FY7831"/>
      <c r="FZ7831"/>
      <c r="GA7831"/>
      <c r="GB7831"/>
      <c r="GC7831"/>
      <c r="GD7831"/>
      <c r="GE7831"/>
      <c r="GF7831"/>
      <c r="GG7831"/>
      <c r="GH7831"/>
      <c r="GI7831"/>
      <c r="GJ7831"/>
      <c r="GK7831"/>
      <c r="GL7831"/>
      <c r="GM7831"/>
      <c r="GN7831"/>
      <c r="GO7831"/>
    </row>
    <row r="7832" spans="107:197">
      <c r="DC7832"/>
      <c r="FH7832"/>
      <c r="FI7832"/>
      <c r="FJ7832"/>
      <c r="FK7832"/>
      <c r="FL7832"/>
      <c r="FM7832"/>
      <c r="FN7832"/>
      <c r="FO7832"/>
      <c r="FP7832"/>
      <c r="FQ7832"/>
      <c r="FR7832"/>
      <c r="FS7832"/>
      <c r="FT7832"/>
      <c r="FU7832"/>
      <c r="FV7832"/>
      <c r="FW7832"/>
      <c r="FX7832"/>
      <c r="FY7832"/>
      <c r="FZ7832"/>
      <c r="GA7832"/>
      <c r="GB7832"/>
      <c r="GC7832"/>
      <c r="GD7832"/>
      <c r="GE7832"/>
      <c r="GF7832"/>
      <c r="GG7832"/>
      <c r="GH7832"/>
      <c r="GI7832"/>
      <c r="GJ7832"/>
      <c r="GK7832"/>
      <c r="GL7832"/>
      <c r="GM7832"/>
      <c r="GN7832"/>
      <c r="GO7832"/>
    </row>
    <row r="7833" spans="107:197">
      <c r="DC7833"/>
      <c r="FH7833"/>
      <c r="FI7833"/>
      <c r="FJ7833"/>
      <c r="FK7833"/>
      <c r="FL7833"/>
      <c r="FM7833"/>
      <c r="FN7833"/>
      <c r="FO7833"/>
      <c r="FP7833"/>
      <c r="FQ7833"/>
      <c r="FR7833"/>
      <c r="FS7833"/>
      <c r="FT7833"/>
      <c r="FU7833"/>
      <c r="FV7833"/>
      <c r="FW7833"/>
      <c r="FX7833"/>
      <c r="FY7833"/>
      <c r="FZ7833"/>
      <c r="GA7833"/>
      <c r="GB7833"/>
      <c r="GC7833"/>
      <c r="GD7833"/>
      <c r="GE7833"/>
      <c r="GF7833"/>
      <c r="GG7833"/>
      <c r="GH7833"/>
      <c r="GI7833"/>
      <c r="GJ7833"/>
      <c r="GK7833"/>
      <c r="GL7833"/>
      <c r="GM7833"/>
      <c r="GN7833"/>
      <c r="GO7833"/>
    </row>
    <row r="7834" spans="107:197">
      <c r="DC7834"/>
      <c r="FH7834"/>
      <c r="FI7834"/>
      <c r="FJ7834"/>
      <c r="FK7834"/>
      <c r="FL7834"/>
      <c r="FM7834"/>
      <c r="FN7834"/>
      <c r="FO7834"/>
      <c r="FP7834"/>
      <c r="FQ7834"/>
      <c r="FR7834"/>
      <c r="FS7834"/>
      <c r="FT7834"/>
      <c r="FU7834"/>
      <c r="FV7834"/>
      <c r="FW7834"/>
      <c r="FX7834"/>
      <c r="FY7834"/>
      <c r="FZ7834"/>
      <c r="GA7834"/>
      <c r="GB7834"/>
      <c r="GC7834"/>
      <c r="GD7834"/>
      <c r="GE7834"/>
      <c r="GF7834"/>
      <c r="GG7834"/>
      <c r="GH7834"/>
      <c r="GI7834"/>
      <c r="GJ7834"/>
      <c r="GK7834"/>
      <c r="GL7834"/>
      <c r="GM7834"/>
      <c r="GN7834"/>
      <c r="GO7834"/>
    </row>
    <row r="7835" spans="107:197">
      <c r="DC7835"/>
      <c r="FH7835"/>
      <c r="FI7835"/>
      <c r="FJ7835"/>
      <c r="FK7835"/>
      <c r="FL7835"/>
      <c r="FM7835"/>
      <c r="FN7835"/>
      <c r="FO7835"/>
      <c r="FP7835"/>
      <c r="FQ7835"/>
      <c r="FR7835"/>
      <c r="FS7835"/>
      <c r="FT7835"/>
      <c r="FU7835"/>
      <c r="FV7835"/>
      <c r="FW7835"/>
      <c r="FX7835"/>
      <c r="FY7835"/>
      <c r="FZ7835"/>
      <c r="GA7835"/>
      <c r="GB7835"/>
      <c r="GC7835"/>
      <c r="GD7835"/>
      <c r="GE7835"/>
      <c r="GF7835"/>
      <c r="GG7835"/>
      <c r="GH7835"/>
      <c r="GI7835"/>
      <c r="GJ7835"/>
      <c r="GK7835"/>
      <c r="GL7835"/>
      <c r="GM7835"/>
      <c r="GN7835"/>
      <c r="GO7835"/>
    </row>
    <row r="7836" spans="107:197">
      <c r="DC7836"/>
      <c r="FH7836"/>
      <c r="FI7836"/>
      <c r="FJ7836"/>
      <c r="FK7836"/>
      <c r="FL7836"/>
      <c r="FM7836"/>
      <c r="FN7836"/>
      <c r="FO7836"/>
      <c r="FP7836"/>
      <c r="FQ7836"/>
      <c r="FR7836"/>
      <c r="FS7836"/>
      <c r="FT7836"/>
      <c r="FU7836"/>
      <c r="FV7836"/>
      <c r="FW7836"/>
      <c r="FX7836"/>
      <c r="FY7836"/>
      <c r="FZ7836"/>
      <c r="GA7836"/>
      <c r="GB7836"/>
      <c r="GC7836"/>
      <c r="GD7836"/>
      <c r="GE7836"/>
      <c r="GF7836"/>
      <c r="GG7836"/>
      <c r="GH7836"/>
      <c r="GI7836"/>
      <c r="GJ7836"/>
      <c r="GK7836"/>
      <c r="GL7836"/>
      <c r="GM7836"/>
      <c r="GN7836"/>
      <c r="GO7836"/>
    </row>
    <row r="7837" spans="107:197">
      <c r="DC7837"/>
      <c r="FH7837"/>
      <c r="FI7837"/>
      <c r="FJ7837"/>
      <c r="FK7837"/>
      <c r="FL7837"/>
      <c r="FM7837"/>
      <c r="FN7837"/>
      <c r="FO7837"/>
      <c r="FP7837"/>
      <c r="FQ7837"/>
      <c r="FR7837"/>
      <c r="FS7837"/>
      <c r="FT7837"/>
      <c r="FU7837"/>
      <c r="FV7837"/>
      <c r="FW7837"/>
      <c r="FX7837"/>
      <c r="FY7837"/>
      <c r="FZ7837"/>
      <c r="GA7837"/>
      <c r="GB7837"/>
      <c r="GC7837"/>
      <c r="GD7837"/>
      <c r="GE7837"/>
      <c r="GF7837"/>
      <c r="GG7837"/>
      <c r="GH7837"/>
      <c r="GI7837"/>
      <c r="GJ7837"/>
      <c r="GK7837"/>
      <c r="GL7837"/>
      <c r="GM7837"/>
      <c r="GN7837"/>
      <c r="GO7837"/>
    </row>
    <row r="7838" spans="107:197">
      <c r="DC7838"/>
      <c r="FH7838"/>
      <c r="FI7838"/>
      <c r="FJ7838"/>
      <c r="FK7838"/>
      <c r="FL7838"/>
      <c r="FM7838"/>
      <c r="FN7838"/>
      <c r="FO7838"/>
      <c r="FP7838"/>
      <c r="FQ7838"/>
      <c r="FR7838"/>
      <c r="FS7838"/>
      <c r="FT7838"/>
      <c r="FU7838"/>
      <c r="FV7838"/>
      <c r="FW7838"/>
      <c r="FX7838"/>
      <c r="FY7838"/>
      <c r="FZ7838"/>
      <c r="GA7838"/>
      <c r="GB7838"/>
      <c r="GC7838"/>
      <c r="GD7838"/>
      <c r="GE7838"/>
      <c r="GF7838"/>
      <c r="GG7838"/>
      <c r="GH7838"/>
      <c r="GI7838"/>
      <c r="GJ7838"/>
      <c r="GK7838"/>
      <c r="GL7838"/>
      <c r="GM7838"/>
      <c r="GN7838"/>
      <c r="GO7838"/>
    </row>
    <row r="7839" spans="107:197">
      <c r="DC7839"/>
      <c r="FH7839"/>
      <c r="FI7839"/>
      <c r="FJ7839"/>
      <c r="FK7839"/>
      <c r="FL7839"/>
      <c r="FM7839"/>
      <c r="FN7839"/>
      <c r="FO7839"/>
      <c r="FP7839"/>
      <c r="FQ7839"/>
      <c r="FR7839"/>
      <c r="FS7839"/>
      <c r="FT7839"/>
      <c r="FU7839"/>
      <c r="FV7839"/>
      <c r="FW7839"/>
      <c r="FX7839"/>
      <c r="FY7839"/>
      <c r="FZ7839"/>
      <c r="GA7839"/>
      <c r="GB7839"/>
      <c r="GC7839"/>
      <c r="GD7839"/>
      <c r="GE7839"/>
      <c r="GF7839"/>
      <c r="GG7839"/>
      <c r="GH7839"/>
      <c r="GI7839"/>
      <c r="GJ7839"/>
      <c r="GK7839"/>
      <c r="GL7839"/>
      <c r="GM7839"/>
      <c r="GN7839"/>
      <c r="GO7839"/>
    </row>
    <row r="7840" spans="107:197">
      <c r="DC7840"/>
      <c r="FH7840"/>
      <c r="FI7840"/>
      <c r="FJ7840"/>
      <c r="FK7840"/>
      <c r="FL7840"/>
      <c r="FM7840"/>
      <c r="FN7840"/>
      <c r="FO7840"/>
      <c r="FP7840"/>
      <c r="FQ7840"/>
      <c r="FR7840"/>
      <c r="FS7840"/>
      <c r="FT7840"/>
      <c r="FU7840"/>
      <c r="FV7840"/>
      <c r="FW7840"/>
      <c r="FX7840"/>
      <c r="FY7840"/>
      <c r="FZ7840"/>
      <c r="GA7840"/>
      <c r="GB7840"/>
      <c r="GC7840"/>
      <c r="GD7840"/>
      <c r="GE7840"/>
      <c r="GF7840"/>
      <c r="GG7840"/>
      <c r="GH7840"/>
      <c r="GI7840"/>
      <c r="GJ7840"/>
      <c r="GK7840"/>
      <c r="GL7840"/>
      <c r="GM7840"/>
      <c r="GN7840"/>
      <c r="GO7840"/>
    </row>
    <row r="7841" spans="107:197">
      <c r="DC7841"/>
      <c r="FH7841"/>
      <c r="FI7841"/>
      <c r="FJ7841"/>
      <c r="FK7841"/>
      <c r="FL7841"/>
      <c r="FM7841"/>
      <c r="FN7841"/>
      <c r="FO7841"/>
      <c r="FP7841"/>
      <c r="FQ7841"/>
      <c r="FR7841"/>
      <c r="FS7841"/>
      <c r="FT7841"/>
      <c r="FU7841"/>
      <c r="FV7841"/>
      <c r="FW7841"/>
      <c r="FX7841"/>
      <c r="FY7841"/>
      <c r="FZ7841"/>
      <c r="GA7841"/>
      <c r="GB7841"/>
      <c r="GC7841"/>
      <c r="GD7841"/>
      <c r="GE7841"/>
      <c r="GF7841"/>
      <c r="GG7841"/>
      <c r="GH7841"/>
      <c r="GI7841"/>
      <c r="GJ7841"/>
      <c r="GK7841"/>
      <c r="GL7841"/>
      <c r="GM7841"/>
      <c r="GN7841"/>
      <c r="GO7841"/>
    </row>
    <row r="7842" spans="107:197">
      <c r="DC7842"/>
      <c r="FH7842"/>
      <c r="FI7842"/>
      <c r="FJ7842"/>
      <c r="FK7842"/>
      <c r="FL7842"/>
      <c r="FM7842"/>
      <c r="FN7842"/>
      <c r="FO7842"/>
      <c r="FP7842"/>
      <c r="FQ7842"/>
      <c r="FR7842"/>
      <c r="FS7842"/>
      <c r="FT7842"/>
      <c r="FU7842"/>
      <c r="FV7842"/>
      <c r="FW7842"/>
      <c r="FX7842"/>
      <c r="FY7842"/>
      <c r="FZ7842"/>
      <c r="GA7842"/>
      <c r="GB7842"/>
      <c r="GC7842"/>
      <c r="GD7842"/>
      <c r="GE7842"/>
      <c r="GF7842"/>
      <c r="GG7842"/>
      <c r="GH7842"/>
      <c r="GI7842"/>
      <c r="GJ7842"/>
      <c r="GK7842"/>
      <c r="GL7842"/>
      <c r="GM7842"/>
      <c r="GN7842"/>
      <c r="GO7842"/>
    </row>
    <row r="7843" spans="107:197">
      <c r="DC7843"/>
      <c r="FH7843"/>
      <c r="FI7843"/>
      <c r="FJ7843"/>
      <c r="FK7843"/>
      <c r="FL7843"/>
      <c r="FM7843"/>
      <c r="FN7843"/>
      <c r="FO7843"/>
      <c r="FP7843"/>
      <c r="FQ7843"/>
      <c r="FR7843"/>
      <c r="FS7843"/>
      <c r="FT7843"/>
      <c r="FU7843"/>
      <c r="FV7843"/>
      <c r="FW7843"/>
      <c r="FX7843"/>
      <c r="FY7843"/>
      <c r="FZ7843"/>
      <c r="GA7843"/>
      <c r="GB7843"/>
      <c r="GC7843"/>
      <c r="GD7843"/>
      <c r="GE7843"/>
      <c r="GF7843"/>
      <c r="GG7843"/>
      <c r="GH7843"/>
      <c r="GI7843"/>
      <c r="GJ7843"/>
      <c r="GK7843"/>
      <c r="GL7843"/>
      <c r="GM7843"/>
      <c r="GN7843"/>
      <c r="GO7843"/>
    </row>
    <row r="7844" spans="107:197">
      <c r="DC7844"/>
      <c r="FH7844"/>
      <c r="FI7844"/>
      <c r="FJ7844"/>
      <c r="FK7844"/>
      <c r="FL7844"/>
      <c r="FM7844"/>
      <c r="FN7844"/>
      <c r="FO7844"/>
      <c r="FP7844"/>
      <c r="FQ7844"/>
      <c r="FR7844"/>
      <c r="FS7844"/>
      <c r="FT7844"/>
      <c r="FU7844"/>
      <c r="FV7844"/>
      <c r="FW7844"/>
      <c r="FX7844"/>
      <c r="FY7844"/>
      <c r="FZ7844"/>
      <c r="GA7844"/>
      <c r="GB7844"/>
      <c r="GC7844"/>
      <c r="GD7844"/>
      <c r="GE7844"/>
      <c r="GF7844"/>
      <c r="GG7844"/>
      <c r="GH7844"/>
      <c r="GI7844"/>
      <c r="GJ7844"/>
      <c r="GK7844"/>
      <c r="GL7844"/>
      <c r="GM7844"/>
      <c r="GN7844"/>
      <c r="GO7844"/>
    </row>
    <row r="7845" spans="107:197">
      <c r="DC7845"/>
      <c r="FH7845"/>
      <c r="FI7845"/>
      <c r="FJ7845"/>
      <c r="FK7845"/>
      <c r="FL7845"/>
      <c r="FM7845"/>
      <c r="FN7845"/>
      <c r="FO7845"/>
      <c r="FP7845"/>
      <c r="FQ7845"/>
      <c r="FR7845"/>
      <c r="FS7845"/>
      <c r="FT7845"/>
      <c r="FU7845"/>
      <c r="FV7845"/>
      <c r="FW7845"/>
      <c r="FX7845"/>
      <c r="FY7845"/>
      <c r="FZ7845"/>
      <c r="GA7845"/>
      <c r="GB7845"/>
      <c r="GC7845"/>
      <c r="GD7845"/>
      <c r="GE7845"/>
      <c r="GF7845"/>
      <c r="GG7845"/>
      <c r="GH7845"/>
      <c r="GI7845"/>
      <c r="GJ7845"/>
      <c r="GK7845"/>
      <c r="GL7845"/>
      <c r="GM7845"/>
      <c r="GN7845"/>
      <c r="GO7845"/>
    </row>
    <row r="7846" spans="107:197">
      <c r="DC7846"/>
      <c r="FH7846"/>
      <c r="FI7846"/>
      <c r="FJ7846"/>
      <c r="FK7846"/>
      <c r="FL7846"/>
      <c r="FM7846"/>
      <c r="FN7846"/>
      <c r="FO7846"/>
      <c r="FP7846"/>
      <c r="FQ7846"/>
      <c r="FR7846"/>
      <c r="FS7846"/>
      <c r="FT7846"/>
      <c r="FU7846"/>
      <c r="FV7846"/>
      <c r="FW7846"/>
      <c r="FX7846"/>
      <c r="FY7846"/>
      <c r="FZ7846"/>
      <c r="GA7846"/>
      <c r="GB7846"/>
      <c r="GC7846"/>
      <c r="GD7846"/>
      <c r="GE7846"/>
      <c r="GF7846"/>
      <c r="GG7846"/>
      <c r="GH7846"/>
      <c r="GI7846"/>
      <c r="GJ7846"/>
      <c r="GK7846"/>
      <c r="GL7846"/>
      <c r="GM7846"/>
      <c r="GN7846"/>
      <c r="GO7846"/>
    </row>
    <row r="7847" spans="107:197">
      <c r="DC7847"/>
      <c r="FH7847"/>
      <c r="FI7847"/>
      <c r="FJ7847"/>
      <c r="FK7847"/>
      <c r="FL7847"/>
      <c r="FM7847"/>
      <c r="FN7847"/>
      <c r="FO7847"/>
      <c r="FP7847"/>
      <c r="FQ7847"/>
      <c r="FR7847"/>
      <c r="FS7847"/>
      <c r="FT7847"/>
      <c r="FU7847"/>
      <c r="FV7847"/>
      <c r="FW7847"/>
      <c r="FX7847"/>
      <c r="FY7847"/>
      <c r="FZ7847"/>
      <c r="GA7847"/>
      <c r="GB7847"/>
      <c r="GC7847"/>
      <c r="GD7847"/>
      <c r="GE7847"/>
      <c r="GF7847"/>
      <c r="GG7847"/>
      <c r="GH7847"/>
      <c r="GI7847"/>
      <c r="GJ7847"/>
      <c r="GK7847"/>
      <c r="GL7847"/>
      <c r="GM7847"/>
      <c r="GN7847"/>
      <c r="GO7847"/>
    </row>
    <row r="7848" spans="107:197">
      <c r="DC7848"/>
      <c r="FH7848"/>
      <c r="FI7848"/>
      <c r="FJ7848"/>
      <c r="FK7848"/>
      <c r="FL7848"/>
      <c r="FM7848"/>
      <c r="FN7848"/>
      <c r="FO7848"/>
      <c r="FP7848"/>
      <c r="FQ7848"/>
      <c r="FR7848"/>
      <c r="FS7848"/>
      <c r="FT7848"/>
      <c r="FU7848"/>
      <c r="FV7848"/>
      <c r="FW7848"/>
      <c r="FX7848"/>
      <c r="FY7848"/>
      <c r="FZ7848"/>
      <c r="GA7848"/>
      <c r="GB7848"/>
      <c r="GC7848"/>
      <c r="GD7848"/>
      <c r="GE7848"/>
      <c r="GF7848"/>
      <c r="GG7848"/>
      <c r="GH7848"/>
      <c r="GI7848"/>
      <c r="GJ7848"/>
      <c r="GK7848"/>
      <c r="GL7848"/>
      <c r="GM7848"/>
      <c r="GN7848"/>
      <c r="GO7848"/>
    </row>
    <row r="7849" spans="107:197">
      <c r="DC7849"/>
      <c r="FH7849"/>
      <c r="FI7849"/>
      <c r="FJ7849"/>
      <c r="FK7849"/>
      <c r="FL7849"/>
      <c r="FM7849"/>
      <c r="FN7849"/>
      <c r="FO7849"/>
      <c r="FP7849"/>
      <c r="FQ7849"/>
      <c r="FR7849"/>
      <c r="FS7849"/>
      <c r="FT7849"/>
      <c r="FU7849"/>
      <c r="FV7849"/>
      <c r="FW7849"/>
      <c r="FX7849"/>
      <c r="FY7849"/>
      <c r="FZ7849"/>
      <c r="GA7849"/>
      <c r="GB7849"/>
      <c r="GC7849"/>
      <c r="GD7849"/>
      <c r="GE7849"/>
      <c r="GF7849"/>
      <c r="GG7849"/>
      <c r="GH7849"/>
      <c r="GI7849"/>
      <c r="GJ7849"/>
      <c r="GK7849"/>
      <c r="GL7849"/>
      <c r="GM7849"/>
      <c r="GN7849"/>
      <c r="GO7849"/>
    </row>
    <row r="7850" spans="107:197">
      <c r="DC7850"/>
      <c r="FH7850"/>
      <c r="FI7850"/>
      <c r="FJ7850"/>
      <c r="FK7850"/>
      <c r="FL7850"/>
      <c r="FM7850"/>
      <c r="FN7850"/>
      <c r="FO7850"/>
      <c r="FP7850"/>
      <c r="FQ7850"/>
      <c r="FR7850"/>
      <c r="FS7850"/>
      <c r="FT7850"/>
      <c r="FU7850"/>
      <c r="FV7850"/>
      <c r="FW7850"/>
      <c r="FX7850"/>
      <c r="FY7850"/>
      <c r="FZ7850"/>
      <c r="GA7850"/>
      <c r="GB7850"/>
      <c r="GC7850"/>
      <c r="GD7850"/>
      <c r="GE7850"/>
      <c r="GF7850"/>
      <c r="GG7850"/>
      <c r="GH7850"/>
      <c r="GI7850"/>
      <c r="GJ7850"/>
      <c r="GK7850"/>
      <c r="GL7850"/>
      <c r="GM7850"/>
      <c r="GN7850"/>
      <c r="GO7850"/>
    </row>
    <row r="7851" spans="107:197">
      <c r="DC7851"/>
      <c r="FH7851"/>
      <c r="FI7851"/>
      <c r="FJ7851"/>
      <c r="FK7851"/>
      <c r="FL7851"/>
      <c r="FM7851"/>
      <c r="FN7851"/>
      <c r="FO7851"/>
      <c r="FP7851"/>
      <c r="FQ7851"/>
      <c r="FR7851"/>
      <c r="FS7851"/>
      <c r="FT7851"/>
      <c r="FU7851"/>
      <c r="FV7851"/>
      <c r="FW7851"/>
      <c r="FX7851"/>
      <c r="FY7851"/>
      <c r="FZ7851"/>
      <c r="GA7851"/>
      <c r="GB7851"/>
      <c r="GC7851"/>
      <c r="GD7851"/>
      <c r="GE7851"/>
      <c r="GF7851"/>
      <c r="GG7851"/>
      <c r="GH7851"/>
      <c r="GI7851"/>
      <c r="GJ7851"/>
      <c r="GK7851"/>
      <c r="GL7851"/>
      <c r="GM7851"/>
      <c r="GN7851"/>
      <c r="GO7851"/>
    </row>
    <row r="7852" spans="107:197">
      <c r="DC7852"/>
      <c r="FH7852"/>
      <c r="FI7852"/>
      <c r="FJ7852"/>
      <c r="FK7852"/>
      <c r="FL7852"/>
      <c r="FM7852"/>
      <c r="FN7852"/>
      <c r="FO7852"/>
      <c r="FP7852"/>
      <c r="FQ7852"/>
      <c r="FR7852"/>
      <c r="FS7852"/>
      <c r="FT7852"/>
      <c r="FU7852"/>
      <c r="FV7852"/>
      <c r="FW7852"/>
      <c r="FX7852"/>
      <c r="FY7852"/>
      <c r="FZ7852"/>
      <c r="GA7852"/>
      <c r="GB7852"/>
      <c r="GC7852"/>
      <c r="GD7852"/>
      <c r="GE7852"/>
      <c r="GF7852"/>
      <c r="GG7852"/>
      <c r="GH7852"/>
      <c r="GI7852"/>
      <c r="GJ7852"/>
      <c r="GK7852"/>
      <c r="GL7852"/>
      <c r="GM7852"/>
      <c r="GN7852"/>
      <c r="GO7852"/>
    </row>
    <row r="7853" spans="107:197">
      <c r="DC7853"/>
      <c r="FH7853"/>
      <c r="FI7853"/>
      <c r="FJ7853"/>
      <c r="FK7853"/>
      <c r="FL7853"/>
      <c r="FM7853"/>
      <c r="FN7853"/>
      <c r="FO7853"/>
      <c r="FP7853"/>
      <c r="FQ7853"/>
      <c r="FR7853"/>
      <c r="FS7853"/>
      <c r="FT7853"/>
      <c r="FU7853"/>
      <c r="FV7853"/>
      <c r="FW7853"/>
      <c r="FX7853"/>
      <c r="FY7853"/>
      <c r="FZ7853"/>
      <c r="GA7853"/>
      <c r="GB7853"/>
      <c r="GC7853"/>
      <c r="GD7853"/>
      <c r="GE7853"/>
      <c r="GF7853"/>
      <c r="GG7853"/>
      <c r="GH7853"/>
      <c r="GI7853"/>
      <c r="GJ7853"/>
      <c r="GK7853"/>
      <c r="GL7853"/>
      <c r="GM7853"/>
      <c r="GN7853"/>
      <c r="GO7853"/>
    </row>
    <row r="7854" spans="107:197">
      <c r="DC7854"/>
      <c r="FH7854"/>
      <c r="FI7854"/>
      <c r="FJ7854"/>
      <c r="FK7854"/>
      <c r="FL7854"/>
      <c r="FM7854"/>
      <c r="FN7854"/>
      <c r="FO7854"/>
      <c r="FP7854"/>
      <c r="FQ7854"/>
      <c r="FR7854"/>
      <c r="FS7854"/>
      <c r="FT7854"/>
      <c r="FU7854"/>
      <c r="FV7854"/>
      <c r="FW7854"/>
      <c r="FX7854"/>
      <c r="FY7854"/>
      <c r="FZ7854"/>
      <c r="GA7854"/>
      <c r="GB7854"/>
      <c r="GC7854"/>
      <c r="GD7854"/>
      <c r="GE7854"/>
      <c r="GF7854"/>
      <c r="GG7854"/>
      <c r="GH7854"/>
      <c r="GI7854"/>
      <c r="GJ7854"/>
      <c r="GK7854"/>
      <c r="GL7854"/>
      <c r="GM7854"/>
      <c r="GN7854"/>
      <c r="GO7854"/>
    </row>
    <row r="7855" spans="107:197">
      <c r="DC7855"/>
      <c r="FH7855"/>
      <c r="FI7855"/>
      <c r="FJ7855"/>
      <c r="FK7855"/>
      <c r="FL7855"/>
      <c r="FM7855"/>
      <c r="FN7855"/>
      <c r="FO7855"/>
      <c r="FP7855"/>
      <c r="FQ7855"/>
      <c r="FR7855"/>
      <c r="FS7855"/>
      <c r="FT7855"/>
      <c r="FU7855"/>
      <c r="FV7855"/>
      <c r="FW7855"/>
      <c r="FX7855"/>
      <c r="FY7855"/>
      <c r="FZ7855"/>
      <c r="GA7855"/>
      <c r="GB7855"/>
      <c r="GC7855"/>
      <c r="GD7855"/>
      <c r="GE7855"/>
      <c r="GF7855"/>
      <c r="GG7855"/>
      <c r="GH7855"/>
      <c r="GI7855"/>
      <c r="GJ7855"/>
      <c r="GK7855"/>
      <c r="GL7855"/>
      <c r="GM7855"/>
      <c r="GN7855"/>
      <c r="GO7855"/>
    </row>
    <row r="7856" spans="107:197">
      <c r="DC7856"/>
      <c r="FH7856"/>
      <c r="FI7856"/>
      <c r="FJ7856"/>
      <c r="FK7856"/>
      <c r="FL7856"/>
      <c r="FM7856"/>
      <c r="FN7856"/>
      <c r="FO7856"/>
      <c r="FP7856"/>
      <c r="FQ7856"/>
      <c r="FR7856"/>
      <c r="FS7856"/>
      <c r="FT7856"/>
      <c r="FU7856"/>
      <c r="FV7856"/>
      <c r="FW7856"/>
      <c r="FX7856"/>
      <c r="FY7856"/>
      <c r="FZ7856"/>
      <c r="GA7856"/>
      <c r="GB7856"/>
      <c r="GC7856"/>
      <c r="GD7856"/>
      <c r="GE7856"/>
      <c r="GF7856"/>
      <c r="GG7856"/>
      <c r="GH7856"/>
      <c r="GI7856"/>
      <c r="GJ7856"/>
      <c r="GK7856"/>
      <c r="GL7856"/>
      <c r="GM7856"/>
      <c r="GN7856"/>
      <c r="GO7856"/>
    </row>
    <row r="7857" spans="107:197">
      <c r="DC7857"/>
      <c r="FH7857"/>
      <c r="FI7857"/>
      <c r="FJ7857"/>
      <c r="FK7857"/>
      <c r="FL7857"/>
      <c r="FM7857"/>
      <c r="FN7857"/>
      <c r="FO7857"/>
      <c r="FP7857"/>
      <c r="FQ7857"/>
      <c r="FR7857"/>
      <c r="FS7857"/>
      <c r="FT7857"/>
      <c r="FU7857"/>
      <c r="FV7857"/>
      <c r="FW7857"/>
      <c r="FX7857"/>
      <c r="FY7857"/>
      <c r="FZ7857"/>
      <c r="GA7857"/>
      <c r="GB7857"/>
      <c r="GC7857"/>
      <c r="GD7857"/>
      <c r="GE7857"/>
      <c r="GF7857"/>
      <c r="GG7857"/>
      <c r="GH7857"/>
      <c r="GI7857"/>
      <c r="GJ7857"/>
      <c r="GK7857"/>
      <c r="GL7857"/>
      <c r="GM7857"/>
      <c r="GN7857"/>
      <c r="GO7857"/>
    </row>
    <row r="7858" spans="107:197">
      <c r="DC7858"/>
      <c r="FH7858"/>
      <c r="FI7858"/>
      <c r="FJ7858"/>
      <c r="FK7858"/>
      <c r="FL7858"/>
      <c r="FM7858"/>
      <c r="FN7858"/>
      <c r="FO7858"/>
      <c r="FP7858"/>
      <c r="FQ7858"/>
      <c r="FR7858"/>
      <c r="FS7858"/>
      <c r="FT7858"/>
      <c r="FU7858"/>
      <c r="FV7858"/>
      <c r="FW7858"/>
      <c r="FX7858"/>
      <c r="FY7858"/>
      <c r="FZ7858"/>
      <c r="GA7858"/>
      <c r="GB7858"/>
      <c r="GC7858"/>
      <c r="GD7858"/>
      <c r="GE7858"/>
      <c r="GF7858"/>
      <c r="GG7858"/>
      <c r="GH7858"/>
      <c r="GI7858"/>
      <c r="GJ7858"/>
      <c r="GK7858"/>
      <c r="GL7858"/>
      <c r="GM7858"/>
      <c r="GN7858"/>
      <c r="GO7858"/>
    </row>
    <row r="7859" spans="107:197">
      <c r="DC7859"/>
      <c r="FH7859"/>
      <c r="FI7859"/>
      <c r="FJ7859"/>
      <c r="FK7859"/>
      <c r="FL7859"/>
      <c r="FM7859"/>
      <c r="FN7859"/>
      <c r="FO7859"/>
      <c r="FP7859"/>
      <c r="FQ7859"/>
      <c r="FR7859"/>
      <c r="FS7859"/>
      <c r="FT7859"/>
      <c r="FU7859"/>
      <c r="FV7859"/>
      <c r="FW7859"/>
      <c r="FX7859"/>
      <c r="FY7859"/>
      <c r="FZ7859"/>
      <c r="GA7859"/>
      <c r="GB7859"/>
      <c r="GC7859"/>
      <c r="GD7859"/>
      <c r="GE7859"/>
      <c r="GF7859"/>
      <c r="GG7859"/>
      <c r="GH7859"/>
      <c r="GI7859"/>
      <c r="GJ7859"/>
      <c r="GK7859"/>
      <c r="GL7859"/>
      <c r="GM7859"/>
      <c r="GN7859"/>
      <c r="GO7859"/>
    </row>
    <row r="7860" spans="107:197">
      <c r="DC7860"/>
      <c r="FH7860"/>
      <c r="FI7860"/>
      <c r="FJ7860"/>
      <c r="FK7860"/>
      <c r="FL7860"/>
      <c r="FM7860"/>
      <c r="FN7860"/>
      <c r="FO7860"/>
      <c r="FP7860"/>
      <c r="FQ7860"/>
      <c r="FR7860"/>
      <c r="FS7860"/>
      <c r="FT7860"/>
      <c r="FU7860"/>
      <c r="FV7860"/>
      <c r="FW7860"/>
      <c r="FX7860"/>
      <c r="FY7860"/>
      <c r="FZ7860"/>
      <c r="GA7860"/>
      <c r="GB7860"/>
      <c r="GC7860"/>
      <c r="GD7860"/>
      <c r="GE7860"/>
      <c r="GF7860"/>
      <c r="GG7860"/>
      <c r="GH7860"/>
      <c r="GI7860"/>
      <c r="GJ7860"/>
      <c r="GK7860"/>
      <c r="GL7860"/>
      <c r="GM7860"/>
      <c r="GN7860"/>
      <c r="GO7860"/>
    </row>
    <row r="7861" spans="107:197">
      <c r="DC7861"/>
      <c r="FH7861"/>
      <c r="FI7861"/>
      <c r="FJ7861"/>
      <c r="FK7861"/>
      <c r="FL7861"/>
      <c r="FM7861"/>
      <c r="FN7861"/>
      <c r="FO7861"/>
      <c r="FP7861"/>
      <c r="FQ7861"/>
      <c r="FR7861"/>
      <c r="FS7861"/>
      <c r="FT7861"/>
      <c r="FU7861"/>
      <c r="FV7861"/>
      <c r="FW7861"/>
      <c r="FX7861"/>
      <c r="FY7861"/>
      <c r="FZ7861"/>
      <c r="GA7861"/>
      <c r="GB7861"/>
      <c r="GC7861"/>
      <c r="GD7861"/>
      <c r="GE7861"/>
      <c r="GF7861"/>
      <c r="GG7861"/>
      <c r="GH7861"/>
      <c r="GI7861"/>
      <c r="GJ7861"/>
      <c r="GK7861"/>
      <c r="GL7861"/>
      <c r="GM7861"/>
      <c r="GN7861"/>
      <c r="GO7861"/>
    </row>
    <row r="7862" spans="107:197">
      <c r="DC7862"/>
      <c r="FH7862"/>
      <c r="FI7862"/>
      <c r="FJ7862"/>
      <c r="FK7862"/>
      <c r="FL7862"/>
      <c r="FM7862"/>
      <c r="FN7862"/>
      <c r="FO7862"/>
      <c r="FP7862"/>
      <c r="FQ7862"/>
      <c r="FR7862"/>
      <c r="FS7862"/>
      <c r="FT7862"/>
      <c r="FU7862"/>
      <c r="FV7862"/>
      <c r="FW7862"/>
      <c r="FX7862"/>
      <c r="FY7862"/>
      <c r="FZ7862"/>
      <c r="GA7862"/>
      <c r="GB7862"/>
      <c r="GC7862"/>
      <c r="GD7862"/>
      <c r="GE7862"/>
      <c r="GF7862"/>
      <c r="GG7862"/>
      <c r="GH7862"/>
      <c r="GI7862"/>
      <c r="GJ7862"/>
      <c r="GK7862"/>
      <c r="GL7862"/>
      <c r="GM7862"/>
      <c r="GN7862"/>
      <c r="GO7862"/>
    </row>
    <row r="7863" spans="107:197">
      <c r="DC7863"/>
      <c r="FH7863"/>
      <c r="FI7863"/>
      <c r="FJ7863"/>
      <c r="FK7863"/>
      <c r="FL7863"/>
      <c r="FM7863"/>
      <c r="FN7863"/>
      <c r="FO7863"/>
      <c r="FP7863"/>
      <c r="FQ7863"/>
      <c r="FR7863"/>
      <c r="FS7863"/>
      <c r="FT7863"/>
      <c r="FU7863"/>
      <c r="FV7863"/>
      <c r="FW7863"/>
      <c r="FX7863"/>
      <c r="FY7863"/>
      <c r="FZ7863"/>
      <c r="GA7863"/>
      <c r="GB7863"/>
      <c r="GC7863"/>
      <c r="GD7863"/>
      <c r="GE7863"/>
      <c r="GF7863"/>
      <c r="GG7863"/>
      <c r="GH7863"/>
      <c r="GI7863"/>
      <c r="GJ7863"/>
      <c r="GK7863"/>
      <c r="GL7863"/>
      <c r="GM7863"/>
      <c r="GN7863"/>
      <c r="GO7863"/>
    </row>
    <row r="7864" spans="107:197">
      <c r="DC7864"/>
      <c r="FH7864"/>
      <c r="FI7864"/>
      <c r="FJ7864"/>
      <c r="FK7864"/>
      <c r="FL7864"/>
      <c r="FM7864"/>
      <c r="FN7864"/>
      <c r="FO7864"/>
      <c r="FP7864"/>
      <c r="FQ7864"/>
      <c r="FR7864"/>
      <c r="FS7864"/>
      <c r="FT7864"/>
      <c r="FU7864"/>
      <c r="FV7864"/>
      <c r="FW7864"/>
      <c r="FX7864"/>
      <c r="FY7864"/>
      <c r="FZ7864"/>
      <c r="GA7864"/>
      <c r="GB7864"/>
      <c r="GC7864"/>
      <c r="GD7864"/>
      <c r="GE7864"/>
      <c r="GF7864"/>
      <c r="GG7864"/>
      <c r="GH7864"/>
      <c r="GI7864"/>
      <c r="GJ7864"/>
      <c r="GK7864"/>
      <c r="GL7864"/>
      <c r="GM7864"/>
      <c r="GN7864"/>
      <c r="GO7864"/>
    </row>
    <row r="7865" spans="107:197">
      <c r="DC7865"/>
      <c r="FH7865"/>
      <c r="FI7865"/>
      <c r="FJ7865"/>
      <c r="FK7865"/>
      <c r="FL7865"/>
      <c r="FM7865"/>
      <c r="FN7865"/>
      <c r="FO7865"/>
      <c r="FP7865"/>
      <c r="FQ7865"/>
      <c r="FR7865"/>
      <c r="FS7865"/>
      <c r="FT7865"/>
      <c r="FU7865"/>
      <c r="FV7865"/>
      <c r="FW7865"/>
      <c r="FX7865"/>
      <c r="FY7865"/>
      <c r="FZ7865"/>
      <c r="GA7865"/>
      <c r="GB7865"/>
      <c r="GC7865"/>
      <c r="GD7865"/>
      <c r="GE7865"/>
      <c r="GF7865"/>
      <c r="GG7865"/>
      <c r="GH7865"/>
      <c r="GI7865"/>
      <c r="GJ7865"/>
      <c r="GK7865"/>
      <c r="GL7865"/>
      <c r="GM7865"/>
      <c r="GN7865"/>
      <c r="GO7865"/>
    </row>
    <row r="7866" spans="107:197">
      <c r="DC7866"/>
      <c r="FH7866"/>
      <c r="FI7866"/>
      <c r="FJ7866"/>
      <c r="FK7866"/>
      <c r="FL7866"/>
      <c r="FM7866"/>
      <c r="FN7866"/>
      <c r="FO7866"/>
      <c r="FP7866"/>
      <c r="FQ7866"/>
      <c r="FR7866"/>
      <c r="FS7866"/>
      <c r="FT7866"/>
      <c r="FU7866"/>
      <c r="FV7866"/>
      <c r="FW7866"/>
      <c r="FX7866"/>
      <c r="FY7866"/>
      <c r="FZ7866"/>
      <c r="GA7866"/>
      <c r="GB7866"/>
      <c r="GC7866"/>
      <c r="GD7866"/>
      <c r="GE7866"/>
      <c r="GF7866"/>
      <c r="GG7866"/>
      <c r="GH7866"/>
      <c r="GI7866"/>
      <c r="GJ7866"/>
      <c r="GK7866"/>
      <c r="GL7866"/>
      <c r="GM7866"/>
      <c r="GN7866"/>
      <c r="GO7866"/>
    </row>
    <row r="7867" spans="107:197">
      <c r="DC7867"/>
      <c r="FH7867"/>
      <c r="FI7867"/>
      <c r="FJ7867"/>
      <c r="FK7867"/>
      <c r="FL7867"/>
      <c r="FM7867"/>
      <c r="FN7867"/>
      <c r="FO7867"/>
      <c r="FP7867"/>
      <c r="FQ7867"/>
      <c r="FR7867"/>
      <c r="FS7867"/>
      <c r="FT7867"/>
      <c r="FU7867"/>
      <c r="FV7867"/>
      <c r="FW7867"/>
      <c r="FX7867"/>
      <c r="FY7867"/>
      <c r="FZ7867"/>
      <c r="GA7867"/>
      <c r="GB7867"/>
      <c r="GC7867"/>
      <c r="GD7867"/>
      <c r="GE7867"/>
      <c r="GF7867"/>
      <c r="GG7867"/>
      <c r="GH7867"/>
      <c r="GI7867"/>
      <c r="GJ7867"/>
      <c r="GK7867"/>
      <c r="GL7867"/>
      <c r="GM7867"/>
      <c r="GN7867"/>
      <c r="GO7867"/>
    </row>
    <row r="7868" spans="107:197">
      <c r="DC7868"/>
      <c r="FH7868"/>
      <c r="FI7868"/>
      <c r="FJ7868"/>
      <c r="FK7868"/>
      <c r="FL7868"/>
      <c r="FM7868"/>
      <c r="FN7868"/>
      <c r="FO7868"/>
      <c r="FP7868"/>
      <c r="FQ7868"/>
      <c r="FR7868"/>
      <c r="FS7868"/>
      <c r="FT7868"/>
      <c r="FU7868"/>
      <c r="FV7868"/>
      <c r="FW7868"/>
      <c r="FX7868"/>
      <c r="FY7868"/>
      <c r="FZ7868"/>
      <c r="GA7868"/>
      <c r="GB7868"/>
      <c r="GC7868"/>
      <c r="GD7868"/>
      <c r="GE7868"/>
      <c r="GF7868"/>
      <c r="GG7868"/>
      <c r="GH7868"/>
      <c r="GI7868"/>
      <c r="GJ7868"/>
      <c r="GK7868"/>
      <c r="GL7868"/>
      <c r="GM7868"/>
      <c r="GN7868"/>
      <c r="GO7868"/>
    </row>
    <row r="7869" spans="107:197">
      <c r="DC7869"/>
      <c r="FH7869"/>
      <c r="FI7869"/>
      <c r="FJ7869"/>
      <c r="FK7869"/>
      <c r="FL7869"/>
      <c r="FM7869"/>
      <c r="FN7869"/>
      <c r="FO7869"/>
      <c r="FP7869"/>
      <c r="FQ7869"/>
      <c r="FR7869"/>
      <c r="FS7869"/>
      <c r="FT7869"/>
      <c r="FU7869"/>
      <c r="FV7869"/>
      <c r="FW7869"/>
      <c r="FX7869"/>
      <c r="FY7869"/>
      <c r="FZ7869"/>
      <c r="GA7869"/>
      <c r="GB7869"/>
      <c r="GC7869"/>
      <c r="GD7869"/>
      <c r="GE7869"/>
      <c r="GF7869"/>
      <c r="GG7869"/>
      <c r="GH7869"/>
      <c r="GI7869"/>
      <c r="GJ7869"/>
      <c r="GK7869"/>
      <c r="GL7869"/>
      <c r="GM7869"/>
      <c r="GN7869"/>
      <c r="GO7869"/>
    </row>
    <row r="7870" spans="107:197">
      <c r="DC7870"/>
      <c r="FH7870"/>
      <c r="FI7870"/>
      <c r="FJ7870"/>
      <c r="FK7870"/>
      <c r="FL7870"/>
      <c r="FM7870"/>
      <c r="FN7870"/>
      <c r="FO7870"/>
      <c r="FP7870"/>
      <c r="FQ7870"/>
      <c r="FR7870"/>
      <c r="FS7870"/>
      <c r="FT7870"/>
      <c r="FU7870"/>
      <c r="FV7870"/>
      <c r="FW7870"/>
      <c r="FX7870"/>
      <c r="FY7870"/>
      <c r="FZ7870"/>
      <c r="GA7870"/>
      <c r="GB7870"/>
      <c r="GC7870"/>
      <c r="GD7870"/>
      <c r="GE7870"/>
      <c r="GF7870"/>
      <c r="GG7870"/>
      <c r="GH7870"/>
      <c r="GI7870"/>
      <c r="GJ7870"/>
      <c r="GK7870"/>
      <c r="GL7870"/>
      <c r="GM7870"/>
      <c r="GN7870"/>
      <c r="GO7870"/>
    </row>
    <row r="7871" spans="107:197">
      <c r="DC7871"/>
      <c r="FH7871"/>
      <c r="FI7871"/>
      <c r="FJ7871"/>
      <c r="FK7871"/>
      <c r="FL7871"/>
      <c r="FM7871"/>
      <c r="FN7871"/>
      <c r="FO7871"/>
      <c r="FP7871"/>
      <c r="FQ7871"/>
      <c r="FR7871"/>
      <c r="FS7871"/>
      <c r="FT7871"/>
      <c r="FU7871"/>
      <c r="FV7871"/>
      <c r="FW7871"/>
      <c r="FX7871"/>
      <c r="FY7871"/>
      <c r="FZ7871"/>
      <c r="GA7871"/>
      <c r="GB7871"/>
      <c r="GC7871"/>
      <c r="GD7871"/>
      <c r="GE7871"/>
      <c r="GF7871"/>
      <c r="GG7871"/>
      <c r="GH7871"/>
      <c r="GI7871"/>
      <c r="GJ7871"/>
      <c r="GK7871"/>
      <c r="GL7871"/>
      <c r="GM7871"/>
      <c r="GN7871"/>
      <c r="GO7871"/>
    </row>
    <row r="7872" spans="107:197">
      <c r="DC7872"/>
      <c r="FH7872"/>
      <c r="FI7872"/>
      <c r="FJ7872"/>
      <c r="FK7872"/>
      <c r="FL7872"/>
      <c r="FM7872"/>
      <c r="FN7872"/>
      <c r="FO7872"/>
      <c r="FP7872"/>
      <c r="FQ7872"/>
      <c r="FR7872"/>
      <c r="FS7872"/>
      <c r="FT7872"/>
      <c r="FU7872"/>
      <c r="FV7872"/>
      <c r="FW7872"/>
      <c r="FX7872"/>
      <c r="FY7872"/>
      <c r="FZ7872"/>
      <c r="GA7872"/>
      <c r="GB7872"/>
      <c r="GC7872"/>
      <c r="GD7872"/>
      <c r="GE7872"/>
      <c r="GF7872"/>
      <c r="GG7872"/>
      <c r="GH7872"/>
      <c r="GI7872"/>
      <c r="GJ7872"/>
      <c r="GK7872"/>
      <c r="GL7872"/>
      <c r="GM7872"/>
      <c r="GN7872"/>
      <c r="GO7872"/>
    </row>
    <row r="7873" spans="107:197">
      <c r="DC7873"/>
      <c r="FH7873"/>
      <c r="FI7873"/>
      <c r="FJ7873"/>
      <c r="FK7873"/>
      <c r="FL7873"/>
      <c r="FM7873"/>
      <c r="FN7873"/>
      <c r="FO7873"/>
      <c r="FP7873"/>
      <c r="FQ7873"/>
      <c r="FR7873"/>
      <c r="FS7873"/>
      <c r="FT7873"/>
      <c r="FU7873"/>
      <c r="FV7873"/>
      <c r="FW7873"/>
      <c r="FX7873"/>
      <c r="FY7873"/>
      <c r="FZ7873"/>
      <c r="GA7873"/>
      <c r="GB7873"/>
      <c r="GC7873"/>
      <c r="GD7873"/>
      <c r="GE7873"/>
      <c r="GF7873"/>
      <c r="GG7873"/>
      <c r="GH7873"/>
      <c r="GI7873"/>
      <c r="GJ7873"/>
      <c r="GK7873"/>
      <c r="GL7873"/>
      <c r="GM7873"/>
      <c r="GN7873"/>
      <c r="GO7873"/>
    </row>
    <row r="7874" spans="107:197">
      <c r="DC7874"/>
      <c r="FH7874"/>
      <c r="FI7874"/>
      <c r="FJ7874"/>
      <c r="FK7874"/>
      <c r="FL7874"/>
      <c r="FM7874"/>
      <c r="FN7874"/>
      <c r="FO7874"/>
      <c r="FP7874"/>
      <c r="FQ7874"/>
      <c r="FR7874"/>
      <c r="FS7874"/>
      <c r="FT7874"/>
      <c r="FU7874"/>
      <c r="FV7874"/>
      <c r="FW7874"/>
      <c r="FX7874"/>
      <c r="FY7874"/>
      <c r="FZ7874"/>
      <c r="GA7874"/>
      <c r="GB7874"/>
      <c r="GC7874"/>
      <c r="GD7874"/>
      <c r="GE7874"/>
      <c r="GF7874"/>
      <c r="GG7874"/>
      <c r="GH7874"/>
      <c r="GI7874"/>
      <c r="GJ7874"/>
      <c r="GK7874"/>
      <c r="GL7874"/>
      <c r="GM7874"/>
      <c r="GN7874"/>
      <c r="GO7874"/>
    </row>
    <row r="7875" spans="107:197">
      <c r="DC7875"/>
      <c r="FH7875"/>
      <c r="FI7875"/>
      <c r="FJ7875"/>
      <c r="FK7875"/>
      <c r="FL7875"/>
      <c r="FM7875"/>
      <c r="FN7875"/>
      <c r="FO7875"/>
      <c r="FP7875"/>
      <c r="FQ7875"/>
      <c r="FR7875"/>
      <c r="FS7875"/>
      <c r="FT7875"/>
      <c r="FU7875"/>
      <c r="FV7875"/>
      <c r="FW7875"/>
      <c r="FX7875"/>
      <c r="FY7875"/>
      <c r="FZ7875"/>
      <c r="GA7875"/>
      <c r="GB7875"/>
      <c r="GC7875"/>
      <c r="GD7875"/>
      <c r="GE7875"/>
      <c r="GF7875"/>
      <c r="GG7875"/>
      <c r="GH7875"/>
      <c r="GI7875"/>
      <c r="GJ7875"/>
      <c r="GK7875"/>
      <c r="GL7875"/>
      <c r="GM7875"/>
      <c r="GN7875"/>
      <c r="GO7875"/>
    </row>
    <row r="7876" spans="107:197">
      <c r="DC7876"/>
      <c r="FH7876"/>
      <c r="FI7876"/>
      <c r="FJ7876"/>
      <c r="FK7876"/>
      <c r="FL7876"/>
      <c r="FM7876"/>
      <c r="FN7876"/>
      <c r="FO7876"/>
      <c r="FP7876"/>
      <c r="FQ7876"/>
      <c r="FR7876"/>
      <c r="FS7876"/>
      <c r="FT7876"/>
      <c r="FU7876"/>
      <c r="FV7876"/>
      <c r="FW7876"/>
      <c r="FX7876"/>
      <c r="FY7876"/>
      <c r="FZ7876"/>
      <c r="GA7876"/>
      <c r="GB7876"/>
      <c r="GC7876"/>
      <c r="GD7876"/>
      <c r="GE7876"/>
      <c r="GF7876"/>
      <c r="GG7876"/>
      <c r="GH7876"/>
      <c r="GI7876"/>
      <c r="GJ7876"/>
      <c r="GK7876"/>
      <c r="GL7876"/>
      <c r="GM7876"/>
      <c r="GN7876"/>
      <c r="GO7876"/>
    </row>
    <row r="7877" spans="107:197">
      <c r="DC7877"/>
      <c r="FH7877"/>
      <c r="FI7877"/>
      <c r="FJ7877"/>
      <c r="FK7877"/>
      <c r="FL7877"/>
      <c r="FM7877"/>
      <c r="FN7877"/>
      <c r="FO7877"/>
      <c r="FP7877"/>
      <c r="FQ7877"/>
      <c r="FR7877"/>
      <c r="FS7877"/>
      <c r="FT7877"/>
      <c r="FU7877"/>
      <c r="FV7877"/>
      <c r="FW7877"/>
      <c r="FX7877"/>
      <c r="FY7877"/>
      <c r="FZ7877"/>
      <c r="GA7877"/>
      <c r="GB7877"/>
      <c r="GC7877"/>
      <c r="GD7877"/>
      <c r="GE7877"/>
      <c r="GF7877"/>
      <c r="GG7877"/>
      <c r="GH7877"/>
      <c r="GI7877"/>
      <c r="GJ7877"/>
      <c r="GK7877"/>
      <c r="GL7877"/>
      <c r="GM7877"/>
      <c r="GN7877"/>
      <c r="GO7877"/>
    </row>
    <row r="7878" spans="107:197">
      <c r="DC7878"/>
      <c r="FH7878"/>
      <c r="FI7878"/>
      <c r="FJ7878"/>
      <c r="FK7878"/>
      <c r="FL7878"/>
      <c r="FM7878"/>
      <c r="FN7878"/>
      <c r="FO7878"/>
      <c r="FP7878"/>
      <c r="FQ7878"/>
      <c r="FR7878"/>
      <c r="FS7878"/>
      <c r="FT7878"/>
      <c r="FU7878"/>
      <c r="FV7878"/>
      <c r="FW7878"/>
      <c r="FX7878"/>
      <c r="FY7878"/>
      <c r="FZ7878"/>
      <c r="GA7878"/>
      <c r="GB7878"/>
      <c r="GC7878"/>
      <c r="GD7878"/>
      <c r="GE7878"/>
      <c r="GF7878"/>
      <c r="GG7878"/>
      <c r="GH7878"/>
      <c r="GI7878"/>
      <c r="GJ7878"/>
      <c r="GK7878"/>
      <c r="GL7878"/>
      <c r="GM7878"/>
      <c r="GN7878"/>
      <c r="GO7878"/>
    </row>
    <row r="7879" spans="107:197">
      <c r="DC7879"/>
      <c r="FH7879"/>
      <c r="FI7879"/>
      <c r="FJ7879"/>
      <c r="FK7879"/>
      <c r="FL7879"/>
      <c r="FM7879"/>
      <c r="FN7879"/>
      <c r="FO7879"/>
      <c r="FP7879"/>
      <c r="FQ7879"/>
      <c r="FR7879"/>
      <c r="FS7879"/>
      <c r="FT7879"/>
      <c r="FU7879"/>
      <c r="FV7879"/>
      <c r="FW7879"/>
      <c r="FX7879"/>
      <c r="FY7879"/>
      <c r="FZ7879"/>
      <c r="GA7879"/>
      <c r="GB7879"/>
      <c r="GC7879"/>
      <c r="GD7879"/>
      <c r="GE7879"/>
      <c r="GF7879"/>
      <c r="GG7879"/>
      <c r="GH7879"/>
      <c r="GI7879"/>
      <c r="GJ7879"/>
      <c r="GK7879"/>
      <c r="GL7879"/>
      <c r="GM7879"/>
      <c r="GN7879"/>
      <c r="GO7879"/>
    </row>
    <row r="7880" spans="107:197">
      <c r="DC7880"/>
      <c r="FH7880"/>
      <c r="FI7880"/>
      <c r="FJ7880"/>
      <c r="FK7880"/>
      <c r="FL7880"/>
      <c r="FM7880"/>
      <c r="FN7880"/>
      <c r="FO7880"/>
      <c r="FP7880"/>
      <c r="FQ7880"/>
      <c r="FR7880"/>
      <c r="FS7880"/>
      <c r="FT7880"/>
      <c r="FU7880"/>
      <c r="FV7880"/>
      <c r="FW7880"/>
      <c r="FX7880"/>
      <c r="FY7880"/>
      <c r="FZ7880"/>
      <c r="GA7880"/>
      <c r="GB7880"/>
      <c r="GC7880"/>
      <c r="GD7880"/>
      <c r="GE7880"/>
      <c r="GF7880"/>
      <c r="GG7880"/>
      <c r="GH7880"/>
      <c r="GI7880"/>
      <c r="GJ7880"/>
      <c r="GK7880"/>
      <c r="GL7880"/>
      <c r="GM7880"/>
      <c r="GN7880"/>
      <c r="GO7880"/>
    </row>
    <row r="7881" spans="107:197">
      <c r="DC7881"/>
      <c r="FH7881"/>
      <c r="FI7881"/>
      <c r="FJ7881"/>
      <c r="FK7881"/>
      <c r="FL7881"/>
      <c r="FM7881"/>
      <c r="FN7881"/>
      <c r="FO7881"/>
      <c r="FP7881"/>
      <c r="FQ7881"/>
      <c r="FR7881"/>
      <c r="FS7881"/>
      <c r="FT7881"/>
      <c r="FU7881"/>
      <c r="FV7881"/>
      <c r="FW7881"/>
      <c r="FX7881"/>
      <c r="FY7881"/>
      <c r="FZ7881"/>
      <c r="GA7881"/>
      <c r="GB7881"/>
      <c r="GC7881"/>
      <c r="GD7881"/>
      <c r="GE7881"/>
      <c r="GF7881"/>
      <c r="GG7881"/>
      <c r="GH7881"/>
      <c r="GI7881"/>
      <c r="GJ7881"/>
      <c r="GK7881"/>
      <c r="GL7881"/>
      <c r="GM7881"/>
      <c r="GN7881"/>
      <c r="GO7881"/>
    </row>
    <row r="7882" spans="107:197">
      <c r="DC7882"/>
      <c r="FH7882"/>
      <c r="FI7882"/>
      <c r="FJ7882"/>
      <c r="FK7882"/>
      <c r="FL7882"/>
      <c r="FM7882"/>
      <c r="FN7882"/>
      <c r="FO7882"/>
      <c r="FP7882"/>
      <c r="FQ7882"/>
      <c r="FR7882"/>
      <c r="FS7882"/>
      <c r="FT7882"/>
      <c r="FU7882"/>
      <c r="FV7882"/>
      <c r="FW7882"/>
      <c r="FX7882"/>
      <c r="FY7882"/>
      <c r="FZ7882"/>
      <c r="GA7882"/>
      <c r="GB7882"/>
      <c r="GC7882"/>
      <c r="GD7882"/>
      <c r="GE7882"/>
      <c r="GF7882"/>
      <c r="GG7882"/>
      <c r="GH7882"/>
      <c r="GI7882"/>
      <c r="GJ7882"/>
      <c r="GK7882"/>
      <c r="GL7882"/>
      <c r="GM7882"/>
      <c r="GN7882"/>
      <c r="GO7882"/>
    </row>
    <row r="7883" spans="107:197">
      <c r="DC7883"/>
      <c r="FH7883"/>
      <c r="FI7883"/>
      <c r="FJ7883"/>
      <c r="FK7883"/>
      <c r="FL7883"/>
      <c r="FM7883"/>
      <c r="FN7883"/>
      <c r="FO7883"/>
      <c r="FP7883"/>
      <c r="FQ7883"/>
      <c r="FR7883"/>
      <c r="FS7883"/>
      <c r="FT7883"/>
      <c r="FU7883"/>
      <c r="FV7883"/>
      <c r="FW7883"/>
      <c r="FX7883"/>
      <c r="FY7883"/>
      <c r="FZ7883"/>
      <c r="GA7883"/>
      <c r="GB7883"/>
      <c r="GC7883"/>
      <c r="GD7883"/>
      <c r="GE7883"/>
      <c r="GF7883"/>
      <c r="GG7883"/>
      <c r="GH7883"/>
      <c r="GI7883"/>
      <c r="GJ7883"/>
      <c r="GK7883"/>
      <c r="GL7883"/>
      <c r="GM7883"/>
      <c r="GN7883"/>
      <c r="GO7883"/>
    </row>
    <row r="7884" spans="107:197">
      <c r="DC7884"/>
      <c r="FH7884"/>
      <c r="FI7884"/>
      <c r="FJ7884"/>
      <c r="FK7884"/>
      <c r="FL7884"/>
      <c r="FM7884"/>
      <c r="FN7884"/>
      <c r="FO7884"/>
      <c r="FP7884"/>
      <c r="FQ7884"/>
      <c r="FR7884"/>
      <c r="FS7884"/>
      <c r="FT7884"/>
      <c r="FU7884"/>
      <c r="FV7884"/>
      <c r="FW7884"/>
      <c r="FX7884"/>
      <c r="FY7884"/>
      <c r="FZ7884"/>
      <c r="GA7884"/>
      <c r="GB7884"/>
      <c r="GC7884"/>
      <c r="GD7884"/>
      <c r="GE7884"/>
      <c r="GF7884"/>
      <c r="GG7884"/>
      <c r="GH7884"/>
      <c r="GI7884"/>
      <c r="GJ7884"/>
      <c r="GK7884"/>
      <c r="GL7884"/>
      <c r="GM7884"/>
      <c r="GN7884"/>
      <c r="GO7884"/>
    </row>
    <row r="7885" spans="107:197">
      <c r="DC7885"/>
      <c r="FH7885"/>
      <c r="FI7885"/>
      <c r="FJ7885"/>
      <c r="FK7885"/>
      <c r="FL7885"/>
      <c r="FM7885"/>
      <c r="FN7885"/>
      <c r="FO7885"/>
      <c r="FP7885"/>
      <c r="FQ7885"/>
      <c r="FR7885"/>
      <c r="FS7885"/>
      <c r="FT7885"/>
      <c r="FU7885"/>
      <c r="FV7885"/>
      <c r="FW7885"/>
      <c r="FX7885"/>
      <c r="FY7885"/>
      <c r="FZ7885"/>
      <c r="GA7885"/>
      <c r="GB7885"/>
      <c r="GC7885"/>
      <c r="GD7885"/>
      <c r="GE7885"/>
      <c r="GF7885"/>
      <c r="GG7885"/>
      <c r="GH7885"/>
      <c r="GI7885"/>
      <c r="GJ7885"/>
      <c r="GK7885"/>
      <c r="GL7885"/>
      <c r="GM7885"/>
      <c r="GN7885"/>
      <c r="GO7885"/>
    </row>
    <row r="7886" spans="107:197">
      <c r="DC7886"/>
      <c r="FH7886"/>
      <c r="FI7886"/>
      <c r="FJ7886"/>
      <c r="FK7886"/>
      <c r="FL7886"/>
      <c r="FM7886"/>
      <c r="FN7886"/>
      <c r="FO7886"/>
      <c r="FP7886"/>
      <c r="FQ7886"/>
      <c r="FR7886"/>
      <c r="FS7886"/>
      <c r="FT7886"/>
      <c r="FU7886"/>
      <c r="FV7886"/>
      <c r="FW7886"/>
      <c r="FX7886"/>
      <c r="FY7886"/>
      <c r="FZ7886"/>
      <c r="GA7886"/>
      <c r="GB7886"/>
      <c r="GC7886"/>
      <c r="GD7886"/>
      <c r="GE7886"/>
      <c r="GF7886"/>
      <c r="GG7886"/>
      <c r="GH7886"/>
      <c r="GI7886"/>
      <c r="GJ7886"/>
      <c r="GK7886"/>
      <c r="GL7886"/>
      <c r="GM7886"/>
      <c r="GN7886"/>
      <c r="GO7886"/>
    </row>
    <row r="7887" spans="107:197">
      <c r="DC7887"/>
      <c r="FH7887"/>
      <c r="FI7887"/>
      <c r="FJ7887"/>
      <c r="FK7887"/>
      <c r="FL7887"/>
      <c r="FM7887"/>
      <c r="FN7887"/>
      <c r="FO7887"/>
      <c r="FP7887"/>
      <c r="FQ7887"/>
      <c r="FR7887"/>
      <c r="FS7887"/>
      <c r="FT7887"/>
      <c r="FU7887"/>
      <c r="FV7887"/>
      <c r="FW7887"/>
      <c r="FX7887"/>
      <c r="FY7887"/>
      <c r="FZ7887"/>
      <c r="GA7887"/>
      <c r="GB7887"/>
      <c r="GC7887"/>
      <c r="GD7887"/>
      <c r="GE7887"/>
      <c r="GF7887"/>
      <c r="GG7887"/>
      <c r="GH7887"/>
      <c r="GI7887"/>
      <c r="GJ7887"/>
      <c r="GK7887"/>
      <c r="GL7887"/>
      <c r="GM7887"/>
      <c r="GN7887"/>
      <c r="GO7887"/>
    </row>
    <row r="7888" spans="107:197">
      <c r="DC7888"/>
      <c r="FH7888"/>
      <c r="FI7888"/>
      <c r="FJ7888"/>
      <c r="FK7888"/>
      <c r="FL7888"/>
      <c r="FM7888"/>
      <c r="FN7888"/>
      <c r="FO7888"/>
      <c r="FP7888"/>
      <c r="FQ7888"/>
      <c r="FR7888"/>
      <c r="FS7888"/>
      <c r="FT7888"/>
      <c r="FU7888"/>
      <c r="FV7888"/>
      <c r="FW7888"/>
      <c r="FX7888"/>
      <c r="FY7888"/>
      <c r="FZ7888"/>
      <c r="GA7888"/>
      <c r="GB7888"/>
      <c r="GC7888"/>
      <c r="GD7888"/>
      <c r="GE7888"/>
      <c r="GF7888"/>
      <c r="GG7888"/>
      <c r="GH7888"/>
      <c r="GI7888"/>
      <c r="GJ7888"/>
      <c r="GK7888"/>
      <c r="GL7888"/>
      <c r="GM7888"/>
      <c r="GN7888"/>
      <c r="GO7888"/>
    </row>
    <row r="7889" spans="107:197">
      <c r="DC7889"/>
      <c r="FH7889"/>
      <c r="FI7889"/>
      <c r="FJ7889"/>
      <c r="FK7889"/>
      <c r="FL7889"/>
      <c r="FM7889"/>
      <c r="FN7889"/>
      <c r="FO7889"/>
      <c r="FP7889"/>
      <c r="FQ7889"/>
      <c r="FR7889"/>
      <c r="FS7889"/>
      <c r="FT7889"/>
      <c r="FU7889"/>
      <c r="FV7889"/>
      <c r="FW7889"/>
      <c r="FX7889"/>
      <c r="FY7889"/>
      <c r="FZ7889"/>
      <c r="GA7889"/>
      <c r="GB7889"/>
      <c r="GC7889"/>
      <c r="GD7889"/>
      <c r="GE7889"/>
      <c r="GF7889"/>
      <c r="GG7889"/>
      <c r="GH7889"/>
      <c r="GI7889"/>
      <c r="GJ7889"/>
      <c r="GK7889"/>
      <c r="GL7889"/>
      <c r="GM7889"/>
      <c r="GN7889"/>
      <c r="GO7889"/>
    </row>
    <row r="7890" spans="107:197">
      <c r="DC7890"/>
      <c r="FH7890"/>
      <c r="FI7890"/>
      <c r="FJ7890"/>
      <c r="FK7890"/>
      <c r="FL7890"/>
      <c r="FM7890"/>
      <c r="FN7890"/>
      <c r="FO7890"/>
      <c r="FP7890"/>
      <c r="FQ7890"/>
      <c r="FR7890"/>
      <c r="FS7890"/>
      <c r="FT7890"/>
      <c r="FU7890"/>
      <c r="FV7890"/>
      <c r="FW7890"/>
      <c r="FX7890"/>
      <c r="FY7890"/>
      <c r="FZ7890"/>
      <c r="GA7890"/>
      <c r="GB7890"/>
      <c r="GC7890"/>
      <c r="GD7890"/>
      <c r="GE7890"/>
      <c r="GF7890"/>
      <c r="GG7890"/>
      <c r="GH7890"/>
      <c r="GI7890"/>
      <c r="GJ7890"/>
      <c r="GK7890"/>
      <c r="GL7890"/>
      <c r="GM7890"/>
      <c r="GN7890"/>
      <c r="GO7890"/>
    </row>
    <row r="7891" spans="107:197">
      <c r="DC7891"/>
      <c r="FH7891"/>
      <c r="FI7891"/>
      <c r="FJ7891"/>
      <c r="FK7891"/>
      <c r="FL7891"/>
      <c r="FM7891"/>
      <c r="FN7891"/>
      <c r="FO7891"/>
      <c r="FP7891"/>
      <c r="FQ7891"/>
      <c r="FR7891"/>
      <c r="FS7891"/>
      <c r="FT7891"/>
      <c r="FU7891"/>
      <c r="FV7891"/>
      <c r="FW7891"/>
      <c r="FX7891"/>
      <c r="FY7891"/>
      <c r="FZ7891"/>
      <c r="GA7891"/>
      <c r="GB7891"/>
      <c r="GC7891"/>
      <c r="GD7891"/>
      <c r="GE7891"/>
      <c r="GF7891"/>
      <c r="GG7891"/>
      <c r="GH7891"/>
      <c r="GI7891"/>
      <c r="GJ7891"/>
      <c r="GK7891"/>
      <c r="GL7891"/>
      <c r="GM7891"/>
      <c r="GN7891"/>
      <c r="GO7891"/>
    </row>
    <row r="7892" spans="107:197">
      <c r="DC7892"/>
      <c r="FH7892"/>
      <c r="FI7892"/>
      <c r="FJ7892"/>
      <c r="FK7892"/>
      <c r="FL7892"/>
      <c r="FM7892"/>
      <c r="FN7892"/>
      <c r="FO7892"/>
      <c r="FP7892"/>
      <c r="FQ7892"/>
      <c r="FR7892"/>
      <c r="FS7892"/>
      <c r="FT7892"/>
      <c r="FU7892"/>
      <c r="FV7892"/>
      <c r="FW7892"/>
      <c r="FX7892"/>
      <c r="FY7892"/>
      <c r="FZ7892"/>
      <c r="GA7892"/>
      <c r="GB7892"/>
      <c r="GC7892"/>
      <c r="GD7892"/>
      <c r="GE7892"/>
      <c r="GF7892"/>
      <c r="GG7892"/>
      <c r="GH7892"/>
      <c r="GI7892"/>
      <c r="GJ7892"/>
      <c r="GK7892"/>
      <c r="GL7892"/>
      <c r="GM7892"/>
      <c r="GN7892"/>
      <c r="GO7892"/>
    </row>
    <row r="7893" spans="107:197">
      <c r="DC7893"/>
      <c r="FH7893"/>
      <c r="FI7893"/>
      <c r="FJ7893"/>
      <c r="FK7893"/>
      <c r="FL7893"/>
      <c r="FM7893"/>
      <c r="FN7893"/>
      <c r="FO7893"/>
      <c r="FP7893"/>
      <c r="FQ7893"/>
      <c r="FR7893"/>
      <c r="FS7893"/>
      <c r="FT7893"/>
      <c r="FU7893"/>
      <c r="FV7893"/>
      <c r="FW7893"/>
      <c r="FX7893"/>
      <c r="FY7893"/>
      <c r="FZ7893"/>
      <c r="GA7893"/>
      <c r="GB7893"/>
      <c r="GC7893"/>
      <c r="GD7893"/>
      <c r="GE7893"/>
      <c r="GF7893"/>
      <c r="GG7893"/>
      <c r="GH7893"/>
      <c r="GI7893"/>
      <c r="GJ7893"/>
      <c r="GK7893"/>
      <c r="GL7893"/>
      <c r="GM7893"/>
      <c r="GN7893"/>
      <c r="GO7893"/>
    </row>
    <row r="7894" spans="107:197">
      <c r="DC7894"/>
      <c r="FH7894"/>
      <c r="FI7894"/>
      <c r="FJ7894"/>
      <c r="FK7894"/>
      <c r="FL7894"/>
      <c r="FM7894"/>
      <c r="FN7894"/>
      <c r="FO7894"/>
      <c r="FP7894"/>
      <c r="FQ7894"/>
      <c r="FR7894"/>
      <c r="FS7894"/>
      <c r="FT7894"/>
      <c r="FU7894"/>
      <c r="FV7894"/>
      <c r="FW7894"/>
      <c r="FX7894"/>
      <c r="FY7894"/>
      <c r="FZ7894"/>
      <c r="GA7894"/>
      <c r="GB7894"/>
      <c r="GC7894"/>
      <c r="GD7894"/>
      <c r="GE7894"/>
      <c r="GF7894"/>
      <c r="GG7894"/>
      <c r="GH7894"/>
      <c r="GI7894"/>
      <c r="GJ7894"/>
      <c r="GK7894"/>
      <c r="GL7894"/>
      <c r="GM7894"/>
      <c r="GN7894"/>
      <c r="GO7894"/>
    </row>
    <row r="7895" spans="107:197">
      <c r="DC7895"/>
      <c r="FH7895"/>
      <c r="FI7895"/>
      <c r="FJ7895"/>
      <c r="FK7895"/>
      <c r="FL7895"/>
      <c r="FM7895"/>
      <c r="FN7895"/>
      <c r="FO7895"/>
      <c r="FP7895"/>
      <c r="FQ7895"/>
      <c r="FR7895"/>
      <c r="FS7895"/>
      <c r="FT7895"/>
      <c r="FU7895"/>
      <c r="FV7895"/>
      <c r="FW7895"/>
      <c r="FX7895"/>
      <c r="FY7895"/>
      <c r="FZ7895"/>
      <c r="GA7895"/>
      <c r="GB7895"/>
      <c r="GC7895"/>
      <c r="GD7895"/>
      <c r="GE7895"/>
      <c r="GF7895"/>
      <c r="GG7895"/>
      <c r="GH7895"/>
      <c r="GI7895"/>
      <c r="GJ7895"/>
      <c r="GK7895"/>
      <c r="GL7895"/>
      <c r="GM7895"/>
      <c r="GN7895"/>
      <c r="GO7895"/>
    </row>
    <row r="7896" spans="107:197">
      <c r="DC7896"/>
      <c r="FH7896"/>
      <c r="FI7896"/>
      <c r="FJ7896"/>
      <c r="FK7896"/>
      <c r="FL7896"/>
      <c r="FM7896"/>
      <c r="FN7896"/>
      <c r="FO7896"/>
      <c r="FP7896"/>
      <c r="FQ7896"/>
      <c r="FR7896"/>
      <c r="FS7896"/>
      <c r="FT7896"/>
      <c r="FU7896"/>
      <c r="FV7896"/>
      <c r="FW7896"/>
      <c r="FX7896"/>
      <c r="FY7896"/>
      <c r="FZ7896"/>
      <c r="GA7896"/>
      <c r="GB7896"/>
      <c r="GC7896"/>
      <c r="GD7896"/>
      <c r="GE7896"/>
      <c r="GF7896"/>
      <c r="GG7896"/>
      <c r="GH7896"/>
      <c r="GI7896"/>
      <c r="GJ7896"/>
      <c r="GK7896"/>
      <c r="GL7896"/>
      <c r="GM7896"/>
      <c r="GN7896"/>
      <c r="GO7896"/>
    </row>
    <row r="7897" spans="107:197">
      <c r="DC7897"/>
      <c r="FH7897"/>
      <c r="FI7897"/>
      <c r="FJ7897"/>
      <c r="FK7897"/>
      <c r="FL7897"/>
      <c r="FM7897"/>
      <c r="FN7897"/>
      <c r="FO7897"/>
      <c r="FP7897"/>
      <c r="FQ7897"/>
      <c r="FR7897"/>
      <c r="FS7897"/>
      <c r="FT7897"/>
      <c r="FU7897"/>
      <c r="FV7897"/>
      <c r="FW7897"/>
      <c r="FX7897"/>
      <c r="FY7897"/>
      <c r="FZ7897"/>
      <c r="GA7897"/>
      <c r="GB7897"/>
      <c r="GC7897"/>
      <c r="GD7897"/>
      <c r="GE7897"/>
      <c r="GF7897"/>
      <c r="GG7897"/>
      <c r="GH7897"/>
      <c r="GI7897"/>
      <c r="GJ7897"/>
      <c r="GK7897"/>
      <c r="GL7897"/>
      <c r="GM7897"/>
      <c r="GN7897"/>
      <c r="GO7897"/>
    </row>
    <row r="7898" spans="107:197">
      <c r="DC7898"/>
      <c r="FH7898"/>
      <c r="FI7898"/>
      <c r="FJ7898"/>
      <c r="FK7898"/>
      <c r="FL7898"/>
      <c r="FM7898"/>
      <c r="FN7898"/>
      <c r="FO7898"/>
      <c r="FP7898"/>
      <c r="FQ7898"/>
      <c r="FR7898"/>
      <c r="FS7898"/>
      <c r="FT7898"/>
      <c r="FU7898"/>
      <c r="FV7898"/>
      <c r="FW7898"/>
      <c r="FX7898"/>
      <c r="FY7898"/>
      <c r="FZ7898"/>
      <c r="GA7898"/>
      <c r="GB7898"/>
      <c r="GC7898"/>
      <c r="GD7898"/>
      <c r="GE7898"/>
      <c r="GF7898"/>
      <c r="GG7898"/>
      <c r="GH7898"/>
      <c r="GI7898"/>
      <c r="GJ7898"/>
      <c r="GK7898"/>
      <c r="GL7898"/>
      <c r="GM7898"/>
      <c r="GN7898"/>
      <c r="GO7898"/>
    </row>
    <row r="7899" spans="107:197">
      <c r="DC7899"/>
      <c r="FH7899"/>
      <c r="FI7899"/>
      <c r="FJ7899"/>
      <c r="FK7899"/>
      <c r="FL7899"/>
      <c r="FM7899"/>
      <c r="FN7899"/>
      <c r="FO7899"/>
      <c r="FP7899"/>
      <c r="FQ7899"/>
      <c r="FR7899"/>
      <c r="FS7899"/>
      <c r="FT7899"/>
      <c r="FU7899"/>
      <c r="FV7899"/>
      <c r="FW7899"/>
      <c r="FX7899"/>
      <c r="FY7899"/>
      <c r="FZ7899"/>
      <c r="GA7899"/>
      <c r="GB7899"/>
      <c r="GC7899"/>
      <c r="GD7899"/>
      <c r="GE7899"/>
      <c r="GF7899"/>
      <c r="GG7899"/>
      <c r="GH7899"/>
      <c r="GI7899"/>
      <c r="GJ7899"/>
      <c r="GK7899"/>
      <c r="GL7899"/>
      <c r="GM7899"/>
      <c r="GN7899"/>
      <c r="GO7899"/>
    </row>
    <row r="7900" spans="107:197">
      <c r="DC7900"/>
      <c r="FH7900"/>
      <c r="FI7900"/>
      <c r="FJ7900"/>
      <c r="FK7900"/>
      <c r="FL7900"/>
      <c r="FM7900"/>
      <c r="FN7900"/>
      <c r="FO7900"/>
      <c r="FP7900"/>
      <c r="FQ7900"/>
      <c r="FR7900"/>
      <c r="FS7900"/>
      <c r="FT7900"/>
      <c r="FU7900"/>
      <c r="FV7900"/>
      <c r="FW7900"/>
      <c r="FX7900"/>
      <c r="FY7900"/>
      <c r="FZ7900"/>
      <c r="GA7900"/>
      <c r="GB7900"/>
      <c r="GC7900"/>
      <c r="GD7900"/>
      <c r="GE7900"/>
      <c r="GF7900"/>
      <c r="GG7900"/>
      <c r="GH7900"/>
      <c r="GI7900"/>
      <c r="GJ7900"/>
      <c r="GK7900"/>
      <c r="GL7900"/>
      <c r="GM7900"/>
      <c r="GN7900"/>
      <c r="GO7900"/>
    </row>
    <row r="7901" spans="107:197">
      <c r="DC7901"/>
      <c r="FH7901"/>
      <c r="FI7901"/>
      <c r="FJ7901"/>
      <c r="FK7901"/>
      <c r="FL7901"/>
      <c r="FM7901"/>
      <c r="FN7901"/>
      <c r="FO7901"/>
      <c r="FP7901"/>
      <c r="FQ7901"/>
      <c r="FR7901"/>
      <c r="FS7901"/>
      <c r="FT7901"/>
      <c r="FU7901"/>
      <c r="FV7901"/>
      <c r="FW7901"/>
      <c r="FX7901"/>
      <c r="FY7901"/>
      <c r="FZ7901"/>
      <c r="GA7901"/>
      <c r="GB7901"/>
      <c r="GC7901"/>
      <c r="GD7901"/>
      <c r="GE7901"/>
      <c r="GF7901"/>
      <c r="GG7901"/>
      <c r="GH7901"/>
      <c r="GI7901"/>
      <c r="GJ7901"/>
      <c r="GK7901"/>
      <c r="GL7901"/>
      <c r="GM7901"/>
      <c r="GN7901"/>
      <c r="GO7901"/>
    </row>
    <row r="7902" spans="107:197">
      <c r="DC7902"/>
      <c r="FH7902"/>
      <c r="FI7902"/>
      <c r="FJ7902"/>
      <c r="FK7902"/>
      <c r="FL7902"/>
      <c r="FM7902"/>
      <c r="FN7902"/>
      <c r="FO7902"/>
      <c r="FP7902"/>
      <c r="FQ7902"/>
      <c r="FR7902"/>
      <c r="FS7902"/>
      <c r="FT7902"/>
      <c r="FU7902"/>
      <c r="FV7902"/>
      <c r="FW7902"/>
      <c r="FX7902"/>
      <c r="FY7902"/>
      <c r="FZ7902"/>
      <c r="GA7902"/>
      <c r="GB7902"/>
      <c r="GC7902"/>
      <c r="GD7902"/>
      <c r="GE7902"/>
      <c r="GF7902"/>
      <c r="GG7902"/>
      <c r="GH7902"/>
      <c r="GI7902"/>
      <c r="GJ7902"/>
      <c r="GK7902"/>
      <c r="GL7902"/>
      <c r="GM7902"/>
      <c r="GN7902"/>
      <c r="GO7902"/>
    </row>
    <row r="7903" spans="107:197">
      <c r="DC7903"/>
      <c r="FH7903"/>
      <c r="FI7903"/>
      <c r="FJ7903"/>
      <c r="FK7903"/>
      <c r="FL7903"/>
      <c r="FM7903"/>
      <c r="FN7903"/>
      <c r="FO7903"/>
      <c r="FP7903"/>
      <c r="FQ7903"/>
      <c r="FR7903"/>
      <c r="FS7903"/>
      <c r="FT7903"/>
      <c r="FU7903"/>
      <c r="FV7903"/>
      <c r="FW7903"/>
      <c r="FX7903"/>
      <c r="FY7903"/>
      <c r="FZ7903"/>
      <c r="GA7903"/>
      <c r="GB7903"/>
      <c r="GC7903"/>
      <c r="GD7903"/>
      <c r="GE7903"/>
      <c r="GF7903"/>
      <c r="GG7903"/>
      <c r="GH7903"/>
      <c r="GI7903"/>
      <c r="GJ7903"/>
      <c r="GK7903"/>
      <c r="GL7903"/>
      <c r="GM7903"/>
      <c r="GN7903"/>
      <c r="GO7903"/>
    </row>
    <row r="7904" spans="107:197">
      <c r="DC7904"/>
      <c r="FH7904"/>
      <c r="FI7904"/>
      <c r="FJ7904"/>
      <c r="FK7904"/>
      <c r="FL7904"/>
      <c r="FM7904"/>
      <c r="FN7904"/>
      <c r="FO7904"/>
      <c r="FP7904"/>
      <c r="FQ7904"/>
      <c r="FR7904"/>
      <c r="FS7904"/>
      <c r="FT7904"/>
      <c r="FU7904"/>
      <c r="FV7904"/>
      <c r="FW7904"/>
      <c r="FX7904"/>
      <c r="FY7904"/>
      <c r="FZ7904"/>
      <c r="GA7904"/>
      <c r="GB7904"/>
      <c r="GC7904"/>
      <c r="GD7904"/>
      <c r="GE7904"/>
      <c r="GF7904"/>
      <c r="GG7904"/>
      <c r="GH7904"/>
      <c r="GI7904"/>
      <c r="GJ7904"/>
      <c r="GK7904"/>
      <c r="GL7904"/>
      <c r="GM7904"/>
      <c r="GN7904"/>
      <c r="GO7904"/>
    </row>
    <row r="7905" spans="107:197">
      <c r="DC7905"/>
      <c r="FH7905"/>
      <c r="FI7905"/>
      <c r="FJ7905"/>
      <c r="FK7905"/>
      <c r="FL7905"/>
      <c r="FM7905"/>
      <c r="FN7905"/>
      <c r="FO7905"/>
      <c r="FP7905"/>
      <c r="FQ7905"/>
      <c r="FR7905"/>
      <c r="FS7905"/>
      <c r="FT7905"/>
      <c r="FU7905"/>
      <c r="FV7905"/>
      <c r="FW7905"/>
      <c r="FX7905"/>
      <c r="FY7905"/>
      <c r="FZ7905"/>
      <c r="GA7905"/>
      <c r="GB7905"/>
      <c r="GC7905"/>
      <c r="GD7905"/>
      <c r="GE7905"/>
      <c r="GF7905"/>
      <c r="GG7905"/>
      <c r="GH7905"/>
      <c r="GI7905"/>
      <c r="GJ7905"/>
      <c r="GK7905"/>
      <c r="GL7905"/>
      <c r="GM7905"/>
      <c r="GN7905"/>
      <c r="GO7905"/>
    </row>
    <row r="7906" spans="107:197">
      <c r="DC7906"/>
      <c r="FH7906"/>
      <c r="FI7906"/>
      <c r="FJ7906"/>
      <c r="FK7906"/>
      <c r="FL7906"/>
      <c r="FM7906"/>
      <c r="FN7906"/>
      <c r="FO7906"/>
      <c r="FP7906"/>
      <c r="FQ7906"/>
      <c r="FR7906"/>
      <c r="FS7906"/>
      <c r="FT7906"/>
      <c r="FU7906"/>
      <c r="FV7906"/>
      <c r="FW7906"/>
      <c r="FX7906"/>
      <c r="FY7906"/>
      <c r="FZ7906"/>
      <c r="GA7906"/>
      <c r="GB7906"/>
      <c r="GC7906"/>
      <c r="GD7906"/>
      <c r="GE7906"/>
      <c r="GF7906"/>
      <c r="GG7906"/>
      <c r="GH7906"/>
      <c r="GI7906"/>
      <c r="GJ7906"/>
      <c r="GK7906"/>
      <c r="GL7906"/>
      <c r="GM7906"/>
      <c r="GN7906"/>
      <c r="GO7906"/>
    </row>
    <row r="7907" spans="107:197">
      <c r="DC7907"/>
      <c r="FH7907"/>
      <c r="FI7907"/>
      <c r="FJ7907"/>
      <c r="FK7907"/>
      <c r="FL7907"/>
      <c r="FM7907"/>
      <c r="FN7907"/>
      <c r="FO7907"/>
      <c r="FP7907"/>
      <c r="FQ7907"/>
      <c r="FR7907"/>
      <c r="FS7907"/>
      <c r="FT7907"/>
      <c r="FU7907"/>
      <c r="FV7907"/>
      <c r="FW7907"/>
      <c r="FX7907"/>
      <c r="FY7907"/>
      <c r="FZ7907"/>
      <c r="GA7907"/>
      <c r="GB7907"/>
      <c r="GC7907"/>
      <c r="GD7907"/>
      <c r="GE7907"/>
      <c r="GF7907"/>
      <c r="GG7907"/>
      <c r="GH7907"/>
      <c r="GI7907"/>
      <c r="GJ7907"/>
      <c r="GK7907"/>
      <c r="GL7907"/>
      <c r="GM7907"/>
      <c r="GN7907"/>
      <c r="GO7907"/>
    </row>
    <row r="7908" spans="107:197">
      <c r="DC7908"/>
      <c r="FH7908"/>
      <c r="FI7908"/>
      <c r="FJ7908"/>
      <c r="FK7908"/>
      <c r="FL7908"/>
      <c r="FM7908"/>
      <c r="FN7908"/>
      <c r="FO7908"/>
      <c r="FP7908"/>
      <c r="FQ7908"/>
      <c r="FR7908"/>
      <c r="FS7908"/>
      <c r="FT7908"/>
      <c r="FU7908"/>
      <c r="FV7908"/>
      <c r="FW7908"/>
      <c r="FX7908"/>
      <c r="FY7908"/>
      <c r="FZ7908"/>
      <c r="GA7908"/>
      <c r="GB7908"/>
      <c r="GC7908"/>
      <c r="GD7908"/>
      <c r="GE7908"/>
      <c r="GF7908"/>
      <c r="GG7908"/>
      <c r="GH7908"/>
      <c r="GI7908"/>
      <c r="GJ7908"/>
      <c r="GK7908"/>
      <c r="GL7908"/>
      <c r="GM7908"/>
      <c r="GN7908"/>
      <c r="GO7908"/>
    </row>
    <row r="7909" spans="107:197">
      <c r="DC7909"/>
      <c r="FH7909"/>
      <c r="FI7909"/>
      <c r="FJ7909"/>
      <c r="FK7909"/>
      <c r="FL7909"/>
      <c r="FM7909"/>
      <c r="FN7909"/>
      <c r="FO7909"/>
      <c r="FP7909"/>
      <c r="FQ7909"/>
      <c r="FR7909"/>
      <c r="FS7909"/>
      <c r="FT7909"/>
      <c r="FU7909"/>
      <c r="FV7909"/>
      <c r="FW7909"/>
      <c r="FX7909"/>
      <c r="FY7909"/>
      <c r="FZ7909"/>
      <c r="GA7909"/>
      <c r="GB7909"/>
      <c r="GC7909"/>
      <c r="GD7909"/>
      <c r="GE7909"/>
      <c r="GF7909"/>
      <c r="GG7909"/>
      <c r="GH7909"/>
      <c r="GI7909"/>
      <c r="GJ7909"/>
      <c r="GK7909"/>
      <c r="GL7909"/>
      <c r="GM7909"/>
      <c r="GN7909"/>
      <c r="GO7909"/>
    </row>
    <row r="7910" spans="107:197">
      <c r="DC7910"/>
      <c r="FH7910"/>
      <c r="FI7910"/>
      <c r="FJ7910"/>
      <c r="FK7910"/>
      <c r="FL7910"/>
      <c r="FM7910"/>
      <c r="FN7910"/>
      <c r="FO7910"/>
      <c r="FP7910"/>
      <c r="FQ7910"/>
      <c r="FR7910"/>
      <c r="FS7910"/>
      <c r="FT7910"/>
      <c r="FU7910"/>
      <c r="FV7910"/>
      <c r="FW7910"/>
      <c r="FX7910"/>
      <c r="FY7910"/>
      <c r="FZ7910"/>
      <c r="GA7910"/>
      <c r="GB7910"/>
      <c r="GC7910"/>
      <c r="GD7910"/>
      <c r="GE7910"/>
      <c r="GF7910"/>
      <c r="GG7910"/>
      <c r="GH7910"/>
      <c r="GI7910"/>
      <c r="GJ7910"/>
      <c r="GK7910"/>
      <c r="GL7910"/>
      <c r="GM7910"/>
      <c r="GN7910"/>
      <c r="GO7910"/>
    </row>
    <row r="7911" spans="107:197">
      <c r="DC7911"/>
      <c r="FH7911"/>
      <c r="FI7911"/>
      <c r="FJ7911"/>
      <c r="FK7911"/>
      <c r="FL7911"/>
      <c r="FM7911"/>
      <c r="FN7911"/>
      <c r="FO7911"/>
      <c r="FP7911"/>
      <c r="FQ7911"/>
      <c r="FR7911"/>
      <c r="FS7911"/>
      <c r="FT7911"/>
      <c r="FU7911"/>
      <c r="FV7911"/>
      <c r="FW7911"/>
      <c r="FX7911"/>
      <c r="FY7911"/>
      <c r="FZ7911"/>
      <c r="GA7911"/>
      <c r="GB7911"/>
      <c r="GC7911"/>
      <c r="GD7911"/>
      <c r="GE7911"/>
      <c r="GF7911"/>
      <c r="GG7911"/>
      <c r="GH7911"/>
      <c r="GI7911"/>
      <c r="GJ7911"/>
      <c r="GK7911"/>
      <c r="GL7911"/>
      <c r="GM7911"/>
      <c r="GN7911"/>
      <c r="GO7911"/>
    </row>
    <row r="7912" spans="107:197">
      <c r="DC7912"/>
      <c r="FH7912"/>
      <c r="FI7912"/>
      <c r="FJ7912"/>
      <c r="FK7912"/>
      <c r="FL7912"/>
      <c r="FM7912"/>
      <c r="FN7912"/>
      <c r="FO7912"/>
      <c r="FP7912"/>
      <c r="FQ7912"/>
      <c r="FR7912"/>
      <c r="FS7912"/>
      <c r="FT7912"/>
      <c r="FU7912"/>
      <c r="FV7912"/>
      <c r="FW7912"/>
      <c r="FX7912"/>
      <c r="FY7912"/>
      <c r="FZ7912"/>
      <c r="GA7912"/>
      <c r="GB7912"/>
      <c r="GC7912"/>
      <c r="GD7912"/>
      <c r="GE7912"/>
      <c r="GF7912"/>
      <c r="GG7912"/>
      <c r="GH7912"/>
      <c r="GI7912"/>
      <c r="GJ7912"/>
      <c r="GK7912"/>
      <c r="GL7912"/>
      <c r="GM7912"/>
      <c r="GN7912"/>
      <c r="GO7912"/>
    </row>
    <row r="7913" spans="107:197">
      <c r="DC7913"/>
      <c r="FH7913"/>
      <c r="FI7913"/>
      <c r="FJ7913"/>
      <c r="FK7913"/>
      <c r="FL7913"/>
      <c r="FM7913"/>
      <c r="FN7913"/>
      <c r="FO7913"/>
      <c r="FP7913"/>
      <c r="FQ7913"/>
      <c r="FR7913"/>
      <c r="FS7913"/>
      <c r="FT7913"/>
      <c r="FU7913"/>
      <c r="FV7913"/>
      <c r="FW7913"/>
      <c r="FX7913"/>
      <c r="FY7913"/>
      <c r="FZ7913"/>
      <c r="GA7913"/>
      <c r="GB7913"/>
      <c r="GC7913"/>
      <c r="GD7913"/>
      <c r="GE7913"/>
      <c r="GF7913"/>
      <c r="GG7913"/>
      <c r="GH7913"/>
      <c r="GI7913"/>
      <c r="GJ7913"/>
      <c r="GK7913"/>
      <c r="GL7913"/>
      <c r="GM7913"/>
      <c r="GN7913"/>
      <c r="GO7913"/>
    </row>
    <row r="7914" spans="107:197">
      <c r="DC7914"/>
      <c r="FH7914"/>
      <c r="FI7914"/>
      <c r="FJ7914"/>
      <c r="FK7914"/>
      <c r="FL7914"/>
      <c r="FM7914"/>
      <c r="FN7914"/>
      <c r="FO7914"/>
      <c r="FP7914"/>
      <c r="FQ7914"/>
      <c r="FR7914"/>
      <c r="FS7914"/>
      <c r="FT7914"/>
      <c r="FU7914"/>
      <c r="FV7914"/>
      <c r="FW7914"/>
      <c r="FX7914"/>
      <c r="FY7914"/>
      <c r="FZ7914"/>
      <c r="GA7914"/>
      <c r="GB7914"/>
      <c r="GC7914"/>
      <c r="GD7914"/>
      <c r="GE7914"/>
      <c r="GF7914"/>
      <c r="GG7914"/>
      <c r="GH7914"/>
      <c r="GI7914"/>
      <c r="GJ7914"/>
      <c r="GK7914"/>
      <c r="GL7914"/>
      <c r="GM7914"/>
      <c r="GN7914"/>
      <c r="GO7914"/>
    </row>
    <row r="7915" spans="107:197">
      <c r="DC7915"/>
      <c r="FH7915"/>
      <c r="FI7915"/>
      <c r="FJ7915"/>
      <c r="FK7915"/>
      <c r="FL7915"/>
      <c r="FM7915"/>
      <c r="FN7915"/>
      <c r="FO7915"/>
      <c r="FP7915"/>
      <c r="FQ7915"/>
      <c r="FR7915"/>
      <c r="FS7915"/>
      <c r="FT7915"/>
      <c r="FU7915"/>
      <c r="FV7915"/>
      <c r="FW7915"/>
      <c r="FX7915"/>
      <c r="FY7915"/>
      <c r="FZ7915"/>
      <c r="GA7915"/>
      <c r="GB7915"/>
      <c r="GC7915"/>
      <c r="GD7915"/>
      <c r="GE7915"/>
      <c r="GF7915"/>
      <c r="GG7915"/>
      <c r="GH7915"/>
      <c r="GI7915"/>
      <c r="GJ7915"/>
      <c r="GK7915"/>
      <c r="GL7915"/>
      <c r="GM7915"/>
      <c r="GN7915"/>
      <c r="GO7915"/>
    </row>
    <row r="7916" spans="107:197">
      <c r="DC7916"/>
      <c r="FH7916"/>
      <c r="FI7916"/>
      <c r="FJ7916"/>
      <c r="FK7916"/>
      <c r="FL7916"/>
      <c r="FM7916"/>
      <c r="FN7916"/>
      <c r="FO7916"/>
      <c r="FP7916"/>
      <c r="FQ7916"/>
      <c r="FR7916"/>
      <c r="FS7916"/>
      <c r="FT7916"/>
      <c r="FU7916"/>
      <c r="FV7916"/>
      <c r="FW7916"/>
      <c r="FX7916"/>
      <c r="FY7916"/>
      <c r="FZ7916"/>
      <c r="GA7916"/>
      <c r="GB7916"/>
      <c r="GC7916"/>
      <c r="GD7916"/>
      <c r="GE7916"/>
      <c r="GF7916"/>
      <c r="GG7916"/>
      <c r="GH7916"/>
      <c r="GI7916"/>
      <c r="GJ7916"/>
      <c r="GK7916"/>
      <c r="GL7916"/>
      <c r="GM7916"/>
      <c r="GN7916"/>
      <c r="GO7916"/>
    </row>
    <row r="7917" spans="107:197">
      <c r="DC7917"/>
      <c r="FH7917"/>
      <c r="FI7917"/>
      <c r="FJ7917"/>
      <c r="FK7917"/>
      <c r="FL7917"/>
      <c r="FM7917"/>
      <c r="FN7917"/>
      <c r="FO7917"/>
      <c r="FP7917"/>
      <c r="FQ7917"/>
      <c r="FR7917"/>
      <c r="FS7917"/>
      <c r="FT7917"/>
      <c r="FU7917"/>
      <c r="FV7917"/>
      <c r="FW7917"/>
      <c r="FX7917"/>
      <c r="FY7917"/>
      <c r="FZ7917"/>
      <c r="GA7917"/>
      <c r="GB7917"/>
      <c r="GC7917"/>
      <c r="GD7917"/>
      <c r="GE7917"/>
      <c r="GF7917"/>
      <c r="GG7917"/>
      <c r="GH7917"/>
      <c r="GI7917"/>
      <c r="GJ7917"/>
      <c r="GK7917"/>
      <c r="GL7917"/>
      <c r="GM7917"/>
      <c r="GN7917"/>
      <c r="GO7917"/>
    </row>
    <row r="7918" spans="107:197">
      <c r="DC7918"/>
      <c r="FH7918"/>
      <c r="FI7918"/>
      <c r="FJ7918"/>
      <c r="FK7918"/>
      <c r="FL7918"/>
      <c r="FM7918"/>
      <c r="FN7918"/>
      <c r="FO7918"/>
      <c r="FP7918"/>
      <c r="FQ7918"/>
      <c r="FR7918"/>
      <c r="FS7918"/>
      <c r="FT7918"/>
      <c r="FU7918"/>
      <c r="FV7918"/>
      <c r="FW7918"/>
      <c r="FX7918"/>
      <c r="FY7918"/>
      <c r="FZ7918"/>
      <c r="GA7918"/>
      <c r="GB7918"/>
      <c r="GC7918"/>
      <c r="GD7918"/>
      <c r="GE7918"/>
      <c r="GF7918"/>
      <c r="GG7918"/>
      <c r="GH7918"/>
      <c r="GI7918"/>
      <c r="GJ7918"/>
      <c r="GK7918"/>
      <c r="GL7918"/>
      <c r="GM7918"/>
      <c r="GN7918"/>
      <c r="GO7918"/>
    </row>
    <row r="7919" spans="107:197">
      <c r="DC7919"/>
      <c r="FH7919"/>
      <c r="FI7919"/>
      <c r="FJ7919"/>
      <c r="FK7919"/>
      <c r="FL7919"/>
      <c r="FM7919"/>
      <c r="FN7919"/>
      <c r="FO7919"/>
      <c r="FP7919"/>
      <c r="FQ7919"/>
      <c r="FR7919"/>
      <c r="FS7919"/>
      <c r="FT7919"/>
      <c r="FU7919"/>
      <c r="FV7919"/>
      <c r="FW7919"/>
      <c r="FX7919"/>
      <c r="FY7919"/>
      <c r="FZ7919"/>
      <c r="GA7919"/>
      <c r="GB7919"/>
      <c r="GC7919"/>
      <c r="GD7919"/>
      <c r="GE7919"/>
      <c r="GF7919"/>
      <c r="GG7919"/>
      <c r="GH7919"/>
      <c r="GI7919"/>
      <c r="GJ7919"/>
      <c r="GK7919"/>
      <c r="GL7919"/>
      <c r="GM7919"/>
      <c r="GN7919"/>
      <c r="GO7919"/>
    </row>
    <row r="7920" spans="107:197">
      <c r="DC7920"/>
      <c r="FH7920"/>
      <c r="FI7920"/>
      <c r="FJ7920"/>
      <c r="FK7920"/>
      <c r="FL7920"/>
      <c r="FM7920"/>
      <c r="FN7920"/>
      <c r="FO7920"/>
      <c r="FP7920"/>
      <c r="FQ7920"/>
      <c r="FR7920"/>
      <c r="FS7920"/>
      <c r="FT7920"/>
      <c r="FU7920"/>
      <c r="FV7920"/>
      <c r="FW7920"/>
      <c r="FX7920"/>
      <c r="FY7920"/>
      <c r="FZ7920"/>
      <c r="GA7920"/>
      <c r="GB7920"/>
      <c r="GC7920"/>
      <c r="GD7920"/>
      <c r="GE7920"/>
      <c r="GF7920"/>
      <c r="GG7920"/>
      <c r="GH7920"/>
      <c r="GI7920"/>
      <c r="GJ7920"/>
      <c r="GK7920"/>
      <c r="GL7920"/>
      <c r="GM7920"/>
      <c r="GN7920"/>
      <c r="GO7920"/>
    </row>
    <row r="7921" spans="107:197">
      <c r="DC7921"/>
      <c r="FH7921"/>
      <c r="FI7921"/>
      <c r="FJ7921"/>
      <c r="FK7921"/>
      <c r="FL7921"/>
      <c r="FM7921"/>
      <c r="FN7921"/>
      <c r="FO7921"/>
      <c r="FP7921"/>
      <c r="FQ7921"/>
      <c r="FR7921"/>
      <c r="FS7921"/>
      <c r="FT7921"/>
      <c r="FU7921"/>
      <c r="FV7921"/>
      <c r="FW7921"/>
      <c r="FX7921"/>
      <c r="FY7921"/>
      <c r="FZ7921"/>
      <c r="GA7921"/>
      <c r="GB7921"/>
      <c r="GC7921"/>
      <c r="GD7921"/>
      <c r="GE7921"/>
      <c r="GF7921"/>
      <c r="GG7921"/>
      <c r="GH7921"/>
      <c r="GI7921"/>
      <c r="GJ7921"/>
      <c r="GK7921"/>
      <c r="GL7921"/>
      <c r="GM7921"/>
      <c r="GN7921"/>
      <c r="GO7921"/>
    </row>
    <row r="7922" spans="107:197">
      <c r="DC7922"/>
      <c r="FH7922"/>
      <c r="FI7922"/>
      <c r="FJ7922"/>
      <c r="FK7922"/>
      <c r="FL7922"/>
      <c r="FM7922"/>
      <c r="FN7922"/>
      <c r="FO7922"/>
      <c r="FP7922"/>
      <c r="FQ7922"/>
      <c r="FR7922"/>
      <c r="FS7922"/>
      <c r="FT7922"/>
      <c r="FU7922"/>
      <c r="FV7922"/>
      <c r="FW7922"/>
      <c r="FX7922"/>
      <c r="FY7922"/>
      <c r="FZ7922"/>
      <c r="GA7922"/>
      <c r="GB7922"/>
      <c r="GC7922"/>
      <c r="GD7922"/>
      <c r="GE7922"/>
      <c r="GF7922"/>
      <c r="GG7922"/>
      <c r="GH7922"/>
      <c r="GI7922"/>
      <c r="GJ7922"/>
      <c r="GK7922"/>
      <c r="GL7922"/>
      <c r="GM7922"/>
      <c r="GN7922"/>
      <c r="GO7922"/>
    </row>
    <row r="7923" spans="107:197">
      <c r="DC7923"/>
      <c r="FH7923"/>
      <c r="FI7923"/>
      <c r="FJ7923"/>
      <c r="FK7923"/>
      <c r="FL7923"/>
      <c r="FM7923"/>
      <c r="FN7923"/>
      <c r="FO7923"/>
      <c r="FP7923"/>
      <c r="FQ7923"/>
      <c r="FR7923"/>
      <c r="FS7923"/>
      <c r="FT7923"/>
      <c r="FU7923"/>
      <c r="FV7923"/>
      <c r="FW7923"/>
      <c r="FX7923"/>
      <c r="FY7923"/>
      <c r="FZ7923"/>
      <c r="GA7923"/>
      <c r="GB7923"/>
      <c r="GC7923"/>
      <c r="GD7923"/>
      <c r="GE7923"/>
      <c r="GF7923"/>
      <c r="GG7923"/>
      <c r="GH7923"/>
      <c r="GI7923"/>
      <c r="GJ7923"/>
      <c r="GK7923"/>
      <c r="GL7923"/>
      <c r="GM7923"/>
      <c r="GN7923"/>
      <c r="GO7923"/>
    </row>
    <row r="7924" spans="107:197">
      <c r="DC7924"/>
      <c r="FH7924"/>
      <c r="FI7924"/>
      <c r="FJ7924"/>
      <c r="FK7924"/>
      <c r="FL7924"/>
      <c r="FM7924"/>
      <c r="FN7924"/>
      <c r="FO7924"/>
      <c r="FP7924"/>
      <c r="FQ7924"/>
      <c r="FR7924"/>
      <c r="FS7924"/>
      <c r="FT7924"/>
      <c r="FU7924"/>
      <c r="FV7924"/>
      <c r="FW7924"/>
      <c r="FX7924"/>
      <c r="FY7924"/>
      <c r="FZ7924"/>
      <c r="GA7924"/>
      <c r="GB7924"/>
      <c r="GC7924"/>
      <c r="GD7924"/>
      <c r="GE7924"/>
      <c r="GF7924"/>
      <c r="GG7924"/>
      <c r="GH7924"/>
      <c r="GI7924"/>
      <c r="GJ7924"/>
      <c r="GK7924"/>
      <c r="GL7924"/>
      <c r="GM7924"/>
      <c r="GN7924"/>
      <c r="GO7924"/>
    </row>
    <row r="7925" spans="107:197">
      <c r="DC7925"/>
      <c r="FH7925"/>
      <c r="FI7925"/>
      <c r="FJ7925"/>
      <c r="FK7925"/>
      <c r="FL7925"/>
      <c r="FM7925"/>
      <c r="FN7925"/>
      <c r="FO7925"/>
      <c r="FP7925"/>
      <c r="FQ7925"/>
      <c r="FR7925"/>
      <c r="FS7925"/>
      <c r="FT7925"/>
      <c r="FU7925"/>
      <c r="FV7925"/>
      <c r="FW7925"/>
      <c r="FX7925"/>
      <c r="FY7925"/>
      <c r="FZ7925"/>
      <c r="GA7925"/>
      <c r="GB7925"/>
      <c r="GC7925"/>
      <c r="GD7925"/>
      <c r="GE7925"/>
      <c r="GF7925"/>
      <c r="GG7925"/>
      <c r="GH7925"/>
      <c r="GI7925"/>
      <c r="GJ7925"/>
      <c r="GK7925"/>
      <c r="GL7925"/>
      <c r="GM7925"/>
      <c r="GN7925"/>
      <c r="GO7925"/>
    </row>
    <row r="7926" spans="107:197">
      <c r="DC7926"/>
      <c r="FH7926"/>
      <c r="FI7926"/>
      <c r="FJ7926"/>
      <c r="FK7926"/>
      <c r="FL7926"/>
      <c r="FM7926"/>
      <c r="FN7926"/>
      <c r="FO7926"/>
      <c r="FP7926"/>
      <c r="FQ7926"/>
      <c r="FR7926"/>
      <c r="FS7926"/>
      <c r="FT7926"/>
      <c r="FU7926"/>
      <c r="FV7926"/>
      <c r="FW7926"/>
      <c r="FX7926"/>
      <c r="FY7926"/>
      <c r="FZ7926"/>
      <c r="GA7926"/>
      <c r="GB7926"/>
      <c r="GC7926"/>
      <c r="GD7926"/>
      <c r="GE7926"/>
      <c r="GF7926"/>
      <c r="GG7926"/>
      <c r="GH7926"/>
      <c r="GI7926"/>
      <c r="GJ7926"/>
      <c r="GK7926"/>
      <c r="GL7926"/>
      <c r="GM7926"/>
      <c r="GN7926"/>
      <c r="GO7926"/>
    </row>
    <row r="7927" spans="107:197">
      <c r="DC7927"/>
      <c r="FH7927"/>
      <c r="FI7927"/>
      <c r="FJ7927"/>
      <c r="FK7927"/>
      <c r="FL7927"/>
      <c r="FM7927"/>
      <c r="FN7927"/>
      <c r="FO7927"/>
      <c r="FP7927"/>
      <c r="FQ7927"/>
      <c r="FR7927"/>
      <c r="FS7927"/>
      <c r="FT7927"/>
      <c r="FU7927"/>
      <c r="FV7927"/>
      <c r="FW7927"/>
      <c r="FX7927"/>
      <c r="FY7927"/>
      <c r="FZ7927"/>
      <c r="GA7927"/>
      <c r="GB7927"/>
      <c r="GC7927"/>
      <c r="GD7927"/>
      <c r="GE7927"/>
      <c r="GF7927"/>
      <c r="GG7927"/>
      <c r="GH7927"/>
      <c r="GI7927"/>
      <c r="GJ7927"/>
      <c r="GK7927"/>
      <c r="GL7927"/>
      <c r="GM7927"/>
      <c r="GN7927"/>
      <c r="GO7927"/>
    </row>
    <row r="7928" spans="107:197">
      <c r="DC7928"/>
      <c r="FH7928"/>
      <c r="FI7928"/>
      <c r="FJ7928"/>
      <c r="FK7928"/>
      <c r="FL7928"/>
      <c r="FM7928"/>
      <c r="FN7928"/>
      <c r="FO7928"/>
      <c r="FP7928"/>
      <c r="FQ7928"/>
      <c r="FR7928"/>
      <c r="FS7928"/>
      <c r="FT7928"/>
      <c r="FU7928"/>
      <c r="FV7928"/>
      <c r="FW7928"/>
      <c r="FX7928"/>
      <c r="FY7928"/>
      <c r="FZ7928"/>
      <c r="GA7928"/>
      <c r="GB7928"/>
      <c r="GC7928"/>
      <c r="GD7928"/>
      <c r="GE7928"/>
      <c r="GF7928"/>
      <c r="GG7928"/>
      <c r="GH7928"/>
      <c r="GI7928"/>
      <c r="GJ7928"/>
      <c r="GK7928"/>
      <c r="GL7928"/>
      <c r="GM7928"/>
      <c r="GN7928"/>
      <c r="GO7928"/>
    </row>
    <row r="7929" spans="107:197">
      <c r="DC7929"/>
      <c r="FH7929"/>
      <c r="FI7929"/>
      <c r="FJ7929"/>
      <c r="FK7929"/>
      <c r="FL7929"/>
      <c r="FM7929"/>
      <c r="FN7929"/>
      <c r="FO7929"/>
      <c r="FP7929"/>
      <c r="FQ7929"/>
      <c r="FR7929"/>
      <c r="FS7929"/>
      <c r="FT7929"/>
      <c r="FU7929"/>
      <c r="FV7929"/>
      <c r="FW7929"/>
      <c r="FX7929"/>
      <c r="FY7929"/>
      <c r="FZ7929"/>
      <c r="GA7929"/>
      <c r="GB7929"/>
      <c r="GC7929"/>
      <c r="GD7929"/>
      <c r="GE7929"/>
      <c r="GF7929"/>
      <c r="GG7929"/>
      <c r="GH7929"/>
      <c r="GI7929"/>
      <c r="GJ7929"/>
      <c r="GK7929"/>
      <c r="GL7929"/>
      <c r="GM7929"/>
      <c r="GN7929"/>
      <c r="GO7929"/>
    </row>
    <row r="7930" spans="107:197">
      <c r="DC7930"/>
      <c r="FH7930"/>
      <c r="FI7930"/>
      <c r="FJ7930"/>
      <c r="FK7930"/>
      <c r="FL7930"/>
      <c r="FM7930"/>
      <c r="FN7930"/>
      <c r="FO7930"/>
      <c r="FP7930"/>
      <c r="FQ7930"/>
      <c r="FR7930"/>
      <c r="FS7930"/>
      <c r="FT7930"/>
      <c r="FU7930"/>
      <c r="FV7930"/>
      <c r="FW7930"/>
      <c r="FX7930"/>
      <c r="FY7930"/>
      <c r="FZ7930"/>
      <c r="GA7930"/>
      <c r="GB7930"/>
      <c r="GC7930"/>
      <c r="GD7930"/>
      <c r="GE7930"/>
      <c r="GF7930"/>
      <c r="GG7930"/>
      <c r="GH7930"/>
      <c r="GI7930"/>
      <c r="GJ7930"/>
      <c r="GK7930"/>
      <c r="GL7930"/>
      <c r="GM7930"/>
      <c r="GN7930"/>
      <c r="GO7930"/>
    </row>
    <row r="7931" spans="107:197">
      <c r="DC7931"/>
      <c r="FH7931"/>
      <c r="FI7931"/>
      <c r="FJ7931"/>
      <c r="FK7931"/>
      <c r="FL7931"/>
      <c r="FM7931"/>
      <c r="FN7931"/>
      <c r="FO7931"/>
      <c r="FP7931"/>
      <c r="FQ7931"/>
      <c r="FR7931"/>
      <c r="FS7931"/>
      <c r="FT7931"/>
      <c r="FU7931"/>
      <c r="FV7931"/>
      <c r="FW7931"/>
      <c r="FX7931"/>
      <c r="FY7931"/>
      <c r="FZ7931"/>
      <c r="GA7931"/>
      <c r="GB7931"/>
      <c r="GC7931"/>
      <c r="GD7931"/>
      <c r="GE7931"/>
      <c r="GF7931"/>
      <c r="GG7931"/>
      <c r="GH7931"/>
      <c r="GI7931"/>
      <c r="GJ7931"/>
      <c r="GK7931"/>
      <c r="GL7931"/>
      <c r="GM7931"/>
      <c r="GN7931"/>
      <c r="GO7931"/>
    </row>
    <row r="7932" spans="107:197">
      <c r="DC7932"/>
      <c r="FH7932"/>
      <c r="FI7932"/>
      <c r="FJ7932"/>
      <c r="FK7932"/>
      <c r="FL7932"/>
      <c r="FM7932"/>
      <c r="FN7932"/>
      <c r="FO7932"/>
      <c r="FP7932"/>
      <c r="FQ7932"/>
      <c r="FR7932"/>
      <c r="FS7932"/>
      <c r="FT7932"/>
      <c r="FU7932"/>
      <c r="FV7932"/>
      <c r="FW7932"/>
      <c r="FX7932"/>
      <c r="FY7932"/>
      <c r="FZ7932"/>
      <c r="GA7932"/>
      <c r="GB7932"/>
      <c r="GC7932"/>
      <c r="GD7932"/>
      <c r="GE7932"/>
      <c r="GF7932"/>
      <c r="GG7932"/>
      <c r="GH7932"/>
      <c r="GI7932"/>
      <c r="GJ7932"/>
      <c r="GK7932"/>
      <c r="GL7932"/>
      <c r="GM7932"/>
      <c r="GN7932"/>
      <c r="GO7932"/>
    </row>
    <row r="7933" spans="107:197">
      <c r="DC7933"/>
      <c r="FH7933"/>
      <c r="FI7933"/>
      <c r="FJ7933"/>
      <c r="FK7933"/>
      <c r="FL7933"/>
      <c r="FM7933"/>
      <c r="FN7933"/>
      <c r="FO7933"/>
      <c r="FP7933"/>
      <c r="FQ7933"/>
      <c r="FR7933"/>
      <c r="FS7933"/>
      <c r="FT7933"/>
      <c r="FU7933"/>
      <c r="FV7933"/>
      <c r="FW7933"/>
      <c r="FX7933"/>
      <c r="FY7933"/>
      <c r="FZ7933"/>
      <c r="GA7933"/>
      <c r="GB7933"/>
      <c r="GC7933"/>
      <c r="GD7933"/>
      <c r="GE7933"/>
      <c r="GF7933"/>
      <c r="GG7933"/>
      <c r="GH7933"/>
      <c r="GI7933"/>
      <c r="GJ7933"/>
      <c r="GK7933"/>
      <c r="GL7933"/>
      <c r="GM7933"/>
      <c r="GN7933"/>
      <c r="GO7933"/>
    </row>
    <row r="7934" spans="107:197">
      <c r="DC7934"/>
      <c r="FH7934"/>
      <c r="FI7934"/>
      <c r="FJ7934"/>
      <c r="FK7934"/>
      <c r="FL7934"/>
      <c r="FM7934"/>
      <c r="FN7934"/>
      <c r="FO7934"/>
      <c r="FP7934"/>
      <c r="FQ7934"/>
      <c r="FR7934"/>
      <c r="FS7934"/>
      <c r="FT7934"/>
      <c r="FU7934"/>
      <c r="FV7934"/>
      <c r="FW7934"/>
      <c r="FX7934"/>
      <c r="FY7934"/>
      <c r="FZ7934"/>
      <c r="GA7934"/>
      <c r="GB7934"/>
      <c r="GC7934"/>
      <c r="GD7934"/>
      <c r="GE7934"/>
      <c r="GF7934"/>
      <c r="GG7934"/>
      <c r="GH7934"/>
      <c r="GI7934"/>
      <c r="GJ7934"/>
      <c r="GK7934"/>
      <c r="GL7934"/>
      <c r="GM7934"/>
      <c r="GN7934"/>
      <c r="GO7934"/>
    </row>
    <row r="7935" spans="107:197">
      <c r="DC7935"/>
      <c r="FH7935"/>
      <c r="FI7935"/>
      <c r="FJ7935"/>
      <c r="FK7935"/>
      <c r="FL7935"/>
      <c r="FM7935"/>
      <c r="FN7935"/>
      <c r="FO7935"/>
      <c r="FP7935"/>
      <c r="FQ7935"/>
      <c r="FR7935"/>
      <c r="FS7935"/>
      <c r="FT7935"/>
      <c r="FU7935"/>
      <c r="FV7935"/>
      <c r="FW7935"/>
      <c r="FX7935"/>
      <c r="FY7935"/>
      <c r="FZ7935"/>
      <c r="GA7935"/>
      <c r="GB7935"/>
      <c r="GC7935"/>
      <c r="GD7935"/>
      <c r="GE7935"/>
      <c r="GF7935"/>
      <c r="GG7935"/>
      <c r="GH7935"/>
      <c r="GI7935"/>
      <c r="GJ7935"/>
      <c r="GK7935"/>
      <c r="GL7935"/>
      <c r="GM7935"/>
      <c r="GN7935"/>
      <c r="GO7935"/>
    </row>
    <row r="7936" spans="107:197">
      <c r="DC7936"/>
      <c r="FH7936"/>
      <c r="FI7936"/>
      <c r="FJ7936"/>
      <c r="FK7936"/>
      <c r="FL7936"/>
      <c r="FM7936"/>
      <c r="FN7936"/>
      <c r="FO7936"/>
      <c r="FP7936"/>
      <c r="FQ7936"/>
      <c r="FR7936"/>
      <c r="FS7936"/>
      <c r="FT7936"/>
      <c r="FU7936"/>
      <c r="FV7936"/>
      <c r="FW7936"/>
      <c r="FX7936"/>
      <c r="FY7936"/>
      <c r="FZ7936"/>
      <c r="GA7936"/>
      <c r="GB7936"/>
      <c r="GC7936"/>
      <c r="GD7936"/>
      <c r="GE7936"/>
      <c r="GF7936"/>
      <c r="GG7936"/>
      <c r="GH7936"/>
      <c r="GI7936"/>
      <c r="GJ7936"/>
      <c r="GK7936"/>
      <c r="GL7936"/>
      <c r="GM7936"/>
      <c r="GN7936"/>
      <c r="GO7936"/>
    </row>
    <row r="7937" spans="107:197">
      <c r="DC7937"/>
      <c r="FH7937"/>
      <c r="FI7937"/>
      <c r="FJ7937"/>
      <c r="FK7937"/>
      <c r="FL7937"/>
      <c r="FM7937"/>
      <c r="FN7937"/>
      <c r="FO7937"/>
      <c r="FP7937"/>
      <c r="FQ7937"/>
      <c r="FR7937"/>
      <c r="FS7937"/>
      <c r="FT7937"/>
      <c r="FU7937"/>
      <c r="FV7937"/>
      <c r="FW7937"/>
      <c r="FX7937"/>
      <c r="FY7937"/>
      <c r="FZ7937"/>
      <c r="GA7937"/>
      <c r="GB7937"/>
      <c r="GC7937"/>
      <c r="GD7937"/>
      <c r="GE7937"/>
      <c r="GF7937"/>
      <c r="GG7937"/>
      <c r="GH7937"/>
      <c r="GI7937"/>
      <c r="GJ7937"/>
      <c r="GK7937"/>
      <c r="GL7937"/>
      <c r="GM7937"/>
      <c r="GN7937"/>
      <c r="GO7937"/>
    </row>
    <row r="7938" spans="107:197">
      <c r="DC7938"/>
      <c r="FH7938"/>
      <c r="FI7938"/>
      <c r="FJ7938"/>
      <c r="FK7938"/>
      <c r="FL7938"/>
      <c r="FM7938"/>
      <c r="FN7938"/>
      <c r="FO7938"/>
      <c r="FP7938"/>
      <c r="FQ7938"/>
      <c r="FR7938"/>
      <c r="FS7938"/>
      <c r="FT7938"/>
      <c r="FU7938"/>
      <c r="FV7938"/>
      <c r="FW7938"/>
      <c r="FX7938"/>
      <c r="FY7938"/>
      <c r="FZ7938"/>
      <c r="GA7938"/>
      <c r="GB7938"/>
      <c r="GC7938"/>
      <c r="GD7938"/>
      <c r="GE7938"/>
      <c r="GF7938"/>
      <c r="GG7938"/>
      <c r="GH7938"/>
      <c r="GI7938"/>
      <c r="GJ7938"/>
      <c r="GK7938"/>
      <c r="GL7938"/>
      <c r="GM7938"/>
      <c r="GN7938"/>
      <c r="GO7938"/>
    </row>
    <row r="7939" spans="107:197">
      <c r="DC7939"/>
      <c r="FH7939"/>
      <c r="FI7939"/>
      <c r="FJ7939"/>
      <c r="FK7939"/>
      <c r="FL7939"/>
      <c r="FM7939"/>
      <c r="FN7939"/>
      <c r="FO7939"/>
      <c r="FP7939"/>
      <c r="FQ7939"/>
      <c r="FR7939"/>
      <c r="FS7939"/>
      <c r="FT7939"/>
      <c r="FU7939"/>
      <c r="FV7939"/>
      <c r="FW7939"/>
      <c r="FX7939"/>
      <c r="FY7939"/>
      <c r="FZ7939"/>
      <c r="GA7939"/>
      <c r="GB7939"/>
      <c r="GC7939"/>
      <c r="GD7939"/>
      <c r="GE7939"/>
      <c r="GF7939"/>
      <c r="GG7939"/>
      <c r="GH7939"/>
      <c r="GI7939"/>
      <c r="GJ7939"/>
      <c r="GK7939"/>
      <c r="GL7939"/>
      <c r="GM7939"/>
      <c r="GN7939"/>
      <c r="GO7939"/>
    </row>
    <row r="7940" spans="107:197">
      <c r="DC7940"/>
      <c r="FH7940"/>
      <c r="FI7940"/>
      <c r="FJ7940"/>
      <c r="FK7940"/>
      <c r="FL7940"/>
      <c r="FM7940"/>
      <c r="FN7940"/>
      <c r="FO7940"/>
      <c r="FP7940"/>
      <c r="FQ7940"/>
      <c r="FR7940"/>
      <c r="FS7940"/>
      <c r="FT7940"/>
      <c r="FU7940"/>
      <c r="FV7940"/>
      <c r="FW7940"/>
      <c r="FX7940"/>
      <c r="FY7940"/>
      <c r="FZ7940"/>
      <c r="GA7940"/>
      <c r="GB7940"/>
      <c r="GC7940"/>
      <c r="GD7940"/>
      <c r="GE7940"/>
      <c r="GF7940"/>
      <c r="GG7940"/>
      <c r="GH7940"/>
      <c r="GI7940"/>
      <c r="GJ7940"/>
      <c r="GK7940"/>
      <c r="GL7940"/>
      <c r="GM7940"/>
      <c r="GN7940"/>
      <c r="GO7940"/>
    </row>
    <row r="7941" spans="107:197">
      <c r="DC7941"/>
      <c r="FH7941"/>
      <c r="FI7941"/>
      <c r="FJ7941"/>
      <c r="FK7941"/>
      <c r="FL7941"/>
      <c r="FM7941"/>
      <c r="FN7941"/>
      <c r="FO7941"/>
      <c r="FP7941"/>
      <c r="FQ7941"/>
      <c r="FR7941"/>
      <c r="FS7941"/>
      <c r="FT7941"/>
      <c r="FU7941"/>
      <c r="FV7941"/>
      <c r="FW7941"/>
      <c r="FX7941"/>
      <c r="FY7941"/>
      <c r="FZ7941"/>
      <c r="GA7941"/>
      <c r="GB7941"/>
      <c r="GC7941"/>
      <c r="GD7941"/>
      <c r="GE7941"/>
      <c r="GF7941"/>
      <c r="GG7941"/>
      <c r="GH7941"/>
      <c r="GI7941"/>
      <c r="GJ7941"/>
      <c r="GK7941"/>
      <c r="GL7941"/>
      <c r="GM7941"/>
      <c r="GN7941"/>
      <c r="GO7941"/>
    </row>
    <row r="7942" spans="107:197">
      <c r="DC7942"/>
      <c r="FH7942"/>
      <c r="FI7942"/>
      <c r="FJ7942"/>
      <c r="FK7942"/>
      <c r="FL7942"/>
      <c r="FM7942"/>
      <c r="FN7942"/>
      <c r="FO7942"/>
      <c r="FP7942"/>
      <c r="FQ7942"/>
      <c r="FR7942"/>
      <c r="FS7942"/>
      <c r="FT7942"/>
      <c r="FU7942"/>
      <c r="FV7942"/>
      <c r="FW7942"/>
      <c r="FX7942"/>
      <c r="FY7942"/>
      <c r="FZ7942"/>
      <c r="GA7942"/>
      <c r="GB7942"/>
      <c r="GC7942"/>
      <c r="GD7942"/>
      <c r="GE7942"/>
      <c r="GF7942"/>
      <c r="GG7942"/>
      <c r="GH7942"/>
      <c r="GI7942"/>
      <c r="GJ7942"/>
      <c r="GK7942"/>
      <c r="GL7942"/>
      <c r="GM7942"/>
      <c r="GN7942"/>
      <c r="GO7942"/>
    </row>
    <row r="7943" spans="107:197">
      <c r="DC7943"/>
      <c r="FH7943"/>
      <c r="FI7943"/>
      <c r="FJ7943"/>
      <c r="FK7943"/>
      <c r="FL7943"/>
      <c r="FM7943"/>
      <c r="FN7943"/>
      <c r="FO7943"/>
      <c r="FP7943"/>
      <c r="FQ7943"/>
      <c r="FR7943"/>
      <c r="FS7943"/>
      <c r="FT7943"/>
      <c r="FU7943"/>
      <c r="FV7943"/>
      <c r="FW7943"/>
      <c r="FX7943"/>
      <c r="FY7943"/>
      <c r="FZ7943"/>
      <c r="GA7943"/>
      <c r="GB7943"/>
      <c r="GC7943"/>
      <c r="GD7943"/>
      <c r="GE7943"/>
      <c r="GF7943"/>
      <c r="GG7943"/>
      <c r="GH7943"/>
      <c r="GI7943"/>
      <c r="GJ7943"/>
      <c r="GK7943"/>
      <c r="GL7943"/>
      <c r="GM7943"/>
      <c r="GN7943"/>
      <c r="GO7943"/>
    </row>
    <row r="7944" spans="107:197">
      <c r="DC7944"/>
      <c r="FH7944"/>
      <c r="FI7944"/>
      <c r="FJ7944"/>
      <c r="FK7944"/>
      <c r="FL7944"/>
      <c r="FM7944"/>
      <c r="FN7944"/>
      <c r="FO7944"/>
      <c r="FP7944"/>
      <c r="FQ7944"/>
      <c r="FR7944"/>
      <c r="FS7944"/>
      <c r="FT7944"/>
      <c r="FU7944"/>
      <c r="FV7944"/>
      <c r="FW7944"/>
      <c r="FX7944"/>
      <c r="FY7944"/>
      <c r="FZ7944"/>
      <c r="GA7944"/>
      <c r="GB7944"/>
      <c r="GC7944"/>
      <c r="GD7944"/>
      <c r="GE7944"/>
      <c r="GF7944"/>
      <c r="GG7944"/>
      <c r="GH7944"/>
      <c r="GI7944"/>
      <c r="GJ7944"/>
      <c r="GK7944"/>
      <c r="GL7944"/>
      <c r="GM7944"/>
      <c r="GN7944"/>
      <c r="GO7944"/>
    </row>
    <row r="7945" spans="107:197">
      <c r="DC7945"/>
      <c r="FH7945"/>
      <c r="FI7945"/>
      <c r="FJ7945"/>
      <c r="FK7945"/>
      <c r="FL7945"/>
      <c r="FM7945"/>
      <c r="FN7945"/>
      <c r="FO7945"/>
      <c r="FP7945"/>
      <c r="FQ7945"/>
      <c r="FR7945"/>
      <c r="FS7945"/>
      <c r="FT7945"/>
      <c r="FU7945"/>
      <c r="FV7945"/>
      <c r="FW7945"/>
      <c r="FX7945"/>
      <c r="FY7945"/>
      <c r="FZ7945"/>
      <c r="GA7945"/>
      <c r="GB7945"/>
      <c r="GC7945"/>
      <c r="GD7945"/>
      <c r="GE7945"/>
      <c r="GF7945"/>
      <c r="GG7945"/>
      <c r="GH7945"/>
      <c r="GI7945"/>
      <c r="GJ7945"/>
      <c r="GK7945"/>
      <c r="GL7945"/>
      <c r="GM7945"/>
      <c r="GN7945"/>
      <c r="GO7945"/>
    </row>
    <row r="7946" spans="107:197">
      <c r="DC7946"/>
      <c r="FH7946"/>
      <c r="FI7946"/>
      <c r="FJ7946"/>
      <c r="FK7946"/>
      <c r="FL7946"/>
      <c r="FM7946"/>
      <c r="FN7946"/>
      <c r="FO7946"/>
      <c r="FP7946"/>
      <c r="FQ7946"/>
      <c r="FR7946"/>
      <c r="FS7946"/>
      <c r="FT7946"/>
      <c r="FU7946"/>
      <c r="FV7946"/>
      <c r="FW7946"/>
      <c r="FX7946"/>
      <c r="FY7946"/>
      <c r="FZ7946"/>
      <c r="GA7946"/>
      <c r="GB7946"/>
      <c r="GC7946"/>
      <c r="GD7946"/>
      <c r="GE7946"/>
      <c r="GF7946"/>
      <c r="GG7946"/>
      <c r="GH7946"/>
      <c r="GI7946"/>
      <c r="GJ7946"/>
      <c r="GK7946"/>
      <c r="GL7946"/>
      <c r="GM7946"/>
      <c r="GN7946"/>
      <c r="GO7946"/>
    </row>
    <row r="7947" spans="107:197">
      <c r="DC7947"/>
      <c r="FH7947"/>
      <c r="FI7947"/>
      <c r="FJ7947"/>
      <c r="FK7947"/>
      <c r="FL7947"/>
      <c r="FM7947"/>
      <c r="FN7947"/>
      <c r="FO7947"/>
      <c r="FP7947"/>
      <c r="FQ7947"/>
      <c r="FR7947"/>
      <c r="FS7947"/>
      <c r="FT7947"/>
      <c r="FU7947"/>
      <c r="FV7947"/>
      <c r="FW7947"/>
      <c r="FX7947"/>
      <c r="FY7947"/>
      <c r="FZ7947"/>
      <c r="GA7947"/>
      <c r="GB7947"/>
      <c r="GC7947"/>
      <c r="GD7947"/>
      <c r="GE7947"/>
      <c r="GF7947"/>
      <c r="GG7947"/>
      <c r="GH7947"/>
      <c r="GI7947"/>
      <c r="GJ7947"/>
      <c r="GK7947"/>
      <c r="GL7947"/>
      <c r="GM7947"/>
      <c r="GN7947"/>
      <c r="GO7947"/>
    </row>
    <row r="7948" spans="107:197">
      <c r="DC7948"/>
      <c r="FH7948"/>
      <c r="FI7948"/>
      <c r="FJ7948"/>
      <c r="FK7948"/>
      <c r="FL7948"/>
      <c r="FM7948"/>
      <c r="FN7948"/>
      <c r="FO7948"/>
      <c r="FP7948"/>
      <c r="FQ7948"/>
      <c r="FR7948"/>
      <c r="FS7948"/>
      <c r="FT7948"/>
      <c r="FU7948"/>
      <c r="FV7948"/>
      <c r="FW7948"/>
      <c r="FX7948"/>
      <c r="FY7948"/>
      <c r="FZ7948"/>
      <c r="GA7948"/>
      <c r="GB7948"/>
      <c r="GC7948"/>
      <c r="GD7948"/>
      <c r="GE7948"/>
      <c r="GF7948"/>
      <c r="GG7948"/>
      <c r="GH7948"/>
      <c r="GI7948"/>
      <c r="GJ7948"/>
      <c r="GK7948"/>
      <c r="GL7948"/>
      <c r="GM7948"/>
      <c r="GN7948"/>
      <c r="GO7948"/>
    </row>
    <row r="7949" spans="107:197">
      <c r="DC7949"/>
      <c r="FH7949"/>
      <c r="FI7949"/>
      <c r="FJ7949"/>
      <c r="FK7949"/>
      <c r="FL7949"/>
      <c r="FM7949"/>
      <c r="FN7949"/>
      <c r="FO7949"/>
      <c r="FP7949"/>
      <c r="FQ7949"/>
      <c r="FR7949"/>
      <c r="FS7949"/>
      <c r="FT7949"/>
      <c r="FU7949"/>
      <c r="FV7949"/>
      <c r="FW7949"/>
      <c r="FX7949"/>
      <c r="FY7949"/>
      <c r="FZ7949"/>
      <c r="GA7949"/>
      <c r="GB7949"/>
      <c r="GC7949"/>
      <c r="GD7949"/>
      <c r="GE7949"/>
      <c r="GF7949"/>
      <c r="GG7949"/>
      <c r="GH7949"/>
      <c r="GI7949"/>
      <c r="GJ7949"/>
      <c r="GK7949"/>
      <c r="GL7949"/>
      <c r="GM7949"/>
      <c r="GN7949"/>
      <c r="GO7949"/>
    </row>
    <row r="7950" spans="107:197">
      <c r="DC7950"/>
      <c r="FH7950"/>
      <c r="FI7950"/>
      <c r="FJ7950"/>
      <c r="FK7950"/>
      <c r="FL7950"/>
      <c r="FM7950"/>
      <c r="FN7950"/>
      <c r="FO7950"/>
      <c r="FP7950"/>
      <c r="FQ7950"/>
      <c r="FR7950"/>
      <c r="FS7950"/>
      <c r="FT7950"/>
      <c r="FU7950"/>
      <c r="FV7950"/>
      <c r="FW7950"/>
      <c r="FX7950"/>
      <c r="FY7950"/>
      <c r="FZ7950"/>
      <c r="GA7950"/>
      <c r="GB7950"/>
      <c r="GC7950"/>
      <c r="GD7950"/>
      <c r="GE7950"/>
      <c r="GF7950"/>
      <c r="GG7950"/>
      <c r="GH7950"/>
      <c r="GI7950"/>
      <c r="GJ7950"/>
      <c r="GK7950"/>
      <c r="GL7950"/>
      <c r="GM7950"/>
      <c r="GN7950"/>
      <c r="GO7950"/>
    </row>
    <row r="7951" spans="107:197">
      <c r="DC7951"/>
      <c r="FH7951"/>
      <c r="FI7951"/>
      <c r="FJ7951"/>
      <c r="FK7951"/>
      <c r="FL7951"/>
      <c r="FM7951"/>
      <c r="FN7951"/>
      <c r="FO7951"/>
      <c r="FP7951"/>
      <c r="FQ7951"/>
      <c r="FR7951"/>
      <c r="FS7951"/>
      <c r="FT7951"/>
      <c r="FU7951"/>
      <c r="FV7951"/>
      <c r="FW7951"/>
      <c r="FX7951"/>
      <c r="FY7951"/>
      <c r="FZ7951"/>
      <c r="GA7951"/>
      <c r="GB7951"/>
      <c r="GC7951"/>
      <c r="GD7951"/>
      <c r="GE7951"/>
      <c r="GF7951"/>
      <c r="GG7951"/>
      <c r="GH7951"/>
      <c r="GI7951"/>
      <c r="GJ7951"/>
      <c r="GK7951"/>
      <c r="GL7951"/>
      <c r="GM7951"/>
      <c r="GN7951"/>
      <c r="GO7951"/>
    </row>
    <row r="7952" spans="107:197">
      <c r="DC7952"/>
      <c r="FH7952"/>
      <c r="FI7952"/>
      <c r="FJ7952"/>
      <c r="FK7952"/>
      <c r="FL7952"/>
      <c r="FM7952"/>
      <c r="FN7952"/>
      <c r="FO7952"/>
      <c r="FP7952"/>
      <c r="FQ7952"/>
      <c r="FR7952"/>
      <c r="FS7952"/>
      <c r="FT7952"/>
      <c r="FU7952"/>
      <c r="FV7952"/>
      <c r="FW7952"/>
      <c r="FX7952"/>
      <c r="FY7952"/>
      <c r="FZ7952"/>
      <c r="GA7952"/>
      <c r="GB7952"/>
      <c r="GC7952"/>
      <c r="GD7952"/>
      <c r="GE7952"/>
      <c r="GF7952"/>
      <c r="GG7952"/>
      <c r="GH7952"/>
      <c r="GI7952"/>
      <c r="GJ7952"/>
      <c r="GK7952"/>
      <c r="GL7952"/>
      <c r="GM7952"/>
      <c r="GN7952"/>
      <c r="GO7952"/>
    </row>
    <row r="7953" spans="107:197">
      <c r="DC7953"/>
      <c r="FH7953"/>
      <c r="FI7953"/>
      <c r="FJ7953"/>
      <c r="FK7953"/>
      <c r="FL7953"/>
      <c r="FM7953"/>
      <c r="FN7953"/>
      <c r="FO7953"/>
      <c r="FP7953"/>
      <c r="FQ7953"/>
      <c r="FR7953"/>
      <c r="FS7953"/>
      <c r="FT7953"/>
      <c r="FU7953"/>
      <c r="FV7953"/>
      <c r="FW7953"/>
      <c r="FX7953"/>
      <c r="FY7953"/>
      <c r="FZ7953"/>
      <c r="GA7953"/>
      <c r="GB7953"/>
      <c r="GC7953"/>
      <c r="GD7953"/>
      <c r="GE7953"/>
      <c r="GF7953"/>
      <c r="GG7953"/>
      <c r="GH7953"/>
      <c r="GI7953"/>
      <c r="GJ7953"/>
      <c r="GK7953"/>
      <c r="GL7953"/>
      <c r="GM7953"/>
      <c r="GN7953"/>
      <c r="GO7953"/>
    </row>
    <row r="7954" spans="107:197">
      <c r="DC7954"/>
      <c r="FH7954"/>
      <c r="FI7954"/>
      <c r="FJ7954"/>
      <c r="FK7954"/>
      <c r="FL7954"/>
      <c r="FM7954"/>
      <c r="FN7954"/>
      <c r="FO7954"/>
      <c r="FP7954"/>
      <c r="FQ7954"/>
      <c r="FR7954"/>
      <c r="FS7954"/>
      <c r="FT7954"/>
      <c r="FU7954"/>
      <c r="FV7954"/>
      <c r="FW7954"/>
      <c r="FX7954"/>
      <c r="FY7954"/>
      <c r="FZ7954"/>
      <c r="GA7954"/>
      <c r="GB7954"/>
      <c r="GC7954"/>
      <c r="GD7954"/>
      <c r="GE7954"/>
      <c r="GF7954"/>
      <c r="GG7954"/>
      <c r="GH7954"/>
      <c r="GI7954"/>
      <c r="GJ7954"/>
      <c r="GK7954"/>
      <c r="GL7954"/>
      <c r="GM7954"/>
      <c r="GN7954"/>
      <c r="GO7954"/>
    </row>
    <row r="7955" spans="107:197">
      <c r="DC7955"/>
      <c r="FH7955"/>
      <c r="FI7955"/>
      <c r="FJ7955"/>
      <c r="FK7955"/>
      <c r="FL7955"/>
      <c r="FM7955"/>
      <c r="FN7955"/>
      <c r="FO7955"/>
      <c r="FP7955"/>
      <c r="FQ7955"/>
      <c r="FR7955"/>
      <c r="FS7955"/>
      <c r="FT7955"/>
      <c r="FU7955"/>
      <c r="FV7955"/>
      <c r="FW7955"/>
      <c r="FX7955"/>
      <c r="FY7955"/>
      <c r="FZ7955"/>
      <c r="GA7955"/>
      <c r="GB7955"/>
      <c r="GC7955"/>
      <c r="GD7955"/>
      <c r="GE7955"/>
      <c r="GF7955"/>
      <c r="GG7955"/>
      <c r="GH7955"/>
      <c r="GI7955"/>
      <c r="GJ7955"/>
      <c r="GK7955"/>
      <c r="GL7955"/>
      <c r="GM7955"/>
      <c r="GN7955"/>
      <c r="GO7955"/>
    </row>
    <row r="7956" spans="107:197">
      <c r="DC7956"/>
      <c r="FH7956"/>
      <c r="FI7956"/>
      <c r="FJ7956"/>
      <c r="FK7956"/>
      <c r="FL7956"/>
      <c r="FM7956"/>
      <c r="FN7956"/>
      <c r="FO7956"/>
      <c r="FP7956"/>
      <c r="FQ7956"/>
      <c r="FR7956"/>
      <c r="FS7956"/>
      <c r="FT7956"/>
      <c r="FU7956"/>
      <c r="FV7956"/>
      <c r="FW7956"/>
      <c r="FX7956"/>
      <c r="FY7956"/>
      <c r="FZ7956"/>
      <c r="GA7956"/>
      <c r="GB7956"/>
      <c r="GC7956"/>
      <c r="GD7956"/>
      <c r="GE7956"/>
      <c r="GF7956"/>
      <c r="GG7956"/>
      <c r="GH7956"/>
      <c r="GI7956"/>
      <c r="GJ7956"/>
      <c r="GK7956"/>
      <c r="GL7956"/>
      <c r="GM7956"/>
      <c r="GN7956"/>
      <c r="GO7956"/>
    </row>
    <row r="7957" spans="107:197">
      <c r="DC7957"/>
      <c r="FH7957"/>
      <c r="FI7957"/>
      <c r="FJ7957"/>
      <c r="FK7957"/>
      <c r="FL7957"/>
      <c r="FM7957"/>
      <c r="FN7957"/>
      <c r="FO7957"/>
      <c r="FP7957"/>
      <c r="FQ7957"/>
      <c r="FR7957"/>
      <c r="FS7957"/>
      <c r="FT7957"/>
      <c r="FU7957"/>
      <c r="FV7957"/>
      <c r="FW7957"/>
      <c r="FX7957"/>
      <c r="FY7957"/>
      <c r="FZ7957"/>
      <c r="GA7957"/>
      <c r="GB7957"/>
      <c r="GC7957"/>
      <c r="GD7957"/>
      <c r="GE7957"/>
      <c r="GF7957"/>
      <c r="GG7957"/>
      <c r="GH7957"/>
      <c r="GI7957"/>
      <c r="GJ7957"/>
      <c r="GK7957"/>
      <c r="GL7957"/>
      <c r="GM7957"/>
      <c r="GN7957"/>
      <c r="GO7957"/>
    </row>
    <row r="7958" spans="107:197">
      <c r="DC7958"/>
      <c r="FH7958"/>
      <c r="FI7958"/>
      <c r="FJ7958"/>
      <c r="FK7958"/>
      <c r="FL7958"/>
      <c r="FM7958"/>
      <c r="FN7958"/>
      <c r="FO7958"/>
      <c r="FP7958"/>
      <c r="FQ7958"/>
      <c r="FR7958"/>
      <c r="FS7958"/>
      <c r="FT7958"/>
      <c r="FU7958"/>
      <c r="FV7958"/>
      <c r="FW7958"/>
      <c r="FX7958"/>
      <c r="FY7958"/>
      <c r="FZ7958"/>
      <c r="GA7958"/>
      <c r="GB7958"/>
      <c r="GC7958"/>
      <c r="GD7958"/>
      <c r="GE7958"/>
      <c r="GF7958"/>
      <c r="GG7958"/>
      <c r="GH7958"/>
      <c r="GI7958"/>
      <c r="GJ7958"/>
      <c r="GK7958"/>
      <c r="GL7958"/>
      <c r="GM7958"/>
      <c r="GN7958"/>
      <c r="GO7958"/>
    </row>
    <row r="7959" spans="107:197">
      <c r="DC7959"/>
      <c r="FH7959"/>
      <c r="FI7959"/>
      <c r="FJ7959"/>
      <c r="FK7959"/>
      <c r="FL7959"/>
      <c r="FM7959"/>
      <c r="FN7959"/>
      <c r="FO7959"/>
      <c r="FP7959"/>
      <c r="FQ7959"/>
      <c r="FR7959"/>
      <c r="FS7959"/>
      <c r="FT7959"/>
      <c r="FU7959"/>
      <c r="FV7959"/>
      <c r="FW7959"/>
      <c r="FX7959"/>
      <c r="FY7959"/>
      <c r="FZ7959"/>
      <c r="GA7959"/>
      <c r="GB7959"/>
      <c r="GC7959"/>
      <c r="GD7959"/>
      <c r="GE7959"/>
      <c r="GF7959"/>
      <c r="GG7959"/>
      <c r="GH7959"/>
      <c r="GI7959"/>
      <c r="GJ7959"/>
      <c r="GK7959"/>
      <c r="GL7959"/>
      <c r="GM7959"/>
      <c r="GN7959"/>
      <c r="GO7959"/>
    </row>
    <row r="7960" spans="107:197">
      <c r="DC7960"/>
      <c r="FH7960"/>
      <c r="FI7960"/>
      <c r="FJ7960"/>
      <c r="FK7960"/>
      <c r="FL7960"/>
      <c r="FM7960"/>
      <c r="FN7960"/>
      <c r="FO7960"/>
      <c r="FP7960"/>
      <c r="FQ7960"/>
      <c r="FR7960"/>
      <c r="FS7960"/>
      <c r="FT7960"/>
      <c r="FU7960"/>
      <c r="FV7960"/>
      <c r="FW7960"/>
      <c r="FX7960"/>
      <c r="FY7960"/>
      <c r="FZ7960"/>
      <c r="GA7960"/>
      <c r="GB7960"/>
      <c r="GC7960"/>
      <c r="GD7960"/>
      <c r="GE7960"/>
      <c r="GF7960"/>
      <c r="GG7960"/>
      <c r="GH7960"/>
      <c r="GI7960"/>
      <c r="GJ7960"/>
      <c r="GK7960"/>
      <c r="GL7960"/>
      <c r="GM7960"/>
      <c r="GN7960"/>
      <c r="GO7960"/>
    </row>
    <row r="7961" spans="107:197">
      <c r="DC7961"/>
      <c r="FH7961"/>
      <c r="FI7961"/>
      <c r="FJ7961"/>
      <c r="FK7961"/>
      <c r="FL7961"/>
      <c r="FM7961"/>
      <c r="FN7961"/>
      <c r="FO7961"/>
      <c r="FP7961"/>
      <c r="FQ7961"/>
      <c r="FR7961"/>
      <c r="FS7961"/>
      <c r="FT7961"/>
      <c r="FU7961"/>
      <c r="FV7961"/>
      <c r="FW7961"/>
      <c r="FX7961"/>
      <c r="FY7961"/>
      <c r="FZ7961"/>
      <c r="GA7961"/>
      <c r="GB7961"/>
      <c r="GC7961"/>
      <c r="GD7961"/>
      <c r="GE7961"/>
      <c r="GF7961"/>
      <c r="GG7961"/>
      <c r="GH7961"/>
      <c r="GI7961"/>
      <c r="GJ7961"/>
      <c r="GK7961"/>
      <c r="GL7961"/>
      <c r="GM7961"/>
      <c r="GN7961"/>
      <c r="GO7961"/>
    </row>
    <row r="7962" spans="107:197">
      <c r="DC7962"/>
      <c r="FH7962"/>
      <c r="FI7962"/>
      <c r="FJ7962"/>
      <c r="FK7962"/>
      <c r="FL7962"/>
      <c r="FM7962"/>
      <c r="FN7962"/>
      <c r="FO7962"/>
      <c r="FP7962"/>
      <c r="FQ7962"/>
      <c r="FR7962"/>
      <c r="FS7962"/>
      <c r="FT7962"/>
      <c r="FU7962"/>
      <c r="FV7962"/>
      <c r="FW7962"/>
      <c r="FX7962"/>
      <c r="FY7962"/>
      <c r="FZ7962"/>
      <c r="GA7962"/>
      <c r="GB7962"/>
      <c r="GC7962"/>
      <c r="GD7962"/>
      <c r="GE7962"/>
      <c r="GF7962"/>
      <c r="GG7962"/>
      <c r="GH7962"/>
      <c r="GI7962"/>
      <c r="GJ7962"/>
      <c r="GK7962"/>
      <c r="GL7962"/>
      <c r="GM7962"/>
      <c r="GN7962"/>
      <c r="GO7962"/>
    </row>
    <row r="7963" spans="107:197">
      <c r="DC7963"/>
      <c r="FH7963"/>
      <c r="FI7963"/>
      <c r="FJ7963"/>
      <c r="FK7963"/>
      <c r="FL7963"/>
      <c r="FM7963"/>
      <c r="FN7963"/>
      <c r="FO7963"/>
      <c r="FP7963"/>
      <c r="FQ7963"/>
      <c r="FR7963"/>
      <c r="FS7963"/>
      <c r="FT7963"/>
      <c r="FU7963"/>
      <c r="FV7963"/>
      <c r="FW7963"/>
      <c r="FX7963"/>
      <c r="FY7963"/>
      <c r="FZ7963"/>
      <c r="GA7963"/>
      <c r="GB7963"/>
      <c r="GC7963"/>
      <c r="GD7963"/>
      <c r="GE7963"/>
      <c r="GF7963"/>
      <c r="GG7963"/>
      <c r="GH7963"/>
      <c r="GI7963"/>
      <c r="GJ7963"/>
      <c r="GK7963"/>
      <c r="GL7963"/>
      <c r="GM7963"/>
      <c r="GN7963"/>
      <c r="GO7963"/>
    </row>
    <row r="7964" spans="107:197">
      <c r="DC7964"/>
      <c r="FH7964"/>
      <c r="FI7964"/>
      <c r="FJ7964"/>
      <c r="FK7964"/>
      <c r="FL7964"/>
      <c r="FM7964"/>
      <c r="FN7964"/>
      <c r="FO7964"/>
      <c r="FP7964"/>
      <c r="FQ7964"/>
      <c r="FR7964"/>
      <c r="FS7964"/>
      <c r="FT7964"/>
      <c r="FU7964"/>
      <c r="FV7964"/>
      <c r="FW7964"/>
      <c r="FX7964"/>
      <c r="FY7964"/>
      <c r="FZ7964"/>
      <c r="GA7964"/>
      <c r="GB7964"/>
      <c r="GC7964"/>
      <c r="GD7964"/>
      <c r="GE7964"/>
      <c r="GF7964"/>
      <c r="GG7964"/>
      <c r="GH7964"/>
      <c r="GI7964"/>
      <c r="GJ7964"/>
      <c r="GK7964"/>
      <c r="GL7964"/>
      <c r="GM7964"/>
      <c r="GN7964"/>
      <c r="GO7964"/>
    </row>
    <row r="7965" spans="107:197">
      <c r="DC7965"/>
      <c r="FH7965"/>
      <c r="FI7965"/>
      <c r="FJ7965"/>
      <c r="FK7965"/>
      <c r="FL7965"/>
      <c r="FM7965"/>
      <c r="FN7965"/>
      <c r="FO7965"/>
      <c r="FP7965"/>
      <c r="FQ7965"/>
      <c r="FR7965"/>
      <c r="FS7965"/>
      <c r="FT7965"/>
      <c r="FU7965"/>
      <c r="FV7965"/>
      <c r="FW7965"/>
      <c r="FX7965"/>
      <c r="FY7965"/>
      <c r="FZ7965"/>
      <c r="GA7965"/>
      <c r="GB7965"/>
      <c r="GC7965"/>
      <c r="GD7965"/>
      <c r="GE7965"/>
      <c r="GF7965"/>
      <c r="GG7965"/>
      <c r="GH7965"/>
      <c r="GI7965"/>
      <c r="GJ7965"/>
      <c r="GK7965"/>
      <c r="GL7965"/>
      <c r="GM7965"/>
      <c r="GN7965"/>
      <c r="GO7965"/>
    </row>
    <row r="7966" spans="107:197">
      <c r="DC7966"/>
      <c r="FH7966"/>
      <c r="FI7966"/>
      <c r="FJ7966"/>
      <c r="FK7966"/>
      <c r="FL7966"/>
      <c r="FM7966"/>
      <c r="FN7966"/>
      <c r="FO7966"/>
      <c r="FP7966"/>
      <c r="FQ7966"/>
      <c r="FR7966"/>
      <c r="FS7966"/>
      <c r="FT7966"/>
      <c r="FU7966"/>
      <c r="FV7966"/>
      <c r="FW7966"/>
      <c r="FX7966"/>
      <c r="FY7966"/>
      <c r="FZ7966"/>
      <c r="GA7966"/>
      <c r="GB7966"/>
      <c r="GC7966"/>
      <c r="GD7966"/>
      <c r="GE7966"/>
      <c r="GF7966"/>
      <c r="GG7966"/>
      <c r="GH7966"/>
      <c r="GI7966"/>
      <c r="GJ7966"/>
      <c r="GK7966"/>
      <c r="GL7966"/>
      <c r="GM7966"/>
      <c r="GN7966"/>
      <c r="GO7966"/>
    </row>
    <row r="7967" spans="107:197">
      <c r="DC7967"/>
      <c r="FH7967"/>
      <c r="FI7967"/>
      <c r="FJ7967"/>
      <c r="FK7967"/>
      <c r="FL7967"/>
      <c r="FM7967"/>
      <c r="FN7967"/>
      <c r="FO7967"/>
      <c r="FP7967"/>
      <c r="FQ7967"/>
      <c r="FR7967"/>
      <c r="FS7967"/>
      <c r="FT7967"/>
      <c r="FU7967"/>
      <c r="FV7967"/>
      <c r="FW7967"/>
      <c r="FX7967"/>
      <c r="FY7967"/>
      <c r="FZ7967"/>
      <c r="GA7967"/>
      <c r="GB7967"/>
      <c r="GC7967"/>
      <c r="GD7967"/>
      <c r="GE7967"/>
      <c r="GF7967"/>
      <c r="GG7967"/>
      <c r="GH7967"/>
      <c r="GI7967"/>
      <c r="GJ7967"/>
      <c r="GK7967"/>
      <c r="GL7967"/>
      <c r="GM7967"/>
      <c r="GN7967"/>
      <c r="GO7967"/>
    </row>
    <row r="7968" spans="107:197">
      <c r="DC7968"/>
      <c r="FH7968"/>
      <c r="FI7968"/>
      <c r="FJ7968"/>
      <c r="FK7968"/>
      <c r="FL7968"/>
      <c r="FM7968"/>
      <c r="FN7968"/>
      <c r="FO7968"/>
      <c r="FP7968"/>
      <c r="FQ7968"/>
      <c r="FR7968"/>
      <c r="FS7968"/>
      <c r="FT7968"/>
      <c r="FU7968"/>
      <c r="FV7968"/>
      <c r="FW7968"/>
      <c r="FX7968"/>
      <c r="FY7968"/>
      <c r="FZ7968"/>
      <c r="GA7968"/>
      <c r="GB7968"/>
      <c r="GC7968"/>
      <c r="GD7968"/>
      <c r="GE7968"/>
      <c r="GF7968"/>
      <c r="GG7968"/>
      <c r="GH7968"/>
      <c r="GI7968"/>
      <c r="GJ7968"/>
      <c r="GK7968"/>
      <c r="GL7968"/>
      <c r="GM7968"/>
      <c r="GN7968"/>
      <c r="GO7968"/>
    </row>
    <row r="7969" spans="107:197">
      <c r="DC7969"/>
      <c r="FH7969"/>
      <c r="FI7969"/>
      <c r="FJ7969"/>
      <c r="FK7969"/>
      <c r="FL7969"/>
      <c r="FM7969"/>
      <c r="FN7969"/>
      <c r="FO7969"/>
      <c r="FP7969"/>
      <c r="FQ7969"/>
      <c r="FR7969"/>
      <c r="FS7969"/>
      <c r="FT7969"/>
      <c r="FU7969"/>
      <c r="FV7969"/>
      <c r="FW7969"/>
      <c r="FX7969"/>
      <c r="FY7969"/>
      <c r="FZ7969"/>
      <c r="GA7969"/>
      <c r="GB7969"/>
      <c r="GC7969"/>
      <c r="GD7969"/>
      <c r="GE7969"/>
      <c r="GF7969"/>
      <c r="GG7969"/>
      <c r="GH7969"/>
      <c r="GI7969"/>
      <c r="GJ7969"/>
      <c r="GK7969"/>
      <c r="GL7969"/>
      <c r="GM7969"/>
      <c r="GN7969"/>
      <c r="GO7969"/>
    </row>
    <row r="7970" spans="107:197">
      <c r="DC7970"/>
      <c r="FH7970"/>
      <c r="FI7970"/>
      <c r="FJ7970"/>
      <c r="FK7970"/>
      <c r="FL7970"/>
      <c r="FM7970"/>
      <c r="FN7970"/>
      <c r="FO7970"/>
      <c r="FP7970"/>
      <c r="FQ7970"/>
      <c r="FR7970"/>
      <c r="FS7970"/>
      <c r="FT7970"/>
      <c r="FU7970"/>
      <c r="FV7970"/>
      <c r="FW7970"/>
      <c r="FX7970"/>
      <c r="FY7970"/>
      <c r="FZ7970"/>
      <c r="GA7970"/>
      <c r="GB7970"/>
      <c r="GC7970"/>
      <c r="GD7970"/>
      <c r="GE7970"/>
      <c r="GF7970"/>
      <c r="GG7970"/>
      <c r="GH7970"/>
      <c r="GI7970"/>
      <c r="GJ7970"/>
      <c r="GK7970"/>
      <c r="GL7970"/>
      <c r="GM7970"/>
      <c r="GN7970"/>
      <c r="GO7970"/>
    </row>
    <row r="7971" spans="107:197">
      <c r="DC7971"/>
      <c r="FH7971"/>
      <c r="FI7971"/>
      <c r="FJ7971"/>
      <c r="FK7971"/>
      <c r="FL7971"/>
      <c r="FM7971"/>
      <c r="FN7971"/>
      <c r="FO7971"/>
      <c r="FP7971"/>
      <c r="FQ7971"/>
      <c r="FR7971"/>
      <c r="FS7971"/>
      <c r="FT7971"/>
      <c r="FU7971"/>
      <c r="FV7971"/>
      <c r="FW7971"/>
      <c r="FX7971"/>
      <c r="FY7971"/>
      <c r="FZ7971"/>
      <c r="GA7971"/>
      <c r="GB7971"/>
      <c r="GC7971"/>
      <c r="GD7971"/>
      <c r="GE7971"/>
      <c r="GF7971"/>
      <c r="GG7971"/>
      <c r="GH7971"/>
      <c r="GI7971"/>
      <c r="GJ7971"/>
      <c r="GK7971"/>
      <c r="GL7971"/>
      <c r="GM7971"/>
      <c r="GN7971"/>
      <c r="GO7971"/>
    </row>
    <row r="7972" spans="107:197">
      <c r="DC7972"/>
      <c r="FH7972"/>
      <c r="FI7972"/>
      <c r="FJ7972"/>
      <c r="FK7972"/>
      <c r="FL7972"/>
      <c r="FM7972"/>
      <c r="FN7972"/>
      <c r="FO7972"/>
      <c r="FP7972"/>
      <c r="FQ7972"/>
      <c r="FR7972"/>
      <c r="FS7972"/>
      <c r="FT7972"/>
      <c r="FU7972"/>
      <c r="FV7972"/>
      <c r="FW7972"/>
      <c r="FX7972"/>
      <c r="FY7972"/>
      <c r="FZ7972"/>
      <c r="GA7972"/>
      <c r="GB7972"/>
      <c r="GC7972"/>
      <c r="GD7972"/>
      <c r="GE7972"/>
      <c r="GF7972"/>
      <c r="GG7972"/>
      <c r="GH7972"/>
      <c r="GI7972"/>
      <c r="GJ7972"/>
      <c r="GK7972"/>
      <c r="GL7972"/>
      <c r="GM7972"/>
      <c r="GN7972"/>
      <c r="GO7972"/>
    </row>
    <row r="7973" spans="107:197">
      <c r="DC7973"/>
      <c r="FH7973"/>
      <c r="FI7973"/>
      <c r="FJ7973"/>
      <c r="FK7973"/>
      <c r="FL7973"/>
      <c r="FM7973"/>
      <c r="FN7973"/>
      <c r="FO7973"/>
      <c r="FP7973"/>
      <c r="FQ7973"/>
      <c r="FR7973"/>
      <c r="FS7973"/>
      <c r="FT7973"/>
      <c r="FU7973"/>
      <c r="FV7973"/>
      <c r="FW7973"/>
      <c r="FX7973"/>
      <c r="FY7973"/>
      <c r="FZ7973"/>
      <c r="GA7973"/>
      <c r="GB7973"/>
      <c r="GC7973"/>
      <c r="GD7973"/>
      <c r="GE7973"/>
      <c r="GF7973"/>
      <c r="GG7973"/>
      <c r="GH7973"/>
      <c r="GI7973"/>
      <c r="GJ7973"/>
      <c r="GK7973"/>
      <c r="GL7973"/>
      <c r="GM7973"/>
      <c r="GN7973"/>
      <c r="GO7973"/>
    </row>
    <row r="7974" spans="107:197">
      <c r="DC7974"/>
      <c r="FH7974"/>
      <c r="FI7974"/>
      <c r="FJ7974"/>
      <c r="FK7974"/>
      <c r="FL7974"/>
      <c r="FM7974"/>
      <c r="FN7974"/>
      <c r="FO7974"/>
      <c r="FP7974"/>
      <c r="FQ7974"/>
      <c r="FR7974"/>
      <c r="FS7974"/>
      <c r="FT7974"/>
      <c r="FU7974"/>
      <c r="FV7974"/>
      <c r="FW7974"/>
      <c r="FX7974"/>
      <c r="FY7974"/>
      <c r="FZ7974"/>
      <c r="GA7974"/>
      <c r="GB7974"/>
      <c r="GC7974"/>
      <c r="GD7974"/>
      <c r="GE7974"/>
      <c r="GF7974"/>
      <c r="GG7974"/>
      <c r="GH7974"/>
      <c r="GI7974"/>
      <c r="GJ7974"/>
      <c r="GK7974"/>
      <c r="GL7974"/>
      <c r="GM7974"/>
      <c r="GN7974"/>
      <c r="GO7974"/>
    </row>
    <row r="7975" spans="107:197">
      <c r="DC7975"/>
      <c r="FH7975"/>
      <c r="FI7975"/>
      <c r="FJ7975"/>
      <c r="FK7975"/>
      <c r="FL7975"/>
      <c r="FM7975"/>
      <c r="FN7975"/>
      <c r="FO7975"/>
      <c r="FP7975"/>
      <c r="FQ7975"/>
      <c r="FR7975"/>
      <c r="FS7975"/>
      <c r="FT7975"/>
      <c r="FU7975"/>
      <c r="FV7975"/>
      <c r="FW7975"/>
      <c r="FX7975"/>
      <c r="FY7975"/>
      <c r="FZ7975"/>
      <c r="GA7975"/>
      <c r="GB7975"/>
      <c r="GC7975"/>
      <c r="GD7975"/>
      <c r="GE7975"/>
      <c r="GF7975"/>
      <c r="GG7975"/>
      <c r="GH7975"/>
      <c r="GI7975"/>
      <c r="GJ7975"/>
      <c r="GK7975"/>
      <c r="GL7975"/>
      <c r="GM7975"/>
      <c r="GN7975"/>
      <c r="GO7975"/>
    </row>
    <row r="7976" spans="107:197">
      <c r="DC7976"/>
      <c r="FH7976"/>
      <c r="FI7976"/>
      <c r="FJ7976"/>
      <c r="FK7976"/>
      <c r="FL7976"/>
      <c r="FM7976"/>
      <c r="FN7976"/>
      <c r="FO7976"/>
      <c r="FP7976"/>
      <c r="FQ7976"/>
      <c r="FR7976"/>
      <c r="FS7976"/>
      <c r="FT7976"/>
      <c r="FU7976"/>
      <c r="FV7976"/>
      <c r="FW7976"/>
      <c r="FX7976"/>
      <c r="FY7976"/>
      <c r="FZ7976"/>
      <c r="GA7976"/>
      <c r="GB7976"/>
      <c r="GC7976"/>
      <c r="GD7976"/>
      <c r="GE7976"/>
      <c r="GF7976"/>
      <c r="GG7976"/>
      <c r="GH7976"/>
      <c r="GI7976"/>
      <c r="GJ7976"/>
      <c r="GK7976"/>
      <c r="GL7976"/>
      <c r="GM7976"/>
      <c r="GN7976"/>
      <c r="GO7976"/>
    </row>
    <row r="7977" spans="107:197">
      <c r="DC7977"/>
      <c r="FH7977"/>
      <c r="FI7977"/>
      <c r="FJ7977"/>
      <c r="FK7977"/>
      <c r="FL7977"/>
      <c r="FM7977"/>
      <c r="FN7977"/>
      <c r="FO7977"/>
      <c r="FP7977"/>
      <c r="FQ7977"/>
      <c r="FR7977"/>
      <c r="FS7977"/>
      <c r="FT7977"/>
      <c r="FU7977"/>
      <c r="FV7977"/>
      <c r="FW7977"/>
      <c r="FX7977"/>
      <c r="FY7977"/>
      <c r="FZ7977"/>
      <c r="GA7977"/>
      <c r="GB7977"/>
      <c r="GC7977"/>
      <c r="GD7977"/>
      <c r="GE7977"/>
      <c r="GF7977"/>
      <c r="GG7977"/>
      <c r="GH7977"/>
      <c r="GI7977"/>
      <c r="GJ7977"/>
      <c r="GK7977"/>
      <c r="GL7977"/>
      <c r="GM7977"/>
      <c r="GN7977"/>
      <c r="GO7977"/>
    </row>
    <row r="7978" spans="107:197">
      <c r="DC7978"/>
      <c r="FH7978"/>
      <c r="FI7978"/>
      <c r="FJ7978"/>
      <c r="FK7978"/>
      <c r="FL7978"/>
      <c r="FM7978"/>
      <c r="FN7978"/>
      <c r="FO7978"/>
      <c r="FP7978"/>
      <c r="FQ7978"/>
      <c r="FR7978"/>
      <c r="FS7978"/>
      <c r="FT7978"/>
      <c r="FU7978"/>
      <c r="FV7978"/>
      <c r="FW7978"/>
      <c r="FX7978"/>
      <c r="FY7978"/>
      <c r="FZ7978"/>
      <c r="GA7978"/>
      <c r="GB7978"/>
      <c r="GC7978"/>
      <c r="GD7978"/>
      <c r="GE7978"/>
      <c r="GF7978"/>
      <c r="GG7978"/>
      <c r="GH7978"/>
      <c r="GI7978"/>
      <c r="GJ7978"/>
      <c r="GK7978"/>
      <c r="GL7978"/>
      <c r="GM7978"/>
      <c r="GN7978"/>
      <c r="GO7978"/>
    </row>
    <row r="7979" spans="107:197">
      <c r="DC7979"/>
      <c r="FH7979"/>
      <c r="FI7979"/>
      <c r="FJ7979"/>
      <c r="FK7979"/>
      <c r="FL7979"/>
      <c r="FM7979"/>
      <c r="FN7979"/>
      <c r="FO7979"/>
      <c r="FP7979"/>
      <c r="FQ7979"/>
      <c r="FR7979"/>
      <c r="FS7979"/>
      <c r="FT7979"/>
      <c r="FU7979"/>
      <c r="FV7979"/>
      <c r="FW7979"/>
      <c r="FX7979"/>
      <c r="FY7979"/>
      <c r="FZ7979"/>
      <c r="GA7979"/>
      <c r="GB7979"/>
      <c r="GC7979"/>
      <c r="GD7979"/>
      <c r="GE7979"/>
      <c r="GF7979"/>
      <c r="GG7979"/>
      <c r="GH7979"/>
      <c r="GI7979"/>
      <c r="GJ7979"/>
      <c r="GK7979"/>
      <c r="GL7979"/>
      <c r="GM7979"/>
      <c r="GN7979"/>
      <c r="GO7979"/>
    </row>
    <row r="7980" spans="107:197">
      <c r="DC7980"/>
      <c r="FH7980"/>
      <c r="FI7980"/>
      <c r="FJ7980"/>
      <c r="FK7980"/>
      <c r="FL7980"/>
      <c r="FM7980"/>
      <c r="FN7980"/>
      <c r="FO7980"/>
      <c r="FP7980"/>
      <c r="FQ7980"/>
      <c r="FR7980"/>
      <c r="FS7980"/>
      <c r="FT7980"/>
      <c r="FU7980"/>
      <c r="FV7980"/>
      <c r="FW7980"/>
      <c r="FX7980"/>
      <c r="FY7980"/>
      <c r="FZ7980"/>
      <c r="GA7980"/>
      <c r="GB7980"/>
      <c r="GC7980"/>
      <c r="GD7980"/>
      <c r="GE7980"/>
      <c r="GF7980"/>
      <c r="GG7980"/>
      <c r="GH7980"/>
      <c r="GI7980"/>
      <c r="GJ7980"/>
      <c r="GK7980"/>
      <c r="GL7980"/>
      <c r="GM7980"/>
      <c r="GN7980"/>
      <c r="GO7980"/>
    </row>
    <row r="7981" spans="107:197">
      <c r="DC7981"/>
      <c r="FH7981"/>
      <c r="FI7981"/>
      <c r="FJ7981"/>
      <c r="FK7981"/>
      <c r="FL7981"/>
      <c r="FM7981"/>
      <c r="FN7981"/>
      <c r="FO7981"/>
      <c r="FP7981"/>
      <c r="FQ7981"/>
      <c r="FR7981"/>
      <c r="FS7981"/>
      <c r="FT7981"/>
      <c r="FU7981"/>
      <c r="FV7981"/>
      <c r="FW7981"/>
      <c r="FX7981"/>
      <c r="FY7981"/>
      <c r="FZ7981"/>
      <c r="GA7981"/>
      <c r="GB7981"/>
      <c r="GC7981"/>
      <c r="GD7981"/>
      <c r="GE7981"/>
      <c r="GF7981"/>
      <c r="GG7981"/>
      <c r="GH7981"/>
      <c r="GI7981"/>
      <c r="GJ7981"/>
      <c r="GK7981"/>
      <c r="GL7981"/>
      <c r="GM7981"/>
      <c r="GN7981"/>
      <c r="GO7981"/>
    </row>
    <row r="7982" spans="107:197">
      <c r="DC7982"/>
      <c r="FH7982"/>
      <c r="FI7982"/>
      <c r="FJ7982"/>
      <c r="FK7982"/>
      <c r="FL7982"/>
      <c r="FM7982"/>
      <c r="FN7982"/>
      <c r="FO7982"/>
      <c r="FP7982"/>
      <c r="FQ7982"/>
      <c r="FR7982"/>
      <c r="FS7982"/>
      <c r="FT7982"/>
      <c r="FU7982"/>
      <c r="FV7982"/>
      <c r="FW7982"/>
      <c r="FX7982"/>
      <c r="FY7982"/>
      <c r="FZ7982"/>
      <c r="GA7982"/>
      <c r="GB7982"/>
      <c r="GC7982"/>
      <c r="GD7982"/>
      <c r="GE7982"/>
      <c r="GF7982"/>
      <c r="GG7982"/>
      <c r="GH7982"/>
      <c r="GI7982"/>
      <c r="GJ7982"/>
      <c r="GK7982"/>
      <c r="GL7982"/>
      <c r="GM7982"/>
      <c r="GN7982"/>
      <c r="GO7982"/>
    </row>
    <row r="7983" spans="107:197">
      <c r="DC7983"/>
      <c r="FH7983"/>
      <c r="FI7983"/>
      <c r="FJ7983"/>
      <c r="FK7983"/>
      <c r="FL7983"/>
      <c r="FM7983"/>
      <c r="FN7983"/>
      <c r="FO7983"/>
      <c r="FP7983"/>
      <c r="FQ7983"/>
      <c r="FR7983"/>
      <c r="FS7983"/>
      <c r="FT7983"/>
      <c r="FU7983"/>
      <c r="FV7983"/>
      <c r="FW7983"/>
      <c r="FX7983"/>
      <c r="FY7983"/>
      <c r="FZ7983"/>
      <c r="GA7983"/>
      <c r="GB7983"/>
      <c r="GC7983"/>
      <c r="GD7983"/>
      <c r="GE7983"/>
      <c r="GF7983"/>
      <c r="GG7983"/>
      <c r="GH7983"/>
      <c r="GI7983"/>
      <c r="GJ7983"/>
      <c r="GK7983"/>
      <c r="GL7983"/>
      <c r="GM7983"/>
      <c r="GN7983"/>
      <c r="GO7983"/>
    </row>
    <row r="7984" spans="107:197">
      <c r="DC7984"/>
      <c r="FH7984"/>
      <c r="FI7984"/>
      <c r="FJ7984"/>
      <c r="FK7984"/>
      <c r="FL7984"/>
      <c r="FM7984"/>
      <c r="FN7984"/>
      <c r="FO7984"/>
      <c r="FP7984"/>
      <c r="FQ7984"/>
      <c r="FR7984"/>
      <c r="FS7984"/>
      <c r="FT7984"/>
      <c r="FU7984"/>
      <c r="FV7984"/>
      <c r="FW7984"/>
      <c r="FX7984"/>
      <c r="FY7984"/>
      <c r="FZ7984"/>
      <c r="GA7984"/>
      <c r="GB7984"/>
      <c r="GC7984"/>
      <c r="GD7984"/>
      <c r="GE7984"/>
      <c r="GF7984"/>
      <c r="GG7984"/>
      <c r="GH7984"/>
      <c r="GI7984"/>
      <c r="GJ7984"/>
      <c r="GK7984"/>
      <c r="GL7984"/>
      <c r="GM7984"/>
      <c r="GN7984"/>
      <c r="GO7984"/>
    </row>
    <row r="7985" spans="107:197">
      <c r="DC7985"/>
      <c r="FH7985"/>
      <c r="FI7985"/>
      <c r="FJ7985"/>
      <c r="FK7985"/>
      <c r="FL7985"/>
      <c r="FM7985"/>
      <c r="FN7985"/>
      <c r="FO7985"/>
      <c r="FP7985"/>
      <c r="FQ7985"/>
      <c r="FR7985"/>
      <c r="FS7985"/>
      <c r="FT7985"/>
      <c r="FU7985"/>
      <c r="FV7985"/>
      <c r="FW7985"/>
      <c r="FX7985"/>
      <c r="FY7985"/>
      <c r="FZ7985"/>
      <c r="GA7985"/>
      <c r="GB7985"/>
      <c r="GC7985"/>
      <c r="GD7985"/>
      <c r="GE7985"/>
      <c r="GF7985"/>
      <c r="GG7985"/>
      <c r="GH7985"/>
      <c r="GI7985"/>
      <c r="GJ7985"/>
      <c r="GK7985"/>
      <c r="GL7985"/>
      <c r="GM7985"/>
      <c r="GN7985"/>
      <c r="GO7985"/>
    </row>
    <row r="7986" spans="107:197">
      <c r="DC7986"/>
      <c r="FH7986"/>
      <c r="FI7986"/>
      <c r="FJ7986"/>
      <c r="FK7986"/>
      <c r="FL7986"/>
      <c r="FM7986"/>
      <c r="FN7986"/>
      <c r="FO7986"/>
      <c r="FP7986"/>
      <c r="FQ7986"/>
      <c r="FR7986"/>
      <c r="FS7986"/>
      <c r="FT7986"/>
      <c r="FU7986"/>
      <c r="FV7986"/>
      <c r="FW7986"/>
      <c r="FX7986"/>
      <c r="FY7986"/>
      <c r="FZ7986"/>
      <c r="GA7986"/>
      <c r="GB7986"/>
      <c r="GC7986"/>
      <c r="GD7986"/>
      <c r="GE7986"/>
      <c r="GF7986"/>
      <c r="GG7986"/>
      <c r="GH7986"/>
      <c r="GI7986"/>
      <c r="GJ7986"/>
      <c r="GK7986"/>
      <c r="GL7986"/>
      <c r="GM7986"/>
      <c r="GN7986"/>
      <c r="GO7986"/>
    </row>
    <row r="7987" spans="107:197">
      <c r="DC7987"/>
      <c r="FH7987"/>
      <c r="FI7987"/>
      <c r="FJ7987"/>
      <c r="FK7987"/>
      <c r="FL7987"/>
      <c r="FM7987"/>
      <c r="FN7987"/>
      <c r="FO7987"/>
      <c r="FP7987"/>
      <c r="FQ7987"/>
      <c r="FR7987"/>
      <c r="FS7987"/>
      <c r="FT7987"/>
      <c r="FU7987"/>
      <c r="FV7987"/>
      <c r="FW7987"/>
      <c r="FX7987"/>
      <c r="FY7987"/>
      <c r="FZ7987"/>
      <c r="GA7987"/>
      <c r="GB7987"/>
      <c r="GC7987"/>
      <c r="GD7987"/>
      <c r="GE7987"/>
      <c r="GF7987"/>
      <c r="GG7987"/>
      <c r="GH7987"/>
      <c r="GI7987"/>
      <c r="GJ7987"/>
      <c r="GK7987"/>
      <c r="GL7987"/>
      <c r="GM7987"/>
      <c r="GN7987"/>
      <c r="GO7987"/>
    </row>
    <row r="7988" spans="107:197">
      <c r="DC7988"/>
      <c r="FH7988"/>
      <c r="FI7988"/>
      <c r="FJ7988"/>
      <c r="FK7988"/>
      <c r="FL7988"/>
      <c r="FM7988"/>
      <c r="FN7988"/>
      <c r="FO7988"/>
      <c r="FP7988"/>
      <c r="FQ7988"/>
      <c r="FR7988"/>
      <c r="FS7988"/>
      <c r="FT7988"/>
      <c r="FU7988"/>
      <c r="FV7988"/>
      <c r="FW7988"/>
      <c r="FX7988"/>
      <c r="FY7988"/>
      <c r="FZ7988"/>
      <c r="GA7988"/>
      <c r="GB7988"/>
      <c r="GC7988"/>
      <c r="GD7988"/>
      <c r="GE7988"/>
      <c r="GF7988"/>
      <c r="GG7988"/>
      <c r="GH7988"/>
      <c r="GI7988"/>
      <c r="GJ7988"/>
      <c r="GK7988"/>
      <c r="GL7988"/>
      <c r="GM7988"/>
      <c r="GN7988"/>
      <c r="GO7988"/>
    </row>
    <row r="7989" spans="107:197">
      <c r="DC7989"/>
      <c r="FH7989"/>
      <c r="FI7989"/>
      <c r="FJ7989"/>
      <c r="FK7989"/>
      <c r="FL7989"/>
      <c r="FM7989"/>
      <c r="FN7989"/>
      <c r="FO7989"/>
      <c r="FP7989"/>
      <c r="FQ7989"/>
      <c r="FR7989"/>
      <c r="FS7989"/>
      <c r="FT7989"/>
      <c r="FU7989"/>
      <c r="FV7989"/>
      <c r="FW7989"/>
      <c r="FX7989"/>
      <c r="FY7989"/>
      <c r="FZ7989"/>
      <c r="GA7989"/>
      <c r="GB7989"/>
      <c r="GC7989"/>
      <c r="GD7989"/>
      <c r="GE7989"/>
      <c r="GF7989"/>
      <c r="GG7989"/>
      <c r="GH7989"/>
      <c r="GI7989"/>
      <c r="GJ7989"/>
      <c r="GK7989"/>
      <c r="GL7989"/>
      <c r="GM7989"/>
      <c r="GN7989"/>
      <c r="GO7989"/>
    </row>
    <row r="7990" spans="107:197">
      <c r="DC7990"/>
      <c r="FH7990"/>
      <c r="FI7990"/>
      <c r="FJ7990"/>
      <c r="FK7990"/>
      <c r="FL7990"/>
      <c r="FM7990"/>
      <c r="FN7990"/>
      <c r="FO7990"/>
      <c r="FP7990"/>
      <c r="FQ7990"/>
      <c r="FR7990"/>
      <c r="FS7990"/>
      <c r="FT7990"/>
      <c r="FU7990"/>
      <c r="FV7990"/>
      <c r="FW7990"/>
      <c r="FX7990"/>
      <c r="FY7990"/>
      <c r="FZ7990"/>
      <c r="GA7990"/>
      <c r="GB7990"/>
      <c r="GC7990"/>
      <c r="GD7990"/>
      <c r="GE7990"/>
      <c r="GF7990"/>
      <c r="GG7990"/>
      <c r="GH7990"/>
      <c r="GI7990"/>
      <c r="GJ7990"/>
      <c r="GK7990"/>
      <c r="GL7990"/>
      <c r="GM7990"/>
      <c r="GN7990"/>
      <c r="GO7990"/>
    </row>
    <row r="7991" spans="107:197">
      <c r="DC7991"/>
      <c r="FH7991"/>
      <c r="FI7991"/>
      <c r="FJ7991"/>
      <c r="FK7991"/>
      <c r="FL7991"/>
      <c r="FM7991"/>
      <c r="FN7991"/>
      <c r="FO7991"/>
      <c r="FP7991"/>
      <c r="FQ7991"/>
      <c r="FR7991"/>
      <c r="FS7991"/>
      <c r="FT7991"/>
      <c r="FU7991"/>
      <c r="FV7991"/>
      <c r="FW7991"/>
      <c r="FX7991"/>
      <c r="FY7991"/>
      <c r="FZ7991"/>
      <c r="GA7991"/>
      <c r="GB7991"/>
      <c r="GC7991"/>
      <c r="GD7991"/>
      <c r="GE7991"/>
      <c r="GF7991"/>
      <c r="GG7991"/>
      <c r="GH7991"/>
      <c r="GI7991"/>
      <c r="GJ7991"/>
      <c r="GK7991"/>
      <c r="GL7991"/>
      <c r="GM7991"/>
      <c r="GN7991"/>
      <c r="GO7991"/>
    </row>
    <row r="7992" spans="107:197">
      <c r="DC7992"/>
      <c r="FH7992"/>
      <c r="FI7992"/>
      <c r="FJ7992"/>
      <c r="FK7992"/>
      <c r="FL7992"/>
      <c r="FM7992"/>
      <c r="FN7992"/>
      <c r="FO7992"/>
      <c r="FP7992"/>
      <c r="FQ7992"/>
      <c r="FR7992"/>
      <c r="FS7992"/>
      <c r="FT7992"/>
      <c r="FU7992"/>
      <c r="FV7992"/>
      <c r="FW7992"/>
      <c r="FX7992"/>
      <c r="FY7992"/>
      <c r="FZ7992"/>
      <c r="GA7992"/>
      <c r="GB7992"/>
      <c r="GC7992"/>
      <c r="GD7992"/>
      <c r="GE7992"/>
      <c r="GF7992"/>
      <c r="GG7992"/>
      <c r="GH7992"/>
      <c r="GI7992"/>
      <c r="GJ7992"/>
      <c r="GK7992"/>
      <c r="GL7992"/>
      <c r="GM7992"/>
      <c r="GN7992"/>
      <c r="GO7992"/>
    </row>
    <row r="7993" spans="107:197">
      <c r="DC7993"/>
      <c r="FH7993"/>
      <c r="FI7993"/>
      <c r="FJ7993"/>
      <c r="FK7993"/>
      <c r="FL7993"/>
      <c r="FM7993"/>
      <c r="FN7993"/>
      <c r="FO7993"/>
      <c r="FP7993"/>
      <c r="FQ7993"/>
      <c r="FR7993"/>
      <c r="FS7993"/>
      <c r="FT7993"/>
      <c r="FU7993"/>
      <c r="FV7993"/>
      <c r="FW7993"/>
      <c r="FX7993"/>
      <c r="FY7993"/>
      <c r="FZ7993"/>
      <c r="GA7993"/>
      <c r="GB7993"/>
      <c r="GC7993"/>
      <c r="GD7993"/>
      <c r="GE7993"/>
      <c r="GF7993"/>
      <c r="GG7993"/>
      <c r="GH7993"/>
      <c r="GI7993"/>
      <c r="GJ7993"/>
      <c r="GK7993"/>
      <c r="GL7993"/>
      <c r="GM7993"/>
      <c r="GN7993"/>
      <c r="GO7993"/>
    </row>
    <row r="7994" spans="107:197">
      <c r="DC7994"/>
      <c r="FH7994"/>
      <c r="FI7994"/>
      <c r="FJ7994"/>
      <c r="FK7994"/>
      <c r="FL7994"/>
      <c r="FM7994"/>
      <c r="FN7994"/>
      <c r="FO7994"/>
      <c r="FP7994"/>
      <c r="FQ7994"/>
      <c r="FR7994"/>
      <c r="FS7994"/>
      <c r="FT7994"/>
      <c r="FU7994"/>
      <c r="FV7994"/>
      <c r="FW7994"/>
      <c r="FX7994"/>
      <c r="FY7994"/>
      <c r="FZ7994"/>
      <c r="GA7994"/>
      <c r="GB7994"/>
      <c r="GC7994"/>
      <c r="GD7994"/>
      <c r="GE7994"/>
      <c r="GF7994"/>
      <c r="GG7994"/>
      <c r="GH7994"/>
      <c r="GI7994"/>
      <c r="GJ7994"/>
      <c r="GK7994"/>
      <c r="GL7994"/>
      <c r="GM7994"/>
      <c r="GN7994"/>
      <c r="GO7994"/>
    </row>
    <row r="7995" spans="107:197">
      <c r="DC7995"/>
      <c r="FH7995"/>
      <c r="FI7995"/>
      <c r="FJ7995"/>
      <c r="FK7995"/>
      <c r="FL7995"/>
      <c r="FM7995"/>
      <c r="FN7995"/>
      <c r="FO7995"/>
      <c r="FP7995"/>
      <c r="FQ7995"/>
      <c r="FR7995"/>
      <c r="FS7995"/>
      <c r="FT7995"/>
      <c r="FU7995"/>
      <c r="FV7995"/>
      <c r="FW7995"/>
      <c r="FX7995"/>
      <c r="FY7995"/>
      <c r="FZ7995"/>
      <c r="GA7995"/>
      <c r="GB7995"/>
      <c r="GC7995"/>
      <c r="GD7995"/>
      <c r="GE7995"/>
      <c r="GF7995"/>
      <c r="GG7995"/>
      <c r="GH7995"/>
      <c r="GI7995"/>
      <c r="GJ7995"/>
      <c r="GK7995"/>
      <c r="GL7995"/>
      <c r="GM7995"/>
      <c r="GN7995"/>
      <c r="GO7995"/>
    </row>
    <row r="7996" spans="107:197">
      <c r="DC7996"/>
      <c r="FH7996"/>
      <c r="FI7996"/>
      <c r="FJ7996"/>
      <c r="FK7996"/>
      <c r="FL7996"/>
      <c r="FM7996"/>
      <c r="FN7996"/>
      <c r="FO7996"/>
      <c r="FP7996"/>
      <c r="FQ7996"/>
      <c r="FR7996"/>
      <c r="FS7996"/>
      <c r="FT7996"/>
      <c r="FU7996"/>
      <c r="FV7996"/>
      <c r="FW7996"/>
      <c r="FX7996"/>
      <c r="FY7996"/>
      <c r="FZ7996"/>
      <c r="GA7996"/>
      <c r="GB7996"/>
      <c r="GC7996"/>
      <c r="GD7996"/>
      <c r="GE7996"/>
      <c r="GF7996"/>
      <c r="GG7996"/>
      <c r="GH7996"/>
      <c r="GI7996"/>
      <c r="GJ7996"/>
      <c r="GK7996"/>
      <c r="GL7996"/>
      <c r="GM7996"/>
      <c r="GN7996"/>
      <c r="GO7996"/>
    </row>
    <row r="7997" spans="107:197">
      <c r="DC7997"/>
      <c r="FH7997"/>
      <c r="FI7997"/>
      <c r="FJ7997"/>
      <c r="FK7997"/>
      <c r="FL7997"/>
      <c r="FM7997"/>
      <c r="FN7997"/>
      <c r="FO7997"/>
      <c r="FP7997"/>
      <c r="FQ7997"/>
      <c r="FR7997"/>
      <c r="FS7997"/>
      <c r="FT7997"/>
      <c r="FU7997"/>
      <c r="FV7997"/>
      <c r="FW7997"/>
      <c r="FX7997"/>
      <c r="FY7997"/>
      <c r="FZ7997"/>
      <c r="GA7997"/>
      <c r="GB7997"/>
      <c r="GC7997"/>
      <c r="GD7997"/>
      <c r="GE7997"/>
      <c r="GF7997"/>
      <c r="GG7997"/>
      <c r="GH7997"/>
      <c r="GI7997"/>
      <c r="GJ7997"/>
      <c r="GK7997"/>
      <c r="GL7997"/>
      <c r="GM7997"/>
      <c r="GN7997"/>
      <c r="GO7997"/>
    </row>
    <row r="7998" spans="107:197">
      <c r="DC7998"/>
      <c r="FH7998"/>
      <c r="FI7998"/>
      <c r="FJ7998"/>
      <c r="FK7998"/>
      <c r="FL7998"/>
      <c r="FM7998"/>
      <c r="FN7998"/>
      <c r="FO7998"/>
      <c r="FP7998"/>
      <c r="FQ7998"/>
      <c r="FR7998"/>
      <c r="FS7998"/>
      <c r="FT7998"/>
      <c r="FU7998"/>
      <c r="FV7998"/>
      <c r="FW7998"/>
      <c r="FX7998"/>
      <c r="FY7998"/>
      <c r="FZ7998"/>
      <c r="GA7998"/>
      <c r="GB7998"/>
      <c r="GC7998"/>
      <c r="GD7998"/>
      <c r="GE7998"/>
      <c r="GF7998"/>
      <c r="GG7998"/>
      <c r="GH7998"/>
      <c r="GI7998"/>
      <c r="GJ7998"/>
      <c r="GK7998"/>
      <c r="GL7998"/>
      <c r="GM7998"/>
      <c r="GN7998"/>
      <c r="GO7998"/>
    </row>
    <row r="7999" spans="107:197">
      <c r="DC7999"/>
      <c r="FH7999"/>
      <c r="FI7999"/>
      <c r="FJ7999"/>
      <c r="FK7999"/>
      <c r="FL7999"/>
      <c r="FM7999"/>
      <c r="FN7999"/>
      <c r="FO7999"/>
      <c r="FP7999"/>
      <c r="FQ7999"/>
      <c r="FR7999"/>
      <c r="FS7999"/>
      <c r="FT7999"/>
      <c r="FU7999"/>
      <c r="FV7999"/>
      <c r="FW7999"/>
      <c r="FX7999"/>
      <c r="FY7999"/>
      <c r="FZ7999"/>
      <c r="GA7999"/>
      <c r="GB7999"/>
      <c r="GC7999"/>
      <c r="GD7999"/>
      <c r="GE7999"/>
      <c r="GF7999"/>
      <c r="GG7999"/>
      <c r="GH7999"/>
      <c r="GI7999"/>
      <c r="GJ7999"/>
      <c r="GK7999"/>
      <c r="GL7999"/>
      <c r="GM7999"/>
      <c r="GN7999"/>
      <c r="GO7999"/>
    </row>
    <row r="8000" spans="107:197">
      <c r="DC8000"/>
      <c r="FH8000"/>
      <c r="FI8000"/>
      <c r="FJ8000"/>
      <c r="FK8000"/>
      <c r="FL8000"/>
      <c r="FM8000"/>
      <c r="FN8000"/>
      <c r="FO8000"/>
      <c r="FP8000"/>
      <c r="FQ8000"/>
      <c r="FR8000"/>
      <c r="FS8000"/>
      <c r="FT8000"/>
      <c r="FU8000"/>
      <c r="FV8000"/>
      <c r="FW8000"/>
      <c r="FX8000"/>
      <c r="FY8000"/>
      <c r="FZ8000"/>
      <c r="GA8000"/>
      <c r="GB8000"/>
      <c r="GC8000"/>
      <c r="GD8000"/>
      <c r="GE8000"/>
      <c r="GF8000"/>
      <c r="GG8000"/>
      <c r="GH8000"/>
      <c r="GI8000"/>
      <c r="GJ8000"/>
      <c r="GK8000"/>
      <c r="GL8000"/>
      <c r="GM8000"/>
      <c r="GN8000"/>
      <c r="GO8000"/>
    </row>
    <row r="8001" spans="107:197">
      <c r="DC8001"/>
      <c r="FH8001"/>
      <c r="FI8001"/>
      <c r="FJ8001"/>
      <c r="FK8001"/>
      <c r="FL8001"/>
      <c r="FM8001"/>
      <c r="FN8001"/>
      <c r="FO8001"/>
      <c r="FP8001"/>
      <c r="FQ8001"/>
      <c r="FR8001"/>
      <c r="FS8001"/>
      <c r="FT8001"/>
      <c r="FU8001"/>
      <c r="FV8001"/>
      <c r="FW8001"/>
      <c r="FX8001"/>
      <c r="FY8001"/>
      <c r="FZ8001"/>
      <c r="GA8001"/>
      <c r="GB8001"/>
      <c r="GC8001"/>
      <c r="GD8001"/>
      <c r="GE8001"/>
      <c r="GF8001"/>
      <c r="GG8001"/>
      <c r="GH8001"/>
      <c r="GI8001"/>
      <c r="GJ8001"/>
      <c r="GK8001"/>
      <c r="GL8001"/>
      <c r="GM8001"/>
      <c r="GN8001"/>
      <c r="GO8001"/>
    </row>
    <row r="8002" spans="107:197">
      <c r="DC8002"/>
      <c r="FH8002"/>
      <c r="FI8002"/>
      <c r="FJ8002"/>
      <c r="FK8002"/>
      <c r="FL8002"/>
      <c r="FM8002"/>
      <c r="FN8002"/>
      <c r="FO8002"/>
      <c r="FP8002"/>
      <c r="FQ8002"/>
      <c r="FR8002"/>
      <c r="FS8002"/>
      <c r="FT8002"/>
      <c r="FU8002"/>
      <c r="FV8002"/>
      <c r="FW8002"/>
      <c r="FX8002"/>
      <c r="FY8002"/>
      <c r="FZ8002"/>
      <c r="GA8002"/>
      <c r="GB8002"/>
      <c r="GC8002"/>
      <c r="GD8002"/>
      <c r="GE8002"/>
      <c r="GF8002"/>
      <c r="GG8002"/>
      <c r="GH8002"/>
      <c r="GI8002"/>
      <c r="GJ8002"/>
      <c r="GK8002"/>
      <c r="GL8002"/>
      <c r="GM8002"/>
      <c r="GN8002"/>
      <c r="GO8002"/>
    </row>
    <row r="8003" spans="107:197">
      <c r="DC8003"/>
      <c r="FH8003"/>
      <c r="FI8003"/>
      <c r="FJ8003"/>
      <c r="FK8003"/>
      <c r="FL8003"/>
      <c r="FM8003"/>
      <c r="FN8003"/>
      <c r="FO8003"/>
      <c r="FP8003"/>
      <c r="FQ8003"/>
      <c r="FR8003"/>
      <c r="FS8003"/>
      <c r="FT8003"/>
      <c r="FU8003"/>
      <c r="FV8003"/>
      <c r="FW8003"/>
      <c r="FX8003"/>
      <c r="FY8003"/>
      <c r="FZ8003"/>
      <c r="GA8003"/>
      <c r="GB8003"/>
      <c r="GC8003"/>
      <c r="GD8003"/>
      <c r="GE8003"/>
      <c r="GF8003"/>
      <c r="GG8003"/>
      <c r="GH8003"/>
      <c r="GI8003"/>
      <c r="GJ8003"/>
      <c r="GK8003"/>
      <c r="GL8003"/>
      <c r="GM8003"/>
      <c r="GN8003"/>
      <c r="GO8003"/>
    </row>
    <row r="8004" spans="107:197">
      <c r="DC8004"/>
      <c r="FH8004"/>
      <c r="FI8004"/>
      <c r="FJ8004"/>
      <c r="FK8004"/>
      <c r="FL8004"/>
      <c r="FM8004"/>
      <c r="FN8004"/>
      <c r="FO8004"/>
      <c r="FP8004"/>
      <c r="FQ8004"/>
      <c r="FR8004"/>
      <c r="FS8004"/>
      <c r="FT8004"/>
      <c r="FU8004"/>
      <c r="FV8004"/>
      <c r="FW8004"/>
      <c r="FX8004"/>
      <c r="FY8004"/>
      <c r="FZ8004"/>
      <c r="GA8004"/>
      <c r="GB8004"/>
      <c r="GC8004"/>
      <c r="GD8004"/>
      <c r="GE8004"/>
      <c r="GF8004"/>
      <c r="GG8004"/>
      <c r="GH8004"/>
      <c r="GI8004"/>
      <c r="GJ8004"/>
      <c r="GK8004"/>
      <c r="GL8004"/>
      <c r="GM8004"/>
      <c r="GN8004"/>
      <c r="GO8004"/>
    </row>
    <row r="8005" spans="107:197">
      <c r="DC8005"/>
      <c r="FH8005"/>
      <c r="FI8005"/>
      <c r="FJ8005"/>
      <c r="FK8005"/>
      <c r="FL8005"/>
      <c r="FM8005"/>
      <c r="FN8005"/>
      <c r="FO8005"/>
      <c r="FP8005"/>
      <c r="FQ8005"/>
      <c r="FR8005"/>
      <c r="FS8005"/>
      <c r="FT8005"/>
      <c r="FU8005"/>
      <c r="FV8005"/>
      <c r="FW8005"/>
      <c r="FX8005"/>
      <c r="FY8005"/>
      <c r="FZ8005"/>
      <c r="GA8005"/>
      <c r="GB8005"/>
      <c r="GC8005"/>
      <c r="GD8005"/>
      <c r="GE8005"/>
      <c r="GF8005"/>
      <c r="GG8005"/>
      <c r="GH8005"/>
      <c r="GI8005"/>
      <c r="GJ8005"/>
      <c r="GK8005"/>
      <c r="GL8005"/>
      <c r="GM8005"/>
      <c r="GN8005"/>
      <c r="GO8005"/>
    </row>
    <row r="8006" spans="107:197">
      <c r="DC8006"/>
      <c r="FH8006"/>
      <c r="FI8006"/>
      <c r="FJ8006"/>
      <c r="FK8006"/>
      <c r="FL8006"/>
      <c r="FM8006"/>
      <c r="FN8006"/>
      <c r="FO8006"/>
      <c r="FP8006"/>
      <c r="FQ8006"/>
      <c r="FR8006"/>
      <c r="FS8006"/>
      <c r="FT8006"/>
      <c r="FU8006"/>
      <c r="FV8006"/>
      <c r="FW8006"/>
      <c r="FX8006"/>
      <c r="FY8006"/>
      <c r="FZ8006"/>
      <c r="GA8006"/>
      <c r="GB8006"/>
      <c r="GC8006"/>
      <c r="GD8006"/>
      <c r="GE8006"/>
      <c r="GF8006"/>
      <c r="GG8006"/>
      <c r="GH8006"/>
      <c r="GI8006"/>
      <c r="GJ8006"/>
      <c r="GK8006"/>
      <c r="GL8006"/>
      <c r="GM8006"/>
      <c r="GN8006"/>
      <c r="GO8006"/>
    </row>
    <row r="8007" spans="107:197">
      <c r="DC8007"/>
      <c r="FH8007"/>
      <c r="FI8007"/>
      <c r="FJ8007"/>
      <c r="FK8007"/>
      <c r="FL8007"/>
      <c r="FM8007"/>
      <c r="FN8007"/>
      <c r="FO8007"/>
      <c r="FP8007"/>
      <c r="FQ8007"/>
      <c r="FR8007"/>
      <c r="FS8007"/>
      <c r="FT8007"/>
      <c r="FU8007"/>
      <c r="FV8007"/>
      <c r="FW8007"/>
      <c r="FX8007"/>
      <c r="FY8007"/>
      <c r="FZ8007"/>
      <c r="GA8007"/>
      <c r="GB8007"/>
      <c r="GC8007"/>
      <c r="GD8007"/>
      <c r="GE8007"/>
      <c r="GF8007"/>
      <c r="GG8007"/>
      <c r="GH8007"/>
      <c r="GI8007"/>
      <c r="GJ8007"/>
      <c r="GK8007"/>
      <c r="GL8007"/>
      <c r="GM8007"/>
      <c r="GN8007"/>
      <c r="GO8007"/>
    </row>
    <row r="8008" spans="107:197">
      <c r="DC8008"/>
      <c r="FH8008"/>
      <c r="FI8008"/>
      <c r="FJ8008"/>
      <c r="FK8008"/>
      <c r="FL8008"/>
      <c r="FM8008"/>
      <c r="FN8008"/>
      <c r="FO8008"/>
      <c r="FP8008"/>
      <c r="FQ8008"/>
      <c r="FR8008"/>
      <c r="FS8008"/>
      <c r="FT8008"/>
      <c r="FU8008"/>
      <c r="FV8008"/>
      <c r="FW8008"/>
      <c r="FX8008"/>
      <c r="FY8008"/>
      <c r="FZ8008"/>
      <c r="GA8008"/>
      <c r="GB8008"/>
      <c r="GC8008"/>
      <c r="GD8008"/>
      <c r="GE8008"/>
      <c r="GF8008"/>
      <c r="GG8008"/>
      <c r="GH8008"/>
      <c r="GI8008"/>
      <c r="GJ8008"/>
      <c r="GK8008"/>
      <c r="GL8008"/>
      <c r="GM8008"/>
      <c r="GN8008"/>
      <c r="GO8008"/>
    </row>
    <row r="8009" spans="107:197">
      <c r="DC8009"/>
      <c r="FH8009"/>
      <c r="FI8009"/>
      <c r="FJ8009"/>
      <c r="FK8009"/>
      <c r="FL8009"/>
      <c r="FM8009"/>
      <c r="FN8009"/>
      <c r="FO8009"/>
      <c r="FP8009"/>
      <c r="FQ8009"/>
      <c r="FR8009"/>
      <c r="FS8009"/>
      <c r="FT8009"/>
      <c r="FU8009"/>
      <c r="FV8009"/>
      <c r="FW8009"/>
      <c r="FX8009"/>
      <c r="FY8009"/>
      <c r="FZ8009"/>
      <c r="GA8009"/>
      <c r="GB8009"/>
      <c r="GC8009"/>
      <c r="GD8009"/>
      <c r="GE8009"/>
      <c r="GF8009"/>
      <c r="GG8009"/>
      <c r="GH8009"/>
      <c r="GI8009"/>
      <c r="GJ8009"/>
      <c r="GK8009"/>
      <c r="GL8009"/>
      <c r="GM8009"/>
      <c r="GN8009"/>
      <c r="GO8009"/>
    </row>
    <row r="8010" spans="107:197">
      <c r="DC8010"/>
      <c r="FH8010"/>
      <c r="FI8010"/>
      <c r="FJ8010"/>
      <c r="FK8010"/>
      <c r="FL8010"/>
      <c r="FM8010"/>
      <c r="FN8010"/>
      <c r="FO8010"/>
      <c r="FP8010"/>
      <c r="FQ8010"/>
      <c r="FR8010"/>
      <c r="FS8010"/>
      <c r="FT8010"/>
      <c r="FU8010"/>
      <c r="FV8010"/>
      <c r="FW8010"/>
      <c r="FX8010"/>
      <c r="FY8010"/>
      <c r="FZ8010"/>
      <c r="GA8010"/>
      <c r="GB8010"/>
      <c r="GC8010"/>
      <c r="GD8010"/>
      <c r="GE8010"/>
      <c r="GF8010"/>
      <c r="GG8010"/>
      <c r="GH8010"/>
      <c r="GI8010"/>
      <c r="GJ8010"/>
      <c r="GK8010"/>
      <c r="GL8010"/>
      <c r="GM8010"/>
      <c r="GN8010"/>
      <c r="GO8010"/>
    </row>
    <row r="8011" spans="107:197">
      <c r="DC8011"/>
      <c r="FH8011"/>
      <c r="FI8011"/>
      <c r="FJ8011"/>
      <c r="FK8011"/>
      <c r="FL8011"/>
      <c r="FM8011"/>
      <c r="FN8011"/>
      <c r="FO8011"/>
      <c r="FP8011"/>
      <c r="FQ8011"/>
      <c r="FR8011"/>
      <c r="FS8011"/>
      <c r="FT8011"/>
      <c r="FU8011"/>
      <c r="FV8011"/>
      <c r="FW8011"/>
      <c r="FX8011"/>
      <c r="FY8011"/>
      <c r="FZ8011"/>
      <c r="GA8011"/>
      <c r="GB8011"/>
      <c r="GC8011"/>
      <c r="GD8011"/>
      <c r="GE8011"/>
      <c r="GF8011"/>
      <c r="GG8011"/>
      <c r="GH8011"/>
      <c r="GI8011"/>
      <c r="GJ8011"/>
      <c r="GK8011"/>
      <c r="GL8011"/>
      <c r="GM8011"/>
      <c r="GN8011"/>
      <c r="GO8011"/>
    </row>
    <row r="8012" spans="107:197">
      <c r="DC8012"/>
      <c r="FH8012"/>
      <c r="FI8012"/>
      <c r="FJ8012"/>
      <c r="FK8012"/>
      <c r="FL8012"/>
      <c r="FM8012"/>
      <c r="FN8012"/>
      <c r="FO8012"/>
      <c r="FP8012"/>
      <c r="FQ8012"/>
      <c r="FR8012"/>
      <c r="FS8012"/>
      <c r="FT8012"/>
      <c r="FU8012"/>
      <c r="FV8012"/>
      <c r="FW8012"/>
      <c r="FX8012"/>
      <c r="FY8012"/>
      <c r="FZ8012"/>
      <c r="GA8012"/>
      <c r="GB8012"/>
      <c r="GC8012"/>
      <c r="GD8012"/>
      <c r="GE8012"/>
      <c r="GF8012"/>
      <c r="GG8012"/>
      <c r="GH8012"/>
      <c r="GI8012"/>
      <c r="GJ8012"/>
      <c r="GK8012"/>
      <c r="GL8012"/>
      <c r="GM8012"/>
      <c r="GN8012"/>
      <c r="GO8012"/>
    </row>
    <row r="8013" spans="107:197">
      <c r="DC8013"/>
      <c r="FH8013"/>
      <c r="FI8013"/>
      <c r="FJ8013"/>
      <c r="FK8013"/>
      <c r="FL8013"/>
      <c r="FM8013"/>
      <c r="FN8013"/>
      <c r="FO8013"/>
      <c r="FP8013"/>
      <c r="FQ8013"/>
      <c r="FR8013"/>
      <c r="FS8013"/>
      <c r="FT8013"/>
      <c r="FU8013"/>
      <c r="FV8013"/>
      <c r="FW8013"/>
      <c r="FX8013"/>
      <c r="FY8013"/>
      <c r="FZ8013"/>
      <c r="GA8013"/>
      <c r="GB8013"/>
      <c r="GC8013"/>
      <c r="GD8013"/>
      <c r="GE8013"/>
      <c r="GF8013"/>
      <c r="GG8013"/>
      <c r="GH8013"/>
      <c r="GI8013"/>
      <c r="GJ8013"/>
      <c r="GK8013"/>
      <c r="GL8013"/>
      <c r="GM8013"/>
      <c r="GN8013"/>
      <c r="GO8013"/>
    </row>
    <row r="8014" spans="107:197">
      <c r="DC8014"/>
      <c r="FH8014"/>
      <c r="FI8014"/>
      <c r="FJ8014"/>
      <c r="FK8014"/>
      <c r="FL8014"/>
      <c r="FM8014"/>
      <c r="FN8014"/>
      <c r="FO8014"/>
      <c r="FP8014"/>
      <c r="FQ8014"/>
      <c r="FR8014"/>
      <c r="FS8014"/>
      <c r="FT8014"/>
      <c r="FU8014"/>
      <c r="FV8014"/>
      <c r="FW8014"/>
      <c r="FX8014"/>
      <c r="FY8014"/>
      <c r="FZ8014"/>
      <c r="GA8014"/>
      <c r="GB8014"/>
      <c r="GC8014"/>
      <c r="GD8014"/>
      <c r="GE8014"/>
      <c r="GF8014"/>
      <c r="GG8014"/>
      <c r="GH8014"/>
      <c r="GI8014"/>
      <c r="GJ8014"/>
      <c r="GK8014"/>
      <c r="GL8014"/>
      <c r="GM8014"/>
      <c r="GN8014"/>
      <c r="GO8014"/>
    </row>
    <row r="8015" spans="107:197">
      <c r="DC8015"/>
      <c r="FH8015"/>
      <c r="FI8015"/>
      <c r="FJ8015"/>
      <c r="FK8015"/>
      <c r="FL8015"/>
      <c r="FM8015"/>
      <c r="FN8015"/>
      <c r="FO8015"/>
      <c r="FP8015"/>
      <c r="FQ8015"/>
      <c r="FR8015"/>
      <c r="FS8015"/>
      <c r="FT8015"/>
      <c r="FU8015"/>
      <c r="FV8015"/>
      <c r="FW8015"/>
      <c r="FX8015"/>
      <c r="FY8015"/>
      <c r="FZ8015"/>
      <c r="GA8015"/>
      <c r="GB8015"/>
      <c r="GC8015"/>
      <c r="GD8015"/>
      <c r="GE8015"/>
      <c r="GF8015"/>
      <c r="GG8015"/>
      <c r="GH8015"/>
      <c r="GI8015"/>
      <c r="GJ8015"/>
      <c r="GK8015"/>
      <c r="GL8015"/>
      <c r="GM8015"/>
      <c r="GN8015"/>
      <c r="GO8015"/>
    </row>
    <row r="8016" spans="107:197">
      <c r="DC8016"/>
      <c r="FH8016"/>
      <c r="FI8016"/>
      <c r="FJ8016"/>
      <c r="FK8016"/>
      <c r="FL8016"/>
      <c r="FM8016"/>
      <c r="FN8016"/>
      <c r="FO8016"/>
      <c r="FP8016"/>
      <c r="FQ8016"/>
      <c r="FR8016"/>
      <c r="FS8016"/>
      <c r="FT8016"/>
      <c r="FU8016"/>
      <c r="FV8016"/>
      <c r="FW8016"/>
      <c r="FX8016"/>
      <c r="FY8016"/>
      <c r="FZ8016"/>
      <c r="GA8016"/>
      <c r="GB8016"/>
      <c r="GC8016"/>
      <c r="GD8016"/>
      <c r="GE8016"/>
      <c r="GF8016"/>
      <c r="GG8016"/>
      <c r="GH8016"/>
      <c r="GI8016"/>
      <c r="GJ8016"/>
      <c r="GK8016"/>
      <c r="GL8016"/>
      <c r="GM8016"/>
      <c r="GN8016"/>
      <c r="GO8016"/>
    </row>
    <row r="8017" spans="107:197">
      <c r="DC8017"/>
      <c r="FH8017"/>
      <c r="FI8017"/>
      <c r="FJ8017"/>
      <c r="FK8017"/>
      <c r="FL8017"/>
      <c r="FM8017"/>
      <c r="FN8017"/>
      <c r="FO8017"/>
      <c r="FP8017"/>
      <c r="FQ8017"/>
      <c r="FR8017"/>
      <c r="FS8017"/>
      <c r="FT8017"/>
      <c r="FU8017"/>
      <c r="FV8017"/>
      <c r="FW8017"/>
      <c r="FX8017"/>
      <c r="FY8017"/>
      <c r="FZ8017"/>
      <c r="GA8017"/>
      <c r="GB8017"/>
      <c r="GC8017"/>
      <c r="GD8017"/>
      <c r="GE8017"/>
      <c r="GF8017"/>
      <c r="GG8017"/>
      <c r="GH8017"/>
      <c r="GI8017"/>
      <c r="GJ8017"/>
      <c r="GK8017"/>
      <c r="GL8017"/>
      <c r="GM8017"/>
      <c r="GN8017"/>
      <c r="GO8017"/>
    </row>
    <row r="8018" spans="107:197">
      <c r="DC8018"/>
      <c r="FH8018"/>
      <c r="FI8018"/>
      <c r="FJ8018"/>
      <c r="FK8018"/>
      <c r="FL8018"/>
      <c r="FM8018"/>
      <c r="FN8018"/>
      <c r="FO8018"/>
      <c r="FP8018"/>
      <c r="FQ8018"/>
      <c r="FR8018"/>
      <c r="FS8018"/>
      <c r="FT8018"/>
      <c r="FU8018"/>
      <c r="FV8018"/>
      <c r="FW8018"/>
      <c r="FX8018"/>
      <c r="FY8018"/>
      <c r="FZ8018"/>
      <c r="GA8018"/>
      <c r="GB8018"/>
      <c r="GC8018"/>
      <c r="GD8018"/>
      <c r="GE8018"/>
      <c r="GF8018"/>
      <c r="GG8018"/>
      <c r="GH8018"/>
      <c r="GI8018"/>
      <c r="GJ8018"/>
      <c r="GK8018"/>
      <c r="GL8018"/>
      <c r="GM8018"/>
      <c r="GN8018"/>
      <c r="GO8018"/>
    </row>
    <row r="8019" spans="107:197">
      <c r="DC8019"/>
      <c r="FH8019"/>
      <c r="FI8019"/>
      <c r="FJ8019"/>
      <c r="FK8019"/>
      <c r="FL8019"/>
      <c r="FM8019"/>
      <c r="FN8019"/>
      <c r="FO8019"/>
      <c r="FP8019"/>
      <c r="FQ8019"/>
      <c r="FR8019"/>
      <c r="FS8019"/>
      <c r="FT8019"/>
      <c r="FU8019"/>
      <c r="FV8019"/>
      <c r="FW8019"/>
      <c r="FX8019"/>
      <c r="FY8019"/>
      <c r="FZ8019"/>
      <c r="GA8019"/>
      <c r="GB8019"/>
      <c r="GC8019"/>
      <c r="GD8019"/>
      <c r="GE8019"/>
      <c r="GF8019"/>
      <c r="GG8019"/>
      <c r="GH8019"/>
      <c r="GI8019"/>
      <c r="GJ8019"/>
      <c r="GK8019"/>
      <c r="GL8019"/>
      <c r="GM8019"/>
      <c r="GN8019"/>
      <c r="GO8019"/>
    </row>
    <row r="8020" spans="107:197">
      <c r="DC8020"/>
      <c r="FH8020"/>
      <c r="FI8020"/>
      <c r="FJ8020"/>
      <c r="FK8020"/>
      <c r="FL8020"/>
      <c r="FM8020"/>
      <c r="FN8020"/>
      <c r="FO8020"/>
      <c r="FP8020"/>
      <c r="FQ8020"/>
      <c r="FR8020"/>
      <c r="FS8020"/>
      <c r="FT8020"/>
      <c r="FU8020"/>
      <c r="FV8020"/>
      <c r="FW8020"/>
      <c r="FX8020"/>
      <c r="FY8020"/>
      <c r="FZ8020"/>
      <c r="GA8020"/>
      <c r="GB8020"/>
      <c r="GC8020"/>
      <c r="GD8020"/>
      <c r="GE8020"/>
      <c r="GF8020"/>
      <c r="GG8020"/>
      <c r="GH8020"/>
      <c r="GI8020"/>
      <c r="GJ8020"/>
      <c r="GK8020"/>
      <c r="GL8020"/>
      <c r="GM8020"/>
      <c r="GN8020"/>
      <c r="GO8020"/>
    </row>
    <row r="8021" spans="107:197">
      <c r="DC8021"/>
      <c r="FH8021"/>
      <c r="FI8021"/>
      <c r="FJ8021"/>
      <c r="FK8021"/>
      <c r="FL8021"/>
      <c r="FM8021"/>
      <c r="FN8021"/>
      <c r="FO8021"/>
      <c r="FP8021"/>
      <c r="FQ8021"/>
      <c r="FR8021"/>
      <c r="FS8021"/>
      <c r="FT8021"/>
      <c r="FU8021"/>
      <c r="FV8021"/>
      <c r="FW8021"/>
      <c r="FX8021"/>
      <c r="FY8021"/>
      <c r="FZ8021"/>
      <c r="GA8021"/>
      <c r="GB8021"/>
      <c r="GC8021"/>
      <c r="GD8021"/>
      <c r="GE8021"/>
      <c r="GF8021"/>
      <c r="GG8021"/>
      <c r="GH8021"/>
      <c r="GI8021"/>
      <c r="GJ8021"/>
      <c r="GK8021"/>
      <c r="GL8021"/>
      <c r="GM8021"/>
      <c r="GN8021"/>
      <c r="GO8021"/>
    </row>
    <row r="8022" spans="107:197">
      <c r="DC8022"/>
      <c r="FH8022"/>
      <c r="FI8022"/>
      <c r="FJ8022"/>
      <c r="FK8022"/>
      <c r="FL8022"/>
      <c r="FM8022"/>
      <c r="FN8022"/>
      <c r="FO8022"/>
      <c r="FP8022"/>
      <c r="FQ8022"/>
      <c r="FR8022"/>
      <c r="FS8022"/>
      <c r="FT8022"/>
      <c r="FU8022"/>
      <c r="FV8022"/>
      <c r="FW8022"/>
      <c r="FX8022"/>
      <c r="FY8022"/>
      <c r="FZ8022"/>
      <c r="GA8022"/>
      <c r="GB8022"/>
      <c r="GC8022"/>
      <c r="GD8022"/>
      <c r="GE8022"/>
      <c r="GF8022"/>
      <c r="GG8022"/>
      <c r="GH8022"/>
      <c r="GI8022"/>
      <c r="GJ8022"/>
      <c r="GK8022"/>
      <c r="GL8022"/>
      <c r="GM8022"/>
      <c r="GN8022"/>
      <c r="GO8022"/>
    </row>
    <row r="8023" spans="107:197">
      <c r="DC8023"/>
      <c r="FH8023"/>
      <c r="FI8023"/>
      <c r="FJ8023"/>
      <c r="FK8023"/>
      <c r="FL8023"/>
      <c r="FM8023"/>
      <c r="FN8023"/>
      <c r="FO8023"/>
      <c r="FP8023"/>
      <c r="FQ8023"/>
      <c r="FR8023"/>
      <c r="FS8023"/>
      <c r="FT8023"/>
      <c r="FU8023"/>
      <c r="FV8023"/>
      <c r="FW8023"/>
      <c r="FX8023"/>
      <c r="FY8023"/>
      <c r="FZ8023"/>
      <c r="GA8023"/>
      <c r="GB8023"/>
      <c r="GC8023"/>
      <c r="GD8023"/>
      <c r="GE8023"/>
      <c r="GF8023"/>
      <c r="GG8023"/>
      <c r="GH8023"/>
      <c r="GI8023"/>
      <c r="GJ8023"/>
      <c r="GK8023"/>
      <c r="GL8023"/>
      <c r="GM8023"/>
      <c r="GN8023"/>
      <c r="GO8023"/>
    </row>
    <row r="8024" spans="107:197">
      <c r="DC8024"/>
      <c r="FH8024"/>
      <c r="FI8024"/>
      <c r="FJ8024"/>
      <c r="FK8024"/>
      <c r="FL8024"/>
      <c r="FM8024"/>
      <c r="FN8024"/>
      <c r="FO8024"/>
      <c r="FP8024"/>
      <c r="FQ8024"/>
      <c r="FR8024"/>
      <c r="FS8024"/>
      <c r="FT8024"/>
      <c r="FU8024"/>
      <c r="FV8024"/>
      <c r="FW8024"/>
      <c r="FX8024"/>
      <c r="FY8024"/>
      <c r="FZ8024"/>
      <c r="GA8024"/>
      <c r="GB8024"/>
      <c r="GC8024"/>
      <c r="GD8024"/>
      <c r="GE8024"/>
      <c r="GF8024"/>
      <c r="GG8024"/>
      <c r="GH8024"/>
      <c r="GI8024"/>
      <c r="GJ8024"/>
      <c r="GK8024"/>
      <c r="GL8024"/>
      <c r="GM8024"/>
      <c r="GN8024"/>
      <c r="GO8024"/>
    </row>
    <row r="8025" spans="107:197">
      <c r="DC8025"/>
      <c r="FH8025"/>
      <c r="FI8025"/>
      <c r="FJ8025"/>
      <c r="FK8025"/>
      <c r="FL8025"/>
      <c r="FM8025"/>
      <c r="FN8025"/>
      <c r="FO8025"/>
      <c r="FP8025"/>
      <c r="FQ8025"/>
      <c r="FR8025"/>
      <c r="FS8025"/>
      <c r="FT8025"/>
      <c r="FU8025"/>
      <c r="FV8025"/>
      <c r="FW8025"/>
      <c r="FX8025"/>
      <c r="FY8025"/>
      <c r="FZ8025"/>
      <c r="GA8025"/>
      <c r="GB8025"/>
      <c r="GC8025"/>
      <c r="GD8025"/>
      <c r="GE8025"/>
      <c r="GF8025"/>
      <c r="GG8025"/>
      <c r="GH8025"/>
      <c r="GI8025"/>
      <c r="GJ8025"/>
      <c r="GK8025"/>
      <c r="GL8025"/>
      <c r="GM8025"/>
      <c r="GN8025"/>
      <c r="GO8025"/>
    </row>
    <row r="8026" spans="107:197">
      <c r="DC8026"/>
      <c r="FH8026"/>
      <c r="FI8026"/>
      <c r="FJ8026"/>
      <c r="FK8026"/>
      <c r="FL8026"/>
      <c r="FM8026"/>
      <c r="FN8026"/>
      <c r="FO8026"/>
      <c r="FP8026"/>
      <c r="FQ8026"/>
      <c r="FR8026"/>
      <c r="FS8026"/>
      <c r="FT8026"/>
      <c r="FU8026"/>
      <c r="FV8026"/>
      <c r="FW8026"/>
      <c r="FX8026"/>
      <c r="FY8026"/>
      <c r="FZ8026"/>
      <c r="GA8026"/>
      <c r="GB8026"/>
      <c r="GC8026"/>
      <c r="GD8026"/>
      <c r="GE8026"/>
      <c r="GF8026"/>
      <c r="GG8026"/>
      <c r="GH8026"/>
      <c r="GI8026"/>
      <c r="GJ8026"/>
      <c r="GK8026"/>
      <c r="GL8026"/>
      <c r="GM8026"/>
      <c r="GN8026"/>
      <c r="GO8026"/>
    </row>
    <row r="8027" spans="107:197">
      <c r="DC8027"/>
      <c r="FH8027"/>
      <c r="FI8027"/>
      <c r="FJ8027"/>
      <c r="FK8027"/>
      <c r="FL8027"/>
      <c r="FM8027"/>
      <c r="FN8027"/>
      <c r="FO8027"/>
      <c r="FP8027"/>
      <c r="FQ8027"/>
      <c r="FR8027"/>
      <c r="FS8027"/>
      <c r="FT8027"/>
      <c r="FU8027"/>
      <c r="FV8027"/>
      <c r="FW8027"/>
      <c r="FX8027"/>
      <c r="FY8027"/>
      <c r="FZ8027"/>
      <c r="GA8027"/>
      <c r="GB8027"/>
      <c r="GC8027"/>
      <c r="GD8027"/>
      <c r="GE8027"/>
      <c r="GF8027"/>
      <c r="GG8027"/>
      <c r="GH8027"/>
      <c r="GI8027"/>
      <c r="GJ8027"/>
      <c r="GK8027"/>
      <c r="GL8027"/>
      <c r="GM8027"/>
      <c r="GN8027"/>
      <c r="GO8027"/>
    </row>
    <row r="8028" spans="107:197">
      <c r="DC8028"/>
      <c r="FH8028"/>
      <c r="FI8028"/>
      <c r="FJ8028"/>
      <c r="FK8028"/>
      <c r="FL8028"/>
      <c r="FM8028"/>
      <c r="FN8028"/>
      <c r="FO8028"/>
      <c r="FP8028"/>
      <c r="FQ8028"/>
      <c r="FR8028"/>
      <c r="FS8028"/>
      <c r="FT8028"/>
      <c r="FU8028"/>
      <c r="FV8028"/>
      <c r="FW8028"/>
      <c r="FX8028"/>
      <c r="FY8028"/>
      <c r="FZ8028"/>
      <c r="GA8028"/>
      <c r="GB8028"/>
      <c r="GC8028"/>
      <c r="GD8028"/>
      <c r="GE8028"/>
      <c r="GF8028"/>
      <c r="GG8028"/>
      <c r="GH8028"/>
      <c r="GI8028"/>
      <c r="GJ8028"/>
      <c r="GK8028"/>
      <c r="GL8028"/>
      <c r="GM8028"/>
      <c r="GN8028"/>
      <c r="GO8028"/>
    </row>
    <row r="8029" spans="107:197">
      <c r="DC8029"/>
      <c r="FH8029"/>
      <c r="FI8029"/>
      <c r="FJ8029"/>
      <c r="FK8029"/>
      <c r="FL8029"/>
      <c r="FM8029"/>
      <c r="FN8029"/>
      <c r="FO8029"/>
      <c r="FP8029"/>
      <c r="FQ8029"/>
      <c r="FR8029"/>
      <c r="FS8029"/>
      <c r="FT8029"/>
      <c r="FU8029"/>
      <c r="FV8029"/>
      <c r="FW8029"/>
      <c r="FX8029"/>
      <c r="FY8029"/>
      <c r="FZ8029"/>
      <c r="GA8029"/>
      <c r="GB8029"/>
      <c r="GC8029"/>
      <c r="GD8029"/>
      <c r="GE8029"/>
      <c r="GF8029"/>
      <c r="GG8029"/>
      <c r="GH8029"/>
      <c r="GI8029"/>
      <c r="GJ8029"/>
      <c r="GK8029"/>
      <c r="GL8029"/>
      <c r="GM8029"/>
      <c r="GN8029"/>
      <c r="GO8029"/>
    </row>
    <row r="8030" spans="107:197">
      <c r="DC8030"/>
      <c r="FH8030"/>
      <c r="FI8030"/>
      <c r="FJ8030"/>
      <c r="FK8030"/>
      <c r="FL8030"/>
      <c r="FM8030"/>
      <c r="FN8030"/>
      <c r="FO8030"/>
      <c r="FP8030"/>
      <c r="FQ8030"/>
      <c r="FR8030"/>
      <c r="FS8030"/>
      <c r="FT8030"/>
      <c r="FU8030"/>
      <c r="FV8030"/>
      <c r="FW8030"/>
      <c r="FX8030"/>
      <c r="FY8030"/>
      <c r="FZ8030"/>
      <c r="GA8030"/>
      <c r="GB8030"/>
      <c r="GC8030"/>
      <c r="GD8030"/>
      <c r="GE8030"/>
      <c r="GF8030"/>
      <c r="GG8030"/>
      <c r="GH8030"/>
      <c r="GI8030"/>
      <c r="GJ8030"/>
      <c r="GK8030"/>
      <c r="GL8030"/>
      <c r="GM8030"/>
      <c r="GN8030"/>
      <c r="GO8030"/>
    </row>
    <row r="8031" spans="107:197">
      <c r="DC8031"/>
      <c r="FH8031"/>
      <c r="FI8031"/>
      <c r="FJ8031"/>
      <c r="FK8031"/>
      <c r="FL8031"/>
      <c r="FM8031"/>
      <c r="FN8031"/>
      <c r="FO8031"/>
      <c r="FP8031"/>
      <c r="FQ8031"/>
      <c r="FR8031"/>
      <c r="FS8031"/>
      <c r="FT8031"/>
      <c r="FU8031"/>
      <c r="FV8031"/>
      <c r="FW8031"/>
      <c r="FX8031"/>
      <c r="FY8031"/>
      <c r="FZ8031"/>
      <c r="GA8031"/>
      <c r="GB8031"/>
      <c r="GC8031"/>
      <c r="GD8031"/>
      <c r="GE8031"/>
      <c r="GF8031"/>
      <c r="GG8031"/>
      <c r="GH8031"/>
      <c r="GI8031"/>
      <c r="GJ8031"/>
      <c r="GK8031"/>
      <c r="GL8031"/>
      <c r="GM8031"/>
      <c r="GN8031"/>
      <c r="GO8031"/>
    </row>
    <row r="8032" spans="107:197">
      <c r="DC8032"/>
      <c r="FH8032"/>
      <c r="FI8032"/>
      <c r="FJ8032"/>
      <c r="FK8032"/>
      <c r="FL8032"/>
      <c r="FM8032"/>
      <c r="FN8032"/>
      <c r="FO8032"/>
      <c r="FP8032"/>
      <c r="FQ8032"/>
      <c r="FR8032"/>
      <c r="FS8032"/>
      <c r="FT8032"/>
      <c r="FU8032"/>
      <c r="FV8032"/>
      <c r="FW8032"/>
      <c r="FX8032"/>
      <c r="FY8032"/>
      <c r="FZ8032"/>
      <c r="GA8032"/>
      <c r="GB8032"/>
      <c r="GC8032"/>
      <c r="GD8032"/>
      <c r="GE8032"/>
      <c r="GF8032"/>
      <c r="GG8032"/>
      <c r="GH8032"/>
      <c r="GI8032"/>
      <c r="GJ8032"/>
      <c r="GK8032"/>
      <c r="GL8032"/>
      <c r="GM8032"/>
      <c r="GN8032"/>
      <c r="GO8032"/>
    </row>
    <row r="8033" spans="107:197">
      <c r="DC8033"/>
      <c r="FH8033"/>
      <c r="FI8033"/>
      <c r="FJ8033"/>
      <c r="FK8033"/>
      <c r="FL8033"/>
      <c r="FM8033"/>
      <c r="FN8033"/>
      <c r="FO8033"/>
      <c r="FP8033"/>
      <c r="FQ8033"/>
      <c r="FR8033"/>
      <c r="FS8033"/>
      <c r="FT8033"/>
      <c r="FU8033"/>
      <c r="FV8033"/>
      <c r="FW8033"/>
      <c r="FX8033"/>
      <c r="FY8033"/>
      <c r="FZ8033"/>
      <c r="GA8033"/>
      <c r="GB8033"/>
      <c r="GC8033"/>
      <c r="GD8033"/>
      <c r="GE8033"/>
      <c r="GF8033"/>
      <c r="GG8033"/>
      <c r="GH8033"/>
      <c r="GI8033"/>
      <c r="GJ8033"/>
      <c r="GK8033"/>
      <c r="GL8033"/>
      <c r="GM8033"/>
      <c r="GN8033"/>
      <c r="GO8033"/>
    </row>
    <row r="8034" spans="107:197">
      <c r="DC8034"/>
      <c r="FH8034"/>
      <c r="FI8034"/>
      <c r="FJ8034"/>
      <c r="FK8034"/>
      <c r="FL8034"/>
      <c r="FM8034"/>
      <c r="FN8034"/>
      <c r="FO8034"/>
      <c r="FP8034"/>
      <c r="FQ8034"/>
      <c r="FR8034"/>
      <c r="FS8034"/>
      <c r="FT8034"/>
      <c r="FU8034"/>
      <c r="FV8034"/>
      <c r="FW8034"/>
      <c r="FX8034"/>
      <c r="FY8034"/>
      <c r="FZ8034"/>
      <c r="GA8034"/>
      <c r="GB8034"/>
      <c r="GC8034"/>
      <c r="GD8034"/>
      <c r="GE8034"/>
      <c r="GF8034"/>
      <c r="GG8034"/>
      <c r="GH8034"/>
      <c r="GI8034"/>
      <c r="GJ8034"/>
      <c r="GK8034"/>
      <c r="GL8034"/>
      <c r="GM8034"/>
      <c r="GN8034"/>
      <c r="GO8034"/>
    </row>
    <row r="8035" spans="107:197">
      <c r="DC8035"/>
      <c r="FH8035"/>
      <c r="FI8035"/>
      <c r="FJ8035"/>
      <c r="FK8035"/>
      <c r="FL8035"/>
      <c r="FM8035"/>
      <c r="FN8035"/>
      <c r="FO8035"/>
      <c r="FP8035"/>
      <c r="FQ8035"/>
      <c r="FR8035"/>
      <c r="FS8035"/>
      <c r="FT8035"/>
      <c r="FU8035"/>
      <c r="FV8035"/>
      <c r="FW8035"/>
      <c r="FX8035"/>
      <c r="FY8035"/>
      <c r="FZ8035"/>
      <c r="GA8035"/>
      <c r="GB8035"/>
      <c r="GC8035"/>
      <c r="GD8035"/>
      <c r="GE8035"/>
      <c r="GF8035"/>
      <c r="GG8035"/>
      <c r="GH8035"/>
      <c r="GI8035"/>
      <c r="GJ8035"/>
      <c r="GK8035"/>
      <c r="GL8035"/>
      <c r="GM8035"/>
      <c r="GN8035"/>
      <c r="GO8035"/>
    </row>
    <row r="8036" spans="107:197">
      <c r="DC8036"/>
      <c r="FH8036"/>
      <c r="FI8036"/>
      <c r="FJ8036"/>
      <c r="FK8036"/>
      <c r="FL8036"/>
      <c r="FM8036"/>
      <c r="FN8036"/>
      <c r="FO8036"/>
      <c r="FP8036"/>
      <c r="FQ8036"/>
      <c r="FR8036"/>
      <c r="FS8036"/>
      <c r="FT8036"/>
      <c r="FU8036"/>
      <c r="FV8036"/>
      <c r="FW8036"/>
      <c r="FX8036"/>
      <c r="FY8036"/>
      <c r="FZ8036"/>
      <c r="GA8036"/>
      <c r="GB8036"/>
      <c r="GC8036"/>
      <c r="GD8036"/>
      <c r="GE8036"/>
      <c r="GF8036"/>
      <c r="GG8036"/>
      <c r="GH8036"/>
      <c r="GI8036"/>
      <c r="GJ8036"/>
      <c r="GK8036"/>
      <c r="GL8036"/>
      <c r="GM8036"/>
      <c r="GN8036"/>
      <c r="GO8036"/>
    </row>
    <row r="8037" spans="107:197">
      <c r="DC8037"/>
      <c r="FH8037"/>
      <c r="FI8037"/>
      <c r="FJ8037"/>
      <c r="FK8037"/>
      <c r="FL8037"/>
      <c r="FM8037"/>
      <c r="FN8037"/>
      <c r="FO8037"/>
      <c r="FP8037"/>
      <c r="FQ8037"/>
      <c r="FR8037"/>
      <c r="FS8037"/>
      <c r="FT8037"/>
      <c r="FU8037"/>
      <c r="FV8037"/>
      <c r="FW8037"/>
      <c r="FX8037"/>
      <c r="FY8037"/>
      <c r="FZ8037"/>
      <c r="GA8037"/>
      <c r="GB8037"/>
      <c r="GC8037"/>
      <c r="GD8037"/>
      <c r="GE8037"/>
      <c r="GF8037"/>
      <c r="GG8037"/>
      <c r="GH8037"/>
      <c r="GI8037"/>
      <c r="GJ8037"/>
      <c r="GK8037"/>
      <c r="GL8037"/>
      <c r="GM8037"/>
      <c r="GN8037"/>
      <c r="GO8037"/>
    </row>
    <row r="8038" spans="107:197">
      <c r="DC8038"/>
      <c r="FH8038"/>
      <c r="FI8038"/>
      <c r="FJ8038"/>
      <c r="FK8038"/>
      <c r="FL8038"/>
      <c r="FM8038"/>
      <c r="FN8038"/>
      <c r="FO8038"/>
      <c r="FP8038"/>
      <c r="FQ8038"/>
      <c r="FR8038"/>
      <c r="FS8038"/>
      <c r="FT8038"/>
      <c r="FU8038"/>
      <c r="FV8038"/>
      <c r="FW8038"/>
      <c r="FX8038"/>
      <c r="FY8038"/>
      <c r="FZ8038"/>
      <c r="GA8038"/>
      <c r="GB8038"/>
      <c r="GC8038"/>
      <c r="GD8038"/>
      <c r="GE8038"/>
      <c r="GF8038"/>
      <c r="GG8038"/>
      <c r="GH8038"/>
      <c r="GI8038"/>
      <c r="GJ8038"/>
      <c r="GK8038"/>
      <c r="GL8038"/>
      <c r="GM8038"/>
      <c r="GN8038"/>
      <c r="GO8038"/>
    </row>
    <row r="8039" spans="107:197">
      <c r="DC8039"/>
      <c r="FH8039"/>
      <c r="FI8039"/>
      <c r="FJ8039"/>
      <c r="FK8039"/>
      <c r="FL8039"/>
      <c r="FM8039"/>
      <c r="FN8039"/>
      <c r="FO8039"/>
      <c r="FP8039"/>
      <c r="FQ8039"/>
      <c r="FR8039"/>
      <c r="FS8039"/>
      <c r="FT8039"/>
      <c r="FU8039"/>
      <c r="FV8039"/>
      <c r="FW8039"/>
      <c r="FX8039"/>
      <c r="FY8039"/>
      <c r="FZ8039"/>
      <c r="GA8039"/>
      <c r="GB8039"/>
      <c r="GC8039"/>
      <c r="GD8039"/>
      <c r="GE8039"/>
      <c r="GF8039"/>
      <c r="GG8039"/>
      <c r="GH8039"/>
      <c r="GI8039"/>
      <c r="GJ8039"/>
      <c r="GK8039"/>
      <c r="GL8039"/>
      <c r="GM8039"/>
      <c r="GN8039"/>
      <c r="GO8039"/>
    </row>
    <row r="8040" spans="107:197">
      <c r="DC8040"/>
      <c r="FH8040"/>
      <c r="FI8040"/>
      <c r="FJ8040"/>
      <c r="FK8040"/>
      <c r="FL8040"/>
      <c r="FM8040"/>
      <c r="FN8040"/>
      <c r="FO8040"/>
      <c r="FP8040"/>
      <c r="FQ8040"/>
      <c r="FR8040"/>
      <c r="FS8040"/>
      <c r="FT8040"/>
      <c r="FU8040"/>
      <c r="FV8040"/>
      <c r="FW8040"/>
      <c r="FX8040"/>
      <c r="FY8040"/>
      <c r="FZ8040"/>
      <c r="GA8040"/>
      <c r="GB8040"/>
      <c r="GC8040"/>
      <c r="GD8040"/>
      <c r="GE8040"/>
      <c r="GF8040"/>
      <c r="GG8040"/>
      <c r="GH8040"/>
      <c r="GI8040"/>
      <c r="GJ8040"/>
      <c r="GK8040"/>
      <c r="GL8040"/>
      <c r="GM8040"/>
      <c r="GN8040"/>
      <c r="GO8040"/>
    </row>
    <row r="8041" spans="107:197">
      <c r="DC8041"/>
      <c r="FH8041"/>
      <c r="FI8041"/>
      <c r="FJ8041"/>
      <c r="FK8041"/>
      <c r="FL8041"/>
      <c r="FM8041"/>
      <c r="FN8041"/>
      <c r="FO8041"/>
      <c r="FP8041"/>
      <c r="FQ8041"/>
      <c r="FR8041"/>
      <c r="FS8041"/>
      <c r="FT8041"/>
      <c r="FU8041"/>
      <c r="FV8041"/>
      <c r="FW8041"/>
      <c r="FX8041"/>
      <c r="FY8041"/>
      <c r="FZ8041"/>
      <c r="GA8041"/>
      <c r="GB8041"/>
      <c r="GC8041"/>
      <c r="GD8041"/>
      <c r="GE8041"/>
      <c r="GF8041"/>
      <c r="GG8041"/>
      <c r="GH8041"/>
      <c r="GI8041"/>
      <c r="GJ8041"/>
      <c r="GK8041"/>
      <c r="GL8041"/>
      <c r="GM8041"/>
      <c r="GN8041"/>
      <c r="GO8041"/>
    </row>
    <row r="8042" spans="107:197">
      <c r="DC8042"/>
      <c r="FH8042"/>
      <c r="FI8042"/>
      <c r="FJ8042"/>
      <c r="FK8042"/>
      <c r="FL8042"/>
      <c r="FM8042"/>
      <c r="FN8042"/>
      <c r="FO8042"/>
      <c r="FP8042"/>
      <c r="FQ8042"/>
      <c r="FR8042"/>
      <c r="FS8042"/>
      <c r="FT8042"/>
      <c r="FU8042"/>
      <c r="FV8042"/>
      <c r="FW8042"/>
      <c r="FX8042"/>
      <c r="FY8042"/>
      <c r="FZ8042"/>
      <c r="GA8042"/>
      <c r="GB8042"/>
      <c r="GC8042"/>
      <c r="GD8042"/>
      <c r="GE8042"/>
      <c r="GF8042"/>
      <c r="GG8042"/>
      <c r="GH8042"/>
      <c r="GI8042"/>
      <c r="GJ8042"/>
      <c r="GK8042"/>
      <c r="GL8042"/>
      <c r="GM8042"/>
      <c r="GN8042"/>
      <c r="GO8042"/>
    </row>
    <row r="8043" spans="107:197">
      <c r="DC8043"/>
      <c r="FH8043"/>
      <c r="FI8043"/>
      <c r="FJ8043"/>
      <c r="FK8043"/>
      <c r="FL8043"/>
      <c r="FM8043"/>
      <c r="FN8043"/>
      <c r="FO8043"/>
      <c r="FP8043"/>
      <c r="FQ8043"/>
      <c r="FR8043"/>
      <c r="FS8043"/>
      <c r="FT8043"/>
      <c r="FU8043"/>
      <c r="FV8043"/>
      <c r="FW8043"/>
      <c r="FX8043"/>
      <c r="FY8043"/>
      <c r="FZ8043"/>
      <c r="GA8043"/>
      <c r="GB8043"/>
      <c r="GC8043"/>
      <c r="GD8043"/>
      <c r="GE8043"/>
      <c r="GF8043"/>
      <c r="GG8043"/>
      <c r="GH8043"/>
      <c r="GI8043"/>
      <c r="GJ8043"/>
      <c r="GK8043"/>
      <c r="GL8043"/>
      <c r="GM8043"/>
      <c r="GN8043"/>
      <c r="GO8043"/>
    </row>
    <row r="8044" spans="107:197">
      <c r="DC8044"/>
      <c r="FH8044"/>
      <c r="FI8044"/>
      <c r="FJ8044"/>
      <c r="FK8044"/>
      <c r="FL8044"/>
      <c r="FM8044"/>
      <c r="FN8044"/>
      <c r="FO8044"/>
      <c r="FP8044"/>
      <c r="FQ8044"/>
      <c r="FR8044"/>
      <c r="FS8044"/>
      <c r="FT8044"/>
      <c r="FU8044"/>
      <c r="FV8044"/>
      <c r="FW8044"/>
      <c r="FX8044"/>
      <c r="FY8044"/>
      <c r="FZ8044"/>
      <c r="GA8044"/>
      <c r="GB8044"/>
      <c r="GC8044"/>
      <c r="GD8044"/>
      <c r="GE8044"/>
      <c r="GF8044"/>
      <c r="GG8044"/>
      <c r="GH8044"/>
      <c r="GI8044"/>
      <c r="GJ8044"/>
      <c r="GK8044"/>
      <c r="GL8044"/>
      <c r="GM8044"/>
      <c r="GN8044"/>
      <c r="GO8044"/>
    </row>
    <row r="8045" spans="107:197">
      <c r="DC8045"/>
      <c r="FH8045"/>
      <c r="FI8045"/>
      <c r="FJ8045"/>
      <c r="FK8045"/>
      <c r="FL8045"/>
      <c r="FM8045"/>
      <c r="FN8045"/>
      <c r="FO8045"/>
      <c r="FP8045"/>
      <c r="FQ8045"/>
      <c r="FR8045"/>
      <c r="FS8045"/>
      <c r="FT8045"/>
      <c r="FU8045"/>
      <c r="FV8045"/>
      <c r="FW8045"/>
      <c r="FX8045"/>
      <c r="FY8045"/>
      <c r="FZ8045"/>
      <c r="GA8045"/>
      <c r="GB8045"/>
      <c r="GC8045"/>
      <c r="GD8045"/>
      <c r="GE8045"/>
      <c r="GF8045"/>
      <c r="GG8045"/>
      <c r="GH8045"/>
      <c r="GI8045"/>
      <c r="GJ8045"/>
      <c r="GK8045"/>
      <c r="GL8045"/>
      <c r="GM8045"/>
      <c r="GN8045"/>
      <c r="GO8045"/>
    </row>
    <row r="8046" spans="107:197">
      <c r="DC8046"/>
      <c r="FH8046"/>
      <c r="FI8046"/>
      <c r="FJ8046"/>
      <c r="FK8046"/>
      <c r="FL8046"/>
      <c r="FM8046"/>
      <c r="FN8046"/>
      <c r="FO8046"/>
      <c r="FP8046"/>
      <c r="FQ8046"/>
      <c r="FR8046"/>
      <c r="FS8046"/>
      <c r="FT8046"/>
      <c r="FU8046"/>
      <c r="FV8046"/>
      <c r="FW8046"/>
      <c r="FX8046"/>
      <c r="FY8046"/>
      <c r="FZ8046"/>
      <c r="GA8046"/>
      <c r="GB8046"/>
      <c r="GC8046"/>
      <c r="GD8046"/>
      <c r="GE8046"/>
      <c r="GF8046"/>
      <c r="GG8046"/>
      <c r="GH8046"/>
      <c r="GI8046"/>
      <c r="GJ8046"/>
      <c r="GK8046"/>
      <c r="GL8046"/>
      <c r="GM8046"/>
      <c r="GN8046"/>
      <c r="GO8046"/>
    </row>
    <row r="8047" spans="107:197">
      <c r="DC8047"/>
      <c r="FH8047"/>
      <c r="FI8047"/>
      <c r="FJ8047"/>
      <c r="FK8047"/>
      <c r="FL8047"/>
      <c r="FM8047"/>
      <c r="FN8047"/>
      <c r="FO8047"/>
      <c r="FP8047"/>
      <c r="FQ8047"/>
      <c r="FR8047"/>
      <c r="FS8047"/>
      <c r="FT8047"/>
      <c r="FU8047"/>
      <c r="FV8047"/>
      <c r="FW8047"/>
      <c r="FX8047"/>
      <c r="FY8047"/>
      <c r="FZ8047"/>
      <c r="GA8047"/>
      <c r="GB8047"/>
      <c r="GC8047"/>
      <c r="GD8047"/>
      <c r="GE8047"/>
      <c r="GF8047"/>
      <c r="GG8047"/>
      <c r="GH8047"/>
      <c r="GI8047"/>
      <c r="GJ8047"/>
      <c r="GK8047"/>
      <c r="GL8047"/>
      <c r="GM8047"/>
      <c r="GN8047"/>
      <c r="GO8047"/>
    </row>
    <row r="8048" spans="107:197">
      <c r="DC8048"/>
      <c r="FH8048"/>
      <c r="FI8048"/>
      <c r="FJ8048"/>
      <c r="FK8048"/>
      <c r="FL8048"/>
      <c r="FM8048"/>
      <c r="FN8048"/>
      <c r="FO8048"/>
      <c r="FP8048"/>
      <c r="FQ8048"/>
      <c r="FR8048"/>
      <c r="FS8048"/>
      <c r="FT8048"/>
      <c r="FU8048"/>
      <c r="FV8048"/>
      <c r="FW8048"/>
      <c r="FX8048"/>
      <c r="FY8048"/>
      <c r="FZ8048"/>
      <c r="GA8048"/>
      <c r="GB8048"/>
      <c r="GC8048"/>
      <c r="GD8048"/>
      <c r="GE8048"/>
      <c r="GF8048"/>
      <c r="GG8048"/>
      <c r="GH8048"/>
      <c r="GI8048"/>
      <c r="GJ8048"/>
      <c r="GK8048"/>
      <c r="GL8048"/>
      <c r="GM8048"/>
      <c r="GN8048"/>
      <c r="GO8048"/>
    </row>
    <row r="8049" spans="107:197">
      <c r="DC8049"/>
      <c r="FH8049"/>
      <c r="FI8049"/>
      <c r="FJ8049"/>
      <c r="FK8049"/>
      <c r="FL8049"/>
      <c r="FM8049"/>
      <c r="FN8049"/>
      <c r="FO8049"/>
      <c r="FP8049"/>
      <c r="FQ8049"/>
      <c r="FR8049"/>
      <c r="FS8049"/>
      <c r="FT8049"/>
      <c r="FU8049"/>
      <c r="FV8049"/>
      <c r="FW8049"/>
      <c r="FX8049"/>
      <c r="FY8049"/>
      <c r="FZ8049"/>
      <c r="GA8049"/>
      <c r="GB8049"/>
      <c r="GC8049"/>
      <c r="GD8049"/>
      <c r="GE8049"/>
      <c r="GF8049"/>
      <c r="GG8049"/>
      <c r="GH8049"/>
      <c r="GI8049"/>
      <c r="GJ8049"/>
      <c r="GK8049"/>
      <c r="GL8049"/>
      <c r="GM8049"/>
      <c r="GN8049"/>
      <c r="GO8049"/>
    </row>
    <row r="8050" spans="107:197">
      <c r="DC8050"/>
      <c r="FH8050"/>
      <c r="FI8050"/>
      <c r="FJ8050"/>
      <c r="FK8050"/>
      <c r="FL8050"/>
      <c r="FM8050"/>
      <c r="FN8050"/>
      <c r="FO8050"/>
      <c r="FP8050"/>
      <c r="FQ8050"/>
      <c r="FR8050"/>
      <c r="FS8050"/>
      <c r="FT8050"/>
      <c r="FU8050"/>
      <c r="FV8050"/>
      <c r="FW8050"/>
      <c r="FX8050"/>
      <c r="FY8050"/>
      <c r="FZ8050"/>
      <c r="GA8050"/>
      <c r="GB8050"/>
      <c r="GC8050"/>
      <c r="GD8050"/>
      <c r="GE8050"/>
      <c r="GF8050"/>
      <c r="GG8050"/>
      <c r="GH8050"/>
      <c r="GI8050"/>
      <c r="GJ8050"/>
      <c r="GK8050"/>
      <c r="GL8050"/>
      <c r="GM8050"/>
      <c r="GN8050"/>
      <c r="GO8050"/>
    </row>
    <row r="8051" spans="107:197">
      <c r="DC8051"/>
      <c r="FH8051"/>
      <c r="FI8051"/>
      <c r="FJ8051"/>
      <c r="FK8051"/>
      <c r="FL8051"/>
      <c r="FM8051"/>
      <c r="FN8051"/>
      <c r="FO8051"/>
      <c r="FP8051"/>
      <c r="FQ8051"/>
      <c r="FR8051"/>
      <c r="FS8051"/>
      <c r="FT8051"/>
      <c r="FU8051"/>
      <c r="FV8051"/>
      <c r="FW8051"/>
      <c r="FX8051"/>
      <c r="FY8051"/>
      <c r="FZ8051"/>
      <c r="GA8051"/>
      <c r="GB8051"/>
      <c r="GC8051"/>
      <c r="GD8051"/>
      <c r="GE8051"/>
      <c r="GF8051"/>
      <c r="GG8051"/>
      <c r="GH8051"/>
      <c r="GI8051"/>
      <c r="GJ8051"/>
      <c r="GK8051"/>
      <c r="GL8051"/>
      <c r="GM8051"/>
      <c r="GN8051"/>
      <c r="GO8051"/>
    </row>
    <row r="8052" spans="107:197">
      <c r="DC8052"/>
      <c r="FH8052"/>
      <c r="FI8052"/>
      <c r="FJ8052"/>
      <c r="FK8052"/>
      <c r="FL8052"/>
      <c r="FM8052"/>
      <c r="FN8052"/>
      <c r="FO8052"/>
      <c r="FP8052"/>
      <c r="FQ8052"/>
      <c r="FR8052"/>
      <c r="FS8052"/>
      <c r="FT8052"/>
      <c r="FU8052"/>
      <c r="FV8052"/>
      <c r="FW8052"/>
      <c r="FX8052"/>
      <c r="FY8052"/>
      <c r="FZ8052"/>
      <c r="GA8052"/>
      <c r="GB8052"/>
      <c r="GC8052"/>
      <c r="GD8052"/>
      <c r="GE8052"/>
      <c r="GF8052"/>
      <c r="GG8052"/>
      <c r="GH8052"/>
      <c r="GI8052"/>
      <c r="GJ8052"/>
      <c r="GK8052"/>
      <c r="GL8052"/>
      <c r="GM8052"/>
      <c r="GN8052"/>
      <c r="GO8052"/>
    </row>
    <row r="8053" spans="107:197">
      <c r="DC8053"/>
      <c r="FH8053"/>
      <c r="FI8053"/>
      <c r="FJ8053"/>
      <c r="FK8053"/>
      <c r="FL8053"/>
      <c r="FM8053"/>
      <c r="FN8053"/>
      <c r="FO8053"/>
      <c r="FP8053"/>
      <c r="FQ8053"/>
      <c r="FR8053"/>
      <c r="FS8053"/>
      <c r="FT8053"/>
      <c r="FU8053"/>
      <c r="FV8053"/>
      <c r="FW8053"/>
      <c r="FX8053"/>
      <c r="FY8053"/>
      <c r="FZ8053"/>
      <c r="GA8053"/>
      <c r="GB8053"/>
      <c r="GC8053"/>
      <c r="GD8053"/>
      <c r="GE8053"/>
      <c r="GF8053"/>
      <c r="GG8053"/>
      <c r="GH8053"/>
      <c r="GI8053"/>
      <c r="GJ8053"/>
      <c r="GK8053"/>
      <c r="GL8053"/>
      <c r="GM8053"/>
      <c r="GN8053"/>
      <c r="GO8053"/>
    </row>
    <row r="8054" spans="107:197">
      <c r="DC8054"/>
      <c r="FH8054"/>
      <c r="FI8054"/>
      <c r="FJ8054"/>
      <c r="FK8054"/>
      <c r="FL8054"/>
      <c r="FM8054"/>
      <c r="FN8054"/>
      <c r="FO8054"/>
      <c r="FP8054"/>
      <c r="FQ8054"/>
      <c r="FR8054"/>
      <c r="FS8054"/>
      <c r="FT8054"/>
      <c r="FU8054"/>
      <c r="FV8054"/>
      <c r="FW8054"/>
      <c r="FX8054"/>
      <c r="FY8054"/>
      <c r="FZ8054"/>
      <c r="GA8054"/>
      <c r="GB8054"/>
      <c r="GC8054"/>
      <c r="GD8054"/>
      <c r="GE8054"/>
      <c r="GF8054"/>
      <c r="GG8054"/>
      <c r="GH8054"/>
      <c r="GI8054"/>
      <c r="GJ8054"/>
      <c r="GK8054"/>
      <c r="GL8054"/>
      <c r="GM8054"/>
      <c r="GN8054"/>
      <c r="GO8054"/>
    </row>
    <row r="8055" spans="107:197">
      <c r="DC8055"/>
      <c r="FH8055"/>
      <c r="FI8055"/>
      <c r="FJ8055"/>
      <c r="FK8055"/>
      <c r="FL8055"/>
      <c r="FM8055"/>
      <c r="FN8055"/>
      <c r="FO8055"/>
      <c r="FP8055"/>
      <c r="FQ8055"/>
      <c r="FR8055"/>
      <c r="FS8055"/>
      <c r="FT8055"/>
      <c r="FU8055"/>
      <c r="FV8055"/>
      <c r="FW8055"/>
      <c r="FX8055"/>
      <c r="FY8055"/>
      <c r="FZ8055"/>
      <c r="GA8055"/>
      <c r="GB8055"/>
      <c r="GC8055"/>
      <c r="GD8055"/>
      <c r="GE8055"/>
      <c r="GF8055"/>
      <c r="GG8055"/>
      <c r="GH8055"/>
      <c r="GI8055"/>
      <c r="GJ8055"/>
      <c r="GK8055"/>
      <c r="GL8055"/>
      <c r="GM8055"/>
      <c r="GN8055"/>
      <c r="GO8055"/>
    </row>
    <row r="8056" spans="107:197">
      <c r="DC8056"/>
      <c r="FH8056"/>
      <c r="FI8056"/>
      <c r="FJ8056"/>
      <c r="FK8056"/>
      <c r="FL8056"/>
      <c r="FM8056"/>
      <c r="FN8056"/>
      <c r="FO8056"/>
      <c r="FP8056"/>
      <c r="FQ8056"/>
      <c r="FR8056"/>
      <c r="FS8056"/>
      <c r="FT8056"/>
      <c r="FU8056"/>
      <c r="FV8056"/>
      <c r="FW8056"/>
      <c r="FX8056"/>
      <c r="FY8056"/>
      <c r="FZ8056"/>
      <c r="GA8056"/>
      <c r="GB8056"/>
      <c r="GC8056"/>
      <c r="GD8056"/>
      <c r="GE8056"/>
      <c r="GF8056"/>
      <c r="GG8056"/>
      <c r="GH8056"/>
      <c r="GI8056"/>
      <c r="GJ8056"/>
      <c r="GK8056"/>
      <c r="GL8056"/>
      <c r="GM8056"/>
      <c r="GN8056"/>
      <c r="GO8056"/>
    </row>
    <row r="8057" spans="107:197">
      <c r="DC8057"/>
      <c r="FH8057"/>
      <c r="FI8057"/>
      <c r="FJ8057"/>
      <c r="FK8057"/>
      <c r="FL8057"/>
      <c r="FM8057"/>
      <c r="FN8057"/>
      <c r="FO8057"/>
      <c r="FP8057"/>
      <c r="FQ8057"/>
      <c r="FR8057"/>
      <c r="FS8057"/>
      <c r="FT8057"/>
      <c r="FU8057"/>
      <c r="FV8057"/>
      <c r="FW8057"/>
      <c r="FX8057"/>
      <c r="FY8057"/>
      <c r="FZ8057"/>
      <c r="GA8057"/>
      <c r="GB8057"/>
      <c r="GC8057"/>
      <c r="GD8057"/>
      <c r="GE8057"/>
      <c r="GF8057"/>
      <c r="GG8057"/>
      <c r="GH8057"/>
      <c r="GI8057"/>
      <c r="GJ8057"/>
      <c r="GK8057"/>
      <c r="GL8057"/>
      <c r="GM8057"/>
      <c r="GN8057"/>
      <c r="GO8057"/>
    </row>
    <row r="8058" spans="107:197">
      <c r="DC8058"/>
      <c r="FH8058"/>
      <c r="FI8058"/>
      <c r="FJ8058"/>
      <c r="FK8058"/>
      <c r="FL8058"/>
      <c r="FM8058"/>
      <c r="FN8058"/>
      <c r="FO8058"/>
      <c r="FP8058"/>
      <c r="FQ8058"/>
      <c r="FR8058"/>
      <c r="FS8058"/>
      <c r="FT8058"/>
      <c r="FU8058"/>
      <c r="FV8058"/>
      <c r="FW8058"/>
      <c r="FX8058"/>
      <c r="FY8058"/>
      <c r="FZ8058"/>
      <c r="GA8058"/>
      <c r="GB8058"/>
      <c r="GC8058"/>
      <c r="GD8058"/>
      <c r="GE8058"/>
      <c r="GF8058"/>
      <c r="GG8058"/>
      <c r="GH8058"/>
      <c r="GI8058"/>
      <c r="GJ8058"/>
      <c r="GK8058"/>
      <c r="GL8058"/>
      <c r="GM8058"/>
      <c r="GN8058"/>
      <c r="GO8058"/>
    </row>
    <row r="8059" spans="107:197">
      <c r="DC8059"/>
      <c r="FH8059"/>
      <c r="FI8059"/>
      <c r="FJ8059"/>
      <c r="FK8059"/>
      <c r="FL8059"/>
      <c r="FM8059"/>
      <c r="FN8059"/>
      <c r="FO8059"/>
      <c r="FP8059"/>
      <c r="FQ8059"/>
      <c r="FR8059"/>
      <c r="FS8059"/>
      <c r="FT8059"/>
      <c r="FU8059"/>
      <c r="FV8059"/>
      <c r="FW8059"/>
      <c r="FX8059"/>
      <c r="FY8059"/>
      <c r="FZ8059"/>
      <c r="GA8059"/>
      <c r="GB8059"/>
      <c r="GC8059"/>
      <c r="GD8059"/>
      <c r="GE8059"/>
      <c r="GF8059"/>
      <c r="GG8059"/>
      <c r="GH8059"/>
      <c r="GI8059"/>
      <c r="GJ8059"/>
      <c r="GK8059"/>
      <c r="GL8059"/>
      <c r="GM8059"/>
      <c r="GN8059"/>
      <c r="GO8059"/>
    </row>
    <row r="8060" spans="107:197">
      <c r="DC8060"/>
      <c r="FH8060"/>
      <c r="FI8060"/>
      <c r="FJ8060"/>
      <c r="FK8060"/>
      <c r="FL8060"/>
      <c r="FM8060"/>
      <c r="FN8060"/>
      <c r="FO8060"/>
      <c r="FP8060"/>
      <c r="FQ8060"/>
      <c r="FR8060"/>
      <c r="FS8060"/>
      <c r="FT8060"/>
      <c r="FU8060"/>
      <c r="FV8060"/>
      <c r="FW8060"/>
      <c r="FX8060"/>
      <c r="FY8060"/>
      <c r="FZ8060"/>
      <c r="GA8060"/>
      <c r="GB8060"/>
      <c r="GC8060"/>
      <c r="GD8060"/>
      <c r="GE8060"/>
      <c r="GF8060"/>
      <c r="GG8060"/>
      <c r="GH8060"/>
      <c r="GI8060"/>
      <c r="GJ8060"/>
      <c r="GK8060"/>
      <c r="GL8060"/>
      <c r="GM8060"/>
      <c r="GN8060"/>
      <c r="GO8060"/>
    </row>
    <row r="8061" spans="107:197">
      <c r="DC8061"/>
      <c r="FH8061"/>
      <c r="FI8061"/>
      <c r="FJ8061"/>
      <c r="FK8061"/>
      <c r="FL8061"/>
      <c r="FM8061"/>
      <c r="FN8061"/>
      <c r="FO8061"/>
      <c r="FP8061"/>
      <c r="FQ8061"/>
      <c r="FR8061"/>
      <c r="FS8061"/>
      <c r="FT8061"/>
      <c r="FU8061"/>
      <c r="FV8061"/>
      <c r="FW8061"/>
      <c r="FX8061"/>
      <c r="FY8061"/>
      <c r="FZ8061"/>
      <c r="GA8061"/>
      <c r="GB8061"/>
      <c r="GC8061"/>
      <c r="GD8061"/>
      <c r="GE8061"/>
      <c r="GF8061"/>
      <c r="GG8061"/>
      <c r="GH8061"/>
      <c r="GI8061"/>
      <c r="GJ8061"/>
      <c r="GK8061"/>
      <c r="GL8061"/>
      <c r="GM8061"/>
      <c r="GN8061"/>
      <c r="GO8061"/>
    </row>
    <row r="8062" spans="107:197">
      <c r="DC8062"/>
      <c r="FH8062"/>
      <c r="FI8062"/>
      <c r="FJ8062"/>
      <c r="FK8062"/>
      <c r="FL8062"/>
      <c r="FM8062"/>
      <c r="FN8062"/>
      <c r="FO8062"/>
      <c r="FP8062"/>
      <c r="FQ8062"/>
      <c r="FR8062"/>
      <c r="FS8062"/>
      <c r="FT8062"/>
      <c r="FU8062"/>
      <c r="FV8062"/>
      <c r="FW8062"/>
      <c r="FX8062"/>
      <c r="FY8062"/>
      <c r="FZ8062"/>
      <c r="GA8062"/>
      <c r="GB8062"/>
      <c r="GC8062"/>
      <c r="GD8062"/>
      <c r="GE8062"/>
      <c r="GF8062"/>
      <c r="GG8062"/>
      <c r="GH8062"/>
      <c r="GI8062"/>
      <c r="GJ8062"/>
      <c r="GK8062"/>
      <c r="GL8062"/>
      <c r="GM8062"/>
      <c r="GN8062"/>
      <c r="GO8062"/>
    </row>
    <row r="8063" spans="107:197">
      <c r="DC8063"/>
      <c r="FH8063"/>
      <c r="FI8063"/>
      <c r="FJ8063"/>
      <c r="FK8063"/>
      <c r="FL8063"/>
      <c r="FM8063"/>
      <c r="FN8063"/>
      <c r="FO8063"/>
      <c r="FP8063"/>
      <c r="FQ8063"/>
      <c r="FR8063"/>
      <c r="FS8063"/>
      <c r="FT8063"/>
      <c r="FU8063"/>
      <c r="FV8063"/>
      <c r="FW8063"/>
      <c r="FX8063"/>
      <c r="FY8063"/>
      <c r="FZ8063"/>
      <c r="GA8063"/>
      <c r="GB8063"/>
      <c r="GC8063"/>
      <c r="GD8063"/>
      <c r="GE8063"/>
      <c r="GF8063"/>
      <c r="GG8063"/>
      <c r="GH8063"/>
      <c r="GI8063"/>
      <c r="GJ8063"/>
      <c r="GK8063"/>
      <c r="GL8063"/>
      <c r="GM8063"/>
      <c r="GN8063"/>
      <c r="GO8063"/>
    </row>
    <row r="8064" spans="107:197">
      <c r="DC8064"/>
      <c r="FH8064"/>
      <c r="FI8064"/>
      <c r="FJ8064"/>
      <c r="FK8064"/>
      <c r="FL8064"/>
      <c r="FM8064"/>
      <c r="FN8064"/>
      <c r="FO8064"/>
      <c r="FP8064"/>
      <c r="FQ8064"/>
      <c r="FR8064"/>
      <c r="FS8064"/>
      <c r="FT8064"/>
      <c r="FU8064"/>
      <c r="FV8064"/>
      <c r="FW8064"/>
      <c r="FX8064"/>
      <c r="FY8064"/>
      <c r="FZ8064"/>
      <c r="GA8064"/>
      <c r="GB8064"/>
      <c r="GC8064"/>
      <c r="GD8064"/>
      <c r="GE8064"/>
      <c r="GF8064"/>
      <c r="GG8064"/>
      <c r="GH8064"/>
      <c r="GI8064"/>
      <c r="GJ8064"/>
      <c r="GK8064"/>
      <c r="GL8064"/>
      <c r="GM8064"/>
      <c r="GN8064"/>
      <c r="GO8064"/>
    </row>
    <row r="8065" spans="107:197">
      <c r="DC8065"/>
      <c r="FH8065"/>
      <c r="FI8065"/>
      <c r="FJ8065"/>
      <c r="FK8065"/>
      <c r="FL8065"/>
      <c r="FM8065"/>
      <c r="FN8065"/>
      <c r="FO8065"/>
      <c r="FP8065"/>
      <c r="FQ8065"/>
      <c r="FR8065"/>
      <c r="FS8065"/>
      <c r="FT8065"/>
      <c r="FU8065"/>
      <c r="FV8065"/>
      <c r="FW8065"/>
      <c r="FX8065"/>
      <c r="FY8065"/>
      <c r="FZ8065"/>
      <c r="GA8065"/>
      <c r="GB8065"/>
      <c r="GC8065"/>
      <c r="GD8065"/>
      <c r="GE8065"/>
      <c r="GF8065"/>
      <c r="GG8065"/>
      <c r="GH8065"/>
      <c r="GI8065"/>
      <c r="GJ8065"/>
      <c r="GK8065"/>
      <c r="GL8065"/>
      <c r="GM8065"/>
      <c r="GN8065"/>
      <c r="GO8065"/>
    </row>
    <row r="8066" spans="107:197">
      <c r="DC8066"/>
      <c r="FH8066"/>
      <c r="FI8066"/>
      <c r="FJ8066"/>
      <c r="FK8066"/>
      <c r="FL8066"/>
      <c r="FM8066"/>
      <c r="FN8066"/>
      <c r="FO8066"/>
      <c r="FP8066"/>
      <c r="FQ8066"/>
      <c r="FR8066"/>
      <c r="FS8066"/>
      <c r="FT8066"/>
      <c r="FU8066"/>
      <c r="FV8066"/>
      <c r="FW8066"/>
      <c r="FX8066"/>
      <c r="FY8066"/>
      <c r="FZ8066"/>
      <c r="GA8066"/>
      <c r="GB8066"/>
      <c r="GC8066"/>
      <c r="GD8066"/>
      <c r="GE8066"/>
      <c r="GF8066"/>
      <c r="GG8066"/>
      <c r="GH8066"/>
      <c r="GI8066"/>
      <c r="GJ8066"/>
      <c r="GK8066"/>
      <c r="GL8066"/>
      <c r="GM8066"/>
      <c r="GN8066"/>
      <c r="GO8066"/>
    </row>
    <row r="8067" spans="107:197">
      <c r="DC8067"/>
      <c r="FH8067"/>
      <c r="FI8067"/>
      <c r="FJ8067"/>
      <c r="FK8067"/>
      <c r="FL8067"/>
      <c r="FM8067"/>
      <c r="FN8067"/>
      <c r="FO8067"/>
      <c r="FP8067"/>
      <c r="FQ8067"/>
      <c r="FR8067"/>
      <c r="FS8067"/>
      <c r="FT8067"/>
      <c r="FU8067"/>
      <c r="FV8067"/>
      <c r="FW8067"/>
      <c r="FX8067"/>
      <c r="FY8067"/>
      <c r="FZ8067"/>
      <c r="GA8067"/>
      <c r="GB8067"/>
      <c r="GC8067"/>
      <c r="GD8067"/>
      <c r="GE8067"/>
      <c r="GF8067"/>
      <c r="GG8067"/>
      <c r="GH8067"/>
      <c r="GI8067"/>
      <c r="GJ8067"/>
      <c r="GK8067"/>
      <c r="GL8067"/>
      <c r="GM8067"/>
      <c r="GN8067"/>
      <c r="GO8067"/>
    </row>
    <row r="8068" spans="107:197">
      <c r="DC8068"/>
      <c r="FH8068"/>
      <c r="FI8068"/>
      <c r="FJ8068"/>
      <c r="FK8068"/>
      <c r="FL8068"/>
      <c r="FM8068"/>
      <c r="FN8068"/>
      <c r="FO8068"/>
      <c r="FP8068"/>
      <c r="FQ8068"/>
      <c r="FR8068"/>
      <c r="FS8068"/>
      <c r="FT8068"/>
      <c r="FU8068"/>
      <c r="FV8068"/>
      <c r="FW8068"/>
      <c r="FX8068"/>
      <c r="FY8068"/>
      <c r="FZ8068"/>
      <c r="GA8068"/>
      <c r="GB8068"/>
      <c r="GC8068"/>
      <c r="GD8068"/>
      <c r="GE8068"/>
      <c r="GF8068"/>
      <c r="GG8068"/>
      <c r="GH8068"/>
      <c r="GI8068"/>
      <c r="GJ8068"/>
      <c r="GK8068"/>
      <c r="GL8068"/>
      <c r="GM8068"/>
      <c r="GN8068"/>
      <c r="GO8068"/>
    </row>
    <row r="8069" spans="107:197">
      <c r="DC8069"/>
      <c r="FH8069"/>
      <c r="FI8069"/>
      <c r="FJ8069"/>
      <c r="FK8069"/>
      <c r="FL8069"/>
      <c r="FM8069"/>
      <c r="FN8069"/>
      <c r="FO8069"/>
      <c r="FP8069"/>
      <c r="FQ8069"/>
      <c r="FR8069"/>
      <c r="FS8069"/>
      <c r="FT8069"/>
      <c r="FU8069"/>
      <c r="FV8069"/>
      <c r="FW8069"/>
      <c r="FX8069"/>
      <c r="FY8069"/>
      <c r="FZ8069"/>
      <c r="GA8069"/>
      <c r="GB8069"/>
      <c r="GC8069"/>
      <c r="GD8069"/>
      <c r="GE8069"/>
      <c r="GF8069"/>
      <c r="GG8069"/>
      <c r="GH8069"/>
      <c r="GI8069"/>
      <c r="GJ8069"/>
      <c r="GK8069"/>
      <c r="GL8069"/>
      <c r="GM8069"/>
      <c r="GN8069"/>
      <c r="GO8069"/>
    </row>
    <row r="8070" spans="107:197">
      <c r="DC8070"/>
      <c r="FH8070"/>
      <c r="FI8070"/>
      <c r="FJ8070"/>
      <c r="FK8070"/>
      <c r="FL8070"/>
      <c r="FM8070"/>
      <c r="FN8070"/>
      <c r="FO8070"/>
      <c r="FP8070"/>
      <c r="FQ8070"/>
      <c r="FR8070"/>
      <c r="FS8070"/>
      <c r="FT8070"/>
      <c r="FU8070"/>
      <c r="FV8070"/>
      <c r="FW8070"/>
      <c r="FX8070"/>
      <c r="FY8070"/>
      <c r="FZ8070"/>
      <c r="GA8070"/>
      <c r="GB8070"/>
      <c r="GC8070"/>
      <c r="GD8070"/>
      <c r="GE8070"/>
      <c r="GF8070"/>
      <c r="GG8070"/>
      <c r="GH8070"/>
      <c r="GI8070"/>
      <c r="GJ8070"/>
      <c r="GK8070"/>
      <c r="GL8070"/>
      <c r="GM8070"/>
      <c r="GN8070"/>
      <c r="GO8070"/>
    </row>
    <row r="8071" spans="107:197">
      <c r="DC8071"/>
      <c r="FH8071"/>
      <c r="FI8071"/>
      <c r="FJ8071"/>
      <c r="FK8071"/>
      <c r="FL8071"/>
      <c r="FM8071"/>
      <c r="FN8071"/>
      <c r="FO8071"/>
      <c r="FP8071"/>
      <c r="FQ8071"/>
      <c r="FR8071"/>
      <c r="FS8071"/>
      <c r="FT8071"/>
      <c r="FU8071"/>
      <c r="FV8071"/>
      <c r="FW8071"/>
      <c r="FX8071"/>
      <c r="FY8071"/>
      <c r="FZ8071"/>
      <c r="GA8071"/>
      <c r="GB8071"/>
      <c r="GC8071"/>
      <c r="GD8071"/>
      <c r="GE8071"/>
      <c r="GF8071"/>
      <c r="GG8071"/>
      <c r="GH8071"/>
      <c r="GI8071"/>
      <c r="GJ8071"/>
      <c r="GK8071"/>
      <c r="GL8071"/>
      <c r="GM8071"/>
      <c r="GN8071"/>
      <c r="GO8071"/>
    </row>
    <row r="8072" spans="107:197">
      <c r="DC8072"/>
      <c r="FH8072"/>
      <c r="FI8072"/>
      <c r="FJ8072"/>
      <c r="FK8072"/>
      <c r="FL8072"/>
      <c r="FM8072"/>
      <c r="FN8072"/>
      <c r="FO8072"/>
      <c r="FP8072"/>
      <c r="FQ8072"/>
      <c r="FR8072"/>
      <c r="FS8072"/>
      <c r="FT8072"/>
      <c r="FU8072"/>
      <c r="FV8072"/>
      <c r="FW8072"/>
      <c r="FX8072"/>
      <c r="FY8072"/>
      <c r="FZ8072"/>
      <c r="GA8072"/>
      <c r="GB8072"/>
      <c r="GC8072"/>
      <c r="GD8072"/>
      <c r="GE8072"/>
      <c r="GF8072"/>
      <c r="GG8072"/>
      <c r="GH8072"/>
      <c r="GI8072"/>
      <c r="GJ8072"/>
      <c r="GK8072"/>
      <c r="GL8072"/>
      <c r="GM8072"/>
      <c r="GN8072"/>
      <c r="GO8072"/>
    </row>
    <row r="8073" spans="107:197">
      <c r="DC8073"/>
      <c r="FH8073"/>
      <c r="FI8073"/>
      <c r="FJ8073"/>
      <c r="FK8073"/>
      <c r="FL8073"/>
      <c r="FM8073"/>
      <c r="FN8073"/>
      <c r="FO8073"/>
      <c r="FP8073"/>
      <c r="FQ8073"/>
      <c r="FR8073"/>
      <c r="FS8073"/>
      <c r="FT8073"/>
      <c r="FU8073"/>
      <c r="FV8073"/>
      <c r="FW8073"/>
      <c r="FX8073"/>
      <c r="FY8073"/>
      <c r="FZ8073"/>
      <c r="GA8073"/>
      <c r="GB8073"/>
      <c r="GC8073"/>
      <c r="GD8073"/>
      <c r="GE8073"/>
      <c r="GF8073"/>
      <c r="GG8073"/>
      <c r="GH8073"/>
      <c r="GI8073"/>
      <c r="GJ8073"/>
      <c r="GK8073"/>
      <c r="GL8073"/>
      <c r="GM8073"/>
      <c r="GN8073"/>
      <c r="GO8073"/>
    </row>
    <row r="8074" spans="107:197">
      <c r="DC8074"/>
      <c r="FH8074"/>
      <c r="FI8074"/>
      <c r="FJ8074"/>
      <c r="FK8074"/>
      <c r="FL8074"/>
      <c r="FM8074"/>
      <c r="FN8074"/>
      <c r="FO8074"/>
      <c r="FP8074"/>
      <c r="FQ8074"/>
      <c r="FR8074"/>
      <c r="FS8074"/>
      <c r="FT8074"/>
      <c r="FU8074"/>
      <c r="FV8074"/>
      <c r="FW8074"/>
      <c r="FX8074"/>
      <c r="FY8074"/>
      <c r="FZ8074"/>
      <c r="GA8074"/>
      <c r="GB8074"/>
      <c r="GC8074"/>
      <c r="GD8074"/>
      <c r="GE8074"/>
      <c r="GF8074"/>
      <c r="GG8074"/>
      <c r="GH8074"/>
      <c r="GI8074"/>
      <c r="GJ8074"/>
      <c r="GK8074"/>
      <c r="GL8074"/>
      <c r="GM8074"/>
      <c r="GN8074"/>
      <c r="GO8074"/>
    </row>
    <row r="8075" spans="107:197">
      <c r="DC8075"/>
      <c r="FH8075"/>
      <c r="FI8075"/>
      <c r="FJ8075"/>
      <c r="FK8075"/>
      <c r="FL8075"/>
      <c r="FM8075"/>
      <c r="FN8075"/>
      <c r="FO8075"/>
      <c r="FP8075"/>
      <c r="FQ8075"/>
      <c r="FR8075"/>
      <c r="FS8075"/>
      <c r="FT8075"/>
      <c r="FU8075"/>
      <c r="FV8075"/>
      <c r="FW8075"/>
      <c r="FX8075"/>
      <c r="FY8075"/>
      <c r="FZ8075"/>
      <c r="GA8075"/>
      <c r="GB8075"/>
      <c r="GC8075"/>
      <c r="GD8075"/>
      <c r="GE8075"/>
      <c r="GF8075"/>
      <c r="GG8075"/>
      <c r="GH8075"/>
      <c r="GI8075"/>
      <c r="GJ8075"/>
      <c r="GK8075"/>
      <c r="GL8075"/>
      <c r="GM8075"/>
      <c r="GN8075"/>
      <c r="GO8075"/>
    </row>
    <row r="8076" spans="107:197">
      <c r="DC8076"/>
      <c r="FH8076"/>
      <c r="FI8076"/>
      <c r="FJ8076"/>
      <c r="FK8076"/>
      <c r="FL8076"/>
      <c r="FM8076"/>
      <c r="FN8076"/>
      <c r="FO8076"/>
      <c r="FP8076"/>
      <c r="FQ8076"/>
      <c r="FR8076"/>
      <c r="FS8076"/>
      <c r="FT8076"/>
      <c r="FU8076"/>
      <c r="FV8076"/>
      <c r="FW8076"/>
      <c r="FX8076"/>
      <c r="FY8076"/>
      <c r="FZ8076"/>
      <c r="GA8076"/>
      <c r="GB8076"/>
      <c r="GC8076"/>
      <c r="GD8076"/>
      <c r="GE8076"/>
      <c r="GF8076"/>
      <c r="GG8076"/>
      <c r="GH8076"/>
      <c r="GI8076"/>
      <c r="GJ8076"/>
      <c r="GK8076"/>
      <c r="GL8076"/>
      <c r="GM8076"/>
      <c r="GN8076"/>
      <c r="GO8076"/>
    </row>
    <row r="8077" spans="107:197">
      <c r="DC8077"/>
      <c r="FH8077"/>
      <c r="FI8077"/>
      <c r="FJ8077"/>
      <c r="FK8077"/>
      <c r="FL8077"/>
      <c r="FM8077"/>
      <c r="FN8077"/>
      <c r="FO8077"/>
      <c r="FP8077"/>
      <c r="FQ8077"/>
      <c r="FR8077"/>
      <c r="FS8077"/>
      <c r="FT8077"/>
      <c r="FU8077"/>
      <c r="FV8077"/>
      <c r="FW8077"/>
      <c r="FX8077"/>
      <c r="FY8077"/>
      <c r="FZ8077"/>
      <c r="GA8077"/>
      <c r="GB8077"/>
      <c r="GC8077"/>
      <c r="GD8077"/>
      <c r="GE8077"/>
      <c r="GF8077"/>
      <c r="GG8077"/>
      <c r="GH8077"/>
      <c r="GI8077"/>
      <c r="GJ8077"/>
      <c r="GK8077"/>
      <c r="GL8077"/>
      <c r="GM8077"/>
      <c r="GN8077"/>
      <c r="GO8077"/>
    </row>
    <row r="8078" spans="107:197">
      <c r="DC8078"/>
      <c r="FH8078"/>
      <c r="FI8078"/>
      <c r="FJ8078"/>
      <c r="FK8078"/>
      <c r="FL8078"/>
      <c r="FM8078"/>
      <c r="FN8078"/>
      <c r="FO8078"/>
      <c r="FP8078"/>
      <c r="FQ8078"/>
      <c r="FR8078"/>
      <c r="FS8078"/>
      <c r="FT8078"/>
      <c r="FU8078"/>
      <c r="FV8078"/>
      <c r="FW8078"/>
      <c r="FX8078"/>
      <c r="FY8078"/>
      <c r="FZ8078"/>
      <c r="GA8078"/>
      <c r="GB8078"/>
      <c r="GC8078"/>
      <c r="GD8078"/>
      <c r="GE8078"/>
      <c r="GF8078"/>
      <c r="GG8078"/>
      <c r="GH8078"/>
      <c r="GI8078"/>
      <c r="GJ8078"/>
      <c r="GK8078"/>
      <c r="GL8078"/>
      <c r="GM8078"/>
      <c r="GN8078"/>
      <c r="GO8078"/>
    </row>
    <row r="8079" spans="107:197">
      <c r="DC8079"/>
      <c r="FH8079"/>
      <c r="FI8079"/>
      <c r="FJ8079"/>
      <c r="FK8079"/>
      <c r="FL8079"/>
      <c r="FM8079"/>
      <c r="FN8079"/>
      <c r="FO8079"/>
      <c r="FP8079"/>
      <c r="FQ8079"/>
      <c r="FR8079"/>
      <c r="FS8079"/>
      <c r="FT8079"/>
      <c r="FU8079"/>
      <c r="FV8079"/>
      <c r="FW8079"/>
      <c r="FX8079"/>
      <c r="FY8079"/>
      <c r="FZ8079"/>
      <c r="GA8079"/>
      <c r="GB8079"/>
      <c r="GC8079"/>
      <c r="GD8079"/>
      <c r="GE8079"/>
      <c r="GF8079"/>
      <c r="GG8079"/>
      <c r="GH8079"/>
      <c r="GI8079"/>
      <c r="GJ8079"/>
      <c r="GK8079"/>
      <c r="GL8079"/>
      <c r="GM8079"/>
      <c r="GN8079"/>
      <c r="GO8079"/>
    </row>
    <row r="8080" spans="107:197">
      <c r="DC8080"/>
      <c r="FH8080"/>
      <c r="FI8080"/>
      <c r="FJ8080"/>
      <c r="FK8080"/>
      <c r="FL8080"/>
      <c r="FM8080"/>
      <c r="FN8080"/>
      <c r="FO8080"/>
      <c r="FP8080"/>
      <c r="FQ8080"/>
      <c r="FR8080"/>
      <c r="FS8080"/>
      <c r="FT8080"/>
      <c r="FU8080"/>
      <c r="FV8080"/>
      <c r="FW8080"/>
      <c r="FX8080"/>
      <c r="FY8080"/>
      <c r="FZ8080"/>
      <c r="GA8080"/>
      <c r="GB8080"/>
      <c r="GC8080"/>
      <c r="GD8080"/>
      <c r="GE8080"/>
      <c r="GF8080"/>
      <c r="GG8080"/>
      <c r="GH8080"/>
      <c r="GI8080"/>
      <c r="GJ8080"/>
      <c r="GK8080"/>
      <c r="GL8080"/>
      <c r="GM8080"/>
      <c r="GN8080"/>
      <c r="GO8080"/>
    </row>
    <row r="8081" spans="107:197">
      <c r="DC8081"/>
      <c r="FH8081"/>
      <c r="FI8081"/>
      <c r="FJ8081"/>
      <c r="FK8081"/>
      <c r="FL8081"/>
      <c r="FM8081"/>
      <c r="FN8081"/>
      <c r="FO8081"/>
      <c r="FP8081"/>
      <c r="FQ8081"/>
      <c r="FR8081"/>
      <c r="FS8081"/>
      <c r="FT8081"/>
      <c r="FU8081"/>
      <c r="FV8081"/>
      <c r="FW8081"/>
      <c r="FX8081"/>
      <c r="FY8081"/>
      <c r="FZ8081"/>
      <c r="GA8081"/>
      <c r="GB8081"/>
      <c r="GC8081"/>
      <c r="GD8081"/>
      <c r="GE8081"/>
      <c r="GF8081"/>
      <c r="GG8081"/>
      <c r="GH8081"/>
      <c r="GI8081"/>
      <c r="GJ8081"/>
      <c r="GK8081"/>
      <c r="GL8081"/>
      <c r="GM8081"/>
      <c r="GN8081"/>
      <c r="GO8081"/>
    </row>
    <row r="8082" spans="107:197">
      <c r="DC8082"/>
      <c r="FH8082"/>
      <c r="FI8082"/>
      <c r="FJ8082"/>
      <c r="FK8082"/>
      <c r="FL8082"/>
      <c r="FM8082"/>
      <c r="FN8082"/>
      <c r="FO8082"/>
      <c r="FP8082"/>
      <c r="FQ8082"/>
      <c r="FR8082"/>
      <c r="FS8082"/>
      <c r="FT8082"/>
      <c r="FU8082"/>
      <c r="FV8082"/>
      <c r="FW8082"/>
      <c r="FX8082"/>
      <c r="FY8082"/>
      <c r="FZ8082"/>
      <c r="GA8082"/>
      <c r="GB8082"/>
      <c r="GC8082"/>
      <c r="GD8082"/>
      <c r="GE8082"/>
      <c r="GF8082"/>
      <c r="GG8082"/>
      <c r="GH8082"/>
      <c r="GI8082"/>
      <c r="GJ8082"/>
      <c r="GK8082"/>
      <c r="GL8082"/>
      <c r="GM8082"/>
      <c r="GN8082"/>
      <c r="GO8082"/>
    </row>
    <row r="8083" spans="107:197">
      <c r="DC8083"/>
      <c r="FH8083"/>
      <c r="FI8083"/>
      <c r="FJ8083"/>
      <c r="FK8083"/>
      <c r="FL8083"/>
      <c r="FM8083"/>
      <c r="FN8083"/>
      <c r="FO8083"/>
      <c r="FP8083"/>
      <c r="FQ8083"/>
      <c r="FR8083"/>
      <c r="FS8083"/>
      <c r="FT8083"/>
      <c r="FU8083"/>
      <c r="FV8083"/>
      <c r="FW8083"/>
      <c r="FX8083"/>
      <c r="FY8083"/>
      <c r="FZ8083"/>
      <c r="GA8083"/>
      <c r="GB8083"/>
      <c r="GC8083"/>
      <c r="GD8083"/>
      <c r="GE8083"/>
      <c r="GF8083"/>
      <c r="GG8083"/>
      <c r="GH8083"/>
      <c r="GI8083"/>
      <c r="GJ8083"/>
      <c r="GK8083"/>
      <c r="GL8083"/>
      <c r="GM8083"/>
      <c r="GN8083"/>
      <c r="GO8083"/>
    </row>
    <row r="8084" spans="107:197">
      <c r="DC8084"/>
      <c r="FH8084"/>
      <c r="FI8084"/>
      <c r="FJ8084"/>
      <c r="FK8084"/>
      <c r="FL8084"/>
      <c r="FM8084"/>
      <c r="FN8084"/>
      <c r="FO8084"/>
      <c r="FP8084"/>
      <c r="FQ8084"/>
      <c r="FR8084"/>
      <c r="FS8084"/>
      <c r="FT8084"/>
      <c r="FU8084"/>
      <c r="FV8084"/>
      <c r="FW8084"/>
      <c r="FX8084"/>
      <c r="FY8084"/>
      <c r="FZ8084"/>
      <c r="GA8084"/>
      <c r="GB8084"/>
      <c r="GC8084"/>
      <c r="GD8084"/>
      <c r="GE8084"/>
      <c r="GF8084"/>
      <c r="GG8084"/>
      <c r="GH8084"/>
      <c r="GI8084"/>
      <c r="GJ8084"/>
      <c r="GK8084"/>
      <c r="GL8084"/>
      <c r="GM8084"/>
      <c r="GN8084"/>
      <c r="GO8084"/>
    </row>
    <row r="8085" spans="107:197">
      <c r="DC8085"/>
      <c r="FH8085"/>
      <c r="FI8085"/>
      <c r="FJ8085"/>
      <c r="FK8085"/>
      <c r="FL8085"/>
      <c r="FM8085"/>
      <c r="FN8085"/>
      <c r="FO8085"/>
      <c r="FP8085"/>
      <c r="FQ8085"/>
      <c r="FR8085"/>
      <c r="FS8085"/>
      <c r="FT8085"/>
      <c r="FU8085"/>
      <c r="FV8085"/>
      <c r="FW8085"/>
      <c r="FX8085"/>
      <c r="FY8085"/>
      <c r="FZ8085"/>
      <c r="GA8085"/>
      <c r="GB8085"/>
      <c r="GC8085"/>
      <c r="GD8085"/>
      <c r="GE8085"/>
      <c r="GF8085"/>
      <c r="GG8085"/>
      <c r="GH8085"/>
      <c r="GI8085"/>
      <c r="GJ8085"/>
      <c r="GK8085"/>
      <c r="GL8085"/>
      <c r="GM8085"/>
      <c r="GN8085"/>
      <c r="GO8085"/>
    </row>
    <row r="8086" spans="107:197">
      <c r="DC8086"/>
      <c r="FH8086"/>
      <c r="FI8086"/>
      <c r="FJ8086"/>
      <c r="FK8086"/>
      <c r="FL8086"/>
      <c r="FM8086"/>
      <c r="FN8086"/>
      <c r="FO8086"/>
      <c r="FP8086"/>
      <c r="FQ8086"/>
      <c r="FR8086"/>
      <c r="FS8086"/>
      <c r="FT8086"/>
      <c r="FU8086"/>
      <c r="FV8086"/>
      <c r="FW8086"/>
      <c r="FX8086"/>
      <c r="FY8086"/>
      <c r="FZ8086"/>
      <c r="GA8086"/>
      <c r="GB8086"/>
      <c r="GC8086"/>
      <c r="GD8086"/>
      <c r="GE8086"/>
      <c r="GF8086"/>
      <c r="GG8086"/>
      <c r="GH8086"/>
      <c r="GI8086"/>
      <c r="GJ8086"/>
      <c r="GK8086"/>
      <c r="GL8086"/>
      <c r="GM8086"/>
      <c r="GN8086"/>
      <c r="GO8086"/>
    </row>
    <row r="8087" spans="107:197">
      <c r="DC8087"/>
      <c r="FH8087"/>
      <c r="FI8087"/>
      <c r="FJ8087"/>
      <c r="FK8087"/>
      <c r="FL8087"/>
      <c r="FM8087"/>
      <c r="FN8087"/>
      <c r="FO8087"/>
      <c r="FP8087"/>
      <c r="FQ8087"/>
      <c r="FR8087"/>
      <c r="FS8087"/>
      <c r="FT8087"/>
      <c r="FU8087"/>
      <c r="FV8087"/>
      <c r="FW8087"/>
      <c r="FX8087"/>
      <c r="FY8087"/>
      <c r="FZ8087"/>
      <c r="GA8087"/>
      <c r="GB8087"/>
      <c r="GC8087"/>
      <c r="GD8087"/>
      <c r="GE8087"/>
      <c r="GF8087"/>
      <c r="GG8087"/>
      <c r="GH8087"/>
      <c r="GI8087"/>
      <c r="GJ8087"/>
      <c r="GK8087"/>
      <c r="GL8087"/>
      <c r="GM8087"/>
      <c r="GN8087"/>
      <c r="GO8087"/>
    </row>
    <row r="8088" spans="107:197">
      <c r="DC8088"/>
      <c r="FH8088"/>
      <c r="FI8088"/>
      <c r="FJ8088"/>
      <c r="FK8088"/>
      <c r="FL8088"/>
      <c r="FM8088"/>
      <c r="FN8088"/>
      <c r="FO8088"/>
      <c r="FP8088"/>
      <c r="FQ8088"/>
      <c r="FR8088"/>
      <c r="FS8088"/>
      <c r="FT8088"/>
      <c r="FU8088"/>
      <c r="FV8088"/>
      <c r="FW8088"/>
      <c r="FX8088"/>
      <c r="FY8088"/>
      <c r="FZ8088"/>
      <c r="GA8088"/>
      <c r="GB8088"/>
      <c r="GC8088"/>
      <c r="GD8088"/>
      <c r="GE8088"/>
      <c r="GF8088"/>
      <c r="GG8088"/>
      <c r="GH8088"/>
      <c r="GI8088"/>
      <c r="GJ8088"/>
      <c r="GK8088"/>
      <c r="GL8088"/>
      <c r="GM8088"/>
      <c r="GN8088"/>
      <c r="GO8088"/>
    </row>
    <row r="8089" spans="107:197">
      <c r="DC8089"/>
      <c r="FH8089"/>
      <c r="FI8089"/>
      <c r="FJ8089"/>
      <c r="FK8089"/>
      <c r="FL8089"/>
      <c r="FM8089"/>
      <c r="FN8089"/>
      <c r="FO8089"/>
      <c r="FP8089"/>
      <c r="FQ8089"/>
      <c r="FR8089"/>
      <c r="FS8089"/>
      <c r="FT8089"/>
      <c r="FU8089"/>
      <c r="FV8089"/>
      <c r="FW8089"/>
      <c r="FX8089"/>
      <c r="FY8089"/>
      <c r="FZ8089"/>
      <c r="GA8089"/>
      <c r="GB8089"/>
      <c r="GC8089"/>
      <c r="GD8089"/>
      <c r="GE8089"/>
      <c r="GF8089"/>
      <c r="GG8089"/>
      <c r="GH8089"/>
      <c r="GI8089"/>
      <c r="GJ8089"/>
      <c r="GK8089"/>
      <c r="GL8089"/>
      <c r="GM8089"/>
      <c r="GN8089"/>
      <c r="GO8089"/>
    </row>
    <row r="8090" spans="107:197">
      <c r="DC8090"/>
      <c r="FH8090"/>
      <c r="FI8090"/>
      <c r="FJ8090"/>
      <c r="FK8090"/>
      <c r="FL8090"/>
      <c r="FM8090"/>
      <c r="FN8090"/>
      <c r="FO8090"/>
      <c r="FP8090"/>
      <c r="FQ8090"/>
      <c r="FR8090"/>
      <c r="FS8090"/>
      <c r="FT8090"/>
      <c r="FU8090"/>
      <c r="FV8090"/>
      <c r="FW8090"/>
      <c r="FX8090"/>
      <c r="FY8090"/>
      <c r="FZ8090"/>
      <c r="GA8090"/>
      <c r="GB8090"/>
      <c r="GC8090"/>
      <c r="GD8090"/>
      <c r="GE8090"/>
      <c r="GF8090"/>
      <c r="GG8090"/>
      <c r="GH8090"/>
      <c r="GI8090"/>
      <c r="GJ8090"/>
      <c r="GK8090"/>
      <c r="GL8090"/>
      <c r="GM8090"/>
      <c r="GN8090"/>
      <c r="GO8090"/>
    </row>
    <row r="8091" spans="107:197">
      <c r="DC8091"/>
      <c r="FH8091"/>
      <c r="FI8091"/>
      <c r="FJ8091"/>
      <c r="FK8091"/>
      <c r="FL8091"/>
      <c r="FM8091"/>
      <c r="FN8091"/>
      <c r="FO8091"/>
      <c r="FP8091"/>
      <c r="FQ8091"/>
      <c r="FR8091"/>
      <c r="FS8091"/>
      <c r="FT8091"/>
      <c r="FU8091"/>
      <c r="FV8091"/>
      <c r="FW8091"/>
      <c r="FX8091"/>
      <c r="FY8091"/>
      <c r="FZ8091"/>
      <c r="GA8091"/>
      <c r="GB8091"/>
      <c r="GC8091"/>
      <c r="GD8091"/>
      <c r="GE8091"/>
      <c r="GF8091"/>
      <c r="GG8091"/>
      <c r="GH8091"/>
      <c r="GI8091"/>
      <c r="GJ8091"/>
      <c r="GK8091"/>
      <c r="GL8091"/>
      <c r="GM8091"/>
      <c r="GN8091"/>
      <c r="GO8091"/>
    </row>
    <row r="8092" spans="107:197">
      <c r="DC8092"/>
      <c r="FH8092"/>
      <c r="FI8092"/>
      <c r="FJ8092"/>
      <c r="FK8092"/>
      <c r="FL8092"/>
      <c r="FM8092"/>
      <c r="FN8092"/>
      <c r="FO8092"/>
      <c r="FP8092"/>
      <c r="FQ8092"/>
      <c r="FR8092"/>
      <c r="FS8092"/>
      <c r="FT8092"/>
      <c r="FU8092"/>
      <c r="FV8092"/>
      <c r="FW8092"/>
      <c r="FX8092"/>
      <c r="FY8092"/>
      <c r="FZ8092"/>
      <c r="GA8092"/>
      <c r="GB8092"/>
      <c r="GC8092"/>
      <c r="GD8092"/>
      <c r="GE8092"/>
      <c r="GF8092"/>
      <c r="GG8092"/>
      <c r="GH8092"/>
      <c r="GI8092"/>
      <c r="GJ8092"/>
      <c r="GK8092"/>
      <c r="GL8092"/>
      <c r="GM8092"/>
      <c r="GN8092"/>
      <c r="GO8092"/>
    </row>
    <row r="8093" spans="107:197">
      <c r="DC8093"/>
      <c r="FH8093"/>
      <c r="FI8093"/>
      <c r="FJ8093"/>
      <c r="FK8093"/>
      <c r="FL8093"/>
      <c r="FM8093"/>
      <c r="FN8093"/>
      <c r="FO8093"/>
      <c r="FP8093"/>
      <c r="FQ8093"/>
      <c r="FR8093"/>
      <c r="FS8093"/>
      <c r="FT8093"/>
      <c r="FU8093"/>
      <c r="FV8093"/>
      <c r="FW8093"/>
      <c r="FX8093"/>
      <c r="FY8093"/>
      <c r="FZ8093"/>
      <c r="GA8093"/>
      <c r="GB8093"/>
      <c r="GC8093"/>
      <c r="GD8093"/>
      <c r="GE8093"/>
      <c r="GF8093"/>
      <c r="GG8093"/>
      <c r="GH8093"/>
      <c r="GI8093"/>
      <c r="GJ8093"/>
      <c r="GK8093"/>
      <c r="GL8093"/>
      <c r="GM8093"/>
      <c r="GN8093"/>
      <c r="GO8093"/>
    </row>
    <row r="8094" spans="107:197">
      <c r="DC8094"/>
      <c r="FH8094"/>
      <c r="FI8094"/>
      <c r="FJ8094"/>
      <c r="FK8094"/>
      <c r="FL8094"/>
      <c r="FM8094"/>
      <c r="FN8094"/>
      <c r="FO8094"/>
      <c r="FP8094"/>
      <c r="FQ8094"/>
      <c r="FR8094"/>
      <c r="FS8094"/>
      <c r="FT8094"/>
      <c r="FU8094"/>
      <c r="FV8094"/>
      <c r="FW8094"/>
      <c r="FX8094"/>
      <c r="FY8094"/>
      <c r="FZ8094"/>
      <c r="GA8094"/>
      <c r="GB8094"/>
      <c r="GC8094"/>
      <c r="GD8094"/>
      <c r="GE8094"/>
      <c r="GF8094"/>
      <c r="GG8094"/>
      <c r="GH8094"/>
      <c r="GI8094"/>
      <c r="GJ8094"/>
      <c r="GK8094"/>
      <c r="GL8094"/>
      <c r="GM8094"/>
      <c r="GN8094"/>
      <c r="GO8094"/>
    </row>
    <row r="8095" spans="107:197">
      <c r="DC8095"/>
      <c r="FH8095"/>
      <c r="FI8095"/>
      <c r="FJ8095"/>
      <c r="FK8095"/>
      <c r="FL8095"/>
      <c r="FM8095"/>
      <c r="FN8095"/>
      <c r="FO8095"/>
      <c r="FP8095"/>
      <c r="FQ8095"/>
      <c r="FR8095"/>
      <c r="FS8095"/>
      <c r="FT8095"/>
      <c r="FU8095"/>
      <c r="FV8095"/>
      <c r="FW8095"/>
      <c r="FX8095"/>
      <c r="FY8095"/>
      <c r="FZ8095"/>
      <c r="GA8095"/>
      <c r="GB8095"/>
      <c r="GC8095"/>
      <c r="GD8095"/>
      <c r="GE8095"/>
      <c r="GF8095"/>
      <c r="GG8095"/>
      <c r="GH8095"/>
      <c r="GI8095"/>
      <c r="GJ8095"/>
      <c r="GK8095"/>
      <c r="GL8095"/>
      <c r="GM8095"/>
      <c r="GN8095"/>
      <c r="GO8095"/>
    </row>
    <row r="8096" spans="107:197">
      <c r="DC8096"/>
      <c r="FH8096"/>
      <c r="FI8096"/>
      <c r="FJ8096"/>
      <c r="FK8096"/>
      <c r="FL8096"/>
      <c r="FM8096"/>
      <c r="FN8096"/>
      <c r="FO8096"/>
      <c r="FP8096"/>
      <c r="FQ8096"/>
      <c r="FR8096"/>
      <c r="FS8096"/>
      <c r="FT8096"/>
      <c r="FU8096"/>
      <c r="FV8096"/>
      <c r="FW8096"/>
      <c r="FX8096"/>
      <c r="FY8096"/>
      <c r="FZ8096"/>
      <c r="GA8096"/>
      <c r="GB8096"/>
      <c r="GC8096"/>
      <c r="GD8096"/>
      <c r="GE8096"/>
      <c r="GF8096"/>
      <c r="GG8096"/>
      <c r="GH8096"/>
      <c r="GI8096"/>
      <c r="GJ8096"/>
      <c r="GK8096"/>
      <c r="GL8096"/>
      <c r="GM8096"/>
      <c r="GN8096"/>
      <c r="GO8096"/>
    </row>
    <row r="8097" spans="107:197">
      <c r="DC8097"/>
      <c r="FH8097"/>
      <c r="FI8097"/>
      <c r="FJ8097"/>
      <c r="FK8097"/>
      <c r="FL8097"/>
      <c r="FM8097"/>
      <c r="FN8097"/>
      <c r="FO8097"/>
      <c r="FP8097"/>
      <c r="FQ8097"/>
      <c r="FR8097"/>
      <c r="FS8097"/>
      <c r="FT8097"/>
      <c r="FU8097"/>
      <c r="FV8097"/>
      <c r="FW8097"/>
      <c r="FX8097"/>
      <c r="FY8097"/>
      <c r="FZ8097"/>
      <c r="GA8097"/>
      <c r="GB8097"/>
      <c r="GC8097"/>
      <c r="GD8097"/>
      <c r="GE8097"/>
      <c r="GF8097"/>
      <c r="GG8097"/>
      <c r="GH8097"/>
      <c r="GI8097"/>
      <c r="GJ8097"/>
      <c r="GK8097"/>
      <c r="GL8097"/>
      <c r="GM8097"/>
      <c r="GN8097"/>
      <c r="GO8097"/>
    </row>
    <row r="8098" spans="107:197">
      <c r="DC8098"/>
      <c r="FH8098"/>
      <c r="FI8098"/>
      <c r="FJ8098"/>
      <c r="FK8098"/>
      <c r="FL8098"/>
      <c r="FM8098"/>
      <c r="FN8098"/>
      <c r="FO8098"/>
      <c r="FP8098"/>
      <c r="FQ8098"/>
      <c r="FR8098"/>
      <c r="FS8098"/>
      <c r="FT8098"/>
      <c r="FU8098"/>
      <c r="FV8098"/>
      <c r="FW8098"/>
      <c r="FX8098"/>
      <c r="FY8098"/>
      <c r="FZ8098"/>
      <c r="GA8098"/>
      <c r="GB8098"/>
      <c r="GC8098"/>
      <c r="GD8098"/>
      <c r="GE8098"/>
      <c r="GF8098"/>
      <c r="GG8098"/>
      <c r="GH8098"/>
      <c r="GI8098"/>
      <c r="GJ8098"/>
      <c r="GK8098"/>
      <c r="GL8098"/>
      <c r="GM8098"/>
      <c r="GN8098"/>
      <c r="GO8098"/>
    </row>
    <row r="8099" spans="107:197">
      <c r="DC8099"/>
      <c r="FH8099"/>
      <c r="FI8099"/>
      <c r="FJ8099"/>
      <c r="FK8099"/>
      <c r="FL8099"/>
      <c r="FM8099"/>
      <c r="FN8099"/>
      <c r="FO8099"/>
      <c r="FP8099"/>
      <c r="FQ8099"/>
      <c r="FR8099"/>
      <c r="FS8099"/>
      <c r="FT8099"/>
      <c r="FU8099"/>
      <c r="FV8099"/>
      <c r="FW8099"/>
      <c r="FX8099"/>
      <c r="FY8099"/>
      <c r="FZ8099"/>
      <c r="GA8099"/>
      <c r="GB8099"/>
      <c r="GC8099"/>
      <c r="GD8099"/>
      <c r="GE8099"/>
      <c r="GF8099"/>
      <c r="GG8099"/>
      <c r="GH8099"/>
      <c r="GI8099"/>
      <c r="GJ8099"/>
      <c r="GK8099"/>
      <c r="GL8099"/>
      <c r="GM8099"/>
      <c r="GN8099"/>
      <c r="GO8099"/>
    </row>
    <row r="8100" spans="107:197">
      <c r="DC8100"/>
      <c r="FH8100"/>
      <c r="FI8100"/>
      <c r="FJ8100"/>
      <c r="FK8100"/>
      <c r="FL8100"/>
      <c r="FM8100"/>
      <c r="FN8100"/>
      <c r="FO8100"/>
      <c r="FP8100"/>
      <c r="FQ8100"/>
      <c r="FR8100"/>
      <c r="FS8100"/>
      <c r="FT8100"/>
      <c r="FU8100"/>
      <c r="FV8100"/>
      <c r="FW8100"/>
      <c r="FX8100"/>
      <c r="FY8100"/>
      <c r="FZ8100"/>
      <c r="GA8100"/>
      <c r="GB8100"/>
      <c r="GC8100"/>
      <c r="GD8100"/>
      <c r="GE8100"/>
      <c r="GF8100"/>
      <c r="GG8100"/>
      <c r="GH8100"/>
      <c r="GI8100"/>
      <c r="GJ8100"/>
      <c r="GK8100"/>
      <c r="GL8100"/>
      <c r="GM8100"/>
      <c r="GN8100"/>
      <c r="GO8100"/>
    </row>
    <row r="8101" spans="107:197">
      <c r="DC8101"/>
      <c r="FH8101"/>
      <c r="FI8101"/>
      <c r="FJ8101"/>
      <c r="FK8101"/>
      <c r="FL8101"/>
      <c r="FM8101"/>
      <c r="FN8101"/>
      <c r="FO8101"/>
      <c r="FP8101"/>
      <c r="FQ8101"/>
      <c r="FR8101"/>
      <c r="FS8101"/>
      <c r="FT8101"/>
      <c r="FU8101"/>
      <c r="FV8101"/>
      <c r="FW8101"/>
      <c r="FX8101"/>
      <c r="FY8101"/>
      <c r="FZ8101"/>
      <c r="GA8101"/>
      <c r="GB8101"/>
      <c r="GC8101"/>
      <c r="GD8101"/>
      <c r="GE8101"/>
      <c r="GF8101"/>
      <c r="GG8101"/>
      <c r="GH8101"/>
      <c r="GI8101"/>
      <c r="GJ8101"/>
      <c r="GK8101"/>
      <c r="GL8101"/>
      <c r="GM8101"/>
      <c r="GN8101"/>
      <c r="GO8101"/>
    </row>
    <row r="8102" spans="107:197">
      <c r="DC8102"/>
      <c r="FH8102"/>
      <c r="FI8102"/>
      <c r="FJ8102"/>
      <c r="FK8102"/>
      <c r="FL8102"/>
      <c r="FM8102"/>
      <c r="FN8102"/>
      <c r="FO8102"/>
      <c r="FP8102"/>
      <c r="FQ8102"/>
      <c r="FR8102"/>
      <c r="FS8102"/>
      <c r="FT8102"/>
      <c r="FU8102"/>
      <c r="FV8102"/>
      <c r="FW8102"/>
      <c r="FX8102"/>
      <c r="FY8102"/>
      <c r="FZ8102"/>
      <c r="GA8102"/>
      <c r="GB8102"/>
      <c r="GC8102"/>
      <c r="GD8102"/>
      <c r="GE8102"/>
      <c r="GF8102"/>
      <c r="GG8102"/>
      <c r="GH8102"/>
      <c r="GI8102"/>
      <c r="GJ8102"/>
      <c r="GK8102"/>
      <c r="GL8102"/>
      <c r="GM8102"/>
      <c r="GN8102"/>
      <c r="GO8102"/>
    </row>
    <row r="8103" spans="107:197">
      <c r="DC8103"/>
      <c r="FH8103"/>
      <c r="FI8103"/>
      <c r="FJ8103"/>
      <c r="FK8103"/>
      <c r="FL8103"/>
      <c r="FM8103"/>
      <c r="FN8103"/>
      <c r="FO8103"/>
      <c r="FP8103"/>
      <c r="FQ8103"/>
      <c r="FR8103"/>
      <c r="FS8103"/>
      <c r="FT8103"/>
      <c r="FU8103"/>
      <c r="FV8103"/>
      <c r="FW8103"/>
      <c r="FX8103"/>
      <c r="FY8103"/>
      <c r="FZ8103"/>
      <c r="GA8103"/>
      <c r="GB8103"/>
      <c r="GC8103"/>
      <c r="GD8103"/>
      <c r="GE8103"/>
      <c r="GF8103"/>
      <c r="GG8103"/>
      <c r="GH8103"/>
      <c r="GI8103"/>
      <c r="GJ8103"/>
      <c r="GK8103"/>
      <c r="GL8103"/>
      <c r="GM8103"/>
      <c r="GN8103"/>
      <c r="GO8103"/>
    </row>
    <row r="8104" spans="107:197">
      <c r="DC8104"/>
      <c r="FH8104"/>
      <c r="FI8104"/>
      <c r="FJ8104"/>
      <c r="FK8104"/>
      <c r="FL8104"/>
      <c r="FM8104"/>
      <c r="FN8104"/>
      <c r="FO8104"/>
      <c r="FP8104"/>
      <c r="FQ8104"/>
      <c r="FR8104"/>
      <c r="FS8104"/>
      <c r="FT8104"/>
      <c r="FU8104"/>
      <c r="FV8104"/>
      <c r="FW8104"/>
      <c r="FX8104"/>
      <c r="FY8104"/>
      <c r="FZ8104"/>
      <c r="GA8104"/>
      <c r="GB8104"/>
      <c r="GC8104"/>
      <c r="GD8104"/>
      <c r="GE8104"/>
      <c r="GF8104"/>
      <c r="GG8104"/>
      <c r="GH8104"/>
      <c r="GI8104"/>
      <c r="GJ8104"/>
      <c r="GK8104"/>
      <c r="GL8104"/>
      <c r="GM8104"/>
      <c r="GN8104"/>
      <c r="GO8104"/>
    </row>
    <row r="8105" spans="107:197">
      <c r="DC8105"/>
      <c r="FH8105"/>
      <c r="FI8105"/>
      <c r="FJ8105"/>
      <c r="FK8105"/>
      <c r="FL8105"/>
      <c r="FM8105"/>
      <c r="FN8105"/>
      <c r="FO8105"/>
      <c r="FP8105"/>
      <c r="FQ8105"/>
      <c r="FR8105"/>
      <c r="FS8105"/>
      <c r="FT8105"/>
      <c r="FU8105"/>
      <c r="FV8105"/>
      <c r="FW8105"/>
      <c r="FX8105"/>
      <c r="FY8105"/>
      <c r="FZ8105"/>
      <c r="GA8105"/>
      <c r="GB8105"/>
      <c r="GC8105"/>
      <c r="GD8105"/>
      <c r="GE8105"/>
      <c r="GF8105"/>
      <c r="GG8105"/>
      <c r="GH8105"/>
      <c r="GI8105"/>
      <c r="GJ8105"/>
      <c r="GK8105"/>
      <c r="GL8105"/>
      <c r="GM8105"/>
      <c r="GN8105"/>
      <c r="GO8105"/>
    </row>
    <row r="8106" spans="107:197">
      <c r="DC8106"/>
      <c r="FH8106"/>
      <c r="FI8106"/>
      <c r="FJ8106"/>
      <c r="FK8106"/>
      <c r="FL8106"/>
      <c r="FM8106"/>
      <c r="FN8106"/>
      <c r="FO8106"/>
      <c r="FP8106"/>
      <c r="FQ8106"/>
      <c r="FR8106"/>
      <c r="FS8106"/>
      <c r="FT8106"/>
      <c r="FU8106"/>
      <c r="FV8106"/>
      <c r="FW8106"/>
      <c r="FX8106"/>
      <c r="FY8106"/>
      <c r="FZ8106"/>
      <c r="GA8106"/>
      <c r="GB8106"/>
      <c r="GC8106"/>
      <c r="GD8106"/>
      <c r="GE8106"/>
      <c r="GF8106"/>
      <c r="GG8106"/>
      <c r="GH8106"/>
      <c r="GI8106"/>
      <c r="GJ8106"/>
      <c r="GK8106"/>
      <c r="GL8106"/>
      <c r="GM8106"/>
      <c r="GN8106"/>
      <c r="GO8106"/>
    </row>
    <row r="8107" spans="107:197">
      <c r="DC8107"/>
      <c r="FH8107"/>
      <c r="FI8107"/>
      <c r="FJ8107"/>
      <c r="FK8107"/>
      <c r="FL8107"/>
      <c r="FM8107"/>
      <c r="FN8107"/>
      <c r="FO8107"/>
      <c r="FP8107"/>
      <c r="FQ8107"/>
      <c r="FR8107"/>
      <c r="FS8107"/>
      <c r="FT8107"/>
      <c r="FU8107"/>
      <c r="FV8107"/>
      <c r="FW8107"/>
      <c r="FX8107"/>
      <c r="FY8107"/>
      <c r="FZ8107"/>
      <c r="GA8107"/>
      <c r="GB8107"/>
      <c r="GC8107"/>
      <c r="GD8107"/>
      <c r="GE8107"/>
      <c r="GF8107"/>
      <c r="GG8107"/>
      <c r="GH8107"/>
      <c r="GI8107"/>
      <c r="GJ8107"/>
      <c r="GK8107"/>
      <c r="GL8107"/>
      <c r="GM8107"/>
      <c r="GN8107"/>
      <c r="GO8107"/>
    </row>
    <row r="8108" spans="107:197">
      <c r="DC8108"/>
      <c r="FH8108"/>
      <c r="FI8108"/>
      <c r="FJ8108"/>
      <c r="FK8108"/>
      <c r="FL8108"/>
      <c r="FM8108"/>
      <c r="FN8108"/>
      <c r="FO8108"/>
      <c r="FP8108"/>
      <c r="FQ8108"/>
      <c r="FR8108"/>
      <c r="FS8108"/>
      <c r="FT8108"/>
      <c r="FU8108"/>
      <c r="FV8108"/>
      <c r="FW8108"/>
      <c r="FX8108"/>
      <c r="FY8108"/>
      <c r="FZ8108"/>
      <c r="GA8108"/>
      <c r="GB8108"/>
      <c r="GC8108"/>
      <c r="GD8108"/>
      <c r="GE8108"/>
      <c r="GF8108"/>
      <c r="GG8108"/>
      <c r="GH8108"/>
      <c r="GI8108"/>
      <c r="GJ8108"/>
      <c r="GK8108"/>
      <c r="GL8108"/>
      <c r="GM8108"/>
      <c r="GN8108"/>
      <c r="GO8108"/>
    </row>
    <row r="8109" spans="107:197">
      <c r="DC8109"/>
      <c r="FH8109"/>
      <c r="FI8109"/>
      <c r="FJ8109"/>
      <c r="FK8109"/>
      <c r="FL8109"/>
      <c r="FM8109"/>
      <c r="FN8109"/>
      <c r="FO8109"/>
      <c r="FP8109"/>
      <c r="FQ8109"/>
      <c r="FR8109"/>
      <c r="FS8109"/>
      <c r="FT8109"/>
      <c r="FU8109"/>
      <c r="FV8109"/>
      <c r="FW8109"/>
      <c r="FX8109"/>
      <c r="FY8109"/>
      <c r="FZ8109"/>
      <c r="GA8109"/>
      <c r="GB8109"/>
      <c r="GC8109"/>
      <c r="GD8109"/>
      <c r="GE8109"/>
      <c r="GF8109"/>
      <c r="GG8109"/>
      <c r="GH8109"/>
      <c r="GI8109"/>
      <c r="GJ8109"/>
      <c r="GK8109"/>
      <c r="GL8109"/>
      <c r="GM8109"/>
      <c r="GN8109"/>
      <c r="GO8109"/>
    </row>
    <row r="8110" spans="107:197">
      <c r="DC8110"/>
      <c r="FH8110"/>
      <c r="FI8110"/>
      <c r="FJ8110"/>
      <c r="FK8110"/>
      <c r="FL8110"/>
      <c r="FM8110"/>
      <c r="FN8110"/>
      <c r="FO8110"/>
      <c r="FP8110"/>
      <c r="FQ8110"/>
      <c r="FR8110"/>
      <c r="FS8110"/>
      <c r="FT8110"/>
      <c r="FU8110"/>
      <c r="FV8110"/>
      <c r="FW8110"/>
      <c r="FX8110"/>
      <c r="FY8110"/>
      <c r="FZ8110"/>
      <c r="GA8110"/>
      <c r="GB8110"/>
      <c r="GC8110"/>
      <c r="GD8110"/>
      <c r="GE8110"/>
      <c r="GF8110"/>
      <c r="GG8110"/>
      <c r="GH8110"/>
      <c r="GI8110"/>
      <c r="GJ8110"/>
      <c r="GK8110"/>
      <c r="GL8110"/>
      <c r="GM8110"/>
      <c r="GN8110"/>
      <c r="GO8110"/>
    </row>
    <row r="8111" spans="107:197">
      <c r="DC8111"/>
      <c r="FH8111"/>
      <c r="FI8111"/>
      <c r="FJ8111"/>
      <c r="FK8111"/>
      <c r="FL8111"/>
      <c r="FM8111"/>
      <c r="FN8111"/>
      <c r="FO8111"/>
      <c r="FP8111"/>
      <c r="FQ8111"/>
      <c r="FR8111"/>
      <c r="FS8111"/>
      <c r="FT8111"/>
      <c r="FU8111"/>
      <c r="FV8111"/>
      <c r="FW8111"/>
      <c r="FX8111"/>
      <c r="FY8111"/>
      <c r="FZ8111"/>
      <c r="GA8111"/>
      <c r="GB8111"/>
      <c r="GC8111"/>
      <c r="GD8111"/>
      <c r="GE8111"/>
      <c r="GF8111"/>
      <c r="GG8111"/>
      <c r="GH8111"/>
      <c r="GI8111"/>
      <c r="GJ8111"/>
      <c r="GK8111"/>
      <c r="GL8111"/>
      <c r="GM8111"/>
      <c r="GN8111"/>
      <c r="GO8111"/>
    </row>
    <row r="8112" spans="107:197">
      <c r="DC8112"/>
      <c r="FH8112"/>
      <c r="FI8112"/>
      <c r="FJ8112"/>
      <c r="FK8112"/>
      <c r="FL8112"/>
      <c r="FM8112"/>
      <c r="FN8112"/>
      <c r="FO8112"/>
      <c r="FP8112"/>
      <c r="FQ8112"/>
      <c r="FR8112"/>
      <c r="FS8112"/>
      <c r="FT8112"/>
      <c r="FU8112"/>
      <c r="FV8112"/>
      <c r="FW8112"/>
      <c r="FX8112"/>
      <c r="FY8112"/>
      <c r="FZ8112"/>
      <c r="GA8112"/>
      <c r="GB8112"/>
      <c r="GC8112"/>
      <c r="GD8112"/>
      <c r="GE8112"/>
      <c r="GF8112"/>
      <c r="GG8112"/>
      <c r="GH8112"/>
      <c r="GI8112"/>
      <c r="GJ8112"/>
      <c r="GK8112"/>
      <c r="GL8112"/>
      <c r="GM8112"/>
      <c r="GN8112"/>
      <c r="GO8112"/>
    </row>
    <row r="8113" spans="107:197">
      <c r="DC8113"/>
      <c r="FH8113"/>
      <c r="FI8113"/>
      <c r="FJ8113"/>
      <c r="FK8113"/>
      <c r="FL8113"/>
      <c r="FM8113"/>
      <c r="FN8113"/>
      <c r="FO8113"/>
      <c r="FP8113"/>
      <c r="FQ8113"/>
      <c r="FR8113"/>
      <c r="FS8113"/>
      <c r="FT8113"/>
      <c r="FU8113"/>
      <c r="FV8113"/>
      <c r="FW8113"/>
      <c r="FX8113"/>
      <c r="FY8113"/>
      <c r="FZ8113"/>
      <c r="GA8113"/>
      <c r="GB8113"/>
      <c r="GC8113"/>
      <c r="GD8113"/>
      <c r="GE8113"/>
      <c r="GF8113"/>
      <c r="GG8113"/>
      <c r="GH8113"/>
      <c r="GI8113"/>
      <c r="GJ8113"/>
      <c r="GK8113"/>
      <c r="GL8113"/>
      <c r="GM8113"/>
      <c r="GN8113"/>
      <c r="GO8113"/>
    </row>
    <row r="8114" spans="107:197">
      <c r="DC8114"/>
      <c r="FH8114"/>
      <c r="FI8114"/>
      <c r="FJ8114"/>
      <c r="FK8114"/>
      <c r="FL8114"/>
      <c r="FM8114"/>
      <c r="FN8114"/>
      <c r="FO8114"/>
      <c r="FP8114"/>
      <c r="FQ8114"/>
      <c r="FR8114"/>
      <c r="FS8114"/>
      <c r="FT8114"/>
      <c r="FU8114"/>
      <c r="FV8114"/>
      <c r="FW8114"/>
      <c r="FX8114"/>
      <c r="FY8114"/>
      <c r="FZ8114"/>
      <c r="GA8114"/>
      <c r="GB8114"/>
      <c r="GC8114"/>
      <c r="GD8114"/>
      <c r="GE8114"/>
      <c r="GF8114"/>
      <c r="GG8114"/>
      <c r="GH8114"/>
      <c r="GI8114"/>
      <c r="GJ8114"/>
      <c r="GK8114"/>
      <c r="GL8114"/>
      <c r="GM8114"/>
      <c r="GN8114"/>
      <c r="GO8114"/>
    </row>
    <row r="8115" spans="107:197">
      <c r="DC8115"/>
      <c r="FH8115"/>
      <c r="FI8115"/>
      <c r="FJ8115"/>
      <c r="FK8115"/>
      <c r="FL8115"/>
      <c r="FM8115"/>
      <c r="FN8115"/>
      <c r="FO8115"/>
      <c r="FP8115"/>
      <c r="FQ8115"/>
      <c r="FR8115"/>
      <c r="FS8115"/>
      <c r="FT8115"/>
      <c r="FU8115"/>
      <c r="FV8115"/>
      <c r="FW8115"/>
      <c r="FX8115"/>
      <c r="FY8115"/>
      <c r="FZ8115"/>
      <c r="GA8115"/>
      <c r="GB8115"/>
      <c r="GC8115"/>
      <c r="GD8115"/>
      <c r="GE8115"/>
      <c r="GF8115"/>
      <c r="GG8115"/>
      <c r="GH8115"/>
      <c r="GI8115"/>
      <c r="GJ8115"/>
      <c r="GK8115"/>
      <c r="GL8115"/>
      <c r="GM8115"/>
      <c r="GN8115"/>
      <c r="GO8115"/>
    </row>
    <row r="8116" spans="107:197">
      <c r="DC8116"/>
      <c r="FH8116"/>
      <c r="FI8116"/>
      <c r="FJ8116"/>
      <c r="FK8116"/>
      <c r="FL8116"/>
      <c r="FM8116"/>
      <c r="FN8116"/>
      <c r="FO8116"/>
      <c r="FP8116"/>
      <c r="FQ8116"/>
      <c r="FR8116"/>
      <c r="FS8116"/>
      <c r="FT8116"/>
      <c r="FU8116"/>
      <c r="FV8116"/>
      <c r="FW8116"/>
      <c r="FX8116"/>
      <c r="FY8116"/>
      <c r="FZ8116"/>
      <c r="GA8116"/>
      <c r="GB8116"/>
      <c r="GC8116"/>
      <c r="GD8116"/>
      <c r="GE8116"/>
      <c r="GF8116"/>
      <c r="GG8116"/>
      <c r="GH8116"/>
      <c r="GI8116"/>
      <c r="GJ8116"/>
      <c r="GK8116"/>
      <c r="GL8116"/>
      <c r="GM8116"/>
      <c r="GN8116"/>
      <c r="GO8116"/>
    </row>
    <row r="8117" spans="107:197">
      <c r="DC8117"/>
      <c r="FH8117"/>
      <c r="FI8117"/>
      <c r="FJ8117"/>
      <c r="FK8117"/>
      <c r="FL8117"/>
      <c r="FM8117"/>
      <c r="FN8117"/>
      <c r="FO8117"/>
      <c r="FP8117"/>
      <c r="FQ8117"/>
      <c r="FR8117"/>
      <c r="FS8117"/>
      <c r="FT8117"/>
      <c r="FU8117"/>
      <c r="FV8117"/>
      <c r="FW8117"/>
      <c r="FX8117"/>
      <c r="FY8117"/>
      <c r="FZ8117"/>
      <c r="GA8117"/>
      <c r="GB8117"/>
      <c r="GC8117"/>
      <c r="GD8117"/>
      <c r="GE8117"/>
      <c r="GF8117"/>
      <c r="GG8117"/>
      <c r="GH8117"/>
      <c r="GI8117"/>
      <c r="GJ8117"/>
      <c r="GK8117"/>
      <c r="GL8117"/>
      <c r="GM8117"/>
      <c r="GN8117"/>
      <c r="GO8117"/>
    </row>
    <row r="8118" spans="107:197">
      <c r="DC8118"/>
      <c r="FH8118"/>
      <c r="FI8118"/>
      <c r="FJ8118"/>
      <c r="FK8118"/>
      <c r="FL8118"/>
      <c r="FM8118"/>
      <c r="FN8118"/>
      <c r="FO8118"/>
      <c r="FP8118"/>
      <c r="FQ8118"/>
      <c r="FR8118"/>
      <c r="FS8118"/>
      <c r="FT8118"/>
      <c r="FU8118"/>
      <c r="FV8118"/>
      <c r="FW8118"/>
      <c r="FX8118"/>
      <c r="FY8118"/>
      <c r="FZ8118"/>
      <c r="GA8118"/>
      <c r="GB8118"/>
      <c r="GC8118"/>
      <c r="GD8118"/>
      <c r="GE8118"/>
      <c r="GF8118"/>
      <c r="GG8118"/>
      <c r="GH8118"/>
      <c r="GI8118"/>
      <c r="GJ8118"/>
      <c r="GK8118"/>
      <c r="GL8118"/>
      <c r="GM8118"/>
      <c r="GN8118"/>
      <c r="GO8118"/>
    </row>
    <row r="8119" spans="107:197">
      <c r="DC8119"/>
      <c r="FH8119"/>
      <c r="FI8119"/>
      <c r="FJ8119"/>
      <c r="FK8119"/>
      <c r="FL8119"/>
      <c r="FM8119"/>
      <c r="FN8119"/>
      <c r="FO8119"/>
      <c r="FP8119"/>
      <c r="FQ8119"/>
      <c r="FR8119"/>
      <c r="FS8119"/>
      <c r="FT8119"/>
      <c r="FU8119"/>
      <c r="FV8119"/>
      <c r="FW8119"/>
      <c r="FX8119"/>
      <c r="FY8119"/>
      <c r="FZ8119"/>
      <c r="GA8119"/>
      <c r="GB8119"/>
      <c r="GC8119"/>
      <c r="GD8119"/>
      <c r="GE8119"/>
      <c r="GF8119"/>
      <c r="GG8119"/>
      <c r="GH8119"/>
      <c r="GI8119"/>
      <c r="GJ8119"/>
      <c r="GK8119"/>
      <c r="GL8119"/>
      <c r="GM8119"/>
      <c r="GN8119"/>
      <c r="GO8119"/>
    </row>
    <row r="8120" spans="107:197">
      <c r="DC8120"/>
      <c r="FH8120"/>
      <c r="FI8120"/>
      <c r="FJ8120"/>
      <c r="FK8120"/>
      <c r="FL8120"/>
      <c r="FM8120"/>
      <c r="FN8120"/>
      <c r="FO8120"/>
      <c r="FP8120"/>
      <c r="FQ8120"/>
      <c r="FR8120"/>
      <c r="FS8120"/>
      <c r="FT8120"/>
      <c r="FU8120"/>
      <c r="FV8120"/>
      <c r="FW8120"/>
      <c r="FX8120"/>
      <c r="FY8120"/>
      <c r="FZ8120"/>
      <c r="GA8120"/>
      <c r="GB8120"/>
      <c r="GC8120"/>
      <c r="GD8120"/>
      <c r="GE8120"/>
      <c r="GF8120"/>
      <c r="GG8120"/>
      <c r="GH8120"/>
      <c r="GI8120"/>
      <c r="GJ8120"/>
      <c r="GK8120"/>
      <c r="GL8120"/>
      <c r="GM8120"/>
      <c r="GN8120"/>
      <c r="GO8120"/>
    </row>
    <row r="8121" spans="107:197">
      <c r="DC8121"/>
      <c r="FH8121"/>
      <c r="FI8121"/>
      <c r="FJ8121"/>
      <c r="FK8121"/>
      <c r="FL8121"/>
      <c r="FM8121"/>
      <c r="FN8121"/>
      <c r="FO8121"/>
      <c r="FP8121"/>
      <c r="FQ8121"/>
      <c r="FR8121"/>
      <c r="FS8121"/>
      <c r="FT8121"/>
      <c r="FU8121"/>
      <c r="FV8121"/>
      <c r="FW8121"/>
      <c r="FX8121"/>
      <c r="FY8121"/>
      <c r="FZ8121"/>
      <c r="GA8121"/>
      <c r="GB8121"/>
      <c r="GC8121"/>
      <c r="GD8121"/>
      <c r="GE8121"/>
      <c r="GF8121"/>
      <c r="GG8121"/>
      <c r="GH8121"/>
      <c r="GI8121"/>
      <c r="GJ8121"/>
      <c r="GK8121"/>
      <c r="GL8121"/>
      <c r="GM8121"/>
      <c r="GN8121"/>
      <c r="GO8121"/>
    </row>
    <row r="8122" spans="107:197">
      <c r="DC8122"/>
      <c r="FH8122"/>
      <c r="FI8122"/>
      <c r="FJ8122"/>
      <c r="FK8122"/>
      <c r="FL8122"/>
      <c r="FM8122"/>
      <c r="FN8122"/>
      <c r="FO8122"/>
      <c r="FP8122"/>
      <c r="FQ8122"/>
      <c r="FR8122"/>
      <c r="FS8122"/>
      <c r="FT8122"/>
      <c r="FU8122"/>
      <c r="FV8122"/>
      <c r="FW8122"/>
      <c r="FX8122"/>
      <c r="FY8122"/>
      <c r="FZ8122"/>
      <c r="GA8122"/>
      <c r="GB8122"/>
      <c r="GC8122"/>
      <c r="GD8122"/>
      <c r="GE8122"/>
      <c r="GF8122"/>
      <c r="GG8122"/>
      <c r="GH8122"/>
      <c r="GI8122"/>
      <c r="GJ8122"/>
      <c r="GK8122"/>
      <c r="GL8122"/>
      <c r="GM8122"/>
      <c r="GN8122"/>
      <c r="GO8122"/>
    </row>
    <row r="8123" spans="107:197">
      <c r="DC8123"/>
      <c r="FH8123"/>
      <c r="FI8123"/>
      <c r="FJ8123"/>
      <c r="FK8123"/>
      <c r="FL8123"/>
      <c r="FM8123"/>
      <c r="FN8123"/>
      <c r="FO8123"/>
      <c r="FP8123"/>
      <c r="FQ8123"/>
      <c r="FR8123"/>
      <c r="FS8123"/>
      <c r="FT8123"/>
      <c r="FU8123"/>
      <c r="FV8123"/>
      <c r="FW8123"/>
      <c r="FX8123"/>
      <c r="FY8123"/>
      <c r="FZ8123"/>
      <c r="GA8123"/>
      <c r="GB8123"/>
      <c r="GC8123"/>
      <c r="GD8123"/>
      <c r="GE8123"/>
      <c r="GF8123"/>
      <c r="GG8123"/>
      <c r="GH8123"/>
      <c r="GI8123"/>
      <c r="GJ8123"/>
      <c r="GK8123"/>
      <c r="GL8123"/>
      <c r="GM8123"/>
      <c r="GN8123"/>
      <c r="GO8123"/>
    </row>
    <row r="8124" spans="107:197">
      <c r="DC8124"/>
      <c r="FH8124"/>
      <c r="FI8124"/>
      <c r="FJ8124"/>
      <c r="FK8124"/>
      <c r="FL8124"/>
      <c r="FM8124"/>
      <c r="FN8124"/>
      <c r="FO8124"/>
      <c r="FP8124"/>
      <c r="FQ8124"/>
      <c r="FR8124"/>
      <c r="FS8124"/>
      <c r="FT8124"/>
      <c r="FU8124"/>
      <c r="FV8124"/>
      <c r="FW8124"/>
      <c r="FX8124"/>
      <c r="FY8124"/>
      <c r="FZ8124"/>
      <c r="GA8124"/>
      <c r="GB8124"/>
      <c r="GC8124"/>
      <c r="GD8124"/>
      <c r="GE8124"/>
      <c r="GF8124"/>
      <c r="GG8124"/>
      <c r="GH8124"/>
      <c r="GI8124"/>
      <c r="GJ8124"/>
      <c r="GK8124"/>
      <c r="GL8124"/>
      <c r="GM8124"/>
      <c r="GN8124"/>
      <c r="GO8124"/>
    </row>
    <row r="8125" spans="107:197">
      <c r="DC8125"/>
      <c r="FH8125"/>
      <c r="FI8125"/>
      <c r="FJ8125"/>
      <c r="FK8125"/>
      <c r="FL8125"/>
      <c r="FM8125"/>
      <c r="FN8125"/>
      <c r="FO8125"/>
      <c r="FP8125"/>
      <c r="FQ8125"/>
      <c r="FR8125"/>
      <c r="FS8125"/>
      <c r="FT8125"/>
      <c r="FU8125"/>
      <c r="FV8125"/>
      <c r="FW8125"/>
      <c r="FX8125"/>
      <c r="FY8125"/>
      <c r="FZ8125"/>
      <c r="GA8125"/>
      <c r="GB8125"/>
      <c r="GC8125"/>
      <c r="GD8125"/>
      <c r="GE8125"/>
      <c r="GF8125"/>
      <c r="GG8125"/>
      <c r="GH8125"/>
      <c r="GI8125"/>
      <c r="GJ8125"/>
      <c r="GK8125"/>
      <c r="GL8125"/>
      <c r="GM8125"/>
      <c r="GN8125"/>
      <c r="GO8125"/>
    </row>
    <row r="8126" spans="107:197">
      <c r="DC8126"/>
      <c r="FH8126"/>
      <c r="FI8126"/>
      <c r="FJ8126"/>
      <c r="FK8126"/>
      <c r="FL8126"/>
      <c r="FM8126"/>
      <c r="FN8126"/>
      <c r="FO8126"/>
      <c r="FP8126"/>
      <c r="FQ8126"/>
      <c r="FR8126"/>
      <c r="FS8126"/>
      <c r="FT8126"/>
      <c r="FU8126"/>
      <c r="FV8126"/>
      <c r="FW8126"/>
      <c r="FX8126"/>
      <c r="FY8126"/>
      <c r="FZ8126"/>
      <c r="GA8126"/>
      <c r="GB8126"/>
      <c r="GC8126"/>
      <c r="GD8126"/>
      <c r="GE8126"/>
      <c r="GF8126"/>
      <c r="GG8126"/>
      <c r="GH8126"/>
      <c r="GI8126"/>
      <c r="GJ8126"/>
      <c r="GK8126"/>
      <c r="GL8126"/>
      <c r="GM8126"/>
      <c r="GN8126"/>
      <c r="GO8126"/>
    </row>
    <row r="8127" spans="107:197">
      <c r="DC8127"/>
      <c r="FH8127"/>
      <c r="FI8127"/>
      <c r="FJ8127"/>
      <c r="FK8127"/>
      <c r="FL8127"/>
      <c r="FM8127"/>
      <c r="FN8127"/>
      <c r="FO8127"/>
      <c r="FP8127"/>
      <c r="FQ8127"/>
      <c r="FR8127"/>
      <c r="FS8127"/>
      <c r="FT8127"/>
      <c r="FU8127"/>
      <c r="FV8127"/>
      <c r="FW8127"/>
      <c r="FX8127"/>
      <c r="FY8127"/>
      <c r="FZ8127"/>
      <c r="GA8127"/>
      <c r="GB8127"/>
      <c r="GC8127"/>
      <c r="GD8127"/>
      <c r="GE8127"/>
      <c r="GF8127"/>
      <c r="GG8127"/>
      <c r="GH8127"/>
      <c r="GI8127"/>
      <c r="GJ8127"/>
      <c r="GK8127"/>
      <c r="GL8127"/>
      <c r="GM8127"/>
      <c r="GN8127"/>
      <c r="GO8127"/>
    </row>
    <row r="8128" spans="107:197">
      <c r="DC8128"/>
      <c r="FH8128"/>
      <c r="FI8128"/>
      <c r="FJ8128"/>
      <c r="FK8128"/>
      <c r="FL8128"/>
      <c r="FM8128"/>
      <c r="FN8128"/>
      <c r="FO8128"/>
      <c r="FP8128"/>
      <c r="FQ8128"/>
      <c r="FR8128"/>
      <c r="FS8128"/>
      <c r="FT8128"/>
      <c r="FU8128"/>
      <c r="FV8128"/>
      <c r="FW8128"/>
      <c r="FX8128"/>
      <c r="FY8128"/>
      <c r="FZ8128"/>
      <c r="GA8128"/>
      <c r="GB8128"/>
      <c r="GC8128"/>
      <c r="GD8128"/>
      <c r="GE8128"/>
      <c r="GF8128"/>
      <c r="GG8128"/>
      <c r="GH8128"/>
      <c r="GI8128"/>
      <c r="GJ8128"/>
      <c r="GK8128"/>
      <c r="GL8128"/>
      <c r="GM8128"/>
      <c r="GN8128"/>
      <c r="GO8128"/>
    </row>
    <row r="8129" spans="107:197">
      <c r="DC8129"/>
      <c r="FH8129"/>
      <c r="FI8129"/>
      <c r="FJ8129"/>
      <c r="FK8129"/>
      <c r="FL8129"/>
      <c r="FM8129"/>
      <c r="FN8129"/>
      <c r="FO8129"/>
      <c r="FP8129"/>
      <c r="FQ8129"/>
      <c r="FR8129"/>
      <c r="FS8129"/>
      <c r="FT8129"/>
      <c r="FU8129"/>
      <c r="FV8129"/>
      <c r="FW8129"/>
      <c r="FX8129"/>
      <c r="FY8129"/>
      <c r="FZ8129"/>
      <c r="GA8129"/>
      <c r="GB8129"/>
      <c r="GC8129"/>
      <c r="GD8129"/>
      <c r="GE8129"/>
      <c r="GF8129"/>
      <c r="GG8129"/>
      <c r="GH8129"/>
      <c r="GI8129"/>
      <c r="GJ8129"/>
      <c r="GK8129"/>
      <c r="GL8129"/>
      <c r="GM8129"/>
      <c r="GN8129"/>
      <c r="GO8129"/>
    </row>
    <row r="8130" spans="107:197">
      <c r="DC8130"/>
      <c r="FH8130"/>
      <c r="FI8130"/>
      <c r="FJ8130"/>
      <c r="FK8130"/>
      <c r="FL8130"/>
      <c r="FM8130"/>
      <c r="FN8130"/>
      <c r="FO8130"/>
      <c r="FP8130"/>
      <c r="FQ8130"/>
      <c r="FR8130"/>
      <c r="FS8130"/>
      <c r="FT8130"/>
      <c r="FU8130"/>
      <c r="FV8130"/>
      <c r="FW8130"/>
      <c r="FX8130"/>
      <c r="FY8130"/>
      <c r="FZ8130"/>
      <c r="GA8130"/>
      <c r="GB8130"/>
      <c r="GC8130"/>
      <c r="GD8130"/>
      <c r="GE8130"/>
      <c r="GF8130"/>
      <c r="GG8130"/>
      <c r="GH8130"/>
      <c r="GI8130"/>
      <c r="GJ8130"/>
      <c r="GK8130"/>
      <c r="GL8130"/>
      <c r="GM8130"/>
      <c r="GN8130"/>
      <c r="GO8130"/>
    </row>
    <row r="8131" spans="107:197">
      <c r="DC8131"/>
      <c r="FH8131"/>
      <c r="FI8131"/>
      <c r="FJ8131"/>
      <c r="FK8131"/>
      <c r="FL8131"/>
      <c r="FM8131"/>
      <c r="FN8131"/>
      <c r="FO8131"/>
      <c r="FP8131"/>
      <c r="FQ8131"/>
      <c r="FR8131"/>
      <c r="FS8131"/>
      <c r="FT8131"/>
      <c r="FU8131"/>
      <c r="FV8131"/>
      <c r="FW8131"/>
      <c r="FX8131"/>
      <c r="FY8131"/>
      <c r="FZ8131"/>
      <c r="GA8131"/>
      <c r="GB8131"/>
      <c r="GC8131"/>
      <c r="GD8131"/>
      <c r="GE8131"/>
      <c r="GF8131"/>
      <c r="GG8131"/>
      <c r="GH8131"/>
      <c r="GI8131"/>
      <c r="GJ8131"/>
      <c r="GK8131"/>
      <c r="GL8131"/>
      <c r="GM8131"/>
      <c r="GN8131"/>
      <c r="GO8131"/>
    </row>
    <row r="8132" spans="107:197">
      <c r="DC8132"/>
      <c r="FH8132"/>
      <c r="FI8132"/>
      <c r="FJ8132"/>
      <c r="FK8132"/>
      <c r="FL8132"/>
      <c r="FM8132"/>
      <c r="FN8132"/>
      <c r="FO8132"/>
      <c r="FP8132"/>
      <c r="FQ8132"/>
      <c r="FR8132"/>
      <c r="FS8132"/>
      <c r="FT8132"/>
      <c r="FU8132"/>
      <c r="FV8132"/>
      <c r="FW8132"/>
      <c r="FX8132"/>
      <c r="FY8132"/>
      <c r="FZ8132"/>
      <c r="GA8132"/>
      <c r="GB8132"/>
      <c r="GC8132"/>
      <c r="GD8132"/>
      <c r="GE8132"/>
      <c r="GF8132"/>
      <c r="GG8132"/>
      <c r="GH8132"/>
      <c r="GI8132"/>
      <c r="GJ8132"/>
      <c r="GK8132"/>
      <c r="GL8132"/>
      <c r="GM8132"/>
      <c r="GN8132"/>
      <c r="GO8132"/>
    </row>
    <row r="8133" spans="107:197">
      <c r="DC8133"/>
      <c r="FH8133"/>
      <c r="FI8133"/>
      <c r="FJ8133"/>
      <c r="FK8133"/>
      <c r="FL8133"/>
      <c r="FM8133"/>
      <c r="FN8133"/>
      <c r="FO8133"/>
      <c r="FP8133"/>
      <c r="FQ8133"/>
      <c r="FR8133"/>
      <c r="FS8133"/>
      <c r="FT8133"/>
      <c r="FU8133"/>
      <c r="FV8133"/>
      <c r="FW8133"/>
      <c r="FX8133"/>
      <c r="FY8133"/>
      <c r="FZ8133"/>
      <c r="GA8133"/>
      <c r="GB8133"/>
      <c r="GC8133"/>
      <c r="GD8133"/>
      <c r="GE8133"/>
      <c r="GF8133"/>
      <c r="GG8133"/>
      <c r="GH8133"/>
      <c r="GI8133"/>
      <c r="GJ8133"/>
      <c r="GK8133"/>
      <c r="GL8133"/>
      <c r="GM8133"/>
      <c r="GN8133"/>
      <c r="GO8133"/>
    </row>
    <row r="8134" spans="107:197">
      <c r="DC8134"/>
      <c r="FH8134"/>
      <c r="FI8134"/>
      <c r="FJ8134"/>
      <c r="FK8134"/>
      <c r="FL8134"/>
      <c r="FM8134"/>
      <c r="FN8134"/>
      <c r="FO8134"/>
      <c r="FP8134"/>
      <c r="FQ8134"/>
      <c r="FR8134"/>
      <c r="FS8134"/>
      <c r="FT8134"/>
      <c r="FU8134"/>
      <c r="FV8134"/>
      <c r="FW8134"/>
      <c r="FX8134"/>
      <c r="FY8134"/>
      <c r="FZ8134"/>
      <c r="GA8134"/>
      <c r="GB8134"/>
      <c r="GC8134"/>
      <c r="GD8134"/>
      <c r="GE8134"/>
      <c r="GF8134"/>
      <c r="GG8134"/>
      <c r="GH8134"/>
      <c r="GI8134"/>
      <c r="GJ8134"/>
      <c r="GK8134"/>
      <c r="GL8134"/>
      <c r="GM8134"/>
      <c r="GN8134"/>
      <c r="GO8134"/>
    </row>
    <row r="8135" spans="107:197">
      <c r="DC8135"/>
      <c r="FH8135"/>
      <c r="FI8135"/>
      <c r="FJ8135"/>
      <c r="FK8135"/>
      <c r="FL8135"/>
      <c r="FM8135"/>
      <c r="FN8135"/>
      <c r="FO8135"/>
      <c r="FP8135"/>
      <c r="FQ8135"/>
      <c r="FR8135"/>
      <c r="FS8135"/>
      <c r="FT8135"/>
      <c r="FU8135"/>
      <c r="FV8135"/>
      <c r="FW8135"/>
      <c r="FX8135"/>
      <c r="FY8135"/>
      <c r="FZ8135"/>
      <c r="GA8135"/>
      <c r="GB8135"/>
      <c r="GC8135"/>
      <c r="GD8135"/>
      <c r="GE8135"/>
      <c r="GF8135"/>
      <c r="GG8135"/>
      <c r="GH8135"/>
      <c r="GI8135"/>
      <c r="GJ8135"/>
      <c r="GK8135"/>
      <c r="GL8135"/>
      <c r="GM8135"/>
      <c r="GN8135"/>
      <c r="GO8135"/>
    </row>
    <row r="8136" spans="107:197">
      <c r="DC8136"/>
      <c r="FH8136"/>
      <c r="FI8136"/>
      <c r="FJ8136"/>
      <c r="FK8136"/>
      <c r="FL8136"/>
      <c r="FM8136"/>
      <c r="FN8136"/>
      <c r="FO8136"/>
      <c r="FP8136"/>
      <c r="FQ8136"/>
      <c r="FR8136"/>
      <c r="FS8136"/>
      <c r="FT8136"/>
      <c r="FU8136"/>
      <c r="FV8136"/>
      <c r="FW8136"/>
      <c r="FX8136"/>
      <c r="FY8136"/>
      <c r="FZ8136"/>
      <c r="GA8136"/>
      <c r="GB8136"/>
      <c r="GC8136"/>
      <c r="GD8136"/>
      <c r="GE8136"/>
      <c r="GF8136"/>
      <c r="GG8136"/>
      <c r="GH8136"/>
      <c r="GI8136"/>
      <c r="GJ8136"/>
      <c r="GK8136"/>
      <c r="GL8136"/>
      <c r="GM8136"/>
      <c r="GN8136"/>
      <c r="GO8136"/>
    </row>
    <row r="8137" spans="107:197">
      <c r="DC8137"/>
      <c r="FH8137"/>
      <c r="FI8137"/>
      <c r="FJ8137"/>
      <c r="FK8137"/>
      <c r="FL8137"/>
      <c r="FM8137"/>
      <c r="FN8137"/>
      <c r="FO8137"/>
      <c r="FP8137"/>
      <c r="FQ8137"/>
      <c r="FR8137"/>
      <c r="FS8137"/>
      <c r="FT8137"/>
      <c r="FU8137"/>
      <c r="FV8137"/>
      <c r="FW8137"/>
      <c r="FX8137"/>
      <c r="FY8137"/>
      <c r="FZ8137"/>
      <c r="GA8137"/>
      <c r="GB8137"/>
      <c r="GC8137"/>
      <c r="GD8137"/>
      <c r="GE8137"/>
      <c r="GF8137"/>
      <c r="GG8137"/>
      <c r="GH8137"/>
      <c r="GI8137"/>
      <c r="GJ8137"/>
      <c r="GK8137"/>
      <c r="GL8137"/>
      <c r="GM8137"/>
      <c r="GN8137"/>
      <c r="GO8137"/>
    </row>
    <row r="8138" spans="107:197">
      <c r="DC8138"/>
      <c r="FH8138"/>
      <c r="FI8138"/>
      <c r="FJ8138"/>
      <c r="FK8138"/>
      <c r="FL8138"/>
      <c r="FM8138"/>
      <c r="FN8138"/>
      <c r="FO8138"/>
      <c r="FP8138"/>
      <c r="FQ8138"/>
      <c r="FR8138"/>
      <c r="FS8138"/>
      <c r="FT8138"/>
      <c r="FU8138"/>
      <c r="FV8138"/>
      <c r="FW8138"/>
      <c r="FX8138"/>
      <c r="FY8138"/>
      <c r="FZ8138"/>
      <c r="GA8138"/>
      <c r="GB8138"/>
      <c r="GC8138"/>
      <c r="GD8138"/>
      <c r="GE8138"/>
      <c r="GF8138"/>
      <c r="GG8138"/>
      <c r="GH8138"/>
      <c r="GI8138"/>
      <c r="GJ8138"/>
      <c r="GK8138"/>
      <c r="GL8138"/>
      <c r="GM8138"/>
      <c r="GN8138"/>
      <c r="GO8138"/>
    </row>
    <row r="8139" spans="107:197">
      <c r="DC8139"/>
      <c r="FH8139"/>
      <c r="FI8139"/>
      <c r="FJ8139"/>
      <c r="FK8139"/>
      <c r="FL8139"/>
      <c r="FM8139"/>
      <c r="FN8139"/>
      <c r="FO8139"/>
      <c r="FP8139"/>
      <c r="FQ8139"/>
      <c r="FR8139"/>
      <c r="FS8139"/>
      <c r="FT8139"/>
      <c r="FU8139"/>
      <c r="FV8139"/>
      <c r="FW8139"/>
      <c r="FX8139"/>
      <c r="FY8139"/>
      <c r="FZ8139"/>
      <c r="GA8139"/>
      <c r="GB8139"/>
      <c r="GC8139"/>
      <c r="GD8139"/>
      <c r="GE8139"/>
      <c r="GF8139"/>
      <c r="GG8139"/>
      <c r="GH8139"/>
      <c r="GI8139"/>
      <c r="GJ8139"/>
      <c r="GK8139"/>
      <c r="GL8139"/>
      <c r="GM8139"/>
      <c r="GN8139"/>
      <c r="GO8139"/>
    </row>
    <row r="8140" spans="107:197">
      <c r="DC8140"/>
      <c r="FH8140"/>
      <c r="FI8140"/>
      <c r="FJ8140"/>
      <c r="FK8140"/>
      <c r="FL8140"/>
      <c r="FM8140"/>
      <c r="FN8140"/>
      <c r="FO8140"/>
      <c r="FP8140"/>
      <c r="FQ8140"/>
      <c r="FR8140"/>
      <c r="FS8140"/>
      <c r="FT8140"/>
      <c r="FU8140"/>
      <c r="FV8140"/>
      <c r="FW8140"/>
      <c r="FX8140"/>
      <c r="FY8140"/>
      <c r="FZ8140"/>
      <c r="GA8140"/>
      <c r="GB8140"/>
      <c r="GC8140"/>
      <c r="GD8140"/>
      <c r="GE8140"/>
      <c r="GF8140"/>
      <c r="GG8140"/>
      <c r="GH8140"/>
      <c r="GI8140"/>
      <c r="GJ8140"/>
      <c r="GK8140"/>
      <c r="GL8140"/>
      <c r="GM8140"/>
      <c r="GN8140"/>
      <c r="GO8140"/>
    </row>
    <row r="8141" spans="107:197">
      <c r="DC8141"/>
      <c r="FH8141"/>
      <c r="FI8141"/>
      <c r="FJ8141"/>
      <c r="FK8141"/>
      <c r="FL8141"/>
      <c r="FM8141"/>
      <c r="FN8141"/>
      <c r="FO8141"/>
      <c r="FP8141"/>
      <c r="FQ8141"/>
      <c r="FR8141"/>
      <c r="FS8141"/>
      <c r="FT8141"/>
      <c r="FU8141"/>
      <c r="FV8141"/>
      <c r="FW8141"/>
      <c r="FX8141"/>
      <c r="FY8141"/>
      <c r="FZ8141"/>
      <c r="GA8141"/>
      <c r="GB8141"/>
      <c r="GC8141"/>
      <c r="GD8141"/>
      <c r="GE8141"/>
      <c r="GF8141"/>
      <c r="GG8141"/>
      <c r="GH8141"/>
      <c r="GI8141"/>
      <c r="GJ8141"/>
      <c r="GK8141"/>
      <c r="GL8141"/>
      <c r="GM8141"/>
      <c r="GN8141"/>
      <c r="GO8141"/>
    </row>
    <row r="8142" spans="107:197">
      <c r="DC8142"/>
      <c r="FH8142"/>
      <c r="FI8142"/>
      <c r="FJ8142"/>
      <c r="FK8142"/>
      <c r="FL8142"/>
      <c r="FM8142"/>
      <c r="FN8142"/>
      <c r="FO8142"/>
      <c r="FP8142"/>
      <c r="FQ8142"/>
      <c r="FR8142"/>
      <c r="FS8142"/>
      <c r="FT8142"/>
      <c r="FU8142"/>
      <c r="FV8142"/>
      <c r="FW8142"/>
      <c r="FX8142"/>
      <c r="FY8142"/>
      <c r="FZ8142"/>
      <c r="GA8142"/>
      <c r="GB8142"/>
      <c r="GC8142"/>
      <c r="GD8142"/>
      <c r="GE8142"/>
      <c r="GF8142"/>
      <c r="GG8142"/>
      <c r="GH8142"/>
      <c r="GI8142"/>
      <c r="GJ8142"/>
      <c r="GK8142"/>
      <c r="GL8142"/>
      <c r="GM8142"/>
      <c r="GN8142"/>
      <c r="GO8142"/>
    </row>
    <row r="8143" spans="107:197">
      <c r="DC8143"/>
      <c r="FH8143"/>
      <c r="FI8143"/>
      <c r="FJ8143"/>
      <c r="FK8143"/>
      <c r="FL8143"/>
      <c r="FM8143"/>
      <c r="FN8143"/>
      <c r="FO8143"/>
      <c r="FP8143"/>
      <c r="FQ8143"/>
      <c r="FR8143"/>
      <c r="FS8143"/>
      <c r="FT8143"/>
      <c r="FU8143"/>
      <c r="FV8143"/>
      <c r="FW8143"/>
      <c r="FX8143"/>
      <c r="FY8143"/>
      <c r="FZ8143"/>
      <c r="GA8143"/>
      <c r="GB8143"/>
      <c r="GC8143"/>
      <c r="GD8143"/>
      <c r="GE8143"/>
      <c r="GF8143"/>
      <c r="GG8143"/>
      <c r="GH8143"/>
      <c r="GI8143"/>
      <c r="GJ8143"/>
      <c r="GK8143"/>
      <c r="GL8143"/>
      <c r="GM8143"/>
      <c r="GN8143"/>
      <c r="GO8143"/>
    </row>
    <row r="8144" spans="107:197">
      <c r="DC8144"/>
      <c r="FH8144"/>
      <c r="FI8144"/>
      <c r="FJ8144"/>
      <c r="FK8144"/>
      <c r="FL8144"/>
      <c r="FM8144"/>
      <c r="FN8144"/>
      <c r="FO8144"/>
      <c r="FP8144"/>
      <c r="FQ8144"/>
      <c r="FR8144"/>
      <c r="FS8144"/>
      <c r="FT8144"/>
      <c r="FU8144"/>
      <c r="FV8144"/>
      <c r="FW8144"/>
      <c r="FX8144"/>
      <c r="FY8144"/>
      <c r="FZ8144"/>
      <c r="GA8144"/>
      <c r="GB8144"/>
      <c r="GC8144"/>
      <c r="GD8144"/>
      <c r="GE8144"/>
      <c r="GF8144"/>
      <c r="GG8144"/>
      <c r="GH8144"/>
      <c r="GI8144"/>
      <c r="GJ8144"/>
      <c r="GK8144"/>
      <c r="GL8144"/>
      <c r="GM8144"/>
      <c r="GN8144"/>
      <c r="GO8144"/>
    </row>
    <row r="8145" spans="107:197">
      <c r="DC8145"/>
      <c r="FH8145"/>
      <c r="FI8145"/>
      <c r="FJ8145"/>
      <c r="FK8145"/>
      <c r="FL8145"/>
      <c r="FM8145"/>
      <c r="FN8145"/>
      <c r="FO8145"/>
      <c r="FP8145"/>
      <c r="FQ8145"/>
      <c r="FR8145"/>
      <c r="FS8145"/>
      <c r="FT8145"/>
      <c r="FU8145"/>
      <c r="FV8145"/>
      <c r="FW8145"/>
      <c r="FX8145"/>
      <c r="FY8145"/>
      <c r="FZ8145"/>
      <c r="GA8145"/>
      <c r="GB8145"/>
      <c r="GC8145"/>
      <c r="GD8145"/>
      <c r="GE8145"/>
      <c r="GF8145"/>
      <c r="GG8145"/>
      <c r="GH8145"/>
      <c r="GI8145"/>
      <c r="GJ8145"/>
      <c r="GK8145"/>
      <c r="GL8145"/>
      <c r="GM8145"/>
      <c r="GN8145"/>
      <c r="GO8145"/>
    </row>
    <row r="8146" spans="107:197">
      <c r="DC8146"/>
      <c r="FH8146"/>
      <c r="FI8146"/>
      <c r="FJ8146"/>
      <c r="FK8146"/>
      <c r="FL8146"/>
      <c r="FM8146"/>
      <c r="FN8146"/>
      <c r="FO8146"/>
      <c r="FP8146"/>
      <c r="FQ8146"/>
      <c r="FR8146"/>
      <c r="FS8146"/>
      <c r="FT8146"/>
      <c r="FU8146"/>
      <c r="FV8146"/>
      <c r="FW8146"/>
      <c r="FX8146"/>
      <c r="FY8146"/>
      <c r="FZ8146"/>
      <c r="GA8146"/>
      <c r="GB8146"/>
      <c r="GC8146"/>
      <c r="GD8146"/>
      <c r="GE8146"/>
      <c r="GF8146"/>
      <c r="GG8146"/>
      <c r="GH8146"/>
      <c r="GI8146"/>
      <c r="GJ8146"/>
      <c r="GK8146"/>
      <c r="GL8146"/>
      <c r="GM8146"/>
      <c r="GN8146"/>
      <c r="GO8146"/>
    </row>
    <row r="8147" spans="107:197">
      <c r="DC8147"/>
      <c r="FH8147"/>
      <c r="FI8147"/>
      <c r="FJ8147"/>
      <c r="FK8147"/>
      <c r="FL8147"/>
      <c r="FM8147"/>
      <c r="FN8147"/>
      <c r="FO8147"/>
      <c r="FP8147"/>
      <c r="FQ8147"/>
      <c r="FR8147"/>
      <c r="FS8147"/>
      <c r="FT8147"/>
      <c r="FU8147"/>
      <c r="FV8147"/>
      <c r="FW8147"/>
      <c r="FX8147"/>
      <c r="FY8147"/>
      <c r="FZ8147"/>
      <c r="GA8147"/>
      <c r="GB8147"/>
      <c r="GC8147"/>
      <c r="GD8147"/>
      <c r="GE8147"/>
      <c r="GF8147"/>
      <c r="GG8147"/>
      <c r="GH8147"/>
      <c r="GI8147"/>
      <c r="GJ8147"/>
      <c r="GK8147"/>
      <c r="GL8147"/>
      <c r="GM8147"/>
      <c r="GN8147"/>
      <c r="GO8147"/>
    </row>
    <row r="8148" spans="107:197">
      <c r="DC8148"/>
      <c r="FH8148"/>
      <c r="FI8148"/>
      <c r="FJ8148"/>
      <c r="FK8148"/>
      <c r="FL8148"/>
      <c r="FM8148"/>
      <c r="FN8148"/>
      <c r="FO8148"/>
      <c r="FP8148"/>
      <c r="FQ8148"/>
      <c r="FR8148"/>
      <c r="FS8148"/>
      <c r="FT8148"/>
      <c r="FU8148"/>
      <c r="FV8148"/>
      <c r="FW8148"/>
      <c r="FX8148"/>
      <c r="FY8148"/>
      <c r="FZ8148"/>
      <c r="GA8148"/>
      <c r="GB8148"/>
      <c r="GC8148"/>
      <c r="GD8148"/>
      <c r="GE8148"/>
      <c r="GF8148"/>
      <c r="GG8148"/>
      <c r="GH8148"/>
      <c r="GI8148"/>
      <c r="GJ8148"/>
      <c r="GK8148"/>
      <c r="GL8148"/>
      <c r="GM8148"/>
      <c r="GN8148"/>
      <c r="GO8148"/>
    </row>
    <row r="8149" spans="107:197">
      <c r="DC8149"/>
      <c r="FH8149"/>
      <c r="FI8149"/>
      <c r="FJ8149"/>
      <c r="FK8149"/>
      <c r="FL8149"/>
      <c r="FM8149"/>
      <c r="FN8149"/>
      <c r="FO8149"/>
      <c r="FP8149"/>
      <c r="FQ8149"/>
      <c r="FR8149"/>
      <c r="FS8149"/>
      <c r="FT8149"/>
      <c r="FU8149"/>
      <c r="FV8149"/>
      <c r="FW8149"/>
      <c r="FX8149"/>
      <c r="FY8149"/>
      <c r="FZ8149"/>
      <c r="GA8149"/>
      <c r="GB8149"/>
      <c r="GC8149"/>
      <c r="GD8149"/>
      <c r="GE8149"/>
      <c r="GF8149"/>
      <c r="GG8149"/>
      <c r="GH8149"/>
      <c r="GI8149"/>
      <c r="GJ8149"/>
      <c r="GK8149"/>
      <c r="GL8149"/>
      <c r="GM8149"/>
      <c r="GN8149"/>
      <c r="GO8149"/>
    </row>
    <row r="8150" spans="107:197">
      <c r="DC8150"/>
      <c r="FH8150"/>
      <c r="FI8150"/>
      <c r="FJ8150"/>
      <c r="FK8150"/>
      <c r="FL8150"/>
      <c r="FM8150"/>
      <c r="FN8150"/>
      <c r="FO8150"/>
      <c r="FP8150"/>
      <c r="FQ8150"/>
      <c r="FR8150"/>
      <c r="FS8150"/>
      <c r="FT8150"/>
      <c r="FU8150"/>
      <c r="FV8150"/>
      <c r="FW8150"/>
      <c r="FX8150"/>
      <c r="FY8150"/>
      <c r="FZ8150"/>
      <c r="GA8150"/>
      <c r="GB8150"/>
      <c r="GC8150"/>
      <c r="GD8150"/>
      <c r="GE8150"/>
      <c r="GF8150"/>
      <c r="GG8150"/>
      <c r="GH8150"/>
      <c r="GI8150"/>
      <c r="GJ8150"/>
      <c r="GK8150"/>
      <c r="GL8150"/>
      <c r="GM8150"/>
      <c r="GN8150"/>
      <c r="GO8150"/>
    </row>
    <row r="8151" spans="107:197">
      <c r="DC8151"/>
      <c r="FH8151"/>
      <c r="FI8151"/>
      <c r="FJ8151"/>
      <c r="FK8151"/>
      <c r="FL8151"/>
      <c r="FM8151"/>
      <c r="FN8151"/>
      <c r="FO8151"/>
      <c r="FP8151"/>
      <c r="FQ8151"/>
      <c r="FR8151"/>
      <c r="FS8151"/>
      <c r="FT8151"/>
      <c r="FU8151"/>
      <c r="FV8151"/>
      <c r="FW8151"/>
      <c r="FX8151"/>
      <c r="FY8151"/>
      <c r="FZ8151"/>
      <c r="GA8151"/>
      <c r="GB8151"/>
      <c r="GC8151"/>
      <c r="GD8151"/>
      <c r="GE8151"/>
      <c r="GF8151"/>
      <c r="GG8151"/>
      <c r="GH8151"/>
      <c r="GI8151"/>
      <c r="GJ8151"/>
      <c r="GK8151"/>
      <c r="GL8151"/>
      <c r="GM8151"/>
      <c r="GN8151"/>
      <c r="GO8151"/>
    </row>
    <row r="8152" spans="107:197">
      <c r="DC8152"/>
      <c r="FH8152"/>
      <c r="FI8152"/>
      <c r="FJ8152"/>
      <c r="FK8152"/>
      <c r="FL8152"/>
      <c r="FM8152"/>
      <c r="FN8152"/>
      <c r="FO8152"/>
      <c r="FP8152"/>
      <c r="FQ8152"/>
      <c r="FR8152"/>
      <c r="FS8152"/>
      <c r="FT8152"/>
      <c r="FU8152"/>
      <c r="FV8152"/>
      <c r="FW8152"/>
      <c r="FX8152"/>
      <c r="FY8152"/>
      <c r="FZ8152"/>
      <c r="GA8152"/>
      <c r="GB8152"/>
      <c r="GC8152"/>
      <c r="GD8152"/>
      <c r="GE8152"/>
      <c r="GF8152"/>
      <c r="GG8152"/>
      <c r="GH8152"/>
      <c r="GI8152"/>
      <c r="GJ8152"/>
      <c r="GK8152"/>
      <c r="GL8152"/>
      <c r="GM8152"/>
      <c r="GN8152"/>
      <c r="GO8152"/>
    </row>
    <row r="8153" spans="107:197">
      <c r="DC8153"/>
      <c r="FH8153"/>
      <c r="FI8153"/>
      <c r="FJ8153"/>
      <c r="FK8153"/>
      <c r="FL8153"/>
      <c r="FM8153"/>
      <c r="FN8153"/>
      <c r="FO8153"/>
      <c r="FP8153"/>
      <c r="FQ8153"/>
      <c r="FR8153"/>
      <c r="FS8153"/>
      <c r="FT8153"/>
      <c r="FU8153"/>
      <c r="FV8153"/>
      <c r="FW8153"/>
      <c r="FX8153"/>
      <c r="FY8153"/>
      <c r="FZ8153"/>
      <c r="GA8153"/>
      <c r="GB8153"/>
      <c r="GC8153"/>
      <c r="GD8153"/>
      <c r="GE8153"/>
      <c r="GF8153"/>
      <c r="GG8153"/>
      <c r="GH8153"/>
      <c r="GI8153"/>
      <c r="GJ8153"/>
      <c r="GK8153"/>
      <c r="GL8153"/>
      <c r="GM8153"/>
      <c r="GN8153"/>
      <c r="GO8153"/>
    </row>
    <row r="8154" spans="107:197">
      <c r="DC8154"/>
      <c r="FH8154"/>
      <c r="FI8154"/>
      <c r="FJ8154"/>
      <c r="FK8154"/>
      <c r="FL8154"/>
      <c r="FM8154"/>
      <c r="FN8154"/>
      <c r="FO8154"/>
      <c r="FP8154"/>
      <c r="FQ8154"/>
      <c r="FR8154"/>
      <c r="FS8154"/>
      <c r="FT8154"/>
      <c r="FU8154"/>
      <c r="FV8154"/>
      <c r="FW8154"/>
      <c r="FX8154"/>
      <c r="FY8154"/>
      <c r="FZ8154"/>
      <c r="GA8154"/>
      <c r="GB8154"/>
      <c r="GC8154"/>
      <c r="GD8154"/>
      <c r="GE8154"/>
      <c r="GF8154"/>
      <c r="GG8154"/>
      <c r="GH8154"/>
      <c r="GI8154"/>
      <c r="GJ8154"/>
      <c r="GK8154"/>
      <c r="GL8154"/>
      <c r="GM8154"/>
      <c r="GN8154"/>
      <c r="GO8154"/>
    </row>
    <row r="8155" spans="107:197">
      <c r="DC8155"/>
      <c r="FH8155"/>
      <c r="FI8155"/>
      <c r="FJ8155"/>
      <c r="FK8155"/>
      <c r="FL8155"/>
      <c r="FM8155"/>
      <c r="FN8155"/>
      <c r="FO8155"/>
      <c r="FP8155"/>
      <c r="FQ8155"/>
      <c r="FR8155"/>
      <c r="FS8155"/>
      <c r="FT8155"/>
      <c r="FU8155"/>
      <c r="FV8155"/>
      <c r="FW8155"/>
      <c r="FX8155"/>
      <c r="FY8155"/>
      <c r="FZ8155"/>
      <c r="GA8155"/>
      <c r="GB8155"/>
      <c r="GC8155"/>
      <c r="GD8155"/>
      <c r="GE8155"/>
      <c r="GF8155"/>
      <c r="GG8155"/>
      <c r="GH8155"/>
      <c r="GI8155"/>
      <c r="GJ8155"/>
      <c r="GK8155"/>
      <c r="GL8155"/>
      <c r="GM8155"/>
      <c r="GN8155"/>
      <c r="GO8155"/>
    </row>
    <row r="8156" spans="107:197">
      <c r="DC8156"/>
      <c r="FH8156"/>
      <c r="FI8156"/>
      <c r="FJ8156"/>
      <c r="FK8156"/>
      <c r="FL8156"/>
      <c r="FM8156"/>
      <c r="FN8156"/>
      <c r="FO8156"/>
      <c r="FP8156"/>
      <c r="FQ8156"/>
      <c r="FR8156"/>
      <c r="FS8156"/>
      <c r="FT8156"/>
      <c r="FU8156"/>
      <c r="FV8156"/>
      <c r="FW8156"/>
      <c r="FX8156"/>
      <c r="FY8156"/>
      <c r="FZ8156"/>
      <c r="GA8156"/>
      <c r="GB8156"/>
      <c r="GC8156"/>
      <c r="GD8156"/>
      <c r="GE8156"/>
      <c r="GF8156"/>
      <c r="GG8156"/>
      <c r="GH8156"/>
      <c r="GI8156"/>
      <c r="GJ8156"/>
      <c r="GK8156"/>
      <c r="GL8156"/>
      <c r="GM8156"/>
      <c r="GN8156"/>
      <c r="GO8156"/>
    </row>
    <row r="8157" spans="107:197">
      <c r="DC8157"/>
      <c r="FH8157"/>
      <c r="FI8157"/>
      <c r="FJ8157"/>
      <c r="FK8157"/>
      <c r="FL8157"/>
      <c r="FM8157"/>
      <c r="FN8157"/>
      <c r="FO8157"/>
      <c r="FP8157"/>
      <c r="FQ8157"/>
      <c r="FR8157"/>
      <c r="FS8157"/>
      <c r="FT8157"/>
      <c r="FU8157"/>
      <c r="FV8157"/>
      <c r="FW8157"/>
      <c r="FX8157"/>
      <c r="FY8157"/>
      <c r="FZ8157"/>
      <c r="GA8157"/>
      <c r="GB8157"/>
      <c r="GC8157"/>
      <c r="GD8157"/>
      <c r="GE8157"/>
      <c r="GF8157"/>
      <c r="GG8157"/>
      <c r="GH8157"/>
      <c r="GI8157"/>
      <c r="GJ8157"/>
      <c r="GK8157"/>
      <c r="GL8157"/>
      <c r="GM8157"/>
      <c r="GN8157"/>
      <c r="GO8157"/>
    </row>
    <row r="8158" spans="107:197">
      <c r="DC8158"/>
      <c r="FH8158"/>
      <c r="FI8158"/>
      <c r="FJ8158"/>
      <c r="FK8158"/>
      <c r="FL8158"/>
      <c r="FM8158"/>
      <c r="FN8158"/>
      <c r="FO8158"/>
      <c r="FP8158"/>
      <c r="FQ8158"/>
      <c r="FR8158"/>
      <c r="FS8158"/>
      <c r="FT8158"/>
      <c r="FU8158"/>
      <c r="FV8158"/>
      <c r="FW8158"/>
      <c r="FX8158"/>
      <c r="FY8158"/>
      <c r="FZ8158"/>
      <c r="GA8158"/>
      <c r="GB8158"/>
      <c r="GC8158"/>
      <c r="GD8158"/>
      <c r="GE8158"/>
      <c r="GF8158"/>
      <c r="GG8158"/>
      <c r="GH8158"/>
      <c r="GI8158"/>
      <c r="GJ8158"/>
      <c r="GK8158"/>
      <c r="GL8158"/>
      <c r="GM8158"/>
      <c r="GN8158"/>
      <c r="GO8158"/>
    </row>
    <row r="8159" spans="107:197">
      <c r="DC8159"/>
      <c r="FH8159"/>
      <c r="FI8159"/>
      <c r="FJ8159"/>
      <c r="FK8159"/>
      <c r="FL8159"/>
      <c r="FM8159"/>
      <c r="FN8159"/>
      <c r="FO8159"/>
      <c r="FP8159"/>
      <c r="FQ8159"/>
      <c r="FR8159"/>
      <c r="FS8159"/>
      <c r="FT8159"/>
      <c r="FU8159"/>
      <c r="FV8159"/>
      <c r="FW8159"/>
      <c r="FX8159"/>
      <c r="FY8159"/>
      <c r="FZ8159"/>
      <c r="GA8159"/>
      <c r="GB8159"/>
      <c r="GC8159"/>
      <c r="GD8159"/>
      <c r="GE8159"/>
      <c r="GF8159"/>
      <c r="GG8159"/>
      <c r="GH8159"/>
      <c r="GI8159"/>
      <c r="GJ8159"/>
      <c r="GK8159"/>
      <c r="GL8159"/>
      <c r="GM8159"/>
      <c r="GN8159"/>
      <c r="GO8159"/>
    </row>
    <row r="8160" spans="107:197">
      <c r="DC8160"/>
      <c r="FH8160"/>
      <c r="FI8160"/>
      <c r="FJ8160"/>
      <c r="FK8160"/>
      <c r="FL8160"/>
      <c r="FM8160"/>
      <c r="FN8160"/>
      <c r="FO8160"/>
      <c r="FP8160"/>
      <c r="FQ8160"/>
      <c r="FR8160"/>
      <c r="FS8160"/>
      <c r="FT8160"/>
      <c r="FU8160"/>
      <c r="FV8160"/>
      <c r="FW8160"/>
      <c r="FX8160"/>
      <c r="FY8160"/>
      <c r="FZ8160"/>
      <c r="GA8160"/>
      <c r="GB8160"/>
      <c r="GC8160"/>
      <c r="GD8160"/>
      <c r="GE8160"/>
      <c r="GF8160"/>
      <c r="GG8160"/>
      <c r="GH8160"/>
      <c r="GI8160"/>
      <c r="GJ8160"/>
      <c r="GK8160"/>
      <c r="GL8160"/>
      <c r="GM8160"/>
      <c r="GN8160"/>
      <c r="GO8160"/>
    </row>
    <row r="8161" spans="107:197">
      <c r="DC8161"/>
      <c r="FH8161"/>
      <c r="FI8161"/>
      <c r="FJ8161"/>
      <c r="FK8161"/>
      <c r="FL8161"/>
      <c r="FM8161"/>
      <c r="FN8161"/>
      <c r="FO8161"/>
      <c r="FP8161"/>
      <c r="FQ8161"/>
      <c r="FR8161"/>
      <c r="FS8161"/>
      <c r="FT8161"/>
      <c r="FU8161"/>
      <c r="FV8161"/>
      <c r="FW8161"/>
      <c r="FX8161"/>
      <c r="FY8161"/>
      <c r="FZ8161"/>
      <c r="GA8161"/>
      <c r="GB8161"/>
      <c r="GC8161"/>
      <c r="GD8161"/>
      <c r="GE8161"/>
      <c r="GF8161"/>
      <c r="GG8161"/>
      <c r="GH8161"/>
      <c r="GI8161"/>
      <c r="GJ8161"/>
      <c r="GK8161"/>
      <c r="GL8161"/>
      <c r="GM8161"/>
      <c r="GN8161"/>
      <c r="GO8161"/>
    </row>
    <row r="8162" spans="107:197">
      <c r="DC8162"/>
      <c r="FH8162"/>
      <c r="FI8162"/>
      <c r="FJ8162"/>
      <c r="FK8162"/>
      <c r="FL8162"/>
      <c r="FM8162"/>
      <c r="FN8162"/>
      <c r="FO8162"/>
      <c r="FP8162"/>
      <c r="FQ8162"/>
      <c r="FR8162"/>
      <c r="FS8162"/>
      <c r="FT8162"/>
      <c r="FU8162"/>
      <c r="FV8162"/>
      <c r="FW8162"/>
      <c r="FX8162"/>
      <c r="FY8162"/>
      <c r="FZ8162"/>
      <c r="GA8162"/>
      <c r="GB8162"/>
      <c r="GC8162"/>
      <c r="GD8162"/>
      <c r="GE8162"/>
      <c r="GF8162"/>
      <c r="GG8162"/>
      <c r="GH8162"/>
      <c r="GI8162"/>
      <c r="GJ8162"/>
      <c r="GK8162"/>
      <c r="GL8162"/>
      <c r="GM8162"/>
      <c r="GN8162"/>
      <c r="GO8162"/>
    </row>
    <row r="8163" spans="107:197">
      <c r="DC8163"/>
      <c r="FH8163"/>
      <c r="FI8163"/>
      <c r="FJ8163"/>
      <c r="FK8163"/>
      <c r="FL8163"/>
      <c r="FM8163"/>
      <c r="FN8163"/>
      <c r="FO8163"/>
      <c r="FP8163"/>
      <c r="FQ8163"/>
      <c r="FR8163"/>
      <c r="FS8163"/>
      <c r="FT8163"/>
      <c r="FU8163"/>
      <c r="FV8163"/>
      <c r="FW8163"/>
      <c r="FX8163"/>
      <c r="FY8163"/>
      <c r="FZ8163"/>
      <c r="GA8163"/>
      <c r="GB8163"/>
      <c r="GC8163"/>
      <c r="GD8163"/>
      <c r="GE8163"/>
      <c r="GF8163"/>
      <c r="GG8163"/>
      <c r="GH8163"/>
      <c r="GI8163"/>
      <c r="GJ8163"/>
      <c r="GK8163"/>
      <c r="GL8163"/>
      <c r="GM8163"/>
      <c r="GN8163"/>
      <c r="GO8163"/>
    </row>
    <row r="8164" spans="107:197">
      <c r="DC8164"/>
      <c r="FH8164"/>
      <c r="FI8164"/>
      <c r="FJ8164"/>
      <c r="FK8164"/>
      <c r="FL8164"/>
      <c r="FM8164"/>
      <c r="FN8164"/>
      <c r="FO8164"/>
      <c r="FP8164"/>
      <c r="FQ8164"/>
      <c r="FR8164"/>
      <c r="FS8164"/>
      <c r="FT8164"/>
      <c r="FU8164"/>
      <c r="FV8164"/>
      <c r="FW8164"/>
      <c r="FX8164"/>
      <c r="FY8164"/>
      <c r="FZ8164"/>
      <c r="GA8164"/>
      <c r="GB8164"/>
      <c r="GC8164"/>
      <c r="GD8164"/>
      <c r="GE8164"/>
      <c r="GF8164"/>
      <c r="GG8164"/>
      <c r="GH8164"/>
      <c r="GI8164"/>
      <c r="GJ8164"/>
      <c r="GK8164"/>
      <c r="GL8164"/>
      <c r="GM8164"/>
      <c r="GN8164"/>
      <c r="GO8164"/>
    </row>
    <row r="8165" spans="107:197">
      <c r="DC8165"/>
      <c r="FH8165"/>
      <c r="FI8165"/>
      <c r="FJ8165"/>
      <c r="FK8165"/>
      <c r="FL8165"/>
      <c r="FM8165"/>
      <c r="FN8165"/>
      <c r="FO8165"/>
      <c r="FP8165"/>
      <c r="FQ8165"/>
      <c r="FR8165"/>
      <c r="FS8165"/>
      <c r="FT8165"/>
      <c r="FU8165"/>
      <c r="FV8165"/>
      <c r="FW8165"/>
      <c r="FX8165"/>
      <c r="FY8165"/>
      <c r="FZ8165"/>
      <c r="GA8165"/>
      <c r="GB8165"/>
      <c r="GC8165"/>
      <c r="GD8165"/>
      <c r="GE8165"/>
      <c r="GF8165"/>
      <c r="GG8165"/>
      <c r="GH8165"/>
      <c r="GI8165"/>
      <c r="GJ8165"/>
      <c r="GK8165"/>
      <c r="GL8165"/>
      <c r="GM8165"/>
      <c r="GN8165"/>
      <c r="GO8165"/>
    </row>
    <row r="8166" spans="107:197">
      <c r="DC8166"/>
      <c r="FH8166"/>
      <c r="FI8166"/>
      <c r="FJ8166"/>
      <c r="FK8166"/>
      <c r="FL8166"/>
      <c r="FM8166"/>
      <c r="FN8166"/>
      <c r="FO8166"/>
      <c r="FP8166"/>
      <c r="FQ8166"/>
      <c r="FR8166"/>
      <c r="FS8166"/>
      <c r="FT8166"/>
      <c r="FU8166"/>
      <c r="FV8166"/>
      <c r="FW8166"/>
      <c r="FX8166"/>
      <c r="FY8166"/>
      <c r="FZ8166"/>
      <c r="GA8166"/>
      <c r="GB8166"/>
      <c r="GC8166"/>
      <c r="GD8166"/>
      <c r="GE8166"/>
      <c r="GF8166"/>
      <c r="GG8166"/>
      <c r="GH8166"/>
      <c r="GI8166"/>
      <c r="GJ8166"/>
      <c r="GK8166"/>
      <c r="GL8166"/>
      <c r="GM8166"/>
      <c r="GN8166"/>
      <c r="GO8166"/>
    </row>
    <row r="8167" spans="107:197">
      <c r="DC8167"/>
      <c r="FH8167"/>
      <c r="FI8167"/>
      <c r="FJ8167"/>
      <c r="FK8167"/>
      <c r="FL8167"/>
      <c r="FM8167"/>
      <c r="FN8167"/>
      <c r="FO8167"/>
      <c r="FP8167"/>
      <c r="FQ8167"/>
      <c r="FR8167"/>
      <c r="FS8167"/>
      <c r="FT8167"/>
      <c r="FU8167"/>
      <c r="FV8167"/>
      <c r="FW8167"/>
      <c r="FX8167"/>
      <c r="FY8167"/>
      <c r="FZ8167"/>
      <c r="GA8167"/>
      <c r="GB8167"/>
      <c r="GC8167"/>
      <c r="GD8167"/>
      <c r="GE8167"/>
      <c r="GF8167"/>
      <c r="GG8167"/>
      <c r="GH8167"/>
      <c r="GI8167"/>
      <c r="GJ8167"/>
      <c r="GK8167"/>
      <c r="GL8167"/>
      <c r="GM8167"/>
      <c r="GN8167"/>
      <c r="GO8167"/>
    </row>
    <row r="8168" spans="107:197">
      <c r="DC8168"/>
      <c r="FH8168"/>
      <c r="FI8168"/>
      <c r="FJ8168"/>
      <c r="FK8168"/>
      <c r="FL8168"/>
      <c r="FM8168"/>
      <c r="FN8168"/>
      <c r="FO8168"/>
      <c r="FP8168"/>
      <c r="FQ8168"/>
      <c r="FR8168"/>
      <c r="FS8168"/>
      <c r="FT8168"/>
      <c r="FU8168"/>
      <c r="FV8168"/>
      <c r="FW8168"/>
      <c r="FX8168"/>
      <c r="FY8168"/>
      <c r="FZ8168"/>
      <c r="GA8168"/>
      <c r="GB8168"/>
      <c r="GC8168"/>
      <c r="GD8168"/>
      <c r="GE8168"/>
      <c r="GF8168"/>
      <c r="GG8168"/>
      <c r="GH8168"/>
      <c r="GI8168"/>
      <c r="GJ8168"/>
      <c r="GK8168"/>
      <c r="GL8168"/>
      <c r="GM8168"/>
      <c r="GN8168"/>
      <c r="GO8168"/>
    </row>
    <row r="8169" spans="107:197">
      <c r="DC8169"/>
      <c r="FH8169"/>
      <c r="FI8169"/>
      <c r="FJ8169"/>
      <c r="FK8169"/>
      <c r="FL8169"/>
      <c r="FM8169"/>
      <c r="FN8169"/>
      <c r="FO8169"/>
      <c r="FP8169"/>
      <c r="FQ8169"/>
      <c r="FR8169"/>
      <c r="FS8169"/>
      <c r="FT8169"/>
      <c r="FU8169"/>
      <c r="FV8169"/>
      <c r="FW8169"/>
      <c r="FX8169"/>
      <c r="FY8169"/>
      <c r="FZ8169"/>
      <c r="GA8169"/>
      <c r="GB8169"/>
      <c r="GC8169"/>
      <c r="GD8169"/>
      <c r="GE8169"/>
      <c r="GF8169"/>
      <c r="GG8169"/>
      <c r="GH8169"/>
      <c r="GI8169"/>
      <c r="GJ8169"/>
      <c r="GK8169"/>
      <c r="GL8169"/>
      <c r="GM8169"/>
      <c r="GN8169"/>
      <c r="GO8169"/>
    </row>
    <row r="8170" spans="107:197">
      <c r="DC8170"/>
      <c r="FH8170"/>
      <c r="FI8170"/>
      <c r="FJ8170"/>
      <c r="FK8170"/>
      <c r="FL8170"/>
      <c r="FM8170"/>
      <c r="FN8170"/>
      <c r="FO8170"/>
      <c r="FP8170"/>
      <c r="FQ8170"/>
      <c r="FR8170"/>
      <c r="FS8170"/>
      <c r="FT8170"/>
      <c r="FU8170"/>
      <c r="FV8170"/>
      <c r="FW8170"/>
      <c r="FX8170"/>
      <c r="FY8170"/>
      <c r="FZ8170"/>
      <c r="GA8170"/>
      <c r="GB8170"/>
      <c r="GC8170"/>
      <c r="GD8170"/>
      <c r="GE8170"/>
      <c r="GF8170"/>
      <c r="GG8170"/>
      <c r="GH8170"/>
      <c r="GI8170"/>
      <c r="GJ8170"/>
      <c r="GK8170"/>
      <c r="GL8170"/>
      <c r="GM8170"/>
      <c r="GN8170"/>
      <c r="GO8170"/>
    </row>
    <row r="8171" spans="107:197">
      <c r="DC8171"/>
      <c r="FH8171"/>
      <c r="FI8171"/>
      <c r="FJ8171"/>
      <c r="FK8171"/>
      <c r="FL8171"/>
      <c r="FM8171"/>
      <c r="FN8171"/>
      <c r="FO8171"/>
      <c r="FP8171"/>
      <c r="FQ8171"/>
      <c r="FR8171"/>
      <c r="FS8171"/>
      <c r="FT8171"/>
      <c r="FU8171"/>
      <c r="FV8171"/>
      <c r="FW8171"/>
      <c r="FX8171"/>
      <c r="FY8171"/>
      <c r="FZ8171"/>
      <c r="GA8171"/>
      <c r="GB8171"/>
      <c r="GC8171"/>
      <c r="GD8171"/>
      <c r="GE8171"/>
      <c r="GF8171"/>
      <c r="GG8171"/>
      <c r="GH8171"/>
      <c r="GI8171"/>
      <c r="GJ8171"/>
      <c r="GK8171"/>
      <c r="GL8171"/>
      <c r="GM8171"/>
      <c r="GN8171"/>
      <c r="GO8171"/>
    </row>
    <row r="8172" spans="107:197">
      <c r="DC8172"/>
      <c r="FH8172"/>
      <c r="FI8172"/>
      <c r="FJ8172"/>
      <c r="FK8172"/>
      <c r="FL8172"/>
      <c r="FM8172"/>
      <c r="FN8172"/>
      <c r="FO8172"/>
      <c r="FP8172"/>
      <c r="FQ8172"/>
      <c r="FR8172"/>
      <c r="FS8172"/>
      <c r="FT8172"/>
      <c r="FU8172"/>
      <c r="FV8172"/>
      <c r="FW8172"/>
      <c r="FX8172"/>
      <c r="FY8172"/>
      <c r="FZ8172"/>
      <c r="GA8172"/>
      <c r="GB8172"/>
      <c r="GC8172"/>
      <c r="GD8172"/>
      <c r="GE8172"/>
      <c r="GF8172"/>
      <c r="GG8172"/>
      <c r="GH8172"/>
      <c r="GI8172"/>
      <c r="GJ8172"/>
      <c r="GK8172"/>
      <c r="GL8172"/>
      <c r="GM8172"/>
      <c r="GN8172"/>
      <c r="GO8172"/>
    </row>
    <row r="8173" spans="107:197">
      <c r="DC8173"/>
      <c r="FH8173"/>
      <c r="FI8173"/>
      <c r="FJ8173"/>
      <c r="FK8173"/>
      <c r="FL8173"/>
      <c r="FM8173"/>
      <c r="FN8173"/>
      <c r="FO8173"/>
      <c r="FP8173"/>
      <c r="FQ8173"/>
      <c r="FR8173"/>
      <c r="FS8173"/>
      <c r="FT8173"/>
      <c r="FU8173"/>
      <c r="FV8173"/>
      <c r="FW8173"/>
      <c r="FX8173"/>
      <c r="FY8173"/>
      <c r="FZ8173"/>
      <c r="GA8173"/>
      <c r="GB8173"/>
      <c r="GC8173"/>
      <c r="GD8173"/>
      <c r="GE8173"/>
      <c r="GF8173"/>
      <c r="GG8173"/>
      <c r="GH8173"/>
      <c r="GI8173"/>
      <c r="GJ8173"/>
      <c r="GK8173"/>
      <c r="GL8173"/>
      <c r="GM8173"/>
      <c r="GN8173"/>
      <c r="GO8173"/>
    </row>
    <row r="8174" spans="107:197">
      <c r="DC8174"/>
      <c r="FH8174"/>
      <c r="FI8174"/>
      <c r="FJ8174"/>
      <c r="FK8174"/>
      <c r="FL8174"/>
      <c r="FM8174"/>
      <c r="FN8174"/>
      <c r="FO8174"/>
      <c r="FP8174"/>
      <c r="FQ8174"/>
      <c r="FR8174"/>
      <c r="FS8174"/>
      <c r="FT8174"/>
      <c r="FU8174"/>
      <c r="FV8174"/>
      <c r="FW8174"/>
      <c r="FX8174"/>
      <c r="FY8174"/>
      <c r="FZ8174"/>
      <c r="GA8174"/>
      <c r="GB8174"/>
      <c r="GC8174"/>
      <c r="GD8174"/>
      <c r="GE8174"/>
      <c r="GF8174"/>
      <c r="GG8174"/>
      <c r="GH8174"/>
      <c r="GI8174"/>
      <c r="GJ8174"/>
      <c r="GK8174"/>
      <c r="GL8174"/>
      <c r="GM8174"/>
      <c r="GN8174"/>
      <c r="GO8174"/>
    </row>
    <row r="8175" spans="107:197">
      <c r="DC8175"/>
      <c r="FH8175"/>
      <c r="FI8175"/>
      <c r="FJ8175"/>
      <c r="FK8175"/>
      <c r="FL8175"/>
      <c r="FM8175"/>
      <c r="FN8175"/>
      <c r="FO8175"/>
      <c r="FP8175"/>
      <c r="FQ8175"/>
      <c r="FR8175"/>
      <c r="FS8175"/>
      <c r="FT8175"/>
      <c r="FU8175"/>
      <c r="FV8175"/>
      <c r="FW8175"/>
      <c r="FX8175"/>
      <c r="FY8175"/>
      <c r="FZ8175"/>
      <c r="GA8175"/>
      <c r="GB8175"/>
      <c r="GC8175"/>
      <c r="GD8175"/>
      <c r="GE8175"/>
      <c r="GF8175"/>
      <c r="GG8175"/>
      <c r="GH8175"/>
      <c r="GI8175"/>
      <c r="GJ8175"/>
      <c r="GK8175"/>
      <c r="GL8175"/>
      <c r="GM8175"/>
      <c r="GN8175"/>
      <c r="GO8175"/>
    </row>
    <row r="8176" spans="107:197">
      <c r="DC8176"/>
      <c r="FH8176"/>
      <c r="FI8176"/>
      <c r="FJ8176"/>
      <c r="FK8176"/>
      <c r="FL8176"/>
      <c r="FM8176"/>
      <c r="FN8176"/>
      <c r="FO8176"/>
      <c r="FP8176"/>
      <c r="FQ8176"/>
      <c r="FR8176"/>
      <c r="FS8176"/>
      <c r="FT8176"/>
      <c r="FU8176"/>
      <c r="FV8176"/>
      <c r="FW8176"/>
      <c r="FX8176"/>
      <c r="FY8176"/>
      <c r="FZ8176"/>
      <c r="GA8176"/>
      <c r="GB8176"/>
      <c r="GC8176"/>
      <c r="GD8176"/>
      <c r="GE8176"/>
      <c r="GF8176"/>
      <c r="GG8176"/>
      <c r="GH8176"/>
      <c r="GI8176"/>
      <c r="GJ8176"/>
      <c r="GK8176"/>
      <c r="GL8176"/>
      <c r="GM8176"/>
      <c r="GN8176"/>
      <c r="GO8176"/>
    </row>
    <row r="8177" spans="107:197">
      <c r="DC8177"/>
      <c r="FH8177"/>
      <c r="FI8177"/>
      <c r="FJ8177"/>
      <c r="FK8177"/>
      <c r="FL8177"/>
      <c r="FM8177"/>
      <c r="FN8177"/>
      <c r="FO8177"/>
      <c r="FP8177"/>
      <c r="FQ8177"/>
      <c r="FR8177"/>
      <c r="FS8177"/>
      <c r="FT8177"/>
      <c r="FU8177"/>
      <c r="FV8177"/>
      <c r="FW8177"/>
      <c r="FX8177"/>
      <c r="FY8177"/>
      <c r="FZ8177"/>
      <c r="GA8177"/>
      <c r="GB8177"/>
      <c r="GC8177"/>
      <c r="GD8177"/>
      <c r="GE8177"/>
      <c r="GF8177"/>
      <c r="GG8177"/>
      <c r="GH8177"/>
      <c r="GI8177"/>
      <c r="GJ8177"/>
      <c r="GK8177"/>
      <c r="GL8177"/>
      <c r="GM8177"/>
      <c r="GN8177"/>
      <c r="GO8177"/>
    </row>
    <row r="8178" spans="107:197">
      <c r="DC8178"/>
      <c r="FH8178"/>
      <c r="FI8178"/>
      <c r="FJ8178"/>
      <c r="FK8178"/>
      <c r="FL8178"/>
      <c r="FM8178"/>
      <c r="FN8178"/>
      <c r="FO8178"/>
      <c r="FP8178"/>
      <c r="FQ8178"/>
      <c r="FR8178"/>
      <c r="FS8178"/>
      <c r="FT8178"/>
      <c r="FU8178"/>
      <c r="FV8178"/>
      <c r="FW8178"/>
      <c r="FX8178"/>
      <c r="FY8178"/>
      <c r="FZ8178"/>
      <c r="GA8178"/>
      <c r="GB8178"/>
      <c r="GC8178"/>
      <c r="GD8178"/>
      <c r="GE8178"/>
      <c r="GF8178"/>
      <c r="GG8178"/>
      <c r="GH8178"/>
      <c r="GI8178"/>
      <c r="GJ8178"/>
      <c r="GK8178"/>
      <c r="GL8178"/>
      <c r="GM8178"/>
      <c r="GN8178"/>
      <c r="GO8178"/>
    </row>
    <row r="8179" spans="107:197">
      <c r="DC8179"/>
      <c r="FH8179"/>
      <c r="FI8179"/>
      <c r="FJ8179"/>
      <c r="FK8179"/>
      <c r="FL8179"/>
      <c r="FM8179"/>
      <c r="FN8179"/>
      <c r="FO8179"/>
      <c r="FP8179"/>
      <c r="FQ8179"/>
      <c r="FR8179"/>
      <c r="FS8179"/>
      <c r="FT8179"/>
      <c r="FU8179"/>
      <c r="FV8179"/>
      <c r="FW8179"/>
      <c r="FX8179"/>
      <c r="FY8179"/>
      <c r="FZ8179"/>
      <c r="GA8179"/>
      <c r="GB8179"/>
      <c r="GC8179"/>
      <c r="GD8179"/>
      <c r="GE8179"/>
      <c r="GF8179"/>
      <c r="GG8179"/>
      <c r="GH8179"/>
      <c r="GI8179"/>
      <c r="GJ8179"/>
      <c r="GK8179"/>
      <c r="GL8179"/>
      <c r="GM8179"/>
      <c r="GN8179"/>
      <c r="GO8179"/>
    </row>
    <row r="8180" spans="107:197">
      <c r="DC8180"/>
      <c r="FH8180"/>
      <c r="FI8180"/>
      <c r="FJ8180"/>
      <c r="FK8180"/>
      <c r="FL8180"/>
      <c r="FM8180"/>
      <c r="FN8180"/>
      <c r="FO8180"/>
      <c r="FP8180"/>
      <c r="FQ8180"/>
      <c r="FR8180"/>
      <c r="FS8180"/>
      <c r="FT8180"/>
      <c r="FU8180"/>
      <c r="FV8180"/>
      <c r="FW8180"/>
      <c r="FX8180"/>
      <c r="FY8180"/>
      <c r="FZ8180"/>
      <c r="GA8180"/>
      <c r="GB8180"/>
      <c r="GC8180"/>
      <c r="GD8180"/>
      <c r="GE8180"/>
      <c r="GF8180"/>
      <c r="GG8180"/>
      <c r="GH8180"/>
      <c r="GI8180"/>
      <c r="GJ8180"/>
      <c r="GK8180"/>
      <c r="GL8180"/>
      <c r="GM8180"/>
      <c r="GN8180"/>
      <c r="GO8180"/>
    </row>
    <row r="8181" spans="107:197">
      <c r="DC8181"/>
      <c r="FH8181"/>
      <c r="FI8181"/>
      <c r="FJ8181"/>
      <c r="FK8181"/>
      <c r="FL8181"/>
      <c r="FM8181"/>
      <c r="FN8181"/>
      <c r="FO8181"/>
      <c r="FP8181"/>
      <c r="FQ8181"/>
      <c r="FR8181"/>
      <c r="FS8181"/>
      <c r="FT8181"/>
      <c r="FU8181"/>
      <c r="FV8181"/>
      <c r="FW8181"/>
      <c r="FX8181"/>
      <c r="FY8181"/>
      <c r="FZ8181"/>
      <c r="GA8181"/>
      <c r="GB8181"/>
      <c r="GC8181"/>
      <c r="GD8181"/>
      <c r="GE8181"/>
      <c r="GF8181"/>
      <c r="GG8181"/>
      <c r="GH8181"/>
      <c r="GI8181"/>
      <c r="GJ8181"/>
      <c r="GK8181"/>
      <c r="GL8181"/>
      <c r="GM8181"/>
      <c r="GN8181"/>
      <c r="GO8181"/>
    </row>
    <row r="8182" spans="107:197">
      <c r="DC8182"/>
      <c r="FH8182"/>
      <c r="FI8182"/>
      <c r="FJ8182"/>
      <c r="FK8182"/>
      <c r="FL8182"/>
      <c r="FM8182"/>
      <c r="FN8182"/>
      <c r="FO8182"/>
      <c r="FP8182"/>
      <c r="FQ8182"/>
      <c r="FR8182"/>
      <c r="FS8182"/>
      <c r="FT8182"/>
      <c r="FU8182"/>
      <c r="FV8182"/>
      <c r="FW8182"/>
      <c r="FX8182"/>
      <c r="FY8182"/>
      <c r="FZ8182"/>
      <c r="GA8182"/>
      <c r="GB8182"/>
      <c r="GC8182"/>
      <c r="GD8182"/>
      <c r="GE8182"/>
      <c r="GF8182"/>
      <c r="GG8182"/>
      <c r="GH8182"/>
      <c r="GI8182"/>
      <c r="GJ8182"/>
      <c r="GK8182"/>
      <c r="GL8182"/>
      <c r="GM8182"/>
      <c r="GN8182"/>
      <c r="GO8182"/>
    </row>
    <row r="8183" spans="107:197">
      <c r="DC8183"/>
      <c r="FH8183"/>
      <c r="FI8183"/>
      <c r="FJ8183"/>
      <c r="FK8183"/>
      <c r="FL8183"/>
      <c r="FM8183"/>
      <c r="FN8183"/>
      <c r="FO8183"/>
      <c r="FP8183"/>
      <c r="FQ8183"/>
      <c r="FR8183"/>
      <c r="FS8183"/>
      <c r="FT8183"/>
      <c r="FU8183"/>
      <c r="FV8183"/>
      <c r="FW8183"/>
      <c r="FX8183"/>
      <c r="FY8183"/>
      <c r="FZ8183"/>
      <c r="GA8183"/>
      <c r="GB8183"/>
      <c r="GC8183"/>
      <c r="GD8183"/>
      <c r="GE8183"/>
      <c r="GF8183"/>
      <c r="GG8183"/>
      <c r="GH8183"/>
      <c r="GI8183"/>
      <c r="GJ8183"/>
      <c r="GK8183"/>
      <c r="GL8183"/>
      <c r="GM8183"/>
      <c r="GN8183"/>
      <c r="GO8183"/>
    </row>
    <row r="8184" spans="107:197">
      <c r="DC8184"/>
      <c r="FH8184"/>
      <c r="FI8184"/>
      <c r="FJ8184"/>
      <c r="FK8184"/>
      <c r="FL8184"/>
      <c r="FM8184"/>
      <c r="FN8184"/>
      <c r="FO8184"/>
      <c r="FP8184"/>
      <c r="FQ8184"/>
      <c r="FR8184"/>
      <c r="FS8184"/>
      <c r="FT8184"/>
      <c r="FU8184"/>
      <c r="FV8184"/>
      <c r="FW8184"/>
      <c r="FX8184"/>
      <c r="FY8184"/>
      <c r="FZ8184"/>
      <c r="GA8184"/>
      <c r="GB8184"/>
      <c r="GC8184"/>
      <c r="GD8184"/>
      <c r="GE8184"/>
      <c r="GF8184"/>
      <c r="GG8184"/>
      <c r="GH8184"/>
      <c r="GI8184"/>
      <c r="GJ8184"/>
      <c r="GK8184"/>
      <c r="GL8184"/>
      <c r="GM8184"/>
      <c r="GN8184"/>
      <c r="GO8184"/>
    </row>
    <row r="8185" spans="107:197">
      <c r="DC8185"/>
      <c r="FH8185"/>
      <c r="FI8185"/>
      <c r="FJ8185"/>
      <c r="FK8185"/>
      <c r="FL8185"/>
      <c r="FM8185"/>
      <c r="FN8185"/>
      <c r="FO8185"/>
      <c r="FP8185"/>
      <c r="FQ8185"/>
      <c r="FR8185"/>
      <c r="FS8185"/>
      <c r="FT8185"/>
      <c r="FU8185"/>
      <c r="FV8185"/>
      <c r="FW8185"/>
      <c r="FX8185"/>
      <c r="FY8185"/>
      <c r="FZ8185"/>
      <c r="GA8185"/>
      <c r="GB8185"/>
      <c r="GC8185"/>
      <c r="GD8185"/>
      <c r="GE8185"/>
      <c r="GF8185"/>
      <c r="GG8185"/>
      <c r="GH8185"/>
      <c r="GI8185"/>
      <c r="GJ8185"/>
      <c r="GK8185"/>
      <c r="GL8185"/>
      <c r="GM8185"/>
      <c r="GN8185"/>
      <c r="GO8185"/>
    </row>
    <row r="8186" spans="107:197">
      <c r="DC8186"/>
      <c r="FH8186"/>
      <c r="FI8186"/>
      <c r="FJ8186"/>
      <c r="FK8186"/>
      <c r="FL8186"/>
      <c r="FM8186"/>
      <c r="FN8186"/>
      <c r="FO8186"/>
      <c r="FP8186"/>
      <c r="FQ8186"/>
      <c r="FR8186"/>
      <c r="FS8186"/>
      <c r="FT8186"/>
      <c r="FU8186"/>
      <c r="FV8186"/>
      <c r="FW8186"/>
      <c r="FX8186"/>
      <c r="FY8186"/>
      <c r="FZ8186"/>
      <c r="GA8186"/>
      <c r="GB8186"/>
      <c r="GC8186"/>
      <c r="GD8186"/>
      <c r="GE8186"/>
      <c r="GF8186"/>
      <c r="GG8186"/>
      <c r="GH8186"/>
      <c r="GI8186"/>
      <c r="GJ8186"/>
      <c r="GK8186"/>
      <c r="GL8186"/>
      <c r="GM8186"/>
      <c r="GN8186"/>
      <c r="GO8186"/>
    </row>
    <row r="8187" spans="107:197">
      <c r="DC8187"/>
      <c r="FH8187"/>
      <c r="FI8187"/>
      <c r="FJ8187"/>
      <c r="FK8187"/>
      <c r="FL8187"/>
      <c r="FM8187"/>
      <c r="FN8187"/>
      <c r="FO8187"/>
      <c r="FP8187"/>
      <c r="FQ8187"/>
      <c r="FR8187"/>
      <c r="FS8187"/>
      <c r="FT8187"/>
      <c r="FU8187"/>
      <c r="FV8187"/>
      <c r="FW8187"/>
      <c r="FX8187"/>
      <c r="FY8187"/>
      <c r="FZ8187"/>
      <c r="GA8187"/>
      <c r="GB8187"/>
      <c r="GC8187"/>
      <c r="GD8187"/>
      <c r="GE8187"/>
      <c r="GF8187"/>
      <c r="GG8187"/>
      <c r="GH8187"/>
      <c r="GI8187"/>
      <c r="GJ8187"/>
      <c r="GK8187"/>
      <c r="GL8187"/>
      <c r="GM8187"/>
      <c r="GN8187"/>
      <c r="GO8187"/>
    </row>
    <row r="8188" spans="107:197">
      <c r="DC8188"/>
      <c r="FH8188"/>
      <c r="FI8188"/>
      <c r="FJ8188"/>
      <c r="FK8188"/>
      <c r="FL8188"/>
      <c r="FM8188"/>
      <c r="FN8188"/>
      <c r="FO8188"/>
      <c r="FP8188"/>
      <c r="FQ8188"/>
      <c r="FR8188"/>
      <c r="FS8188"/>
      <c r="FT8188"/>
      <c r="FU8188"/>
      <c r="FV8188"/>
      <c r="FW8188"/>
      <c r="FX8188"/>
      <c r="FY8188"/>
      <c r="FZ8188"/>
      <c r="GA8188"/>
      <c r="GB8188"/>
      <c r="GC8188"/>
      <c r="GD8188"/>
      <c r="GE8188"/>
      <c r="GF8188"/>
      <c r="GG8188"/>
      <c r="GH8188"/>
      <c r="GI8188"/>
      <c r="GJ8188"/>
      <c r="GK8188"/>
      <c r="GL8188"/>
      <c r="GM8188"/>
      <c r="GN8188"/>
      <c r="GO8188"/>
    </row>
    <row r="8189" spans="107:197">
      <c r="DC8189"/>
      <c r="FH8189"/>
      <c r="FI8189"/>
      <c r="FJ8189"/>
      <c r="FK8189"/>
      <c r="FL8189"/>
      <c r="FM8189"/>
      <c r="FN8189"/>
      <c r="FO8189"/>
      <c r="FP8189"/>
      <c r="FQ8189"/>
      <c r="FR8189"/>
      <c r="FS8189"/>
      <c r="FT8189"/>
      <c r="FU8189"/>
      <c r="FV8189"/>
      <c r="FW8189"/>
      <c r="FX8189"/>
      <c r="FY8189"/>
      <c r="FZ8189"/>
      <c r="GA8189"/>
      <c r="GB8189"/>
      <c r="GC8189"/>
      <c r="GD8189"/>
      <c r="GE8189"/>
      <c r="GF8189"/>
      <c r="GG8189"/>
      <c r="GH8189"/>
      <c r="GI8189"/>
      <c r="GJ8189"/>
      <c r="GK8189"/>
      <c r="GL8189"/>
      <c r="GM8189"/>
      <c r="GN8189"/>
      <c r="GO8189"/>
    </row>
    <row r="8190" spans="107:197">
      <c r="DC8190"/>
      <c r="FH8190"/>
      <c r="FI8190"/>
      <c r="FJ8190"/>
      <c r="FK8190"/>
      <c r="FL8190"/>
      <c r="FM8190"/>
      <c r="FN8190"/>
      <c r="FO8190"/>
      <c r="FP8190"/>
      <c r="FQ8190"/>
      <c r="FR8190"/>
      <c r="FS8190"/>
      <c r="FT8190"/>
      <c r="FU8190"/>
      <c r="FV8190"/>
      <c r="FW8190"/>
      <c r="FX8190"/>
      <c r="FY8190"/>
      <c r="FZ8190"/>
      <c r="GA8190"/>
      <c r="GB8190"/>
      <c r="GC8190"/>
      <c r="GD8190"/>
      <c r="GE8190"/>
      <c r="GF8190"/>
      <c r="GG8190"/>
      <c r="GH8190"/>
      <c r="GI8190"/>
      <c r="GJ8190"/>
      <c r="GK8190"/>
      <c r="GL8190"/>
      <c r="GM8190"/>
      <c r="GN8190"/>
      <c r="GO8190"/>
    </row>
    <row r="8191" spans="107:197">
      <c r="DC8191"/>
      <c r="FH8191"/>
      <c r="FI8191"/>
      <c r="FJ8191"/>
      <c r="FK8191"/>
      <c r="FL8191"/>
      <c r="FM8191"/>
      <c r="FN8191"/>
      <c r="FO8191"/>
      <c r="FP8191"/>
      <c r="FQ8191"/>
      <c r="FR8191"/>
      <c r="FS8191"/>
      <c r="FT8191"/>
      <c r="FU8191"/>
      <c r="FV8191"/>
      <c r="FW8191"/>
      <c r="FX8191"/>
      <c r="FY8191"/>
      <c r="FZ8191"/>
      <c r="GA8191"/>
      <c r="GB8191"/>
      <c r="GC8191"/>
      <c r="GD8191"/>
      <c r="GE8191"/>
      <c r="GF8191"/>
      <c r="GG8191"/>
      <c r="GH8191"/>
      <c r="GI8191"/>
      <c r="GJ8191"/>
      <c r="GK8191"/>
      <c r="GL8191"/>
      <c r="GM8191"/>
      <c r="GN8191"/>
      <c r="GO8191"/>
    </row>
    <row r="8192" spans="107:197">
      <c r="DC8192"/>
      <c r="FH8192"/>
      <c r="FI8192"/>
      <c r="FJ8192"/>
      <c r="FK8192"/>
      <c r="FL8192"/>
      <c r="FM8192"/>
      <c r="FN8192"/>
      <c r="FO8192"/>
      <c r="FP8192"/>
      <c r="FQ8192"/>
      <c r="FR8192"/>
      <c r="FS8192"/>
      <c r="FT8192"/>
      <c r="FU8192"/>
      <c r="FV8192"/>
      <c r="FW8192"/>
      <c r="FX8192"/>
      <c r="FY8192"/>
      <c r="FZ8192"/>
      <c r="GA8192"/>
      <c r="GB8192"/>
      <c r="GC8192"/>
      <c r="GD8192"/>
      <c r="GE8192"/>
      <c r="GF8192"/>
      <c r="GG8192"/>
      <c r="GH8192"/>
      <c r="GI8192"/>
      <c r="GJ8192"/>
      <c r="GK8192"/>
      <c r="GL8192"/>
      <c r="GM8192"/>
      <c r="GN8192"/>
      <c r="GO8192"/>
    </row>
    <row r="8193" spans="107:197">
      <c r="DC8193"/>
      <c r="FH8193"/>
      <c r="FI8193"/>
      <c r="FJ8193"/>
      <c r="FK8193"/>
      <c r="FL8193"/>
      <c r="FM8193"/>
      <c r="FN8193"/>
      <c r="FO8193"/>
      <c r="FP8193"/>
      <c r="FQ8193"/>
      <c r="FR8193"/>
      <c r="FS8193"/>
      <c r="FT8193"/>
      <c r="FU8193"/>
      <c r="FV8193"/>
      <c r="FW8193"/>
      <c r="FX8193"/>
      <c r="FY8193"/>
      <c r="FZ8193"/>
      <c r="GA8193"/>
      <c r="GB8193"/>
      <c r="GC8193"/>
      <c r="GD8193"/>
      <c r="GE8193"/>
      <c r="GF8193"/>
      <c r="GG8193"/>
      <c r="GH8193"/>
      <c r="GI8193"/>
      <c r="GJ8193"/>
      <c r="GK8193"/>
      <c r="GL8193"/>
      <c r="GM8193"/>
      <c r="GN8193"/>
      <c r="GO8193"/>
    </row>
    <row r="8194" spans="107:197">
      <c r="DC8194"/>
      <c r="FH8194"/>
      <c r="FI8194"/>
      <c r="FJ8194"/>
      <c r="FK8194"/>
      <c r="FL8194"/>
      <c r="FM8194"/>
      <c r="FN8194"/>
      <c r="FO8194"/>
      <c r="FP8194"/>
      <c r="FQ8194"/>
      <c r="FR8194"/>
      <c r="FS8194"/>
      <c r="FT8194"/>
      <c r="FU8194"/>
      <c r="FV8194"/>
      <c r="FW8194"/>
      <c r="FX8194"/>
      <c r="FY8194"/>
      <c r="FZ8194"/>
      <c r="GA8194"/>
      <c r="GB8194"/>
      <c r="GC8194"/>
      <c r="GD8194"/>
      <c r="GE8194"/>
      <c r="GF8194"/>
      <c r="GG8194"/>
      <c r="GH8194"/>
      <c r="GI8194"/>
      <c r="GJ8194"/>
      <c r="GK8194"/>
      <c r="GL8194"/>
      <c r="GM8194"/>
      <c r="GN8194"/>
      <c r="GO8194"/>
    </row>
    <row r="8195" spans="107:197">
      <c r="DC8195"/>
      <c r="FH8195"/>
      <c r="FI8195"/>
      <c r="FJ8195"/>
      <c r="FK8195"/>
      <c r="FL8195"/>
      <c r="FM8195"/>
      <c r="FN8195"/>
      <c r="FO8195"/>
      <c r="FP8195"/>
      <c r="FQ8195"/>
      <c r="FR8195"/>
      <c r="FS8195"/>
      <c r="FT8195"/>
      <c r="FU8195"/>
      <c r="FV8195"/>
      <c r="FW8195"/>
      <c r="FX8195"/>
      <c r="FY8195"/>
      <c r="FZ8195"/>
      <c r="GA8195"/>
      <c r="GB8195"/>
      <c r="GC8195"/>
      <c r="GD8195"/>
      <c r="GE8195"/>
      <c r="GF8195"/>
      <c r="GG8195"/>
      <c r="GH8195"/>
      <c r="GI8195"/>
      <c r="GJ8195"/>
      <c r="GK8195"/>
      <c r="GL8195"/>
      <c r="GM8195"/>
      <c r="GN8195"/>
      <c r="GO8195"/>
    </row>
    <row r="8196" spans="107:197">
      <c r="DC8196"/>
      <c r="FH8196"/>
      <c r="FI8196"/>
      <c r="FJ8196"/>
      <c r="FK8196"/>
      <c r="FL8196"/>
      <c r="FM8196"/>
      <c r="FN8196"/>
      <c r="FO8196"/>
      <c r="FP8196"/>
      <c r="FQ8196"/>
      <c r="FR8196"/>
      <c r="FS8196"/>
      <c r="FT8196"/>
      <c r="FU8196"/>
      <c r="FV8196"/>
      <c r="FW8196"/>
      <c r="FX8196"/>
      <c r="FY8196"/>
      <c r="FZ8196"/>
      <c r="GA8196"/>
      <c r="GB8196"/>
      <c r="GC8196"/>
      <c r="GD8196"/>
      <c r="GE8196"/>
      <c r="GF8196"/>
      <c r="GG8196"/>
      <c r="GH8196"/>
      <c r="GI8196"/>
      <c r="GJ8196"/>
      <c r="GK8196"/>
      <c r="GL8196"/>
      <c r="GM8196"/>
      <c r="GN8196"/>
      <c r="GO8196"/>
    </row>
    <row r="8197" spans="107:197">
      <c r="DC8197"/>
      <c r="FH8197"/>
      <c r="FI8197"/>
      <c r="FJ8197"/>
      <c r="FK8197"/>
      <c r="FL8197"/>
      <c r="FM8197"/>
      <c r="FN8197"/>
      <c r="FO8197"/>
      <c r="FP8197"/>
      <c r="FQ8197"/>
      <c r="FR8197"/>
      <c r="FS8197"/>
      <c r="FT8197"/>
      <c r="FU8197"/>
      <c r="FV8197"/>
      <c r="FW8197"/>
      <c r="FX8197"/>
      <c r="FY8197"/>
      <c r="FZ8197"/>
      <c r="GA8197"/>
      <c r="GB8197"/>
      <c r="GC8197"/>
      <c r="GD8197"/>
      <c r="GE8197"/>
      <c r="GF8197"/>
      <c r="GG8197"/>
      <c r="GH8197"/>
      <c r="GI8197"/>
      <c r="GJ8197"/>
      <c r="GK8197"/>
      <c r="GL8197"/>
      <c r="GM8197"/>
      <c r="GN8197"/>
      <c r="GO8197"/>
    </row>
    <row r="8198" spans="107:197">
      <c r="DC8198"/>
      <c r="FH8198"/>
      <c r="FI8198"/>
      <c r="FJ8198"/>
      <c r="FK8198"/>
      <c r="FL8198"/>
      <c r="FM8198"/>
      <c r="FN8198"/>
      <c r="FO8198"/>
      <c r="FP8198"/>
      <c r="FQ8198"/>
      <c r="FR8198"/>
      <c r="FS8198"/>
      <c r="FT8198"/>
      <c r="FU8198"/>
      <c r="FV8198"/>
      <c r="FW8198"/>
      <c r="FX8198"/>
      <c r="FY8198"/>
      <c r="FZ8198"/>
      <c r="GA8198"/>
      <c r="GB8198"/>
      <c r="GC8198"/>
      <c r="GD8198"/>
      <c r="GE8198"/>
      <c r="GF8198"/>
      <c r="GG8198"/>
      <c r="GH8198"/>
      <c r="GI8198"/>
      <c r="GJ8198"/>
      <c r="GK8198"/>
      <c r="GL8198"/>
      <c r="GM8198"/>
      <c r="GN8198"/>
      <c r="GO8198"/>
    </row>
    <row r="8199" spans="107:197">
      <c r="DC8199"/>
      <c r="FH8199"/>
      <c r="FI8199"/>
      <c r="FJ8199"/>
      <c r="FK8199"/>
      <c r="FL8199"/>
      <c r="FM8199"/>
      <c r="FN8199"/>
      <c r="FO8199"/>
      <c r="FP8199"/>
      <c r="FQ8199"/>
      <c r="FR8199"/>
      <c r="FS8199"/>
      <c r="FT8199"/>
      <c r="FU8199"/>
      <c r="FV8199"/>
      <c r="FW8199"/>
      <c r="FX8199"/>
      <c r="FY8199"/>
      <c r="FZ8199"/>
      <c r="GA8199"/>
      <c r="GB8199"/>
      <c r="GC8199"/>
      <c r="GD8199"/>
      <c r="GE8199"/>
      <c r="GF8199"/>
      <c r="GG8199"/>
      <c r="GH8199"/>
      <c r="GI8199"/>
      <c r="GJ8199"/>
      <c r="GK8199"/>
      <c r="GL8199"/>
      <c r="GM8199"/>
      <c r="GN8199"/>
      <c r="GO8199"/>
    </row>
    <row r="8200" spans="107:197">
      <c r="DC8200"/>
      <c r="FH8200"/>
      <c r="FI8200"/>
      <c r="FJ8200"/>
      <c r="FK8200"/>
      <c r="FL8200"/>
      <c r="FM8200"/>
      <c r="FN8200"/>
      <c r="FO8200"/>
      <c r="FP8200"/>
      <c r="FQ8200"/>
      <c r="FR8200"/>
      <c r="FS8200"/>
      <c r="FT8200"/>
      <c r="FU8200"/>
      <c r="FV8200"/>
      <c r="FW8200"/>
      <c r="FX8200"/>
      <c r="FY8200"/>
      <c r="FZ8200"/>
      <c r="GA8200"/>
      <c r="GB8200"/>
      <c r="GC8200"/>
      <c r="GD8200"/>
      <c r="GE8200"/>
      <c r="GF8200"/>
      <c r="GG8200"/>
      <c r="GH8200"/>
      <c r="GI8200"/>
      <c r="GJ8200"/>
      <c r="GK8200"/>
      <c r="GL8200"/>
      <c r="GM8200"/>
      <c r="GN8200"/>
      <c r="GO8200"/>
    </row>
    <row r="8201" spans="107:197">
      <c r="DC8201"/>
      <c r="FH8201"/>
      <c r="FI8201"/>
      <c r="FJ8201"/>
      <c r="FK8201"/>
      <c r="FL8201"/>
      <c r="FM8201"/>
      <c r="FN8201"/>
      <c r="FO8201"/>
      <c r="FP8201"/>
      <c r="FQ8201"/>
      <c r="FR8201"/>
      <c r="FS8201"/>
      <c r="FT8201"/>
      <c r="FU8201"/>
      <c r="FV8201"/>
      <c r="FW8201"/>
      <c r="FX8201"/>
      <c r="FY8201"/>
      <c r="FZ8201"/>
      <c r="GA8201"/>
      <c r="GB8201"/>
      <c r="GC8201"/>
      <c r="GD8201"/>
      <c r="GE8201"/>
      <c r="GF8201"/>
      <c r="GG8201"/>
      <c r="GH8201"/>
      <c r="GI8201"/>
      <c r="GJ8201"/>
      <c r="GK8201"/>
      <c r="GL8201"/>
      <c r="GM8201"/>
      <c r="GN8201"/>
      <c r="GO8201"/>
    </row>
    <row r="8202" spans="107:197">
      <c r="DC8202"/>
      <c r="FH8202"/>
      <c r="FI8202"/>
      <c r="FJ8202"/>
      <c r="FK8202"/>
      <c r="FL8202"/>
      <c r="FM8202"/>
      <c r="FN8202"/>
      <c r="FO8202"/>
      <c r="FP8202"/>
      <c r="FQ8202"/>
      <c r="FR8202"/>
      <c r="FS8202"/>
      <c r="FT8202"/>
      <c r="FU8202"/>
      <c r="FV8202"/>
      <c r="FW8202"/>
      <c r="FX8202"/>
      <c r="FY8202"/>
      <c r="FZ8202"/>
      <c r="GA8202"/>
      <c r="GB8202"/>
      <c r="GC8202"/>
      <c r="GD8202"/>
      <c r="GE8202"/>
      <c r="GF8202"/>
      <c r="GG8202"/>
      <c r="GH8202"/>
      <c r="GI8202"/>
      <c r="GJ8202"/>
      <c r="GK8202"/>
      <c r="GL8202"/>
      <c r="GM8202"/>
      <c r="GN8202"/>
      <c r="GO8202"/>
    </row>
    <row r="8203" spans="107:197">
      <c r="DC8203"/>
      <c r="FH8203"/>
      <c r="FI8203"/>
      <c r="FJ8203"/>
      <c r="FK8203"/>
      <c r="FL8203"/>
      <c r="FM8203"/>
      <c r="FN8203"/>
      <c r="FO8203"/>
      <c r="FP8203"/>
      <c r="FQ8203"/>
      <c r="FR8203"/>
      <c r="FS8203"/>
      <c r="FT8203"/>
      <c r="FU8203"/>
      <c r="FV8203"/>
      <c r="FW8203"/>
      <c r="FX8203"/>
      <c r="FY8203"/>
      <c r="FZ8203"/>
      <c r="GA8203"/>
      <c r="GB8203"/>
      <c r="GC8203"/>
      <c r="GD8203"/>
      <c r="GE8203"/>
      <c r="GF8203"/>
      <c r="GG8203"/>
      <c r="GH8203"/>
      <c r="GI8203"/>
      <c r="GJ8203"/>
      <c r="GK8203"/>
      <c r="GL8203"/>
      <c r="GM8203"/>
      <c r="GN8203"/>
      <c r="GO8203"/>
    </row>
    <row r="8204" spans="107:197">
      <c r="DC8204"/>
      <c r="FH8204"/>
      <c r="FI8204"/>
      <c r="FJ8204"/>
      <c r="FK8204"/>
      <c r="FL8204"/>
      <c r="FM8204"/>
      <c r="FN8204"/>
      <c r="FO8204"/>
      <c r="FP8204"/>
      <c r="FQ8204"/>
      <c r="FR8204"/>
      <c r="FS8204"/>
      <c r="FT8204"/>
      <c r="FU8204"/>
      <c r="FV8204"/>
      <c r="FW8204"/>
      <c r="FX8204"/>
      <c r="FY8204"/>
      <c r="FZ8204"/>
      <c r="GA8204"/>
      <c r="GB8204"/>
      <c r="GC8204"/>
      <c r="GD8204"/>
      <c r="GE8204"/>
      <c r="GF8204"/>
      <c r="GG8204"/>
      <c r="GH8204"/>
      <c r="GI8204"/>
      <c r="GJ8204"/>
      <c r="GK8204"/>
      <c r="GL8204"/>
      <c r="GM8204"/>
      <c r="GN8204"/>
      <c r="GO8204"/>
    </row>
    <row r="8205" spans="107:197">
      <c r="DC8205"/>
      <c r="FH8205"/>
      <c r="FI8205"/>
      <c r="FJ8205"/>
      <c r="FK8205"/>
      <c r="FL8205"/>
      <c r="FM8205"/>
      <c r="FN8205"/>
      <c r="FO8205"/>
      <c r="FP8205"/>
      <c r="FQ8205"/>
      <c r="FR8205"/>
      <c r="FS8205"/>
      <c r="FT8205"/>
      <c r="FU8205"/>
      <c r="FV8205"/>
      <c r="FW8205"/>
      <c r="FX8205"/>
      <c r="FY8205"/>
      <c r="FZ8205"/>
      <c r="GA8205"/>
      <c r="GB8205"/>
      <c r="GC8205"/>
      <c r="GD8205"/>
      <c r="GE8205"/>
      <c r="GF8205"/>
      <c r="GG8205"/>
      <c r="GH8205"/>
      <c r="GI8205"/>
      <c r="GJ8205"/>
      <c r="GK8205"/>
      <c r="GL8205"/>
      <c r="GM8205"/>
      <c r="GN8205"/>
      <c r="GO8205"/>
    </row>
    <row r="8206" spans="107:197">
      <c r="DC8206"/>
      <c r="FH8206"/>
      <c r="FI8206"/>
      <c r="FJ8206"/>
      <c r="FK8206"/>
      <c r="FL8206"/>
      <c r="FM8206"/>
      <c r="FN8206"/>
      <c r="FO8206"/>
      <c r="FP8206"/>
      <c r="FQ8206"/>
      <c r="FR8206"/>
      <c r="FS8206"/>
      <c r="FT8206"/>
      <c r="FU8206"/>
      <c r="FV8206"/>
      <c r="FW8206"/>
      <c r="FX8206"/>
      <c r="FY8206"/>
      <c r="FZ8206"/>
      <c r="GA8206"/>
      <c r="GB8206"/>
      <c r="GC8206"/>
      <c r="GD8206"/>
      <c r="GE8206"/>
      <c r="GF8206"/>
      <c r="GG8206"/>
      <c r="GH8206"/>
      <c r="GI8206"/>
      <c r="GJ8206"/>
      <c r="GK8206"/>
      <c r="GL8206"/>
      <c r="GM8206"/>
      <c r="GN8206"/>
      <c r="GO8206"/>
    </row>
    <row r="8207" spans="107:197">
      <c r="DC8207"/>
      <c r="FH8207"/>
      <c r="FI8207"/>
      <c r="FJ8207"/>
      <c r="FK8207"/>
      <c r="FL8207"/>
      <c r="FM8207"/>
      <c r="FN8207"/>
      <c r="FO8207"/>
      <c r="FP8207"/>
      <c r="FQ8207"/>
      <c r="FR8207"/>
      <c r="FS8207"/>
      <c r="FT8207"/>
      <c r="FU8207"/>
      <c r="FV8207"/>
      <c r="FW8207"/>
      <c r="FX8207"/>
      <c r="FY8207"/>
      <c r="FZ8207"/>
      <c r="GA8207"/>
      <c r="GB8207"/>
      <c r="GC8207"/>
      <c r="GD8207"/>
      <c r="GE8207"/>
      <c r="GF8207"/>
      <c r="GG8207"/>
      <c r="GH8207"/>
      <c r="GI8207"/>
      <c r="GJ8207"/>
      <c r="GK8207"/>
      <c r="GL8207"/>
      <c r="GM8207"/>
      <c r="GN8207"/>
      <c r="GO8207"/>
    </row>
    <row r="8208" spans="107:197">
      <c r="DC8208"/>
      <c r="FH8208"/>
      <c r="FI8208"/>
      <c r="FJ8208"/>
      <c r="FK8208"/>
      <c r="FL8208"/>
      <c r="FM8208"/>
      <c r="FN8208"/>
      <c r="FO8208"/>
      <c r="FP8208"/>
      <c r="FQ8208"/>
      <c r="FR8208"/>
      <c r="FS8208"/>
      <c r="FT8208"/>
      <c r="FU8208"/>
      <c r="FV8208"/>
      <c r="FW8208"/>
      <c r="FX8208"/>
      <c r="FY8208"/>
      <c r="FZ8208"/>
      <c r="GA8208"/>
      <c r="GB8208"/>
      <c r="GC8208"/>
      <c r="GD8208"/>
      <c r="GE8208"/>
      <c r="GF8208"/>
      <c r="GG8208"/>
      <c r="GH8208"/>
      <c r="GI8208"/>
      <c r="GJ8208"/>
      <c r="GK8208"/>
      <c r="GL8208"/>
      <c r="GM8208"/>
      <c r="GN8208"/>
      <c r="GO8208"/>
    </row>
    <row r="8209" spans="107:197">
      <c r="DC8209"/>
      <c r="FH8209"/>
      <c r="FI8209"/>
      <c r="FJ8209"/>
      <c r="FK8209"/>
      <c r="FL8209"/>
      <c r="FM8209"/>
      <c r="FN8209"/>
      <c r="FO8209"/>
      <c r="FP8209"/>
      <c r="FQ8209"/>
      <c r="FR8209"/>
      <c r="FS8209"/>
      <c r="FT8209"/>
      <c r="FU8209"/>
      <c r="FV8209"/>
      <c r="FW8209"/>
      <c r="FX8209"/>
      <c r="FY8209"/>
      <c r="FZ8209"/>
      <c r="GA8209"/>
      <c r="GB8209"/>
      <c r="GC8209"/>
      <c r="GD8209"/>
      <c r="GE8209"/>
      <c r="GF8209"/>
      <c r="GG8209"/>
      <c r="GH8209"/>
      <c r="GI8209"/>
      <c r="GJ8209"/>
      <c r="GK8209"/>
      <c r="GL8209"/>
      <c r="GM8209"/>
      <c r="GN8209"/>
      <c r="GO8209"/>
    </row>
    <row r="8210" spans="107:197">
      <c r="DC8210"/>
      <c r="FH8210"/>
      <c r="FI8210"/>
      <c r="FJ8210"/>
      <c r="FK8210"/>
      <c r="FL8210"/>
      <c r="FM8210"/>
      <c r="FN8210"/>
      <c r="FO8210"/>
      <c r="FP8210"/>
      <c r="FQ8210"/>
      <c r="FR8210"/>
      <c r="FS8210"/>
      <c r="FT8210"/>
      <c r="FU8210"/>
      <c r="FV8210"/>
      <c r="FW8210"/>
      <c r="FX8210"/>
      <c r="FY8210"/>
      <c r="FZ8210"/>
      <c r="GA8210"/>
      <c r="GB8210"/>
      <c r="GC8210"/>
      <c r="GD8210"/>
      <c r="GE8210"/>
      <c r="GF8210"/>
      <c r="GG8210"/>
      <c r="GH8210"/>
      <c r="GI8210"/>
      <c r="GJ8210"/>
      <c r="GK8210"/>
      <c r="GL8210"/>
      <c r="GM8210"/>
      <c r="GN8210"/>
      <c r="GO8210"/>
    </row>
    <row r="8211" spans="107:197">
      <c r="DC8211"/>
      <c r="FH8211"/>
      <c r="FI8211"/>
      <c r="FJ8211"/>
      <c r="FK8211"/>
      <c r="FL8211"/>
      <c r="FM8211"/>
      <c r="FN8211"/>
      <c r="FO8211"/>
      <c r="FP8211"/>
      <c r="FQ8211"/>
      <c r="FR8211"/>
      <c r="FS8211"/>
      <c r="FT8211"/>
      <c r="FU8211"/>
      <c r="FV8211"/>
      <c r="FW8211"/>
      <c r="FX8211"/>
      <c r="FY8211"/>
      <c r="FZ8211"/>
      <c r="GA8211"/>
      <c r="GB8211"/>
      <c r="GC8211"/>
      <c r="GD8211"/>
      <c r="GE8211"/>
      <c r="GF8211"/>
      <c r="GG8211"/>
      <c r="GH8211"/>
      <c r="GI8211"/>
      <c r="GJ8211"/>
      <c r="GK8211"/>
      <c r="GL8211"/>
      <c r="GM8211"/>
      <c r="GN8211"/>
      <c r="GO8211"/>
    </row>
    <row r="8212" spans="107:197">
      <c r="DC8212"/>
      <c r="FH8212"/>
      <c r="FI8212"/>
      <c r="FJ8212"/>
      <c r="FK8212"/>
      <c r="FL8212"/>
      <c r="FM8212"/>
      <c r="FN8212"/>
      <c r="FO8212"/>
      <c r="FP8212"/>
      <c r="FQ8212"/>
      <c r="FR8212"/>
      <c r="FS8212"/>
      <c r="FT8212"/>
      <c r="FU8212"/>
      <c r="FV8212"/>
      <c r="FW8212"/>
      <c r="FX8212"/>
      <c r="FY8212"/>
      <c r="FZ8212"/>
      <c r="GA8212"/>
      <c r="GB8212"/>
      <c r="GC8212"/>
      <c r="GD8212"/>
      <c r="GE8212"/>
      <c r="GF8212"/>
      <c r="GG8212"/>
      <c r="GH8212"/>
      <c r="GI8212"/>
      <c r="GJ8212"/>
      <c r="GK8212"/>
      <c r="GL8212"/>
      <c r="GM8212"/>
      <c r="GN8212"/>
      <c r="GO8212"/>
    </row>
    <row r="8213" spans="107:197">
      <c r="DC8213"/>
      <c r="FH8213"/>
      <c r="FI8213"/>
      <c r="FJ8213"/>
      <c r="FK8213"/>
      <c r="FL8213"/>
      <c r="FM8213"/>
      <c r="FN8213"/>
      <c r="FO8213"/>
      <c r="FP8213"/>
      <c r="FQ8213"/>
      <c r="FR8213"/>
      <c r="FS8213"/>
      <c r="FT8213"/>
      <c r="FU8213"/>
      <c r="FV8213"/>
      <c r="FW8213"/>
      <c r="FX8213"/>
      <c r="FY8213"/>
      <c r="FZ8213"/>
      <c r="GA8213"/>
      <c r="GB8213"/>
      <c r="GC8213"/>
      <c r="GD8213"/>
      <c r="GE8213"/>
      <c r="GF8213"/>
      <c r="GG8213"/>
      <c r="GH8213"/>
      <c r="GI8213"/>
      <c r="GJ8213"/>
      <c r="GK8213"/>
      <c r="GL8213"/>
      <c r="GM8213"/>
      <c r="GN8213"/>
      <c r="GO8213"/>
    </row>
    <row r="8214" spans="107:197">
      <c r="DC8214"/>
      <c r="FH8214"/>
      <c r="FI8214"/>
      <c r="FJ8214"/>
      <c r="FK8214"/>
      <c r="FL8214"/>
      <c r="FM8214"/>
      <c r="FN8214"/>
      <c r="FO8214"/>
      <c r="FP8214"/>
      <c r="FQ8214"/>
      <c r="FR8214"/>
      <c r="FS8214"/>
      <c r="FT8214"/>
      <c r="FU8214"/>
      <c r="FV8214"/>
      <c r="FW8214"/>
      <c r="FX8214"/>
      <c r="FY8214"/>
      <c r="FZ8214"/>
      <c r="GA8214"/>
      <c r="GB8214"/>
      <c r="GC8214"/>
      <c r="GD8214"/>
      <c r="GE8214"/>
      <c r="GF8214"/>
      <c r="GG8214"/>
      <c r="GH8214"/>
      <c r="GI8214"/>
      <c r="GJ8214"/>
      <c r="GK8214"/>
      <c r="GL8214"/>
      <c r="GM8214"/>
      <c r="GN8214"/>
      <c r="GO8214"/>
    </row>
    <row r="8215" spans="107:197">
      <c r="DC8215"/>
      <c r="FH8215"/>
      <c r="FI8215"/>
      <c r="FJ8215"/>
      <c r="FK8215"/>
      <c r="FL8215"/>
      <c r="FM8215"/>
      <c r="FN8215"/>
      <c r="FO8215"/>
      <c r="FP8215"/>
      <c r="FQ8215"/>
      <c r="FR8215"/>
      <c r="FS8215"/>
      <c r="FT8215"/>
      <c r="FU8215"/>
      <c r="FV8215"/>
      <c r="FW8215"/>
      <c r="FX8215"/>
      <c r="FY8215"/>
      <c r="FZ8215"/>
      <c r="GA8215"/>
      <c r="GB8215"/>
      <c r="GC8215"/>
      <c r="GD8215"/>
      <c r="GE8215"/>
      <c r="GF8215"/>
      <c r="GG8215"/>
      <c r="GH8215"/>
      <c r="GI8215"/>
      <c r="GJ8215"/>
      <c r="GK8215"/>
      <c r="GL8215"/>
      <c r="GM8215"/>
      <c r="GN8215"/>
      <c r="GO8215"/>
    </row>
    <row r="8216" spans="107:197">
      <c r="DC8216"/>
      <c r="FH8216"/>
      <c r="FI8216"/>
      <c r="FJ8216"/>
      <c r="FK8216"/>
      <c r="FL8216"/>
      <c r="FM8216"/>
      <c r="FN8216"/>
      <c r="FO8216"/>
      <c r="FP8216"/>
      <c r="FQ8216"/>
      <c r="FR8216"/>
      <c r="FS8216"/>
      <c r="FT8216"/>
      <c r="FU8216"/>
      <c r="FV8216"/>
      <c r="FW8216"/>
      <c r="FX8216"/>
      <c r="FY8216"/>
      <c r="FZ8216"/>
      <c r="GA8216"/>
      <c r="GB8216"/>
      <c r="GC8216"/>
      <c r="GD8216"/>
      <c r="GE8216"/>
      <c r="GF8216"/>
      <c r="GG8216"/>
      <c r="GH8216"/>
      <c r="GI8216"/>
      <c r="GJ8216"/>
      <c r="GK8216"/>
      <c r="GL8216"/>
      <c r="GM8216"/>
      <c r="GN8216"/>
      <c r="GO8216"/>
    </row>
    <row r="8217" spans="107:197">
      <c r="DC8217"/>
      <c r="FH8217"/>
      <c r="FI8217"/>
      <c r="FJ8217"/>
      <c r="FK8217"/>
      <c r="FL8217"/>
      <c r="FM8217"/>
      <c r="FN8217"/>
      <c r="FO8217"/>
      <c r="FP8217"/>
      <c r="FQ8217"/>
      <c r="FR8217"/>
      <c r="FS8217"/>
      <c r="FT8217"/>
      <c r="FU8217"/>
      <c r="FV8217"/>
      <c r="FW8217"/>
      <c r="FX8217"/>
      <c r="FY8217"/>
      <c r="FZ8217"/>
      <c r="GA8217"/>
      <c r="GB8217"/>
      <c r="GC8217"/>
      <c r="GD8217"/>
      <c r="GE8217"/>
      <c r="GF8217"/>
      <c r="GG8217"/>
      <c r="GH8217"/>
      <c r="GI8217"/>
      <c r="GJ8217"/>
      <c r="GK8217"/>
      <c r="GL8217"/>
      <c r="GM8217"/>
      <c r="GN8217"/>
      <c r="GO8217"/>
    </row>
    <row r="8218" spans="107:197">
      <c r="DC8218"/>
      <c r="FH8218"/>
      <c r="FI8218"/>
      <c r="FJ8218"/>
      <c r="FK8218"/>
      <c r="FL8218"/>
      <c r="FM8218"/>
      <c r="FN8218"/>
      <c r="FO8218"/>
      <c r="FP8218"/>
      <c r="FQ8218"/>
      <c r="FR8218"/>
      <c r="FS8218"/>
      <c r="FT8218"/>
      <c r="FU8218"/>
      <c r="FV8218"/>
      <c r="FW8218"/>
      <c r="FX8218"/>
      <c r="FY8218"/>
      <c r="FZ8218"/>
      <c r="GA8218"/>
      <c r="GB8218"/>
      <c r="GC8218"/>
      <c r="GD8218"/>
      <c r="GE8218"/>
      <c r="GF8218"/>
      <c r="GG8218"/>
      <c r="GH8218"/>
      <c r="GI8218"/>
      <c r="GJ8218"/>
      <c r="GK8218"/>
      <c r="GL8218"/>
      <c r="GM8218"/>
      <c r="GN8218"/>
      <c r="GO8218"/>
    </row>
    <row r="8219" spans="107:197">
      <c r="DC8219"/>
      <c r="FH8219"/>
      <c r="FI8219"/>
      <c r="FJ8219"/>
      <c r="FK8219"/>
      <c r="FL8219"/>
      <c r="FM8219"/>
      <c r="FN8219"/>
      <c r="FO8219"/>
      <c r="FP8219"/>
      <c r="FQ8219"/>
      <c r="FR8219"/>
      <c r="FS8219"/>
      <c r="FT8219"/>
      <c r="FU8219"/>
      <c r="FV8219"/>
      <c r="FW8219"/>
      <c r="FX8219"/>
      <c r="FY8219"/>
      <c r="FZ8219"/>
      <c r="GA8219"/>
      <c r="GB8219"/>
      <c r="GC8219"/>
      <c r="GD8219"/>
      <c r="GE8219"/>
      <c r="GF8219"/>
      <c r="GG8219"/>
      <c r="GH8219"/>
      <c r="GI8219"/>
      <c r="GJ8219"/>
      <c r="GK8219"/>
      <c r="GL8219"/>
      <c r="GM8219"/>
      <c r="GN8219"/>
      <c r="GO8219"/>
    </row>
    <row r="8220" spans="107:197">
      <c r="DC8220"/>
      <c r="FH8220"/>
      <c r="FI8220"/>
      <c r="FJ8220"/>
      <c r="FK8220"/>
      <c r="FL8220"/>
      <c r="FM8220"/>
      <c r="FN8220"/>
      <c r="FO8220"/>
      <c r="FP8220"/>
      <c r="FQ8220"/>
      <c r="FR8220"/>
      <c r="FS8220"/>
      <c r="FT8220"/>
      <c r="FU8220"/>
      <c r="FV8220"/>
      <c r="FW8220"/>
      <c r="FX8220"/>
      <c r="FY8220"/>
      <c r="FZ8220"/>
      <c r="GA8220"/>
      <c r="GB8220"/>
      <c r="GC8220"/>
      <c r="GD8220"/>
      <c r="GE8220"/>
      <c r="GF8220"/>
      <c r="GG8220"/>
      <c r="GH8220"/>
      <c r="GI8220"/>
      <c r="GJ8220"/>
      <c r="GK8220"/>
      <c r="GL8220"/>
      <c r="GM8220"/>
      <c r="GN8220"/>
      <c r="GO8220"/>
    </row>
    <row r="8221" spans="107:197">
      <c r="DC8221"/>
      <c r="FH8221"/>
      <c r="FI8221"/>
      <c r="FJ8221"/>
      <c r="FK8221"/>
      <c r="FL8221"/>
      <c r="FM8221"/>
      <c r="FN8221"/>
      <c r="FO8221"/>
      <c r="FP8221"/>
      <c r="FQ8221"/>
      <c r="FR8221"/>
      <c r="FS8221"/>
      <c r="FT8221"/>
      <c r="FU8221"/>
      <c r="FV8221"/>
      <c r="FW8221"/>
      <c r="FX8221"/>
      <c r="FY8221"/>
      <c r="FZ8221"/>
      <c r="GA8221"/>
      <c r="GB8221"/>
      <c r="GC8221"/>
      <c r="GD8221"/>
      <c r="GE8221"/>
      <c r="GF8221"/>
      <c r="GG8221"/>
      <c r="GH8221"/>
      <c r="GI8221"/>
      <c r="GJ8221"/>
      <c r="GK8221"/>
      <c r="GL8221"/>
      <c r="GM8221"/>
      <c r="GN8221"/>
      <c r="GO8221"/>
    </row>
    <row r="8222" spans="107:197">
      <c r="DC8222"/>
      <c r="FH8222"/>
      <c r="FI8222"/>
      <c r="FJ8222"/>
      <c r="FK8222"/>
      <c r="FL8222"/>
      <c r="FM8222"/>
      <c r="FN8222"/>
      <c r="FO8222"/>
      <c r="FP8222"/>
      <c r="FQ8222"/>
      <c r="FR8222"/>
      <c r="FS8222"/>
      <c r="FT8222"/>
      <c r="FU8222"/>
      <c r="FV8222"/>
      <c r="FW8222"/>
      <c r="FX8222"/>
      <c r="FY8222"/>
      <c r="FZ8222"/>
      <c r="GA8222"/>
      <c r="GB8222"/>
      <c r="GC8222"/>
      <c r="GD8222"/>
      <c r="GE8222"/>
      <c r="GF8222"/>
      <c r="GG8222"/>
      <c r="GH8222"/>
      <c r="GI8222"/>
      <c r="GJ8222"/>
      <c r="GK8222"/>
      <c r="GL8222"/>
      <c r="GM8222"/>
      <c r="GN8222"/>
      <c r="GO8222"/>
    </row>
    <row r="8223" spans="107:197">
      <c r="DC8223"/>
      <c r="FH8223"/>
      <c r="FI8223"/>
      <c r="FJ8223"/>
      <c r="FK8223"/>
      <c r="FL8223"/>
      <c r="FM8223"/>
      <c r="FN8223"/>
      <c r="FO8223"/>
      <c r="FP8223"/>
      <c r="FQ8223"/>
      <c r="FR8223"/>
      <c r="FS8223"/>
      <c r="FT8223"/>
      <c r="FU8223"/>
      <c r="FV8223"/>
      <c r="FW8223"/>
      <c r="FX8223"/>
      <c r="FY8223"/>
      <c r="FZ8223"/>
      <c r="GA8223"/>
      <c r="GB8223"/>
      <c r="GC8223"/>
      <c r="GD8223"/>
      <c r="GE8223"/>
      <c r="GF8223"/>
      <c r="GG8223"/>
      <c r="GH8223"/>
      <c r="GI8223"/>
      <c r="GJ8223"/>
      <c r="GK8223"/>
      <c r="GL8223"/>
      <c r="GM8223"/>
      <c r="GN8223"/>
      <c r="GO8223"/>
    </row>
    <row r="8224" spans="107:197">
      <c r="DC8224"/>
      <c r="FH8224"/>
      <c r="FI8224"/>
      <c r="FJ8224"/>
      <c r="FK8224"/>
      <c r="FL8224"/>
      <c r="FM8224"/>
      <c r="FN8224"/>
      <c r="FO8224"/>
      <c r="FP8224"/>
      <c r="FQ8224"/>
      <c r="FR8224"/>
      <c r="FS8224"/>
      <c r="FT8224"/>
      <c r="FU8224"/>
      <c r="FV8224"/>
      <c r="FW8224"/>
      <c r="FX8224"/>
      <c r="FY8224"/>
      <c r="FZ8224"/>
      <c r="GA8224"/>
      <c r="GB8224"/>
      <c r="GC8224"/>
      <c r="GD8224"/>
      <c r="GE8224"/>
      <c r="GF8224"/>
      <c r="GG8224"/>
      <c r="GH8224"/>
      <c r="GI8224"/>
      <c r="GJ8224"/>
      <c r="GK8224"/>
      <c r="GL8224"/>
      <c r="GM8224"/>
      <c r="GN8224"/>
      <c r="GO8224"/>
    </row>
    <row r="8225" spans="107:197">
      <c r="DC8225"/>
      <c r="FH8225"/>
      <c r="FI8225"/>
      <c r="FJ8225"/>
      <c r="FK8225"/>
      <c r="FL8225"/>
      <c r="FM8225"/>
      <c r="FN8225"/>
      <c r="FO8225"/>
      <c r="FP8225"/>
      <c r="FQ8225"/>
      <c r="FR8225"/>
      <c r="FS8225"/>
      <c r="FT8225"/>
      <c r="FU8225"/>
      <c r="FV8225"/>
      <c r="FW8225"/>
      <c r="FX8225"/>
      <c r="FY8225"/>
      <c r="FZ8225"/>
      <c r="GA8225"/>
      <c r="GB8225"/>
      <c r="GC8225"/>
      <c r="GD8225"/>
      <c r="GE8225"/>
      <c r="GF8225"/>
      <c r="GG8225"/>
      <c r="GH8225"/>
      <c r="GI8225"/>
      <c r="GJ8225"/>
      <c r="GK8225"/>
      <c r="GL8225"/>
      <c r="GM8225"/>
      <c r="GN8225"/>
      <c r="GO8225"/>
    </row>
    <row r="8226" spans="107:197">
      <c r="DC8226"/>
      <c r="FH8226"/>
      <c r="FI8226"/>
      <c r="FJ8226"/>
      <c r="FK8226"/>
      <c r="FL8226"/>
      <c r="FM8226"/>
      <c r="FN8226"/>
      <c r="FO8226"/>
      <c r="FP8226"/>
      <c r="FQ8226"/>
      <c r="FR8226"/>
      <c r="FS8226"/>
      <c r="FT8226"/>
      <c r="FU8226"/>
      <c r="FV8226"/>
      <c r="FW8226"/>
      <c r="FX8226"/>
      <c r="FY8226"/>
      <c r="FZ8226"/>
      <c r="GA8226"/>
      <c r="GB8226"/>
      <c r="GC8226"/>
      <c r="GD8226"/>
      <c r="GE8226"/>
      <c r="GF8226"/>
      <c r="GG8226"/>
      <c r="GH8226"/>
      <c r="GI8226"/>
      <c r="GJ8226"/>
      <c r="GK8226"/>
      <c r="GL8226"/>
      <c r="GM8226"/>
      <c r="GN8226"/>
      <c r="GO8226"/>
    </row>
    <row r="8227" spans="107:197">
      <c r="DC8227"/>
      <c r="FH8227"/>
      <c r="FI8227"/>
      <c r="FJ8227"/>
      <c r="FK8227"/>
      <c r="FL8227"/>
      <c r="FM8227"/>
      <c r="FN8227"/>
      <c r="FO8227"/>
      <c r="FP8227"/>
      <c r="FQ8227"/>
      <c r="FR8227"/>
      <c r="FS8227"/>
      <c r="FT8227"/>
      <c r="FU8227"/>
      <c r="FV8227"/>
      <c r="FW8227"/>
      <c r="FX8227"/>
      <c r="FY8227"/>
      <c r="FZ8227"/>
      <c r="GA8227"/>
      <c r="GB8227"/>
      <c r="GC8227"/>
      <c r="GD8227"/>
      <c r="GE8227"/>
      <c r="GF8227"/>
      <c r="GG8227"/>
      <c r="GH8227"/>
      <c r="GI8227"/>
      <c r="GJ8227"/>
      <c r="GK8227"/>
      <c r="GL8227"/>
      <c r="GM8227"/>
      <c r="GN8227"/>
      <c r="GO8227"/>
    </row>
    <row r="8228" spans="107:197">
      <c r="DC8228"/>
      <c r="FH8228"/>
      <c r="FI8228"/>
      <c r="FJ8228"/>
      <c r="FK8228"/>
      <c r="FL8228"/>
      <c r="FM8228"/>
      <c r="FN8228"/>
      <c r="FO8228"/>
      <c r="FP8228"/>
      <c r="FQ8228"/>
      <c r="FR8228"/>
      <c r="FS8228"/>
      <c r="FT8228"/>
      <c r="FU8228"/>
      <c r="FV8228"/>
      <c r="FW8228"/>
      <c r="FX8228"/>
      <c r="FY8228"/>
      <c r="FZ8228"/>
      <c r="GA8228"/>
      <c r="GB8228"/>
      <c r="GC8228"/>
      <c r="GD8228"/>
      <c r="GE8228"/>
      <c r="GF8228"/>
      <c r="GG8228"/>
      <c r="GH8228"/>
      <c r="GI8228"/>
      <c r="GJ8228"/>
      <c r="GK8228"/>
      <c r="GL8228"/>
      <c r="GM8228"/>
      <c r="GN8228"/>
      <c r="GO8228"/>
    </row>
    <row r="8229" spans="107:197">
      <c r="DC8229"/>
      <c r="FH8229"/>
      <c r="FI8229"/>
      <c r="FJ8229"/>
      <c r="FK8229"/>
      <c r="FL8229"/>
      <c r="FM8229"/>
      <c r="FN8229"/>
      <c r="FO8229"/>
      <c r="FP8229"/>
      <c r="FQ8229"/>
      <c r="FR8229"/>
      <c r="FS8229"/>
      <c r="FT8229"/>
      <c r="FU8229"/>
      <c r="FV8229"/>
      <c r="FW8229"/>
      <c r="FX8229"/>
      <c r="FY8229"/>
      <c r="FZ8229"/>
      <c r="GA8229"/>
      <c r="GB8229"/>
      <c r="GC8229"/>
      <c r="GD8229"/>
      <c r="GE8229"/>
      <c r="GF8229"/>
      <c r="GG8229"/>
      <c r="GH8229"/>
      <c r="GI8229"/>
      <c r="GJ8229"/>
      <c r="GK8229"/>
      <c r="GL8229"/>
      <c r="GM8229"/>
      <c r="GN8229"/>
      <c r="GO8229"/>
    </row>
    <row r="8230" spans="107:197">
      <c r="DC8230"/>
      <c r="FH8230"/>
      <c r="FI8230"/>
      <c r="FJ8230"/>
      <c r="FK8230"/>
      <c r="FL8230"/>
      <c r="FM8230"/>
      <c r="FN8230"/>
      <c r="FO8230"/>
      <c r="FP8230"/>
      <c r="FQ8230"/>
      <c r="FR8230"/>
      <c r="FS8230"/>
      <c r="FT8230"/>
      <c r="FU8230"/>
      <c r="FV8230"/>
      <c r="FW8230"/>
      <c r="FX8230"/>
      <c r="FY8230"/>
      <c r="FZ8230"/>
      <c r="GA8230"/>
      <c r="GB8230"/>
      <c r="GC8230"/>
      <c r="GD8230"/>
      <c r="GE8230"/>
      <c r="GF8230"/>
      <c r="GG8230"/>
      <c r="GH8230"/>
      <c r="GI8230"/>
      <c r="GJ8230"/>
      <c r="GK8230"/>
      <c r="GL8230"/>
      <c r="GM8230"/>
      <c r="GN8230"/>
      <c r="GO8230"/>
    </row>
    <row r="8231" spans="107:197">
      <c r="DC8231"/>
      <c r="FH8231"/>
      <c r="FI8231"/>
      <c r="FJ8231"/>
      <c r="FK8231"/>
      <c r="FL8231"/>
      <c r="FM8231"/>
      <c r="FN8231"/>
      <c r="FO8231"/>
      <c r="FP8231"/>
      <c r="FQ8231"/>
      <c r="FR8231"/>
      <c r="FS8231"/>
      <c r="FT8231"/>
      <c r="FU8231"/>
      <c r="FV8231"/>
      <c r="FW8231"/>
      <c r="FX8231"/>
      <c r="FY8231"/>
      <c r="FZ8231"/>
      <c r="GA8231"/>
      <c r="GB8231"/>
      <c r="GC8231"/>
      <c r="GD8231"/>
      <c r="GE8231"/>
      <c r="GF8231"/>
      <c r="GG8231"/>
      <c r="GH8231"/>
      <c r="GI8231"/>
      <c r="GJ8231"/>
      <c r="GK8231"/>
      <c r="GL8231"/>
      <c r="GM8231"/>
      <c r="GN8231"/>
      <c r="GO8231"/>
    </row>
    <row r="8232" spans="107:197">
      <c r="DC8232"/>
      <c r="FH8232"/>
      <c r="FI8232"/>
      <c r="FJ8232"/>
      <c r="FK8232"/>
      <c r="FL8232"/>
      <c r="FM8232"/>
      <c r="FN8232"/>
      <c r="FO8232"/>
      <c r="FP8232"/>
      <c r="FQ8232"/>
      <c r="FR8232"/>
      <c r="FS8232"/>
      <c r="FT8232"/>
      <c r="FU8232"/>
      <c r="FV8232"/>
      <c r="FW8232"/>
      <c r="FX8232"/>
      <c r="FY8232"/>
      <c r="FZ8232"/>
      <c r="GA8232"/>
      <c r="GB8232"/>
      <c r="GC8232"/>
      <c r="GD8232"/>
      <c r="GE8232"/>
      <c r="GF8232"/>
      <c r="GG8232"/>
      <c r="GH8232"/>
      <c r="GI8232"/>
      <c r="GJ8232"/>
      <c r="GK8232"/>
      <c r="GL8232"/>
      <c r="GM8232"/>
      <c r="GN8232"/>
      <c r="GO8232"/>
    </row>
    <row r="8233" spans="107:197">
      <c r="DC8233"/>
      <c r="FH8233"/>
      <c r="FI8233"/>
      <c r="FJ8233"/>
      <c r="FK8233"/>
      <c r="FL8233"/>
      <c r="FM8233"/>
      <c r="FN8233"/>
      <c r="FO8233"/>
      <c r="FP8233"/>
      <c r="FQ8233"/>
      <c r="FR8233"/>
      <c r="FS8233"/>
      <c r="FT8233"/>
      <c r="FU8233"/>
      <c r="FV8233"/>
      <c r="FW8233"/>
      <c r="FX8233"/>
      <c r="FY8233"/>
      <c r="FZ8233"/>
      <c r="GA8233"/>
      <c r="GB8233"/>
      <c r="GC8233"/>
      <c r="GD8233"/>
      <c r="GE8233"/>
      <c r="GF8233"/>
      <c r="GG8233"/>
      <c r="GH8233"/>
      <c r="GI8233"/>
      <c r="GJ8233"/>
      <c r="GK8233"/>
      <c r="GL8233"/>
      <c r="GM8233"/>
      <c r="GN8233"/>
      <c r="GO8233"/>
    </row>
    <row r="8234" spans="107:197">
      <c r="DC8234"/>
      <c r="FH8234"/>
      <c r="FI8234"/>
      <c r="FJ8234"/>
      <c r="FK8234"/>
      <c r="FL8234"/>
      <c r="FM8234"/>
      <c r="FN8234"/>
      <c r="FO8234"/>
      <c r="FP8234"/>
      <c r="FQ8234"/>
      <c r="FR8234"/>
      <c r="FS8234"/>
      <c r="FT8234"/>
      <c r="FU8234"/>
      <c r="FV8234"/>
      <c r="FW8234"/>
      <c r="FX8234"/>
      <c r="FY8234"/>
      <c r="FZ8234"/>
      <c r="GA8234"/>
      <c r="GB8234"/>
      <c r="GC8234"/>
      <c r="GD8234"/>
      <c r="GE8234"/>
      <c r="GF8234"/>
      <c r="GG8234"/>
      <c r="GH8234"/>
      <c r="GI8234"/>
      <c r="GJ8234"/>
      <c r="GK8234"/>
      <c r="GL8234"/>
      <c r="GM8234"/>
      <c r="GN8234"/>
      <c r="GO8234"/>
    </row>
    <row r="8235" spans="107:197">
      <c r="DC8235"/>
      <c r="FH8235"/>
      <c r="FI8235"/>
      <c r="FJ8235"/>
      <c r="FK8235"/>
      <c r="FL8235"/>
      <c r="FM8235"/>
      <c r="FN8235"/>
      <c r="FO8235"/>
      <c r="FP8235"/>
      <c r="FQ8235"/>
      <c r="FR8235"/>
      <c r="FS8235"/>
      <c r="FT8235"/>
      <c r="FU8235"/>
      <c r="FV8235"/>
      <c r="FW8235"/>
      <c r="FX8235"/>
      <c r="FY8235"/>
      <c r="FZ8235"/>
      <c r="GA8235"/>
      <c r="GB8235"/>
      <c r="GC8235"/>
      <c r="GD8235"/>
      <c r="GE8235"/>
      <c r="GF8235"/>
      <c r="GG8235"/>
      <c r="GH8235"/>
      <c r="GI8235"/>
      <c r="GJ8235"/>
      <c r="GK8235"/>
      <c r="GL8235"/>
      <c r="GM8235"/>
      <c r="GN8235"/>
      <c r="GO8235"/>
    </row>
    <row r="8236" spans="107:197">
      <c r="DC8236"/>
      <c r="FH8236"/>
      <c r="FI8236"/>
      <c r="FJ8236"/>
      <c r="FK8236"/>
      <c r="FL8236"/>
      <c r="FM8236"/>
      <c r="FN8236"/>
      <c r="FO8236"/>
      <c r="FP8236"/>
      <c r="FQ8236"/>
      <c r="FR8236"/>
      <c r="FS8236"/>
      <c r="FT8236"/>
      <c r="FU8236"/>
      <c r="FV8236"/>
      <c r="FW8236"/>
      <c r="FX8236"/>
      <c r="FY8236"/>
      <c r="FZ8236"/>
      <c r="GA8236"/>
      <c r="GB8236"/>
      <c r="GC8236"/>
      <c r="GD8236"/>
      <c r="GE8236"/>
      <c r="GF8236"/>
      <c r="GG8236"/>
      <c r="GH8236"/>
      <c r="GI8236"/>
      <c r="GJ8236"/>
      <c r="GK8236"/>
      <c r="GL8236"/>
      <c r="GM8236"/>
      <c r="GN8236"/>
      <c r="GO8236"/>
    </row>
    <row r="8237" spans="107:197">
      <c r="DC8237"/>
      <c r="FH8237"/>
      <c r="FI8237"/>
      <c r="FJ8237"/>
      <c r="FK8237"/>
      <c r="FL8237"/>
      <c r="FM8237"/>
      <c r="FN8237"/>
      <c r="FO8237"/>
      <c r="FP8237"/>
      <c r="FQ8237"/>
      <c r="FR8237"/>
      <c r="FS8237"/>
      <c r="FT8237"/>
      <c r="FU8237"/>
      <c r="FV8237"/>
      <c r="FW8237"/>
      <c r="FX8237"/>
      <c r="FY8237"/>
      <c r="FZ8237"/>
      <c r="GA8237"/>
      <c r="GB8237"/>
      <c r="GC8237"/>
      <c r="GD8237"/>
      <c r="GE8237"/>
      <c r="GF8237"/>
      <c r="GG8237"/>
      <c r="GH8237"/>
      <c r="GI8237"/>
      <c r="GJ8237"/>
      <c r="GK8237"/>
      <c r="GL8237"/>
      <c r="GM8237"/>
      <c r="GN8237"/>
      <c r="GO8237"/>
    </row>
    <row r="8238" spans="107:197">
      <c r="DC8238"/>
      <c r="FH8238"/>
      <c r="FI8238"/>
      <c r="FJ8238"/>
      <c r="FK8238"/>
      <c r="FL8238"/>
      <c r="FM8238"/>
      <c r="FN8238"/>
      <c r="FO8238"/>
      <c r="FP8238"/>
      <c r="FQ8238"/>
      <c r="FR8238"/>
      <c r="FS8238"/>
      <c r="FT8238"/>
      <c r="FU8238"/>
      <c r="FV8238"/>
      <c r="FW8238"/>
      <c r="FX8238"/>
      <c r="FY8238"/>
      <c r="FZ8238"/>
      <c r="GA8238"/>
      <c r="GB8238"/>
      <c r="GC8238"/>
      <c r="GD8238"/>
      <c r="GE8238"/>
      <c r="GF8238"/>
      <c r="GG8238"/>
      <c r="GH8238"/>
      <c r="GI8238"/>
      <c r="GJ8238"/>
      <c r="GK8238"/>
      <c r="GL8238"/>
      <c r="GM8238"/>
      <c r="GN8238"/>
      <c r="GO8238"/>
    </row>
    <row r="8239" spans="107:197">
      <c r="DC8239"/>
      <c r="FH8239"/>
      <c r="FI8239"/>
      <c r="FJ8239"/>
      <c r="FK8239"/>
      <c r="FL8239"/>
      <c r="FM8239"/>
      <c r="FN8239"/>
      <c r="FO8239"/>
      <c r="FP8239"/>
      <c r="FQ8239"/>
      <c r="FR8239"/>
      <c r="FS8239"/>
      <c r="FT8239"/>
      <c r="FU8239"/>
      <c r="FV8239"/>
      <c r="FW8239"/>
      <c r="FX8239"/>
      <c r="FY8239"/>
      <c r="FZ8239"/>
      <c r="GA8239"/>
      <c r="GB8239"/>
      <c r="GC8239"/>
      <c r="GD8239"/>
      <c r="GE8239"/>
      <c r="GF8239"/>
      <c r="GG8239"/>
      <c r="GH8239"/>
      <c r="GI8239"/>
      <c r="GJ8239"/>
      <c r="GK8239"/>
      <c r="GL8239"/>
      <c r="GM8239"/>
      <c r="GN8239"/>
      <c r="GO8239"/>
    </row>
    <row r="8240" spans="107:197">
      <c r="DC8240"/>
      <c r="FH8240"/>
      <c r="FI8240"/>
      <c r="FJ8240"/>
      <c r="FK8240"/>
      <c r="FL8240"/>
      <c r="FM8240"/>
      <c r="FN8240"/>
      <c r="FO8240"/>
      <c r="FP8240"/>
      <c r="FQ8240"/>
      <c r="FR8240"/>
      <c r="FS8240"/>
      <c r="FT8240"/>
      <c r="FU8240"/>
      <c r="FV8240"/>
      <c r="FW8240"/>
      <c r="FX8240"/>
      <c r="FY8240"/>
      <c r="FZ8240"/>
      <c r="GA8240"/>
      <c r="GB8240"/>
      <c r="GC8240"/>
      <c r="GD8240"/>
      <c r="GE8240"/>
      <c r="GF8240"/>
      <c r="GG8240"/>
      <c r="GH8240"/>
      <c r="GI8240"/>
      <c r="GJ8240"/>
      <c r="GK8240"/>
      <c r="GL8240"/>
      <c r="GM8240"/>
      <c r="GN8240"/>
      <c r="GO8240"/>
    </row>
    <row r="8241" spans="107:197">
      <c r="DC8241"/>
      <c r="FH8241"/>
      <c r="FI8241"/>
      <c r="FJ8241"/>
      <c r="FK8241"/>
      <c r="FL8241"/>
      <c r="FM8241"/>
      <c r="FN8241"/>
      <c r="FO8241"/>
      <c r="FP8241"/>
      <c r="FQ8241"/>
      <c r="FR8241"/>
      <c r="FS8241"/>
      <c r="FT8241"/>
      <c r="FU8241"/>
      <c r="FV8241"/>
      <c r="FW8241"/>
      <c r="FX8241"/>
      <c r="FY8241"/>
      <c r="FZ8241"/>
      <c r="GA8241"/>
      <c r="GB8241"/>
      <c r="GC8241"/>
      <c r="GD8241"/>
      <c r="GE8241"/>
      <c r="GF8241"/>
      <c r="GG8241"/>
      <c r="GH8241"/>
      <c r="GI8241"/>
      <c r="GJ8241"/>
      <c r="GK8241"/>
      <c r="GL8241"/>
      <c r="GM8241"/>
      <c r="GN8241"/>
      <c r="GO8241"/>
    </row>
    <row r="8242" spans="107:197">
      <c r="DC8242"/>
      <c r="FH8242"/>
      <c r="FI8242"/>
      <c r="FJ8242"/>
      <c r="FK8242"/>
      <c r="FL8242"/>
      <c r="FM8242"/>
      <c r="FN8242"/>
      <c r="FO8242"/>
      <c r="FP8242"/>
      <c r="FQ8242"/>
      <c r="FR8242"/>
      <c r="FS8242"/>
      <c r="FT8242"/>
      <c r="FU8242"/>
      <c r="FV8242"/>
      <c r="FW8242"/>
      <c r="FX8242"/>
      <c r="FY8242"/>
      <c r="FZ8242"/>
      <c r="GA8242"/>
      <c r="GB8242"/>
      <c r="GC8242"/>
      <c r="GD8242"/>
      <c r="GE8242"/>
      <c r="GF8242"/>
      <c r="GG8242"/>
      <c r="GH8242"/>
      <c r="GI8242"/>
      <c r="GJ8242"/>
      <c r="GK8242"/>
      <c r="GL8242"/>
      <c r="GM8242"/>
      <c r="GN8242"/>
      <c r="GO8242"/>
    </row>
    <row r="8243" spans="107:197">
      <c r="DC8243"/>
      <c r="FH8243"/>
      <c r="FI8243"/>
      <c r="FJ8243"/>
      <c r="FK8243"/>
      <c r="FL8243"/>
      <c r="FM8243"/>
      <c r="FN8243"/>
      <c r="FO8243"/>
      <c r="FP8243"/>
      <c r="FQ8243"/>
      <c r="FR8243"/>
      <c r="FS8243"/>
      <c r="FT8243"/>
      <c r="FU8243"/>
      <c r="FV8243"/>
      <c r="FW8243"/>
      <c r="FX8243"/>
      <c r="FY8243"/>
      <c r="FZ8243"/>
      <c r="GA8243"/>
      <c r="GB8243"/>
      <c r="GC8243"/>
      <c r="GD8243"/>
      <c r="GE8243"/>
      <c r="GF8243"/>
      <c r="GG8243"/>
      <c r="GH8243"/>
      <c r="GI8243"/>
      <c r="GJ8243"/>
      <c r="GK8243"/>
      <c r="GL8243"/>
      <c r="GM8243"/>
      <c r="GN8243"/>
      <c r="GO8243"/>
    </row>
    <row r="8244" spans="107:197">
      <c r="DC8244"/>
      <c r="FH8244"/>
      <c r="FI8244"/>
      <c r="FJ8244"/>
      <c r="FK8244"/>
      <c r="FL8244"/>
      <c r="FM8244"/>
      <c r="FN8244"/>
      <c r="FO8244"/>
      <c r="FP8244"/>
      <c r="FQ8244"/>
      <c r="FR8244"/>
      <c r="FS8244"/>
      <c r="FT8244"/>
      <c r="FU8244"/>
      <c r="FV8244"/>
      <c r="FW8244"/>
      <c r="FX8244"/>
      <c r="FY8244"/>
      <c r="FZ8244"/>
      <c r="GA8244"/>
      <c r="GB8244"/>
      <c r="GC8244"/>
      <c r="GD8244"/>
      <c r="GE8244"/>
      <c r="GF8244"/>
      <c r="GG8244"/>
      <c r="GH8244"/>
      <c r="GI8244"/>
      <c r="GJ8244"/>
      <c r="GK8244"/>
      <c r="GL8244"/>
      <c r="GM8244"/>
      <c r="GN8244"/>
      <c r="GO8244"/>
    </row>
    <row r="8245" spans="107:197">
      <c r="DC8245"/>
      <c r="FH8245"/>
      <c r="FI8245"/>
      <c r="FJ8245"/>
      <c r="FK8245"/>
      <c r="FL8245"/>
      <c r="FM8245"/>
      <c r="FN8245"/>
      <c r="FO8245"/>
      <c r="FP8245"/>
      <c r="FQ8245"/>
      <c r="FR8245"/>
      <c r="FS8245"/>
      <c r="FT8245"/>
      <c r="FU8245"/>
      <c r="FV8245"/>
      <c r="FW8245"/>
      <c r="FX8245"/>
      <c r="FY8245"/>
      <c r="FZ8245"/>
      <c r="GA8245"/>
      <c r="GB8245"/>
      <c r="GC8245"/>
      <c r="GD8245"/>
      <c r="GE8245"/>
      <c r="GF8245"/>
      <c r="GG8245"/>
      <c r="GH8245"/>
      <c r="GI8245"/>
      <c r="GJ8245"/>
      <c r="GK8245"/>
      <c r="GL8245"/>
      <c r="GM8245"/>
      <c r="GN8245"/>
      <c r="GO8245"/>
    </row>
    <row r="8246" spans="107:197">
      <c r="DC8246"/>
      <c r="FH8246"/>
      <c r="FI8246"/>
      <c r="FJ8246"/>
      <c r="FK8246"/>
      <c r="FL8246"/>
      <c r="FM8246"/>
      <c r="FN8246"/>
      <c r="FO8246"/>
      <c r="FP8246"/>
      <c r="FQ8246"/>
      <c r="FR8246"/>
      <c r="FS8246"/>
      <c r="FT8246"/>
      <c r="FU8246"/>
      <c r="FV8246"/>
      <c r="FW8246"/>
      <c r="FX8246"/>
      <c r="FY8246"/>
      <c r="FZ8246"/>
      <c r="GA8246"/>
      <c r="GB8246"/>
      <c r="GC8246"/>
      <c r="GD8246"/>
      <c r="GE8246"/>
      <c r="GF8246"/>
      <c r="GG8246"/>
      <c r="GH8246"/>
      <c r="GI8246"/>
      <c r="GJ8246"/>
      <c r="GK8246"/>
      <c r="GL8246"/>
      <c r="GM8246"/>
      <c r="GN8246"/>
      <c r="GO8246"/>
    </row>
    <row r="8247" spans="107:197">
      <c r="DC8247"/>
      <c r="FH8247"/>
      <c r="FI8247"/>
      <c r="FJ8247"/>
      <c r="FK8247"/>
      <c r="FL8247"/>
      <c r="FM8247"/>
      <c r="FN8247"/>
      <c r="FO8247"/>
      <c r="FP8247"/>
      <c r="FQ8247"/>
      <c r="FR8247"/>
      <c r="FS8247"/>
      <c r="FT8247"/>
      <c r="FU8247"/>
      <c r="FV8247"/>
      <c r="FW8247"/>
      <c r="FX8247"/>
      <c r="FY8247"/>
      <c r="FZ8247"/>
      <c r="GA8247"/>
      <c r="GB8247"/>
      <c r="GC8247"/>
      <c r="GD8247"/>
      <c r="GE8247"/>
      <c r="GF8247"/>
      <c r="GG8247"/>
      <c r="GH8247"/>
      <c r="GI8247"/>
      <c r="GJ8247"/>
      <c r="GK8247"/>
      <c r="GL8247"/>
      <c r="GM8247"/>
      <c r="GN8247"/>
      <c r="GO8247"/>
    </row>
    <row r="8248" spans="107:197">
      <c r="DC8248"/>
      <c r="FH8248"/>
      <c r="FI8248"/>
      <c r="FJ8248"/>
      <c r="FK8248"/>
      <c r="FL8248"/>
      <c r="FM8248"/>
      <c r="FN8248"/>
      <c r="FO8248"/>
      <c r="FP8248"/>
      <c r="FQ8248"/>
      <c r="FR8248"/>
      <c r="FS8248"/>
      <c r="FT8248"/>
      <c r="FU8248"/>
      <c r="FV8248"/>
      <c r="FW8248"/>
      <c r="FX8248"/>
      <c r="FY8248"/>
      <c r="FZ8248"/>
      <c r="GA8248"/>
      <c r="GB8248"/>
      <c r="GC8248"/>
      <c r="GD8248"/>
      <c r="GE8248"/>
      <c r="GF8248"/>
      <c r="GG8248"/>
      <c r="GH8248"/>
      <c r="GI8248"/>
      <c r="GJ8248"/>
      <c r="GK8248"/>
      <c r="GL8248"/>
      <c r="GM8248"/>
      <c r="GN8248"/>
      <c r="GO8248"/>
    </row>
    <row r="8249" spans="107:197">
      <c r="DC8249"/>
      <c r="FH8249"/>
      <c r="FI8249"/>
      <c r="FJ8249"/>
      <c r="FK8249"/>
      <c r="FL8249"/>
      <c r="FM8249"/>
      <c r="FN8249"/>
      <c r="FO8249"/>
      <c r="FP8249"/>
      <c r="FQ8249"/>
      <c r="FR8249"/>
      <c r="FS8249"/>
      <c r="FT8249"/>
      <c r="FU8249"/>
      <c r="FV8249"/>
      <c r="FW8249"/>
      <c r="FX8249"/>
      <c r="FY8249"/>
      <c r="FZ8249"/>
      <c r="GA8249"/>
      <c r="GB8249"/>
      <c r="GC8249"/>
      <c r="GD8249"/>
      <c r="GE8249"/>
      <c r="GF8249"/>
      <c r="GG8249"/>
      <c r="GH8249"/>
      <c r="GI8249"/>
      <c r="GJ8249"/>
      <c r="GK8249"/>
      <c r="GL8249"/>
      <c r="GM8249"/>
      <c r="GN8249"/>
      <c r="GO8249"/>
    </row>
    <row r="8250" spans="107:197">
      <c r="DC8250"/>
      <c r="FH8250"/>
      <c r="FI8250"/>
      <c r="FJ8250"/>
      <c r="FK8250"/>
      <c r="FL8250"/>
      <c r="FM8250"/>
      <c r="FN8250"/>
      <c r="FO8250"/>
      <c r="FP8250"/>
      <c r="FQ8250"/>
      <c r="FR8250"/>
      <c r="FS8250"/>
      <c r="FT8250"/>
      <c r="FU8250"/>
      <c r="FV8250"/>
      <c r="FW8250"/>
      <c r="FX8250"/>
      <c r="FY8250"/>
      <c r="FZ8250"/>
      <c r="GA8250"/>
      <c r="GB8250"/>
      <c r="GC8250"/>
      <c r="GD8250"/>
      <c r="GE8250"/>
      <c r="GF8250"/>
      <c r="GG8250"/>
      <c r="GH8250"/>
      <c r="GI8250"/>
      <c r="GJ8250"/>
      <c r="GK8250"/>
      <c r="GL8250"/>
      <c r="GM8250"/>
      <c r="GN8250"/>
      <c r="GO8250"/>
    </row>
    <row r="8251" spans="107:197">
      <c r="DC8251"/>
      <c r="FH8251"/>
      <c r="FI8251"/>
      <c r="FJ8251"/>
      <c r="FK8251"/>
      <c r="FL8251"/>
      <c r="FM8251"/>
      <c r="FN8251"/>
      <c r="FO8251"/>
      <c r="FP8251"/>
      <c r="FQ8251"/>
      <c r="FR8251"/>
      <c r="FS8251"/>
      <c r="FT8251"/>
      <c r="FU8251"/>
      <c r="FV8251"/>
      <c r="FW8251"/>
      <c r="FX8251"/>
      <c r="FY8251"/>
      <c r="FZ8251"/>
      <c r="GA8251"/>
      <c r="GB8251"/>
      <c r="GC8251"/>
      <c r="GD8251"/>
      <c r="GE8251"/>
      <c r="GF8251"/>
      <c r="GG8251"/>
      <c r="GH8251"/>
      <c r="GI8251"/>
      <c r="GJ8251"/>
      <c r="GK8251"/>
      <c r="GL8251"/>
      <c r="GM8251"/>
      <c r="GN8251"/>
      <c r="GO8251"/>
    </row>
    <row r="8252" spans="107:197">
      <c r="DC8252"/>
      <c r="FH8252"/>
      <c r="FI8252"/>
      <c r="FJ8252"/>
      <c r="FK8252"/>
      <c r="FL8252"/>
      <c r="FM8252"/>
      <c r="FN8252"/>
      <c r="FO8252"/>
      <c r="FP8252"/>
      <c r="FQ8252"/>
      <c r="FR8252"/>
      <c r="FS8252"/>
      <c r="FT8252"/>
      <c r="FU8252"/>
      <c r="FV8252"/>
      <c r="FW8252"/>
      <c r="FX8252"/>
      <c r="FY8252"/>
      <c r="FZ8252"/>
      <c r="GA8252"/>
      <c r="GB8252"/>
      <c r="GC8252"/>
      <c r="GD8252"/>
      <c r="GE8252"/>
      <c r="GF8252"/>
      <c r="GG8252"/>
      <c r="GH8252"/>
      <c r="GI8252"/>
      <c r="GJ8252"/>
      <c r="GK8252"/>
      <c r="GL8252"/>
      <c r="GM8252"/>
      <c r="GN8252"/>
      <c r="GO8252"/>
    </row>
    <row r="8253" spans="107:197">
      <c r="DC8253"/>
      <c r="FH8253"/>
      <c r="FI8253"/>
      <c r="FJ8253"/>
      <c r="FK8253"/>
      <c r="FL8253"/>
      <c r="FM8253"/>
      <c r="FN8253"/>
      <c r="FO8253"/>
      <c r="FP8253"/>
      <c r="FQ8253"/>
      <c r="FR8253"/>
      <c r="FS8253"/>
      <c r="FT8253"/>
      <c r="FU8253"/>
      <c r="FV8253"/>
      <c r="FW8253"/>
      <c r="FX8253"/>
      <c r="FY8253"/>
      <c r="FZ8253"/>
      <c r="GA8253"/>
      <c r="GB8253"/>
      <c r="GC8253"/>
      <c r="GD8253"/>
      <c r="GE8253"/>
      <c r="GF8253"/>
      <c r="GG8253"/>
      <c r="GH8253"/>
      <c r="GI8253"/>
      <c r="GJ8253"/>
      <c r="GK8253"/>
      <c r="GL8253"/>
      <c r="GM8253"/>
      <c r="GN8253"/>
      <c r="GO8253"/>
    </row>
    <row r="8254" spans="107:197">
      <c r="DC8254"/>
      <c r="FH8254"/>
      <c r="FI8254"/>
      <c r="FJ8254"/>
      <c r="FK8254"/>
      <c r="FL8254"/>
      <c r="FM8254"/>
      <c r="FN8254"/>
      <c r="FO8254"/>
      <c r="FP8254"/>
      <c r="FQ8254"/>
      <c r="FR8254"/>
      <c r="FS8254"/>
      <c r="FT8254"/>
      <c r="FU8254"/>
      <c r="FV8254"/>
      <c r="FW8254"/>
      <c r="FX8254"/>
      <c r="FY8254"/>
      <c r="FZ8254"/>
      <c r="GA8254"/>
      <c r="GB8254"/>
      <c r="GC8254"/>
      <c r="GD8254"/>
      <c r="GE8254"/>
      <c r="GF8254"/>
      <c r="GG8254"/>
      <c r="GH8254"/>
      <c r="GI8254"/>
      <c r="GJ8254"/>
      <c r="GK8254"/>
      <c r="GL8254"/>
      <c r="GM8254"/>
      <c r="GN8254"/>
      <c r="GO8254"/>
    </row>
    <row r="8255" spans="107:197">
      <c r="DC8255"/>
      <c r="FH8255"/>
      <c r="FI8255"/>
      <c r="FJ8255"/>
      <c r="FK8255"/>
      <c r="FL8255"/>
      <c r="FM8255"/>
      <c r="FN8255"/>
      <c r="FO8255"/>
      <c r="FP8255"/>
      <c r="FQ8255"/>
      <c r="FR8255"/>
      <c r="FS8255"/>
      <c r="FT8255"/>
      <c r="FU8255"/>
      <c r="FV8255"/>
      <c r="FW8255"/>
      <c r="FX8255"/>
      <c r="FY8255"/>
      <c r="FZ8255"/>
      <c r="GA8255"/>
      <c r="GB8255"/>
      <c r="GC8255"/>
      <c r="GD8255"/>
      <c r="GE8255"/>
      <c r="GF8255"/>
      <c r="GG8255"/>
      <c r="GH8255"/>
      <c r="GI8255"/>
      <c r="GJ8255"/>
      <c r="GK8255"/>
      <c r="GL8255"/>
      <c r="GM8255"/>
      <c r="GN8255"/>
      <c r="GO8255"/>
    </row>
    <row r="8256" spans="107:197">
      <c r="DC8256"/>
      <c r="FH8256"/>
      <c r="FI8256"/>
      <c r="FJ8256"/>
      <c r="FK8256"/>
      <c r="FL8256"/>
      <c r="FM8256"/>
      <c r="FN8256"/>
      <c r="FO8256"/>
      <c r="FP8256"/>
      <c r="FQ8256"/>
      <c r="FR8256"/>
      <c r="FS8256"/>
      <c r="FT8256"/>
      <c r="FU8256"/>
      <c r="FV8256"/>
      <c r="FW8256"/>
      <c r="FX8256"/>
      <c r="FY8256"/>
      <c r="FZ8256"/>
      <c r="GA8256"/>
      <c r="GB8256"/>
      <c r="GC8256"/>
      <c r="GD8256"/>
      <c r="GE8256"/>
      <c r="GF8256"/>
      <c r="GG8256"/>
      <c r="GH8256"/>
      <c r="GI8256"/>
      <c r="GJ8256"/>
      <c r="GK8256"/>
      <c r="GL8256"/>
      <c r="GM8256"/>
      <c r="GN8256"/>
      <c r="GO8256"/>
    </row>
    <row r="8257" spans="107:197">
      <c r="DC8257"/>
      <c r="FH8257"/>
      <c r="FI8257"/>
      <c r="FJ8257"/>
      <c r="FK8257"/>
      <c r="FL8257"/>
      <c r="FM8257"/>
      <c r="FN8257"/>
      <c r="FO8257"/>
      <c r="FP8257"/>
      <c r="FQ8257"/>
      <c r="FR8257"/>
      <c r="FS8257"/>
      <c r="FT8257"/>
      <c r="FU8257"/>
      <c r="FV8257"/>
      <c r="FW8257"/>
      <c r="FX8257"/>
      <c r="FY8257"/>
      <c r="FZ8257"/>
      <c r="GA8257"/>
      <c r="GB8257"/>
      <c r="GC8257"/>
      <c r="GD8257"/>
      <c r="GE8257"/>
      <c r="GF8257"/>
      <c r="GG8257"/>
      <c r="GH8257"/>
      <c r="GI8257"/>
      <c r="GJ8257"/>
      <c r="GK8257"/>
      <c r="GL8257"/>
      <c r="GM8257"/>
      <c r="GN8257"/>
      <c r="GO8257"/>
    </row>
    <row r="8258" spans="107:197">
      <c r="DC8258"/>
      <c r="FH8258"/>
      <c r="FI8258"/>
      <c r="FJ8258"/>
      <c r="FK8258"/>
      <c r="FL8258"/>
      <c r="FM8258"/>
      <c r="FN8258"/>
      <c r="FO8258"/>
      <c r="FP8258"/>
      <c r="FQ8258"/>
      <c r="FR8258"/>
      <c r="FS8258"/>
      <c r="FT8258"/>
      <c r="FU8258"/>
      <c r="FV8258"/>
      <c r="FW8258"/>
      <c r="FX8258"/>
      <c r="FY8258"/>
      <c r="FZ8258"/>
      <c r="GA8258"/>
      <c r="GB8258"/>
      <c r="GC8258"/>
      <c r="GD8258"/>
      <c r="GE8258"/>
      <c r="GF8258"/>
      <c r="GG8258"/>
      <c r="GH8258"/>
      <c r="GI8258"/>
      <c r="GJ8258"/>
      <c r="GK8258"/>
      <c r="GL8258"/>
      <c r="GM8258"/>
      <c r="GN8258"/>
      <c r="GO8258"/>
    </row>
    <row r="8259" spans="107:197">
      <c r="DC8259"/>
      <c r="FH8259"/>
      <c r="FI8259"/>
      <c r="FJ8259"/>
      <c r="FK8259"/>
      <c r="FL8259"/>
      <c r="FM8259"/>
      <c r="FN8259"/>
      <c r="FO8259"/>
      <c r="FP8259"/>
      <c r="FQ8259"/>
      <c r="FR8259"/>
      <c r="FS8259"/>
      <c r="FT8259"/>
      <c r="FU8259"/>
      <c r="FV8259"/>
      <c r="FW8259"/>
      <c r="FX8259"/>
      <c r="FY8259"/>
      <c r="FZ8259"/>
      <c r="GA8259"/>
      <c r="GB8259"/>
      <c r="GC8259"/>
      <c r="GD8259"/>
      <c r="GE8259"/>
      <c r="GF8259"/>
      <c r="GG8259"/>
      <c r="GH8259"/>
      <c r="GI8259"/>
      <c r="GJ8259"/>
      <c r="GK8259"/>
      <c r="GL8259"/>
      <c r="GM8259"/>
      <c r="GN8259"/>
      <c r="GO8259"/>
    </row>
    <row r="8260" spans="107:197">
      <c r="DC8260"/>
      <c r="FH8260"/>
      <c r="FI8260"/>
      <c r="FJ8260"/>
      <c r="FK8260"/>
      <c r="FL8260"/>
      <c r="FM8260"/>
      <c r="FN8260"/>
      <c r="FO8260"/>
      <c r="FP8260"/>
      <c r="FQ8260"/>
      <c r="FR8260"/>
      <c r="FS8260"/>
      <c r="FT8260"/>
      <c r="FU8260"/>
      <c r="FV8260"/>
      <c r="FW8260"/>
      <c r="FX8260"/>
      <c r="FY8260"/>
      <c r="FZ8260"/>
      <c r="GA8260"/>
      <c r="GB8260"/>
      <c r="GC8260"/>
      <c r="GD8260"/>
      <c r="GE8260"/>
      <c r="GF8260"/>
      <c r="GG8260"/>
      <c r="GH8260"/>
      <c r="GI8260"/>
      <c r="GJ8260"/>
      <c r="GK8260"/>
      <c r="GL8260"/>
      <c r="GM8260"/>
      <c r="GN8260"/>
      <c r="GO8260"/>
    </row>
    <row r="8261" spans="107:197">
      <c r="DC8261"/>
      <c r="FH8261"/>
      <c r="FI8261"/>
      <c r="FJ8261"/>
      <c r="FK8261"/>
      <c r="FL8261"/>
      <c r="FM8261"/>
      <c r="FN8261"/>
      <c r="FO8261"/>
      <c r="FP8261"/>
      <c r="FQ8261"/>
      <c r="FR8261"/>
      <c r="FS8261"/>
      <c r="FT8261"/>
      <c r="FU8261"/>
      <c r="FV8261"/>
      <c r="FW8261"/>
      <c r="FX8261"/>
      <c r="FY8261"/>
      <c r="FZ8261"/>
      <c r="GA8261"/>
      <c r="GB8261"/>
      <c r="GC8261"/>
      <c r="GD8261"/>
      <c r="GE8261"/>
      <c r="GF8261"/>
      <c r="GG8261"/>
      <c r="GH8261"/>
      <c r="GI8261"/>
      <c r="GJ8261"/>
      <c r="GK8261"/>
      <c r="GL8261"/>
      <c r="GM8261"/>
      <c r="GN8261"/>
      <c r="GO8261"/>
    </row>
    <row r="8262" spans="107:197">
      <c r="DC8262"/>
      <c r="FH8262"/>
      <c r="FI8262"/>
      <c r="FJ8262"/>
      <c r="FK8262"/>
      <c r="FL8262"/>
      <c r="FM8262"/>
      <c r="FN8262"/>
      <c r="FO8262"/>
      <c r="FP8262"/>
      <c r="FQ8262"/>
      <c r="FR8262"/>
      <c r="FS8262"/>
      <c r="FT8262"/>
      <c r="FU8262"/>
      <c r="FV8262"/>
      <c r="FW8262"/>
      <c r="FX8262"/>
      <c r="FY8262"/>
      <c r="FZ8262"/>
      <c r="GA8262"/>
      <c r="GB8262"/>
      <c r="GC8262"/>
      <c r="GD8262"/>
      <c r="GE8262"/>
      <c r="GF8262"/>
      <c r="GG8262"/>
      <c r="GH8262"/>
      <c r="GI8262"/>
      <c r="GJ8262"/>
      <c r="GK8262"/>
      <c r="GL8262"/>
      <c r="GM8262"/>
      <c r="GN8262"/>
      <c r="GO8262"/>
    </row>
    <row r="8263" spans="107:197">
      <c r="DC8263"/>
      <c r="FH8263"/>
      <c r="FI8263"/>
      <c r="FJ8263"/>
      <c r="FK8263"/>
      <c r="FL8263"/>
      <c r="FM8263"/>
      <c r="FN8263"/>
      <c r="FO8263"/>
      <c r="FP8263"/>
      <c r="FQ8263"/>
      <c r="FR8263"/>
      <c r="FS8263"/>
      <c r="FT8263"/>
      <c r="FU8263"/>
      <c r="FV8263"/>
      <c r="FW8263"/>
      <c r="FX8263"/>
      <c r="FY8263"/>
      <c r="FZ8263"/>
      <c r="GA8263"/>
      <c r="GB8263"/>
      <c r="GC8263"/>
      <c r="GD8263"/>
      <c r="GE8263"/>
      <c r="GF8263"/>
      <c r="GG8263"/>
      <c r="GH8263"/>
      <c r="GI8263"/>
      <c r="GJ8263"/>
      <c r="GK8263"/>
      <c r="GL8263"/>
      <c r="GM8263"/>
      <c r="GN8263"/>
      <c r="GO8263"/>
    </row>
    <row r="8264" spans="107:197">
      <c r="DC8264"/>
      <c r="FH8264"/>
      <c r="FI8264"/>
      <c r="FJ8264"/>
      <c r="FK8264"/>
      <c r="FL8264"/>
      <c r="FM8264"/>
      <c r="FN8264"/>
      <c r="FO8264"/>
      <c r="FP8264"/>
      <c r="FQ8264"/>
      <c r="FR8264"/>
      <c r="FS8264"/>
      <c r="FT8264"/>
      <c r="FU8264"/>
      <c r="FV8264"/>
      <c r="FW8264"/>
      <c r="FX8264"/>
      <c r="FY8264"/>
      <c r="FZ8264"/>
      <c r="GA8264"/>
      <c r="GB8264"/>
      <c r="GC8264"/>
      <c r="GD8264"/>
      <c r="GE8264"/>
      <c r="GF8264"/>
      <c r="GG8264"/>
      <c r="GH8264"/>
      <c r="GI8264"/>
      <c r="GJ8264"/>
      <c r="GK8264"/>
      <c r="GL8264"/>
      <c r="GM8264"/>
      <c r="GN8264"/>
      <c r="GO8264"/>
    </row>
    <row r="8265" spans="107:197">
      <c r="DC8265"/>
      <c r="FH8265"/>
      <c r="FI8265"/>
      <c r="FJ8265"/>
      <c r="FK8265"/>
      <c r="FL8265"/>
      <c r="FM8265"/>
      <c r="FN8265"/>
      <c r="FO8265"/>
      <c r="FP8265"/>
      <c r="FQ8265"/>
      <c r="FR8265"/>
      <c r="FS8265"/>
      <c r="FT8265"/>
      <c r="FU8265"/>
      <c r="FV8265"/>
      <c r="FW8265"/>
      <c r="FX8265"/>
      <c r="FY8265"/>
      <c r="FZ8265"/>
      <c r="GA8265"/>
      <c r="GB8265"/>
      <c r="GC8265"/>
      <c r="GD8265"/>
      <c r="GE8265"/>
      <c r="GF8265"/>
      <c r="GG8265"/>
      <c r="GH8265"/>
      <c r="GI8265"/>
      <c r="GJ8265"/>
      <c r="GK8265"/>
      <c r="GL8265"/>
      <c r="GM8265"/>
      <c r="GN8265"/>
      <c r="GO8265"/>
    </row>
    <row r="8266" spans="107:197">
      <c r="DC8266"/>
      <c r="FH8266"/>
      <c r="FI8266"/>
      <c r="FJ8266"/>
      <c r="FK8266"/>
      <c r="FL8266"/>
      <c r="FM8266"/>
      <c r="FN8266"/>
      <c r="FO8266"/>
      <c r="FP8266"/>
      <c r="FQ8266"/>
      <c r="FR8266"/>
      <c r="FS8266"/>
      <c r="FT8266"/>
      <c r="FU8266"/>
      <c r="FV8266"/>
      <c r="FW8266"/>
      <c r="FX8266"/>
      <c r="FY8266"/>
      <c r="FZ8266"/>
      <c r="GA8266"/>
      <c r="GB8266"/>
      <c r="GC8266"/>
      <c r="GD8266"/>
      <c r="GE8266"/>
      <c r="GF8266"/>
      <c r="GG8266"/>
      <c r="GH8266"/>
      <c r="GI8266"/>
      <c r="GJ8266"/>
      <c r="GK8266"/>
      <c r="GL8266"/>
      <c r="GM8266"/>
      <c r="GN8266"/>
      <c r="GO8266"/>
    </row>
    <row r="8267" spans="107:197">
      <c r="DC8267"/>
      <c r="FH8267"/>
      <c r="FI8267"/>
      <c r="FJ8267"/>
      <c r="FK8267"/>
      <c r="FL8267"/>
      <c r="FM8267"/>
      <c r="FN8267"/>
      <c r="FO8267"/>
      <c r="FP8267"/>
      <c r="FQ8267"/>
      <c r="FR8267"/>
      <c r="FS8267"/>
      <c r="FT8267"/>
      <c r="FU8267"/>
      <c r="FV8267"/>
      <c r="FW8267"/>
      <c r="FX8267"/>
      <c r="FY8267"/>
      <c r="FZ8267"/>
      <c r="GA8267"/>
      <c r="GB8267"/>
      <c r="GC8267"/>
      <c r="GD8267"/>
      <c r="GE8267"/>
      <c r="GF8267"/>
      <c r="GG8267"/>
      <c r="GH8267"/>
      <c r="GI8267"/>
      <c r="GJ8267"/>
      <c r="GK8267"/>
      <c r="GL8267"/>
      <c r="GM8267"/>
      <c r="GN8267"/>
      <c r="GO8267"/>
    </row>
    <row r="8268" spans="107:197">
      <c r="DC8268"/>
      <c r="FH8268"/>
      <c r="FI8268"/>
      <c r="FJ8268"/>
      <c r="FK8268"/>
      <c r="FL8268"/>
      <c r="FM8268"/>
      <c r="FN8268"/>
      <c r="FO8268"/>
      <c r="FP8268"/>
      <c r="FQ8268"/>
      <c r="FR8268"/>
      <c r="FS8268"/>
      <c r="FT8268"/>
      <c r="FU8268"/>
      <c r="FV8268"/>
      <c r="FW8268"/>
      <c r="FX8268"/>
      <c r="FY8268"/>
      <c r="FZ8268"/>
      <c r="GA8268"/>
      <c r="GB8268"/>
      <c r="GC8268"/>
      <c r="GD8268"/>
      <c r="GE8268"/>
      <c r="GF8268"/>
      <c r="GG8268"/>
      <c r="GH8268"/>
      <c r="GI8268"/>
      <c r="GJ8268"/>
      <c r="GK8268"/>
      <c r="GL8268"/>
      <c r="GM8268"/>
      <c r="GN8268"/>
      <c r="GO8268"/>
    </row>
    <row r="8269" spans="107:197">
      <c r="DC8269"/>
      <c r="FH8269"/>
      <c r="FI8269"/>
      <c r="FJ8269"/>
      <c r="FK8269"/>
      <c r="FL8269"/>
      <c r="FM8269"/>
      <c r="FN8269"/>
      <c r="FO8269"/>
      <c r="FP8269"/>
      <c r="FQ8269"/>
      <c r="FR8269"/>
      <c r="FS8269"/>
      <c r="FT8269"/>
      <c r="FU8269"/>
      <c r="FV8269"/>
      <c r="FW8269"/>
      <c r="FX8269"/>
      <c r="FY8269"/>
      <c r="FZ8269"/>
      <c r="GA8269"/>
      <c r="GB8269"/>
      <c r="GC8269"/>
      <c r="GD8269"/>
      <c r="GE8269"/>
      <c r="GF8269"/>
      <c r="GG8269"/>
      <c r="GH8269"/>
      <c r="GI8269"/>
      <c r="GJ8269"/>
      <c r="GK8269"/>
      <c r="GL8269"/>
      <c r="GM8269"/>
      <c r="GN8269"/>
      <c r="GO8269"/>
    </row>
    <row r="8270" spans="107:197">
      <c r="DC8270"/>
      <c r="FH8270"/>
      <c r="FI8270"/>
      <c r="FJ8270"/>
      <c r="FK8270"/>
      <c r="FL8270"/>
      <c r="FM8270"/>
      <c r="FN8270"/>
      <c r="FO8270"/>
      <c r="FP8270"/>
      <c r="FQ8270"/>
      <c r="FR8270"/>
      <c r="FS8270"/>
      <c r="FT8270"/>
      <c r="FU8270"/>
      <c r="FV8270"/>
      <c r="FW8270"/>
      <c r="FX8270"/>
      <c r="FY8270"/>
      <c r="FZ8270"/>
      <c r="GA8270"/>
      <c r="GB8270"/>
      <c r="GC8270"/>
      <c r="GD8270"/>
      <c r="GE8270"/>
      <c r="GF8270"/>
      <c r="GG8270"/>
      <c r="GH8270"/>
      <c r="GI8270"/>
      <c r="GJ8270"/>
      <c r="GK8270"/>
      <c r="GL8270"/>
      <c r="GM8270"/>
      <c r="GN8270"/>
      <c r="GO8270"/>
    </row>
    <row r="8271" spans="107:197">
      <c r="DC8271"/>
      <c r="FH8271"/>
      <c r="FI8271"/>
      <c r="FJ8271"/>
      <c r="FK8271"/>
      <c r="FL8271"/>
      <c r="FM8271"/>
      <c r="FN8271"/>
      <c r="FO8271"/>
      <c r="FP8271"/>
      <c r="FQ8271"/>
      <c r="FR8271"/>
      <c r="FS8271"/>
      <c r="FT8271"/>
      <c r="FU8271"/>
      <c r="FV8271"/>
      <c r="FW8271"/>
      <c r="FX8271"/>
      <c r="FY8271"/>
      <c r="FZ8271"/>
      <c r="GA8271"/>
      <c r="GB8271"/>
      <c r="GC8271"/>
      <c r="GD8271"/>
      <c r="GE8271"/>
      <c r="GF8271"/>
      <c r="GG8271"/>
      <c r="GH8271"/>
      <c r="GI8271"/>
      <c r="GJ8271"/>
      <c r="GK8271"/>
      <c r="GL8271"/>
      <c r="GM8271"/>
      <c r="GN8271"/>
      <c r="GO8271"/>
    </row>
    <row r="8272" spans="107:197">
      <c r="DC8272"/>
      <c r="FH8272"/>
      <c r="FI8272"/>
      <c r="FJ8272"/>
      <c r="FK8272"/>
      <c r="FL8272"/>
      <c r="FM8272"/>
      <c r="FN8272"/>
      <c r="FO8272"/>
      <c r="FP8272"/>
      <c r="FQ8272"/>
      <c r="FR8272"/>
      <c r="FS8272"/>
      <c r="FT8272"/>
      <c r="FU8272"/>
      <c r="FV8272"/>
      <c r="FW8272"/>
      <c r="FX8272"/>
      <c r="FY8272"/>
      <c r="FZ8272"/>
      <c r="GA8272"/>
      <c r="GB8272"/>
      <c r="GC8272"/>
      <c r="GD8272"/>
      <c r="GE8272"/>
      <c r="GF8272"/>
      <c r="GG8272"/>
      <c r="GH8272"/>
      <c r="GI8272"/>
      <c r="GJ8272"/>
      <c r="GK8272"/>
      <c r="GL8272"/>
      <c r="GM8272"/>
      <c r="GN8272"/>
      <c r="GO8272"/>
    </row>
    <row r="8273" spans="107:197">
      <c r="DC8273"/>
      <c r="FH8273"/>
      <c r="FI8273"/>
      <c r="FJ8273"/>
      <c r="FK8273"/>
      <c r="FL8273"/>
      <c r="FM8273"/>
      <c r="FN8273"/>
      <c r="FO8273"/>
      <c r="FP8273"/>
      <c r="FQ8273"/>
      <c r="FR8273"/>
      <c r="FS8273"/>
      <c r="FT8273"/>
      <c r="FU8273"/>
      <c r="FV8273"/>
      <c r="FW8273"/>
      <c r="FX8273"/>
      <c r="FY8273"/>
      <c r="FZ8273"/>
      <c r="GA8273"/>
      <c r="GB8273"/>
      <c r="GC8273"/>
      <c r="GD8273"/>
      <c r="GE8273"/>
      <c r="GF8273"/>
      <c r="GG8273"/>
      <c r="GH8273"/>
      <c r="GI8273"/>
      <c r="GJ8273"/>
      <c r="GK8273"/>
      <c r="GL8273"/>
      <c r="GM8273"/>
      <c r="GN8273"/>
      <c r="GO8273"/>
    </row>
    <row r="8274" spans="107:197">
      <c r="DC8274"/>
      <c r="FH8274"/>
      <c r="FI8274"/>
      <c r="FJ8274"/>
      <c r="FK8274"/>
      <c r="FL8274"/>
      <c r="FM8274"/>
      <c r="FN8274"/>
      <c r="FO8274"/>
      <c r="FP8274"/>
      <c r="FQ8274"/>
      <c r="FR8274"/>
      <c r="FS8274"/>
      <c r="FT8274"/>
      <c r="FU8274"/>
      <c r="FV8274"/>
      <c r="FW8274"/>
      <c r="FX8274"/>
      <c r="FY8274"/>
      <c r="FZ8274"/>
      <c r="GA8274"/>
      <c r="GB8274"/>
      <c r="GC8274"/>
      <c r="GD8274"/>
      <c r="GE8274"/>
      <c r="GF8274"/>
      <c r="GG8274"/>
      <c r="GH8274"/>
      <c r="GI8274"/>
      <c r="GJ8274"/>
      <c r="GK8274"/>
      <c r="GL8274"/>
      <c r="GM8274"/>
      <c r="GN8274"/>
      <c r="GO8274"/>
    </row>
    <row r="8275" spans="107:197">
      <c r="DC8275"/>
      <c r="FH8275"/>
      <c r="FI8275"/>
      <c r="FJ8275"/>
      <c r="FK8275"/>
      <c r="FL8275"/>
      <c r="FM8275"/>
      <c r="FN8275"/>
      <c r="FO8275"/>
      <c r="FP8275"/>
      <c r="FQ8275"/>
      <c r="FR8275"/>
      <c r="FS8275"/>
      <c r="FT8275"/>
      <c r="FU8275"/>
      <c r="FV8275"/>
      <c r="FW8275"/>
      <c r="FX8275"/>
      <c r="FY8275"/>
      <c r="FZ8275"/>
      <c r="GA8275"/>
      <c r="GB8275"/>
      <c r="GC8275"/>
      <c r="GD8275"/>
      <c r="GE8275"/>
      <c r="GF8275"/>
      <c r="GG8275"/>
      <c r="GH8275"/>
      <c r="GI8275"/>
      <c r="GJ8275"/>
      <c r="GK8275"/>
      <c r="GL8275"/>
      <c r="GM8275"/>
      <c r="GN8275"/>
      <c r="GO8275"/>
    </row>
    <row r="8276" spans="107:197">
      <c r="DC8276"/>
      <c r="FH8276"/>
      <c r="FI8276"/>
      <c r="FJ8276"/>
      <c r="FK8276"/>
      <c r="FL8276"/>
      <c r="FM8276"/>
      <c r="FN8276"/>
      <c r="FO8276"/>
      <c r="FP8276"/>
      <c r="FQ8276"/>
      <c r="FR8276"/>
      <c r="FS8276"/>
      <c r="FT8276"/>
      <c r="FU8276"/>
      <c r="FV8276"/>
      <c r="FW8276"/>
      <c r="FX8276"/>
      <c r="FY8276"/>
      <c r="FZ8276"/>
      <c r="GA8276"/>
      <c r="GB8276"/>
      <c r="GC8276"/>
      <c r="GD8276"/>
      <c r="GE8276"/>
      <c r="GF8276"/>
      <c r="GG8276"/>
      <c r="GH8276"/>
      <c r="GI8276"/>
      <c r="GJ8276"/>
      <c r="GK8276"/>
      <c r="GL8276"/>
      <c r="GM8276"/>
      <c r="GN8276"/>
      <c r="GO8276"/>
    </row>
    <row r="8277" spans="107:197">
      <c r="DC8277"/>
      <c r="FH8277"/>
      <c r="FI8277"/>
      <c r="FJ8277"/>
      <c r="FK8277"/>
      <c r="FL8277"/>
      <c r="FM8277"/>
      <c r="FN8277"/>
      <c r="FO8277"/>
      <c r="FP8277"/>
      <c r="FQ8277"/>
      <c r="FR8277"/>
      <c r="FS8277"/>
      <c r="FT8277"/>
      <c r="FU8277"/>
      <c r="FV8277"/>
      <c r="FW8277"/>
      <c r="FX8277"/>
      <c r="FY8277"/>
      <c r="FZ8277"/>
      <c r="GA8277"/>
      <c r="GB8277"/>
      <c r="GC8277"/>
      <c r="GD8277"/>
      <c r="GE8277"/>
      <c r="GF8277"/>
      <c r="GG8277"/>
      <c r="GH8277"/>
      <c r="GI8277"/>
      <c r="GJ8277"/>
      <c r="GK8277"/>
      <c r="GL8277"/>
      <c r="GM8277"/>
      <c r="GN8277"/>
      <c r="GO8277"/>
    </row>
    <row r="8278" spans="107:197">
      <c r="DC8278"/>
      <c r="FH8278"/>
      <c r="FI8278"/>
      <c r="FJ8278"/>
      <c r="FK8278"/>
      <c r="FL8278"/>
      <c r="FM8278"/>
      <c r="FN8278"/>
      <c r="FO8278"/>
      <c r="FP8278"/>
      <c r="FQ8278"/>
      <c r="FR8278"/>
      <c r="FS8278"/>
      <c r="FT8278"/>
      <c r="FU8278"/>
      <c r="FV8278"/>
      <c r="FW8278"/>
      <c r="FX8278"/>
      <c r="FY8278"/>
      <c r="FZ8278"/>
      <c r="GA8278"/>
      <c r="GB8278"/>
      <c r="GC8278"/>
      <c r="GD8278"/>
      <c r="GE8278"/>
      <c r="GF8278"/>
      <c r="GG8278"/>
      <c r="GH8278"/>
      <c r="GI8278"/>
      <c r="GJ8278"/>
      <c r="GK8278"/>
      <c r="GL8278"/>
      <c r="GM8278"/>
      <c r="GN8278"/>
      <c r="GO8278"/>
    </row>
    <row r="8279" spans="107:197">
      <c r="DC8279"/>
      <c r="FH8279"/>
      <c r="FI8279"/>
      <c r="FJ8279"/>
      <c r="FK8279"/>
      <c r="FL8279"/>
      <c r="FM8279"/>
      <c r="FN8279"/>
      <c r="FO8279"/>
      <c r="FP8279"/>
      <c r="FQ8279"/>
      <c r="FR8279"/>
      <c r="FS8279"/>
      <c r="FT8279"/>
      <c r="FU8279"/>
      <c r="FV8279"/>
      <c r="FW8279"/>
      <c r="FX8279"/>
      <c r="FY8279"/>
      <c r="FZ8279"/>
      <c r="GA8279"/>
      <c r="GB8279"/>
      <c r="GC8279"/>
      <c r="GD8279"/>
      <c r="GE8279"/>
      <c r="GF8279"/>
      <c r="GG8279"/>
      <c r="GH8279"/>
      <c r="GI8279"/>
      <c r="GJ8279"/>
      <c r="GK8279"/>
      <c r="GL8279"/>
      <c r="GM8279"/>
      <c r="GN8279"/>
      <c r="GO8279"/>
    </row>
    <row r="8280" spans="107:197">
      <c r="DC8280"/>
      <c r="FH8280"/>
      <c r="FI8280"/>
      <c r="FJ8280"/>
      <c r="FK8280"/>
      <c r="FL8280"/>
      <c r="FM8280"/>
      <c r="FN8280"/>
      <c r="FO8280"/>
      <c r="FP8280"/>
      <c r="FQ8280"/>
      <c r="FR8280"/>
      <c r="FS8280"/>
      <c r="FT8280"/>
      <c r="FU8280"/>
      <c r="FV8280"/>
      <c r="FW8280"/>
      <c r="FX8280"/>
      <c r="FY8280"/>
      <c r="FZ8280"/>
      <c r="GA8280"/>
      <c r="GB8280"/>
      <c r="GC8280"/>
      <c r="GD8280"/>
      <c r="GE8280"/>
      <c r="GF8280"/>
      <c r="GG8280"/>
      <c r="GH8280"/>
      <c r="GI8280"/>
      <c r="GJ8280"/>
      <c r="GK8280"/>
      <c r="GL8280"/>
      <c r="GM8280"/>
      <c r="GN8280"/>
      <c r="GO8280"/>
    </row>
    <row r="8281" spans="107:197">
      <c r="DC8281"/>
      <c r="FH8281"/>
      <c r="FI8281"/>
      <c r="FJ8281"/>
      <c r="FK8281"/>
      <c r="FL8281"/>
      <c r="FM8281"/>
      <c r="FN8281"/>
      <c r="FO8281"/>
      <c r="FP8281"/>
      <c r="FQ8281"/>
      <c r="FR8281"/>
      <c r="FS8281"/>
      <c r="FT8281"/>
      <c r="FU8281"/>
      <c r="FV8281"/>
      <c r="FW8281"/>
      <c r="FX8281"/>
      <c r="FY8281"/>
      <c r="FZ8281"/>
      <c r="GA8281"/>
      <c r="GB8281"/>
      <c r="GC8281"/>
      <c r="GD8281"/>
      <c r="GE8281"/>
      <c r="GF8281"/>
      <c r="GG8281"/>
      <c r="GH8281"/>
      <c r="GI8281"/>
      <c r="GJ8281"/>
      <c r="GK8281"/>
      <c r="GL8281"/>
      <c r="GM8281"/>
      <c r="GN8281"/>
      <c r="GO8281"/>
    </row>
    <row r="8282" spans="107:197">
      <c r="DC8282"/>
      <c r="FH8282"/>
      <c r="FI8282"/>
      <c r="FJ8282"/>
      <c r="FK8282"/>
      <c r="FL8282"/>
      <c r="FM8282"/>
      <c r="FN8282"/>
      <c r="FO8282"/>
      <c r="FP8282"/>
      <c r="FQ8282"/>
      <c r="FR8282"/>
      <c r="FS8282"/>
      <c r="FT8282"/>
      <c r="FU8282"/>
      <c r="FV8282"/>
      <c r="FW8282"/>
      <c r="FX8282"/>
      <c r="FY8282"/>
      <c r="FZ8282"/>
      <c r="GA8282"/>
      <c r="GB8282"/>
      <c r="GC8282"/>
      <c r="GD8282"/>
      <c r="GE8282"/>
      <c r="GF8282"/>
      <c r="GG8282"/>
      <c r="GH8282"/>
      <c r="GI8282"/>
      <c r="GJ8282"/>
      <c r="GK8282"/>
      <c r="GL8282"/>
      <c r="GM8282"/>
      <c r="GN8282"/>
      <c r="GO8282"/>
    </row>
    <row r="8283" spans="107:197">
      <c r="DC8283"/>
      <c r="FH8283"/>
      <c r="FI8283"/>
      <c r="FJ8283"/>
      <c r="FK8283"/>
      <c r="FL8283"/>
      <c r="FM8283"/>
      <c r="FN8283"/>
      <c r="FO8283"/>
      <c r="FP8283"/>
      <c r="FQ8283"/>
      <c r="FR8283"/>
      <c r="FS8283"/>
      <c r="FT8283"/>
      <c r="FU8283"/>
      <c r="FV8283"/>
      <c r="FW8283"/>
      <c r="FX8283"/>
      <c r="FY8283"/>
      <c r="FZ8283"/>
      <c r="GA8283"/>
      <c r="GB8283"/>
      <c r="GC8283"/>
      <c r="GD8283"/>
      <c r="GE8283"/>
      <c r="GF8283"/>
      <c r="GG8283"/>
      <c r="GH8283"/>
      <c r="GI8283"/>
      <c r="GJ8283"/>
      <c r="GK8283"/>
      <c r="GL8283"/>
      <c r="GM8283"/>
      <c r="GN8283"/>
      <c r="GO8283"/>
    </row>
    <row r="8284" spans="107:197">
      <c r="DC8284"/>
      <c r="FH8284"/>
      <c r="FI8284"/>
      <c r="FJ8284"/>
      <c r="FK8284"/>
      <c r="FL8284"/>
      <c r="FM8284"/>
      <c r="FN8284"/>
      <c r="FO8284"/>
      <c r="FP8284"/>
      <c r="FQ8284"/>
      <c r="FR8284"/>
      <c r="FS8284"/>
      <c r="FT8284"/>
      <c r="FU8284"/>
      <c r="FV8284"/>
      <c r="FW8284"/>
      <c r="FX8284"/>
      <c r="FY8284"/>
      <c r="FZ8284"/>
      <c r="GA8284"/>
      <c r="GB8284"/>
      <c r="GC8284"/>
      <c r="GD8284"/>
      <c r="GE8284"/>
      <c r="GF8284"/>
      <c r="GG8284"/>
      <c r="GH8284"/>
      <c r="GI8284"/>
      <c r="GJ8284"/>
      <c r="GK8284"/>
      <c r="GL8284"/>
      <c r="GM8284"/>
      <c r="GN8284"/>
      <c r="GO8284"/>
    </row>
    <row r="8285" spans="107:197">
      <c r="DC8285"/>
      <c r="FH8285"/>
      <c r="FI8285"/>
      <c r="FJ8285"/>
      <c r="FK8285"/>
      <c r="FL8285"/>
      <c r="FM8285"/>
      <c r="FN8285"/>
      <c r="FO8285"/>
      <c r="FP8285"/>
      <c r="FQ8285"/>
      <c r="FR8285"/>
      <c r="FS8285"/>
      <c r="FT8285"/>
      <c r="FU8285"/>
      <c r="FV8285"/>
      <c r="FW8285"/>
      <c r="FX8285"/>
      <c r="FY8285"/>
      <c r="FZ8285"/>
      <c r="GA8285"/>
      <c r="GB8285"/>
      <c r="GC8285"/>
      <c r="GD8285"/>
      <c r="GE8285"/>
      <c r="GF8285"/>
      <c r="GG8285"/>
      <c r="GH8285"/>
      <c r="GI8285"/>
      <c r="GJ8285"/>
      <c r="GK8285"/>
      <c r="GL8285"/>
      <c r="GM8285"/>
      <c r="GN8285"/>
      <c r="GO8285"/>
    </row>
    <row r="8286" spans="107:197">
      <c r="DC8286"/>
      <c r="FH8286"/>
      <c r="FI8286"/>
      <c r="FJ8286"/>
      <c r="FK8286"/>
      <c r="FL8286"/>
      <c r="FM8286"/>
      <c r="FN8286"/>
      <c r="FO8286"/>
      <c r="FP8286"/>
      <c r="FQ8286"/>
      <c r="FR8286"/>
      <c r="FS8286"/>
      <c r="FT8286"/>
      <c r="FU8286"/>
      <c r="FV8286"/>
      <c r="FW8286"/>
      <c r="FX8286"/>
      <c r="FY8286"/>
      <c r="FZ8286"/>
      <c r="GA8286"/>
      <c r="GB8286"/>
      <c r="GC8286"/>
      <c r="GD8286"/>
      <c r="GE8286"/>
      <c r="GF8286"/>
      <c r="GG8286"/>
      <c r="GH8286"/>
      <c r="GI8286"/>
      <c r="GJ8286"/>
      <c r="GK8286"/>
      <c r="GL8286"/>
      <c r="GM8286"/>
      <c r="GN8286"/>
      <c r="GO8286"/>
    </row>
    <row r="8287" spans="107:197">
      <c r="DC8287"/>
      <c r="FH8287"/>
      <c r="FI8287"/>
      <c r="FJ8287"/>
      <c r="FK8287"/>
      <c r="FL8287"/>
      <c r="FM8287"/>
      <c r="FN8287"/>
      <c r="FO8287"/>
      <c r="FP8287"/>
      <c r="FQ8287"/>
      <c r="FR8287"/>
      <c r="FS8287"/>
      <c r="FT8287"/>
      <c r="FU8287"/>
      <c r="FV8287"/>
      <c r="FW8287"/>
      <c r="FX8287"/>
      <c r="FY8287"/>
      <c r="FZ8287"/>
      <c r="GA8287"/>
      <c r="GB8287"/>
      <c r="GC8287"/>
      <c r="GD8287"/>
      <c r="GE8287"/>
      <c r="GF8287"/>
      <c r="GG8287"/>
      <c r="GH8287"/>
      <c r="GI8287"/>
      <c r="GJ8287"/>
      <c r="GK8287"/>
      <c r="GL8287"/>
      <c r="GM8287"/>
      <c r="GN8287"/>
      <c r="GO8287"/>
    </row>
    <row r="8288" spans="107:197">
      <c r="DC8288"/>
      <c r="FH8288"/>
      <c r="FI8288"/>
      <c r="FJ8288"/>
      <c r="FK8288"/>
      <c r="FL8288"/>
      <c r="FM8288"/>
      <c r="FN8288"/>
      <c r="FO8288"/>
      <c r="FP8288"/>
      <c r="FQ8288"/>
      <c r="FR8288"/>
      <c r="FS8288"/>
      <c r="FT8288"/>
      <c r="FU8288"/>
      <c r="FV8288"/>
      <c r="FW8288"/>
      <c r="FX8288"/>
      <c r="FY8288"/>
      <c r="FZ8288"/>
      <c r="GA8288"/>
      <c r="GB8288"/>
      <c r="GC8288"/>
      <c r="GD8288"/>
      <c r="GE8288"/>
      <c r="GF8288"/>
      <c r="GG8288"/>
      <c r="GH8288"/>
      <c r="GI8288"/>
      <c r="GJ8288"/>
      <c r="GK8288"/>
      <c r="GL8288"/>
      <c r="GM8288"/>
      <c r="GN8288"/>
      <c r="GO8288"/>
    </row>
    <row r="8289" spans="107:197">
      <c r="DC8289"/>
      <c r="FH8289"/>
      <c r="FI8289"/>
      <c r="FJ8289"/>
      <c r="FK8289"/>
      <c r="FL8289"/>
      <c r="FM8289"/>
      <c r="FN8289"/>
      <c r="FO8289"/>
      <c r="FP8289"/>
      <c r="FQ8289"/>
      <c r="FR8289"/>
      <c r="FS8289"/>
      <c r="FT8289"/>
      <c r="FU8289"/>
      <c r="FV8289"/>
      <c r="FW8289"/>
      <c r="FX8289"/>
      <c r="FY8289"/>
      <c r="FZ8289"/>
      <c r="GA8289"/>
      <c r="GB8289"/>
      <c r="GC8289"/>
      <c r="GD8289"/>
      <c r="GE8289"/>
      <c r="GF8289"/>
      <c r="GG8289"/>
      <c r="GH8289"/>
      <c r="GI8289"/>
      <c r="GJ8289"/>
      <c r="GK8289"/>
      <c r="GL8289"/>
      <c r="GM8289"/>
      <c r="GN8289"/>
      <c r="GO8289"/>
    </row>
    <row r="8290" spans="107:197">
      <c r="DC8290"/>
      <c r="FH8290"/>
      <c r="FI8290"/>
      <c r="FJ8290"/>
      <c r="FK8290"/>
      <c r="FL8290"/>
      <c r="FM8290"/>
      <c r="FN8290"/>
      <c r="FO8290"/>
      <c r="FP8290"/>
      <c r="FQ8290"/>
      <c r="FR8290"/>
      <c r="FS8290"/>
      <c r="FT8290"/>
      <c r="FU8290"/>
      <c r="FV8290"/>
      <c r="FW8290"/>
      <c r="FX8290"/>
      <c r="FY8290"/>
      <c r="FZ8290"/>
      <c r="GA8290"/>
      <c r="GB8290"/>
      <c r="GC8290"/>
      <c r="GD8290"/>
      <c r="GE8290"/>
      <c r="GF8290"/>
      <c r="GG8290"/>
      <c r="GH8290"/>
      <c r="GI8290"/>
      <c r="GJ8290"/>
      <c r="GK8290"/>
      <c r="GL8290"/>
      <c r="GM8290"/>
      <c r="GN8290"/>
      <c r="GO8290"/>
    </row>
    <row r="8291" spans="107:197">
      <c r="DC8291"/>
      <c r="FH8291"/>
      <c r="FI8291"/>
      <c r="FJ8291"/>
      <c r="FK8291"/>
      <c r="FL8291"/>
      <c r="FM8291"/>
      <c r="FN8291"/>
      <c r="FO8291"/>
      <c r="FP8291"/>
      <c r="FQ8291"/>
      <c r="FR8291"/>
      <c r="FS8291"/>
      <c r="FT8291"/>
      <c r="FU8291"/>
      <c r="FV8291"/>
      <c r="FW8291"/>
      <c r="FX8291"/>
      <c r="FY8291"/>
      <c r="FZ8291"/>
      <c r="GA8291"/>
      <c r="GB8291"/>
      <c r="GC8291"/>
      <c r="GD8291"/>
      <c r="GE8291"/>
      <c r="GF8291"/>
      <c r="GG8291"/>
      <c r="GH8291"/>
      <c r="GI8291"/>
      <c r="GJ8291"/>
      <c r="GK8291"/>
      <c r="GL8291"/>
      <c r="GM8291"/>
      <c r="GN8291"/>
      <c r="GO8291"/>
    </row>
    <row r="8292" spans="107:197">
      <c r="DC8292"/>
      <c r="FH8292"/>
      <c r="FI8292"/>
      <c r="FJ8292"/>
      <c r="FK8292"/>
      <c r="FL8292"/>
      <c r="FM8292"/>
      <c r="FN8292"/>
      <c r="FO8292"/>
      <c r="FP8292"/>
      <c r="FQ8292"/>
      <c r="FR8292"/>
      <c r="FS8292"/>
      <c r="FT8292"/>
      <c r="FU8292"/>
      <c r="FV8292"/>
      <c r="FW8292"/>
      <c r="FX8292"/>
      <c r="FY8292"/>
      <c r="FZ8292"/>
      <c r="GA8292"/>
      <c r="GB8292"/>
      <c r="GC8292"/>
      <c r="GD8292"/>
      <c r="GE8292"/>
      <c r="GF8292"/>
      <c r="GG8292"/>
      <c r="GH8292"/>
      <c r="GI8292"/>
      <c r="GJ8292"/>
      <c r="GK8292"/>
      <c r="GL8292"/>
      <c r="GM8292"/>
      <c r="GN8292"/>
      <c r="GO8292"/>
    </row>
    <row r="8293" spans="107:197">
      <c r="DC8293"/>
      <c r="FH8293"/>
      <c r="FI8293"/>
      <c r="FJ8293"/>
      <c r="FK8293"/>
      <c r="FL8293"/>
      <c r="FM8293"/>
      <c r="FN8293"/>
      <c r="FO8293"/>
      <c r="FP8293"/>
      <c r="FQ8293"/>
      <c r="FR8293"/>
      <c r="FS8293"/>
      <c r="FT8293"/>
      <c r="FU8293"/>
      <c r="FV8293"/>
      <c r="FW8293"/>
      <c r="FX8293"/>
      <c r="FY8293"/>
      <c r="FZ8293"/>
      <c r="GA8293"/>
      <c r="GB8293"/>
      <c r="GC8293"/>
      <c r="GD8293"/>
      <c r="GE8293"/>
      <c r="GF8293"/>
      <c r="GG8293"/>
      <c r="GH8293"/>
      <c r="GI8293"/>
      <c r="GJ8293"/>
      <c r="GK8293"/>
      <c r="GL8293"/>
      <c r="GM8293"/>
      <c r="GN8293"/>
      <c r="GO8293"/>
    </row>
    <row r="8294" spans="107:197">
      <c r="DC8294"/>
      <c r="FH8294"/>
      <c r="FI8294"/>
      <c r="FJ8294"/>
      <c r="FK8294"/>
      <c r="FL8294"/>
      <c r="FM8294"/>
      <c r="FN8294"/>
      <c r="FO8294"/>
      <c r="FP8294"/>
      <c r="FQ8294"/>
      <c r="FR8294"/>
      <c r="FS8294"/>
      <c r="FT8294"/>
      <c r="FU8294"/>
      <c r="FV8294"/>
      <c r="FW8294"/>
      <c r="FX8294"/>
      <c r="FY8294"/>
      <c r="FZ8294"/>
      <c r="GA8294"/>
      <c r="GB8294"/>
      <c r="GC8294"/>
      <c r="GD8294"/>
      <c r="GE8294"/>
      <c r="GF8294"/>
      <c r="GG8294"/>
      <c r="GH8294"/>
      <c r="GI8294"/>
      <c r="GJ8294"/>
      <c r="GK8294"/>
      <c r="GL8294"/>
      <c r="GM8294"/>
      <c r="GN8294"/>
      <c r="GO8294"/>
    </row>
    <row r="8295" spans="107:197">
      <c r="DC8295"/>
      <c r="FH8295"/>
      <c r="FI8295"/>
      <c r="FJ8295"/>
      <c r="FK8295"/>
      <c r="FL8295"/>
      <c r="FM8295"/>
      <c r="FN8295"/>
      <c r="FO8295"/>
      <c r="FP8295"/>
      <c r="FQ8295"/>
      <c r="FR8295"/>
      <c r="FS8295"/>
      <c r="FT8295"/>
      <c r="FU8295"/>
      <c r="FV8295"/>
      <c r="FW8295"/>
      <c r="FX8295"/>
      <c r="FY8295"/>
      <c r="FZ8295"/>
      <c r="GA8295"/>
      <c r="GB8295"/>
      <c r="GC8295"/>
      <c r="GD8295"/>
      <c r="GE8295"/>
      <c r="GF8295"/>
      <c r="GG8295"/>
      <c r="GH8295"/>
      <c r="GI8295"/>
      <c r="GJ8295"/>
      <c r="GK8295"/>
      <c r="GL8295"/>
      <c r="GM8295"/>
      <c r="GN8295"/>
      <c r="GO8295"/>
    </row>
    <row r="8296" spans="107:197">
      <c r="DC8296"/>
      <c r="FH8296"/>
      <c r="FI8296"/>
      <c r="FJ8296"/>
      <c r="FK8296"/>
      <c r="FL8296"/>
      <c r="FM8296"/>
      <c r="FN8296"/>
      <c r="FO8296"/>
      <c r="FP8296"/>
      <c r="FQ8296"/>
      <c r="FR8296"/>
      <c r="FS8296"/>
      <c r="FT8296"/>
      <c r="FU8296"/>
      <c r="FV8296"/>
      <c r="FW8296"/>
      <c r="FX8296"/>
      <c r="FY8296"/>
      <c r="FZ8296"/>
      <c r="GA8296"/>
      <c r="GB8296"/>
      <c r="GC8296"/>
      <c r="GD8296"/>
      <c r="GE8296"/>
      <c r="GF8296"/>
      <c r="GG8296"/>
      <c r="GH8296"/>
      <c r="GI8296"/>
      <c r="GJ8296"/>
      <c r="GK8296"/>
      <c r="GL8296"/>
      <c r="GM8296"/>
      <c r="GN8296"/>
      <c r="GO8296"/>
    </row>
    <row r="8297" spans="107:197">
      <c r="DC8297"/>
      <c r="FH8297"/>
      <c r="FI8297"/>
      <c r="FJ8297"/>
      <c r="FK8297"/>
      <c r="FL8297"/>
      <c r="FM8297"/>
      <c r="FN8297"/>
      <c r="FO8297"/>
      <c r="FP8297"/>
      <c r="FQ8297"/>
      <c r="FR8297"/>
      <c r="FS8297"/>
      <c r="FT8297"/>
      <c r="FU8297"/>
      <c r="FV8297"/>
      <c r="FW8297"/>
      <c r="FX8297"/>
      <c r="FY8297"/>
      <c r="FZ8297"/>
      <c r="GA8297"/>
      <c r="GB8297"/>
      <c r="GC8297"/>
      <c r="GD8297"/>
      <c r="GE8297"/>
      <c r="GF8297"/>
      <c r="GG8297"/>
      <c r="GH8297"/>
      <c r="GI8297"/>
      <c r="GJ8297"/>
      <c r="GK8297"/>
      <c r="GL8297"/>
      <c r="GM8297"/>
      <c r="GN8297"/>
      <c r="GO8297"/>
    </row>
    <row r="8298" spans="107:197">
      <c r="DC8298"/>
      <c r="FH8298"/>
      <c r="FI8298"/>
      <c r="FJ8298"/>
      <c r="FK8298"/>
      <c r="FL8298"/>
      <c r="FM8298"/>
      <c r="FN8298"/>
      <c r="FO8298"/>
      <c r="FP8298"/>
      <c r="FQ8298"/>
      <c r="FR8298"/>
      <c r="FS8298"/>
      <c r="FT8298"/>
      <c r="FU8298"/>
      <c r="FV8298"/>
      <c r="FW8298"/>
      <c r="FX8298"/>
      <c r="FY8298"/>
      <c r="FZ8298"/>
      <c r="GA8298"/>
      <c r="GB8298"/>
      <c r="GC8298"/>
      <c r="GD8298"/>
      <c r="GE8298"/>
      <c r="GF8298"/>
      <c r="GG8298"/>
      <c r="GH8298"/>
      <c r="GI8298"/>
      <c r="GJ8298"/>
      <c r="GK8298"/>
      <c r="GL8298"/>
      <c r="GM8298"/>
      <c r="GN8298"/>
      <c r="GO8298"/>
    </row>
    <row r="8299" spans="107:197">
      <c r="DC8299"/>
      <c r="FH8299"/>
      <c r="FI8299"/>
      <c r="FJ8299"/>
      <c r="FK8299"/>
      <c r="FL8299"/>
      <c r="FM8299"/>
      <c r="FN8299"/>
      <c r="FO8299"/>
      <c r="FP8299"/>
      <c r="FQ8299"/>
      <c r="FR8299"/>
      <c r="FS8299"/>
      <c r="FT8299"/>
      <c r="FU8299"/>
      <c r="FV8299"/>
      <c r="FW8299"/>
      <c r="FX8299"/>
      <c r="FY8299"/>
      <c r="FZ8299"/>
      <c r="GA8299"/>
      <c r="GB8299"/>
      <c r="GC8299"/>
      <c r="GD8299"/>
      <c r="GE8299"/>
      <c r="GF8299"/>
      <c r="GG8299"/>
      <c r="GH8299"/>
      <c r="GI8299"/>
      <c r="GJ8299"/>
      <c r="GK8299"/>
      <c r="GL8299"/>
      <c r="GM8299"/>
      <c r="GN8299"/>
      <c r="GO8299"/>
    </row>
    <row r="8300" spans="107:197">
      <c r="DC8300"/>
      <c r="FH8300"/>
      <c r="FI8300"/>
      <c r="FJ8300"/>
      <c r="FK8300"/>
      <c r="FL8300"/>
      <c r="FM8300"/>
      <c r="FN8300"/>
      <c r="FO8300"/>
      <c r="FP8300"/>
      <c r="FQ8300"/>
      <c r="FR8300"/>
      <c r="FS8300"/>
      <c r="FT8300"/>
      <c r="FU8300"/>
      <c r="FV8300"/>
      <c r="FW8300"/>
      <c r="FX8300"/>
      <c r="FY8300"/>
      <c r="FZ8300"/>
      <c r="GA8300"/>
      <c r="GB8300"/>
      <c r="GC8300"/>
      <c r="GD8300"/>
      <c r="GE8300"/>
      <c r="GF8300"/>
      <c r="GG8300"/>
      <c r="GH8300"/>
      <c r="GI8300"/>
      <c r="GJ8300"/>
      <c r="GK8300"/>
      <c r="GL8300"/>
      <c r="GM8300"/>
      <c r="GN8300"/>
      <c r="GO8300"/>
    </row>
    <row r="8301" spans="107:197">
      <c r="DC8301"/>
      <c r="FH8301"/>
      <c r="FI8301"/>
      <c r="FJ8301"/>
      <c r="FK8301"/>
      <c r="FL8301"/>
      <c r="FM8301"/>
      <c r="FN8301"/>
      <c r="FO8301"/>
      <c r="FP8301"/>
      <c r="FQ8301"/>
      <c r="FR8301"/>
      <c r="FS8301"/>
      <c r="FT8301"/>
      <c r="FU8301"/>
      <c r="FV8301"/>
      <c r="FW8301"/>
      <c r="FX8301"/>
      <c r="FY8301"/>
      <c r="FZ8301"/>
      <c r="GA8301"/>
      <c r="GB8301"/>
      <c r="GC8301"/>
      <c r="GD8301"/>
      <c r="GE8301"/>
      <c r="GF8301"/>
      <c r="GG8301"/>
      <c r="GH8301"/>
      <c r="GI8301"/>
      <c r="GJ8301"/>
      <c r="GK8301"/>
      <c r="GL8301"/>
      <c r="GM8301"/>
      <c r="GN8301"/>
      <c r="GO8301"/>
    </row>
    <row r="8302" spans="107:197">
      <c r="DC8302"/>
      <c r="FH8302"/>
      <c r="FI8302"/>
      <c r="FJ8302"/>
      <c r="FK8302"/>
      <c r="FL8302"/>
      <c r="FM8302"/>
      <c r="FN8302"/>
      <c r="FO8302"/>
      <c r="FP8302"/>
      <c r="FQ8302"/>
      <c r="FR8302"/>
      <c r="FS8302"/>
      <c r="FT8302"/>
      <c r="FU8302"/>
      <c r="FV8302"/>
      <c r="FW8302"/>
      <c r="FX8302"/>
      <c r="FY8302"/>
      <c r="FZ8302"/>
      <c r="GA8302"/>
      <c r="GB8302"/>
      <c r="GC8302"/>
      <c r="GD8302"/>
      <c r="GE8302"/>
      <c r="GF8302"/>
      <c r="GG8302"/>
      <c r="GH8302"/>
      <c r="GI8302"/>
      <c r="GJ8302"/>
      <c r="GK8302"/>
      <c r="GL8302"/>
      <c r="GM8302"/>
      <c r="GN8302"/>
      <c r="GO8302"/>
    </row>
    <row r="8303" spans="107:197">
      <c r="DC8303"/>
      <c r="FH8303"/>
      <c r="FI8303"/>
      <c r="FJ8303"/>
      <c r="FK8303"/>
      <c r="FL8303"/>
      <c r="FM8303"/>
      <c r="FN8303"/>
      <c r="FO8303"/>
      <c r="FP8303"/>
      <c r="FQ8303"/>
      <c r="FR8303"/>
      <c r="FS8303"/>
      <c r="FT8303"/>
      <c r="FU8303"/>
      <c r="FV8303"/>
      <c r="FW8303"/>
      <c r="FX8303"/>
      <c r="FY8303"/>
      <c r="FZ8303"/>
      <c r="GA8303"/>
      <c r="GB8303"/>
      <c r="GC8303"/>
      <c r="GD8303"/>
      <c r="GE8303"/>
      <c r="GF8303"/>
      <c r="GG8303"/>
      <c r="GH8303"/>
      <c r="GI8303"/>
      <c r="GJ8303"/>
      <c r="GK8303"/>
      <c r="GL8303"/>
      <c r="GM8303"/>
      <c r="GN8303"/>
      <c r="GO8303"/>
    </row>
    <row r="8304" spans="107:197">
      <c r="DC8304"/>
      <c r="FH8304"/>
      <c r="FI8304"/>
      <c r="FJ8304"/>
      <c r="FK8304"/>
      <c r="FL8304"/>
      <c r="FM8304"/>
      <c r="FN8304"/>
      <c r="FO8304"/>
      <c r="FP8304"/>
      <c r="FQ8304"/>
      <c r="FR8304"/>
      <c r="FS8304"/>
      <c r="FT8304"/>
      <c r="FU8304"/>
      <c r="FV8304"/>
      <c r="FW8304"/>
      <c r="FX8304"/>
      <c r="FY8304"/>
      <c r="FZ8304"/>
      <c r="GA8304"/>
      <c r="GB8304"/>
      <c r="GC8304"/>
      <c r="GD8304"/>
      <c r="GE8304"/>
      <c r="GF8304"/>
      <c r="GG8304"/>
      <c r="GH8304"/>
      <c r="GI8304"/>
      <c r="GJ8304"/>
      <c r="GK8304"/>
      <c r="GL8304"/>
      <c r="GM8304"/>
      <c r="GN8304"/>
      <c r="GO8304"/>
    </row>
    <row r="8305" spans="107:197">
      <c r="DC8305"/>
      <c r="FH8305"/>
      <c r="FI8305"/>
      <c r="FJ8305"/>
      <c r="FK8305"/>
      <c r="FL8305"/>
      <c r="FM8305"/>
      <c r="FN8305"/>
      <c r="FO8305"/>
      <c r="FP8305"/>
      <c r="FQ8305"/>
      <c r="FR8305"/>
      <c r="FS8305"/>
      <c r="FT8305"/>
      <c r="FU8305"/>
      <c r="FV8305"/>
      <c r="FW8305"/>
      <c r="FX8305"/>
      <c r="FY8305"/>
      <c r="FZ8305"/>
      <c r="GA8305"/>
      <c r="GB8305"/>
      <c r="GC8305"/>
      <c r="GD8305"/>
      <c r="GE8305"/>
      <c r="GF8305"/>
      <c r="GG8305"/>
      <c r="GH8305"/>
      <c r="GI8305"/>
      <c r="GJ8305"/>
      <c r="GK8305"/>
      <c r="GL8305"/>
      <c r="GM8305"/>
      <c r="GN8305"/>
      <c r="GO8305"/>
    </row>
    <row r="8306" spans="107:197">
      <c r="DC8306"/>
      <c r="FH8306"/>
      <c r="FI8306"/>
      <c r="FJ8306"/>
      <c r="FK8306"/>
      <c r="FL8306"/>
      <c r="FM8306"/>
      <c r="FN8306"/>
      <c r="FO8306"/>
      <c r="FP8306"/>
      <c r="FQ8306"/>
      <c r="FR8306"/>
      <c r="FS8306"/>
      <c r="FT8306"/>
      <c r="FU8306"/>
      <c r="FV8306"/>
      <c r="FW8306"/>
      <c r="FX8306"/>
      <c r="FY8306"/>
      <c r="FZ8306"/>
      <c r="GA8306"/>
      <c r="GB8306"/>
      <c r="GC8306"/>
      <c r="GD8306"/>
      <c r="GE8306"/>
      <c r="GF8306"/>
      <c r="GG8306"/>
      <c r="GH8306"/>
      <c r="GI8306"/>
      <c r="GJ8306"/>
      <c r="GK8306"/>
      <c r="GL8306"/>
      <c r="GM8306"/>
      <c r="GN8306"/>
      <c r="GO8306"/>
    </row>
    <row r="8307" spans="107:197">
      <c r="DC8307"/>
      <c r="FH8307"/>
      <c r="FI8307"/>
      <c r="FJ8307"/>
      <c r="FK8307"/>
      <c r="FL8307"/>
      <c r="FM8307"/>
      <c r="FN8307"/>
      <c r="FO8307"/>
      <c r="FP8307"/>
      <c r="FQ8307"/>
      <c r="FR8307"/>
      <c r="FS8307"/>
      <c r="FT8307"/>
      <c r="FU8307"/>
      <c r="FV8307"/>
      <c r="FW8307"/>
      <c r="FX8307"/>
      <c r="FY8307"/>
      <c r="FZ8307"/>
      <c r="GA8307"/>
      <c r="GB8307"/>
      <c r="GC8307"/>
      <c r="GD8307"/>
      <c r="GE8307"/>
      <c r="GF8307"/>
      <c r="GG8307"/>
      <c r="GH8307"/>
      <c r="GI8307"/>
      <c r="GJ8307"/>
      <c r="GK8307"/>
      <c r="GL8307"/>
      <c r="GM8307"/>
      <c r="GN8307"/>
      <c r="GO8307"/>
    </row>
    <row r="8308" spans="107:197">
      <c r="DC8308"/>
      <c r="FH8308"/>
      <c r="FI8308"/>
      <c r="FJ8308"/>
      <c r="FK8308"/>
      <c r="FL8308"/>
      <c r="FM8308"/>
      <c r="FN8308"/>
      <c r="FO8308"/>
      <c r="FP8308"/>
      <c r="FQ8308"/>
      <c r="FR8308"/>
      <c r="FS8308"/>
      <c r="FT8308"/>
      <c r="FU8308"/>
      <c r="FV8308"/>
      <c r="FW8308"/>
      <c r="FX8308"/>
      <c r="FY8308"/>
      <c r="FZ8308"/>
      <c r="GA8308"/>
      <c r="GB8308"/>
      <c r="GC8308"/>
      <c r="GD8308"/>
      <c r="GE8308"/>
      <c r="GF8308"/>
      <c r="GG8308"/>
      <c r="GH8308"/>
      <c r="GI8308"/>
      <c r="GJ8308"/>
      <c r="GK8308"/>
      <c r="GL8308"/>
      <c r="GM8308"/>
      <c r="GN8308"/>
      <c r="GO8308"/>
    </row>
    <row r="8309" spans="107:197">
      <c r="DC8309"/>
      <c r="FH8309"/>
      <c r="FI8309"/>
      <c r="FJ8309"/>
      <c r="FK8309"/>
      <c r="FL8309"/>
      <c r="FM8309"/>
      <c r="FN8309"/>
      <c r="FO8309"/>
      <c r="FP8309"/>
      <c r="FQ8309"/>
      <c r="FR8309"/>
      <c r="FS8309"/>
      <c r="FT8309"/>
      <c r="FU8309"/>
      <c r="FV8309"/>
      <c r="FW8309"/>
      <c r="FX8309"/>
      <c r="FY8309"/>
      <c r="FZ8309"/>
      <c r="GA8309"/>
      <c r="GB8309"/>
      <c r="GC8309"/>
      <c r="GD8309"/>
      <c r="GE8309"/>
      <c r="GF8309"/>
      <c r="GG8309"/>
      <c r="GH8309"/>
      <c r="GI8309"/>
      <c r="GJ8309"/>
      <c r="GK8309"/>
      <c r="GL8309"/>
      <c r="GM8309"/>
      <c r="GN8309"/>
      <c r="GO8309"/>
    </row>
    <row r="8310" spans="107:197">
      <c r="DC8310"/>
      <c r="FH8310"/>
      <c r="FI8310"/>
      <c r="FJ8310"/>
      <c r="FK8310"/>
      <c r="FL8310"/>
      <c r="FM8310"/>
      <c r="FN8310"/>
      <c r="FO8310"/>
      <c r="FP8310"/>
      <c r="FQ8310"/>
      <c r="FR8310"/>
      <c r="FS8310"/>
      <c r="FT8310"/>
      <c r="FU8310"/>
      <c r="FV8310"/>
      <c r="FW8310"/>
      <c r="FX8310"/>
      <c r="FY8310"/>
      <c r="FZ8310"/>
      <c r="GA8310"/>
      <c r="GB8310"/>
      <c r="GC8310"/>
      <c r="GD8310"/>
      <c r="GE8310"/>
      <c r="GF8310"/>
      <c r="GG8310"/>
      <c r="GH8310"/>
      <c r="GI8310"/>
      <c r="GJ8310"/>
      <c r="GK8310"/>
      <c r="GL8310"/>
      <c r="GM8310"/>
      <c r="GN8310"/>
      <c r="GO8310"/>
    </row>
    <row r="8311" spans="107:197">
      <c r="DC8311"/>
      <c r="FH8311"/>
      <c r="FI8311"/>
      <c r="FJ8311"/>
      <c r="FK8311"/>
      <c r="FL8311"/>
      <c r="FM8311"/>
      <c r="FN8311"/>
      <c r="FO8311"/>
      <c r="FP8311"/>
      <c r="FQ8311"/>
      <c r="FR8311"/>
      <c r="FS8311"/>
      <c r="FT8311"/>
      <c r="FU8311"/>
      <c r="FV8311"/>
      <c r="FW8311"/>
      <c r="FX8311"/>
      <c r="FY8311"/>
      <c r="FZ8311"/>
      <c r="GA8311"/>
      <c r="GB8311"/>
      <c r="GC8311"/>
      <c r="GD8311"/>
      <c r="GE8311"/>
      <c r="GF8311"/>
      <c r="GG8311"/>
      <c r="GH8311"/>
      <c r="GI8311"/>
      <c r="GJ8311"/>
      <c r="GK8311"/>
      <c r="GL8311"/>
      <c r="GM8311"/>
      <c r="GN8311"/>
      <c r="GO8311"/>
    </row>
    <row r="8312" spans="107:197">
      <c r="DC8312"/>
      <c r="FH8312"/>
      <c r="FI8312"/>
      <c r="FJ8312"/>
      <c r="FK8312"/>
      <c r="FL8312"/>
      <c r="FM8312"/>
      <c r="FN8312"/>
      <c r="FO8312"/>
      <c r="FP8312"/>
      <c r="FQ8312"/>
      <c r="FR8312"/>
      <c r="FS8312"/>
      <c r="FT8312"/>
      <c r="FU8312"/>
      <c r="FV8312"/>
      <c r="FW8312"/>
      <c r="FX8312"/>
      <c r="FY8312"/>
      <c r="FZ8312"/>
      <c r="GA8312"/>
      <c r="GB8312"/>
      <c r="GC8312"/>
      <c r="GD8312"/>
      <c r="GE8312"/>
      <c r="GF8312"/>
      <c r="GG8312"/>
      <c r="GH8312"/>
      <c r="GI8312"/>
      <c r="GJ8312"/>
      <c r="GK8312"/>
      <c r="GL8312"/>
      <c r="GM8312"/>
      <c r="GN8312"/>
      <c r="GO8312"/>
    </row>
    <row r="8313" spans="107:197">
      <c r="DC8313"/>
      <c r="FH8313"/>
      <c r="FI8313"/>
      <c r="FJ8313"/>
      <c r="FK8313"/>
      <c r="FL8313"/>
      <c r="FM8313"/>
      <c r="FN8313"/>
      <c r="FO8313"/>
      <c r="FP8313"/>
      <c r="FQ8313"/>
      <c r="FR8313"/>
      <c r="FS8313"/>
      <c r="FT8313"/>
      <c r="FU8313"/>
      <c r="FV8313"/>
      <c r="FW8313"/>
      <c r="FX8313"/>
      <c r="FY8313"/>
      <c r="FZ8313"/>
      <c r="GA8313"/>
      <c r="GB8313"/>
      <c r="GC8313"/>
      <c r="GD8313"/>
      <c r="GE8313"/>
      <c r="GF8313"/>
      <c r="GG8313"/>
      <c r="GH8313"/>
      <c r="GI8313"/>
      <c r="GJ8313"/>
      <c r="GK8313"/>
      <c r="GL8313"/>
      <c r="GM8313"/>
      <c r="GN8313"/>
      <c r="GO8313"/>
    </row>
    <row r="8314" spans="107:197">
      <c r="DC8314"/>
      <c r="FH8314"/>
      <c r="FI8314"/>
      <c r="FJ8314"/>
      <c r="FK8314"/>
      <c r="FL8314"/>
      <c r="FM8314"/>
      <c r="FN8314"/>
      <c r="FO8314"/>
      <c r="FP8314"/>
      <c r="FQ8314"/>
      <c r="FR8314"/>
      <c r="FS8314"/>
      <c r="FT8314"/>
      <c r="FU8314"/>
      <c r="FV8314"/>
      <c r="FW8314"/>
      <c r="FX8314"/>
      <c r="FY8314"/>
      <c r="FZ8314"/>
      <c r="GA8314"/>
      <c r="GB8314"/>
      <c r="GC8314"/>
      <c r="GD8314"/>
      <c r="GE8314"/>
      <c r="GF8314"/>
      <c r="GG8314"/>
      <c r="GH8314"/>
      <c r="GI8314"/>
      <c r="GJ8314"/>
      <c r="GK8314"/>
      <c r="GL8314"/>
      <c r="GM8314"/>
      <c r="GN8314"/>
      <c r="GO8314"/>
    </row>
    <row r="8315" spans="107:197">
      <c r="DC8315"/>
      <c r="FH8315"/>
      <c r="FI8315"/>
      <c r="FJ8315"/>
      <c r="FK8315"/>
      <c r="FL8315"/>
      <c r="FM8315"/>
      <c r="FN8315"/>
      <c r="FO8315"/>
      <c r="FP8315"/>
      <c r="FQ8315"/>
      <c r="FR8315"/>
      <c r="FS8315"/>
      <c r="FT8315"/>
      <c r="FU8315"/>
      <c r="FV8315"/>
      <c r="FW8315"/>
      <c r="FX8315"/>
      <c r="FY8315"/>
      <c r="FZ8315"/>
      <c r="GA8315"/>
      <c r="GB8315"/>
      <c r="GC8315"/>
      <c r="GD8315"/>
      <c r="GE8315"/>
      <c r="GF8315"/>
      <c r="GG8315"/>
      <c r="GH8315"/>
      <c r="GI8315"/>
      <c r="GJ8315"/>
      <c r="GK8315"/>
      <c r="GL8315"/>
      <c r="GM8315"/>
      <c r="GN8315"/>
      <c r="GO8315"/>
    </row>
    <row r="8316" spans="107:197">
      <c r="DC8316"/>
      <c r="FH8316"/>
      <c r="FI8316"/>
      <c r="FJ8316"/>
      <c r="FK8316"/>
      <c r="FL8316"/>
      <c r="FM8316"/>
      <c r="FN8316"/>
      <c r="FO8316"/>
      <c r="FP8316"/>
      <c r="FQ8316"/>
      <c r="FR8316"/>
      <c r="FS8316"/>
      <c r="FT8316"/>
      <c r="FU8316"/>
      <c r="FV8316"/>
      <c r="FW8316"/>
      <c r="FX8316"/>
      <c r="FY8316"/>
      <c r="FZ8316"/>
      <c r="GA8316"/>
      <c r="GB8316"/>
      <c r="GC8316"/>
      <c r="GD8316"/>
      <c r="GE8316"/>
      <c r="GF8316"/>
      <c r="GG8316"/>
      <c r="GH8316"/>
      <c r="GI8316"/>
      <c r="GJ8316"/>
      <c r="GK8316"/>
      <c r="GL8316"/>
      <c r="GM8316"/>
      <c r="GN8316"/>
      <c r="GO8316"/>
    </row>
    <row r="8317" spans="107:197">
      <c r="DC8317"/>
      <c r="FH8317"/>
      <c r="FI8317"/>
      <c r="FJ8317"/>
      <c r="FK8317"/>
      <c r="FL8317"/>
      <c r="FM8317"/>
      <c r="FN8317"/>
      <c r="FO8317"/>
      <c r="FP8317"/>
      <c r="FQ8317"/>
      <c r="FR8317"/>
      <c r="FS8317"/>
      <c r="FT8317"/>
      <c r="FU8317"/>
      <c r="FV8317"/>
      <c r="FW8317"/>
      <c r="FX8317"/>
      <c r="FY8317"/>
      <c r="FZ8317"/>
      <c r="GA8317"/>
      <c r="GB8317"/>
      <c r="GC8317"/>
      <c r="GD8317"/>
      <c r="GE8317"/>
      <c r="GF8317"/>
      <c r="GG8317"/>
      <c r="GH8317"/>
      <c r="GI8317"/>
      <c r="GJ8317"/>
      <c r="GK8317"/>
      <c r="GL8317"/>
      <c r="GM8317"/>
      <c r="GN8317"/>
      <c r="GO8317"/>
    </row>
    <row r="8318" spans="107:197">
      <c r="DC8318"/>
      <c r="FH8318"/>
      <c r="FI8318"/>
      <c r="FJ8318"/>
      <c r="FK8318"/>
      <c r="FL8318"/>
      <c r="FM8318"/>
      <c r="FN8318"/>
      <c r="FO8318"/>
      <c r="FP8318"/>
      <c r="FQ8318"/>
      <c r="FR8318"/>
      <c r="FS8318"/>
      <c r="FT8318"/>
      <c r="FU8318"/>
      <c r="FV8318"/>
      <c r="FW8318"/>
      <c r="FX8318"/>
      <c r="FY8318"/>
      <c r="FZ8318"/>
      <c r="GA8318"/>
      <c r="GB8318"/>
      <c r="GC8318"/>
      <c r="GD8318"/>
      <c r="GE8318"/>
      <c r="GF8318"/>
      <c r="GG8318"/>
      <c r="GH8318"/>
      <c r="GI8318"/>
      <c r="GJ8318"/>
      <c r="GK8318"/>
      <c r="GL8318"/>
      <c r="GM8318"/>
      <c r="GN8318"/>
      <c r="GO8318"/>
    </row>
    <row r="8319" spans="107:197">
      <c r="DC8319"/>
      <c r="FH8319"/>
      <c r="FI8319"/>
      <c r="FJ8319"/>
      <c r="FK8319"/>
      <c r="FL8319"/>
      <c r="FM8319"/>
      <c r="FN8319"/>
      <c r="FO8319"/>
      <c r="FP8319"/>
      <c r="FQ8319"/>
      <c r="FR8319"/>
      <c r="FS8319"/>
      <c r="FT8319"/>
      <c r="FU8319"/>
      <c r="FV8319"/>
      <c r="FW8319"/>
      <c r="FX8319"/>
      <c r="FY8319"/>
      <c r="FZ8319"/>
      <c r="GA8319"/>
      <c r="GB8319"/>
      <c r="GC8319"/>
      <c r="GD8319"/>
      <c r="GE8319"/>
      <c r="GF8319"/>
      <c r="GG8319"/>
      <c r="GH8319"/>
      <c r="GI8319"/>
      <c r="GJ8319"/>
      <c r="GK8319"/>
      <c r="GL8319"/>
      <c r="GM8319"/>
      <c r="GN8319"/>
      <c r="GO8319"/>
    </row>
    <row r="8320" spans="107:197">
      <c r="DC8320"/>
      <c r="FH8320"/>
      <c r="FI8320"/>
      <c r="FJ8320"/>
      <c r="FK8320"/>
      <c r="FL8320"/>
      <c r="FM8320"/>
      <c r="FN8320"/>
      <c r="FO8320"/>
      <c r="FP8320"/>
      <c r="FQ8320"/>
      <c r="FR8320"/>
      <c r="FS8320"/>
      <c r="FT8320"/>
      <c r="FU8320"/>
      <c r="FV8320"/>
      <c r="FW8320"/>
      <c r="FX8320"/>
      <c r="FY8320"/>
      <c r="FZ8320"/>
      <c r="GA8320"/>
      <c r="GB8320"/>
      <c r="GC8320"/>
      <c r="GD8320"/>
      <c r="GE8320"/>
      <c r="GF8320"/>
      <c r="GG8320"/>
      <c r="GH8320"/>
      <c r="GI8320"/>
      <c r="GJ8320"/>
      <c r="GK8320"/>
      <c r="GL8320"/>
      <c r="GM8320"/>
      <c r="GN8320"/>
      <c r="GO8320"/>
    </row>
    <row r="8321" spans="107:197">
      <c r="DC8321"/>
      <c r="FH8321"/>
      <c r="FI8321"/>
      <c r="FJ8321"/>
      <c r="FK8321"/>
      <c r="FL8321"/>
      <c r="FM8321"/>
      <c r="FN8321"/>
      <c r="FO8321"/>
      <c r="FP8321"/>
      <c r="FQ8321"/>
      <c r="FR8321"/>
      <c r="FS8321"/>
      <c r="FT8321"/>
      <c r="FU8321"/>
      <c r="FV8321"/>
      <c r="FW8321"/>
      <c r="FX8321"/>
      <c r="FY8321"/>
      <c r="FZ8321"/>
      <c r="GA8321"/>
      <c r="GB8321"/>
      <c r="GC8321"/>
      <c r="GD8321"/>
      <c r="GE8321"/>
      <c r="GF8321"/>
      <c r="GG8321"/>
      <c r="GH8321"/>
      <c r="GI8321"/>
      <c r="GJ8321"/>
      <c r="GK8321"/>
      <c r="GL8321"/>
      <c r="GM8321"/>
      <c r="GN8321"/>
      <c r="GO8321"/>
    </row>
    <row r="8322" spans="107:197">
      <c r="DC8322"/>
      <c r="FH8322"/>
      <c r="FI8322"/>
      <c r="FJ8322"/>
      <c r="FK8322"/>
      <c r="FL8322"/>
      <c r="FM8322"/>
      <c r="FN8322"/>
      <c r="FO8322"/>
      <c r="FP8322"/>
      <c r="FQ8322"/>
      <c r="FR8322"/>
      <c r="FS8322"/>
      <c r="FT8322"/>
      <c r="FU8322"/>
      <c r="FV8322"/>
      <c r="FW8322"/>
      <c r="FX8322"/>
      <c r="FY8322"/>
      <c r="FZ8322"/>
      <c r="GA8322"/>
      <c r="GB8322"/>
      <c r="GC8322"/>
      <c r="GD8322"/>
      <c r="GE8322"/>
      <c r="GF8322"/>
      <c r="GG8322"/>
      <c r="GH8322"/>
      <c r="GI8322"/>
      <c r="GJ8322"/>
      <c r="GK8322"/>
      <c r="GL8322"/>
      <c r="GM8322"/>
      <c r="GN8322"/>
      <c r="GO8322"/>
    </row>
    <row r="8323" spans="107:197">
      <c r="DC8323"/>
      <c r="FH8323"/>
      <c r="FI8323"/>
      <c r="FJ8323"/>
      <c r="FK8323"/>
      <c r="FL8323"/>
      <c r="FM8323"/>
      <c r="FN8323"/>
      <c r="FO8323"/>
      <c r="FP8323"/>
      <c r="FQ8323"/>
      <c r="FR8323"/>
      <c r="FS8323"/>
      <c r="FT8323"/>
      <c r="FU8323"/>
      <c r="FV8323"/>
      <c r="FW8323"/>
      <c r="FX8323"/>
      <c r="FY8323"/>
      <c r="FZ8323"/>
      <c r="GA8323"/>
      <c r="GB8323"/>
      <c r="GC8323"/>
      <c r="GD8323"/>
      <c r="GE8323"/>
      <c r="GF8323"/>
      <c r="GG8323"/>
      <c r="GH8323"/>
      <c r="GI8323"/>
      <c r="GJ8323"/>
      <c r="GK8323"/>
      <c r="GL8323"/>
      <c r="GM8323"/>
      <c r="GN8323"/>
      <c r="GO8323"/>
    </row>
    <row r="8324" spans="107:197">
      <c r="DC8324"/>
      <c r="FH8324"/>
      <c r="FI8324"/>
      <c r="FJ8324"/>
      <c r="FK8324"/>
      <c r="FL8324"/>
      <c r="FM8324"/>
      <c r="FN8324"/>
      <c r="FO8324"/>
      <c r="FP8324"/>
      <c r="FQ8324"/>
      <c r="FR8324"/>
      <c r="FS8324"/>
      <c r="FT8324"/>
      <c r="FU8324"/>
      <c r="FV8324"/>
      <c r="FW8324"/>
      <c r="FX8324"/>
      <c r="FY8324"/>
      <c r="FZ8324"/>
      <c r="GA8324"/>
      <c r="GB8324"/>
      <c r="GC8324"/>
      <c r="GD8324"/>
      <c r="GE8324"/>
      <c r="GF8324"/>
      <c r="GG8324"/>
      <c r="GH8324"/>
      <c r="GI8324"/>
      <c r="GJ8324"/>
      <c r="GK8324"/>
      <c r="GL8324"/>
      <c r="GM8324"/>
      <c r="GN8324"/>
      <c r="GO8324"/>
    </row>
    <row r="8325" spans="107:197">
      <c r="DC8325"/>
      <c r="FH8325"/>
      <c r="FI8325"/>
      <c r="FJ8325"/>
      <c r="FK8325"/>
      <c r="FL8325"/>
      <c r="FM8325"/>
      <c r="FN8325"/>
      <c r="FO8325"/>
      <c r="FP8325"/>
      <c r="FQ8325"/>
      <c r="FR8325"/>
      <c r="FS8325"/>
      <c r="FT8325"/>
      <c r="FU8325"/>
      <c r="FV8325"/>
      <c r="FW8325"/>
      <c r="FX8325"/>
      <c r="FY8325"/>
      <c r="FZ8325"/>
      <c r="GA8325"/>
      <c r="GB8325"/>
      <c r="GC8325"/>
      <c r="GD8325"/>
      <c r="GE8325"/>
      <c r="GF8325"/>
      <c r="GG8325"/>
      <c r="GH8325"/>
      <c r="GI8325"/>
      <c r="GJ8325"/>
      <c r="GK8325"/>
      <c r="GL8325"/>
      <c r="GM8325"/>
      <c r="GN8325"/>
      <c r="GO8325"/>
    </row>
    <row r="8326" spans="107:197">
      <c r="DC8326"/>
      <c r="FH8326"/>
      <c r="FI8326"/>
      <c r="FJ8326"/>
      <c r="FK8326"/>
      <c r="FL8326"/>
      <c r="FM8326"/>
      <c r="FN8326"/>
      <c r="FO8326"/>
      <c r="FP8326"/>
      <c r="FQ8326"/>
      <c r="FR8326"/>
      <c r="FS8326"/>
      <c r="FT8326"/>
      <c r="FU8326"/>
      <c r="FV8326"/>
      <c r="FW8326"/>
      <c r="FX8326"/>
      <c r="FY8326"/>
      <c r="FZ8326"/>
      <c r="GA8326"/>
      <c r="GB8326"/>
      <c r="GC8326"/>
      <c r="GD8326"/>
      <c r="GE8326"/>
      <c r="GF8326"/>
      <c r="GG8326"/>
      <c r="GH8326"/>
      <c r="GI8326"/>
      <c r="GJ8326"/>
      <c r="GK8326"/>
      <c r="GL8326"/>
      <c r="GM8326"/>
      <c r="GN8326"/>
      <c r="GO8326"/>
    </row>
    <row r="8327" spans="107:197">
      <c r="DC8327"/>
      <c r="FH8327"/>
      <c r="FI8327"/>
      <c r="FJ8327"/>
      <c r="FK8327"/>
      <c r="FL8327"/>
      <c r="FM8327"/>
      <c r="FN8327"/>
      <c r="FO8327"/>
      <c r="FP8327"/>
      <c r="FQ8327"/>
      <c r="FR8327"/>
      <c r="FS8327"/>
      <c r="FT8327"/>
      <c r="FU8327"/>
      <c r="FV8327"/>
      <c r="FW8327"/>
      <c r="FX8327"/>
      <c r="FY8327"/>
      <c r="FZ8327"/>
      <c r="GA8327"/>
      <c r="GB8327"/>
      <c r="GC8327"/>
      <c r="GD8327"/>
      <c r="GE8327"/>
      <c r="GF8327"/>
      <c r="GG8327"/>
      <c r="GH8327"/>
      <c r="GI8327"/>
      <c r="GJ8327"/>
      <c r="GK8327"/>
      <c r="GL8327"/>
      <c r="GM8327"/>
      <c r="GN8327"/>
      <c r="GO8327"/>
    </row>
    <row r="8328" spans="107:197">
      <c r="DC8328"/>
      <c r="FH8328"/>
      <c r="FI8328"/>
      <c r="FJ8328"/>
      <c r="FK8328"/>
      <c r="FL8328"/>
      <c r="FM8328"/>
      <c r="FN8328"/>
      <c r="FO8328"/>
      <c r="FP8328"/>
      <c r="FQ8328"/>
      <c r="FR8328"/>
      <c r="FS8328"/>
      <c r="FT8328"/>
      <c r="FU8328"/>
      <c r="FV8328"/>
      <c r="FW8328"/>
      <c r="FX8328"/>
      <c r="FY8328"/>
      <c r="FZ8328"/>
      <c r="GA8328"/>
      <c r="GB8328"/>
      <c r="GC8328"/>
      <c r="GD8328"/>
      <c r="GE8328"/>
      <c r="GF8328"/>
      <c r="GG8328"/>
      <c r="GH8328"/>
      <c r="GI8328"/>
      <c r="GJ8328"/>
      <c r="GK8328"/>
      <c r="GL8328"/>
      <c r="GM8328"/>
      <c r="GN8328"/>
      <c r="GO8328"/>
    </row>
    <row r="8329" spans="107:197">
      <c r="DC8329"/>
      <c r="FH8329"/>
      <c r="FI8329"/>
      <c r="FJ8329"/>
      <c r="FK8329"/>
      <c r="FL8329"/>
      <c r="FM8329"/>
      <c r="FN8329"/>
      <c r="FO8329"/>
      <c r="FP8329"/>
      <c r="FQ8329"/>
      <c r="FR8329"/>
      <c r="FS8329"/>
      <c r="FT8329"/>
      <c r="FU8329"/>
      <c r="FV8329"/>
      <c r="FW8329"/>
      <c r="FX8329"/>
      <c r="FY8329"/>
      <c r="FZ8329"/>
      <c r="GA8329"/>
      <c r="GB8329"/>
      <c r="GC8329"/>
      <c r="GD8329"/>
      <c r="GE8329"/>
      <c r="GF8329"/>
      <c r="GG8329"/>
      <c r="GH8329"/>
      <c r="GI8329"/>
      <c r="GJ8329"/>
      <c r="GK8329"/>
      <c r="GL8329"/>
      <c r="GM8329"/>
      <c r="GN8329"/>
      <c r="GO8329"/>
    </row>
    <row r="8330" spans="107:197">
      <c r="DC8330"/>
      <c r="FH8330"/>
      <c r="FI8330"/>
      <c r="FJ8330"/>
      <c r="FK8330"/>
      <c r="FL8330"/>
      <c r="FM8330"/>
      <c r="FN8330"/>
      <c r="FO8330"/>
      <c r="FP8330"/>
      <c r="FQ8330"/>
      <c r="FR8330"/>
      <c r="FS8330"/>
      <c r="FT8330"/>
      <c r="FU8330"/>
      <c r="FV8330"/>
      <c r="FW8330"/>
      <c r="FX8330"/>
      <c r="FY8330"/>
      <c r="FZ8330"/>
      <c r="GA8330"/>
      <c r="GB8330"/>
      <c r="GC8330"/>
      <c r="GD8330"/>
      <c r="GE8330"/>
      <c r="GF8330"/>
      <c r="GG8330"/>
      <c r="GH8330"/>
      <c r="GI8330"/>
      <c r="GJ8330"/>
      <c r="GK8330"/>
      <c r="GL8330"/>
      <c r="GM8330"/>
      <c r="GN8330"/>
      <c r="GO8330"/>
    </row>
    <row r="8331" spans="107:197">
      <c r="DC8331"/>
      <c r="FH8331"/>
      <c r="FI8331"/>
      <c r="FJ8331"/>
      <c r="FK8331"/>
      <c r="FL8331"/>
      <c r="FM8331"/>
      <c r="FN8331"/>
      <c r="FO8331"/>
      <c r="FP8331"/>
      <c r="FQ8331"/>
      <c r="FR8331"/>
      <c r="FS8331"/>
      <c r="FT8331"/>
      <c r="FU8331"/>
      <c r="FV8331"/>
      <c r="FW8331"/>
      <c r="FX8331"/>
      <c r="FY8331"/>
      <c r="FZ8331"/>
      <c r="GA8331"/>
      <c r="GB8331"/>
      <c r="GC8331"/>
      <c r="GD8331"/>
      <c r="GE8331"/>
      <c r="GF8331"/>
      <c r="GG8331"/>
      <c r="GH8331"/>
      <c r="GI8331"/>
      <c r="GJ8331"/>
      <c r="GK8331"/>
      <c r="GL8331"/>
      <c r="GM8331"/>
      <c r="GN8331"/>
      <c r="GO8331"/>
    </row>
    <row r="8332" spans="107:197">
      <c r="DC8332"/>
      <c r="FH8332"/>
      <c r="FI8332"/>
      <c r="FJ8332"/>
      <c r="FK8332"/>
      <c r="FL8332"/>
      <c r="FM8332"/>
      <c r="FN8332"/>
      <c r="FO8332"/>
      <c r="FP8332"/>
      <c r="FQ8332"/>
      <c r="FR8332"/>
      <c r="FS8332"/>
      <c r="FT8332"/>
      <c r="FU8332"/>
      <c r="FV8332"/>
      <c r="FW8332"/>
      <c r="FX8332"/>
      <c r="FY8332"/>
      <c r="FZ8332"/>
      <c r="GA8332"/>
      <c r="GB8332"/>
      <c r="GC8332"/>
      <c r="GD8332"/>
      <c r="GE8332"/>
      <c r="GF8332"/>
      <c r="GG8332"/>
      <c r="GH8332"/>
      <c r="GI8332"/>
      <c r="GJ8332"/>
      <c r="GK8332"/>
      <c r="GL8332"/>
      <c r="GM8332"/>
      <c r="GN8332"/>
      <c r="GO8332"/>
    </row>
    <row r="8333" spans="107:197">
      <c r="DC8333"/>
      <c r="FH8333"/>
      <c r="FI8333"/>
      <c r="FJ8333"/>
      <c r="FK8333"/>
      <c r="FL8333"/>
      <c r="FM8333"/>
      <c r="FN8333"/>
      <c r="FO8333"/>
      <c r="FP8333"/>
      <c r="FQ8333"/>
      <c r="FR8333"/>
      <c r="FS8333"/>
      <c r="FT8333"/>
      <c r="FU8333"/>
      <c r="FV8333"/>
      <c r="FW8333"/>
      <c r="FX8333"/>
      <c r="FY8333"/>
      <c r="FZ8333"/>
      <c r="GA8333"/>
      <c r="GB8333"/>
      <c r="GC8333"/>
      <c r="GD8333"/>
      <c r="GE8333"/>
      <c r="GF8333"/>
      <c r="GG8333"/>
      <c r="GH8333"/>
      <c r="GI8333"/>
      <c r="GJ8333"/>
      <c r="GK8333"/>
      <c r="GL8333"/>
      <c r="GM8333"/>
      <c r="GN8333"/>
      <c r="GO8333"/>
    </row>
    <row r="8334" spans="107:197">
      <c r="DC8334"/>
      <c r="FH8334"/>
      <c r="FI8334"/>
      <c r="FJ8334"/>
      <c r="FK8334"/>
      <c r="FL8334"/>
      <c r="FM8334"/>
      <c r="FN8334"/>
      <c r="FO8334"/>
      <c r="FP8334"/>
      <c r="FQ8334"/>
      <c r="FR8334"/>
      <c r="FS8334"/>
      <c r="FT8334"/>
      <c r="FU8334"/>
      <c r="FV8334"/>
      <c r="FW8334"/>
      <c r="FX8334"/>
      <c r="FY8334"/>
      <c r="FZ8334"/>
      <c r="GA8334"/>
      <c r="GB8334"/>
      <c r="GC8334"/>
      <c r="GD8334"/>
      <c r="GE8334"/>
      <c r="GF8334"/>
      <c r="GG8334"/>
      <c r="GH8334"/>
      <c r="GI8334"/>
      <c r="GJ8334"/>
      <c r="GK8334"/>
      <c r="GL8334"/>
      <c r="GM8334"/>
      <c r="GN8334"/>
      <c r="GO8334"/>
    </row>
    <row r="8335" spans="107:197">
      <c r="DC8335"/>
      <c r="FH8335"/>
      <c r="FI8335"/>
      <c r="FJ8335"/>
      <c r="FK8335"/>
      <c r="FL8335"/>
      <c r="FM8335"/>
      <c r="FN8335"/>
      <c r="FO8335"/>
      <c r="FP8335"/>
      <c r="FQ8335"/>
      <c r="FR8335"/>
      <c r="FS8335"/>
      <c r="FT8335"/>
      <c r="FU8335"/>
      <c r="FV8335"/>
      <c r="FW8335"/>
      <c r="FX8335"/>
      <c r="FY8335"/>
      <c r="FZ8335"/>
      <c r="GA8335"/>
      <c r="GB8335"/>
      <c r="GC8335"/>
      <c r="GD8335"/>
      <c r="GE8335"/>
      <c r="GF8335"/>
      <c r="GG8335"/>
      <c r="GH8335"/>
      <c r="GI8335"/>
      <c r="GJ8335"/>
      <c r="GK8335"/>
      <c r="GL8335"/>
      <c r="GM8335"/>
      <c r="GN8335"/>
      <c r="GO8335"/>
    </row>
    <row r="8336" spans="107:197">
      <c r="DC8336"/>
      <c r="FH8336"/>
      <c r="FI8336"/>
      <c r="FJ8336"/>
      <c r="FK8336"/>
      <c r="FL8336"/>
      <c r="FM8336"/>
      <c r="FN8336"/>
      <c r="FO8336"/>
      <c r="FP8336"/>
      <c r="FQ8336"/>
      <c r="FR8336"/>
      <c r="FS8336"/>
      <c r="FT8336"/>
      <c r="FU8336"/>
      <c r="FV8336"/>
      <c r="FW8336"/>
      <c r="FX8336"/>
      <c r="FY8336"/>
      <c r="FZ8336"/>
      <c r="GA8336"/>
      <c r="GB8336"/>
      <c r="GC8336"/>
      <c r="GD8336"/>
      <c r="GE8336"/>
      <c r="GF8336"/>
      <c r="GG8336"/>
      <c r="GH8336"/>
      <c r="GI8336"/>
      <c r="GJ8336"/>
      <c r="GK8336"/>
      <c r="GL8336"/>
      <c r="GM8336"/>
      <c r="GN8336"/>
      <c r="GO8336"/>
    </row>
    <row r="8337" spans="107:197">
      <c r="DC8337"/>
      <c r="FH8337"/>
      <c r="FI8337"/>
      <c r="FJ8337"/>
      <c r="FK8337"/>
      <c r="FL8337"/>
      <c r="FM8337"/>
      <c r="FN8337"/>
      <c r="FO8337"/>
      <c r="FP8337"/>
      <c r="FQ8337"/>
      <c r="FR8337"/>
      <c r="FS8337"/>
      <c r="FT8337"/>
      <c r="FU8337"/>
      <c r="FV8337"/>
      <c r="FW8337"/>
      <c r="FX8337"/>
      <c r="FY8337"/>
      <c r="FZ8337"/>
      <c r="GA8337"/>
      <c r="GB8337"/>
      <c r="GC8337"/>
      <c r="GD8337"/>
      <c r="GE8337"/>
      <c r="GF8337"/>
      <c r="GG8337"/>
      <c r="GH8337"/>
      <c r="GI8337"/>
      <c r="GJ8337"/>
      <c r="GK8337"/>
      <c r="GL8337"/>
      <c r="GM8337"/>
      <c r="GN8337"/>
      <c r="GO8337"/>
    </row>
    <row r="8338" spans="107:197">
      <c r="DC8338"/>
      <c r="FH8338"/>
      <c r="FI8338"/>
      <c r="FJ8338"/>
      <c r="FK8338"/>
      <c r="FL8338"/>
      <c r="FM8338"/>
      <c r="FN8338"/>
      <c r="FO8338"/>
      <c r="FP8338"/>
      <c r="FQ8338"/>
      <c r="FR8338"/>
      <c r="FS8338"/>
      <c r="FT8338"/>
      <c r="FU8338"/>
      <c r="FV8338"/>
      <c r="FW8338"/>
      <c r="FX8338"/>
      <c r="FY8338"/>
      <c r="FZ8338"/>
      <c r="GA8338"/>
      <c r="GB8338"/>
      <c r="GC8338"/>
      <c r="GD8338"/>
      <c r="GE8338"/>
      <c r="GF8338"/>
      <c r="GG8338"/>
      <c r="GH8338"/>
      <c r="GI8338"/>
      <c r="GJ8338"/>
      <c r="GK8338"/>
      <c r="GL8338"/>
      <c r="GM8338"/>
      <c r="GN8338"/>
      <c r="GO8338"/>
    </row>
    <row r="8339" spans="107:197">
      <c r="DC8339"/>
      <c r="FH8339"/>
      <c r="FI8339"/>
      <c r="FJ8339"/>
      <c r="FK8339"/>
      <c r="FL8339"/>
      <c r="FM8339"/>
      <c r="FN8339"/>
      <c r="FO8339"/>
      <c r="FP8339"/>
      <c r="FQ8339"/>
      <c r="FR8339"/>
      <c r="FS8339"/>
      <c r="FT8339"/>
      <c r="FU8339"/>
      <c r="FV8339"/>
      <c r="FW8339"/>
      <c r="FX8339"/>
      <c r="FY8339"/>
      <c r="FZ8339"/>
      <c r="GA8339"/>
      <c r="GB8339"/>
      <c r="GC8339"/>
      <c r="GD8339"/>
      <c r="GE8339"/>
      <c r="GF8339"/>
      <c r="GG8339"/>
      <c r="GH8339"/>
      <c r="GI8339"/>
      <c r="GJ8339"/>
      <c r="GK8339"/>
      <c r="GL8339"/>
      <c r="GM8339"/>
      <c r="GN8339"/>
      <c r="GO8339"/>
    </row>
    <row r="8340" spans="107:197">
      <c r="DC8340"/>
      <c r="FH8340"/>
      <c r="FI8340"/>
      <c r="FJ8340"/>
      <c r="FK8340"/>
      <c r="FL8340"/>
      <c r="FM8340"/>
      <c r="FN8340"/>
      <c r="FO8340"/>
      <c r="FP8340"/>
      <c r="FQ8340"/>
      <c r="FR8340"/>
      <c r="FS8340"/>
      <c r="FT8340"/>
      <c r="FU8340"/>
      <c r="FV8340"/>
      <c r="FW8340"/>
      <c r="FX8340"/>
      <c r="FY8340"/>
      <c r="FZ8340"/>
      <c r="GA8340"/>
      <c r="GB8340"/>
      <c r="GC8340"/>
      <c r="GD8340"/>
      <c r="GE8340"/>
      <c r="GF8340"/>
      <c r="GG8340"/>
      <c r="GH8340"/>
      <c r="GI8340"/>
      <c r="GJ8340"/>
      <c r="GK8340"/>
      <c r="GL8340"/>
      <c r="GM8340"/>
      <c r="GN8340"/>
      <c r="GO8340"/>
    </row>
    <row r="8341" spans="107:197">
      <c r="DC8341"/>
      <c r="FH8341"/>
      <c r="FI8341"/>
      <c r="FJ8341"/>
      <c r="FK8341"/>
      <c r="FL8341"/>
      <c r="FM8341"/>
      <c r="FN8341"/>
      <c r="FO8341"/>
      <c r="FP8341"/>
      <c r="FQ8341"/>
      <c r="FR8341"/>
      <c r="FS8341"/>
      <c r="FT8341"/>
      <c r="FU8341"/>
      <c r="FV8341"/>
      <c r="FW8341"/>
      <c r="FX8341"/>
      <c r="FY8341"/>
      <c r="FZ8341"/>
      <c r="GA8341"/>
      <c r="GB8341"/>
      <c r="GC8341"/>
      <c r="GD8341"/>
      <c r="GE8341"/>
      <c r="GF8341"/>
      <c r="GG8341"/>
      <c r="GH8341"/>
      <c r="GI8341"/>
      <c r="GJ8341"/>
      <c r="GK8341"/>
      <c r="GL8341"/>
      <c r="GM8341"/>
      <c r="GN8341"/>
      <c r="GO8341"/>
    </row>
    <row r="8342" spans="107:197">
      <c r="DC8342"/>
      <c r="FH8342"/>
      <c r="FI8342"/>
      <c r="FJ8342"/>
      <c r="FK8342"/>
      <c r="FL8342"/>
      <c r="FM8342"/>
      <c r="FN8342"/>
      <c r="FO8342"/>
      <c r="FP8342"/>
      <c r="FQ8342"/>
      <c r="FR8342"/>
      <c r="FS8342"/>
      <c r="FT8342"/>
      <c r="FU8342"/>
      <c r="FV8342"/>
      <c r="FW8342"/>
      <c r="FX8342"/>
      <c r="FY8342"/>
      <c r="FZ8342"/>
      <c r="GA8342"/>
      <c r="GB8342"/>
      <c r="GC8342"/>
      <c r="GD8342"/>
      <c r="GE8342"/>
      <c r="GF8342"/>
      <c r="GG8342"/>
      <c r="GH8342"/>
      <c r="GI8342"/>
      <c r="GJ8342"/>
      <c r="GK8342"/>
      <c r="GL8342"/>
      <c r="GM8342"/>
      <c r="GN8342"/>
      <c r="GO8342"/>
    </row>
    <row r="8343" spans="107:197">
      <c r="DC8343"/>
      <c r="FH8343"/>
      <c r="FI8343"/>
      <c r="FJ8343"/>
      <c r="FK8343"/>
      <c r="FL8343"/>
      <c r="FM8343"/>
      <c r="FN8343"/>
      <c r="FO8343"/>
      <c r="FP8343"/>
      <c r="FQ8343"/>
      <c r="FR8343"/>
      <c r="FS8343"/>
      <c r="FT8343"/>
      <c r="FU8343"/>
      <c r="FV8343"/>
      <c r="FW8343"/>
      <c r="FX8343"/>
      <c r="FY8343"/>
      <c r="FZ8343"/>
      <c r="GA8343"/>
      <c r="GB8343"/>
      <c r="GC8343"/>
      <c r="GD8343"/>
      <c r="GE8343"/>
      <c r="GF8343"/>
      <c r="GG8343"/>
      <c r="GH8343"/>
      <c r="GI8343"/>
      <c r="GJ8343"/>
      <c r="GK8343"/>
      <c r="GL8343"/>
      <c r="GM8343"/>
      <c r="GN8343"/>
      <c r="GO8343"/>
    </row>
    <row r="8344" spans="107:197">
      <c r="DC8344"/>
      <c r="FH8344"/>
      <c r="FI8344"/>
      <c r="FJ8344"/>
      <c r="FK8344"/>
      <c r="FL8344"/>
      <c r="FM8344"/>
      <c r="FN8344"/>
      <c r="FO8344"/>
      <c r="FP8344"/>
      <c r="FQ8344"/>
      <c r="FR8344"/>
      <c r="FS8344"/>
      <c r="FT8344"/>
      <c r="FU8344"/>
      <c r="FV8344"/>
      <c r="FW8344"/>
      <c r="FX8344"/>
      <c r="FY8344"/>
      <c r="FZ8344"/>
      <c r="GA8344"/>
      <c r="GB8344"/>
      <c r="GC8344"/>
      <c r="GD8344"/>
      <c r="GE8344"/>
      <c r="GF8344"/>
      <c r="GG8344"/>
      <c r="GH8344"/>
      <c r="GI8344"/>
      <c r="GJ8344"/>
      <c r="GK8344"/>
      <c r="GL8344"/>
      <c r="GM8344"/>
      <c r="GN8344"/>
      <c r="GO8344"/>
    </row>
    <row r="8345" spans="107:197">
      <c r="DC8345"/>
      <c r="FH8345"/>
      <c r="FI8345"/>
      <c r="FJ8345"/>
      <c r="FK8345"/>
      <c r="FL8345"/>
      <c r="FM8345"/>
      <c r="FN8345"/>
      <c r="FO8345"/>
      <c r="FP8345"/>
      <c r="FQ8345"/>
      <c r="FR8345"/>
      <c r="FS8345"/>
      <c r="FT8345"/>
      <c r="FU8345"/>
      <c r="FV8345"/>
      <c r="FW8345"/>
      <c r="FX8345"/>
      <c r="FY8345"/>
      <c r="FZ8345"/>
      <c r="GA8345"/>
      <c r="GB8345"/>
      <c r="GC8345"/>
      <c r="GD8345"/>
      <c r="GE8345"/>
      <c r="GF8345"/>
      <c r="GG8345"/>
      <c r="GH8345"/>
      <c r="GI8345"/>
      <c r="GJ8345"/>
      <c r="GK8345"/>
      <c r="GL8345"/>
      <c r="GM8345"/>
      <c r="GN8345"/>
      <c r="GO8345"/>
    </row>
    <row r="8346" spans="107:197">
      <c r="DC8346"/>
      <c r="FH8346"/>
      <c r="FI8346"/>
      <c r="FJ8346"/>
      <c r="FK8346"/>
      <c r="FL8346"/>
      <c r="FM8346"/>
      <c r="FN8346"/>
      <c r="FO8346"/>
      <c r="FP8346"/>
      <c r="FQ8346"/>
      <c r="FR8346"/>
      <c r="FS8346"/>
      <c r="FT8346"/>
      <c r="FU8346"/>
      <c r="FV8346"/>
      <c r="FW8346"/>
      <c r="FX8346"/>
      <c r="FY8346"/>
      <c r="FZ8346"/>
      <c r="GA8346"/>
      <c r="GB8346"/>
      <c r="GC8346"/>
      <c r="GD8346"/>
      <c r="GE8346"/>
      <c r="GF8346"/>
      <c r="GG8346"/>
      <c r="GH8346"/>
      <c r="GI8346"/>
      <c r="GJ8346"/>
      <c r="GK8346"/>
      <c r="GL8346"/>
      <c r="GM8346"/>
      <c r="GN8346"/>
      <c r="GO8346"/>
    </row>
    <row r="8347" spans="107:197">
      <c r="DC8347"/>
      <c r="FH8347"/>
      <c r="FI8347"/>
      <c r="FJ8347"/>
      <c r="FK8347"/>
      <c r="FL8347"/>
      <c r="FM8347"/>
      <c r="FN8347"/>
      <c r="FO8347"/>
      <c r="FP8347"/>
      <c r="FQ8347"/>
      <c r="FR8347"/>
      <c r="FS8347"/>
      <c r="FT8347"/>
      <c r="FU8347"/>
      <c r="FV8347"/>
      <c r="FW8347"/>
      <c r="FX8347"/>
      <c r="FY8347"/>
      <c r="FZ8347"/>
      <c r="GA8347"/>
      <c r="GB8347"/>
      <c r="GC8347"/>
      <c r="GD8347"/>
      <c r="GE8347"/>
      <c r="GF8347"/>
      <c r="GG8347"/>
      <c r="GH8347"/>
      <c r="GI8347"/>
      <c r="GJ8347"/>
      <c r="GK8347"/>
      <c r="GL8347"/>
      <c r="GM8347"/>
      <c r="GN8347"/>
      <c r="GO8347"/>
    </row>
    <row r="8348" spans="107:197">
      <c r="DC8348"/>
      <c r="FH8348"/>
      <c r="FI8348"/>
      <c r="FJ8348"/>
      <c r="FK8348"/>
      <c r="FL8348"/>
      <c r="FM8348"/>
      <c r="FN8348"/>
      <c r="FO8348"/>
      <c r="FP8348"/>
      <c r="FQ8348"/>
      <c r="FR8348"/>
      <c r="FS8348"/>
      <c r="FT8348"/>
      <c r="FU8348"/>
      <c r="FV8348"/>
      <c r="FW8348"/>
      <c r="FX8348"/>
      <c r="FY8348"/>
      <c r="FZ8348"/>
      <c r="GA8348"/>
      <c r="GB8348"/>
      <c r="GC8348"/>
      <c r="GD8348"/>
      <c r="GE8348"/>
      <c r="GF8348"/>
      <c r="GG8348"/>
      <c r="GH8348"/>
      <c r="GI8348"/>
      <c r="GJ8348"/>
      <c r="GK8348"/>
      <c r="GL8348"/>
      <c r="GM8348"/>
      <c r="GN8348"/>
      <c r="GO8348"/>
    </row>
    <row r="8349" spans="107:197">
      <c r="DC8349"/>
      <c r="FH8349"/>
      <c r="FI8349"/>
      <c r="FJ8349"/>
      <c r="FK8349"/>
      <c r="FL8349"/>
      <c r="FM8349"/>
      <c r="FN8349"/>
      <c r="FO8349"/>
      <c r="FP8349"/>
      <c r="FQ8349"/>
      <c r="FR8349"/>
      <c r="FS8349"/>
      <c r="FT8349"/>
      <c r="FU8349"/>
      <c r="FV8349"/>
      <c r="FW8349"/>
      <c r="FX8349"/>
      <c r="FY8349"/>
      <c r="FZ8349"/>
      <c r="GA8349"/>
      <c r="GB8349"/>
      <c r="GC8349"/>
      <c r="GD8349"/>
      <c r="GE8349"/>
      <c r="GF8349"/>
      <c r="GG8349"/>
      <c r="GH8349"/>
      <c r="GI8349"/>
      <c r="GJ8349"/>
      <c r="GK8349"/>
      <c r="GL8349"/>
      <c r="GM8349"/>
      <c r="GN8349"/>
      <c r="GO8349"/>
    </row>
    <row r="8350" spans="107:197">
      <c r="DC8350"/>
      <c r="FH8350"/>
      <c r="FI8350"/>
      <c r="FJ8350"/>
      <c r="FK8350"/>
      <c r="FL8350"/>
      <c r="FM8350"/>
      <c r="FN8350"/>
      <c r="FO8350"/>
      <c r="FP8350"/>
      <c r="FQ8350"/>
      <c r="FR8350"/>
      <c r="FS8350"/>
      <c r="FT8350"/>
      <c r="FU8350"/>
      <c r="FV8350"/>
      <c r="FW8350"/>
      <c r="FX8350"/>
      <c r="FY8350"/>
      <c r="FZ8350"/>
      <c r="GA8350"/>
      <c r="GB8350"/>
      <c r="GC8350"/>
      <c r="GD8350"/>
      <c r="GE8350"/>
      <c r="GF8350"/>
      <c r="GG8350"/>
      <c r="GH8350"/>
      <c r="GI8350"/>
      <c r="GJ8350"/>
      <c r="GK8350"/>
      <c r="GL8350"/>
      <c r="GM8350"/>
      <c r="GN8350"/>
      <c r="GO8350"/>
    </row>
    <row r="8351" spans="107:197">
      <c r="DC8351"/>
      <c r="FH8351"/>
      <c r="FI8351"/>
      <c r="FJ8351"/>
      <c r="FK8351"/>
      <c r="FL8351"/>
      <c r="FM8351"/>
      <c r="FN8351"/>
      <c r="FO8351"/>
      <c r="FP8351"/>
      <c r="FQ8351"/>
      <c r="FR8351"/>
      <c r="FS8351"/>
      <c r="FT8351"/>
      <c r="FU8351"/>
      <c r="FV8351"/>
      <c r="FW8351"/>
      <c r="FX8351"/>
      <c r="FY8351"/>
      <c r="FZ8351"/>
      <c r="GA8351"/>
      <c r="GB8351"/>
      <c r="GC8351"/>
      <c r="GD8351"/>
      <c r="GE8351"/>
      <c r="GF8351"/>
      <c r="GG8351"/>
      <c r="GH8351"/>
      <c r="GI8351"/>
      <c r="GJ8351"/>
      <c r="GK8351"/>
      <c r="GL8351"/>
      <c r="GM8351"/>
      <c r="GN8351"/>
      <c r="GO8351"/>
    </row>
    <row r="8352" spans="107:197">
      <c r="DC8352"/>
      <c r="FH8352"/>
      <c r="FI8352"/>
      <c r="FJ8352"/>
      <c r="FK8352"/>
      <c r="FL8352"/>
      <c r="FM8352"/>
      <c r="FN8352"/>
      <c r="FO8352"/>
      <c r="FP8352"/>
      <c r="FQ8352"/>
      <c r="FR8352"/>
      <c r="FS8352"/>
      <c r="FT8352"/>
      <c r="FU8352"/>
      <c r="FV8352"/>
      <c r="FW8352"/>
      <c r="FX8352"/>
      <c r="FY8352"/>
      <c r="FZ8352"/>
      <c r="GA8352"/>
      <c r="GB8352"/>
      <c r="GC8352"/>
      <c r="GD8352"/>
      <c r="GE8352"/>
      <c r="GF8352"/>
      <c r="GG8352"/>
      <c r="GH8352"/>
      <c r="GI8352"/>
      <c r="GJ8352"/>
      <c r="GK8352"/>
      <c r="GL8352"/>
      <c r="GM8352"/>
      <c r="GN8352"/>
      <c r="GO8352"/>
    </row>
    <row r="8353" spans="107:197">
      <c r="DC8353"/>
      <c r="FH8353"/>
      <c r="FI8353"/>
      <c r="FJ8353"/>
      <c r="FK8353"/>
      <c r="FL8353"/>
      <c r="FM8353"/>
      <c r="FN8353"/>
      <c r="FO8353"/>
      <c r="FP8353"/>
      <c r="FQ8353"/>
      <c r="FR8353"/>
      <c r="FS8353"/>
      <c r="FT8353"/>
      <c r="FU8353"/>
      <c r="FV8353"/>
      <c r="FW8353"/>
      <c r="FX8353"/>
      <c r="FY8353"/>
      <c r="FZ8353"/>
      <c r="GA8353"/>
      <c r="GB8353"/>
      <c r="GC8353"/>
      <c r="GD8353"/>
      <c r="GE8353"/>
      <c r="GF8353"/>
      <c r="GG8353"/>
      <c r="GH8353"/>
      <c r="GI8353"/>
      <c r="GJ8353"/>
      <c r="GK8353"/>
      <c r="GL8353"/>
      <c r="GM8353"/>
      <c r="GN8353"/>
      <c r="GO8353"/>
    </row>
    <row r="8354" spans="107:197">
      <c r="DC8354"/>
      <c r="FH8354"/>
      <c r="FI8354"/>
      <c r="FJ8354"/>
      <c r="FK8354"/>
      <c r="FL8354"/>
      <c r="FM8354"/>
      <c r="FN8354"/>
      <c r="FO8354"/>
      <c r="FP8354"/>
      <c r="FQ8354"/>
      <c r="FR8354"/>
      <c r="FS8354"/>
      <c r="FT8354"/>
      <c r="FU8354"/>
      <c r="FV8354"/>
      <c r="FW8354"/>
      <c r="FX8354"/>
      <c r="FY8354"/>
      <c r="FZ8354"/>
      <c r="GA8354"/>
      <c r="GB8354"/>
      <c r="GC8354"/>
      <c r="GD8354"/>
      <c r="GE8354"/>
      <c r="GF8354"/>
      <c r="GG8354"/>
      <c r="GH8354"/>
      <c r="GI8354"/>
      <c r="GJ8354"/>
      <c r="GK8354"/>
      <c r="GL8354"/>
      <c r="GM8354"/>
      <c r="GN8354"/>
      <c r="GO8354"/>
    </row>
    <row r="8355" spans="107:197">
      <c r="DC8355"/>
      <c r="FH8355"/>
      <c r="FI8355"/>
      <c r="FJ8355"/>
      <c r="FK8355"/>
      <c r="FL8355"/>
      <c r="FM8355"/>
      <c r="FN8355"/>
      <c r="FO8355"/>
      <c r="FP8355"/>
      <c r="FQ8355"/>
      <c r="FR8355"/>
      <c r="FS8355"/>
      <c r="FT8355"/>
      <c r="FU8355"/>
      <c r="FV8355"/>
      <c r="FW8355"/>
      <c r="FX8355"/>
      <c r="FY8355"/>
      <c r="FZ8355"/>
      <c r="GA8355"/>
      <c r="GB8355"/>
      <c r="GC8355"/>
      <c r="GD8355"/>
      <c r="GE8355"/>
      <c r="GF8355"/>
      <c r="GG8355"/>
      <c r="GH8355"/>
      <c r="GI8355"/>
      <c r="GJ8355"/>
      <c r="GK8355"/>
      <c r="GL8355"/>
      <c r="GM8355"/>
      <c r="GN8355"/>
      <c r="GO8355"/>
    </row>
    <row r="8356" spans="107:197">
      <c r="DC8356"/>
      <c r="FH8356"/>
      <c r="FI8356"/>
      <c r="FJ8356"/>
      <c r="FK8356"/>
      <c r="FL8356"/>
      <c r="FM8356"/>
      <c r="FN8356"/>
      <c r="FO8356"/>
      <c r="FP8356"/>
      <c r="FQ8356"/>
      <c r="FR8356"/>
      <c r="FS8356"/>
      <c r="FT8356"/>
      <c r="FU8356"/>
      <c r="FV8356"/>
      <c r="FW8356"/>
      <c r="FX8356"/>
      <c r="FY8356"/>
      <c r="FZ8356"/>
      <c r="GA8356"/>
      <c r="GB8356"/>
      <c r="GC8356"/>
      <c r="GD8356"/>
      <c r="GE8356"/>
      <c r="GF8356"/>
      <c r="GG8356"/>
      <c r="GH8356"/>
      <c r="GI8356"/>
      <c r="GJ8356"/>
      <c r="GK8356"/>
      <c r="GL8356"/>
      <c r="GM8356"/>
      <c r="GN8356"/>
      <c r="GO8356"/>
    </row>
    <row r="8357" spans="107:197">
      <c r="DC8357"/>
      <c r="FH8357"/>
      <c r="FI8357"/>
      <c r="FJ8357"/>
      <c r="FK8357"/>
      <c r="FL8357"/>
      <c r="FM8357"/>
      <c r="FN8357"/>
      <c r="FO8357"/>
      <c r="FP8357"/>
      <c r="FQ8357"/>
      <c r="FR8357"/>
      <c r="FS8357"/>
      <c r="FT8357"/>
      <c r="FU8357"/>
      <c r="FV8357"/>
      <c r="FW8357"/>
      <c r="FX8357"/>
      <c r="FY8357"/>
      <c r="FZ8357"/>
      <c r="GA8357"/>
      <c r="GB8357"/>
      <c r="GC8357"/>
      <c r="GD8357"/>
      <c r="GE8357"/>
      <c r="GF8357"/>
      <c r="GG8357"/>
      <c r="GH8357"/>
      <c r="GI8357"/>
      <c r="GJ8357"/>
      <c r="GK8357"/>
      <c r="GL8357"/>
      <c r="GM8357"/>
      <c r="GN8357"/>
      <c r="GO8357"/>
    </row>
    <row r="8358" spans="107:197">
      <c r="DC8358"/>
      <c r="FH8358"/>
      <c r="FI8358"/>
      <c r="FJ8358"/>
      <c r="FK8358"/>
      <c r="FL8358"/>
      <c r="FM8358"/>
      <c r="FN8358"/>
      <c r="FO8358"/>
      <c r="FP8358"/>
      <c r="FQ8358"/>
      <c r="FR8358"/>
      <c r="FS8358"/>
      <c r="FT8358"/>
      <c r="FU8358"/>
      <c r="FV8358"/>
      <c r="FW8358"/>
      <c r="FX8358"/>
      <c r="FY8358"/>
      <c r="FZ8358"/>
      <c r="GA8358"/>
      <c r="GB8358"/>
      <c r="GC8358"/>
      <c r="GD8358"/>
      <c r="GE8358"/>
      <c r="GF8358"/>
      <c r="GG8358"/>
      <c r="GH8358"/>
      <c r="GI8358"/>
      <c r="GJ8358"/>
      <c r="GK8358"/>
      <c r="GL8358"/>
      <c r="GM8358"/>
      <c r="GN8358"/>
      <c r="GO8358"/>
    </row>
    <row r="8359" spans="107:197">
      <c r="DC8359"/>
      <c r="FH8359"/>
      <c r="FI8359"/>
      <c r="FJ8359"/>
      <c r="FK8359"/>
      <c r="FL8359"/>
      <c r="FM8359"/>
      <c r="FN8359"/>
      <c r="FO8359"/>
      <c r="FP8359"/>
      <c r="FQ8359"/>
      <c r="FR8359"/>
      <c r="FS8359"/>
      <c r="FT8359"/>
      <c r="FU8359"/>
      <c r="FV8359"/>
      <c r="FW8359"/>
      <c r="FX8359"/>
      <c r="FY8359"/>
      <c r="FZ8359"/>
      <c r="GA8359"/>
      <c r="GB8359"/>
      <c r="GC8359"/>
      <c r="GD8359"/>
      <c r="GE8359"/>
      <c r="GF8359"/>
      <c r="GG8359"/>
      <c r="GH8359"/>
      <c r="GI8359"/>
      <c r="GJ8359"/>
      <c r="GK8359"/>
      <c r="GL8359"/>
      <c r="GM8359"/>
      <c r="GN8359"/>
      <c r="GO8359"/>
    </row>
    <row r="8360" spans="107:197">
      <c r="DC8360"/>
      <c r="FH8360"/>
      <c r="FI8360"/>
      <c r="FJ8360"/>
      <c r="FK8360"/>
      <c r="FL8360"/>
      <c r="FM8360"/>
      <c r="FN8360"/>
      <c r="FO8360"/>
      <c r="FP8360"/>
      <c r="FQ8360"/>
      <c r="FR8360"/>
      <c r="FS8360"/>
      <c r="FT8360"/>
      <c r="FU8360"/>
      <c r="FV8360"/>
      <c r="FW8360"/>
      <c r="FX8360"/>
      <c r="FY8360"/>
      <c r="FZ8360"/>
      <c r="GA8360"/>
      <c r="GB8360"/>
      <c r="GC8360"/>
      <c r="GD8360"/>
      <c r="GE8360"/>
      <c r="GF8360"/>
      <c r="GG8360"/>
      <c r="GH8360"/>
      <c r="GI8360"/>
      <c r="GJ8360"/>
      <c r="GK8360"/>
      <c r="GL8360"/>
      <c r="GM8360"/>
      <c r="GN8360"/>
      <c r="GO8360"/>
    </row>
    <row r="8361" spans="107:197">
      <c r="DC8361"/>
      <c r="FH8361"/>
      <c r="FI8361"/>
      <c r="FJ8361"/>
      <c r="FK8361"/>
      <c r="FL8361"/>
      <c r="FM8361"/>
      <c r="FN8361"/>
      <c r="FO8361"/>
      <c r="FP8361"/>
      <c r="FQ8361"/>
      <c r="FR8361"/>
      <c r="FS8361"/>
      <c r="FT8361"/>
      <c r="FU8361"/>
      <c r="FV8361"/>
      <c r="FW8361"/>
      <c r="FX8361"/>
      <c r="FY8361"/>
      <c r="FZ8361"/>
      <c r="GA8361"/>
      <c r="GB8361"/>
      <c r="GC8361"/>
      <c r="GD8361"/>
      <c r="GE8361"/>
      <c r="GF8361"/>
      <c r="GG8361"/>
      <c r="GH8361"/>
      <c r="GI8361"/>
      <c r="GJ8361"/>
      <c r="GK8361"/>
      <c r="GL8361"/>
      <c r="GM8361"/>
      <c r="GN8361"/>
      <c r="GO8361"/>
    </row>
    <row r="8362" spans="107:197">
      <c r="DC8362"/>
      <c r="FH8362"/>
      <c r="FI8362"/>
      <c r="FJ8362"/>
      <c r="FK8362"/>
      <c r="FL8362"/>
      <c r="FM8362"/>
      <c r="FN8362"/>
      <c r="FO8362"/>
      <c r="FP8362"/>
      <c r="FQ8362"/>
      <c r="FR8362"/>
      <c r="FS8362"/>
      <c r="FT8362"/>
      <c r="FU8362"/>
      <c r="FV8362"/>
      <c r="FW8362"/>
      <c r="FX8362"/>
      <c r="FY8362"/>
      <c r="FZ8362"/>
      <c r="GA8362"/>
      <c r="GB8362"/>
      <c r="GC8362"/>
      <c r="GD8362"/>
      <c r="GE8362"/>
      <c r="GF8362"/>
      <c r="GG8362"/>
      <c r="GH8362"/>
      <c r="GI8362"/>
      <c r="GJ8362"/>
      <c r="GK8362"/>
      <c r="GL8362"/>
      <c r="GM8362"/>
      <c r="GN8362"/>
      <c r="GO8362"/>
    </row>
    <row r="8363" spans="107:197">
      <c r="DC8363"/>
      <c r="FH8363"/>
      <c r="FI8363"/>
      <c r="FJ8363"/>
      <c r="FK8363"/>
      <c r="FL8363"/>
      <c r="FM8363"/>
      <c r="FN8363"/>
      <c r="FO8363"/>
      <c r="FP8363"/>
      <c r="FQ8363"/>
      <c r="FR8363"/>
      <c r="FS8363"/>
      <c r="FT8363"/>
      <c r="FU8363"/>
      <c r="FV8363"/>
      <c r="FW8363"/>
      <c r="FX8363"/>
      <c r="FY8363"/>
      <c r="FZ8363"/>
      <c r="GA8363"/>
      <c r="GB8363"/>
      <c r="GC8363"/>
      <c r="GD8363"/>
      <c r="GE8363"/>
      <c r="GF8363"/>
      <c r="GG8363"/>
      <c r="GH8363"/>
      <c r="GI8363"/>
      <c r="GJ8363"/>
      <c r="GK8363"/>
      <c r="GL8363"/>
      <c r="GM8363"/>
      <c r="GN8363"/>
      <c r="GO8363"/>
    </row>
    <row r="8364" spans="107:197">
      <c r="DC8364"/>
      <c r="FH8364"/>
      <c r="FI8364"/>
      <c r="FJ8364"/>
      <c r="FK8364"/>
      <c r="FL8364"/>
      <c r="FM8364"/>
      <c r="FN8364"/>
      <c r="FO8364"/>
      <c r="FP8364"/>
      <c r="FQ8364"/>
      <c r="FR8364"/>
      <c r="FS8364"/>
      <c r="FT8364"/>
      <c r="FU8364"/>
      <c r="FV8364"/>
      <c r="FW8364"/>
      <c r="FX8364"/>
      <c r="FY8364"/>
      <c r="FZ8364"/>
      <c r="GA8364"/>
      <c r="GB8364"/>
      <c r="GC8364"/>
      <c r="GD8364"/>
      <c r="GE8364"/>
      <c r="GF8364"/>
      <c r="GG8364"/>
      <c r="GH8364"/>
      <c r="GI8364"/>
      <c r="GJ8364"/>
      <c r="GK8364"/>
      <c r="GL8364"/>
      <c r="GM8364"/>
      <c r="GN8364"/>
      <c r="GO8364"/>
    </row>
    <row r="8365" spans="107:197">
      <c r="DC8365"/>
      <c r="FH8365"/>
      <c r="FI8365"/>
      <c r="FJ8365"/>
      <c r="FK8365"/>
      <c r="FL8365"/>
      <c r="FM8365"/>
      <c r="FN8365"/>
      <c r="FO8365"/>
      <c r="FP8365"/>
      <c r="FQ8365"/>
      <c r="FR8365"/>
      <c r="FS8365"/>
      <c r="FT8365"/>
      <c r="FU8365"/>
      <c r="FV8365"/>
      <c r="FW8365"/>
      <c r="FX8365"/>
      <c r="FY8365"/>
      <c r="FZ8365"/>
      <c r="GA8365"/>
      <c r="GB8365"/>
      <c r="GC8365"/>
      <c r="GD8365"/>
      <c r="GE8365"/>
      <c r="GF8365"/>
      <c r="GG8365"/>
      <c r="GH8365"/>
      <c r="GI8365"/>
      <c r="GJ8365"/>
      <c r="GK8365"/>
      <c r="GL8365"/>
      <c r="GM8365"/>
      <c r="GN8365"/>
      <c r="GO8365"/>
    </row>
    <row r="8366" spans="107:197">
      <c r="DC8366"/>
      <c r="FH8366"/>
      <c r="FI8366"/>
      <c r="FJ8366"/>
      <c r="FK8366"/>
      <c r="FL8366"/>
      <c r="FM8366"/>
      <c r="FN8366"/>
      <c r="FO8366"/>
      <c r="FP8366"/>
      <c r="FQ8366"/>
      <c r="FR8366"/>
      <c r="FS8366"/>
      <c r="FT8366"/>
      <c r="FU8366"/>
      <c r="FV8366"/>
      <c r="FW8366"/>
      <c r="FX8366"/>
      <c r="FY8366"/>
      <c r="FZ8366"/>
      <c r="GA8366"/>
      <c r="GB8366"/>
      <c r="GC8366"/>
      <c r="GD8366"/>
      <c r="GE8366"/>
      <c r="GF8366"/>
      <c r="GG8366"/>
      <c r="GH8366"/>
      <c r="GI8366"/>
      <c r="GJ8366"/>
      <c r="GK8366"/>
      <c r="GL8366"/>
      <c r="GM8366"/>
      <c r="GN8366"/>
      <c r="GO8366"/>
    </row>
    <row r="8367" spans="107:197">
      <c r="DC8367"/>
      <c r="FH8367"/>
      <c r="FI8367"/>
      <c r="FJ8367"/>
      <c r="FK8367"/>
      <c r="FL8367"/>
      <c r="FM8367"/>
      <c r="FN8367"/>
      <c r="FO8367"/>
      <c r="FP8367"/>
      <c r="FQ8367"/>
      <c r="FR8367"/>
      <c r="FS8367"/>
      <c r="FT8367"/>
      <c r="FU8367"/>
      <c r="FV8367"/>
      <c r="FW8367"/>
      <c r="FX8367"/>
      <c r="FY8367"/>
      <c r="FZ8367"/>
      <c r="GA8367"/>
      <c r="GB8367"/>
      <c r="GC8367"/>
      <c r="GD8367"/>
      <c r="GE8367"/>
      <c r="GF8367"/>
      <c r="GG8367"/>
      <c r="GH8367"/>
      <c r="GI8367"/>
      <c r="GJ8367"/>
      <c r="GK8367"/>
      <c r="GL8367"/>
      <c r="GM8367"/>
      <c r="GN8367"/>
      <c r="GO8367"/>
    </row>
    <row r="8368" spans="107:197">
      <c r="DC8368"/>
      <c r="FH8368"/>
      <c r="FI8368"/>
      <c r="FJ8368"/>
      <c r="FK8368"/>
      <c r="FL8368"/>
      <c r="FM8368"/>
      <c r="FN8368"/>
      <c r="FO8368"/>
      <c r="FP8368"/>
      <c r="FQ8368"/>
      <c r="FR8368"/>
      <c r="FS8368"/>
      <c r="FT8368"/>
      <c r="FU8368"/>
      <c r="FV8368"/>
      <c r="FW8368"/>
      <c r="FX8368"/>
      <c r="FY8368"/>
      <c r="FZ8368"/>
      <c r="GA8368"/>
      <c r="GB8368"/>
      <c r="GC8368"/>
      <c r="GD8368"/>
      <c r="GE8368"/>
      <c r="GF8368"/>
      <c r="GG8368"/>
      <c r="GH8368"/>
      <c r="GI8368"/>
      <c r="GJ8368"/>
      <c r="GK8368"/>
      <c r="GL8368"/>
      <c r="GM8368"/>
      <c r="GN8368"/>
      <c r="GO8368"/>
    </row>
    <row r="8369" spans="107:197">
      <c r="DC8369"/>
      <c r="FH8369"/>
      <c r="FI8369"/>
      <c r="FJ8369"/>
      <c r="FK8369"/>
      <c r="FL8369"/>
      <c r="FM8369"/>
      <c r="FN8369"/>
      <c r="FO8369"/>
      <c r="FP8369"/>
      <c r="FQ8369"/>
      <c r="FR8369"/>
      <c r="FS8369"/>
      <c r="FT8369"/>
      <c r="FU8369"/>
      <c r="FV8369"/>
      <c r="FW8369"/>
      <c r="FX8369"/>
      <c r="FY8369"/>
      <c r="FZ8369"/>
      <c r="GA8369"/>
      <c r="GB8369"/>
      <c r="GC8369"/>
      <c r="GD8369"/>
      <c r="GE8369"/>
      <c r="GF8369"/>
      <c r="GG8369"/>
      <c r="GH8369"/>
      <c r="GI8369"/>
      <c r="GJ8369"/>
      <c r="GK8369"/>
      <c r="GL8369"/>
      <c r="GM8369"/>
      <c r="GN8369"/>
      <c r="GO8369"/>
    </row>
    <row r="8370" spans="107:197">
      <c r="DC8370"/>
      <c r="FH8370"/>
      <c r="FI8370"/>
      <c r="FJ8370"/>
      <c r="FK8370"/>
      <c r="FL8370"/>
      <c r="FM8370"/>
      <c r="FN8370"/>
      <c r="FO8370"/>
      <c r="FP8370"/>
      <c r="FQ8370"/>
      <c r="FR8370"/>
      <c r="FS8370"/>
      <c r="FT8370"/>
      <c r="FU8370"/>
      <c r="FV8370"/>
      <c r="FW8370"/>
      <c r="FX8370"/>
      <c r="FY8370"/>
      <c r="FZ8370"/>
      <c r="GA8370"/>
      <c r="GB8370"/>
      <c r="GC8370"/>
      <c r="GD8370"/>
      <c r="GE8370"/>
      <c r="GF8370"/>
      <c r="GG8370"/>
      <c r="GH8370"/>
      <c r="GI8370"/>
      <c r="GJ8370"/>
      <c r="GK8370"/>
      <c r="GL8370"/>
      <c r="GM8370"/>
      <c r="GN8370"/>
      <c r="GO8370"/>
    </row>
    <row r="8371" spans="107:197">
      <c r="DC8371"/>
      <c r="FH8371"/>
      <c r="FI8371"/>
      <c r="FJ8371"/>
      <c r="FK8371"/>
      <c r="FL8371"/>
      <c r="FM8371"/>
      <c r="FN8371"/>
      <c r="FO8371"/>
      <c r="FP8371"/>
      <c r="FQ8371"/>
      <c r="FR8371"/>
      <c r="FS8371"/>
      <c r="FT8371"/>
      <c r="FU8371"/>
      <c r="FV8371"/>
      <c r="FW8371"/>
      <c r="FX8371"/>
      <c r="FY8371"/>
      <c r="FZ8371"/>
      <c r="GA8371"/>
      <c r="GB8371"/>
      <c r="GC8371"/>
      <c r="GD8371"/>
      <c r="GE8371"/>
      <c r="GF8371"/>
      <c r="GG8371"/>
      <c r="GH8371"/>
      <c r="GI8371"/>
      <c r="GJ8371"/>
      <c r="GK8371"/>
      <c r="GL8371"/>
      <c r="GM8371"/>
      <c r="GN8371"/>
      <c r="GO8371"/>
    </row>
    <row r="8372" spans="107:197">
      <c r="DC8372"/>
      <c r="FH8372"/>
      <c r="FI8372"/>
      <c r="FJ8372"/>
      <c r="FK8372"/>
      <c r="FL8372"/>
      <c r="FM8372"/>
      <c r="FN8372"/>
      <c r="FO8372"/>
      <c r="FP8372"/>
      <c r="FQ8372"/>
      <c r="FR8372"/>
      <c r="FS8372"/>
      <c r="FT8372"/>
      <c r="FU8372"/>
      <c r="FV8372"/>
      <c r="FW8372"/>
      <c r="FX8372"/>
      <c r="FY8372"/>
      <c r="FZ8372"/>
      <c r="GA8372"/>
      <c r="GB8372"/>
      <c r="GC8372"/>
      <c r="GD8372"/>
      <c r="GE8372"/>
      <c r="GF8372"/>
      <c r="GG8372"/>
      <c r="GH8372"/>
      <c r="GI8372"/>
      <c r="GJ8372"/>
      <c r="GK8372"/>
      <c r="GL8372"/>
      <c r="GM8372"/>
      <c r="GN8372"/>
      <c r="GO8372"/>
    </row>
    <row r="8373" spans="107:197">
      <c r="DC8373"/>
      <c r="FH8373"/>
      <c r="FI8373"/>
      <c r="FJ8373"/>
      <c r="FK8373"/>
      <c r="FL8373"/>
      <c r="FM8373"/>
      <c r="FN8373"/>
      <c r="FO8373"/>
      <c r="FP8373"/>
      <c r="FQ8373"/>
      <c r="FR8373"/>
      <c r="FS8373"/>
      <c r="FT8373"/>
      <c r="FU8373"/>
      <c r="FV8373"/>
      <c r="FW8373"/>
      <c r="FX8373"/>
      <c r="FY8373"/>
      <c r="FZ8373"/>
      <c r="GA8373"/>
      <c r="GB8373"/>
      <c r="GC8373"/>
      <c r="GD8373"/>
      <c r="GE8373"/>
      <c r="GF8373"/>
      <c r="GG8373"/>
      <c r="GH8373"/>
      <c r="GI8373"/>
      <c r="GJ8373"/>
      <c r="GK8373"/>
      <c r="GL8373"/>
      <c r="GM8373"/>
      <c r="GN8373"/>
      <c r="GO8373"/>
    </row>
    <row r="8374" spans="107:197">
      <c r="DC8374"/>
      <c r="FH8374"/>
      <c r="FI8374"/>
      <c r="FJ8374"/>
      <c r="FK8374"/>
      <c r="FL8374"/>
      <c r="FM8374"/>
      <c r="FN8374"/>
      <c r="FO8374"/>
      <c r="FP8374"/>
      <c r="FQ8374"/>
      <c r="FR8374"/>
      <c r="FS8374"/>
      <c r="FT8374"/>
      <c r="FU8374"/>
      <c r="FV8374"/>
      <c r="FW8374"/>
      <c r="FX8374"/>
      <c r="FY8374"/>
      <c r="FZ8374"/>
      <c r="GA8374"/>
      <c r="GB8374"/>
      <c r="GC8374"/>
      <c r="GD8374"/>
      <c r="GE8374"/>
      <c r="GF8374"/>
      <c r="GG8374"/>
      <c r="GH8374"/>
      <c r="GI8374"/>
      <c r="GJ8374"/>
      <c r="GK8374"/>
      <c r="GL8374"/>
      <c r="GM8374"/>
      <c r="GN8374"/>
      <c r="GO8374"/>
    </row>
    <row r="8375" spans="107:197">
      <c r="DC8375"/>
      <c r="FH8375"/>
      <c r="FI8375"/>
      <c r="FJ8375"/>
      <c r="FK8375"/>
      <c r="FL8375"/>
      <c r="FM8375"/>
      <c r="FN8375"/>
      <c r="FO8375"/>
      <c r="FP8375"/>
      <c r="FQ8375"/>
      <c r="FR8375"/>
      <c r="FS8375"/>
      <c r="FT8375"/>
      <c r="FU8375"/>
      <c r="FV8375"/>
      <c r="FW8375"/>
      <c r="FX8375"/>
      <c r="FY8375"/>
      <c r="FZ8375"/>
      <c r="GA8375"/>
      <c r="GB8375"/>
      <c r="GC8375"/>
      <c r="GD8375"/>
      <c r="GE8375"/>
      <c r="GF8375"/>
      <c r="GG8375"/>
      <c r="GH8375"/>
      <c r="GI8375"/>
      <c r="GJ8375"/>
      <c r="GK8375"/>
      <c r="GL8375"/>
      <c r="GM8375"/>
      <c r="GN8375"/>
      <c r="GO8375"/>
    </row>
    <row r="8376" spans="107:197">
      <c r="DC8376"/>
      <c r="FH8376"/>
      <c r="FI8376"/>
      <c r="FJ8376"/>
      <c r="FK8376"/>
      <c r="FL8376"/>
      <c r="FM8376"/>
      <c r="FN8376"/>
      <c r="FO8376"/>
      <c r="FP8376"/>
      <c r="FQ8376"/>
      <c r="FR8376"/>
      <c r="FS8376"/>
      <c r="FT8376"/>
      <c r="FU8376"/>
      <c r="FV8376"/>
      <c r="FW8376"/>
      <c r="FX8376"/>
      <c r="FY8376"/>
      <c r="FZ8376"/>
      <c r="GA8376"/>
      <c r="GB8376"/>
      <c r="GC8376"/>
      <c r="GD8376"/>
      <c r="GE8376"/>
      <c r="GF8376"/>
      <c r="GG8376"/>
      <c r="GH8376"/>
      <c r="GI8376"/>
      <c r="GJ8376"/>
      <c r="GK8376"/>
      <c r="GL8376"/>
      <c r="GM8376"/>
      <c r="GN8376"/>
      <c r="GO8376"/>
    </row>
    <row r="8377" spans="107:197">
      <c r="DC8377"/>
      <c r="FH8377"/>
      <c r="FI8377"/>
      <c r="FJ8377"/>
      <c r="FK8377"/>
      <c r="FL8377"/>
      <c r="FM8377"/>
      <c r="FN8377"/>
      <c r="FO8377"/>
      <c r="FP8377"/>
      <c r="FQ8377"/>
      <c r="FR8377"/>
      <c r="FS8377"/>
      <c r="FT8377"/>
      <c r="FU8377"/>
      <c r="FV8377"/>
      <c r="FW8377"/>
      <c r="FX8377"/>
      <c r="FY8377"/>
      <c r="FZ8377"/>
      <c r="GA8377"/>
      <c r="GB8377"/>
      <c r="GC8377"/>
      <c r="GD8377"/>
      <c r="GE8377"/>
      <c r="GF8377"/>
      <c r="GG8377"/>
      <c r="GH8377"/>
      <c r="GI8377"/>
      <c r="GJ8377"/>
      <c r="GK8377"/>
      <c r="GL8377"/>
      <c r="GM8377"/>
      <c r="GN8377"/>
      <c r="GO8377"/>
    </row>
    <row r="8378" spans="107:197">
      <c r="DC8378"/>
      <c r="FH8378"/>
      <c r="FI8378"/>
      <c r="FJ8378"/>
      <c r="FK8378"/>
      <c r="FL8378"/>
      <c r="FM8378"/>
      <c r="FN8378"/>
      <c r="FO8378"/>
      <c r="FP8378"/>
      <c r="FQ8378"/>
      <c r="FR8378"/>
      <c r="FS8378"/>
      <c r="FT8378"/>
      <c r="FU8378"/>
      <c r="FV8378"/>
      <c r="FW8378"/>
      <c r="FX8378"/>
      <c r="FY8378"/>
      <c r="FZ8378"/>
      <c r="GA8378"/>
      <c r="GB8378"/>
      <c r="GC8378"/>
      <c r="GD8378"/>
      <c r="GE8378"/>
      <c r="GF8378"/>
      <c r="GG8378"/>
      <c r="GH8378"/>
      <c r="GI8378"/>
      <c r="GJ8378"/>
      <c r="GK8378"/>
      <c r="GL8378"/>
      <c r="GM8378"/>
      <c r="GN8378"/>
      <c r="GO8378"/>
    </row>
    <row r="8379" spans="107:197">
      <c r="DC8379"/>
      <c r="FH8379"/>
      <c r="FI8379"/>
      <c r="FJ8379"/>
      <c r="FK8379"/>
      <c r="FL8379"/>
      <c r="FM8379"/>
      <c r="FN8379"/>
      <c r="FO8379"/>
      <c r="FP8379"/>
      <c r="FQ8379"/>
      <c r="FR8379"/>
      <c r="FS8379"/>
      <c r="FT8379"/>
      <c r="FU8379"/>
      <c r="FV8379"/>
      <c r="FW8379"/>
      <c r="FX8379"/>
      <c r="FY8379"/>
      <c r="FZ8379"/>
      <c r="GA8379"/>
      <c r="GB8379"/>
      <c r="GC8379"/>
      <c r="GD8379"/>
      <c r="GE8379"/>
      <c r="GF8379"/>
      <c r="GG8379"/>
      <c r="GH8379"/>
      <c r="GI8379"/>
      <c r="GJ8379"/>
      <c r="GK8379"/>
      <c r="GL8379"/>
      <c r="GM8379"/>
      <c r="GN8379"/>
      <c r="GO8379"/>
    </row>
    <row r="8380" spans="107:197">
      <c r="DC8380"/>
      <c r="FH8380"/>
      <c r="FI8380"/>
      <c r="FJ8380"/>
      <c r="FK8380"/>
      <c r="FL8380"/>
      <c r="FM8380"/>
      <c r="FN8380"/>
      <c r="FO8380"/>
      <c r="FP8380"/>
      <c r="FQ8380"/>
      <c r="FR8380"/>
      <c r="FS8380"/>
      <c r="FT8380"/>
      <c r="FU8380"/>
      <c r="FV8380"/>
      <c r="FW8380"/>
      <c r="FX8380"/>
      <c r="FY8380"/>
      <c r="FZ8380"/>
      <c r="GA8380"/>
      <c r="GB8380"/>
      <c r="GC8380"/>
      <c r="GD8380"/>
      <c r="GE8380"/>
      <c r="GF8380"/>
      <c r="GG8380"/>
      <c r="GH8380"/>
      <c r="GI8380"/>
      <c r="GJ8380"/>
      <c r="GK8380"/>
      <c r="GL8380"/>
      <c r="GM8380"/>
      <c r="GN8380"/>
      <c r="GO8380"/>
    </row>
    <row r="8381" spans="107:197">
      <c r="DC8381"/>
      <c r="FH8381"/>
      <c r="FI8381"/>
      <c r="FJ8381"/>
      <c r="FK8381"/>
      <c r="FL8381"/>
      <c r="FM8381"/>
      <c r="FN8381"/>
      <c r="FO8381"/>
      <c r="FP8381"/>
      <c r="FQ8381"/>
      <c r="FR8381"/>
      <c r="FS8381"/>
      <c r="FT8381"/>
      <c r="FU8381"/>
      <c r="FV8381"/>
      <c r="FW8381"/>
      <c r="FX8381"/>
      <c r="FY8381"/>
      <c r="FZ8381"/>
      <c r="GA8381"/>
      <c r="GB8381"/>
      <c r="GC8381"/>
      <c r="GD8381"/>
      <c r="GE8381"/>
      <c r="GF8381"/>
      <c r="GG8381"/>
      <c r="GH8381"/>
      <c r="GI8381"/>
      <c r="GJ8381"/>
      <c r="GK8381"/>
      <c r="GL8381"/>
      <c r="GM8381"/>
      <c r="GN8381"/>
      <c r="GO8381"/>
    </row>
    <row r="8382" spans="107:197">
      <c r="DC8382"/>
      <c r="FH8382"/>
      <c r="FI8382"/>
      <c r="FJ8382"/>
      <c r="FK8382"/>
      <c r="FL8382"/>
      <c r="FM8382"/>
      <c r="FN8382"/>
      <c r="FO8382"/>
      <c r="FP8382"/>
      <c r="FQ8382"/>
      <c r="FR8382"/>
      <c r="FS8382"/>
      <c r="FT8382"/>
      <c r="FU8382"/>
      <c r="FV8382"/>
      <c r="FW8382"/>
      <c r="FX8382"/>
      <c r="FY8382"/>
      <c r="FZ8382"/>
      <c r="GA8382"/>
      <c r="GB8382"/>
      <c r="GC8382"/>
      <c r="GD8382"/>
      <c r="GE8382"/>
      <c r="GF8382"/>
      <c r="GG8382"/>
      <c r="GH8382"/>
      <c r="GI8382"/>
      <c r="GJ8382"/>
      <c r="GK8382"/>
      <c r="GL8382"/>
      <c r="GM8382"/>
      <c r="GN8382"/>
      <c r="GO8382"/>
    </row>
    <row r="8383" spans="107:197">
      <c r="DC8383"/>
      <c r="FH8383"/>
      <c r="FI8383"/>
      <c r="FJ8383"/>
      <c r="FK8383"/>
      <c r="FL8383"/>
      <c r="FM8383"/>
      <c r="FN8383"/>
      <c r="FO8383"/>
      <c r="FP8383"/>
      <c r="FQ8383"/>
      <c r="FR8383"/>
      <c r="FS8383"/>
      <c r="FT8383"/>
      <c r="FU8383"/>
      <c r="FV8383"/>
      <c r="FW8383"/>
      <c r="FX8383"/>
      <c r="FY8383"/>
      <c r="FZ8383"/>
      <c r="GA8383"/>
      <c r="GB8383"/>
      <c r="GC8383"/>
      <c r="GD8383"/>
      <c r="GE8383"/>
      <c r="GF8383"/>
      <c r="GG8383"/>
      <c r="GH8383"/>
      <c r="GI8383"/>
      <c r="GJ8383"/>
      <c r="GK8383"/>
      <c r="GL8383"/>
      <c r="GM8383"/>
      <c r="GN8383"/>
      <c r="GO8383"/>
    </row>
    <row r="8384" spans="107:197">
      <c r="DC8384"/>
      <c r="FH8384"/>
      <c r="FI8384"/>
      <c r="FJ8384"/>
      <c r="FK8384"/>
      <c r="FL8384"/>
      <c r="FM8384"/>
      <c r="FN8384"/>
      <c r="FO8384"/>
      <c r="FP8384"/>
      <c r="FQ8384"/>
      <c r="FR8384"/>
      <c r="FS8384"/>
      <c r="FT8384"/>
      <c r="FU8384"/>
      <c r="FV8384"/>
      <c r="FW8384"/>
      <c r="FX8384"/>
      <c r="FY8384"/>
      <c r="FZ8384"/>
      <c r="GA8384"/>
      <c r="GB8384"/>
      <c r="GC8384"/>
      <c r="GD8384"/>
      <c r="GE8384"/>
      <c r="GF8384"/>
      <c r="GG8384"/>
      <c r="GH8384"/>
      <c r="GI8384"/>
      <c r="GJ8384"/>
      <c r="GK8384"/>
      <c r="GL8384"/>
      <c r="GM8384"/>
      <c r="GN8384"/>
      <c r="GO8384"/>
    </row>
    <row r="8385" spans="107:197">
      <c r="DC8385"/>
      <c r="FH8385"/>
      <c r="FI8385"/>
      <c r="FJ8385"/>
      <c r="FK8385"/>
      <c r="FL8385"/>
      <c r="FM8385"/>
      <c r="FN8385"/>
      <c r="FO8385"/>
      <c r="FP8385"/>
      <c r="FQ8385"/>
      <c r="FR8385"/>
      <c r="FS8385"/>
      <c r="FT8385"/>
      <c r="FU8385"/>
      <c r="FV8385"/>
      <c r="FW8385"/>
      <c r="FX8385"/>
      <c r="FY8385"/>
      <c r="FZ8385"/>
      <c r="GA8385"/>
      <c r="GB8385"/>
      <c r="GC8385"/>
      <c r="GD8385"/>
      <c r="GE8385"/>
      <c r="GF8385"/>
      <c r="GG8385"/>
      <c r="GH8385"/>
      <c r="GI8385"/>
      <c r="GJ8385"/>
      <c r="GK8385"/>
      <c r="GL8385"/>
      <c r="GM8385"/>
      <c r="GN8385"/>
      <c r="GO8385"/>
    </row>
    <row r="8386" spans="107:197">
      <c r="DC8386"/>
      <c r="FH8386"/>
      <c r="FI8386"/>
      <c r="FJ8386"/>
      <c r="FK8386"/>
      <c r="FL8386"/>
      <c r="FM8386"/>
      <c r="FN8386"/>
      <c r="FO8386"/>
      <c r="FP8386"/>
      <c r="FQ8386"/>
      <c r="FR8386"/>
      <c r="FS8386"/>
      <c r="FT8386"/>
      <c r="FU8386"/>
      <c r="FV8386"/>
      <c r="FW8386"/>
      <c r="FX8386"/>
      <c r="FY8386"/>
      <c r="FZ8386"/>
      <c r="GA8386"/>
      <c r="GB8386"/>
      <c r="GC8386"/>
      <c r="GD8386"/>
      <c r="GE8386"/>
      <c r="GF8386"/>
      <c r="GG8386"/>
      <c r="GH8386"/>
      <c r="GI8386"/>
      <c r="GJ8386"/>
      <c r="GK8386"/>
      <c r="GL8386"/>
      <c r="GM8386"/>
      <c r="GN8386"/>
      <c r="GO8386"/>
    </row>
    <row r="8387" spans="107:197">
      <c r="DC8387"/>
      <c r="FH8387"/>
      <c r="FI8387"/>
      <c r="FJ8387"/>
      <c r="FK8387"/>
      <c r="FL8387"/>
      <c r="FM8387"/>
      <c r="FN8387"/>
      <c r="FO8387"/>
      <c r="FP8387"/>
      <c r="FQ8387"/>
      <c r="FR8387"/>
      <c r="FS8387"/>
      <c r="FT8387"/>
      <c r="FU8387"/>
      <c r="FV8387"/>
      <c r="FW8387"/>
      <c r="FX8387"/>
      <c r="FY8387"/>
      <c r="FZ8387"/>
      <c r="GA8387"/>
      <c r="GB8387"/>
      <c r="GC8387"/>
      <c r="GD8387"/>
      <c r="GE8387"/>
      <c r="GF8387"/>
      <c r="GG8387"/>
      <c r="GH8387"/>
      <c r="GI8387"/>
      <c r="GJ8387"/>
      <c r="GK8387"/>
      <c r="GL8387"/>
      <c r="GM8387"/>
      <c r="GN8387"/>
      <c r="GO8387"/>
    </row>
    <row r="8388" spans="107:197">
      <c r="DC8388"/>
      <c r="FH8388"/>
      <c r="FI8388"/>
      <c r="FJ8388"/>
      <c r="FK8388"/>
      <c r="FL8388"/>
      <c r="FM8388"/>
      <c r="FN8388"/>
      <c r="FO8388"/>
      <c r="FP8388"/>
      <c r="FQ8388"/>
      <c r="FR8388"/>
      <c r="FS8388"/>
      <c r="FT8388"/>
      <c r="FU8388"/>
      <c r="FV8388"/>
      <c r="FW8388"/>
      <c r="FX8388"/>
      <c r="FY8388"/>
      <c r="FZ8388"/>
      <c r="GA8388"/>
      <c r="GB8388"/>
      <c r="GC8388"/>
      <c r="GD8388"/>
      <c r="GE8388"/>
      <c r="GF8388"/>
      <c r="GG8388"/>
      <c r="GH8388"/>
      <c r="GI8388"/>
      <c r="GJ8388"/>
      <c r="GK8388"/>
      <c r="GL8388"/>
      <c r="GM8388"/>
      <c r="GN8388"/>
      <c r="GO8388"/>
    </row>
    <row r="8389" spans="107:197">
      <c r="DC8389"/>
      <c r="FH8389"/>
      <c r="FI8389"/>
      <c r="FJ8389"/>
      <c r="FK8389"/>
      <c r="FL8389"/>
      <c r="FM8389"/>
      <c r="FN8389"/>
      <c r="FO8389"/>
      <c r="FP8389"/>
      <c r="FQ8389"/>
      <c r="FR8389"/>
      <c r="FS8389"/>
      <c r="FT8389"/>
      <c r="FU8389"/>
      <c r="FV8389"/>
      <c r="FW8389"/>
      <c r="FX8389"/>
      <c r="FY8389"/>
      <c r="FZ8389"/>
      <c r="GA8389"/>
      <c r="GB8389"/>
      <c r="GC8389"/>
      <c r="GD8389"/>
      <c r="GE8389"/>
      <c r="GF8389"/>
      <c r="GG8389"/>
      <c r="GH8389"/>
      <c r="GI8389"/>
      <c r="GJ8389"/>
      <c r="GK8389"/>
      <c r="GL8389"/>
      <c r="GM8389"/>
      <c r="GN8389"/>
      <c r="GO8389"/>
    </row>
    <row r="8390" spans="107:197">
      <c r="DC8390"/>
      <c r="FH8390"/>
      <c r="FI8390"/>
      <c r="FJ8390"/>
      <c r="FK8390"/>
      <c r="FL8390"/>
      <c r="FM8390"/>
      <c r="FN8390"/>
      <c r="FO8390"/>
      <c r="FP8390"/>
      <c r="FQ8390"/>
      <c r="FR8390"/>
      <c r="FS8390"/>
      <c r="FT8390"/>
      <c r="FU8390"/>
      <c r="FV8390"/>
      <c r="FW8390"/>
      <c r="FX8390"/>
      <c r="FY8390"/>
      <c r="FZ8390"/>
      <c r="GA8390"/>
      <c r="GB8390"/>
      <c r="GC8390"/>
      <c r="GD8390"/>
      <c r="GE8390"/>
      <c r="GF8390"/>
      <c r="GG8390"/>
      <c r="GH8390"/>
      <c r="GI8390"/>
      <c r="GJ8390"/>
      <c r="GK8390"/>
      <c r="GL8390"/>
      <c r="GM8390"/>
      <c r="GN8390"/>
      <c r="GO8390"/>
    </row>
    <row r="8391" spans="107:197">
      <c r="DC8391"/>
      <c r="FH8391"/>
      <c r="FI8391"/>
      <c r="FJ8391"/>
      <c r="FK8391"/>
      <c r="FL8391"/>
      <c r="FM8391"/>
      <c r="FN8391"/>
      <c r="FO8391"/>
      <c r="FP8391"/>
      <c r="FQ8391"/>
      <c r="FR8391"/>
      <c r="FS8391"/>
      <c r="FT8391"/>
      <c r="FU8391"/>
      <c r="FV8391"/>
      <c r="FW8391"/>
      <c r="FX8391"/>
      <c r="FY8391"/>
      <c r="FZ8391"/>
      <c r="GA8391"/>
      <c r="GB8391"/>
      <c r="GC8391"/>
      <c r="GD8391"/>
      <c r="GE8391"/>
      <c r="GF8391"/>
      <c r="GG8391"/>
      <c r="GH8391"/>
      <c r="GI8391"/>
      <c r="GJ8391"/>
      <c r="GK8391"/>
      <c r="GL8391"/>
      <c r="GM8391"/>
      <c r="GN8391"/>
      <c r="GO8391"/>
    </row>
    <row r="8392" spans="107:197">
      <c r="DC8392"/>
      <c r="FH8392"/>
      <c r="FI8392"/>
      <c r="FJ8392"/>
      <c r="FK8392"/>
      <c r="FL8392"/>
      <c r="FM8392"/>
      <c r="FN8392"/>
      <c r="FO8392"/>
      <c r="FP8392"/>
      <c r="FQ8392"/>
      <c r="FR8392"/>
      <c r="FS8392"/>
      <c r="FT8392"/>
      <c r="FU8392"/>
      <c r="FV8392"/>
      <c r="FW8392"/>
      <c r="FX8392"/>
      <c r="FY8392"/>
      <c r="FZ8392"/>
      <c r="GA8392"/>
      <c r="GB8392"/>
      <c r="GC8392"/>
      <c r="GD8392"/>
      <c r="GE8392"/>
      <c r="GF8392"/>
      <c r="GG8392"/>
      <c r="GH8392"/>
      <c r="GI8392"/>
      <c r="GJ8392"/>
      <c r="GK8392"/>
      <c r="GL8392"/>
      <c r="GM8392"/>
      <c r="GN8392"/>
      <c r="GO8392"/>
    </row>
    <row r="8393" spans="107:197">
      <c r="DC8393"/>
      <c r="FH8393"/>
      <c r="FI8393"/>
      <c r="FJ8393"/>
      <c r="FK8393"/>
      <c r="FL8393"/>
      <c r="FM8393"/>
      <c r="FN8393"/>
      <c r="FO8393"/>
      <c r="FP8393"/>
      <c r="FQ8393"/>
      <c r="FR8393"/>
      <c r="FS8393"/>
      <c r="FT8393"/>
      <c r="FU8393"/>
      <c r="FV8393"/>
      <c r="FW8393"/>
      <c r="FX8393"/>
      <c r="FY8393"/>
      <c r="FZ8393"/>
      <c r="GA8393"/>
      <c r="GB8393"/>
      <c r="GC8393"/>
      <c r="GD8393"/>
      <c r="GE8393"/>
      <c r="GF8393"/>
      <c r="GG8393"/>
      <c r="GH8393"/>
      <c r="GI8393"/>
      <c r="GJ8393"/>
      <c r="GK8393"/>
      <c r="GL8393"/>
      <c r="GM8393"/>
      <c r="GN8393"/>
      <c r="GO8393"/>
    </row>
    <row r="8394" spans="107:197">
      <c r="DC8394"/>
      <c r="FH8394"/>
      <c r="FI8394"/>
      <c r="FJ8394"/>
      <c r="FK8394"/>
      <c r="FL8394"/>
      <c r="FM8394"/>
      <c r="FN8394"/>
      <c r="FO8394"/>
      <c r="FP8394"/>
      <c r="FQ8394"/>
      <c r="FR8394"/>
      <c r="FS8394"/>
      <c r="FT8394"/>
      <c r="FU8394"/>
      <c r="FV8394"/>
      <c r="FW8394"/>
      <c r="FX8394"/>
      <c r="FY8394"/>
      <c r="FZ8394"/>
      <c r="GA8394"/>
      <c r="GB8394"/>
      <c r="GC8394"/>
      <c r="GD8394"/>
      <c r="GE8394"/>
      <c r="GF8394"/>
      <c r="GG8394"/>
      <c r="GH8394"/>
      <c r="GI8394"/>
      <c r="GJ8394"/>
      <c r="GK8394"/>
      <c r="GL8394"/>
      <c r="GM8394"/>
      <c r="GN8394"/>
      <c r="GO8394"/>
    </row>
    <row r="8395" spans="107:197">
      <c r="DC8395"/>
      <c r="FH8395"/>
      <c r="FI8395"/>
      <c r="FJ8395"/>
      <c r="FK8395"/>
      <c r="FL8395"/>
      <c r="FM8395"/>
      <c r="FN8395"/>
      <c r="FO8395"/>
      <c r="FP8395"/>
      <c r="FQ8395"/>
      <c r="FR8395"/>
      <c r="FS8395"/>
      <c r="FT8395"/>
      <c r="FU8395"/>
      <c r="FV8395"/>
      <c r="FW8395"/>
      <c r="FX8395"/>
      <c r="FY8395"/>
      <c r="FZ8395"/>
      <c r="GA8395"/>
      <c r="GB8395"/>
      <c r="GC8395"/>
      <c r="GD8395"/>
      <c r="GE8395"/>
      <c r="GF8395"/>
      <c r="GG8395"/>
      <c r="GH8395"/>
      <c r="GI8395"/>
      <c r="GJ8395"/>
      <c r="GK8395"/>
      <c r="GL8395"/>
      <c r="GM8395"/>
      <c r="GN8395"/>
      <c r="GO8395"/>
    </row>
    <row r="8396" spans="107:197">
      <c r="DC8396"/>
      <c r="FH8396"/>
      <c r="FI8396"/>
      <c r="FJ8396"/>
      <c r="FK8396"/>
      <c r="FL8396"/>
      <c r="FM8396"/>
      <c r="FN8396"/>
      <c r="FO8396"/>
      <c r="FP8396"/>
      <c r="FQ8396"/>
      <c r="FR8396"/>
      <c r="FS8396"/>
      <c r="FT8396"/>
      <c r="FU8396"/>
      <c r="FV8396"/>
      <c r="FW8396"/>
      <c r="FX8396"/>
      <c r="FY8396"/>
      <c r="FZ8396"/>
      <c r="GA8396"/>
      <c r="GB8396"/>
      <c r="GC8396"/>
      <c r="GD8396"/>
      <c r="GE8396"/>
      <c r="GF8396"/>
      <c r="GG8396"/>
      <c r="GH8396"/>
      <c r="GI8396"/>
      <c r="GJ8396"/>
      <c r="GK8396"/>
      <c r="GL8396"/>
      <c r="GM8396"/>
      <c r="GN8396"/>
      <c r="GO8396"/>
    </row>
    <row r="8397" spans="107:197">
      <c r="DC8397"/>
      <c r="FH8397"/>
      <c r="FI8397"/>
      <c r="FJ8397"/>
      <c r="FK8397"/>
      <c r="FL8397"/>
      <c r="FM8397"/>
      <c r="FN8397"/>
      <c r="FO8397"/>
      <c r="FP8397"/>
      <c r="FQ8397"/>
      <c r="FR8397"/>
      <c r="FS8397"/>
      <c r="FT8397"/>
      <c r="FU8397"/>
      <c r="FV8397"/>
      <c r="FW8397"/>
      <c r="FX8397"/>
      <c r="FY8397"/>
      <c r="FZ8397"/>
      <c r="GA8397"/>
      <c r="GB8397"/>
      <c r="GC8397"/>
      <c r="GD8397"/>
      <c r="GE8397"/>
      <c r="GF8397"/>
      <c r="GG8397"/>
      <c r="GH8397"/>
      <c r="GI8397"/>
      <c r="GJ8397"/>
      <c r="GK8397"/>
      <c r="GL8397"/>
      <c r="GM8397"/>
      <c r="GN8397"/>
      <c r="GO8397"/>
    </row>
    <row r="8398" spans="107:197">
      <c r="DC8398"/>
      <c r="FH8398"/>
      <c r="FI8398"/>
      <c r="FJ8398"/>
      <c r="FK8398"/>
      <c r="FL8398"/>
      <c r="FM8398"/>
      <c r="FN8398"/>
      <c r="FO8398"/>
      <c r="FP8398"/>
      <c r="FQ8398"/>
      <c r="FR8398"/>
      <c r="FS8398"/>
      <c r="FT8398"/>
      <c r="FU8398"/>
      <c r="FV8398"/>
      <c r="FW8398"/>
      <c r="FX8398"/>
      <c r="FY8398"/>
      <c r="FZ8398"/>
      <c r="GA8398"/>
      <c r="GB8398"/>
      <c r="GC8398"/>
      <c r="GD8398"/>
      <c r="GE8398"/>
      <c r="GF8398"/>
      <c r="GG8398"/>
      <c r="GH8398"/>
      <c r="GI8398"/>
      <c r="GJ8398"/>
      <c r="GK8398"/>
      <c r="GL8398"/>
      <c r="GM8398"/>
      <c r="GN8398"/>
      <c r="GO8398"/>
    </row>
    <row r="8399" spans="107:197">
      <c r="DC8399"/>
      <c r="FH8399"/>
      <c r="FI8399"/>
      <c r="FJ8399"/>
      <c r="FK8399"/>
      <c r="FL8399"/>
      <c r="FM8399"/>
      <c r="FN8399"/>
      <c r="FO8399"/>
      <c r="FP8399"/>
      <c r="FQ8399"/>
      <c r="FR8399"/>
      <c r="FS8399"/>
      <c r="FT8399"/>
      <c r="FU8399"/>
      <c r="FV8399"/>
      <c r="FW8399"/>
      <c r="FX8399"/>
      <c r="FY8399"/>
      <c r="FZ8399"/>
      <c r="GA8399"/>
      <c r="GB8399"/>
      <c r="GC8399"/>
      <c r="GD8399"/>
      <c r="GE8399"/>
      <c r="GF8399"/>
      <c r="GG8399"/>
      <c r="GH8399"/>
      <c r="GI8399"/>
      <c r="GJ8399"/>
      <c r="GK8399"/>
      <c r="GL8399"/>
      <c r="GM8399"/>
      <c r="GN8399"/>
      <c r="GO8399"/>
    </row>
    <row r="8400" spans="107:197">
      <c r="DC8400"/>
      <c r="FH8400"/>
      <c r="FI8400"/>
      <c r="FJ8400"/>
      <c r="FK8400"/>
      <c r="FL8400"/>
      <c r="FM8400"/>
      <c r="FN8400"/>
      <c r="FO8400"/>
      <c r="FP8400"/>
      <c r="FQ8400"/>
      <c r="FR8400"/>
      <c r="FS8400"/>
      <c r="FT8400"/>
      <c r="FU8400"/>
      <c r="FV8400"/>
      <c r="FW8400"/>
      <c r="FX8400"/>
      <c r="FY8400"/>
      <c r="FZ8400"/>
      <c r="GA8400"/>
      <c r="GB8400"/>
      <c r="GC8400"/>
      <c r="GD8400"/>
      <c r="GE8400"/>
      <c r="GF8400"/>
      <c r="GG8400"/>
      <c r="GH8400"/>
      <c r="GI8400"/>
      <c r="GJ8400"/>
      <c r="GK8400"/>
      <c r="GL8400"/>
      <c r="GM8400"/>
      <c r="GN8400"/>
      <c r="GO8400"/>
    </row>
    <row r="8401" spans="107:197">
      <c r="DC8401"/>
      <c r="FH8401"/>
      <c r="FI8401"/>
      <c r="FJ8401"/>
      <c r="FK8401"/>
      <c r="FL8401"/>
      <c r="FM8401"/>
      <c r="FN8401"/>
      <c r="FO8401"/>
      <c r="FP8401"/>
      <c r="FQ8401"/>
      <c r="FR8401"/>
      <c r="FS8401"/>
      <c r="FT8401"/>
      <c r="FU8401"/>
      <c r="FV8401"/>
      <c r="FW8401"/>
      <c r="FX8401"/>
      <c r="FY8401"/>
      <c r="FZ8401"/>
      <c r="GA8401"/>
      <c r="GB8401"/>
      <c r="GC8401"/>
      <c r="GD8401"/>
      <c r="GE8401"/>
      <c r="GF8401"/>
      <c r="GG8401"/>
      <c r="GH8401"/>
      <c r="GI8401"/>
      <c r="GJ8401"/>
      <c r="GK8401"/>
      <c r="GL8401"/>
      <c r="GM8401"/>
      <c r="GN8401"/>
      <c r="GO8401"/>
    </row>
    <row r="8402" spans="107:197">
      <c r="DC8402"/>
      <c r="FH8402"/>
      <c r="FI8402"/>
      <c r="FJ8402"/>
      <c r="FK8402"/>
      <c r="FL8402"/>
      <c r="FM8402"/>
      <c r="FN8402"/>
      <c r="FO8402"/>
      <c r="FP8402"/>
      <c r="FQ8402"/>
      <c r="FR8402"/>
      <c r="FS8402"/>
      <c r="FT8402"/>
      <c r="FU8402"/>
      <c r="FV8402"/>
      <c r="FW8402"/>
      <c r="FX8402"/>
      <c r="FY8402"/>
      <c r="FZ8402"/>
      <c r="GA8402"/>
      <c r="GB8402"/>
      <c r="GC8402"/>
      <c r="GD8402"/>
      <c r="GE8402"/>
      <c r="GF8402"/>
      <c r="GG8402"/>
      <c r="GH8402"/>
      <c r="GI8402"/>
      <c r="GJ8402"/>
      <c r="GK8402"/>
      <c r="GL8402"/>
      <c r="GM8402"/>
      <c r="GN8402"/>
      <c r="GO8402"/>
    </row>
    <row r="8403" spans="107:197">
      <c r="DC8403"/>
      <c r="FH8403"/>
      <c r="FI8403"/>
      <c r="FJ8403"/>
      <c r="FK8403"/>
      <c r="FL8403"/>
      <c r="FM8403"/>
      <c r="FN8403"/>
      <c r="FO8403"/>
      <c r="FP8403"/>
      <c r="FQ8403"/>
      <c r="FR8403"/>
      <c r="FS8403"/>
      <c r="FT8403"/>
      <c r="FU8403"/>
      <c r="FV8403"/>
      <c r="FW8403"/>
      <c r="FX8403"/>
      <c r="FY8403"/>
      <c r="FZ8403"/>
      <c r="GA8403"/>
      <c r="GB8403"/>
      <c r="GC8403"/>
      <c r="GD8403"/>
      <c r="GE8403"/>
      <c r="GF8403"/>
      <c r="GG8403"/>
      <c r="GH8403"/>
      <c r="GI8403"/>
      <c r="GJ8403"/>
      <c r="GK8403"/>
      <c r="GL8403"/>
      <c r="GM8403"/>
      <c r="GN8403"/>
      <c r="GO8403"/>
    </row>
    <row r="8404" spans="107:197">
      <c r="DC8404"/>
      <c r="FH8404"/>
      <c r="FI8404"/>
      <c r="FJ8404"/>
      <c r="FK8404"/>
      <c r="FL8404"/>
      <c r="FM8404"/>
      <c r="FN8404"/>
      <c r="FO8404"/>
      <c r="FP8404"/>
      <c r="FQ8404"/>
      <c r="FR8404"/>
      <c r="FS8404"/>
      <c r="FT8404"/>
      <c r="FU8404"/>
      <c r="FV8404"/>
      <c r="FW8404"/>
      <c r="FX8404"/>
      <c r="FY8404"/>
      <c r="FZ8404"/>
      <c r="GA8404"/>
      <c r="GB8404"/>
      <c r="GC8404"/>
      <c r="GD8404"/>
      <c r="GE8404"/>
      <c r="GF8404"/>
      <c r="GG8404"/>
      <c r="GH8404"/>
      <c r="GI8404"/>
      <c r="GJ8404"/>
      <c r="GK8404"/>
      <c r="GL8404"/>
      <c r="GM8404"/>
      <c r="GN8404"/>
      <c r="GO8404"/>
    </row>
    <row r="8405" spans="107:197">
      <c r="DC8405"/>
      <c r="FH8405"/>
      <c r="FI8405"/>
      <c r="FJ8405"/>
      <c r="FK8405"/>
      <c r="FL8405"/>
      <c r="FM8405"/>
      <c r="FN8405"/>
      <c r="FO8405"/>
      <c r="FP8405"/>
      <c r="FQ8405"/>
      <c r="FR8405"/>
      <c r="FS8405"/>
      <c r="FT8405"/>
      <c r="FU8405"/>
      <c r="FV8405"/>
      <c r="FW8405"/>
      <c r="FX8405"/>
      <c r="FY8405"/>
      <c r="FZ8405"/>
      <c r="GA8405"/>
      <c r="GB8405"/>
      <c r="GC8405"/>
      <c r="GD8405"/>
      <c r="GE8405"/>
      <c r="GF8405"/>
      <c r="GG8405"/>
      <c r="GH8405"/>
      <c r="GI8405"/>
      <c r="GJ8405"/>
      <c r="GK8405"/>
      <c r="GL8405"/>
      <c r="GM8405"/>
      <c r="GN8405"/>
      <c r="GO8405"/>
    </row>
    <row r="8406" spans="107:197">
      <c r="DC8406"/>
      <c r="FH8406"/>
      <c r="FI8406"/>
      <c r="FJ8406"/>
      <c r="FK8406"/>
      <c r="FL8406"/>
      <c r="FM8406"/>
      <c r="FN8406"/>
      <c r="FO8406"/>
      <c r="FP8406"/>
      <c r="FQ8406"/>
      <c r="FR8406"/>
      <c r="FS8406"/>
      <c r="FT8406"/>
      <c r="FU8406"/>
      <c r="FV8406"/>
      <c r="FW8406"/>
      <c r="FX8406"/>
      <c r="FY8406"/>
      <c r="FZ8406"/>
      <c r="GA8406"/>
      <c r="GB8406"/>
      <c r="GC8406"/>
      <c r="GD8406"/>
      <c r="GE8406"/>
      <c r="GF8406"/>
      <c r="GG8406"/>
      <c r="GH8406"/>
      <c r="GI8406"/>
      <c r="GJ8406"/>
      <c r="GK8406"/>
      <c r="GL8406"/>
      <c r="GM8406"/>
      <c r="GN8406"/>
      <c r="GO8406"/>
    </row>
    <row r="8407" spans="107:197">
      <c r="DC8407"/>
      <c r="FH8407"/>
      <c r="FI8407"/>
      <c r="FJ8407"/>
      <c r="FK8407"/>
      <c r="FL8407"/>
      <c r="FM8407"/>
      <c r="FN8407"/>
      <c r="FO8407"/>
      <c r="FP8407"/>
      <c r="FQ8407"/>
      <c r="FR8407"/>
      <c r="FS8407"/>
      <c r="FT8407"/>
      <c r="FU8407"/>
      <c r="FV8407"/>
      <c r="FW8407"/>
      <c r="FX8407"/>
      <c r="FY8407"/>
      <c r="FZ8407"/>
      <c r="GA8407"/>
      <c r="GB8407"/>
      <c r="GC8407"/>
      <c r="GD8407"/>
      <c r="GE8407"/>
      <c r="GF8407"/>
      <c r="GG8407"/>
      <c r="GH8407"/>
      <c r="GI8407"/>
      <c r="GJ8407"/>
      <c r="GK8407"/>
      <c r="GL8407"/>
      <c r="GM8407"/>
      <c r="GN8407"/>
      <c r="GO8407"/>
    </row>
    <row r="8408" spans="107:197">
      <c r="DC8408"/>
      <c r="FH8408"/>
      <c r="FI8408"/>
      <c r="FJ8408"/>
      <c r="FK8408"/>
      <c r="FL8408"/>
      <c r="FM8408"/>
      <c r="FN8408"/>
      <c r="FO8408"/>
      <c r="FP8408"/>
      <c r="FQ8408"/>
      <c r="FR8408"/>
      <c r="FS8408"/>
      <c r="FT8408"/>
      <c r="FU8408"/>
      <c r="FV8408"/>
      <c r="FW8408"/>
      <c r="FX8408"/>
      <c r="FY8408"/>
      <c r="FZ8408"/>
      <c r="GA8408"/>
      <c r="GB8408"/>
      <c r="GC8408"/>
      <c r="GD8408"/>
      <c r="GE8408"/>
      <c r="GF8408"/>
      <c r="GG8408"/>
      <c r="GH8408"/>
      <c r="GI8408"/>
      <c r="GJ8408"/>
      <c r="GK8408"/>
      <c r="GL8408"/>
      <c r="GM8408"/>
      <c r="GN8408"/>
      <c r="GO8408"/>
    </row>
    <row r="8409" spans="107:197">
      <c r="DC8409"/>
      <c r="FH8409"/>
      <c r="FI8409"/>
      <c r="FJ8409"/>
      <c r="FK8409"/>
      <c r="FL8409"/>
      <c r="FM8409"/>
      <c r="FN8409"/>
      <c r="FO8409"/>
      <c r="FP8409"/>
      <c r="FQ8409"/>
      <c r="FR8409"/>
      <c r="FS8409"/>
      <c r="FT8409"/>
      <c r="FU8409"/>
      <c r="FV8409"/>
      <c r="FW8409"/>
      <c r="FX8409"/>
      <c r="FY8409"/>
      <c r="FZ8409"/>
      <c r="GA8409"/>
      <c r="GB8409"/>
      <c r="GC8409"/>
      <c r="GD8409"/>
      <c r="GE8409"/>
      <c r="GF8409"/>
      <c r="GG8409"/>
      <c r="GH8409"/>
      <c r="GI8409"/>
      <c r="GJ8409"/>
      <c r="GK8409"/>
      <c r="GL8409"/>
      <c r="GM8409"/>
      <c r="GN8409"/>
      <c r="GO8409"/>
    </row>
    <row r="8410" spans="107:197">
      <c r="DC8410"/>
      <c r="FH8410"/>
      <c r="FI8410"/>
      <c r="FJ8410"/>
      <c r="FK8410"/>
      <c r="FL8410"/>
      <c r="FM8410"/>
      <c r="FN8410"/>
      <c r="FO8410"/>
      <c r="FP8410"/>
      <c r="FQ8410"/>
      <c r="FR8410"/>
      <c r="FS8410"/>
      <c r="FT8410"/>
      <c r="FU8410"/>
      <c r="FV8410"/>
      <c r="FW8410"/>
      <c r="FX8410"/>
      <c r="FY8410"/>
      <c r="FZ8410"/>
      <c r="GA8410"/>
      <c r="GB8410"/>
      <c r="GC8410"/>
      <c r="GD8410"/>
      <c r="GE8410"/>
      <c r="GF8410"/>
      <c r="GG8410"/>
      <c r="GH8410"/>
      <c r="GI8410"/>
      <c r="GJ8410"/>
      <c r="GK8410"/>
      <c r="GL8410"/>
      <c r="GM8410"/>
      <c r="GN8410"/>
      <c r="GO8410"/>
    </row>
    <row r="8411" spans="107:197">
      <c r="DC8411"/>
      <c r="FH8411"/>
      <c r="FI8411"/>
      <c r="FJ8411"/>
      <c r="FK8411"/>
      <c r="FL8411"/>
      <c r="FM8411"/>
      <c r="FN8411"/>
      <c r="FO8411"/>
      <c r="FP8411"/>
      <c r="FQ8411"/>
      <c r="FR8411"/>
      <c r="FS8411"/>
      <c r="FT8411"/>
      <c r="FU8411"/>
      <c r="FV8411"/>
      <c r="FW8411"/>
      <c r="FX8411"/>
      <c r="FY8411"/>
      <c r="FZ8411"/>
      <c r="GA8411"/>
      <c r="GB8411"/>
      <c r="GC8411"/>
      <c r="GD8411"/>
      <c r="GE8411"/>
      <c r="GF8411"/>
      <c r="GG8411"/>
      <c r="GH8411"/>
      <c r="GI8411"/>
      <c r="GJ8411"/>
      <c r="GK8411"/>
      <c r="GL8411"/>
      <c r="GM8411"/>
      <c r="GN8411"/>
      <c r="GO8411"/>
    </row>
    <row r="8412" spans="107:197">
      <c r="DC8412"/>
      <c r="FH8412"/>
      <c r="FI8412"/>
      <c r="FJ8412"/>
      <c r="FK8412"/>
      <c r="FL8412"/>
      <c r="FM8412"/>
      <c r="FN8412"/>
      <c r="FO8412"/>
      <c r="FP8412"/>
      <c r="FQ8412"/>
      <c r="FR8412"/>
      <c r="FS8412"/>
      <c r="FT8412"/>
      <c r="FU8412"/>
      <c r="FV8412"/>
      <c r="FW8412"/>
      <c r="FX8412"/>
      <c r="FY8412"/>
      <c r="FZ8412"/>
      <c r="GA8412"/>
      <c r="GB8412"/>
      <c r="GC8412"/>
      <c r="GD8412"/>
      <c r="GE8412"/>
      <c r="GF8412"/>
      <c r="GG8412"/>
      <c r="GH8412"/>
      <c r="GI8412"/>
      <c r="GJ8412"/>
      <c r="GK8412"/>
      <c r="GL8412"/>
      <c r="GM8412"/>
      <c r="GN8412"/>
      <c r="GO8412"/>
    </row>
    <row r="8413" spans="107:197">
      <c r="DC8413"/>
      <c r="FH8413"/>
      <c r="FI8413"/>
      <c r="FJ8413"/>
      <c r="FK8413"/>
      <c r="FL8413"/>
      <c r="FM8413"/>
      <c r="FN8413"/>
      <c r="FO8413"/>
      <c r="FP8413"/>
      <c r="FQ8413"/>
      <c r="FR8413"/>
      <c r="FS8413"/>
      <c r="FT8413"/>
      <c r="FU8413"/>
      <c r="FV8413"/>
      <c r="FW8413"/>
      <c r="FX8413"/>
      <c r="FY8413"/>
      <c r="FZ8413"/>
      <c r="GA8413"/>
      <c r="GB8413"/>
      <c r="GC8413"/>
      <c r="GD8413"/>
      <c r="GE8413"/>
      <c r="GF8413"/>
      <c r="GG8413"/>
      <c r="GH8413"/>
      <c r="GI8413"/>
      <c r="GJ8413"/>
      <c r="GK8413"/>
      <c r="GL8413"/>
      <c r="GM8413"/>
      <c r="GN8413"/>
      <c r="GO8413"/>
    </row>
    <row r="8414" spans="107:197">
      <c r="DC8414"/>
      <c r="FH8414"/>
      <c r="FI8414"/>
      <c r="FJ8414"/>
      <c r="FK8414"/>
      <c r="FL8414"/>
      <c r="FM8414"/>
      <c r="FN8414"/>
      <c r="FO8414"/>
      <c r="FP8414"/>
      <c r="FQ8414"/>
      <c r="FR8414"/>
      <c r="FS8414"/>
      <c r="FT8414"/>
      <c r="FU8414"/>
      <c r="FV8414"/>
      <c r="FW8414"/>
      <c r="FX8414"/>
      <c r="FY8414"/>
      <c r="FZ8414"/>
      <c r="GA8414"/>
      <c r="GB8414"/>
      <c r="GC8414"/>
      <c r="GD8414"/>
      <c r="GE8414"/>
      <c r="GF8414"/>
      <c r="GG8414"/>
      <c r="GH8414"/>
      <c r="GI8414"/>
      <c r="GJ8414"/>
      <c r="GK8414"/>
      <c r="GL8414"/>
      <c r="GM8414"/>
      <c r="GN8414"/>
      <c r="GO8414"/>
    </row>
    <row r="8415" spans="107:197">
      <c r="DC8415"/>
      <c r="FH8415"/>
      <c r="FI8415"/>
      <c r="FJ8415"/>
      <c r="FK8415"/>
      <c r="FL8415"/>
      <c r="FM8415"/>
      <c r="FN8415"/>
      <c r="FO8415"/>
      <c r="FP8415"/>
      <c r="FQ8415"/>
      <c r="FR8415"/>
      <c r="FS8415"/>
      <c r="FT8415"/>
      <c r="FU8415"/>
      <c r="FV8415"/>
      <c r="FW8415"/>
      <c r="FX8415"/>
      <c r="FY8415"/>
      <c r="FZ8415"/>
      <c r="GA8415"/>
      <c r="GB8415"/>
      <c r="GC8415"/>
      <c r="GD8415"/>
      <c r="GE8415"/>
      <c r="GF8415"/>
      <c r="GG8415"/>
      <c r="GH8415"/>
      <c r="GI8415"/>
      <c r="GJ8415"/>
      <c r="GK8415"/>
      <c r="GL8415"/>
      <c r="GM8415"/>
      <c r="GN8415"/>
      <c r="GO8415"/>
    </row>
    <row r="8416" spans="107:197">
      <c r="DC8416"/>
      <c r="FH8416"/>
      <c r="FI8416"/>
      <c r="FJ8416"/>
      <c r="FK8416"/>
      <c r="FL8416"/>
      <c r="FM8416"/>
      <c r="FN8416"/>
      <c r="FO8416"/>
      <c r="FP8416"/>
      <c r="FQ8416"/>
      <c r="FR8416"/>
      <c r="FS8416"/>
      <c r="FT8416"/>
      <c r="FU8416"/>
      <c r="FV8416"/>
      <c r="FW8416"/>
      <c r="FX8416"/>
      <c r="FY8416"/>
      <c r="FZ8416"/>
      <c r="GA8416"/>
      <c r="GB8416"/>
      <c r="GC8416"/>
      <c r="GD8416"/>
      <c r="GE8416"/>
      <c r="GF8416"/>
      <c r="GG8416"/>
      <c r="GH8416"/>
      <c r="GI8416"/>
      <c r="GJ8416"/>
      <c r="GK8416"/>
      <c r="GL8416"/>
      <c r="GM8416"/>
      <c r="GN8416"/>
      <c r="GO8416"/>
    </row>
    <row r="8417" spans="107:197">
      <c r="DC8417"/>
      <c r="FH8417"/>
      <c r="FI8417"/>
      <c r="FJ8417"/>
      <c r="FK8417"/>
      <c r="FL8417"/>
      <c r="FM8417"/>
      <c r="FN8417"/>
      <c r="FO8417"/>
      <c r="FP8417"/>
      <c r="FQ8417"/>
      <c r="FR8417"/>
      <c r="FS8417"/>
      <c r="FT8417"/>
      <c r="FU8417"/>
      <c r="FV8417"/>
      <c r="FW8417"/>
      <c r="FX8417"/>
      <c r="FY8417"/>
      <c r="FZ8417"/>
      <c r="GA8417"/>
      <c r="GB8417"/>
      <c r="GC8417"/>
      <c r="GD8417"/>
      <c r="GE8417"/>
      <c r="GF8417"/>
      <c r="GG8417"/>
      <c r="GH8417"/>
      <c r="GI8417"/>
      <c r="GJ8417"/>
      <c r="GK8417"/>
      <c r="GL8417"/>
      <c r="GM8417"/>
      <c r="GN8417"/>
      <c r="GO8417"/>
    </row>
    <row r="8418" spans="107:197">
      <c r="DC8418"/>
      <c r="FH8418"/>
      <c r="FI8418"/>
      <c r="FJ8418"/>
      <c r="FK8418"/>
      <c r="FL8418"/>
      <c r="FM8418"/>
      <c r="FN8418"/>
      <c r="FO8418"/>
      <c r="FP8418"/>
      <c r="FQ8418"/>
      <c r="FR8418"/>
      <c r="FS8418"/>
      <c r="FT8418"/>
      <c r="FU8418"/>
      <c r="FV8418"/>
      <c r="FW8418"/>
      <c r="FX8418"/>
      <c r="FY8418"/>
      <c r="FZ8418"/>
      <c r="GA8418"/>
      <c r="GB8418"/>
      <c r="GC8418"/>
      <c r="GD8418"/>
      <c r="GE8418"/>
      <c r="GF8418"/>
      <c r="GG8418"/>
      <c r="GH8418"/>
      <c r="GI8418"/>
      <c r="GJ8418"/>
      <c r="GK8418"/>
      <c r="GL8418"/>
      <c r="GM8418"/>
      <c r="GN8418"/>
      <c r="GO8418"/>
    </row>
    <row r="8419" spans="107:197">
      <c r="DC8419"/>
      <c r="FH8419"/>
      <c r="FI8419"/>
      <c r="FJ8419"/>
      <c r="FK8419"/>
      <c r="FL8419"/>
      <c r="FM8419"/>
      <c r="FN8419"/>
      <c r="FO8419"/>
      <c r="FP8419"/>
      <c r="FQ8419"/>
      <c r="FR8419"/>
      <c r="FS8419"/>
      <c r="FT8419"/>
      <c r="FU8419"/>
      <c r="FV8419"/>
      <c r="FW8419"/>
      <c r="FX8419"/>
      <c r="FY8419"/>
      <c r="FZ8419"/>
      <c r="GA8419"/>
      <c r="GB8419"/>
      <c r="GC8419"/>
      <c r="GD8419"/>
      <c r="GE8419"/>
      <c r="GF8419"/>
      <c r="GG8419"/>
      <c r="GH8419"/>
      <c r="GI8419"/>
      <c r="GJ8419"/>
      <c r="GK8419"/>
      <c r="GL8419"/>
      <c r="GM8419"/>
      <c r="GN8419"/>
      <c r="GO8419"/>
    </row>
    <row r="8420" spans="107:197">
      <c r="DC8420"/>
      <c r="FH8420"/>
      <c r="FI8420"/>
      <c r="FJ8420"/>
      <c r="FK8420"/>
      <c r="FL8420"/>
      <c r="FM8420"/>
      <c r="FN8420"/>
      <c r="FO8420"/>
      <c r="FP8420"/>
      <c r="FQ8420"/>
      <c r="FR8420"/>
      <c r="FS8420"/>
      <c r="FT8420"/>
      <c r="FU8420"/>
      <c r="FV8420"/>
      <c r="FW8420"/>
      <c r="FX8420"/>
      <c r="FY8420"/>
      <c r="FZ8420"/>
      <c r="GA8420"/>
      <c r="GB8420"/>
      <c r="GC8420"/>
      <c r="GD8420"/>
      <c r="GE8420"/>
      <c r="GF8420"/>
      <c r="GG8420"/>
      <c r="GH8420"/>
      <c r="GI8420"/>
      <c r="GJ8420"/>
      <c r="GK8420"/>
      <c r="GL8420"/>
      <c r="GM8420"/>
      <c r="GN8420"/>
      <c r="GO8420"/>
    </row>
    <row r="8421" spans="107:197">
      <c r="DC8421"/>
      <c r="FH8421"/>
      <c r="FI8421"/>
      <c r="FJ8421"/>
      <c r="FK8421"/>
      <c r="FL8421"/>
      <c r="FM8421"/>
      <c r="FN8421"/>
      <c r="FO8421"/>
      <c r="FP8421"/>
      <c r="FQ8421"/>
      <c r="FR8421"/>
      <c r="FS8421"/>
      <c r="FT8421"/>
      <c r="FU8421"/>
      <c r="FV8421"/>
      <c r="FW8421"/>
      <c r="FX8421"/>
      <c r="FY8421"/>
      <c r="FZ8421"/>
      <c r="GA8421"/>
      <c r="GB8421"/>
      <c r="GC8421"/>
      <c r="GD8421"/>
      <c r="GE8421"/>
      <c r="GF8421"/>
      <c r="GG8421"/>
      <c r="GH8421"/>
      <c r="GI8421"/>
      <c r="GJ8421"/>
      <c r="GK8421"/>
      <c r="GL8421"/>
      <c r="GM8421"/>
      <c r="GN8421"/>
      <c r="GO8421"/>
    </row>
    <row r="8422" spans="107:197">
      <c r="DC8422"/>
      <c r="FH8422"/>
      <c r="FI8422"/>
      <c r="FJ8422"/>
      <c r="FK8422"/>
      <c r="FL8422"/>
      <c r="FM8422"/>
      <c r="FN8422"/>
      <c r="FO8422"/>
      <c r="FP8422"/>
      <c r="FQ8422"/>
      <c r="FR8422"/>
      <c r="FS8422"/>
      <c r="FT8422"/>
      <c r="FU8422"/>
      <c r="FV8422"/>
      <c r="FW8422"/>
      <c r="FX8422"/>
      <c r="FY8422"/>
      <c r="FZ8422"/>
      <c r="GA8422"/>
      <c r="GB8422"/>
      <c r="GC8422"/>
      <c r="GD8422"/>
      <c r="GE8422"/>
      <c r="GF8422"/>
      <c r="GG8422"/>
      <c r="GH8422"/>
      <c r="GI8422"/>
      <c r="GJ8422"/>
      <c r="GK8422"/>
      <c r="GL8422"/>
      <c r="GM8422"/>
      <c r="GN8422"/>
      <c r="GO8422"/>
    </row>
    <row r="8423" spans="107:197">
      <c r="DC8423"/>
      <c r="FH8423"/>
      <c r="FI8423"/>
      <c r="FJ8423"/>
      <c r="FK8423"/>
      <c r="FL8423"/>
      <c r="FM8423"/>
      <c r="FN8423"/>
      <c r="FO8423"/>
      <c r="FP8423"/>
      <c r="FQ8423"/>
      <c r="FR8423"/>
      <c r="FS8423"/>
      <c r="FT8423"/>
      <c r="FU8423"/>
      <c r="FV8423"/>
      <c r="FW8423"/>
      <c r="FX8423"/>
      <c r="FY8423"/>
      <c r="FZ8423"/>
      <c r="GA8423"/>
      <c r="GB8423"/>
      <c r="GC8423"/>
      <c r="GD8423"/>
      <c r="GE8423"/>
      <c r="GF8423"/>
      <c r="GG8423"/>
      <c r="GH8423"/>
      <c r="GI8423"/>
      <c r="GJ8423"/>
      <c r="GK8423"/>
      <c r="GL8423"/>
      <c r="GM8423"/>
      <c r="GN8423"/>
      <c r="GO8423"/>
    </row>
    <row r="8424" spans="107:197">
      <c r="DC8424"/>
      <c r="FH8424"/>
      <c r="FI8424"/>
      <c r="FJ8424"/>
      <c r="FK8424"/>
      <c r="FL8424"/>
      <c r="FM8424"/>
      <c r="FN8424"/>
      <c r="FO8424"/>
      <c r="FP8424"/>
      <c r="FQ8424"/>
      <c r="FR8424"/>
      <c r="FS8424"/>
      <c r="FT8424"/>
      <c r="FU8424"/>
      <c r="FV8424"/>
      <c r="FW8424"/>
      <c r="FX8424"/>
      <c r="FY8424"/>
      <c r="FZ8424"/>
      <c r="GA8424"/>
      <c r="GB8424"/>
      <c r="GC8424"/>
      <c r="GD8424"/>
      <c r="GE8424"/>
      <c r="GF8424"/>
      <c r="GG8424"/>
      <c r="GH8424"/>
      <c r="GI8424"/>
      <c r="GJ8424"/>
      <c r="GK8424"/>
      <c r="GL8424"/>
      <c r="GM8424"/>
      <c r="GN8424"/>
      <c r="GO8424"/>
    </row>
    <row r="8425" spans="107:197">
      <c r="DC8425"/>
      <c r="FH8425"/>
      <c r="FI8425"/>
      <c r="FJ8425"/>
      <c r="FK8425"/>
      <c r="FL8425"/>
      <c r="FM8425"/>
      <c r="FN8425"/>
      <c r="FO8425"/>
      <c r="FP8425"/>
      <c r="FQ8425"/>
      <c r="FR8425"/>
      <c r="FS8425"/>
      <c r="FT8425"/>
      <c r="FU8425"/>
      <c r="FV8425"/>
      <c r="FW8425"/>
      <c r="FX8425"/>
      <c r="FY8425"/>
      <c r="FZ8425"/>
      <c r="GA8425"/>
      <c r="GB8425"/>
      <c r="GC8425"/>
      <c r="GD8425"/>
      <c r="GE8425"/>
      <c r="GF8425"/>
      <c r="GG8425"/>
      <c r="GH8425"/>
      <c r="GI8425"/>
      <c r="GJ8425"/>
      <c r="GK8425"/>
      <c r="GL8425"/>
      <c r="GM8425"/>
      <c r="GN8425"/>
      <c r="GO8425"/>
    </row>
    <row r="8426" spans="107:197">
      <c r="DC8426"/>
      <c r="FH8426"/>
      <c r="FI8426"/>
      <c r="FJ8426"/>
      <c r="FK8426"/>
      <c r="FL8426"/>
      <c r="FM8426"/>
      <c r="FN8426"/>
      <c r="FO8426"/>
      <c r="FP8426"/>
      <c r="FQ8426"/>
      <c r="FR8426"/>
      <c r="FS8426"/>
      <c r="FT8426"/>
      <c r="FU8426"/>
      <c r="FV8426"/>
      <c r="FW8426"/>
      <c r="FX8426"/>
      <c r="FY8426"/>
      <c r="FZ8426"/>
      <c r="GA8426"/>
      <c r="GB8426"/>
      <c r="GC8426"/>
      <c r="GD8426"/>
      <c r="GE8426"/>
      <c r="GF8426"/>
      <c r="GG8426"/>
      <c r="GH8426"/>
      <c r="GI8426"/>
      <c r="GJ8426"/>
      <c r="GK8426"/>
      <c r="GL8426"/>
      <c r="GM8426"/>
      <c r="GN8426"/>
      <c r="GO8426"/>
    </row>
    <row r="8427" spans="107:197">
      <c r="DC8427"/>
      <c r="FH8427"/>
      <c r="FI8427"/>
      <c r="FJ8427"/>
      <c r="FK8427"/>
      <c r="FL8427"/>
      <c r="FM8427"/>
      <c r="FN8427"/>
      <c r="FO8427"/>
      <c r="FP8427"/>
      <c r="FQ8427"/>
      <c r="FR8427"/>
      <c r="FS8427"/>
      <c r="FT8427"/>
      <c r="FU8427"/>
      <c r="FV8427"/>
      <c r="FW8427"/>
      <c r="FX8427"/>
      <c r="FY8427"/>
      <c r="FZ8427"/>
      <c r="GA8427"/>
      <c r="GB8427"/>
      <c r="GC8427"/>
      <c r="GD8427"/>
      <c r="GE8427"/>
      <c r="GF8427"/>
      <c r="GG8427"/>
      <c r="GH8427"/>
      <c r="GI8427"/>
      <c r="GJ8427"/>
      <c r="GK8427"/>
      <c r="GL8427"/>
      <c r="GM8427"/>
      <c r="GN8427"/>
      <c r="GO8427"/>
    </row>
    <row r="8428" spans="107:197">
      <c r="DC8428"/>
      <c r="FH8428"/>
      <c r="FI8428"/>
      <c r="FJ8428"/>
      <c r="FK8428"/>
      <c r="FL8428"/>
      <c r="FM8428"/>
      <c r="FN8428"/>
      <c r="FO8428"/>
      <c r="FP8428"/>
      <c r="FQ8428"/>
      <c r="FR8428"/>
      <c r="FS8428"/>
      <c r="FT8428"/>
      <c r="FU8428"/>
      <c r="FV8428"/>
      <c r="FW8428"/>
      <c r="FX8428"/>
      <c r="FY8428"/>
      <c r="FZ8428"/>
      <c r="GA8428"/>
      <c r="GB8428"/>
      <c r="GC8428"/>
      <c r="GD8428"/>
      <c r="GE8428"/>
      <c r="GF8428"/>
      <c r="GG8428"/>
      <c r="GH8428"/>
      <c r="GI8428"/>
      <c r="GJ8428"/>
      <c r="GK8428"/>
      <c r="GL8428"/>
      <c r="GM8428"/>
      <c r="GN8428"/>
      <c r="GO8428"/>
    </row>
    <row r="8429" spans="107:197">
      <c r="DC8429"/>
      <c r="FH8429"/>
      <c r="FI8429"/>
      <c r="FJ8429"/>
      <c r="FK8429"/>
      <c r="FL8429"/>
      <c r="FM8429"/>
      <c r="FN8429"/>
      <c r="FO8429"/>
      <c r="FP8429"/>
      <c r="FQ8429"/>
      <c r="FR8429"/>
      <c r="FS8429"/>
      <c r="FT8429"/>
      <c r="FU8429"/>
      <c r="FV8429"/>
      <c r="FW8429"/>
      <c r="FX8429"/>
      <c r="FY8429"/>
      <c r="FZ8429"/>
      <c r="GA8429"/>
      <c r="GB8429"/>
      <c r="GC8429"/>
      <c r="GD8429"/>
      <c r="GE8429"/>
      <c r="GF8429"/>
      <c r="GG8429"/>
      <c r="GH8429"/>
      <c r="GI8429"/>
      <c r="GJ8429"/>
      <c r="GK8429"/>
      <c r="GL8429"/>
      <c r="GM8429"/>
      <c r="GN8429"/>
      <c r="GO8429"/>
    </row>
    <row r="8430" spans="107:197">
      <c r="DC8430"/>
      <c r="FH8430"/>
      <c r="FI8430"/>
      <c r="FJ8430"/>
      <c r="FK8430"/>
      <c r="FL8430"/>
      <c r="FM8430"/>
      <c r="FN8430"/>
      <c r="FO8430"/>
      <c r="FP8430"/>
      <c r="FQ8430"/>
      <c r="FR8430"/>
      <c r="FS8430"/>
      <c r="FT8430"/>
      <c r="FU8430"/>
      <c r="FV8430"/>
      <c r="FW8430"/>
      <c r="FX8430"/>
      <c r="FY8430"/>
      <c r="FZ8430"/>
      <c r="GA8430"/>
      <c r="GB8430"/>
      <c r="GC8430"/>
      <c r="GD8430"/>
      <c r="GE8430"/>
      <c r="GF8430"/>
      <c r="GG8430"/>
      <c r="GH8430"/>
      <c r="GI8430"/>
      <c r="GJ8430"/>
      <c r="GK8430"/>
      <c r="GL8430"/>
      <c r="GM8430"/>
      <c r="GN8430"/>
      <c r="GO8430"/>
    </row>
    <row r="8431" spans="107:197">
      <c r="DC8431"/>
      <c r="FH8431"/>
      <c r="FI8431"/>
      <c r="FJ8431"/>
      <c r="FK8431"/>
      <c r="FL8431"/>
      <c r="FM8431"/>
      <c r="FN8431"/>
      <c r="FO8431"/>
      <c r="FP8431"/>
      <c r="FQ8431"/>
      <c r="FR8431"/>
      <c r="FS8431"/>
      <c r="FT8431"/>
      <c r="FU8431"/>
      <c r="FV8431"/>
      <c r="FW8431"/>
      <c r="FX8431"/>
      <c r="FY8431"/>
      <c r="FZ8431"/>
      <c r="GA8431"/>
      <c r="GB8431"/>
      <c r="GC8431"/>
      <c r="GD8431"/>
      <c r="GE8431"/>
      <c r="GF8431"/>
      <c r="GG8431"/>
      <c r="GH8431"/>
      <c r="GI8431"/>
      <c r="GJ8431"/>
      <c r="GK8431"/>
      <c r="GL8431"/>
      <c r="GM8431"/>
      <c r="GN8431"/>
      <c r="GO8431"/>
    </row>
    <row r="8432" spans="107:197">
      <c r="DC8432"/>
      <c r="FH8432"/>
      <c r="FI8432"/>
      <c r="FJ8432"/>
      <c r="FK8432"/>
      <c r="FL8432"/>
      <c r="FM8432"/>
      <c r="FN8432"/>
      <c r="FO8432"/>
      <c r="FP8432"/>
      <c r="FQ8432"/>
      <c r="FR8432"/>
      <c r="FS8432"/>
      <c r="FT8432"/>
      <c r="FU8432"/>
      <c r="FV8432"/>
      <c r="FW8432"/>
      <c r="FX8432"/>
      <c r="FY8432"/>
      <c r="FZ8432"/>
      <c r="GA8432"/>
      <c r="GB8432"/>
      <c r="GC8432"/>
      <c r="GD8432"/>
      <c r="GE8432"/>
      <c r="GF8432"/>
      <c r="GG8432"/>
      <c r="GH8432"/>
      <c r="GI8432"/>
      <c r="GJ8432"/>
      <c r="GK8432"/>
      <c r="GL8432"/>
      <c r="GM8432"/>
      <c r="GN8432"/>
      <c r="GO8432"/>
    </row>
    <row r="8433" spans="107:197">
      <c r="DC8433"/>
      <c r="FH8433"/>
      <c r="FI8433"/>
      <c r="FJ8433"/>
      <c r="FK8433"/>
      <c r="FL8433"/>
      <c r="FM8433"/>
      <c r="FN8433"/>
      <c r="FO8433"/>
      <c r="FP8433"/>
      <c r="FQ8433"/>
      <c r="FR8433"/>
      <c r="FS8433"/>
      <c r="FT8433"/>
      <c r="FU8433"/>
      <c r="FV8433"/>
      <c r="FW8433"/>
      <c r="FX8433"/>
      <c r="FY8433"/>
      <c r="FZ8433"/>
      <c r="GA8433"/>
      <c r="GB8433"/>
      <c r="GC8433"/>
      <c r="GD8433"/>
      <c r="GE8433"/>
      <c r="GF8433"/>
      <c r="GG8433"/>
      <c r="GH8433"/>
      <c r="GI8433"/>
      <c r="GJ8433"/>
      <c r="GK8433"/>
      <c r="GL8433"/>
      <c r="GM8433"/>
      <c r="GN8433"/>
      <c r="GO8433"/>
    </row>
    <row r="8434" spans="107:197">
      <c r="DC8434"/>
      <c r="FH8434"/>
      <c r="FI8434"/>
      <c r="FJ8434"/>
      <c r="FK8434"/>
      <c r="FL8434"/>
      <c r="FM8434"/>
      <c r="FN8434"/>
      <c r="FO8434"/>
      <c r="FP8434"/>
      <c r="FQ8434"/>
      <c r="FR8434"/>
      <c r="FS8434"/>
      <c r="FT8434"/>
      <c r="FU8434"/>
      <c r="FV8434"/>
      <c r="FW8434"/>
      <c r="FX8434"/>
      <c r="FY8434"/>
      <c r="FZ8434"/>
      <c r="GA8434"/>
      <c r="GB8434"/>
      <c r="GC8434"/>
      <c r="GD8434"/>
      <c r="GE8434"/>
      <c r="GF8434"/>
      <c r="GG8434"/>
      <c r="GH8434"/>
      <c r="GI8434"/>
      <c r="GJ8434"/>
      <c r="GK8434"/>
      <c r="GL8434"/>
      <c r="GM8434"/>
      <c r="GN8434"/>
      <c r="GO8434"/>
    </row>
    <row r="8435" spans="107:197">
      <c r="DC8435"/>
      <c r="FH8435"/>
      <c r="FI8435"/>
      <c r="FJ8435"/>
      <c r="FK8435"/>
      <c r="FL8435"/>
      <c r="FM8435"/>
      <c r="FN8435"/>
      <c r="FO8435"/>
      <c r="FP8435"/>
      <c r="FQ8435"/>
      <c r="FR8435"/>
      <c r="FS8435"/>
      <c r="FT8435"/>
      <c r="FU8435"/>
      <c r="FV8435"/>
      <c r="FW8435"/>
      <c r="FX8435"/>
      <c r="FY8435"/>
      <c r="FZ8435"/>
      <c r="GA8435"/>
      <c r="GB8435"/>
      <c r="GC8435"/>
      <c r="GD8435"/>
      <c r="GE8435"/>
      <c r="GF8435"/>
      <c r="GG8435"/>
      <c r="GH8435"/>
      <c r="GI8435"/>
      <c r="GJ8435"/>
      <c r="GK8435"/>
      <c r="GL8435"/>
      <c r="GM8435"/>
      <c r="GN8435"/>
      <c r="GO8435"/>
    </row>
    <row r="8436" spans="107:197">
      <c r="DC8436"/>
      <c r="FH8436"/>
      <c r="FI8436"/>
      <c r="FJ8436"/>
      <c r="FK8436"/>
      <c r="FL8436"/>
      <c r="FM8436"/>
      <c r="FN8436"/>
      <c r="FO8436"/>
      <c r="FP8436"/>
      <c r="FQ8436"/>
      <c r="FR8436"/>
      <c r="FS8436"/>
      <c r="FT8436"/>
      <c r="FU8436"/>
      <c r="FV8436"/>
      <c r="FW8436"/>
      <c r="FX8436"/>
      <c r="FY8436"/>
      <c r="FZ8436"/>
      <c r="GA8436"/>
      <c r="GB8436"/>
      <c r="GC8436"/>
      <c r="GD8436"/>
      <c r="GE8436"/>
      <c r="GF8436"/>
      <c r="GG8436"/>
      <c r="GH8436"/>
      <c r="GI8436"/>
      <c r="GJ8436"/>
      <c r="GK8436"/>
      <c r="GL8436"/>
      <c r="GM8436"/>
      <c r="GN8436"/>
      <c r="GO8436"/>
    </row>
    <row r="8437" spans="107:197">
      <c r="DC8437"/>
      <c r="FH8437"/>
      <c r="FI8437"/>
      <c r="FJ8437"/>
      <c r="FK8437"/>
      <c r="FL8437"/>
      <c r="FM8437"/>
      <c r="FN8437"/>
      <c r="FO8437"/>
      <c r="FP8437"/>
      <c r="FQ8437"/>
      <c r="FR8437"/>
      <c r="FS8437"/>
      <c r="FT8437"/>
      <c r="FU8437"/>
      <c r="FV8437"/>
      <c r="FW8437"/>
      <c r="FX8437"/>
      <c r="FY8437"/>
      <c r="FZ8437"/>
      <c r="GA8437"/>
      <c r="GB8437"/>
      <c r="GC8437"/>
      <c r="GD8437"/>
      <c r="GE8437"/>
      <c r="GF8437"/>
      <c r="GG8437"/>
      <c r="GH8437"/>
      <c r="GI8437"/>
      <c r="GJ8437"/>
      <c r="GK8437"/>
      <c r="GL8437"/>
      <c r="GM8437"/>
      <c r="GN8437"/>
      <c r="GO8437"/>
    </row>
    <row r="8438" spans="107:197">
      <c r="DC8438"/>
      <c r="FH8438"/>
      <c r="FI8438"/>
      <c r="FJ8438"/>
      <c r="FK8438"/>
      <c r="FL8438"/>
      <c r="FM8438"/>
      <c r="FN8438"/>
      <c r="FO8438"/>
      <c r="FP8438"/>
      <c r="FQ8438"/>
      <c r="FR8438"/>
      <c r="FS8438"/>
      <c r="FT8438"/>
      <c r="FU8438"/>
      <c r="FV8438"/>
      <c r="FW8438"/>
      <c r="FX8438"/>
      <c r="FY8438"/>
      <c r="FZ8438"/>
      <c r="GA8438"/>
      <c r="GB8438"/>
      <c r="GC8438"/>
      <c r="GD8438"/>
      <c r="GE8438"/>
      <c r="GF8438"/>
      <c r="GG8438"/>
      <c r="GH8438"/>
      <c r="GI8438"/>
      <c r="GJ8438"/>
      <c r="GK8438"/>
      <c r="GL8438"/>
      <c r="GM8438"/>
      <c r="GN8438"/>
      <c r="GO8438"/>
    </row>
    <row r="8439" spans="107:197">
      <c r="DC8439"/>
      <c r="FH8439"/>
      <c r="FI8439"/>
      <c r="FJ8439"/>
      <c r="FK8439"/>
      <c r="FL8439"/>
      <c r="FM8439"/>
      <c r="FN8439"/>
      <c r="FO8439"/>
      <c r="FP8439"/>
      <c r="FQ8439"/>
      <c r="FR8439"/>
      <c r="FS8439"/>
      <c r="FT8439"/>
      <c r="FU8439"/>
      <c r="FV8439"/>
      <c r="FW8439"/>
      <c r="FX8439"/>
      <c r="FY8439"/>
      <c r="FZ8439"/>
      <c r="GA8439"/>
      <c r="GB8439"/>
      <c r="GC8439"/>
      <c r="GD8439"/>
      <c r="GE8439"/>
      <c r="GF8439"/>
      <c r="GG8439"/>
      <c r="GH8439"/>
      <c r="GI8439"/>
      <c r="GJ8439"/>
      <c r="GK8439"/>
      <c r="GL8439"/>
      <c r="GM8439"/>
      <c r="GN8439"/>
      <c r="GO8439"/>
    </row>
    <row r="8440" spans="107:197">
      <c r="DC8440"/>
      <c r="FH8440"/>
      <c r="FI8440"/>
      <c r="FJ8440"/>
      <c r="FK8440"/>
      <c r="FL8440"/>
      <c r="FM8440"/>
      <c r="FN8440"/>
      <c r="FO8440"/>
      <c r="FP8440"/>
      <c r="FQ8440"/>
      <c r="FR8440"/>
      <c r="FS8440"/>
      <c r="FT8440"/>
      <c r="FU8440"/>
      <c r="FV8440"/>
      <c r="FW8440"/>
      <c r="FX8440"/>
      <c r="FY8440"/>
      <c r="FZ8440"/>
      <c r="GA8440"/>
      <c r="GB8440"/>
      <c r="GC8440"/>
      <c r="GD8440"/>
      <c r="GE8440"/>
      <c r="GF8440"/>
      <c r="GG8440"/>
      <c r="GH8440"/>
      <c r="GI8440"/>
      <c r="GJ8440"/>
      <c r="GK8440"/>
      <c r="GL8440"/>
      <c r="GM8440"/>
      <c r="GN8440"/>
      <c r="GO8440"/>
    </row>
    <row r="8441" spans="107:197">
      <c r="DC8441"/>
      <c r="FH8441"/>
      <c r="FI8441"/>
      <c r="FJ8441"/>
      <c r="FK8441"/>
      <c r="FL8441"/>
      <c r="FM8441"/>
      <c r="FN8441"/>
      <c r="FO8441"/>
      <c r="FP8441"/>
      <c r="FQ8441"/>
      <c r="FR8441"/>
      <c r="FS8441"/>
      <c r="FT8441"/>
      <c r="FU8441"/>
      <c r="FV8441"/>
      <c r="FW8441"/>
      <c r="FX8441"/>
      <c r="FY8441"/>
      <c r="FZ8441"/>
      <c r="GA8441"/>
      <c r="GB8441"/>
      <c r="GC8441"/>
      <c r="GD8441"/>
      <c r="GE8441"/>
      <c r="GF8441"/>
      <c r="GG8441"/>
      <c r="GH8441"/>
      <c r="GI8441"/>
      <c r="GJ8441"/>
      <c r="GK8441"/>
      <c r="GL8441"/>
      <c r="GM8441"/>
      <c r="GN8441"/>
      <c r="GO8441"/>
    </row>
    <row r="8442" spans="107:197">
      <c r="DC8442"/>
      <c r="FH8442"/>
      <c r="FI8442"/>
      <c r="FJ8442"/>
      <c r="FK8442"/>
      <c r="FL8442"/>
      <c r="FM8442"/>
      <c r="FN8442"/>
      <c r="FO8442"/>
      <c r="FP8442"/>
      <c r="FQ8442"/>
      <c r="FR8442"/>
      <c r="FS8442"/>
      <c r="FT8442"/>
      <c r="FU8442"/>
      <c r="FV8442"/>
      <c r="FW8442"/>
      <c r="FX8442"/>
      <c r="FY8442"/>
      <c r="FZ8442"/>
      <c r="GA8442"/>
      <c r="GB8442"/>
      <c r="GC8442"/>
      <c r="GD8442"/>
      <c r="GE8442"/>
      <c r="GF8442"/>
      <c r="GG8442"/>
      <c r="GH8442"/>
      <c r="GI8442"/>
      <c r="GJ8442"/>
      <c r="GK8442"/>
      <c r="GL8442"/>
      <c r="GM8442"/>
      <c r="GN8442"/>
      <c r="GO8442"/>
    </row>
    <row r="8443" spans="107:197">
      <c r="DC8443"/>
      <c r="FH8443"/>
      <c r="FI8443"/>
      <c r="FJ8443"/>
      <c r="FK8443"/>
      <c r="FL8443"/>
      <c r="FM8443"/>
      <c r="FN8443"/>
      <c r="FO8443"/>
      <c r="FP8443"/>
      <c r="FQ8443"/>
      <c r="FR8443"/>
      <c r="FS8443"/>
      <c r="FT8443"/>
      <c r="FU8443"/>
      <c r="FV8443"/>
      <c r="FW8443"/>
      <c r="FX8443"/>
      <c r="FY8443"/>
      <c r="FZ8443"/>
      <c r="GA8443"/>
      <c r="GB8443"/>
      <c r="GC8443"/>
      <c r="GD8443"/>
      <c r="GE8443"/>
      <c r="GF8443"/>
      <c r="GG8443"/>
      <c r="GH8443"/>
      <c r="GI8443"/>
      <c r="GJ8443"/>
      <c r="GK8443"/>
      <c r="GL8443"/>
      <c r="GM8443"/>
      <c r="GN8443"/>
      <c r="GO8443"/>
    </row>
    <row r="8444" spans="107:197">
      <c r="DC8444"/>
      <c r="FH8444"/>
      <c r="FI8444"/>
      <c r="FJ8444"/>
      <c r="FK8444"/>
      <c r="FL8444"/>
      <c r="FM8444"/>
      <c r="FN8444"/>
      <c r="FO8444"/>
      <c r="FP8444"/>
      <c r="FQ8444"/>
      <c r="FR8444"/>
      <c r="FS8444"/>
      <c r="FT8444"/>
      <c r="FU8444"/>
      <c r="FV8444"/>
      <c r="FW8444"/>
      <c r="FX8444"/>
      <c r="FY8444"/>
      <c r="FZ8444"/>
      <c r="GA8444"/>
      <c r="GB8444"/>
      <c r="GC8444"/>
      <c r="GD8444"/>
      <c r="GE8444"/>
      <c r="GF8444"/>
      <c r="GG8444"/>
      <c r="GH8444"/>
      <c r="GI8444"/>
      <c r="GJ8444"/>
      <c r="GK8444"/>
      <c r="GL8444"/>
      <c r="GM8444"/>
      <c r="GN8444"/>
      <c r="GO8444"/>
    </row>
    <row r="8445" spans="107:197">
      <c r="DC8445"/>
      <c r="FH8445"/>
      <c r="FI8445"/>
      <c r="FJ8445"/>
      <c r="FK8445"/>
      <c r="FL8445"/>
      <c r="FM8445"/>
      <c r="FN8445"/>
      <c r="FO8445"/>
      <c r="FP8445"/>
      <c r="FQ8445"/>
      <c r="FR8445"/>
      <c r="FS8445"/>
      <c r="FT8445"/>
      <c r="FU8445"/>
      <c r="FV8445"/>
      <c r="FW8445"/>
      <c r="FX8445"/>
      <c r="FY8445"/>
      <c r="FZ8445"/>
      <c r="GA8445"/>
      <c r="GB8445"/>
      <c r="GC8445"/>
      <c r="GD8445"/>
      <c r="GE8445"/>
      <c r="GF8445"/>
      <c r="GG8445"/>
      <c r="GH8445"/>
      <c r="GI8445"/>
      <c r="GJ8445"/>
      <c r="GK8445"/>
      <c r="GL8445"/>
      <c r="GM8445"/>
      <c r="GN8445"/>
      <c r="GO8445"/>
    </row>
    <row r="8446" spans="107:197">
      <c r="DC8446"/>
      <c r="FH8446"/>
      <c r="FI8446"/>
      <c r="FJ8446"/>
      <c r="FK8446"/>
      <c r="FL8446"/>
      <c r="FM8446"/>
      <c r="FN8446"/>
      <c r="FO8446"/>
      <c r="FP8446"/>
      <c r="FQ8446"/>
      <c r="FR8446"/>
      <c r="FS8446"/>
      <c r="FT8446"/>
      <c r="FU8446"/>
      <c r="FV8446"/>
      <c r="FW8446"/>
      <c r="FX8446"/>
      <c r="FY8446"/>
      <c r="FZ8446"/>
      <c r="GA8446"/>
      <c r="GB8446"/>
      <c r="GC8446"/>
      <c r="GD8446"/>
      <c r="GE8446"/>
      <c r="GF8446"/>
      <c r="GG8446"/>
      <c r="GH8446"/>
      <c r="GI8446"/>
      <c r="GJ8446"/>
      <c r="GK8446"/>
      <c r="GL8446"/>
      <c r="GM8446"/>
      <c r="GN8446"/>
      <c r="GO8446"/>
    </row>
    <row r="8447" spans="107:197">
      <c r="DC8447"/>
      <c r="FH8447"/>
      <c r="FI8447"/>
      <c r="FJ8447"/>
      <c r="FK8447"/>
      <c r="FL8447"/>
      <c r="FM8447"/>
      <c r="FN8447"/>
      <c r="FO8447"/>
      <c r="FP8447"/>
      <c r="FQ8447"/>
      <c r="FR8447"/>
      <c r="FS8447"/>
      <c r="FT8447"/>
      <c r="FU8447"/>
      <c r="FV8447"/>
      <c r="FW8447"/>
      <c r="FX8447"/>
      <c r="FY8447"/>
      <c r="FZ8447"/>
      <c r="GA8447"/>
      <c r="GB8447"/>
      <c r="GC8447"/>
      <c r="GD8447"/>
      <c r="GE8447"/>
      <c r="GF8447"/>
      <c r="GG8447"/>
      <c r="GH8447"/>
      <c r="GI8447"/>
      <c r="GJ8447"/>
      <c r="GK8447"/>
      <c r="GL8447"/>
      <c r="GM8447"/>
      <c r="GN8447"/>
      <c r="GO8447"/>
    </row>
    <row r="8448" spans="107:197">
      <c r="DC8448"/>
      <c r="FH8448"/>
      <c r="FI8448"/>
      <c r="FJ8448"/>
      <c r="FK8448"/>
      <c r="FL8448"/>
      <c r="FM8448"/>
      <c r="FN8448"/>
      <c r="FO8448"/>
      <c r="FP8448"/>
      <c r="FQ8448"/>
      <c r="FR8448"/>
      <c r="FS8448"/>
      <c r="FT8448"/>
      <c r="FU8448"/>
      <c r="FV8448"/>
      <c r="FW8448"/>
      <c r="FX8448"/>
      <c r="FY8448"/>
      <c r="FZ8448"/>
      <c r="GA8448"/>
      <c r="GB8448"/>
      <c r="GC8448"/>
      <c r="GD8448"/>
      <c r="GE8448"/>
      <c r="GF8448"/>
      <c r="GG8448"/>
      <c r="GH8448"/>
      <c r="GI8448"/>
      <c r="GJ8448"/>
      <c r="GK8448"/>
      <c r="GL8448"/>
      <c r="GM8448"/>
      <c r="GN8448"/>
      <c r="GO8448"/>
    </row>
    <row r="8449" spans="107:197">
      <c r="DC8449"/>
      <c r="FH8449"/>
      <c r="FI8449"/>
      <c r="FJ8449"/>
      <c r="FK8449"/>
      <c r="FL8449"/>
      <c r="FM8449"/>
      <c r="FN8449"/>
      <c r="FO8449"/>
      <c r="FP8449"/>
      <c r="FQ8449"/>
      <c r="FR8449"/>
      <c r="FS8449"/>
      <c r="FT8449"/>
      <c r="FU8449"/>
      <c r="FV8449"/>
      <c r="FW8449"/>
      <c r="FX8449"/>
      <c r="FY8449"/>
      <c r="FZ8449"/>
      <c r="GA8449"/>
      <c r="GB8449"/>
      <c r="GC8449"/>
      <c r="GD8449"/>
      <c r="GE8449"/>
      <c r="GF8449"/>
      <c r="GG8449"/>
      <c r="GH8449"/>
      <c r="GI8449"/>
      <c r="GJ8449"/>
      <c r="GK8449"/>
      <c r="GL8449"/>
      <c r="GM8449"/>
      <c r="GN8449"/>
      <c r="GO8449"/>
    </row>
    <row r="8450" spans="107:197">
      <c r="DC8450"/>
      <c r="FH8450"/>
      <c r="FI8450"/>
      <c r="FJ8450"/>
      <c r="FK8450"/>
      <c r="FL8450"/>
      <c r="FM8450"/>
      <c r="FN8450"/>
      <c r="FO8450"/>
      <c r="FP8450"/>
      <c r="FQ8450"/>
      <c r="FR8450"/>
      <c r="FS8450"/>
      <c r="FT8450"/>
      <c r="FU8450"/>
      <c r="FV8450"/>
      <c r="FW8450"/>
      <c r="FX8450"/>
      <c r="FY8450"/>
      <c r="FZ8450"/>
      <c r="GA8450"/>
      <c r="GB8450"/>
      <c r="GC8450"/>
      <c r="GD8450"/>
      <c r="GE8450"/>
      <c r="GF8450"/>
      <c r="GG8450"/>
      <c r="GH8450"/>
      <c r="GI8450"/>
      <c r="GJ8450"/>
      <c r="GK8450"/>
      <c r="GL8450"/>
      <c r="GM8450"/>
      <c r="GN8450"/>
      <c r="GO8450"/>
    </row>
    <row r="8451" spans="107:197">
      <c r="DC8451"/>
      <c r="FH8451"/>
      <c r="FI8451"/>
      <c r="FJ8451"/>
      <c r="FK8451"/>
      <c r="FL8451"/>
      <c r="FM8451"/>
      <c r="FN8451"/>
      <c r="FO8451"/>
      <c r="FP8451"/>
      <c r="FQ8451"/>
      <c r="FR8451"/>
      <c r="FS8451"/>
      <c r="FT8451"/>
      <c r="FU8451"/>
      <c r="FV8451"/>
      <c r="FW8451"/>
      <c r="FX8451"/>
      <c r="FY8451"/>
      <c r="FZ8451"/>
      <c r="GA8451"/>
      <c r="GB8451"/>
      <c r="GC8451"/>
      <c r="GD8451"/>
      <c r="GE8451"/>
      <c r="GF8451"/>
      <c r="GG8451"/>
      <c r="GH8451"/>
      <c r="GI8451"/>
      <c r="GJ8451"/>
      <c r="GK8451"/>
      <c r="GL8451"/>
      <c r="GM8451"/>
      <c r="GN8451"/>
      <c r="GO8451"/>
    </row>
    <row r="8452" spans="107:197">
      <c r="DC8452"/>
      <c r="FH8452"/>
      <c r="FI8452"/>
      <c r="FJ8452"/>
      <c r="FK8452"/>
      <c r="FL8452"/>
      <c r="FM8452"/>
      <c r="FN8452"/>
      <c r="FO8452"/>
      <c r="FP8452"/>
      <c r="FQ8452"/>
      <c r="FR8452"/>
      <c r="FS8452"/>
      <c r="FT8452"/>
      <c r="FU8452"/>
      <c r="FV8452"/>
      <c r="FW8452"/>
      <c r="FX8452"/>
      <c r="FY8452"/>
      <c r="FZ8452"/>
      <c r="GA8452"/>
      <c r="GB8452"/>
      <c r="GC8452"/>
      <c r="GD8452"/>
      <c r="GE8452"/>
      <c r="GF8452"/>
      <c r="GG8452"/>
      <c r="GH8452"/>
      <c r="GI8452"/>
      <c r="GJ8452"/>
      <c r="GK8452"/>
      <c r="GL8452"/>
      <c r="GM8452"/>
      <c r="GN8452"/>
      <c r="GO8452"/>
    </row>
    <row r="8453" spans="107:197">
      <c r="DC8453"/>
      <c r="FH8453"/>
      <c r="FI8453"/>
      <c r="FJ8453"/>
      <c r="FK8453"/>
      <c r="FL8453"/>
      <c r="FM8453"/>
      <c r="FN8453"/>
      <c r="FO8453"/>
      <c r="FP8453"/>
      <c r="FQ8453"/>
      <c r="FR8453"/>
      <c r="FS8453"/>
      <c r="FT8453"/>
      <c r="FU8453"/>
      <c r="FV8453"/>
      <c r="FW8453"/>
      <c r="FX8453"/>
      <c r="FY8453"/>
      <c r="FZ8453"/>
      <c r="GA8453"/>
      <c r="GB8453"/>
      <c r="GC8453"/>
      <c r="GD8453"/>
      <c r="GE8453"/>
      <c r="GF8453"/>
      <c r="GG8453"/>
      <c r="GH8453"/>
      <c r="GI8453"/>
      <c r="GJ8453"/>
      <c r="GK8453"/>
      <c r="GL8453"/>
      <c r="GM8453"/>
      <c r="GN8453"/>
      <c r="GO8453"/>
    </row>
    <row r="8454" spans="107:197">
      <c r="DC8454"/>
      <c r="FH8454"/>
      <c r="FI8454"/>
      <c r="FJ8454"/>
      <c r="FK8454"/>
      <c r="FL8454"/>
      <c r="FM8454"/>
      <c r="FN8454"/>
      <c r="FO8454"/>
      <c r="FP8454"/>
      <c r="FQ8454"/>
      <c r="FR8454"/>
      <c r="FS8454"/>
      <c r="FT8454"/>
      <c r="FU8454"/>
      <c r="FV8454"/>
      <c r="FW8454"/>
      <c r="FX8454"/>
      <c r="FY8454"/>
      <c r="FZ8454"/>
      <c r="GA8454"/>
      <c r="GB8454"/>
      <c r="GC8454"/>
      <c r="GD8454"/>
      <c r="GE8454"/>
      <c r="GF8454"/>
      <c r="GG8454"/>
      <c r="GH8454"/>
      <c r="GI8454"/>
      <c r="GJ8454"/>
      <c r="GK8454"/>
      <c r="GL8454"/>
      <c r="GM8454"/>
      <c r="GN8454"/>
      <c r="GO8454"/>
    </row>
    <row r="8455" spans="107:197">
      <c r="DC8455"/>
      <c r="FH8455"/>
      <c r="FI8455"/>
      <c r="FJ8455"/>
      <c r="FK8455"/>
      <c r="FL8455"/>
      <c r="FM8455"/>
      <c r="FN8455"/>
      <c r="FO8455"/>
      <c r="FP8455"/>
      <c r="FQ8455"/>
      <c r="FR8455"/>
      <c r="FS8455"/>
      <c r="FT8455"/>
      <c r="FU8455"/>
      <c r="FV8455"/>
      <c r="FW8455"/>
      <c r="FX8455"/>
      <c r="FY8455"/>
      <c r="FZ8455"/>
      <c r="GA8455"/>
      <c r="GB8455"/>
      <c r="GC8455"/>
      <c r="GD8455"/>
      <c r="GE8455"/>
      <c r="GF8455"/>
      <c r="GG8455"/>
      <c r="GH8455"/>
      <c r="GI8455"/>
      <c r="GJ8455"/>
      <c r="GK8455"/>
      <c r="GL8455"/>
      <c r="GM8455"/>
      <c r="GN8455"/>
      <c r="GO8455"/>
    </row>
    <row r="8456" spans="107:197">
      <c r="DC8456"/>
      <c r="FH8456"/>
      <c r="FI8456"/>
      <c r="FJ8456"/>
      <c r="FK8456"/>
      <c r="FL8456"/>
      <c r="FM8456"/>
      <c r="FN8456"/>
      <c r="FO8456"/>
      <c r="FP8456"/>
      <c r="FQ8456"/>
      <c r="FR8456"/>
      <c r="FS8456"/>
      <c r="FT8456"/>
      <c r="FU8456"/>
      <c r="FV8456"/>
      <c r="FW8456"/>
      <c r="FX8456"/>
      <c r="FY8456"/>
      <c r="FZ8456"/>
      <c r="GA8456"/>
      <c r="GB8456"/>
      <c r="GC8456"/>
      <c r="GD8456"/>
      <c r="GE8456"/>
      <c r="GF8456"/>
      <c r="GG8456"/>
      <c r="GH8456"/>
      <c r="GI8456"/>
      <c r="GJ8456"/>
      <c r="GK8456"/>
      <c r="GL8456"/>
      <c r="GM8456"/>
      <c r="GN8456"/>
      <c r="GO8456"/>
    </row>
    <row r="8457" spans="107:197">
      <c r="DC8457"/>
      <c r="FH8457"/>
      <c r="FI8457"/>
      <c r="FJ8457"/>
      <c r="FK8457"/>
      <c r="FL8457"/>
      <c r="FM8457"/>
      <c r="FN8457"/>
      <c r="FO8457"/>
      <c r="FP8457"/>
      <c r="FQ8457"/>
      <c r="FR8457"/>
      <c r="FS8457"/>
      <c r="FT8457"/>
      <c r="FU8457"/>
      <c r="FV8457"/>
      <c r="FW8457"/>
      <c r="FX8457"/>
      <c r="FY8457"/>
      <c r="FZ8457"/>
      <c r="GA8457"/>
      <c r="GB8457"/>
      <c r="GC8457"/>
      <c r="GD8457"/>
      <c r="GE8457"/>
      <c r="GF8457"/>
      <c r="GG8457"/>
      <c r="GH8457"/>
      <c r="GI8457"/>
      <c r="GJ8457"/>
      <c r="GK8457"/>
      <c r="GL8457"/>
      <c r="GM8457"/>
      <c r="GN8457"/>
      <c r="GO8457"/>
    </row>
    <row r="8458" spans="107:197">
      <c r="DC8458"/>
      <c r="FH8458"/>
      <c r="FI8458"/>
      <c r="FJ8458"/>
      <c r="FK8458"/>
      <c r="FL8458"/>
      <c r="FM8458"/>
      <c r="FN8458"/>
      <c r="FO8458"/>
      <c r="FP8458"/>
      <c r="FQ8458"/>
      <c r="FR8458"/>
      <c r="FS8458"/>
      <c r="FT8458"/>
      <c r="FU8458"/>
      <c r="FV8458"/>
      <c r="FW8458"/>
      <c r="FX8458"/>
      <c r="FY8458"/>
      <c r="FZ8458"/>
      <c r="GA8458"/>
      <c r="GB8458"/>
      <c r="GC8458"/>
      <c r="GD8458"/>
      <c r="GE8458"/>
      <c r="GF8458"/>
      <c r="GG8458"/>
      <c r="GH8458"/>
      <c r="GI8458"/>
      <c r="GJ8458"/>
      <c r="GK8458"/>
      <c r="GL8458"/>
      <c r="GM8458"/>
      <c r="GN8458"/>
      <c r="GO8458"/>
    </row>
    <row r="8459" spans="107:197">
      <c r="DC8459"/>
      <c r="FH8459"/>
      <c r="FI8459"/>
      <c r="FJ8459"/>
      <c r="FK8459"/>
      <c r="FL8459"/>
      <c r="FM8459"/>
      <c r="FN8459"/>
      <c r="FO8459"/>
      <c r="FP8459"/>
      <c r="FQ8459"/>
      <c r="FR8459"/>
      <c r="FS8459"/>
      <c r="FT8459"/>
      <c r="FU8459"/>
      <c r="FV8459"/>
      <c r="FW8459"/>
      <c r="FX8459"/>
      <c r="FY8459"/>
      <c r="FZ8459"/>
      <c r="GA8459"/>
      <c r="GB8459"/>
      <c r="GC8459"/>
      <c r="GD8459"/>
      <c r="GE8459"/>
      <c r="GF8459"/>
      <c r="GG8459"/>
      <c r="GH8459"/>
      <c r="GI8459"/>
      <c r="GJ8459"/>
      <c r="GK8459"/>
      <c r="GL8459"/>
      <c r="GM8459"/>
      <c r="GN8459"/>
      <c r="GO8459"/>
    </row>
    <row r="8460" spans="107:197">
      <c r="DC8460"/>
      <c r="FH8460"/>
      <c r="FI8460"/>
      <c r="FJ8460"/>
      <c r="FK8460"/>
      <c r="FL8460"/>
      <c r="FM8460"/>
      <c r="FN8460"/>
      <c r="FO8460"/>
      <c r="FP8460"/>
      <c r="FQ8460"/>
      <c r="FR8460"/>
      <c r="FS8460"/>
      <c r="FT8460"/>
      <c r="FU8460"/>
      <c r="FV8460"/>
      <c r="FW8460"/>
      <c r="FX8460"/>
      <c r="FY8460"/>
      <c r="FZ8460"/>
      <c r="GA8460"/>
      <c r="GB8460"/>
      <c r="GC8460"/>
      <c r="GD8460"/>
      <c r="GE8460"/>
      <c r="GF8460"/>
      <c r="GG8460"/>
      <c r="GH8460"/>
      <c r="GI8460"/>
      <c r="GJ8460"/>
      <c r="GK8460"/>
      <c r="GL8460"/>
      <c r="GM8460"/>
      <c r="GN8460"/>
      <c r="GO8460"/>
    </row>
    <row r="8461" spans="107:197">
      <c r="DC8461"/>
      <c r="FH8461"/>
      <c r="FI8461"/>
      <c r="FJ8461"/>
      <c r="FK8461"/>
      <c r="FL8461"/>
      <c r="FM8461"/>
      <c r="FN8461"/>
      <c r="FO8461"/>
      <c r="FP8461"/>
      <c r="FQ8461"/>
      <c r="FR8461"/>
      <c r="FS8461"/>
      <c r="FT8461"/>
      <c r="FU8461"/>
      <c r="FV8461"/>
      <c r="FW8461"/>
      <c r="FX8461"/>
      <c r="FY8461"/>
      <c r="FZ8461"/>
      <c r="GA8461"/>
      <c r="GB8461"/>
      <c r="GC8461"/>
      <c r="GD8461"/>
      <c r="GE8461"/>
      <c r="GF8461"/>
      <c r="GG8461"/>
      <c r="GH8461"/>
      <c r="GI8461"/>
      <c r="GJ8461"/>
      <c r="GK8461"/>
      <c r="GL8461"/>
      <c r="GM8461"/>
      <c r="GN8461"/>
      <c r="GO8461"/>
    </row>
    <row r="8462" spans="107:197">
      <c r="DC8462"/>
      <c r="FH8462"/>
      <c r="FI8462"/>
      <c r="FJ8462"/>
      <c r="FK8462"/>
      <c r="FL8462"/>
      <c r="FM8462"/>
      <c r="FN8462"/>
      <c r="FO8462"/>
      <c r="FP8462"/>
      <c r="FQ8462"/>
      <c r="FR8462"/>
      <c r="FS8462"/>
      <c r="FT8462"/>
      <c r="FU8462"/>
      <c r="FV8462"/>
      <c r="FW8462"/>
      <c r="FX8462"/>
      <c r="FY8462"/>
      <c r="FZ8462"/>
      <c r="GA8462"/>
      <c r="GB8462"/>
      <c r="GC8462"/>
      <c r="GD8462"/>
      <c r="GE8462"/>
      <c r="GF8462"/>
      <c r="GG8462"/>
      <c r="GH8462"/>
      <c r="GI8462"/>
      <c r="GJ8462"/>
      <c r="GK8462"/>
      <c r="GL8462"/>
      <c r="GM8462"/>
      <c r="GN8462"/>
      <c r="GO8462"/>
    </row>
    <row r="8463" spans="107:197">
      <c r="DC8463"/>
      <c r="FH8463"/>
      <c r="FI8463"/>
      <c r="FJ8463"/>
      <c r="FK8463"/>
      <c r="FL8463"/>
      <c r="FM8463"/>
      <c r="FN8463"/>
      <c r="FO8463"/>
      <c r="FP8463"/>
      <c r="FQ8463"/>
      <c r="FR8463"/>
      <c r="FS8463"/>
      <c r="FT8463"/>
      <c r="FU8463"/>
      <c r="FV8463"/>
      <c r="FW8463"/>
      <c r="FX8463"/>
      <c r="FY8463"/>
      <c r="FZ8463"/>
      <c r="GA8463"/>
      <c r="GB8463"/>
      <c r="GC8463"/>
      <c r="GD8463"/>
      <c r="GE8463"/>
      <c r="GF8463"/>
      <c r="GG8463"/>
      <c r="GH8463"/>
      <c r="GI8463"/>
      <c r="GJ8463"/>
      <c r="GK8463"/>
      <c r="GL8463"/>
      <c r="GM8463"/>
      <c r="GN8463"/>
      <c r="GO8463"/>
    </row>
    <row r="8464" spans="107:197">
      <c r="DC8464"/>
      <c r="FH8464"/>
      <c r="FI8464"/>
      <c r="FJ8464"/>
      <c r="FK8464"/>
      <c r="FL8464"/>
      <c r="FM8464"/>
      <c r="FN8464"/>
      <c r="FO8464"/>
      <c r="FP8464"/>
      <c r="FQ8464"/>
      <c r="FR8464"/>
      <c r="FS8464"/>
      <c r="FT8464"/>
      <c r="FU8464"/>
      <c r="FV8464"/>
      <c r="FW8464"/>
      <c r="FX8464"/>
      <c r="FY8464"/>
      <c r="FZ8464"/>
      <c r="GA8464"/>
      <c r="GB8464"/>
      <c r="GC8464"/>
      <c r="GD8464"/>
      <c r="GE8464"/>
      <c r="GF8464"/>
      <c r="GG8464"/>
      <c r="GH8464"/>
      <c r="GI8464"/>
      <c r="GJ8464"/>
      <c r="GK8464"/>
      <c r="GL8464"/>
      <c r="GM8464"/>
      <c r="GN8464"/>
      <c r="GO8464"/>
    </row>
    <row r="8465" spans="107:197">
      <c r="DC8465"/>
      <c r="FH8465"/>
      <c r="FI8465"/>
      <c r="FJ8465"/>
      <c r="FK8465"/>
      <c r="FL8465"/>
      <c r="FM8465"/>
      <c r="FN8465"/>
      <c r="FO8465"/>
      <c r="FP8465"/>
      <c r="FQ8465"/>
      <c r="FR8465"/>
      <c r="FS8465"/>
      <c r="FT8465"/>
      <c r="FU8465"/>
      <c r="FV8465"/>
      <c r="FW8465"/>
      <c r="FX8465"/>
      <c r="FY8465"/>
      <c r="FZ8465"/>
      <c r="GA8465"/>
      <c r="GB8465"/>
      <c r="GC8465"/>
      <c r="GD8465"/>
      <c r="GE8465"/>
      <c r="GF8465"/>
      <c r="GG8465"/>
      <c r="GH8465"/>
      <c r="GI8465"/>
      <c r="GJ8465"/>
      <c r="GK8465"/>
      <c r="GL8465"/>
      <c r="GM8465"/>
      <c r="GN8465"/>
      <c r="GO8465"/>
    </row>
    <row r="8466" spans="107:197">
      <c r="DC8466"/>
      <c r="FH8466"/>
      <c r="FI8466"/>
      <c r="FJ8466"/>
      <c r="FK8466"/>
      <c r="FL8466"/>
      <c r="FM8466"/>
      <c r="FN8466"/>
      <c r="FO8466"/>
      <c r="FP8466"/>
      <c r="FQ8466"/>
      <c r="FR8466"/>
      <c r="FS8466"/>
      <c r="FT8466"/>
      <c r="FU8466"/>
      <c r="FV8466"/>
      <c r="FW8466"/>
      <c r="FX8466"/>
      <c r="FY8466"/>
      <c r="FZ8466"/>
      <c r="GA8466"/>
      <c r="GB8466"/>
      <c r="GC8466"/>
      <c r="GD8466"/>
      <c r="GE8466"/>
      <c r="GF8466"/>
      <c r="GG8466"/>
      <c r="GH8466"/>
      <c r="GI8466"/>
      <c r="GJ8466"/>
      <c r="GK8466"/>
      <c r="GL8466"/>
      <c r="GM8466"/>
      <c r="GN8466"/>
      <c r="GO8466"/>
    </row>
    <row r="8467" spans="107:197">
      <c r="DC8467"/>
      <c r="FH8467"/>
      <c r="FI8467"/>
      <c r="FJ8467"/>
      <c r="FK8467"/>
      <c r="FL8467"/>
      <c r="FM8467"/>
      <c r="FN8467"/>
      <c r="FO8467"/>
      <c r="FP8467"/>
      <c r="FQ8467"/>
      <c r="FR8467"/>
      <c r="FS8467"/>
      <c r="FT8467"/>
      <c r="FU8467"/>
      <c r="FV8467"/>
      <c r="FW8467"/>
      <c r="FX8467"/>
      <c r="FY8467"/>
      <c r="FZ8467"/>
      <c r="GA8467"/>
      <c r="GB8467"/>
      <c r="GC8467"/>
      <c r="GD8467"/>
      <c r="GE8467"/>
      <c r="GF8467"/>
      <c r="GG8467"/>
      <c r="GH8467"/>
      <c r="GI8467"/>
      <c r="GJ8467"/>
      <c r="GK8467"/>
      <c r="GL8467"/>
      <c r="GM8467"/>
      <c r="GN8467"/>
      <c r="GO8467"/>
    </row>
    <row r="8468" spans="107:197">
      <c r="DC8468"/>
      <c r="FH8468"/>
      <c r="FI8468"/>
      <c r="FJ8468"/>
      <c r="FK8468"/>
      <c r="FL8468"/>
      <c r="FM8468"/>
      <c r="FN8468"/>
      <c r="FO8468"/>
      <c r="FP8468"/>
      <c r="FQ8468"/>
      <c r="FR8468"/>
      <c r="FS8468"/>
      <c r="FT8468"/>
      <c r="FU8468"/>
      <c r="FV8468"/>
      <c r="FW8468"/>
      <c r="FX8468"/>
      <c r="FY8468"/>
      <c r="FZ8468"/>
      <c r="GA8468"/>
      <c r="GB8468"/>
      <c r="GC8468"/>
      <c r="GD8468"/>
      <c r="GE8468"/>
      <c r="GF8468"/>
      <c r="GG8468"/>
      <c r="GH8468"/>
      <c r="GI8468"/>
      <c r="GJ8468"/>
      <c r="GK8468"/>
      <c r="GL8468"/>
      <c r="GM8468"/>
      <c r="GN8468"/>
      <c r="GO8468"/>
    </row>
    <row r="8469" spans="107:197">
      <c r="DC8469"/>
      <c r="FH8469"/>
      <c r="FI8469"/>
      <c r="FJ8469"/>
      <c r="FK8469"/>
      <c r="FL8469"/>
      <c r="FM8469"/>
      <c r="FN8469"/>
      <c r="FO8469"/>
      <c r="FP8469"/>
      <c r="FQ8469"/>
      <c r="FR8469"/>
      <c r="FS8469"/>
      <c r="FT8469"/>
      <c r="FU8469"/>
      <c r="FV8469"/>
      <c r="FW8469"/>
      <c r="FX8469"/>
      <c r="FY8469"/>
      <c r="FZ8469"/>
      <c r="GA8469"/>
      <c r="GB8469"/>
      <c r="GC8469"/>
      <c r="GD8469"/>
      <c r="GE8469"/>
      <c r="GF8469"/>
      <c r="GG8469"/>
      <c r="GH8469"/>
      <c r="GI8469"/>
      <c r="GJ8469"/>
      <c r="GK8469"/>
      <c r="GL8469"/>
      <c r="GM8469"/>
      <c r="GN8469"/>
      <c r="GO8469"/>
    </row>
    <row r="8470" spans="107:197">
      <c r="DC8470"/>
      <c r="FH8470"/>
      <c r="FI8470"/>
      <c r="FJ8470"/>
      <c r="FK8470"/>
      <c r="FL8470"/>
      <c r="FM8470"/>
      <c r="FN8470"/>
      <c r="FO8470"/>
      <c r="FP8470"/>
      <c r="FQ8470"/>
      <c r="FR8470"/>
      <c r="FS8470"/>
      <c r="FT8470"/>
      <c r="FU8470"/>
      <c r="FV8470"/>
      <c r="FW8470"/>
      <c r="FX8470"/>
      <c r="FY8470"/>
      <c r="FZ8470"/>
      <c r="GA8470"/>
      <c r="GB8470"/>
      <c r="GC8470"/>
      <c r="GD8470"/>
      <c r="GE8470"/>
      <c r="GF8470"/>
      <c r="GG8470"/>
      <c r="GH8470"/>
      <c r="GI8470"/>
      <c r="GJ8470"/>
      <c r="GK8470"/>
      <c r="GL8470"/>
      <c r="GM8470"/>
      <c r="GN8470"/>
      <c r="GO8470"/>
    </row>
    <row r="8471" spans="107:197">
      <c r="DC8471"/>
      <c r="FH8471"/>
      <c r="FI8471"/>
      <c r="FJ8471"/>
      <c r="FK8471"/>
      <c r="FL8471"/>
      <c r="FM8471"/>
      <c r="FN8471"/>
      <c r="FO8471"/>
      <c r="FP8471"/>
      <c r="FQ8471"/>
      <c r="FR8471"/>
      <c r="FS8471"/>
      <c r="FT8471"/>
      <c r="FU8471"/>
      <c r="FV8471"/>
      <c r="FW8471"/>
      <c r="FX8471"/>
      <c r="FY8471"/>
      <c r="FZ8471"/>
      <c r="GA8471"/>
      <c r="GB8471"/>
      <c r="GC8471"/>
      <c r="GD8471"/>
      <c r="GE8471"/>
      <c r="GF8471"/>
      <c r="GG8471"/>
      <c r="GH8471"/>
      <c r="GI8471"/>
      <c r="GJ8471"/>
      <c r="GK8471"/>
      <c r="GL8471"/>
      <c r="GM8471"/>
      <c r="GN8471"/>
      <c r="GO8471"/>
    </row>
    <row r="8472" spans="107:197">
      <c r="DC8472"/>
      <c r="FH8472"/>
      <c r="FI8472"/>
      <c r="FJ8472"/>
      <c r="FK8472"/>
      <c r="FL8472"/>
      <c r="FM8472"/>
      <c r="FN8472"/>
      <c r="FO8472"/>
      <c r="FP8472"/>
      <c r="FQ8472"/>
      <c r="FR8472"/>
      <c r="FS8472"/>
      <c r="FT8472"/>
      <c r="FU8472"/>
      <c r="FV8472"/>
      <c r="FW8472"/>
      <c r="FX8472"/>
      <c r="FY8472"/>
      <c r="FZ8472"/>
      <c r="GA8472"/>
      <c r="GB8472"/>
      <c r="GC8472"/>
      <c r="GD8472"/>
      <c r="GE8472"/>
      <c r="GF8472"/>
      <c r="GG8472"/>
      <c r="GH8472"/>
      <c r="GI8472"/>
      <c r="GJ8472"/>
      <c r="GK8472"/>
      <c r="GL8472"/>
      <c r="GM8472"/>
      <c r="GN8472"/>
      <c r="GO8472"/>
    </row>
    <row r="8473" spans="107:197">
      <c r="DC8473"/>
      <c r="FH8473"/>
      <c r="FI8473"/>
      <c r="FJ8473"/>
      <c r="FK8473"/>
      <c r="FL8473"/>
      <c r="FM8473"/>
      <c r="FN8473"/>
      <c r="FO8473"/>
      <c r="FP8473"/>
      <c r="FQ8473"/>
      <c r="FR8473"/>
      <c r="FS8473"/>
      <c r="FT8473"/>
      <c r="FU8473"/>
      <c r="FV8473"/>
      <c r="FW8473"/>
      <c r="FX8473"/>
      <c r="FY8473"/>
      <c r="FZ8473"/>
      <c r="GA8473"/>
      <c r="GB8473"/>
      <c r="GC8473"/>
      <c r="GD8473"/>
      <c r="GE8473"/>
      <c r="GF8473"/>
      <c r="GG8473"/>
      <c r="GH8473"/>
      <c r="GI8473"/>
      <c r="GJ8473"/>
      <c r="GK8473"/>
      <c r="GL8473"/>
      <c r="GM8473"/>
      <c r="GN8473"/>
      <c r="GO8473"/>
    </row>
    <row r="8474" spans="107:197">
      <c r="DC8474"/>
      <c r="FH8474"/>
      <c r="FI8474"/>
      <c r="FJ8474"/>
      <c r="FK8474"/>
      <c r="FL8474"/>
      <c r="FM8474"/>
      <c r="FN8474"/>
      <c r="FO8474"/>
      <c r="FP8474"/>
      <c r="FQ8474"/>
      <c r="FR8474"/>
      <c r="FS8474"/>
      <c r="FT8474"/>
      <c r="FU8474"/>
      <c r="FV8474"/>
      <c r="FW8474"/>
      <c r="FX8474"/>
      <c r="FY8474"/>
      <c r="FZ8474"/>
      <c r="GA8474"/>
      <c r="GB8474"/>
      <c r="GC8474"/>
      <c r="GD8474"/>
      <c r="GE8474"/>
      <c r="GF8474"/>
      <c r="GG8474"/>
      <c r="GH8474"/>
      <c r="GI8474"/>
      <c r="GJ8474"/>
      <c r="GK8474"/>
      <c r="GL8474"/>
      <c r="GM8474"/>
      <c r="GN8474"/>
      <c r="GO8474"/>
    </row>
    <row r="8475" spans="107:197">
      <c r="DC8475"/>
      <c r="FH8475"/>
      <c r="FI8475"/>
      <c r="FJ8475"/>
      <c r="FK8475"/>
      <c r="FL8475"/>
      <c r="FM8475"/>
      <c r="FN8475"/>
      <c r="FO8475"/>
      <c r="FP8475"/>
      <c r="FQ8475"/>
      <c r="FR8475"/>
      <c r="FS8475"/>
      <c r="FT8475"/>
      <c r="FU8475"/>
      <c r="FV8475"/>
      <c r="FW8475"/>
      <c r="FX8475"/>
      <c r="FY8475"/>
      <c r="FZ8475"/>
      <c r="GA8475"/>
      <c r="GB8475"/>
      <c r="GC8475"/>
      <c r="GD8475"/>
      <c r="GE8475"/>
      <c r="GF8475"/>
      <c r="GG8475"/>
      <c r="GH8475"/>
      <c r="GI8475"/>
      <c r="GJ8475"/>
      <c r="GK8475"/>
      <c r="GL8475"/>
      <c r="GM8475"/>
      <c r="GN8475"/>
      <c r="GO8475"/>
    </row>
    <row r="8476" spans="107:197">
      <c r="DC8476"/>
      <c r="FH8476"/>
      <c r="FI8476"/>
      <c r="FJ8476"/>
      <c r="FK8476"/>
      <c r="FL8476"/>
      <c r="FM8476"/>
      <c r="FN8476"/>
      <c r="FO8476"/>
      <c r="FP8476"/>
      <c r="FQ8476"/>
      <c r="FR8476"/>
      <c r="FS8476"/>
      <c r="FT8476"/>
      <c r="FU8476"/>
      <c r="FV8476"/>
      <c r="FW8476"/>
      <c r="FX8476"/>
      <c r="FY8476"/>
      <c r="FZ8476"/>
      <c r="GA8476"/>
      <c r="GB8476"/>
      <c r="GC8476"/>
      <c r="GD8476"/>
      <c r="GE8476"/>
      <c r="GF8476"/>
      <c r="GG8476"/>
      <c r="GH8476"/>
      <c r="GI8476"/>
      <c r="GJ8476"/>
      <c r="GK8476"/>
      <c r="GL8476"/>
      <c r="GM8476"/>
      <c r="GN8476"/>
      <c r="GO8476"/>
    </row>
    <row r="8477" spans="107:197">
      <c r="DC8477"/>
      <c r="FH8477"/>
      <c r="FI8477"/>
      <c r="FJ8477"/>
      <c r="FK8477"/>
      <c r="FL8477"/>
      <c r="FM8477"/>
      <c r="FN8477"/>
      <c r="FO8477"/>
      <c r="FP8477"/>
      <c r="FQ8477"/>
      <c r="FR8477"/>
      <c r="FS8477"/>
      <c r="FT8477"/>
      <c r="FU8477"/>
      <c r="FV8477"/>
      <c r="FW8477"/>
      <c r="FX8477"/>
      <c r="FY8477"/>
      <c r="FZ8477"/>
      <c r="GA8477"/>
      <c r="GB8477"/>
      <c r="GC8477"/>
      <c r="GD8477"/>
      <c r="GE8477"/>
      <c r="GF8477"/>
      <c r="GG8477"/>
      <c r="GH8477"/>
      <c r="GI8477"/>
      <c r="GJ8477"/>
      <c r="GK8477"/>
      <c r="GL8477"/>
      <c r="GM8477"/>
      <c r="GN8477"/>
      <c r="GO8477"/>
    </row>
    <row r="8478" spans="107:197">
      <c r="DC8478"/>
      <c r="FH8478"/>
      <c r="FI8478"/>
      <c r="FJ8478"/>
      <c r="FK8478"/>
      <c r="FL8478"/>
      <c r="FM8478"/>
      <c r="FN8478"/>
      <c r="FO8478"/>
      <c r="FP8478"/>
      <c r="FQ8478"/>
      <c r="FR8478"/>
      <c r="FS8478"/>
      <c r="FT8478"/>
      <c r="FU8478"/>
      <c r="FV8478"/>
      <c r="FW8478"/>
      <c r="FX8478"/>
      <c r="FY8478"/>
      <c r="FZ8478"/>
      <c r="GA8478"/>
      <c r="GB8478"/>
      <c r="GC8478"/>
      <c r="GD8478"/>
      <c r="GE8478"/>
      <c r="GF8478"/>
      <c r="GG8478"/>
      <c r="GH8478"/>
      <c r="GI8478"/>
      <c r="GJ8478"/>
      <c r="GK8478"/>
      <c r="GL8478"/>
      <c r="GM8478"/>
      <c r="GN8478"/>
      <c r="GO8478"/>
    </row>
    <row r="8479" spans="107:197">
      <c r="DC8479"/>
      <c r="FH8479"/>
      <c r="FI8479"/>
      <c r="FJ8479"/>
      <c r="FK8479"/>
      <c r="FL8479"/>
      <c r="FM8479"/>
      <c r="FN8479"/>
      <c r="FO8479"/>
      <c r="FP8479"/>
      <c r="FQ8479"/>
      <c r="FR8479"/>
      <c r="FS8479"/>
      <c r="FT8479"/>
      <c r="FU8479"/>
      <c r="FV8479"/>
      <c r="FW8479"/>
      <c r="FX8479"/>
      <c r="FY8479"/>
      <c r="FZ8479"/>
      <c r="GA8479"/>
      <c r="GB8479"/>
      <c r="GC8479"/>
      <c r="GD8479"/>
      <c r="GE8479"/>
      <c r="GF8479"/>
      <c r="GG8479"/>
      <c r="GH8479"/>
      <c r="GI8479"/>
      <c r="GJ8479"/>
      <c r="GK8479"/>
      <c r="GL8479"/>
      <c r="GM8479"/>
      <c r="GN8479"/>
      <c r="GO8479"/>
    </row>
    <row r="8480" spans="107:197">
      <c r="DC8480"/>
      <c r="FH8480"/>
      <c r="FI8480"/>
      <c r="FJ8480"/>
      <c r="FK8480"/>
      <c r="FL8480"/>
      <c r="FM8480"/>
      <c r="FN8480"/>
      <c r="FO8480"/>
      <c r="FP8480"/>
      <c r="FQ8480"/>
      <c r="FR8480"/>
      <c r="FS8480"/>
      <c r="FT8480"/>
      <c r="FU8480"/>
      <c r="FV8480"/>
      <c r="FW8480"/>
      <c r="FX8480"/>
      <c r="FY8480"/>
      <c r="FZ8480"/>
      <c r="GA8480"/>
      <c r="GB8480"/>
      <c r="GC8480"/>
      <c r="GD8480"/>
      <c r="GE8480"/>
      <c r="GF8480"/>
      <c r="GG8480"/>
      <c r="GH8480"/>
      <c r="GI8480"/>
      <c r="GJ8480"/>
      <c r="GK8480"/>
      <c r="GL8480"/>
      <c r="GM8480"/>
      <c r="GN8480"/>
      <c r="GO8480"/>
    </row>
    <row r="8481" spans="107:197">
      <c r="DC8481"/>
      <c r="FH8481"/>
      <c r="FI8481"/>
      <c r="FJ8481"/>
      <c r="FK8481"/>
      <c r="FL8481"/>
      <c r="FM8481"/>
      <c r="FN8481"/>
      <c r="FO8481"/>
      <c r="FP8481"/>
      <c r="FQ8481"/>
      <c r="FR8481"/>
      <c r="FS8481"/>
      <c r="FT8481"/>
      <c r="FU8481"/>
      <c r="FV8481"/>
      <c r="FW8481"/>
      <c r="FX8481"/>
      <c r="FY8481"/>
      <c r="FZ8481"/>
      <c r="GA8481"/>
      <c r="GB8481"/>
      <c r="GC8481"/>
      <c r="GD8481"/>
      <c r="GE8481"/>
      <c r="GF8481"/>
      <c r="GG8481"/>
      <c r="GH8481"/>
      <c r="GI8481"/>
      <c r="GJ8481"/>
      <c r="GK8481"/>
      <c r="GL8481"/>
      <c r="GM8481"/>
      <c r="GN8481"/>
      <c r="GO8481"/>
    </row>
    <row r="8482" spans="107:197">
      <c r="DC8482"/>
      <c r="FH8482"/>
      <c r="FI8482"/>
      <c r="FJ8482"/>
      <c r="FK8482"/>
      <c r="FL8482"/>
      <c r="FM8482"/>
      <c r="FN8482"/>
      <c r="FO8482"/>
      <c r="FP8482"/>
      <c r="FQ8482"/>
      <c r="FR8482"/>
      <c r="FS8482"/>
      <c r="FT8482"/>
      <c r="FU8482"/>
      <c r="FV8482"/>
      <c r="FW8482"/>
      <c r="FX8482"/>
      <c r="FY8482"/>
      <c r="FZ8482"/>
      <c r="GA8482"/>
      <c r="GB8482"/>
      <c r="GC8482"/>
      <c r="GD8482"/>
      <c r="GE8482"/>
      <c r="GF8482"/>
      <c r="GG8482"/>
      <c r="GH8482"/>
      <c r="GI8482"/>
      <c r="GJ8482"/>
      <c r="GK8482"/>
      <c r="GL8482"/>
      <c r="GM8482"/>
      <c r="GN8482"/>
      <c r="GO8482"/>
    </row>
    <row r="8483" spans="107:197">
      <c r="DC8483"/>
      <c r="FH8483"/>
      <c r="FI8483"/>
      <c r="FJ8483"/>
      <c r="FK8483"/>
      <c r="FL8483"/>
      <c r="FM8483"/>
      <c r="FN8483"/>
      <c r="FO8483"/>
      <c r="FP8483"/>
      <c r="FQ8483"/>
      <c r="FR8483"/>
      <c r="FS8483"/>
      <c r="FT8483"/>
      <c r="FU8483"/>
      <c r="FV8483"/>
      <c r="FW8483"/>
      <c r="FX8483"/>
      <c r="FY8483"/>
      <c r="FZ8483"/>
      <c r="GA8483"/>
      <c r="GB8483"/>
      <c r="GC8483"/>
      <c r="GD8483"/>
      <c r="GE8483"/>
      <c r="GF8483"/>
      <c r="GG8483"/>
      <c r="GH8483"/>
      <c r="GI8483"/>
      <c r="GJ8483"/>
      <c r="GK8483"/>
      <c r="GL8483"/>
      <c r="GM8483"/>
      <c r="GN8483"/>
      <c r="GO8483"/>
    </row>
    <row r="8484" spans="107:197">
      <c r="DC8484"/>
      <c r="FH8484"/>
      <c r="FI8484"/>
      <c r="FJ8484"/>
      <c r="FK8484"/>
      <c r="FL8484"/>
      <c r="FM8484"/>
      <c r="FN8484"/>
      <c r="FO8484"/>
      <c r="FP8484"/>
      <c r="FQ8484"/>
      <c r="FR8484"/>
      <c r="FS8484"/>
      <c r="FT8484"/>
      <c r="FU8484"/>
      <c r="FV8484"/>
      <c r="FW8484"/>
      <c r="FX8484"/>
      <c r="FY8484"/>
      <c r="FZ8484"/>
      <c r="GA8484"/>
      <c r="GB8484"/>
      <c r="GC8484"/>
      <c r="GD8484"/>
      <c r="GE8484"/>
      <c r="GF8484"/>
      <c r="GG8484"/>
      <c r="GH8484"/>
      <c r="GI8484"/>
      <c r="GJ8484"/>
      <c r="GK8484"/>
      <c r="GL8484"/>
      <c r="GM8484"/>
      <c r="GN8484"/>
      <c r="GO8484"/>
    </row>
    <row r="8485" spans="107:197">
      <c r="DC8485"/>
      <c r="FH8485"/>
      <c r="FI8485"/>
      <c r="FJ8485"/>
      <c r="FK8485"/>
      <c r="FL8485"/>
      <c r="FM8485"/>
      <c r="FN8485"/>
      <c r="FO8485"/>
      <c r="FP8485"/>
      <c r="FQ8485"/>
      <c r="FR8485"/>
      <c r="FS8485"/>
      <c r="FT8485"/>
      <c r="FU8485"/>
      <c r="FV8485"/>
      <c r="FW8485"/>
      <c r="FX8485"/>
      <c r="FY8485"/>
      <c r="FZ8485"/>
      <c r="GA8485"/>
      <c r="GB8485"/>
      <c r="GC8485"/>
      <c r="GD8485"/>
      <c r="GE8485"/>
      <c r="GF8485"/>
      <c r="GG8485"/>
      <c r="GH8485"/>
      <c r="GI8485"/>
      <c r="GJ8485"/>
      <c r="GK8485"/>
      <c r="GL8485"/>
      <c r="GM8485"/>
      <c r="GN8485"/>
      <c r="GO8485"/>
    </row>
    <row r="8486" spans="107:197">
      <c r="DC8486"/>
      <c r="FH8486"/>
      <c r="FI8486"/>
      <c r="FJ8486"/>
      <c r="FK8486"/>
      <c r="FL8486"/>
      <c r="FM8486"/>
      <c r="FN8486"/>
      <c r="FO8486"/>
      <c r="FP8486"/>
      <c r="FQ8486"/>
      <c r="FR8486"/>
      <c r="FS8486"/>
      <c r="FT8486"/>
      <c r="FU8486"/>
      <c r="FV8486"/>
      <c r="FW8486"/>
      <c r="FX8486"/>
      <c r="FY8486"/>
      <c r="FZ8486"/>
      <c r="GA8486"/>
      <c r="GB8486"/>
      <c r="GC8486"/>
      <c r="GD8486"/>
      <c r="GE8486"/>
      <c r="GF8486"/>
      <c r="GG8486"/>
      <c r="GH8486"/>
      <c r="GI8486"/>
      <c r="GJ8486"/>
      <c r="GK8486"/>
      <c r="GL8486"/>
      <c r="GM8486"/>
      <c r="GN8486"/>
      <c r="GO8486"/>
    </row>
    <row r="8487" spans="107:197">
      <c r="DC8487"/>
      <c r="FH8487"/>
      <c r="FI8487"/>
      <c r="FJ8487"/>
      <c r="FK8487"/>
      <c r="FL8487"/>
      <c r="FM8487"/>
      <c r="FN8487"/>
      <c r="FO8487"/>
      <c r="FP8487"/>
      <c r="FQ8487"/>
      <c r="FR8487"/>
      <c r="FS8487"/>
      <c r="FT8487"/>
      <c r="FU8487"/>
      <c r="FV8487"/>
      <c r="FW8487"/>
      <c r="FX8487"/>
      <c r="FY8487"/>
      <c r="FZ8487"/>
      <c r="GA8487"/>
      <c r="GB8487"/>
      <c r="GC8487"/>
      <c r="GD8487"/>
      <c r="GE8487"/>
      <c r="GF8487"/>
      <c r="GG8487"/>
      <c r="GH8487"/>
      <c r="GI8487"/>
      <c r="GJ8487"/>
      <c r="GK8487"/>
      <c r="GL8487"/>
      <c r="GM8487"/>
      <c r="GN8487"/>
      <c r="GO8487"/>
    </row>
    <row r="8488" spans="107:197">
      <c r="DC8488"/>
      <c r="FH8488"/>
      <c r="FI8488"/>
      <c r="FJ8488"/>
      <c r="FK8488"/>
      <c r="FL8488"/>
      <c r="FM8488"/>
      <c r="FN8488"/>
      <c r="FO8488"/>
      <c r="FP8488"/>
      <c r="FQ8488"/>
      <c r="FR8488"/>
      <c r="FS8488"/>
      <c r="FT8488"/>
      <c r="FU8488"/>
      <c r="FV8488"/>
      <c r="FW8488"/>
      <c r="FX8488"/>
      <c r="FY8488"/>
      <c r="FZ8488"/>
      <c r="GA8488"/>
      <c r="GB8488"/>
      <c r="GC8488"/>
      <c r="GD8488"/>
      <c r="GE8488"/>
      <c r="GF8488"/>
      <c r="GG8488"/>
      <c r="GH8488"/>
      <c r="GI8488"/>
      <c r="GJ8488"/>
      <c r="GK8488"/>
      <c r="GL8488"/>
      <c r="GM8488"/>
      <c r="GN8488"/>
      <c r="GO8488"/>
    </row>
    <row r="8489" spans="107:197">
      <c r="DC8489"/>
      <c r="FH8489"/>
      <c r="FI8489"/>
      <c r="FJ8489"/>
      <c r="FK8489"/>
      <c r="FL8489"/>
      <c r="FM8489"/>
      <c r="FN8489"/>
      <c r="FO8489"/>
      <c r="FP8489"/>
      <c r="FQ8489"/>
      <c r="FR8489"/>
      <c r="FS8489"/>
      <c r="FT8489"/>
      <c r="FU8489"/>
      <c r="FV8489"/>
      <c r="FW8489"/>
      <c r="FX8489"/>
      <c r="FY8489"/>
      <c r="FZ8489"/>
      <c r="GA8489"/>
      <c r="GB8489"/>
      <c r="GC8489"/>
      <c r="GD8489"/>
      <c r="GE8489"/>
      <c r="GF8489"/>
      <c r="GG8489"/>
      <c r="GH8489"/>
      <c r="GI8489"/>
      <c r="GJ8489"/>
      <c r="GK8489"/>
      <c r="GL8489"/>
      <c r="GM8489"/>
      <c r="GN8489"/>
      <c r="GO8489"/>
    </row>
    <row r="8490" spans="107:197">
      <c r="DC8490"/>
      <c r="FH8490"/>
      <c r="FI8490"/>
      <c r="FJ8490"/>
      <c r="FK8490"/>
      <c r="FL8490"/>
      <c r="FM8490"/>
      <c r="FN8490"/>
      <c r="FO8490"/>
      <c r="FP8490"/>
      <c r="FQ8490"/>
      <c r="FR8490"/>
      <c r="FS8490"/>
      <c r="FT8490"/>
      <c r="FU8490"/>
      <c r="FV8490"/>
      <c r="FW8490"/>
      <c r="FX8490"/>
      <c r="FY8490"/>
      <c r="FZ8490"/>
      <c r="GA8490"/>
      <c r="GB8490"/>
      <c r="GC8490"/>
      <c r="GD8490"/>
      <c r="GE8490"/>
      <c r="GF8490"/>
      <c r="GG8490"/>
      <c r="GH8490"/>
      <c r="GI8490"/>
      <c r="GJ8490"/>
      <c r="GK8490"/>
      <c r="GL8490"/>
      <c r="GM8490"/>
      <c r="GN8490"/>
      <c r="GO8490"/>
    </row>
    <row r="8491" spans="107:197">
      <c r="DC8491"/>
      <c r="FH8491"/>
      <c r="FI8491"/>
      <c r="FJ8491"/>
      <c r="FK8491"/>
      <c r="FL8491"/>
      <c r="FM8491"/>
      <c r="FN8491"/>
      <c r="FO8491"/>
      <c r="FP8491"/>
      <c r="FQ8491"/>
      <c r="FR8491"/>
      <c r="FS8491"/>
      <c r="FT8491"/>
      <c r="FU8491"/>
      <c r="FV8491"/>
      <c r="FW8491"/>
      <c r="FX8491"/>
      <c r="FY8491"/>
      <c r="FZ8491"/>
      <c r="GA8491"/>
      <c r="GB8491"/>
      <c r="GC8491"/>
      <c r="GD8491"/>
      <c r="GE8491"/>
      <c r="GF8491"/>
      <c r="GG8491"/>
      <c r="GH8491"/>
      <c r="GI8491"/>
      <c r="GJ8491"/>
      <c r="GK8491"/>
      <c r="GL8491"/>
      <c r="GM8491"/>
      <c r="GN8491"/>
      <c r="GO8491"/>
    </row>
    <row r="8492" spans="107:197">
      <c r="DC8492"/>
      <c r="FH8492"/>
      <c r="FI8492"/>
      <c r="FJ8492"/>
      <c r="FK8492"/>
      <c r="FL8492"/>
      <c r="FM8492"/>
      <c r="FN8492"/>
      <c r="FO8492"/>
      <c r="FP8492"/>
      <c r="FQ8492"/>
      <c r="FR8492"/>
      <c r="FS8492"/>
      <c r="FT8492"/>
      <c r="FU8492"/>
      <c r="FV8492"/>
      <c r="FW8492"/>
      <c r="FX8492"/>
      <c r="FY8492"/>
      <c r="FZ8492"/>
      <c r="GA8492"/>
      <c r="GB8492"/>
      <c r="GC8492"/>
      <c r="GD8492"/>
      <c r="GE8492"/>
      <c r="GF8492"/>
      <c r="GG8492"/>
      <c r="GH8492"/>
      <c r="GI8492"/>
      <c r="GJ8492"/>
      <c r="GK8492"/>
      <c r="GL8492"/>
      <c r="GM8492"/>
      <c r="GN8492"/>
      <c r="GO8492"/>
    </row>
    <row r="8493" spans="107:197">
      <c r="DC8493"/>
      <c r="FH8493"/>
      <c r="FI8493"/>
      <c r="FJ8493"/>
      <c r="FK8493"/>
      <c r="FL8493"/>
      <c r="FM8493"/>
      <c r="FN8493"/>
      <c r="FO8493"/>
      <c r="FP8493"/>
      <c r="FQ8493"/>
      <c r="FR8493"/>
      <c r="FS8493"/>
      <c r="FT8493"/>
      <c r="FU8493"/>
      <c r="FV8493"/>
      <c r="FW8493"/>
      <c r="FX8493"/>
      <c r="FY8493"/>
      <c r="FZ8493"/>
      <c r="GA8493"/>
      <c r="GB8493"/>
      <c r="GC8493"/>
      <c r="GD8493"/>
      <c r="GE8493"/>
      <c r="GF8493"/>
      <c r="GG8493"/>
      <c r="GH8493"/>
      <c r="GI8493"/>
      <c r="GJ8493"/>
      <c r="GK8493"/>
      <c r="GL8493"/>
      <c r="GM8493"/>
      <c r="GN8493"/>
      <c r="GO8493"/>
    </row>
    <row r="8494" spans="107:197">
      <c r="DC8494"/>
      <c r="FH8494"/>
      <c r="FI8494"/>
      <c r="FJ8494"/>
      <c r="FK8494"/>
      <c r="FL8494"/>
      <c r="FM8494"/>
      <c r="FN8494"/>
      <c r="FO8494"/>
      <c r="FP8494"/>
      <c r="FQ8494"/>
      <c r="FR8494"/>
      <c r="FS8494"/>
      <c r="FT8494"/>
      <c r="FU8494"/>
      <c r="FV8494"/>
      <c r="FW8494"/>
      <c r="FX8494"/>
      <c r="FY8494"/>
      <c r="FZ8494"/>
      <c r="GA8494"/>
      <c r="GB8494"/>
      <c r="GC8494"/>
      <c r="GD8494"/>
      <c r="GE8494"/>
      <c r="GF8494"/>
      <c r="GG8494"/>
      <c r="GH8494"/>
      <c r="GI8494"/>
      <c r="GJ8494"/>
      <c r="GK8494"/>
      <c r="GL8494"/>
      <c r="GM8494"/>
      <c r="GN8494"/>
      <c r="GO8494"/>
    </row>
    <row r="8495" spans="107:197">
      <c r="DC8495"/>
      <c r="FH8495"/>
      <c r="FI8495"/>
      <c r="FJ8495"/>
      <c r="FK8495"/>
      <c r="FL8495"/>
      <c r="FM8495"/>
      <c r="FN8495"/>
      <c r="FO8495"/>
      <c r="FP8495"/>
      <c r="FQ8495"/>
      <c r="FR8495"/>
      <c r="FS8495"/>
      <c r="FT8495"/>
      <c r="FU8495"/>
      <c r="FV8495"/>
      <c r="FW8495"/>
      <c r="FX8495"/>
      <c r="FY8495"/>
      <c r="FZ8495"/>
      <c r="GA8495"/>
      <c r="GB8495"/>
      <c r="GC8495"/>
      <c r="GD8495"/>
      <c r="GE8495"/>
      <c r="GF8495"/>
      <c r="GG8495"/>
      <c r="GH8495"/>
      <c r="GI8495"/>
      <c r="GJ8495"/>
      <c r="GK8495"/>
      <c r="GL8495"/>
      <c r="GM8495"/>
      <c r="GN8495"/>
      <c r="GO8495"/>
    </row>
    <row r="8496" spans="107:197">
      <c r="DC8496"/>
      <c r="FH8496"/>
      <c r="FI8496"/>
      <c r="FJ8496"/>
      <c r="FK8496"/>
      <c r="FL8496"/>
      <c r="FM8496"/>
      <c r="FN8496"/>
      <c r="FO8496"/>
      <c r="FP8496"/>
      <c r="FQ8496"/>
      <c r="FR8496"/>
      <c r="FS8496"/>
      <c r="FT8496"/>
      <c r="FU8496"/>
      <c r="FV8496"/>
      <c r="FW8496"/>
      <c r="FX8496"/>
      <c r="FY8496"/>
      <c r="FZ8496"/>
      <c r="GA8496"/>
      <c r="GB8496"/>
      <c r="GC8496"/>
      <c r="GD8496"/>
      <c r="GE8496"/>
      <c r="GF8496"/>
      <c r="GG8496"/>
      <c r="GH8496"/>
      <c r="GI8496"/>
      <c r="GJ8496"/>
      <c r="GK8496"/>
      <c r="GL8496"/>
      <c r="GM8496"/>
      <c r="GN8496"/>
      <c r="GO8496"/>
    </row>
    <row r="8497" spans="107:197">
      <c r="DC8497"/>
      <c r="FH8497"/>
      <c r="FI8497"/>
      <c r="FJ8497"/>
      <c r="FK8497"/>
      <c r="FL8497"/>
      <c r="FM8497"/>
      <c r="FN8497"/>
      <c r="FO8497"/>
      <c r="FP8497"/>
      <c r="FQ8497"/>
      <c r="FR8497"/>
      <c r="FS8497"/>
      <c r="FT8497"/>
      <c r="FU8497"/>
      <c r="FV8497"/>
      <c r="FW8497"/>
      <c r="FX8497"/>
      <c r="FY8497"/>
      <c r="FZ8497"/>
      <c r="GA8497"/>
      <c r="GB8497"/>
      <c r="GC8497"/>
      <c r="GD8497"/>
      <c r="GE8497"/>
      <c r="GF8497"/>
      <c r="GG8497"/>
      <c r="GH8497"/>
      <c r="GI8497"/>
      <c r="GJ8497"/>
      <c r="GK8497"/>
      <c r="GL8497"/>
      <c r="GM8497"/>
      <c r="GN8497"/>
      <c r="GO8497"/>
    </row>
    <row r="8498" spans="107:197">
      <c r="DC8498"/>
      <c r="FH8498"/>
      <c r="FI8498"/>
      <c r="FJ8498"/>
      <c r="FK8498"/>
      <c r="FL8498"/>
      <c r="FM8498"/>
      <c r="FN8498"/>
      <c r="FO8498"/>
      <c r="FP8498"/>
      <c r="FQ8498"/>
      <c r="FR8498"/>
      <c r="FS8498"/>
      <c r="FT8498"/>
      <c r="FU8498"/>
      <c r="FV8498"/>
      <c r="FW8498"/>
      <c r="FX8498"/>
      <c r="FY8498"/>
      <c r="FZ8498"/>
      <c r="GA8498"/>
      <c r="GB8498"/>
      <c r="GC8498"/>
      <c r="GD8498"/>
      <c r="GE8498"/>
      <c r="GF8498"/>
      <c r="GG8498"/>
      <c r="GH8498"/>
      <c r="GI8498"/>
      <c r="GJ8498"/>
      <c r="GK8498"/>
      <c r="GL8498"/>
      <c r="GM8498"/>
      <c r="GN8498"/>
      <c r="GO8498"/>
    </row>
    <row r="8499" spans="107:197">
      <c r="DC8499"/>
      <c r="FH8499"/>
      <c r="FI8499"/>
      <c r="FJ8499"/>
      <c r="FK8499"/>
      <c r="FL8499"/>
      <c r="FM8499"/>
      <c r="FN8499"/>
      <c r="FO8499"/>
      <c r="FP8499"/>
      <c r="FQ8499"/>
      <c r="FR8499"/>
      <c r="FS8499"/>
      <c r="FT8499"/>
      <c r="FU8499"/>
      <c r="FV8499"/>
      <c r="FW8499"/>
      <c r="FX8499"/>
      <c r="FY8499"/>
      <c r="FZ8499"/>
      <c r="GA8499"/>
      <c r="GB8499"/>
      <c r="GC8499"/>
      <c r="GD8499"/>
      <c r="GE8499"/>
      <c r="GF8499"/>
      <c r="GG8499"/>
      <c r="GH8499"/>
      <c r="GI8499"/>
      <c r="GJ8499"/>
      <c r="GK8499"/>
      <c r="GL8499"/>
      <c r="GM8499"/>
      <c r="GN8499"/>
      <c r="GO8499"/>
    </row>
    <row r="8500" spans="107:197">
      <c r="DC8500"/>
      <c r="FH8500"/>
      <c r="FI8500"/>
      <c r="FJ8500"/>
      <c r="FK8500"/>
      <c r="FL8500"/>
      <c r="FM8500"/>
      <c r="FN8500"/>
      <c r="FO8500"/>
      <c r="FP8500"/>
      <c r="FQ8500"/>
      <c r="FR8500"/>
      <c r="FS8500"/>
      <c r="FT8500"/>
      <c r="FU8500"/>
      <c r="FV8500"/>
      <c r="FW8500"/>
      <c r="FX8500"/>
      <c r="FY8500"/>
      <c r="FZ8500"/>
      <c r="GA8500"/>
      <c r="GB8500"/>
      <c r="GC8500"/>
      <c r="GD8500"/>
      <c r="GE8500"/>
      <c r="GF8500"/>
      <c r="GG8500"/>
      <c r="GH8500"/>
      <c r="GI8500"/>
      <c r="GJ8500"/>
      <c r="GK8500"/>
      <c r="GL8500"/>
      <c r="GM8500"/>
      <c r="GN8500"/>
      <c r="GO8500"/>
    </row>
    <row r="8501" spans="107:197">
      <c r="DC8501"/>
      <c r="FH8501"/>
      <c r="FI8501"/>
      <c r="FJ8501"/>
      <c r="FK8501"/>
      <c r="FL8501"/>
      <c r="FM8501"/>
      <c r="FN8501"/>
      <c r="FO8501"/>
      <c r="FP8501"/>
      <c r="FQ8501"/>
      <c r="FR8501"/>
      <c r="FS8501"/>
      <c r="FT8501"/>
      <c r="FU8501"/>
      <c r="FV8501"/>
      <c r="FW8501"/>
      <c r="FX8501"/>
      <c r="FY8501"/>
      <c r="FZ8501"/>
      <c r="GA8501"/>
      <c r="GB8501"/>
      <c r="GC8501"/>
      <c r="GD8501"/>
      <c r="GE8501"/>
      <c r="GF8501"/>
      <c r="GG8501"/>
      <c r="GH8501"/>
      <c r="GI8501"/>
      <c r="GJ8501"/>
      <c r="GK8501"/>
      <c r="GL8501"/>
      <c r="GM8501"/>
      <c r="GN8501"/>
      <c r="GO8501"/>
    </row>
    <row r="8502" spans="107:197">
      <c r="DC8502"/>
      <c r="FH8502"/>
      <c r="FI8502"/>
      <c r="FJ8502"/>
      <c r="FK8502"/>
      <c r="FL8502"/>
      <c r="FM8502"/>
      <c r="FN8502"/>
      <c r="FO8502"/>
      <c r="FP8502"/>
      <c r="FQ8502"/>
      <c r="FR8502"/>
      <c r="FS8502"/>
      <c r="FT8502"/>
      <c r="FU8502"/>
      <c r="FV8502"/>
      <c r="FW8502"/>
      <c r="FX8502"/>
      <c r="FY8502"/>
      <c r="FZ8502"/>
      <c r="GA8502"/>
      <c r="GB8502"/>
      <c r="GC8502"/>
      <c r="GD8502"/>
      <c r="GE8502"/>
      <c r="GF8502"/>
      <c r="GG8502"/>
      <c r="GH8502"/>
      <c r="GI8502"/>
      <c r="GJ8502"/>
      <c r="GK8502"/>
      <c r="GL8502"/>
      <c r="GM8502"/>
      <c r="GN8502"/>
      <c r="GO8502"/>
    </row>
    <row r="8503" spans="107:197">
      <c r="DC8503"/>
      <c r="FH8503"/>
      <c r="FI8503"/>
      <c r="FJ8503"/>
      <c r="FK8503"/>
      <c r="FL8503"/>
      <c r="FM8503"/>
      <c r="FN8503"/>
      <c r="FO8503"/>
      <c r="FP8503"/>
      <c r="FQ8503"/>
      <c r="FR8503"/>
      <c r="FS8503"/>
      <c r="FT8503"/>
      <c r="FU8503"/>
      <c r="FV8503"/>
      <c r="FW8503"/>
      <c r="FX8503"/>
      <c r="FY8503"/>
      <c r="FZ8503"/>
      <c r="GA8503"/>
      <c r="GB8503"/>
      <c r="GC8503"/>
      <c r="GD8503"/>
      <c r="GE8503"/>
      <c r="GF8503"/>
      <c r="GG8503"/>
      <c r="GH8503"/>
      <c r="GI8503"/>
      <c r="GJ8503"/>
      <c r="GK8503"/>
      <c r="GL8503"/>
      <c r="GM8503"/>
      <c r="GN8503"/>
      <c r="GO8503"/>
    </row>
    <row r="8504" spans="107:197">
      <c r="DC8504"/>
      <c r="FH8504"/>
      <c r="FI8504"/>
      <c r="FJ8504"/>
      <c r="FK8504"/>
      <c r="FL8504"/>
      <c r="FM8504"/>
      <c r="FN8504"/>
      <c r="FO8504"/>
      <c r="FP8504"/>
      <c r="FQ8504"/>
      <c r="FR8504"/>
      <c r="FS8504"/>
      <c r="FT8504"/>
      <c r="FU8504"/>
      <c r="FV8504"/>
      <c r="FW8504"/>
      <c r="FX8504"/>
      <c r="FY8504"/>
      <c r="FZ8504"/>
      <c r="GA8504"/>
      <c r="GB8504"/>
      <c r="GC8504"/>
      <c r="GD8504"/>
      <c r="GE8504"/>
      <c r="GF8504"/>
      <c r="GG8504"/>
      <c r="GH8504"/>
      <c r="GI8504"/>
      <c r="GJ8504"/>
      <c r="GK8504"/>
      <c r="GL8504"/>
      <c r="GM8504"/>
      <c r="GN8504"/>
      <c r="GO8504"/>
    </row>
    <row r="8505" spans="107:197">
      <c r="DC8505"/>
      <c r="FH8505"/>
      <c r="FI8505"/>
      <c r="FJ8505"/>
      <c r="FK8505"/>
      <c r="FL8505"/>
      <c r="FM8505"/>
      <c r="FN8505"/>
      <c r="FO8505"/>
      <c r="FP8505"/>
      <c r="FQ8505"/>
      <c r="FR8505"/>
      <c r="FS8505"/>
      <c r="FT8505"/>
      <c r="FU8505"/>
      <c r="FV8505"/>
      <c r="FW8505"/>
      <c r="FX8505"/>
      <c r="FY8505"/>
      <c r="FZ8505"/>
      <c r="GA8505"/>
      <c r="GB8505"/>
      <c r="GC8505"/>
      <c r="GD8505"/>
      <c r="GE8505"/>
      <c r="GF8505"/>
      <c r="GG8505"/>
      <c r="GH8505"/>
      <c r="GI8505"/>
      <c r="GJ8505"/>
      <c r="GK8505"/>
      <c r="GL8505"/>
      <c r="GM8505"/>
      <c r="GN8505"/>
      <c r="GO8505"/>
    </row>
    <row r="8506" spans="107:197">
      <c r="DC8506"/>
      <c r="FH8506"/>
      <c r="FI8506"/>
      <c r="FJ8506"/>
      <c r="FK8506"/>
      <c r="FL8506"/>
      <c r="FM8506"/>
      <c r="FN8506"/>
      <c r="FO8506"/>
      <c r="FP8506"/>
      <c r="FQ8506"/>
      <c r="FR8506"/>
      <c r="FS8506"/>
      <c r="FT8506"/>
      <c r="FU8506"/>
      <c r="FV8506"/>
      <c r="FW8506"/>
      <c r="FX8506"/>
      <c r="FY8506"/>
      <c r="FZ8506"/>
      <c r="GA8506"/>
      <c r="GB8506"/>
      <c r="GC8506"/>
      <c r="GD8506"/>
      <c r="GE8506"/>
      <c r="GF8506"/>
      <c r="GG8506"/>
      <c r="GH8506"/>
      <c r="GI8506"/>
      <c r="GJ8506"/>
      <c r="GK8506"/>
      <c r="GL8506"/>
      <c r="GM8506"/>
      <c r="GN8506"/>
      <c r="GO8506"/>
    </row>
    <row r="8507" spans="107:197">
      <c r="DC8507"/>
      <c r="FH8507"/>
      <c r="FI8507"/>
      <c r="FJ8507"/>
      <c r="FK8507"/>
      <c r="FL8507"/>
      <c r="FM8507"/>
      <c r="FN8507"/>
      <c r="FO8507"/>
      <c r="FP8507"/>
      <c r="FQ8507"/>
      <c r="FR8507"/>
      <c r="FS8507"/>
      <c r="FT8507"/>
      <c r="FU8507"/>
      <c r="FV8507"/>
      <c r="FW8507"/>
      <c r="FX8507"/>
      <c r="FY8507"/>
      <c r="FZ8507"/>
      <c r="GA8507"/>
      <c r="GB8507"/>
      <c r="GC8507"/>
      <c r="GD8507"/>
      <c r="GE8507"/>
      <c r="GF8507"/>
      <c r="GG8507"/>
      <c r="GH8507"/>
      <c r="GI8507"/>
      <c r="GJ8507"/>
      <c r="GK8507"/>
      <c r="GL8507"/>
      <c r="GM8507"/>
      <c r="GN8507"/>
      <c r="GO8507"/>
    </row>
    <row r="8508" spans="107:197">
      <c r="DC8508"/>
      <c r="FH8508"/>
      <c r="FI8508"/>
      <c r="FJ8508"/>
      <c r="FK8508"/>
      <c r="FL8508"/>
      <c r="FM8508"/>
      <c r="FN8508"/>
      <c r="FO8508"/>
      <c r="FP8508"/>
      <c r="FQ8508"/>
      <c r="FR8508"/>
      <c r="FS8508"/>
      <c r="FT8508"/>
      <c r="FU8508"/>
      <c r="FV8508"/>
      <c r="FW8508"/>
      <c r="FX8508"/>
      <c r="FY8508"/>
      <c r="FZ8508"/>
      <c r="GA8508"/>
      <c r="GB8508"/>
      <c r="GC8508"/>
      <c r="GD8508"/>
      <c r="GE8508"/>
      <c r="GF8508"/>
      <c r="GG8508"/>
      <c r="GH8508"/>
      <c r="GI8508"/>
      <c r="GJ8508"/>
      <c r="GK8508"/>
      <c r="GL8508"/>
      <c r="GM8508"/>
      <c r="GN8508"/>
      <c r="GO8508"/>
    </row>
    <row r="8509" spans="107:197">
      <c r="DC8509"/>
      <c r="FH8509"/>
      <c r="FI8509"/>
      <c r="FJ8509"/>
      <c r="FK8509"/>
      <c r="FL8509"/>
      <c r="FM8509"/>
      <c r="FN8509"/>
      <c r="FO8509"/>
      <c r="FP8509"/>
      <c r="FQ8509"/>
      <c r="FR8509"/>
      <c r="FS8509"/>
      <c r="FT8509"/>
      <c r="FU8509"/>
      <c r="FV8509"/>
      <c r="FW8509"/>
      <c r="FX8509"/>
      <c r="FY8509"/>
      <c r="FZ8509"/>
      <c r="GA8509"/>
      <c r="GB8509"/>
      <c r="GC8509"/>
      <c r="GD8509"/>
      <c r="GE8509"/>
      <c r="GF8509"/>
      <c r="GG8509"/>
      <c r="GH8509"/>
      <c r="GI8509"/>
      <c r="GJ8509"/>
      <c r="GK8509"/>
      <c r="GL8509"/>
      <c r="GM8509"/>
      <c r="GN8509"/>
      <c r="GO8509"/>
    </row>
    <row r="8510" spans="107:197">
      <c r="DC8510"/>
      <c r="FH8510"/>
      <c r="FI8510"/>
      <c r="FJ8510"/>
      <c r="FK8510"/>
      <c r="FL8510"/>
      <c r="FM8510"/>
      <c r="FN8510"/>
      <c r="FO8510"/>
      <c r="FP8510"/>
      <c r="FQ8510"/>
      <c r="FR8510"/>
      <c r="FS8510"/>
      <c r="FT8510"/>
      <c r="FU8510"/>
      <c r="FV8510"/>
      <c r="FW8510"/>
      <c r="FX8510"/>
      <c r="FY8510"/>
      <c r="FZ8510"/>
      <c r="GA8510"/>
      <c r="GB8510"/>
      <c r="GC8510"/>
      <c r="GD8510"/>
      <c r="GE8510"/>
      <c r="GF8510"/>
      <c r="GG8510"/>
      <c r="GH8510"/>
      <c r="GI8510"/>
      <c r="GJ8510"/>
      <c r="GK8510"/>
      <c r="GL8510"/>
      <c r="GM8510"/>
      <c r="GN8510"/>
      <c r="GO8510"/>
    </row>
    <row r="8511" spans="107:197">
      <c r="DC8511"/>
      <c r="FH8511"/>
      <c r="FI8511"/>
      <c r="FJ8511"/>
      <c r="FK8511"/>
      <c r="FL8511"/>
      <c r="FM8511"/>
      <c r="FN8511"/>
      <c r="FO8511"/>
      <c r="FP8511"/>
      <c r="FQ8511"/>
      <c r="FR8511"/>
      <c r="FS8511"/>
      <c r="FT8511"/>
      <c r="FU8511"/>
      <c r="FV8511"/>
      <c r="FW8511"/>
      <c r="FX8511"/>
      <c r="FY8511"/>
      <c r="FZ8511"/>
      <c r="GA8511"/>
      <c r="GB8511"/>
      <c r="GC8511"/>
      <c r="GD8511"/>
      <c r="GE8511"/>
      <c r="GF8511"/>
      <c r="GG8511"/>
      <c r="GH8511"/>
      <c r="GI8511"/>
      <c r="GJ8511"/>
      <c r="GK8511"/>
      <c r="GL8511"/>
      <c r="GM8511"/>
      <c r="GN8511"/>
      <c r="GO8511"/>
    </row>
    <row r="8512" spans="107:197">
      <c r="DC8512"/>
      <c r="FH8512"/>
      <c r="FI8512"/>
      <c r="FJ8512"/>
      <c r="FK8512"/>
      <c r="FL8512"/>
      <c r="FM8512"/>
      <c r="FN8512"/>
      <c r="FO8512"/>
      <c r="FP8512"/>
      <c r="FQ8512"/>
      <c r="FR8512"/>
      <c r="FS8512"/>
      <c r="FT8512"/>
      <c r="FU8512"/>
      <c r="FV8512"/>
      <c r="FW8512"/>
      <c r="FX8512"/>
      <c r="FY8512"/>
      <c r="FZ8512"/>
      <c r="GA8512"/>
      <c r="GB8512"/>
      <c r="GC8512"/>
      <c r="GD8512"/>
      <c r="GE8512"/>
      <c r="GF8512"/>
      <c r="GG8512"/>
      <c r="GH8512"/>
      <c r="GI8512"/>
      <c r="GJ8512"/>
      <c r="GK8512"/>
      <c r="GL8512"/>
      <c r="GM8512"/>
      <c r="GN8512"/>
      <c r="GO8512"/>
    </row>
    <row r="8513" spans="107:197">
      <c r="DC8513"/>
      <c r="FH8513"/>
      <c r="FI8513"/>
      <c r="FJ8513"/>
      <c r="FK8513"/>
      <c r="FL8513"/>
      <c r="FM8513"/>
      <c r="FN8513"/>
      <c r="FO8513"/>
      <c r="FP8513"/>
      <c r="FQ8513"/>
      <c r="FR8513"/>
      <c r="FS8513"/>
      <c r="FT8513"/>
      <c r="FU8513"/>
      <c r="FV8513"/>
      <c r="FW8513"/>
      <c r="FX8513"/>
      <c r="FY8513"/>
      <c r="FZ8513"/>
      <c r="GA8513"/>
      <c r="GB8513"/>
      <c r="GC8513"/>
      <c r="GD8513"/>
      <c r="GE8513"/>
      <c r="GF8513"/>
      <c r="GG8513"/>
      <c r="GH8513"/>
      <c r="GI8513"/>
      <c r="GJ8513"/>
      <c r="GK8513"/>
      <c r="GL8513"/>
      <c r="GM8513"/>
      <c r="GN8513"/>
      <c r="GO8513"/>
    </row>
    <row r="8514" spans="107:197">
      <c r="DC8514"/>
      <c r="FH8514"/>
      <c r="FI8514"/>
      <c r="FJ8514"/>
      <c r="FK8514"/>
      <c r="FL8514"/>
      <c r="FM8514"/>
      <c r="FN8514"/>
      <c r="FO8514"/>
      <c r="FP8514"/>
      <c r="FQ8514"/>
      <c r="FR8514"/>
      <c r="FS8514"/>
      <c r="FT8514"/>
      <c r="FU8514"/>
      <c r="FV8514"/>
      <c r="FW8514"/>
      <c r="FX8514"/>
      <c r="FY8514"/>
      <c r="FZ8514"/>
      <c r="GA8514"/>
      <c r="GB8514"/>
      <c r="GC8514"/>
      <c r="GD8514"/>
      <c r="GE8514"/>
      <c r="GF8514"/>
      <c r="GG8514"/>
      <c r="GH8514"/>
      <c r="GI8514"/>
      <c r="GJ8514"/>
      <c r="GK8514"/>
      <c r="GL8514"/>
      <c r="GM8514"/>
      <c r="GN8514"/>
      <c r="GO8514"/>
    </row>
    <row r="8515" spans="107:197">
      <c r="DC8515"/>
      <c r="FH8515"/>
      <c r="FI8515"/>
      <c r="FJ8515"/>
      <c r="FK8515"/>
      <c r="FL8515"/>
      <c r="FM8515"/>
      <c r="FN8515"/>
      <c r="FO8515"/>
      <c r="FP8515"/>
      <c r="FQ8515"/>
      <c r="FR8515"/>
      <c r="FS8515"/>
      <c r="FT8515"/>
      <c r="FU8515"/>
      <c r="FV8515"/>
      <c r="FW8515"/>
      <c r="FX8515"/>
      <c r="FY8515"/>
      <c r="FZ8515"/>
      <c r="GA8515"/>
      <c r="GB8515"/>
      <c r="GC8515"/>
      <c r="GD8515"/>
      <c r="GE8515"/>
      <c r="GF8515"/>
      <c r="GG8515"/>
      <c r="GH8515"/>
      <c r="GI8515"/>
      <c r="GJ8515"/>
      <c r="GK8515"/>
      <c r="GL8515"/>
      <c r="GM8515"/>
      <c r="GN8515"/>
      <c r="GO8515"/>
    </row>
    <row r="8516" spans="107:197">
      <c r="DC8516"/>
      <c r="FH8516"/>
      <c r="FI8516"/>
      <c r="FJ8516"/>
      <c r="FK8516"/>
      <c r="FL8516"/>
      <c r="FM8516"/>
      <c r="FN8516"/>
      <c r="FO8516"/>
      <c r="FP8516"/>
      <c r="FQ8516"/>
      <c r="FR8516"/>
      <c r="FS8516"/>
      <c r="FT8516"/>
      <c r="FU8516"/>
      <c r="FV8516"/>
      <c r="FW8516"/>
      <c r="FX8516"/>
      <c r="FY8516"/>
      <c r="FZ8516"/>
      <c r="GA8516"/>
      <c r="GB8516"/>
      <c r="GC8516"/>
      <c r="GD8516"/>
      <c r="GE8516"/>
      <c r="GF8516"/>
      <c r="GG8516"/>
      <c r="GH8516"/>
      <c r="GI8516"/>
      <c r="GJ8516"/>
      <c r="GK8516"/>
      <c r="GL8516"/>
      <c r="GM8516"/>
      <c r="GN8516"/>
      <c r="GO8516"/>
    </row>
    <row r="8517" spans="107:197">
      <c r="DC8517"/>
      <c r="FH8517"/>
      <c r="FI8517"/>
      <c r="FJ8517"/>
      <c r="FK8517"/>
      <c r="FL8517"/>
      <c r="FM8517"/>
      <c r="FN8517"/>
      <c r="FO8517"/>
      <c r="FP8517"/>
      <c r="FQ8517"/>
      <c r="FR8517"/>
      <c r="FS8517"/>
      <c r="FT8517"/>
      <c r="FU8517"/>
      <c r="FV8517"/>
      <c r="FW8517"/>
      <c r="FX8517"/>
      <c r="FY8517"/>
      <c r="FZ8517"/>
      <c r="GA8517"/>
      <c r="GB8517"/>
      <c r="GC8517"/>
      <c r="GD8517"/>
      <c r="GE8517"/>
      <c r="GF8517"/>
      <c r="GG8517"/>
      <c r="GH8517"/>
      <c r="GI8517"/>
      <c r="GJ8517"/>
      <c r="GK8517"/>
      <c r="GL8517"/>
      <c r="GM8517"/>
      <c r="GN8517"/>
      <c r="GO8517"/>
    </row>
    <row r="8518" spans="107:197">
      <c r="DC8518"/>
      <c r="FH8518"/>
      <c r="FI8518"/>
      <c r="FJ8518"/>
      <c r="FK8518"/>
      <c r="FL8518"/>
      <c r="FM8518"/>
      <c r="FN8518"/>
      <c r="FO8518"/>
      <c r="FP8518"/>
      <c r="FQ8518"/>
      <c r="FR8518"/>
      <c r="FS8518"/>
      <c r="FT8518"/>
      <c r="FU8518"/>
      <c r="FV8518"/>
      <c r="FW8518"/>
      <c r="FX8518"/>
      <c r="FY8518"/>
      <c r="FZ8518"/>
      <c r="GA8518"/>
      <c r="GB8518"/>
      <c r="GC8518"/>
      <c r="GD8518"/>
      <c r="GE8518"/>
      <c r="GF8518"/>
      <c r="GG8518"/>
      <c r="GH8518"/>
      <c r="GI8518"/>
      <c r="GJ8518"/>
      <c r="GK8518"/>
      <c r="GL8518"/>
      <c r="GM8518"/>
      <c r="GN8518"/>
      <c r="GO8518"/>
    </row>
    <row r="8519" spans="107:197">
      <c r="DC8519"/>
      <c r="FH8519"/>
      <c r="FI8519"/>
      <c r="FJ8519"/>
      <c r="FK8519"/>
      <c r="FL8519"/>
      <c r="FM8519"/>
      <c r="FN8519"/>
      <c r="FO8519"/>
      <c r="FP8519"/>
      <c r="FQ8519"/>
      <c r="FR8519"/>
      <c r="FS8519"/>
      <c r="FT8519"/>
      <c r="FU8519"/>
      <c r="FV8519"/>
      <c r="FW8519"/>
      <c r="FX8519"/>
      <c r="FY8519"/>
      <c r="FZ8519"/>
      <c r="GA8519"/>
      <c r="GB8519"/>
      <c r="GC8519"/>
      <c r="GD8519"/>
      <c r="GE8519"/>
      <c r="GF8519"/>
      <c r="GG8519"/>
      <c r="GH8519"/>
      <c r="GI8519"/>
      <c r="GJ8519"/>
      <c r="GK8519"/>
      <c r="GL8519"/>
      <c r="GM8519"/>
      <c r="GN8519"/>
      <c r="GO8519"/>
    </row>
    <row r="8520" spans="107:197">
      <c r="DC8520"/>
      <c r="FH8520"/>
      <c r="FI8520"/>
      <c r="FJ8520"/>
      <c r="FK8520"/>
      <c r="FL8520"/>
      <c r="FM8520"/>
      <c r="FN8520"/>
      <c r="FO8520"/>
      <c r="FP8520"/>
      <c r="FQ8520"/>
      <c r="FR8520"/>
      <c r="FS8520"/>
      <c r="FT8520"/>
      <c r="FU8520"/>
      <c r="FV8520"/>
      <c r="FW8520"/>
      <c r="FX8520"/>
      <c r="FY8520"/>
      <c r="FZ8520"/>
      <c r="GA8520"/>
      <c r="GB8520"/>
      <c r="GC8520"/>
      <c r="GD8520"/>
      <c r="GE8520"/>
      <c r="GF8520"/>
      <c r="GG8520"/>
      <c r="GH8520"/>
      <c r="GI8520"/>
      <c r="GJ8520"/>
      <c r="GK8520"/>
      <c r="GL8520"/>
      <c r="GM8520"/>
      <c r="GN8520"/>
      <c r="GO8520"/>
    </row>
    <row r="8521" spans="107:197">
      <c r="DC8521"/>
      <c r="FH8521"/>
      <c r="FI8521"/>
      <c r="FJ8521"/>
      <c r="FK8521"/>
      <c r="FL8521"/>
      <c r="FM8521"/>
      <c r="FN8521"/>
      <c r="FO8521"/>
      <c r="FP8521"/>
      <c r="FQ8521"/>
      <c r="FR8521"/>
      <c r="FS8521"/>
      <c r="FT8521"/>
      <c r="FU8521"/>
      <c r="FV8521"/>
      <c r="FW8521"/>
      <c r="FX8521"/>
      <c r="FY8521"/>
      <c r="FZ8521"/>
      <c r="GA8521"/>
      <c r="GB8521"/>
      <c r="GC8521"/>
      <c r="GD8521"/>
      <c r="GE8521"/>
      <c r="GF8521"/>
      <c r="GG8521"/>
      <c r="GH8521"/>
      <c r="GI8521"/>
      <c r="GJ8521"/>
      <c r="GK8521"/>
      <c r="GL8521"/>
      <c r="GM8521"/>
      <c r="GN8521"/>
      <c r="GO8521"/>
    </row>
    <row r="8522" spans="107:197">
      <c r="DC8522"/>
      <c r="FH8522"/>
      <c r="FI8522"/>
      <c r="FJ8522"/>
      <c r="FK8522"/>
      <c r="FL8522"/>
      <c r="FM8522"/>
      <c r="FN8522"/>
      <c r="FO8522"/>
      <c r="FP8522"/>
      <c r="FQ8522"/>
      <c r="FR8522"/>
      <c r="FS8522"/>
      <c r="FT8522"/>
      <c r="FU8522"/>
      <c r="FV8522"/>
      <c r="FW8522"/>
      <c r="FX8522"/>
      <c r="FY8522"/>
      <c r="FZ8522"/>
      <c r="GA8522"/>
      <c r="GB8522"/>
      <c r="GC8522"/>
      <c r="GD8522"/>
      <c r="GE8522"/>
      <c r="GF8522"/>
      <c r="GG8522"/>
      <c r="GH8522"/>
      <c r="GI8522"/>
      <c r="GJ8522"/>
      <c r="GK8522"/>
      <c r="GL8522"/>
      <c r="GM8522"/>
      <c r="GN8522"/>
      <c r="GO8522"/>
    </row>
    <row r="8523" spans="107:197">
      <c r="DC8523"/>
      <c r="FH8523"/>
      <c r="FI8523"/>
      <c r="FJ8523"/>
      <c r="FK8523"/>
      <c r="FL8523"/>
      <c r="FM8523"/>
      <c r="FN8523"/>
      <c r="FO8523"/>
      <c r="FP8523"/>
      <c r="FQ8523"/>
      <c r="FR8523"/>
      <c r="FS8523"/>
      <c r="FT8523"/>
      <c r="FU8523"/>
      <c r="FV8523"/>
      <c r="FW8523"/>
      <c r="FX8523"/>
      <c r="FY8523"/>
      <c r="FZ8523"/>
      <c r="GA8523"/>
      <c r="GB8523"/>
      <c r="GC8523"/>
      <c r="GD8523"/>
      <c r="GE8523"/>
      <c r="GF8523"/>
      <c r="GG8523"/>
      <c r="GH8523"/>
      <c r="GI8523"/>
      <c r="GJ8523"/>
      <c r="GK8523"/>
      <c r="GL8523"/>
      <c r="GM8523"/>
      <c r="GN8523"/>
      <c r="GO8523"/>
    </row>
    <row r="8524" spans="107:197">
      <c r="DC8524"/>
      <c r="FH8524"/>
      <c r="FI8524"/>
      <c r="FJ8524"/>
      <c r="FK8524"/>
      <c r="FL8524"/>
      <c r="FM8524"/>
      <c r="FN8524"/>
      <c r="FO8524"/>
      <c r="FP8524"/>
      <c r="FQ8524"/>
      <c r="FR8524"/>
      <c r="FS8524"/>
      <c r="FT8524"/>
      <c r="FU8524"/>
      <c r="FV8524"/>
      <c r="FW8524"/>
      <c r="FX8524"/>
      <c r="FY8524"/>
      <c r="FZ8524"/>
      <c r="GA8524"/>
      <c r="GB8524"/>
      <c r="GC8524"/>
      <c r="GD8524"/>
      <c r="GE8524"/>
      <c r="GF8524"/>
      <c r="GG8524"/>
      <c r="GH8524"/>
      <c r="GI8524"/>
      <c r="GJ8524"/>
      <c r="GK8524"/>
      <c r="GL8524"/>
      <c r="GM8524"/>
      <c r="GN8524"/>
      <c r="GO8524"/>
    </row>
    <row r="8525" spans="107:197">
      <c r="DC8525"/>
      <c r="FH8525"/>
      <c r="FI8525"/>
      <c r="FJ8525"/>
      <c r="FK8525"/>
      <c r="FL8525"/>
      <c r="FM8525"/>
      <c r="FN8525"/>
      <c r="FO8525"/>
      <c r="FP8525"/>
      <c r="FQ8525"/>
      <c r="FR8525"/>
      <c r="FS8525"/>
      <c r="FT8525"/>
      <c r="FU8525"/>
      <c r="FV8525"/>
      <c r="FW8525"/>
      <c r="FX8525"/>
      <c r="FY8525"/>
      <c r="FZ8525"/>
      <c r="GA8525"/>
      <c r="GB8525"/>
      <c r="GC8525"/>
      <c r="GD8525"/>
      <c r="GE8525"/>
      <c r="GF8525"/>
      <c r="GG8525"/>
      <c r="GH8525"/>
      <c r="GI8525"/>
      <c r="GJ8525"/>
      <c r="GK8525"/>
      <c r="GL8525"/>
      <c r="GM8525"/>
      <c r="GN8525"/>
      <c r="GO8525"/>
    </row>
    <row r="8526" spans="107:197">
      <c r="DC8526"/>
      <c r="FH8526"/>
      <c r="FI8526"/>
      <c r="FJ8526"/>
      <c r="FK8526"/>
      <c r="FL8526"/>
      <c r="FM8526"/>
      <c r="FN8526"/>
      <c r="FO8526"/>
      <c r="FP8526"/>
      <c r="FQ8526"/>
      <c r="FR8526"/>
      <c r="FS8526"/>
      <c r="FT8526"/>
      <c r="FU8526"/>
      <c r="FV8526"/>
      <c r="FW8526"/>
      <c r="FX8526"/>
      <c r="FY8526"/>
      <c r="FZ8526"/>
      <c r="GA8526"/>
      <c r="GB8526"/>
      <c r="GC8526"/>
      <c r="GD8526"/>
      <c r="GE8526"/>
      <c r="GF8526"/>
      <c r="GG8526"/>
      <c r="GH8526"/>
      <c r="GI8526"/>
      <c r="GJ8526"/>
      <c r="GK8526"/>
      <c r="GL8526"/>
      <c r="GM8526"/>
      <c r="GN8526"/>
      <c r="GO8526"/>
    </row>
    <row r="8527" spans="107:197">
      <c r="DC8527"/>
      <c r="FH8527"/>
      <c r="FI8527"/>
      <c r="FJ8527"/>
      <c r="FK8527"/>
      <c r="FL8527"/>
      <c r="FM8527"/>
      <c r="FN8527"/>
      <c r="FO8527"/>
      <c r="FP8527"/>
      <c r="FQ8527"/>
      <c r="FR8527"/>
      <c r="FS8527"/>
      <c r="FT8527"/>
      <c r="FU8527"/>
      <c r="FV8527"/>
      <c r="FW8527"/>
      <c r="FX8527"/>
      <c r="FY8527"/>
      <c r="FZ8527"/>
      <c r="GA8527"/>
      <c r="GB8527"/>
      <c r="GC8527"/>
      <c r="GD8527"/>
      <c r="GE8527"/>
      <c r="GF8527"/>
      <c r="GG8527"/>
      <c r="GH8527"/>
      <c r="GI8527"/>
      <c r="GJ8527"/>
      <c r="GK8527"/>
      <c r="GL8527"/>
      <c r="GM8527"/>
      <c r="GN8527"/>
      <c r="GO8527"/>
    </row>
    <row r="8528" spans="107:197">
      <c r="DC8528"/>
      <c r="FH8528"/>
      <c r="FI8528"/>
      <c r="FJ8528"/>
      <c r="FK8528"/>
      <c r="FL8528"/>
      <c r="FM8528"/>
      <c r="FN8528"/>
      <c r="FO8528"/>
      <c r="FP8528"/>
      <c r="FQ8528"/>
      <c r="FR8528"/>
      <c r="FS8528"/>
      <c r="FT8528"/>
      <c r="FU8528"/>
      <c r="FV8528"/>
      <c r="FW8528"/>
      <c r="FX8528"/>
      <c r="FY8528"/>
      <c r="FZ8528"/>
      <c r="GA8528"/>
      <c r="GB8528"/>
      <c r="GC8528"/>
      <c r="GD8528"/>
      <c r="GE8528"/>
      <c r="GF8528"/>
      <c r="GG8528"/>
      <c r="GH8528"/>
      <c r="GI8528"/>
      <c r="GJ8528"/>
      <c r="GK8528"/>
      <c r="GL8528"/>
      <c r="GM8528"/>
      <c r="GN8528"/>
      <c r="GO8528"/>
    </row>
    <row r="8529" spans="107:197">
      <c r="DC8529"/>
      <c r="FH8529"/>
      <c r="FI8529"/>
      <c r="FJ8529"/>
      <c r="FK8529"/>
      <c r="FL8529"/>
      <c r="FM8529"/>
      <c r="FN8529"/>
      <c r="FO8529"/>
      <c r="FP8529"/>
      <c r="FQ8529"/>
      <c r="FR8529"/>
      <c r="FS8529"/>
      <c r="FT8529"/>
      <c r="FU8529"/>
      <c r="FV8529"/>
      <c r="FW8529"/>
      <c r="FX8529"/>
      <c r="FY8529"/>
      <c r="FZ8529"/>
      <c r="GA8529"/>
      <c r="GB8529"/>
      <c r="GC8529"/>
      <c r="GD8529"/>
      <c r="GE8529"/>
      <c r="GF8529"/>
      <c r="GG8529"/>
      <c r="GH8529"/>
      <c r="GI8529"/>
      <c r="GJ8529"/>
      <c r="GK8529"/>
      <c r="GL8529"/>
      <c r="GM8529"/>
      <c r="GN8529"/>
      <c r="GO8529"/>
    </row>
    <row r="8530" spans="107:197">
      <c r="DC8530"/>
      <c r="FH8530"/>
      <c r="FI8530"/>
      <c r="FJ8530"/>
      <c r="FK8530"/>
      <c r="FL8530"/>
      <c r="FM8530"/>
      <c r="FN8530"/>
      <c r="FO8530"/>
      <c r="FP8530"/>
      <c r="FQ8530"/>
      <c r="FR8530"/>
      <c r="FS8530"/>
      <c r="FT8530"/>
      <c r="FU8530"/>
      <c r="FV8530"/>
      <c r="FW8530"/>
      <c r="FX8530"/>
      <c r="FY8530"/>
      <c r="FZ8530"/>
      <c r="GA8530"/>
      <c r="GB8530"/>
      <c r="GC8530"/>
      <c r="GD8530"/>
      <c r="GE8530"/>
      <c r="GF8530"/>
      <c r="GG8530"/>
      <c r="GH8530"/>
      <c r="GI8530"/>
      <c r="GJ8530"/>
      <c r="GK8530"/>
      <c r="GL8530"/>
      <c r="GM8530"/>
      <c r="GN8530"/>
      <c r="GO8530"/>
    </row>
    <row r="8531" spans="107:197">
      <c r="DC8531"/>
      <c r="FH8531"/>
      <c r="FI8531"/>
      <c r="FJ8531"/>
      <c r="FK8531"/>
      <c r="FL8531"/>
      <c r="FM8531"/>
      <c r="FN8531"/>
      <c r="FO8531"/>
      <c r="FP8531"/>
      <c r="FQ8531"/>
      <c r="FR8531"/>
      <c r="FS8531"/>
      <c r="FT8531"/>
      <c r="FU8531"/>
      <c r="FV8531"/>
      <c r="FW8531"/>
      <c r="FX8531"/>
      <c r="FY8531"/>
      <c r="FZ8531"/>
      <c r="GA8531"/>
      <c r="GB8531"/>
      <c r="GC8531"/>
      <c r="GD8531"/>
      <c r="GE8531"/>
      <c r="GF8531"/>
      <c r="GG8531"/>
      <c r="GH8531"/>
      <c r="GI8531"/>
      <c r="GJ8531"/>
      <c r="GK8531"/>
      <c r="GL8531"/>
      <c r="GM8531"/>
      <c r="GN8531"/>
      <c r="GO8531"/>
    </row>
    <row r="8532" spans="107:197">
      <c r="DC8532"/>
      <c r="FH8532"/>
      <c r="FI8532"/>
      <c r="FJ8532"/>
      <c r="FK8532"/>
      <c r="FL8532"/>
      <c r="FM8532"/>
      <c r="FN8532"/>
      <c r="FO8532"/>
      <c r="FP8532"/>
      <c r="FQ8532"/>
      <c r="FR8532"/>
      <c r="FS8532"/>
      <c r="FT8532"/>
      <c r="FU8532"/>
      <c r="FV8532"/>
      <c r="FW8532"/>
      <c r="FX8532"/>
      <c r="FY8532"/>
      <c r="FZ8532"/>
      <c r="GA8532"/>
      <c r="GB8532"/>
      <c r="GC8532"/>
      <c r="GD8532"/>
      <c r="GE8532"/>
      <c r="GF8532"/>
      <c r="GG8532"/>
      <c r="GH8532"/>
      <c r="GI8532"/>
      <c r="GJ8532"/>
      <c r="GK8532"/>
      <c r="GL8532"/>
      <c r="GM8532"/>
      <c r="GN8532"/>
      <c r="GO8532"/>
    </row>
    <row r="8533" spans="107:197">
      <c r="DC8533"/>
      <c r="FH8533"/>
      <c r="FI8533"/>
      <c r="FJ8533"/>
      <c r="FK8533"/>
      <c r="FL8533"/>
      <c r="FM8533"/>
      <c r="FN8533"/>
      <c r="FO8533"/>
      <c r="FP8533"/>
      <c r="FQ8533"/>
      <c r="FR8533"/>
      <c r="FS8533"/>
      <c r="FT8533"/>
      <c r="FU8533"/>
      <c r="FV8533"/>
      <c r="FW8533"/>
      <c r="FX8533"/>
      <c r="FY8533"/>
      <c r="FZ8533"/>
      <c r="GA8533"/>
      <c r="GB8533"/>
      <c r="GC8533"/>
      <c r="GD8533"/>
      <c r="GE8533"/>
      <c r="GF8533"/>
      <c r="GG8533"/>
      <c r="GH8533"/>
      <c r="GI8533"/>
      <c r="GJ8533"/>
      <c r="GK8533"/>
      <c r="GL8533"/>
      <c r="GM8533"/>
      <c r="GN8533"/>
      <c r="GO8533"/>
    </row>
    <row r="8534" spans="107:197">
      <c r="DC8534"/>
      <c r="FH8534"/>
      <c r="FI8534"/>
      <c r="FJ8534"/>
      <c r="FK8534"/>
      <c r="FL8534"/>
      <c r="FM8534"/>
      <c r="FN8534"/>
      <c r="FO8534"/>
      <c r="FP8534"/>
      <c r="FQ8534"/>
      <c r="FR8534"/>
      <c r="FS8534"/>
      <c r="FT8534"/>
      <c r="FU8534"/>
      <c r="FV8534"/>
      <c r="FW8534"/>
      <c r="FX8534"/>
      <c r="FY8534"/>
      <c r="FZ8534"/>
      <c r="GA8534"/>
      <c r="GB8534"/>
      <c r="GC8534"/>
      <c r="GD8534"/>
      <c r="GE8534"/>
      <c r="GF8534"/>
      <c r="GG8534"/>
      <c r="GH8534"/>
      <c r="GI8534"/>
      <c r="GJ8534"/>
      <c r="GK8534"/>
      <c r="GL8534"/>
      <c r="GM8534"/>
      <c r="GN8534"/>
      <c r="GO8534"/>
    </row>
    <row r="8535" spans="107:197">
      <c r="DC8535"/>
      <c r="FH8535"/>
      <c r="FI8535"/>
      <c r="FJ8535"/>
      <c r="FK8535"/>
      <c r="FL8535"/>
      <c r="FM8535"/>
      <c r="FN8535"/>
      <c r="FO8535"/>
      <c r="FP8535"/>
      <c r="FQ8535"/>
      <c r="FR8535"/>
      <c r="FS8535"/>
      <c r="FT8535"/>
      <c r="FU8535"/>
      <c r="FV8535"/>
      <c r="FW8535"/>
      <c r="FX8535"/>
      <c r="FY8535"/>
      <c r="FZ8535"/>
      <c r="GA8535"/>
      <c r="GB8535"/>
      <c r="GC8535"/>
      <c r="GD8535"/>
      <c r="GE8535"/>
      <c r="GF8535"/>
      <c r="GG8535"/>
      <c r="GH8535"/>
      <c r="GI8535"/>
      <c r="GJ8535"/>
      <c r="GK8535"/>
      <c r="GL8535"/>
      <c r="GM8535"/>
      <c r="GN8535"/>
      <c r="GO8535"/>
    </row>
    <row r="8536" spans="107:197">
      <c r="DC8536"/>
      <c r="FH8536"/>
      <c r="FI8536"/>
      <c r="FJ8536"/>
      <c r="FK8536"/>
      <c r="FL8536"/>
      <c r="FM8536"/>
      <c r="FN8536"/>
      <c r="FO8536"/>
      <c r="FP8536"/>
      <c r="FQ8536"/>
      <c r="FR8536"/>
      <c r="FS8536"/>
      <c r="FT8536"/>
      <c r="FU8536"/>
      <c r="FV8536"/>
      <c r="FW8536"/>
      <c r="FX8536"/>
      <c r="FY8536"/>
      <c r="FZ8536"/>
      <c r="GA8536"/>
      <c r="GB8536"/>
      <c r="GC8536"/>
      <c r="GD8536"/>
      <c r="GE8536"/>
      <c r="GF8536"/>
      <c r="GG8536"/>
      <c r="GH8536"/>
      <c r="GI8536"/>
      <c r="GJ8536"/>
      <c r="GK8536"/>
      <c r="GL8536"/>
      <c r="GM8536"/>
      <c r="GN8536"/>
      <c r="GO8536"/>
    </row>
    <row r="8537" spans="107:197">
      <c r="DC8537"/>
      <c r="FH8537"/>
      <c r="FI8537"/>
      <c r="FJ8537"/>
      <c r="FK8537"/>
      <c r="FL8537"/>
      <c r="FM8537"/>
      <c r="FN8537"/>
      <c r="FO8537"/>
      <c r="FP8537"/>
      <c r="FQ8537"/>
      <c r="FR8537"/>
      <c r="FS8537"/>
      <c r="FT8537"/>
      <c r="FU8537"/>
      <c r="FV8537"/>
      <c r="FW8537"/>
      <c r="FX8537"/>
      <c r="FY8537"/>
      <c r="FZ8537"/>
      <c r="GA8537"/>
      <c r="GB8537"/>
      <c r="GC8537"/>
      <c r="GD8537"/>
      <c r="GE8537"/>
      <c r="GF8537"/>
      <c r="GG8537"/>
      <c r="GH8537"/>
      <c r="GI8537"/>
      <c r="GJ8537"/>
      <c r="GK8537"/>
      <c r="GL8537"/>
      <c r="GM8537"/>
      <c r="GN8537"/>
      <c r="GO8537"/>
    </row>
    <row r="8538" spans="107:197">
      <c r="DC8538"/>
      <c r="FH8538"/>
      <c r="FI8538"/>
      <c r="FJ8538"/>
      <c r="FK8538"/>
      <c r="FL8538"/>
      <c r="FM8538"/>
      <c r="FN8538"/>
      <c r="FO8538"/>
      <c r="FP8538"/>
      <c r="FQ8538"/>
      <c r="FR8538"/>
      <c r="FS8538"/>
      <c r="FT8538"/>
      <c r="FU8538"/>
      <c r="FV8538"/>
      <c r="FW8538"/>
      <c r="FX8538"/>
      <c r="FY8538"/>
      <c r="FZ8538"/>
      <c r="GA8538"/>
      <c r="GB8538"/>
      <c r="GC8538"/>
      <c r="GD8538"/>
      <c r="GE8538"/>
      <c r="GF8538"/>
      <c r="GG8538"/>
      <c r="GH8538"/>
      <c r="GI8538"/>
      <c r="GJ8538"/>
      <c r="GK8538"/>
      <c r="GL8538"/>
      <c r="GM8538"/>
      <c r="GN8538"/>
      <c r="GO8538"/>
    </row>
    <row r="8539" spans="107:197">
      <c r="DC8539"/>
      <c r="FH8539"/>
      <c r="FI8539"/>
      <c r="FJ8539"/>
      <c r="FK8539"/>
      <c r="FL8539"/>
      <c r="FM8539"/>
      <c r="FN8539"/>
      <c r="FO8539"/>
      <c r="FP8539"/>
      <c r="FQ8539"/>
      <c r="FR8539"/>
      <c r="FS8539"/>
      <c r="FT8539"/>
      <c r="FU8539"/>
      <c r="FV8539"/>
      <c r="FW8539"/>
      <c r="FX8539"/>
      <c r="FY8539"/>
      <c r="FZ8539"/>
      <c r="GA8539"/>
      <c r="GB8539"/>
      <c r="GC8539"/>
      <c r="GD8539"/>
      <c r="GE8539"/>
      <c r="GF8539"/>
      <c r="GG8539"/>
      <c r="GH8539"/>
      <c r="GI8539"/>
      <c r="GJ8539"/>
      <c r="GK8539"/>
      <c r="GL8539"/>
      <c r="GM8539"/>
      <c r="GN8539"/>
      <c r="GO8539"/>
    </row>
    <row r="8540" spans="107:197">
      <c r="DC8540"/>
      <c r="FH8540"/>
      <c r="FI8540"/>
      <c r="FJ8540"/>
      <c r="FK8540"/>
      <c r="FL8540"/>
      <c r="FM8540"/>
      <c r="FN8540"/>
      <c r="FO8540"/>
      <c r="FP8540"/>
      <c r="FQ8540"/>
      <c r="FR8540"/>
      <c r="FS8540"/>
      <c r="FT8540"/>
      <c r="FU8540"/>
      <c r="FV8540"/>
      <c r="FW8540"/>
      <c r="FX8540"/>
      <c r="FY8540"/>
      <c r="FZ8540"/>
      <c r="GA8540"/>
      <c r="GB8540"/>
      <c r="GC8540"/>
      <c r="GD8540"/>
      <c r="GE8540"/>
      <c r="GF8540"/>
      <c r="GG8540"/>
      <c r="GH8540"/>
      <c r="GI8540"/>
      <c r="GJ8540"/>
      <c r="GK8540"/>
      <c r="GL8540"/>
      <c r="GM8540"/>
      <c r="GN8540"/>
      <c r="GO8540"/>
    </row>
    <row r="8541" spans="107:197">
      <c r="DC8541"/>
      <c r="FH8541"/>
      <c r="FI8541"/>
      <c r="FJ8541"/>
      <c r="FK8541"/>
      <c r="FL8541"/>
      <c r="FM8541"/>
      <c r="FN8541"/>
      <c r="FO8541"/>
      <c r="FP8541"/>
      <c r="FQ8541"/>
      <c r="FR8541"/>
      <c r="FS8541"/>
      <c r="FT8541"/>
      <c r="FU8541"/>
      <c r="FV8541"/>
      <c r="FW8541"/>
      <c r="FX8541"/>
      <c r="FY8541"/>
      <c r="FZ8541"/>
      <c r="GA8541"/>
      <c r="GB8541"/>
      <c r="GC8541"/>
      <c r="GD8541"/>
      <c r="GE8541"/>
      <c r="GF8541"/>
      <c r="GG8541"/>
      <c r="GH8541"/>
      <c r="GI8541"/>
      <c r="GJ8541"/>
      <c r="GK8541"/>
      <c r="GL8541"/>
      <c r="GM8541"/>
      <c r="GN8541"/>
      <c r="GO8541"/>
    </row>
    <row r="8542" spans="107:197">
      <c r="DC8542"/>
      <c r="FH8542"/>
      <c r="FI8542"/>
      <c r="FJ8542"/>
      <c r="FK8542"/>
      <c r="FL8542"/>
      <c r="FM8542"/>
      <c r="FN8542"/>
      <c r="FO8542"/>
      <c r="FP8542"/>
      <c r="FQ8542"/>
      <c r="FR8542"/>
      <c r="FS8542"/>
      <c r="FT8542"/>
      <c r="FU8542"/>
      <c r="FV8542"/>
      <c r="FW8542"/>
      <c r="FX8542"/>
      <c r="FY8542"/>
      <c r="FZ8542"/>
      <c r="GA8542"/>
      <c r="GB8542"/>
      <c r="GC8542"/>
      <c r="GD8542"/>
      <c r="GE8542"/>
      <c r="GF8542"/>
      <c r="GG8542"/>
      <c r="GH8542"/>
      <c r="GI8542"/>
      <c r="GJ8542"/>
      <c r="GK8542"/>
      <c r="GL8542"/>
      <c r="GM8542"/>
      <c r="GN8542"/>
      <c r="GO8542"/>
    </row>
    <row r="8543" spans="107:197">
      <c r="DC8543"/>
      <c r="FH8543"/>
      <c r="FI8543"/>
      <c r="FJ8543"/>
      <c r="FK8543"/>
      <c r="FL8543"/>
      <c r="FM8543"/>
      <c r="FN8543"/>
      <c r="FO8543"/>
      <c r="FP8543"/>
      <c r="FQ8543"/>
      <c r="FR8543"/>
      <c r="FS8543"/>
      <c r="FT8543"/>
      <c r="FU8543"/>
      <c r="FV8543"/>
      <c r="FW8543"/>
      <c r="FX8543"/>
      <c r="FY8543"/>
      <c r="FZ8543"/>
      <c r="GA8543"/>
      <c r="GB8543"/>
      <c r="GC8543"/>
      <c r="GD8543"/>
      <c r="GE8543"/>
      <c r="GF8543"/>
      <c r="GG8543"/>
      <c r="GH8543"/>
      <c r="GI8543"/>
      <c r="GJ8543"/>
      <c r="GK8543"/>
      <c r="GL8543"/>
      <c r="GM8543"/>
      <c r="GN8543"/>
      <c r="GO8543"/>
    </row>
    <row r="8544" spans="107:197">
      <c r="DC8544"/>
      <c r="FH8544"/>
      <c r="FI8544"/>
      <c r="FJ8544"/>
      <c r="FK8544"/>
      <c r="FL8544"/>
      <c r="FM8544"/>
      <c r="FN8544"/>
      <c r="FO8544"/>
      <c r="FP8544"/>
      <c r="FQ8544"/>
      <c r="FR8544"/>
      <c r="FS8544"/>
      <c r="FT8544"/>
      <c r="FU8544"/>
      <c r="FV8544"/>
      <c r="FW8544"/>
      <c r="FX8544"/>
      <c r="FY8544"/>
      <c r="FZ8544"/>
      <c r="GA8544"/>
      <c r="GB8544"/>
      <c r="GC8544"/>
      <c r="GD8544"/>
      <c r="GE8544"/>
      <c r="GF8544"/>
      <c r="GG8544"/>
      <c r="GH8544"/>
      <c r="GI8544"/>
      <c r="GJ8544"/>
      <c r="GK8544"/>
      <c r="GL8544"/>
      <c r="GM8544"/>
      <c r="GN8544"/>
      <c r="GO8544"/>
    </row>
    <row r="8545" spans="107:197">
      <c r="DC8545"/>
      <c r="FH8545"/>
      <c r="FI8545"/>
      <c r="FJ8545"/>
      <c r="FK8545"/>
      <c r="FL8545"/>
      <c r="FM8545"/>
      <c r="FN8545"/>
      <c r="FO8545"/>
      <c r="FP8545"/>
      <c r="FQ8545"/>
      <c r="FR8545"/>
      <c r="FS8545"/>
      <c r="FT8545"/>
      <c r="FU8545"/>
      <c r="FV8545"/>
      <c r="FW8545"/>
      <c r="FX8545"/>
      <c r="FY8545"/>
      <c r="FZ8545"/>
      <c r="GA8545"/>
      <c r="GB8545"/>
      <c r="GC8545"/>
      <c r="GD8545"/>
      <c r="GE8545"/>
      <c r="GF8545"/>
      <c r="GG8545"/>
      <c r="GH8545"/>
      <c r="GI8545"/>
      <c r="GJ8545"/>
      <c r="GK8545"/>
      <c r="GL8545"/>
      <c r="GM8545"/>
      <c r="GN8545"/>
      <c r="GO8545"/>
    </row>
    <row r="8546" spans="107:197">
      <c r="DC8546"/>
      <c r="FH8546"/>
      <c r="FI8546"/>
      <c r="FJ8546"/>
      <c r="FK8546"/>
      <c r="FL8546"/>
      <c r="FM8546"/>
      <c r="FN8546"/>
      <c r="FO8546"/>
      <c r="FP8546"/>
      <c r="FQ8546"/>
      <c r="FR8546"/>
      <c r="FS8546"/>
      <c r="FT8546"/>
      <c r="FU8546"/>
      <c r="FV8546"/>
      <c r="FW8546"/>
      <c r="FX8546"/>
      <c r="FY8546"/>
      <c r="FZ8546"/>
      <c r="GA8546"/>
      <c r="GB8546"/>
      <c r="GC8546"/>
      <c r="GD8546"/>
      <c r="GE8546"/>
      <c r="GF8546"/>
      <c r="GG8546"/>
      <c r="GH8546"/>
      <c r="GI8546"/>
      <c r="GJ8546"/>
      <c r="GK8546"/>
      <c r="GL8546"/>
      <c r="GM8546"/>
      <c r="GN8546"/>
      <c r="GO8546"/>
    </row>
    <row r="8547" spans="107:197">
      <c r="DC8547"/>
      <c r="FH8547"/>
      <c r="FI8547"/>
      <c r="FJ8547"/>
      <c r="FK8547"/>
      <c r="FL8547"/>
      <c r="FM8547"/>
      <c r="FN8547"/>
      <c r="FO8547"/>
      <c r="FP8547"/>
      <c r="FQ8547"/>
      <c r="FR8547"/>
      <c r="FS8547"/>
      <c r="FT8547"/>
      <c r="FU8547"/>
      <c r="FV8547"/>
      <c r="FW8547"/>
      <c r="FX8547"/>
      <c r="FY8547"/>
      <c r="FZ8547"/>
      <c r="GA8547"/>
      <c r="GB8547"/>
      <c r="GC8547"/>
      <c r="GD8547"/>
      <c r="GE8547"/>
      <c r="GF8547"/>
      <c r="GG8547"/>
      <c r="GH8547"/>
      <c r="GI8547"/>
      <c r="GJ8547"/>
      <c r="GK8547"/>
      <c r="GL8547"/>
      <c r="GM8547"/>
      <c r="GN8547"/>
      <c r="GO8547"/>
    </row>
    <row r="8548" spans="107:197">
      <c r="DC8548"/>
      <c r="FH8548"/>
      <c r="FI8548"/>
      <c r="FJ8548"/>
      <c r="FK8548"/>
      <c r="FL8548"/>
      <c r="FM8548"/>
      <c r="FN8548"/>
      <c r="FO8548"/>
      <c r="FP8548"/>
      <c r="FQ8548"/>
      <c r="FR8548"/>
      <c r="FS8548"/>
      <c r="FT8548"/>
      <c r="FU8548"/>
      <c r="FV8548"/>
      <c r="FW8548"/>
      <c r="FX8548"/>
      <c r="FY8548"/>
      <c r="FZ8548"/>
      <c r="GA8548"/>
      <c r="GB8548"/>
      <c r="GC8548"/>
      <c r="GD8548"/>
      <c r="GE8548"/>
      <c r="GF8548"/>
      <c r="GG8548"/>
      <c r="GH8548"/>
      <c r="GI8548"/>
      <c r="GJ8548"/>
      <c r="GK8548"/>
      <c r="GL8548"/>
      <c r="GM8548"/>
      <c r="GN8548"/>
      <c r="GO8548"/>
    </row>
    <row r="8549" spans="107:197">
      <c r="DC8549"/>
      <c r="FH8549"/>
      <c r="FI8549"/>
      <c r="FJ8549"/>
      <c r="FK8549"/>
      <c r="FL8549"/>
      <c r="FM8549"/>
      <c r="FN8549"/>
      <c r="FO8549"/>
      <c r="FP8549"/>
      <c r="FQ8549"/>
      <c r="FR8549"/>
      <c r="FS8549"/>
      <c r="FT8549"/>
      <c r="FU8549"/>
      <c r="FV8549"/>
      <c r="FW8549"/>
      <c r="FX8549"/>
      <c r="FY8549"/>
      <c r="FZ8549"/>
      <c r="GA8549"/>
      <c r="GB8549"/>
      <c r="GC8549"/>
      <c r="GD8549"/>
      <c r="GE8549"/>
      <c r="GF8549"/>
      <c r="GG8549"/>
      <c r="GH8549"/>
      <c r="GI8549"/>
      <c r="GJ8549"/>
      <c r="GK8549"/>
      <c r="GL8549"/>
      <c r="GM8549"/>
      <c r="GN8549"/>
      <c r="GO8549"/>
    </row>
    <row r="8550" spans="107:197">
      <c r="DC8550"/>
      <c r="FH8550"/>
      <c r="FI8550"/>
      <c r="FJ8550"/>
      <c r="FK8550"/>
      <c r="FL8550"/>
      <c r="FM8550"/>
      <c r="FN8550"/>
      <c r="FO8550"/>
      <c r="FP8550"/>
      <c r="FQ8550"/>
      <c r="FR8550"/>
      <c r="FS8550"/>
      <c r="FT8550"/>
      <c r="FU8550"/>
      <c r="FV8550"/>
      <c r="FW8550"/>
      <c r="FX8550"/>
      <c r="FY8550"/>
      <c r="FZ8550"/>
      <c r="GA8550"/>
      <c r="GB8550"/>
      <c r="GC8550"/>
      <c r="GD8550"/>
      <c r="GE8550"/>
      <c r="GF8550"/>
      <c r="GG8550"/>
      <c r="GH8550"/>
      <c r="GI8550"/>
      <c r="GJ8550"/>
      <c r="GK8550"/>
      <c r="GL8550"/>
      <c r="GM8550"/>
      <c r="GN8550"/>
      <c r="GO8550"/>
    </row>
    <row r="8551" spans="107:197">
      <c r="DC8551"/>
      <c r="FH8551"/>
      <c r="FI8551"/>
      <c r="FJ8551"/>
      <c r="FK8551"/>
      <c r="FL8551"/>
      <c r="FM8551"/>
      <c r="FN8551"/>
      <c r="FO8551"/>
      <c r="FP8551"/>
      <c r="FQ8551"/>
      <c r="FR8551"/>
      <c r="FS8551"/>
      <c r="FT8551"/>
      <c r="FU8551"/>
      <c r="FV8551"/>
      <c r="FW8551"/>
      <c r="FX8551"/>
      <c r="FY8551"/>
      <c r="FZ8551"/>
      <c r="GA8551"/>
      <c r="GB8551"/>
      <c r="GC8551"/>
      <c r="GD8551"/>
      <c r="GE8551"/>
      <c r="GF8551"/>
      <c r="GG8551"/>
      <c r="GH8551"/>
      <c r="GI8551"/>
      <c r="GJ8551"/>
      <c r="GK8551"/>
      <c r="GL8551"/>
      <c r="GM8551"/>
      <c r="GN8551"/>
      <c r="GO8551"/>
    </row>
    <row r="8552" spans="107:197">
      <c r="DC8552"/>
      <c r="FH8552"/>
      <c r="FI8552"/>
      <c r="FJ8552"/>
      <c r="FK8552"/>
      <c r="FL8552"/>
      <c r="FM8552"/>
      <c r="FN8552"/>
      <c r="FO8552"/>
      <c r="FP8552"/>
      <c r="FQ8552"/>
      <c r="FR8552"/>
      <c r="FS8552"/>
      <c r="FT8552"/>
      <c r="FU8552"/>
      <c r="FV8552"/>
      <c r="FW8552"/>
      <c r="FX8552"/>
      <c r="FY8552"/>
      <c r="FZ8552"/>
      <c r="GA8552"/>
      <c r="GB8552"/>
      <c r="GC8552"/>
      <c r="GD8552"/>
      <c r="GE8552"/>
      <c r="GF8552"/>
      <c r="GG8552"/>
      <c r="GH8552"/>
      <c r="GI8552"/>
      <c r="GJ8552"/>
      <c r="GK8552"/>
      <c r="GL8552"/>
      <c r="GM8552"/>
      <c r="GN8552"/>
      <c r="GO8552"/>
    </row>
    <row r="8553" spans="107:197">
      <c r="DC8553"/>
      <c r="FH8553"/>
      <c r="FI8553"/>
      <c r="FJ8553"/>
      <c r="FK8553"/>
      <c r="FL8553"/>
      <c r="FM8553"/>
      <c r="FN8553"/>
      <c r="FO8553"/>
      <c r="FP8553"/>
      <c r="FQ8553"/>
      <c r="FR8553"/>
      <c r="FS8553"/>
      <c r="FT8553"/>
      <c r="FU8553"/>
      <c r="FV8553"/>
      <c r="FW8553"/>
      <c r="FX8553"/>
      <c r="FY8553"/>
      <c r="FZ8553"/>
      <c r="GA8553"/>
      <c r="GB8553"/>
      <c r="GC8553"/>
      <c r="GD8553"/>
      <c r="GE8553"/>
      <c r="GF8553"/>
      <c r="GG8553"/>
      <c r="GH8553"/>
      <c r="GI8553"/>
      <c r="GJ8553"/>
      <c r="GK8553"/>
      <c r="GL8553"/>
      <c r="GM8553"/>
      <c r="GN8553"/>
      <c r="GO8553"/>
    </row>
    <row r="8554" spans="107:197">
      <c r="DC8554"/>
      <c r="FH8554"/>
      <c r="FI8554"/>
      <c r="FJ8554"/>
      <c r="FK8554"/>
      <c r="FL8554"/>
      <c r="FM8554"/>
      <c r="FN8554"/>
      <c r="FO8554"/>
      <c r="FP8554"/>
      <c r="FQ8554"/>
      <c r="FR8554"/>
      <c r="FS8554"/>
      <c r="FT8554"/>
      <c r="FU8554"/>
      <c r="FV8554"/>
      <c r="FW8554"/>
      <c r="FX8554"/>
      <c r="FY8554"/>
      <c r="FZ8554"/>
      <c r="GA8554"/>
      <c r="GB8554"/>
      <c r="GC8554"/>
      <c r="GD8554"/>
      <c r="GE8554"/>
      <c r="GF8554"/>
      <c r="GG8554"/>
      <c r="GH8554"/>
      <c r="GI8554"/>
      <c r="GJ8554"/>
      <c r="GK8554"/>
      <c r="GL8554"/>
      <c r="GM8554"/>
      <c r="GN8554"/>
      <c r="GO8554"/>
    </row>
    <row r="8555" spans="107:197">
      <c r="DC8555"/>
      <c r="FH8555"/>
      <c r="FI8555"/>
      <c r="FJ8555"/>
      <c r="FK8555"/>
      <c r="FL8555"/>
      <c r="FM8555"/>
      <c r="FN8555"/>
      <c r="FO8555"/>
      <c r="FP8555"/>
      <c r="FQ8555"/>
      <c r="FR8555"/>
      <c r="FS8555"/>
      <c r="FT8555"/>
      <c r="FU8555"/>
      <c r="FV8555"/>
      <c r="FW8555"/>
      <c r="FX8555"/>
      <c r="FY8555"/>
      <c r="FZ8555"/>
      <c r="GA8555"/>
      <c r="GB8555"/>
      <c r="GC8555"/>
      <c r="GD8555"/>
      <c r="GE8555"/>
      <c r="GF8555"/>
      <c r="GG8555"/>
      <c r="GH8555"/>
      <c r="GI8555"/>
      <c r="GJ8555"/>
      <c r="GK8555"/>
      <c r="GL8555"/>
      <c r="GM8555"/>
      <c r="GN8555"/>
      <c r="GO8555"/>
    </row>
    <row r="8556" spans="107:197">
      <c r="DC8556"/>
      <c r="FH8556"/>
      <c r="FI8556"/>
      <c r="FJ8556"/>
      <c r="FK8556"/>
      <c r="FL8556"/>
      <c r="FM8556"/>
      <c r="FN8556"/>
      <c r="FO8556"/>
      <c r="FP8556"/>
      <c r="FQ8556"/>
      <c r="FR8556"/>
      <c r="FS8556"/>
      <c r="FT8556"/>
      <c r="FU8556"/>
      <c r="FV8556"/>
      <c r="FW8556"/>
      <c r="FX8556"/>
      <c r="FY8556"/>
      <c r="FZ8556"/>
      <c r="GA8556"/>
      <c r="GB8556"/>
      <c r="GC8556"/>
      <c r="GD8556"/>
      <c r="GE8556"/>
      <c r="GF8556"/>
      <c r="GG8556"/>
      <c r="GH8556"/>
      <c r="GI8556"/>
      <c r="GJ8556"/>
      <c r="GK8556"/>
      <c r="GL8556"/>
      <c r="GM8556"/>
      <c r="GN8556"/>
      <c r="GO8556"/>
    </row>
    <row r="8557" spans="107:197">
      <c r="DC8557"/>
      <c r="FH8557"/>
      <c r="FI8557"/>
      <c r="FJ8557"/>
      <c r="FK8557"/>
      <c r="FL8557"/>
      <c r="FM8557"/>
      <c r="FN8557"/>
      <c r="FO8557"/>
      <c r="FP8557"/>
      <c r="FQ8557"/>
      <c r="FR8557"/>
      <c r="FS8557"/>
      <c r="FT8557"/>
      <c r="FU8557"/>
      <c r="FV8557"/>
      <c r="FW8557"/>
      <c r="FX8557"/>
      <c r="FY8557"/>
      <c r="FZ8557"/>
      <c r="GA8557"/>
      <c r="GB8557"/>
      <c r="GC8557"/>
      <c r="GD8557"/>
      <c r="GE8557"/>
      <c r="GF8557"/>
      <c r="GG8557"/>
      <c r="GH8557"/>
      <c r="GI8557"/>
      <c r="GJ8557"/>
      <c r="GK8557"/>
      <c r="GL8557"/>
      <c r="GM8557"/>
      <c r="GN8557"/>
      <c r="GO8557"/>
    </row>
    <row r="8558" spans="107:197">
      <c r="DC8558"/>
      <c r="FH8558"/>
      <c r="FI8558"/>
      <c r="FJ8558"/>
      <c r="FK8558"/>
      <c r="FL8558"/>
      <c r="FM8558"/>
      <c r="FN8558"/>
      <c r="FO8558"/>
      <c r="FP8558"/>
      <c r="FQ8558"/>
      <c r="FR8558"/>
      <c r="FS8558"/>
      <c r="FT8558"/>
      <c r="FU8558"/>
      <c r="FV8558"/>
      <c r="FW8558"/>
      <c r="FX8558"/>
      <c r="FY8558"/>
      <c r="FZ8558"/>
      <c r="GA8558"/>
      <c r="GB8558"/>
      <c r="GC8558"/>
      <c r="GD8558"/>
      <c r="GE8558"/>
      <c r="GF8558"/>
      <c r="GG8558"/>
      <c r="GH8558"/>
      <c r="GI8558"/>
      <c r="GJ8558"/>
      <c r="GK8558"/>
      <c r="GL8558"/>
      <c r="GM8558"/>
      <c r="GN8558"/>
      <c r="GO8558"/>
    </row>
    <row r="8559" spans="107:197">
      <c r="DC8559"/>
      <c r="FH8559"/>
      <c r="FI8559"/>
      <c r="FJ8559"/>
      <c r="FK8559"/>
      <c r="FL8559"/>
      <c r="FM8559"/>
      <c r="FN8559"/>
      <c r="FO8559"/>
      <c r="FP8559"/>
      <c r="FQ8559"/>
      <c r="FR8559"/>
      <c r="FS8559"/>
      <c r="FT8559"/>
      <c r="FU8559"/>
      <c r="FV8559"/>
      <c r="FW8559"/>
      <c r="FX8559"/>
      <c r="FY8559"/>
      <c r="FZ8559"/>
      <c r="GA8559"/>
      <c r="GB8559"/>
      <c r="GC8559"/>
      <c r="GD8559"/>
      <c r="GE8559"/>
      <c r="GF8559"/>
      <c r="GG8559"/>
      <c r="GH8559"/>
      <c r="GI8559"/>
      <c r="GJ8559"/>
      <c r="GK8559"/>
      <c r="GL8559"/>
      <c r="GM8559"/>
      <c r="GN8559"/>
      <c r="GO8559"/>
    </row>
    <row r="8560" spans="107:197">
      <c r="DC8560"/>
      <c r="FH8560"/>
      <c r="FI8560"/>
      <c r="FJ8560"/>
      <c r="FK8560"/>
      <c r="FL8560"/>
      <c r="FM8560"/>
      <c r="FN8560"/>
      <c r="FO8560"/>
      <c r="FP8560"/>
      <c r="FQ8560"/>
      <c r="FR8560"/>
      <c r="FS8560"/>
      <c r="FT8560"/>
      <c r="FU8560"/>
      <c r="FV8560"/>
      <c r="FW8560"/>
      <c r="FX8560"/>
      <c r="FY8560"/>
      <c r="FZ8560"/>
      <c r="GA8560"/>
      <c r="GB8560"/>
      <c r="GC8560"/>
      <c r="GD8560"/>
      <c r="GE8560"/>
      <c r="GF8560"/>
      <c r="GG8560"/>
      <c r="GH8560"/>
      <c r="GI8560"/>
      <c r="GJ8560"/>
      <c r="GK8560"/>
      <c r="GL8560"/>
      <c r="GM8560"/>
      <c r="GN8560"/>
      <c r="GO8560"/>
    </row>
    <row r="8561" spans="107:197">
      <c r="DC8561"/>
      <c r="FH8561"/>
      <c r="FI8561"/>
      <c r="FJ8561"/>
      <c r="FK8561"/>
      <c r="FL8561"/>
      <c r="FM8561"/>
      <c r="FN8561"/>
      <c r="FO8561"/>
      <c r="FP8561"/>
      <c r="FQ8561"/>
      <c r="FR8561"/>
      <c r="FS8561"/>
      <c r="FT8561"/>
      <c r="FU8561"/>
      <c r="FV8561"/>
      <c r="FW8561"/>
      <c r="FX8561"/>
      <c r="FY8561"/>
      <c r="FZ8561"/>
      <c r="GA8561"/>
      <c r="GB8561"/>
      <c r="GC8561"/>
      <c r="GD8561"/>
      <c r="GE8561"/>
      <c r="GF8561"/>
      <c r="GG8561"/>
      <c r="GH8561"/>
      <c r="GI8561"/>
      <c r="GJ8561"/>
      <c r="GK8561"/>
      <c r="GL8561"/>
      <c r="GM8561"/>
      <c r="GN8561"/>
      <c r="GO8561"/>
    </row>
    <row r="8562" spans="107:197">
      <c r="DC8562"/>
      <c r="FH8562"/>
      <c r="FI8562"/>
      <c r="FJ8562"/>
      <c r="FK8562"/>
      <c r="FL8562"/>
      <c r="FM8562"/>
      <c r="FN8562"/>
      <c r="FO8562"/>
      <c r="FP8562"/>
      <c r="FQ8562"/>
      <c r="FR8562"/>
      <c r="FS8562"/>
      <c r="FT8562"/>
      <c r="FU8562"/>
      <c r="FV8562"/>
      <c r="FW8562"/>
      <c r="FX8562"/>
      <c r="FY8562"/>
      <c r="FZ8562"/>
      <c r="GA8562"/>
      <c r="GB8562"/>
      <c r="GC8562"/>
      <c r="GD8562"/>
      <c r="GE8562"/>
      <c r="GF8562"/>
      <c r="GG8562"/>
      <c r="GH8562"/>
      <c r="GI8562"/>
      <c r="GJ8562"/>
      <c r="GK8562"/>
      <c r="GL8562"/>
      <c r="GM8562"/>
      <c r="GN8562"/>
      <c r="GO8562"/>
    </row>
    <row r="8563" spans="107:197">
      <c r="DC8563"/>
      <c r="FH8563"/>
      <c r="FI8563"/>
      <c r="FJ8563"/>
      <c r="FK8563"/>
      <c r="FL8563"/>
      <c r="FM8563"/>
      <c r="FN8563"/>
      <c r="FO8563"/>
      <c r="FP8563"/>
      <c r="FQ8563"/>
      <c r="FR8563"/>
      <c r="FS8563"/>
      <c r="FT8563"/>
      <c r="FU8563"/>
      <c r="FV8563"/>
      <c r="FW8563"/>
      <c r="FX8563"/>
      <c r="FY8563"/>
      <c r="FZ8563"/>
      <c r="GA8563"/>
      <c r="GB8563"/>
      <c r="GC8563"/>
      <c r="GD8563"/>
      <c r="GE8563"/>
      <c r="GF8563"/>
      <c r="GG8563"/>
      <c r="GH8563"/>
      <c r="GI8563"/>
      <c r="GJ8563"/>
      <c r="GK8563"/>
      <c r="GL8563"/>
      <c r="GM8563"/>
      <c r="GN8563"/>
      <c r="GO8563"/>
    </row>
    <row r="8564" spans="107:197">
      <c r="DC8564"/>
      <c r="FH8564"/>
      <c r="FI8564"/>
      <c r="FJ8564"/>
      <c r="FK8564"/>
      <c r="FL8564"/>
      <c r="FM8564"/>
      <c r="FN8564"/>
      <c r="FO8564"/>
      <c r="FP8564"/>
      <c r="FQ8564"/>
      <c r="FR8564"/>
      <c r="FS8564"/>
      <c r="FT8564"/>
      <c r="FU8564"/>
      <c r="FV8564"/>
      <c r="FW8564"/>
      <c r="FX8564"/>
      <c r="FY8564"/>
      <c r="FZ8564"/>
      <c r="GA8564"/>
      <c r="GB8564"/>
      <c r="GC8564"/>
      <c r="GD8564"/>
      <c r="GE8564"/>
      <c r="GF8564"/>
      <c r="GG8564"/>
      <c r="GH8564"/>
      <c r="GI8564"/>
      <c r="GJ8564"/>
      <c r="GK8564"/>
      <c r="GL8564"/>
      <c r="GM8564"/>
      <c r="GN8564"/>
      <c r="GO8564"/>
    </row>
    <row r="8565" spans="107:197">
      <c r="DC8565"/>
      <c r="FH8565"/>
      <c r="FI8565"/>
      <c r="FJ8565"/>
      <c r="FK8565"/>
      <c r="FL8565"/>
      <c r="FM8565"/>
      <c r="FN8565"/>
      <c r="FO8565"/>
      <c r="FP8565"/>
      <c r="FQ8565"/>
      <c r="FR8565"/>
      <c r="FS8565"/>
      <c r="FT8565"/>
      <c r="FU8565"/>
      <c r="FV8565"/>
      <c r="FW8565"/>
      <c r="FX8565"/>
      <c r="FY8565"/>
      <c r="FZ8565"/>
      <c r="GA8565"/>
      <c r="GB8565"/>
      <c r="GC8565"/>
      <c r="GD8565"/>
      <c r="GE8565"/>
      <c r="GF8565"/>
      <c r="GG8565"/>
      <c r="GH8565"/>
      <c r="GI8565"/>
      <c r="GJ8565"/>
      <c r="GK8565"/>
      <c r="GL8565"/>
      <c r="GM8565"/>
      <c r="GN8565"/>
      <c r="GO8565"/>
    </row>
    <row r="8566" spans="107:197">
      <c r="DC8566"/>
      <c r="FH8566"/>
      <c r="FI8566"/>
      <c r="FJ8566"/>
      <c r="FK8566"/>
      <c r="FL8566"/>
      <c r="FM8566"/>
      <c r="FN8566"/>
      <c r="FO8566"/>
      <c r="FP8566"/>
      <c r="FQ8566"/>
      <c r="FR8566"/>
      <c r="FS8566"/>
      <c r="FT8566"/>
      <c r="FU8566"/>
      <c r="FV8566"/>
      <c r="FW8566"/>
      <c r="FX8566"/>
      <c r="FY8566"/>
      <c r="FZ8566"/>
      <c r="GA8566"/>
      <c r="GB8566"/>
      <c r="GC8566"/>
      <c r="GD8566"/>
      <c r="GE8566"/>
      <c r="GF8566"/>
      <c r="GG8566"/>
      <c r="GH8566"/>
      <c r="GI8566"/>
      <c r="GJ8566"/>
      <c r="GK8566"/>
      <c r="GL8566"/>
      <c r="GM8566"/>
      <c r="GN8566"/>
      <c r="GO8566"/>
    </row>
    <row r="8567" spans="107:197">
      <c r="DC8567"/>
      <c r="FH8567"/>
      <c r="FI8567"/>
      <c r="FJ8567"/>
      <c r="FK8567"/>
      <c r="FL8567"/>
      <c r="FM8567"/>
      <c r="FN8567"/>
      <c r="FO8567"/>
      <c r="FP8567"/>
      <c r="FQ8567"/>
      <c r="FR8567"/>
      <c r="FS8567"/>
      <c r="FT8567"/>
      <c r="FU8567"/>
      <c r="FV8567"/>
      <c r="FW8567"/>
      <c r="FX8567"/>
      <c r="FY8567"/>
      <c r="FZ8567"/>
      <c r="GA8567"/>
      <c r="GB8567"/>
      <c r="GC8567"/>
      <c r="GD8567"/>
      <c r="GE8567"/>
      <c r="GF8567"/>
      <c r="GG8567"/>
      <c r="GH8567"/>
      <c r="GI8567"/>
      <c r="GJ8567"/>
      <c r="GK8567"/>
      <c r="GL8567"/>
      <c r="GM8567"/>
      <c r="GN8567"/>
      <c r="GO8567"/>
    </row>
    <row r="8568" spans="107:197">
      <c r="DC8568"/>
      <c r="FH8568"/>
      <c r="FI8568"/>
      <c r="FJ8568"/>
      <c r="FK8568"/>
      <c r="FL8568"/>
      <c r="FM8568"/>
      <c r="FN8568"/>
      <c r="FO8568"/>
      <c r="FP8568"/>
      <c r="FQ8568"/>
      <c r="FR8568"/>
      <c r="FS8568"/>
      <c r="FT8568"/>
      <c r="FU8568"/>
      <c r="FV8568"/>
      <c r="FW8568"/>
      <c r="FX8568"/>
      <c r="FY8568"/>
      <c r="FZ8568"/>
      <c r="GA8568"/>
      <c r="GB8568"/>
      <c r="GC8568"/>
      <c r="GD8568"/>
      <c r="GE8568"/>
      <c r="GF8568"/>
      <c r="GG8568"/>
      <c r="GH8568"/>
      <c r="GI8568"/>
      <c r="GJ8568"/>
      <c r="GK8568"/>
      <c r="GL8568"/>
      <c r="GM8568"/>
      <c r="GN8568"/>
      <c r="GO8568"/>
    </row>
    <row r="8569" spans="107:197">
      <c r="DC8569"/>
      <c r="FH8569"/>
      <c r="FI8569"/>
      <c r="FJ8569"/>
      <c r="FK8569"/>
      <c r="FL8569"/>
      <c r="FM8569"/>
      <c r="FN8569"/>
      <c r="FO8569"/>
      <c r="FP8569"/>
      <c r="FQ8569"/>
      <c r="FR8569"/>
      <c r="FS8569"/>
      <c r="FT8569"/>
      <c r="FU8569"/>
      <c r="FV8569"/>
      <c r="FW8569"/>
      <c r="FX8569"/>
      <c r="FY8569"/>
      <c r="FZ8569"/>
      <c r="GA8569"/>
      <c r="GB8569"/>
      <c r="GC8569"/>
      <c r="GD8569"/>
      <c r="GE8569"/>
      <c r="GF8569"/>
      <c r="GG8569"/>
      <c r="GH8569"/>
      <c r="GI8569"/>
      <c r="GJ8569"/>
      <c r="GK8569"/>
      <c r="GL8569"/>
      <c r="GM8569"/>
      <c r="GN8569"/>
      <c r="GO8569"/>
    </row>
    <row r="8570" spans="107:197">
      <c r="DC8570"/>
      <c r="FH8570"/>
      <c r="FI8570"/>
      <c r="FJ8570"/>
      <c r="FK8570"/>
      <c r="FL8570"/>
      <c r="FM8570"/>
      <c r="FN8570"/>
      <c r="FO8570"/>
      <c r="FP8570"/>
      <c r="FQ8570"/>
      <c r="FR8570"/>
      <c r="FS8570"/>
      <c r="FT8570"/>
      <c r="FU8570"/>
      <c r="FV8570"/>
      <c r="FW8570"/>
      <c r="FX8570"/>
      <c r="FY8570"/>
      <c r="FZ8570"/>
      <c r="GA8570"/>
      <c r="GB8570"/>
      <c r="GC8570"/>
      <c r="GD8570"/>
      <c r="GE8570"/>
      <c r="GF8570"/>
      <c r="GG8570"/>
      <c r="GH8570"/>
      <c r="GI8570"/>
      <c r="GJ8570"/>
      <c r="GK8570"/>
      <c r="GL8570"/>
      <c r="GM8570"/>
      <c r="GN8570"/>
      <c r="GO8570"/>
    </row>
    <row r="8571" spans="107:197">
      <c r="DC8571"/>
      <c r="FH8571"/>
      <c r="FI8571"/>
      <c r="FJ8571"/>
      <c r="FK8571"/>
      <c r="FL8571"/>
      <c r="FM8571"/>
      <c r="FN8571"/>
      <c r="FO8571"/>
      <c r="FP8571"/>
      <c r="FQ8571"/>
      <c r="FR8571"/>
      <c r="FS8571"/>
      <c r="FT8571"/>
      <c r="FU8571"/>
      <c r="FV8571"/>
      <c r="FW8571"/>
      <c r="FX8571"/>
      <c r="FY8571"/>
      <c r="FZ8571"/>
      <c r="GA8571"/>
      <c r="GB8571"/>
      <c r="GC8571"/>
      <c r="GD8571"/>
      <c r="GE8571"/>
      <c r="GF8571"/>
      <c r="GG8571"/>
      <c r="GH8571"/>
      <c r="GI8571"/>
      <c r="GJ8571"/>
      <c r="GK8571"/>
      <c r="GL8571"/>
      <c r="GM8571"/>
      <c r="GN8571"/>
      <c r="GO8571"/>
    </row>
    <row r="8572" spans="107:197">
      <c r="DC8572"/>
      <c r="FH8572"/>
      <c r="FI8572"/>
      <c r="FJ8572"/>
      <c r="FK8572"/>
      <c r="FL8572"/>
      <c r="FM8572"/>
      <c r="FN8572"/>
      <c r="FO8572"/>
      <c r="FP8572"/>
      <c r="FQ8572"/>
      <c r="FR8572"/>
      <c r="FS8572"/>
      <c r="FT8572"/>
      <c r="FU8572"/>
      <c r="FV8572"/>
      <c r="FW8572"/>
      <c r="FX8572"/>
      <c r="FY8572"/>
      <c r="FZ8572"/>
      <c r="GA8572"/>
      <c r="GB8572"/>
      <c r="GC8572"/>
      <c r="GD8572"/>
      <c r="GE8572"/>
      <c r="GF8572"/>
      <c r="GG8572"/>
      <c r="GH8572"/>
      <c r="GI8572"/>
      <c r="GJ8572"/>
      <c r="GK8572"/>
      <c r="GL8572"/>
      <c r="GM8572"/>
      <c r="GN8572"/>
      <c r="GO8572"/>
    </row>
    <row r="8573" spans="107:197">
      <c r="DC8573"/>
      <c r="FH8573"/>
      <c r="FI8573"/>
      <c r="FJ8573"/>
      <c r="FK8573"/>
      <c r="FL8573"/>
      <c r="FM8573"/>
      <c r="FN8573"/>
      <c r="FO8573"/>
      <c r="FP8573"/>
      <c r="FQ8573"/>
      <c r="FR8573"/>
      <c r="FS8573"/>
      <c r="FT8573"/>
      <c r="FU8573"/>
      <c r="FV8573"/>
      <c r="FW8573"/>
      <c r="FX8573"/>
      <c r="FY8573"/>
      <c r="FZ8573"/>
      <c r="GA8573"/>
      <c r="GB8573"/>
      <c r="GC8573"/>
      <c r="GD8573"/>
      <c r="GE8573"/>
      <c r="GF8573"/>
      <c r="GG8573"/>
      <c r="GH8573"/>
      <c r="GI8573"/>
      <c r="GJ8573"/>
      <c r="GK8573"/>
      <c r="GL8573"/>
      <c r="GM8573"/>
      <c r="GN8573"/>
      <c r="GO8573"/>
    </row>
    <row r="8574" spans="107:197">
      <c r="DC8574"/>
      <c r="FH8574"/>
      <c r="FI8574"/>
      <c r="FJ8574"/>
      <c r="FK8574"/>
      <c r="FL8574"/>
      <c r="FM8574"/>
      <c r="FN8574"/>
      <c r="FO8574"/>
      <c r="FP8574"/>
      <c r="FQ8574"/>
      <c r="FR8574"/>
      <c r="FS8574"/>
      <c r="FT8574"/>
      <c r="FU8574"/>
      <c r="FV8574"/>
      <c r="FW8574"/>
      <c r="FX8574"/>
      <c r="FY8574"/>
      <c r="FZ8574"/>
      <c r="GA8574"/>
      <c r="GB8574"/>
      <c r="GC8574"/>
      <c r="GD8574"/>
      <c r="GE8574"/>
      <c r="GF8574"/>
      <c r="GG8574"/>
      <c r="GH8574"/>
      <c r="GI8574"/>
      <c r="GJ8574"/>
      <c r="GK8574"/>
      <c r="GL8574"/>
      <c r="GM8574"/>
      <c r="GN8574"/>
      <c r="GO8574"/>
    </row>
    <row r="8575" spans="107:197">
      <c r="DC8575"/>
      <c r="FH8575"/>
      <c r="FI8575"/>
      <c r="FJ8575"/>
      <c r="FK8575"/>
      <c r="FL8575"/>
      <c r="FM8575"/>
      <c r="FN8575"/>
      <c r="FO8575"/>
      <c r="FP8575"/>
      <c r="FQ8575"/>
      <c r="FR8575"/>
      <c r="FS8575"/>
      <c r="FT8575"/>
      <c r="FU8575"/>
      <c r="FV8575"/>
      <c r="FW8575"/>
      <c r="FX8575"/>
      <c r="FY8575"/>
      <c r="FZ8575"/>
      <c r="GA8575"/>
      <c r="GB8575"/>
      <c r="GC8575"/>
      <c r="GD8575"/>
      <c r="GE8575"/>
      <c r="GF8575"/>
      <c r="GG8575"/>
      <c r="GH8575"/>
      <c r="GI8575"/>
      <c r="GJ8575"/>
      <c r="GK8575"/>
      <c r="GL8575"/>
      <c r="GM8575"/>
      <c r="GN8575"/>
      <c r="GO8575"/>
    </row>
    <row r="8576" spans="107:197">
      <c r="DC8576"/>
      <c r="FH8576"/>
      <c r="FI8576"/>
      <c r="FJ8576"/>
      <c r="FK8576"/>
      <c r="FL8576"/>
      <c r="FM8576"/>
      <c r="FN8576"/>
      <c r="FO8576"/>
      <c r="FP8576"/>
      <c r="FQ8576"/>
      <c r="FR8576"/>
      <c r="FS8576"/>
      <c r="FT8576"/>
      <c r="FU8576"/>
      <c r="FV8576"/>
      <c r="FW8576"/>
      <c r="FX8576"/>
      <c r="FY8576"/>
      <c r="FZ8576"/>
      <c r="GA8576"/>
      <c r="GB8576"/>
      <c r="GC8576"/>
      <c r="GD8576"/>
      <c r="GE8576"/>
      <c r="GF8576"/>
      <c r="GG8576"/>
      <c r="GH8576"/>
      <c r="GI8576"/>
      <c r="GJ8576"/>
      <c r="GK8576"/>
      <c r="GL8576"/>
      <c r="GM8576"/>
      <c r="GN8576"/>
      <c r="GO8576"/>
    </row>
    <row r="8577" spans="107:197">
      <c r="DC8577"/>
      <c r="FH8577"/>
      <c r="FI8577"/>
      <c r="FJ8577"/>
      <c r="FK8577"/>
      <c r="FL8577"/>
      <c r="FM8577"/>
      <c r="FN8577"/>
      <c r="FO8577"/>
      <c r="FP8577"/>
      <c r="FQ8577"/>
      <c r="FR8577"/>
      <c r="FS8577"/>
      <c r="FT8577"/>
      <c r="FU8577"/>
      <c r="FV8577"/>
      <c r="FW8577"/>
      <c r="FX8577"/>
      <c r="FY8577"/>
      <c r="FZ8577"/>
      <c r="GA8577"/>
      <c r="GB8577"/>
      <c r="GC8577"/>
      <c r="GD8577"/>
      <c r="GE8577"/>
      <c r="GF8577"/>
      <c r="GG8577"/>
      <c r="GH8577"/>
      <c r="GI8577"/>
      <c r="GJ8577"/>
      <c r="GK8577"/>
      <c r="GL8577"/>
      <c r="GM8577"/>
      <c r="GN8577"/>
      <c r="GO8577"/>
    </row>
    <row r="8578" spans="107:197">
      <c r="DC8578"/>
      <c r="FH8578"/>
      <c r="FI8578"/>
      <c r="FJ8578"/>
      <c r="FK8578"/>
      <c r="FL8578"/>
      <c r="FM8578"/>
      <c r="FN8578"/>
      <c r="FO8578"/>
      <c r="FP8578"/>
      <c r="FQ8578"/>
      <c r="FR8578"/>
      <c r="FS8578"/>
      <c r="FT8578"/>
      <c r="FU8578"/>
      <c r="FV8578"/>
      <c r="FW8578"/>
      <c r="FX8578"/>
      <c r="FY8578"/>
      <c r="FZ8578"/>
      <c r="GA8578"/>
      <c r="GB8578"/>
      <c r="GC8578"/>
      <c r="GD8578"/>
      <c r="GE8578"/>
      <c r="GF8578"/>
      <c r="GG8578"/>
      <c r="GH8578"/>
      <c r="GI8578"/>
      <c r="GJ8578"/>
      <c r="GK8578"/>
      <c r="GL8578"/>
      <c r="GM8578"/>
      <c r="GN8578"/>
      <c r="GO8578"/>
    </row>
    <row r="8579" spans="107:197">
      <c r="DC8579"/>
      <c r="FH8579"/>
      <c r="FI8579"/>
      <c r="FJ8579"/>
      <c r="FK8579"/>
      <c r="FL8579"/>
      <c r="FM8579"/>
      <c r="FN8579"/>
      <c r="FO8579"/>
      <c r="FP8579"/>
      <c r="FQ8579"/>
      <c r="FR8579"/>
      <c r="FS8579"/>
      <c r="FT8579"/>
      <c r="FU8579"/>
      <c r="FV8579"/>
      <c r="FW8579"/>
      <c r="FX8579"/>
      <c r="FY8579"/>
      <c r="FZ8579"/>
      <c r="GA8579"/>
      <c r="GB8579"/>
      <c r="GC8579"/>
      <c r="GD8579"/>
      <c r="GE8579"/>
      <c r="GF8579"/>
      <c r="GG8579"/>
      <c r="GH8579"/>
      <c r="GI8579"/>
      <c r="GJ8579"/>
      <c r="GK8579"/>
      <c r="GL8579"/>
      <c r="GM8579"/>
      <c r="GN8579"/>
      <c r="GO8579"/>
    </row>
    <row r="8580" spans="107:197">
      <c r="DC8580"/>
      <c r="FH8580"/>
      <c r="FI8580"/>
      <c r="FJ8580"/>
      <c r="FK8580"/>
      <c r="FL8580"/>
      <c r="FM8580"/>
      <c r="FN8580"/>
      <c r="FO8580"/>
      <c r="FP8580"/>
      <c r="FQ8580"/>
      <c r="FR8580"/>
      <c r="FS8580"/>
      <c r="FT8580"/>
      <c r="FU8580"/>
      <c r="FV8580"/>
      <c r="FW8580"/>
      <c r="FX8580"/>
      <c r="FY8580"/>
      <c r="FZ8580"/>
      <c r="GA8580"/>
      <c r="GB8580"/>
      <c r="GC8580"/>
      <c r="GD8580"/>
      <c r="GE8580"/>
      <c r="GF8580"/>
      <c r="GG8580"/>
      <c r="GH8580"/>
      <c r="GI8580"/>
      <c r="GJ8580"/>
      <c r="GK8580"/>
      <c r="GL8580"/>
      <c r="GM8580"/>
      <c r="GN8580"/>
      <c r="GO8580"/>
    </row>
    <row r="8581" spans="107:197">
      <c r="DC8581"/>
      <c r="FH8581"/>
      <c r="FI8581"/>
      <c r="FJ8581"/>
      <c r="FK8581"/>
      <c r="FL8581"/>
      <c r="FM8581"/>
      <c r="FN8581"/>
      <c r="FO8581"/>
      <c r="FP8581"/>
      <c r="FQ8581"/>
      <c r="FR8581"/>
      <c r="FS8581"/>
      <c r="FT8581"/>
      <c r="FU8581"/>
      <c r="FV8581"/>
      <c r="FW8581"/>
      <c r="FX8581"/>
      <c r="FY8581"/>
      <c r="FZ8581"/>
      <c r="GA8581"/>
      <c r="GB8581"/>
      <c r="GC8581"/>
      <c r="GD8581"/>
      <c r="GE8581"/>
      <c r="GF8581"/>
      <c r="GG8581"/>
      <c r="GH8581"/>
      <c r="GI8581"/>
      <c r="GJ8581"/>
      <c r="GK8581"/>
      <c r="GL8581"/>
      <c r="GM8581"/>
      <c r="GN8581"/>
      <c r="GO8581"/>
    </row>
    <row r="8582" spans="107:197">
      <c r="DC8582"/>
      <c r="FH8582"/>
      <c r="FI8582"/>
      <c r="FJ8582"/>
      <c r="FK8582"/>
      <c r="FL8582"/>
      <c r="FM8582"/>
      <c r="FN8582"/>
      <c r="FO8582"/>
      <c r="FP8582"/>
      <c r="FQ8582"/>
      <c r="FR8582"/>
      <c r="FS8582"/>
      <c r="FT8582"/>
      <c r="FU8582"/>
      <c r="FV8582"/>
      <c r="FW8582"/>
      <c r="FX8582"/>
      <c r="FY8582"/>
      <c r="FZ8582"/>
      <c r="GA8582"/>
      <c r="GB8582"/>
      <c r="GC8582"/>
      <c r="GD8582"/>
      <c r="GE8582"/>
      <c r="GF8582"/>
      <c r="GG8582"/>
      <c r="GH8582"/>
      <c r="GI8582"/>
      <c r="GJ8582"/>
      <c r="GK8582"/>
      <c r="GL8582"/>
      <c r="GM8582"/>
      <c r="GN8582"/>
      <c r="GO8582"/>
    </row>
    <row r="8583" spans="107:197">
      <c r="DC8583"/>
      <c r="FH8583"/>
      <c r="FI8583"/>
      <c r="FJ8583"/>
      <c r="FK8583"/>
      <c r="FL8583"/>
      <c r="FM8583"/>
      <c r="FN8583"/>
      <c r="FO8583"/>
      <c r="FP8583"/>
      <c r="FQ8583"/>
      <c r="FR8583"/>
      <c r="FS8583"/>
      <c r="FT8583"/>
      <c r="FU8583"/>
      <c r="FV8583"/>
      <c r="FW8583"/>
      <c r="FX8583"/>
      <c r="FY8583"/>
      <c r="FZ8583"/>
      <c r="GA8583"/>
      <c r="GB8583"/>
      <c r="GC8583"/>
      <c r="GD8583"/>
      <c r="GE8583"/>
      <c r="GF8583"/>
      <c r="GG8583"/>
      <c r="GH8583"/>
      <c r="GI8583"/>
      <c r="GJ8583"/>
      <c r="GK8583"/>
      <c r="GL8583"/>
      <c r="GM8583"/>
      <c r="GN8583"/>
      <c r="GO8583"/>
    </row>
    <row r="8584" spans="107:197">
      <c r="DC8584"/>
      <c r="FH8584"/>
      <c r="FI8584"/>
      <c r="FJ8584"/>
      <c r="FK8584"/>
      <c r="FL8584"/>
      <c r="FM8584"/>
      <c r="FN8584"/>
      <c r="FO8584"/>
      <c r="FP8584"/>
      <c r="FQ8584"/>
      <c r="FR8584"/>
      <c r="FS8584"/>
      <c r="FT8584"/>
      <c r="FU8584"/>
      <c r="FV8584"/>
      <c r="FW8584"/>
      <c r="FX8584"/>
      <c r="FY8584"/>
      <c r="FZ8584"/>
      <c r="GA8584"/>
      <c r="GB8584"/>
      <c r="GC8584"/>
      <c r="GD8584"/>
      <c r="GE8584"/>
      <c r="GF8584"/>
      <c r="GG8584"/>
      <c r="GH8584"/>
      <c r="GI8584"/>
      <c r="GJ8584"/>
      <c r="GK8584"/>
      <c r="GL8584"/>
      <c r="GM8584"/>
      <c r="GN8584"/>
      <c r="GO8584"/>
    </row>
    <row r="8585" spans="107:197">
      <c r="DC8585"/>
      <c r="FH8585"/>
      <c r="FI8585"/>
      <c r="FJ8585"/>
      <c r="FK8585"/>
      <c r="FL8585"/>
      <c r="FM8585"/>
      <c r="FN8585"/>
      <c r="FO8585"/>
      <c r="FP8585"/>
      <c r="FQ8585"/>
      <c r="FR8585"/>
      <c r="FS8585"/>
      <c r="FT8585"/>
      <c r="FU8585"/>
      <c r="FV8585"/>
      <c r="FW8585"/>
      <c r="FX8585"/>
      <c r="FY8585"/>
      <c r="FZ8585"/>
      <c r="GA8585"/>
      <c r="GB8585"/>
      <c r="GC8585"/>
      <c r="GD8585"/>
      <c r="GE8585"/>
      <c r="GF8585"/>
      <c r="GG8585"/>
      <c r="GH8585"/>
      <c r="GI8585"/>
      <c r="GJ8585"/>
      <c r="GK8585"/>
      <c r="GL8585"/>
      <c r="GM8585"/>
      <c r="GN8585"/>
      <c r="GO8585"/>
    </row>
    <row r="8586" spans="107:197">
      <c r="DC8586"/>
      <c r="FH8586"/>
      <c r="FI8586"/>
      <c r="FJ8586"/>
      <c r="FK8586"/>
      <c r="FL8586"/>
      <c r="FM8586"/>
      <c r="FN8586"/>
      <c r="FO8586"/>
      <c r="FP8586"/>
      <c r="FQ8586"/>
      <c r="FR8586"/>
      <c r="FS8586"/>
      <c r="FT8586"/>
      <c r="FU8586"/>
      <c r="FV8586"/>
      <c r="FW8586"/>
      <c r="FX8586"/>
      <c r="FY8586"/>
      <c r="FZ8586"/>
      <c r="GA8586"/>
      <c r="GB8586"/>
      <c r="GC8586"/>
      <c r="GD8586"/>
      <c r="GE8586"/>
      <c r="GF8586"/>
      <c r="GG8586"/>
      <c r="GH8586"/>
      <c r="GI8586"/>
      <c r="GJ8586"/>
      <c r="GK8586"/>
      <c r="GL8586"/>
      <c r="GM8586"/>
      <c r="GN8586"/>
      <c r="GO8586"/>
    </row>
    <row r="8587" spans="107:197">
      <c r="DC8587"/>
      <c r="FH8587"/>
      <c r="FI8587"/>
      <c r="FJ8587"/>
      <c r="FK8587"/>
      <c r="FL8587"/>
      <c r="FM8587"/>
      <c r="FN8587"/>
      <c r="FO8587"/>
      <c r="FP8587"/>
      <c r="FQ8587"/>
      <c r="FR8587"/>
      <c r="FS8587"/>
      <c r="FT8587"/>
      <c r="FU8587"/>
      <c r="FV8587"/>
      <c r="FW8587"/>
      <c r="FX8587"/>
      <c r="FY8587"/>
      <c r="FZ8587"/>
      <c r="GA8587"/>
      <c r="GB8587"/>
      <c r="GC8587"/>
      <c r="GD8587"/>
      <c r="GE8587"/>
      <c r="GF8587"/>
      <c r="GG8587"/>
      <c r="GH8587"/>
      <c r="GI8587"/>
      <c r="GJ8587"/>
      <c r="GK8587"/>
      <c r="GL8587"/>
      <c r="GM8587"/>
      <c r="GN8587"/>
      <c r="GO8587"/>
    </row>
    <row r="8588" spans="107:197">
      <c r="DC8588"/>
      <c r="FH8588"/>
      <c r="FI8588"/>
      <c r="FJ8588"/>
      <c r="FK8588"/>
      <c r="FL8588"/>
      <c r="FM8588"/>
      <c r="FN8588"/>
      <c r="FO8588"/>
      <c r="FP8588"/>
      <c r="FQ8588"/>
      <c r="FR8588"/>
      <c r="FS8588"/>
      <c r="FT8588"/>
      <c r="FU8588"/>
      <c r="FV8588"/>
      <c r="FW8588"/>
      <c r="FX8588"/>
      <c r="FY8588"/>
      <c r="FZ8588"/>
      <c r="GA8588"/>
      <c r="GB8588"/>
      <c r="GC8588"/>
      <c r="GD8588"/>
      <c r="GE8588"/>
      <c r="GF8588"/>
      <c r="GG8588"/>
      <c r="GH8588"/>
      <c r="GI8588"/>
      <c r="GJ8588"/>
      <c r="GK8588"/>
      <c r="GL8588"/>
      <c r="GM8588"/>
      <c r="GN8588"/>
      <c r="GO8588"/>
    </row>
    <row r="8589" spans="107:197">
      <c r="DC8589"/>
      <c r="FH8589"/>
      <c r="FI8589"/>
      <c r="FJ8589"/>
      <c r="FK8589"/>
      <c r="FL8589"/>
      <c r="FM8589"/>
      <c r="FN8589"/>
      <c r="FO8589"/>
      <c r="FP8589"/>
      <c r="FQ8589"/>
      <c r="FR8589"/>
      <c r="FS8589"/>
      <c r="FT8589"/>
      <c r="FU8589"/>
      <c r="FV8589"/>
      <c r="FW8589"/>
      <c r="FX8589"/>
      <c r="FY8589"/>
      <c r="FZ8589"/>
      <c r="GA8589"/>
      <c r="GB8589"/>
      <c r="GC8589"/>
      <c r="GD8589"/>
      <c r="GE8589"/>
      <c r="GF8589"/>
      <c r="GG8589"/>
      <c r="GH8589"/>
      <c r="GI8589"/>
      <c r="GJ8589"/>
      <c r="GK8589"/>
      <c r="GL8589"/>
      <c r="GM8589"/>
      <c r="GN8589"/>
      <c r="GO8589"/>
    </row>
    <row r="8590" spans="107:197">
      <c r="DC8590"/>
      <c r="FH8590"/>
      <c r="FI8590"/>
      <c r="FJ8590"/>
      <c r="FK8590"/>
      <c r="FL8590"/>
      <c r="FM8590"/>
      <c r="FN8590"/>
      <c r="FO8590"/>
      <c r="FP8590"/>
      <c r="FQ8590"/>
      <c r="FR8590"/>
      <c r="FS8590"/>
      <c r="FT8590"/>
      <c r="FU8590"/>
      <c r="FV8590"/>
      <c r="FW8590"/>
      <c r="FX8590"/>
      <c r="FY8590"/>
      <c r="FZ8590"/>
      <c r="GA8590"/>
      <c r="GB8590"/>
      <c r="GC8590"/>
      <c r="GD8590"/>
      <c r="GE8590"/>
      <c r="GF8590"/>
      <c r="GG8590"/>
      <c r="GH8590"/>
      <c r="GI8590"/>
      <c r="GJ8590"/>
      <c r="GK8590"/>
      <c r="GL8590"/>
      <c r="GM8590"/>
      <c r="GN8590"/>
      <c r="GO8590"/>
    </row>
    <row r="8591" spans="107:197">
      <c r="DC8591"/>
      <c r="FH8591"/>
      <c r="FI8591"/>
      <c r="FJ8591"/>
      <c r="FK8591"/>
      <c r="FL8591"/>
      <c r="FM8591"/>
      <c r="FN8591"/>
      <c r="FO8591"/>
      <c r="FP8591"/>
      <c r="FQ8591"/>
      <c r="FR8591"/>
      <c r="FS8591"/>
      <c r="FT8591"/>
      <c r="FU8591"/>
      <c r="FV8591"/>
      <c r="FW8591"/>
      <c r="FX8591"/>
      <c r="FY8591"/>
      <c r="FZ8591"/>
      <c r="GA8591"/>
      <c r="GB8591"/>
      <c r="GC8591"/>
      <c r="GD8591"/>
      <c r="GE8591"/>
      <c r="GF8591"/>
      <c r="GG8591"/>
      <c r="GH8591"/>
      <c r="GI8591"/>
      <c r="GJ8591"/>
      <c r="GK8591"/>
      <c r="GL8591"/>
      <c r="GM8591"/>
      <c r="GN8591"/>
      <c r="GO8591"/>
    </row>
    <row r="8592" spans="107:197">
      <c r="DC8592"/>
      <c r="FH8592"/>
      <c r="FI8592"/>
      <c r="FJ8592"/>
      <c r="FK8592"/>
      <c r="FL8592"/>
      <c r="FM8592"/>
      <c r="FN8592"/>
      <c r="FO8592"/>
      <c r="FP8592"/>
      <c r="FQ8592"/>
      <c r="FR8592"/>
      <c r="FS8592"/>
      <c r="FT8592"/>
      <c r="FU8592"/>
      <c r="FV8592"/>
      <c r="FW8592"/>
      <c r="FX8592"/>
      <c r="FY8592"/>
      <c r="FZ8592"/>
      <c r="GA8592"/>
      <c r="GB8592"/>
      <c r="GC8592"/>
      <c r="GD8592"/>
      <c r="GE8592"/>
      <c r="GF8592"/>
      <c r="GG8592"/>
      <c r="GH8592"/>
      <c r="GI8592"/>
      <c r="GJ8592"/>
      <c r="GK8592"/>
      <c r="GL8592"/>
      <c r="GM8592"/>
      <c r="GN8592"/>
      <c r="GO8592"/>
    </row>
    <row r="8593" spans="107:197">
      <c r="DC8593"/>
      <c r="FH8593"/>
      <c r="FI8593"/>
      <c r="FJ8593"/>
      <c r="FK8593"/>
      <c r="FL8593"/>
      <c r="FM8593"/>
      <c r="FN8593"/>
      <c r="FO8593"/>
      <c r="FP8593"/>
      <c r="FQ8593"/>
      <c r="FR8593"/>
      <c r="FS8593"/>
      <c r="FT8593"/>
      <c r="FU8593"/>
      <c r="FV8593"/>
      <c r="FW8593"/>
      <c r="FX8593"/>
      <c r="FY8593"/>
      <c r="FZ8593"/>
      <c r="GA8593"/>
      <c r="GB8593"/>
      <c r="GC8593"/>
      <c r="GD8593"/>
      <c r="GE8593"/>
      <c r="GF8593"/>
      <c r="GG8593"/>
      <c r="GH8593"/>
      <c r="GI8593"/>
      <c r="GJ8593"/>
      <c r="GK8593"/>
      <c r="GL8593"/>
      <c r="GM8593"/>
      <c r="GN8593"/>
      <c r="GO8593"/>
    </row>
    <row r="8594" spans="107:197">
      <c r="DC8594"/>
      <c r="FH8594"/>
      <c r="FI8594"/>
      <c r="FJ8594"/>
      <c r="FK8594"/>
      <c r="FL8594"/>
      <c r="FM8594"/>
      <c r="FN8594"/>
      <c r="FO8594"/>
      <c r="FP8594"/>
      <c r="FQ8594"/>
      <c r="FR8594"/>
      <c r="FS8594"/>
      <c r="FT8594"/>
      <c r="FU8594"/>
      <c r="FV8594"/>
      <c r="FW8594"/>
      <c r="FX8594"/>
      <c r="FY8594"/>
      <c r="FZ8594"/>
      <c r="GA8594"/>
      <c r="GB8594"/>
      <c r="GC8594"/>
      <c r="GD8594"/>
      <c r="GE8594"/>
      <c r="GF8594"/>
      <c r="GG8594"/>
      <c r="GH8594"/>
      <c r="GI8594"/>
      <c r="GJ8594"/>
      <c r="GK8594"/>
      <c r="GL8594"/>
      <c r="GM8594"/>
      <c r="GN8594"/>
      <c r="GO8594"/>
    </row>
    <row r="8595" spans="107:197">
      <c r="DC8595"/>
      <c r="FH8595"/>
      <c r="FI8595"/>
      <c r="FJ8595"/>
      <c r="FK8595"/>
      <c r="FL8595"/>
      <c r="FM8595"/>
      <c r="FN8595"/>
      <c r="FO8595"/>
      <c r="FP8595"/>
      <c r="FQ8595"/>
      <c r="FR8595"/>
      <c r="FS8595"/>
      <c r="FT8595"/>
      <c r="FU8595"/>
      <c r="FV8595"/>
      <c r="FW8595"/>
      <c r="FX8595"/>
      <c r="FY8595"/>
      <c r="FZ8595"/>
      <c r="GA8595"/>
      <c r="GB8595"/>
      <c r="GC8595"/>
      <c r="GD8595"/>
      <c r="GE8595"/>
      <c r="GF8595"/>
      <c r="GG8595"/>
      <c r="GH8595"/>
      <c r="GI8595"/>
      <c r="GJ8595"/>
      <c r="GK8595"/>
      <c r="GL8595"/>
      <c r="GM8595"/>
      <c r="GN8595"/>
      <c r="GO8595"/>
    </row>
    <row r="8596" spans="107:197">
      <c r="DC8596"/>
      <c r="FH8596"/>
      <c r="FI8596"/>
      <c r="FJ8596"/>
      <c r="FK8596"/>
      <c r="FL8596"/>
      <c r="FM8596"/>
      <c r="FN8596"/>
      <c r="FO8596"/>
      <c r="FP8596"/>
      <c r="FQ8596"/>
      <c r="FR8596"/>
      <c r="FS8596"/>
      <c r="FT8596"/>
      <c r="FU8596"/>
      <c r="FV8596"/>
      <c r="FW8596"/>
      <c r="FX8596"/>
      <c r="FY8596"/>
      <c r="FZ8596"/>
      <c r="GA8596"/>
      <c r="GB8596"/>
      <c r="GC8596"/>
      <c r="GD8596"/>
      <c r="GE8596"/>
      <c r="GF8596"/>
      <c r="GG8596"/>
      <c r="GH8596"/>
      <c r="GI8596"/>
      <c r="GJ8596"/>
      <c r="GK8596"/>
      <c r="GL8596"/>
      <c r="GM8596"/>
      <c r="GN8596"/>
      <c r="GO8596"/>
    </row>
    <row r="8597" spans="107:197">
      <c r="DC8597"/>
      <c r="FH8597"/>
      <c r="FI8597"/>
      <c r="FJ8597"/>
      <c r="FK8597"/>
      <c r="FL8597"/>
      <c r="FM8597"/>
      <c r="FN8597"/>
      <c r="FO8597"/>
      <c r="FP8597"/>
      <c r="FQ8597"/>
      <c r="FR8597"/>
      <c r="FS8597"/>
      <c r="FT8597"/>
      <c r="FU8597"/>
      <c r="FV8597"/>
      <c r="FW8597"/>
      <c r="FX8597"/>
      <c r="FY8597"/>
      <c r="FZ8597"/>
      <c r="GA8597"/>
      <c r="GB8597"/>
      <c r="GC8597"/>
      <c r="GD8597"/>
      <c r="GE8597"/>
      <c r="GF8597"/>
      <c r="GG8597"/>
      <c r="GH8597"/>
      <c r="GI8597"/>
      <c r="GJ8597"/>
      <c r="GK8597"/>
      <c r="GL8597"/>
      <c r="GM8597"/>
      <c r="GN8597"/>
      <c r="GO8597"/>
    </row>
    <row r="8598" spans="107:197">
      <c r="DC8598"/>
      <c r="FH8598"/>
      <c r="FI8598"/>
      <c r="FJ8598"/>
      <c r="FK8598"/>
      <c r="FL8598"/>
      <c r="FM8598"/>
      <c r="FN8598"/>
      <c r="FO8598"/>
      <c r="FP8598"/>
      <c r="FQ8598"/>
      <c r="FR8598"/>
      <c r="FS8598"/>
      <c r="FT8598"/>
      <c r="FU8598"/>
      <c r="FV8598"/>
      <c r="FW8598"/>
      <c r="FX8598"/>
      <c r="FY8598"/>
      <c r="FZ8598"/>
      <c r="GA8598"/>
      <c r="GB8598"/>
      <c r="GC8598"/>
      <c r="GD8598"/>
      <c r="GE8598"/>
      <c r="GF8598"/>
      <c r="GG8598"/>
      <c r="GH8598"/>
      <c r="GI8598"/>
      <c r="GJ8598"/>
      <c r="GK8598"/>
      <c r="GL8598"/>
      <c r="GM8598"/>
      <c r="GN8598"/>
      <c r="GO8598"/>
    </row>
    <row r="8599" spans="107:197">
      <c r="DC8599"/>
      <c r="FH8599"/>
      <c r="FI8599"/>
      <c r="FJ8599"/>
      <c r="FK8599"/>
      <c r="FL8599"/>
      <c r="FM8599"/>
      <c r="FN8599"/>
      <c r="FO8599"/>
      <c r="FP8599"/>
      <c r="FQ8599"/>
      <c r="FR8599"/>
      <c r="FS8599"/>
      <c r="FT8599"/>
      <c r="FU8599"/>
      <c r="FV8599"/>
      <c r="FW8599"/>
      <c r="FX8599"/>
      <c r="FY8599"/>
      <c r="FZ8599"/>
      <c r="GA8599"/>
      <c r="GB8599"/>
      <c r="GC8599"/>
      <c r="GD8599"/>
      <c r="GE8599"/>
      <c r="GF8599"/>
      <c r="GG8599"/>
      <c r="GH8599"/>
      <c r="GI8599"/>
      <c r="GJ8599"/>
      <c r="GK8599"/>
      <c r="GL8599"/>
      <c r="GM8599"/>
      <c r="GN8599"/>
      <c r="GO8599"/>
    </row>
    <row r="8600" spans="107:197">
      <c r="DC8600"/>
      <c r="FH8600"/>
      <c r="FI8600"/>
      <c r="FJ8600"/>
      <c r="FK8600"/>
      <c r="FL8600"/>
      <c r="FM8600"/>
      <c r="FN8600"/>
      <c r="FO8600"/>
      <c r="FP8600"/>
      <c r="FQ8600"/>
      <c r="FR8600"/>
      <c r="FS8600"/>
      <c r="FT8600"/>
      <c r="FU8600"/>
      <c r="FV8600"/>
      <c r="FW8600"/>
      <c r="FX8600"/>
      <c r="FY8600"/>
      <c r="FZ8600"/>
      <c r="GA8600"/>
      <c r="GB8600"/>
      <c r="GC8600"/>
      <c r="GD8600"/>
      <c r="GE8600"/>
      <c r="GF8600"/>
      <c r="GG8600"/>
      <c r="GH8600"/>
      <c r="GI8600"/>
      <c r="GJ8600"/>
      <c r="GK8600"/>
      <c r="GL8600"/>
      <c r="GM8600"/>
      <c r="GN8600"/>
      <c r="GO8600"/>
    </row>
    <row r="8601" spans="107:197">
      <c r="DC8601"/>
      <c r="FH8601"/>
      <c r="FI8601"/>
      <c r="FJ8601"/>
      <c r="FK8601"/>
      <c r="FL8601"/>
      <c r="FM8601"/>
      <c r="FN8601"/>
      <c r="FO8601"/>
      <c r="FP8601"/>
      <c r="FQ8601"/>
      <c r="FR8601"/>
      <c r="FS8601"/>
      <c r="FT8601"/>
      <c r="FU8601"/>
      <c r="FV8601"/>
      <c r="FW8601"/>
      <c r="FX8601"/>
      <c r="FY8601"/>
      <c r="FZ8601"/>
      <c r="GA8601"/>
      <c r="GB8601"/>
      <c r="GC8601"/>
      <c r="GD8601"/>
      <c r="GE8601"/>
      <c r="GF8601"/>
      <c r="GG8601"/>
      <c r="GH8601"/>
      <c r="GI8601"/>
      <c r="GJ8601"/>
      <c r="GK8601"/>
      <c r="GL8601"/>
      <c r="GM8601"/>
      <c r="GN8601"/>
      <c r="GO8601"/>
    </row>
    <row r="8602" spans="107:197">
      <c r="DC8602"/>
      <c r="FH8602"/>
      <c r="FI8602"/>
      <c r="FJ8602"/>
      <c r="FK8602"/>
      <c r="FL8602"/>
      <c r="FM8602"/>
      <c r="FN8602"/>
      <c r="FO8602"/>
      <c r="FP8602"/>
      <c r="FQ8602"/>
      <c r="FR8602"/>
      <c r="FS8602"/>
      <c r="FT8602"/>
      <c r="FU8602"/>
      <c r="FV8602"/>
      <c r="FW8602"/>
      <c r="FX8602"/>
      <c r="FY8602"/>
      <c r="FZ8602"/>
      <c r="GA8602"/>
      <c r="GB8602"/>
      <c r="GC8602"/>
      <c r="GD8602"/>
      <c r="GE8602"/>
      <c r="GF8602"/>
      <c r="GG8602"/>
      <c r="GH8602"/>
      <c r="GI8602"/>
      <c r="GJ8602"/>
      <c r="GK8602"/>
      <c r="GL8602"/>
      <c r="GM8602"/>
      <c r="GN8602"/>
      <c r="GO8602"/>
    </row>
    <row r="8603" spans="107:197">
      <c r="DC8603"/>
      <c r="FH8603"/>
      <c r="FI8603"/>
      <c r="FJ8603"/>
      <c r="FK8603"/>
      <c r="FL8603"/>
      <c r="FM8603"/>
      <c r="FN8603"/>
      <c r="FO8603"/>
      <c r="FP8603"/>
      <c r="FQ8603"/>
      <c r="FR8603"/>
      <c r="FS8603"/>
      <c r="FT8603"/>
      <c r="FU8603"/>
      <c r="FV8603"/>
      <c r="FW8603"/>
      <c r="FX8603"/>
      <c r="FY8603"/>
      <c r="FZ8603"/>
      <c r="GA8603"/>
      <c r="GB8603"/>
      <c r="GC8603"/>
      <c r="GD8603"/>
      <c r="GE8603"/>
      <c r="GF8603"/>
      <c r="GG8603"/>
      <c r="GH8603"/>
      <c r="GI8603"/>
      <c r="GJ8603"/>
      <c r="GK8603"/>
      <c r="GL8603"/>
      <c r="GM8603"/>
      <c r="GN8603"/>
      <c r="GO8603"/>
    </row>
    <row r="8604" spans="107:197">
      <c r="DC8604"/>
      <c r="FH8604"/>
      <c r="FI8604"/>
      <c r="FJ8604"/>
      <c r="FK8604"/>
      <c r="FL8604"/>
      <c r="FM8604"/>
      <c r="FN8604"/>
      <c r="FO8604"/>
      <c r="FP8604"/>
      <c r="FQ8604"/>
      <c r="FR8604"/>
      <c r="FS8604"/>
      <c r="FT8604"/>
      <c r="FU8604"/>
      <c r="FV8604"/>
      <c r="FW8604"/>
      <c r="FX8604"/>
      <c r="FY8604"/>
      <c r="FZ8604"/>
      <c r="GA8604"/>
      <c r="GB8604"/>
      <c r="GC8604"/>
      <c r="GD8604"/>
      <c r="GE8604"/>
      <c r="GF8604"/>
      <c r="GG8604"/>
      <c r="GH8604"/>
      <c r="GI8604"/>
      <c r="GJ8604"/>
      <c r="GK8604"/>
      <c r="GL8604"/>
      <c r="GM8604"/>
      <c r="GN8604"/>
      <c r="GO8604"/>
    </row>
    <row r="8605" spans="107:197">
      <c r="DC8605"/>
      <c r="FH8605"/>
      <c r="FI8605"/>
      <c r="FJ8605"/>
      <c r="FK8605"/>
      <c r="FL8605"/>
      <c r="FM8605"/>
      <c r="FN8605"/>
      <c r="FO8605"/>
      <c r="FP8605"/>
      <c r="FQ8605"/>
      <c r="FR8605"/>
      <c r="FS8605"/>
      <c r="FT8605"/>
      <c r="FU8605"/>
      <c r="FV8605"/>
      <c r="FW8605"/>
      <c r="FX8605"/>
      <c r="FY8605"/>
      <c r="FZ8605"/>
      <c r="GA8605"/>
      <c r="GB8605"/>
      <c r="GC8605"/>
      <c r="GD8605"/>
      <c r="GE8605"/>
      <c r="GF8605"/>
      <c r="GG8605"/>
      <c r="GH8605"/>
      <c r="GI8605"/>
      <c r="GJ8605"/>
      <c r="GK8605"/>
      <c r="GL8605"/>
      <c r="GM8605"/>
      <c r="GN8605"/>
      <c r="GO8605"/>
    </row>
    <row r="8606" spans="107:197">
      <c r="DC8606"/>
      <c r="FH8606"/>
      <c r="FI8606"/>
      <c r="FJ8606"/>
      <c r="FK8606"/>
      <c r="FL8606"/>
      <c r="FM8606"/>
      <c r="FN8606"/>
      <c r="FO8606"/>
      <c r="FP8606"/>
      <c r="FQ8606"/>
      <c r="FR8606"/>
      <c r="FS8606"/>
      <c r="FT8606"/>
      <c r="FU8606"/>
      <c r="FV8606"/>
      <c r="FW8606"/>
      <c r="FX8606"/>
      <c r="FY8606"/>
      <c r="FZ8606"/>
      <c r="GA8606"/>
      <c r="GB8606"/>
      <c r="GC8606"/>
      <c r="GD8606"/>
      <c r="GE8606"/>
      <c r="GF8606"/>
      <c r="GG8606"/>
      <c r="GH8606"/>
      <c r="GI8606"/>
      <c r="GJ8606"/>
      <c r="GK8606"/>
      <c r="GL8606"/>
      <c r="GM8606"/>
      <c r="GN8606"/>
      <c r="GO8606"/>
    </row>
    <row r="8607" spans="107:197">
      <c r="DC8607"/>
      <c r="FH8607"/>
      <c r="FI8607"/>
      <c r="FJ8607"/>
      <c r="FK8607"/>
      <c r="FL8607"/>
      <c r="FM8607"/>
      <c r="FN8607"/>
      <c r="FO8607"/>
      <c r="FP8607"/>
      <c r="FQ8607"/>
      <c r="FR8607"/>
      <c r="FS8607"/>
      <c r="FT8607"/>
      <c r="FU8607"/>
      <c r="FV8607"/>
      <c r="FW8607"/>
      <c r="FX8607"/>
      <c r="FY8607"/>
      <c r="FZ8607"/>
      <c r="GA8607"/>
      <c r="GB8607"/>
      <c r="GC8607"/>
      <c r="GD8607"/>
      <c r="GE8607"/>
      <c r="GF8607"/>
      <c r="GG8607"/>
      <c r="GH8607"/>
      <c r="GI8607"/>
      <c r="GJ8607"/>
      <c r="GK8607"/>
      <c r="GL8607"/>
      <c r="GM8607"/>
      <c r="GN8607"/>
      <c r="GO8607"/>
    </row>
    <row r="8608" spans="107:197">
      <c r="DC8608"/>
      <c r="FH8608"/>
      <c r="FI8608"/>
      <c r="FJ8608"/>
      <c r="FK8608"/>
      <c r="FL8608"/>
      <c r="FM8608"/>
      <c r="FN8608"/>
      <c r="FO8608"/>
      <c r="FP8608"/>
      <c r="FQ8608"/>
      <c r="FR8608"/>
      <c r="FS8608"/>
      <c r="FT8608"/>
      <c r="FU8608"/>
      <c r="FV8608"/>
      <c r="FW8608"/>
      <c r="FX8608"/>
      <c r="FY8608"/>
      <c r="FZ8608"/>
      <c r="GA8608"/>
      <c r="GB8608"/>
      <c r="GC8608"/>
      <c r="GD8608"/>
      <c r="GE8608"/>
      <c r="GF8608"/>
      <c r="GG8608"/>
      <c r="GH8608"/>
      <c r="GI8608"/>
      <c r="GJ8608"/>
      <c r="GK8608"/>
      <c r="GL8608"/>
      <c r="GM8608"/>
      <c r="GN8608"/>
      <c r="GO8608"/>
    </row>
    <row r="8609" spans="107:197">
      <c r="DC8609"/>
      <c r="FH8609"/>
      <c r="FI8609"/>
      <c r="FJ8609"/>
      <c r="FK8609"/>
      <c r="FL8609"/>
      <c r="FM8609"/>
      <c r="FN8609"/>
      <c r="FO8609"/>
      <c r="FP8609"/>
      <c r="FQ8609"/>
      <c r="FR8609"/>
      <c r="FS8609"/>
      <c r="FT8609"/>
      <c r="FU8609"/>
      <c r="FV8609"/>
      <c r="FW8609"/>
      <c r="FX8609"/>
      <c r="FY8609"/>
      <c r="FZ8609"/>
      <c r="GA8609"/>
      <c r="GB8609"/>
      <c r="GC8609"/>
      <c r="GD8609"/>
      <c r="GE8609"/>
      <c r="GF8609"/>
      <c r="GG8609"/>
      <c r="GH8609"/>
      <c r="GI8609"/>
      <c r="GJ8609"/>
      <c r="GK8609"/>
      <c r="GL8609"/>
      <c r="GM8609"/>
      <c r="GN8609"/>
      <c r="GO8609"/>
    </row>
    <row r="8610" spans="107:197">
      <c r="DC8610"/>
      <c r="FH8610"/>
      <c r="FI8610"/>
      <c r="FJ8610"/>
      <c r="FK8610"/>
      <c r="FL8610"/>
      <c r="FM8610"/>
      <c r="FN8610"/>
      <c r="FO8610"/>
      <c r="FP8610"/>
      <c r="FQ8610"/>
      <c r="FR8610"/>
      <c r="FS8610"/>
      <c r="FT8610"/>
      <c r="FU8610"/>
      <c r="FV8610"/>
      <c r="FW8610"/>
      <c r="FX8610"/>
      <c r="FY8610"/>
      <c r="FZ8610"/>
      <c r="GA8610"/>
      <c r="GB8610"/>
      <c r="GC8610"/>
      <c r="GD8610"/>
      <c r="GE8610"/>
      <c r="GF8610"/>
      <c r="GG8610"/>
      <c r="GH8610"/>
      <c r="GI8610"/>
      <c r="GJ8610"/>
      <c r="GK8610"/>
      <c r="GL8610"/>
      <c r="GM8610"/>
      <c r="GN8610"/>
      <c r="GO8610"/>
    </row>
    <row r="8611" spans="107:197">
      <c r="DC8611"/>
      <c r="FH8611"/>
      <c r="FI8611"/>
      <c r="FJ8611"/>
      <c r="FK8611"/>
      <c r="FL8611"/>
      <c r="FM8611"/>
      <c r="FN8611"/>
      <c r="FO8611"/>
      <c r="FP8611"/>
      <c r="FQ8611"/>
      <c r="FR8611"/>
      <c r="FS8611"/>
      <c r="FT8611"/>
      <c r="FU8611"/>
      <c r="FV8611"/>
      <c r="FW8611"/>
      <c r="FX8611"/>
      <c r="FY8611"/>
      <c r="FZ8611"/>
      <c r="GA8611"/>
      <c r="GB8611"/>
      <c r="GC8611"/>
      <c r="GD8611"/>
      <c r="GE8611"/>
      <c r="GF8611"/>
      <c r="GG8611"/>
      <c r="GH8611"/>
      <c r="GI8611"/>
      <c r="GJ8611"/>
      <c r="GK8611"/>
      <c r="GL8611"/>
      <c r="GM8611"/>
      <c r="GN8611"/>
      <c r="GO8611"/>
    </row>
    <row r="8612" spans="107:197">
      <c r="DC8612"/>
      <c r="FH8612"/>
      <c r="FI8612"/>
      <c r="FJ8612"/>
      <c r="FK8612"/>
      <c r="FL8612"/>
      <c r="FM8612"/>
      <c r="FN8612"/>
      <c r="FO8612"/>
      <c r="FP8612"/>
      <c r="FQ8612"/>
      <c r="FR8612"/>
      <c r="FS8612"/>
      <c r="FT8612"/>
      <c r="FU8612"/>
      <c r="FV8612"/>
      <c r="FW8612"/>
      <c r="FX8612"/>
      <c r="FY8612"/>
      <c r="FZ8612"/>
      <c r="GA8612"/>
      <c r="GB8612"/>
      <c r="GC8612"/>
      <c r="GD8612"/>
      <c r="GE8612"/>
      <c r="GF8612"/>
      <c r="GG8612"/>
      <c r="GH8612"/>
      <c r="GI8612"/>
      <c r="GJ8612"/>
      <c r="GK8612"/>
      <c r="GL8612"/>
      <c r="GM8612"/>
      <c r="GN8612"/>
      <c r="GO8612"/>
    </row>
    <row r="8613" spans="107:197">
      <c r="DC8613"/>
      <c r="FH8613"/>
      <c r="FI8613"/>
      <c r="FJ8613"/>
      <c r="FK8613"/>
      <c r="FL8613"/>
      <c r="FM8613"/>
      <c r="FN8613"/>
      <c r="FO8613"/>
      <c r="FP8613"/>
      <c r="FQ8613"/>
      <c r="FR8613"/>
      <c r="FS8613"/>
      <c r="FT8613"/>
      <c r="FU8613"/>
      <c r="FV8613"/>
      <c r="FW8613"/>
      <c r="FX8613"/>
      <c r="FY8613"/>
      <c r="FZ8613"/>
      <c r="GA8613"/>
      <c r="GB8613"/>
      <c r="GC8613"/>
      <c r="GD8613"/>
      <c r="GE8613"/>
      <c r="GF8613"/>
      <c r="GG8613"/>
      <c r="GH8613"/>
      <c r="GI8613"/>
      <c r="GJ8613"/>
      <c r="GK8613"/>
      <c r="GL8613"/>
      <c r="GM8613"/>
      <c r="GN8613"/>
      <c r="GO8613"/>
    </row>
    <row r="8614" spans="107:197">
      <c r="DC8614"/>
      <c r="FH8614"/>
      <c r="FI8614"/>
      <c r="FJ8614"/>
      <c r="FK8614"/>
      <c r="FL8614"/>
      <c r="FM8614"/>
      <c r="FN8614"/>
      <c r="FO8614"/>
      <c r="FP8614"/>
      <c r="FQ8614"/>
      <c r="FR8614"/>
      <c r="FS8614"/>
      <c r="FT8614"/>
      <c r="FU8614"/>
      <c r="FV8614"/>
      <c r="FW8614"/>
      <c r="FX8614"/>
      <c r="FY8614"/>
      <c r="FZ8614"/>
      <c r="GA8614"/>
      <c r="GB8614"/>
      <c r="GC8614"/>
      <c r="GD8614"/>
      <c r="GE8614"/>
      <c r="GF8614"/>
      <c r="GG8614"/>
      <c r="GH8614"/>
      <c r="GI8614"/>
      <c r="GJ8614"/>
      <c r="GK8614"/>
      <c r="GL8614"/>
      <c r="GM8614"/>
      <c r="GN8614"/>
      <c r="GO8614"/>
    </row>
    <row r="8615" spans="107:197">
      <c r="DC8615"/>
      <c r="FH8615"/>
      <c r="FI8615"/>
      <c r="FJ8615"/>
      <c r="FK8615"/>
      <c r="FL8615"/>
      <c r="FM8615"/>
      <c r="FN8615"/>
      <c r="FO8615"/>
      <c r="FP8615"/>
      <c r="FQ8615"/>
      <c r="FR8615"/>
      <c r="FS8615"/>
      <c r="FT8615"/>
      <c r="FU8615"/>
      <c r="FV8615"/>
      <c r="FW8615"/>
      <c r="FX8615"/>
      <c r="FY8615"/>
      <c r="FZ8615"/>
      <c r="GA8615"/>
      <c r="GB8615"/>
      <c r="GC8615"/>
      <c r="GD8615"/>
      <c r="GE8615"/>
      <c r="GF8615"/>
      <c r="GG8615"/>
      <c r="GH8615"/>
      <c r="GI8615"/>
      <c r="GJ8615"/>
      <c r="GK8615"/>
      <c r="GL8615"/>
      <c r="GM8615"/>
      <c r="GN8615"/>
      <c r="GO8615"/>
    </row>
    <row r="8616" spans="107:197">
      <c r="DC8616"/>
      <c r="FH8616"/>
      <c r="FI8616"/>
      <c r="FJ8616"/>
      <c r="FK8616"/>
      <c r="FL8616"/>
      <c r="FM8616"/>
      <c r="FN8616"/>
      <c r="FO8616"/>
      <c r="FP8616"/>
      <c r="FQ8616"/>
      <c r="FR8616"/>
      <c r="FS8616"/>
      <c r="FT8616"/>
      <c r="FU8616"/>
      <c r="FV8616"/>
      <c r="FW8616"/>
      <c r="FX8616"/>
      <c r="FY8616"/>
      <c r="FZ8616"/>
      <c r="GA8616"/>
      <c r="GB8616"/>
      <c r="GC8616"/>
      <c r="GD8616"/>
      <c r="GE8616"/>
      <c r="GF8616"/>
      <c r="GG8616"/>
      <c r="GH8616"/>
      <c r="GI8616"/>
      <c r="GJ8616"/>
      <c r="GK8616"/>
      <c r="GL8616"/>
      <c r="GM8616"/>
      <c r="GN8616"/>
      <c r="GO8616"/>
    </row>
    <row r="8617" spans="107:197">
      <c r="DC8617"/>
      <c r="FH8617"/>
      <c r="FI8617"/>
      <c r="FJ8617"/>
      <c r="FK8617"/>
      <c r="FL8617"/>
      <c r="FM8617"/>
      <c r="FN8617"/>
      <c r="FO8617"/>
      <c r="FP8617"/>
      <c r="FQ8617"/>
      <c r="FR8617"/>
      <c r="FS8617"/>
      <c r="FT8617"/>
      <c r="FU8617"/>
      <c r="FV8617"/>
      <c r="FW8617"/>
      <c r="FX8617"/>
      <c r="FY8617"/>
      <c r="FZ8617"/>
      <c r="GA8617"/>
      <c r="GB8617"/>
      <c r="GC8617"/>
      <c r="GD8617"/>
      <c r="GE8617"/>
      <c r="GF8617"/>
      <c r="GG8617"/>
      <c r="GH8617"/>
      <c r="GI8617"/>
      <c r="GJ8617"/>
      <c r="GK8617"/>
      <c r="GL8617"/>
      <c r="GM8617"/>
      <c r="GN8617"/>
      <c r="GO8617"/>
    </row>
    <row r="8618" spans="107:197">
      <c r="DC8618"/>
      <c r="FH8618"/>
      <c r="FI8618"/>
      <c r="FJ8618"/>
      <c r="FK8618"/>
      <c r="FL8618"/>
      <c r="FM8618"/>
      <c r="FN8618"/>
      <c r="FO8618"/>
      <c r="FP8618"/>
      <c r="FQ8618"/>
      <c r="FR8618"/>
      <c r="FS8618"/>
      <c r="FT8618"/>
      <c r="FU8618"/>
      <c r="FV8618"/>
      <c r="FW8618"/>
      <c r="FX8618"/>
      <c r="FY8618"/>
      <c r="FZ8618"/>
      <c r="GA8618"/>
      <c r="GB8618"/>
      <c r="GC8618"/>
      <c r="GD8618"/>
      <c r="GE8618"/>
      <c r="GF8618"/>
      <c r="GG8618"/>
      <c r="GH8618"/>
      <c r="GI8618"/>
      <c r="GJ8618"/>
      <c r="GK8618"/>
      <c r="GL8618"/>
      <c r="GM8618"/>
      <c r="GN8618"/>
      <c r="GO8618"/>
    </row>
    <row r="8619" spans="107:197">
      <c r="DC8619"/>
      <c r="FH8619"/>
      <c r="FI8619"/>
      <c r="FJ8619"/>
      <c r="FK8619"/>
      <c r="FL8619"/>
      <c r="FM8619"/>
      <c r="FN8619"/>
      <c r="FO8619"/>
      <c r="FP8619"/>
      <c r="FQ8619"/>
      <c r="FR8619"/>
      <c r="FS8619"/>
      <c r="FT8619"/>
      <c r="FU8619"/>
      <c r="FV8619"/>
      <c r="FW8619"/>
      <c r="FX8619"/>
      <c r="FY8619"/>
      <c r="FZ8619"/>
      <c r="GA8619"/>
      <c r="GB8619"/>
      <c r="GC8619"/>
      <c r="GD8619"/>
      <c r="GE8619"/>
      <c r="GF8619"/>
      <c r="GG8619"/>
      <c r="GH8619"/>
      <c r="GI8619"/>
      <c r="GJ8619"/>
      <c r="GK8619"/>
      <c r="GL8619"/>
      <c r="GM8619"/>
      <c r="GN8619"/>
      <c r="GO8619"/>
    </row>
    <row r="8620" spans="107:197">
      <c r="DC8620"/>
      <c r="FH8620"/>
      <c r="FI8620"/>
      <c r="FJ8620"/>
      <c r="FK8620"/>
      <c r="FL8620"/>
      <c r="FM8620"/>
      <c r="FN8620"/>
      <c r="FO8620"/>
      <c r="FP8620"/>
      <c r="FQ8620"/>
      <c r="FR8620"/>
      <c r="FS8620"/>
      <c r="FT8620"/>
      <c r="FU8620"/>
      <c r="FV8620"/>
      <c r="FW8620"/>
      <c r="FX8620"/>
      <c r="FY8620"/>
      <c r="FZ8620"/>
      <c r="GA8620"/>
      <c r="GB8620"/>
      <c r="GC8620"/>
      <c r="GD8620"/>
      <c r="GE8620"/>
      <c r="GF8620"/>
      <c r="GG8620"/>
      <c r="GH8620"/>
      <c r="GI8620"/>
      <c r="GJ8620"/>
      <c r="GK8620"/>
      <c r="GL8620"/>
      <c r="GM8620"/>
      <c r="GN8620"/>
      <c r="GO8620"/>
    </row>
    <row r="8621" spans="107:197">
      <c r="DC8621"/>
      <c r="FH8621"/>
      <c r="FI8621"/>
      <c r="FJ8621"/>
      <c r="FK8621"/>
      <c r="FL8621"/>
      <c r="FM8621"/>
      <c r="FN8621"/>
      <c r="FO8621"/>
      <c r="FP8621"/>
      <c r="FQ8621"/>
      <c r="FR8621"/>
      <c r="FS8621"/>
      <c r="FT8621"/>
      <c r="FU8621"/>
      <c r="FV8621"/>
      <c r="FW8621"/>
      <c r="FX8621"/>
      <c r="FY8621"/>
      <c r="FZ8621"/>
      <c r="GA8621"/>
      <c r="GB8621"/>
      <c r="GC8621"/>
      <c r="GD8621"/>
      <c r="GE8621"/>
      <c r="GF8621"/>
      <c r="GG8621"/>
      <c r="GH8621"/>
      <c r="GI8621"/>
      <c r="GJ8621"/>
      <c r="GK8621"/>
      <c r="GL8621"/>
      <c r="GM8621"/>
      <c r="GN8621"/>
      <c r="GO8621"/>
    </row>
    <row r="8622" spans="107:197">
      <c r="DC8622"/>
      <c r="FH8622"/>
      <c r="FI8622"/>
      <c r="FJ8622"/>
      <c r="FK8622"/>
      <c r="FL8622"/>
      <c r="FM8622"/>
      <c r="FN8622"/>
      <c r="FO8622"/>
      <c r="FP8622"/>
      <c r="FQ8622"/>
      <c r="FR8622"/>
      <c r="FS8622"/>
      <c r="FT8622"/>
      <c r="FU8622"/>
      <c r="FV8622"/>
      <c r="FW8622"/>
      <c r="FX8622"/>
      <c r="FY8622"/>
      <c r="FZ8622"/>
      <c r="GA8622"/>
      <c r="GB8622"/>
      <c r="GC8622"/>
      <c r="GD8622"/>
      <c r="GE8622"/>
      <c r="GF8622"/>
      <c r="GG8622"/>
      <c r="GH8622"/>
      <c r="GI8622"/>
      <c r="GJ8622"/>
      <c r="GK8622"/>
      <c r="GL8622"/>
      <c r="GM8622"/>
      <c r="GN8622"/>
      <c r="GO8622"/>
    </row>
    <row r="8623" spans="107:197">
      <c r="DC8623"/>
      <c r="FH8623"/>
      <c r="FI8623"/>
      <c r="FJ8623"/>
      <c r="FK8623"/>
      <c r="FL8623"/>
      <c r="FM8623"/>
      <c r="FN8623"/>
      <c r="FO8623"/>
      <c r="FP8623"/>
      <c r="FQ8623"/>
      <c r="FR8623"/>
      <c r="FS8623"/>
      <c r="FT8623"/>
      <c r="FU8623"/>
      <c r="FV8623"/>
      <c r="FW8623"/>
      <c r="FX8623"/>
      <c r="FY8623"/>
      <c r="FZ8623"/>
      <c r="GA8623"/>
      <c r="GB8623"/>
      <c r="GC8623"/>
      <c r="GD8623"/>
      <c r="GE8623"/>
      <c r="GF8623"/>
      <c r="GG8623"/>
      <c r="GH8623"/>
      <c r="GI8623"/>
      <c r="GJ8623"/>
      <c r="GK8623"/>
      <c r="GL8623"/>
      <c r="GM8623"/>
      <c r="GN8623"/>
      <c r="GO8623"/>
    </row>
    <row r="8624" spans="107:197">
      <c r="DC8624"/>
      <c r="FH8624"/>
      <c r="FI8624"/>
      <c r="FJ8624"/>
      <c r="FK8624"/>
      <c r="FL8624"/>
      <c r="FM8624"/>
      <c r="FN8624"/>
      <c r="FO8624"/>
      <c r="FP8624"/>
      <c r="FQ8624"/>
      <c r="FR8624"/>
      <c r="FS8624"/>
      <c r="FT8624"/>
      <c r="FU8624"/>
      <c r="FV8624"/>
      <c r="FW8624"/>
      <c r="FX8624"/>
      <c r="FY8624"/>
      <c r="FZ8624"/>
      <c r="GA8624"/>
      <c r="GB8624"/>
      <c r="GC8624"/>
      <c r="GD8624"/>
      <c r="GE8624"/>
      <c r="GF8624"/>
      <c r="GG8624"/>
      <c r="GH8624"/>
      <c r="GI8624"/>
      <c r="GJ8624"/>
      <c r="GK8624"/>
      <c r="GL8624"/>
      <c r="GM8624"/>
      <c r="GN8624"/>
      <c r="GO8624"/>
    </row>
    <row r="8625" spans="107:197">
      <c r="DC8625"/>
      <c r="FH8625"/>
      <c r="FI8625"/>
      <c r="FJ8625"/>
      <c r="FK8625"/>
      <c r="FL8625"/>
      <c r="FM8625"/>
      <c r="FN8625"/>
      <c r="FO8625"/>
      <c r="FP8625"/>
      <c r="FQ8625"/>
      <c r="FR8625"/>
      <c r="FS8625"/>
      <c r="FT8625"/>
      <c r="FU8625"/>
      <c r="FV8625"/>
      <c r="FW8625"/>
      <c r="FX8625"/>
      <c r="FY8625"/>
      <c r="FZ8625"/>
      <c r="GA8625"/>
      <c r="GB8625"/>
      <c r="GC8625"/>
      <c r="GD8625"/>
      <c r="GE8625"/>
      <c r="GF8625"/>
      <c r="GG8625"/>
      <c r="GH8625"/>
      <c r="GI8625"/>
      <c r="GJ8625"/>
      <c r="GK8625"/>
      <c r="GL8625"/>
      <c r="GM8625"/>
      <c r="GN8625"/>
      <c r="GO8625"/>
    </row>
    <row r="8626" spans="107:197">
      <c r="DC8626"/>
      <c r="FH8626"/>
      <c r="FI8626"/>
      <c r="FJ8626"/>
      <c r="FK8626"/>
      <c r="FL8626"/>
      <c r="FM8626"/>
      <c r="FN8626"/>
      <c r="FO8626"/>
      <c r="FP8626"/>
      <c r="FQ8626"/>
      <c r="FR8626"/>
      <c r="FS8626"/>
      <c r="FT8626"/>
      <c r="FU8626"/>
      <c r="FV8626"/>
      <c r="FW8626"/>
      <c r="FX8626"/>
      <c r="FY8626"/>
      <c r="FZ8626"/>
      <c r="GA8626"/>
      <c r="GB8626"/>
      <c r="GC8626"/>
      <c r="GD8626"/>
      <c r="GE8626"/>
      <c r="GF8626"/>
      <c r="GG8626"/>
      <c r="GH8626"/>
      <c r="GI8626"/>
      <c r="GJ8626"/>
      <c r="GK8626"/>
      <c r="GL8626"/>
      <c r="GM8626"/>
      <c r="GN8626"/>
      <c r="GO8626"/>
    </row>
    <row r="8627" spans="107:197">
      <c r="DC8627"/>
      <c r="FH8627"/>
      <c r="FI8627"/>
      <c r="FJ8627"/>
      <c r="FK8627"/>
      <c r="FL8627"/>
      <c r="FM8627"/>
      <c r="FN8627"/>
      <c r="FO8627"/>
      <c r="FP8627"/>
      <c r="FQ8627"/>
      <c r="FR8627"/>
      <c r="FS8627"/>
      <c r="FT8627"/>
      <c r="FU8627"/>
      <c r="FV8627"/>
      <c r="FW8627"/>
      <c r="FX8627"/>
      <c r="FY8627"/>
      <c r="FZ8627"/>
      <c r="GA8627"/>
      <c r="GB8627"/>
      <c r="GC8627"/>
      <c r="GD8627"/>
      <c r="GE8627"/>
      <c r="GF8627"/>
      <c r="GG8627"/>
      <c r="GH8627"/>
      <c r="GI8627"/>
      <c r="GJ8627"/>
      <c r="GK8627"/>
      <c r="GL8627"/>
      <c r="GM8627"/>
      <c r="GN8627"/>
      <c r="GO8627"/>
    </row>
    <row r="8628" spans="107:197">
      <c r="DC8628"/>
      <c r="FH8628"/>
      <c r="FI8628"/>
      <c r="FJ8628"/>
      <c r="FK8628"/>
      <c r="FL8628"/>
      <c r="FM8628"/>
      <c r="FN8628"/>
      <c r="FO8628"/>
      <c r="FP8628"/>
      <c r="FQ8628"/>
      <c r="FR8628"/>
      <c r="FS8628"/>
      <c r="FT8628"/>
      <c r="FU8628"/>
      <c r="FV8628"/>
      <c r="FW8628"/>
      <c r="FX8628"/>
      <c r="FY8628"/>
      <c r="FZ8628"/>
      <c r="GA8628"/>
      <c r="GB8628"/>
      <c r="GC8628"/>
      <c r="GD8628"/>
      <c r="GE8628"/>
      <c r="GF8628"/>
      <c r="GG8628"/>
      <c r="GH8628"/>
      <c r="GI8628"/>
      <c r="GJ8628"/>
      <c r="GK8628"/>
      <c r="GL8628"/>
      <c r="GM8628"/>
      <c r="GN8628"/>
      <c r="GO8628"/>
    </row>
    <row r="8629" spans="107:197">
      <c r="DC8629"/>
      <c r="FH8629"/>
      <c r="FI8629"/>
      <c r="FJ8629"/>
      <c r="FK8629"/>
      <c r="FL8629"/>
      <c r="FM8629"/>
      <c r="FN8629"/>
      <c r="FO8629"/>
      <c r="FP8629"/>
      <c r="FQ8629"/>
      <c r="FR8629"/>
      <c r="FS8629"/>
      <c r="FT8629"/>
      <c r="FU8629"/>
      <c r="FV8629"/>
      <c r="FW8629"/>
      <c r="FX8629"/>
      <c r="FY8629"/>
      <c r="FZ8629"/>
      <c r="GA8629"/>
      <c r="GB8629"/>
      <c r="GC8629"/>
      <c r="GD8629"/>
      <c r="GE8629"/>
      <c r="GF8629"/>
      <c r="GG8629"/>
      <c r="GH8629"/>
      <c r="GI8629"/>
      <c r="GJ8629"/>
      <c r="GK8629"/>
      <c r="GL8629"/>
      <c r="GM8629"/>
      <c r="GN8629"/>
      <c r="GO8629"/>
    </row>
    <row r="8630" spans="107:197">
      <c r="DC8630"/>
      <c r="FH8630"/>
      <c r="FI8630"/>
      <c r="FJ8630"/>
      <c r="FK8630"/>
      <c r="FL8630"/>
      <c r="FM8630"/>
      <c r="FN8630"/>
      <c r="FO8630"/>
      <c r="FP8630"/>
      <c r="FQ8630"/>
      <c r="FR8630"/>
      <c r="FS8630"/>
      <c r="FT8630"/>
      <c r="FU8630"/>
      <c r="FV8630"/>
      <c r="FW8630"/>
      <c r="FX8630"/>
      <c r="FY8630"/>
      <c r="FZ8630"/>
      <c r="GA8630"/>
      <c r="GB8630"/>
      <c r="GC8630"/>
      <c r="GD8630"/>
      <c r="GE8630"/>
      <c r="GF8630"/>
      <c r="GG8630"/>
      <c r="GH8630"/>
      <c r="GI8630"/>
      <c r="GJ8630"/>
      <c r="GK8630"/>
      <c r="GL8630"/>
      <c r="GM8630"/>
      <c r="GN8630"/>
      <c r="GO8630"/>
    </row>
    <row r="8631" spans="107:197">
      <c r="DC8631"/>
      <c r="FH8631"/>
      <c r="FI8631"/>
      <c r="FJ8631"/>
      <c r="FK8631"/>
      <c r="FL8631"/>
      <c r="FM8631"/>
      <c r="FN8631"/>
      <c r="FO8631"/>
      <c r="FP8631"/>
      <c r="FQ8631"/>
      <c r="FR8631"/>
      <c r="FS8631"/>
      <c r="FT8631"/>
      <c r="FU8631"/>
      <c r="FV8631"/>
      <c r="FW8631"/>
      <c r="FX8631"/>
      <c r="FY8631"/>
      <c r="FZ8631"/>
      <c r="GA8631"/>
      <c r="GB8631"/>
      <c r="GC8631"/>
      <c r="GD8631"/>
      <c r="GE8631"/>
      <c r="GF8631"/>
      <c r="GG8631"/>
      <c r="GH8631"/>
      <c r="GI8631"/>
      <c r="GJ8631"/>
      <c r="GK8631"/>
      <c r="GL8631"/>
      <c r="GM8631"/>
      <c r="GN8631"/>
      <c r="GO8631"/>
    </row>
    <row r="8632" spans="107:197">
      <c r="DC8632"/>
      <c r="FH8632"/>
      <c r="FI8632"/>
      <c r="FJ8632"/>
      <c r="FK8632"/>
      <c r="FL8632"/>
      <c r="FM8632"/>
      <c r="FN8632"/>
      <c r="FO8632"/>
      <c r="FP8632"/>
      <c r="FQ8632"/>
      <c r="FR8632"/>
      <c r="FS8632"/>
      <c r="FT8632"/>
      <c r="FU8632"/>
      <c r="FV8632"/>
      <c r="FW8632"/>
      <c r="FX8632"/>
      <c r="FY8632"/>
      <c r="FZ8632"/>
      <c r="GA8632"/>
      <c r="GB8632"/>
      <c r="GC8632"/>
      <c r="GD8632"/>
      <c r="GE8632"/>
      <c r="GF8632"/>
      <c r="GG8632"/>
      <c r="GH8632"/>
      <c r="GI8632"/>
      <c r="GJ8632"/>
      <c r="GK8632"/>
      <c r="GL8632"/>
      <c r="GM8632"/>
      <c r="GN8632"/>
      <c r="GO8632"/>
    </row>
    <row r="8633" spans="107:197">
      <c r="DC8633"/>
      <c r="FH8633"/>
      <c r="FI8633"/>
      <c r="FJ8633"/>
      <c r="FK8633"/>
      <c r="FL8633"/>
      <c r="FM8633"/>
      <c r="FN8633"/>
      <c r="FO8633"/>
      <c r="FP8633"/>
      <c r="FQ8633"/>
      <c r="FR8633"/>
      <c r="FS8633"/>
      <c r="FT8633"/>
      <c r="FU8633"/>
      <c r="FV8633"/>
      <c r="FW8633"/>
      <c r="FX8633"/>
      <c r="FY8633"/>
      <c r="FZ8633"/>
      <c r="GA8633"/>
      <c r="GB8633"/>
      <c r="GC8633"/>
      <c r="GD8633"/>
      <c r="GE8633"/>
      <c r="GF8633"/>
      <c r="GG8633"/>
      <c r="GH8633"/>
      <c r="GI8633"/>
      <c r="GJ8633"/>
      <c r="GK8633"/>
      <c r="GL8633"/>
      <c r="GM8633"/>
      <c r="GN8633"/>
      <c r="GO8633"/>
    </row>
    <row r="8634" spans="107:197">
      <c r="DC8634"/>
      <c r="FH8634"/>
      <c r="FI8634"/>
      <c r="FJ8634"/>
      <c r="FK8634"/>
      <c r="FL8634"/>
      <c r="FM8634"/>
      <c r="FN8634"/>
      <c r="FO8634"/>
      <c r="FP8634"/>
      <c r="FQ8634"/>
      <c r="FR8634"/>
      <c r="FS8634"/>
      <c r="FT8634"/>
      <c r="FU8634"/>
      <c r="FV8634"/>
      <c r="FW8634"/>
      <c r="FX8634"/>
      <c r="FY8634"/>
      <c r="FZ8634"/>
      <c r="GA8634"/>
      <c r="GB8634"/>
      <c r="GC8634"/>
      <c r="GD8634"/>
      <c r="GE8634"/>
      <c r="GF8634"/>
      <c r="GG8634"/>
      <c r="GH8634"/>
      <c r="GI8634"/>
      <c r="GJ8634"/>
      <c r="GK8634"/>
      <c r="GL8634"/>
      <c r="GM8634"/>
      <c r="GN8634"/>
      <c r="GO8634"/>
    </row>
    <row r="8635" spans="107:197">
      <c r="DC8635"/>
      <c r="FH8635"/>
      <c r="FI8635"/>
      <c r="FJ8635"/>
      <c r="FK8635"/>
      <c r="FL8635"/>
      <c r="FM8635"/>
      <c r="FN8635"/>
      <c r="FO8635"/>
      <c r="FP8635"/>
      <c r="FQ8635"/>
      <c r="FR8635"/>
      <c r="FS8635"/>
      <c r="FT8635"/>
      <c r="FU8635"/>
      <c r="FV8635"/>
      <c r="FW8635"/>
      <c r="FX8635"/>
      <c r="FY8635"/>
      <c r="FZ8635"/>
      <c r="GA8635"/>
      <c r="GB8635"/>
      <c r="GC8635"/>
      <c r="GD8635"/>
      <c r="GE8635"/>
      <c r="GF8635"/>
      <c r="GG8635"/>
      <c r="GH8635"/>
      <c r="GI8635"/>
      <c r="GJ8635"/>
      <c r="GK8635"/>
      <c r="GL8635"/>
      <c r="GM8635"/>
      <c r="GN8635"/>
      <c r="GO8635"/>
    </row>
    <row r="8636" spans="107:197">
      <c r="DC8636"/>
      <c r="FH8636"/>
      <c r="FI8636"/>
      <c r="FJ8636"/>
      <c r="FK8636"/>
      <c r="FL8636"/>
      <c r="FM8636"/>
      <c r="FN8636"/>
      <c r="FO8636"/>
      <c r="FP8636"/>
      <c r="FQ8636"/>
      <c r="FR8636"/>
      <c r="FS8636"/>
      <c r="FT8636"/>
      <c r="FU8636"/>
      <c r="FV8636"/>
      <c r="FW8636"/>
      <c r="FX8636"/>
      <c r="FY8636"/>
      <c r="FZ8636"/>
      <c r="GA8636"/>
      <c r="GB8636"/>
      <c r="GC8636"/>
      <c r="GD8636"/>
      <c r="GE8636"/>
      <c r="GF8636"/>
      <c r="GG8636"/>
      <c r="GH8636"/>
      <c r="GI8636"/>
      <c r="GJ8636"/>
      <c r="GK8636"/>
      <c r="GL8636"/>
      <c r="GM8636"/>
      <c r="GN8636"/>
      <c r="GO8636"/>
    </row>
    <row r="8637" spans="107:197">
      <c r="DC8637"/>
      <c r="FH8637"/>
      <c r="FI8637"/>
      <c r="FJ8637"/>
      <c r="FK8637"/>
      <c r="FL8637"/>
      <c r="FM8637"/>
      <c r="FN8637"/>
      <c r="FO8637"/>
      <c r="FP8637"/>
      <c r="FQ8637"/>
      <c r="FR8637"/>
      <c r="FS8637"/>
      <c r="FT8637"/>
      <c r="FU8637"/>
      <c r="FV8637"/>
      <c r="FW8637"/>
      <c r="FX8637"/>
      <c r="FY8637"/>
      <c r="FZ8637"/>
      <c r="GA8637"/>
      <c r="GB8637"/>
      <c r="GC8637"/>
      <c r="GD8637"/>
      <c r="GE8637"/>
      <c r="GF8637"/>
      <c r="GG8637"/>
      <c r="GH8637"/>
      <c r="GI8637"/>
      <c r="GJ8637"/>
      <c r="GK8637"/>
      <c r="GL8637"/>
      <c r="GM8637"/>
      <c r="GN8637"/>
      <c r="GO8637"/>
    </row>
    <row r="8638" spans="107:197">
      <c r="DC8638"/>
      <c r="FH8638"/>
      <c r="FI8638"/>
      <c r="FJ8638"/>
      <c r="FK8638"/>
      <c r="FL8638"/>
      <c r="FM8638"/>
      <c r="FN8638"/>
      <c r="FO8638"/>
      <c r="FP8638"/>
      <c r="FQ8638"/>
      <c r="FR8638"/>
      <c r="FS8638"/>
      <c r="FT8638"/>
      <c r="FU8638"/>
      <c r="FV8638"/>
      <c r="FW8638"/>
      <c r="FX8638"/>
      <c r="FY8638"/>
      <c r="FZ8638"/>
      <c r="GA8638"/>
      <c r="GB8638"/>
      <c r="GC8638"/>
      <c r="GD8638"/>
      <c r="GE8638"/>
      <c r="GF8638"/>
      <c r="GG8638"/>
      <c r="GH8638"/>
      <c r="GI8638"/>
      <c r="GJ8638"/>
      <c r="GK8638"/>
      <c r="GL8638"/>
      <c r="GM8638"/>
      <c r="GN8638"/>
      <c r="GO8638"/>
    </row>
    <row r="8639" spans="107:197">
      <c r="DC8639"/>
      <c r="FH8639"/>
      <c r="FI8639"/>
      <c r="FJ8639"/>
      <c r="FK8639"/>
      <c r="FL8639"/>
      <c r="FM8639"/>
      <c r="FN8639"/>
      <c r="FO8639"/>
      <c r="FP8639"/>
      <c r="FQ8639"/>
      <c r="FR8639"/>
      <c r="FS8639"/>
      <c r="FT8639"/>
      <c r="FU8639"/>
      <c r="FV8639"/>
      <c r="FW8639"/>
      <c r="FX8639"/>
      <c r="FY8639"/>
      <c r="FZ8639"/>
      <c r="GA8639"/>
      <c r="GB8639"/>
      <c r="GC8639"/>
      <c r="GD8639"/>
      <c r="GE8639"/>
      <c r="GF8639"/>
      <c r="GG8639"/>
      <c r="GH8639"/>
      <c r="GI8639"/>
      <c r="GJ8639"/>
      <c r="GK8639"/>
      <c r="GL8639"/>
      <c r="GM8639"/>
      <c r="GN8639"/>
      <c r="GO8639"/>
    </row>
    <row r="8640" spans="107:197">
      <c r="DC8640"/>
      <c r="FH8640"/>
      <c r="FI8640"/>
      <c r="FJ8640"/>
      <c r="FK8640"/>
      <c r="FL8640"/>
      <c r="FM8640"/>
      <c r="FN8640"/>
      <c r="FO8640"/>
      <c r="FP8640"/>
      <c r="FQ8640"/>
      <c r="FR8640"/>
      <c r="FS8640"/>
      <c r="FT8640"/>
      <c r="FU8640"/>
      <c r="FV8640"/>
      <c r="FW8640"/>
      <c r="FX8640"/>
      <c r="FY8640"/>
      <c r="FZ8640"/>
      <c r="GA8640"/>
      <c r="GB8640"/>
      <c r="GC8640"/>
      <c r="GD8640"/>
      <c r="GE8640"/>
      <c r="GF8640"/>
      <c r="GG8640"/>
      <c r="GH8640"/>
      <c r="GI8640"/>
      <c r="GJ8640"/>
      <c r="GK8640"/>
      <c r="GL8640"/>
      <c r="GM8640"/>
      <c r="GN8640"/>
      <c r="GO8640"/>
    </row>
    <row r="8641" spans="107:197">
      <c r="DC8641"/>
      <c r="FH8641"/>
      <c r="FI8641"/>
      <c r="FJ8641"/>
      <c r="FK8641"/>
      <c r="FL8641"/>
      <c r="FM8641"/>
      <c r="FN8641"/>
      <c r="FO8641"/>
      <c r="FP8641"/>
      <c r="FQ8641"/>
      <c r="FR8641"/>
      <c r="FS8641"/>
      <c r="FT8641"/>
      <c r="FU8641"/>
      <c r="FV8641"/>
      <c r="FW8641"/>
      <c r="FX8641"/>
      <c r="FY8641"/>
      <c r="FZ8641"/>
      <c r="GA8641"/>
      <c r="GB8641"/>
      <c r="GC8641"/>
      <c r="GD8641"/>
      <c r="GE8641"/>
      <c r="GF8641"/>
      <c r="GG8641"/>
      <c r="GH8641"/>
      <c r="GI8641"/>
      <c r="GJ8641"/>
      <c r="GK8641"/>
      <c r="GL8641"/>
      <c r="GM8641"/>
      <c r="GN8641"/>
      <c r="GO8641"/>
    </row>
    <row r="8642" spans="107:197">
      <c r="DC8642"/>
      <c r="FH8642"/>
      <c r="FI8642"/>
      <c r="FJ8642"/>
      <c r="FK8642"/>
      <c r="FL8642"/>
      <c r="FM8642"/>
      <c r="FN8642"/>
      <c r="FO8642"/>
      <c r="FP8642"/>
      <c r="FQ8642"/>
      <c r="FR8642"/>
      <c r="FS8642"/>
      <c r="FT8642"/>
      <c r="FU8642"/>
      <c r="FV8642"/>
      <c r="FW8642"/>
      <c r="FX8642"/>
      <c r="FY8642"/>
      <c r="FZ8642"/>
      <c r="GA8642"/>
      <c r="GB8642"/>
      <c r="GC8642"/>
      <c r="GD8642"/>
      <c r="GE8642"/>
      <c r="GF8642"/>
      <c r="GG8642"/>
      <c r="GH8642"/>
      <c r="GI8642"/>
      <c r="GJ8642"/>
      <c r="GK8642"/>
      <c r="GL8642"/>
      <c r="GM8642"/>
      <c r="GN8642"/>
      <c r="GO8642"/>
    </row>
    <row r="8643" spans="107:197">
      <c r="DC8643"/>
      <c r="FH8643"/>
      <c r="FI8643"/>
      <c r="FJ8643"/>
      <c r="FK8643"/>
      <c r="FL8643"/>
      <c r="FM8643"/>
      <c r="FN8643"/>
      <c r="FO8643"/>
      <c r="FP8643"/>
      <c r="FQ8643"/>
      <c r="FR8643"/>
      <c r="FS8643"/>
      <c r="FT8643"/>
      <c r="FU8643"/>
      <c r="FV8643"/>
      <c r="FW8643"/>
      <c r="FX8643"/>
      <c r="FY8643"/>
      <c r="FZ8643"/>
      <c r="GA8643"/>
      <c r="GB8643"/>
      <c r="GC8643"/>
      <c r="GD8643"/>
      <c r="GE8643"/>
      <c r="GF8643"/>
      <c r="GG8643"/>
      <c r="GH8643"/>
      <c r="GI8643"/>
      <c r="GJ8643"/>
      <c r="GK8643"/>
      <c r="GL8643"/>
      <c r="GM8643"/>
      <c r="GN8643"/>
      <c r="GO8643"/>
    </row>
    <row r="8644" spans="107:197">
      <c r="DC8644"/>
      <c r="FH8644"/>
      <c r="FI8644"/>
      <c r="FJ8644"/>
      <c r="FK8644"/>
      <c r="FL8644"/>
      <c r="FM8644"/>
      <c r="FN8644"/>
      <c r="FO8644"/>
      <c r="FP8644"/>
      <c r="FQ8644"/>
      <c r="FR8644"/>
      <c r="FS8644"/>
      <c r="FT8644"/>
      <c r="FU8644"/>
      <c r="FV8644"/>
      <c r="FW8644"/>
      <c r="FX8644"/>
      <c r="FY8644"/>
      <c r="FZ8644"/>
      <c r="GA8644"/>
      <c r="GB8644"/>
      <c r="GC8644"/>
      <c r="GD8644"/>
      <c r="GE8644"/>
      <c r="GF8644"/>
      <c r="GG8644"/>
      <c r="GH8644"/>
      <c r="GI8644"/>
      <c r="GJ8644"/>
      <c r="GK8644"/>
      <c r="GL8644"/>
      <c r="GM8644"/>
      <c r="GN8644"/>
      <c r="GO8644"/>
    </row>
    <row r="8645" spans="107:197">
      <c r="DC8645"/>
      <c r="FH8645"/>
      <c r="FI8645"/>
      <c r="FJ8645"/>
      <c r="FK8645"/>
      <c r="FL8645"/>
      <c r="FM8645"/>
      <c r="FN8645"/>
      <c r="FO8645"/>
      <c r="FP8645"/>
      <c r="FQ8645"/>
      <c r="FR8645"/>
      <c r="FS8645"/>
      <c r="FT8645"/>
      <c r="FU8645"/>
      <c r="FV8645"/>
      <c r="FW8645"/>
      <c r="FX8645"/>
      <c r="FY8645"/>
      <c r="FZ8645"/>
      <c r="GA8645"/>
      <c r="GB8645"/>
      <c r="GC8645"/>
      <c r="GD8645"/>
      <c r="GE8645"/>
      <c r="GF8645"/>
      <c r="GG8645"/>
      <c r="GH8645"/>
      <c r="GI8645"/>
      <c r="GJ8645"/>
      <c r="GK8645"/>
      <c r="GL8645"/>
      <c r="GM8645"/>
      <c r="GN8645"/>
      <c r="GO8645"/>
    </row>
    <row r="8646" spans="107:197">
      <c r="DC8646"/>
      <c r="FH8646"/>
      <c r="FI8646"/>
      <c r="FJ8646"/>
      <c r="FK8646"/>
      <c r="FL8646"/>
      <c r="FM8646"/>
      <c r="FN8646"/>
      <c r="FO8646"/>
      <c r="FP8646"/>
      <c r="FQ8646"/>
      <c r="FR8646"/>
      <c r="FS8646"/>
      <c r="FT8646"/>
      <c r="FU8646"/>
      <c r="FV8646"/>
      <c r="FW8646"/>
      <c r="FX8646"/>
      <c r="FY8646"/>
      <c r="FZ8646"/>
      <c r="GA8646"/>
      <c r="GB8646"/>
      <c r="GC8646"/>
      <c r="GD8646"/>
      <c r="GE8646"/>
      <c r="GF8646"/>
      <c r="GG8646"/>
      <c r="GH8646"/>
      <c r="GI8646"/>
      <c r="GJ8646"/>
      <c r="GK8646"/>
      <c r="GL8646"/>
      <c r="GM8646"/>
      <c r="GN8646"/>
      <c r="GO8646"/>
    </row>
    <row r="8647" spans="107:197">
      <c r="DC8647"/>
      <c r="FH8647"/>
      <c r="FI8647"/>
      <c r="FJ8647"/>
      <c r="FK8647"/>
      <c r="FL8647"/>
      <c r="FM8647"/>
      <c r="FN8647"/>
      <c r="FO8647"/>
      <c r="FP8647"/>
      <c r="FQ8647"/>
      <c r="FR8647"/>
      <c r="FS8647"/>
      <c r="FT8647"/>
      <c r="FU8647"/>
      <c r="FV8647"/>
      <c r="FW8647"/>
      <c r="FX8647"/>
      <c r="FY8647"/>
      <c r="FZ8647"/>
      <c r="GA8647"/>
      <c r="GB8647"/>
      <c r="GC8647"/>
      <c r="GD8647"/>
      <c r="GE8647"/>
      <c r="GF8647"/>
      <c r="GG8647"/>
      <c r="GH8647"/>
      <c r="GI8647"/>
      <c r="GJ8647"/>
      <c r="GK8647"/>
      <c r="GL8647"/>
      <c r="GM8647"/>
      <c r="GN8647"/>
      <c r="GO8647"/>
    </row>
    <row r="8648" spans="107:197">
      <c r="DC8648"/>
      <c r="FH8648"/>
      <c r="FI8648"/>
      <c r="FJ8648"/>
      <c r="FK8648"/>
      <c r="FL8648"/>
      <c r="FM8648"/>
      <c r="FN8648"/>
      <c r="FO8648"/>
      <c r="FP8648"/>
      <c r="FQ8648"/>
      <c r="FR8648"/>
      <c r="FS8648"/>
      <c r="FT8648"/>
      <c r="FU8648"/>
      <c r="FV8648"/>
      <c r="FW8648"/>
      <c r="FX8648"/>
      <c r="FY8648"/>
      <c r="FZ8648"/>
      <c r="GA8648"/>
      <c r="GB8648"/>
      <c r="GC8648"/>
      <c r="GD8648"/>
      <c r="GE8648"/>
      <c r="GF8648"/>
      <c r="GG8648"/>
      <c r="GH8648"/>
      <c r="GI8648"/>
      <c r="GJ8648"/>
      <c r="GK8648"/>
      <c r="GL8648"/>
      <c r="GM8648"/>
      <c r="GN8648"/>
      <c r="GO8648"/>
    </row>
    <row r="8649" spans="107:197">
      <c r="DC8649"/>
      <c r="FH8649"/>
      <c r="FI8649"/>
      <c r="FJ8649"/>
      <c r="FK8649"/>
      <c r="FL8649"/>
      <c r="FM8649"/>
      <c r="FN8649"/>
      <c r="FO8649"/>
      <c r="FP8649"/>
      <c r="FQ8649"/>
      <c r="FR8649"/>
      <c r="FS8649"/>
      <c r="FT8649"/>
      <c r="FU8649"/>
      <c r="FV8649"/>
      <c r="FW8649"/>
      <c r="FX8649"/>
      <c r="FY8649"/>
      <c r="FZ8649"/>
      <c r="GA8649"/>
      <c r="GB8649"/>
      <c r="GC8649"/>
      <c r="GD8649"/>
      <c r="GE8649"/>
      <c r="GF8649"/>
      <c r="GG8649"/>
      <c r="GH8649"/>
      <c r="GI8649"/>
      <c r="GJ8649"/>
      <c r="GK8649"/>
      <c r="GL8649"/>
      <c r="GM8649"/>
      <c r="GN8649"/>
      <c r="GO8649"/>
    </row>
    <row r="8650" spans="107:197">
      <c r="DC8650"/>
      <c r="FH8650"/>
      <c r="FI8650"/>
      <c r="FJ8650"/>
      <c r="FK8650"/>
      <c r="FL8650"/>
      <c r="FM8650"/>
      <c r="FN8650"/>
      <c r="FO8650"/>
      <c r="FP8650"/>
      <c r="FQ8650"/>
      <c r="FR8650"/>
      <c r="FS8650"/>
      <c r="FT8650"/>
      <c r="FU8650"/>
      <c r="FV8650"/>
      <c r="FW8650"/>
      <c r="FX8650"/>
      <c r="FY8650"/>
      <c r="FZ8650"/>
      <c r="GA8650"/>
      <c r="GB8650"/>
      <c r="GC8650"/>
      <c r="GD8650"/>
      <c r="GE8650"/>
      <c r="GF8650"/>
      <c r="GG8650"/>
      <c r="GH8650"/>
      <c r="GI8650"/>
      <c r="GJ8650"/>
      <c r="GK8650"/>
      <c r="GL8650"/>
      <c r="GM8650"/>
      <c r="GN8650"/>
      <c r="GO8650"/>
    </row>
    <row r="8651" spans="107:197">
      <c r="DC8651"/>
      <c r="FH8651"/>
      <c r="FI8651"/>
      <c r="FJ8651"/>
      <c r="FK8651"/>
      <c r="FL8651"/>
      <c r="FM8651"/>
      <c r="FN8651"/>
      <c r="FO8651"/>
      <c r="FP8651"/>
      <c r="FQ8651"/>
      <c r="FR8651"/>
      <c r="FS8651"/>
      <c r="FT8651"/>
      <c r="FU8651"/>
      <c r="FV8651"/>
      <c r="FW8651"/>
      <c r="FX8651"/>
      <c r="FY8651"/>
      <c r="FZ8651"/>
      <c r="GA8651"/>
      <c r="GB8651"/>
      <c r="GC8651"/>
      <c r="GD8651"/>
      <c r="GE8651"/>
      <c r="GF8651"/>
      <c r="GG8651"/>
      <c r="GH8651"/>
      <c r="GI8651"/>
      <c r="GJ8651"/>
      <c r="GK8651"/>
      <c r="GL8651"/>
      <c r="GM8651"/>
      <c r="GN8651"/>
      <c r="GO8651"/>
    </row>
    <row r="8652" spans="107:197">
      <c r="DC8652"/>
      <c r="FH8652"/>
      <c r="FI8652"/>
      <c r="FJ8652"/>
      <c r="FK8652"/>
      <c r="FL8652"/>
      <c r="FM8652"/>
      <c r="FN8652"/>
      <c r="FO8652"/>
      <c r="FP8652"/>
      <c r="FQ8652"/>
      <c r="FR8652"/>
      <c r="FS8652"/>
      <c r="FT8652"/>
      <c r="FU8652"/>
      <c r="FV8652"/>
      <c r="FW8652"/>
      <c r="FX8652"/>
      <c r="FY8652"/>
      <c r="FZ8652"/>
      <c r="GA8652"/>
      <c r="GB8652"/>
      <c r="GC8652"/>
      <c r="GD8652"/>
      <c r="GE8652"/>
      <c r="GF8652"/>
      <c r="GG8652"/>
      <c r="GH8652"/>
      <c r="GI8652"/>
      <c r="GJ8652"/>
      <c r="GK8652"/>
      <c r="GL8652"/>
      <c r="GM8652"/>
      <c r="GN8652"/>
      <c r="GO8652"/>
    </row>
    <row r="8653" spans="107:197">
      <c r="DC8653"/>
      <c r="FH8653"/>
      <c r="FI8653"/>
      <c r="FJ8653"/>
      <c r="FK8653"/>
      <c r="FL8653"/>
      <c r="FM8653"/>
      <c r="FN8653"/>
      <c r="FO8653"/>
      <c r="FP8653"/>
      <c r="FQ8653"/>
      <c r="FR8653"/>
      <c r="FS8653"/>
      <c r="FT8653"/>
      <c r="FU8653"/>
      <c r="FV8653"/>
      <c r="FW8653"/>
      <c r="FX8653"/>
      <c r="FY8653"/>
      <c r="FZ8653"/>
      <c r="GA8653"/>
      <c r="GB8653"/>
      <c r="GC8653"/>
      <c r="GD8653"/>
      <c r="GE8653"/>
      <c r="GF8653"/>
      <c r="GG8653"/>
      <c r="GH8653"/>
      <c r="GI8653"/>
      <c r="GJ8653"/>
      <c r="GK8653"/>
      <c r="GL8653"/>
      <c r="GM8653"/>
      <c r="GN8653"/>
      <c r="GO8653"/>
    </row>
    <row r="8654" spans="107:197">
      <c r="DC8654"/>
      <c r="FH8654"/>
      <c r="FI8654"/>
      <c r="FJ8654"/>
      <c r="FK8654"/>
      <c r="FL8654"/>
      <c r="FM8654"/>
      <c r="FN8654"/>
      <c r="FO8654"/>
      <c r="FP8654"/>
      <c r="FQ8654"/>
      <c r="FR8654"/>
      <c r="FS8654"/>
      <c r="FT8654"/>
      <c r="FU8654"/>
      <c r="FV8654"/>
      <c r="FW8654"/>
      <c r="FX8654"/>
      <c r="FY8654"/>
      <c r="FZ8654"/>
      <c r="GA8654"/>
      <c r="GB8654"/>
      <c r="GC8654"/>
      <c r="GD8654"/>
      <c r="GE8654"/>
      <c r="GF8654"/>
      <c r="GG8654"/>
      <c r="GH8654"/>
      <c r="GI8654"/>
      <c r="GJ8654"/>
      <c r="GK8654"/>
      <c r="GL8654"/>
      <c r="GM8654"/>
      <c r="GN8654"/>
      <c r="GO8654"/>
    </row>
    <row r="8655" spans="107:197">
      <c r="DC8655"/>
      <c r="FH8655"/>
      <c r="FI8655"/>
      <c r="FJ8655"/>
      <c r="FK8655"/>
      <c r="FL8655"/>
      <c r="FM8655"/>
      <c r="FN8655"/>
      <c r="FO8655"/>
      <c r="FP8655"/>
      <c r="FQ8655"/>
      <c r="FR8655"/>
      <c r="FS8655"/>
      <c r="FT8655"/>
      <c r="FU8655"/>
      <c r="FV8655"/>
      <c r="FW8655"/>
      <c r="FX8655"/>
      <c r="FY8655"/>
      <c r="FZ8655"/>
      <c r="GA8655"/>
      <c r="GB8655"/>
      <c r="GC8655"/>
      <c r="GD8655"/>
      <c r="GE8655"/>
      <c r="GF8655"/>
      <c r="GG8655"/>
      <c r="GH8655"/>
      <c r="GI8655"/>
      <c r="GJ8655"/>
      <c r="GK8655"/>
      <c r="GL8655"/>
      <c r="GM8655"/>
      <c r="GN8655"/>
      <c r="GO8655"/>
    </row>
    <row r="8656" spans="107:197">
      <c r="DC8656"/>
      <c r="FH8656"/>
      <c r="FI8656"/>
      <c r="FJ8656"/>
      <c r="FK8656"/>
      <c r="FL8656"/>
      <c r="FM8656"/>
      <c r="FN8656"/>
      <c r="FO8656"/>
      <c r="FP8656"/>
      <c r="FQ8656"/>
      <c r="FR8656"/>
      <c r="FS8656"/>
      <c r="FT8656"/>
      <c r="FU8656"/>
      <c r="FV8656"/>
      <c r="FW8656"/>
      <c r="FX8656"/>
      <c r="FY8656"/>
      <c r="FZ8656"/>
      <c r="GA8656"/>
      <c r="GB8656"/>
      <c r="GC8656"/>
      <c r="GD8656"/>
      <c r="GE8656"/>
      <c r="GF8656"/>
      <c r="GG8656"/>
      <c r="GH8656"/>
      <c r="GI8656"/>
      <c r="GJ8656"/>
      <c r="GK8656"/>
      <c r="GL8656"/>
      <c r="GM8656"/>
      <c r="GN8656"/>
      <c r="GO8656"/>
    </row>
    <row r="8657" spans="107:197">
      <c r="DC8657"/>
      <c r="FH8657"/>
      <c r="FI8657"/>
      <c r="FJ8657"/>
      <c r="FK8657"/>
      <c r="FL8657"/>
      <c r="FM8657"/>
      <c r="FN8657"/>
      <c r="FO8657"/>
      <c r="FP8657"/>
      <c r="FQ8657"/>
      <c r="FR8657"/>
      <c r="FS8657"/>
      <c r="FT8657"/>
      <c r="FU8657"/>
      <c r="FV8657"/>
      <c r="FW8657"/>
      <c r="FX8657"/>
      <c r="FY8657"/>
      <c r="FZ8657"/>
      <c r="GA8657"/>
      <c r="GB8657"/>
      <c r="GC8657"/>
      <c r="GD8657"/>
      <c r="GE8657"/>
      <c r="GF8657"/>
      <c r="GG8657"/>
      <c r="GH8657"/>
      <c r="GI8657"/>
      <c r="GJ8657"/>
      <c r="GK8657"/>
      <c r="GL8657"/>
      <c r="GM8657"/>
      <c r="GN8657"/>
      <c r="GO8657"/>
    </row>
    <row r="8658" spans="107:197">
      <c r="DC8658"/>
      <c r="FH8658"/>
      <c r="FI8658"/>
      <c r="FJ8658"/>
      <c r="FK8658"/>
      <c r="FL8658"/>
      <c r="FM8658"/>
      <c r="FN8658"/>
      <c r="FO8658"/>
      <c r="FP8658"/>
      <c r="FQ8658"/>
      <c r="FR8658"/>
      <c r="FS8658"/>
      <c r="FT8658"/>
      <c r="FU8658"/>
      <c r="FV8658"/>
      <c r="FW8658"/>
      <c r="FX8658"/>
      <c r="FY8658"/>
      <c r="FZ8658"/>
      <c r="GA8658"/>
      <c r="GB8658"/>
      <c r="GC8658"/>
      <c r="GD8658"/>
      <c r="GE8658"/>
      <c r="GF8658"/>
      <c r="GG8658"/>
      <c r="GH8658"/>
      <c r="GI8658"/>
      <c r="GJ8658"/>
      <c r="GK8658"/>
      <c r="GL8658"/>
      <c r="GM8658"/>
      <c r="GN8658"/>
      <c r="GO8658"/>
    </row>
    <row r="8659" spans="107:197">
      <c r="DC8659"/>
      <c r="FH8659"/>
      <c r="FI8659"/>
      <c r="FJ8659"/>
      <c r="FK8659"/>
      <c r="FL8659"/>
      <c r="FM8659"/>
      <c r="FN8659"/>
      <c r="FO8659"/>
      <c r="FP8659"/>
      <c r="FQ8659"/>
      <c r="FR8659"/>
      <c r="FS8659"/>
      <c r="FT8659"/>
      <c r="FU8659"/>
      <c r="FV8659"/>
      <c r="FW8659"/>
      <c r="FX8659"/>
      <c r="FY8659"/>
      <c r="FZ8659"/>
      <c r="GA8659"/>
      <c r="GB8659"/>
      <c r="GC8659"/>
      <c r="GD8659"/>
      <c r="GE8659"/>
      <c r="GF8659"/>
      <c r="GG8659"/>
      <c r="GH8659"/>
      <c r="GI8659"/>
      <c r="GJ8659"/>
      <c r="GK8659"/>
      <c r="GL8659"/>
      <c r="GM8659"/>
      <c r="GN8659"/>
      <c r="GO8659"/>
    </row>
    <row r="8660" spans="107:197">
      <c r="DC8660"/>
      <c r="FH8660"/>
      <c r="FI8660"/>
      <c r="FJ8660"/>
      <c r="FK8660"/>
      <c r="FL8660"/>
      <c r="FM8660"/>
      <c r="FN8660"/>
      <c r="FO8660"/>
      <c r="FP8660"/>
      <c r="FQ8660"/>
      <c r="FR8660"/>
      <c r="FS8660"/>
      <c r="FT8660"/>
      <c r="FU8660"/>
      <c r="FV8660"/>
      <c r="FW8660"/>
      <c r="FX8660"/>
      <c r="FY8660"/>
      <c r="FZ8660"/>
      <c r="GA8660"/>
      <c r="GB8660"/>
      <c r="GC8660"/>
      <c r="GD8660"/>
      <c r="GE8660"/>
      <c r="GF8660"/>
      <c r="GG8660"/>
      <c r="GH8660"/>
      <c r="GI8660"/>
      <c r="GJ8660"/>
      <c r="GK8660"/>
      <c r="GL8660"/>
      <c r="GM8660"/>
      <c r="GN8660"/>
      <c r="GO8660"/>
    </row>
    <row r="8661" spans="107:197">
      <c r="DC8661"/>
      <c r="FH8661"/>
      <c r="FI8661"/>
      <c r="FJ8661"/>
      <c r="FK8661"/>
      <c r="FL8661"/>
      <c r="FM8661"/>
      <c r="FN8661"/>
      <c r="FO8661"/>
      <c r="FP8661"/>
      <c r="FQ8661"/>
      <c r="FR8661"/>
      <c r="FS8661"/>
      <c r="FT8661"/>
      <c r="FU8661"/>
      <c r="FV8661"/>
      <c r="FW8661"/>
      <c r="FX8661"/>
      <c r="FY8661"/>
      <c r="FZ8661"/>
      <c r="GA8661"/>
      <c r="GB8661"/>
      <c r="GC8661"/>
      <c r="GD8661"/>
      <c r="GE8661"/>
      <c r="GF8661"/>
      <c r="GG8661"/>
      <c r="GH8661"/>
      <c r="GI8661"/>
      <c r="GJ8661"/>
      <c r="GK8661"/>
      <c r="GL8661"/>
      <c r="GM8661"/>
      <c r="GN8661"/>
      <c r="GO8661"/>
    </row>
    <row r="8662" spans="107:197">
      <c r="DC8662"/>
      <c r="FH8662"/>
      <c r="FI8662"/>
      <c r="FJ8662"/>
      <c r="FK8662"/>
      <c r="FL8662"/>
      <c r="FM8662"/>
      <c r="FN8662"/>
      <c r="FO8662"/>
      <c r="FP8662"/>
      <c r="FQ8662"/>
      <c r="FR8662"/>
      <c r="FS8662"/>
      <c r="FT8662"/>
      <c r="FU8662"/>
      <c r="FV8662"/>
      <c r="FW8662"/>
      <c r="FX8662"/>
      <c r="FY8662"/>
      <c r="FZ8662"/>
      <c r="GA8662"/>
      <c r="GB8662"/>
      <c r="GC8662"/>
      <c r="GD8662"/>
      <c r="GE8662"/>
      <c r="GF8662"/>
      <c r="GG8662"/>
      <c r="GH8662"/>
      <c r="GI8662"/>
      <c r="GJ8662"/>
      <c r="GK8662"/>
      <c r="GL8662"/>
      <c r="GM8662"/>
      <c r="GN8662"/>
      <c r="GO8662"/>
    </row>
    <row r="8663" spans="107:197">
      <c r="DC8663"/>
      <c r="FH8663"/>
      <c r="FI8663"/>
      <c r="FJ8663"/>
      <c r="FK8663"/>
      <c r="FL8663"/>
      <c r="FM8663"/>
      <c r="FN8663"/>
      <c r="FO8663"/>
      <c r="FP8663"/>
      <c r="FQ8663"/>
      <c r="FR8663"/>
      <c r="FS8663"/>
      <c r="FT8663"/>
      <c r="FU8663"/>
      <c r="FV8663"/>
      <c r="FW8663"/>
      <c r="FX8663"/>
      <c r="FY8663"/>
      <c r="FZ8663"/>
      <c r="GA8663"/>
      <c r="GB8663"/>
      <c r="GC8663"/>
      <c r="GD8663"/>
      <c r="GE8663"/>
      <c r="GF8663"/>
      <c r="GG8663"/>
      <c r="GH8663"/>
      <c r="GI8663"/>
      <c r="GJ8663"/>
      <c r="GK8663"/>
      <c r="GL8663"/>
      <c r="GM8663"/>
      <c r="GN8663"/>
      <c r="GO8663"/>
    </row>
    <row r="8664" spans="107:197">
      <c r="DC8664"/>
      <c r="FH8664"/>
      <c r="FI8664"/>
      <c r="FJ8664"/>
      <c r="FK8664"/>
      <c r="FL8664"/>
      <c r="FM8664"/>
      <c r="FN8664"/>
      <c r="FO8664"/>
      <c r="FP8664"/>
      <c r="FQ8664"/>
      <c r="FR8664"/>
      <c r="FS8664"/>
      <c r="FT8664"/>
      <c r="FU8664"/>
      <c r="FV8664"/>
      <c r="FW8664"/>
      <c r="FX8664"/>
      <c r="FY8664"/>
      <c r="FZ8664"/>
      <c r="GA8664"/>
      <c r="GB8664"/>
      <c r="GC8664"/>
      <c r="GD8664"/>
      <c r="GE8664"/>
      <c r="GF8664"/>
      <c r="GG8664"/>
      <c r="GH8664"/>
      <c r="GI8664"/>
      <c r="GJ8664"/>
      <c r="GK8664"/>
      <c r="GL8664"/>
      <c r="GM8664"/>
      <c r="GN8664"/>
      <c r="GO8664"/>
    </row>
    <row r="8665" spans="107:197">
      <c r="DC8665"/>
      <c r="FH8665"/>
      <c r="FI8665"/>
      <c r="FJ8665"/>
      <c r="FK8665"/>
      <c r="FL8665"/>
      <c r="FM8665"/>
      <c r="FN8665"/>
      <c r="FO8665"/>
      <c r="FP8665"/>
      <c r="FQ8665"/>
      <c r="FR8665"/>
      <c r="FS8665"/>
      <c r="FT8665"/>
      <c r="FU8665"/>
      <c r="FV8665"/>
      <c r="FW8665"/>
      <c r="FX8665"/>
      <c r="FY8665"/>
      <c r="FZ8665"/>
      <c r="GA8665"/>
      <c r="GB8665"/>
      <c r="GC8665"/>
      <c r="GD8665"/>
      <c r="GE8665"/>
      <c r="GF8665"/>
      <c r="GG8665"/>
      <c r="GH8665"/>
      <c r="GI8665"/>
      <c r="GJ8665"/>
      <c r="GK8665"/>
      <c r="GL8665"/>
      <c r="GM8665"/>
      <c r="GN8665"/>
      <c r="GO8665"/>
    </row>
    <row r="8666" spans="107:197">
      <c r="DC8666"/>
      <c r="FH8666"/>
      <c r="FI8666"/>
      <c r="FJ8666"/>
      <c r="FK8666"/>
      <c r="FL8666"/>
      <c r="FM8666"/>
      <c r="FN8666"/>
      <c r="FO8666"/>
      <c r="FP8666"/>
      <c r="FQ8666"/>
      <c r="FR8666"/>
      <c r="FS8666"/>
      <c r="FT8666"/>
      <c r="FU8666"/>
      <c r="FV8666"/>
      <c r="FW8666"/>
      <c r="FX8666"/>
      <c r="FY8666"/>
      <c r="FZ8666"/>
      <c r="GA8666"/>
      <c r="GB8666"/>
      <c r="GC8666"/>
      <c r="GD8666"/>
      <c r="GE8666"/>
      <c r="GF8666"/>
      <c r="GG8666"/>
      <c r="GH8666"/>
      <c r="GI8666"/>
      <c r="GJ8666"/>
      <c r="GK8666"/>
      <c r="GL8666"/>
      <c r="GM8666"/>
      <c r="GN8666"/>
      <c r="GO8666"/>
    </row>
    <row r="8667" spans="107:197">
      <c r="DC8667"/>
      <c r="FH8667"/>
      <c r="FI8667"/>
      <c r="FJ8667"/>
      <c r="FK8667"/>
      <c r="FL8667"/>
      <c r="FM8667"/>
      <c r="FN8667"/>
      <c r="FO8667"/>
      <c r="FP8667"/>
      <c r="FQ8667"/>
      <c r="FR8667"/>
      <c r="FS8667"/>
      <c r="FT8667"/>
      <c r="FU8667"/>
      <c r="FV8667"/>
      <c r="FW8667"/>
      <c r="FX8667"/>
      <c r="FY8667"/>
      <c r="FZ8667"/>
      <c r="GA8667"/>
      <c r="GB8667"/>
      <c r="GC8667"/>
      <c r="GD8667"/>
      <c r="GE8667"/>
      <c r="GF8667"/>
      <c r="GG8667"/>
      <c r="GH8667"/>
      <c r="GI8667"/>
      <c r="GJ8667"/>
      <c r="GK8667"/>
      <c r="GL8667"/>
      <c r="GM8667"/>
      <c r="GN8667"/>
      <c r="GO8667"/>
    </row>
    <row r="8668" spans="107:197">
      <c r="DC8668"/>
      <c r="FH8668"/>
      <c r="FI8668"/>
      <c r="FJ8668"/>
      <c r="FK8668"/>
      <c r="FL8668"/>
      <c r="FM8668"/>
      <c r="FN8668"/>
      <c r="FO8668"/>
      <c r="FP8668"/>
      <c r="FQ8668"/>
      <c r="FR8668"/>
      <c r="FS8668"/>
      <c r="FT8668"/>
      <c r="FU8668"/>
      <c r="FV8668"/>
      <c r="FW8668"/>
      <c r="FX8668"/>
      <c r="FY8668"/>
      <c r="FZ8668"/>
      <c r="GA8668"/>
      <c r="GB8668"/>
      <c r="GC8668"/>
      <c r="GD8668"/>
      <c r="GE8668"/>
      <c r="GF8668"/>
      <c r="GG8668"/>
      <c r="GH8668"/>
      <c r="GI8668"/>
      <c r="GJ8668"/>
      <c r="GK8668"/>
      <c r="GL8668"/>
      <c r="GM8668"/>
      <c r="GN8668"/>
      <c r="GO8668"/>
    </row>
    <row r="8669" spans="107:197">
      <c r="DC8669"/>
      <c r="FH8669"/>
      <c r="FI8669"/>
      <c r="FJ8669"/>
      <c r="FK8669"/>
      <c r="FL8669"/>
      <c r="FM8669"/>
      <c r="FN8669"/>
      <c r="FO8669"/>
      <c r="FP8669"/>
      <c r="FQ8669"/>
      <c r="FR8669"/>
      <c r="FS8669"/>
      <c r="FT8669"/>
      <c r="FU8669"/>
      <c r="FV8669"/>
      <c r="FW8669"/>
      <c r="FX8669"/>
      <c r="FY8669"/>
      <c r="FZ8669"/>
      <c r="GA8669"/>
      <c r="GB8669"/>
      <c r="GC8669"/>
      <c r="GD8669"/>
      <c r="GE8669"/>
      <c r="GF8669"/>
      <c r="GG8669"/>
      <c r="GH8669"/>
      <c r="GI8669"/>
      <c r="GJ8669"/>
      <c r="GK8669"/>
      <c r="GL8669"/>
      <c r="GM8669"/>
      <c r="GN8669"/>
      <c r="GO8669"/>
    </row>
    <row r="8670" spans="107:197">
      <c r="DC8670"/>
      <c r="FH8670"/>
      <c r="FI8670"/>
      <c r="FJ8670"/>
      <c r="FK8670"/>
      <c r="FL8670"/>
      <c r="FM8670"/>
      <c r="FN8670"/>
      <c r="FO8670"/>
      <c r="FP8670"/>
      <c r="FQ8670"/>
      <c r="FR8670"/>
      <c r="FS8670"/>
      <c r="FT8670"/>
      <c r="FU8670"/>
      <c r="FV8670"/>
      <c r="FW8670"/>
      <c r="FX8670"/>
      <c r="FY8670"/>
      <c r="FZ8670"/>
      <c r="GA8670"/>
      <c r="GB8670"/>
      <c r="GC8670"/>
      <c r="GD8670"/>
      <c r="GE8670"/>
      <c r="GF8670"/>
      <c r="GG8670"/>
      <c r="GH8670"/>
      <c r="GI8670"/>
      <c r="GJ8670"/>
      <c r="GK8670"/>
      <c r="GL8670"/>
      <c r="GM8670"/>
      <c r="GN8670"/>
      <c r="GO8670"/>
    </row>
    <row r="8671" spans="107:197">
      <c r="DC8671"/>
      <c r="FH8671"/>
      <c r="FI8671"/>
      <c r="FJ8671"/>
      <c r="FK8671"/>
      <c r="FL8671"/>
      <c r="FM8671"/>
      <c r="FN8671"/>
      <c r="FO8671"/>
      <c r="FP8671"/>
      <c r="FQ8671"/>
      <c r="FR8671"/>
      <c r="FS8671"/>
      <c r="FT8671"/>
      <c r="FU8671"/>
      <c r="FV8671"/>
      <c r="FW8671"/>
      <c r="FX8671"/>
      <c r="FY8671"/>
      <c r="FZ8671"/>
      <c r="GA8671"/>
      <c r="GB8671"/>
      <c r="GC8671"/>
      <c r="GD8671"/>
      <c r="GE8671"/>
      <c r="GF8671"/>
      <c r="GG8671"/>
      <c r="GH8671"/>
      <c r="GI8671"/>
      <c r="GJ8671"/>
      <c r="GK8671"/>
      <c r="GL8671"/>
      <c r="GM8671"/>
      <c r="GN8671"/>
      <c r="GO8671"/>
    </row>
    <row r="8672" spans="107:197">
      <c r="DC8672"/>
      <c r="FH8672"/>
      <c r="FI8672"/>
      <c r="FJ8672"/>
      <c r="FK8672"/>
      <c r="FL8672"/>
      <c r="FM8672"/>
      <c r="FN8672"/>
      <c r="FO8672"/>
      <c r="FP8672"/>
      <c r="FQ8672"/>
      <c r="FR8672"/>
      <c r="FS8672"/>
      <c r="FT8672"/>
      <c r="FU8672"/>
      <c r="FV8672"/>
      <c r="FW8672"/>
      <c r="FX8672"/>
      <c r="FY8672"/>
      <c r="FZ8672"/>
      <c r="GA8672"/>
      <c r="GB8672"/>
      <c r="GC8672"/>
      <c r="GD8672"/>
      <c r="GE8672"/>
      <c r="GF8672"/>
      <c r="GG8672"/>
      <c r="GH8672"/>
      <c r="GI8672"/>
      <c r="GJ8672"/>
      <c r="GK8672"/>
      <c r="GL8672"/>
      <c r="GM8672"/>
      <c r="GN8672"/>
      <c r="GO8672"/>
    </row>
    <row r="8673" spans="107:197">
      <c r="DC8673"/>
      <c r="FH8673"/>
      <c r="FI8673"/>
      <c r="FJ8673"/>
      <c r="FK8673"/>
      <c r="FL8673"/>
      <c r="FM8673"/>
      <c r="FN8673"/>
      <c r="FO8673"/>
      <c r="FP8673"/>
      <c r="FQ8673"/>
      <c r="FR8673"/>
      <c r="FS8673"/>
      <c r="FT8673"/>
      <c r="FU8673"/>
      <c r="FV8673"/>
      <c r="FW8673"/>
      <c r="FX8673"/>
      <c r="FY8673"/>
      <c r="FZ8673"/>
      <c r="GA8673"/>
      <c r="GB8673"/>
      <c r="GC8673"/>
      <c r="GD8673"/>
      <c r="GE8673"/>
      <c r="GF8673"/>
      <c r="GG8673"/>
      <c r="GH8673"/>
      <c r="GI8673"/>
      <c r="GJ8673"/>
      <c r="GK8673"/>
      <c r="GL8673"/>
      <c r="GM8673"/>
      <c r="GN8673"/>
      <c r="GO8673"/>
    </row>
    <row r="8674" spans="107:197">
      <c r="DC8674"/>
      <c r="FH8674"/>
      <c r="FI8674"/>
      <c r="FJ8674"/>
      <c r="FK8674"/>
      <c r="FL8674"/>
      <c r="FM8674"/>
      <c r="FN8674"/>
      <c r="FO8674"/>
      <c r="FP8674"/>
      <c r="FQ8674"/>
      <c r="FR8674"/>
      <c r="FS8674"/>
      <c r="FT8674"/>
      <c r="FU8674"/>
      <c r="FV8674"/>
      <c r="FW8674"/>
      <c r="FX8674"/>
      <c r="FY8674"/>
      <c r="FZ8674"/>
      <c r="GA8674"/>
      <c r="GB8674"/>
      <c r="GC8674"/>
      <c r="GD8674"/>
      <c r="GE8674"/>
      <c r="GF8674"/>
      <c r="GG8674"/>
      <c r="GH8674"/>
      <c r="GI8674"/>
      <c r="GJ8674"/>
      <c r="GK8674"/>
      <c r="GL8674"/>
      <c r="GM8674"/>
      <c r="GN8674"/>
      <c r="GO8674"/>
    </row>
    <row r="8675" spans="107:197">
      <c r="DC8675"/>
      <c r="FH8675"/>
      <c r="FI8675"/>
      <c r="FJ8675"/>
      <c r="FK8675"/>
      <c r="FL8675"/>
      <c r="FM8675"/>
      <c r="FN8675"/>
      <c r="FO8675"/>
      <c r="FP8675"/>
      <c r="FQ8675"/>
      <c r="FR8675"/>
      <c r="FS8675"/>
      <c r="FT8675"/>
      <c r="FU8675"/>
      <c r="FV8675"/>
      <c r="FW8675"/>
      <c r="FX8675"/>
      <c r="FY8675"/>
      <c r="FZ8675"/>
      <c r="GA8675"/>
      <c r="GB8675"/>
      <c r="GC8675"/>
      <c r="GD8675"/>
      <c r="GE8675"/>
      <c r="GF8675"/>
      <c r="GG8675"/>
      <c r="GH8675"/>
      <c r="GI8675"/>
      <c r="GJ8675"/>
      <c r="GK8675"/>
      <c r="GL8675"/>
      <c r="GM8675"/>
      <c r="GN8675"/>
      <c r="GO8675"/>
    </row>
    <row r="8676" spans="107:197">
      <c r="DC8676"/>
      <c r="FH8676"/>
      <c r="FI8676"/>
      <c r="FJ8676"/>
      <c r="FK8676"/>
      <c r="FL8676"/>
      <c r="FM8676"/>
      <c r="FN8676"/>
      <c r="FO8676"/>
      <c r="FP8676"/>
      <c r="FQ8676"/>
      <c r="FR8676"/>
      <c r="FS8676"/>
      <c r="FT8676"/>
      <c r="FU8676"/>
      <c r="FV8676"/>
      <c r="FW8676"/>
      <c r="FX8676"/>
      <c r="FY8676"/>
      <c r="FZ8676"/>
      <c r="GA8676"/>
      <c r="GB8676"/>
      <c r="GC8676"/>
      <c r="GD8676"/>
      <c r="GE8676"/>
      <c r="GF8676"/>
      <c r="GG8676"/>
      <c r="GH8676"/>
      <c r="GI8676"/>
      <c r="GJ8676"/>
      <c r="GK8676"/>
      <c r="GL8676"/>
      <c r="GM8676"/>
      <c r="GN8676"/>
      <c r="GO8676"/>
    </row>
    <row r="8677" spans="107:197">
      <c r="DC8677"/>
      <c r="FH8677"/>
      <c r="FI8677"/>
      <c r="FJ8677"/>
      <c r="FK8677"/>
      <c r="FL8677"/>
      <c r="FM8677"/>
      <c r="FN8677"/>
      <c r="FO8677"/>
      <c r="FP8677"/>
      <c r="FQ8677"/>
      <c r="FR8677"/>
      <c r="FS8677"/>
      <c r="FT8677"/>
      <c r="FU8677"/>
      <c r="FV8677"/>
      <c r="FW8677"/>
      <c r="FX8677"/>
      <c r="FY8677"/>
      <c r="FZ8677"/>
      <c r="GA8677"/>
      <c r="GB8677"/>
      <c r="GC8677"/>
      <c r="GD8677"/>
      <c r="GE8677"/>
      <c r="GF8677"/>
      <c r="GG8677"/>
      <c r="GH8677"/>
      <c r="GI8677"/>
      <c r="GJ8677"/>
      <c r="GK8677"/>
      <c r="GL8677"/>
      <c r="GM8677"/>
      <c r="GN8677"/>
      <c r="GO8677"/>
    </row>
    <row r="8678" spans="107:197">
      <c r="DC8678"/>
      <c r="FH8678"/>
      <c r="FI8678"/>
      <c r="FJ8678"/>
      <c r="FK8678"/>
      <c r="FL8678"/>
      <c r="FM8678"/>
      <c r="FN8678"/>
      <c r="FO8678"/>
      <c r="FP8678"/>
      <c r="FQ8678"/>
      <c r="FR8678"/>
      <c r="FS8678"/>
      <c r="FT8678"/>
      <c r="FU8678"/>
      <c r="FV8678"/>
      <c r="FW8678"/>
      <c r="FX8678"/>
      <c r="FY8678"/>
      <c r="FZ8678"/>
      <c r="GA8678"/>
      <c r="GB8678"/>
      <c r="GC8678"/>
      <c r="GD8678"/>
      <c r="GE8678"/>
      <c r="GF8678"/>
      <c r="GG8678"/>
      <c r="GH8678"/>
      <c r="GI8678"/>
      <c r="GJ8678"/>
      <c r="GK8678"/>
      <c r="GL8678"/>
      <c r="GM8678"/>
      <c r="GN8678"/>
      <c r="GO8678"/>
    </row>
    <row r="8679" spans="107:197">
      <c r="DC8679"/>
      <c r="FH8679"/>
      <c r="FI8679"/>
      <c r="FJ8679"/>
      <c r="FK8679"/>
      <c r="FL8679"/>
      <c r="FM8679"/>
      <c r="FN8679"/>
      <c r="FO8679"/>
      <c r="FP8679"/>
      <c r="FQ8679"/>
      <c r="FR8679"/>
      <c r="FS8679"/>
      <c r="FT8679"/>
      <c r="FU8679"/>
      <c r="FV8679"/>
      <c r="FW8679"/>
      <c r="FX8679"/>
      <c r="FY8679"/>
      <c r="FZ8679"/>
      <c r="GA8679"/>
      <c r="GB8679"/>
      <c r="GC8679"/>
      <c r="GD8679"/>
      <c r="GE8679"/>
      <c r="GF8679"/>
      <c r="GG8679"/>
      <c r="GH8679"/>
      <c r="GI8679"/>
      <c r="GJ8679"/>
      <c r="GK8679"/>
      <c r="GL8679"/>
      <c r="GM8679"/>
      <c r="GN8679"/>
      <c r="GO8679"/>
    </row>
    <row r="8680" spans="107:197">
      <c r="DC8680"/>
      <c r="FH8680"/>
      <c r="FI8680"/>
      <c r="FJ8680"/>
      <c r="FK8680"/>
      <c r="FL8680"/>
      <c r="FM8680"/>
      <c r="FN8680"/>
      <c r="FO8680"/>
      <c r="FP8680"/>
      <c r="FQ8680"/>
      <c r="FR8680"/>
      <c r="FS8680"/>
      <c r="FT8680"/>
      <c r="FU8680"/>
      <c r="FV8680"/>
      <c r="FW8680"/>
      <c r="FX8680"/>
      <c r="FY8680"/>
      <c r="FZ8680"/>
      <c r="GA8680"/>
      <c r="GB8680"/>
      <c r="GC8680"/>
      <c r="GD8680"/>
      <c r="GE8680"/>
      <c r="GF8680"/>
      <c r="GG8680"/>
      <c r="GH8680"/>
      <c r="GI8680"/>
      <c r="GJ8680"/>
      <c r="GK8680"/>
      <c r="GL8680"/>
      <c r="GM8680"/>
      <c r="GN8680"/>
      <c r="GO8680"/>
    </row>
    <row r="8681" spans="107:197">
      <c r="DC8681"/>
      <c r="FH8681"/>
      <c r="FI8681"/>
      <c r="FJ8681"/>
      <c r="FK8681"/>
      <c r="FL8681"/>
      <c r="FM8681"/>
      <c r="FN8681"/>
      <c r="FO8681"/>
      <c r="FP8681"/>
      <c r="FQ8681"/>
      <c r="FR8681"/>
      <c r="FS8681"/>
      <c r="FT8681"/>
      <c r="FU8681"/>
      <c r="FV8681"/>
      <c r="FW8681"/>
      <c r="FX8681"/>
      <c r="FY8681"/>
      <c r="FZ8681"/>
      <c r="GA8681"/>
      <c r="GB8681"/>
      <c r="GC8681"/>
      <c r="GD8681"/>
      <c r="GE8681"/>
      <c r="GF8681"/>
      <c r="GG8681"/>
      <c r="GH8681"/>
      <c r="GI8681"/>
      <c r="GJ8681"/>
      <c r="GK8681"/>
      <c r="GL8681"/>
      <c r="GM8681"/>
      <c r="GN8681"/>
      <c r="GO8681"/>
    </row>
    <row r="8682" spans="107:197">
      <c r="DC8682"/>
      <c r="FH8682"/>
      <c r="FI8682"/>
      <c r="FJ8682"/>
      <c r="FK8682"/>
      <c r="FL8682"/>
      <c r="FM8682"/>
      <c r="FN8682"/>
      <c r="FO8682"/>
      <c r="FP8682"/>
      <c r="FQ8682"/>
      <c r="FR8682"/>
      <c r="FS8682"/>
      <c r="FT8682"/>
      <c r="FU8682"/>
      <c r="FV8682"/>
      <c r="FW8682"/>
      <c r="FX8682"/>
      <c r="FY8682"/>
      <c r="FZ8682"/>
      <c r="GA8682"/>
      <c r="GB8682"/>
      <c r="GC8682"/>
      <c r="GD8682"/>
      <c r="GE8682"/>
      <c r="GF8682"/>
      <c r="GG8682"/>
      <c r="GH8682"/>
      <c r="GI8682"/>
      <c r="GJ8682"/>
      <c r="GK8682"/>
      <c r="GL8682"/>
      <c r="GM8682"/>
      <c r="GN8682"/>
      <c r="GO8682"/>
    </row>
    <row r="8683" spans="107:197">
      <c r="DC8683"/>
      <c r="FH8683"/>
      <c r="FI8683"/>
      <c r="FJ8683"/>
      <c r="FK8683"/>
      <c r="FL8683"/>
      <c r="FM8683"/>
      <c r="FN8683"/>
      <c r="FO8683"/>
      <c r="FP8683"/>
      <c r="FQ8683"/>
      <c r="FR8683"/>
      <c r="FS8683"/>
      <c r="FT8683"/>
      <c r="FU8683"/>
      <c r="FV8683"/>
      <c r="FW8683"/>
      <c r="FX8683"/>
      <c r="FY8683"/>
      <c r="FZ8683"/>
      <c r="GA8683"/>
      <c r="GB8683"/>
      <c r="GC8683"/>
      <c r="GD8683"/>
      <c r="GE8683"/>
      <c r="GF8683"/>
      <c r="GG8683"/>
      <c r="GH8683"/>
      <c r="GI8683"/>
      <c r="GJ8683"/>
      <c r="GK8683"/>
      <c r="GL8683"/>
      <c r="GM8683"/>
      <c r="GN8683"/>
      <c r="GO8683"/>
    </row>
    <row r="8684" spans="107:197">
      <c r="DC8684"/>
      <c r="FH8684"/>
      <c r="FI8684"/>
      <c r="FJ8684"/>
      <c r="FK8684"/>
      <c r="FL8684"/>
      <c r="FM8684"/>
      <c r="FN8684"/>
      <c r="FO8684"/>
      <c r="FP8684"/>
      <c r="FQ8684"/>
      <c r="FR8684"/>
      <c r="FS8684"/>
      <c r="FT8684"/>
      <c r="FU8684"/>
      <c r="FV8684"/>
      <c r="FW8684"/>
      <c r="FX8684"/>
      <c r="FY8684"/>
      <c r="FZ8684"/>
      <c r="GA8684"/>
      <c r="GB8684"/>
      <c r="GC8684"/>
      <c r="GD8684"/>
      <c r="GE8684"/>
      <c r="GF8684"/>
      <c r="GG8684"/>
      <c r="GH8684"/>
      <c r="GI8684"/>
      <c r="GJ8684"/>
      <c r="GK8684"/>
      <c r="GL8684"/>
      <c r="GM8684"/>
      <c r="GN8684"/>
      <c r="GO8684"/>
    </row>
    <row r="8685" spans="107:197">
      <c r="DC8685"/>
      <c r="FH8685"/>
      <c r="FI8685"/>
      <c r="FJ8685"/>
      <c r="FK8685"/>
      <c r="FL8685"/>
      <c r="FM8685"/>
      <c r="FN8685"/>
      <c r="FO8685"/>
      <c r="FP8685"/>
      <c r="FQ8685"/>
      <c r="FR8685"/>
      <c r="FS8685"/>
      <c r="FT8685"/>
      <c r="FU8685"/>
      <c r="FV8685"/>
      <c r="FW8685"/>
      <c r="FX8685"/>
      <c r="FY8685"/>
      <c r="FZ8685"/>
      <c r="GA8685"/>
      <c r="GB8685"/>
      <c r="GC8685"/>
      <c r="GD8685"/>
      <c r="GE8685"/>
      <c r="GF8685"/>
      <c r="GG8685"/>
      <c r="GH8685"/>
      <c r="GI8685"/>
      <c r="GJ8685"/>
      <c r="GK8685"/>
      <c r="GL8685"/>
      <c r="GM8685"/>
      <c r="GN8685"/>
      <c r="GO8685"/>
    </row>
    <row r="8686" spans="107:197">
      <c r="DC8686"/>
      <c r="FH8686"/>
      <c r="FI8686"/>
      <c r="FJ8686"/>
      <c r="FK8686"/>
      <c r="FL8686"/>
      <c r="FM8686"/>
      <c r="FN8686"/>
      <c r="FO8686"/>
      <c r="FP8686"/>
      <c r="FQ8686"/>
      <c r="FR8686"/>
      <c r="FS8686"/>
      <c r="FT8686"/>
      <c r="FU8686"/>
      <c r="FV8686"/>
      <c r="FW8686"/>
      <c r="FX8686"/>
      <c r="FY8686"/>
      <c r="FZ8686"/>
      <c r="GA8686"/>
      <c r="GB8686"/>
      <c r="GC8686"/>
      <c r="GD8686"/>
      <c r="GE8686"/>
      <c r="GF8686"/>
      <c r="GG8686"/>
      <c r="GH8686"/>
      <c r="GI8686"/>
      <c r="GJ8686"/>
      <c r="GK8686"/>
      <c r="GL8686"/>
      <c r="GM8686"/>
      <c r="GN8686"/>
      <c r="GO8686"/>
    </row>
    <row r="8687" spans="107:197">
      <c r="DC8687"/>
      <c r="FH8687"/>
      <c r="FI8687"/>
      <c r="FJ8687"/>
      <c r="FK8687"/>
      <c r="FL8687"/>
      <c r="FM8687"/>
      <c r="FN8687"/>
      <c r="FO8687"/>
      <c r="FP8687"/>
      <c r="FQ8687"/>
      <c r="FR8687"/>
      <c r="FS8687"/>
      <c r="FT8687"/>
      <c r="FU8687"/>
      <c r="FV8687"/>
      <c r="FW8687"/>
      <c r="FX8687"/>
      <c r="FY8687"/>
      <c r="FZ8687"/>
      <c r="GA8687"/>
      <c r="GB8687"/>
      <c r="GC8687"/>
      <c r="GD8687"/>
      <c r="GE8687"/>
      <c r="GF8687"/>
      <c r="GG8687"/>
      <c r="GH8687"/>
      <c r="GI8687"/>
      <c r="GJ8687"/>
      <c r="GK8687"/>
      <c r="GL8687"/>
      <c r="GM8687"/>
      <c r="GN8687"/>
      <c r="GO8687"/>
    </row>
    <row r="8688" spans="107:197">
      <c r="DC8688"/>
      <c r="FH8688"/>
      <c r="FI8688"/>
      <c r="FJ8688"/>
      <c r="FK8688"/>
      <c r="FL8688"/>
      <c r="FM8688"/>
      <c r="FN8688"/>
      <c r="FO8688"/>
      <c r="FP8688"/>
      <c r="FQ8688"/>
      <c r="FR8688"/>
      <c r="FS8688"/>
      <c r="FT8688"/>
      <c r="FU8688"/>
      <c r="FV8688"/>
      <c r="FW8688"/>
      <c r="FX8688"/>
      <c r="FY8688"/>
      <c r="FZ8688"/>
      <c r="GA8688"/>
      <c r="GB8688"/>
      <c r="GC8688"/>
      <c r="GD8688"/>
      <c r="GE8688"/>
      <c r="GF8688"/>
      <c r="GG8688"/>
      <c r="GH8688"/>
      <c r="GI8688"/>
      <c r="GJ8688"/>
      <c r="GK8688"/>
      <c r="GL8688"/>
      <c r="GM8688"/>
      <c r="GN8688"/>
      <c r="GO8688"/>
    </row>
    <row r="8689" spans="107:197">
      <c r="DC8689"/>
      <c r="FH8689"/>
      <c r="FI8689"/>
      <c r="FJ8689"/>
      <c r="FK8689"/>
      <c r="FL8689"/>
      <c r="FM8689"/>
      <c r="FN8689"/>
      <c r="FO8689"/>
      <c r="FP8689"/>
      <c r="FQ8689"/>
      <c r="FR8689"/>
      <c r="FS8689"/>
      <c r="FT8689"/>
      <c r="FU8689"/>
      <c r="FV8689"/>
      <c r="FW8689"/>
      <c r="FX8689"/>
      <c r="FY8689"/>
      <c r="FZ8689"/>
      <c r="GA8689"/>
      <c r="GB8689"/>
      <c r="GC8689"/>
      <c r="GD8689"/>
      <c r="GE8689"/>
      <c r="GF8689"/>
      <c r="GG8689"/>
      <c r="GH8689"/>
      <c r="GI8689"/>
      <c r="GJ8689"/>
      <c r="GK8689"/>
      <c r="GL8689"/>
      <c r="GM8689"/>
      <c r="GN8689"/>
      <c r="GO8689"/>
    </row>
    <row r="8690" spans="107:197">
      <c r="DC8690"/>
      <c r="FH8690"/>
      <c r="FI8690"/>
      <c r="FJ8690"/>
      <c r="FK8690"/>
      <c r="FL8690"/>
      <c r="FM8690"/>
      <c r="FN8690"/>
      <c r="FO8690"/>
      <c r="FP8690"/>
      <c r="FQ8690"/>
      <c r="FR8690"/>
      <c r="FS8690"/>
      <c r="FT8690"/>
      <c r="FU8690"/>
      <c r="FV8690"/>
      <c r="FW8690"/>
      <c r="FX8690"/>
      <c r="FY8690"/>
      <c r="FZ8690"/>
      <c r="GA8690"/>
      <c r="GB8690"/>
      <c r="GC8690"/>
      <c r="GD8690"/>
      <c r="GE8690"/>
      <c r="GF8690"/>
      <c r="GG8690"/>
      <c r="GH8690"/>
      <c r="GI8690"/>
      <c r="GJ8690"/>
      <c r="GK8690"/>
      <c r="GL8690"/>
      <c r="GM8690"/>
      <c r="GN8690"/>
      <c r="GO8690"/>
    </row>
    <row r="8691" spans="107:197">
      <c r="DC8691"/>
      <c r="FH8691"/>
      <c r="FI8691"/>
      <c r="FJ8691"/>
      <c r="FK8691"/>
      <c r="FL8691"/>
      <c r="FM8691"/>
      <c r="FN8691"/>
      <c r="FO8691"/>
      <c r="FP8691"/>
      <c r="FQ8691"/>
      <c r="FR8691"/>
      <c r="FS8691"/>
      <c r="FT8691"/>
      <c r="FU8691"/>
      <c r="FV8691"/>
      <c r="FW8691"/>
      <c r="FX8691"/>
      <c r="FY8691"/>
      <c r="FZ8691"/>
      <c r="GA8691"/>
      <c r="GB8691"/>
      <c r="GC8691"/>
      <c r="GD8691"/>
      <c r="GE8691"/>
      <c r="GF8691"/>
      <c r="GG8691"/>
      <c r="GH8691"/>
      <c r="GI8691"/>
      <c r="GJ8691"/>
      <c r="GK8691"/>
      <c r="GL8691"/>
      <c r="GM8691"/>
      <c r="GN8691"/>
      <c r="GO8691"/>
    </row>
    <row r="8692" spans="107:197">
      <c r="DC8692"/>
      <c r="FH8692"/>
      <c r="FI8692"/>
      <c r="FJ8692"/>
      <c r="FK8692"/>
      <c r="FL8692"/>
      <c r="FM8692"/>
      <c r="FN8692"/>
      <c r="FO8692"/>
      <c r="FP8692"/>
      <c r="FQ8692"/>
      <c r="FR8692"/>
      <c r="FS8692"/>
      <c r="FT8692"/>
      <c r="FU8692"/>
      <c r="FV8692"/>
      <c r="FW8692"/>
      <c r="FX8692"/>
      <c r="FY8692"/>
      <c r="FZ8692"/>
      <c r="GA8692"/>
      <c r="GB8692"/>
      <c r="GC8692"/>
      <c r="GD8692"/>
      <c r="GE8692"/>
      <c r="GF8692"/>
      <c r="GG8692"/>
      <c r="GH8692"/>
      <c r="GI8692"/>
      <c r="GJ8692"/>
      <c r="GK8692"/>
      <c r="GL8692"/>
      <c r="GM8692"/>
      <c r="GN8692"/>
      <c r="GO8692"/>
    </row>
    <row r="8693" spans="107:197">
      <c r="DC8693"/>
      <c r="FH8693"/>
      <c r="FI8693"/>
      <c r="FJ8693"/>
      <c r="FK8693"/>
      <c r="FL8693"/>
      <c r="FM8693"/>
      <c r="FN8693"/>
      <c r="FO8693"/>
      <c r="FP8693"/>
      <c r="FQ8693"/>
      <c r="FR8693"/>
      <c r="FS8693"/>
      <c r="FT8693"/>
      <c r="FU8693"/>
      <c r="FV8693"/>
      <c r="FW8693"/>
      <c r="FX8693"/>
      <c r="FY8693"/>
      <c r="FZ8693"/>
      <c r="GA8693"/>
      <c r="GB8693"/>
      <c r="GC8693"/>
      <c r="GD8693"/>
      <c r="GE8693"/>
      <c r="GF8693"/>
      <c r="GG8693"/>
      <c r="GH8693"/>
      <c r="GI8693"/>
      <c r="GJ8693"/>
      <c r="GK8693"/>
      <c r="GL8693"/>
      <c r="GM8693"/>
      <c r="GN8693"/>
      <c r="GO8693"/>
    </row>
    <row r="8694" spans="107:197">
      <c r="DC8694"/>
      <c r="FH8694"/>
      <c r="FI8694"/>
      <c r="FJ8694"/>
      <c r="FK8694"/>
      <c r="FL8694"/>
      <c r="FM8694"/>
      <c r="FN8694"/>
      <c r="FO8694"/>
      <c r="FP8694"/>
      <c r="FQ8694"/>
      <c r="FR8694"/>
      <c r="FS8694"/>
      <c r="FT8694"/>
      <c r="FU8694"/>
      <c r="FV8694"/>
      <c r="FW8694"/>
      <c r="FX8694"/>
      <c r="FY8694"/>
      <c r="FZ8694"/>
      <c r="GA8694"/>
      <c r="GB8694"/>
      <c r="GC8694"/>
      <c r="GD8694"/>
      <c r="GE8694"/>
      <c r="GF8694"/>
      <c r="GG8694"/>
      <c r="GH8694"/>
      <c r="GI8694"/>
      <c r="GJ8694"/>
      <c r="GK8694"/>
      <c r="GL8694"/>
      <c r="GM8694"/>
      <c r="GN8694"/>
      <c r="GO8694"/>
    </row>
    <row r="8695" spans="107:197">
      <c r="DC8695"/>
      <c r="FH8695"/>
      <c r="FI8695"/>
      <c r="FJ8695"/>
      <c r="FK8695"/>
      <c r="FL8695"/>
      <c r="FM8695"/>
      <c r="FN8695"/>
      <c r="FO8695"/>
      <c r="FP8695"/>
      <c r="FQ8695"/>
      <c r="FR8695"/>
      <c r="FS8695"/>
      <c r="FT8695"/>
      <c r="FU8695"/>
      <c r="FV8695"/>
      <c r="FW8695"/>
      <c r="FX8695"/>
      <c r="FY8695"/>
      <c r="FZ8695"/>
      <c r="GA8695"/>
      <c r="GB8695"/>
      <c r="GC8695"/>
      <c r="GD8695"/>
      <c r="GE8695"/>
      <c r="GF8695"/>
      <c r="GG8695"/>
      <c r="GH8695"/>
      <c r="GI8695"/>
      <c r="GJ8695"/>
      <c r="GK8695"/>
      <c r="GL8695"/>
      <c r="GM8695"/>
      <c r="GN8695"/>
      <c r="GO8695"/>
    </row>
    <row r="8696" spans="107:197">
      <c r="DC8696"/>
      <c r="FH8696"/>
      <c r="FI8696"/>
      <c r="FJ8696"/>
      <c r="FK8696"/>
      <c r="FL8696"/>
      <c r="FM8696"/>
      <c r="FN8696"/>
      <c r="FO8696"/>
      <c r="FP8696"/>
      <c r="FQ8696"/>
      <c r="FR8696"/>
      <c r="FS8696"/>
      <c r="FT8696"/>
      <c r="FU8696"/>
      <c r="FV8696"/>
      <c r="FW8696"/>
      <c r="FX8696"/>
      <c r="FY8696"/>
      <c r="FZ8696"/>
      <c r="GA8696"/>
      <c r="GB8696"/>
      <c r="GC8696"/>
      <c r="GD8696"/>
      <c r="GE8696"/>
      <c r="GF8696"/>
      <c r="GG8696"/>
      <c r="GH8696"/>
      <c r="GI8696"/>
      <c r="GJ8696"/>
      <c r="GK8696"/>
      <c r="GL8696"/>
      <c r="GM8696"/>
      <c r="GN8696"/>
      <c r="GO8696"/>
    </row>
    <row r="8697" spans="107:197">
      <c r="DC8697"/>
      <c r="FH8697"/>
      <c r="FI8697"/>
      <c r="FJ8697"/>
      <c r="FK8697"/>
      <c r="FL8697"/>
      <c r="FM8697"/>
      <c r="FN8697"/>
      <c r="FO8697"/>
      <c r="FP8697"/>
      <c r="FQ8697"/>
      <c r="FR8697"/>
      <c r="FS8697"/>
      <c r="FT8697"/>
      <c r="FU8697"/>
      <c r="FV8697"/>
      <c r="FW8697"/>
      <c r="FX8697"/>
      <c r="FY8697"/>
      <c r="FZ8697"/>
      <c r="GA8697"/>
      <c r="GB8697"/>
      <c r="GC8697"/>
      <c r="GD8697"/>
      <c r="GE8697"/>
      <c r="GF8697"/>
      <c r="GG8697"/>
      <c r="GH8697"/>
      <c r="GI8697"/>
      <c r="GJ8697"/>
      <c r="GK8697"/>
      <c r="GL8697"/>
      <c r="GM8697"/>
      <c r="GN8697"/>
      <c r="GO8697"/>
    </row>
    <row r="8698" spans="107:197">
      <c r="DC8698"/>
      <c r="FH8698"/>
      <c r="FI8698"/>
      <c r="FJ8698"/>
      <c r="FK8698"/>
      <c r="FL8698"/>
      <c r="FM8698"/>
      <c r="FN8698"/>
      <c r="FO8698"/>
      <c r="FP8698"/>
      <c r="FQ8698"/>
      <c r="FR8698"/>
      <c r="FS8698"/>
      <c r="FT8698"/>
      <c r="FU8698"/>
      <c r="FV8698"/>
      <c r="FW8698"/>
      <c r="FX8698"/>
      <c r="FY8698"/>
      <c r="FZ8698"/>
      <c r="GA8698"/>
      <c r="GB8698"/>
      <c r="GC8698"/>
      <c r="GD8698"/>
      <c r="GE8698"/>
      <c r="GF8698"/>
      <c r="GG8698"/>
      <c r="GH8698"/>
      <c r="GI8698"/>
      <c r="GJ8698"/>
      <c r="GK8698"/>
      <c r="GL8698"/>
      <c r="GM8698"/>
      <c r="GN8698"/>
      <c r="GO8698"/>
    </row>
    <row r="8699" spans="107:197">
      <c r="DC8699"/>
      <c r="FH8699"/>
      <c r="FI8699"/>
      <c r="FJ8699"/>
      <c r="FK8699"/>
      <c r="FL8699"/>
      <c r="FM8699"/>
      <c r="FN8699"/>
      <c r="FO8699"/>
      <c r="FP8699"/>
      <c r="FQ8699"/>
      <c r="FR8699"/>
      <c r="FS8699"/>
      <c r="FT8699"/>
      <c r="FU8699"/>
      <c r="FV8699"/>
      <c r="FW8699"/>
      <c r="FX8699"/>
      <c r="FY8699"/>
      <c r="FZ8699"/>
      <c r="GA8699"/>
      <c r="GB8699"/>
      <c r="GC8699"/>
      <c r="GD8699"/>
      <c r="GE8699"/>
      <c r="GF8699"/>
      <c r="GG8699"/>
      <c r="GH8699"/>
      <c r="GI8699"/>
      <c r="GJ8699"/>
      <c r="GK8699"/>
      <c r="GL8699"/>
      <c r="GM8699"/>
      <c r="GN8699"/>
      <c r="GO8699"/>
    </row>
    <row r="8700" spans="107:197">
      <c r="DC8700"/>
      <c r="FH8700"/>
      <c r="FI8700"/>
      <c r="FJ8700"/>
      <c r="FK8700"/>
      <c r="FL8700"/>
      <c r="FM8700"/>
      <c r="FN8700"/>
      <c r="FO8700"/>
      <c r="FP8700"/>
      <c r="FQ8700"/>
      <c r="FR8700"/>
      <c r="FS8700"/>
      <c r="FT8700"/>
      <c r="FU8700"/>
      <c r="FV8700"/>
      <c r="FW8700"/>
      <c r="FX8700"/>
      <c r="FY8700"/>
      <c r="FZ8700"/>
      <c r="GA8700"/>
      <c r="GB8700"/>
      <c r="GC8700"/>
      <c r="GD8700"/>
      <c r="GE8700"/>
      <c r="GF8700"/>
      <c r="GG8700"/>
      <c r="GH8700"/>
      <c r="GI8700"/>
      <c r="GJ8700"/>
      <c r="GK8700"/>
      <c r="GL8700"/>
      <c r="GM8700"/>
      <c r="GN8700"/>
      <c r="GO8700"/>
    </row>
    <row r="8701" spans="107:197">
      <c r="DC8701"/>
      <c r="FH8701"/>
      <c r="FI8701"/>
      <c r="FJ8701"/>
      <c r="FK8701"/>
      <c r="FL8701"/>
      <c r="FM8701"/>
      <c r="FN8701"/>
      <c r="FO8701"/>
      <c r="FP8701"/>
      <c r="FQ8701"/>
      <c r="FR8701"/>
      <c r="FS8701"/>
      <c r="FT8701"/>
      <c r="FU8701"/>
      <c r="FV8701"/>
      <c r="FW8701"/>
      <c r="FX8701"/>
      <c r="FY8701"/>
      <c r="FZ8701"/>
      <c r="GA8701"/>
      <c r="GB8701"/>
      <c r="GC8701"/>
      <c r="GD8701"/>
      <c r="GE8701"/>
      <c r="GF8701"/>
      <c r="GG8701"/>
      <c r="GH8701"/>
      <c r="GI8701"/>
      <c r="GJ8701"/>
      <c r="GK8701"/>
      <c r="GL8701"/>
      <c r="GM8701"/>
      <c r="GN8701"/>
      <c r="GO8701"/>
    </row>
    <row r="8702" spans="107:197">
      <c r="DC8702"/>
      <c r="FH8702"/>
      <c r="FI8702"/>
      <c r="FJ8702"/>
      <c r="FK8702"/>
      <c r="FL8702"/>
      <c r="FM8702"/>
      <c r="FN8702"/>
      <c r="FO8702"/>
      <c r="FP8702"/>
      <c r="FQ8702"/>
      <c r="FR8702"/>
      <c r="FS8702"/>
      <c r="FT8702"/>
      <c r="FU8702"/>
      <c r="FV8702"/>
      <c r="FW8702"/>
      <c r="FX8702"/>
      <c r="FY8702"/>
      <c r="FZ8702"/>
      <c r="GA8702"/>
      <c r="GB8702"/>
      <c r="GC8702"/>
      <c r="GD8702"/>
      <c r="GE8702"/>
      <c r="GF8702"/>
      <c r="GG8702"/>
      <c r="GH8702"/>
      <c r="GI8702"/>
      <c r="GJ8702"/>
      <c r="GK8702"/>
      <c r="GL8702"/>
      <c r="GM8702"/>
      <c r="GN8702"/>
      <c r="GO8702"/>
    </row>
    <row r="8703" spans="107:197">
      <c r="DC8703"/>
      <c r="FH8703"/>
      <c r="FI8703"/>
      <c r="FJ8703"/>
      <c r="FK8703"/>
      <c r="FL8703"/>
      <c r="FM8703"/>
      <c r="FN8703"/>
      <c r="FO8703"/>
      <c r="FP8703"/>
      <c r="FQ8703"/>
      <c r="FR8703"/>
      <c r="FS8703"/>
      <c r="FT8703"/>
      <c r="FU8703"/>
      <c r="FV8703"/>
      <c r="FW8703"/>
      <c r="FX8703"/>
      <c r="FY8703"/>
      <c r="FZ8703"/>
      <c r="GA8703"/>
      <c r="GB8703"/>
      <c r="GC8703"/>
      <c r="GD8703"/>
      <c r="GE8703"/>
      <c r="GF8703"/>
      <c r="GG8703"/>
      <c r="GH8703"/>
      <c r="GI8703"/>
      <c r="GJ8703"/>
      <c r="GK8703"/>
      <c r="GL8703"/>
      <c r="GM8703"/>
      <c r="GN8703"/>
      <c r="GO8703"/>
    </row>
    <row r="8704" spans="107:197">
      <c r="DC8704"/>
      <c r="FH8704"/>
      <c r="FI8704"/>
      <c r="FJ8704"/>
      <c r="FK8704"/>
      <c r="FL8704"/>
      <c r="FM8704"/>
      <c r="FN8704"/>
      <c r="FO8704"/>
      <c r="FP8704"/>
      <c r="FQ8704"/>
      <c r="FR8704"/>
      <c r="FS8704"/>
      <c r="FT8704"/>
      <c r="FU8704"/>
      <c r="FV8704"/>
      <c r="FW8704"/>
      <c r="FX8704"/>
      <c r="FY8704"/>
      <c r="FZ8704"/>
      <c r="GA8704"/>
      <c r="GB8704"/>
      <c r="GC8704"/>
      <c r="GD8704"/>
      <c r="GE8704"/>
      <c r="GF8704"/>
      <c r="GG8704"/>
      <c r="GH8704"/>
      <c r="GI8704"/>
      <c r="GJ8704"/>
      <c r="GK8704"/>
      <c r="GL8704"/>
      <c r="GM8704"/>
      <c r="GN8704"/>
      <c r="GO8704"/>
    </row>
    <row r="8705" spans="107:197">
      <c r="DC8705"/>
      <c r="FH8705"/>
      <c r="FI8705"/>
      <c r="FJ8705"/>
      <c r="FK8705"/>
      <c r="FL8705"/>
      <c r="FM8705"/>
      <c r="FN8705"/>
      <c r="FO8705"/>
      <c r="FP8705"/>
      <c r="FQ8705"/>
      <c r="FR8705"/>
      <c r="FS8705"/>
      <c r="FT8705"/>
      <c r="FU8705"/>
      <c r="FV8705"/>
      <c r="FW8705"/>
      <c r="FX8705"/>
      <c r="FY8705"/>
      <c r="FZ8705"/>
      <c r="GA8705"/>
      <c r="GB8705"/>
      <c r="GC8705"/>
      <c r="GD8705"/>
      <c r="GE8705"/>
      <c r="GF8705"/>
      <c r="GG8705"/>
      <c r="GH8705"/>
      <c r="GI8705"/>
      <c r="GJ8705"/>
      <c r="GK8705"/>
      <c r="GL8705"/>
      <c r="GM8705"/>
      <c r="GN8705"/>
      <c r="GO8705"/>
    </row>
    <row r="8706" spans="107:197">
      <c r="DC8706"/>
      <c r="FH8706"/>
      <c r="FI8706"/>
      <c r="FJ8706"/>
      <c r="FK8706"/>
      <c r="FL8706"/>
      <c r="FM8706"/>
      <c r="FN8706"/>
      <c r="FO8706"/>
      <c r="FP8706"/>
      <c r="FQ8706"/>
      <c r="FR8706"/>
      <c r="FS8706"/>
      <c r="FT8706"/>
      <c r="FU8706"/>
      <c r="FV8706"/>
      <c r="FW8706"/>
      <c r="FX8706"/>
      <c r="FY8706"/>
      <c r="FZ8706"/>
      <c r="GA8706"/>
      <c r="GB8706"/>
      <c r="GC8706"/>
      <c r="GD8706"/>
      <c r="GE8706"/>
      <c r="GF8706"/>
      <c r="GG8706"/>
      <c r="GH8706"/>
      <c r="GI8706"/>
      <c r="GJ8706"/>
      <c r="GK8706"/>
      <c r="GL8706"/>
      <c r="GM8706"/>
      <c r="GN8706"/>
      <c r="GO8706"/>
    </row>
    <row r="8707" spans="107:197">
      <c r="DC8707"/>
      <c r="FH8707"/>
      <c r="FI8707"/>
      <c r="FJ8707"/>
      <c r="FK8707"/>
      <c r="FL8707"/>
      <c r="FM8707"/>
      <c r="FN8707"/>
      <c r="FO8707"/>
      <c r="FP8707"/>
      <c r="FQ8707"/>
      <c r="FR8707"/>
      <c r="FS8707"/>
      <c r="FT8707"/>
      <c r="FU8707"/>
      <c r="FV8707"/>
      <c r="FW8707"/>
      <c r="FX8707"/>
      <c r="FY8707"/>
      <c r="FZ8707"/>
      <c r="GA8707"/>
      <c r="GB8707"/>
      <c r="GC8707"/>
      <c r="GD8707"/>
      <c r="GE8707"/>
      <c r="GF8707"/>
      <c r="GG8707"/>
      <c r="GH8707"/>
      <c r="GI8707"/>
      <c r="GJ8707"/>
      <c r="GK8707"/>
      <c r="GL8707"/>
      <c r="GM8707"/>
      <c r="GN8707"/>
      <c r="GO8707"/>
    </row>
    <row r="8708" spans="107:197">
      <c r="DC8708"/>
      <c r="FH8708"/>
      <c r="FI8708"/>
      <c r="FJ8708"/>
      <c r="FK8708"/>
      <c r="FL8708"/>
      <c r="FM8708"/>
      <c r="FN8708"/>
      <c r="FO8708"/>
      <c r="FP8708"/>
      <c r="FQ8708"/>
      <c r="FR8708"/>
      <c r="FS8708"/>
      <c r="FT8708"/>
      <c r="FU8708"/>
      <c r="FV8708"/>
      <c r="FW8708"/>
      <c r="FX8708"/>
      <c r="FY8708"/>
      <c r="FZ8708"/>
      <c r="GA8708"/>
      <c r="GB8708"/>
      <c r="GC8708"/>
      <c r="GD8708"/>
      <c r="GE8708"/>
      <c r="GF8708"/>
      <c r="GG8708"/>
      <c r="GH8708"/>
      <c r="GI8708"/>
      <c r="GJ8708"/>
      <c r="GK8708"/>
      <c r="GL8708"/>
      <c r="GM8708"/>
      <c r="GN8708"/>
      <c r="GO8708"/>
    </row>
    <row r="8709" spans="107:197">
      <c r="DC8709"/>
      <c r="FH8709"/>
      <c r="FI8709"/>
      <c r="FJ8709"/>
      <c r="FK8709"/>
      <c r="FL8709"/>
      <c r="FM8709"/>
      <c r="FN8709"/>
      <c r="FO8709"/>
      <c r="FP8709"/>
      <c r="FQ8709"/>
      <c r="FR8709"/>
      <c r="FS8709"/>
      <c r="FT8709"/>
      <c r="FU8709"/>
      <c r="FV8709"/>
      <c r="FW8709"/>
      <c r="FX8709"/>
      <c r="FY8709"/>
      <c r="FZ8709"/>
      <c r="GA8709"/>
      <c r="GB8709"/>
      <c r="GC8709"/>
      <c r="GD8709"/>
      <c r="GE8709"/>
      <c r="GF8709"/>
      <c r="GG8709"/>
      <c r="GH8709"/>
      <c r="GI8709"/>
      <c r="GJ8709"/>
      <c r="GK8709"/>
      <c r="GL8709"/>
      <c r="GM8709"/>
      <c r="GN8709"/>
      <c r="GO8709"/>
    </row>
    <row r="8710" spans="107:197">
      <c r="DC8710"/>
      <c r="FH8710"/>
      <c r="FI8710"/>
      <c r="FJ8710"/>
      <c r="FK8710"/>
      <c r="FL8710"/>
      <c r="FM8710"/>
      <c r="FN8710"/>
      <c r="FO8710"/>
      <c r="FP8710"/>
      <c r="FQ8710"/>
      <c r="FR8710"/>
      <c r="FS8710"/>
      <c r="FT8710"/>
      <c r="FU8710"/>
      <c r="FV8710"/>
      <c r="FW8710"/>
      <c r="FX8710"/>
      <c r="FY8710"/>
      <c r="FZ8710"/>
      <c r="GA8710"/>
      <c r="GB8710"/>
      <c r="GC8710"/>
      <c r="GD8710"/>
      <c r="GE8710"/>
      <c r="GF8710"/>
      <c r="GG8710"/>
      <c r="GH8710"/>
      <c r="GI8710"/>
      <c r="GJ8710"/>
      <c r="GK8710"/>
      <c r="GL8710"/>
      <c r="GM8710"/>
      <c r="GN8710"/>
      <c r="GO8710"/>
    </row>
    <row r="8711" spans="107:197">
      <c r="DC8711"/>
      <c r="FH8711"/>
      <c r="FI8711"/>
      <c r="FJ8711"/>
      <c r="FK8711"/>
      <c r="FL8711"/>
      <c r="FM8711"/>
      <c r="FN8711"/>
      <c r="FO8711"/>
      <c r="FP8711"/>
      <c r="FQ8711"/>
      <c r="FR8711"/>
      <c r="FS8711"/>
      <c r="FT8711"/>
      <c r="FU8711"/>
      <c r="FV8711"/>
      <c r="FW8711"/>
      <c r="FX8711"/>
      <c r="FY8711"/>
      <c r="FZ8711"/>
      <c r="GA8711"/>
      <c r="GB8711"/>
      <c r="GC8711"/>
      <c r="GD8711"/>
      <c r="GE8711"/>
      <c r="GF8711"/>
      <c r="GG8711"/>
      <c r="GH8711"/>
      <c r="GI8711"/>
      <c r="GJ8711"/>
      <c r="GK8711"/>
      <c r="GL8711"/>
      <c r="GM8711"/>
      <c r="GN8711"/>
      <c r="GO8711"/>
    </row>
    <row r="8712" spans="107:197">
      <c r="DC8712"/>
      <c r="FH8712"/>
      <c r="FI8712"/>
      <c r="FJ8712"/>
      <c r="FK8712"/>
      <c r="FL8712"/>
      <c r="FM8712"/>
      <c r="FN8712"/>
      <c r="FO8712"/>
      <c r="FP8712"/>
      <c r="FQ8712"/>
      <c r="FR8712"/>
      <c r="FS8712"/>
      <c r="FT8712"/>
      <c r="FU8712"/>
      <c r="FV8712"/>
      <c r="FW8712"/>
      <c r="FX8712"/>
      <c r="FY8712"/>
      <c r="FZ8712"/>
      <c r="GA8712"/>
      <c r="GB8712"/>
      <c r="GC8712"/>
      <c r="GD8712"/>
      <c r="GE8712"/>
      <c r="GF8712"/>
      <c r="GG8712"/>
      <c r="GH8712"/>
      <c r="GI8712"/>
      <c r="GJ8712"/>
      <c r="GK8712"/>
      <c r="GL8712"/>
      <c r="GM8712"/>
      <c r="GN8712"/>
      <c r="GO8712"/>
    </row>
    <row r="8713" spans="107:197">
      <c r="DC8713"/>
      <c r="FH8713"/>
      <c r="FI8713"/>
      <c r="FJ8713"/>
      <c r="FK8713"/>
      <c r="FL8713"/>
      <c r="FM8713"/>
      <c r="FN8713"/>
      <c r="FO8713"/>
      <c r="FP8713"/>
      <c r="FQ8713"/>
      <c r="FR8713"/>
      <c r="FS8713"/>
      <c r="FT8713"/>
      <c r="FU8713"/>
      <c r="FV8713"/>
      <c r="FW8713"/>
      <c r="FX8713"/>
      <c r="FY8713"/>
      <c r="FZ8713"/>
      <c r="GA8713"/>
      <c r="GB8713"/>
      <c r="GC8713"/>
      <c r="GD8713"/>
      <c r="GE8713"/>
      <c r="GF8713"/>
      <c r="GG8713"/>
      <c r="GH8713"/>
      <c r="GI8713"/>
      <c r="GJ8713"/>
      <c r="GK8713"/>
      <c r="GL8713"/>
      <c r="GM8713"/>
      <c r="GN8713"/>
      <c r="GO8713"/>
    </row>
    <row r="8714" spans="107:197">
      <c r="DC8714"/>
      <c r="FH8714"/>
      <c r="FI8714"/>
      <c r="FJ8714"/>
      <c r="FK8714"/>
      <c r="FL8714"/>
      <c r="FM8714"/>
      <c r="FN8714"/>
      <c r="FO8714"/>
      <c r="FP8714"/>
      <c r="FQ8714"/>
      <c r="FR8714"/>
      <c r="FS8714"/>
      <c r="FT8714"/>
      <c r="FU8714"/>
      <c r="FV8714"/>
      <c r="FW8714"/>
      <c r="FX8714"/>
      <c r="FY8714"/>
      <c r="FZ8714"/>
      <c r="GA8714"/>
      <c r="GB8714"/>
      <c r="GC8714"/>
      <c r="GD8714"/>
      <c r="GE8714"/>
      <c r="GF8714"/>
      <c r="GG8714"/>
      <c r="GH8714"/>
      <c r="GI8714"/>
      <c r="GJ8714"/>
      <c r="GK8714"/>
      <c r="GL8714"/>
      <c r="GM8714"/>
      <c r="GN8714"/>
      <c r="GO8714"/>
    </row>
    <row r="8715" spans="107:197">
      <c r="DC8715"/>
      <c r="FH8715"/>
      <c r="FI8715"/>
      <c r="FJ8715"/>
      <c r="FK8715"/>
      <c r="FL8715"/>
      <c r="FM8715"/>
      <c r="FN8715"/>
      <c r="FO8715"/>
      <c r="FP8715"/>
      <c r="FQ8715"/>
      <c r="FR8715"/>
      <c r="FS8715"/>
      <c r="FT8715"/>
      <c r="FU8715"/>
      <c r="FV8715"/>
      <c r="FW8715"/>
      <c r="FX8715"/>
      <c r="FY8715"/>
      <c r="FZ8715"/>
      <c r="GA8715"/>
      <c r="GB8715"/>
      <c r="GC8715"/>
      <c r="GD8715"/>
      <c r="GE8715"/>
      <c r="GF8715"/>
      <c r="GG8715"/>
      <c r="GH8715"/>
      <c r="GI8715"/>
      <c r="GJ8715"/>
      <c r="GK8715"/>
      <c r="GL8715"/>
      <c r="GM8715"/>
      <c r="GN8715"/>
      <c r="GO8715"/>
    </row>
    <row r="8716" spans="107:197">
      <c r="DC8716"/>
      <c r="FH8716"/>
      <c r="FI8716"/>
      <c r="FJ8716"/>
      <c r="FK8716"/>
      <c r="FL8716"/>
      <c r="FM8716"/>
      <c r="FN8716"/>
      <c r="FO8716"/>
      <c r="FP8716"/>
      <c r="FQ8716"/>
      <c r="FR8716"/>
      <c r="FS8716"/>
      <c r="FT8716"/>
      <c r="FU8716"/>
      <c r="FV8716"/>
      <c r="FW8716"/>
      <c r="FX8716"/>
      <c r="FY8716"/>
      <c r="FZ8716"/>
      <c r="GA8716"/>
      <c r="GB8716"/>
      <c r="GC8716"/>
      <c r="GD8716"/>
      <c r="GE8716"/>
      <c r="GF8716"/>
      <c r="GG8716"/>
      <c r="GH8716"/>
      <c r="GI8716"/>
      <c r="GJ8716"/>
      <c r="GK8716"/>
      <c r="GL8716"/>
      <c r="GM8716"/>
      <c r="GN8716"/>
      <c r="GO8716"/>
    </row>
    <row r="8717" spans="107:197">
      <c r="DC8717"/>
      <c r="FH8717"/>
      <c r="FI8717"/>
      <c r="FJ8717"/>
      <c r="FK8717"/>
      <c r="FL8717"/>
      <c r="FM8717"/>
      <c r="FN8717"/>
      <c r="FO8717"/>
      <c r="FP8717"/>
      <c r="FQ8717"/>
      <c r="FR8717"/>
      <c r="FS8717"/>
      <c r="FT8717"/>
      <c r="FU8717"/>
      <c r="FV8717"/>
      <c r="FW8717"/>
      <c r="FX8717"/>
      <c r="FY8717"/>
      <c r="FZ8717"/>
      <c r="GA8717"/>
      <c r="GB8717"/>
      <c r="GC8717"/>
      <c r="GD8717"/>
      <c r="GE8717"/>
      <c r="GF8717"/>
      <c r="GG8717"/>
      <c r="GH8717"/>
      <c r="GI8717"/>
      <c r="GJ8717"/>
      <c r="GK8717"/>
      <c r="GL8717"/>
      <c r="GM8717"/>
      <c r="GN8717"/>
      <c r="GO8717"/>
    </row>
    <row r="8718" spans="107:197">
      <c r="DC8718"/>
      <c r="FH8718"/>
      <c r="FI8718"/>
      <c r="FJ8718"/>
      <c r="FK8718"/>
      <c r="FL8718"/>
      <c r="FM8718"/>
      <c r="FN8718"/>
      <c r="FO8718"/>
      <c r="FP8718"/>
      <c r="FQ8718"/>
      <c r="FR8718"/>
      <c r="FS8718"/>
      <c r="FT8718"/>
      <c r="FU8718"/>
      <c r="FV8718"/>
      <c r="FW8718"/>
      <c r="FX8718"/>
      <c r="FY8718"/>
      <c r="FZ8718"/>
      <c r="GA8718"/>
      <c r="GB8718"/>
      <c r="GC8718"/>
      <c r="GD8718"/>
      <c r="GE8718"/>
      <c r="GF8718"/>
      <c r="GG8718"/>
      <c r="GH8718"/>
      <c r="GI8718"/>
      <c r="GJ8718"/>
      <c r="GK8718"/>
      <c r="GL8718"/>
      <c r="GM8718"/>
      <c r="GN8718"/>
      <c r="GO8718"/>
    </row>
    <row r="8719" spans="107:197">
      <c r="DC8719"/>
      <c r="FH8719"/>
      <c r="FI8719"/>
      <c r="FJ8719"/>
      <c r="FK8719"/>
      <c r="FL8719"/>
      <c r="FM8719"/>
      <c r="FN8719"/>
      <c r="FO8719"/>
      <c r="FP8719"/>
      <c r="FQ8719"/>
      <c r="FR8719"/>
      <c r="FS8719"/>
      <c r="FT8719"/>
      <c r="FU8719"/>
      <c r="FV8719"/>
      <c r="FW8719"/>
      <c r="FX8719"/>
      <c r="FY8719"/>
      <c r="FZ8719"/>
      <c r="GA8719"/>
      <c r="GB8719"/>
      <c r="GC8719"/>
      <c r="GD8719"/>
      <c r="GE8719"/>
      <c r="GF8719"/>
      <c r="GG8719"/>
      <c r="GH8719"/>
      <c r="GI8719"/>
      <c r="GJ8719"/>
      <c r="GK8719"/>
      <c r="GL8719"/>
      <c r="GM8719"/>
      <c r="GN8719"/>
      <c r="GO8719"/>
    </row>
    <row r="8720" spans="107:197">
      <c r="DC8720"/>
      <c r="FH8720"/>
      <c r="FI8720"/>
      <c r="FJ8720"/>
      <c r="FK8720"/>
      <c r="FL8720"/>
      <c r="FM8720"/>
      <c r="FN8720"/>
      <c r="FO8720"/>
      <c r="FP8720"/>
      <c r="FQ8720"/>
      <c r="FR8720"/>
      <c r="FS8720"/>
      <c r="FT8720"/>
      <c r="FU8720"/>
      <c r="FV8720"/>
      <c r="FW8720"/>
      <c r="FX8720"/>
      <c r="FY8720"/>
      <c r="FZ8720"/>
      <c r="GA8720"/>
      <c r="GB8720"/>
      <c r="GC8720"/>
      <c r="GD8720"/>
      <c r="GE8720"/>
      <c r="GF8720"/>
      <c r="GG8720"/>
      <c r="GH8720"/>
      <c r="GI8720"/>
      <c r="GJ8720"/>
      <c r="GK8720"/>
      <c r="GL8720"/>
      <c r="GM8720"/>
      <c r="GN8720"/>
      <c r="GO8720"/>
    </row>
    <row r="8721" spans="107:197">
      <c r="DC8721"/>
      <c r="FH8721"/>
      <c r="FI8721"/>
      <c r="FJ8721"/>
      <c r="FK8721"/>
      <c r="FL8721"/>
      <c r="FM8721"/>
      <c r="FN8721"/>
      <c r="FO8721"/>
      <c r="FP8721"/>
      <c r="FQ8721"/>
      <c r="FR8721"/>
      <c r="FS8721"/>
      <c r="FT8721"/>
      <c r="FU8721"/>
      <c r="FV8721"/>
      <c r="FW8721"/>
      <c r="FX8721"/>
      <c r="FY8721"/>
      <c r="FZ8721"/>
      <c r="GA8721"/>
      <c r="GB8721"/>
      <c r="GC8721"/>
      <c r="GD8721"/>
      <c r="GE8721"/>
      <c r="GF8721"/>
      <c r="GG8721"/>
      <c r="GH8721"/>
      <c r="GI8721"/>
      <c r="GJ8721"/>
      <c r="GK8721"/>
      <c r="GL8721"/>
      <c r="GM8721"/>
      <c r="GN8721"/>
      <c r="GO8721"/>
    </row>
    <row r="8722" spans="107:197">
      <c r="DC8722"/>
      <c r="FH8722"/>
      <c r="FI8722"/>
      <c r="FJ8722"/>
      <c r="FK8722"/>
      <c r="FL8722"/>
      <c r="FM8722"/>
      <c r="FN8722"/>
      <c r="FO8722"/>
      <c r="FP8722"/>
      <c r="FQ8722"/>
      <c r="FR8722"/>
      <c r="FS8722"/>
      <c r="FT8722"/>
      <c r="FU8722"/>
      <c r="FV8722"/>
      <c r="FW8722"/>
      <c r="FX8722"/>
      <c r="FY8722"/>
      <c r="FZ8722"/>
      <c r="GA8722"/>
      <c r="GB8722"/>
      <c r="GC8722"/>
      <c r="GD8722"/>
      <c r="GE8722"/>
      <c r="GF8722"/>
      <c r="GG8722"/>
      <c r="GH8722"/>
      <c r="GI8722"/>
      <c r="GJ8722"/>
      <c r="GK8722"/>
      <c r="GL8722"/>
      <c r="GM8722"/>
      <c r="GN8722"/>
      <c r="GO8722"/>
    </row>
    <row r="8723" spans="107:197">
      <c r="DC8723"/>
      <c r="FH8723"/>
      <c r="FI8723"/>
      <c r="FJ8723"/>
      <c r="FK8723"/>
      <c r="FL8723"/>
      <c r="FM8723"/>
      <c r="FN8723"/>
      <c r="FO8723"/>
      <c r="FP8723"/>
      <c r="FQ8723"/>
      <c r="FR8723"/>
      <c r="FS8723"/>
      <c r="FT8723"/>
      <c r="FU8723"/>
      <c r="FV8723"/>
      <c r="FW8723"/>
      <c r="FX8723"/>
      <c r="FY8723"/>
      <c r="FZ8723"/>
      <c r="GA8723"/>
      <c r="GB8723"/>
      <c r="GC8723"/>
      <c r="GD8723"/>
      <c r="GE8723"/>
      <c r="GF8723"/>
      <c r="GG8723"/>
      <c r="GH8723"/>
      <c r="GI8723"/>
      <c r="GJ8723"/>
      <c r="GK8723"/>
      <c r="GL8723"/>
      <c r="GM8723"/>
      <c r="GN8723"/>
      <c r="GO8723"/>
    </row>
    <row r="8724" spans="107:197">
      <c r="DC8724"/>
      <c r="FH8724"/>
      <c r="FI8724"/>
      <c r="FJ8724"/>
      <c r="FK8724"/>
      <c r="FL8724"/>
      <c r="FM8724"/>
      <c r="FN8724"/>
      <c r="FO8724"/>
      <c r="FP8724"/>
      <c r="FQ8724"/>
      <c r="FR8724"/>
      <c r="FS8724"/>
      <c r="FT8724"/>
      <c r="FU8724"/>
      <c r="FV8724"/>
      <c r="FW8724"/>
      <c r="FX8724"/>
      <c r="FY8724"/>
      <c r="FZ8724"/>
      <c r="GA8724"/>
      <c r="GB8724"/>
      <c r="GC8724"/>
      <c r="GD8724"/>
      <c r="GE8724"/>
      <c r="GF8724"/>
      <c r="GG8724"/>
      <c r="GH8724"/>
      <c r="GI8724"/>
      <c r="GJ8724"/>
      <c r="GK8724"/>
      <c r="GL8724"/>
      <c r="GM8724"/>
      <c r="GN8724"/>
      <c r="GO8724"/>
    </row>
    <row r="8725" spans="107:197">
      <c r="DC8725"/>
      <c r="FH8725"/>
      <c r="FI8725"/>
      <c r="FJ8725"/>
      <c r="FK8725"/>
      <c r="FL8725"/>
      <c r="FM8725"/>
      <c r="FN8725"/>
      <c r="FO8725"/>
      <c r="FP8725"/>
      <c r="FQ8725"/>
      <c r="FR8725"/>
      <c r="FS8725"/>
      <c r="FT8725"/>
      <c r="FU8725"/>
      <c r="FV8725"/>
      <c r="FW8725"/>
      <c r="FX8725"/>
      <c r="FY8725"/>
      <c r="FZ8725"/>
      <c r="GA8725"/>
      <c r="GB8725"/>
      <c r="GC8725"/>
      <c r="GD8725"/>
      <c r="GE8725"/>
      <c r="GF8725"/>
      <c r="GG8725"/>
      <c r="GH8725"/>
      <c r="GI8725"/>
      <c r="GJ8725"/>
      <c r="GK8725"/>
      <c r="GL8725"/>
      <c r="GM8725"/>
      <c r="GN8725"/>
      <c r="GO8725"/>
    </row>
    <row r="8726" spans="107:197">
      <c r="DC8726"/>
      <c r="FH8726"/>
      <c r="FI8726"/>
      <c r="FJ8726"/>
      <c r="FK8726"/>
      <c r="FL8726"/>
      <c r="FM8726"/>
      <c r="FN8726"/>
      <c r="FO8726"/>
      <c r="FP8726"/>
      <c r="FQ8726"/>
      <c r="FR8726"/>
      <c r="FS8726"/>
      <c r="FT8726"/>
      <c r="FU8726"/>
      <c r="FV8726"/>
      <c r="FW8726"/>
      <c r="FX8726"/>
      <c r="FY8726"/>
      <c r="FZ8726"/>
      <c r="GA8726"/>
      <c r="GB8726"/>
      <c r="GC8726"/>
      <c r="GD8726"/>
      <c r="GE8726"/>
      <c r="GF8726"/>
      <c r="GG8726"/>
      <c r="GH8726"/>
      <c r="GI8726"/>
      <c r="GJ8726"/>
      <c r="GK8726"/>
      <c r="GL8726"/>
      <c r="GM8726"/>
      <c r="GN8726"/>
      <c r="GO8726"/>
    </row>
    <row r="8727" spans="107:197">
      <c r="DC8727"/>
      <c r="FH8727"/>
      <c r="FI8727"/>
      <c r="FJ8727"/>
      <c r="FK8727"/>
      <c r="FL8727"/>
      <c r="FM8727"/>
      <c r="FN8727"/>
      <c r="FO8727"/>
      <c r="FP8727"/>
      <c r="FQ8727"/>
      <c r="FR8727"/>
      <c r="FS8727"/>
      <c r="FT8727"/>
      <c r="FU8727"/>
      <c r="FV8727"/>
      <c r="FW8727"/>
      <c r="FX8727"/>
      <c r="FY8727"/>
      <c r="FZ8727"/>
      <c r="GA8727"/>
      <c r="GB8727"/>
      <c r="GC8727"/>
      <c r="GD8727"/>
      <c r="GE8727"/>
      <c r="GF8727"/>
      <c r="GG8727"/>
      <c r="GH8727"/>
      <c r="GI8727"/>
      <c r="GJ8727"/>
      <c r="GK8727"/>
      <c r="GL8727"/>
      <c r="GM8727"/>
      <c r="GN8727"/>
      <c r="GO8727"/>
    </row>
    <row r="8728" spans="107:197">
      <c r="DC8728"/>
      <c r="FH8728"/>
      <c r="FI8728"/>
      <c r="FJ8728"/>
      <c r="FK8728"/>
      <c r="FL8728"/>
      <c r="FM8728"/>
      <c r="FN8728"/>
      <c r="FO8728"/>
      <c r="FP8728"/>
      <c r="FQ8728"/>
      <c r="FR8728"/>
      <c r="FS8728"/>
      <c r="FT8728"/>
      <c r="FU8728"/>
      <c r="FV8728"/>
      <c r="FW8728"/>
      <c r="FX8728"/>
      <c r="FY8728"/>
      <c r="FZ8728"/>
      <c r="GA8728"/>
      <c r="GB8728"/>
      <c r="GC8728"/>
      <c r="GD8728"/>
      <c r="GE8728"/>
      <c r="GF8728"/>
      <c r="GG8728"/>
      <c r="GH8728"/>
      <c r="GI8728"/>
      <c r="GJ8728"/>
      <c r="GK8728"/>
      <c r="GL8728"/>
      <c r="GM8728"/>
      <c r="GN8728"/>
      <c r="GO8728"/>
    </row>
    <row r="8729" spans="107:197">
      <c r="DC8729"/>
      <c r="FH8729"/>
      <c r="FI8729"/>
      <c r="FJ8729"/>
      <c r="FK8729"/>
      <c r="FL8729"/>
      <c r="FM8729"/>
      <c r="FN8729"/>
      <c r="FO8729"/>
      <c r="FP8729"/>
      <c r="FQ8729"/>
      <c r="FR8729"/>
      <c r="FS8729"/>
      <c r="FT8729"/>
      <c r="FU8729"/>
      <c r="FV8729"/>
      <c r="FW8729"/>
      <c r="FX8729"/>
      <c r="FY8729"/>
      <c r="FZ8729"/>
      <c r="GA8729"/>
      <c r="GB8729"/>
      <c r="GC8729"/>
      <c r="GD8729"/>
      <c r="GE8729"/>
      <c r="GF8729"/>
      <c r="GG8729"/>
      <c r="GH8729"/>
      <c r="GI8729"/>
      <c r="GJ8729"/>
      <c r="GK8729"/>
      <c r="GL8729"/>
      <c r="GM8729"/>
      <c r="GN8729"/>
      <c r="GO8729"/>
    </row>
    <row r="8730" spans="107:197">
      <c r="DC8730"/>
      <c r="FH8730"/>
      <c r="FI8730"/>
      <c r="FJ8730"/>
      <c r="FK8730"/>
      <c r="FL8730"/>
      <c r="FM8730"/>
      <c r="FN8730"/>
      <c r="FO8730"/>
      <c r="FP8730"/>
      <c r="FQ8730"/>
      <c r="FR8730"/>
      <c r="FS8730"/>
      <c r="FT8730"/>
      <c r="FU8730"/>
      <c r="FV8730"/>
      <c r="FW8730"/>
      <c r="FX8730"/>
      <c r="FY8730"/>
      <c r="FZ8730"/>
      <c r="GA8730"/>
      <c r="GB8730"/>
      <c r="GC8730"/>
      <c r="GD8730"/>
      <c r="GE8730"/>
      <c r="GF8730"/>
      <c r="GG8730"/>
      <c r="GH8730"/>
      <c r="GI8730"/>
      <c r="GJ8730"/>
      <c r="GK8730"/>
      <c r="GL8730"/>
      <c r="GM8730"/>
      <c r="GN8730"/>
      <c r="GO8730"/>
    </row>
    <row r="8731" spans="107:197">
      <c r="DC8731"/>
      <c r="FH8731"/>
      <c r="FI8731"/>
      <c r="FJ8731"/>
      <c r="FK8731"/>
      <c r="FL8731"/>
      <c r="FM8731"/>
      <c r="FN8731"/>
      <c r="FO8731"/>
      <c r="FP8731"/>
      <c r="FQ8731"/>
      <c r="FR8731"/>
      <c r="FS8731"/>
      <c r="FT8731"/>
      <c r="FU8731"/>
      <c r="FV8731"/>
      <c r="FW8731"/>
      <c r="FX8731"/>
      <c r="FY8731"/>
      <c r="FZ8731"/>
      <c r="GA8731"/>
      <c r="GB8731"/>
      <c r="GC8731"/>
      <c r="GD8731"/>
      <c r="GE8731"/>
      <c r="GF8731"/>
      <c r="GG8731"/>
      <c r="GH8731"/>
      <c r="GI8731"/>
      <c r="GJ8731"/>
      <c r="GK8731"/>
      <c r="GL8731"/>
      <c r="GM8731"/>
      <c r="GN8731"/>
      <c r="GO8731"/>
    </row>
    <row r="8732" spans="107:197">
      <c r="DC8732"/>
      <c r="FH8732"/>
      <c r="FI8732"/>
      <c r="FJ8732"/>
      <c r="FK8732"/>
      <c r="FL8732"/>
      <c r="FM8732"/>
      <c r="FN8732"/>
      <c r="FO8732"/>
      <c r="FP8732"/>
      <c r="FQ8732"/>
      <c r="FR8732"/>
      <c r="FS8732"/>
      <c r="FT8732"/>
      <c r="FU8732"/>
      <c r="FV8732"/>
      <c r="FW8732"/>
      <c r="FX8732"/>
      <c r="FY8732"/>
      <c r="FZ8732"/>
      <c r="GA8732"/>
      <c r="GB8732"/>
      <c r="GC8732"/>
      <c r="GD8732"/>
      <c r="GE8732"/>
      <c r="GF8732"/>
      <c r="GG8732"/>
      <c r="GH8732"/>
      <c r="GI8732"/>
      <c r="GJ8732"/>
      <c r="GK8732"/>
      <c r="GL8732"/>
      <c r="GM8732"/>
      <c r="GN8732"/>
      <c r="GO8732"/>
    </row>
    <row r="8733" spans="107:197">
      <c r="DC8733"/>
      <c r="FH8733"/>
      <c r="FI8733"/>
      <c r="FJ8733"/>
      <c r="FK8733"/>
      <c r="FL8733"/>
      <c r="FM8733"/>
      <c r="FN8733"/>
      <c r="FO8733"/>
      <c r="FP8733"/>
      <c r="FQ8733"/>
      <c r="FR8733"/>
      <c r="FS8733"/>
      <c r="FT8733"/>
      <c r="FU8733"/>
      <c r="FV8733"/>
      <c r="FW8733"/>
      <c r="FX8733"/>
      <c r="FY8733"/>
      <c r="FZ8733"/>
      <c r="GA8733"/>
      <c r="GB8733"/>
      <c r="GC8733"/>
      <c r="GD8733"/>
      <c r="GE8733"/>
      <c r="GF8733"/>
      <c r="GG8733"/>
      <c r="GH8733"/>
      <c r="GI8733"/>
      <c r="GJ8733"/>
      <c r="GK8733"/>
      <c r="GL8733"/>
      <c r="GM8733"/>
      <c r="GN8733"/>
      <c r="GO8733"/>
    </row>
    <row r="8734" spans="107:197">
      <c r="DC8734"/>
      <c r="FH8734"/>
      <c r="FI8734"/>
      <c r="FJ8734"/>
      <c r="FK8734"/>
      <c r="FL8734"/>
      <c r="FM8734"/>
      <c r="FN8734"/>
      <c r="FO8734"/>
      <c r="FP8734"/>
      <c r="FQ8734"/>
      <c r="FR8734"/>
      <c r="FS8734"/>
      <c r="FT8734"/>
      <c r="FU8734"/>
      <c r="FV8734"/>
      <c r="FW8734"/>
      <c r="FX8734"/>
      <c r="FY8734"/>
      <c r="FZ8734"/>
      <c r="GA8734"/>
      <c r="GB8734"/>
      <c r="GC8734"/>
      <c r="GD8734"/>
      <c r="GE8734"/>
      <c r="GF8734"/>
      <c r="GG8734"/>
      <c r="GH8734"/>
      <c r="GI8734"/>
      <c r="GJ8734"/>
      <c r="GK8734"/>
      <c r="GL8734"/>
      <c r="GM8734"/>
      <c r="GN8734"/>
      <c r="GO8734"/>
    </row>
    <row r="8735" spans="107:197">
      <c r="DC8735"/>
      <c r="FH8735"/>
      <c r="FI8735"/>
      <c r="FJ8735"/>
      <c r="FK8735"/>
      <c r="FL8735"/>
      <c r="FM8735"/>
      <c r="FN8735"/>
      <c r="FO8735"/>
      <c r="FP8735"/>
      <c r="FQ8735"/>
      <c r="FR8735"/>
      <c r="FS8735"/>
      <c r="FT8735"/>
      <c r="FU8735"/>
      <c r="FV8735"/>
      <c r="FW8735"/>
      <c r="FX8735"/>
      <c r="FY8735"/>
      <c r="FZ8735"/>
      <c r="GA8735"/>
      <c r="GB8735"/>
      <c r="GC8735"/>
      <c r="GD8735"/>
      <c r="GE8735"/>
      <c r="GF8735"/>
      <c r="GG8735"/>
      <c r="GH8735"/>
      <c r="GI8735"/>
      <c r="GJ8735"/>
      <c r="GK8735"/>
      <c r="GL8735"/>
      <c r="GM8735"/>
      <c r="GN8735"/>
      <c r="GO8735"/>
    </row>
    <row r="8736" spans="107:197">
      <c r="DC8736"/>
      <c r="FH8736"/>
      <c r="FI8736"/>
      <c r="FJ8736"/>
      <c r="FK8736"/>
      <c r="FL8736"/>
      <c r="FM8736"/>
      <c r="FN8736"/>
      <c r="FO8736"/>
      <c r="FP8736"/>
      <c r="FQ8736"/>
      <c r="FR8736"/>
      <c r="FS8736"/>
      <c r="FT8736"/>
      <c r="FU8736"/>
      <c r="FV8736"/>
      <c r="FW8736"/>
      <c r="FX8736"/>
      <c r="FY8736"/>
      <c r="FZ8736"/>
      <c r="GA8736"/>
      <c r="GB8736"/>
      <c r="GC8736"/>
      <c r="GD8736"/>
      <c r="GE8736"/>
      <c r="GF8736"/>
      <c r="GG8736"/>
      <c r="GH8736"/>
      <c r="GI8736"/>
      <c r="GJ8736"/>
      <c r="GK8736"/>
      <c r="GL8736"/>
      <c r="GM8736"/>
      <c r="GN8736"/>
      <c r="GO8736"/>
    </row>
    <row r="8737" spans="107:197">
      <c r="DC8737"/>
      <c r="FH8737"/>
      <c r="FI8737"/>
      <c r="FJ8737"/>
      <c r="FK8737"/>
      <c r="FL8737"/>
      <c r="FM8737"/>
      <c r="FN8737"/>
      <c r="FO8737"/>
      <c r="FP8737"/>
      <c r="FQ8737"/>
      <c r="FR8737"/>
      <c r="FS8737"/>
      <c r="FT8737"/>
      <c r="FU8737"/>
      <c r="FV8737"/>
      <c r="FW8737"/>
      <c r="FX8737"/>
      <c r="FY8737"/>
      <c r="FZ8737"/>
      <c r="GA8737"/>
      <c r="GB8737"/>
      <c r="GC8737"/>
      <c r="GD8737"/>
      <c r="GE8737"/>
      <c r="GF8737"/>
      <c r="GG8737"/>
      <c r="GH8737"/>
      <c r="GI8737"/>
      <c r="GJ8737"/>
      <c r="GK8737"/>
      <c r="GL8737"/>
      <c r="GM8737"/>
      <c r="GN8737"/>
      <c r="GO8737"/>
    </row>
    <row r="8738" spans="107:197">
      <c r="DC8738"/>
      <c r="FH8738"/>
      <c r="FI8738"/>
      <c r="FJ8738"/>
      <c r="FK8738"/>
      <c r="FL8738"/>
      <c r="FM8738"/>
      <c r="FN8738"/>
      <c r="FO8738"/>
      <c r="FP8738"/>
      <c r="FQ8738"/>
      <c r="FR8738"/>
      <c r="FS8738"/>
      <c r="FT8738"/>
      <c r="FU8738"/>
      <c r="FV8738"/>
      <c r="FW8738"/>
      <c r="FX8738"/>
      <c r="FY8738"/>
      <c r="FZ8738"/>
      <c r="GA8738"/>
      <c r="GB8738"/>
      <c r="GC8738"/>
      <c r="GD8738"/>
      <c r="GE8738"/>
      <c r="GF8738"/>
      <c r="GG8738"/>
      <c r="GH8738"/>
      <c r="GI8738"/>
      <c r="GJ8738"/>
      <c r="GK8738"/>
      <c r="GL8738"/>
      <c r="GM8738"/>
      <c r="GN8738"/>
      <c r="GO8738"/>
    </row>
    <row r="8739" spans="107:197">
      <c r="DC8739"/>
      <c r="FH8739"/>
      <c r="FI8739"/>
      <c r="FJ8739"/>
      <c r="FK8739"/>
      <c r="FL8739"/>
      <c r="FM8739"/>
      <c r="FN8739"/>
      <c r="FO8739"/>
      <c r="FP8739"/>
      <c r="FQ8739"/>
      <c r="FR8739"/>
      <c r="FS8739"/>
      <c r="FT8739"/>
      <c r="FU8739"/>
      <c r="FV8739"/>
      <c r="FW8739"/>
      <c r="FX8739"/>
      <c r="FY8739"/>
      <c r="FZ8739"/>
      <c r="GA8739"/>
      <c r="GB8739"/>
      <c r="GC8739"/>
      <c r="GD8739"/>
      <c r="GE8739"/>
      <c r="GF8739"/>
      <c r="GG8739"/>
      <c r="GH8739"/>
      <c r="GI8739"/>
      <c r="GJ8739"/>
      <c r="GK8739"/>
      <c r="GL8739"/>
      <c r="GM8739"/>
      <c r="GN8739"/>
      <c r="GO8739"/>
    </row>
    <row r="8740" spans="107:197">
      <c r="DC8740"/>
      <c r="FH8740"/>
      <c r="FI8740"/>
      <c r="FJ8740"/>
      <c r="FK8740"/>
      <c r="FL8740"/>
      <c r="FM8740"/>
      <c r="FN8740"/>
      <c r="FO8740"/>
      <c r="FP8740"/>
      <c r="FQ8740"/>
      <c r="FR8740"/>
      <c r="FS8740"/>
      <c r="FT8740"/>
      <c r="FU8740"/>
      <c r="FV8740"/>
      <c r="FW8740"/>
      <c r="FX8740"/>
      <c r="FY8740"/>
      <c r="FZ8740"/>
      <c r="GA8740"/>
      <c r="GB8740"/>
      <c r="GC8740"/>
      <c r="GD8740"/>
      <c r="GE8740"/>
      <c r="GF8740"/>
      <c r="GG8740"/>
      <c r="GH8740"/>
      <c r="GI8740"/>
      <c r="GJ8740"/>
      <c r="GK8740"/>
      <c r="GL8740"/>
      <c r="GM8740"/>
      <c r="GN8740"/>
      <c r="GO8740"/>
    </row>
    <row r="8741" spans="107:197">
      <c r="DC8741"/>
      <c r="FH8741"/>
      <c r="FI8741"/>
      <c r="FJ8741"/>
      <c r="FK8741"/>
      <c r="FL8741"/>
      <c r="FM8741"/>
      <c r="FN8741"/>
      <c r="FO8741"/>
      <c r="FP8741"/>
      <c r="FQ8741"/>
      <c r="FR8741"/>
      <c r="FS8741"/>
      <c r="FT8741"/>
      <c r="FU8741"/>
      <c r="FV8741"/>
      <c r="FW8741"/>
      <c r="FX8741"/>
      <c r="FY8741"/>
      <c r="FZ8741"/>
      <c r="GA8741"/>
      <c r="GB8741"/>
      <c r="GC8741"/>
      <c r="GD8741"/>
      <c r="GE8741"/>
      <c r="GF8741"/>
      <c r="GG8741"/>
      <c r="GH8741"/>
      <c r="GI8741"/>
      <c r="GJ8741"/>
      <c r="GK8741"/>
      <c r="GL8741"/>
      <c r="GM8741"/>
      <c r="GN8741"/>
      <c r="GO8741"/>
    </row>
    <row r="8742" spans="107:197">
      <c r="DC8742"/>
      <c r="FH8742"/>
      <c r="FI8742"/>
      <c r="FJ8742"/>
      <c r="FK8742"/>
      <c r="FL8742"/>
      <c r="FM8742"/>
      <c r="FN8742"/>
      <c r="FO8742"/>
      <c r="FP8742"/>
      <c r="FQ8742"/>
      <c r="FR8742"/>
      <c r="FS8742"/>
      <c r="FT8742"/>
      <c r="FU8742"/>
      <c r="FV8742"/>
      <c r="FW8742"/>
      <c r="FX8742"/>
      <c r="FY8742"/>
      <c r="FZ8742"/>
      <c r="GA8742"/>
      <c r="GB8742"/>
      <c r="GC8742"/>
      <c r="GD8742"/>
      <c r="GE8742"/>
      <c r="GF8742"/>
      <c r="GG8742"/>
      <c r="GH8742"/>
      <c r="GI8742"/>
      <c r="GJ8742"/>
      <c r="GK8742"/>
      <c r="GL8742"/>
      <c r="GM8742"/>
      <c r="GN8742"/>
      <c r="GO8742"/>
    </row>
    <row r="8743" spans="107:197">
      <c r="DC8743"/>
      <c r="FH8743"/>
      <c r="FI8743"/>
      <c r="FJ8743"/>
      <c r="FK8743"/>
      <c r="FL8743"/>
      <c r="FM8743"/>
      <c r="FN8743"/>
      <c r="FO8743"/>
      <c r="FP8743"/>
      <c r="FQ8743"/>
      <c r="FR8743"/>
      <c r="FS8743"/>
      <c r="FT8743"/>
      <c r="FU8743"/>
      <c r="FV8743"/>
      <c r="FW8743"/>
      <c r="FX8743"/>
      <c r="FY8743"/>
      <c r="FZ8743"/>
      <c r="GA8743"/>
      <c r="GB8743"/>
      <c r="GC8743"/>
      <c r="GD8743"/>
      <c r="GE8743"/>
      <c r="GF8743"/>
      <c r="GG8743"/>
      <c r="GH8743"/>
      <c r="GI8743"/>
      <c r="GJ8743"/>
      <c r="GK8743"/>
      <c r="GL8743"/>
      <c r="GM8743"/>
      <c r="GN8743"/>
      <c r="GO8743"/>
    </row>
    <row r="8744" spans="107:197">
      <c r="DC8744"/>
      <c r="FH8744"/>
      <c r="FI8744"/>
      <c r="FJ8744"/>
      <c r="FK8744"/>
      <c r="FL8744"/>
      <c r="FM8744"/>
      <c r="FN8744"/>
      <c r="FO8744"/>
      <c r="FP8744"/>
      <c r="FQ8744"/>
      <c r="FR8744"/>
      <c r="FS8744"/>
      <c r="FT8744"/>
      <c r="FU8744"/>
      <c r="FV8744"/>
      <c r="FW8744"/>
      <c r="FX8744"/>
      <c r="FY8744"/>
      <c r="FZ8744"/>
      <c r="GA8744"/>
      <c r="GB8744"/>
      <c r="GC8744"/>
      <c r="GD8744"/>
      <c r="GE8744"/>
      <c r="GF8744"/>
      <c r="GG8744"/>
      <c r="GH8744"/>
      <c r="GI8744"/>
      <c r="GJ8744"/>
      <c r="GK8744"/>
      <c r="GL8744"/>
      <c r="GM8744"/>
      <c r="GN8744"/>
      <c r="GO8744"/>
    </row>
    <row r="8745" spans="107:197">
      <c r="DC8745"/>
      <c r="FH8745"/>
      <c r="FI8745"/>
      <c r="FJ8745"/>
      <c r="FK8745"/>
      <c r="FL8745"/>
      <c r="FM8745"/>
      <c r="FN8745"/>
      <c r="FO8745"/>
      <c r="FP8745"/>
      <c r="FQ8745"/>
      <c r="FR8745"/>
      <c r="FS8745"/>
      <c r="FT8745"/>
      <c r="FU8745"/>
      <c r="FV8745"/>
      <c r="FW8745"/>
      <c r="FX8745"/>
      <c r="FY8745"/>
      <c r="FZ8745"/>
      <c r="GA8745"/>
      <c r="GB8745"/>
      <c r="GC8745"/>
      <c r="GD8745"/>
      <c r="GE8745"/>
      <c r="GF8745"/>
      <c r="GG8745"/>
      <c r="GH8745"/>
      <c r="GI8745"/>
      <c r="GJ8745"/>
      <c r="GK8745"/>
      <c r="GL8745"/>
      <c r="GM8745"/>
      <c r="GN8745"/>
      <c r="GO8745"/>
    </row>
    <row r="8746" spans="107:197">
      <c r="DC8746"/>
      <c r="FH8746"/>
      <c r="FI8746"/>
      <c r="FJ8746"/>
      <c r="FK8746"/>
      <c r="FL8746"/>
      <c r="FM8746"/>
      <c r="FN8746"/>
      <c r="FO8746"/>
      <c r="FP8746"/>
      <c r="FQ8746"/>
      <c r="FR8746"/>
      <c r="FS8746"/>
      <c r="FT8746"/>
      <c r="FU8746"/>
      <c r="FV8746"/>
      <c r="FW8746"/>
      <c r="FX8746"/>
      <c r="FY8746"/>
      <c r="FZ8746"/>
      <c r="GA8746"/>
      <c r="GB8746"/>
      <c r="GC8746"/>
      <c r="GD8746"/>
      <c r="GE8746"/>
      <c r="GF8746"/>
      <c r="GG8746"/>
      <c r="GH8746"/>
      <c r="GI8746"/>
      <c r="GJ8746"/>
      <c r="GK8746"/>
      <c r="GL8746"/>
      <c r="GM8746"/>
      <c r="GN8746"/>
      <c r="GO8746"/>
    </row>
    <row r="8747" spans="107:197">
      <c r="DC8747"/>
      <c r="FH8747"/>
      <c r="FI8747"/>
      <c r="FJ8747"/>
      <c r="FK8747"/>
      <c r="FL8747"/>
      <c r="FM8747"/>
      <c r="FN8747"/>
      <c r="FO8747"/>
      <c r="FP8747"/>
      <c r="FQ8747"/>
      <c r="FR8747"/>
      <c r="FS8747"/>
      <c r="FT8747"/>
      <c r="FU8747"/>
      <c r="FV8747"/>
      <c r="FW8747"/>
      <c r="FX8747"/>
      <c r="FY8747"/>
      <c r="FZ8747"/>
      <c r="GA8747"/>
      <c r="GB8747"/>
      <c r="GC8747"/>
      <c r="GD8747"/>
      <c r="GE8747"/>
      <c r="GF8747"/>
      <c r="GG8747"/>
      <c r="GH8747"/>
      <c r="GI8747"/>
      <c r="GJ8747"/>
      <c r="GK8747"/>
      <c r="GL8747"/>
      <c r="GM8747"/>
      <c r="GN8747"/>
      <c r="GO8747"/>
    </row>
    <row r="8748" spans="107:197">
      <c r="DC8748"/>
      <c r="FH8748"/>
      <c r="FI8748"/>
      <c r="FJ8748"/>
      <c r="FK8748"/>
      <c r="FL8748"/>
      <c r="FM8748"/>
      <c r="FN8748"/>
      <c r="FO8748"/>
      <c r="FP8748"/>
      <c r="FQ8748"/>
      <c r="FR8748"/>
      <c r="FS8748"/>
      <c r="FT8748"/>
      <c r="FU8748"/>
      <c r="FV8748"/>
      <c r="FW8748"/>
      <c r="FX8748"/>
      <c r="FY8748"/>
      <c r="FZ8748"/>
      <c r="GA8748"/>
      <c r="GB8748"/>
      <c r="GC8748"/>
      <c r="GD8748"/>
      <c r="GE8748"/>
      <c r="GF8748"/>
      <c r="GG8748"/>
      <c r="GH8748"/>
      <c r="GI8748"/>
      <c r="GJ8748"/>
      <c r="GK8748"/>
      <c r="GL8748"/>
      <c r="GM8748"/>
      <c r="GN8748"/>
      <c r="GO8748"/>
    </row>
    <row r="8749" spans="107:197">
      <c r="DC8749"/>
      <c r="FH8749"/>
      <c r="FI8749"/>
      <c r="FJ8749"/>
      <c r="FK8749"/>
      <c r="FL8749"/>
      <c r="FM8749"/>
      <c r="FN8749"/>
      <c r="FO8749"/>
      <c r="FP8749"/>
      <c r="FQ8749"/>
      <c r="FR8749"/>
      <c r="FS8749"/>
      <c r="FT8749"/>
      <c r="FU8749"/>
      <c r="FV8749"/>
      <c r="FW8749"/>
      <c r="FX8749"/>
      <c r="FY8749"/>
      <c r="FZ8749"/>
      <c r="GA8749"/>
      <c r="GB8749"/>
      <c r="GC8749"/>
      <c r="GD8749"/>
      <c r="GE8749"/>
      <c r="GF8749"/>
      <c r="GG8749"/>
      <c r="GH8749"/>
      <c r="GI8749"/>
      <c r="GJ8749"/>
      <c r="GK8749"/>
      <c r="GL8749"/>
      <c r="GM8749"/>
      <c r="GN8749"/>
      <c r="GO8749"/>
    </row>
    <row r="8750" spans="107:197">
      <c r="DC8750"/>
      <c r="FH8750"/>
      <c r="FI8750"/>
      <c r="FJ8750"/>
      <c r="FK8750"/>
      <c r="FL8750"/>
      <c r="FM8750"/>
      <c r="FN8750"/>
      <c r="FO8750"/>
      <c r="FP8750"/>
      <c r="FQ8750"/>
      <c r="FR8750"/>
      <c r="FS8750"/>
      <c r="FT8750"/>
      <c r="FU8750"/>
      <c r="FV8750"/>
      <c r="FW8750"/>
      <c r="FX8750"/>
      <c r="FY8750"/>
      <c r="FZ8750"/>
      <c r="GA8750"/>
      <c r="GB8750"/>
      <c r="GC8750"/>
      <c r="GD8750"/>
      <c r="GE8750"/>
      <c r="GF8750"/>
      <c r="GG8750"/>
      <c r="GH8750"/>
      <c r="GI8750"/>
      <c r="GJ8750"/>
      <c r="GK8750"/>
      <c r="GL8750"/>
      <c r="GM8750"/>
      <c r="GN8750"/>
      <c r="GO8750"/>
    </row>
    <row r="8751" spans="107:197">
      <c r="DC8751"/>
      <c r="FH8751"/>
      <c r="FI8751"/>
      <c r="FJ8751"/>
      <c r="FK8751"/>
      <c r="FL8751"/>
      <c r="FM8751"/>
      <c r="FN8751"/>
      <c r="FO8751"/>
      <c r="FP8751"/>
      <c r="FQ8751"/>
      <c r="FR8751"/>
      <c r="FS8751"/>
      <c r="FT8751"/>
      <c r="FU8751"/>
      <c r="FV8751"/>
      <c r="FW8751"/>
      <c r="FX8751"/>
      <c r="FY8751"/>
      <c r="FZ8751"/>
      <c r="GA8751"/>
      <c r="GB8751"/>
      <c r="GC8751"/>
      <c r="GD8751"/>
      <c r="GE8751"/>
      <c r="GF8751"/>
      <c r="GG8751"/>
      <c r="GH8751"/>
      <c r="GI8751"/>
      <c r="GJ8751"/>
      <c r="GK8751"/>
      <c r="GL8751"/>
      <c r="GM8751"/>
      <c r="GN8751"/>
      <c r="GO8751"/>
    </row>
    <row r="8752" spans="107:197">
      <c r="DC8752"/>
      <c r="FH8752"/>
      <c r="FI8752"/>
      <c r="FJ8752"/>
      <c r="FK8752"/>
      <c r="FL8752"/>
      <c r="FM8752"/>
      <c r="FN8752"/>
      <c r="FO8752"/>
      <c r="FP8752"/>
      <c r="FQ8752"/>
      <c r="FR8752"/>
      <c r="FS8752"/>
      <c r="FT8752"/>
      <c r="FU8752"/>
      <c r="FV8752"/>
      <c r="FW8752"/>
      <c r="FX8752"/>
      <c r="FY8752"/>
      <c r="FZ8752"/>
      <c r="GA8752"/>
      <c r="GB8752"/>
      <c r="GC8752"/>
      <c r="GD8752"/>
      <c r="GE8752"/>
      <c r="GF8752"/>
      <c r="GG8752"/>
      <c r="GH8752"/>
      <c r="GI8752"/>
      <c r="GJ8752"/>
      <c r="GK8752"/>
      <c r="GL8752"/>
      <c r="GM8752"/>
      <c r="GN8752"/>
      <c r="GO8752"/>
    </row>
    <row r="8753" spans="107:197">
      <c r="DC8753"/>
      <c r="FH8753"/>
      <c r="FI8753"/>
      <c r="FJ8753"/>
      <c r="FK8753"/>
      <c r="FL8753"/>
      <c r="FM8753"/>
      <c r="FN8753"/>
      <c r="FO8753"/>
      <c r="FP8753"/>
      <c r="FQ8753"/>
      <c r="FR8753"/>
      <c r="FS8753"/>
      <c r="FT8753"/>
      <c r="FU8753"/>
      <c r="FV8753"/>
      <c r="FW8753"/>
      <c r="FX8753"/>
      <c r="FY8753"/>
      <c r="FZ8753"/>
      <c r="GA8753"/>
      <c r="GB8753"/>
      <c r="GC8753"/>
      <c r="GD8753"/>
      <c r="GE8753"/>
      <c r="GF8753"/>
      <c r="GG8753"/>
      <c r="GH8753"/>
      <c r="GI8753"/>
      <c r="GJ8753"/>
      <c r="GK8753"/>
      <c r="GL8753"/>
      <c r="GM8753"/>
      <c r="GN8753"/>
      <c r="GO8753"/>
    </row>
    <row r="8754" spans="107:197">
      <c r="DC8754"/>
      <c r="FH8754"/>
      <c r="FI8754"/>
      <c r="FJ8754"/>
      <c r="FK8754"/>
      <c r="FL8754"/>
      <c r="FM8754"/>
      <c r="FN8754"/>
      <c r="FO8754"/>
      <c r="FP8754"/>
      <c r="FQ8754"/>
      <c r="FR8754"/>
      <c r="FS8754"/>
      <c r="FT8754"/>
      <c r="FU8754"/>
      <c r="FV8754"/>
      <c r="FW8754"/>
      <c r="FX8754"/>
      <c r="FY8754"/>
      <c r="FZ8754"/>
      <c r="GA8754"/>
      <c r="GB8754"/>
      <c r="GC8754"/>
      <c r="GD8754"/>
      <c r="GE8754"/>
      <c r="GF8754"/>
      <c r="GG8754"/>
      <c r="GH8754"/>
      <c r="GI8754"/>
      <c r="GJ8754"/>
      <c r="GK8754"/>
      <c r="GL8754"/>
      <c r="GM8754"/>
      <c r="GN8754"/>
      <c r="GO8754"/>
    </row>
    <row r="8755" spans="107:197">
      <c r="DC8755"/>
      <c r="FH8755"/>
      <c r="FI8755"/>
      <c r="FJ8755"/>
      <c r="FK8755"/>
      <c r="FL8755"/>
      <c r="FM8755"/>
      <c r="FN8755"/>
      <c r="FO8755"/>
      <c r="FP8755"/>
      <c r="FQ8755"/>
      <c r="FR8755"/>
      <c r="FS8755"/>
      <c r="FT8755"/>
      <c r="FU8755"/>
      <c r="FV8755"/>
      <c r="FW8755"/>
      <c r="FX8755"/>
      <c r="FY8755"/>
      <c r="FZ8755"/>
      <c r="GA8755"/>
      <c r="GB8755"/>
      <c r="GC8755"/>
      <c r="GD8755"/>
      <c r="GE8755"/>
      <c r="GF8755"/>
      <c r="GG8755"/>
      <c r="GH8755"/>
      <c r="GI8755"/>
      <c r="GJ8755"/>
      <c r="GK8755"/>
      <c r="GL8755"/>
      <c r="GM8755"/>
      <c r="GN8755"/>
      <c r="GO8755"/>
    </row>
    <row r="8756" spans="107:197">
      <c r="DC8756"/>
      <c r="FH8756"/>
      <c r="FI8756"/>
      <c r="FJ8756"/>
      <c r="FK8756"/>
      <c r="FL8756"/>
      <c r="FM8756"/>
      <c r="FN8756"/>
      <c r="FO8756"/>
      <c r="FP8756"/>
      <c r="FQ8756"/>
      <c r="FR8756"/>
      <c r="FS8756"/>
      <c r="FT8756"/>
      <c r="FU8756"/>
      <c r="FV8756"/>
      <c r="FW8756"/>
      <c r="FX8756"/>
      <c r="FY8756"/>
      <c r="FZ8756"/>
      <c r="GA8756"/>
      <c r="GB8756"/>
      <c r="GC8756"/>
      <c r="GD8756"/>
      <c r="GE8756"/>
      <c r="GF8756"/>
      <c r="GG8756"/>
      <c r="GH8756"/>
      <c r="GI8756"/>
      <c r="GJ8756"/>
      <c r="GK8756"/>
      <c r="GL8756"/>
      <c r="GM8756"/>
      <c r="GN8756"/>
      <c r="GO8756"/>
    </row>
    <row r="8757" spans="107:197">
      <c r="DC8757"/>
      <c r="FH8757"/>
      <c r="FI8757"/>
      <c r="FJ8757"/>
      <c r="FK8757"/>
      <c r="FL8757"/>
      <c r="FM8757"/>
      <c r="FN8757"/>
      <c r="FO8757"/>
      <c r="FP8757"/>
      <c r="FQ8757"/>
      <c r="FR8757"/>
      <c r="FS8757"/>
      <c r="FT8757"/>
      <c r="FU8757"/>
      <c r="FV8757"/>
      <c r="FW8757"/>
      <c r="FX8757"/>
      <c r="FY8757"/>
      <c r="FZ8757"/>
      <c r="GA8757"/>
      <c r="GB8757"/>
      <c r="GC8757"/>
      <c r="GD8757"/>
      <c r="GE8757"/>
      <c r="GF8757"/>
      <c r="GG8757"/>
      <c r="GH8757"/>
      <c r="GI8757"/>
      <c r="GJ8757"/>
      <c r="GK8757"/>
      <c r="GL8757"/>
      <c r="GM8757"/>
      <c r="GN8757"/>
      <c r="GO8757"/>
    </row>
    <row r="8758" spans="107:197">
      <c r="DC8758"/>
      <c r="FH8758"/>
      <c r="FI8758"/>
      <c r="FJ8758"/>
      <c r="FK8758"/>
      <c r="FL8758"/>
      <c r="FM8758"/>
      <c r="FN8758"/>
      <c r="FO8758"/>
      <c r="FP8758"/>
      <c r="FQ8758"/>
      <c r="FR8758"/>
      <c r="FS8758"/>
      <c r="FT8758"/>
      <c r="FU8758"/>
      <c r="FV8758"/>
      <c r="FW8758"/>
      <c r="FX8758"/>
      <c r="FY8758"/>
      <c r="FZ8758"/>
      <c r="GA8758"/>
      <c r="GB8758"/>
      <c r="GC8758"/>
      <c r="GD8758"/>
      <c r="GE8758"/>
      <c r="GF8758"/>
      <c r="GG8758"/>
      <c r="GH8758"/>
      <c r="GI8758"/>
      <c r="GJ8758"/>
      <c r="GK8758"/>
      <c r="GL8758"/>
      <c r="GM8758"/>
      <c r="GN8758"/>
      <c r="GO8758"/>
    </row>
    <row r="8759" spans="107:197">
      <c r="DC8759"/>
      <c r="FH8759"/>
      <c r="FI8759"/>
      <c r="FJ8759"/>
      <c r="FK8759"/>
      <c r="FL8759"/>
      <c r="FM8759"/>
      <c r="FN8759"/>
      <c r="FO8759"/>
      <c r="FP8759"/>
      <c r="FQ8759"/>
      <c r="FR8759"/>
      <c r="FS8759"/>
      <c r="FT8759"/>
      <c r="FU8759"/>
      <c r="FV8759"/>
      <c r="FW8759"/>
      <c r="FX8759"/>
      <c r="FY8759"/>
      <c r="FZ8759"/>
      <c r="GA8759"/>
      <c r="GB8759"/>
      <c r="GC8759"/>
      <c r="GD8759"/>
      <c r="GE8759"/>
      <c r="GF8759"/>
      <c r="GG8759"/>
      <c r="GH8759"/>
      <c r="GI8759"/>
      <c r="GJ8759"/>
      <c r="GK8759"/>
      <c r="GL8759"/>
      <c r="GM8759"/>
      <c r="GN8759"/>
      <c r="GO8759"/>
    </row>
    <row r="8760" spans="107:197">
      <c r="DC8760"/>
      <c r="FH8760"/>
      <c r="FI8760"/>
      <c r="FJ8760"/>
      <c r="FK8760"/>
      <c r="FL8760"/>
      <c r="FM8760"/>
      <c r="FN8760"/>
      <c r="FO8760"/>
      <c r="FP8760"/>
      <c r="FQ8760"/>
      <c r="FR8760"/>
      <c r="FS8760"/>
      <c r="FT8760"/>
      <c r="FU8760"/>
      <c r="FV8760"/>
      <c r="FW8760"/>
      <c r="FX8760"/>
      <c r="FY8760"/>
      <c r="FZ8760"/>
      <c r="GA8760"/>
      <c r="GB8760"/>
      <c r="GC8760"/>
      <c r="GD8760"/>
      <c r="GE8760"/>
      <c r="GF8760"/>
      <c r="GG8760"/>
      <c r="GH8760"/>
      <c r="GI8760"/>
      <c r="GJ8760"/>
      <c r="GK8760"/>
      <c r="GL8760"/>
      <c r="GM8760"/>
      <c r="GN8760"/>
      <c r="GO8760"/>
    </row>
    <row r="8761" spans="107:197">
      <c r="DC8761"/>
      <c r="FH8761"/>
      <c r="FI8761"/>
      <c r="FJ8761"/>
      <c r="FK8761"/>
      <c r="FL8761"/>
      <c r="FM8761"/>
      <c r="FN8761"/>
      <c r="FO8761"/>
      <c r="FP8761"/>
      <c r="FQ8761"/>
      <c r="FR8761"/>
      <c r="FS8761"/>
      <c r="FT8761"/>
      <c r="FU8761"/>
      <c r="FV8761"/>
      <c r="FW8761"/>
      <c r="FX8761"/>
      <c r="FY8761"/>
      <c r="FZ8761"/>
      <c r="GA8761"/>
      <c r="GB8761"/>
      <c r="GC8761"/>
      <c r="GD8761"/>
      <c r="GE8761"/>
      <c r="GF8761"/>
      <c r="GG8761"/>
      <c r="GH8761"/>
      <c r="GI8761"/>
      <c r="GJ8761"/>
      <c r="GK8761"/>
      <c r="GL8761"/>
      <c r="GM8761"/>
      <c r="GN8761"/>
      <c r="GO8761"/>
    </row>
    <row r="8762" spans="107:197">
      <c r="DC8762"/>
      <c r="FH8762"/>
      <c r="FI8762"/>
      <c r="FJ8762"/>
      <c r="FK8762"/>
      <c r="FL8762"/>
      <c r="FM8762"/>
      <c r="FN8762"/>
      <c r="FO8762"/>
      <c r="FP8762"/>
      <c r="FQ8762"/>
      <c r="FR8762"/>
      <c r="FS8762"/>
      <c r="FT8762"/>
      <c r="FU8762"/>
      <c r="FV8762"/>
      <c r="FW8762"/>
      <c r="FX8762"/>
      <c r="FY8762"/>
      <c r="FZ8762"/>
      <c r="GA8762"/>
      <c r="GB8762"/>
      <c r="GC8762"/>
      <c r="GD8762"/>
      <c r="GE8762"/>
      <c r="GF8762"/>
      <c r="GG8762"/>
      <c r="GH8762"/>
      <c r="GI8762"/>
      <c r="GJ8762"/>
      <c r="GK8762"/>
      <c r="GL8762"/>
      <c r="GM8762"/>
      <c r="GN8762"/>
      <c r="GO8762"/>
    </row>
    <row r="8763" spans="107:197">
      <c r="DC8763"/>
      <c r="FH8763"/>
      <c r="FI8763"/>
      <c r="FJ8763"/>
      <c r="FK8763"/>
      <c r="FL8763"/>
      <c r="FM8763"/>
      <c r="FN8763"/>
      <c r="FO8763"/>
      <c r="FP8763"/>
      <c r="FQ8763"/>
      <c r="FR8763"/>
      <c r="FS8763"/>
      <c r="FT8763"/>
      <c r="FU8763"/>
      <c r="FV8763"/>
      <c r="FW8763"/>
      <c r="FX8763"/>
      <c r="FY8763"/>
      <c r="FZ8763"/>
      <c r="GA8763"/>
      <c r="GB8763"/>
      <c r="GC8763"/>
      <c r="GD8763"/>
      <c r="GE8763"/>
      <c r="GF8763"/>
      <c r="GG8763"/>
      <c r="GH8763"/>
      <c r="GI8763"/>
      <c r="GJ8763"/>
      <c r="GK8763"/>
      <c r="GL8763"/>
      <c r="GM8763"/>
      <c r="GN8763"/>
      <c r="GO8763"/>
    </row>
    <row r="8764" spans="107:197">
      <c r="DC8764"/>
      <c r="FH8764"/>
      <c r="FI8764"/>
      <c r="FJ8764"/>
      <c r="FK8764"/>
      <c r="FL8764"/>
      <c r="FM8764"/>
      <c r="FN8764"/>
      <c r="FO8764"/>
      <c r="FP8764"/>
      <c r="FQ8764"/>
      <c r="FR8764"/>
      <c r="FS8764"/>
      <c r="FT8764"/>
      <c r="FU8764"/>
      <c r="FV8764"/>
      <c r="FW8764"/>
      <c r="FX8764"/>
      <c r="FY8764"/>
      <c r="FZ8764"/>
      <c r="GA8764"/>
      <c r="GB8764"/>
      <c r="GC8764"/>
      <c r="GD8764"/>
      <c r="GE8764"/>
      <c r="GF8764"/>
      <c r="GG8764"/>
      <c r="GH8764"/>
      <c r="GI8764"/>
      <c r="GJ8764"/>
      <c r="GK8764"/>
      <c r="GL8764"/>
      <c r="GM8764"/>
      <c r="GN8764"/>
      <c r="GO8764"/>
    </row>
    <row r="8765" spans="107:197">
      <c r="DC8765"/>
      <c r="FH8765"/>
      <c r="FI8765"/>
      <c r="FJ8765"/>
      <c r="FK8765"/>
      <c r="FL8765"/>
      <c r="FM8765"/>
      <c r="FN8765"/>
      <c r="FO8765"/>
      <c r="FP8765"/>
      <c r="FQ8765"/>
      <c r="FR8765"/>
      <c r="FS8765"/>
      <c r="FT8765"/>
      <c r="FU8765"/>
      <c r="FV8765"/>
      <c r="FW8765"/>
      <c r="FX8765"/>
      <c r="FY8765"/>
      <c r="FZ8765"/>
      <c r="GA8765"/>
      <c r="GB8765"/>
      <c r="GC8765"/>
      <c r="GD8765"/>
      <c r="GE8765"/>
      <c r="GF8765"/>
      <c r="GG8765"/>
      <c r="GH8765"/>
      <c r="GI8765"/>
      <c r="GJ8765"/>
      <c r="GK8765"/>
      <c r="GL8765"/>
      <c r="GM8765"/>
      <c r="GN8765"/>
      <c r="GO8765"/>
    </row>
    <row r="8766" spans="107:197">
      <c r="DC8766"/>
      <c r="FH8766"/>
      <c r="FI8766"/>
      <c r="FJ8766"/>
      <c r="FK8766"/>
      <c r="FL8766"/>
      <c r="FM8766"/>
      <c r="FN8766"/>
      <c r="FO8766"/>
      <c r="FP8766"/>
      <c r="FQ8766"/>
      <c r="FR8766"/>
      <c r="FS8766"/>
      <c r="FT8766"/>
      <c r="FU8766"/>
      <c r="FV8766"/>
      <c r="FW8766"/>
      <c r="FX8766"/>
      <c r="FY8766"/>
      <c r="FZ8766"/>
      <c r="GA8766"/>
      <c r="GB8766"/>
      <c r="GC8766"/>
      <c r="GD8766"/>
      <c r="GE8766"/>
      <c r="GF8766"/>
      <c r="GG8766"/>
      <c r="GH8766"/>
      <c r="GI8766"/>
      <c r="GJ8766"/>
      <c r="GK8766"/>
      <c r="GL8766"/>
      <c r="GM8766"/>
      <c r="GN8766"/>
      <c r="GO8766"/>
    </row>
    <row r="8767" spans="107:197">
      <c r="DC8767"/>
      <c r="FH8767"/>
      <c r="FI8767"/>
      <c r="FJ8767"/>
      <c r="FK8767"/>
      <c r="FL8767"/>
      <c r="FM8767"/>
      <c r="FN8767"/>
      <c r="FO8767"/>
      <c r="FP8767"/>
      <c r="FQ8767"/>
      <c r="FR8767"/>
      <c r="FS8767"/>
      <c r="FT8767"/>
      <c r="FU8767"/>
      <c r="FV8767"/>
      <c r="FW8767"/>
      <c r="FX8767"/>
      <c r="FY8767"/>
      <c r="FZ8767"/>
      <c r="GA8767"/>
      <c r="GB8767"/>
      <c r="GC8767"/>
      <c r="GD8767"/>
      <c r="GE8767"/>
      <c r="GF8767"/>
      <c r="GG8767"/>
      <c r="GH8767"/>
      <c r="GI8767"/>
      <c r="GJ8767"/>
      <c r="GK8767"/>
      <c r="GL8767"/>
      <c r="GM8767"/>
      <c r="GN8767"/>
      <c r="GO8767"/>
    </row>
    <row r="8768" spans="107:197">
      <c r="DC8768"/>
      <c r="FH8768"/>
      <c r="FI8768"/>
      <c r="FJ8768"/>
      <c r="FK8768"/>
      <c r="FL8768"/>
      <c r="FM8768"/>
      <c r="FN8768"/>
      <c r="FO8768"/>
      <c r="FP8768"/>
      <c r="FQ8768"/>
      <c r="FR8768"/>
      <c r="FS8768"/>
      <c r="FT8768"/>
      <c r="FU8768"/>
      <c r="FV8768"/>
      <c r="FW8768"/>
      <c r="FX8768"/>
      <c r="FY8768"/>
      <c r="FZ8768"/>
      <c r="GA8768"/>
      <c r="GB8768"/>
      <c r="GC8768"/>
      <c r="GD8768"/>
      <c r="GE8768"/>
      <c r="GF8768"/>
      <c r="GG8768"/>
      <c r="GH8768"/>
      <c r="GI8768"/>
      <c r="GJ8768"/>
      <c r="GK8768"/>
      <c r="GL8768"/>
      <c r="GM8768"/>
      <c r="GN8768"/>
      <c r="GO8768"/>
    </row>
    <row r="8769" spans="107:197">
      <c r="DC8769"/>
      <c r="FH8769"/>
      <c r="FI8769"/>
      <c r="FJ8769"/>
      <c r="FK8769"/>
      <c r="FL8769"/>
      <c r="FM8769"/>
      <c r="FN8769"/>
      <c r="FO8769"/>
      <c r="FP8769"/>
      <c r="FQ8769"/>
      <c r="FR8769"/>
      <c r="FS8769"/>
      <c r="FT8769"/>
      <c r="FU8769"/>
      <c r="FV8769"/>
      <c r="FW8769"/>
      <c r="FX8769"/>
      <c r="FY8769"/>
      <c r="FZ8769"/>
      <c r="GA8769"/>
      <c r="GB8769"/>
      <c r="GC8769"/>
      <c r="GD8769"/>
      <c r="GE8769"/>
      <c r="GF8769"/>
      <c r="GG8769"/>
      <c r="GH8769"/>
      <c r="GI8769"/>
      <c r="GJ8769"/>
      <c r="GK8769"/>
      <c r="GL8769"/>
      <c r="GM8769"/>
      <c r="GN8769"/>
      <c r="GO8769"/>
    </row>
    <row r="8770" spans="107:197">
      <c r="DC8770"/>
      <c r="FH8770"/>
      <c r="FI8770"/>
      <c r="FJ8770"/>
      <c r="FK8770"/>
      <c r="FL8770"/>
      <c r="FM8770"/>
      <c r="FN8770"/>
      <c r="FO8770"/>
      <c r="FP8770"/>
      <c r="FQ8770"/>
      <c r="FR8770"/>
      <c r="FS8770"/>
      <c r="FT8770"/>
      <c r="FU8770"/>
      <c r="FV8770"/>
      <c r="FW8770"/>
      <c r="FX8770"/>
      <c r="FY8770"/>
      <c r="FZ8770"/>
      <c r="GA8770"/>
      <c r="GB8770"/>
      <c r="GC8770"/>
      <c r="GD8770"/>
      <c r="GE8770"/>
      <c r="GF8770"/>
      <c r="GG8770"/>
      <c r="GH8770"/>
      <c r="GI8770"/>
      <c r="GJ8770"/>
      <c r="GK8770"/>
      <c r="GL8770"/>
      <c r="GM8770"/>
      <c r="GN8770"/>
      <c r="GO8770"/>
    </row>
    <row r="8771" spans="107:197">
      <c r="DC8771"/>
      <c r="FH8771"/>
      <c r="FI8771"/>
      <c r="FJ8771"/>
      <c r="FK8771"/>
      <c r="FL8771"/>
      <c r="FM8771"/>
      <c r="FN8771"/>
      <c r="FO8771"/>
      <c r="FP8771"/>
      <c r="FQ8771"/>
      <c r="FR8771"/>
      <c r="FS8771"/>
      <c r="FT8771"/>
      <c r="FU8771"/>
      <c r="FV8771"/>
      <c r="FW8771"/>
      <c r="FX8771"/>
      <c r="FY8771"/>
      <c r="FZ8771"/>
      <c r="GA8771"/>
      <c r="GB8771"/>
      <c r="GC8771"/>
      <c r="GD8771"/>
      <c r="GE8771"/>
      <c r="GF8771"/>
      <c r="GG8771"/>
      <c r="GH8771"/>
      <c r="GI8771"/>
      <c r="GJ8771"/>
      <c r="GK8771"/>
      <c r="GL8771"/>
      <c r="GM8771"/>
      <c r="GN8771"/>
      <c r="GO8771"/>
    </row>
    <row r="8772" spans="107:197">
      <c r="DC8772"/>
      <c r="FH8772"/>
      <c r="FI8772"/>
      <c r="FJ8772"/>
      <c r="FK8772"/>
      <c r="FL8772"/>
      <c r="FM8772"/>
      <c r="FN8772"/>
      <c r="FO8772"/>
      <c r="FP8772"/>
      <c r="FQ8772"/>
      <c r="FR8772"/>
      <c r="FS8772"/>
      <c r="FT8772"/>
      <c r="FU8772"/>
      <c r="FV8772"/>
      <c r="FW8772"/>
      <c r="FX8772"/>
      <c r="FY8772"/>
      <c r="FZ8772"/>
      <c r="GA8772"/>
      <c r="GB8772"/>
      <c r="GC8772"/>
      <c r="GD8772"/>
      <c r="GE8772"/>
      <c r="GF8772"/>
      <c r="GG8772"/>
      <c r="GH8772"/>
      <c r="GI8772"/>
      <c r="GJ8772"/>
      <c r="GK8772"/>
      <c r="GL8772"/>
      <c r="GM8772"/>
      <c r="GN8772"/>
      <c r="GO8772"/>
    </row>
    <row r="8773" spans="107:197">
      <c r="DC8773"/>
      <c r="FH8773"/>
      <c r="FI8773"/>
      <c r="FJ8773"/>
      <c r="FK8773"/>
      <c r="FL8773"/>
      <c r="FM8773"/>
      <c r="FN8773"/>
      <c r="FO8773"/>
      <c r="FP8773"/>
      <c r="FQ8773"/>
      <c r="FR8773"/>
      <c r="FS8773"/>
      <c r="FT8773"/>
      <c r="FU8773"/>
      <c r="FV8773"/>
      <c r="FW8773"/>
      <c r="FX8773"/>
      <c r="FY8773"/>
      <c r="FZ8773"/>
      <c r="GA8773"/>
      <c r="GB8773"/>
      <c r="GC8773"/>
      <c r="GD8773"/>
      <c r="GE8773"/>
      <c r="GF8773"/>
      <c r="GG8773"/>
      <c r="GH8773"/>
      <c r="GI8773"/>
      <c r="GJ8773"/>
      <c r="GK8773"/>
      <c r="GL8773"/>
      <c r="GM8773"/>
      <c r="GN8773"/>
      <c r="GO8773"/>
    </row>
    <row r="8774" spans="107:197">
      <c r="DC8774"/>
      <c r="FH8774"/>
      <c r="FI8774"/>
      <c r="FJ8774"/>
      <c r="FK8774"/>
      <c r="FL8774"/>
      <c r="FM8774"/>
      <c r="FN8774"/>
      <c r="FO8774"/>
      <c r="FP8774"/>
      <c r="FQ8774"/>
      <c r="FR8774"/>
      <c r="FS8774"/>
      <c r="FT8774"/>
      <c r="FU8774"/>
      <c r="FV8774"/>
      <c r="FW8774"/>
      <c r="FX8774"/>
      <c r="FY8774"/>
      <c r="FZ8774"/>
      <c r="GA8774"/>
      <c r="GB8774"/>
      <c r="GC8774"/>
      <c r="GD8774"/>
      <c r="GE8774"/>
      <c r="GF8774"/>
      <c r="GG8774"/>
      <c r="GH8774"/>
      <c r="GI8774"/>
      <c r="GJ8774"/>
      <c r="GK8774"/>
      <c r="GL8774"/>
      <c r="GM8774"/>
      <c r="GN8774"/>
      <c r="GO8774"/>
    </row>
    <row r="8775" spans="107:197">
      <c r="DC8775"/>
      <c r="FH8775"/>
      <c r="FI8775"/>
      <c r="FJ8775"/>
      <c r="FK8775"/>
      <c r="FL8775"/>
      <c r="FM8775"/>
      <c r="FN8775"/>
      <c r="FO8775"/>
      <c r="FP8775"/>
      <c r="FQ8775"/>
      <c r="FR8775"/>
      <c r="FS8775"/>
      <c r="FT8775"/>
      <c r="FU8775"/>
      <c r="FV8775"/>
      <c r="FW8775"/>
      <c r="FX8775"/>
      <c r="FY8775"/>
      <c r="FZ8775"/>
      <c r="GA8775"/>
      <c r="GB8775"/>
      <c r="GC8775"/>
      <c r="GD8775"/>
      <c r="GE8775"/>
      <c r="GF8775"/>
      <c r="GG8775"/>
      <c r="GH8775"/>
      <c r="GI8775"/>
      <c r="GJ8775"/>
      <c r="GK8775"/>
      <c r="GL8775"/>
      <c r="GM8775"/>
      <c r="GN8775"/>
      <c r="GO8775"/>
    </row>
    <row r="8776" spans="107:197">
      <c r="DC8776"/>
      <c r="FH8776"/>
      <c r="FI8776"/>
      <c r="FJ8776"/>
      <c r="FK8776"/>
      <c r="FL8776"/>
      <c r="FM8776"/>
      <c r="FN8776"/>
      <c r="FO8776"/>
      <c r="FP8776"/>
      <c r="FQ8776"/>
      <c r="FR8776"/>
      <c r="FS8776"/>
      <c r="FT8776"/>
      <c r="FU8776"/>
      <c r="FV8776"/>
      <c r="FW8776"/>
      <c r="FX8776"/>
      <c r="FY8776"/>
      <c r="FZ8776"/>
      <c r="GA8776"/>
      <c r="GB8776"/>
      <c r="GC8776"/>
      <c r="GD8776"/>
      <c r="GE8776"/>
      <c r="GF8776"/>
      <c r="GG8776"/>
      <c r="GH8776"/>
      <c r="GI8776"/>
      <c r="GJ8776"/>
      <c r="GK8776"/>
      <c r="GL8776"/>
      <c r="GM8776"/>
      <c r="GN8776"/>
      <c r="GO8776"/>
    </row>
    <row r="8777" spans="107:197">
      <c r="DC8777"/>
      <c r="FH8777"/>
      <c r="FI8777"/>
      <c r="FJ8777"/>
      <c r="FK8777"/>
      <c r="FL8777"/>
      <c r="FM8777"/>
      <c r="FN8777"/>
      <c r="FO8777"/>
      <c r="FP8777"/>
      <c r="FQ8777"/>
      <c r="FR8777"/>
      <c r="FS8777"/>
      <c r="FT8777"/>
      <c r="FU8777"/>
      <c r="FV8777"/>
      <c r="FW8777"/>
      <c r="FX8777"/>
      <c r="FY8777"/>
      <c r="FZ8777"/>
      <c r="GA8777"/>
      <c r="GB8777"/>
      <c r="GC8777"/>
      <c r="GD8777"/>
      <c r="GE8777"/>
      <c r="GF8777"/>
      <c r="GG8777"/>
      <c r="GH8777"/>
      <c r="GI8777"/>
      <c r="GJ8777"/>
      <c r="GK8777"/>
      <c r="GL8777"/>
      <c r="GM8777"/>
      <c r="GN8777"/>
      <c r="GO8777"/>
    </row>
    <row r="8778" spans="107:197">
      <c r="DC8778"/>
      <c r="FH8778"/>
      <c r="FI8778"/>
      <c r="FJ8778"/>
      <c r="FK8778"/>
      <c r="FL8778"/>
      <c r="FM8778"/>
      <c r="FN8778"/>
      <c r="FO8778"/>
      <c r="FP8778"/>
      <c r="FQ8778"/>
      <c r="FR8778"/>
      <c r="FS8778"/>
      <c r="FT8778"/>
      <c r="FU8778"/>
      <c r="FV8778"/>
      <c r="FW8778"/>
      <c r="FX8778"/>
      <c r="FY8778"/>
      <c r="FZ8778"/>
      <c r="GA8778"/>
      <c r="GB8778"/>
      <c r="GC8778"/>
      <c r="GD8778"/>
      <c r="GE8778"/>
      <c r="GF8778"/>
      <c r="GG8778"/>
      <c r="GH8778"/>
      <c r="GI8778"/>
      <c r="GJ8778"/>
      <c r="GK8778"/>
      <c r="GL8778"/>
      <c r="GM8778"/>
      <c r="GN8778"/>
      <c r="GO8778"/>
    </row>
    <row r="8779" spans="107:197">
      <c r="DC8779"/>
      <c r="FH8779"/>
      <c r="FI8779"/>
      <c r="FJ8779"/>
      <c r="FK8779"/>
      <c r="FL8779"/>
      <c r="FM8779"/>
      <c r="FN8779"/>
      <c r="FO8779"/>
      <c r="FP8779"/>
      <c r="FQ8779"/>
      <c r="FR8779"/>
      <c r="FS8779"/>
      <c r="FT8779"/>
      <c r="FU8779"/>
      <c r="FV8779"/>
      <c r="FW8779"/>
      <c r="FX8779"/>
      <c r="FY8779"/>
      <c r="FZ8779"/>
      <c r="GA8779"/>
      <c r="GB8779"/>
      <c r="GC8779"/>
      <c r="GD8779"/>
      <c r="GE8779"/>
      <c r="GF8779"/>
      <c r="GG8779"/>
      <c r="GH8779"/>
      <c r="GI8779"/>
      <c r="GJ8779"/>
      <c r="GK8779"/>
      <c r="GL8779"/>
      <c r="GM8779"/>
      <c r="GN8779"/>
      <c r="GO8779"/>
    </row>
    <row r="8780" spans="107:197">
      <c r="DC8780"/>
      <c r="FH8780"/>
      <c r="FI8780"/>
      <c r="FJ8780"/>
      <c r="FK8780"/>
      <c r="FL8780"/>
      <c r="FM8780"/>
      <c r="FN8780"/>
      <c r="FO8780"/>
      <c r="FP8780"/>
      <c r="FQ8780"/>
      <c r="FR8780"/>
      <c r="FS8780"/>
      <c r="FT8780"/>
      <c r="FU8780"/>
      <c r="FV8780"/>
      <c r="FW8780"/>
      <c r="FX8780"/>
      <c r="FY8780"/>
      <c r="FZ8780"/>
      <c r="GA8780"/>
      <c r="GB8780"/>
      <c r="GC8780"/>
      <c r="GD8780"/>
      <c r="GE8780"/>
      <c r="GF8780"/>
      <c r="GG8780"/>
      <c r="GH8780"/>
      <c r="GI8780"/>
      <c r="GJ8780"/>
      <c r="GK8780"/>
      <c r="GL8780"/>
      <c r="GM8780"/>
      <c r="GN8780"/>
      <c r="GO8780"/>
    </row>
    <row r="8781" spans="107:197">
      <c r="DC8781"/>
      <c r="FH8781"/>
      <c r="FI8781"/>
      <c r="FJ8781"/>
      <c r="FK8781"/>
      <c r="FL8781"/>
      <c r="FM8781"/>
      <c r="FN8781"/>
      <c r="FO8781"/>
      <c r="FP8781"/>
      <c r="FQ8781"/>
      <c r="FR8781"/>
      <c r="FS8781"/>
      <c r="FT8781"/>
      <c r="FU8781"/>
      <c r="FV8781"/>
      <c r="FW8781"/>
      <c r="FX8781"/>
      <c r="FY8781"/>
      <c r="FZ8781"/>
      <c r="GA8781"/>
      <c r="GB8781"/>
      <c r="GC8781"/>
      <c r="GD8781"/>
      <c r="GE8781"/>
      <c r="GF8781"/>
      <c r="GG8781"/>
      <c r="GH8781"/>
      <c r="GI8781"/>
      <c r="GJ8781"/>
      <c r="GK8781"/>
      <c r="GL8781"/>
      <c r="GM8781"/>
      <c r="GN8781"/>
      <c r="GO8781"/>
    </row>
    <row r="8782" spans="107:197">
      <c r="DC8782"/>
      <c r="FH8782"/>
      <c r="FI8782"/>
      <c r="FJ8782"/>
      <c r="FK8782"/>
      <c r="FL8782"/>
      <c r="FM8782"/>
      <c r="FN8782"/>
      <c r="FO8782"/>
      <c r="FP8782"/>
      <c r="FQ8782"/>
      <c r="FR8782"/>
      <c r="FS8782"/>
      <c r="FT8782"/>
      <c r="FU8782"/>
      <c r="FV8782"/>
      <c r="FW8782"/>
      <c r="FX8782"/>
      <c r="FY8782"/>
      <c r="FZ8782"/>
      <c r="GA8782"/>
      <c r="GB8782"/>
      <c r="GC8782"/>
      <c r="GD8782"/>
      <c r="GE8782"/>
      <c r="GF8782"/>
      <c r="GG8782"/>
      <c r="GH8782"/>
      <c r="GI8782"/>
      <c r="GJ8782"/>
      <c r="GK8782"/>
      <c r="GL8782"/>
      <c r="GM8782"/>
      <c r="GN8782"/>
      <c r="GO8782"/>
    </row>
    <row r="8783" spans="107:197">
      <c r="DC8783"/>
      <c r="FH8783"/>
      <c r="FI8783"/>
      <c r="FJ8783"/>
      <c r="FK8783"/>
      <c r="FL8783"/>
      <c r="FM8783"/>
      <c r="FN8783"/>
      <c r="FO8783"/>
      <c r="FP8783"/>
      <c r="FQ8783"/>
      <c r="FR8783"/>
      <c r="FS8783"/>
      <c r="FT8783"/>
      <c r="FU8783"/>
      <c r="FV8783"/>
      <c r="FW8783"/>
      <c r="FX8783"/>
      <c r="FY8783"/>
      <c r="FZ8783"/>
      <c r="GA8783"/>
      <c r="GB8783"/>
      <c r="GC8783"/>
      <c r="GD8783"/>
      <c r="GE8783"/>
      <c r="GF8783"/>
      <c r="GG8783"/>
      <c r="GH8783"/>
      <c r="GI8783"/>
      <c r="GJ8783"/>
      <c r="GK8783"/>
      <c r="GL8783"/>
      <c r="GM8783"/>
      <c r="GN8783"/>
      <c r="GO8783"/>
    </row>
    <row r="8784" spans="107:197">
      <c r="DC8784"/>
      <c r="FH8784"/>
      <c r="FI8784"/>
      <c r="FJ8784"/>
      <c r="FK8784"/>
      <c r="FL8784"/>
      <c r="FM8784"/>
      <c r="FN8784"/>
      <c r="FO8784"/>
      <c r="FP8784"/>
      <c r="FQ8784"/>
      <c r="FR8784"/>
      <c r="FS8784"/>
      <c r="FT8784"/>
      <c r="FU8784"/>
      <c r="FV8784"/>
      <c r="FW8784"/>
      <c r="FX8784"/>
      <c r="FY8784"/>
      <c r="FZ8784"/>
      <c r="GA8784"/>
      <c r="GB8784"/>
      <c r="GC8784"/>
      <c r="GD8784"/>
      <c r="GE8784"/>
      <c r="GF8784"/>
      <c r="GG8784"/>
      <c r="GH8784"/>
      <c r="GI8784"/>
      <c r="GJ8784"/>
      <c r="GK8784"/>
      <c r="GL8784"/>
      <c r="GM8784"/>
      <c r="GN8784"/>
      <c r="GO8784"/>
    </row>
    <row r="8785" spans="107:197">
      <c r="DC8785"/>
      <c r="FH8785"/>
      <c r="FI8785"/>
      <c r="FJ8785"/>
      <c r="FK8785"/>
      <c r="FL8785"/>
      <c r="FM8785"/>
      <c r="FN8785"/>
      <c r="FO8785"/>
      <c r="FP8785"/>
      <c r="FQ8785"/>
      <c r="FR8785"/>
      <c r="FS8785"/>
      <c r="FT8785"/>
      <c r="FU8785"/>
      <c r="FV8785"/>
      <c r="FW8785"/>
      <c r="FX8785"/>
      <c r="FY8785"/>
      <c r="FZ8785"/>
      <c r="GA8785"/>
      <c r="GB8785"/>
      <c r="GC8785"/>
      <c r="GD8785"/>
      <c r="GE8785"/>
      <c r="GF8785"/>
      <c r="GG8785"/>
      <c r="GH8785"/>
      <c r="GI8785"/>
      <c r="GJ8785"/>
      <c r="GK8785"/>
      <c r="GL8785"/>
      <c r="GM8785"/>
      <c r="GN8785"/>
      <c r="GO8785"/>
    </row>
    <row r="8786" spans="107:197">
      <c r="DC8786"/>
      <c r="FH8786"/>
      <c r="FI8786"/>
      <c r="FJ8786"/>
      <c r="FK8786"/>
      <c r="FL8786"/>
      <c r="FM8786"/>
      <c r="FN8786"/>
      <c r="FO8786"/>
      <c r="FP8786"/>
      <c r="FQ8786"/>
      <c r="FR8786"/>
      <c r="FS8786"/>
      <c r="FT8786"/>
      <c r="FU8786"/>
      <c r="FV8786"/>
      <c r="FW8786"/>
      <c r="FX8786"/>
      <c r="FY8786"/>
      <c r="FZ8786"/>
      <c r="GA8786"/>
      <c r="GB8786"/>
      <c r="GC8786"/>
      <c r="GD8786"/>
      <c r="GE8786"/>
      <c r="GF8786"/>
      <c r="GG8786"/>
      <c r="GH8786"/>
      <c r="GI8786"/>
      <c r="GJ8786"/>
      <c r="GK8786"/>
      <c r="GL8786"/>
      <c r="GM8786"/>
      <c r="GN8786"/>
      <c r="GO8786"/>
    </row>
    <row r="8787" spans="107:197">
      <c r="DC8787"/>
      <c r="FH8787"/>
      <c r="FI8787"/>
      <c r="FJ8787"/>
      <c r="FK8787"/>
      <c r="FL8787"/>
      <c r="FM8787"/>
      <c r="FN8787"/>
      <c r="FO8787"/>
      <c r="FP8787"/>
      <c r="FQ8787"/>
      <c r="FR8787"/>
      <c r="FS8787"/>
      <c r="FT8787"/>
      <c r="FU8787"/>
      <c r="FV8787"/>
      <c r="FW8787"/>
      <c r="FX8787"/>
      <c r="FY8787"/>
      <c r="FZ8787"/>
      <c r="GA8787"/>
      <c r="GB8787"/>
      <c r="GC8787"/>
      <c r="GD8787"/>
      <c r="GE8787"/>
      <c r="GF8787"/>
      <c r="GG8787"/>
      <c r="GH8787"/>
      <c r="GI8787"/>
      <c r="GJ8787"/>
      <c r="GK8787"/>
      <c r="GL8787"/>
      <c r="GM8787"/>
      <c r="GN8787"/>
      <c r="GO8787"/>
    </row>
    <row r="8788" spans="107:197">
      <c r="DC8788"/>
      <c r="FH8788"/>
      <c r="FI8788"/>
      <c r="FJ8788"/>
      <c r="FK8788"/>
      <c r="FL8788"/>
      <c r="FM8788"/>
      <c r="FN8788"/>
      <c r="FO8788"/>
      <c r="FP8788"/>
      <c r="FQ8788"/>
      <c r="FR8788"/>
      <c r="FS8788"/>
      <c r="FT8788"/>
      <c r="FU8788"/>
      <c r="FV8788"/>
      <c r="FW8788"/>
      <c r="FX8788"/>
      <c r="FY8788"/>
      <c r="FZ8788"/>
      <c r="GA8788"/>
      <c r="GB8788"/>
      <c r="GC8788"/>
      <c r="GD8788"/>
      <c r="GE8788"/>
      <c r="GF8788"/>
      <c r="GG8788"/>
      <c r="GH8788"/>
      <c r="GI8788"/>
      <c r="GJ8788"/>
      <c r="GK8788"/>
      <c r="GL8788"/>
      <c r="GM8788"/>
      <c r="GN8788"/>
      <c r="GO8788"/>
    </row>
    <row r="8789" spans="107:197">
      <c r="DC8789"/>
      <c r="FH8789"/>
      <c r="FI8789"/>
      <c r="FJ8789"/>
      <c r="FK8789"/>
      <c r="FL8789"/>
      <c r="FM8789"/>
      <c r="FN8789"/>
      <c r="FO8789"/>
      <c r="FP8789"/>
      <c r="FQ8789"/>
      <c r="FR8789"/>
      <c r="FS8789"/>
      <c r="FT8789"/>
      <c r="FU8789"/>
      <c r="FV8789"/>
      <c r="FW8789"/>
      <c r="FX8789"/>
      <c r="FY8789"/>
      <c r="FZ8789"/>
      <c r="GA8789"/>
      <c r="GB8789"/>
      <c r="GC8789"/>
      <c r="GD8789"/>
      <c r="GE8789"/>
      <c r="GF8789"/>
      <c r="GG8789"/>
      <c r="GH8789"/>
      <c r="GI8789"/>
      <c r="GJ8789"/>
      <c r="GK8789"/>
      <c r="GL8789"/>
      <c r="GM8789"/>
      <c r="GN8789"/>
      <c r="GO8789"/>
    </row>
    <row r="8790" spans="107:197">
      <c r="DC8790"/>
      <c r="FH8790"/>
      <c r="FI8790"/>
      <c r="FJ8790"/>
      <c r="FK8790"/>
      <c r="FL8790"/>
      <c r="FM8790"/>
      <c r="FN8790"/>
      <c r="FO8790"/>
      <c r="FP8790"/>
      <c r="FQ8790"/>
      <c r="FR8790"/>
      <c r="FS8790"/>
      <c r="FT8790"/>
      <c r="FU8790"/>
      <c r="FV8790"/>
      <c r="FW8790"/>
      <c r="FX8790"/>
      <c r="FY8790"/>
      <c r="FZ8790"/>
      <c r="GA8790"/>
      <c r="GB8790"/>
      <c r="GC8790"/>
      <c r="GD8790"/>
      <c r="GE8790"/>
      <c r="GF8790"/>
      <c r="GG8790"/>
      <c r="GH8790"/>
      <c r="GI8790"/>
      <c r="GJ8790"/>
      <c r="GK8790"/>
      <c r="GL8790"/>
      <c r="GM8790"/>
      <c r="GN8790"/>
      <c r="GO8790"/>
    </row>
    <row r="8791" spans="107:197">
      <c r="DC8791"/>
      <c r="FH8791"/>
      <c r="FI8791"/>
      <c r="FJ8791"/>
      <c r="FK8791"/>
      <c r="FL8791"/>
      <c r="FM8791"/>
      <c r="FN8791"/>
      <c r="FO8791"/>
      <c r="FP8791"/>
      <c r="FQ8791"/>
      <c r="FR8791"/>
      <c r="FS8791"/>
      <c r="FT8791"/>
      <c r="FU8791"/>
      <c r="FV8791"/>
      <c r="FW8791"/>
      <c r="FX8791"/>
      <c r="FY8791"/>
      <c r="FZ8791"/>
      <c r="GA8791"/>
      <c r="GB8791"/>
      <c r="GC8791"/>
      <c r="GD8791"/>
      <c r="GE8791"/>
      <c r="GF8791"/>
      <c r="GG8791"/>
      <c r="GH8791"/>
      <c r="GI8791"/>
      <c r="GJ8791"/>
      <c r="GK8791"/>
      <c r="GL8791"/>
      <c r="GM8791"/>
      <c r="GN8791"/>
      <c r="GO8791"/>
    </row>
    <row r="8792" spans="107:197">
      <c r="DC8792"/>
      <c r="FH8792"/>
      <c r="FI8792"/>
      <c r="FJ8792"/>
      <c r="FK8792"/>
      <c r="FL8792"/>
      <c r="FM8792"/>
      <c r="FN8792"/>
      <c r="FO8792"/>
      <c r="FP8792"/>
      <c r="FQ8792"/>
      <c r="FR8792"/>
      <c r="FS8792"/>
      <c r="FT8792"/>
      <c r="FU8792"/>
      <c r="FV8792"/>
      <c r="FW8792"/>
      <c r="FX8792"/>
      <c r="FY8792"/>
      <c r="FZ8792"/>
      <c r="GA8792"/>
      <c r="GB8792"/>
      <c r="GC8792"/>
      <c r="GD8792"/>
      <c r="GE8792"/>
      <c r="GF8792"/>
      <c r="GG8792"/>
      <c r="GH8792"/>
      <c r="GI8792"/>
      <c r="GJ8792"/>
      <c r="GK8792"/>
      <c r="GL8792"/>
      <c r="GM8792"/>
      <c r="GN8792"/>
      <c r="GO8792"/>
    </row>
    <row r="8793" spans="107:197">
      <c r="DC8793"/>
      <c r="FH8793"/>
      <c r="FI8793"/>
      <c r="FJ8793"/>
      <c r="FK8793"/>
      <c r="FL8793"/>
      <c r="FM8793"/>
      <c r="FN8793"/>
      <c r="FO8793"/>
      <c r="FP8793"/>
      <c r="FQ8793"/>
      <c r="FR8793"/>
      <c r="FS8793"/>
      <c r="FT8793"/>
      <c r="FU8793"/>
      <c r="FV8793"/>
      <c r="FW8793"/>
      <c r="FX8793"/>
      <c r="FY8793"/>
      <c r="FZ8793"/>
      <c r="GA8793"/>
      <c r="GB8793"/>
      <c r="GC8793"/>
      <c r="GD8793"/>
      <c r="GE8793"/>
      <c r="GF8793"/>
      <c r="GG8793"/>
      <c r="GH8793"/>
      <c r="GI8793"/>
      <c r="GJ8793"/>
      <c r="GK8793"/>
      <c r="GL8793"/>
      <c r="GM8793"/>
      <c r="GN8793"/>
      <c r="GO8793"/>
    </row>
    <row r="8794" spans="107:197">
      <c r="DC8794"/>
      <c r="FH8794"/>
      <c r="FI8794"/>
      <c r="FJ8794"/>
      <c r="FK8794"/>
      <c r="FL8794"/>
      <c r="FM8794"/>
      <c r="FN8794"/>
      <c r="FO8794"/>
      <c r="FP8794"/>
      <c r="FQ8794"/>
      <c r="FR8794"/>
      <c r="FS8794"/>
      <c r="FT8794"/>
      <c r="FU8794"/>
      <c r="FV8794"/>
      <c r="FW8794"/>
      <c r="FX8794"/>
      <c r="FY8794"/>
      <c r="FZ8794"/>
      <c r="GA8794"/>
      <c r="GB8794"/>
      <c r="GC8794"/>
      <c r="GD8794"/>
      <c r="GE8794"/>
      <c r="GF8794"/>
      <c r="GG8794"/>
      <c r="GH8794"/>
      <c r="GI8794"/>
      <c r="GJ8794"/>
      <c r="GK8794"/>
      <c r="GL8794"/>
      <c r="GM8794"/>
      <c r="GN8794"/>
      <c r="GO8794"/>
    </row>
    <row r="8795" spans="107:197">
      <c r="DC8795"/>
      <c r="FH8795"/>
      <c r="FI8795"/>
      <c r="FJ8795"/>
      <c r="FK8795"/>
      <c r="FL8795"/>
      <c r="FM8795"/>
      <c r="FN8795"/>
      <c r="FO8795"/>
      <c r="FP8795"/>
      <c r="FQ8795"/>
      <c r="FR8795"/>
      <c r="FS8795"/>
      <c r="FT8795"/>
      <c r="FU8795"/>
      <c r="FV8795"/>
      <c r="FW8795"/>
      <c r="FX8795"/>
      <c r="FY8795"/>
      <c r="FZ8795"/>
      <c r="GA8795"/>
      <c r="GB8795"/>
      <c r="GC8795"/>
      <c r="GD8795"/>
      <c r="GE8795"/>
      <c r="GF8795"/>
      <c r="GG8795"/>
      <c r="GH8795"/>
      <c r="GI8795"/>
      <c r="GJ8795"/>
      <c r="GK8795"/>
      <c r="GL8795"/>
      <c r="GM8795"/>
      <c r="GN8795"/>
      <c r="GO8795"/>
    </row>
    <row r="8796" spans="107:197">
      <c r="DC8796"/>
      <c r="FH8796"/>
      <c r="FI8796"/>
      <c r="FJ8796"/>
      <c r="FK8796"/>
      <c r="FL8796"/>
      <c r="FM8796"/>
      <c r="FN8796"/>
      <c r="FO8796"/>
      <c r="FP8796"/>
      <c r="FQ8796"/>
      <c r="FR8796"/>
      <c r="FS8796"/>
      <c r="FT8796"/>
      <c r="FU8796"/>
      <c r="FV8796"/>
      <c r="FW8796"/>
      <c r="FX8796"/>
      <c r="FY8796"/>
      <c r="FZ8796"/>
      <c r="GA8796"/>
      <c r="GB8796"/>
      <c r="GC8796"/>
      <c r="GD8796"/>
      <c r="GE8796"/>
      <c r="GF8796"/>
      <c r="GG8796"/>
      <c r="GH8796"/>
      <c r="GI8796"/>
      <c r="GJ8796"/>
      <c r="GK8796"/>
      <c r="GL8796"/>
      <c r="GM8796"/>
      <c r="GN8796"/>
      <c r="GO8796"/>
    </row>
    <row r="8797" spans="107:197">
      <c r="DC8797"/>
      <c r="FH8797"/>
      <c r="FI8797"/>
      <c r="FJ8797"/>
      <c r="FK8797"/>
      <c r="FL8797"/>
      <c r="FM8797"/>
      <c r="FN8797"/>
      <c r="FO8797"/>
      <c r="FP8797"/>
      <c r="FQ8797"/>
      <c r="FR8797"/>
      <c r="FS8797"/>
      <c r="FT8797"/>
      <c r="FU8797"/>
      <c r="FV8797"/>
      <c r="FW8797"/>
      <c r="FX8797"/>
      <c r="FY8797"/>
      <c r="FZ8797"/>
      <c r="GA8797"/>
      <c r="GB8797"/>
      <c r="GC8797"/>
      <c r="GD8797"/>
      <c r="GE8797"/>
      <c r="GF8797"/>
      <c r="GG8797"/>
      <c r="GH8797"/>
      <c r="GI8797"/>
      <c r="GJ8797"/>
      <c r="GK8797"/>
      <c r="GL8797"/>
      <c r="GM8797"/>
      <c r="GN8797"/>
      <c r="GO8797"/>
    </row>
    <row r="8798" spans="107:197">
      <c r="DC8798"/>
      <c r="FH8798"/>
      <c r="FI8798"/>
      <c r="FJ8798"/>
      <c r="FK8798"/>
      <c r="FL8798"/>
      <c r="FM8798"/>
      <c r="FN8798"/>
      <c r="FO8798"/>
      <c r="FP8798"/>
      <c r="FQ8798"/>
      <c r="FR8798"/>
      <c r="FS8798"/>
      <c r="FT8798"/>
      <c r="FU8798"/>
      <c r="FV8798"/>
      <c r="FW8798"/>
      <c r="FX8798"/>
      <c r="FY8798"/>
      <c r="FZ8798"/>
      <c r="GA8798"/>
      <c r="GB8798"/>
      <c r="GC8798"/>
      <c r="GD8798"/>
      <c r="GE8798"/>
      <c r="GF8798"/>
      <c r="GG8798"/>
      <c r="GH8798"/>
      <c r="GI8798"/>
      <c r="GJ8798"/>
      <c r="GK8798"/>
      <c r="GL8798"/>
      <c r="GM8798"/>
      <c r="GN8798"/>
      <c r="GO8798"/>
    </row>
    <row r="8799" spans="107:197">
      <c r="DC8799"/>
      <c r="FH8799"/>
      <c r="FI8799"/>
      <c r="FJ8799"/>
      <c r="FK8799"/>
      <c r="FL8799"/>
      <c r="FM8799"/>
      <c r="FN8799"/>
      <c r="FO8799"/>
      <c r="FP8799"/>
      <c r="FQ8799"/>
      <c r="FR8799"/>
      <c r="FS8799"/>
      <c r="FT8799"/>
      <c r="FU8799"/>
      <c r="FV8799"/>
      <c r="FW8799"/>
      <c r="FX8799"/>
      <c r="FY8799"/>
      <c r="FZ8799"/>
      <c r="GA8799"/>
      <c r="GB8799"/>
      <c r="GC8799"/>
      <c r="GD8799"/>
      <c r="GE8799"/>
      <c r="GF8799"/>
      <c r="GG8799"/>
      <c r="GH8799"/>
      <c r="GI8799"/>
      <c r="GJ8799"/>
      <c r="GK8799"/>
      <c r="GL8799"/>
      <c r="GM8799"/>
      <c r="GN8799"/>
      <c r="GO8799"/>
    </row>
    <row r="8800" spans="107:197">
      <c r="DC8800"/>
      <c r="FH8800"/>
      <c r="FI8800"/>
      <c r="FJ8800"/>
      <c r="FK8800"/>
      <c r="FL8800"/>
      <c r="FM8800"/>
      <c r="FN8800"/>
      <c r="FO8800"/>
      <c r="FP8800"/>
      <c r="FQ8800"/>
      <c r="FR8800"/>
      <c r="FS8800"/>
      <c r="FT8800"/>
      <c r="FU8800"/>
      <c r="FV8800"/>
      <c r="FW8800"/>
      <c r="FX8800"/>
      <c r="FY8800"/>
      <c r="FZ8800"/>
      <c r="GA8800"/>
      <c r="GB8800"/>
      <c r="GC8800"/>
      <c r="GD8800"/>
      <c r="GE8800"/>
      <c r="GF8800"/>
      <c r="GG8800"/>
      <c r="GH8800"/>
      <c r="GI8800"/>
      <c r="GJ8800"/>
      <c r="GK8800"/>
      <c r="GL8800"/>
      <c r="GM8800"/>
      <c r="GN8800"/>
      <c r="GO8800"/>
    </row>
    <row r="8801" spans="107:197">
      <c r="DC8801"/>
      <c r="FH8801"/>
      <c r="FI8801"/>
      <c r="FJ8801"/>
      <c r="FK8801"/>
      <c r="FL8801"/>
      <c r="FM8801"/>
      <c r="FN8801"/>
      <c r="FO8801"/>
      <c r="FP8801"/>
      <c r="FQ8801"/>
      <c r="FR8801"/>
      <c r="FS8801"/>
      <c r="FT8801"/>
      <c r="FU8801"/>
      <c r="FV8801"/>
      <c r="FW8801"/>
      <c r="FX8801"/>
      <c r="FY8801"/>
      <c r="FZ8801"/>
      <c r="GA8801"/>
      <c r="GB8801"/>
      <c r="GC8801"/>
      <c r="GD8801"/>
      <c r="GE8801"/>
      <c r="GF8801"/>
      <c r="GG8801"/>
      <c r="GH8801"/>
      <c r="GI8801"/>
      <c r="GJ8801"/>
      <c r="GK8801"/>
      <c r="GL8801"/>
      <c r="GM8801"/>
      <c r="GN8801"/>
      <c r="GO8801"/>
    </row>
    <row r="8802" spans="107:197">
      <c r="DC8802"/>
      <c r="FH8802"/>
      <c r="FI8802"/>
      <c r="FJ8802"/>
      <c r="FK8802"/>
      <c r="FL8802"/>
      <c r="FM8802"/>
      <c r="FN8802"/>
      <c r="FO8802"/>
      <c r="FP8802"/>
      <c r="FQ8802"/>
      <c r="FR8802"/>
      <c r="FS8802"/>
      <c r="FT8802"/>
      <c r="FU8802"/>
      <c r="FV8802"/>
      <c r="FW8802"/>
      <c r="FX8802"/>
      <c r="FY8802"/>
      <c r="FZ8802"/>
      <c r="GA8802"/>
      <c r="GB8802"/>
      <c r="GC8802"/>
      <c r="GD8802"/>
      <c r="GE8802"/>
      <c r="GF8802"/>
      <c r="GG8802"/>
      <c r="GH8802"/>
      <c r="GI8802"/>
      <c r="GJ8802"/>
      <c r="GK8802"/>
      <c r="GL8802"/>
      <c r="GM8802"/>
      <c r="GN8802"/>
      <c r="GO8802"/>
    </row>
    <row r="8803" spans="107:197">
      <c r="DC8803"/>
      <c r="FH8803"/>
      <c r="FI8803"/>
      <c r="FJ8803"/>
      <c r="FK8803"/>
      <c r="FL8803"/>
      <c r="FM8803"/>
      <c r="FN8803"/>
      <c r="FO8803"/>
      <c r="FP8803"/>
      <c r="FQ8803"/>
      <c r="FR8803"/>
      <c r="FS8803"/>
      <c r="FT8803"/>
      <c r="FU8803"/>
      <c r="FV8803"/>
      <c r="FW8803"/>
      <c r="FX8803"/>
      <c r="FY8803"/>
      <c r="FZ8803"/>
      <c r="GA8803"/>
      <c r="GB8803"/>
      <c r="GC8803"/>
      <c r="GD8803"/>
      <c r="GE8803"/>
      <c r="GF8803"/>
      <c r="GG8803"/>
      <c r="GH8803"/>
      <c r="GI8803"/>
      <c r="GJ8803"/>
      <c r="GK8803"/>
      <c r="GL8803"/>
      <c r="GM8803"/>
      <c r="GN8803"/>
      <c r="GO8803"/>
    </row>
    <row r="8804" spans="107:197">
      <c r="DC8804"/>
      <c r="FH8804"/>
      <c r="FI8804"/>
      <c r="FJ8804"/>
      <c r="FK8804"/>
      <c r="FL8804"/>
      <c r="FM8804"/>
      <c r="FN8804"/>
      <c r="FO8804"/>
      <c r="FP8804"/>
      <c r="FQ8804"/>
      <c r="FR8804"/>
      <c r="FS8804"/>
      <c r="FT8804"/>
      <c r="FU8804"/>
      <c r="FV8804"/>
      <c r="FW8804"/>
      <c r="FX8804"/>
      <c r="FY8804"/>
      <c r="FZ8804"/>
      <c r="GA8804"/>
      <c r="GB8804"/>
      <c r="GC8804"/>
      <c r="GD8804"/>
      <c r="GE8804"/>
      <c r="GF8804"/>
      <c r="GG8804"/>
      <c r="GH8804"/>
      <c r="GI8804"/>
      <c r="GJ8804"/>
      <c r="GK8804"/>
      <c r="GL8804"/>
      <c r="GM8804"/>
      <c r="GN8804"/>
      <c r="GO8804"/>
    </row>
    <row r="8805" spans="107:197">
      <c r="DC8805"/>
      <c r="FH8805"/>
      <c r="FI8805"/>
      <c r="FJ8805"/>
      <c r="FK8805"/>
      <c r="FL8805"/>
      <c r="FM8805"/>
      <c r="FN8805"/>
      <c r="FO8805"/>
      <c r="FP8805"/>
      <c r="FQ8805"/>
      <c r="FR8805"/>
      <c r="FS8805"/>
      <c r="FT8805"/>
      <c r="FU8805"/>
      <c r="FV8805"/>
      <c r="FW8805"/>
      <c r="FX8805"/>
      <c r="FY8805"/>
      <c r="FZ8805"/>
      <c r="GA8805"/>
      <c r="GB8805"/>
      <c r="GC8805"/>
      <c r="GD8805"/>
      <c r="GE8805"/>
      <c r="GF8805"/>
      <c r="GG8805"/>
      <c r="GH8805"/>
      <c r="GI8805"/>
      <c r="GJ8805"/>
      <c r="GK8805"/>
      <c r="GL8805"/>
      <c r="GM8805"/>
      <c r="GN8805"/>
      <c r="GO8805"/>
    </row>
    <row r="8806" spans="107:197">
      <c r="DC8806"/>
      <c r="FH8806"/>
      <c r="FI8806"/>
      <c r="FJ8806"/>
      <c r="FK8806"/>
      <c r="FL8806"/>
      <c r="FM8806"/>
      <c r="FN8806"/>
      <c r="FO8806"/>
      <c r="FP8806"/>
      <c r="FQ8806"/>
      <c r="FR8806"/>
      <c r="FS8806"/>
      <c r="FT8806"/>
      <c r="FU8806"/>
      <c r="FV8806"/>
      <c r="FW8806"/>
      <c r="FX8806"/>
      <c r="FY8806"/>
      <c r="FZ8806"/>
      <c r="GA8806"/>
      <c r="GB8806"/>
      <c r="GC8806"/>
      <c r="GD8806"/>
      <c r="GE8806"/>
      <c r="GF8806"/>
      <c r="GG8806"/>
      <c r="GH8806"/>
      <c r="GI8806"/>
      <c r="GJ8806"/>
      <c r="GK8806"/>
      <c r="GL8806"/>
      <c r="GM8806"/>
      <c r="GN8806"/>
      <c r="GO8806"/>
    </row>
    <row r="8807" spans="107:197">
      <c r="DC8807"/>
      <c r="FH8807"/>
      <c r="FI8807"/>
      <c r="FJ8807"/>
      <c r="FK8807"/>
      <c r="FL8807"/>
      <c r="FM8807"/>
      <c r="FN8807"/>
      <c r="FO8807"/>
      <c r="FP8807"/>
      <c r="FQ8807"/>
      <c r="FR8807"/>
      <c r="FS8807"/>
      <c r="FT8807"/>
      <c r="FU8807"/>
      <c r="FV8807"/>
      <c r="FW8807"/>
      <c r="FX8807"/>
      <c r="FY8807"/>
      <c r="FZ8807"/>
      <c r="GA8807"/>
      <c r="GB8807"/>
      <c r="GC8807"/>
      <c r="GD8807"/>
      <c r="GE8807"/>
      <c r="GF8807"/>
      <c r="GG8807"/>
      <c r="GH8807"/>
      <c r="GI8807"/>
      <c r="GJ8807"/>
      <c r="GK8807"/>
      <c r="GL8807"/>
      <c r="GM8807"/>
      <c r="GN8807"/>
      <c r="GO8807"/>
    </row>
    <row r="8808" spans="107:197">
      <c r="DC8808"/>
      <c r="FH8808"/>
      <c r="FI8808"/>
      <c r="FJ8808"/>
      <c r="FK8808"/>
      <c r="FL8808"/>
      <c r="FM8808"/>
      <c r="FN8808"/>
      <c r="FO8808"/>
      <c r="FP8808"/>
      <c r="FQ8808"/>
      <c r="FR8808"/>
      <c r="FS8808"/>
      <c r="FT8808"/>
      <c r="FU8808"/>
      <c r="FV8808"/>
      <c r="FW8808"/>
      <c r="FX8808"/>
      <c r="FY8808"/>
      <c r="FZ8808"/>
      <c r="GA8808"/>
      <c r="GB8808"/>
      <c r="GC8808"/>
      <c r="GD8808"/>
      <c r="GE8808"/>
      <c r="GF8808"/>
      <c r="GG8808"/>
      <c r="GH8808"/>
      <c r="GI8808"/>
      <c r="GJ8808"/>
      <c r="GK8808"/>
      <c r="GL8808"/>
      <c r="GM8808"/>
      <c r="GN8808"/>
      <c r="GO8808"/>
    </row>
    <row r="8809" spans="107:197">
      <c r="DC8809"/>
      <c r="FH8809"/>
      <c r="FI8809"/>
      <c r="FJ8809"/>
      <c r="FK8809"/>
      <c r="FL8809"/>
      <c r="FM8809"/>
      <c r="FN8809"/>
      <c r="FO8809"/>
      <c r="FP8809"/>
      <c r="FQ8809"/>
      <c r="FR8809"/>
      <c r="FS8809"/>
      <c r="FT8809"/>
      <c r="FU8809"/>
      <c r="FV8809"/>
      <c r="FW8809"/>
      <c r="FX8809"/>
      <c r="FY8809"/>
      <c r="FZ8809"/>
      <c r="GA8809"/>
      <c r="GB8809"/>
      <c r="GC8809"/>
      <c r="GD8809"/>
      <c r="GE8809"/>
      <c r="GF8809"/>
      <c r="GG8809"/>
      <c r="GH8809"/>
      <c r="GI8809"/>
      <c r="GJ8809"/>
      <c r="GK8809"/>
      <c r="GL8809"/>
      <c r="GM8809"/>
      <c r="GN8809"/>
      <c r="GO8809"/>
    </row>
    <row r="8810" spans="107:197">
      <c r="DC8810"/>
      <c r="FH8810"/>
      <c r="FI8810"/>
      <c r="FJ8810"/>
      <c r="FK8810"/>
      <c r="FL8810"/>
      <c r="FM8810"/>
      <c r="FN8810"/>
      <c r="FO8810"/>
      <c r="FP8810"/>
      <c r="FQ8810"/>
      <c r="FR8810"/>
      <c r="FS8810"/>
      <c r="FT8810"/>
      <c r="FU8810"/>
      <c r="FV8810"/>
      <c r="FW8810"/>
      <c r="FX8810"/>
      <c r="FY8810"/>
      <c r="FZ8810"/>
      <c r="GA8810"/>
      <c r="GB8810"/>
      <c r="GC8810"/>
      <c r="GD8810"/>
      <c r="GE8810"/>
      <c r="GF8810"/>
      <c r="GG8810"/>
      <c r="GH8810"/>
      <c r="GI8810"/>
      <c r="GJ8810"/>
      <c r="GK8810"/>
      <c r="GL8810"/>
      <c r="GM8810"/>
      <c r="GN8810"/>
      <c r="GO8810"/>
    </row>
    <row r="8811" spans="107:197">
      <c r="DC8811"/>
      <c r="FH8811"/>
      <c r="FI8811"/>
      <c r="FJ8811"/>
      <c r="FK8811"/>
      <c r="FL8811"/>
      <c r="FM8811"/>
      <c r="FN8811"/>
      <c r="FO8811"/>
      <c r="FP8811"/>
      <c r="FQ8811"/>
      <c r="FR8811"/>
      <c r="FS8811"/>
      <c r="FT8811"/>
      <c r="FU8811"/>
      <c r="FV8811"/>
      <c r="FW8811"/>
      <c r="FX8811"/>
      <c r="FY8811"/>
      <c r="FZ8811"/>
      <c r="GA8811"/>
      <c r="GB8811"/>
      <c r="GC8811"/>
      <c r="GD8811"/>
      <c r="GE8811"/>
      <c r="GF8811"/>
      <c r="GG8811"/>
      <c r="GH8811"/>
      <c r="GI8811"/>
      <c r="GJ8811"/>
      <c r="GK8811"/>
      <c r="GL8811"/>
      <c r="GM8811"/>
      <c r="GN8811"/>
      <c r="GO8811"/>
    </row>
    <row r="8812" spans="107:197">
      <c r="DC8812"/>
      <c r="FH8812"/>
      <c r="FI8812"/>
      <c r="FJ8812"/>
      <c r="FK8812"/>
      <c r="FL8812"/>
      <c r="FM8812"/>
      <c r="FN8812"/>
      <c r="FO8812"/>
      <c r="FP8812"/>
      <c r="FQ8812"/>
      <c r="FR8812"/>
      <c r="FS8812"/>
      <c r="FT8812"/>
      <c r="FU8812"/>
      <c r="FV8812"/>
      <c r="FW8812"/>
      <c r="FX8812"/>
      <c r="FY8812"/>
      <c r="FZ8812"/>
      <c r="GA8812"/>
      <c r="GB8812"/>
      <c r="GC8812"/>
      <c r="GD8812"/>
      <c r="GE8812"/>
      <c r="GF8812"/>
      <c r="GG8812"/>
      <c r="GH8812"/>
      <c r="GI8812"/>
      <c r="GJ8812"/>
      <c r="GK8812"/>
      <c r="GL8812"/>
      <c r="GM8812"/>
      <c r="GN8812"/>
      <c r="GO8812"/>
    </row>
    <row r="8813" spans="107:197">
      <c r="DC8813"/>
      <c r="FH8813"/>
      <c r="FI8813"/>
      <c r="FJ8813"/>
      <c r="FK8813"/>
      <c r="FL8813"/>
      <c r="FM8813"/>
      <c r="FN8813"/>
      <c r="FO8813"/>
      <c r="FP8813"/>
      <c r="FQ8813"/>
      <c r="FR8813"/>
      <c r="FS8813"/>
      <c r="FT8813"/>
      <c r="FU8813"/>
      <c r="FV8813"/>
      <c r="FW8813"/>
      <c r="FX8813"/>
      <c r="FY8813"/>
      <c r="FZ8813"/>
      <c r="GA8813"/>
      <c r="GB8813"/>
      <c r="GC8813"/>
      <c r="GD8813"/>
      <c r="GE8813"/>
      <c r="GF8813"/>
      <c r="GG8813"/>
      <c r="GH8813"/>
      <c r="GI8813"/>
      <c r="GJ8813"/>
      <c r="GK8813"/>
      <c r="GL8813"/>
      <c r="GM8813"/>
      <c r="GN8813"/>
      <c r="GO8813"/>
    </row>
    <row r="8814" spans="107:197">
      <c r="DC8814"/>
      <c r="FH8814"/>
      <c r="FI8814"/>
      <c r="FJ8814"/>
      <c r="FK8814"/>
      <c r="FL8814"/>
      <c r="FM8814"/>
      <c r="FN8814"/>
      <c r="FO8814"/>
      <c r="FP8814"/>
      <c r="FQ8814"/>
      <c r="FR8814"/>
      <c r="FS8814"/>
      <c r="FT8814"/>
      <c r="FU8814"/>
      <c r="FV8814"/>
      <c r="FW8814"/>
      <c r="FX8814"/>
      <c r="FY8814"/>
      <c r="FZ8814"/>
      <c r="GA8814"/>
      <c r="GB8814"/>
      <c r="GC8814"/>
      <c r="GD8814"/>
      <c r="GE8814"/>
      <c r="GF8814"/>
      <c r="GG8814"/>
      <c r="GH8814"/>
      <c r="GI8814"/>
      <c r="GJ8814"/>
      <c r="GK8814"/>
      <c r="GL8814"/>
      <c r="GM8814"/>
      <c r="GN8814"/>
      <c r="GO8814"/>
    </row>
    <row r="8815" spans="107:197">
      <c r="DC8815"/>
      <c r="FH8815"/>
      <c r="FI8815"/>
      <c r="FJ8815"/>
      <c r="FK8815"/>
      <c r="FL8815"/>
      <c r="FM8815"/>
      <c r="FN8815"/>
      <c r="FO8815"/>
      <c r="FP8815"/>
      <c r="FQ8815"/>
      <c r="FR8815"/>
      <c r="FS8815"/>
      <c r="FT8815"/>
      <c r="FU8815"/>
      <c r="FV8815"/>
      <c r="FW8815"/>
      <c r="FX8815"/>
      <c r="FY8815"/>
      <c r="FZ8815"/>
      <c r="GA8815"/>
      <c r="GB8815"/>
      <c r="GC8815"/>
      <c r="GD8815"/>
      <c r="GE8815"/>
      <c r="GF8815"/>
      <c r="GG8815"/>
      <c r="GH8815"/>
      <c r="GI8815"/>
      <c r="GJ8815"/>
      <c r="GK8815"/>
      <c r="GL8815"/>
      <c r="GM8815"/>
      <c r="GN8815"/>
      <c r="GO8815"/>
    </row>
    <row r="8816" spans="107:197">
      <c r="DC8816"/>
      <c r="FH8816"/>
      <c r="FI8816"/>
      <c r="FJ8816"/>
      <c r="FK8816"/>
      <c r="FL8816"/>
      <c r="FM8816"/>
      <c r="FN8816"/>
      <c r="FO8816"/>
      <c r="FP8816"/>
      <c r="FQ8816"/>
      <c r="FR8816"/>
      <c r="FS8816"/>
      <c r="FT8816"/>
      <c r="FU8816"/>
      <c r="FV8816"/>
      <c r="FW8816"/>
      <c r="FX8816"/>
      <c r="FY8816"/>
      <c r="FZ8816"/>
      <c r="GA8816"/>
      <c r="GB8816"/>
      <c r="GC8816"/>
      <c r="GD8816"/>
      <c r="GE8816"/>
      <c r="GF8816"/>
      <c r="GG8816"/>
      <c r="GH8816"/>
      <c r="GI8816"/>
      <c r="GJ8816"/>
      <c r="GK8816"/>
      <c r="GL8816"/>
      <c r="GM8816"/>
      <c r="GN8816"/>
      <c r="GO8816"/>
    </row>
    <row r="8817" spans="107:197">
      <c r="DC8817"/>
      <c r="FH8817"/>
      <c r="FI8817"/>
      <c r="FJ8817"/>
      <c r="FK8817"/>
      <c r="FL8817"/>
      <c r="FM8817"/>
      <c r="FN8817"/>
      <c r="FO8817"/>
      <c r="FP8817"/>
      <c r="FQ8817"/>
      <c r="FR8817"/>
      <c r="FS8817"/>
      <c r="FT8817"/>
      <c r="FU8817"/>
      <c r="FV8817"/>
      <c r="FW8817"/>
      <c r="FX8817"/>
      <c r="FY8817"/>
      <c r="FZ8817"/>
      <c r="GA8817"/>
      <c r="GB8817"/>
      <c r="GC8817"/>
      <c r="GD8817"/>
      <c r="GE8817"/>
      <c r="GF8817"/>
      <c r="GG8817"/>
      <c r="GH8817"/>
      <c r="GI8817"/>
      <c r="GJ8817"/>
      <c r="GK8817"/>
      <c r="GL8817"/>
      <c r="GM8817"/>
      <c r="GN8817"/>
      <c r="GO8817"/>
    </row>
    <row r="8818" spans="107:197">
      <c r="DC8818"/>
      <c r="FH8818"/>
      <c r="FI8818"/>
      <c r="FJ8818"/>
      <c r="FK8818"/>
      <c r="FL8818"/>
      <c r="FM8818"/>
      <c r="FN8818"/>
      <c r="FO8818"/>
      <c r="FP8818"/>
      <c r="FQ8818"/>
      <c r="FR8818"/>
      <c r="FS8818"/>
      <c r="FT8818"/>
      <c r="FU8818"/>
      <c r="FV8818"/>
      <c r="FW8818"/>
      <c r="FX8818"/>
      <c r="FY8818"/>
      <c r="FZ8818"/>
      <c r="GA8818"/>
      <c r="GB8818"/>
      <c r="GC8818"/>
      <c r="GD8818"/>
      <c r="GE8818"/>
      <c r="GF8818"/>
      <c r="GG8818"/>
      <c r="GH8818"/>
      <c r="GI8818"/>
      <c r="GJ8818"/>
      <c r="GK8818"/>
      <c r="GL8818"/>
      <c r="GM8818"/>
      <c r="GN8818"/>
      <c r="GO8818"/>
    </row>
    <row r="8819" spans="107:197">
      <c r="DC8819"/>
      <c r="FH8819"/>
      <c r="FI8819"/>
      <c r="FJ8819"/>
      <c r="FK8819"/>
      <c r="FL8819"/>
      <c r="FM8819"/>
      <c r="FN8819"/>
      <c r="FO8819"/>
      <c r="FP8819"/>
      <c r="FQ8819"/>
      <c r="FR8819"/>
      <c r="FS8819"/>
      <c r="FT8819"/>
      <c r="FU8819"/>
      <c r="FV8819"/>
      <c r="FW8819"/>
      <c r="FX8819"/>
      <c r="FY8819"/>
      <c r="FZ8819"/>
      <c r="GA8819"/>
      <c r="GB8819"/>
      <c r="GC8819"/>
      <c r="GD8819"/>
      <c r="GE8819"/>
      <c r="GF8819"/>
      <c r="GG8819"/>
      <c r="GH8819"/>
      <c r="GI8819"/>
      <c r="GJ8819"/>
      <c r="GK8819"/>
      <c r="GL8819"/>
      <c r="GM8819"/>
      <c r="GN8819"/>
      <c r="GO8819"/>
    </row>
    <row r="8820" spans="107:197">
      <c r="DC8820"/>
      <c r="FH8820"/>
      <c r="FI8820"/>
      <c r="FJ8820"/>
      <c r="FK8820"/>
      <c r="FL8820"/>
      <c r="FM8820"/>
      <c r="FN8820"/>
      <c r="FO8820"/>
      <c r="FP8820"/>
      <c r="FQ8820"/>
      <c r="FR8820"/>
      <c r="FS8820"/>
      <c r="FT8820"/>
      <c r="FU8820"/>
      <c r="FV8820"/>
      <c r="FW8820"/>
      <c r="FX8820"/>
      <c r="FY8820"/>
      <c r="FZ8820"/>
      <c r="GA8820"/>
      <c r="GB8820"/>
      <c r="GC8820"/>
      <c r="GD8820"/>
      <c r="GE8820"/>
      <c r="GF8820"/>
      <c r="GG8820"/>
      <c r="GH8820"/>
      <c r="GI8820"/>
      <c r="GJ8820"/>
      <c r="GK8820"/>
      <c r="GL8820"/>
      <c r="GM8820"/>
      <c r="GN8820"/>
      <c r="GO8820"/>
    </row>
    <row r="8821" spans="107:197">
      <c r="DC8821"/>
      <c r="FH8821"/>
      <c r="FI8821"/>
      <c r="FJ8821"/>
      <c r="FK8821"/>
      <c r="FL8821"/>
      <c r="FM8821"/>
      <c r="FN8821"/>
      <c r="FO8821"/>
      <c r="FP8821"/>
      <c r="FQ8821"/>
      <c r="FR8821"/>
      <c r="FS8821"/>
      <c r="FT8821"/>
      <c r="FU8821"/>
      <c r="FV8821"/>
      <c r="FW8821"/>
      <c r="FX8821"/>
      <c r="FY8821"/>
      <c r="FZ8821"/>
      <c r="GA8821"/>
      <c r="GB8821"/>
      <c r="GC8821"/>
      <c r="GD8821"/>
      <c r="GE8821"/>
      <c r="GF8821"/>
      <c r="GG8821"/>
      <c r="GH8821"/>
      <c r="GI8821"/>
      <c r="GJ8821"/>
      <c r="GK8821"/>
      <c r="GL8821"/>
      <c r="GM8821"/>
      <c r="GN8821"/>
      <c r="GO8821"/>
    </row>
    <row r="8822" spans="107:197">
      <c r="DC8822"/>
      <c r="FH8822"/>
      <c r="FI8822"/>
      <c r="FJ8822"/>
      <c r="FK8822"/>
      <c r="FL8822"/>
      <c r="FM8822"/>
      <c r="FN8822"/>
      <c r="FO8822"/>
      <c r="FP8822"/>
      <c r="FQ8822"/>
      <c r="FR8822"/>
      <c r="FS8822"/>
      <c r="FT8822"/>
      <c r="FU8822"/>
      <c r="FV8822"/>
      <c r="FW8822"/>
      <c r="FX8822"/>
      <c r="FY8822"/>
      <c r="FZ8822"/>
      <c r="GA8822"/>
      <c r="GB8822"/>
      <c r="GC8822"/>
      <c r="GD8822"/>
      <c r="GE8822"/>
      <c r="GF8822"/>
      <c r="GG8822"/>
      <c r="GH8822"/>
      <c r="GI8822"/>
      <c r="GJ8822"/>
      <c r="GK8822"/>
      <c r="GL8822"/>
      <c r="GM8822"/>
      <c r="GN8822"/>
      <c r="GO8822"/>
    </row>
    <row r="8823" spans="107:197">
      <c r="DC8823"/>
      <c r="FH8823"/>
      <c r="FI8823"/>
      <c r="FJ8823"/>
      <c r="FK8823"/>
      <c r="FL8823"/>
      <c r="FM8823"/>
      <c r="FN8823"/>
      <c r="FO8823"/>
      <c r="FP8823"/>
      <c r="FQ8823"/>
      <c r="FR8823"/>
      <c r="FS8823"/>
      <c r="FT8823"/>
      <c r="FU8823"/>
      <c r="FV8823"/>
      <c r="FW8823"/>
      <c r="FX8823"/>
      <c r="FY8823"/>
      <c r="FZ8823"/>
      <c r="GA8823"/>
      <c r="GB8823"/>
      <c r="GC8823"/>
      <c r="GD8823"/>
      <c r="GE8823"/>
      <c r="GF8823"/>
      <c r="GG8823"/>
      <c r="GH8823"/>
      <c r="GI8823"/>
      <c r="GJ8823"/>
      <c r="GK8823"/>
      <c r="GL8823"/>
      <c r="GM8823"/>
      <c r="GN8823"/>
      <c r="GO8823"/>
    </row>
    <row r="8824" spans="107:197">
      <c r="DC8824"/>
      <c r="FH8824"/>
      <c r="FI8824"/>
      <c r="FJ8824"/>
      <c r="FK8824"/>
      <c r="FL8824"/>
      <c r="FM8824"/>
      <c r="FN8824"/>
      <c r="FO8824"/>
      <c r="FP8824"/>
      <c r="FQ8824"/>
      <c r="FR8824"/>
      <c r="FS8824"/>
      <c r="FT8824"/>
      <c r="FU8824"/>
      <c r="FV8824"/>
      <c r="FW8824"/>
      <c r="FX8824"/>
      <c r="FY8824"/>
      <c r="FZ8824"/>
      <c r="GA8824"/>
      <c r="GB8824"/>
      <c r="GC8824"/>
      <c r="GD8824"/>
      <c r="GE8824"/>
      <c r="GF8824"/>
      <c r="GG8824"/>
      <c r="GH8824"/>
      <c r="GI8824"/>
      <c r="GJ8824"/>
      <c r="GK8824"/>
      <c r="GL8824"/>
      <c r="GM8824"/>
      <c r="GN8824"/>
      <c r="GO8824"/>
    </row>
    <row r="8825" spans="107:197">
      <c r="DC8825"/>
      <c r="FH8825"/>
      <c r="FI8825"/>
      <c r="FJ8825"/>
      <c r="FK8825"/>
      <c r="FL8825"/>
      <c r="FM8825"/>
      <c r="FN8825"/>
      <c r="FO8825"/>
      <c r="FP8825"/>
      <c r="FQ8825"/>
      <c r="FR8825"/>
      <c r="FS8825"/>
      <c r="FT8825"/>
      <c r="FU8825"/>
      <c r="FV8825"/>
      <c r="FW8825"/>
      <c r="FX8825"/>
      <c r="FY8825"/>
      <c r="FZ8825"/>
      <c r="GA8825"/>
      <c r="GB8825"/>
      <c r="GC8825"/>
      <c r="GD8825"/>
      <c r="GE8825"/>
      <c r="GF8825"/>
      <c r="GG8825"/>
      <c r="GH8825"/>
      <c r="GI8825"/>
      <c r="GJ8825"/>
      <c r="GK8825"/>
      <c r="GL8825"/>
      <c r="GM8825"/>
      <c r="GN8825"/>
      <c r="GO8825"/>
    </row>
    <row r="8826" spans="107:197">
      <c r="DC8826"/>
      <c r="FH8826"/>
      <c r="FI8826"/>
      <c r="FJ8826"/>
      <c r="FK8826"/>
      <c r="FL8826"/>
      <c r="FM8826"/>
      <c r="FN8826"/>
      <c r="FO8826"/>
      <c r="FP8826"/>
      <c r="FQ8826"/>
      <c r="FR8826"/>
      <c r="FS8826"/>
      <c r="FT8826"/>
      <c r="FU8826"/>
      <c r="FV8826"/>
      <c r="FW8826"/>
      <c r="FX8826"/>
      <c r="FY8826"/>
      <c r="FZ8826"/>
      <c r="GA8826"/>
      <c r="GB8826"/>
      <c r="GC8826"/>
      <c r="GD8826"/>
      <c r="GE8826"/>
      <c r="GF8826"/>
      <c r="GG8826"/>
      <c r="GH8826"/>
      <c r="GI8826"/>
      <c r="GJ8826"/>
      <c r="GK8826"/>
      <c r="GL8826"/>
      <c r="GM8826"/>
      <c r="GN8826"/>
      <c r="GO8826"/>
    </row>
    <row r="8827" spans="107:197">
      <c r="DC8827"/>
      <c r="FH8827"/>
      <c r="FI8827"/>
      <c r="FJ8827"/>
      <c r="FK8827"/>
      <c r="FL8827"/>
      <c r="FM8827"/>
      <c r="FN8827"/>
      <c r="FO8827"/>
      <c r="FP8827"/>
      <c r="FQ8827"/>
      <c r="FR8827"/>
      <c r="FS8827"/>
      <c r="FT8827"/>
      <c r="FU8827"/>
      <c r="FV8827"/>
      <c r="FW8827"/>
      <c r="FX8827"/>
      <c r="FY8827"/>
      <c r="FZ8827"/>
      <c r="GA8827"/>
      <c r="GB8827"/>
      <c r="GC8827"/>
      <c r="GD8827"/>
      <c r="GE8827"/>
      <c r="GF8827"/>
      <c r="GG8827"/>
      <c r="GH8827"/>
      <c r="GI8827"/>
      <c r="GJ8827"/>
      <c r="GK8827"/>
      <c r="GL8827"/>
      <c r="GM8827"/>
      <c r="GN8827"/>
      <c r="GO8827"/>
    </row>
    <row r="8828" spans="107:197">
      <c r="DC8828"/>
      <c r="FH8828"/>
      <c r="FI8828"/>
      <c r="FJ8828"/>
      <c r="FK8828"/>
      <c r="FL8828"/>
      <c r="FM8828"/>
      <c r="FN8828"/>
      <c r="FO8828"/>
      <c r="FP8828"/>
      <c r="FQ8828"/>
      <c r="FR8828"/>
      <c r="FS8828"/>
      <c r="FT8828"/>
      <c r="FU8828"/>
      <c r="FV8828"/>
      <c r="FW8828"/>
      <c r="FX8828"/>
      <c r="FY8828"/>
      <c r="FZ8828"/>
      <c r="GA8828"/>
      <c r="GB8828"/>
      <c r="GC8828"/>
      <c r="GD8828"/>
      <c r="GE8828"/>
      <c r="GF8828"/>
      <c r="GG8828"/>
      <c r="GH8828"/>
      <c r="GI8828"/>
      <c r="GJ8828"/>
      <c r="GK8828"/>
      <c r="GL8828"/>
      <c r="GM8828"/>
      <c r="GN8828"/>
      <c r="GO8828"/>
    </row>
    <row r="8829" spans="107:197">
      <c r="DC8829"/>
      <c r="FH8829"/>
      <c r="FI8829"/>
      <c r="FJ8829"/>
      <c r="FK8829"/>
      <c r="FL8829"/>
      <c r="FM8829"/>
      <c r="FN8829"/>
      <c r="FO8829"/>
      <c r="FP8829"/>
      <c r="FQ8829"/>
      <c r="FR8829"/>
      <c r="FS8829"/>
      <c r="FT8829"/>
      <c r="FU8829"/>
      <c r="FV8829"/>
      <c r="FW8829"/>
      <c r="FX8829"/>
      <c r="FY8829"/>
      <c r="FZ8829"/>
      <c r="GA8829"/>
      <c r="GB8829"/>
      <c r="GC8829"/>
      <c r="GD8829"/>
      <c r="GE8829"/>
      <c r="GF8829"/>
      <c r="GG8829"/>
      <c r="GH8829"/>
      <c r="GI8829"/>
      <c r="GJ8829"/>
      <c r="GK8829"/>
      <c r="GL8829"/>
      <c r="GM8829"/>
      <c r="GN8829"/>
      <c r="GO8829"/>
    </row>
    <row r="8830" spans="107:197">
      <c r="DC8830"/>
      <c r="FH8830"/>
      <c r="FI8830"/>
      <c r="FJ8830"/>
      <c r="FK8830"/>
      <c r="FL8830"/>
      <c r="FM8830"/>
      <c r="FN8830"/>
      <c r="FO8830"/>
      <c r="FP8830"/>
      <c r="FQ8830"/>
      <c r="FR8830"/>
      <c r="FS8830"/>
      <c r="FT8830"/>
      <c r="FU8830"/>
      <c r="FV8830"/>
      <c r="FW8830"/>
      <c r="FX8830"/>
      <c r="FY8830"/>
      <c r="FZ8830"/>
      <c r="GA8830"/>
      <c r="GB8830"/>
      <c r="GC8830"/>
      <c r="GD8830"/>
      <c r="GE8830"/>
      <c r="GF8830"/>
      <c r="GG8830"/>
      <c r="GH8830"/>
      <c r="GI8830"/>
      <c r="GJ8830"/>
      <c r="GK8830"/>
      <c r="GL8830"/>
      <c r="GM8830"/>
      <c r="GN8830"/>
      <c r="GO8830"/>
    </row>
    <row r="8831" spans="107:197">
      <c r="DC8831"/>
      <c r="FH8831"/>
      <c r="FI8831"/>
      <c r="FJ8831"/>
      <c r="FK8831"/>
      <c r="FL8831"/>
      <c r="FM8831"/>
      <c r="FN8831"/>
      <c r="FO8831"/>
      <c r="FP8831"/>
      <c r="FQ8831"/>
      <c r="FR8831"/>
      <c r="FS8831"/>
      <c r="FT8831"/>
      <c r="FU8831"/>
      <c r="FV8831"/>
      <c r="FW8831"/>
      <c r="FX8831"/>
      <c r="FY8831"/>
      <c r="FZ8831"/>
      <c r="GA8831"/>
      <c r="GB8831"/>
      <c r="GC8831"/>
      <c r="GD8831"/>
      <c r="GE8831"/>
      <c r="GF8831"/>
      <c r="GG8831"/>
      <c r="GH8831"/>
      <c r="GI8831"/>
      <c r="GJ8831"/>
      <c r="GK8831"/>
      <c r="GL8831"/>
      <c r="GM8831"/>
      <c r="GN8831"/>
      <c r="GO8831"/>
    </row>
    <row r="8832" spans="107:197">
      <c r="DC8832"/>
      <c r="FH8832"/>
      <c r="FI8832"/>
      <c r="FJ8832"/>
      <c r="FK8832"/>
      <c r="FL8832"/>
      <c r="FM8832"/>
      <c r="FN8832"/>
      <c r="FO8832"/>
      <c r="FP8832"/>
      <c r="FQ8832"/>
      <c r="FR8832"/>
      <c r="FS8832"/>
      <c r="FT8832"/>
      <c r="FU8832"/>
      <c r="FV8832"/>
      <c r="FW8832"/>
      <c r="FX8832"/>
      <c r="FY8832"/>
      <c r="FZ8832"/>
      <c r="GA8832"/>
      <c r="GB8832"/>
      <c r="GC8832"/>
      <c r="GD8832"/>
      <c r="GE8832"/>
      <c r="GF8832"/>
      <c r="GG8832"/>
      <c r="GH8832"/>
      <c r="GI8832"/>
      <c r="GJ8832"/>
      <c r="GK8832"/>
      <c r="GL8832"/>
      <c r="GM8832"/>
      <c r="GN8832"/>
      <c r="GO8832"/>
    </row>
    <row r="8833" spans="107:197">
      <c r="DC8833"/>
      <c r="FH8833"/>
      <c r="FI8833"/>
      <c r="FJ8833"/>
      <c r="FK8833"/>
      <c r="FL8833"/>
      <c r="FM8833"/>
      <c r="FN8833"/>
      <c r="FO8833"/>
      <c r="FP8833"/>
      <c r="FQ8833"/>
      <c r="FR8833"/>
      <c r="FS8833"/>
      <c r="FT8833"/>
      <c r="FU8833"/>
      <c r="FV8833"/>
      <c r="FW8833"/>
      <c r="FX8833"/>
      <c r="FY8833"/>
      <c r="FZ8833"/>
      <c r="GA8833"/>
      <c r="GB8833"/>
      <c r="GC8833"/>
      <c r="GD8833"/>
      <c r="GE8833"/>
      <c r="GF8833"/>
      <c r="GG8833"/>
      <c r="GH8833"/>
      <c r="GI8833"/>
      <c r="GJ8833"/>
      <c r="GK8833"/>
      <c r="GL8833"/>
      <c r="GM8833"/>
      <c r="GN8833"/>
      <c r="GO8833"/>
    </row>
    <row r="8834" spans="107:197">
      <c r="DC8834"/>
      <c r="FH8834"/>
      <c r="FI8834"/>
      <c r="FJ8834"/>
      <c r="FK8834"/>
      <c r="FL8834"/>
      <c r="FM8834"/>
      <c r="FN8834"/>
      <c r="FO8834"/>
      <c r="FP8834"/>
      <c r="FQ8834"/>
      <c r="FR8834"/>
      <c r="FS8834"/>
      <c r="FT8834"/>
      <c r="FU8834"/>
      <c r="FV8834"/>
      <c r="FW8834"/>
      <c r="FX8834"/>
      <c r="FY8834"/>
      <c r="FZ8834"/>
      <c r="GA8834"/>
      <c r="GB8834"/>
      <c r="GC8834"/>
      <c r="GD8834"/>
      <c r="GE8834"/>
      <c r="GF8834"/>
      <c r="GG8834"/>
      <c r="GH8834"/>
      <c r="GI8834"/>
      <c r="GJ8834"/>
      <c r="GK8834"/>
      <c r="GL8834"/>
      <c r="GM8834"/>
      <c r="GN8834"/>
      <c r="GO8834"/>
    </row>
    <row r="8835" spans="107:197">
      <c r="DC8835"/>
      <c r="FH8835"/>
      <c r="FI8835"/>
      <c r="FJ8835"/>
      <c r="FK8835"/>
      <c r="FL8835"/>
      <c r="FM8835"/>
      <c r="FN8835"/>
      <c r="FO8835"/>
      <c r="FP8835"/>
      <c r="FQ8835"/>
      <c r="FR8835"/>
      <c r="FS8835"/>
      <c r="FT8835"/>
      <c r="FU8835"/>
      <c r="FV8835"/>
      <c r="FW8835"/>
      <c r="FX8835"/>
      <c r="FY8835"/>
      <c r="FZ8835"/>
      <c r="GA8835"/>
      <c r="GB8835"/>
      <c r="GC8835"/>
      <c r="GD8835"/>
      <c r="GE8835"/>
      <c r="GF8835"/>
      <c r="GG8835"/>
      <c r="GH8835"/>
      <c r="GI8835"/>
      <c r="GJ8835"/>
      <c r="GK8835"/>
      <c r="GL8835"/>
      <c r="GM8835"/>
      <c r="GN8835"/>
      <c r="GO8835"/>
    </row>
    <row r="8836" spans="107:197">
      <c r="DC8836"/>
      <c r="FH8836"/>
      <c r="FI8836"/>
      <c r="FJ8836"/>
      <c r="FK8836"/>
      <c r="FL8836"/>
      <c r="FM8836"/>
      <c r="FN8836"/>
      <c r="FO8836"/>
      <c r="FP8836"/>
      <c r="FQ8836"/>
      <c r="FR8836"/>
      <c r="FS8836"/>
      <c r="FT8836"/>
      <c r="FU8836"/>
      <c r="FV8836"/>
      <c r="FW8836"/>
      <c r="FX8836"/>
      <c r="FY8836"/>
      <c r="FZ8836"/>
      <c r="GA8836"/>
      <c r="GB8836"/>
      <c r="GC8836"/>
      <c r="GD8836"/>
      <c r="GE8836"/>
      <c r="GF8836"/>
      <c r="GG8836"/>
      <c r="GH8836"/>
      <c r="GI8836"/>
      <c r="GJ8836"/>
      <c r="GK8836"/>
      <c r="GL8836"/>
      <c r="GM8836"/>
      <c r="GN8836"/>
      <c r="GO8836"/>
    </row>
    <row r="8837" spans="107:197">
      <c r="DC8837"/>
      <c r="FH8837"/>
      <c r="FI8837"/>
      <c r="FJ8837"/>
      <c r="FK8837"/>
      <c r="FL8837"/>
      <c r="FM8837"/>
      <c r="FN8837"/>
      <c r="FO8837"/>
      <c r="FP8837"/>
      <c r="FQ8837"/>
      <c r="FR8837"/>
      <c r="FS8837"/>
      <c r="FT8837"/>
      <c r="FU8837"/>
      <c r="FV8837"/>
      <c r="FW8837"/>
      <c r="FX8837"/>
      <c r="FY8837"/>
      <c r="FZ8837"/>
      <c r="GA8837"/>
      <c r="GB8837"/>
      <c r="GC8837"/>
      <c r="GD8837"/>
      <c r="GE8837"/>
      <c r="GF8837"/>
      <c r="GG8837"/>
      <c r="GH8837"/>
      <c r="GI8837"/>
      <c r="GJ8837"/>
      <c r="GK8837"/>
      <c r="GL8837"/>
      <c r="GM8837"/>
      <c r="GN8837"/>
      <c r="GO8837"/>
    </row>
    <row r="8838" spans="107:197">
      <c r="DC8838"/>
      <c r="FH8838"/>
      <c r="FI8838"/>
      <c r="FJ8838"/>
      <c r="FK8838"/>
      <c r="FL8838"/>
      <c r="FM8838"/>
      <c r="FN8838"/>
      <c r="FO8838"/>
      <c r="FP8838"/>
      <c r="FQ8838"/>
      <c r="FR8838"/>
      <c r="FS8838"/>
      <c r="FT8838"/>
      <c r="FU8838"/>
      <c r="FV8838"/>
      <c r="FW8838"/>
      <c r="FX8838"/>
      <c r="FY8838"/>
      <c r="FZ8838"/>
      <c r="GA8838"/>
      <c r="GB8838"/>
      <c r="GC8838"/>
      <c r="GD8838"/>
      <c r="GE8838"/>
      <c r="GF8838"/>
      <c r="GG8838"/>
      <c r="GH8838"/>
      <c r="GI8838"/>
      <c r="GJ8838"/>
      <c r="GK8838"/>
      <c r="GL8838"/>
      <c r="GM8838"/>
      <c r="GN8838"/>
      <c r="GO8838"/>
    </row>
    <row r="8839" spans="107:197">
      <c r="DC8839"/>
      <c r="FH8839"/>
      <c r="FI8839"/>
      <c r="FJ8839"/>
      <c r="FK8839"/>
      <c r="FL8839"/>
      <c r="FM8839"/>
      <c r="FN8839"/>
      <c r="FO8839"/>
      <c r="FP8839"/>
      <c r="FQ8839"/>
      <c r="FR8839"/>
      <c r="FS8839"/>
      <c r="FT8839"/>
      <c r="FU8839"/>
      <c r="FV8839"/>
      <c r="FW8839"/>
      <c r="FX8839"/>
      <c r="FY8839"/>
      <c r="FZ8839"/>
      <c r="GA8839"/>
      <c r="GB8839"/>
      <c r="GC8839"/>
      <c r="GD8839"/>
      <c r="GE8839"/>
      <c r="GF8839"/>
      <c r="GG8839"/>
      <c r="GH8839"/>
      <c r="GI8839"/>
      <c r="GJ8839"/>
      <c r="GK8839"/>
      <c r="GL8839"/>
      <c r="GM8839"/>
      <c r="GN8839"/>
      <c r="GO8839"/>
    </row>
    <row r="8840" spans="107:197">
      <c r="DC8840"/>
      <c r="FH8840"/>
      <c r="FI8840"/>
      <c r="FJ8840"/>
      <c r="FK8840"/>
      <c r="FL8840"/>
      <c r="FM8840"/>
      <c r="FN8840"/>
      <c r="FO8840"/>
      <c r="FP8840"/>
      <c r="FQ8840"/>
      <c r="FR8840"/>
      <c r="FS8840"/>
      <c r="FT8840"/>
      <c r="FU8840"/>
      <c r="FV8840"/>
      <c r="FW8840"/>
      <c r="FX8840"/>
      <c r="FY8840"/>
      <c r="FZ8840"/>
      <c r="GA8840"/>
      <c r="GB8840"/>
      <c r="GC8840"/>
      <c r="GD8840"/>
      <c r="GE8840"/>
      <c r="GF8840"/>
      <c r="GG8840"/>
      <c r="GH8840"/>
      <c r="GI8840"/>
      <c r="GJ8840"/>
      <c r="GK8840"/>
      <c r="GL8840"/>
      <c r="GM8840"/>
      <c r="GN8840"/>
      <c r="GO8840"/>
    </row>
    <row r="8841" spans="107:197">
      <c r="DC8841"/>
      <c r="FH8841"/>
      <c r="FI8841"/>
      <c r="FJ8841"/>
      <c r="FK8841"/>
      <c r="FL8841"/>
      <c r="FM8841"/>
      <c r="FN8841"/>
      <c r="FO8841"/>
      <c r="FP8841"/>
      <c r="FQ8841"/>
      <c r="FR8841"/>
      <c r="FS8841"/>
      <c r="FT8841"/>
      <c r="FU8841"/>
      <c r="FV8841"/>
      <c r="FW8841"/>
      <c r="FX8841"/>
      <c r="FY8841"/>
      <c r="FZ8841"/>
      <c r="GA8841"/>
      <c r="GB8841"/>
      <c r="GC8841"/>
      <c r="GD8841"/>
      <c r="GE8841"/>
      <c r="GF8841"/>
      <c r="GG8841"/>
      <c r="GH8841"/>
      <c r="GI8841"/>
      <c r="GJ8841"/>
      <c r="GK8841"/>
      <c r="GL8841"/>
      <c r="GM8841"/>
      <c r="GN8841"/>
      <c r="GO8841"/>
    </row>
    <row r="8842" spans="107:197">
      <c r="DC8842"/>
      <c r="FH8842"/>
      <c r="FI8842"/>
      <c r="FJ8842"/>
      <c r="FK8842"/>
      <c r="FL8842"/>
      <c r="FM8842"/>
      <c r="FN8842"/>
      <c r="FO8842"/>
      <c r="FP8842"/>
      <c r="FQ8842"/>
      <c r="FR8842"/>
      <c r="FS8842"/>
      <c r="FT8842"/>
      <c r="FU8842"/>
      <c r="FV8842"/>
      <c r="FW8842"/>
      <c r="FX8842"/>
      <c r="FY8842"/>
      <c r="FZ8842"/>
      <c r="GA8842"/>
      <c r="GB8842"/>
      <c r="GC8842"/>
      <c r="GD8842"/>
      <c r="GE8842"/>
      <c r="GF8842"/>
      <c r="GG8842"/>
      <c r="GH8842"/>
      <c r="GI8842"/>
      <c r="GJ8842"/>
      <c r="GK8842"/>
      <c r="GL8842"/>
      <c r="GM8842"/>
      <c r="GN8842"/>
      <c r="GO8842"/>
    </row>
    <row r="8843" spans="107:197">
      <c r="DC8843"/>
      <c r="FH8843"/>
      <c r="FI8843"/>
      <c r="FJ8843"/>
      <c r="FK8843"/>
      <c r="FL8843"/>
      <c r="FM8843"/>
      <c r="FN8843"/>
      <c r="FO8843"/>
      <c r="FP8843"/>
      <c r="FQ8843"/>
      <c r="FR8843"/>
      <c r="FS8843"/>
      <c r="FT8843"/>
      <c r="FU8843"/>
      <c r="FV8843"/>
      <c r="FW8843"/>
      <c r="FX8843"/>
      <c r="FY8843"/>
      <c r="FZ8843"/>
      <c r="GA8843"/>
      <c r="GB8843"/>
      <c r="GC8843"/>
      <c r="GD8843"/>
      <c r="GE8843"/>
      <c r="GF8843"/>
      <c r="GG8843"/>
      <c r="GH8843"/>
      <c r="GI8843"/>
      <c r="GJ8843"/>
      <c r="GK8843"/>
      <c r="GL8843"/>
      <c r="GM8843"/>
      <c r="GN8843"/>
      <c r="GO8843"/>
    </row>
    <row r="8844" spans="107:197">
      <c r="DC8844"/>
      <c r="FH8844"/>
      <c r="FI8844"/>
      <c r="FJ8844"/>
      <c r="FK8844"/>
      <c r="FL8844"/>
      <c r="FM8844"/>
      <c r="FN8844"/>
      <c r="FO8844"/>
      <c r="FP8844"/>
      <c r="FQ8844"/>
      <c r="FR8844"/>
      <c r="FS8844"/>
      <c r="FT8844"/>
      <c r="FU8844"/>
      <c r="FV8844"/>
      <c r="FW8844"/>
      <c r="FX8844"/>
      <c r="FY8844"/>
      <c r="FZ8844"/>
      <c r="GA8844"/>
      <c r="GB8844"/>
      <c r="GC8844"/>
      <c r="GD8844"/>
      <c r="GE8844"/>
      <c r="GF8844"/>
      <c r="GG8844"/>
      <c r="GH8844"/>
      <c r="GI8844"/>
      <c r="GJ8844"/>
      <c r="GK8844"/>
      <c r="GL8844"/>
      <c r="GM8844"/>
      <c r="GN8844"/>
      <c r="GO8844"/>
    </row>
    <row r="8845" spans="107:197">
      <c r="DC8845"/>
      <c r="FH8845"/>
      <c r="FI8845"/>
      <c r="FJ8845"/>
      <c r="FK8845"/>
      <c r="FL8845"/>
      <c r="FM8845"/>
      <c r="FN8845"/>
      <c r="FO8845"/>
      <c r="FP8845"/>
      <c r="FQ8845"/>
      <c r="FR8845"/>
      <c r="FS8845"/>
      <c r="FT8845"/>
      <c r="FU8845"/>
      <c r="FV8845"/>
      <c r="FW8845"/>
      <c r="FX8845"/>
      <c r="FY8845"/>
      <c r="FZ8845"/>
      <c r="GA8845"/>
      <c r="GB8845"/>
      <c r="GC8845"/>
      <c r="GD8845"/>
      <c r="GE8845"/>
      <c r="GF8845"/>
      <c r="GG8845"/>
      <c r="GH8845"/>
      <c r="GI8845"/>
      <c r="GJ8845"/>
      <c r="GK8845"/>
      <c r="GL8845"/>
      <c r="GM8845"/>
      <c r="GN8845"/>
      <c r="GO8845"/>
    </row>
    <row r="8846" spans="107:197">
      <c r="DC8846"/>
      <c r="FH8846"/>
      <c r="FI8846"/>
      <c r="FJ8846"/>
      <c r="FK8846"/>
      <c r="FL8846"/>
      <c r="FM8846"/>
      <c r="FN8846"/>
      <c r="FO8846"/>
      <c r="FP8846"/>
      <c r="FQ8846"/>
      <c r="FR8846"/>
      <c r="FS8846"/>
      <c r="FT8846"/>
      <c r="FU8846"/>
      <c r="FV8846"/>
      <c r="FW8846"/>
      <c r="FX8846"/>
      <c r="FY8846"/>
      <c r="FZ8846"/>
      <c r="GA8846"/>
      <c r="GB8846"/>
      <c r="GC8846"/>
      <c r="GD8846"/>
      <c r="GE8846"/>
      <c r="GF8846"/>
      <c r="GG8846"/>
      <c r="GH8846"/>
      <c r="GI8846"/>
      <c r="GJ8846"/>
      <c r="GK8846"/>
      <c r="GL8846"/>
      <c r="GM8846"/>
      <c r="GN8846"/>
      <c r="GO8846"/>
    </row>
    <row r="8847" spans="107:197">
      <c r="DC8847"/>
      <c r="FH8847"/>
      <c r="FI8847"/>
      <c r="FJ8847"/>
      <c r="FK8847"/>
      <c r="FL8847"/>
      <c r="FM8847"/>
      <c r="FN8847"/>
      <c r="FO8847"/>
      <c r="FP8847"/>
      <c r="FQ8847"/>
      <c r="FR8847"/>
      <c r="FS8847"/>
      <c r="FT8847"/>
      <c r="FU8847"/>
      <c r="FV8847"/>
      <c r="FW8847"/>
      <c r="FX8847"/>
      <c r="FY8847"/>
      <c r="FZ8847"/>
      <c r="GA8847"/>
      <c r="GB8847"/>
      <c r="GC8847"/>
      <c r="GD8847"/>
      <c r="GE8847"/>
      <c r="GF8847"/>
      <c r="GG8847"/>
      <c r="GH8847"/>
      <c r="GI8847"/>
      <c r="GJ8847"/>
      <c r="GK8847"/>
      <c r="GL8847"/>
      <c r="GM8847"/>
      <c r="GN8847"/>
      <c r="GO8847"/>
    </row>
    <row r="8848" spans="107:197">
      <c r="DC8848"/>
      <c r="FH8848"/>
      <c r="FI8848"/>
      <c r="FJ8848"/>
      <c r="FK8848"/>
      <c r="FL8848"/>
      <c r="FM8848"/>
      <c r="FN8848"/>
      <c r="FO8848"/>
      <c r="FP8848"/>
      <c r="FQ8848"/>
      <c r="FR8848"/>
      <c r="FS8848"/>
      <c r="FT8848"/>
      <c r="FU8848"/>
      <c r="FV8848"/>
      <c r="FW8848"/>
      <c r="FX8848"/>
      <c r="FY8848"/>
      <c r="FZ8848"/>
      <c r="GA8848"/>
      <c r="GB8848"/>
      <c r="GC8848"/>
      <c r="GD8848"/>
      <c r="GE8848"/>
      <c r="GF8848"/>
      <c r="GG8848"/>
      <c r="GH8848"/>
      <c r="GI8848"/>
      <c r="GJ8848"/>
      <c r="GK8848"/>
      <c r="GL8848"/>
      <c r="GM8848"/>
      <c r="GN8848"/>
      <c r="GO8848"/>
    </row>
    <row r="8849" spans="107:197">
      <c r="DC8849"/>
      <c r="FH8849"/>
      <c r="FI8849"/>
      <c r="FJ8849"/>
      <c r="FK8849"/>
      <c r="FL8849"/>
      <c r="FM8849"/>
      <c r="FN8849"/>
      <c r="FO8849"/>
      <c r="FP8849"/>
      <c r="FQ8849"/>
      <c r="FR8849"/>
      <c r="FS8849"/>
      <c r="FT8849"/>
      <c r="FU8849"/>
      <c r="FV8849"/>
      <c r="FW8849"/>
      <c r="FX8849"/>
      <c r="FY8849"/>
      <c r="FZ8849"/>
      <c r="GA8849"/>
      <c r="GB8849"/>
      <c r="GC8849"/>
      <c r="GD8849"/>
      <c r="GE8849"/>
      <c r="GF8849"/>
      <c r="GG8849"/>
      <c r="GH8849"/>
      <c r="GI8849"/>
      <c r="GJ8849"/>
      <c r="GK8849"/>
      <c r="GL8849"/>
      <c r="GM8849"/>
      <c r="GN8849"/>
      <c r="GO8849"/>
    </row>
    <row r="8850" spans="107:197">
      <c r="DC8850"/>
      <c r="FH8850"/>
      <c r="FI8850"/>
      <c r="FJ8850"/>
      <c r="FK8850"/>
      <c r="FL8850"/>
      <c r="FM8850"/>
      <c r="FN8850"/>
      <c r="FO8850"/>
      <c r="FP8850"/>
      <c r="FQ8850"/>
      <c r="FR8850"/>
      <c r="FS8850"/>
      <c r="FT8850"/>
      <c r="FU8850"/>
      <c r="FV8850"/>
      <c r="FW8850"/>
      <c r="FX8850"/>
      <c r="FY8850"/>
      <c r="FZ8850"/>
      <c r="GA8850"/>
      <c r="GB8850"/>
      <c r="GC8850"/>
      <c r="GD8850"/>
      <c r="GE8850"/>
      <c r="GF8850"/>
      <c r="GG8850"/>
      <c r="GH8850"/>
      <c r="GI8850"/>
      <c r="GJ8850"/>
      <c r="GK8850"/>
      <c r="GL8850"/>
      <c r="GM8850"/>
      <c r="GN8850"/>
      <c r="GO8850"/>
    </row>
    <row r="8851" spans="107:197">
      <c r="DC8851"/>
      <c r="FH8851"/>
      <c r="FI8851"/>
      <c r="FJ8851"/>
      <c r="FK8851"/>
      <c r="FL8851"/>
      <c r="FM8851"/>
      <c r="FN8851"/>
      <c r="FO8851"/>
      <c r="FP8851"/>
      <c r="FQ8851"/>
      <c r="FR8851"/>
      <c r="FS8851"/>
      <c r="FT8851"/>
      <c r="FU8851"/>
      <c r="FV8851"/>
      <c r="FW8851"/>
      <c r="FX8851"/>
      <c r="FY8851"/>
      <c r="FZ8851"/>
      <c r="GA8851"/>
      <c r="GB8851"/>
      <c r="GC8851"/>
      <c r="GD8851"/>
      <c r="GE8851"/>
      <c r="GF8851"/>
      <c r="GG8851"/>
      <c r="GH8851"/>
      <c r="GI8851"/>
      <c r="GJ8851"/>
      <c r="GK8851"/>
      <c r="GL8851"/>
      <c r="GM8851"/>
      <c r="GN8851"/>
      <c r="GO8851"/>
    </row>
    <row r="8852" spans="107:197">
      <c r="DC8852"/>
      <c r="FH8852"/>
      <c r="FI8852"/>
      <c r="FJ8852"/>
      <c r="FK8852"/>
      <c r="FL8852"/>
      <c r="FM8852"/>
      <c r="FN8852"/>
      <c r="FO8852"/>
      <c r="FP8852"/>
      <c r="FQ8852"/>
      <c r="FR8852"/>
      <c r="FS8852"/>
      <c r="FT8852"/>
      <c r="FU8852"/>
      <c r="FV8852"/>
      <c r="FW8852"/>
      <c r="FX8852"/>
      <c r="FY8852"/>
      <c r="FZ8852"/>
      <c r="GA8852"/>
      <c r="GB8852"/>
      <c r="GC8852"/>
      <c r="GD8852"/>
      <c r="GE8852"/>
      <c r="GF8852"/>
      <c r="GG8852"/>
      <c r="GH8852"/>
      <c r="GI8852"/>
      <c r="GJ8852"/>
      <c r="GK8852"/>
      <c r="GL8852"/>
      <c r="GM8852"/>
      <c r="GN8852"/>
      <c r="GO8852"/>
    </row>
    <row r="8853" spans="107:197">
      <c r="DC8853"/>
      <c r="FH8853"/>
      <c r="FI8853"/>
      <c r="FJ8853"/>
      <c r="FK8853"/>
      <c r="FL8853"/>
      <c r="FM8853"/>
      <c r="FN8853"/>
      <c r="FO8853"/>
      <c r="FP8853"/>
      <c r="FQ8853"/>
      <c r="FR8853"/>
      <c r="FS8853"/>
      <c r="FT8853"/>
      <c r="FU8853"/>
      <c r="FV8853"/>
      <c r="FW8853"/>
      <c r="FX8853"/>
      <c r="FY8853"/>
      <c r="FZ8853"/>
      <c r="GA8853"/>
      <c r="GB8853"/>
      <c r="GC8853"/>
      <c r="GD8853"/>
      <c r="GE8853"/>
      <c r="GF8853"/>
      <c r="GG8853"/>
      <c r="GH8853"/>
      <c r="GI8853"/>
      <c r="GJ8853"/>
      <c r="GK8853"/>
      <c r="GL8853"/>
      <c r="GM8853"/>
      <c r="GN8853"/>
      <c r="GO8853"/>
    </row>
    <row r="8854" spans="107:197">
      <c r="DC8854"/>
      <c r="FH8854"/>
      <c r="FI8854"/>
      <c r="FJ8854"/>
      <c r="FK8854"/>
      <c r="FL8854"/>
      <c r="FM8854"/>
      <c r="FN8854"/>
      <c r="FO8854"/>
      <c r="FP8854"/>
      <c r="FQ8854"/>
      <c r="FR8854"/>
      <c r="FS8854"/>
      <c r="FT8854"/>
      <c r="FU8854"/>
      <c r="FV8854"/>
      <c r="FW8854"/>
      <c r="FX8854"/>
      <c r="FY8854"/>
      <c r="FZ8854"/>
      <c r="GA8854"/>
      <c r="GB8854"/>
      <c r="GC8854"/>
      <c r="GD8854"/>
      <c r="GE8854"/>
      <c r="GF8854"/>
      <c r="GG8854"/>
      <c r="GH8854"/>
      <c r="GI8854"/>
      <c r="GJ8854"/>
      <c r="GK8854"/>
      <c r="GL8854"/>
      <c r="GM8854"/>
      <c r="GN8854"/>
      <c r="GO8854"/>
    </row>
    <row r="8855" spans="107:197">
      <c r="DC8855"/>
      <c r="FH8855"/>
      <c r="FI8855"/>
      <c r="FJ8855"/>
      <c r="FK8855"/>
      <c r="FL8855"/>
      <c r="FM8855"/>
      <c r="FN8855"/>
      <c r="FO8855"/>
      <c r="FP8855"/>
      <c r="FQ8855"/>
      <c r="FR8855"/>
      <c r="FS8855"/>
      <c r="FT8855"/>
      <c r="FU8855"/>
      <c r="FV8855"/>
      <c r="FW8855"/>
      <c r="FX8855"/>
      <c r="FY8855"/>
      <c r="FZ8855"/>
      <c r="GA8855"/>
      <c r="GB8855"/>
      <c r="GC8855"/>
      <c r="GD8855"/>
      <c r="GE8855"/>
      <c r="GF8855"/>
      <c r="GG8855"/>
      <c r="GH8855"/>
      <c r="GI8855"/>
      <c r="GJ8855"/>
      <c r="GK8855"/>
      <c r="GL8855"/>
      <c r="GM8855"/>
      <c r="GN8855"/>
      <c r="GO8855"/>
    </row>
    <row r="8856" spans="107:197">
      <c r="DC8856"/>
      <c r="FH8856"/>
      <c r="FI8856"/>
      <c r="FJ8856"/>
      <c r="FK8856"/>
      <c r="FL8856"/>
      <c r="FM8856"/>
      <c r="FN8856"/>
      <c r="FO8856"/>
      <c r="FP8856"/>
      <c r="FQ8856"/>
      <c r="FR8856"/>
      <c r="FS8856"/>
      <c r="FT8856"/>
      <c r="FU8856"/>
      <c r="FV8856"/>
      <c r="FW8856"/>
      <c r="FX8856"/>
      <c r="FY8856"/>
      <c r="FZ8856"/>
      <c r="GA8856"/>
      <c r="GB8856"/>
      <c r="GC8856"/>
      <c r="GD8856"/>
      <c r="GE8856"/>
      <c r="GF8856"/>
      <c r="GG8856"/>
      <c r="GH8856"/>
      <c r="GI8856"/>
      <c r="GJ8856"/>
      <c r="GK8856"/>
      <c r="GL8856"/>
      <c r="GM8856"/>
      <c r="GN8856"/>
      <c r="GO8856"/>
    </row>
    <row r="8857" spans="107:197">
      <c r="DC8857"/>
      <c r="FH8857"/>
      <c r="FI8857"/>
      <c r="FJ8857"/>
      <c r="FK8857"/>
      <c r="FL8857"/>
      <c r="FM8857"/>
      <c r="FN8857"/>
      <c r="FO8857"/>
      <c r="FP8857"/>
      <c r="FQ8857"/>
      <c r="FR8857"/>
      <c r="FS8857"/>
      <c r="FT8857"/>
      <c r="FU8857"/>
      <c r="FV8857"/>
      <c r="FW8857"/>
      <c r="FX8857"/>
      <c r="FY8857"/>
      <c r="FZ8857"/>
      <c r="GA8857"/>
      <c r="GB8857"/>
      <c r="GC8857"/>
      <c r="GD8857"/>
      <c r="GE8857"/>
      <c r="GF8857"/>
      <c r="GG8857"/>
      <c r="GH8857"/>
      <c r="GI8857"/>
      <c r="GJ8857"/>
      <c r="GK8857"/>
      <c r="GL8857"/>
      <c r="GM8857"/>
      <c r="GN8857"/>
      <c r="GO8857"/>
    </row>
    <row r="8858" spans="107:197">
      <c r="DC8858"/>
      <c r="FH8858"/>
      <c r="FI8858"/>
      <c r="FJ8858"/>
      <c r="FK8858"/>
      <c r="FL8858"/>
      <c r="FM8858"/>
      <c r="FN8858"/>
      <c r="FO8858"/>
      <c r="FP8858"/>
      <c r="FQ8858"/>
      <c r="FR8858"/>
      <c r="FS8858"/>
      <c r="FT8858"/>
      <c r="FU8858"/>
      <c r="FV8858"/>
      <c r="FW8858"/>
      <c r="FX8858"/>
      <c r="FY8858"/>
      <c r="FZ8858"/>
      <c r="GA8858"/>
      <c r="GB8858"/>
      <c r="GC8858"/>
      <c r="GD8858"/>
      <c r="GE8858"/>
      <c r="GF8858"/>
      <c r="GG8858"/>
      <c r="GH8858"/>
      <c r="GI8858"/>
      <c r="GJ8858"/>
      <c r="GK8858"/>
      <c r="GL8858"/>
      <c r="GM8858"/>
      <c r="GN8858"/>
      <c r="GO8858"/>
    </row>
    <row r="8859" spans="107:197">
      <c r="DC8859"/>
      <c r="FH8859"/>
      <c r="FI8859"/>
      <c r="FJ8859"/>
      <c r="FK8859"/>
      <c r="FL8859"/>
      <c r="FM8859"/>
      <c r="FN8859"/>
      <c r="FO8859"/>
      <c r="FP8859"/>
      <c r="FQ8859"/>
      <c r="FR8859"/>
      <c r="FS8859"/>
      <c r="FT8859"/>
      <c r="FU8859"/>
      <c r="FV8859"/>
      <c r="FW8859"/>
      <c r="FX8859"/>
      <c r="FY8859"/>
      <c r="FZ8859"/>
      <c r="GA8859"/>
      <c r="GB8859"/>
      <c r="GC8859"/>
      <c r="GD8859"/>
      <c r="GE8859"/>
      <c r="GF8859"/>
      <c r="GG8859"/>
      <c r="GH8859"/>
      <c r="GI8859"/>
      <c r="GJ8859"/>
      <c r="GK8859"/>
      <c r="GL8859"/>
      <c r="GM8859"/>
      <c r="GN8859"/>
      <c r="GO8859"/>
    </row>
    <row r="8860" spans="107:197">
      <c r="DC8860"/>
      <c r="FH8860"/>
      <c r="FI8860"/>
      <c r="FJ8860"/>
      <c r="FK8860"/>
      <c r="FL8860"/>
      <c r="FM8860"/>
      <c r="FN8860"/>
      <c r="FO8860"/>
      <c r="FP8860"/>
      <c r="FQ8860"/>
      <c r="FR8860"/>
      <c r="FS8860"/>
      <c r="FT8860"/>
      <c r="FU8860"/>
      <c r="FV8860"/>
      <c r="FW8860"/>
      <c r="FX8860"/>
      <c r="FY8860"/>
      <c r="FZ8860"/>
      <c r="GA8860"/>
      <c r="GB8860"/>
      <c r="GC8860"/>
      <c r="GD8860"/>
      <c r="GE8860"/>
      <c r="GF8860"/>
      <c r="GG8860"/>
      <c r="GH8860"/>
      <c r="GI8860"/>
      <c r="GJ8860"/>
      <c r="GK8860"/>
      <c r="GL8860"/>
      <c r="GM8860"/>
      <c r="GN8860"/>
      <c r="GO8860"/>
    </row>
    <row r="8861" spans="107:197">
      <c r="DC8861"/>
      <c r="FH8861"/>
      <c r="FI8861"/>
      <c r="FJ8861"/>
      <c r="FK8861"/>
      <c r="FL8861"/>
      <c r="FM8861"/>
      <c r="FN8861"/>
      <c r="FO8861"/>
      <c r="FP8861"/>
      <c r="FQ8861"/>
      <c r="FR8861"/>
      <c r="FS8861"/>
      <c r="FT8861"/>
      <c r="FU8861"/>
      <c r="FV8861"/>
      <c r="FW8861"/>
      <c r="FX8861"/>
      <c r="FY8861"/>
      <c r="FZ8861"/>
      <c r="GA8861"/>
      <c r="GB8861"/>
      <c r="GC8861"/>
      <c r="GD8861"/>
      <c r="GE8861"/>
      <c r="GF8861"/>
      <c r="GG8861"/>
      <c r="GH8861"/>
      <c r="GI8861"/>
      <c r="GJ8861"/>
      <c r="GK8861"/>
      <c r="GL8861"/>
      <c r="GM8861"/>
      <c r="GN8861"/>
      <c r="GO8861"/>
    </row>
    <row r="8862" spans="107:197">
      <c r="DC8862"/>
      <c r="FH8862"/>
      <c r="FI8862"/>
      <c r="FJ8862"/>
      <c r="FK8862"/>
      <c r="FL8862"/>
      <c r="FM8862"/>
      <c r="FN8862"/>
      <c r="FO8862"/>
      <c r="FP8862"/>
      <c r="FQ8862"/>
      <c r="FR8862"/>
      <c r="FS8862"/>
      <c r="FT8862"/>
      <c r="FU8862"/>
      <c r="FV8862"/>
      <c r="FW8862"/>
      <c r="FX8862"/>
      <c r="FY8862"/>
      <c r="FZ8862"/>
      <c r="GA8862"/>
      <c r="GB8862"/>
      <c r="GC8862"/>
      <c r="GD8862"/>
      <c r="GE8862"/>
      <c r="GF8862"/>
      <c r="GG8862"/>
      <c r="GH8862"/>
      <c r="GI8862"/>
      <c r="GJ8862"/>
      <c r="GK8862"/>
      <c r="GL8862"/>
      <c r="GM8862"/>
      <c r="GN8862"/>
      <c r="GO8862"/>
    </row>
    <row r="8863" spans="107:197">
      <c r="DC8863"/>
      <c r="FH8863"/>
      <c r="FI8863"/>
      <c r="FJ8863"/>
      <c r="FK8863"/>
      <c r="FL8863"/>
      <c r="FM8863"/>
      <c r="FN8863"/>
      <c r="FO8863"/>
      <c r="FP8863"/>
      <c r="FQ8863"/>
      <c r="FR8863"/>
      <c r="FS8863"/>
      <c r="FT8863"/>
      <c r="FU8863"/>
      <c r="FV8863"/>
      <c r="FW8863"/>
      <c r="FX8863"/>
      <c r="FY8863"/>
      <c r="FZ8863"/>
      <c r="GA8863"/>
      <c r="GB8863"/>
      <c r="GC8863"/>
      <c r="GD8863"/>
      <c r="GE8863"/>
      <c r="GF8863"/>
      <c r="GG8863"/>
      <c r="GH8863"/>
      <c r="GI8863"/>
      <c r="GJ8863"/>
      <c r="GK8863"/>
      <c r="GL8863"/>
      <c r="GM8863"/>
      <c r="GN8863"/>
      <c r="GO8863"/>
    </row>
    <row r="8864" spans="107:197">
      <c r="DC8864"/>
      <c r="FH8864"/>
      <c r="FI8864"/>
      <c r="FJ8864"/>
      <c r="FK8864"/>
      <c r="FL8864"/>
      <c r="FM8864"/>
      <c r="FN8864"/>
      <c r="FO8864"/>
      <c r="FP8864"/>
      <c r="FQ8864"/>
      <c r="FR8864"/>
      <c r="FS8864"/>
      <c r="FT8864"/>
      <c r="FU8864"/>
      <c r="FV8864"/>
      <c r="FW8864"/>
      <c r="FX8864"/>
      <c r="FY8864"/>
      <c r="FZ8864"/>
      <c r="GA8864"/>
      <c r="GB8864"/>
      <c r="GC8864"/>
      <c r="GD8864"/>
      <c r="GE8864"/>
      <c r="GF8864"/>
      <c r="GG8864"/>
      <c r="GH8864"/>
      <c r="GI8864"/>
      <c r="GJ8864"/>
      <c r="GK8864"/>
      <c r="GL8864"/>
      <c r="GM8864"/>
      <c r="GN8864"/>
      <c r="GO8864"/>
    </row>
    <row r="8865" spans="107:197">
      <c r="DC8865"/>
      <c r="FH8865"/>
      <c r="FI8865"/>
      <c r="FJ8865"/>
      <c r="FK8865"/>
      <c r="FL8865"/>
      <c r="FM8865"/>
      <c r="FN8865"/>
      <c r="FO8865"/>
      <c r="FP8865"/>
      <c r="FQ8865"/>
      <c r="FR8865"/>
      <c r="FS8865"/>
      <c r="FT8865"/>
      <c r="FU8865"/>
      <c r="FV8865"/>
      <c r="FW8865"/>
      <c r="FX8865"/>
      <c r="FY8865"/>
      <c r="FZ8865"/>
      <c r="GA8865"/>
      <c r="GB8865"/>
      <c r="GC8865"/>
      <c r="GD8865"/>
      <c r="GE8865"/>
      <c r="GF8865"/>
      <c r="GG8865"/>
      <c r="GH8865"/>
      <c r="GI8865"/>
      <c r="GJ8865"/>
      <c r="GK8865"/>
      <c r="GL8865"/>
      <c r="GM8865"/>
      <c r="GN8865"/>
      <c r="GO8865"/>
    </row>
    <row r="8866" spans="107:197">
      <c r="DC8866"/>
      <c r="FH8866"/>
      <c r="FI8866"/>
      <c r="FJ8866"/>
      <c r="FK8866"/>
      <c r="FL8866"/>
      <c r="FM8866"/>
      <c r="FN8866"/>
      <c r="FO8866"/>
      <c r="FP8866"/>
      <c r="FQ8866"/>
      <c r="FR8866"/>
      <c r="FS8866"/>
      <c r="FT8866"/>
      <c r="FU8866"/>
      <c r="FV8866"/>
      <c r="FW8866"/>
      <c r="FX8866"/>
      <c r="FY8866"/>
      <c r="FZ8866"/>
      <c r="GA8866"/>
      <c r="GB8866"/>
      <c r="GC8866"/>
      <c r="GD8866"/>
      <c r="GE8866"/>
      <c r="GF8866"/>
      <c r="GG8866"/>
      <c r="GH8866"/>
      <c r="GI8866"/>
      <c r="GJ8866"/>
      <c r="GK8866"/>
      <c r="GL8866"/>
      <c r="GM8866"/>
      <c r="GN8866"/>
      <c r="GO8866"/>
    </row>
    <row r="8867" spans="107:197">
      <c r="DC8867"/>
      <c r="FH8867"/>
      <c r="FI8867"/>
      <c r="FJ8867"/>
      <c r="FK8867"/>
      <c r="FL8867"/>
      <c r="FM8867"/>
      <c r="FN8867"/>
      <c r="FO8867"/>
      <c r="FP8867"/>
      <c r="FQ8867"/>
      <c r="FR8867"/>
      <c r="FS8867"/>
      <c r="FT8867"/>
      <c r="FU8867"/>
      <c r="FV8867"/>
      <c r="FW8867"/>
      <c r="FX8867"/>
      <c r="FY8867"/>
      <c r="FZ8867"/>
      <c r="GA8867"/>
      <c r="GB8867"/>
      <c r="GC8867"/>
      <c r="GD8867"/>
      <c r="GE8867"/>
      <c r="GF8867"/>
      <c r="GG8867"/>
      <c r="GH8867"/>
      <c r="GI8867"/>
      <c r="GJ8867"/>
      <c r="GK8867"/>
      <c r="GL8867"/>
      <c r="GM8867"/>
      <c r="GN8867"/>
      <c r="GO8867"/>
    </row>
    <row r="8868" spans="107:197">
      <c r="DC8868"/>
      <c r="FH8868"/>
      <c r="FI8868"/>
      <c r="FJ8868"/>
      <c r="FK8868"/>
      <c r="FL8868"/>
      <c r="FM8868"/>
      <c r="FN8868"/>
      <c r="FO8868"/>
      <c r="FP8868"/>
      <c r="FQ8868"/>
      <c r="FR8868"/>
      <c r="FS8868"/>
      <c r="FT8868"/>
      <c r="FU8868"/>
      <c r="FV8868"/>
      <c r="FW8868"/>
      <c r="FX8868"/>
      <c r="FY8868"/>
      <c r="FZ8868"/>
      <c r="GA8868"/>
      <c r="GB8868"/>
      <c r="GC8868"/>
      <c r="GD8868"/>
      <c r="GE8868"/>
      <c r="GF8868"/>
      <c r="GG8868"/>
      <c r="GH8868"/>
      <c r="GI8868"/>
      <c r="GJ8868"/>
      <c r="GK8868"/>
      <c r="GL8868"/>
      <c r="GM8868"/>
      <c r="GN8868"/>
      <c r="GO8868"/>
    </row>
    <row r="8869" spans="107:197">
      <c r="DC8869"/>
      <c r="FH8869"/>
      <c r="FI8869"/>
      <c r="FJ8869"/>
      <c r="FK8869"/>
      <c r="FL8869"/>
      <c r="FM8869"/>
      <c r="FN8869"/>
      <c r="FO8869"/>
      <c r="FP8869"/>
      <c r="FQ8869"/>
      <c r="FR8869"/>
      <c r="FS8869"/>
      <c r="FT8869"/>
      <c r="FU8869"/>
      <c r="FV8869"/>
      <c r="FW8869"/>
      <c r="FX8869"/>
      <c r="FY8869"/>
      <c r="FZ8869"/>
      <c r="GA8869"/>
      <c r="GB8869"/>
      <c r="GC8869"/>
      <c r="GD8869"/>
      <c r="GE8869"/>
      <c r="GF8869"/>
      <c r="GG8869"/>
      <c r="GH8869"/>
      <c r="GI8869"/>
      <c r="GJ8869"/>
      <c r="GK8869"/>
      <c r="GL8869"/>
      <c r="GM8869"/>
      <c r="GN8869"/>
      <c r="GO8869"/>
    </row>
    <row r="8870" spans="107:197">
      <c r="DC8870"/>
      <c r="FH8870"/>
      <c r="FI8870"/>
      <c r="FJ8870"/>
      <c r="FK8870"/>
      <c r="FL8870"/>
      <c r="FM8870"/>
      <c r="FN8870"/>
      <c r="FO8870"/>
      <c r="FP8870"/>
      <c r="FQ8870"/>
      <c r="FR8870"/>
      <c r="FS8870"/>
      <c r="FT8870"/>
      <c r="FU8870"/>
      <c r="FV8870"/>
      <c r="FW8870"/>
      <c r="FX8870"/>
      <c r="FY8870"/>
      <c r="FZ8870"/>
      <c r="GA8870"/>
      <c r="GB8870"/>
      <c r="GC8870"/>
      <c r="GD8870"/>
      <c r="GE8870"/>
      <c r="GF8870"/>
      <c r="GG8870"/>
      <c r="GH8870"/>
      <c r="GI8870"/>
      <c r="GJ8870"/>
      <c r="GK8870"/>
      <c r="GL8870"/>
      <c r="GM8870"/>
      <c r="GN8870"/>
      <c r="GO8870"/>
    </row>
    <row r="8871" spans="107:197">
      <c r="DC8871"/>
      <c r="FH8871"/>
      <c r="FI8871"/>
      <c r="FJ8871"/>
      <c r="FK8871"/>
      <c r="FL8871"/>
      <c r="FM8871"/>
      <c r="FN8871"/>
      <c r="FO8871"/>
      <c r="FP8871"/>
      <c r="FQ8871"/>
      <c r="FR8871"/>
      <c r="FS8871"/>
      <c r="FT8871"/>
      <c r="FU8871"/>
      <c r="FV8871"/>
      <c r="FW8871"/>
      <c r="FX8871"/>
      <c r="FY8871"/>
      <c r="FZ8871"/>
      <c r="GA8871"/>
      <c r="GB8871"/>
      <c r="GC8871"/>
      <c r="GD8871"/>
      <c r="GE8871"/>
      <c r="GF8871"/>
      <c r="GG8871"/>
      <c r="GH8871"/>
      <c r="GI8871"/>
      <c r="GJ8871"/>
      <c r="GK8871"/>
      <c r="GL8871"/>
      <c r="GM8871"/>
      <c r="GN8871"/>
      <c r="GO8871"/>
    </row>
    <row r="8872" spans="107:197">
      <c r="DC8872"/>
      <c r="FH8872"/>
      <c r="FI8872"/>
      <c r="FJ8872"/>
      <c r="FK8872"/>
      <c r="FL8872"/>
      <c r="FM8872"/>
      <c r="FN8872"/>
      <c r="FO8872"/>
      <c r="FP8872"/>
      <c r="FQ8872"/>
      <c r="FR8872"/>
      <c r="FS8872"/>
      <c r="FT8872"/>
      <c r="FU8872"/>
      <c r="FV8872"/>
      <c r="FW8872"/>
      <c r="FX8872"/>
      <c r="FY8872"/>
      <c r="FZ8872"/>
      <c r="GA8872"/>
      <c r="GB8872"/>
      <c r="GC8872"/>
      <c r="GD8872"/>
      <c r="GE8872"/>
      <c r="GF8872"/>
      <c r="GG8872"/>
      <c r="GH8872"/>
      <c r="GI8872"/>
      <c r="GJ8872"/>
      <c r="GK8872"/>
      <c r="GL8872"/>
      <c r="GM8872"/>
      <c r="GN8872"/>
      <c r="GO8872"/>
    </row>
    <row r="8873" spans="107:197">
      <c r="DC8873"/>
      <c r="FH8873"/>
      <c r="FI8873"/>
      <c r="FJ8873"/>
      <c r="FK8873"/>
      <c r="FL8873"/>
      <c r="FM8873"/>
      <c r="FN8873"/>
      <c r="FO8873"/>
      <c r="FP8873"/>
      <c r="FQ8873"/>
      <c r="FR8873"/>
      <c r="FS8873"/>
      <c r="FT8873"/>
      <c r="FU8873"/>
      <c r="FV8873"/>
      <c r="FW8873"/>
      <c r="FX8873"/>
      <c r="FY8873"/>
      <c r="FZ8873"/>
      <c r="GA8873"/>
      <c r="GB8873"/>
      <c r="GC8873"/>
      <c r="GD8873"/>
      <c r="GE8873"/>
      <c r="GF8873"/>
      <c r="GG8873"/>
      <c r="GH8873"/>
      <c r="GI8873"/>
      <c r="GJ8873"/>
      <c r="GK8873"/>
      <c r="GL8873"/>
      <c r="GM8873"/>
      <c r="GN8873"/>
      <c r="GO8873"/>
    </row>
    <row r="8874" spans="107:197">
      <c r="DC8874"/>
      <c r="FH8874"/>
      <c r="FI8874"/>
      <c r="FJ8874"/>
      <c r="FK8874"/>
      <c r="FL8874"/>
      <c r="FM8874"/>
      <c r="FN8874"/>
      <c r="FO8874"/>
      <c r="FP8874"/>
      <c r="FQ8874"/>
      <c r="FR8874"/>
      <c r="FS8874"/>
      <c r="FT8874"/>
      <c r="FU8874"/>
      <c r="FV8874"/>
      <c r="FW8874"/>
      <c r="FX8874"/>
      <c r="FY8874"/>
      <c r="FZ8874"/>
      <c r="GA8874"/>
      <c r="GB8874"/>
      <c r="GC8874"/>
      <c r="GD8874"/>
      <c r="GE8874"/>
      <c r="GF8874"/>
      <c r="GG8874"/>
      <c r="GH8874"/>
      <c r="GI8874"/>
      <c r="GJ8874"/>
      <c r="GK8874"/>
      <c r="GL8874"/>
      <c r="GM8874"/>
      <c r="GN8874"/>
      <c r="GO8874"/>
    </row>
    <row r="8875" spans="107:197">
      <c r="DC8875"/>
      <c r="FH8875"/>
      <c r="FI8875"/>
      <c r="FJ8875"/>
      <c r="FK8875"/>
      <c r="FL8875"/>
      <c r="FM8875"/>
      <c r="FN8875"/>
      <c r="FO8875"/>
      <c r="FP8875"/>
      <c r="FQ8875"/>
      <c r="FR8875"/>
      <c r="FS8875"/>
      <c r="FT8875"/>
      <c r="FU8875"/>
      <c r="FV8875"/>
      <c r="FW8875"/>
      <c r="FX8875"/>
      <c r="FY8875"/>
      <c r="FZ8875"/>
      <c r="GA8875"/>
      <c r="GB8875"/>
      <c r="GC8875"/>
      <c r="GD8875"/>
      <c r="GE8875"/>
      <c r="GF8875"/>
      <c r="GG8875"/>
      <c r="GH8875"/>
      <c r="GI8875"/>
      <c r="GJ8875"/>
      <c r="GK8875"/>
      <c r="GL8875"/>
      <c r="GM8875"/>
      <c r="GN8875"/>
      <c r="GO8875"/>
    </row>
    <row r="8876" spans="107:197">
      <c r="DC8876"/>
      <c r="FH8876"/>
      <c r="FI8876"/>
      <c r="FJ8876"/>
      <c r="FK8876"/>
      <c r="FL8876"/>
      <c r="FM8876"/>
      <c r="FN8876"/>
      <c r="FO8876"/>
      <c r="FP8876"/>
      <c r="FQ8876"/>
      <c r="FR8876"/>
      <c r="FS8876"/>
      <c r="FT8876"/>
      <c r="FU8876"/>
      <c r="FV8876"/>
      <c r="FW8876"/>
      <c r="FX8876"/>
      <c r="FY8876"/>
      <c r="FZ8876"/>
      <c r="GA8876"/>
      <c r="GB8876"/>
      <c r="GC8876"/>
      <c r="GD8876"/>
      <c r="GE8876"/>
      <c r="GF8876"/>
      <c r="GG8876"/>
      <c r="GH8876"/>
      <c r="GI8876"/>
      <c r="GJ8876"/>
      <c r="GK8876"/>
      <c r="GL8876"/>
      <c r="GM8876"/>
      <c r="GN8876"/>
      <c r="GO8876"/>
    </row>
    <row r="8877" spans="107:197">
      <c r="DC8877"/>
      <c r="FH8877"/>
      <c r="FI8877"/>
      <c r="FJ8877"/>
      <c r="FK8877"/>
      <c r="FL8877"/>
      <c r="FM8877"/>
      <c r="FN8877"/>
      <c r="FO8877"/>
      <c r="FP8877"/>
      <c r="FQ8877"/>
      <c r="FR8877"/>
      <c r="FS8877"/>
      <c r="FT8877"/>
      <c r="FU8877"/>
      <c r="FV8877"/>
      <c r="FW8877"/>
      <c r="FX8877"/>
      <c r="FY8877"/>
      <c r="FZ8877"/>
      <c r="GA8877"/>
      <c r="GB8877"/>
      <c r="GC8877"/>
      <c r="GD8877"/>
      <c r="GE8877"/>
      <c r="GF8877"/>
      <c r="GG8877"/>
      <c r="GH8877"/>
      <c r="GI8877"/>
      <c r="GJ8877"/>
      <c r="GK8877"/>
      <c r="GL8877"/>
      <c r="GM8877"/>
      <c r="GN8877"/>
      <c r="GO8877"/>
    </row>
    <row r="8878" spans="107:197">
      <c r="DC8878"/>
      <c r="FH8878"/>
      <c r="FI8878"/>
      <c r="FJ8878"/>
      <c r="FK8878"/>
      <c r="FL8878"/>
      <c r="FM8878"/>
      <c r="FN8878"/>
      <c r="FO8878"/>
      <c r="FP8878"/>
      <c r="FQ8878"/>
      <c r="FR8878"/>
      <c r="FS8878"/>
      <c r="FT8878"/>
      <c r="FU8878"/>
      <c r="FV8878"/>
      <c r="FW8878"/>
      <c r="FX8878"/>
      <c r="FY8878"/>
      <c r="FZ8878"/>
      <c r="GA8878"/>
      <c r="GB8878"/>
      <c r="GC8878"/>
      <c r="GD8878"/>
      <c r="GE8878"/>
      <c r="GF8878"/>
      <c r="GG8878"/>
      <c r="GH8878"/>
      <c r="GI8878"/>
      <c r="GJ8878"/>
      <c r="GK8878"/>
      <c r="GL8878"/>
      <c r="GM8878"/>
      <c r="GN8878"/>
      <c r="GO8878"/>
    </row>
    <row r="8879" spans="107:197">
      <c r="DC8879"/>
      <c r="FH8879"/>
      <c r="FI8879"/>
      <c r="FJ8879"/>
      <c r="FK8879"/>
      <c r="FL8879"/>
      <c r="FM8879"/>
      <c r="FN8879"/>
      <c r="FO8879"/>
      <c r="FP8879"/>
      <c r="FQ8879"/>
      <c r="FR8879"/>
      <c r="FS8879"/>
      <c r="FT8879"/>
      <c r="FU8879"/>
      <c r="FV8879"/>
      <c r="FW8879"/>
      <c r="FX8879"/>
      <c r="FY8879"/>
      <c r="FZ8879"/>
      <c r="GA8879"/>
      <c r="GB8879"/>
      <c r="GC8879"/>
      <c r="GD8879"/>
      <c r="GE8879"/>
      <c r="GF8879"/>
      <c r="GG8879"/>
      <c r="GH8879"/>
      <c r="GI8879"/>
      <c r="GJ8879"/>
      <c r="GK8879"/>
      <c r="GL8879"/>
      <c r="GM8879"/>
      <c r="GN8879"/>
      <c r="GO8879"/>
    </row>
    <row r="8880" spans="107:197">
      <c r="DC8880"/>
      <c r="FH8880"/>
      <c r="FI8880"/>
      <c r="FJ8880"/>
      <c r="FK8880"/>
      <c r="FL8880"/>
      <c r="FM8880"/>
      <c r="FN8880"/>
      <c r="FO8880"/>
      <c r="FP8880"/>
      <c r="FQ8880"/>
      <c r="FR8880"/>
      <c r="FS8880"/>
      <c r="FT8880"/>
      <c r="FU8880"/>
      <c r="FV8880"/>
      <c r="FW8880"/>
      <c r="FX8880"/>
      <c r="FY8880"/>
      <c r="FZ8880"/>
      <c r="GA8880"/>
      <c r="GB8880"/>
      <c r="GC8880"/>
      <c r="GD8880"/>
      <c r="GE8880"/>
      <c r="GF8880"/>
      <c r="GG8880"/>
      <c r="GH8880"/>
      <c r="GI8880"/>
      <c r="GJ8880"/>
      <c r="GK8880"/>
      <c r="GL8880"/>
      <c r="GM8880"/>
      <c r="GN8880"/>
      <c r="GO8880"/>
    </row>
    <row r="8881" spans="107:197">
      <c r="DC8881"/>
      <c r="FH8881"/>
      <c r="FI8881"/>
      <c r="FJ8881"/>
      <c r="FK8881"/>
      <c r="FL8881"/>
      <c r="FM8881"/>
      <c r="FN8881"/>
      <c r="FO8881"/>
      <c r="FP8881"/>
      <c r="FQ8881"/>
      <c r="FR8881"/>
      <c r="FS8881"/>
      <c r="FT8881"/>
      <c r="FU8881"/>
      <c r="FV8881"/>
      <c r="FW8881"/>
      <c r="FX8881"/>
      <c r="FY8881"/>
      <c r="FZ8881"/>
      <c r="GA8881"/>
      <c r="GB8881"/>
      <c r="GC8881"/>
      <c r="GD8881"/>
      <c r="GE8881"/>
      <c r="GF8881"/>
      <c r="GG8881"/>
      <c r="GH8881"/>
      <c r="GI8881"/>
      <c r="GJ8881"/>
      <c r="GK8881"/>
      <c r="GL8881"/>
      <c r="GM8881"/>
      <c r="GN8881"/>
      <c r="GO8881"/>
    </row>
    <row r="8882" spans="107:197">
      <c r="DC8882"/>
      <c r="FH8882"/>
      <c r="FI8882"/>
      <c r="FJ8882"/>
      <c r="FK8882"/>
      <c r="FL8882"/>
      <c r="FM8882"/>
      <c r="FN8882"/>
      <c r="FO8882"/>
      <c r="FP8882"/>
      <c r="FQ8882"/>
      <c r="FR8882"/>
      <c r="FS8882"/>
      <c r="FT8882"/>
      <c r="FU8882"/>
      <c r="FV8882"/>
      <c r="FW8882"/>
      <c r="FX8882"/>
      <c r="FY8882"/>
      <c r="FZ8882"/>
      <c r="GA8882"/>
      <c r="GB8882"/>
      <c r="GC8882"/>
      <c r="GD8882"/>
      <c r="GE8882"/>
      <c r="GF8882"/>
      <c r="GG8882"/>
      <c r="GH8882"/>
      <c r="GI8882"/>
      <c r="GJ8882"/>
      <c r="GK8882"/>
      <c r="GL8882"/>
      <c r="GM8882"/>
      <c r="GN8882"/>
      <c r="GO8882"/>
    </row>
    <row r="8883" spans="107:197">
      <c r="DC8883"/>
      <c r="FH8883"/>
      <c r="FI8883"/>
      <c r="FJ8883"/>
      <c r="FK8883"/>
      <c r="FL8883"/>
      <c r="FM8883"/>
      <c r="FN8883"/>
      <c r="FO8883"/>
      <c r="FP8883"/>
      <c r="FQ8883"/>
      <c r="FR8883"/>
      <c r="FS8883"/>
      <c r="FT8883"/>
      <c r="FU8883"/>
      <c r="FV8883"/>
      <c r="FW8883"/>
      <c r="FX8883"/>
      <c r="FY8883"/>
      <c r="FZ8883"/>
      <c r="GA8883"/>
      <c r="GB8883"/>
      <c r="GC8883"/>
      <c r="GD8883"/>
      <c r="GE8883"/>
      <c r="GF8883"/>
      <c r="GG8883"/>
      <c r="GH8883"/>
      <c r="GI8883"/>
      <c r="GJ8883"/>
      <c r="GK8883"/>
      <c r="GL8883"/>
      <c r="GM8883"/>
      <c r="GN8883"/>
      <c r="GO8883"/>
    </row>
    <row r="8884" spans="107:197">
      <c r="DC8884"/>
      <c r="FH8884"/>
      <c r="FI8884"/>
      <c r="FJ8884"/>
      <c r="FK8884"/>
      <c r="FL8884"/>
      <c r="FM8884"/>
      <c r="FN8884"/>
      <c r="FO8884"/>
      <c r="FP8884"/>
      <c r="FQ8884"/>
      <c r="FR8884"/>
      <c r="FS8884"/>
      <c r="FT8884"/>
      <c r="FU8884"/>
      <c r="FV8884"/>
      <c r="FW8884"/>
      <c r="FX8884"/>
      <c r="FY8884"/>
      <c r="FZ8884"/>
      <c r="GA8884"/>
      <c r="GB8884"/>
      <c r="GC8884"/>
      <c r="GD8884"/>
      <c r="GE8884"/>
      <c r="GF8884"/>
      <c r="GG8884"/>
      <c r="GH8884"/>
      <c r="GI8884"/>
      <c r="GJ8884"/>
      <c r="GK8884"/>
      <c r="GL8884"/>
      <c r="GM8884"/>
      <c r="GN8884"/>
      <c r="GO8884"/>
    </row>
    <row r="8885" spans="107:197">
      <c r="DC8885"/>
      <c r="FH8885"/>
      <c r="FI8885"/>
      <c r="FJ8885"/>
      <c r="FK8885"/>
      <c r="FL8885"/>
      <c r="FM8885"/>
      <c r="FN8885"/>
      <c r="FO8885"/>
      <c r="FP8885"/>
      <c r="FQ8885"/>
      <c r="FR8885"/>
      <c r="FS8885"/>
      <c r="FT8885"/>
      <c r="FU8885"/>
      <c r="FV8885"/>
      <c r="FW8885"/>
      <c r="FX8885"/>
      <c r="FY8885"/>
      <c r="FZ8885"/>
      <c r="GA8885"/>
      <c r="GB8885"/>
      <c r="GC8885"/>
      <c r="GD8885"/>
      <c r="GE8885"/>
      <c r="GF8885"/>
      <c r="GG8885"/>
      <c r="GH8885"/>
      <c r="GI8885"/>
      <c r="GJ8885"/>
      <c r="GK8885"/>
      <c r="GL8885"/>
      <c r="GM8885"/>
      <c r="GN8885"/>
      <c r="GO8885"/>
    </row>
    <row r="8886" spans="107:197">
      <c r="DC8886"/>
      <c r="FH8886"/>
      <c r="FI8886"/>
      <c r="FJ8886"/>
      <c r="FK8886"/>
      <c r="FL8886"/>
      <c r="FM8886"/>
      <c r="FN8886"/>
      <c r="FO8886"/>
      <c r="FP8886"/>
      <c r="FQ8886"/>
      <c r="FR8886"/>
      <c r="FS8886"/>
      <c r="FT8886"/>
      <c r="FU8886"/>
      <c r="FV8886"/>
      <c r="FW8886"/>
      <c r="FX8886"/>
      <c r="FY8886"/>
      <c r="FZ8886"/>
      <c r="GA8886"/>
      <c r="GB8886"/>
      <c r="GC8886"/>
      <c r="GD8886"/>
      <c r="GE8886"/>
      <c r="GF8886"/>
      <c r="GG8886"/>
      <c r="GH8886"/>
      <c r="GI8886"/>
      <c r="GJ8886"/>
      <c r="GK8886"/>
      <c r="GL8886"/>
      <c r="GM8886"/>
      <c r="GN8886"/>
      <c r="GO8886"/>
    </row>
    <row r="8887" spans="107:197">
      <c r="DC8887"/>
      <c r="FH8887"/>
      <c r="FI8887"/>
      <c r="FJ8887"/>
      <c r="FK8887"/>
      <c r="FL8887"/>
      <c r="FM8887"/>
      <c r="FN8887"/>
      <c r="FO8887"/>
      <c r="FP8887"/>
      <c r="FQ8887"/>
      <c r="FR8887"/>
      <c r="FS8887"/>
      <c r="FT8887"/>
      <c r="FU8887"/>
      <c r="FV8887"/>
      <c r="FW8887"/>
      <c r="FX8887"/>
      <c r="FY8887"/>
      <c r="FZ8887"/>
      <c r="GA8887"/>
      <c r="GB8887"/>
      <c r="GC8887"/>
      <c r="GD8887"/>
      <c r="GE8887"/>
      <c r="GF8887"/>
      <c r="GG8887"/>
      <c r="GH8887"/>
      <c r="GI8887"/>
      <c r="GJ8887"/>
      <c r="GK8887"/>
      <c r="GL8887"/>
      <c r="GM8887"/>
      <c r="GN8887"/>
      <c r="GO8887"/>
    </row>
    <row r="8888" spans="107:197">
      <c r="DC8888"/>
      <c r="FH8888"/>
      <c r="FI8888"/>
      <c r="FJ8888"/>
      <c r="FK8888"/>
      <c r="FL8888"/>
      <c r="FM8888"/>
      <c r="FN8888"/>
      <c r="FO8888"/>
      <c r="FP8888"/>
      <c r="FQ8888"/>
      <c r="FR8888"/>
      <c r="FS8888"/>
      <c r="FT8888"/>
      <c r="FU8888"/>
      <c r="FV8888"/>
      <c r="FW8888"/>
      <c r="FX8888"/>
      <c r="FY8888"/>
      <c r="FZ8888"/>
      <c r="GA8888"/>
      <c r="GB8888"/>
      <c r="GC8888"/>
      <c r="GD8888"/>
      <c r="GE8888"/>
      <c r="GF8888"/>
      <c r="GG8888"/>
      <c r="GH8888"/>
      <c r="GI8888"/>
      <c r="GJ8888"/>
      <c r="GK8888"/>
      <c r="GL8888"/>
      <c r="GM8888"/>
      <c r="GN8888"/>
      <c r="GO8888"/>
    </row>
    <row r="8889" spans="107:197">
      <c r="DC8889"/>
      <c r="FH8889"/>
      <c r="FI8889"/>
      <c r="FJ8889"/>
      <c r="FK8889"/>
      <c r="FL8889"/>
      <c r="FM8889"/>
      <c r="FN8889"/>
      <c r="FO8889"/>
      <c r="FP8889"/>
      <c r="FQ8889"/>
      <c r="FR8889"/>
      <c r="FS8889"/>
      <c r="FT8889"/>
      <c r="FU8889"/>
      <c r="FV8889"/>
      <c r="FW8889"/>
      <c r="FX8889"/>
      <c r="FY8889"/>
      <c r="FZ8889"/>
      <c r="GA8889"/>
      <c r="GB8889"/>
      <c r="GC8889"/>
      <c r="GD8889"/>
      <c r="GE8889"/>
      <c r="GF8889"/>
      <c r="GG8889"/>
      <c r="GH8889"/>
      <c r="GI8889"/>
      <c r="GJ8889"/>
      <c r="GK8889"/>
      <c r="GL8889"/>
      <c r="GM8889"/>
      <c r="GN8889"/>
      <c r="GO8889"/>
    </row>
    <row r="8890" spans="107:197">
      <c r="DC8890"/>
      <c r="FH8890"/>
      <c r="FI8890"/>
      <c r="FJ8890"/>
      <c r="FK8890"/>
      <c r="FL8890"/>
      <c r="FM8890"/>
      <c r="FN8890"/>
      <c r="FO8890"/>
      <c r="FP8890"/>
      <c r="FQ8890"/>
      <c r="FR8890"/>
      <c r="FS8890"/>
      <c r="FT8890"/>
      <c r="FU8890"/>
      <c r="FV8890"/>
      <c r="FW8890"/>
      <c r="FX8890"/>
      <c r="FY8890"/>
      <c r="FZ8890"/>
      <c r="GA8890"/>
      <c r="GB8890"/>
      <c r="GC8890"/>
      <c r="GD8890"/>
      <c r="GE8890"/>
      <c r="GF8890"/>
      <c r="GG8890"/>
      <c r="GH8890"/>
      <c r="GI8890"/>
      <c r="GJ8890"/>
      <c r="GK8890"/>
      <c r="GL8890"/>
      <c r="GM8890"/>
      <c r="GN8890"/>
      <c r="GO8890"/>
    </row>
    <row r="8891" spans="107:197">
      <c r="DC8891"/>
      <c r="FH8891"/>
      <c r="FI8891"/>
      <c r="FJ8891"/>
      <c r="FK8891"/>
      <c r="FL8891"/>
      <c r="FM8891"/>
      <c r="FN8891"/>
      <c r="FO8891"/>
      <c r="FP8891"/>
      <c r="FQ8891"/>
      <c r="FR8891"/>
      <c r="FS8891"/>
      <c r="FT8891"/>
      <c r="FU8891"/>
      <c r="FV8891"/>
      <c r="FW8891"/>
      <c r="FX8891"/>
      <c r="FY8891"/>
      <c r="FZ8891"/>
      <c r="GA8891"/>
      <c r="GB8891"/>
      <c r="GC8891"/>
      <c r="GD8891"/>
      <c r="GE8891"/>
      <c r="GF8891"/>
      <c r="GG8891"/>
      <c r="GH8891"/>
      <c r="GI8891"/>
      <c r="GJ8891"/>
      <c r="GK8891"/>
      <c r="GL8891"/>
      <c r="GM8891"/>
      <c r="GN8891"/>
      <c r="GO8891"/>
    </row>
    <row r="8892" spans="107:197">
      <c r="DC8892"/>
      <c r="FH8892"/>
      <c r="FI8892"/>
      <c r="FJ8892"/>
      <c r="FK8892"/>
      <c r="FL8892"/>
      <c r="FM8892"/>
      <c r="FN8892"/>
      <c r="FO8892"/>
      <c r="FP8892"/>
      <c r="FQ8892"/>
      <c r="FR8892"/>
      <c r="FS8892"/>
      <c r="FT8892"/>
      <c r="FU8892"/>
      <c r="FV8892"/>
      <c r="FW8892"/>
      <c r="FX8892"/>
      <c r="FY8892"/>
      <c r="FZ8892"/>
      <c r="GA8892"/>
      <c r="GB8892"/>
      <c r="GC8892"/>
      <c r="GD8892"/>
      <c r="GE8892"/>
      <c r="GF8892"/>
      <c r="GG8892"/>
      <c r="GH8892"/>
      <c r="GI8892"/>
      <c r="GJ8892"/>
      <c r="GK8892"/>
      <c r="GL8892"/>
      <c r="GM8892"/>
      <c r="GN8892"/>
      <c r="GO8892"/>
    </row>
    <row r="8893" spans="107:197">
      <c r="DC8893"/>
      <c r="FH8893"/>
      <c r="FI8893"/>
      <c r="FJ8893"/>
      <c r="FK8893"/>
      <c r="FL8893"/>
      <c r="FM8893"/>
      <c r="FN8893"/>
      <c r="FO8893"/>
      <c r="FP8893"/>
      <c r="FQ8893"/>
      <c r="FR8893"/>
      <c r="FS8893"/>
      <c r="FT8893"/>
      <c r="FU8893"/>
      <c r="FV8893"/>
      <c r="FW8893"/>
      <c r="FX8893"/>
      <c r="FY8893"/>
      <c r="FZ8893"/>
      <c r="GA8893"/>
      <c r="GB8893"/>
      <c r="GC8893"/>
      <c r="GD8893"/>
      <c r="GE8893"/>
      <c r="GF8893"/>
      <c r="GG8893"/>
      <c r="GH8893"/>
      <c r="GI8893"/>
      <c r="GJ8893"/>
      <c r="GK8893"/>
      <c r="GL8893"/>
      <c r="GM8893"/>
      <c r="GN8893"/>
      <c r="GO8893"/>
    </row>
    <row r="8894" spans="107:197">
      <c r="DC8894"/>
      <c r="FH8894"/>
      <c r="FI8894"/>
      <c r="FJ8894"/>
      <c r="FK8894"/>
      <c r="FL8894"/>
      <c r="FM8894"/>
      <c r="FN8894"/>
      <c r="FO8894"/>
      <c r="FP8894"/>
      <c r="FQ8894"/>
      <c r="FR8894"/>
      <c r="FS8894"/>
      <c r="FT8894"/>
      <c r="FU8894"/>
      <c r="FV8894"/>
      <c r="FW8894"/>
      <c r="FX8894"/>
      <c r="FY8894"/>
      <c r="FZ8894"/>
      <c r="GA8894"/>
      <c r="GB8894"/>
      <c r="GC8894"/>
      <c r="GD8894"/>
      <c r="GE8894"/>
      <c r="GF8894"/>
      <c r="GG8894"/>
      <c r="GH8894"/>
      <c r="GI8894"/>
      <c r="GJ8894"/>
      <c r="GK8894"/>
      <c r="GL8894"/>
      <c r="GM8894"/>
      <c r="GN8894"/>
      <c r="GO8894"/>
    </row>
    <row r="8895" spans="107:197">
      <c r="DC8895"/>
      <c r="FH8895"/>
      <c r="FI8895"/>
      <c r="FJ8895"/>
      <c r="FK8895"/>
      <c r="FL8895"/>
      <c r="FM8895"/>
      <c r="FN8895"/>
      <c r="FO8895"/>
      <c r="FP8895"/>
      <c r="FQ8895"/>
      <c r="FR8895"/>
      <c r="FS8895"/>
      <c r="FT8895"/>
      <c r="FU8895"/>
      <c r="FV8895"/>
      <c r="FW8895"/>
      <c r="FX8895"/>
      <c r="FY8895"/>
      <c r="FZ8895"/>
      <c r="GA8895"/>
      <c r="GB8895"/>
      <c r="GC8895"/>
      <c r="GD8895"/>
      <c r="GE8895"/>
      <c r="GF8895"/>
      <c r="GG8895"/>
      <c r="GH8895"/>
      <c r="GI8895"/>
      <c r="GJ8895"/>
      <c r="GK8895"/>
      <c r="GL8895"/>
      <c r="GM8895"/>
      <c r="GN8895"/>
      <c r="GO8895"/>
    </row>
    <row r="8896" spans="107:197">
      <c r="DC8896"/>
      <c r="FH8896"/>
      <c r="FI8896"/>
      <c r="FJ8896"/>
      <c r="FK8896"/>
      <c r="FL8896"/>
      <c r="FM8896"/>
      <c r="FN8896"/>
      <c r="FO8896"/>
      <c r="FP8896"/>
      <c r="FQ8896"/>
      <c r="FR8896"/>
      <c r="FS8896"/>
      <c r="FT8896"/>
      <c r="FU8896"/>
      <c r="FV8896"/>
      <c r="FW8896"/>
      <c r="FX8896"/>
      <c r="FY8896"/>
      <c r="FZ8896"/>
      <c r="GA8896"/>
      <c r="GB8896"/>
      <c r="GC8896"/>
      <c r="GD8896"/>
      <c r="GE8896"/>
      <c r="GF8896"/>
      <c r="GG8896"/>
      <c r="GH8896"/>
      <c r="GI8896"/>
      <c r="GJ8896"/>
      <c r="GK8896"/>
      <c r="GL8896"/>
      <c r="GM8896"/>
      <c r="GN8896"/>
      <c r="GO8896"/>
    </row>
    <row r="8897" spans="107:197">
      <c r="DC8897"/>
      <c r="FH8897"/>
      <c r="FI8897"/>
      <c r="FJ8897"/>
      <c r="FK8897"/>
      <c r="FL8897"/>
      <c r="FM8897"/>
      <c r="FN8897"/>
      <c r="FO8897"/>
      <c r="FP8897"/>
      <c r="FQ8897"/>
      <c r="FR8897"/>
      <c r="FS8897"/>
      <c r="FT8897"/>
      <c r="FU8897"/>
      <c r="FV8897"/>
      <c r="FW8897"/>
      <c r="FX8897"/>
      <c r="FY8897"/>
      <c r="FZ8897"/>
      <c r="GA8897"/>
      <c r="GB8897"/>
      <c r="GC8897"/>
      <c r="GD8897"/>
      <c r="GE8897"/>
      <c r="GF8897"/>
      <c r="GG8897"/>
      <c r="GH8897"/>
      <c r="GI8897"/>
      <c r="GJ8897"/>
      <c r="GK8897"/>
      <c r="GL8897"/>
      <c r="GM8897"/>
      <c r="GN8897"/>
      <c r="GO8897"/>
    </row>
    <row r="8898" spans="107:197">
      <c r="DC8898"/>
      <c r="FH8898"/>
      <c r="FI8898"/>
      <c r="FJ8898"/>
      <c r="FK8898"/>
      <c r="FL8898"/>
      <c r="FM8898"/>
      <c r="FN8898"/>
      <c r="FO8898"/>
      <c r="FP8898"/>
      <c r="FQ8898"/>
      <c r="FR8898"/>
      <c r="FS8898"/>
      <c r="FT8898"/>
      <c r="FU8898"/>
      <c r="FV8898"/>
      <c r="FW8898"/>
      <c r="FX8898"/>
      <c r="FY8898"/>
      <c r="FZ8898"/>
      <c r="GA8898"/>
      <c r="GB8898"/>
      <c r="GC8898"/>
      <c r="GD8898"/>
      <c r="GE8898"/>
      <c r="GF8898"/>
      <c r="GG8898"/>
      <c r="GH8898"/>
      <c r="GI8898"/>
      <c r="GJ8898"/>
      <c r="GK8898"/>
      <c r="GL8898"/>
      <c r="GM8898"/>
      <c r="GN8898"/>
      <c r="GO8898"/>
    </row>
    <row r="8899" spans="107:197">
      <c r="DC8899"/>
      <c r="FH8899"/>
      <c r="FI8899"/>
      <c r="FJ8899"/>
      <c r="FK8899"/>
      <c r="FL8899"/>
      <c r="FM8899"/>
      <c r="FN8899"/>
      <c r="FO8899"/>
      <c r="FP8899"/>
      <c r="FQ8899"/>
      <c r="FR8899"/>
      <c r="FS8899"/>
      <c r="FT8899"/>
      <c r="FU8899"/>
      <c r="FV8899"/>
      <c r="FW8899"/>
      <c r="FX8899"/>
      <c r="FY8899"/>
      <c r="FZ8899"/>
      <c r="GA8899"/>
      <c r="GB8899"/>
      <c r="GC8899"/>
      <c r="GD8899"/>
      <c r="GE8899"/>
      <c r="GF8899"/>
      <c r="GG8899"/>
      <c r="GH8899"/>
      <c r="GI8899"/>
      <c r="GJ8899"/>
      <c r="GK8899"/>
      <c r="GL8899"/>
      <c r="GM8899"/>
      <c r="GN8899"/>
      <c r="GO8899"/>
    </row>
    <row r="8900" spans="107:197">
      <c r="DC8900"/>
      <c r="FH8900"/>
      <c r="FI8900"/>
      <c r="FJ8900"/>
      <c r="FK8900"/>
      <c r="FL8900"/>
      <c r="FM8900"/>
      <c r="FN8900"/>
      <c r="FO8900"/>
      <c r="FP8900"/>
      <c r="FQ8900"/>
      <c r="FR8900"/>
      <c r="FS8900"/>
      <c r="FT8900"/>
      <c r="FU8900"/>
      <c r="FV8900"/>
      <c r="FW8900"/>
      <c r="FX8900"/>
      <c r="FY8900"/>
      <c r="FZ8900"/>
      <c r="GA8900"/>
      <c r="GB8900"/>
      <c r="GC8900"/>
      <c r="GD8900"/>
      <c r="GE8900"/>
      <c r="GF8900"/>
      <c r="GG8900"/>
      <c r="GH8900"/>
      <c r="GI8900"/>
      <c r="GJ8900"/>
      <c r="GK8900"/>
      <c r="GL8900"/>
      <c r="GM8900"/>
      <c r="GN8900"/>
      <c r="GO8900"/>
    </row>
    <row r="8901" spans="107:197">
      <c r="DC8901"/>
      <c r="FH8901"/>
      <c r="FI8901"/>
      <c r="FJ8901"/>
      <c r="FK8901"/>
      <c r="FL8901"/>
      <c r="FM8901"/>
      <c r="FN8901"/>
      <c r="FO8901"/>
      <c r="FP8901"/>
      <c r="FQ8901"/>
      <c r="FR8901"/>
      <c r="FS8901"/>
      <c r="FT8901"/>
      <c r="FU8901"/>
      <c r="FV8901"/>
      <c r="FW8901"/>
      <c r="FX8901"/>
      <c r="FY8901"/>
      <c r="FZ8901"/>
      <c r="GA8901"/>
      <c r="GB8901"/>
      <c r="GC8901"/>
      <c r="GD8901"/>
      <c r="GE8901"/>
      <c r="GF8901"/>
      <c r="GG8901"/>
      <c r="GH8901"/>
      <c r="GI8901"/>
      <c r="GJ8901"/>
      <c r="GK8901"/>
      <c r="GL8901"/>
      <c r="GM8901"/>
      <c r="GN8901"/>
      <c r="GO8901"/>
    </row>
    <row r="8902" spans="107:197">
      <c r="DC8902"/>
      <c r="FH8902"/>
      <c r="FI8902"/>
      <c r="FJ8902"/>
      <c r="FK8902"/>
      <c r="FL8902"/>
      <c r="FM8902"/>
      <c r="FN8902"/>
      <c r="FO8902"/>
      <c r="FP8902"/>
      <c r="FQ8902"/>
      <c r="FR8902"/>
      <c r="FS8902"/>
      <c r="FT8902"/>
      <c r="FU8902"/>
      <c r="FV8902"/>
      <c r="FW8902"/>
      <c r="FX8902"/>
      <c r="FY8902"/>
      <c r="FZ8902"/>
      <c r="GA8902"/>
      <c r="GB8902"/>
      <c r="GC8902"/>
      <c r="GD8902"/>
      <c r="GE8902"/>
      <c r="GF8902"/>
      <c r="GG8902"/>
      <c r="GH8902"/>
      <c r="GI8902"/>
      <c r="GJ8902"/>
      <c r="GK8902"/>
      <c r="GL8902"/>
      <c r="GM8902"/>
      <c r="GN8902"/>
      <c r="GO8902"/>
    </row>
    <row r="8903" spans="107:197">
      <c r="DC8903"/>
      <c r="FH8903"/>
      <c r="FI8903"/>
      <c r="FJ8903"/>
      <c r="FK8903"/>
      <c r="FL8903"/>
      <c r="FM8903"/>
      <c r="FN8903"/>
      <c r="FO8903"/>
      <c r="FP8903"/>
      <c r="FQ8903"/>
      <c r="FR8903"/>
      <c r="FS8903"/>
      <c r="FT8903"/>
      <c r="FU8903"/>
      <c r="FV8903"/>
      <c r="FW8903"/>
      <c r="FX8903"/>
      <c r="FY8903"/>
      <c r="FZ8903"/>
      <c r="GA8903"/>
      <c r="GB8903"/>
      <c r="GC8903"/>
      <c r="GD8903"/>
      <c r="GE8903"/>
      <c r="GF8903"/>
      <c r="GG8903"/>
      <c r="GH8903"/>
      <c r="GI8903"/>
      <c r="GJ8903"/>
      <c r="GK8903"/>
      <c r="GL8903"/>
      <c r="GM8903"/>
      <c r="GN8903"/>
      <c r="GO8903"/>
    </row>
    <row r="8904" spans="107:197">
      <c r="DC8904"/>
      <c r="FH8904"/>
      <c r="FI8904"/>
      <c r="FJ8904"/>
      <c r="FK8904"/>
      <c r="FL8904"/>
      <c r="FM8904"/>
      <c r="FN8904"/>
      <c r="FO8904"/>
      <c r="FP8904"/>
      <c r="FQ8904"/>
      <c r="FR8904"/>
      <c r="FS8904"/>
      <c r="FT8904"/>
      <c r="FU8904"/>
      <c r="FV8904"/>
      <c r="FW8904"/>
      <c r="FX8904"/>
      <c r="FY8904"/>
      <c r="FZ8904"/>
      <c r="GA8904"/>
      <c r="GB8904"/>
      <c r="GC8904"/>
      <c r="GD8904"/>
      <c r="GE8904"/>
      <c r="GF8904"/>
      <c r="GG8904"/>
      <c r="GH8904"/>
      <c r="GI8904"/>
      <c r="GJ8904"/>
      <c r="GK8904"/>
      <c r="GL8904"/>
      <c r="GM8904"/>
      <c r="GN8904"/>
      <c r="GO8904"/>
    </row>
    <row r="8905" spans="107:197">
      <c r="DC8905"/>
      <c r="FH8905"/>
      <c r="FI8905"/>
      <c r="FJ8905"/>
      <c r="FK8905"/>
      <c r="FL8905"/>
      <c r="FM8905"/>
      <c r="FN8905"/>
      <c r="FO8905"/>
      <c r="FP8905"/>
      <c r="FQ8905"/>
      <c r="FR8905"/>
      <c r="FS8905"/>
      <c r="FT8905"/>
      <c r="FU8905"/>
      <c r="FV8905"/>
      <c r="FW8905"/>
      <c r="FX8905"/>
      <c r="FY8905"/>
      <c r="FZ8905"/>
      <c r="GA8905"/>
      <c r="GB8905"/>
      <c r="GC8905"/>
      <c r="GD8905"/>
      <c r="GE8905"/>
      <c r="GF8905"/>
      <c r="GG8905"/>
      <c r="GH8905"/>
      <c r="GI8905"/>
      <c r="GJ8905"/>
      <c r="GK8905"/>
      <c r="GL8905"/>
      <c r="GM8905"/>
      <c r="GN8905"/>
      <c r="GO8905"/>
    </row>
    <row r="8906" spans="107:197">
      <c r="DC8906"/>
      <c r="FH8906"/>
      <c r="FI8906"/>
      <c r="FJ8906"/>
      <c r="FK8906"/>
      <c r="FL8906"/>
      <c r="FM8906"/>
      <c r="FN8906"/>
      <c r="FO8906"/>
      <c r="FP8906"/>
      <c r="FQ8906"/>
      <c r="FR8906"/>
      <c r="FS8906"/>
      <c r="FT8906"/>
      <c r="FU8906"/>
      <c r="FV8906"/>
      <c r="FW8906"/>
      <c r="FX8906"/>
      <c r="FY8906"/>
      <c r="FZ8906"/>
      <c r="GA8906"/>
      <c r="GB8906"/>
      <c r="GC8906"/>
      <c r="GD8906"/>
      <c r="GE8906"/>
      <c r="GF8906"/>
      <c r="GG8906"/>
      <c r="GH8906"/>
      <c r="GI8906"/>
      <c r="GJ8906"/>
      <c r="GK8906"/>
      <c r="GL8906"/>
      <c r="GM8906"/>
      <c r="GN8906"/>
      <c r="GO8906"/>
    </row>
    <row r="8907" spans="107:197">
      <c r="DC8907"/>
      <c r="FH8907"/>
      <c r="FI8907"/>
      <c r="FJ8907"/>
      <c r="FK8907"/>
      <c r="FL8907"/>
      <c r="FM8907"/>
      <c r="FN8907"/>
      <c r="FO8907"/>
      <c r="FP8907"/>
      <c r="FQ8907"/>
      <c r="FR8907"/>
      <c r="FS8907"/>
      <c r="FT8907"/>
      <c r="FU8907"/>
      <c r="FV8907"/>
      <c r="FW8907"/>
      <c r="FX8907"/>
      <c r="FY8907"/>
      <c r="FZ8907"/>
      <c r="GA8907"/>
      <c r="GB8907"/>
      <c r="GC8907"/>
      <c r="GD8907"/>
      <c r="GE8907"/>
      <c r="GF8907"/>
      <c r="GG8907"/>
      <c r="GH8907"/>
      <c r="GI8907"/>
      <c r="GJ8907"/>
      <c r="GK8907"/>
      <c r="GL8907"/>
      <c r="GM8907"/>
      <c r="GN8907"/>
      <c r="GO8907"/>
    </row>
    <row r="8908" spans="107:197">
      <c r="DC8908"/>
      <c r="FH8908"/>
      <c r="FI8908"/>
      <c r="FJ8908"/>
      <c r="FK8908"/>
      <c r="FL8908"/>
      <c r="FM8908"/>
      <c r="FN8908"/>
      <c r="FO8908"/>
      <c r="FP8908"/>
      <c r="FQ8908"/>
      <c r="FR8908"/>
      <c r="FS8908"/>
      <c r="FT8908"/>
      <c r="FU8908"/>
      <c r="FV8908"/>
      <c r="FW8908"/>
      <c r="FX8908"/>
      <c r="FY8908"/>
      <c r="FZ8908"/>
      <c r="GA8908"/>
      <c r="GB8908"/>
      <c r="GC8908"/>
      <c r="GD8908"/>
      <c r="GE8908"/>
      <c r="GF8908"/>
      <c r="GG8908"/>
      <c r="GH8908"/>
      <c r="GI8908"/>
      <c r="GJ8908"/>
      <c r="GK8908"/>
      <c r="GL8908"/>
      <c r="GM8908"/>
      <c r="GN8908"/>
      <c r="GO8908"/>
    </row>
    <row r="8909" spans="107:197">
      <c r="DC8909"/>
      <c r="FH8909"/>
      <c r="FI8909"/>
      <c r="FJ8909"/>
      <c r="FK8909"/>
      <c r="FL8909"/>
      <c r="FM8909"/>
      <c r="FN8909"/>
      <c r="FO8909"/>
      <c r="FP8909"/>
      <c r="FQ8909"/>
      <c r="FR8909"/>
      <c r="FS8909"/>
      <c r="FT8909"/>
      <c r="FU8909"/>
      <c r="FV8909"/>
      <c r="FW8909"/>
      <c r="FX8909"/>
      <c r="FY8909"/>
      <c r="FZ8909"/>
      <c r="GA8909"/>
      <c r="GB8909"/>
      <c r="GC8909"/>
      <c r="GD8909"/>
      <c r="GE8909"/>
      <c r="GF8909"/>
      <c r="GG8909"/>
      <c r="GH8909"/>
      <c r="GI8909"/>
      <c r="GJ8909"/>
      <c r="GK8909"/>
      <c r="GL8909"/>
      <c r="GM8909"/>
      <c r="GN8909"/>
      <c r="GO8909"/>
    </row>
    <row r="8910" spans="107:197">
      <c r="DC8910"/>
      <c r="FH8910"/>
      <c r="FI8910"/>
      <c r="FJ8910"/>
      <c r="FK8910"/>
      <c r="FL8910"/>
      <c r="FM8910"/>
      <c r="FN8910"/>
      <c r="FO8910"/>
      <c r="FP8910"/>
      <c r="FQ8910"/>
      <c r="FR8910"/>
      <c r="FS8910"/>
      <c r="FT8910"/>
      <c r="FU8910"/>
      <c r="FV8910"/>
      <c r="FW8910"/>
      <c r="FX8910"/>
      <c r="FY8910"/>
      <c r="FZ8910"/>
      <c r="GA8910"/>
      <c r="GB8910"/>
      <c r="GC8910"/>
      <c r="GD8910"/>
      <c r="GE8910"/>
      <c r="GF8910"/>
      <c r="GG8910"/>
      <c r="GH8910"/>
      <c r="GI8910"/>
      <c r="GJ8910"/>
      <c r="GK8910"/>
      <c r="GL8910"/>
      <c r="GM8910"/>
      <c r="GN8910"/>
      <c r="GO8910"/>
    </row>
    <row r="8911" spans="107:197">
      <c r="DC8911"/>
      <c r="FH8911"/>
      <c r="FI8911"/>
      <c r="FJ8911"/>
      <c r="FK8911"/>
      <c r="FL8911"/>
      <c r="FM8911"/>
      <c r="FN8911"/>
      <c r="FO8911"/>
      <c r="FP8911"/>
      <c r="FQ8911"/>
      <c r="FR8911"/>
      <c r="FS8911"/>
      <c r="FT8911"/>
      <c r="FU8911"/>
      <c r="FV8911"/>
      <c r="FW8911"/>
      <c r="FX8911"/>
      <c r="FY8911"/>
      <c r="FZ8911"/>
      <c r="GA8911"/>
      <c r="GB8911"/>
      <c r="GC8911"/>
      <c r="GD8911"/>
      <c r="GE8911"/>
      <c r="GF8911"/>
      <c r="GG8911"/>
      <c r="GH8911"/>
      <c r="GI8911"/>
      <c r="GJ8911"/>
      <c r="GK8911"/>
      <c r="GL8911"/>
      <c r="GM8911"/>
      <c r="GN8911"/>
      <c r="GO8911"/>
    </row>
    <row r="8912" spans="107:197">
      <c r="DC8912"/>
      <c r="FH8912"/>
      <c r="FI8912"/>
      <c r="FJ8912"/>
      <c r="FK8912"/>
      <c r="FL8912"/>
      <c r="FM8912"/>
      <c r="FN8912"/>
      <c r="FO8912"/>
      <c r="FP8912"/>
      <c r="FQ8912"/>
      <c r="FR8912"/>
      <c r="FS8912"/>
      <c r="FT8912"/>
      <c r="FU8912"/>
      <c r="FV8912"/>
      <c r="FW8912"/>
      <c r="FX8912"/>
      <c r="FY8912"/>
      <c r="FZ8912"/>
      <c r="GA8912"/>
      <c r="GB8912"/>
      <c r="GC8912"/>
      <c r="GD8912"/>
      <c r="GE8912"/>
      <c r="GF8912"/>
      <c r="GG8912"/>
      <c r="GH8912"/>
      <c r="GI8912"/>
      <c r="GJ8912"/>
      <c r="GK8912"/>
      <c r="GL8912"/>
      <c r="GM8912"/>
      <c r="GN8912"/>
      <c r="GO8912"/>
    </row>
    <row r="8913" spans="107:197">
      <c r="DC8913"/>
      <c r="FH8913"/>
      <c r="FI8913"/>
      <c r="FJ8913"/>
      <c r="FK8913"/>
      <c r="FL8913"/>
      <c r="FM8913"/>
      <c r="FN8913"/>
      <c r="FO8913"/>
      <c r="FP8913"/>
      <c r="FQ8913"/>
      <c r="FR8913"/>
      <c r="FS8913"/>
      <c r="FT8913"/>
      <c r="FU8913"/>
      <c r="FV8913"/>
      <c r="FW8913"/>
      <c r="FX8913"/>
      <c r="FY8913"/>
      <c r="FZ8913"/>
      <c r="GA8913"/>
      <c r="GB8913"/>
      <c r="GC8913"/>
      <c r="GD8913"/>
      <c r="GE8913"/>
      <c r="GF8913"/>
      <c r="GG8913"/>
      <c r="GH8913"/>
      <c r="GI8913"/>
      <c r="GJ8913"/>
      <c r="GK8913"/>
      <c r="GL8913"/>
      <c r="GM8913"/>
      <c r="GN8913"/>
      <c r="GO8913"/>
    </row>
    <row r="8914" spans="107:197">
      <c r="DC8914"/>
      <c r="FH8914"/>
      <c r="FI8914"/>
      <c r="FJ8914"/>
      <c r="FK8914"/>
      <c r="FL8914"/>
      <c r="FM8914"/>
      <c r="FN8914"/>
      <c r="FO8914"/>
      <c r="FP8914"/>
      <c r="FQ8914"/>
      <c r="FR8914"/>
      <c r="FS8914"/>
      <c r="FT8914"/>
      <c r="FU8914"/>
      <c r="FV8914"/>
      <c r="FW8914"/>
      <c r="FX8914"/>
      <c r="FY8914"/>
      <c r="FZ8914"/>
      <c r="GA8914"/>
      <c r="GB8914"/>
      <c r="GC8914"/>
      <c r="GD8914"/>
      <c r="GE8914"/>
      <c r="GF8914"/>
      <c r="GG8914"/>
      <c r="GH8914"/>
      <c r="GI8914"/>
      <c r="GJ8914"/>
      <c r="GK8914"/>
      <c r="GL8914"/>
      <c r="GM8914"/>
      <c r="GN8914"/>
      <c r="GO8914"/>
    </row>
    <row r="8915" spans="107:197">
      <c r="DC8915"/>
      <c r="FH8915"/>
      <c r="FI8915"/>
      <c r="FJ8915"/>
      <c r="FK8915"/>
      <c r="FL8915"/>
      <c r="FM8915"/>
      <c r="FN8915"/>
      <c r="FO8915"/>
      <c r="FP8915"/>
      <c r="FQ8915"/>
      <c r="FR8915"/>
      <c r="FS8915"/>
      <c r="FT8915"/>
      <c r="FU8915"/>
      <c r="FV8915"/>
      <c r="FW8915"/>
      <c r="FX8915"/>
      <c r="FY8915"/>
      <c r="FZ8915"/>
      <c r="GA8915"/>
      <c r="GB8915"/>
      <c r="GC8915"/>
      <c r="GD8915"/>
      <c r="GE8915"/>
      <c r="GF8915"/>
      <c r="GG8915"/>
      <c r="GH8915"/>
      <c r="GI8915"/>
      <c r="GJ8915"/>
      <c r="GK8915"/>
      <c r="GL8915"/>
      <c r="GM8915"/>
      <c r="GN8915"/>
      <c r="GO8915"/>
    </row>
    <row r="8916" spans="107:197">
      <c r="DC8916"/>
      <c r="FH8916"/>
      <c r="FI8916"/>
      <c r="FJ8916"/>
      <c r="FK8916"/>
      <c r="FL8916"/>
      <c r="FM8916"/>
      <c r="FN8916"/>
      <c r="FO8916"/>
      <c r="FP8916"/>
      <c r="FQ8916"/>
      <c r="FR8916"/>
      <c r="FS8916"/>
      <c r="FT8916"/>
      <c r="FU8916"/>
      <c r="FV8916"/>
      <c r="FW8916"/>
      <c r="FX8916"/>
      <c r="FY8916"/>
      <c r="FZ8916"/>
      <c r="GA8916"/>
      <c r="GB8916"/>
      <c r="GC8916"/>
      <c r="GD8916"/>
      <c r="GE8916"/>
      <c r="GF8916"/>
      <c r="GG8916"/>
      <c r="GH8916"/>
      <c r="GI8916"/>
      <c r="GJ8916"/>
      <c r="GK8916"/>
      <c r="GL8916"/>
      <c r="GM8916"/>
      <c r="GN8916"/>
      <c r="GO8916"/>
    </row>
    <row r="8917" spans="107:197">
      <c r="DC8917"/>
      <c r="FH8917"/>
      <c r="FI8917"/>
      <c r="FJ8917"/>
      <c r="FK8917"/>
      <c r="FL8917"/>
      <c r="FM8917"/>
      <c r="FN8917"/>
      <c r="FO8917"/>
      <c r="FP8917"/>
      <c r="FQ8917"/>
      <c r="FR8917"/>
      <c r="FS8917"/>
      <c r="FT8917"/>
      <c r="FU8917"/>
      <c r="FV8917"/>
      <c r="FW8917"/>
      <c r="FX8917"/>
      <c r="FY8917"/>
      <c r="FZ8917"/>
      <c r="GA8917"/>
      <c r="GB8917"/>
      <c r="GC8917"/>
      <c r="GD8917"/>
      <c r="GE8917"/>
      <c r="GF8917"/>
      <c r="GG8917"/>
      <c r="GH8917"/>
      <c r="GI8917"/>
      <c r="GJ8917"/>
      <c r="GK8917"/>
      <c r="GL8917"/>
      <c r="GM8917"/>
      <c r="GN8917"/>
      <c r="GO8917"/>
    </row>
    <row r="8918" spans="107:197">
      <c r="DC8918"/>
      <c r="FH8918"/>
      <c r="FI8918"/>
      <c r="FJ8918"/>
      <c r="FK8918"/>
      <c r="FL8918"/>
      <c r="FM8918"/>
      <c r="FN8918"/>
      <c r="FO8918"/>
      <c r="FP8918"/>
      <c r="FQ8918"/>
      <c r="FR8918"/>
      <c r="FS8918"/>
      <c r="FT8918"/>
      <c r="FU8918"/>
      <c r="FV8918"/>
      <c r="FW8918"/>
      <c r="FX8918"/>
      <c r="FY8918"/>
      <c r="FZ8918"/>
      <c r="GA8918"/>
      <c r="GB8918"/>
      <c r="GC8918"/>
      <c r="GD8918"/>
      <c r="GE8918"/>
      <c r="GF8918"/>
      <c r="GG8918"/>
      <c r="GH8918"/>
      <c r="GI8918"/>
      <c r="GJ8918"/>
      <c r="GK8918"/>
      <c r="GL8918"/>
      <c r="GM8918"/>
      <c r="GN8918"/>
      <c r="GO8918"/>
    </row>
    <row r="8919" spans="107:197">
      <c r="DC8919"/>
      <c r="FH8919"/>
      <c r="FI8919"/>
      <c r="FJ8919"/>
      <c r="FK8919"/>
      <c r="FL8919"/>
      <c r="FM8919"/>
      <c r="FN8919"/>
      <c r="FO8919"/>
      <c r="FP8919"/>
      <c r="FQ8919"/>
      <c r="FR8919"/>
      <c r="FS8919"/>
      <c r="FT8919"/>
      <c r="FU8919"/>
      <c r="FV8919"/>
      <c r="FW8919"/>
      <c r="FX8919"/>
      <c r="FY8919"/>
      <c r="FZ8919"/>
      <c r="GA8919"/>
      <c r="GB8919"/>
      <c r="GC8919"/>
      <c r="GD8919"/>
      <c r="GE8919"/>
      <c r="GF8919"/>
      <c r="GG8919"/>
      <c r="GH8919"/>
      <c r="GI8919"/>
      <c r="GJ8919"/>
      <c r="GK8919"/>
      <c r="GL8919"/>
      <c r="GM8919"/>
      <c r="GN8919"/>
      <c r="GO8919"/>
    </row>
    <row r="8920" spans="107:197">
      <c r="DC8920"/>
      <c r="FH8920"/>
      <c r="FI8920"/>
      <c r="FJ8920"/>
      <c r="FK8920"/>
      <c r="FL8920"/>
      <c r="FM8920"/>
      <c r="FN8920"/>
      <c r="FO8920"/>
      <c r="FP8920"/>
      <c r="FQ8920"/>
      <c r="FR8920"/>
      <c r="FS8920"/>
      <c r="FT8920"/>
      <c r="FU8920"/>
      <c r="FV8920"/>
      <c r="FW8920"/>
      <c r="FX8920"/>
      <c r="FY8920"/>
      <c r="FZ8920"/>
      <c r="GA8920"/>
      <c r="GB8920"/>
      <c r="GC8920"/>
      <c r="GD8920"/>
      <c r="GE8920"/>
      <c r="GF8920"/>
      <c r="GG8920"/>
      <c r="GH8920"/>
      <c r="GI8920"/>
      <c r="GJ8920"/>
      <c r="GK8920"/>
      <c r="GL8920"/>
      <c r="GM8920"/>
      <c r="GN8920"/>
      <c r="GO8920"/>
    </row>
    <row r="8921" spans="107:197">
      <c r="DC8921"/>
      <c r="FH8921"/>
      <c r="FI8921"/>
      <c r="FJ8921"/>
      <c r="FK8921"/>
      <c r="FL8921"/>
      <c r="FM8921"/>
      <c r="FN8921"/>
      <c r="FO8921"/>
      <c r="FP8921"/>
      <c r="FQ8921"/>
      <c r="FR8921"/>
      <c r="FS8921"/>
      <c r="FT8921"/>
      <c r="FU8921"/>
      <c r="FV8921"/>
      <c r="FW8921"/>
      <c r="FX8921"/>
      <c r="FY8921"/>
      <c r="FZ8921"/>
      <c r="GA8921"/>
      <c r="GB8921"/>
      <c r="GC8921"/>
      <c r="GD8921"/>
      <c r="GE8921"/>
      <c r="GF8921"/>
      <c r="GG8921"/>
      <c r="GH8921"/>
      <c r="GI8921"/>
      <c r="GJ8921"/>
      <c r="GK8921"/>
      <c r="GL8921"/>
      <c r="GM8921"/>
      <c r="GN8921"/>
      <c r="GO8921"/>
    </row>
    <row r="8922" spans="107:197">
      <c r="DC8922"/>
      <c r="FH8922"/>
      <c r="FI8922"/>
      <c r="FJ8922"/>
      <c r="FK8922"/>
      <c r="FL8922"/>
      <c r="FM8922"/>
      <c r="FN8922"/>
      <c r="FO8922"/>
      <c r="FP8922"/>
      <c r="FQ8922"/>
      <c r="FR8922"/>
      <c r="FS8922"/>
      <c r="FT8922"/>
      <c r="FU8922"/>
      <c r="FV8922"/>
      <c r="FW8922"/>
      <c r="FX8922"/>
      <c r="FY8922"/>
      <c r="FZ8922"/>
      <c r="GA8922"/>
      <c r="GB8922"/>
      <c r="GC8922"/>
      <c r="GD8922"/>
      <c r="GE8922"/>
      <c r="GF8922"/>
      <c r="GG8922"/>
      <c r="GH8922"/>
      <c r="GI8922"/>
      <c r="GJ8922"/>
      <c r="GK8922"/>
      <c r="GL8922"/>
      <c r="GM8922"/>
      <c r="GN8922"/>
      <c r="GO8922"/>
    </row>
    <row r="8923" spans="107:197">
      <c r="DC8923"/>
      <c r="FH8923"/>
      <c r="FI8923"/>
      <c r="FJ8923"/>
      <c r="FK8923"/>
      <c r="FL8923"/>
      <c r="FM8923"/>
      <c r="FN8923"/>
      <c r="FO8923"/>
      <c r="FP8923"/>
      <c r="FQ8923"/>
      <c r="FR8923"/>
      <c r="FS8923"/>
      <c r="FT8923"/>
      <c r="FU8923"/>
      <c r="FV8923"/>
      <c r="FW8923"/>
      <c r="FX8923"/>
      <c r="FY8923"/>
      <c r="FZ8923"/>
      <c r="GA8923"/>
      <c r="GB8923"/>
      <c r="GC8923"/>
      <c r="GD8923"/>
      <c r="GE8923"/>
      <c r="GF8923"/>
      <c r="GG8923"/>
      <c r="GH8923"/>
      <c r="GI8923"/>
      <c r="GJ8923"/>
      <c r="GK8923"/>
      <c r="GL8923"/>
      <c r="GM8923"/>
      <c r="GN8923"/>
      <c r="GO8923"/>
    </row>
    <row r="8924" spans="107:197">
      <c r="DC8924"/>
      <c r="FH8924"/>
      <c r="FI8924"/>
      <c r="FJ8924"/>
      <c r="FK8924"/>
      <c r="FL8924"/>
      <c r="FM8924"/>
      <c r="FN8924"/>
      <c r="FO8924"/>
      <c r="FP8924"/>
      <c r="FQ8924"/>
      <c r="FR8924"/>
      <c r="FS8924"/>
      <c r="FT8924"/>
      <c r="FU8924"/>
      <c r="FV8924"/>
      <c r="FW8924"/>
      <c r="FX8924"/>
      <c r="FY8924"/>
      <c r="FZ8924"/>
      <c r="GA8924"/>
      <c r="GB8924"/>
      <c r="GC8924"/>
      <c r="GD8924"/>
      <c r="GE8924"/>
      <c r="GF8924"/>
      <c r="GG8924"/>
      <c r="GH8924"/>
      <c r="GI8924"/>
      <c r="GJ8924"/>
      <c r="GK8924"/>
      <c r="GL8924"/>
      <c r="GM8924"/>
      <c r="GN8924"/>
      <c r="GO8924"/>
    </row>
    <row r="8925" spans="107:197">
      <c r="DC8925"/>
      <c r="FH8925"/>
      <c r="FI8925"/>
      <c r="FJ8925"/>
      <c r="FK8925"/>
      <c r="FL8925"/>
      <c r="FM8925"/>
      <c r="FN8925"/>
      <c r="FO8925"/>
      <c r="FP8925"/>
      <c r="FQ8925"/>
      <c r="FR8925"/>
      <c r="FS8925"/>
      <c r="FT8925"/>
      <c r="FU8925"/>
      <c r="FV8925"/>
      <c r="FW8925"/>
      <c r="FX8925"/>
      <c r="FY8925"/>
      <c r="FZ8925"/>
      <c r="GA8925"/>
      <c r="GB8925"/>
      <c r="GC8925"/>
      <c r="GD8925"/>
      <c r="GE8925"/>
      <c r="GF8925"/>
      <c r="GG8925"/>
      <c r="GH8925"/>
      <c r="GI8925"/>
      <c r="GJ8925"/>
      <c r="GK8925"/>
      <c r="GL8925"/>
      <c r="GM8925"/>
      <c r="GN8925"/>
      <c r="GO8925"/>
    </row>
    <row r="8926" spans="107:197">
      <c r="DC8926"/>
      <c r="FH8926"/>
      <c r="FI8926"/>
      <c r="FJ8926"/>
      <c r="FK8926"/>
      <c r="FL8926"/>
      <c r="FM8926"/>
      <c r="FN8926"/>
      <c r="FO8926"/>
      <c r="FP8926"/>
      <c r="FQ8926"/>
      <c r="FR8926"/>
      <c r="FS8926"/>
      <c r="FT8926"/>
      <c r="FU8926"/>
      <c r="FV8926"/>
      <c r="FW8926"/>
      <c r="FX8926"/>
      <c r="FY8926"/>
      <c r="FZ8926"/>
      <c r="GA8926"/>
      <c r="GB8926"/>
      <c r="GC8926"/>
      <c r="GD8926"/>
      <c r="GE8926"/>
      <c r="GF8926"/>
      <c r="GG8926"/>
      <c r="GH8926"/>
      <c r="GI8926"/>
      <c r="GJ8926"/>
      <c r="GK8926"/>
      <c r="GL8926"/>
      <c r="GM8926"/>
      <c r="GN8926"/>
      <c r="GO8926"/>
    </row>
    <row r="8927" spans="107:197">
      <c r="DC8927"/>
      <c r="FH8927"/>
      <c r="FI8927"/>
      <c r="FJ8927"/>
      <c r="FK8927"/>
      <c r="FL8927"/>
      <c r="FM8927"/>
      <c r="FN8927"/>
      <c r="FO8927"/>
      <c r="FP8927"/>
      <c r="FQ8927"/>
      <c r="FR8927"/>
      <c r="FS8927"/>
      <c r="FT8927"/>
      <c r="FU8927"/>
      <c r="FV8927"/>
      <c r="FW8927"/>
      <c r="FX8927"/>
      <c r="FY8927"/>
      <c r="FZ8927"/>
      <c r="GA8927"/>
      <c r="GB8927"/>
      <c r="GC8927"/>
      <c r="GD8927"/>
      <c r="GE8927"/>
      <c r="GF8927"/>
      <c r="GG8927"/>
      <c r="GH8927"/>
      <c r="GI8927"/>
      <c r="GJ8927"/>
      <c r="GK8927"/>
      <c r="GL8927"/>
      <c r="GM8927"/>
      <c r="GN8927"/>
      <c r="GO8927"/>
    </row>
    <row r="8928" spans="107:197">
      <c r="DC8928"/>
      <c r="FH8928"/>
      <c r="FI8928"/>
      <c r="FJ8928"/>
      <c r="FK8928"/>
      <c r="FL8928"/>
      <c r="FM8928"/>
      <c r="FN8928"/>
      <c r="FO8928"/>
      <c r="FP8928"/>
      <c r="FQ8928"/>
      <c r="FR8928"/>
      <c r="FS8928"/>
      <c r="FT8928"/>
      <c r="FU8928"/>
      <c r="FV8928"/>
      <c r="FW8928"/>
      <c r="FX8928"/>
      <c r="FY8928"/>
      <c r="FZ8928"/>
      <c r="GA8928"/>
      <c r="GB8928"/>
      <c r="GC8928"/>
      <c r="GD8928"/>
      <c r="GE8928"/>
      <c r="GF8928"/>
      <c r="GG8928"/>
      <c r="GH8928"/>
      <c r="GI8928"/>
      <c r="GJ8928"/>
      <c r="GK8928"/>
      <c r="GL8928"/>
      <c r="GM8928"/>
      <c r="GN8928"/>
      <c r="GO8928"/>
    </row>
    <row r="8929" spans="107:197">
      <c r="DC8929"/>
      <c r="FH8929"/>
      <c r="FI8929"/>
      <c r="FJ8929"/>
      <c r="FK8929"/>
      <c r="FL8929"/>
      <c r="FM8929"/>
      <c r="FN8929"/>
      <c r="FO8929"/>
      <c r="FP8929"/>
      <c r="FQ8929"/>
      <c r="FR8929"/>
      <c r="FS8929"/>
      <c r="FT8929"/>
      <c r="FU8929"/>
      <c r="FV8929"/>
      <c r="FW8929"/>
      <c r="FX8929"/>
      <c r="FY8929"/>
      <c r="FZ8929"/>
      <c r="GA8929"/>
      <c r="GB8929"/>
      <c r="GC8929"/>
      <c r="GD8929"/>
      <c r="GE8929"/>
      <c r="GF8929"/>
      <c r="GG8929"/>
      <c r="GH8929"/>
      <c r="GI8929"/>
      <c r="GJ8929"/>
      <c r="GK8929"/>
      <c r="GL8929"/>
      <c r="GM8929"/>
      <c r="GN8929"/>
      <c r="GO8929"/>
    </row>
    <row r="8930" spans="107:197">
      <c r="DC8930"/>
      <c r="FH8930"/>
      <c r="FI8930"/>
      <c r="FJ8930"/>
      <c r="FK8930"/>
      <c r="FL8930"/>
      <c r="FM8930"/>
      <c r="FN8930"/>
      <c r="FO8930"/>
      <c r="FP8930"/>
      <c r="FQ8930"/>
      <c r="FR8930"/>
      <c r="FS8930"/>
      <c r="FT8930"/>
      <c r="FU8930"/>
      <c r="FV8930"/>
      <c r="FW8930"/>
      <c r="FX8930"/>
      <c r="FY8930"/>
      <c r="FZ8930"/>
      <c r="GA8930"/>
      <c r="GB8930"/>
      <c r="GC8930"/>
      <c r="GD8930"/>
      <c r="GE8930"/>
      <c r="GF8930"/>
      <c r="GG8930"/>
      <c r="GH8930"/>
      <c r="GI8930"/>
      <c r="GJ8930"/>
      <c r="GK8930"/>
      <c r="GL8930"/>
      <c r="GM8930"/>
      <c r="GN8930"/>
      <c r="GO8930"/>
    </row>
    <row r="8931" spans="107:197">
      <c r="DC8931"/>
      <c r="FH8931"/>
      <c r="FI8931"/>
      <c r="FJ8931"/>
      <c r="FK8931"/>
      <c r="FL8931"/>
      <c r="FM8931"/>
      <c r="FN8931"/>
      <c r="FO8931"/>
      <c r="FP8931"/>
      <c r="FQ8931"/>
      <c r="FR8931"/>
      <c r="FS8931"/>
      <c r="FT8931"/>
      <c r="FU8931"/>
      <c r="FV8931"/>
      <c r="FW8931"/>
      <c r="FX8931"/>
      <c r="FY8931"/>
      <c r="FZ8931"/>
      <c r="GA8931"/>
      <c r="GB8931"/>
      <c r="GC8931"/>
      <c r="GD8931"/>
      <c r="GE8931"/>
      <c r="GF8931"/>
      <c r="GG8931"/>
      <c r="GH8931"/>
      <c r="GI8931"/>
      <c r="GJ8931"/>
      <c r="GK8931"/>
      <c r="GL8931"/>
      <c r="GM8931"/>
      <c r="GN8931"/>
      <c r="GO8931"/>
    </row>
    <row r="8932" spans="107:197">
      <c r="DC8932"/>
      <c r="FH8932"/>
      <c r="FI8932"/>
      <c r="FJ8932"/>
      <c r="FK8932"/>
      <c r="FL8932"/>
      <c r="FM8932"/>
      <c r="FN8932"/>
      <c r="FO8932"/>
      <c r="FP8932"/>
      <c r="FQ8932"/>
      <c r="FR8932"/>
      <c r="FS8932"/>
      <c r="FT8932"/>
      <c r="FU8932"/>
      <c r="FV8932"/>
      <c r="FW8932"/>
      <c r="FX8932"/>
      <c r="FY8932"/>
      <c r="FZ8932"/>
      <c r="GA8932"/>
      <c r="GB8932"/>
      <c r="GC8932"/>
      <c r="GD8932"/>
      <c r="GE8932"/>
      <c r="GF8932"/>
      <c r="GG8932"/>
      <c r="GH8932"/>
      <c r="GI8932"/>
      <c r="GJ8932"/>
      <c r="GK8932"/>
      <c r="GL8932"/>
      <c r="GM8932"/>
      <c r="GN8932"/>
      <c r="GO8932"/>
    </row>
    <row r="8933" spans="107:197">
      <c r="DC8933"/>
      <c r="FH8933"/>
      <c r="FI8933"/>
      <c r="FJ8933"/>
      <c r="FK8933"/>
      <c r="FL8933"/>
      <c r="FM8933"/>
      <c r="FN8933"/>
      <c r="FO8933"/>
      <c r="FP8933"/>
      <c r="FQ8933"/>
      <c r="FR8933"/>
      <c r="FS8933"/>
      <c r="FT8933"/>
      <c r="FU8933"/>
      <c r="FV8933"/>
      <c r="FW8933"/>
      <c r="FX8933"/>
      <c r="FY8933"/>
      <c r="FZ8933"/>
      <c r="GA8933"/>
      <c r="GB8933"/>
      <c r="GC8933"/>
      <c r="GD8933"/>
      <c r="GE8933"/>
      <c r="GF8933"/>
      <c r="GG8933"/>
      <c r="GH8933"/>
      <c r="GI8933"/>
      <c r="GJ8933"/>
      <c r="GK8933"/>
      <c r="GL8933"/>
      <c r="GM8933"/>
      <c r="GN8933"/>
      <c r="GO8933"/>
    </row>
    <row r="8934" spans="107:197">
      <c r="DC8934"/>
      <c r="FH8934"/>
      <c r="FI8934"/>
      <c r="FJ8934"/>
      <c r="FK8934"/>
      <c r="FL8934"/>
      <c r="FM8934"/>
      <c r="FN8934"/>
      <c r="FO8934"/>
      <c r="FP8934"/>
      <c r="FQ8934"/>
      <c r="FR8934"/>
      <c r="FS8934"/>
      <c r="FT8934"/>
      <c r="FU8934"/>
      <c r="FV8934"/>
      <c r="FW8934"/>
      <c r="FX8934"/>
      <c r="FY8934"/>
      <c r="FZ8934"/>
      <c r="GA8934"/>
      <c r="GB8934"/>
      <c r="GC8934"/>
      <c r="GD8934"/>
      <c r="GE8934"/>
      <c r="GF8934"/>
      <c r="GG8934"/>
      <c r="GH8934"/>
      <c r="GI8934"/>
      <c r="GJ8934"/>
      <c r="GK8934"/>
      <c r="GL8934"/>
      <c r="GM8934"/>
      <c r="GN8934"/>
      <c r="GO8934"/>
    </row>
    <row r="8935" spans="107:197">
      <c r="DC8935"/>
      <c r="FH8935"/>
      <c r="FI8935"/>
      <c r="FJ8935"/>
      <c r="FK8935"/>
      <c r="FL8935"/>
      <c r="FM8935"/>
      <c r="FN8935"/>
      <c r="FO8935"/>
      <c r="FP8935"/>
      <c r="FQ8935"/>
      <c r="FR8935"/>
      <c r="FS8935"/>
      <c r="FT8935"/>
      <c r="FU8935"/>
      <c r="FV8935"/>
      <c r="FW8935"/>
      <c r="FX8935"/>
      <c r="FY8935"/>
      <c r="FZ8935"/>
      <c r="GA8935"/>
      <c r="GB8935"/>
      <c r="GC8935"/>
      <c r="GD8935"/>
      <c r="GE8935"/>
      <c r="GF8935"/>
      <c r="GG8935"/>
      <c r="GH8935"/>
      <c r="GI8935"/>
      <c r="GJ8935"/>
      <c r="GK8935"/>
      <c r="GL8935"/>
      <c r="GM8935"/>
      <c r="GN8935"/>
      <c r="GO8935"/>
    </row>
    <row r="8936" spans="107:197">
      <c r="DC8936"/>
      <c r="FH8936"/>
      <c r="FI8936"/>
      <c r="FJ8936"/>
      <c r="FK8936"/>
      <c r="FL8936"/>
      <c r="FM8936"/>
      <c r="FN8936"/>
      <c r="FO8936"/>
      <c r="FP8936"/>
      <c r="FQ8936"/>
      <c r="FR8936"/>
      <c r="FS8936"/>
      <c r="FT8936"/>
      <c r="FU8936"/>
      <c r="FV8936"/>
      <c r="FW8936"/>
      <c r="FX8936"/>
      <c r="FY8936"/>
      <c r="FZ8936"/>
      <c r="GA8936"/>
      <c r="GB8936"/>
      <c r="GC8936"/>
      <c r="GD8936"/>
      <c r="GE8936"/>
      <c r="GF8936"/>
      <c r="GG8936"/>
      <c r="GH8936"/>
      <c r="GI8936"/>
      <c r="GJ8936"/>
      <c r="GK8936"/>
      <c r="GL8936"/>
      <c r="GM8936"/>
      <c r="GN8936"/>
      <c r="GO8936"/>
    </row>
    <row r="8937" spans="107:197">
      <c r="DC8937"/>
      <c r="FH8937"/>
      <c r="FI8937"/>
      <c r="FJ8937"/>
      <c r="FK8937"/>
      <c r="FL8937"/>
      <c r="FM8937"/>
      <c r="FN8937"/>
      <c r="FO8937"/>
      <c r="FP8937"/>
      <c r="FQ8937"/>
      <c r="FR8937"/>
      <c r="FS8937"/>
      <c r="FT8937"/>
      <c r="FU8937"/>
      <c r="FV8937"/>
      <c r="FW8937"/>
      <c r="FX8937"/>
      <c r="FY8937"/>
      <c r="FZ8937"/>
      <c r="GA8937"/>
      <c r="GB8937"/>
      <c r="GC8937"/>
      <c r="GD8937"/>
      <c r="GE8937"/>
      <c r="GF8937"/>
      <c r="GG8937"/>
      <c r="GH8937"/>
      <c r="GI8937"/>
      <c r="GJ8937"/>
      <c r="GK8937"/>
      <c r="GL8937"/>
      <c r="GM8937"/>
      <c r="GN8937"/>
      <c r="GO8937"/>
    </row>
    <row r="8938" spans="107:197">
      <c r="DC8938"/>
      <c r="FH8938"/>
      <c r="FI8938"/>
      <c r="FJ8938"/>
      <c r="FK8938"/>
      <c r="FL8938"/>
      <c r="FM8938"/>
      <c r="FN8938"/>
      <c r="FO8938"/>
      <c r="FP8938"/>
      <c r="FQ8938"/>
      <c r="FR8938"/>
      <c r="FS8938"/>
      <c r="FT8938"/>
      <c r="FU8938"/>
      <c r="FV8938"/>
      <c r="FW8938"/>
      <c r="FX8938"/>
      <c r="FY8938"/>
      <c r="FZ8938"/>
      <c r="GA8938"/>
      <c r="GB8938"/>
      <c r="GC8938"/>
      <c r="GD8938"/>
      <c r="GE8938"/>
      <c r="GF8938"/>
      <c r="GG8938"/>
      <c r="GH8938"/>
      <c r="GI8938"/>
      <c r="GJ8938"/>
      <c r="GK8938"/>
      <c r="GL8938"/>
      <c r="GM8938"/>
      <c r="GN8938"/>
      <c r="GO8938"/>
    </row>
    <row r="8939" spans="107:197">
      <c r="DC8939"/>
      <c r="FH8939"/>
      <c r="FI8939"/>
      <c r="FJ8939"/>
      <c r="FK8939"/>
      <c r="FL8939"/>
      <c r="FM8939"/>
      <c r="FN8939"/>
      <c r="FO8939"/>
      <c r="FP8939"/>
      <c r="FQ8939"/>
      <c r="FR8939"/>
      <c r="FS8939"/>
      <c r="FT8939"/>
      <c r="FU8939"/>
      <c r="FV8939"/>
      <c r="FW8939"/>
      <c r="FX8939"/>
      <c r="FY8939"/>
      <c r="FZ8939"/>
      <c r="GA8939"/>
      <c r="GB8939"/>
      <c r="GC8939"/>
      <c r="GD8939"/>
      <c r="GE8939"/>
      <c r="GF8939"/>
      <c r="GG8939"/>
      <c r="GH8939"/>
      <c r="GI8939"/>
      <c r="GJ8939"/>
      <c r="GK8939"/>
      <c r="GL8939"/>
      <c r="GM8939"/>
      <c r="GN8939"/>
      <c r="GO8939"/>
    </row>
    <row r="8940" spans="107:197">
      <c r="DC8940"/>
      <c r="FH8940"/>
      <c r="FI8940"/>
      <c r="FJ8940"/>
      <c r="FK8940"/>
      <c r="FL8940"/>
      <c r="FM8940"/>
      <c r="FN8940"/>
      <c r="FO8940"/>
      <c r="FP8940"/>
      <c r="FQ8940"/>
      <c r="FR8940"/>
      <c r="FS8940"/>
      <c r="FT8940"/>
      <c r="FU8940"/>
      <c r="FV8940"/>
      <c r="FW8940"/>
      <c r="FX8940"/>
      <c r="FY8940"/>
      <c r="FZ8940"/>
      <c r="GA8940"/>
      <c r="GB8940"/>
      <c r="GC8940"/>
      <c r="GD8940"/>
      <c r="GE8940"/>
      <c r="GF8940"/>
      <c r="GG8940"/>
      <c r="GH8940"/>
      <c r="GI8940"/>
      <c r="GJ8940"/>
      <c r="GK8940"/>
      <c r="GL8940"/>
      <c r="GM8940"/>
      <c r="GN8940"/>
      <c r="GO8940"/>
    </row>
    <row r="8941" spans="107:197">
      <c r="DC8941"/>
      <c r="FH8941"/>
      <c r="FI8941"/>
      <c r="FJ8941"/>
      <c r="FK8941"/>
      <c r="FL8941"/>
      <c r="FM8941"/>
      <c r="FN8941"/>
      <c r="FO8941"/>
      <c r="FP8941"/>
      <c r="FQ8941"/>
      <c r="FR8941"/>
      <c r="FS8941"/>
      <c r="FT8941"/>
      <c r="FU8941"/>
      <c r="FV8941"/>
      <c r="FW8941"/>
      <c r="FX8941"/>
      <c r="FY8941"/>
      <c r="FZ8941"/>
      <c r="GA8941"/>
      <c r="GB8941"/>
      <c r="GC8941"/>
      <c r="GD8941"/>
      <c r="GE8941"/>
      <c r="GF8941"/>
      <c r="GG8941"/>
      <c r="GH8941"/>
      <c r="GI8941"/>
      <c r="GJ8941"/>
      <c r="GK8941"/>
      <c r="GL8941"/>
      <c r="GM8941"/>
      <c r="GN8941"/>
      <c r="GO8941"/>
    </row>
    <row r="8942" spans="107:197">
      <c r="DC8942"/>
      <c r="FH8942"/>
      <c r="FI8942"/>
      <c r="FJ8942"/>
      <c r="FK8942"/>
      <c r="FL8942"/>
      <c r="FM8942"/>
      <c r="FN8942"/>
      <c r="FO8942"/>
      <c r="FP8942"/>
      <c r="FQ8942"/>
      <c r="FR8942"/>
      <c r="FS8942"/>
      <c r="FT8942"/>
      <c r="FU8942"/>
      <c r="FV8942"/>
      <c r="FW8942"/>
      <c r="FX8942"/>
      <c r="FY8942"/>
      <c r="FZ8942"/>
      <c r="GA8942"/>
      <c r="GB8942"/>
      <c r="GC8942"/>
      <c r="GD8942"/>
      <c r="GE8942"/>
      <c r="GF8942"/>
      <c r="GG8942"/>
      <c r="GH8942"/>
      <c r="GI8942"/>
      <c r="GJ8942"/>
      <c r="GK8942"/>
      <c r="GL8942"/>
      <c r="GM8942"/>
      <c r="GN8942"/>
      <c r="GO8942"/>
    </row>
    <row r="8943" spans="107:197">
      <c r="DC8943"/>
      <c r="FH8943"/>
      <c r="FI8943"/>
      <c r="FJ8943"/>
      <c r="FK8943"/>
      <c r="FL8943"/>
      <c r="FM8943"/>
      <c r="FN8943"/>
      <c r="FO8943"/>
      <c r="FP8943"/>
      <c r="FQ8943"/>
      <c r="FR8943"/>
      <c r="FS8943"/>
      <c r="FT8943"/>
      <c r="FU8943"/>
      <c r="FV8943"/>
      <c r="FW8943"/>
      <c r="FX8943"/>
      <c r="FY8943"/>
      <c r="FZ8943"/>
      <c r="GA8943"/>
      <c r="GB8943"/>
      <c r="GC8943"/>
      <c r="GD8943"/>
      <c r="GE8943"/>
      <c r="GF8943"/>
      <c r="GG8943"/>
      <c r="GH8943"/>
      <c r="GI8943"/>
      <c r="GJ8943"/>
      <c r="GK8943"/>
      <c r="GL8943"/>
      <c r="GM8943"/>
      <c r="GN8943"/>
      <c r="GO8943"/>
    </row>
    <row r="8944" spans="107:197">
      <c r="DC8944"/>
      <c r="FH8944"/>
      <c r="FI8944"/>
      <c r="FJ8944"/>
      <c r="FK8944"/>
      <c r="FL8944"/>
      <c r="FM8944"/>
      <c r="FN8944"/>
      <c r="FO8944"/>
      <c r="FP8944"/>
      <c r="FQ8944"/>
      <c r="FR8944"/>
      <c r="FS8944"/>
      <c r="FT8944"/>
      <c r="FU8944"/>
      <c r="FV8944"/>
      <c r="FW8944"/>
      <c r="FX8944"/>
      <c r="FY8944"/>
      <c r="FZ8944"/>
      <c r="GA8944"/>
      <c r="GB8944"/>
      <c r="GC8944"/>
      <c r="GD8944"/>
      <c r="GE8944"/>
      <c r="GF8944"/>
      <c r="GG8944"/>
      <c r="GH8944"/>
      <c r="GI8944"/>
      <c r="GJ8944"/>
      <c r="GK8944"/>
      <c r="GL8944"/>
      <c r="GM8944"/>
      <c r="GN8944"/>
      <c r="GO8944"/>
    </row>
    <row r="8945" spans="107:197">
      <c r="DC8945"/>
      <c r="FH8945"/>
      <c r="FI8945"/>
      <c r="FJ8945"/>
      <c r="FK8945"/>
      <c r="FL8945"/>
      <c r="FM8945"/>
      <c r="FN8945"/>
      <c r="FO8945"/>
      <c r="FP8945"/>
      <c r="FQ8945"/>
      <c r="FR8945"/>
      <c r="FS8945"/>
      <c r="FT8945"/>
      <c r="FU8945"/>
      <c r="FV8945"/>
      <c r="FW8945"/>
      <c r="FX8945"/>
      <c r="FY8945"/>
      <c r="FZ8945"/>
      <c r="GA8945"/>
      <c r="GB8945"/>
      <c r="GC8945"/>
      <c r="GD8945"/>
      <c r="GE8945"/>
      <c r="GF8945"/>
      <c r="GG8945"/>
      <c r="GH8945"/>
      <c r="GI8945"/>
      <c r="GJ8945"/>
      <c r="GK8945"/>
      <c r="GL8945"/>
      <c r="GM8945"/>
      <c r="GN8945"/>
      <c r="GO8945"/>
    </row>
    <row r="8946" spans="107:197">
      <c r="DC8946"/>
      <c r="FH8946"/>
      <c r="FI8946"/>
      <c r="FJ8946"/>
      <c r="FK8946"/>
      <c r="FL8946"/>
      <c r="FM8946"/>
      <c r="FN8946"/>
      <c r="FO8946"/>
      <c r="FP8946"/>
      <c r="FQ8946"/>
      <c r="FR8946"/>
      <c r="FS8946"/>
      <c r="FT8946"/>
      <c r="FU8946"/>
      <c r="FV8946"/>
      <c r="FW8946"/>
      <c r="FX8946"/>
      <c r="FY8946"/>
      <c r="FZ8946"/>
      <c r="GA8946"/>
      <c r="GB8946"/>
      <c r="GC8946"/>
      <c r="GD8946"/>
      <c r="GE8946"/>
      <c r="GF8946"/>
      <c r="GG8946"/>
      <c r="GH8946"/>
      <c r="GI8946"/>
      <c r="GJ8946"/>
      <c r="GK8946"/>
      <c r="GL8946"/>
      <c r="GM8946"/>
      <c r="GN8946"/>
      <c r="GO8946"/>
    </row>
    <row r="8947" spans="107:197">
      <c r="DC8947"/>
      <c r="FH8947"/>
      <c r="FI8947"/>
      <c r="FJ8947"/>
      <c r="FK8947"/>
      <c r="FL8947"/>
      <c r="FM8947"/>
      <c r="FN8947"/>
      <c r="FO8947"/>
      <c r="FP8947"/>
      <c r="FQ8947"/>
      <c r="FR8947"/>
      <c r="FS8947"/>
      <c r="FT8947"/>
      <c r="FU8947"/>
      <c r="FV8947"/>
      <c r="FW8947"/>
      <c r="FX8947"/>
      <c r="FY8947"/>
      <c r="FZ8947"/>
      <c r="GA8947"/>
      <c r="GB8947"/>
      <c r="GC8947"/>
      <c r="GD8947"/>
      <c r="GE8947"/>
      <c r="GF8947"/>
      <c r="GG8947"/>
      <c r="GH8947"/>
      <c r="GI8947"/>
      <c r="GJ8947"/>
      <c r="GK8947"/>
      <c r="GL8947"/>
      <c r="GM8947"/>
      <c r="GN8947"/>
      <c r="GO8947"/>
    </row>
    <row r="8948" spans="107:197">
      <c r="DC8948"/>
      <c r="FH8948"/>
      <c r="FI8948"/>
      <c r="FJ8948"/>
      <c r="FK8948"/>
      <c r="FL8948"/>
      <c r="FM8948"/>
      <c r="FN8948"/>
      <c r="FO8948"/>
      <c r="FP8948"/>
      <c r="FQ8948"/>
      <c r="FR8948"/>
      <c r="FS8948"/>
      <c r="FT8948"/>
      <c r="FU8948"/>
      <c r="FV8948"/>
      <c r="FW8948"/>
      <c r="FX8948"/>
      <c r="FY8948"/>
      <c r="FZ8948"/>
      <c r="GA8948"/>
      <c r="GB8948"/>
      <c r="GC8948"/>
      <c r="GD8948"/>
      <c r="GE8948"/>
      <c r="GF8948"/>
      <c r="GG8948"/>
      <c r="GH8948"/>
      <c r="GI8948"/>
      <c r="GJ8948"/>
      <c r="GK8948"/>
      <c r="GL8948"/>
      <c r="GM8948"/>
      <c r="GN8948"/>
      <c r="GO8948"/>
    </row>
    <row r="8949" spans="107:197">
      <c r="DC8949"/>
      <c r="FH8949"/>
      <c r="FI8949"/>
      <c r="FJ8949"/>
      <c r="FK8949"/>
      <c r="FL8949"/>
      <c r="FM8949"/>
      <c r="FN8949"/>
      <c r="FO8949"/>
      <c r="FP8949"/>
      <c r="FQ8949"/>
      <c r="FR8949"/>
      <c r="FS8949"/>
      <c r="FT8949"/>
      <c r="FU8949"/>
      <c r="FV8949"/>
      <c r="FW8949"/>
      <c r="FX8949"/>
      <c r="FY8949"/>
      <c r="FZ8949"/>
      <c r="GA8949"/>
      <c r="GB8949"/>
      <c r="GC8949"/>
      <c r="GD8949"/>
      <c r="GE8949"/>
      <c r="GF8949"/>
      <c r="GG8949"/>
      <c r="GH8949"/>
      <c r="GI8949"/>
      <c r="GJ8949"/>
      <c r="GK8949"/>
      <c r="GL8949"/>
      <c r="GM8949"/>
      <c r="GN8949"/>
      <c r="GO8949"/>
    </row>
    <row r="8950" spans="107:197">
      <c r="DC8950"/>
      <c r="FH8950"/>
      <c r="FI8950"/>
      <c r="FJ8950"/>
      <c r="FK8950"/>
      <c r="FL8950"/>
      <c r="FM8950"/>
      <c r="FN8950"/>
      <c r="FO8950"/>
      <c r="FP8950"/>
      <c r="FQ8950"/>
      <c r="FR8950"/>
      <c r="FS8950"/>
      <c r="FT8950"/>
      <c r="FU8950"/>
      <c r="FV8950"/>
      <c r="FW8950"/>
      <c r="FX8950"/>
      <c r="FY8950"/>
      <c r="FZ8950"/>
      <c r="GA8950"/>
      <c r="GB8950"/>
      <c r="GC8950"/>
      <c r="GD8950"/>
      <c r="GE8950"/>
      <c r="GF8950"/>
      <c r="GG8950"/>
      <c r="GH8950"/>
      <c r="GI8950"/>
      <c r="GJ8950"/>
      <c r="GK8950"/>
      <c r="GL8950"/>
      <c r="GM8950"/>
      <c r="GN8950"/>
      <c r="GO8950"/>
    </row>
    <row r="8951" spans="107:197">
      <c r="DC8951"/>
      <c r="FH8951"/>
      <c r="FI8951"/>
      <c r="FJ8951"/>
      <c r="FK8951"/>
      <c r="FL8951"/>
      <c r="FM8951"/>
      <c r="FN8951"/>
      <c r="FO8951"/>
      <c r="FP8951"/>
      <c r="FQ8951"/>
      <c r="FR8951"/>
      <c r="FS8951"/>
      <c r="FT8951"/>
      <c r="FU8951"/>
      <c r="FV8951"/>
      <c r="FW8951"/>
      <c r="FX8951"/>
      <c r="FY8951"/>
      <c r="FZ8951"/>
      <c r="GA8951"/>
      <c r="GB8951"/>
      <c r="GC8951"/>
      <c r="GD8951"/>
      <c r="GE8951"/>
      <c r="GF8951"/>
      <c r="GG8951"/>
      <c r="GH8951"/>
      <c r="GI8951"/>
      <c r="GJ8951"/>
      <c r="GK8951"/>
      <c r="GL8951"/>
      <c r="GM8951"/>
      <c r="GN8951"/>
      <c r="GO8951"/>
    </row>
    <row r="8952" spans="107:197">
      <c r="DC8952"/>
      <c r="FH8952"/>
      <c r="FI8952"/>
      <c r="FJ8952"/>
      <c r="FK8952"/>
      <c r="FL8952"/>
      <c r="FM8952"/>
      <c r="FN8952"/>
      <c r="FO8952"/>
      <c r="FP8952"/>
      <c r="FQ8952"/>
      <c r="FR8952"/>
      <c r="FS8952"/>
      <c r="FT8952"/>
      <c r="FU8952"/>
      <c r="FV8952"/>
      <c r="FW8952"/>
      <c r="FX8952"/>
      <c r="FY8952"/>
      <c r="FZ8952"/>
      <c r="GA8952"/>
      <c r="GB8952"/>
      <c r="GC8952"/>
      <c r="GD8952"/>
      <c r="GE8952"/>
      <c r="GF8952"/>
      <c r="GG8952"/>
      <c r="GH8952"/>
      <c r="GI8952"/>
      <c r="GJ8952"/>
      <c r="GK8952"/>
      <c r="GL8952"/>
      <c r="GM8952"/>
      <c r="GN8952"/>
      <c r="GO8952"/>
    </row>
    <row r="8953" spans="107:197">
      <c r="DC8953"/>
      <c r="FH8953"/>
      <c r="FI8953"/>
      <c r="FJ8953"/>
      <c r="FK8953"/>
      <c r="FL8953"/>
      <c r="FM8953"/>
      <c r="FN8953"/>
      <c r="FO8953"/>
      <c r="FP8953"/>
      <c r="FQ8953"/>
      <c r="FR8953"/>
      <c r="FS8953"/>
      <c r="FT8953"/>
      <c r="FU8953"/>
      <c r="FV8953"/>
      <c r="FW8953"/>
      <c r="FX8953"/>
      <c r="FY8953"/>
      <c r="FZ8953"/>
      <c r="GA8953"/>
      <c r="GB8953"/>
      <c r="GC8953"/>
      <c r="GD8953"/>
      <c r="GE8953"/>
      <c r="GF8953"/>
      <c r="GG8953"/>
      <c r="GH8953"/>
      <c r="GI8953"/>
      <c r="GJ8953"/>
      <c r="GK8953"/>
      <c r="GL8953"/>
      <c r="GM8953"/>
      <c r="GN8953"/>
      <c r="GO8953"/>
    </row>
    <row r="8954" spans="107:197">
      <c r="DC8954"/>
      <c r="FH8954"/>
      <c r="FI8954"/>
      <c r="FJ8954"/>
      <c r="FK8954"/>
      <c r="FL8954"/>
      <c r="FM8954"/>
      <c r="FN8954"/>
      <c r="FO8954"/>
      <c r="FP8954"/>
      <c r="FQ8954"/>
      <c r="FR8954"/>
      <c r="FS8954"/>
      <c r="FT8954"/>
      <c r="FU8954"/>
      <c r="FV8954"/>
      <c r="FW8954"/>
      <c r="FX8954"/>
      <c r="FY8954"/>
      <c r="FZ8954"/>
      <c r="GA8954"/>
      <c r="GB8954"/>
      <c r="GC8954"/>
      <c r="GD8954"/>
      <c r="GE8954"/>
      <c r="GF8954"/>
      <c r="GG8954"/>
      <c r="GH8954"/>
      <c r="GI8954"/>
      <c r="GJ8954"/>
      <c r="GK8954"/>
      <c r="GL8954"/>
      <c r="GM8954"/>
      <c r="GN8954"/>
      <c r="GO8954"/>
    </row>
    <row r="8955" spans="107:197">
      <c r="DC8955"/>
      <c r="FH8955"/>
      <c r="FI8955"/>
      <c r="FJ8955"/>
      <c r="FK8955"/>
      <c r="FL8955"/>
      <c r="FM8955"/>
      <c r="FN8955"/>
      <c r="FO8955"/>
      <c r="FP8955"/>
      <c r="FQ8955"/>
      <c r="FR8955"/>
      <c r="FS8955"/>
      <c r="FT8955"/>
      <c r="FU8955"/>
      <c r="FV8955"/>
      <c r="FW8955"/>
      <c r="FX8955"/>
      <c r="FY8955"/>
      <c r="FZ8955"/>
      <c r="GA8955"/>
      <c r="GB8955"/>
      <c r="GC8955"/>
      <c r="GD8955"/>
      <c r="GE8955"/>
      <c r="GF8955"/>
      <c r="GG8955"/>
      <c r="GH8955"/>
      <c r="GI8955"/>
      <c r="GJ8955"/>
      <c r="GK8955"/>
      <c r="GL8955"/>
      <c r="GM8955"/>
      <c r="GN8955"/>
      <c r="GO8955"/>
    </row>
    <row r="8956" spans="107:197">
      <c r="DC8956"/>
      <c r="FH8956"/>
      <c r="FI8956"/>
      <c r="FJ8956"/>
      <c r="FK8956"/>
      <c r="FL8956"/>
      <c r="FM8956"/>
      <c r="FN8956"/>
      <c r="FO8956"/>
      <c r="FP8956"/>
      <c r="FQ8956"/>
      <c r="FR8956"/>
      <c r="FS8956"/>
      <c r="FT8956"/>
      <c r="FU8956"/>
      <c r="FV8956"/>
      <c r="FW8956"/>
      <c r="FX8956"/>
      <c r="FY8956"/>
      <c r="FZ8956"/>
      <c r="GA8956"/>
      <c r="GB8956"/>
      <c r="GC8956"/>
      <c r="GD8956"/>
      <c r="GE8956"/>
      <c r="GF8956"/>
      <c r="GG8956"/>
      <c r="GH8956"/>
      <c r="GI8956"/>
      <c r="GJ8956"/>
      <c r="GK8956"/>
      <c r="GL8956"/>
      <c r="GM8956"/>
      <c r="GN8956"/>
      <c r="GO8956"/>
    </row>
    <row r="8957" spans="107:197">
      <c r="DC8957"/>
      <c r="FH8957"/>
      <c r="FI8957"/>
      <c r="FJ8957"/>
      <c r="FK8957"/>
      <c r="FL8957"/>
      <c r="FM8957"/>
      <c r="FN8957"/>
      <c r="FO8957"/>
      <c r="FP8957"/>
      <c r="FQ8957"/>
      <c r="FR8957"/>
      <c r="FS8957"/>
      <c r="FT8957"/>
      <c r="FU8957"/>
      <c r="FV8957"/>
      <c r="FW8957"/>
      <c r="FX8957"/>
      <c r="FY8957"/>
      <c r="FZ8957"/>
      <c r="GA8957"/>
      <c r="GB8957"/>
      <c r="GC8957"/>
      <c r="GD8957"/>
      <c r="GE8957"/>
      <c r="GF8957"/>
      <c r="GG8957"/>
      <c r="GH8957"/>
      <c r="GI8957"/>
      <c r="GJ8957"/>
      <c r="GK8957"/>
      <c r="GL8957"/>
      <c r="GM8957"/>
      <c r="GN8957"/>
      <c r="GO8957"/>
    </row>
    <row r="8958" spans="107:197">
      <c r="DC8958"/>
      <c r="FH8958"/>
      <c r="FI8958"/>
      <c r="FJ8958"/>
      <c r="FK8958"/>
      <c r="FL8958"/>
      <c r="FM8958"/>
      <c r="FN8958"/>
      <c r="FO8958"/>
      <c r="FP8958"/>
      <c r="FQ8958"/>
      <c r="FR8958"/>
      <c r="FS8958"/>
      <c r="FT8958"/>
      <c r="FU8958"/>
      <c r="FV8958"/>
      <c r="FW8958"/>
      <c r="FX8958"/>
      <c r="FY8958"/>
      <c r="FZ8958"/>
      <c r="GA8958"/>
      <c r="GB8958"/>
      <c r="GC8958"/>
      <c r="GD8958"/>
      <c r="GE8958"/>
      <c r="GF8958"/>
      <c r="GG8958"/>
      <c r="GH8958"/>
      <c r="GI8958"/>
      <c r="GJ8958"/>
      <c r="GK8958"/>
      <c r="GL8958"/>
      <c r="GM8958"/>
      <c r="GN8958"/>
      <c r="GO8958"/>
    </row>
    <row r="8959" spans="107:197">
      <c r="DC8959"/>
      <c r="FH8959"/>
      <c r="FI8959"/>
      <c r="FJ8959"/>
      <c r="FK8959"/>
      <c r="FL8959"/>
      <c r="FM8959"/>
      <c r="FN8959"/>
      <c r="FO8959"/>
      <c r="FP8959"/>
      <c r="FQ8959"/>
      <c r="FR8959"/>
      <c r="FS8959"/>
      <c r="FT8959"/>
      <c r="FU8959"/>
      <c r="FV8959"/>
      <c r="FW8959"/>
      <c r="FX8959"/>
      <c r="FY8959"/>
      <c r="FZ8959"/>
      <c r="GA8959"/>
      <c r="GB8959"/>
      <c r="GC8959"/>
      <c r="GD8959"/>
      <c r="GE8959"/>
      <c r="GF8959"/>
      <c r="GG8959"/>
      <c r="GH8959"/>
      <c r="GI8959"/>
      <c r="GJ8959"/>
      <c r="GK8959"/>
      <c r="GL8959"/>
      <c r="GM8959"/>
      <c r="GN8959"/>
      <c r="GO8959"/>
    </row>
    <row r="8960" spans="107:197">
      <c r="DC8960"/>
      <c r="FH8960"/>
      <c r="FI8960"/>
      <c r="FJ8960"/>
      <c r="FK8960"/>
      <c r="FL8960"/>
      <c r="FM8960"/>
      <c r="FN8960"/>
      <c r="FO8960"/>
      <c r="FP8960"/>
      <c r="FQ8960"/>
      <c r="FR8960"/>
      <c r="FS8960"/>
      <c r="FT8960"/>
      <c r="FU8960"/>
      <c r="FV8960"/>
      <c r="FW8960"/>
      <c r="FX8960"/>
      <c r="FY8960"/>
      <c r="FZ8960"/>
      <c r="GA8960"/>
      <c r="GB8960"/>
      <c r="GC8960"/>
      <c r="GD8960"/>
      <c r="GE8960"/>
      <c r="GF8960"/>
      <c r="GG8960"/>
      <c r="GH8960"/>
      <c r="GI8960"/>
      <c r="GJ8960"/>
      <c r="GK8960"/>
      <c r="GL8960"/>
      <c r="GM8960"/>
      <c r="GN8960"/>
      <c r="GO8960"/>
    </row>
    <row r="8961" spans="107:197">
      <c r="DC8961"/>
      <c r="FH8961"/>
      <c r="FI8961"/>
      <c r="FJ8961"/>
      <c r="FK8961"/>
      <c r="FL8961"/>
      <c r="FM8961"/>
      <c r="FN8961"/>
      <c r="FO8961"/>
      <c r="FP8961"/>
      <c r="FQ8961"/>
      <c r="FR8961"/>
      <c r="FS8961"/>
      <c r="FT8961"/>
      <c r="FU8961"/>
      <c r="FV8961"/>
      <c r="FW8961"/>
      <c r="FX8961"/>
      <c r="FY8961"/>
      <c r="FZ8961"/>
      <c r="GA8961"/>
      <c r="GB8961"/>
      <c r="GC8961"/>
      <c r="GD8961"/>
      <c r="GE8961"/>
      <c r="GF8961"/>
      <c r="GG8961"/>
      <c r="GH8961"/>
      <c r="GI8961"/>
      <c r="GJ8961"/>
      <c r="GK8961"/>
      <c r="GL8961"/>
      <c r="GM8961"/>
      <c r="GN8961"/>
      <c r="GO8961"/>
    </row>
    <row r="8962" spans="107:197">
      <c r="DC8962"/>
      <c r="FH8962"/>
      <c r="FI8962"/>
      <c r="FJ8962"/>
      <c r="FK8962"/>
      <c r="FL8962"/>
      <c r="FM8962"/>
      <c r="FN8962"/>
      <c r="FO8962"/>
      <c r="FP8962"/>
      <c r="FQ8962"/>
      <c r="FR8962"/>
      <c r="FS8962"/>
      <c r="FT8962"/>
      <c r="FU8962"/>
      <c r="FV8962"/>
      <c r="FW8962"/>
      <c r="FX8962"/>
      <c r="FY8962"/>
      <c r="FZ8962"/>
      <c r="GA8962"/>
      <c r="GB8962"/>
      <c r="GC8962"/>
      <c r="GD8962"/>
      <c r="GE8962"/>
      <c r="GF8962"/>
      <c r="GG8962"/>
      <c r="GH8962"/>
      <c r="GI8962"/>
      <c r="GJ8962"/>
      <c r="GK8962"/>
      <c r="GL8962"/>
      <c r="GM8962"/>
      <c r="GN8962"/>
      <c r="GO8962"/>
    </row>
    <row r="8963" spans="107:197">
      <c r="DC8963"/>
      <c r="FH8963"/>
      <c r="FI8963"/>
      <c r="FJ8963"/>
      <c r="FK8963"/>
      <c r="FL8963"/>
      <c r="FM8963"/>
      <c r="FN8963"/>
      <c r="FO8963"/>
      <c r="FP8963"/>
      <c r="FQ8963"/>
      <c r="FR8963"/>
      <c r="FS8963"/>
      <c r="FT8963"/>
      <c r="FU8963"/>
      <c r="FV8963"/>
      <c r="FW8963"/>
      <c r="FX8963"/>
      <c r="FY8963"/>
      <c r="FZ8963"/>
      <c r="GA8963"/>
      <c r="GB8963"/>
      <c r="GC8963"/>
      <c r="GD8963"/>
      <c r="GE8963"/>
      <c r="GF8963"/>
      <c r="GG8963"/>
      <c r="GH8963"/>
      <c r="GI8963"/>
      <c r="GJ8963"/>
      <c r="GK8963"/>
      <c r="GL8963"/>
      <c r="GM8963"/>
      <c r="GN8963"/>
      <c r="GO8963"/>
    </row>
    <row r="8964" spans="107:197">
      <c r="DC8964"/>
      <c r="FH8964"/>
      <c r="FI8964"/>
      <c r="FJ8964"/>
      <c r="FK8964"/>
      <c r="FL8964"/>
      <c r="FM8964"/>
      <c r="FN8964"/>
      <c r="FO8964"/>
      <c r="FP8964"/>
      <c r="FQ8964"/>
      <c r="FR8964"/>
      <c r="FS8964"/>
      <c r="FT8964"/>
      <c r="FU8964"/>
      <c r="FV8964"/>
      <c r="FW8964"/>
      <c r="FX8964"/>
      <c r="FY8964"/>
      <c r="FZ8964"/>
      <c r="GA8964"/>
      <c r="GB8964"/>
      <c r="GC8964"/>
      <c r="GD8964"/>
      <c r="GE8964"/>
      <c r="GF8964"/>
      <c r="GG8964"/>
      <c r="GH8964"/>
      <c r="GI8964"/>
      <c r="GJ8964"/>
      <c r="GK8964"/>
      <c r="GL8964"/>
      <c r="GM8964"/>
      <c r="GN8964"/>
      <c r="GO8964"/>
    </row>
    <row r="8965" spans="107:197">
      <c r="DC8965"/>
      <c r="FH8965"/>
      <c r="FI8965"/>
      <c r="FJ8965"/>
      <c r="FK8965"/>
      <c r="FL8965"/>
      <c r="FM8965"/>
      <c r="FN8965"/>
      <c r="FO8965"/>
      <c r="FP8965"/>
      <c r="FQ8965"/>
      <c r="FR8965"/>
      <c r="FS8965"/>
      <c r="FT8965"/>
      <c r="FU8965"/>
      <c r="FV8965"/>
      <c r="FW8965"/>
      <c r="FX8965"/>
      <c r="FY8965"/>
      <c r="FZ8965"/>
      <c r="GA8965"/>
      <c r="GB8965"/>
      <c r="GC8965"/>
      <c r="GD8965"/>
      <c r="GE8965"/>
      <c r="GF8965"/>
      <c r="GG8965"/>
      <c r="GH8965"/>
      <c r="GI8965"/>
      <c r="GJ8965"/>
      <c r="GK8965"/>
      <c r="GL8965"/>
      <c r="GM8965"/>
      <c r="GN8965"/>
      <c r="GO8965"/>
    </row>
    <row r="8966" spans="107:197">
      <c r="DC8966"/>
      <c r="FH8966"/>
      <c r="FI8966"/>
      <c r="FJ8966"/>
      <c r="FK8966"/>
      <c r="FL8966"/>
      <c r="FM8966"/>
      <c r="FN8966"/>
      <c r="FO8966"/>
      <c r="FP8966"/>
      <c r="FQ8966"/>
      <c r="FR8966"/>
      <c r="FS8966"/>
      <c r="FT8966"/>
      <c r="FU8966"/>
      <c r="FV8966"/>
      <c r="FW8966"/>
      <c r="FX8966"/>
      <c r="FY8966"/>
      <c r="FZ8966"/>
      <c r="GA8966"/>
      <c r="GB8966"/>
      <c r="GC8966"/>
      <c r="GD8966"/>
      <c r="GE8966"/>
      <c r="GF8966"/>
      <c r="GG8966"/>
      <c r="GH8966"/>
      <c r="GI8966"/>
      <c r="GJ8966"/>
      <c r="GK8966"/>
      <c r="GL8966"/>
      <c r="GM8966"/>
      <c r="GN8966"/>
      <c r="GO8966"/>
    </row>
    <row r="8967" spans="107:197">
      <c r="DC8967"/>
      <c r="FH8967"/>
      <c r="FI8967"/>
      <c r="FJ8967"/>
      <c r="FK8967"/>
      <c r="FL8967"/>
      <c r="FM8967"/>
      <c r="FN8967"/>
      <c r="FO8967"/>
      <c r="FP8967"/>
      <c r="FQ8967"/>
      <c r="FR8967"/>
      <c r="FS8967"/>
      <c r="FT8967"/>
      <c r="FU8967"/>
      <c r="FV8967"/>
      <c r="FW8967"/>
      <c r="FX8967"/>
      <c r="FY8967"/>
      <c r="FZ8967"/>
      <c r="GA8967"/>
      <c r="GB8967"/>
      <c r="GC8967"/>
      <c r="GD8967"/>
      <c r="GE8967"/>
      <c r="GF8967"/>
      <c r="GG8967"/>
      <c r="GH8967"/>
      <c r="GI8967"/>
      <c r="GJ8967"/>
      <c r="GK8967"/>
      <c r="GL8967"/>
      <c r="GM8967"/>
      <c r="GN8967"/>
      <c r="GO8967"/>
    </row>
    <row r="8968" spans="107:197">
      <c r="DC8968"/>
      <c r="FH8968"/>
      <c r="FI8968"/>
      <c r="FJ8968"/>
      <c r="FK8968"/>
      <c r="FL8968"/>
      <c r="FM8968"/>
      <c r="FN8968"/>
      <c r="FO8968"/>
      <c r="FP8968"/>
      <c r="FQ8968"/>
      <c r="FR8968"/>
      <c r="FS8968"/>
      <c r="FT8968"/>
      <c r="FU8968"/>
      <c r="FV8968"/>
      <c r="FW8968"/>
      <c r="FX8968"/>
      <c r="FY8968"/>
      <c r="FZ8968"/>
      <c r="GA8968"/>
      <c r="GB8968"/>
      <c r="GC8968"/>
      <c r="GD8968"/>
      <c r="GE8968"/>
      <c r="GF8968"/>
      <c r="GG8968"/>
      <c r="GH8968"/>
      <c r="GI8968"/>
      <c r="GJ8968"/>
      <c r="GK8968"/>
      <c r="GL8968"/>
      <c r="GM8968"/>
      <c r="GN8968"/>
      <c r="GO8968"/>
    </row>
    <row r="8969" spans="107:197">
      <c r="DC8969"/>
      <c r="FH8969"/>
      <c r="FI8969"/>
      <c r="FJ8969"/>
      <c r="FK8969"/>
      <c r="FL8969"/>
      <c r="FM8969"/>
      <c r="FN8969"/>
      <c r="FO8969"/>
      <c r="FP8969"/>
      <c r="FQ8969"/>
      <c r="FR8969"/>
      <c r="FS8969"/>
      <c r="FT8969"/>
      <c r="FU8969"/>
      <c r="FV8969"/>
      <c r="FW8969"/>
      <c r="FX8969"/>
      <c r="FY8969"/>
      <c r="FZ8969"/>
      <c r="GA8969"/>
      <c r="GB8969"/>
      <c r="GC8969"/>
      <c r="GD8969"/>
      <c r="GE8969"/>
      <c r="GF8969"/>
      <c r="GG8969"/>
      <c r="GH8969"/>
      <c r="GI8969"/>
      <c r="GJ8969"/>
      <c r="GK8969"/>
      <c r="GL8969"/>
      <c r="GM8969"/>
      <c r="GN8969"/>
      <c r="GO8969"/>
    </row>
    <row r="8970" spans="107:197">
      <c r="DC8970"/>
      <c r="FH8970"/>
      <c r="FI8970"/>
      <c r="FJ8970"/>
      <c r="FK8970"/>
      <c r="FL8970"/>
      <c r="FM8970"/>
      <c r="FN8970"/>
      <c r="FO8970"/>
      <c r="FP8970"/>
      <c r="FQ8970"/>
      <c r="FR8970"/>
      <c r="FS8970"/>
      <c r="FT8970"/>
      <c r="FU8970"/>
      <c r="FV8970"/>
      <c r="FW8970"/>
      <c r="FX8970"/>
      <c r="FY8970"/>
      <c r="FZ8970"/>
      <c r="GA8970"/>
      <c r="GB8970"/>
      <c r="GC8970"/>
      <c r="GD8970"/>
      <c r="GE8970"/>
      <c r="GF8970"/>
      <c r="GG8970"/>
      <c r="GH8970"/>
      <c r="GI8970"/>
      <c r="GJ8970"/>
      <c r="GK8970"/>
      <c r="GL8970"/>
      <c r="GM8970"/>
      <c r="GN8970"/>
      <c r="GO8970"/>
    </row>
    <row r="8971" spans="107:197">
      <c r="DC8971"/>
      <c r="FH8971"/>
      <c r="FI8971"/>
      <c r="FJ8971"/>
      <c r="FK8971"/>
      <c r="FL8971"/>
      <c r="FM8971"/>
      <c r="FN8971"/>
      <c r="FO8971"/>
      <c r="FP8971"/>
      <c r="FQ8971"/>
      <c r="FR8971"/>
      <c r="FS8971"/>
      <c r="FT8971"/>
      <c r="FU8971"/>
      <c r="FV8971"/>
      <c r="FW8971"/>
      <c r="FX8971"/>
      <c r="FY8971"/>
      <c r="FZ8971"/>
      <c r="GA8971"/>
      <c r="GB8971"/>
      <c r="GC8971"/>
      <c r="GD8971"/>
      <c r="GE8971"/>
      <c r="GF8971"/>
      <c r="GG8971"/>
      <c r="GH8971"/>
      <c r="GI8971"/>
      <c r="GJ8971"/>
      <c r="GK8971"/>
      <c r="GL8971"/>
      <c r="GM8971"/>
      <c r="GN8971"/>
      <c r="GO8971"/>
    </row>
    <row r="8972" spans="107:197">
      <c r="DC8972"/>
      <c r="FH8972"/>
      <c r="FI8972"/>
      <c r="FJ8972"/>
      <c r="FK8972"/>
      <c r="FL8972"/>
      <c r="FM8972"/>
      <c r="FN8972"/>
      <c r="FO8972"/>
      <c r="FP8972"/>
      <c r="FQ8972"/>
      <c r="FR8972"/>
      <c r="FS8972"/>
      <c r="FT8972"/>
      <c r="FU8972"/>
      <c r="FV8972"/>
      <c r="FW8972"/>
      <c r="FX8972"/>
      <c r="FY8972"/>
      <c r="FZ8972"/>
      <c r="GA8972"/>
      <c r="GB8972"/>
      <c r="GC8972"/>
      <c r="GD8972"/>
      <c r="GE8972"/>
      <c r="GF8972"/>
      <c r="GG8972"/>
      <c r="GH8972"/>
      <c r="GI8972"/>
      <c r="GJ8972"/>
      <c r="GK8972"/>
      <c r="GL8972"/>
      <c r="GM8972"/>
      <c r="GN8972"/>
      <c r="GO8972"/>
    </row>
    <row r="8973" spans="107:197">
      <c r="DC8973"/>
      <c r="FH8973"/>
      <c r="FI8973"/>
      <c r="FJ8973"/>
      <c r="FK8973"/>
      <c r="FL8973"/>
      <c r="FM8973"/>
      <c r="FN8973"/>
      <c r="FO8973"/>
      <c r="FP8973"/>
      <c r="FQ8973"/>
      <c r="FR8973"/>
      <c r="FS8973"/>
      <c r="FT8973"/>
      <c r="FU8973"/>
      <c r="FV8973"/>
      <c r="FW8973"/>
      <c r="FX8973"/>
      <c r="FY8973"/>
      <c r="FZ8973"/>
      <c r="GA8973"/>
      <c r="GB8973"/>
      <c r="GC8973"/>
      <c r="GD8973"/>
      <c r="GE8973"/>
      <c r="GF8973"/>
      <c r="GG8973"/>
      <c r="GH8973"/>
      <c r="GI8973"/>
      <c r="GJ8973"/>
      <c r="GK8973"/>
      <c r="GL8973"/>
      <c r="GM8973"/>
      <c r="GN8973"/>
      <c r="GO8973"/>
    </row>
    <row r="8974" spans="107:197">
      <c r="DC8974"/>
      <c r="FH8974"/>
      <c r="FI8974"/>
      <c r="FJ8974"/>
      <c r="FK8974"/>
      <c r="FL8974"/>
      <c r="FM8974"/>
      <c r="FN8974"/>
      <c r="FO8974"/>
      <c r="FP8974"/>
      <c r="FQ8974"/>
      <c r="FR8974"/>
      <c r="FS8974"/>
      <c r="FT8974"/>
      <c r="FU8974"/>
      <c r="FV8974"/>
      <c r="FW8974"/>
      <c r="FX8974"/>
      <c r="FY8974"/>
      <c r="FZ8974"/>
      <c r="GA8974"/>
      <c r="GB8974"/>
      <c r="GC8974"/>
      <c r="GD8974"/>
      <c r="GE8974"/>
      <c r="GF8974"/>
      <c r="GG8974"/>
      <c r="GH8974"/>
      <c r="GI8974"/>
      <c r="GJ8974"/>
      <c r="GK8974"/>
      <c r="GL8974"/>
      <c r="GM8974"/>
      <c r="GN8974"/>
      <c r="GO8974"/>
    </row>
    <row r="8975" spans="107:197">
      <c r="DC8975"/>
      <c r="FH8975"/>
      <c r="FI8975"/>
      <c r="FJ8975"/>
      <c r="FK8975"/>
      <c r="FL8975"/>
      <c r="FM8975"/>
      <c r="FN8975"/>
      <c r="FO8975"/>
      <c r="FP8975"/>
      <c r="FQ8975"/>
      <c r="FR8975"/>
      <c r="FS8975"/>
      <c r="FT8975"/>
      <c r="FU8975"/>
      <c r="FV8975"/>
      <c r="FW8975"/>
      <c r="FX8975"/>
      <c r="FY8975"/>
      <c r="FZ8975"/>
      <c r="GA8975"/>
      <c r="GB8975"/>
      <c r="GC8975"/>
      <c r="GD8975"/>
      <c r="GE8975"/>
      <c r="GF8975"/>
      <c r="GG8975"/>
      <c r="GH8975"/>
      <c r="GI8975"/>
      <c r="GJ8975"/>
      <c r="GK8975"/>
      <c r="GL8975"/>
      <c r="GM8975"/>
      <c r="GN8975"/>
      <c r="GO8975"/>
    </row>
    <row r="8976" spans="107:197">
      <c r="DC8976"/>
      <c r="FH8976"/>
      <c r="FI8976"/>
      <c r="FJ8976"/>
      <c r="FK8976"/>
      <c r="FL8976"/>
      <c r="FM8976"/>
      <c r="FN8976"/>
      <c r="FO8976"/>
      <c r="FP8976"/>
      <c r="FQ8976"/>
      <c r="FR8976"/>
      <c r="FS8976"/>
      <c r="FT8976"/>
      <c r="FU8976"/>
      <c r="FV8976"/>
      <c r="FW8976"/>
      <c r="FX8976"/>
      <c r="FY8976"/>
      <c r="FZ8976"/>
      <c r="GA8976"/>
      <c r="GB8976"/>
      <c r="GC8976"/>
      <c r="GD8976"/>
      <c r="GE8976"/>
      <c r="GF8976"/>
      <c r="GG8976"/>
      <c r="GH8976"/>
      <c r="GI8976"/>
      <c r="GJ8976"/>
      <c r="GK8976"/>
      <c r="GL8976"/>
      <c r="GM8976"/>
      <c r="GN8976"/>
      <c r="GO8976"/>
    </row>
    <row r="8977" spans="107:197">
      <c r="DC8977"/>
      <c r="FH8977"/>
      <c r="FI8977"/>
      <c r="FJ8977"/>
      <c r="FK8977"/>
      <c r="FL8977"/>
      <c r="FM8977"/>
      <c r="FN8977"/>
      <c r="FO8977"/>
      <c r="FP8977"/>
      <c r="FQ8977"/>
      <c r="FR8977"/>
      <c r="FS8977"/>
      <c r="FT8977"/>
      <c r="FU8977"/>
      <c r="FV8977"/>
      <c r="FW8977"/>
      <c r="FX8977"/>
      <c r="FY8977"/>
      <c r="FZ8977"/>
      <c r="GA8977"/>
      <c r="GB8977"/>
      <c r="GC8977"/>
      <c r="GD8977"/>
      <c r="GE8977"/>
      <c r="GF8977"/>
      <c r="GG8977"/>
      <c r="GH8977"/>
      <c r="GI8977"/>
      <c r="GJ8977"/>
      <c r="GK8977"/>
      <c r="GL8977"/>
      <c r="GM8977"/>
      <c r="GN8977"/>
      <c r="GO8977"/>
    </row>
    <row r="8978" spans="107:197">
      <c r="DC8978"/>
      <c r="FH8978"/>
      <c r="FI8978"/>
      <c r="FJ8978"/>
      <c r="FK8978"/>
      <c r="FL8978"/>
      <c r="FM8978"/>
      <c r="FN8978"/>
      <c r="FO8978"/>
      <c r="FP8978"/>
      <c r="FQ8978"/>
      <c r="FR8978"/>
      <c r="FS8978"/>
      <c r="FT8978"/>
      <c r="FU8978"/>
      <c r="FV8978"/>
      <c r="FW8978"/>
      <c r="FX8978"/>
      <c r="FY8978"/>
      <c r="FZ8978"/>
      <c r="GA8978"/>
      <c r="GB8978"/>
      <c r="GC8978"/>
      <c r="GD8978"/>
      <c r="GE8978"/>
      <c r="GF8978"/>
      <c r="GG8978"/>
      <c r="GH8978"/>
      <c r="GI8978"/>
      <c r="GJ8978"/>
      <c r="GK8978"/>
      <c r="GL8978"/>
      <c r="GM8978"/>
      <c r="GN8978"/>
      <c r="GO8978"/>
    </row>
    <row r="8979" spans="107:197">
      <c r="DC8979"/>
      <c r="FH8979"/>
      <c r="FI8979"/>
      <c r="FJ8979"/>
      <c r="FK8979"/>
      <c r="FL8979"/>
      <c r="FM8979"/>
      <c r="FN8979"/>
      <c r="FO8979"/>
      <c r="FP8979"/>
      <c r="FQ8979"/>
      <c r="FR8979"/>
      <c r="FS8979"/>
      <c r="FT8979"/>
      <c r="FU8979"/>
      <c r="FV8979"/>
      <c r="FW8979"/>
      <c r="FX8979"/>
      <c r="FY8979"/>
      <c r="FZ8979"/>
      <c r="GA8979"/>
      <c r="GB8979"/>
      <c r="GC8979"/>
      <c r="GD8979"/>
      <c r="GE8979"/>
      <c r="GF8979"/>
      <c r="GG8979"/>
      <c r="GH8979"/>
      <c r="GI8979"/>
      <c r="GJ8979"/>
      <c r="GK8979"/>
      <c r="GL8979"/>
      <c r="GM8979"/>
      <c r="GN8979"/>
      <c r="GO8979"/>
    </row>
    <row r="8980" spans="107:197">
      <c r="DC8980"/>
      <c r="FH8980"/>
      <c r="FI8980"/>
      <c r="FJ8980"/>
      <c r="FK8980"/>
      <c r="FL8980"/>
      <c r="FM8980"/>
      <c r="FN8980"/>
      <c r="FO8980"/>
      <c r="FP8980"/>
      <c r="FQ8980"/>
      <c r="FR8980"/>
      <c r="FS8980"/>
      <c r="FT8980"/>
      <c r="FU8980"/>
      <c r="FV8980"/>
      <c r="FW8980"/>
      <c r="FX8980"/>
      <c r="FY8980"/>
      <c r="FZ8980"/>
      <c r="GA8980"/>
      <c r="GB8980"/>
      <c r="GC8980"/>
      <c r="GD8980"/>
      <c r="GE8980"/>
      <c r="GF8980"/>
      <c r="GG8980"/>
      <c r="GH8980"/>
      <c r="GI8980"/>
      <c r="GJ8980"/>
      <c r="GK8980"/>
      <c r="GL8980"/>
      <c r="GM8980"/>
      <c r="GN8980"/>
      <c r="GO8980"/>
    </row>
    <row r="8981" spans="107:197">
      <c r="DC8981"/>
      <c r="FH8981"/>
      <c r="FI8981"/>
      <c r="FJ8981"/>
      <c r="FK8981"/>
      <c r="FL8981"/>
      <c r="FM8981"/>
      <c r="FN8981"/>
      <c r="FO8981"/>
      <c r="FP8981"/>
      <c r="FQ8981"/>
      <c r="FR8981"/>
      <c r="FS8981"/>
      <c r="FT8981"/>
      <c r="FU8981"/>
      <c r="FV8981"/>
      <c r="FW8981"/>
      <c r="FX8981"/>
      <c r="FY8981"/>
      <c r="FZ8981"/>
      <c r="GA8981"/>
      <c r="GB8981"/>
      <c r="GC8981"/>
      <c r="GD8981"/>
      <c r="GE8981"/>
      <c r="GF8981"/>
      <c r="GG8981"/>
      <c r="GH8981"/>
      <c r="GI8981"/>
      <c r="GJ8981"/>
      <c r="GK8981"/>
      <c r="GL8981"/>
      <c r="GM8981"/>
      <c r="GN8981"/>
      <c r="GO8981"/>
    </row>
    <row r="8982" spans="107:197">
      <c r="DC8982"/>
      <c r="FH8982"/>
      <c r="FI8982"/>
      <c r="FJ8982"/>
      <c r="FK8982"/>
      <c r="FL8982"/>
      <c r="FM8982"/>
      <c r="FN8982"/>
      <c r="FO8982"/>
      <c r="FP8982"/>
      <c r="FQ8982"/>
      <c r="FR8982"/>
      <c r="FS8982"/>
      <c r="FT8982"/>
      <c r="FU8982"/>
      <c r="FV8982"/>
      <c r="FW8982"/>
      <c r="FX8982"/>
      <c r="FY8982"/>
      <c r="FZ8982"/>
      <c r="GA8982"/>
      <c r="GB8982"/>
      <c r="GC8982"/>
      <c r="GD8982"/>
      <c r="GE8982"/>
      <c r="GF8982"/>
      <c r="GG8982"/>
      <c r="GH8982"/>
      <c r="GI8982"/>
      <c r="GJ8982"/>
      <c r="GK8982"/>
      <c r="GL8982"/>
      <c r="GM8982"/>
      <c r="GN8982"/>
      <c r="GO8982"/>
    </row>
    <row r="8983" spans="107:197">
      <c r="DC8983"/>
      <c r="FH8983"/>
      <c r="FI8983"/>
      <c r="FJ8983"/>
      <c r="FK8983"/>
      <c r="FL8983"/>
      <c r="FM8983"/>
      <c r="FN8983"/>
      <c r="FO8983"/>
      <c r="FP8983"/>
      <c r="FQ8983"/>
      <c r="FR8983"/>
      <c r="FS8983"/>
      <c r="FT8983"/>
      <c r="FU8983"/>
      <c r="FV8983"/>
      <c r="FW8983"/>
      <c r="FX8983"/>
      <c r="FY8983"/>
      <c r="FZ8983"/>
      <c r="GA8983"/>
      <c r="GB8983"/>
      <c r="GC8983"/>
      <c r="GD8983"/>
      <c r="GE8983"/>
      <c r="GF8983"/>
      <c r="GG8983"/>
      <c r="GH8983"/>
      <c r="GI8983"/>
      <c r="GJ8983"/>
      <c r="GK8983"/>
      <c r="GL8983"/>
      <c r="GM8983"/>
      <c r="GN8983"/>
      <c r="GO8983"/>
    </row>
    <row r="8984" spans="107:197">
      <c r="DC8984"/>
      <c r="FH8984"/>
      <c r="FI8984"/>
      <c r="FJ8984"/>
      <c r="FK8984"/>
      <c r="FL8984"/>
      <c r="FM8984"/>
      <c r="FN8984"/>
      <c r="FO8984"/>
      <c r="FP8984"/>
      <c r="FQ8984"/>
      <c r="FR8984"/>
      <c r="FS8984"/>
      <c r="FT8984"/>
      <c r="FU8984"/>
      <c r="FV8984"/>
      <c r="FW8984"/>
      <c r="FX8984"/>
      <c r="FY8984"/>
      <c r="FZ8984"/>
      <c r="GA8984"/>
      <c r="GB8984"/>
      <c r="GC8984"/>
      <c r="GD8984"/>
      <c r="GE8984"/>
      <c r="GF8984"/>
      <c r="GG8984"/>
      <c r="GH8984"/>
      <c r="GI8984"/>
      <c r="GJ8984"/>
      <c r="GK8984"/>
      <c r="GL8984"/>
      <c r="GM8984"/>
      <c r="GN8984"/>
      <c r="GO8984"/>
    </row>
    <row r="8985" spans="107:197">
      <c r="DC8985"/>
      <c r="FH8985"/>
      <c r="FI8985"/>
      <c r="FJ8985"/>
      <c r="FK8985"/>
      <c r="FL8985"/>
      <c r="FM8985"/>
      <c r="FN8985"/>
      <c r="FO8985"/>
      <c r="FP8985"/>
      <c r="FQ8985"/>
      <c r="FR8985"/>
      <c r="FS8985"/>
      <c r="FT8985"/>
      <c r="FU8985"/>
      <c r="FV8985"/>
      <c r="FW8985"/>
      <c r="FX8985"/>
      <c r="FY8985"/>
      <c r="FZ8985"/>
      <c r="GA8985"/>
      <c r="GB8985"/>
      <c r="GC8985"/>
      <c r="GD8985"/>
      <c r="GE8985"/>
      <c r="GF8985"/>
      <c r="GG8985"/>
      <c r="GH8985"/>
      <c r="GI8985"/>
      <c r="GJ8985"/>
      <c r="GK8985"/>
      <c r="GL8985"/>
      <c r="GM8985"/>
      <c r="GN8985"/>
      <c r="GO8985"/>
    </row>
    <row r="8986" spans="107:197">
      <c r="DC8986"/>
      <c r="FH8986"/>
      <c r="FI8986"/>
      <c r="FJ8986"/>
      <c r="FK8986"/>
      <c r="FL8986"/>
      <c r="FM8986"/>
      <c r="FN8986"/>
      <c r="FO8986"/>
      <c r="FP8986"/>
      <c r="FQ8986"/>
      <c r="FR8986"/>
      <c r="FS8986"/>
      <c r="FT8986"/>
      <c r="FU8986"/>
      <c r="FV8986"/>
      <c r="FW8986"/>
      <c r="FX8986"/>
      <c r="FY8986"/>
      <c r="FZ8986"/>
      <c r="GA8986"/>
      <c r="GB8986"/>
      <c r="GC8986"/>
      <c r="GD8986"/>
      <c r="GE8986"/>
      <c r="GF8986"/>
      <c r="GG8986"/>
      <c r="GH8986"/>
      <c r="GI8986"/>
      <c r="GJ8986"/>
      <c r="GK8986"/>
      <c r="GL8986"/>
      <c r="GM8986"/>
      <c r="GN8986"/>
      <c r="GO8986"/>
    </row>
    <row r="8987" spans="107:197">
      <c r="DC8987"/>
      <c r="FH8987"/>
      <c r="FI8987"/>
      <c r="FJ8987"/>
      <c r="FK8987"/>
      <c r="FL8987"/>
      <c r="FM8987"/>
      <c r="FN8987"/>
      <c r="FO8987"/>
      <c r="FP8987"/>
      <c r="FQ8987"/>
      <c r="FR8987"/>
      <c r="FS8987"/>
      <c r="FT8987"/>
      <c r="FU8987"/>
      <c r="FV8987"/>
      <c r="FW8987"/>
      <c r="FX8987"/>
      <c r="FY8987"/>
      <c r="FZ8987"/>
      <c r="GA8987"/>
      <c r="GB8987"/>
      <c r="GC8987"/>
      <c r="GD8987"/>
      <c r="GE8987"/>
      <c r="GF8987"/>
      <c r="GG8987"/>
      <c r="GH8987"/>
      <c r="GI8987"/>
      <c r="GJ8987"/>
      <c r="GK8987"/>
      <c r="GL8987"/>
      <c r="GM8987"/>
      <c r="GN8987"/>
      <c r="GO8987"/>
    </row>
    <row r="8988" spans="107:197">
      <c r="DC8988"/>
      <c r="FH8988"/>
      <c r="FI8988"/>
      <c r="FJ8988"/>
      <c r="FK8988"/>
      <c r="FL8988"/>
      <c r="FM8988"/>
      <c r="FN8988"/>
      <c r="FO8988"/>
      <c r="FP8988"/>
      <c r="FQ8988"/>
      <c r="FR8988"/>
      <c r="FS8988"/>
      <c r="FT8988"/>
      <c r="FU8988"/>
      <c r="FV8988"/>
      <c r="FW8988"/>
      <c r="FX8988"/>
      <c r="FY8988"/>
      <c r="FZ8988"/>
      <c r="GA8988"/>
      <c r="GB8988"/>
      <c r="GC8988"/>
      <c r="GD8988"/>
      <c r="GE8988"/>
      <c r="GF8988"/>
      <c r="GG8988"/>
      <c r="GH8988"/>
      <c r="GI8988"/>
      <c r="GJ8988"/>
      <c r="GK8988"/>
      <c r="GL8988"/>
      <c r="GM8988"/>
      <c r="GN8988"/>
      <c r="GO8988"/>
    </row>
    <row r="8989" spans="107:197">
      <c r="DC8989"/>
      <c r="FH8989"/>
      <c r="FI8989"/>
      <c r="FJ8989"/>
      <c r="FK8989"/>
      <c r="FL8989"/>
      <c r="FM8989"/>
      <c r="FN8989"/>
      <c r="FO8989"/>
      <c r="FP8989"/>
      <c r="FQ8989"/>
      <c r="FR8989"/>
      <c r="FS8989"/>
      <c r="FT8989"/>
      <c r="FU8989"/>
      <c r="FV8989"/>
      <c r="FW8989"/>
      <c r="FX8989"/>
      <c r="FY8989"/>
      <c r="FZ8989"/>
      <c r="GA8989"/>
      <c r="GB8989"/>
      <c r="GC8989"/>
      <c r="GD8989"/>
      <c r="GE8989"/>
      <c r="GF8989"/>
      <c r="GG8989"/>
      <c r="GH8989"/>
      <c r="GI8989"/>
      <c r="GJ8989"/>
      <c r="GK8989"/>
      <c r="GL8989"/>
      <c r="GM8989"/>
      <c r="GN8989"/>
      <c r="GO8989"/>
    </row>
    <row r="8990" spans="107:197">
      <c r="DC8990"/>
      <c r="FH8990"/>
      <c r="FI8990"/>
      <c r="FJ8990"/>
      <c r="FK8990"/>
      <c r="FL8990"/>
      <c r="FM8990"/>
      <c r="FN8990"/>
      <c r="FO8990"/>
      <c r="FP8990"/>
      <c r="FQ8990"/>
      <c r="FR8990"/>
      <c r="FS8990"/>
      <c r="FT8990"/>
      <c r="FU8990"/>
      <c r="FV8990"/>
      <c r="FW8990"/>
      <c r="FX8990"/>
      <c r="FY8990"/>
      <c r="FZ8990"/>
      <c r="GA8990"/>
      <c r="GB8990"/>
      <c r="GC8990"/>
      <c r="GD8990"/>
      <c r="GE8990"/>
      <c r="GF8990"/>
      <c r="GG8990"/>
      <c r="GH8990"/>
      <c r="GI8990"/>
      <c r="GJ8990"/>
      <c r="GK8990"/>
      <c r="GL8990"/>
      <c r="GM8990"/>
      <c r="GN8990"/>
      <c r="GO8990"/>
    </row>
    <row r="8991" spans="107:197">
      <c r="DC8991"/>
      <c r="FH8991"/>
      <c r="FI8991"/>
      <c r="FJ8991"/>
      <c r="FK8991"/>
      <c r="FL8991"/>
      <c r="FM8991"/>
      <c r="FN8991"/>
      <c r="FO8991"/>
      <c r="FP8991"/>
      <c r="FQ8991"/>
      <c r="FR8991"/>
      <c r="FS8991"/>
      <c r="FT8991"/>
      <c r="FU8991"/>
      <c r="FV8991"/>
      <c r="FW8991"/>
      <c r="FX8991"/>
      <c r="FY8991"/>
      <c r="FZ8991"/>
      <c r="GA8991"/>
      <c r="GB8991"/>
      <c r="GC8991"/>
      <c r="GD8991"/>
      <c r="GE8991"/>
      <c r="GF8991"/>
      <c r="GG8991"/>
      <c r="GH8991"/>
      <c r="GI8991"/>
      <c r="GJ8991"/>
      <c r="GK8991"/>
      <c r="GL8991"/>
      <c r="GM8991"/>
      <c r="GN8991"/>
      <c r="GO8991"/>
    </row>
    <row r="8992" spans="107:197">
      <c r="DC8992"/>
      <c r="FH8992"/>
      <c r="FI8992"/>
      <c r="FJ8992"/>
      <c r="FK8992"/>
      <c r="FL8992"/>
      <c r="FM8992"/>
      <c r="FN8992"/>
      <c r="FO8992"/>
      <c r="FP8992"/>
      <c r="FQ8992"/>
      <c r="FR8992"/>
      <c r="FS8992"/>
      <c r="FT8992"/>
      <c r="FU8992"/>
      <c r="FV8992"/>
      <c r="FW8992"/>
      <c r="FX8992"/>
      <c r="FY8992"/>
      <c r="FZ8992"/>
      <c r="GA8992"/>
      <c r="GB8992"/>
      <c r="GC8992"/>
      <c r="GD8992"/>
      <c r="GE8992"/>
      <c r="GF8992"/>
      <c r="GG8992"/>
      <c r="GH8992"/>
      <c r="GI8992"/>
      <c r="GJ8992"/>
      <c r="GK8992"/>
      <c r="GL8992"/>
      <c r="GM8992"/>
      <c r="GN8992"/>
      <c r="GO8992"/>
    </row>
    <row r="8993" spans="107:197">
      <c r="DC8993"/>
      <c r="FH8993"/>
      <c r="FI8993"/>
      <c r="FJ8993"/>
      <c r="FK8993"/>
      <c r="FL8993"/>
      <c r="FM8993"/>
      <c r="FN8993"/>
      <c r="FO8993"/>
      <c r="FP8993"/>
      <c r="FQ8993"/>
      <c r="FR8993"/>
      <c r="FS8993"/>
      <c r="FT8993"/>
      <c r="FU8993"/>
      <c r="FV8993"/>
      <c r="FW8993"/>
      <c r="FX8993"/>
      <c r="FY8993"/>
      <c r="FZ8993"/>
      <c r="GA8993"/>
      <c r="GB8993"/>
      <c r="GC8993"/>
      <c r="GD8993"/>
      <c r="GE8993"/>
      <c r="GF8993"/>
      <c r="GG8993"/>
      <c r="GH8993"/>
      <c r="GI8993"/>
      <c r="GJ8993"/>
      <c r="GK8993"/>
      <c r="GL8993"/>
      <c r="GM8993"/>
      <c r="GN8993"/>
      <c r="GO8993"/>
    </row>
    <row r="8994" spans="107:197">
      <c r="DC8994"/>
      <c r="FH8994"/>
      <c r="FI8994"/>
      <c r="FJ8994"/>
      <c r="FK8994"/>
      <c r="FL8994"/>
      <c r="FM8994"/>
      <c r="FN8994"/>
      <c r="FO8994"/>
      <c r="FP8994"/>
      <c r="FQ8994"/>
      <c r="FR8994"/>
      <c r="FS8994"/>
      <c r="FT8994"/>
      <c r="FU8994"/>
      <c r="FV8994"/>
      <c r="FW8994"/>
      <c r="FX8994"/>
      <c r="FY8994"/>
      <c r="FZ8994"/>
      <c r="GA8994"/>
      <c r="GB8994"/>
      <c r="GC8994"/>
      <c r="GD8994"/>
      <c r="GE8994"/>
      <c r="GF8994"/>
      <c r="GG8994"/>
      <c r="GH8994"/>
      <c r="GI8994"/>
      <c r="GJ8994"/>
      <c r="GK8994"/>
      <c r="GL8994"/>
      <c r="GM8994"/>
      <c r="GN8994"/>
      <c r="GO8994"/>
    </row>
    <row r="8995" spans="107:197">
      <c r="DC8995"/>
      <c r="FH8995"/>
      <c r="FI8995"/>
      <c r="FJ8995"/>
      <c r="FK8995"/>
      <c r="FL8995"/>
      <c r="FM8995"/>
      <c r="FN8995"/>
      <c r="FO8995"/>
      <c r="FP8995"/>
      <c r="FQ8995"/>
      <c r="FR8995"/>
      <c r="FS8995"/>
      <c r="FT8995"/>
      <c r="FU8995"/>
      <c r="FV8995"/>
      <c r="FW8995"/>
      <c r="FX8995"/>
      <c r="FY8995"/>
      <c r="FZ8995"/>
      <c r="GA8995"/>
      <c r="GB8995"/>
      <c r="GC8995"/>
      <c r="GD8995"/>
      <c r="GE8995"/>
      <c r="GF8995"/>
      <c r="GG8995"/>
      <c r="GH8995"/>
      <c r="GI8995"/>
      <c r="GJ8995"/>
      <c r="GK8995"/>
      <c r="GL8995"/>
      <c r="GM8995"/>
      <c r="GN8995"/>
      <c r="GO8995"/>
    </row>
    <row r="8996" spans="107:197">
      <c r="DC8996"/>
      <c r="FH8996"/>
      <c r="FI8996"/>
      <c r="FJ8996"/>
      <c r="FK8996"/>
      <c r="FL8996"/>
      <c r="FM8996"/>
      <c r="FN8996"/>
      <c r="FO8996"/>
      <c r="FP8996"/>
      <c r="FQ8996"/>
      <c r="FR8996"/>
      <c r="FS8996"/>
      <c r="FT8996"/>
      <c r="FU8996"/>
      <c r="FV8996"/>
      <c r="FW8996"/>
      <c r="FX8996"/>
      <c r="FY8996"/>
      <c r="FZ8996"/>
      <c r="GA8996"/>
      <c r="GB8996"/>
      <c r="GC8996"/>
      <c r="GD8996"/>
      <c r="GE8996"/>
      <c r="GF8996"/>
      <c r="GG8996"/>
      <c r="GH8996"/>
      <c r="GI8996"/>
      <c r="GJ8996"/>
      <c r="GK8996"/>
      <c r="GL8996"/>
      <c r="GM8996"/>
      <c r="GN8996"/>
      <c r="GO8996"/>
    </row>
    <row r="8997" spans="107:197">
      <c r="DC8997"/>
      <c r="FH8997"/>
      <c r="FI8997"/>
      <c r="FJ8997"/>
      <c r="FK8997"/>
      <c r="FL8997"/>
      <c r="FM8997"/>
      <c r="FN8997"/>
      <c r="FO8997"/>
      <c r="FP8997"/>
      <c r="FQ8997"/>
      <c r="FR8997"/>
      <c r="FS8997"/>
      <c r="FT8997"/>
      <c r="FU8997"/>
      <c r="FV8997"/>
      <c r="FW8997"/>
      <c r="FX8997"/>
      <c r="FY8997"/>
      <c r="FZ8997"/>
      <c r="GA8997"/>
      <c r="GB8997"/>
      <c r="GC8997"/>
      <c r="GD8997"/>
      <c r="GE8997"/>
      <c r="GF8997"/>
      <c r="GG8997"/>
      <c r="GH8997"/>
      <c r="GI8997"/>
      <c r="GJ8997"/>
      <c r="GK8997"/>
      <c r="GL8997"/>
      <c r="GM8997"/>
      <c r="GN8997"/>
      <c r="GO8997"/>
    </row>
    <row r="8998" spans="107:197">
      <c r="DC8998"/>
      <c r="FH8998"/>
      <c r="FI8998"/>
      <c r="FJ8998"/>
      <c r="FK8998"/>
      <c r="FL8998"/>
      <c r="FM8998"/>
      <c r="FN8998"/>
      <c r="FO8998"/>
      <c r="FP8998"/>
      <c r="FQ8998"/>
      <c r="FR8998"/>
      <c r="FS8998"/>
      <c r="FT8998"/>
      <c r="FU8998"/>
      <c r="FV8998"/>
      <c r="FW8998"/>
      <c r="FX8998"/>
      <c r="FY8998"/>
      <c r="FZ8998"/>
      <c r="GA8998"/>
      <c r="GB8998"/>
      <c r="GC8998"/>
      <c r="GD8998"/>
      <c r="GE8998"/>
      <c r="GF8998"/>
      <c r="GG8998"/>
      <c r="GH8998"/>
      <c r="GI8998"/>
      <c r="GJ8998"/>
      <c r="GK8998"/>
      <c r="GL8998"/>
      <c r="GM8998"/>
      <c r="GN8998"/>
      <c r="GO8998"/>
    </row>
    <row r="8999" spans="107:197">
      <c r="DC8999"/>
      <c r="FH8999"/>
      <c r="FI8999"/>
      <c r="FJ8999"/>
      <c r="FK8999"/>
      <c r="FL8999"/>
      <c r="FM8999"/>
      <c r="FN8999"/>
      <c r="FO8999"/>
      <c r="FP8999"/>
      <c r="FQ8999"/>
      <c r="FR8999"/>
      <c r="FS8999"/>
      <c r="FT8999"/>
      <c r="FU8999"/>
      <c r="FV8999"/>
      <c r="FW8999"/>
      <c r="FX8999"/>
      <c r="FY8999"/>
      <c r="FZ8999"/>
      <c r="GA8999"/>
      <c r="GB8999"/>
      <c r="GC8999"/>
      <c r="GD8999"/>
      <c r="GE8999"/>
      <c r="GF8999"/>
      <c r="GG8999"/>
      <c r="GH8999"/>
      <c r="GI8999"/>
      <c r="GJ8999"/>
      <c r="GK8999"/>
      <c r="GL8999"/>
      <c r="GM8999"/>
      <c r="GN8999"/>
      <c r="GO8999"/>
    </row>
    <row r="9000" spans="107:197">
      <c r="DC9000"/>
      <c r="FH9000"/>
      <c r="FI9000"/>
      <c r="FJ9000"/>
      <c r="FK9000"/>
      <c r="FL9000"/>
      <c r="FM9000"/>
      <c r="FN9000"/>
      <c r="FO9000"/>
      <c r="FP9000"/>
      <c r="FQ9000"/>
      <c r="FR9000"/>
      <c r="FS9000"/>
      <c r="FT9000"/>
      <c r="FU9000"/>
      <c r="FV9000"/>
      <c r="FW9000"/>
      <c r="FX9000"/>
      <c r="FY9000"/>
      <c r="FZ9000"/>
      <c r="GA9000"/>
      <c r="GB9000"/>
      <c r="GC9000"/>
      <c r="GD9000"/>
      <c r="GE9000"/>
      <c r="GF9000"/>
      <c r="GG9000"/>
      <c r="GH9000"/>
      <c r="GI9000"/>
      <c r="GJ9000"/>
      <c r="GK9000"/>
      <c r="GL9000"/>
      <c r="GM9000"/>
      <c r="GN9000"/>
      <c r="GO9000"/>
    </row>
    <row r="9001" spans="107:197">
      <c r="DC9001"/>
      <c r="FH9001"/>
      <c r="FI9001"/>
      <c r="FJ9001"/>
      <c r="FK9001"/>
      <c r="FL9001"/>
      <c r="FM9001"/>
      <c r="FN9001"/>
      <c r="FO9001"/>
      <c r="FP9001"/>
      <c r="FQ9001"/>
      <c r="FR9001"/>
      <c r="FS9001"/>
      <c r="FT9001"/>
      <c r="FU9001"/>
      <c r="FV9001"/>
      <c r="FW9001"/>
      <c r="FX9001"/>
      <c r="FY9001"/>
      <c r="FZ9001"/>
      <c r="GA9001"/>
      <c r="GB9001"/>
      <c r="GC9001"/>
      <c r="GD9001"/>
      <c r="GE9001"/>
      <c r="GF9001"/>
      <c r="GG9001"/>
      <c r="GH9001"/>
      <c r="GI9001"/>
      <c r="GJ9001"/>
      <c r="GK9001"/>
      <c r="GL9001"/>
      <c r="GM9001"/>
      <c r="GN9001"/>
      <c r="GO9001"/>
    </row>
    <row r="9002" spans="107:197">
      <c r="DC9002"/>
      <c r="FH9002"/>
      <c r="FI9002"/>
      <c r="FJ9002"/>
      <c r="FK9002"/>
      <c r="FL9002"/>
      <c r="FM9002"/>
      <c r="FN9002"/>
      <c r="FO9002"/>
      <c r="FP9002"/>
      <c r="FQ9002"/>
      <c r="FR9002"/>
      <c r="FS9002"/>
      <c r="FT9002"/>
      <c r="FU9002"/>
      <c r="FV9002"/>
      <c r="FW9002"/>
      <c r="FX9002"/>
      <c r="FY9002"/>
      <c r="FZ9002"/>
      <c r="GA9002"/>
      <c r="GB9002"/>
      <c r="GC9002"/>
      <c r="GD9002"/>
      <c r="GE9002"/>
      <c r="GF9002"/>
      <c r="GG9002"/>
      <c r="GH9002"/>
      <c r="GI9002"/>
      <c r="GJ9002"/>
      <c r="GK9002"/>
      <c r="GL9002"/>
      <c r="GM9002"/>
      <c r="GN9002"/>
      <c r="GO9002"/>
    </row>
    <row r="9003" spans="107:197">
      <c r="DC9003"/>
      <c r="FH9003"/>
      <c r="FI9003"/>
      <c r="FJ9003"/>
      <c r="FK9003"/>
      <c r="FL9003"/>
      <c r="FM9003"/>
      <c r="FN9003"/>
      <c r="FO9003"/>
      <c r="FP9003"/>
      <c r="FQ9003"/>
      <c r="FR9003"/>
      <c r="FS9003"/>
      <c r="FT9003"/>
      <c r="FU9003"/>
      <c r="FV9003"/>
      <c r="FW9003"/>
      <c r="FX9003"/>
      <c r="FY9003"/>
      <c r="FZ9003"/>
      <c r="GA9003"/>
      <c r="GB9003"/>
      <c r="GC9003"/>
      <c r="GD9003"/>
      <c r="GE9003"/>
      <c r="GF9003"/>
      <c r="GG9003"/>
      <c r="GH9003"/>
      <c r="GI9003"/>
      <c r="GJ9003"/>
      <c r="GK9003"/>
      <c r="GL9003"/>
      <c r="GM9003"/>
      <c r="GN9003"/>
      <c r="GO9003"/>
    </row>
    <row r="9004" spans="107:197">
      <c r="DC9004"/>
      <c r="FH9004"/>
      <c r="FI9004"/>
      <c r="FJ9004"/>
      <c r="FK9004"/>
      <c r="FL9004"/>
      <c r="FM9004"/>
      <c r="FN9004"/>
      <c r="FO9004"/>
      <c r="FP9004"/>
      <c r="FQ9004"/>
      <c r="FR9004"/>
      <c r="FS9004"/>
      <c r="FT9004"/>
      <c r="FU9004"/>
      <c r="FV9004"/>
      <c r="FW9004"/>
      <c r="FX9004"/>
      <c r="FY9004"/>
      <c r="FZ9004"/>
      <c r="GA9004"/>
      <c r="GB9004"/>
      <c r="GC9004"/>
      <c r="GD9004"/>
      <c r="GE9004"/>
      <c r="GF9004"/>
      <c r="GG9004"/>
      <c r="GH9004"/>
      <c r="GI9004"/>
      <c r="GJ9004"/>
      <c r="GK9004"/>
      <c r="GL9004"/>
      <c r="GM9004"/>
      <c r="GN9004"/>
      <c r="GO9004"/>
    </row>
    <row r="9005" spans="107:197">
      <c r="DC9005"/>
      <c r="FH9005"/>
      <c r="FI9005"/>
      <c r="FJ9005"/>
      <c r="FK9005"/>
      <c r="FL9005"/>
      <c r="FM9005"/>
      <c r="FN9005"/>
      <c r="FO9005"/>
      <c r="FP9005"/>
      <c r="FQ9005"/>
      <c r="FR9005"/>
      <c r="FS9005"/>
      <c r="FT9005"/>
      <c r="FU9005"/>
      <c r="FV9005"/>
      <c r="FW9005"/>
      <c r="FX9005"/>
      <c r="FY9005"/>
      <c r="FZ9005"/>
      <c r="GA9005"/>
      <c r="GB9005"/>
      <c r="GC9005"/>
      <c r="GD9005"/>
      <c r="GE9005"/>
      <c r="GF9005"/>
      <c r="GG9005"/>
      <c r="GH9005"/>
      <c r="GI9005"/>
      <c r="GJ9005"/>
      <c r="GK9005"/>
      <c r="GL9005"/>
      <c r="GM9005"/>
      <c r="GN9005"/>
      <c r="GO9005"/>
    </row>
    <row r="9006" spans="107:197">
      <c r="DC9006"/>
      <c r="FH9006"/>
      <c r="FI9006"/>
      <c r="FJ9006"/>
      <c r="FK9006"/>
      <c r="FL9006"/>
      <c r="FM9006"/>
      <c r="FN9006"/>
      <c r="FO9006"/>
      <c r="FP9006"/>
      <c r="FQ9006"/>
      <c r="FR9006"/>
      <c r="FS9006"/>
      <c r="FT9006"/>
      <c r="FU9006"/>
      <c r="FV9006"/>
      <c r="FW9006"/>
      <c r="FX9006"/>
      <c r="FY9006"/>
      <c r="FZ9006"/>
      <c r="GA9006"/>
      <c r="GB9006"/>
      <c r="GC9006"/>
      <c r="GD9006"/>
      <c r="GE9006"/>
      <c r="GF9006"/>
      <c r="GG9006"/>
      <c r="GH9006"/>
      <c r="GI9006"/>
      <c r="GJ9006"/>
      <c r="GK9006"/>
      <c r="GL9006"/>
      <c r="GM9006"/>
      <c r="GN9006"/>
      <c r="GO9006"/>
    </row>
    <row r="9007" spans="107:197">
      <c r="DC9007"/>
      <c r="FH9007"/>
      <c r="FI9007"/>
      <c r="FJ9007"/>
      <c r="FK9007"/>
      <c r="FL9007"/>
      <c r="FM9007"/>
      <c r="FN9007"/>
      <c r="FO9007"/>
      <c r="FP9007"/>
      <c r="FQ9007"/>
      <c r="FR9007"/>
      <c r="FS9007"/>
      <c r="FT9007"/>
      <c r="FU9007"/>
      <c r="FV9007"/>
      <c r="FW9007"/>
      <c r="FX9007"/>
      <c r="FY9007"/>
      <c r="FZ9007"/>
      <c r="GA9007"/>
      <c r="GB9007"/>
      <c r="GC9007"/>
      <c r="GD9007"/>
      <c r="GE9007"/>
      <c r="GF9007"/>
      <c r="GG9007"/>
      <c r="GH9007"/>
      <c r="GI9007"/>
      <c r="GJ9007"/>
      <c r="GK9007"/>
      <c r="GL9007"/>
      <c r="GM9007"/>
      <c r="GN9007"/>
      <c r="GO9007"/>
    </row>
    <row r="9008" spans="107:197">
      <c r="DC9008"/>
      <c r="FH9008"/>
      <c r="FI9008"/>
      <c r="FJ9008"/>
      <c r="FK9008"/>
      <c r="FL9008"/>
      <c r="FM9008"/>
      <c r="FN9008"/>
      <c r="FO9008"/>
      <c r="FP9008"/>
      <c r="FQ9008"/>
      <c r="FR9008"/>
      <c r="FS9008"/>
      <c r="FT9008"/>
      <c r="FU9008"/>
      <c r="FV9008"/>
      <c r="FW9008"/>
      <c r="FX9008"/>
      <c r="FY9008"/>
      <c r="FZ9008"/>
      <c r="GA9008"/>
      <c r="GB9008"/>
      <c r="GC9008"/>
      <c r="GD9008"/>
      <c r="GE9008"/>
      <c r="GF9008"/>
      <c r="GG9008"/>
      <c r="GH9008"/>
      <c r="GI9008"/>
      <c r="GJ9008"/>
      <c r="GK9008"/>
      <c r="GL9008"/>
      <c r="GM9008"/>
      <c r="GN9008"/>
      <c r="GO9008"/>
    </row>
    <row r="9009" spans="107:197">
      <c r="DC9009"/>
      <c r="FH9009"/>
      <c r="FI9009"/>
      <c r="FJ9009"/>
      <c r="FK9009"/>
      <c r="FL9009"/>
      <c r="FM9009"/>
      <c r="FN9009"/>
      <c r="FO9009"/>
      <c r="FP9009"/>
      <c r="FQ9009"/>
      <c r="FR9009"/>
      <c r="FS9009"/>
      <c r="FT9009"/>
      <c r="FU9009"/>
      <c r="FV9009"/>
      <c r="FW9009"/>
      <c r="FX9009"/>
      <c r="FY9009"/>
      <c r="FZ9009"/>
      <c r="GA9009"/>
      <c r="GB9009"/>
      <c r="GC9009"/>
      <c r="GD9009"/>
      <c r="GE9009"/>
      <c r="GF9009"/>
      <c r="GG9009"/>
      <c r="GH9009"/>
      <c r="GI9009"/>
      <c r="GJ9009"/>
      <c r="GK9009"/>
      <c r="GL9009"/>
      <c r="GM9009"/>
      <c r="GN9009"/>
      <c r="GO9009"/>
    </row>
    <row r="9010" spans="107:197">
      <c r="DC9010"/>
      <c r="FH9010"/>
      <c r="FI9010"/>
      <c r="FJ9010"/>
      <c r="FK9010"/>
      <c r="FL9010"/>
      <c r="FM9010"/>
      <c r="FN9010"/>
      <c r="FO9010"/>
      <c r="FP9010"/>
      <c r="FQ9010"/>
      <c r="FR9010"/>
      <c r="FS9010"/>
      <c r="FT9010"/>
      <c r="FU9010"/>
      <c r="FV9010"/>
      <c r="FW9010"/>
      <c r="FX9010"/>
      <c r="FY9010"/>
      <c r="FZ9010"/>
      <c r="GA9010"/>
      <c r="GB9010"/>
      <c r="GC9010"/>
      <c r="GD9010"/>
      <c r="GE9010"/>
      <c r="GF9010"/>
      <c r="GG9010"/>
      <c r="GH9010"/>
      <c r="GI9010"/>
      <c r="GJ9010"/>
      <c r="GK9010"/>
      <c r="GL9010"/>
      <c r="GM9010"/>
      <c r="GN9010"/>
      <c r="GO9010"/>
    </row>
    <row r="9011" spans="107:197">
      <c r="DC9011"/>
      <c r="FH9011"/>
      <c r="FI9011"/>
      <c r="FJ9011"/>
      <c r="FK9011"/>
      <c r="FL9011"/>
      <c r="FM9011"/>
      <c r="FN9011"/>
      <c r="FO9011"/>
      <c r="FP9011"/>
      <c r="FQ9011"/>
      <c r="FR9011"/>
      <c r="FS9011"/>
      <c r="FT9011"/>
      <c r="FU9011"/>
      <c r="FV9011"/>
      <c r="FW9011"/>
      <c r="FX9011"/>
      <c r="FY9011"/>
      <c r="FZ9011"/>
      <c r="GA9011"/>
      <c r="GB9011"/>
      <c r="GC9011"/>
      <c r="GD9011"/>
      <c r="GE9011"/>
      <c r="GF9011"/>
      <c r="GG9011"/>
      <c r="GH9011"/>
      <c r="GI9011"/>
      <c r="GJ9011"/>
      <c r="GK9011"/>
      <c r="GL9011"/>
      <c r="GM9011"/>
      <c r="GN9011"/>
      <c r="GO9011"/>
    </row>
    <row r="9012" spans="107:197">
      <c r="DC9012"/>
      <c r="FH9012"/>
      <c r="FI9012"/>
      <c r="FJ9012"/>
      <c r="FK9012"/>
      <c r="FL9012"/>
      <c r="FM9012"/>
      <c r="FN9012"/>
      <c r="FO9012"/>
      <c r="FP9012"/>
      <c r="FQ9012"/>
      <c r="FR9012"/>
      <c r="FS9012"/>
      <c r="FT9012"/>
      <c r="FU9012"/>
      <c r="FV9012"/>
      <c r="FW9012"/>
      <c r="FX9012"/>
      <c r="FY9012"/>
      <c r="FZ9012"/>
      <c r="GA9012"/>
      <c r="GB9012"/>
      <c r="GC9012"/>
      <c r="GD9012"/>
      <c r="GE9012"/>
      <c r="GF9012"/>
      <c r="GG9012"/>
      <c r="GH9012"/>
      <c r="GI9012"/>
      <c r="GJ9012"/>
      <c r="GK9012"/>
      <c r="GL9012"/>
      <c r="GM9012"/>
      <c r="GN9012"/>
      <c r="GO9012"/>
    </row>
    <row r="9013" spans="107:197">
      <c r="DC9013"/>
      <c r="FH9013"/>
      <c r="FI9013"/>
      <c r="FJ9013"/>
      <c r="FK9013"/>
      <c r="FL9013"/>
      <c r="FM9013"/>
      <c r="FN9013"/>
      <c r="FO9013"/>
      <c r="FP9013"/>
      <c r="FQ9013"/>
      <c r="FR9013"/>
      <c r="FS9013"/>
      <c r="FT9013"/>
      <c r="FU9013"/>
      <c r="FV9013"/>
      <c r="FW9013"/>
      <c r="FX9013"/>
      <c r="FY9013"/>
      <c r="FZ9013"/>
      <c r="GA9013"/>
      <c r="GB9013"/>
      <c r="GC9013"/>
      <c r="GD9013"/>
      <c r="GE9013"/>
      <c r="GF9013"/>
      <c r="GG9013"/>
      <c r="GH9013"/>
      <c r="GI9013"/>
      <c r="GJ9013"/>
      <c r="GK9013"/>
      <c r="GL9013"/>
      <c r="GM9013"/>
      <c r="GN9013"/>
      <c r="GO9013"/>
    </row>
    <row r="9014" spans="107:197">
      <c r="DC9014"/>
      <c r="FH9014"/>
      <c r="FI9014"/>
      <c r="FJ9014"/>
      <c r="FK9014"/>
      <c r="FL9014"/>
      <c r="FM9014"/>
      <c r="FN9014"/>
      <c r="FO9014"/>
      <c r="FP9014"/>
      <c r="FQ9014"/>
      <c r="FR9014"/>
      <c r="FS9014"/>
      <c r="FT9014"/>
      <c r="FU9014"/>
      <c r="FV9014"/>
      <c r="FW9014"/>
      <c r="FX9014"/>
      <c r="FY9014"/>
      <c r="FZ9014"/>
      <c r="GA9014"/>
      <c r="GB9014"/>
      <c r="GC9014"/>
      <c r="GD9014"/>
      <c r="GE9014"/>
      <c r="GF9014"/>
      <c r="GG9014"/>
      <c r="GH9014"/>
      <c r="GI9014"/>
      <c r="GJ9014"/>
      <c r="GK9014"/>
      <c r="GL9014"/>
      <c r="GM9014"/>
      <c r="GN9014"/>
      <c r="GO9014"/>
    </row>
    <row r="9015" spans="107:197">
      <c r="DC9015"/>
      <c r="FH9015"/>
      <c r="FI9015"/>
      <c r="FJ9015"/>
      <c r="FK9015"/>
      <c r="FL9015"/>
      <c r="FM9015"/>
      <c r="FN9015"/>
      <c r="FO9015"/>
      <c r="FP9015"/>
      <c r="FQ9015"/>
      <c r="FR9015"/>
      <c r="FS9015"/>
      <c r="FT9015"/>
      <c r="FU9015"/>
      <c r="FV9015"/>
      <c r="FW9015"/>
      <c r="FX9015"/>
      <c r="FY9015"/>
      <c r="FZ9015"/>
      <c r="GA9015"/>
      <c r="GB9015"/>
      <c r="GC9015"/>
      <c r="GD9015"/>
      <c r="GE9015"/>
      <c r="GF9015"/>
      <c r="GG9015"/>
      <c r="GH9015"/>
      <c r="GI9015"/>
      <c r="GJ9015"/>
      <c r="GK9015"/>
      <c r="GL9015"/>
      <c r="GM9015"/>
      <c r="GN9015"/>
      <c r="GO9015"/>
    </row>
    <row r="9016" spans="107:197">
      <c r="DC9016"/>
      <c r="FH9016"/>
      <c r="FI9016"/>
      <c r="FJ9016"/>
      <c r="FK9016"/>
      <c r="FL9016"/>
      <c r="FM9016"/>
      <c r="FN9016"/>
      <c r="FO9016"/>
      <c r="FP9016"/>
      <c r="FQ9016"/>
      <c r="FR9016"/>
      <c r="FS9016"/>
      <c r="FT9016"/>
      <c r="FU9016"/>
      <c r="FV9016"/>
      <c r="FW9016"/>
      <c r="FX9016"/>
      <c r="FY9016"/>
      <c r="FZ9016"/>
      <c r="GA9016"/>
      <c r="GB9016"/>
      <c r="GC9016"/>
      <c r="GD9016"/>
      <c r="GE9016"/>
      <c r="GF9016"/>
      <c r="GG9016"/>
      <c r="GH9016"/>
      <c r="GI9016"/>
      <c r="GJ9016"/>
      <c r="GK9016"/>
      <c r="GL9016"/>
      <c r="GM9016"/>
      <c r="GN9016"/>
      <c r="GO9016"/>
    </row>
    <row r="9017" spans="107:197">
      <c r="DC9017"/>
      <c r="FH9017"/>
      <c r="FI9017"/>
      <c r="FJ9017"/>
      <c r="FK9017"/>
      <c r="FL9017"/>
      <c r="FM9017"/>
      <c r="FN9017"/>
      <c r="FO9017"/>
      <c r="FP9017"/>
      <c r="FQ9017"/>
      <c r="FR9017"/>
      <c r="FS9017"/>
      <c r="FT9017"/>
      <c r="FU9017"/>
      <c r="FV9017"/>
      <c r="FW9017"/>
      <c r="FX9017"/>
      <c r="FY9017"/>
      <c r="FZ9017"/>
      <c r="GA9017"/>
      <c r="GB9017"/>
      <c r="GC9017"/>
      <c r="GD9017"/>
      <c r="GE9017"/>
      <c r="GF9017"/>
      <c r="GG9017"/>
      <c r="GH9017"/>
      <c r="GI9017"/>
      <c r="GJ9017"/>
      <c r="GK9017"/>
      <c r="GL9017"/>
      <c r="GM9017"/>
      <c r="GN9017"/>
      <c r="GO9017"/>
    </row>
    <row r="9018" spans="107:197">
      <c r="DC9018"/>
      <c r="FH9018"/>
      <c r="FI9018"/>
      <c r="FJ9018"/>
      <c r="FK9018"/>
      <c r="FL9018"/>
      <c r="FM9018"/>
      <c r="FN9018"/>
      <c r="FO9018"/>
      <c r="FP9018"/>
      <c r="FQ9018"/>
      <c r="FR9018"/>
      <c r="FS9018"/>
      <c r="FT9018"/>
      <c r="FU9018"/>
      <c r="FV9018"/>
      <c r="FW9018"/>
      <c r="FX9018"/>
      <c r="FY9018"/>
      <c r="FZ9018"/>
      <c r="GA9018"/>
      <c r="GB9018"/>
      <c r="GC9018"/>
      <c r="GD9018"/>
      <c r="GE9018"/>
      <c r="GF9018"/>
      <c r="GG9018"/>
      <c r="GH9018"/>
      <c r="GI9018"/>
      <c r="GJ9018"/>
      <c r="GK9018"/>
      <c r="GL9018"/>
      <c r="GM9018"/>
      <c r="GN9018"/>
      <c r="GO9018"/>
    </row>
    <row r="9019" spans="107:197">
      <c r="DC9019"/>
      <c r="FH9019"/>
      <c r="FI9019"/>
      <c r="FJ9019"/>
      <c r="FK9019"/>
      <c r="FL9019"/>
      <c r="FM9019"/>
      <c r="FN9019"/>
      <c r="FO9019"/>
      <c r="FP9019"/>
      <c r="FQ9019"/>
      <c r="FR9019"/>
      <c r="FS9019"/>
      <c r="FT9019"/>
      <c r="FU9019"/>
      <c r="FV9019"/>
      <c r="FW9019"/>
      <c r="FX9019"/>
      <c r="FY9019"/>
      <c r="FZ9019"/>
      <c r="GA9019"/>
      <c r="GB9019"/>
      <c r="GC9019"/>
      <c r="GD9019"/>
      <c r="GE9019"/>
      <c r="GF9019"/>
      <c r="GG9019"/>
      <c r="GH9019"/>
      <c r="GI9019"/>
      <c r="GJ9019"/>
      <c r="GK9019"/>
      <c r="GL9019"/>
      <c r="GM9019"/>
      <c r="GN9019"/>
      <c r="GO9019"/>
    </row>
    <row r="9020" spans="107:197">
      <c r="DC9020"/>
      <c r="FH9020"/>
      <c r="FI9020"/>
      <c r="FJ9020"/>
      <c r="FK9020"/>
      <c r="FL9020"/>
      <c r="FM9020"/>
      <c r="FN9020"/>
      <c r="FO9020"/>
      <c r="FP9020"/>
      <c r="FQ9020"/>
      <c r="FR9020"/>
      <c r="FS9020"/>
      <c r="FT9020"/>
      <c r="FU9020"/>
      <c r="FV9020"/>
      <c r="FW9020"/>
      <c r="FX9020"/>
      <c r="FY9020"/>
      <c r="FZ9020"/>
      <c r="GA9020"/>
      <c r="GB9020"/>
      <c r="GC9020"/>
      <c r="GD9020"/>
      <c r="GE9020"/>
      <c r="GF9020"/>
      <c r="GG9020"/>
      <c r="GH9020"/>
      <c r="GI9020"/>
      <c r="GJ9020"/>
      <c r="GK9020"/>
      <c r="GL9020"/>
      <c r="GM9020"/>
      <c r="GN9020"/>
      <c r="GO9020"/>
    </row>
    <row r="9021" spans="107:197">
      <c r="DC9021"/>
      <c r="FH9021"/>
      <c r="FI9021"/>
      <c r="FJ9021"/>
      <c r="FK9021"/>
      <c r="FL9021"/>
      <c r="FM9021"/>
      <c r="FN9021"/>
      <c r="FO9021"/>
      <c r="FP9021"/>
      <c r="FQ9021"/>
      <c r="FR9021"/>
      <c r="FS9021"/>
      <c r="FT9021"/>
      <c r="FU9021"/>
      <c r="FV9021"/>
      <c r="FW9021"/>
      <c r="FX9021"/>
      <c r="FY9021"/>
      <c r="FZ9021"/>
      <c r="GA9021"/>
      <c r="GB9021"/>
      <c r="GC9021"/>
      <c r="GD9021"/>
      <c r="GE9021"/>
      <c r="GF9021"/>
      <c r="GG9021"/>
      <c r="GH9021"/>
      <c r="GI9021"/>
      <c r="GJ9021"/>
      <c r="GK9021"/>
      <c r="GL9021"/>
      <c r="GM9021"/>
      <c r="GN9021"/>
      <c r="GO9021"/>
    </row>
    <row r="9022" spans="107:197">
      <c r="DC9022"/>
      <c r="FH9022"/>
      <c r="FI9022"/>
      <c r="FJ9022"/>
      <c r="FK9022"/>
      <c r="FL9022"/>
      <c r="FM9022"/>
      <c r="FN9022"/>
      <c r="FO9022"/>
      <c r="FP9022"/>
      <c r="FQ9022"/>
      <c r="FR9022"/>
      <c r="FS9022"/>
      <c r="FT9022"/>
      <c r="FU9022"/>
      <c r="FV9022"/>
      <c r="FW9022"/>
      <c r="FX9022"/>
      <c r="FY9022"/>
      <c r="FZ9022"/>
      <c r="GA9022"/>
      <c r="GB9022"/>
      <c r="GC9022"/>
      <c r="GD9022"/>
      <c r="GE9022"/>
      <c r="GF9022"/>
      <c r="GG9022"/>
      <c r="GH9022"/>
      <c r="GI9022"/>
      <c r="GJ9022"/>
      <c r="GK9022"/>
      <c r="GL9022"/>
      <c r="GM9022"/>
      <c r="GN9022"/>
      <c r="GO9022"/>
    </row>
    <row r="9023" spans="107:197">
      <c r="DC9023"/>
      <c r="FH9023"/>
      <c r="FI9023"/>
      <c r="FJ9023"/>
      <c r="FK9023"/>
      <c r="FL9023"/>
      <c r="FM9023"/>
      <c r="FN9023"/>
      <c r="FO9023"/>
      <c r="FP9023"/>
      <c r="FQ9023"/>
      <c r="FR9023"/>
      <c r="FS9023"/>
      <c r="FT9023"/>
      <c r="FU9023"/>
      <c r="FV9023"/>
      <c r="FW9023"/>
      <c r="FX9023"/>
      <c r="FY9023"/>
      <c r="FZ9023"/>
      <c r="GA9023"/>
      <c r="GB9023"/>
      <c r="GC9023"/>
      <c r="GD9023"/>
      <c r="GE9023"/>
      <c r="GF9023"/>
      <c r="GG9023"/>
      <c r="GH9023"/>
      <c r="GI9023"/>
      <c r="GJ9023"/>
      <c r="GK9023"/>
      <c r="GL9023"/>
      <c r="GM9023"/>
      <c r="GN9023"/>
      <c r="GO9023"/>
    </row>
    <row r="9024" spans="107:197">
      <c r="DC9024"/>
      <c r="FH9024"/>
      <c r="FI9024"/>
      <c r="FJ9024"/>
      <c r="FK9024"/>
      <c r="FL9024"/>
      <c r="FM9024"/>
      <c r="FN9024"/>
      <c r="FO9024"/>
      <c r="FP9024"/>
      <c r="FQ9024"/>
      <c r="FR9024"/>
      <c r="FS9024"/>
      <c r="FT9024"/>
      <c r="FU9024"/>
      <c r="FV9024"/>
      <c r="FW9024"/>
      <c r="FX9024"/>
      <c r="FY9024"/>
      <c r="FZ9024"/>
      <c r="GA9024"/>
      <c r="GB9024"/>
      <c r="GC9024"/>
      <c r="GD9024"/>
      <c r="GE9024"/>
      <c r="GF9024"/>
      <c r="GG9024"/>
      <c r="GH9024"/>
      <c r="GI9024"/>
      <c r="GJ9024"/>
      <c r="GK9024"/>
      <c r="GL9024"/>
      <c r="GM9024"/>
      <c r="GN9024"/>
      <c r="GO9024"/>
    </row>
    <row r="9025" spans="107:197">
      <c r="DC9025"/>
      <c r="FH9025"/>
      <c r="FI9025"/>
      <c r="FJ9025"/>
      <c r="FK9025"/>
      <c r="FL9025"/>
      <c r="FM9025"/>
      <c r="FN9025"/>
      <c r="FO9025"/>
      <c r="FP9025"/>
      <c r="FQ9025"/>
      <c r="FR9025"/>
      <c r="FS9025"/>
      <c r="FT9025"/>
      <c r="FU9025"/>
      <c r="FV9025"/>
      <c r="FW9025"/>
      <c r="FX9025"/>
      <c r="FY9025"/>
      <c r="FZ9025"/>
      <c r="GA9025"/>
      <c r="GB9025"/>
      <c r="GC9025"/>
      <c r="GD9025"/>
      <c r="GE9025"/>
      <c r="GF9025"/>
      <c r="GG9025"/>
      <c r="GH9025"/>
      <c r="GI9025"/>
      <c r="GJ9025"/>
      <c r="GK9025"/>
      <c r="GL9025"/>
      <c r="GM9025"/>
      <c r="GN9025"/>
      <c r="GO9025"/>
    </row>
    <row r="9026" spans="107:197">
      <c r="DC9026"/>
      <c r="FH9026"/>
      <c r="FI9026"/>
      <c r="FJ9026"/>
      <c r="FK9026"/>
      <c r="FL9026"/>
      <c r="FM9026"/>
      <c r="FN9026"/>
      <c r="FO9026"/>
      <c r="FP9026"/>
      <c r="FQ9026"/>
      <c r="FR9026"/>
      <c r="FS9026"/>
      <c r="FT9026"/>
      <c r="FU9026"/>
      <c r="FV9026"/>
      <c r="FW9026"/>
      <c r="FX9026"/>
      <c r="FY9026"/>
      <c r="FZ9026"/>
      <c r="GA9026"/>
      <c r="GB9026"/>
      <c r="GC9026"/>
      <c r="GD9026"/>
      <c r="GE9026"/>
      <c r="GF9026"/>
      <c r="GG9026"/>
      <c r="GH9026"/>
      <c r="GI9026"/>
      <c r="GJ9026"/>
      <c r="GK9026"/>
      <c r="GL9026"/>
      <c r="GM9026"/>
      <c r="GN9026"/>
      <c r="GO9026"/>
    </row>
    <row r="9027" spans="107:197">
      <c r="DC9027"/>
      <c r="FH9027"/>
      <c r="FI9027"/>
      <c r="FJ9027"/>
      <c r="FK9027"/>
      <c r="FL9027"/>
      <c r="FM9027"/>
      <c r="FN9027"/>
      <c r="FO9027"/>
      <c r="FP9027"/>
      <c r="FQ9027"/>
      <c r="FR9027"/>
      <c r="FS9027"/>
      <c r="FT9027"/>
      <c r="FU9027"/>
      <c r="FV9027"/>
      <c r="FW9027"/>
      <c r="FX9027"/>
      <c r="FY9027"/>
      <c r="FZ9027"/>
      <c r="GA9027"/>
      <c r="GB9027"/>
      <c r="GC9027"/>
      <c r="GD9027"/>
      <c r="GE9027"/>
      <c r="GF9027"/>
      <c r="GG9027"/>
      <c r="GH9027"/>
      <c r="GI9027"/>
      <c r="GJ9027"/>
      <c r="GK9027"/>
      <c r="GL9027"/>
      <c r="GM9027"/>
      <c r="GN9027"/>
      <c r="GO9027"/>
    </row>
    <row r="9028" spans="107:197">
      <c r="DC9028"/>
      <c r="FH9028"/>
      <c r="FI9028"/>
      <c r="FJ9028"/>
      <c r="FK9028"/>
      <c r="FL9028"/>
      <c r="FM9028"/>
      <c r="FN9028"/>
      <c r="FO9028"/>
      <c r="FP9028"/>
      <c r="FQ9028"/>
      <c r="FR9028"/>
      <c r="FS9028"/>
      <c r="FT9028"/>
      <c r="FU9028"/>
      <c r="FV9028"/>
      <c r="FW9028"/>
      <c r="FX9028"/>
      <c r="FY9028"/>
      <c r="FZ9028"/>
      <c r="GA9028"/>
      <c r="GB9028"/>
      <c r="GC9028"/>
      <c r="GD9028"/>
      <c r="GE9028"/>
      <c r="GF9028"/>
      <c r="GG9028"/>
      <c r="GH9028"/>
      <c r="GI9028"/>
      <c r="GJ9028"/>
      <c r="GK9028"/>
      <c r="GL9028"/>
      <c r="GM9028"/>
      <c r="GN9028"/>
      <c r="GO9028"/>
    </row>
    <row r="9029" spans="107:197">
      <c r="DC9029"/>
      <c r="FH9029"/>
      <c r="FI9029"/>
      <c r="FJ9029"/>
      <c r="FK9029"/>
      <c r="FL9029"/>
      <c r="FM9029"/>
      <c r="FN9029"/>
      <c r="FO9029"/>
      <c r="FP9029"/>
      <c r="FQ9029"/>
      <c r="FR9029"/>
      <c r="FS9029"/>
      <c r="FT9029"/>
      <c r="FU9029"/>
      <c r="FV9029"/>
      <c r="FW9029"/>
      <c r="FX9029"/>
      <c r="FY9029"/>
      <c r="FZ9029"/>
      <c r="GA9029"/>
      <c r="GB9029"/>
      <c r="GC9029"/>
      <c r="GD9029"/>
      <c r="GE9029"/>
      <c r="GF9029"/>
      <c r="GG9029"/>
      <c r="GH9029"/>
      <c r="GI9029"/>
      <c r="GJ9029"/>
      <c r="GK9029"/>
      <c r="GL9029"/>
      <c r="GM9029"/>
      <c r="GN9029"/>
      <c r="GO9029"/>
    </row>
    <row r="9030" spans="107:197">
      <c r="DC9030"/>
      <c r="FH9030"/>
      <c r="FI9030"/>
      <c r="FJ9030"/>
      <c r="FK9030"/>
      <c r="FL9030"/>
      <c r="FM9030"/>
      <c r="FN9030"/>
      <c r="FO9030"/>
      <c r="FP9030"/>
      <c r="FQ9030"/>
      <c r="FR9030"/>
      <c r="FS9030"/>
      <c r="FT9030"/>
      <c r="FU9030"/>
      <c r="FV9030"/>
      <c r="FW9030"/>
      <c r="FX9030"/>
      <c r="FY9030"/>
      <c r="FZ9030"/>
      <c r="GA9030"/>
      <c r="GB9030"/>
      <c r="GC9030"/>
      <c r="GD9030"/>
      <c r="GE9030"/>
      <c r="GF9030"/>
      <c r="GG9030"/>
      <c r="GH9030"/>
      <c r="GI9030"/>
      <c r="GJ9030"/>
      <c r="GK9030"/>
      <c r="GL9030"/>
      <c r="GM9030"/>
      <c r="GN9030"/>
      <c r="GO9030"/>
    </row>
    <row r="9031" spans="107:197">
      <c r="DC9031"/>
      <c r="FH9031"/>
      <c r="FI9031"/>
      <c r="FJ9031"/>
      <c r="FK9031"/>
      <c r="FL9031"/>
      <c r="FM9031"/>
      <c r="FN9031"/>
      <c r="FO9031"/>
      <c r="FP9031"/>
      <c r="FQ9031"/>
      <c r="FR9031"/>
      <c r="FS9031"/>
      <c r="FT9031"/>
      <c r="FU9031"/>
      <c r="FV9031"/>
      <c r="FW9031"/>
      <c r="FX9031"/>
      <c r="FY9031"/>
      <c r="FZ9031"/>
      <c r="GA9031"/>
      <c r="GB9031"/>
      <c r="GC9031"/>
      <c r="GD9031"/>
      <c r="GE9031"/>
      <c r="GF9031"/>
      <c r="GG9031"/>
      <c r="GH9031"/>
      <c r="GI9031"/>
      <c r="GJ9031"/>
      <c r="GK9031"/>
      <c r="GL9031"/>
      <c r="GM9031"/>
      <c r="GN9031"/>
      <c r="GO9031"/>
    </row>
    <row r="9032" spans="107:197">
      <c r="DC9032"/>
      <c r="FH9032"/>
      <c r="FI9032"/>
      <c r="FJ9032"/>
      <c r="FK9032"/>
      <c r="FL9032"/>
      <c r="FM9032"/>
      <c r="FN9032"/>
      <c r="FO9032"/>
      <c r="FP9032"/>
      <c r="FQ9032"/>
      <c r="FR9032"/>
      <c r="FS9032"/>
      <c r="FT9032"/>
      <c r="FU9032"/>
      <c r="FV9032"/>
      <c r="FW9032"/>
      <c r="FX9032"/>
      <c r="FY9032"/>
      <c r="FZ9032"/>
      <c r="GA9032"/>
      <c r="GB9032"/>
      <c r="GC9032"/>
      <c r="GD9032"/>
      <c r="GE9032"/>
      <c r="GF9032"/>
      <c r="GG9032"/>
      <c r="GH9032"/>
      <c r="GI9032"/>
      <c r="GJ9032"/>
      <c r="GK9032"/>
      <c r="GL9032"/>
      <c r="GM9032"/>
      <c r="GN9032"/>
      <c r="GO9032"/>
    </row>
    <row r="9033" spans="107:197">
      <c r="DC9033"/>
      <c r="FH9033"/>
      <c r="FI9033"/>
      <c r="FJ9033"/>
      <c r="FK9033"/>
      <c r="FL9033"/>
      <c r="FM9033"/>
      <c r="FN9033"/>
      <c r="FO9033"/>
      <c r="FP9033"/>
      <c r="FQ9033"/>
      <c r="FR9033"/>
      <c r="FS9033"/>
      <c r="FT9033"/>
      <c r="FU9033"/>
      <c r="FV9033"/>
      <c r="FW9033"/>
      <c r="FX9033"/>
      <c r="FY9033"/>
      <c r="FZ9033"/>
      <c r="GA9033"/>
      <c r="GB9033"/>
      <c r="GC9033"/>
      <c r="GD9033"/>
      <c r="GE9033"/>
      <c r="GF9033"/>
      <c r="GG9033"/>
      <c r="GH9033"/>
      <c r="GI9033"/>
      <c r="GJ9033"/>
      <c r="GK9033"/>
      <c r="GL9033"/>
      <c r="GM9033"/>
      <c r="GN9033"/>
      <c r="GO9033"/>
    </row>
    <row r="9034" spans="107:197">
      <c r="DC9034"/>
      <c r="FH9034"/>
      <c r="FI9034"/>
      <c r="FJ9034"/>
      <c r="FK9034"/>
      <c r="FL9034"/>
      <c r="FM9034"/>
      <c r="FN9034"/>
      <c r="FO9034"/>
      <c r="FP9034"/>
      <c r="FQ9034"/>
      <c r="FR9034"/>
      <c r="FS9034"/>
      <c r="FT9034"/>
      <c r="FU9034"/>
      <c r="FV9034"/>
      <c r="FW9034"/>
      <c r="FX9034"/>
      <c r="FY9034"/>
      <c r="FZ9034"/>
      <c r="GA9034"/>
      <c r="GB9034"/>
      <c r="GC9034"/>
      <c r="GD9034"/>
      <c r="GE9034"/>
      <c r="GF9034"/>
      <c r="GG9034"/>
      <c r="GH9034"/>
      <c r="GI9034"/>
      <c r="GJ9034"/>
      <c r="GK9034"/>
      <c r="GL9034"/>
      <c r="GM9034"/>
      <c r="GN9034"/>
      <c r="GO9034"/>
    </row>
    <row r="9035" spans="107:197">
      <c r="DC9035"/>
      <c r="FH9035"/>
      <c r="FI9035"/>
      <c r="FJ9035"/>
      <c r="FK9035"/>
      <c r="FL9035"/>
      <c r="FM9035"/>
      <c r="FN9035"/>
      <c r="FO9035"/>
      <c r="FP9035"/>
      <c r="FQ9035"/>
      <c r="FR9035"/>
      <c r="FS9035"/>
      <c r="FT9035"/>
      <c r="FU9035"/>
      <c r="FV9035"/>
      <c r="FW9035"/>
      <c r="FX9035"/>
      <c r="FY9035"/>
      <c r="FZ9035"/>
      <c r="GA9035"/>
      <c r="GB9035"/>
      <c r="GC9035"/>
      <c r="GD9035"/>
      <c r="GE9035"/>
      <c r="GF9035"/>
      <c r="GG9035"/>
      <c r="GH9035"/>
      <c r="GI9035"/>
      <c r="GJ9035"/>
      <c r="GK9035"/>
      <c r="GL9035"/>
      <c r="GM9035"/>
      <c r="GN9035"/>
      <c r="GO9035"/>
    </row>
    <row r="9036" spans="107:197">
      <c r="DC9036"/>
      <c r="FH9036"/>
      <c r="FI9036"/>
      <c r="FJ9036"/>
      <c r="FK9036"/>
      <c r="FL9036"/>
      <c r="FM9036"/>
      <c r="FN9036"/>
      <c r="FO9036"/>
      <c r="FP9036"/>
      <c r="FQ9036"/>
      <c r="FR9036"/>
      <c r="FS9036"/>
      <c r="FT9036"/>
      <c r="FU9036"/>
      <c r="FV9036"/>
      <c r="FW9036"/>
      <c r="FX9036"/>
      <c r="FY9036"/>
      <c r="FZ9036"/>
      <c r="GA9036"/>
      <c r="GB9036"/>
      <c r="GC9036"/>
      <c r="GD9036"/>
      <c r="GE9036"/>
      <c r="GF9036"/>
      <c r="GG9036"/>
      <c r="GH9036"/>
      <c r="GI9036"/>
      <c r="GJ9036"/>
      <c r="GK9036"/>
      <c r="GL9036"/>
      <c r="GM9036"/>
      <c r="GN9036"/>
      <c r="GO9036"/>
    </row>
    <row r="9037" spans="107:197">
      <c r="DC9037"/>
      <c r="FH9037"/>
      <c r="FI9037"/>
      <c r="FJ9037"/>
      <c r="FK9037"/>
      <c r="FL9037"/>
      <c r="FM9037"/>
      <c r="FN9037"/>
      <c r="FO9037"/>
      <c r="FP9037"/>
      <c r="FQ9037"/>
      <c r="FR9037"/>
      <c r="FS9037"/>
      <c r="FT9037"/>
      <c r="FU9037"/>
      <c r="FV9037"/>
      <c r="FW9037"/>
      <c r="FX9037"/>
      <c r="FY9037"/>
      <c r="FZ9037"/>
      <c r="GA9037"/>
      <c r="GB9037"/>
      <c r="GC9037"/>
      <c r="GD9037"/>
      <c r="GE9037"/>
      <c r="GF9037"/>
      <c r="GG9037"/>
      <c r="GH9037"/>
      <c r="GI9037"/>
      <c r="GJ9037"/>
      <c r="GK9037"/>
      <c r="GL9037"/>
      <c r="GM9037"/>
      <c r="GN9037"/>
      <c r="GO9037"/>
    </row>
    <row r="9038" spans="107:197">
      <c r="DC9038"/>
      <c r="FH9038"/>
      <c r="FI9038"/>
      <c r="FJ9038"/>
      <c r="FK9038"/>
      <c r="FL9038"/>
      <c r="FM9038"/>
      <c r="FN9038"/>
      <c r="FO9038"/>
      <c r="FP9038"/>
      <c r="FQ9038"/>
      <c r="FR9038"/>
      <c r="FS9038"/>
      <c r="FT9038"/>
      <c r="FU9038"/>
      <c r="FV9038"/>
      <c r="FW9038"/>
      <c r="FX9038"/>
      <c r="FY9038"/>
      <c r="FZ9038"/>
      <c r="GA9038"/>
      <c r="GB9038"/>
      <c r="GC9038"/>
      <c r="GD9038"/>
      <c r="GE9038"/>
      <c r="GF9038"/>
      <c r="GG9038"/>
      <c r="GH9038"/>
      <c r="GI9038"/>
      <c r="GJ9038"/>
      <c r="GK9038"/>
      <c r="GL9038"/>
      <c r="GM9038"/>
      <c r="GN9038"/>
      <c r="GO9038"/>
    </row>
    <row r="9039" spans="107:197">
      <c r="DC9039"/>
      <c r="FH9039"/>
      <c r="FI9039"/>
      <c r="FJ9039"/>
      <c r="FK9039"/>
      <c r="FL9039"/>
      <c r="FM9039"/>
      <c r="FN9039"/>
      <c r="FO9039"/>
      <c r="FP9039"/>
      <c r="FQ9039"/>
      <c r="FR9039"/>
      <c r="FS9039"/>
      <c r="FT9039"/>
      <c r="FU9039"/>
      <c r="FV9039"/>
      <c r="FW9039"/>
      <c r="FX9039"/>
      <c r="FY9039"/>
      <c r="FZ9039"/>
      <c r="GA9039"/>
      <c r="GB9039"/>
      <c r="GC9039"/>
      <c r="GD9039"/>
      <c r="GE9039"/>
      <c r="GF9039"/>
      <c r="GG9039"/>
      <c r="GH9039"/>
      <c r="GI9039"/>
      <c r="GJ9039"/>
      <c r="GK9039"/>
      <c r="GL9039"/>
      <c r="GM9039"/>
      <c r="GN9039"/>
      <c r="GO9039"/>
    </row>
    <row r="9040" spans="107:197">
      <c r="DC9040"/>
      <c r="FH9040"/>
      <c r="FI9040"/>
      <c r="FJ9040"/>
      <c r="FK9040"/>
      <c r="FL9040"/>
      <c r="FM9040"/>
      <c r="FN9040"/>
      <c r="FO9040"/>
      <c r="FP9040"/>
      <c r="FQ9040"/>
      <c r="FR9040"/>
      <c r="FS9040"/>
      <c r="FT9040"/>
      <c r="FU9040"/>
      <c r="FV9040"/>
      <c r="FW9040"/>
      <c r="FX9040"/>
      <c r="FY9040"/>
      <c r="FZ9040"/>
      <c r="GA9040"/>
      <c r="GB9040"/>
      <c r="GC9040"/>
      <c r="GD9040"/>
      <c r="GE9040"/>
      <c r="GF9040"/>
      <c r="GG9040"/>
      <c r="GH9040"/>
      <c r="GI9040"/>
      <c r="GJ9040"/>
      <c r="GK9040"/>
      <c r="GL9040"/>
      <c r="GM9040"/>
      <c r="GN9040"/>
      <c r="GO9040"/>
    </row>
    <row r="9041" spans="107:197">
      <c r="DC9041"/>
      <c r="FH9041"/>
      <c r="FI9041"/>
      <c r="FJ9041"/>
      <c r="FK9041"/>
      <c r="FL9041"/>
      <c r="FM9041"/>
      <c r="FN9041"/>
      <c r="FO9041"/>
      <c r="FP9041"/>
      <c r="FQ9041"/>
      <c r="FR9041"/>
      <c r="FS9041"/>
      <c r="FT9041"/>
      <c r="FU9041"/>
      <c r="FV9041"/>
      <c r="FW9041"/>
      <c r="FX9041"/>
      <c r="FY9041"/>
      <c r="FZ9041"/>
      <c r="GA9041"/>
      <c r="GB9041"/>
      <c r="GC9041"/>
      <c r="GD9041"/>
      <c r="GE9041"/>
      <c r="GF9041"/>
      <c r="GG9041"/>
      <c r="GH9041"/>
      <c r="GI9041"/>
      <c r="GJ9041"/>
      <c r="GK9041"/>
      <c r="GL9041"/>
      <c r="GM9041"/>
      <c r="GN9041"/>
      <c r="GO9041"/>
    </row>
    <row r="9042" spans="107:197">
      <c r="DC9042"/>
      <c r="FH9042"/>
      <c r="FI9042"/>
      <c r="FJ9042"/>
      <c r="FK9042"/>
      <c r="FL9042"/>
      <c r="FM9042"/>
      <c r="FN9042"/>
      <c r="FO9042"/>
      <c r="FP9042"/>
      <c r="FQ9042"/>
      <c r="FR9042"/>
      <c r="FS9042"/>
      <c r="FT9042"/>
      <c r="FU9042"/>
      <c r="FV9042"/>
      <c r="FW9042"/>
      <c r="FX9042"/>
      <c r="FY9042"/>
      <c r="FZ9042"/>
      <c r="GA9042"/>
      <c r="GB9042"/>
      <c r="GC9042"/>
      <c r="GD9042"/>
      <c r="GE9042"/>
      <c r="GF9042"/>
      <c r="GG9042"/>
      <c r="GH9042"/>
      <c r="GI9042"/>
      <c r="GJ9042"/>
      <c r="GK9042"/>
      <c r="GL9042"/>
      <c r="GM9042"/>
      <c r="GN9042"/>
      <c r="GO9042"/>
    </row>
    <row r="9043" spans="107:197">
      <c r="DC9043"/>
      <c r="FH9043"/>
      <c r="FI9043"/>
      <c r="FJ9043"/>
      <c r="FK9043"/>
      <c r="FL9043"/>
      <c r="FM9043"/>
      <c r="FN9043"/>
      <c r="FO9043"/>
      <c r="FP9043"/>
      <c r="FQ9043"/>
      <c r="FR9043"/>
      <c r="FS9043"/>
      <c r="FT9043"/>
      <c r="FU9043"/>
      <c r="FV9043"/>
      <c r="FW9043"/>
      <c r="FX9043"/>
      <c r="FY9043"/>
      <c r="FZ9043"/>
      <c r="GA9043"/>
      <c r="GB9043"/>
      <c r="GC9043"/>
      <c r="GD9043"/>
      <c r="GE9043"/>
      <c r="GF9043"/>
      <c r="GG9043"/>
      <c r="GH9043"/>
      <c r="GI9043"/>
      <c r="GJ9043"/>
      <c r="GK9043"/>
      <c r="GL9043"/>
      <c r="GM9043"/>
      <c r="GN9043"/>
      <c r="GO9043"/>
    </row>
    <row r="9044" spans="107:197">
      <c r="DC9044"/>
      <c r="FH9044"/>
      <c r="FI9044"/>
      <c r="FJ9044"/>
      <c r="FK9044"/>
      <c r="FL9044"/>
      <c r="FM9044"/>
      <c r="FN9044"/>
      <c r="FO9044"/>
      <c r="FP9044"/>
      <c r="FQ9044"/>
      <c r="FR9044"/>
      <c r="FS9044"/>
      <c r="FT9044"/>
      <c r="FU9044"/>
      <c r="FV9044"/>
      <c r="FW9044"/>
      <c r="FX9044"/>
      <c r="FY9044"/>
      <c r="FZ9044"/>
      <c r="GA9044"/>
      <c r="GB9044"/>
      <c r="GC9044"/>
      <c r="GD9044"/>
      <c r="GE9044"/>
      <c r="GF9044"/>
      <c r="GG9044"/>
      <c r="GH9044"/>
      <c r="GI9044"/>
      <c r="GJ9044"/>
      <c r="GK9044"/>
      <c r="GL9044"/>
      <c r="GM9044"/>
      <c r="GN9044"/>
      <c r="GO9044"/>
    </row>
    <row r="9045" spans="107:197">
      <c r="DC9045"/>
      <c r="FH9045"/>
      <c r="FI9045"/>
      <c r="FJ9045"/>
      <c r="FK9045"/>
      <c r="FL9045"/>
      <c r="FM9045"/>
      <c r="FN9045"/>
      <c r="FO9045"/>
      <c r="FP9045"/>
      <c r="FQ9045"/>
      <c r="FR9045"/>
      <c r="FS9045"/>
      <c r="FT9045"/>
      <c r="FU9045"/>
      <c r="FV9045"/>
      <c r="FW9045"/>
      <c r="FX9045"/>
      <c r="FY9045"/>
      <c r="FZ9045"/>
      <c r="GA9045"/>
      <c r="GB9045"/>
      <c r="GC9045"/>
      <c r="GD9045"/>
      <c r="GE9045"/>
      <c r="GF9045"/>
      <c r="GG9045"/>
      <c r="GH9045"/>
      <c r="GI9045"/>
      <c r="GJ9045"/>
      <c r="GK9045"/>
      <c r="GL9045"/>
      <c r="GM9045"/>
      <c r="GN9045"/>
      <c r="GO9045"/>
    </row>
    <row r="9046" spans="107:197">
      <c r="DC9046"/>
      <c r="FH9046"/>
      <c r="FI9046"/>
      <c r="FJ9046"/>
      <c r="FK9046"/>
      <c r="FL9046"/>
      <c r="FM9046"/>
      <c r="FN9046"/>
      <c r="FO9046"/>
      <c r="FP9046"/>
      <c r="FQ9046"/>
      <c r="FR9046"/>
      <c r="FS9046"/>
      <c r="FT9046"/>
      <c r="FU9046"/>
      <c r="FV9046"/>
      <c r="FW9046"/>
      <c r="FX9046"/>
      <c r="FY9046"/>
      <c r="FZ9046"/>
      <c r="GA9046"/>
      <c r="GB9046"/>
      <c r="GC9046"/>
      <c r="GD9046"/>
      <c r="GE9046"/>
      <c r="GF9046"/>
      <c r="GG9046"/>
      <c r="GH9046"/>
      <c r="GI9046"/>
      <c r="GJ9046"/>
      <c r="GK9046"/>
      <c r="GL9046"/>
      <c r="GM9046"/>
      <c r="GN9046"/>
      <c r="GO9046"/>
    </row>
    <row r="9047" spans="107:197">
      <c r="DC9047"/>
      <c r="FH9047"/>
      <c r="FI9047"/>
      <c r="FJ9047"/>
      <c r="FK9047"/>
      <c r="FL9047"/>
      <c r="FM9047"/>
      <c r="FN9047"/>
      <c r="FO9047"/>
      <c r="FP9047"/>
      <c r="FQ9047"/>
      <c r="FR9047"/>
      <c r="FS9047"/>
      <c r="FT9047"/>
      <c r="FU9047"/>
      <c r="FV9047"/>
      <c r="FW9047"/>
      <c r="FX9047"/>
      <c r="FY9047"/>
      <c r="FZ9047"/>
      <c r="GA9047"/>
      <c r="GB9047"/>
      <c r="GC9047"/>
      <c r="GD9047"/>
      <c r="GE9047"/>
      <c r="GF9047"/>
      <c r="GG9047"/>
      <c r="GH9047"/>
      <c r="GI9047"/>
      <c r="GJ9047"/>
      <c r="GK9047"/>
      <c r="GL9047"/>
      <c r="GM9047"/>
      <c r="GN9047"/>
      <c r="GO9047"/>
    </row>
    <row r="9048" spans="107:197">
      <c r="DC9048"/>
      <c r="FH9048"/>
      <c r="FI9048"/>
      <c r="FJ9048"/>
      <c r="FK9048"/>
      <c r="FL9048"/>
      <c r="FM9048"/>
      <c r="FN9048"/>
      <c r="FO9048"/>
      <c r="FP9048"/>
      <c r="FQ9048"/>
      <c r="FR9048"/>
      <c r="FS9048"/>
      <c r="FT9048"/>
      <c r="FU9048"/>
      <c r="FV9048"/>
      <c r="FW9048"/>
      <c r="FX9048"/>
      <c r="FY9048"/>
      <c r="FZ9048"/>
      <c r="GA9048"/>
      <c r="GB9048"/>
      <c r="GC9048"/>
      <c r="GD9048"/>
      <c r="GE9048"/>
      <c r="GF9048"/>
      <c r="GG9048"/>
      <c r="GH9048"/>
      <c r="GI9048"/>
      <c r="GJ9048"/>
      <c r="GK9048"/>
      <c r="GL9048"/>
      <c r="GM9048"/>
      <c r="GN9048"/>
      <c r="GO9048"/>
    </row>
    <row r="9049" spans="107:197">
      <c r="DC9049"/>
      <c r="FH9049"/>
      <c r="FI9049"/>
      <c r="FJ9049"/>
      <c r="FK9049"/>
      <c r="FL9049"/>
      <c r="FM9049"/>
      <c r="FN9049"/>
      <c r="FO9049"/>
      <c r="FP9049"/>
      <c r="FQ9049"/>
      <c r="FR9049"/>
      <c r="FS9049"/>
      <c r="FT9049"/>
      <c r="FU9049"/>
      <c r="FV9049"/>
      <c r="FW9049"/>
      <c r="FX9049"/>
      <c r="FY9049"/>
      <c r="FZ9049"/>
      <c r="GA9049"/>
      <c r="GB9049"/>
      <c r="GC9049"/>
      <c r="GD9049"/>
      <c r="GE9049"/>
      <c r="GF9049"/>
      <c r="GG9049"/>
      <c r="GH9049"/>
      <c r="GI9049"/>
      <c r="GJ9049"/>
      <c r="GK9049"/>
      <c r="GL9049"/>
      <c r="GM9049"/>
      <c r="GN9049"/>
      <c r="GO9049"/>
    </row>
    <row r="9050" spans="107:197">
      <c r="DC9050"/>
      <c r="FH9050"/>
      <c r="FI9050"/>
      <c r="FJ9050"/>
      <c r="FK9050"/>
      <c r="FL9050"/>
      <c r="FM9050"/>
      <c r="FN9050"/>
      <c r="FO9050"/>
      <c r="FP9050"/>
      <c r="FQ9050"/>
      <c r="FR9050"/>
      <c r="FS9050"/>
      <c r="FT9050"/>
      <c r="FU9050"/>
      <c r="FV9050"/>
      <c r="FW9050"/>
      <c r="FX9050"/>
      <c r="FY9050"/>
      <c r="FZ9050"/>
      <c r="GA9050"/>
      <c r="GB9050"/>
      <c r="GC9050"/>
      <c r="GD9050"/>
      <c r="GE9050"/>
      <c r="GF9050"/>
      <c r="GG9050"/>
      <c r="GH9050"/>
      <c r="GI9050"/>
      <c r="GJ9050"/>
      <c r="GK9050"/>
      <c r="GL9050"/>
      <c r="GM9050"/>
      <c r="GN9050"/>
      <c r="GO9050"/>
    </row>
    <row r="9051" spans="107:197">
      <c r="DC9051"/>
      <c r="FH9051"/>
      <c r="FI9051"/>
      <c r="FJ9051"/>
      <c r="FK9051"/>
      <c r="FL9051"/>
      <c r="FM9051"/>
      <c r="FN9051"/>
      <c r="FO9051"/>
      <c r="FP9051"/>
      <c r="FQ9051"/>
      <c r="FR9051"/>
      <c r="FS9051"/>
      <c r="FT9051"/>
      <c r="FU9051"/>
      <c r="FV9051"/>
      <c r="FW9051"/>
      <c r="FX9051"/>
      <c r="FY9051"/>
      <c r="FZ9051"/>
      <c r="GA9051"/>
      <c r="GB9051"/>
      <c r="GC9051"/>
      <c r="GD9051"/>
      <c r="GE9051"/>
      <c r="GF9051"/>
      <c r="GG9051"/>
      <c r="GH9051"/>
      <c r="GI9051"/>
      <c r="GJ9051"/>
      <c r="GK9051"/>
      <c r="GL9051"/>
      <c r="GM9051"/>
      <c r="GN9051"/>
      <c r="GO9051"/>
    </row>
    <row r="9052" spans="107:197">
      <c r="DC9052"/>
      <c r="FH9052"/>
      <c r="FI9052"/>
      <c r="FJ9052"/>
      <c r="FK9052"/>
      <c r="FL9052"/>
      <c r="FM9052"/>
      <c r="FN9052"/>
      <c r="FO9052"/>
      <c r="FP9052"/>
      <c r="FQ9052"/>
      <c r="FR9052"/>
      <c r="FS9052"/>
      <c r="FT9052"/>
      <c r="FU9052"/>
      <c r="FV9052"/>
      <c r="FW9052"/>
      <c r="FX9052"/>
      <c r="FY9052"/>
      <c r="FZ9052"/>
      <c r="GA9052"/>
      <c r="GB9052"/>
      <c r="GC9052"/>
      <c r="GD9052"/>
      <c r="GE9052"/>
      <c r="GF9052"/>
      <c r="GG9052"/>
      <c r="GH9052"/>
      <c r="GI9052"/>
      <c r="GJ9052"/>
      <c r="GK9052"/>
      <c r="GL9052"/>
      <c r="GM9052"/>
      <c r="GN9052"/>
      <c r="GO9052"/>
    </row>
    <row r="9053" spans="107:197">
      <c r="DC9053"/>
      <c r="FH9053"/>
      <c r="FI9053"/>
      <c r="FJ9053"/>
      <c r="FK9053"/>
      <c r="FL9053"/>
      <c r="FM9053"/>
      <c r="FN9053"/>
      <c r="FO9053"/>
      <c r="FP9053"/>
      <c r="FQ9053"/>
      <c r="FR9053"/>
      <c r="FS9053"/>
      <c r="FT9053"/>
      <c r="FU9053"/>
      <c r="FV9053"/>
      <c r="FW9053"/>
      <c r="FX9053"/>
      <c r="FY9053"/>
      <c r="FZ9053"/>
      <c r="GA9053"/>
      <c r="GB9053"/>
      <c r="GC9053"/>
      <c r="GD9053"/>
      <c r="GE9053"/>
      <c r="GF9053"/>
      <c r="GG9053"/>
      <c r="GH9053"/>
      <c r="GI9053"/>
      <c r="GJ9053"/>
      <c r="GK9053"/>
      <c r="GL9053"/>
      <c r="GM9053"/>
      <c r="GN9053"/>
      <c r="GO9053"/>
    </row>
    <row r="9054" spans="107:197">
      <c r="DC9054"/>
      <c r="FH9054"/>
      <c r="FI9054"/>
      <c r="FJ9054"/>
      <c r="FK9054"/>
      <c r="FL9054"/>
      <c r="FM9054"/>
      <c r="FN9054"/>
      <c r="FO9054"/>
      <c r="FP9054"/>
      <c r="FQ9054"/>
      <c r="FR9054"/>
      <c r="FS9054"/>
      <c r="FT9054"/>
      <c r="FU9054"/>
      <c r="FV9054"/>
      <c r="FW9054"/>
      <c r="FX9054"/>
      <c r="FY9054"/>
      <c r="FZ9054"/>
      <c r="GA9054"/>
      <c r="GB9054"/>
      <c r="GC9054"/>
      <c r="GD9054"/>
      <c r="GE9054"/>
      <c r="GF9054"/>
      <c r="GG9054"/>
      <c r="GH9054"/>
      <c r="GI9054"/>
      <c r="GJ9054"/>
      <c r="GK9054"/>
      <c r="GL9054"/>
      <c r="GM9054"/>
      <c r="GN9054"/>
      <c r="GO9054"/>
    </row>
    <row r="9055" spans="107:197">
      <c r="DC9055"/>
      <c r="FH9055"/>
      <c r="FI9055"/>
      <c r="FJ9055"/>
      <c r="FK9055"/>
      <c r="FL9055"/>
      <c r="FM9055"/>
      <c r="FN9055"/>
      <c r="FO9055"/>
      <c r="FP9055"/>
      <c r="FQ9055"/>
      <c r="FR9055"/>
      <c r="FS9055"/>
      <c r="FT9055"/>
      <c r="FU9055"/>
      <c r="FV9055"/>
      <c r="FW9055"/>
      <c r="FX9055"/>
      <c r="FY9055"/>
      <c r="FZ9055"/>
      <c r="GA9055"/>
      <c r="GB9055"/>
      <c r="GC9055"/>
      <c r="GD9055"/>
      <c r="GE9055"/>
      <c r="GF9055"/>
      <c r="GG9055"/>
      <c r="GH9055"/>
      <c r="GI9055"/>
      <c r="GJ9055"/>
      <c r="GK9055"/>
      <c r="GL9055"/>
      <c r="GM9055"/>
      <c r="GN9055"/>
      <c r="GO9055"/>
    </row>
    <row r="9056" spans="107:197">
      <c r="DC9056"/>
      <c r="FH9056"/>
      <c r="FI9056"/>
      <c r="FJ9056"/>
      <c r="FK9056"/>
      <c r="FL9056"/>
      <c r="FM9056"/>
      <c r="FN9056"/>
      <c r="FO9056"/>
      <c r="FP9056"/>
      <c r="FQ9056"/>
      <c r="FR9056"/>
      <c r="FS9056"/>
      <c r="FT9056"/>
      <c r="FU9056"/>
      <c r="FV9056"/>
      <c r="FW9056"/>
      <c r="FX9056"/>
      <c r="FY9056"/>
      <c r="FZ9056"/>
      <c r="GA9056"/>
      <c r="GB9056"/>
      <c r="GC9056"/>
      <c r="GD9056"/>
      <c r="GE9056"/>
      <c r="GF9056"/>
      <c r="GG9056"/>
      <c r="GH9056"/>
      <c r="GI9056"/>
      <c r="GJ9056"/>
      <c r="GK9056"/>
      <c r="GL9056"/>
      <c r="GM9056"/>
      <c r="GN9056"/>
      <c r="GO9056"/>
    </row>
    <row r="9057" spans="107:197">
      <c r="DC9057"/>
      <c r="FH9057"/>
      <c r="FI9057"/>
      <c r="FJ9057"/>
      <c r="FK9057"/>
      <c r="FL9057"/>
      <c r="FM9057"/>
      <c r="FN9057"/>
      <c r="FO9057"/>
      <c r="FP9057"/>
      <c r="FQ9057"/>
      <c r="FR9057"/>
      <c r="FS9057"/>
      <c r="FT9057"/>
      <c r="FU9057"/>
      <c r="FV9057"/>
      <c r="FW9057"/>
      <c r="FX9057"/>
      <c r="FY9057"/>
      <c r="FZ9057"/>
      <c r="GA9057"/>
      <c r="GB9057"/>
      <c r="GC9057"/>
      <c r="GD9057"/>
      <c r="GE9057"/>
      <c r="GF9057"/>
      <c r="GG9057"/>
      <c r="GH9057"/>
      <c r="GI9057"/>
      <c r="GJ9057"/>
      <c r="GK9057"/>
      <c r="GL9057"/>
      <c r="GM9057"/>
      <c r="GN9057"/>
      <c r="GO9057"/>
    </row>
    <row r="9058" spans="107:197">
      <c r="DC9058"/>
      <c r="FH9058"/>
      <c r="FI9058"/>
      <c r="FJ9058"/>
      <c r="FK9058"/>
      <c r="FL9058"/>
      <c r="FM9058"/>
      <c r="FN9058"/>
      <c r="FO9058"/>
      <c r="FP9058"/>
      <c r="FQ9058"/>
      <c r="FR9058"/>
      <c r="FS9058"/>
      <c r="FT9058"/>
      <c r="FU9058"/>
      <c r="FV9058"/>
      <c r="FW9058"/>
      <c r="FX9058"/>
      <c r="FY9058"/>
      <c r="FZ9058"/>
      <c r="GA9058"/>
      <c r="GB9058"/>
      <c r="GC9058"/>
      <c r="GD9058"/>
      <c r="GE9058"/>
      <c r="GF9058"/>
      <c r="GG9058"/>
      <c r="GH9058"/>
      <c r="GI9058"/>
      <c r="GJ9058"/>
      <c r="GK9058"/>
      <c r="GL9058"/>
      <c r="GM9058"/>
      <c r="GN9058"/>
      <c r="GO9058"/>
    </row>
    <row r="9059" spans="107:197">
      <c r="DC9059"/>
      <c r="FH9059"/>
      <c r="FI9059"/>
      <c r="FJ9059"/>
      <c r="FK9059"/>
      <c r="FL9059"/>
      <c r="FM9059"/>
      <c r="FN9059"/>
      <c r="FO9059"/>
      <c r="FP9059"/>
      <c r="FQ9059"/>
      <c r="FR9059"/>
      <c r="FS9059"/>
      <c r="FT9059"/>
      <c r="FU9059"/>
      <c r="FV9059"/>
      <c r="FW9059"/>
      <c r="FX9059"/>
      <c r="FY9059"/>
      <c r="FZ9059"/>
      <c r="GA9059"/>
      <c r="GB9059"/>
      <c r="GC9059"/>
      <c r="GD9059"/>
      <c r="GE9059"/>
      <c r="GF9059"/>
      <c r="GG9059"/>
      <c r="GH9059"/>
      <c r="GI9059"/>
      <c r="GJ9059"/>
      <c r="GK9059"/>
      <c r="GL9059"/>
      <c r="GM9059"/>
      <c r="GN9059"/>
      <c r="GO9059"/>
    </row>
    <row r="9060" spans="107:197">
      <c r="DC9060"/>
      <c r="FH9060"/>
      <c r="FI9060"/>
      <c r="FJ9060"/>
      <c r="FK9060"/>
      <c r="FL9060"/>
      <c r="FM9060"/>
      <c r="FN9060"/>
      <c r="FO9060"/>
      <c r="FP9060"/>
      <c r="FQ9060"/>
      <c r="FR9060"/>
      <c r="FS9060"/>
      <c r="FT9060"/>
      <c r="FU9060"/>
      <c r="FV9060"/>
      <c r="FW9060"/>
      <c r="FX9060"/>
      <c r="FY9060"/>
      <c r="FZ9060"/>
      <c r="GA9060"/>
      <c r="GB9060"/>
      <c r="GC9060"/>
      <c r="GD9060"/>
      <c r="GE9060"/>
      <c r="GF9060"/>
      <c r="GG9060"/>
      <c r="GH9060"/>
      <c r="GI9060"/>
      <c r="GJ9060"/>
      <c r="GK9060"/>
      <c r="GL9060"/>
      <c r="GM9060"/>
      <c r="GN9060"/>
      <c r="GO9060"/>
    </row>
    <row r="9061" spans="107:197">
      <c r="DC9061"/>
      <c r="FH9061"/>
      <c r="FI9061"/>
      <c r="FJ9061"/>
      <c r="FK9061"/>
      <c r="FL9061"/>
      <c r="FM9061"/>
      <c r="FN9061"/>
      <c r="FO9061"/>
      <c r="FP9061"/>
      <c r="FQ9061"/>
      <c r="FR9061"/>
      <c r="FS9061"/>
      <c r="FT9061"/>
      <c r="FU9061"/>
      <c r="FV9061"/>
      <c r="FW9061"/>
      <c r="FX9061"/>
      <c r="FY9061"/>
      <c r="FZ9061"/>
      <c r="GA9061"/>
      <c r="GB9061"/>
      <c r="GC9061"/>
      <c r="GD9061"/>
      <c r="GE9061"/>
      <c r="GF9061"/>
      <c r="GG9061"/>
      <c r="GH9061"/>
      <c r="GI9061"/>
      <c r="GJ9061"/>
      <c r="GK9061"/>
      <c r="GL9061"/>
      <c r="GM9061"/>
      <c r="GN9061"/>
      <c r="GO9061"/>
    </row>
    <row r="9062" spans="107:197">
      <c r="DC9062"/>
      <c r="FH9062"/>
      <c r="FI9062"/>
      <c r="FJ9062"/>
      <c r="FK9062"/>
      <c r="FL9062"/>
      <c r="FM9062"/>
      <c r="FN9062"/>
      <c r="FO9062"/>
      <c r="FP9062"/>
      <c r="FQ9062"/>
      <c r="FR9062"/>
      <c r="FS9062"/>
      <c r="FT9062"/>
      <c r="FU9062"/>
      <c r="FV9062"/>
      <c r="FW9062"/>
      <c r="FX9062"/>
      <c r="FY9062"/>
      <c r="FZ9062"/>
      <c r="GA9062"/>
      <c r="GB9062"/>
      <c r="GC9062"/>
      <c r="GD9062"/>
      <c r="GE9062"/>
      <c r="GF9062"/>
      <c r="GG9062"/>
      <c r="GH9062"/>
      <c r="GI9062"/>
      <c r="GJ9062"/>
      <c r="GK9062"/>
      <c r="GL9062"/>
      <c r="GM9062"/>
      <c r="GN9062"/>
      <c r="GO9062"/>
    </row>
    <row r="9063" spans="107:197">
      <c r="DC9063"/>
      <c r="FH9063"/>
      <c r="FI9063"/>
      <c r="FJ9063"/>
      <c r="FK9063"/>
      <c r="FL9063"/>
      <c r="FM9063"/>
      <c r="FN9063"/>
      <c r="FO9063"/>
      <c r="FP9063"/>
      <c r="FQ9063"/>
      <c r="FR9063"/>
      <c r="FS9063"/>
      <c r="FT9063"/>
      <c r="FU9063"/>
      <c r="FV9063"/>
      <c r="FW9063"/>
      <c r="FX9063"/>
      <c r="FY9063"/>
      <c r="FZ9063"/>
      <c r="GA9063"/>
      <c r="GB9063"/>
      <c r="GC9063"/>
      <c r="GD9063"/>
      <c r="GE9063"/>
      <c r="GF9063"/>
      <c r="GG9063"/>
      <c r="GH9063"/>
      <c r="GI9063"/>
      <c r="GJ9063"/>
      <c r="GK9063"/>
      <c r="GL9063"/>
      <c r="GM9063"/>
      <c r="GN9063"/>
      <c r="GO9063"/>
    </row>
    <row r="9064" spans="107:197">
      <c r="DC9064"/>
      <c r="FH9064"/>
      <c r="FI9064"/>
      <c r="FJ9064"/>
      <c r="FK9064"/>
      <c r="FL9064"/>
      <c r="FM9064"/>
      <c r="FN9064"/>
      <c r="FO9064"/>
      <c r="FP9064"/>
      <c r="FQ9064"/>
      <c r="FR9064"/>
      <c r="FS9064"/>
      <c r="FT9064"/>
      <c r="FU9064"/>
      <c r="FV9064"/>
      <c r="FW9064"/>
      <c r="FX9064"/>
      <c r="FY9064"/>
      <c r="FZ9064"/>
      <c r="GA9064"/>
      <c r="GB9064"/>
      <c r="GC9064"/>
      <c r="GD9064"/>
      <c r="GE9064"/>
      <c r="GF9064"/>
      <c r="GG9064"/>
      <c r="GH9064"/>
      <c r="GI9064"/>
      <c r="GJ9064"/>
      <c r="GK9064"/>
      <c r="GL9064"/>
      <c r="GM9064"/>
      <c r="GN9064"/>
      <c r="GO9064"/>
    </row>
    <row r="9065" spans="107:197">
      <c r="DC9065"/>
      <c r="FH9065"/>
      <c r="FI9065"/>
      <c r="FJ9065"/>
      <c r="FK9065"/>
      <c r="FL9065"/>
      <c r="FM9065"/>
      <c r="FN9065"/>
      <c r="FO9065"/>
      <c r="FP9065"/>
      <c r="FQ9065"/>
      <c r="FR9065"/>
      <c r="FS9065"/>
      <c r="FT9065"/>
      <c r="FU9065"/>
      <c r="FV9065"/>
      <c r="FW9065"/>
      <c r="FX9065"/>
      <c r="FY9065"/>
      <c r="FZ9065"/>
      <c r="GA9065"/>
      <c r="GB9065"/>
      <c r="GC9065"/>
      <c r="GD9065"/>
      <c r="GE9065"/>
      <c r="GF9065"/>
      <c r="GG9065"/>
      <c r="GH9065"/>
      <c r="GI9065"/>
      <c r="GJ9065"/>
      <c r="GK9065"/>
      <c r="GL9065"/>
      <c r="GM9065"/>
      <c r="GN9065"/>
      <c r="GO9065"/>
    </row>
    <row r="9066" spans="107:197">
      <c r="DC9066"/>
      <c r="FH9066"/>
      <c r="FI9066"/>
      <c r="FJ9066"/>
      <c r="FK9066"/>
      <c r="FL9066"/>
      <c r="FM9066"/>
      <c r="FN9066"/>
      <c r="FO9066"/>
      <c r="FP9066"/>
      <c r="FQ9066"/>
      <c r="FR9066"/>
      <c r="FS9066"/>
      <c r="FT9066"/>
      <c r="FU9066"/>
      <c r="FV9066"/>
      <c r="FW9066"/>
      <c r="FX9066"/>
      <c r="FY9066"/>
      <c r="FZ9066"/>
      <c r="GA9066"/>
      <c r="GB9066"/>
      <c r="GC9066"/>
      <c r="GD9066"/>
      <c r="GE9066"/>
      <c r="GF9066"/>
      <c r="GG9066"/>
      <c r="GH9066"/>
      <c r="GI9066"/>
      <c r="GJ9066"/>
      <c r="GK9066"/>
      <c r="GL9066"/>
      <c r="GM9066"/>
      <c r="GN9066"/>
      <c r="GO9066"/>
    </row>
    <row r="9067" spans="107:197">
      <c r="DC9067"/>
      <c r="FH9067"/>
      <c r="FI9067"/>
      <c r="FJ9067"/>
      <c r="FK9067"/>
      <c r="FL9067"/>
      <c r="FM9067"/>
      <c r="FN9067"/>
      <c r="FO9067"/>
      <c r="FP9067"/>
      <c r="FQ9067"/>
      <c r="FR9067"/>
      <c r="FS9067"/>
      <c r="FT9067"/>
      <c r="FU9067"/>
      <c r="FV9067"/>
      <c r="FW9067"/>
      <c r="FX9067"/>
      <c r="FY9067"/>
      <c r="FZ9067"/>
      <c r="GA9067"/>
      <c r="GB9067"/>
      <c r="GC9067"/>
      <c r="GD9067"/>
      <c r="GE9067"/>
      <c r="GF9067"/>
      <c r="GG9067"/>
      <c r="GH9067"/>
      <c r="GI9067"/>
      <c r="GJ9067"/>
      <c r="GK9067"/>
      <c r="GL9067"/>
      <c r="GM9067"/>
      <c r="GN9067"/>
      <c r="GO9067"/>
    </row>
    <row r="9068" spans="107:197">
      <c r="DC9068"/>
      <c r="FH9068"/>
      <c r="FI9068"/>
      <c r="FJ9068"/>
      <c r="FK9068"/>
      <c r="FL9068"/>
      <c r="FM9068"/>
      <c r="FN9068"/>
      <c r="FO9068"/>
      <c r="FP9068"/>
      <c r="FQ9068"/>
      <c r="FR9068"/>
      <c r="FS9068"/>
      <c r="FT9068"/>
      <c r="FU9068"/>
      <c r="FV9068"/>
      <c r="FW9068"/>
      <c r="FX9068"/>
      <c r="FY9068"/>
      <c r="FZ9068"/>
      <c r="GA9068"/>
      <c r="GB9068"/>
      <c r="GC9068"/>
      <c r="GD9068"/>
      <c r="GE9068"/>
      <c r="GF9068"/>
      <c r="GG9068"/>
      <c r="GH9068"/>
      <c r="GI9068"/>
      <c r="GJ9068"/>
      <c r="GK9068"/>
      <c r="GL9068"/>
      <c r="GM9068"/>
      <c r="GN9068"/>
      <c r="GO9068"/>
    </row>
    <row r="9069" spans="107:197">
      <c r="DC9069"/>
      <c r="FH9069"/>
      <c r="FI9069"/>
      <c r="FJ9069"/>
      <c r="FK9069"/>
      <c r="FL9069"/>
      <c r="FM9069"/>
      <c r="FN9069"/>
      <c r="FO9069"/>
      <c r="FP9069"/>
      <c r="FQ9069"/>
      <c r="FR9069"/>
      <c r="FS9069"/>
      <c r="FT9069"/>
      <c r="FU9069"/>
      <c r="FV9069"/>
      <c r="FW9069"/>
      <c r="FX9069"/>
      <c r="FY9069"/>
      <c r="FZ9069"/>
      <c r="GA9069"/>
      <c r="GB9069"/>
      <c r="GC9069"/>
      <c r="GD9069"/>
      <c r="GE9069"/>
      <c r="GF9069"/>
      <c r="GG9069"/>
      <c r="GH9069"/>
      <c r="GI9069"/>
      <c r="GJ9069"/>
      <c r="GK9069"/>
      <c r="GL9069"/>
      <c r="GM9069"/>
      <c r="GN9069"/>
      <c r="GO9069"/>
    </row>
    <row r="9070" spans="107:197">
      <c r="DC9070"/>
      <c r="FH9070"/>
      <c r="FI9070"/>
      <c r="FJ9070"/>
      <c r="FK9070"/>
      <c r="FL9070"/>
      <c r="FM9070"/>
      <c r="FN9070"/>
      <c r="FO9070"/>
      <c r="FP9070"/>
      <c r="FQ9070"/>
      <c r="FR9070"/>
      <c r="FS9070"/>
      <c r="FT9070"/>
      <c r="FU9070"/>
      <c r="FV9070"/>
      <c r="FW9070"/>
      <c r="FX9070"/>
      <c r="FY9070"/>
      <c r="FZ9070"/>
      <c r="GA9070"/>
      <c r="GB9070"/>
      <c r="GC9070"/>
      <c r="GD9070"/>
      <c r="GE9070"/>
      <c r="GF9070"/>
      <c r="GG9070"/>
      <c r="GH9070"/>
      <c r="GI9070"/>
      <c r="GJ9070"/>
      <c r="GK9070"/>
      <c r="GL9070"/>
      <c r="GM9070"/>
      <c r="GN9070"/>
      <c r="GO9070"/>
    </row>
    <row r="9071" spans="107:197">
      <c r="DC9071"/>
      <c r="FH9071"/>
      <c r="FI9071"/>
      <c r="FJ9071"/>
      <c r="FK9071"/>
      <c r="FL9071"/>
      <c r="FM9071"/>
      <c r="FN9071"/>
      <c r="FO9071"/>
      <c r="FP9071"/>
      <c r="FQ9071"/>
      <c r="FR9071"/>
      <c r="FS9071"/>
      <c r="FT9071"/>
      <c r="FU9071"/>
      <c r="FV9071"/>
      <c r="FW9071"/>
      <c r="FX9071"/>
      <c r="FY9071"/>
      <c r="FZ9071"/>
      <c r="GA9071"/>
      <c r="GB9071"/>
      <c r="GC9071"/>
      <c r="GD9071"/>
      <c r="GE9071"/>
      <c r="GF9071"/>
      <c r="GG9071"/>
      <c r="GH9071"/>
      <c r="GI9071"/>
      <c r="GJ9071"/>
      <c r="GK9071"/>
      <c r="GL9071"/>
      <c r="GM9071"/>
      <c r="GN9071"/>
      <c r="GO9071"/>
    </row>
    <row r="9072" spans="107:197">
      <c r="DC9072"/>
      <c r="FH9072"/>
      <c r="FI9072"/>
      <c r="FJ9072"/>
      <c r="FK9072"/>
      <c r="FL9072"/>
      <c r="FM9072"/>
      <c r="FN9072"/>
      <c r="FO9072"/>
      <c r="FP9072"/>
      <c r="FQ9072"/>
      <c r="FR9072"/>
      <c r="FS9072"/>
      <c r="FT9072"/>
      <c r="FU9072"/>
      <c r="FV9072"/>
      <c r="FW9072"/>
      <c r="FX9072"/>
      <c r="FY9072"/>
      <c r="FZ9072"/>
      <c r="GA9072"/>
      <c r="GB9072"/>
      <c r="GC9072"/>
      <c r="GD9072"/>
      <c r="GE9072"/>
      <c r="GF9072"/>
      <c r="GG9072"/>
      <c r="GH9072"/>
      <c r="GI9072"/>
      <c r="GJ9072"/>
      <c r="GK9072"/>
      <c r="GL9072"/>
      <c r="GM9072"/>
      <c r="GN9072"/>
      <c r="GO9072"/>
    </row>
    <row r="9073" spans="107:197">
      <c r="DC9073"/>
      <c r="FH9073"/>
      <c r="FI9073"/>
      <c r="FJ9073"/>
      <c r="FK9073"/>
      <c r="FL9073"/>
      <c r="FM9073"/>
      <c r="FN9073"/>
      <c r="FO9073"/>
      <c r="FP9073"/>
      <c r="FQ9073"/>
      <c r="FR9073"/>
      <c r="FS9073"/>
      <c r="FT9073"/>
      <c r="FU9073"/>
      <c r="FV9073"/>
      <c r="FW9073"/>
      <c r="FX9073"/>
      <c r="FY9073"/>
      <c r="FZ9073"/>
      <c r="GA9073"/>
      <c r="GB9073"/>
      <c r="GC9073"/>
      <c r="GD9073"/>
      <c r="GE9073"/>
      <c r="GF9073"/>
      <c r="GG9073"/>
      <c r="GH9073"/>
      <c r="GI9073"/>
      <c r="GJ9073"/>
      <c r="GK9073"/>
      <c r="GL9073"/>
      <c r="GM9073"/>
      <c r="GN9073"/>
      <c r="GO9073"/>
    </row>
    <row r="9074" spans="107:197">
      <c r="DC9074"/>
      <c r="FH9074"/>
      <c r="FI9074"/>
      <c r="FJ9074"/>
      <c r="FK9074"/>
      <c r="FL9074"/>
      <c r="FM9074"/>
      <c r="FN9074"/>
      <c r="FO9074"/>
      <c r="FP9074"/>
      <c r="FQ9074"/>
      <c r="FR9074"/>
      <c r="FS9074"/>
      <c r="FT9074"/>
      <c r="FU9074"/>
      <c r="FV9074"/>
      <c r="FW9074"/>
      <c r="FX9074"/>
      <c r="FY9074"/>
      <c r="FZ9074"/>
      <c r="GA9074"/>
      <c r="GB9074"/>
      <c r="GC9074"/>
      <c r="GD9074"/>
      <c r="GE9074"/>
      <c r="GF9074"/>
      <c r="GG9074"/>
      <c r="GH9074"/>
      <c r="GI9074"/>
      <c r="GJ9074"/>
      <c r="GK9074"/>
      <c r="GL9074"/>
      <c r="GM9074"/>
      <c r="GN9074"/>
      <c r="GO9074"/>
    </row>
    <row r="9075" spans="107:197">
      <c r="DC9075"/>
      <c r="FH9075"/>
      <c r="FI9075"/>
      <c r="FJ9075"/>
      <c r="FK9075"/>
      <c r="FL9075"/>
      <c r="FM9075"/>
      <c r="FN9075"/>
      <c r="FO9075"/>
      <c r="FP9075"/>
      <c r="FQ9075"/>
      <c r="FR9075"/>
      <c r="FS9075"/>
      <c r="FT9075"/>
      <c r="FU9075"/>
      <c r="FV9075"/>
      <c r="FW9075"/>
      <c r="FX9075"/>
      <c r="FY9075"/>
      <c r="FZ9075"/>
      <c r="GA9075"/>
      <c r="GB9075"/>
      <c r="GC9075"/>
      <c r="GD9075"/>
      <c r="GE9075"/>
      <c r="GF9075"/>
      <c r="GG9075"/>
      <c r="GH9075"/>
      <c r="GI9075"/>
      <c r="GJ9075"/>
      <c r="GK9075"/>
      <c r="GL9075"/>
      <c r="GM9075"/>
      <c r="GN9075"/>
      <c r="GO9075"/>
    </row>
    <row r="9076" spans="107:197">
      <c r="DC9076"/>
      <c r="FH9076"/>
      <c r="FI9076"/>
      <c r="FJ9076"/>
      <c r="FK9076"/>
      <c r="FL9076"/>
      <c r="FM9076"/>
      <c r="FN9076"/>
      <c r="FO9076"/>
      <c r="FP9076"/>
      <c r="FQ9076"/>
      <c r="FR9076"/>
      <c r="FS9076"/>
      <c r="FT9076"/>
      <c r="FU9076"/>
      <c r="FV9076"/>
      <c r="FW9076"/>
      <c r="FX9076"/>
      <c r="FY9076"/>
      <c r="FZ9076"/>
      <c r="GA9076"/>
      <c r="GB9076"/>
      <c r="GC9076"/>
      <c r="GD9076"/>
      <c r="GE9076"/>
      <c r="GF9076"/>
      <c r="GG9076"/>
      <c r="GH9076"/>
      <c r="GI9076"/>
      <c r="GJ9076"/>
      <c r="GK9076"/>
      <c r="GL9076"/>
      <c r="GM9076"/>
      <c r="GN9076"/>
      <c r="GO9076"/>
    </row>
    <row r="9077" spans="107:197">
      <c r="DC9077"/>
      <c r="FH9077"/>
      <c r="FI9077"/>
      <c r="FJ9077"/>
      <c r="FK9077"/>
      <c r="FL9077"/>
      <c r="FM9077"/>
      <c r="FN9077"/>
      <c r="FO9077"/>
      <c r="FP9077"/>
      <c r="FQ9077"/>
      <c r="FR9077"/>
      <c r="FS9077"/>
      <c r="FT9077"/>
      <c r="FU9077"/>
      <c r="FV9077"/>
      <c r="FW9077"/>
      <c r="FX9077"/>
      <c r="FY9077"/>
      <c r="FZ9077"/>
      <c r="GA9077"/>
      <c r="GB9077"/>
      <c r="GC9077"/>
      <c r="GD9077"/>
      <c r="GE9077"/>
      <c r="GF9077"/>
      <c r="GG9077"/>
      <c r="GH9077"/>
      <c r="GI9077"/>
      <c r="GJ9077"/>
      <c r="GK9077"/>
      <c r="GL9077"/>
      <c r="GM9077"/>
      <c r="GN9077"/>
      <c r="GO9077"/>
    </row>
    <row r="9078" spans="107:197">
      <c r="DC9078"/>
      <c r="FH9078"/>
      <c r="FI9078"/>
      <c r="FJ9078"/>
      <c r="FK9078"/>
      <c r="FL9078"/>
      <c r="FM9078"/>
      <c r="FN9078"/>
      <c r="FO9078"/>
      <c r="FP9078"/>
      <c r="FQ9078"/>
      <c r="FR9078"/>
      <c r="FS9078"/>
      <c r="FT9078"/>
      <c r="FU9078"/>
      <c r="FV9078"/>
      <c r="FW9078"/>
      <c r="FX9078"/>
      <c r="FY9078"/>
      <c r="FZ9078"/>
      <c r="GA9078"/>
      <c r="GB9078"/>
      <c r="GC9078"/>
      <c r="GD9078"/>
      <c r="GE9078"/>
      <c r="GF9078"/>
      <c r="GG9078"/>
      <c r="GH9078"/>
      <c r="GI9078"/>
      <c r="GJ9078"/>
      <c r="GK9078"/>
      <c r="GL9078"/>
      <c r="GM9078"/>
      <c r="GN9078"/>
      <c r="GO9078"/>
    </row>
    <row r="9079" spans="107:197">
      <c r="DC9079"/>
      <c r="FH9079"/>
      <c r="FI9079"/>
      <c r="FJ9079"/>
      <c r="FK9079"/>
      <c r="FL9079"/>
      <c r="FM9079"/>
      <c r="FN9079"/>
      <c r="FO9079"/>
      <c r="FP9079"/>
      <c r="FQ9079"/>
      <c r="FR9079"/>
      <c r="FS9079"/>
      <c r="FT9079"/>
      <c r="FU9079"/>
      <c r="FV9079"/>
      <c r="FW9079"/>
      <c r="FX9079"/>
      <c r="FY9079"/>
      <c r="FZ9079"/>
      <c r="GA9079"/>
      <c r="GB9079"/>
      <c r="GC9079"/>
      <c r="GD9079"/>
      <c r="GE9079"/>
      <c r="GF9079"/>
      <c r="GG9079"/>
      <c r="GH9079"/>
      <c r="GI9079"/>
      <c r="GJ9079"/>
      <c r="GK9079"/>
      <c r="GL9079"/>
      <c r="GM9079"/>
      <c r="GN9079"/>
      <c r="GO9079"/>
    </row>
    <row r="9080" spans="107:197">
      <c r="DC9080"/>
      <c r="FH9080"/>
      <c r="FI9080"/>
      <c r="FJ9080"/>
      <c r="FK9080"/>
      <c r="FL9080"/>
      <c r="FM9080"/>
      <c r="FN9080"/>
      <c r="FO9080"/>
      <c r="FP9080"/>
      <c r="FQ9080"/>
      <c r="FR9080"/>
      <c r="FS9080"/>
      <c r="FT9080"/>
      <c r="FU9080"/>
      <c r="FV9080"/>
      <c r="FW9080"/>
      <c r="FX9080"/>
      <c r="FY9080"/>
      <c r="FZ9080"/>
      <c r="GA9080"/>
      <c r="GB9080"/>
      <c r="GC9080"/>
      <c r="GD9080"/>
      <c r="GE9080"/>
      <c r="GF9080"/>
      <c r="GG9080"/>
      <c r="GH9080"/>
      <c r="GI9080"/>
      <c r="GJ9080"/>
      <c r="GK9080"/>
      <c r="GL9080"/>
      <c r="GM9080"/>
      <c r="GN9080"/>
      <c r="GO9080"/>
    </row>
    <row r="9081" spans="107:197">
      <c r="DC9081"/>
      <c r="FH9081"/>
      <c r="FI9081"/>
      <c r="FJ9081"/>
      <c r="FK9081"/>
      <c r="FL9081"/>
      <c r="FM9081"/>
      <c r="FN9081"/>
      <c r="FO9081"/>
      <c r="FP9081"/>
      <c r="FQ9081"/>
      <c r="FR9081"/>
      <c r="FS9081"/>
      <c r="FT9081"/>
      <c r="FU9081"/>
      <c r="FV9081"/>
      <c r="FW9081"/>
      <c r="FX9081"/>
      <c r="FY9081"/>
      <c r="FZ9081"/>
      <c r="GA9081"/>
      <c r="GB9081"/>
      <c r="GC9081"/>
      <c r="GD9081"/>
      <c r="GE9081"/>
      <c r="GF9081"/>
      <c r="GG9081"/>
      <c r="GH9081"/>
      <c r="GI9081"/>
      <c r="GJ9081"/>
      <c r="GK9081"/>
      <c r="GL9081"/>
      <c r="GM9081"/>
      <c r="GN9081"/>
      <c r="GO9081"/>
    </row>
    <row r="9082" spans="107:197">
      <c r="DC9082"/>
      <c r="FH9082"/>
      <c r="FI9082"/>
      <c r="FJ9082"/>
      <c r="FK9082"/>
      <c r="FL9082"/>
      <c r="FM9082"/>
      <c r="FN9082"/>
      <c r="FO9082"/>
      <c r="FP9082"/>
      <c r="FQ9082"/>
      <c r="FR9082"/>
      <c r="FS9082"/>
      <c r="FT9082"/>
      <c r="FU9082"/>
      <c r="FV9082"/>
      <c r="FW9082"/>
      <c r="FX9082"/>
      <c r="FY9082"/>
      <c r="FZ9082"/>
      <c r="GA9082"/>
      <c r="GB9082"/>
      <c r="GC9082"/>
      <c r="GD9082"/>
      <c r="GE9082"/>
      <c r="GF9082"/>
      <c r="GG9082"/>
      <c r="GH9082"/>
      <c r="GI9082"/>
      <c r="GJ9082"/>
      <c r="GK9082"/>
      <c r="GL9082"/>
      <c r="GM9082"/>
      <c r="GN9082"/>
      <c r="GO9082"/>
    </row>
    <row r="9083" spans="107:197">
      <c r="DC9083"/>
      <c r="FH9083"/>
      <c r="FI9083"/>
      <c r="FJ9083"/>
      <c r="FK9083"/>
      <c r="FL9083"/>
      <c r="FM9083"/>
      <c r="FN9083"/>
      <c r="FO9083"/>
      <c r="FP9083"/>
      <c r="FQ9083"/>
      <c r="FR9083"/>
      <c r="FS9083"/>
      <c r="FT9083"/>
      <c r="FU9083"/>
      <c r="FV9083"/>
      <c r="FW9083"/>
      <c r="FX9083"/>
      <c r="FY9083"/>
      <c r="FZ9083"/>
      <c r="GA9083"/>
      <c r="GB9083"/>
      <c r="GC9083"/>
      <c r="GD9083"/>
      <c r="GE9083"/>
      <c r="GF9083"/>
      <c r="GG9083"/>
      <c r="GH9083"/>
      <c r="GI9083"/>
      <c r="GJ9083"/>
      <c r="GK9083"/>
      <c r="GL9083"/>
      <c r="GM9083"/>
      <c r="GN9083"/>
      <c r="GO9083"/>
    </row>
    <row r="9084" spans="107:197">
      <c r="DC9084"/>
      <c r="FH9084"/>
      <c r="FI9084"/>
      <c r="FJ9084"/>
      <c r="FK9084"/>
      <c r="FL9084"/>
      <c r="FM9084"/>
      <c r="FN9084"/>
      <c r="FO9084"/>
      <c r="FP9084"/>
      <c r="FQ9084"/>
      <c r="FR9084"/>
      <c r="FS9084"/>
      <c r="FT9084"/>
      <c r="FU9084"/>
      <c r="FV9084"/>
      <c r="FW9084"/>
      <c r="FX9084"/>
      <c r="FY9084"/>
      <c r="FZ9084"/>
      <c r="GA9084"/>
      <c r="GB9084"/>
      <c r="GC9084"/>
      <c r="GD9084"/>
      <c r="GE9084"/>
      <c r="GF9084"/>
      <c r="GG9084"/>
      <c r="GH9084"/>
      <c r="GI9084"/>
      <c r="GJ9084"/>
      <c r="GK9084"/>
      <c r="GL9084"/>
      <c r="GM9084"/>
      <c r="GN9084"/>
      <c r="GO9084"/>
    </row>
    <row r="9085" spans="107:197">
      <c r="DC9085"/>
      <c r="FH9085"/>
      <c r="FI9085"/>
      <c r="FJ9085"/>
      <c r="FK9085"/>
      <c r="FL9085"/>
      <c r="FM9085"/>
      <c r="FN9085"/>
      <c r="FO9085"/>
      <c r="FP9085"/>
      <c r="FQ9085"/>
      <c r="FR9085"/>
      <c r="FS9085"/>
      <c r="FT9085"/>
      <c r="FU9085"/>
      <c r="FV9085"/>
      <c r="FW9085"/>
      <c r="FX9085"/>
      <c r="FY9085"/>
      <c r="FZ9085"/>
      <c r="GA9085"/>
      <c r="GB9085"/>
      <c r="GC9085"/>
      <c r="GD9085"/>
      <c r="GE9085"/>
      <c r="GF9085"/>
      <c r="GG9085"/>
      <c r="GH9085"/>
      <c r="GI9085"/>
      <c r="GJ9085"/>
      <c r="GK9085"/>
      <c r="GL9085"/>
      <c r="GM9085"/>
      <c r="GN9085"/>
      <c r="GO9085"/>
    </row>
    <row r="9086" spans="107:197">
      <c r="DC9086"/>
      <c r="FH9086"/>
      <c r="FI9086"/>
      <c r="FJ9086"/>
      <c r="FK9086"/>
      <c r="FL9086"/>
      <c r="FM9086"/>
      <c r="FN9086"/>
      <c r="FO9086"/>
      <c r="FP9086"/>
      <c r="FQ9086"/>
      <c r="FR9086"/>
      <c r="FS9086"/>
      <c r="FT9086"/>
      <c r="FU9086"/>
      <c r="FV9086"/>
      <c r="FW9086"/>
      <c r="FX9086"/>
      <c r="FY9086"/>
      <c r="FZ9086"/>
      <c r="GA9086"/>
      <c r="GB9086"/>
      <c r="GC9086"/>
      <c r="GD9086"/>
      <c r="GE9086"/>
      <c r="GF9086"/>
      <c r="GG9086"/>
      <c r="GH9086"/>
      <c r="GI9086"/>
      <c r="GJ9086"/>
      <c r="GK9086"/>
      <c r="GL9086"/>
      <c r="GM9086"/>
      <c r="GN9086"/>
      <c r="GO9086"/>
    </row>
    <row r="9087" spans="107:197">
      <c r="DC9087"/>
      <c r="FH9087"/>
      <c r="FI9087"/>
      <c r="FJ9087"/>
      <c r="FK9087"/>
      <c r="FL9087"/>
      <c r="FM9087"/>
      <c r="FN9087"/>
      <c r="FO9087"/>
      <c r="FP9087"/>
      <c r="FQ9087"/>
      <c r="FR9087"/>
      <c r="FS9087"/>
      <c r="FT9087"/>
      <c r="FU9087"/>
      <c r="FV9087"/>
      <c r="FW9087"/>
      <c r="FX9087"/>
      <c r="FY9087"/>
      <c r="FZ9087"/>
      <c r="GA9087"/>
      <c r="GB9087"/>
      <c r="GC9087"/>
      <c r="GD9087"/>
      <c r="GE9087"/>
      <c r="GF9087"/>
      <c r="GG9087"/>
      <c r="GH9087"/>
      <c r="GI9087"/>
      <c r="GJ9087"/>
      <c r="GK9087"/>
      <c r="GL9087"/>
      <c r="GM9087"/>
      <c r="GN9087"/>
      <c r="GO9087"/>
    </row>
    <row r="9088" spans="107:197">
      <c r="DC9088"/>
      <c r="FH9088"/>
      <c r="FI9088"/>
      <c r="FJ9088"/>
      <c r="FK9088"/>
      <c r="FL9088"/>
      <c r="FM9088"/>
      <c r="FN9088"/>
      <c r="FO9088"/>
      <c r="FP9088"/>
      <c r="FQ9088"/>
      <c r="FR9088"/>
      <c r="FS9088"/>
      <c r="FT9088"/>
      <c r="FU9088"/>
      <c r="FV9088"/>
      <c r="FW9088"/>
      <c r="FX9088"/>
      <c r="FY9088"/>
      <c r="FZ9088"/>
      <c r="GA9088"/>
      <c r="GB9088"/>
      <c r="GC9088"/>
      <c r="GD9088"/>
      <c r="GE9088"/>
      <c r="GF9088"/>
      <c r="GG9088"/>
      <c r="GH9088"/>
      <c r="GI9088"/>
      <c r="GJ9088"/>
      <c r="GK9088"/>
      <c r="GL9088"/>
      <c r="GM9088"/>
      <c r="GN9088"/>
      <c r="GO9088"/>
    </row>
    <row r="9089" spans="107:197">
      <c r="DC9089"/>
      <c r="FH9089"/>
      <c r="FI9089"/>
      <c r="FJ9089"/>
      <c r="FK9089"/>
      <c r="FL9089"/>
      <c r="FM9089"/>
      <c r="FN9089"/>
      <c r="FO9089"/>
      <c r="FP9089"/>
      <c r="FQ9089"/>
      <c r="FR9089"/>
      <c r="FS9089"/>
      <c r="FT9089"/>
      <c r="FU9089"/>
      <c r="FV9089"/>
      <c r="FW9089"/>
      <c r="FX9089"/>
      <c r="FY9089"/>
      <c r="FZ9089"/>
      <c r="GA9089"/>
      <c r="GB9089"/>
      <c r="GC9089"/>
      <c r="GD9089"/>
      <c r="GE9089"/>
      <c r="GF9089"/>
      <c r="GG9089"/>
      <c r="GH9089"/>
      <c r="GI9089"/>
      <c r="GJ9089"/>
      <c r="GK9089"/>
      <c r="GL9089"/>
      <c r="GM9089"/>
      <c r="GN9089"/>
      <c r="GO9089"/>
    </row>
    <row r="9090" spans="107:197">
      <c r="DC9090"/>
      <c r="FH9090"/>
      <c r="FI9090"/>
      <c r="FJ9090"/>
      <c r="FK9090"/>
      <c r="FL9090"/>
      <c r="FM9090"/>
      <c r="FN9090"/>
      <c r="FO9090"/>
      <c r="FP9090"/>
      <c r="FQ9090"/>
      <c r="FR9090"/>
      <c r="FS9090"/>
      <c r="FT9090"/>
      <c r="FU9090"/>
      <c r="FV9090"/>
      <c r="FW9090"/>
      <c r="FX9090"/>
      <c r="FY9090"/>
      <c r="FZ9090"/>
      <c r="GA9090"/>
      <c r="GB9090"/>
      <c r="GC9090"/>
      <c r="GD9090"/>
      <c r="GE9090"/>
      <c r="GF9090"/>
      <c r="GG9090"/>
      <c r="GH9090"/>
      <c r="GI9090"/>
      <c r="GJ9090"/>
      <c r="GK9090"/>
      <c r="GL9090"/>
      <c r="GM9090"/>
      <c r="GN9090"/>
      <c r="GO9090"/>
    </row>
    <row r="9091" spans="107:197">
      <c r="DC9091"/>
      <c r="FH9091"/>
      <c r="FI9091"/>
      <c r="FJ9091"/>
      <c r="FK9091"/>
      <c r="FL9091"/>
      <c r="FM9091"/>
      <c r="FN9091"/>
      <c r="FO9091"/>
      <c r="FP9091"/>
      <c r="FQ9091"/>
      <c r="FR9091"/>
      <c r="FS9091"/>
      <c r="FT9091"/>
      <c r="FU9091"/>
      <c r="FV9091"/>
      <c r="FW9091"/>
      <c r="FX9091"/>
      <c r="FY9091"/>
      <c r="FZ9091"/>
      <c r="GA9091"/>
      <c r="GB9091"/>
      <c r="GC9091"/>
      <c r="GD9091"/>
      <c r="GE9091"/>
      <c r="GF9091"/>
      <c r="GG9091"/>
      <c r="GH9091"/>
      <c r="GI9091"/>
      <c r="GJ9091"/>
      <c r="GK9091"/>
      <c r="GL9091"/>
      <c r="GM9091"/>
      <c r="GN9091"/>
      <c r="GO9091"/>
    </row>
    <row r="9092" spans="107:197">
      <c r="DC9092"/>
      <c r="FH9092"/>
      <c r="FI9092"/>
      <c r="FJ9092"/>
      <c r="FK9092"/>
      <c r="FL9092"/>
      <c r="FM9092"/>
      <c r="FN9092"/>
      <c r="FO9092"/>
      <c r="FP9092"/>
      <c r="FQ9092"/>
      <c r="FR9092"/>
      <c r="FS9092"/>
      <c r="FT9092"/>
      <c r="FU9092"/>
      <c r="FV9092"/>
      <c r="FW9092"/>
      <c r="FX9092"/>
      <c r="FY9092"/>
      <c r="FZ9092"/>
      <c r="GA9092"/>
      <c r="GB9092"/>
      <c r="GC9092"/>
      <c r="GD9092"/>
      <c r="GE9092"/>
      <c r="GF9092"/>
      <c r="GG9092"/>
      <c r="GH9092"/>
      <c r="GI9092"/>
      <c r="GJ9092"/>
      <c r="GK9092"/>
      <c r="GL9092"/>
      <c r="GM9092"/>
      <c r="GN9092"/>
      <c r="GO9092"/>
    </row>
    <row r="9093" spans="107:197">
      <c r="DC9093"/>
      <c r="FH9093"/>
      <c r="FI9093"/>
      <c r="FJ9093"/>
      <c r="FK9093"/>
      <c r="FL9093"/>
      <c r="FM9093"/>
      <c r="FN9093"/>
      <c r="FO9093"/>
      <c r="FP9093"/>
      <c r="FQ9093"/>
      <c r="FR9093"/>
      <c r="FS9093"/>
      <c r="FT9093"/>
      <c r="FU9093"/>
      <c r="FV9093"/>
      <c r="FW9093"/>
      <c r="FX9093"/>
      <c r="FY9093"/>
      <c r="FZ9093"/>
      <c r="GA9093"/>
      <c r="GB9093"/>
      <c r="GC9093"/>
      <c r="GD9093"/>
      <c r="GE9093"/>
      <c r="GF9093"/>
      <c r="GG9093"/>
      <c r="GH9093"/>
      <c r="GI9093"/>
      <c r="GJ9093"/>
      <c r="GK9093"/>
      <c r="GL9093"/>
      <c r="GM9093"/>
      <c r="GN9093"/>
      <c r="GO9093"/>
    </row>
    <row r="9094" spans="107:197">
      <c r="DC9094"/>
      <c r="FH9094"/>
      <c r="FI9094"/>
      <c r="FJ9094"/>
      <c r="FK9094"/>
      <c r="FL9094"/>
      <c r="FM9094"/>
      <c r="FN9094"/>
      <c r="FO9094"/>
      <c r="FP9094"/>
      <c r="FQ9094"/>
      <c r="FR9094"/>
      <c r="FS9094"/>
      <c r="FT9094"/>
      <c r="FU9094"/>
      <c r="FV9094"/>
      <c r="FW9094"/>
      <c r="FX9094"/>
      <c r="FY9094"/>
      <c r="FZ9094"/>
      <c r="GA9094"/>
      <c r="GB9094"/>
      <c r="GC9094"/>
      <c r="GD9094"/>
      <c r="GE9094"/>
      <c r="GF9094"/>
      <c r="GG9094"/>
      <c r="GH9094"/>
      <c r="GI9094"/>
      <c r="GJ9094"/>
      <c r="GK9094"/>
      <c r="GL9094"/>
      <c r="GM9094"/>
      <c r="GN9094"/>
      <c r="GO9094"/>
    </row>
    <row r="9095" spans="107:197">
      <c r="DC9095"/>
      <c r="FH9095"/>
      <c r="FI9095"/>
      <c r="FJ9095"/>
      <c r="FK9095"/>
      <c r="FL9095"/>
      <c r="FM9095"/>
      <c r="FN9095"/>
      <c r="FO9095"/>
      <c r="FP9095"/>
      <c r="FQ9095"/>
      <c r="FR9095"/>
      <c r="FS9095"/>
      <c r="FT9095"/>
      <c r="FU9095"/>
      <c r="FV9095"/>
      <c r="FW9095"/>
      <c r="FX9095"/>
      <c r="FY9095"/>
      <c r="FZ9095"/>
      <c r="GA9095"/>
      <c r="GB9095"/>
      <c r="GC9095"/>
      <c r="GD9095"/>
      <c r="GE9095"/>
      <c r="GF9095"/>
      <c r="GG9095"/>
      <c r="GH9095"/>
      <c r="GI9095"/>
      <c r="GJ9095"/>
      <c r="GK9095"/>
      <c r="GL9095"/>
      <c r="GM9095"/>
      <c r="GN9095"/>
      <c r="GO9095"/>
    </row>
    <row r="9096" spans="107:197">
      <c r="DC9096"/>
      <c r="FH9096"/>
      <c r="FI9096"/>
      <c r="FJ9096"/>
      <c r="FK9096"/>
      <c r="FL9096"/>
      <c r="FM9096"/>
      <c r="FN9096"/>
      <c r="FO9096"/>
      <c r="FP9096"/>
      <c r="FQ9096"/>
      <c r="FR9096"/>
      <c r="FS9096"/>
      <c r="FT9096"/>
      <c r="FU9096"/>
      <c r="FV9096"/>
      <c r="FW9096"/>
      <c r="FX9096"/>
      <c r="FY9096"/>
      <c r="FZ9096"/>
      <c r="GA9096"/>
      <c r="GB9096"/>
      <c r="GC9096"/>
      <c r="GD9096"/>
      <c r="GE9096"/>
      <c r="GF9096"/>
      <c r="GG9096"/>
      <c r="GH9096"/>
      <c r="GI9096"/>
      <c r="GJ9096"/>
      <c r="GK9096"/>
      <c r="GL9096"/>
      <c r="GM9096"/>
      <c r="GN9096"/>
      <c r="GO9096"/>
    </row>
    <row r="9097" spans="107:197">
      <c r="DC9097"/>
      <c r="FH9097"/>
      <c r="FI9097"/>
      <c r="FJ9097"/>
      <c r="FK9097"/>
      <c r="FL9097"/>
      <c r="FM9097"/>
      <c r="FN9097"/>
      <c r="FO9097"/>
      <c r="FP9097"/>
      <c r="FQ9097"/>
      <c r="FR9097"/>
      <c r="FS9097"/>
      <c r="FT9097"/>
      <c r="FU9097"/>
      <c r="FV9097"/>
      <c r="FW9097"/>
      <c r="FX9097"/>
      <c r="FY9097"/>
      <c r="FZ9097"/>
      <c r="GA9097"/>
      <c r="GB9097"/>
      <c r="GC9097"/>
      <c r="GD9097"/>
      <c r="GE9097"/>
      <c r="GF9097"/>
      <c r="GG9097"/>
      <c r="GH9097"/>
      <c r="GI9097"/>
      <c r="GJ9097"/>
      <c r="GK9097"/>
      <c r="GL9097"/>
      <c r="GM9097"/>
      <c r="GN9097"/>
      <c r="GO9097"/>
    </row>
    <row r="9098" spans="107:197">
      <c r="DC9098"/>
      <c r="FH9098"/>
      <c r="FI9098"/>
      <c r="FJ9098"/>
      <c r="FK9098"/>
      <c r="FL9098"/>
      <c r="FM9098"/>
      <c r="FN9098"/>
      <c r="FO9098"/>
      <c r="FP9098"/>
      <c r="FQ9098"/>
      <c r="FR9098"/>
      <c r="FS9098"/>
      <c r="FT9098"/>
      <c r="FU9098"/>
      <c r="FV9098"/>
      <c r="FW9098"/>
      <c r="FX9098"/>
      <c r="FY9098"/>
      <c r="FZ9098"/>
      <c r="GA9098"/>
      <c r="GB9098"/>
      <c r="GC9098"/>
      <c r="GD9098"/>
      <c r="GE9098"/>
      <c r="GF9098"/>
      <c r="GG9098"/>
      <c r="GH9098"/>
      <c r="GI9098"/>
      <c r="GJ9098"/>
      <c r="GK9098"/>
      <c r="GL9098"/>
      <c r="GM9098"/>
      <c r="GN9098"/>
      <c r="GO9098"/>
    </row>
    <row r="9099" spans="107:197">
      <c r="DC9099"/>
      <c r="FH9099"/>
      <c r="FI9099"/>
      <c r="FJ9099"/>
      <c r="FK9099"/>
      <c r="FL9099"/>
      <c r="FM9099"/>
      <c r="FN9099"/>
      <c r="FO9099"/>
      <c r="FP9099"/>
      <c r="FQ9099"/>
      <c r="FR9099"/>
      <c r="FS9099"/>
      <c r="FT9099"/>
      <c r="FU9099"/>
      <c r="FV9099"/>
      <c r="FW9099"/>
      <c r="FX9099"/>
      <c r="FY9099"/>
      <c r="FZ9099"/>
      <c r="GA9099"/>
      <c r="GB9099"/>
      <c r="GC9099"/>
      <c r="GD9099"/>
      <c r="GE9099"/>
      <c r="GF9099"/>
      <c r="GG9099"/>
      <c r="GH9099"/>
      <c r="GI9099"/>
      <c r="GJ9099"/>
      <c r="GK9099"/>
      <c r="GL9099"/>
      <c r="GM9099"/>
      <c r="GN9099"/>
      <c r="GO9099"/>
    </row>
    <row r="9100" spans="107:197">
      <c r="DC9100"/>
      <c r="FH9100"/>
      <c r="FI9100"/>
      <c r="FJ9100"/>
      <c r="FK9100"/>
      <c r="FL9100"/>
      <c r="FM9100"/>
      <c r="FN9100"/>
      <c r="FO9100"/>
      <c r="FP9100"/>
      <c r="FQ9100"/>
      <c r="FR9100"/>
      <c r="FS9100"/>
      <c r="FT9100"/>
      <c r="FU9100"/>
      <c r="FV9100"/>
      <c r="FW9100"/>
      <c r="FX9100"/>
      <c r="FY9100"/>
      <c r="FZ9100"/>
      <c r="GA9100"/>
      <c r="GB9100"/>
      <c r="GC9100"/>
      <c r="GD9100"/>
      <c r="GE9100"/>
      <c r="GF9100"/>
      <c r="GG9100"/>
      <c r="GH9100"/>
      <c r="GI9100"/>
      <c r="GJ9100"/>
      <c r="GK9100"/>
      <c r="GL9100"/>
      <c r="GM9100"/>
      <c r="GN9100"/>
      <c r="GO9100"/>
    </row>
    <row r="9101" spans="107:197">
      <c r="DC9101"/>
      <c r="FH9101"/>
      <c r="FI9101"/>
      <c r="FJ9101"/>
      <c r="FK9101"/>
      <c r="FL9101"/>
      <c r="FM9101"/>
      <c r="FN9101"/>
      <c r="FO9101"/>
      <c r="FP9101"/>
      <c r="FQ9101"/>
      <c r="FR9101"/>
      <c r="FS9101"/>
      <c r="FT9101"/>
      <c r="FU9101"/>
      <c r="FV9101"/>
      <c r="FW9101"/>
      <c r="FX9101"/>
      <c r="FY9101"/>
      <c r="FZ9101"/>
      <c r="GA9101"/>
      <c r="GB9101"/>
      <c r="GC9101"/>
      <c r="GD9101"/>
      <c r="GE9101"/>
      <c r="GF9101"/>
      <c r="GG9101"/>
      <c r="GH9101"/>
      <c r="GI9101"/>
      <c r="GJ9101"/>
      <c r="GK9101"/>
      <c r="GL9101"/>
      <c r="GM9101"/>
      <c r="GN9101"/>
      <c r="GO9101"/>
    </row>
    <row r="9102" spans="107:197">
      <c r="DC9102"/>
      <c r="FH9102"/>
      <c r="FI9102"/>
      <c r="FJ9102"/>
      <c r="FK9102"/>
      <c r="FL9102"/>
      <c r="FM9102"/>
      <c r="FN9102"/>
      <c r="FO9102"/>
      <c r="FP9102"/>
      <c r="FQ9102"/>
      <c r="FR9102"/>
      <c r="FS9102"/>
      <c r="FT9102"/>
      <c r="FU9102"/>
      <c r="FV9102"/>
      <c r="FW9102"/>
      <c r="FX9102"/>
      <c r="FY9102"/>
      <c r="FZ9102"/>
      <c r="GA9102"/>
      <c r="GB9102"/>
      <c r="GC9102"/>
      <c r="GD9102"/>
      <c r="GE9102"/>
      <c r="GF9102"/>
      <c r="GG9102"/>
      <c r="GH9102"/>
      <c r="GI9102"/>
      <c r="GJ9102"/>
      <c r="GK9102"/>
      <c r="GL9102"/>
      <c r="GM9102"/>
      <c r="GN9102"/>
      <c r="GO9102"/>
    </row>
    <row r="9103" spans="107:197">
      <c r="DC9103"/>
      <c r="FH9103"/>
      <c r="FI9103"/>
      <c r="FJ9103"/>
      <c r="FK9103"/>
      <c r="FL9103"/>
      <c r="FM9103"/>
      <c r="FN9103"/>
      <c r="FO9103"/>
      <c r="FP9103"/>
      <c r="FQ9103"/>
      <c r="FR9103"/>
      <c r="FS9103"/>
      <c r="FT9103"/>
      <c r="FU9103"/>
      <c r="FV9103"/>
      <c r="FW9103"/>
      <c r="FX9103"/>
      <c r="FY9103"/>
      <c r="FZ9103"/>
      <c r="GA9103"/>
      <c r="GB9103"/>
      <c r="GC9103"/>
      <c r="GD9103"/>
      <c r="GE9103"/>
      <c r="GF9103"/>
      <c r="GG9103"/>
      <c r="GH9103"/>
      <c r="GI9103"/>
      <c r="GJ9103"/>
      <c r="GK9103"/>
      <c r="GL9103"/>
      <c r="GM9103"/>
      <c r="GN9103"/>
      <c r="GO9103"/>
    </row>
    <row r="9104" spans="107:197">
      <c r="DC9104"/>
      <c r="FH9104"/>
      <c r="FI9104"/>
      <c r="FJ9104"/>
      <c r="FK9104"/>
      <c r="FL9104"/>
      <c r="FM9104"/>
      <c r="FN9104"/>
      <c r="FO9104"/>
      <c r="FP9104"/>
      <c r="FQ9104"/>
      <c r="FR9104"/>
      <c r="FS9104"/>
      <c r="FT9104"/>
      <c r="FU9104"/>
      <c r="FV9104"/>
      <c r="FW9104"/>
      <c r="FX9104"/>
      <c r="FY9104"/>
      <c r="FZ9104"/>
      <c r="GA9104"/>
      <c r="GB9104"/>
      <c r="GC9104"/>
      <c r="GD9104"/>
      <c r="GE9104"/>
      <c r="GF9104"/>
      <c r="GG9104"/>
      <c r="GH9104"/>
      <c r="GI9104"/>
      <c r="GJ9104"/>
      <c r="GK9104"/>
      <c r="GL9104"/>
      <c r="GM9104"/>
      <c r="GN9104"/>
      <c r="GO9104"/>
    </row>
    <row r="9105" spans="107:197">
      <c r="DC9105"/>
      <c r="FH9105"/>
      <c r="FI9105"/>
      <c r="FJ9105"/>
      <c r="FK9105"/>
      <c r="FL9105"/>
      <c r="FM9105"/>
      <c r="FN9105"/>
      <c r="FO9105"/>
      <c r="FP9105"/>
      <c r="FQ9105"/>
      <c r="FR9105"/>
      <c r="FS9105"/>
      <c r="FT9105"/>
      <c r="FU9105"/>
      <c r="FV9105"/>
      <c r="FW9105"/>
      <c r="FX9105"/>
      <c r="FY9105"/>
      <c r="FZ9105"/>
      <c r="GA9105"/>
      <c r="GB9105"/>
      <c r="GC9105"/>
      <c r="GD9105"/>
      <c r="GE9105"/>
      <c r="GF9105"/>
      <c r="GG9105"/>
      <c r="GH9105"/>
      <c r="GI9105"/>
      <c r="GJ9105"/>
      <c r="GK9105"/>
      <c r="GL9105"/>
      <c r="GM9105"/>
      <c r="GN9105"/>
      <c r="GO9105"/>
    </row>
    <row r="9106" spans="107:197">
      <c r="DC9106"/>
      <c r="FH9106"/>
      <c r="FI9106"/>
      <c r="FJ9106"/>
      <c r="FK9106"/>
      <c r="FL9106"/>
      <c r="FM9106"/>
      <c r="FN9106"/>
      <c r="FO9106"/>
      <c r="FP9106"/>
      <c r="FQ9106"/>
      <c r="FR9106"/>
      <c r="FS9106"/>
      <c r="FT9106"/>
      <c r="FU9106"/>
      <c r="FV9106"/>
      <c r="FW9106"/>
      <c r="FX9106"/>
      <c r="FY9106"/>
      <c r="FZ9106"/>
      <c r="GA9106"/>
      <c r="GB9106"/>
      <c r="GC9106"/>
      <c r="GD9106"/>
      <c r="GE9106"/>
      <c r="GF9106"/>
      <c r="GG9106"/>
      <c r="GH9106"/>
      <c r="GI9106"/>
      <c r="GJ9106"/>
      <c r="GK9106"/>
      <c r="GL9106"/>
      <c r="GM9106"/>
      <c r="GN9106"/>
      <c r="GO9106"/>
    </row>
    <row r="9107" spans="107:197">
      <c r="DC9107"/>
      <c r="FH9107"/>
      <c r="FI9107"/>
      <c r="FJ9107"/>
      <c r="FK9107"/>
      <c r="FL9107"/>
      <c r="FM9107"/>
      <c r="FN9107"/>
      <c r="FO9107"/>
      <c r="FP9107"/>
      <c r="FQ9107"/>
      <c r="FR9107"/>
      <c r="FS9107"/>
      <c r="FT9107"/>
      <c r="FU9107"/>
      <c r="FV9107"/>
      <c r="FW9107"/>
      <c r="FX9107"/>
      <c r="FY9107"/>
      <c r="FZ9107"/>
      <c r="GA9107"/>
      <c r="GB9107"/>
      <c r="GC9107"/>
      <c r="GD9107"/>
      <c r="GE9107"/>
      <c r="GF9107"/>
      <c r="GG9107"/>
      <c r="GH9107"/>
      <c r="GI9107"/>
      <c r="GJ9107"/>
      <c r="GK9107"/>
      <c r="GL9107"/>
      <c r="GM9107"/>
      <c r="GN9107"/>
      <c r="GO9107"/>
    </row>
    <row r="9108" spans="107:197">
      <c r="DC9108"/>
      <c r="FH9108"/>
      <c r="FI9108"/>
      <c r="FJ9108"/>
      <c r="FK9108"/>
      <c r="FL9108"/>
      <c r="FM9108"/>
      <c r="FN9108"/>
      <c r="FO9108"/>
      <c r="FP9108"/>
      <c r="FQ9108"/>
      <c r="FR9108"/>
      <c r="FS9108"/>
      <c r="FT9108"/>
      <c r="FU9108"/>
      <c r="FV9108"/>
      <c r="FW9108"/>
      <c r="FX9108"/>
      <c r="FY9108"/>
      <c r="FZ9108"/>
      <c r="GA9108"/>
      <c r="GB9108"/>
      <c r="GC9108"/>
      <c r="GD9108"/>
      <c r="GE9108"/>
      <c r="GF9108"/>
      <c r="GG9108"/>
      <c r="GH9108"/>
      <c r="GI9108"/>
      <c r="GJ9108"/>
      <c r="GK9108"/>
      <c r="GL9108"/>
      <c r="GM9108"/>
      <c r="GN9108"/>
      <c r="GO9108"/>
    </row>
    <row r="9109" spans="107:197">
      <c r="DC9109"/>
      <c r="FH9109"/>
      <c r="FI9109"/>
      <c r="FJ9109"/>
      <c r="FK9109"/>
      <c r="FL9109"/>
      <c r="FM9109"/>
      <c r="FN9109"/>
      <c r="FO9109"/>
      <c r="FP9109"/>
      <c r="FQ9109"/>
      <c r="FR9109"/>
      <c r="FS9109"/>
      <c r="FT9109"/>
      <c r="FU9109"/>
      <c r="FV9109"/>
      <c r="FW9109"/>
      <c r="FX9109"/>
      <c r="FY9109"/>
      <c r="FZ9109"/>
      <c r="GA9109"/>
      <c r="GB9109"/>
      <c r="GC9109"/>
      <c r="GD9109"/>
      <c r="GE9109"/>
      <c r="GF9109"/>
      <c r="GG9109"/>
      <c r="GH9109"/>
      <c r="GI9109"/>
      <c r="GJ9109"/>
      <c r="GK9109"/>
      <c r="GL9109"/>
      <c r="GM9109"/>
      <c r="GN9109"/>
      <c r="GO9109"/>
    </row>
    <row r="9110" spans="107:197">
      <c r="DC9110"/>
      <c r="FH9110"/>
      <c r="FI9110"/>
      <c r="FJ9110"/>
      <c r="FK9110"/>
      <c r="FL9110"/>
      <c r="FM9110"/>
      <c r="FN9110"/>
      <c r="FO9110"/>
      <c r="FP9110"/>
      <c r="FQ9110"/>
      <c r="FR9110"/>
      <c r="FS9110"/>
      <c r="FT9110"/>
      <c r="FU9110"/>
      <c r="FV9110"/>
      <c r="FW9110"/>
      <c r="FX9110"/>
      <c r="FY9110"/>
      <c r="FZ9110"/>
      <c r="GA9110"/>
      <c r="GB9110"/>
      <c r="GC9110"/>
      <c r="GD9110"/>
      <c r="GE9110"/>
      <c r="GF9110"/>
      <c r="GG9110"/>
      <c r="GH9110"/>
      <c r="GI9110"/>
      <c r="GJ9110"/>
      <c r="GK9110"/>
      <c r="GL9110"/>
      <c r="GM9110"/>
      <c r="GN9110"/>
      <c r="GO9110"/>
    </row>
    <row r="9111" spans="107:197">
      <c r="DC9111"/>
      <c r="FH9111"/>
      <c r="FI9111"/>
      <c r="FJ9111"/>
      <c r="FK9111"/>
      <c r="FL9111"/>
      <c r="FM9111"/>
      <c r="FN9111"/>
      <c r="FO9111"/>
      <c r="FP9111"/>
      <c r="FQ9111"/>
      <c r="FR9111"/>
      <c r="FS9111"/>
      <c r="FT9111"/>
      <c r="FU9111"/>
      <c r="FV9111"/>
      <c r="FW9111"/>
      <c r="FX9111"/>
      <c r="FY9111"/>
      <c r="FZ9111"/>
      <c r="GA9111"/>
      <c r="GB9111"/>
      <c r="GC9111"/>
      <c r="GD9111"/>
      <c r="GE9111"/>
      <c r="GF9111"/>
      <c r="GG9111"/>
      <c r="GH9111"/>
      <c r="GI9111"/>
      <c r="GJ9111"/>
      <c r="GK9111"/>
      <c r="GL9111"/>
      <c r="GM9111"/>
      <c r="GN9111"/>
      <c r="GO9111"/>
    </row>
    <row r="9112" spans="107:197">
      <c r="DC9112"/>
      <c r="FH9112"/>
      <c r="FI9112"/>
      <c r="FJ9112"/>
      <c r="FK9112"/>
      <c r="FL9112"/>
      <c r="FM9112"/>
      <c r="FN9112"/>
      <c r="FO9112"/>
      <c r="FP9112"/>
      <c r="FQ9112"/>
      <c r="FR9112"/>
      <c r="FS9112"/>
      <c r="FT9112"/>
      <c r="FU9112"/>
      <c r="FV9112"/>
      <c r="FW9112"/>
      <c r="FX9112"/>
      <c r="FY9112"/>
      <c r="FZ9112"/>
      <c r="GA9112"/>
      <c r="GB9112"/>
      <c r="GC9112"/>
      <c r="GD9112"/>
      <c r="GE9112"/>
      <c r="GF9112"/>
      <c r="GG9112"/>
      <c r="GH9112"/>
      <c r="GI9112"/>
      <c r="GJ9112"/>
      <c r="GK9112"/>
      <c r="GL9112"/>
      <c r="GM9112"/>
      <c r="GN9112"/>
      <c r="GO9112"/>
    </row>
    <row r="9113" spans="107:197">
      <c r="DC9113"/>
      <c r="FH9113"/>
      <c r="FI9113"/>
      <c r="FJ9113"/>
      <c r="FK9113"/>
      <c r="FL9113"/>
      <c r="FM9113"/>
      <c r="FN9113"/>
      <c r="FO9113"/>
      <c r="FP9113"/>
      <c r="FQ9113"/>
      <c r="FR9113"/>
      <c r="FS9113"/>
      <c r="FT9113"/>
      <c r="FU9113"/>
      <c r="FV9113"/>
      <c r="FW9113"/>
      <c r="FX9113"/>
      <c r="FY9113"/>
      <c r="FZ9113"/>
      <c r="GA9113"/>
      <c r="GB9113"/>
      <c r="GC9113"/>
      <c r="GD9113"/>
      <c r="GE9113"/>
      <c r="GF9113"/>
      <c r="GG9113"/>
      <c r="GH9113"/>
      <c r="GI9113"/>
      <c r="GJ9113"/>
      <c r="GK9113"/>
      <c r="GL9113"/>
      <c r="GM9113"/>
      <c r="GN9113"/>
      <c r="GO9113"/>
    </row>
    <row r="9114" spans="107:197">
      <c r="DC9114"/>
      <c r="FH9114"/>
      <c r="FI9114"/>
      <c r="FJ9114"/>
      <c r="FK9114"/>
      <c r="FL9114"/>
      <c r="FM9114"/>
      <c r="FN9114"/>
      <c r="FO9114"/>
      <c r="FP9114"/>
      <c r="FQ9114"/>
      <c r="FR9114"/>
      <c r="FS9114"/>
      <c r="FT9114"/>
      <c r="FU9114"/>
      <c r="FV9114"/>
      <c r="FW9114"/>
      <c r="FX9114"/>
      <c r="FY9114"/>
      <c r="FZ9114"/>
      <c r="GA9114"/>
      <c r="GB9114"/>
      <c r="GC9114"/>
      <c r="GD9114"/>
      <c r="GE9114"/>
      <c r="GF9114"/>
      <c r="GG9114"/>
      <c r="GH9114"/>
      <c r="GI9114"/>
      <c r="GJ9114"/>
      <c r="GK9114"/>
      <c r="GL9114"/>
      <c r="GM9114"/>
      <c r="GN9114"/>
      <c r="GO9114"/>
    </row>
    <row r="9115" spans="107:197">
      <c r="DC9115"/>
      <c r="FH9115"/>
      <c r="FI9115"/>
      <c r="FJ9115"/>
      <c r="FK9115"/>
      <c r="FL9115"/>
      <c r="FM9115"/>
      <c r="FN9115"/>
      <c r="FO9115"/>
      <c r="FP9115"/>
      <c r="FQ9115"/>
      <c r="FR9115"/>
      <c r="FS9115"/>
      <c r="FT9115"/>
      <c r="FU9115"/>
      <c r="FV9115"/>
      <c r="FW9115"/>
      <c r="FX9115"/>
      <c r="FY9115"/>
      <c r="FZ9115"/>
      <c r="GA9115"/>
      <c r="GB9115"/>
      <c r="GC9115"/>
      <c r="GD9115"/>
      <c r="GE9115"/>
      <c r="GF9115"/>
      <c r="GG9115"/>
      <c r="GH9115"/>
      <c r="GI9115"/>
      <c r="GJ9115"/>
      <c r="GK9115"/>
      <c r="GL9115"/>
      <c r="GM9115"/>
      <c r="GN9115"/>
      <c r="GO9115"/>
    </row>
    <row r="9116" spans="107:197">
      <c r="DC9116"/>
      <c r="FH9116"/>
      <c r="FI9116"/>
      <c r="FJ9116"/>
      <c r="FK9116"/>
      <c r="FL9116"/>
      <c r="FM9116"/>
      <c r="FN9116"/>
      <c r="FO9116"/>
      <c r="FP9116"/>
      <c r="FQ9116"/>
      <c r="FR9116"/>
      <c r="FS9116"/>
      <c r="FT9116"/>
      <c r="FU9116"/>
      <c r="FV9116"/>
      <c r="FW9116"/>
      <c r="FX9116"/>
      <c r="FY9116"/>
      <c r="FZ9116"/>
      <c r="GA9116"/>
      <c r="GB9116"/>
      <c r="GC9116"/>
      <c r="GD9116"/>
      <c r="GE9116"/>
      <c r="GF9116"/>
      <c r="GG9116"/>
      <c r="GH9116"/>
      <c r="GI9116"/>
      <c r="GJ9116"/>
      <c r="GK9116"/>
      <c r="GL9116"/>
      <c r="GM9116"/>
      <c r="GN9116"/>
      <c r="GO9116"/>
    </row>
    <row r="9117" spans="107:197">
      <c r="DC9117"/>
      <c r="FH9117"/>
      <c r="FI9117"/>
      <c r="FJ9117"/>
      <c r="FK9117"/>
      <c r="FL9117"/>
      <c r="FM9117"/>
      <c r="FN9117"/>
      <c r="FO9117"/>
      <c r="FP9117"/>
      <c r="FQ9117"/>
      <c r="FR9117"/>
      <c r="FS9117"/>
      <c r="FT9117"/>
      <c r="FU9117"/>
      <c r="FV9117"/>
      <c r="FW9117"/>
      <c r="FX9117"/>
      <c r="FY9117"/>
      <c r="FZ9117"/>
      <c r="GA9117"/>
      <c r="GB9117"/>
      <c r="GC9117"/>
      <c r="GD9117"/>
      <c r="GE9117"/>
      <c r="GF9117"/>
      <c r="GG9117"/>
      <c r="GH9117"/>
      <c r="GI9117"/>
      <c r="GJ9117"/>
      <c r="GK9117"/>
      <c r="GL9117"/>
      <c r="GM9117"/>
      <c r="GN9117"/>
      <c r="GO9117"/>
    </row>
    <row r="9118" spans="107:197">
      <c r="DC9118"/>
      <c r="FH9118"/>
      <c r="FI9118"/>
      <c r="FJ9118"/>
      <c r="FK9118"/>
      <c r="FL9118"/>
      <c r="FM9118"/>
      <c r="FN9118"/>
      <c r="FO9118"/>
      <c r="FP9118"/>
      <c r="FQ9118"/>
      <c r="FR9118"/>
      <c r="FS9118"/>
      <c r="FT9118"/>
      <c r="FU9118"/>
      <c r="FV9118"/>
      <c r="FW9118"/>
      <c r="FX9118"/>
      <c r="FY9118"/>
      <c r="FZ9118"/>
      <c r="GA9118"/>
      <c r="GB9118"/>
      <c r="GC9118"/>
      <c r="GD9118"/>
      <c r="GE9118"/>
      <c r="GF9118"/>
      <c r="GG9118"/>
      <c r="GH9118"/>
      <c r="GI9118"/>
      <c r="GJ9118"/>
      <c r="GK9118"/>
      <c r="GL9118"/>
      <c r="GM9118"/>
      <c r="GN9118"/>
      <c r="GO9118"/>
    </row>
    <row r="9119" spans="107:197">
      <c r="DC9119"/>
      <c r="FH9119"/>
      <c r="FI9119"/>
      <c r="FJ9119"/>
      <c r="FK9119"/>
      <c r="FL9119"/>
      <c r="FM9119"/>
      <c r="FN9119"/>
      <c r="FO9119"/>
      <c r="FP9119"/>
      <c r="FQ9119"/>
      <c r="FR9119"/>
      <c r="FS9119"/>
      <c r="FT9119"/>
      <c r="FU9119"/>
      <c r="FV9119"/>
      <c r="FW9119"/>
      <c r="FX9119"/>
      <c r="FY9119"/>
      <c r="FZ9119"/>
      <c r="GA9119"/>
      <c r="GB9119"/>
      <c r="GC9119"/>
      <c r="GD9119"/>
      <c r="GE9119"/>
      <c r="GF9119"/>
      <c r="GG9119"/>
      <c r="GH9119"/>
      <c r="GI9119"/>
      <c r="GJ9119"/>
      <c r="GK9119"/>
      <c r="GL9119"/>
      <c r="GM9119"/>
      <c r="GN9119"/>
      <c r="GO9119"/>
    </row>
    <row r="9120" spans="107:197">
      <c r="DC9120"/>
      <c r="FH9120"/>
      <c r="FI9120"/>
      <c r="FJ9120"/>
      <c r="FK9120"/>
      <c r="FL9120"/>
      <c r="FM9120"/>
      <c r="FN9120"/>
      <c r="FO9120"/>
      <c r="FP9120"/>
      <c r="FQ9120"/>
      <c r="FR9120"/>
      <c r="FS9120"/>
      <c r="FT9120"/>
      <c r="FU9120"/>
      <c r="FV9120"/>
      <c r="FW9120"/>
      <c r="FX9120"/>
      <c r="FY9120"/>
      <c r="FZ9120"/>
      <c r="GA9120"/>
      <c r="GB9120"/>
      <c r="GC9120"/>
      <c r="GD9120"/>
      <c r="GE9120"/>
      <c r="GF9120"/>
      <c r="GG9120"/>
      <c r="GH9120"/>
      <c r="GI9120"/>
      <c r="GJ9120"/>
      <c r="GK9120"/>
      <c r="GL9120"/>
      <c r="GM9120"/>
      <c r="GN9120"/>
      <c r="GO9120"/>
    </row>
    <row r="9121" spans="107:197">
      <c r="DC9121"/>
      <c r="FH9121"/>
      <c r="FI9121"/>
      <c r="FJ9121"/>
      <c r="FK9121"/>
      <c r="FL9121"/>
      <c r="FM9121"/>
      <c r="FN9121"/>
      <c r="FO9121"/>
      <c r="FP9121"/>
      <c r="FQ9121"/>
      <c r="FR9121"/>
      <c r="FS9121"/>
      <c r="FT9121"/>
      <c r="FU9121"/>
      <c r="FV9121"/>
      <c r="FW9121"/>
      <c r="FX9121"/>
      <c r="FY9121"/>
      <c r="FZ9121"/>
      <c r="GA9121"/>
      <c r="GB9121"/>
      <c r="GC9121"/>
      <c r="GD9121"/>
      <c r="GE9121"/>
      <c r="GF9121"/>
      <c r="GG9121"/>
      <c r="GH9121"/>
      <c r="GI9121"/>
      <c r="GJ9121"/>
      <c r="GK9121"/>
      <c r="GL9121"/>
      <c r="GM9121"/>
      <c r="GN9121"/>
      <c r="GO9121"/>
    </row>
    <row r="9122" spans="107:197">
      <c r="DC9122"/>
      <c r="FH9122"/>
      <c r="FI9122"/>
      <c r="FJ9122"/>
      <c r="FK9122"/>
      <c r="FL9122"/>
      <c r="FM9122"/>
      <c r="FN9122"/>
      <c r="FO9122"/>
      <c r="FP9122"/>
      <c r="FQ9122"/>
      <c r="FR9122"/>
      <c r="FS9122"/>
      <c r="FT9122"/>
      <c r="FU9122"/>
      <c r="FV9122"/>
      <c r="FW9122"/>
      <c r="FX9122"/>
      <c r="FY9122"/>
      <c r="FZ9122"/>
      <c r="GA9122"/>
      <c r="GB9122"/>
      <c r="GC9122"/>
      <c r="GD9122"/>
      <c r="GE9122"/>
      <c r="GF9122"/>
      <c r="GG9122"/>
      <c r="GH9122"/>
      <c r="GI9122"/>
      <c r="GJ9122"/>
      <c r="GK9122"/>
      <c r="GL9122"/>
      <c r="GM9122"/>
      <c r="GN9122"/>
      <c r="GO9122"/>
    </row>
    <row r="9123" spans="107:197">
      <c r="DC9123"/>
      <c r="FH9123"/>
      <c r="FI9123"/>
      <c r="FJ9123"/>
      <c r="FK9123"/>
      <c r="FL9123"/>
      <c r="FM9123"/>
      <c r="FN9123"/>
      <c r="FO9123"/>
      <c r="FP9123"/>
      <c r="FQ9123"/>
      <c r="FR9123"/>
      <c r="FS9123"/>
      <c r="FT9123"/>
      <c r="FU9123"/>
      <c r="FV9123"/>
      <c r="FW9123"/>
      <c r="FX9123"/>
      <c r="FY9123"/>
      <c r="FZ9123"/>
      <c r="GA9123"/>
      <c r="GB9123"/>
      <c r="GC9123"/>
      <c r="GD9123"/>
      <c r="GE9123"/>
      <c r="GF9123"/>
      <c r="GG9123"/>
      <c r="GH9123"/>
      <c r="GI9123"/>
      <c r="GJ9123"/>
      <c r="GK9123"/>
      <c r="GL9123"/>
      <c r="GM9123"/>
      <c r="GN9123"/>
      <c r="GO9123"/>
    </row>
    <row r="9124" spans="107:197">
      <c r="DC9124"/>
      <c r="FH9124"/>
      <c r="FI9124"/>
      <c r="FJ9124"/>
      <c r="FK9124"/>
      <c r="FL9124"/>
      <c r="FM9124"/>
      <c r="FN9124"/>
      <c r="FO9124"/>
      <c r="FP9124"/>
      <c r="FQ9124"/>
      <c r="FR9124"/>
      <c r="FS9124"/>
      <c r="FT9124"/>
      <c r="FU9124"/>
      <c r="FV9124"/>
      <c r="FW9124"/>
      <c r="FX9124"/>
      <c r="FY9124"/>
      <c r="FZ9124"/>
      <c r="GA9124"/>
      <c r="GB9124"/>
      <c r="GC9124"/>
      <c r="GD9124"/>
      <c r="GE9124"/>
      <c r="GF9124"/>
      <c r="GG9124"/>
      <c r="GH9124"/>
      <c r="GI9124"/>
      <c r="GJ9124"/>
      <c r="GK9124"/>
      <c r="GL9124"/>
      <c r="GM9124"/>
      <c r="GN9124"/>
      <c r="GO9124"/>
    </row>
    <row r="9125" spans="107:197">
      <c r="DC9125"/>
      <c r="FH9125"/>
      <c r="FI9125"/>
      <c r="FJ9125"/>
      <c r="FK9125"/>
      <c r="FL9125"/>
      <c r="FM9125"/>
      <c r="FN9125"/>
      <c r="FO9125"/>
      <c r="FP9125"/>
      <c r="FQ9125"/>
      <c r="FR9125"/>
      <c r="FS9125"/>
      <c r="FT9125"/>
      <c r="FU9125"/>
      <c r="FV9125"/>
      <c r="FW9125"/>
      <c r="FX9125"/>
      <c r="FY9125"/>
      <c r="FZ9125"/>
      <c r="GA9125"/>
      <c r="GB9125"/>
      <c r="GC9125"/>
      <c r="GD9125"/>
      <c r="GE9125"/>
      <c r="GF9125"/>
      <c r="GG9125"/>
      <c r="GH9125"/>
      <c r="GI9125"/>
      <c r="GJ9125"/>
      <c r="GK9125"/>
      <c r="GL9125"/>
      <c r="GM9125"/>
      <c r="GN9125"/>
      <c r="GO9125"/>
    </row>
    <row r="9126" spans="107:197">
      <c r="DC9126"/>
      <c r="FH9126"/>
      <c r="FI9126"/>
      <c r="FJ9126"/>
      <c r="FK9126"/>
      <c r="FL9126"/>
      <c r="FM9126"/>
      <c r="FN9126"/>
      <c r="FO9126"/>
      <c r="FP9126"/>
      <c r="FQ9126"/>
      <c r="FR9126"/>
      <c r="FS9126"/>
      <c r="FT9126"/>
      <c r="FU9126"/>
      <c r="FV9126"/>
      <c r="FW9126"/>
      <c r="FX9126"/>
      <c r="FY9126"/>
      <c r="FZ9126"/>
      <c r="GA9126"/>
      <c r="GB9126"/>
      <c r="GC9126"/>
      <c r="GD9126"/>
      <c r="GE9126"/>
      <c r="GF9126"/>
      <c r="GG9126"/>
      <c r="GH9126"/>
      <c r="GI9126"/>
      <c r="GJ9126"/>
      <c r="GK9126"/>
      <c r="GL9126"/>
      <c r="GM9126"/>
      <c r="GN9126"/>
      <c r="GO9126"/>
    </row>
    <row r="9127" spans="107:197">
      <c r="DC9127"/>
      <c r="FH9127"/>
      <c r="FI9127"/>
      <c r="FJ9127"/>
      <c r="FK9127"/>
      <c r="FL9127"/>
      <c r="FM9127"/>
      <c r="FN9127"/>
      <c r="FO9127"/>
      <c r="FP9127"/>
      <c r="FQ9127"/>
      <c r="FR9127"/>
      <c r="FS9127"/>
      <c r="FT9127"/>
      <c r="FU9127"/>
      <c r="FV9127"/>
      <c r="FW9127"/>
      <c r="FX9127"/>
      <c r="FY9127"/>
      <c r="FZ9127"/>
      <c r="GA9127"/>
      <c r="GB9127"/>
      <c r="GC9127"/>
      <c r="GD9127"/>
      <c r="GE9127"/>
      <c r="GF9127"/>
      <c r="GG9127"/>
      <c r="GH9127"/>
      <c r="GI9127"/>
      <c r="GJ9127"/>
      <c r="GK9127"/>
      <c r="GL9127"/>
      <c r="GM9127"/>
      <c r="GN9127"/>
      <c r="GO9127"/>
    </row>
    <row r="9128" spans="107:197">
      <c r="DC9128"/>
      <c r="FH9128"/>
      <c r="FI9128"/>
      <c r="FJ9128"/>
      <c r="FK9128"/>
      <c r="FL9128"/>
      <c r="FM9128"/>
      <c r="FN9128"/>
      <c r="FO9128"/>
      <c r="FP9128"/>
      <c r="FQ9128"/>
      <c r="FR9128"/>
      <c r="FS9128"/>
      <c r="FT9128"/>
      <c r="FU9128"/>
      <c r="FV9128"/>
      <c r="FW9128"/>
      <c r="FX9128"/>
      <c r="FY9128"/>
      <c r="FZ9128"/>
      <c r="GA9128"/>
      <c r="GB9128"/>
      <c r="GC9128"/>
      <c r="GD9128"/>
      <c r="GE9128"/>
      <c r="GF9128"/>
      <c r="GG9128"/>
      <c r="GH9128"/>
      <c r="GI9128"/>
      <c r="GJ9128"/>
      <c r="GK9128"/>
      <c r="GL9128"/>
      <c r="GM9128"/>
      <c r="GN9128"/>
      <c r="GO9128"/>
    </row>
    <row r="9129" spans="107:197">
      <c r="DC9129"/>
      <c r="FH9129"/>
      <c r="FI9129"/>
      <c r="FJ9129"/>
      <c r="FK9129"/>
      <c r="FL9129"/>
      <c r="FM9129"/>
      <c r="FN9129"/>
      <c r="FO9129"/>
      <c r="FP9129"/>
      <c r="FQ9129"/>
      <c r="FR9129"/>
      <c r="FS9129"/>
      <c r="FT9129"/>
      <c r="FU9129"/>
      <c r="FV9129"/>
      <c r="FW9129"/>
      <c r="FX9129"/>
      <c r="FY9129"/>
      <c r="FZ9129"/>
      <c r="GA9129"/>
      <c r="GB9129"/>
      <c r="GC9129"/>
      <c r="GD9129"/>
      <c r="GE9129"/>
      <c r="GF9129"/>
      <c r="GG9129"/>
      <c r="GH9129"/>
      <c r="GI9129"/>
      <c r="GJ9129"/>
      <c r="GK9129"/>
      <c r="GL9129"/>
      <c r="GM9129"/>
      <c r="GN9129"/>
      <c r="GO9129"/>
    </row>
    <row r="9130" spans="107:197">
      <c r="DC9130"/>
      <c r="FH9130"/>
      <c r="FI9130"/>
      <c r="FJ9130"/>
      <c r="FK9130"/>
      <c r="FL9130"/>
      <c r="FM9130"/>
      <c r="FN9130"/>
      <c r="FO9130"/>
      <c r="FP9130"/>
      <c r="FQ9130"/>
      <c r="FR9130"/>
      <c r="FS9130"/>
      <c r="FT9130"/>
      <c r="FU9130"/>
      <c r="FV9130"/>
      <c r="FW9130"/>
      <c r="FX9130"/>
      <c r="FY9130"/>
      <c r="FZ9130"/>
      <c r="GA9130"/>
      <c r="GB9130"/>
      <c r="GC9130"/>
      <c r="GD9130"/>
      <c r="GE9130"/>
      <c r="GF9130"/>
      <c r="GG9130"/>
      <c r="GH9130"/>
      <c r="GI9130"/>
      <c r="GJ9130"/>
      <c r="GK9130"/>
      <c r="GL9130"/>
      <c r="GM9130"/>
      <c r="GN9130"/>
      <c r="GO9130"/>
    </row>
    <row r="9131" spans="107:197">
      <c r="DC9131"/>
      <c r="FH9131"/>
      <c r="FI9131"/>
      <c r="FJ9131"/>
      <c r="FK9131"/>
      <c r="FL9131"/>
      <c r="FM9131"/>
      <c r="FN9131"/>
      <c r="FO9131"/>
      <c r="FP9131"/>
      <c r="FQ9131"/>
      <c r="FR9131"/>
      <c r="FS9131"/>
      <c r="FT9131"/>
      <c r="FU9131"/>
      <c r="FV9131"/>
      <c r="FW9131"/>
      <c r="FX9131"/>
      <c r="FY9131"/>
      <c r="FZ9131"/>
      <c r="GA9131"/>
      <c r="GB9131"/>
      <c r="GC9131"/>
      <c r="GD9131"/>
      <c r="GE9131"/>
      <c r="GF9131"/>
      <c r="GG9131"/>
      <c r="GH9131"/>
      <c r="GI9131"/>
      <c r="GJ9131"/>
      <c r="GK9131"/>
      <c r="GL9131"/>
      <c r="GM9131"/>
      <c r="GN9131"/>
      <c r="GO9131"/>
    </row>
    <row r="9132" spans="107:197">
      <c r="DC9132"/>
      <c r="FH9132"/>
      <c r="FI9132"/>
      <c r="FJ9132"/>
      <c r="FK9132"/>
      <c r="FL9132"/>
      <c r="FM9132"/>
      <c r="FN9132"/>
      <c r="FO9132"/>
      <c r="FP9132"/>
      <c r="FQ9132"/>
      <c r="FR9132"/>
      <c r="FS9132"/>
      <c r="FT9132"/>
      <c r="FU9132"/>
      <c r="FV9132"/>
      <c r="FW9132"/>
      <c r="FX9132"/>
      <c r="FY9132"/>
      <c r="FZ9132"/>
      <c r="GA9132"/>
      <c r="GB9132"/>
      <c r="GC9132"/>
      <c r="GD9132"/>
      <c r="GE9132"/>
      <c r="GF9132"/>
      <c r="GG9132"/>
      <c r="GH9132"/>
      <c r="GI9132"/>
      <c r="GJ9132"/>
      <c r="GK9132"/>
      <c r="GL9132"/>
      <c r="GM9132"/>
      <c r="GN9132"/>
      <c r="GO9132"/>
    </row>
    <row r="9133" spans="107:197">
      <c r="DC9133"/>
      <c r="FH9133"/>
      <c r="FI9133"/>
      <c r="FJ9133"/>
      <c r="FK9133"/>
      <c r="FL9133"/>
      <c r="FM9133"/>
      <c r="FN9133"/>
      <c r="FO9133"/>
      <c r="FP9133"/>
      <c r="FQ9133"/>
      <c r="FR9133"/>
      <c r="FS9133"/>
      <c r="FT9133"/>
      <c r="FU9133"/>
      <c r="FV9133"/>
      <c r="FW9133"/>
      <c r="FX9133"/>
      <c r="FY9133"/>
      <c r="FZ9133"/>
      <c r="GA9133"/>
      <c r="GB9133"/>
      <c r="GC9133"/>
      <c r="GD9133"/>
      <c r="GE9133"/>
      <c r="GF9133"/>
      <c r="GG9133"/>
      <c r="GH9133"/>
      <c r="GI9133"/>
      <c r="GJ9133"/>
      <c r="GK9133"/>
      <c r="GL9133"/>
      <c r="GM9133"/>
      <c r="GN9133"/>
      <c r="GO9133"/>
    </row>
    <row r="9134" spans="107:197">
      <c r="DC9134"/>
      <c r="FH9134"/>
      <c r="FI9134"/>
      <c r="FJ9134"/>
      <c r="FK9134"/>
      <c r="FL9134"/>
      <c r="FM9134"/>
      <c r="FN9134"/>
      <c r="FO9134"/>
      <c r="FP9134"/>
      <c r="FQ9134"/>
      <c r="FR9134"/>
      <c r="FS9134"/>
      <c r="FT9134"/>
      <c r="FU9134"/>
      <c r="FV9134"/>
      <c r="FW9134"/>
      <c r="FX9134"/>
      <c r="FY9134"/>
      <c r="FZ9134"/>
      <c r="GA9134"/>
      <c r="GB9134"/>
      <c r="GC9134"/>
      <c r="GD9134"/>
      <c r="GE9134"/>
      <c r="GF9134"/>
      <c r="GG9134"/>
      <c r="GH9134"/>
      <c r="GI9134"/>
      <c r="GJ9134"/>
      <c r="GK9134"/>
      <c r="GL9134"/>
      <c r="GM9134"/>
      <c r="GN9134"/>
      <c r="GO9134"/>
    </row>
    <row r="9135" spans="107:197">
      <c r="DC9135"/>
      <c r="FH9135"/>
      <c r="FI9135"/>
      <c r="FJ9135"/>
      <c r="FK9135"/>
      <c r="FL9135"/>
      <c r="FM9135"/>
      <c r="FN9135"/>
      <c r="FO9135"/>
      <c r="FP9135"/>
      <c r="FQ9135"/>
      <c r="FR9135"/>
      <c r="FS9135"/>
      <c r="FT9135"/>
      <c r="FU9135"/>
      <c r="FV9135"/>
      <c r="FW9135"/>
      <c r="FX9135"/>
      <c r="FY9135"/>
      <c r="FZ9135"/>
      <c r="GA9135"/>
      <c r="GB9135"/>
      <c r="GC9135"/>
      <c r="GD9135"/>
      <c r="GE9135"/>
      <c r="GF9135"/>
      <c r="GG9135"/>
      <c r="GH9135"/>
      <c r="GI9135"/>
      <c r="GJ9135"/>
      <c r="GK9135"/>
      <c r="GL9135"/>
      <c r="GM9135"/>
      <c r="GN9135"/>
      <c r="GO9135"/>
    </row>
    <row r="9136" spans="107:197">
      <c r="DC9136"/>
      <c r="FH9136"/>
      <c r="FI9136"/>
      <c r="FJ9136"/>
      <c r="FK9136"/>
      <c r="FL9136"/>
      <c r="FM9136"/>
      <c r="FN9136"/>
      <c r="FO9136"/>
      <c r="FP9136"/>
      <c r="FQ9136"/>
      <c r="FR9136"/>
      <c r="FS9136"/>
      <c r="FT9136"/>
      <c r="FU9136"/>
      <c r="FV9136"/>
      <c r="FW9136"/>
      <c r="FX9136"/>
      <c r="FY9136"/>
      <c r="FZ9136"/>
      <c r="GA9136"/>
      <c r="GB9136"/>
      <c r="GC9136"/>
      <c r="GD9136"/>
      <c r="GE9136"/>
      <c r="GF9136"/>
      <c r="GG9136"/>
      <c r="GH9136"/>
      <c r="GI9136"/>
      <c r="GJ9136"/>
      <c r="GK9136"/>
      <c r="GL9136"/>
      <c r="GM9136"/>
      <c r="GN9136"/>
      <c r="GO9136"/>
    </row>
    <row r="9137" spans="107:197">
      <c r="DC9137"/>
      <c r="FH9137"/>
      <c r="FI9137"/>
      <c r="FJ9137"/>
      <c r="FK9137"/>
      <c r="FL9137"/>
      <c r="FM9137"/>
      <c r="FN9137"/>
      <c r="FO9137"/>
      <c r="FP9137"/>
      <c r="FQ9137"/>
      <c r="FR9137"/>
      <c r="FS9137"/>
      <c r="FT9137"/>
      <c r="FU9137"/>
      <c r="FV9137"/>
      <c r="FW9137"/>
      <c r="FX9137"/>
      <c r="FY9137"/>
      <c r="FZ9137"/>
      <c r="GA9137"/>
      <c r="GB9137"/>
      <c r="GC9137"/>
      <c r="GD9137"/>
      <c r="GE9137"/>
      <c r="GF9137"/>
      <c r="GG9137"/>
      <c r="GH9137"/>
      <c r="GI9137"/>
      <c r="GJ9137"/>
      <c r="GK9137"/>
      <c r="GL9137"/>
      <c r="GM9137"/>
      <c r="GN9137"/>
      <c r="GO9137"/>
    </row>
    <row r="9138" spans="107:197">
      <c r="DC9138"/>
      <c r="FH9138"/>
      <c r="FI9138"/>
      <c r="FJ9138"/>
      <c r="FK9138"/>
      <c r="FL9138"/>
      <c r="FM9138"/>
      <c r="FN9138"/>
      <c r="FO9138"/>
      <c r="FP9138"/>
      <c r="FQ9138"/>
      <c r="FR9138"/>
      <c r="FS9138"/>
      <c r="FT9138"/>
      <c r="FU9138"/>
      <c r="FV9138"/>
      <c r="FW9138"/>
      <c r="FX9138"/>
      <c r="FY9138"/>
      <c r="FZ9138"/>
      <c r="GA9138"/>
      <c r="GB9138"/>
      <c r="GC9138"/>
      <c r="GD9138"/>
      <c r="GE9138"/>
      <c r="GF9138"/>
      <c r="GG9138"/>
      <c r="GH9138"/>
      <c r="GI9138"/>
      <c r="GJ9138"/>
      <c r="GK9138"/>
      <c r="GL9138"/>
      <c r="GM9138"/>
      <c r="GN9138"/>
      <c r="GO9138"/>
    </row>
    <row r="9139" spans="107:197">
      <c r="DC9139"/>
      <c r="FH9139"/>
      <c r="FI9139"/>
      <c r="FJ9139"/>
      <c r="FK9139"/>
      <c r="FL9139"/>
      <c r="FM9139"/>
      <c r="FN9139"/>
      <c r="FO9139"/>
      <c r="FP9139"/>
      <c r="FQ9139"/>
      <c r="FR9139"/>
      <c r="FS9139"/>
      <c r="FT9139"/>
      <c r="FU9139"/>
      <c r="FV9139"/>
      <c r="FW9139"/>
      <c r="FX9139"/>
      <c r="FY9139"/>
      <c r="FZ9139"/>
      <c r="GA9139"/>
      <c r="GB9139"/>
      <c r="GC9139"/>
      <c r="GD9139"/>
      <c r="GE9139"/>
      <c r="GF9139"/>
      <c r="GG9139"/>
      <c r="GH9139"/>
      <c r="GI9139"/>
      <c r="GJ9139"/>
      <c r="GK9139"/>
      <c r="GL9139"/>
      <c r="GM9139"/>
      <c r="GN9139"/>
      <c r="GO9139"/>
    </row>
    <row r="9140" spans="107:197">
      <c r="DC9140"/>
      <c r="FH9140"/>
      <c r="FI9140"/>
      <c r="FJ9140"/>
      <c r="FK9140"/>
      <c r="FL9140"/>
      <c r="FM9140"/>
      <c r="FN9140"/>
      <c r="FO9140"/>
      <c r="FP9140"/>
      <c r="FQ9140"/>
      <c r="FR9140"/>
      <c r="FS9140"/>
      <c r="FT9140"/>
      <c r="FU9140"/>
      <c r="FV9140"/>
      <c r="FW9140"/>
      <c r="FX9140"/>
      <c r="FY9140"/>
      <c r="FZ9140"/>
      <c r="GA9140"/>
      <c r="GB9140"/>
      <c r="GC9140"/>
      <c r="GD9140"/>
      <c r="GE9140"/>
      <c r="GF9140"/>
      <c r="GG9140"/>
      <c r="GH9140"/>
      <c r="GI9140"/>
      <c r="GJ9140"/>
      <c r="GK9140"/>
      <c r="GL9140"/>
      <c r="GM9140"/>
      <c r="GN9140"/>
      <c r="GO9140"/>
    </row>
    <row r="9141" spans="107:197">
      <c r="DC9141"/>
      <c r="FH9141"/>
      <c r="FI9141"/>
      <c r="FJ9141"/>
      <c r="FK9141"/>
      <c r="FL9141"/>
      <c r="FM9141"/>
      <c r="FN9141"/>
      <c r="FO9141"/>
      <c r="FP9141"/>
      <c r="FQ9141"/>
      <c r="FR9141"/>
      <c r="FS9141"/>
      <c r="FT9141"/>
      <c r="FU9141"/>
      <c r="FV9141"/>
      <c r="FW9141"/>
      <c r="FX9141"/>
      <c r="FY9141"/>
      <c r="FZ9141"/>
      <c r="GA9141"/>
      <c r="GB9141"/>
      <c r="GC9141"/>
      <c r="GD9141"/>
      <c r="GE9141"/>
      <c r="GF9141"/>
      <c r="GG9141"/>
      <c r="GH9141"/>
      <c r="GI9141"/>
      <c r="GJ9141"/>
      <c r="GK9141"/>
      <c r="GL9141"/>
      <c r="GM9141"/>
      <c r="GN9141"/>
      <c r="GO9141"/>
    </row>
    <row r="9142" spans="107:197">
      <c r="DC9142"/>
      <c r="FH9142"/>
      <c r="FI9142"/>
      <c r="FJ9142"/>
      <c r="FK9142"/>
      <c r="FL9142"/>
      <c r="FM9142"/>
      <c r="FN9142"/>
      <c r="FO9142"/>
      <c r="FP9142"/>
      <c r="FQ9142"/>
      <c r="FR9142"/>
      <c r="FS9142"/>
      <c r="FT9142"/>
      <c r="FU9142"/>
      <c r="FV9142"/>
      <c r="FW9142"/>
      <c r="FX9142"/>
      <c r="FY9142"/>
      <c r="FZ9142"/>
      <c r="GA9142"/>
      <c r="GB9142"/>
      <c r="GC9142"/>
      <c r="GD9142"/>
      <c r="GE9142"/>
      <c r="GF9142"/>
      <c r="GG9142"/>
      <c r="GH9142"/>
      <c r="GI9142"/>
      <c r="GJ9142"/>
      <c r="GK9142"/>
      <c r="GL9142"/>
      <c r="GM9142"/>
      <c r="GN9142"/>
      <c r="GO9142"/>
    </row>
    <row r="9143" spans="107:197">
      <c r="DC9143"/>
      <c r="FH9143"/>
      <c r="FI9143"/>
      <c r="FJ9143"/>
      <c r="FK9143"/>
      <c r="FL9143"/>
      <c r="FM9143"/>
      <c r="FN9143"/>
      <c r="FO9143"/>
      <c r="FP9143"/>
      <c r="FQ9143"/>
      <c r="FR9143"/>
      <c r="FS9143"/>
      <c r="FT9143"/>
      <c r="FU9143"/>
      <c r="FV9143"/>
      <c r="FW9143"/>
      <c r="FX9143"/>
      <c r="FY9143"/>
      <c r="FZ9143"/>
      <c r="GA9143"/>
      <c r="GB9143"/>
      <c r="GC9143"/>
      <c r="GD9143"/>
      <c r="GE9143"/>
      <c r="GF9143"/>
      <c r="GG9143"/>
      <c r="GH9143"/>
      <c r="GI9143"/>
      <c r="GJ9143"/>
      <c r="GK9143"/>
      <c r="GL9143"/>
      <c r="GM9143"/>
      <c r="GN9143"/>
      <c r="GO9143"/>
    </row>
    <row r="9144" spans="107:197">
      <c r="DC9144"/>
      <c r="FH9144"/>
      <c r="FI9144"/>
      <c r="FJ9144"/>
      <c r="FK9144"/>
      <c r="FL9144"/>
      <c r="FM9144"/>
      <c r="FN9144"/>
      <c r="FO9144"/>
      <c r="FP9144"/>
      <c r="FQ9144"/>
      <c r="FR9144"/>
      <c r="FS9144"/>
      <c r="FT9144"/>
      <c r="FU9144"/>
      <c r="FV9144"/>
      <c r="FW9144"/>
      <c r="FX9144"/>
      <c r="FY9144"/>
      <c r="FZ9144"/>
      <c r="GA9144"/>
      <c r="GB9144"/>
      <c r="GC9144"/>
      <c r="GD9144"/>
      <c r="GE9144"/>
      <c r="GF9144"/>
      <c r="GG9144"/>
      <c r="GH9144"/>
      <c r="GI9144"/>
      <c r="GJ9144"/>
      <c r="GK9144"/>
      <c r="GL9144"/>
      <c r="GM9144"/>
      <c r="GN9144"/>
      <c r="GO9144"/>
    </row>
    <row r="9145" spans="107:197">
      <c r="DC9145"/>
      <c r="FH9145"/>
      <c r="FI9145"/>
      <c r="FJ9145"/>
      <c r="FK9145"/>
      <c r="FL9145"/>
      <c r="FM9145"/>
      <c r="FN9145"/>
      <c r="FO9145"/>
      <c r="FP9145"/>
      <c r="FQ9145"/>
      <c r="FR9145"/>
      <c r="FS9145"/>
      <c r="FT9145"/>
      <c r="FU9145"/>
      <c r="FV9145"/>
      <c r="FW9145"/>
      <c r="FX9145"/>
      <c r="FY9145"/>
      <c r="FZ9145"/>
      <c r="GA9145"/>
      <c r="GB9145"/>
      <c r="GC9145"/>
      <c r="GD9145"/>
      <c r="GE9145"/>
      <c r="GF9145"/>
      <c r="GG9145"/>
      <c r="GH9145"/>
      <c r="GI9145"/>
      <c r="GJ9145"/>
      <c r="GK9145"/>
      <c r="GL9145"/>
      <c r="GM9145"/>
      <c r="GN9145"/>
      <c r="GO9145"/>
    </row>
    <row r="9146" spans="107:197">
      <c r="DC9146"/>
      <c r="FH9146"/>
      <c r="FI9146"/>
      <c r="FJ9146"/>
      <c r="FK9146"/>
      <c r="FL9146"/>
      <c r="FM9146"/>
      <c r="FN9146"/>
      <c r="FO9146"/>
      <c r="FP9146"/>
      <c r="FQ9146"/>
      <c r="FR9146"/>
      <c r="FS9146"/>
      <c r="FT9146"/>
      <c r="FU9146"/>
      <c r="FV9146"/>
      <c r="FW9146"/>
      <c r="FX9146"/>
      <c r="FY9146"/>
      <c r="FZ9146"/>
      <c r="GA9146"/>
      <c r="GB9146"/>
      <c r="GC9146"/>
      <c r="GD9146"/>
      <c r="GE9146"/>
      <c r="GF9146"/>
      <c r="GG9146"/>
      <c r="GH9146"/>
      <c r="GI9146"/>
      <c r="GJ9146"/>
      <c r="GK9146"/>
      <c r="GL9146"/>
      <c r="GM9146"/>
      <c r="GN9146"/>
      <c r="GO9146"/>
    </row>
    <row r="9147" spans="107:197">
      <c r="DC9147"/>
      <c r="FH9147"/>
      <c r="FI9147"/>
      <c r="FJ9147"/>
      <c r="FK9147"/>
      <c r="FL9147"/>
      <c r="FM9147"/>
      <c r="FN9147"/>
      <c r="FO9147"/>
      <c r="FP9147"/>
      <c r="FQ9147"/>
      <c r="FR9147"/>
      <c r="FS9147"/>
      <c r="FT9147"/>
      <c r="FU9147"/>
      <c r="FV9147"/>
      <c r="FW9147"/>
      <c r="FX9147"/>
      <c r="FY9147"/>
      <c r="FZ9147"/>
      <c r="GA9147"/>
      <c r="GB9147"/>
      <c r="GC9147"/>
      <c r="GD9147"/>
      <c r="GE9147"/>
      <c r="GF9147"/>
      <c r="GG9147"/>
      <c r="GH9147"/>
      <c r="GI9147"/>
      <c r="GJ9147"/>
      <c r="GK9147"/>
      <c r="GL9147"/>
      <c r="GM9147"/>
      <c r="GN9147"/>
      <c r="GO9147"/>
    </row>
    <row r="9148" spans="107:197">
      <c r="DC9148"/>
      <c r="FH9148"/>
      <c r="FI9148"/>
      <c r="FJ9148"/>
      <c r="FK9148"/>
      <c r="FL9148"/>
      <c r="FM9148"/>
      <c r="FN9148"/>
      <c r="FO9148"/>
      <c r="FP9148"/>
      <c r="FQ9148"/>
      <c r="FR9148"/>
      <c r="FS9148"/>
      <c r="FT9148"/>
      <c r="FU9148"/>
      <c r="FV9148"/>
      <c r="FW9148"/>
      <c r="FX9148"/>
      <c r="FY9148"/>
      <c r="FZ9148"/>
      <c r="GA9148"/>
      <c r="GB9148"/>
      <c r="GC9148"/>
      <c r="GD9148"/>
      <c r="GE9148"/>
      <c r="GF9148"/>
      <c r="GG9148"/>
      <c r="GH9148"/>
      <c r="GI9148"/>
      <c r="GJ9148"/>
      <c r="GK9148"/>
      <c r="GL9148"/>
      <c r="GM9148"/>
      <c r="GN9148"/>
      <c r="GO9148"/>
    </row>
    <row r="9149" spans="107:197">
      <c r="DC9149"/>
      <c r="FH9149"/>
      <c r="FI9149"/>
      <c r="FJ9149"/>
      <c r="FK9149"/>
      <c r="FL9149"/>
      <c r="FM9149"/>
      <c r="FN9149"/>
      <c r="FO9149"/>
      <c r="FP9149"/>
      <c r="FQ9149"/>
      <c r="FR9149"/>
      <c r="FS9149"/>
      <c r="FT9149"/>
      <c r="FU9149"/>
      <c r="FV9149"/>
      <c r="FW9149"/>
      <c r="FX9149"/>
      <c r="FY9149"/>
      <c r="FZ9149"/>
      <c r="GA9149"/>
      <c r="GB9149"/>
      <c r="GC9149"/>
      <c r="GD9149"/>
      <c r="GE9149"/>
      <c r="GF9149"/>
      <c r="GG9149"/>
      <c r="GH9149"/>
      <c r="GI9149"/>
      <c r="GJ9149"/>
      <c r="GK9149"/>
      <c r="GL9149"/>
      <c r="GM9149"/>
      <c r="GN9149"/>
      <c r="GO9149"/>
    </row>
    <row r="9150" spans="107:197">
      <c r="DC9150"/>
      <c r="FH9150"/>
      <c r="FI9150"/>
      <c r="FJ9150"/>
      <c r="FK9150"/>
      <c r="FL9150"/>
      <c r="FM9150"/>
      <c r="FN9150"/>
      <c r="FO9150"/>
      <c r="FP9150"/>
      <c r="FQ9150"/>
      <c r="FR9150"/>
      <c r="FS9150"/>
      <c r="FT9150"/>
      <c r="FU9150"/>
      <c r="FV9150"/>
      <c r="FW9150"/>
      <c r="FX9150"/>
      <c r="FY9150"/>
      <c r="FZ9150"/>
      <c r="GA9150"/>
      <c r="GB9150"/>
      <c r="GC9150"/>
      <c r="GD9150"/>
      <c r="GE9150"/>
      <c r="GF9150"/>
      <c r="GG9150"/>
      <c r="GH9150"/>
      <c r="GI9150"/>
      <c r="GJ9150"/>
      <c r="GK9150"/>
      <c r="GL9150"/>
      <c r="GM9150"/>
      <c r="GN9150"/>
      <c r="GO9150"/>
    </row>
    <row r="9151" spans="107:197">
      <c r="DC9151"/>
      <c r="FH9151"/>
      <c r="FI9151"/>
      <c r="FJ9151"/>
      <c r="FK9151"/>
      <c r="FL9151"/>
      <c r="FM9151"/>
      <c r="FN9151"/>
      <c r="FO9151"/>
      <c r="FP9151"/>
      <c r="FQ9151"/>
      <c r="FR9151"/>
      <c r="FS9151"/>
      <c r="FT9151"/>
      <c r="FU9151"/>
      <c r="FV9151"/>
      <c r="FW9151"/>
      <c r="FX9151"/>
      <c r="FY9151"/>
      <c r="FZ9151"/>
      <c r="GA9151"/>
      <c r="GB9151"/>
      <c r="GC9151"/>
      <c r="GD9151"/>
      <c r="GE9151"/>
      <c r="GF9151"/>
      <c r="GG9151"/>
      <c r="GH9151"/>
      <c r="GI9151"/>
      <c r="GJ9151"/>
      <c r="GK9151"/>
      <c r="GL9151"/>
      <c r="GM9151"/>
      <c r="GN9151"/>
      <c r="GO9151"/>
    </row>
    <row r="9152" spans="107:197">
      <c r="DC9152"/>
      <c r="FH9152"/>
      <c r="FI9152"/>
      <c r="FJ9152"/>
      <c r="FK9152"/>
      <c r="FL9152"/>
      <c r="FM9152"/>
      <c r="FN9152"/>
      <c r="FO9152"/>
      <c r="FP9152"/>
      <c r="FQ9152"/>
      <c r="FR9152"/>
      <c r="FS9152"/>
      <c r="FT9152"/>
      <c r="FU9152"/>
      <c r="FV9152"/>
      <c r="FW9152"/>
      <c r="FX9152"/>
      <c r="FY9152"/>
      <c r="FZ9152"/>
      <c r="GA9152"/>
      <c r="GB9152"/>
      <c r="GC9152"/>
      <c r="GD9152"/>
      <c r="GE9152"/>
      <c r="GF9152"/>
      <c r="GG9152"/>
      <c r="GH9152"/>
      <c r="GI9152"/>
      <c r="GJ9152"/>
      <c r="GK9152"/>
      <c r="GL9152"/>
      <c r="GM9152"/>
      <c r="GN9152"/>
      <c r="GO9152"/>
    </row>
    <row r="9153" spans="107:197">
      <c r="DC9153"/>
      <c r="FH9153"/>
      <c r="FI9153"/>
      <c r="FJ9153"/>
      <c r="FK9153"/>
      <c r="FL9153"/>
      <c r="FM9153"/>
      <c r="FN9153"/>
      <c r="FO9153"/>
      <c r="FP9153"/>
      <c r="FQ9153"/>
      <c r="FR9153"/>
      <c r="FS9153"/>
      <c r="FT9153"/>
      <c r="FU9153"/>
      <c r="FV9153"/>
      <c r="FW9153"/>
      <c r="FX9153"/>
      <c r="FY9153"/>
      <c r="FZ9153"/>
      <c r="GA9153"/>
      <c r="GB9153"/>
      <c r="GC9153"/>
      <c r="GD9153"/>
      <c r="GE9153"/>
      <c r="GF9153"/>
      <c r="GG9153"/>
      <c r="GH9153"/>
      <c r="GI9153"/>
      <c r="GJ9153"/>
      <c r="GK9153"/>
      <c r="GL9153"/>
      <c r="GM9153"/>
      <c r="GN9153"/>
      <c r="GO9153"/>
    </row>
    <row r="9154" spans="107:197">
      <c r="DC9154"/>
      <c r="FH9154"/>
      <c r="FI9154"/>
      <c r="FJ9154"/>
      <c r="FK9154"/>
      <c r="FL9154"/>
      <c r="FM9154"/>
      <c r="FN9154"/>
      <c r="FO9154"/>
      <c r="FP9154"/>
      <c r="FQ9154"/>
      <c r="FR9154"/>
      <c r="FS9154"/>
      <c r="FT9154"/>
      <c r="FU9154"/>
      <c r="FV9154"/>
      <c r="FW9154"/>
      <c r="FX9154"/>
      <c r="FY9154"/>
      <c r="FZ9154"/>
      <c r="GA9154"/>
      <c r="GB9154"/>
      <c r="GC9154"/>
      <c r="GD9154"/>
      <c r="GE9154"/>
      <c r="GF9154"/>
      <c r="GG9154"/>
      <c r="GH9154"/>
      <c r="GI9154"/>
      <c r="GJ9154"/>
      <c r="GK9154"/>
      <c r="GL9154"/>
      <c r="GM9154"/>
      <c r="GN9154"/>
      <c r="GO9154"/>
    </row>
    <row r="9155" spans="107:197">
      <c r="DC9155"/>
      <c r="FH9155"/>
      <c r="FI9155"/>
      <c r="FJ9155"/>
      <c r="FK9155"/>
      <c r="FL9155"/>
      <c r="FM9155"/>
      <c r="FN9155"/>
      <c r="FO9155"/>
      <c r="FP9155"/>
      <c r="FQ9155"/>
      <c r="FR9155"/>
      <c r="FS9155"/>
      <c r="FT9155"/>
      <c r="FU9155"/>
      <c r="FV9155"/>
      <c r="FW9155"/>
      <c r="FX9155"/>
      <c r="FY9155"/>
      <c r="FZ9155"/>
      <c r="GA9155"/>
      <c r="GB9155"/>
      <c r="GC9155"/>
      <c r="GD9155"/>
      <c r="GE9155"/>
      <c r="GF9155"/>
      <c r="GG9155"/>
      <c r="GH9155"/>
      <c r="GI9155"/>
      <c r="GJ9155"/>
      <c r="GK9155"/>
      <c r="GL9155"/>
      <c r="GM9155"/>
      <c r="GN9155"/>
      <c r="GO9155"/>
    </row>
    <row r="9156" spans="107:197">
      <c r="DC9156"/>
      <c r="FH9156"/>
      <c r="FI9156"/>
      <c r="FJ9156"/>
      <c r="FK9156"/>
      <c r="FL9156"/>
      <c r="FM9156"/>
      <c r="FN9156"/>
      <c r="FO9156"/>
      <c r="FP9156"/>
      <c r="FQ9156"/>
      <c r="FR9156"/>
      <c r="FS9156"/>
      <c r="FT9156"/>
      <c r="FU9156"/>
      <c r="FV9156"/>
      <c r="FW9156"/>
      <c r="FX9156"/>
      <c r="FY9156"/>
      <c r="FZ9156"/>
      <c r="GA9156"/>
      <c r="GB9156"/>
      <c r="GC9156"/>
      <c r="GD9156"/>
      <c r="GE9156"/>
      <c r="GF9156"/>
      <c r="GG9156"/>
      <c r="GH9156"/>
      <c r="GI9156"/>
      <c r="GJ9156"/>
      <c r="GK9156"/>
      <c r="GL9156"/>
      <c r="GM9156"/>
      <c r="GN9156"/>
      <c r="GO9156"/>
    </row>
    <row r="9157" spans="107:197">
      <c r="DC9157"/>
      <c r="FH9157"/>
      <c r="FI9157"/>
      <c r="FJ9157"/>
      <c r="FK9157"/>
      <c r="FL9157"/>
      <c r="FM9157"/>
      <c r="FN9157"/>
      <c r="FO9157"/>
      <c r="FP9157"/>
      <c r="FQ9157"/>
      <c r="FR9157"/>
      <c r="FS9157"/>
      <c r="FT9157"/>
      <c r="FU9157"/>
      <c r="FV9157"/>
      <c r="FW9157"/>
      <c r="FX9157"/>
      <c r="FY9157"/>
      <c r="FZ9157"/>
      <c r="GA9157"/>
      <c r="GB9157"/>
      <c r="GC9157"/>
      <c r="GD9157"/>
      <c r="GE9157"/>
      <c r="GF9157"/>
      <c r="GG9157"/>
      <c r="GH9157"/>
      <c r="GI9157"/>
      <c r="GJ9157"/>
      <c r="GK9157"/>
      <c r="GL9157"/>
      <c r="GM9157"/>
      <c r="GN9157"/>
      <c r="GO9157"/>
    </row>
    <row r="9158" spans="107:197">
      <c r="DC9158"/>
      <c r="FH9158"/>
      <c r="FI9158"/>
      <c r="FJ9158"/>
      <c r="FK9158"/>
      <c r="FL9158"/>
      <c r="FM9158"/>
      <c r="FN9158"/>
      <c r="FO9158"/>
      <c r="FP9158"/>
      <c r="FQ9158"/>
      <c r="FR9158"/>
      <c r="FS9158"/>
      <c r="FT9158"/>
      <c r="FU9158"/>
      <c r="FV9158"/>
      <c r="FW9158"/>
      <c r="FX9158"/>
      <c r="FY9158"/>
      <c r="FZ9158"/>
      <c r="GA9158"/>
      <c r="GB9158"/>
      <c r="GC9158"/>
      <c r="GD9158"/>
      <c r="GE9158"/>
      <c r="GF9158"/>
      <c r="GG9158"/>
      <c r="GH9158"/>
      <c r="GI9158"/>
      <c r="GJ9158"/>
      <c r="GK9158"/>
      <c r="GL9158"/>
      <c r="GM9158"/>
      <c r="GN9158"/>
      <c r="GO9158"/>
    </row>
    <row r="9159" spans="107:197">
      <c r="DC9159"/>
      <c r="FH9159"/>
      <c r="FI9159"/>
      <c r="FJ9159"/>
      <c r="FK9159"/>
      <c r="FL9159"/>
      <c r="FM9159"/>
      <c r="FN9159"/>
      <c r="FO9159"/>
      <c r="FP9159"/>
      <c r="FQ9159"/>
      <c r="FR9159"/>
      <c r="FS9159"/>
      <c r="FT9159"/>
      <c r="FU9159"/>
      <c r="FV9159"/>
      <c r="FW9159"/>
      <c r="FX9159"/>
      <c r="FY9159"/>
      <c r="FZ9159"/>
      <c r="GA9159"/>
      <c r="GB9159"/>
      <c r="GC9159"/>
      <c r="GD9159"/>
      <c r="GE9159"/>
      <c r="GF9159"/>
      <c r="GG9159"/>
      <c r="GH9159"/>
      <c r="GI9159"/>
      <c r="GJ9159"/>
      <c r="GK9159"/>
      <c r="GL9159"/>
      <c r="GM9159"/>
      <c r="GN9159"/>
      <c r="GO9159"/>
    </row>
    <row r="9160" spans="107:197">
      <c r="DC9160"/>
      <c r="FH9160"/>
      <c r="FI9160"/>
      <c r="FJ9160"/>
      <c r="FK9160"/>
      <c r="FL9160"/>
      <c r="FM9160"/>
      <c r="FN9160"/>
      <c r="FO9160"/>
      <c r="FP9160"/>
      <c r="FQ9160"/>
      <c r="FR9160"/>
      <c r="FS9160"/>
      <c r="FT9160"/>
      <c r="FU9160"/>
      <c r="FV9160"/>
      <c r="FW9160"/>
      <c r="FX9160"/>
      <c r="FY9160"/>
      <c r="FZ9160"/>
      <c r="GA9160"/>
      <c r="GB9160"/>
      <c r="GC9160"/>
      <c r="GD9160"/>
      <c r="GE9160"/>
      <c r="GF9160"/>
      <c r="GG9160"/>
      <c r="GH9160"/>
      <c r="GI9160"/>
      <c r="GJ9160"/>
      <c r="GK9160"/>
      <c r="GL9160"/>
      <c r="GM9160"/>
      <c r="GN9160"/>
      <c r="GO9160"/>
    </row>
    <row r="9161" spans="107:197">
      <c r="DC9161"/>
      <c r="FH9161"/>
      <c r="FI9161"/>
      <c r="FJ9161"/>
      <c r="FK9161"/>
      <c r="FL9161"/>
      <c r="FM9161"/>
      <c r="FN9161"/>
      <c r="FO9161"/>
      <c r="FP9161"/>
      <c r="FQ9161"/>
      <c r="FR9161"/>
      <c r="FS9161"/>
      <c r="FT9161"/>
      <c r="FU9161"/>
      <c r="FV9161"/>
      <c r="FW9161"/>
      <c r="FX9161"/>
      <c r="FY9161"/>
      <c r="FZ9161"/>
      <c r="GA9161"/>
      <c r="GB9161"/>
      <c r="GC9161"/>
      <c r="GD9161"/>
      <c r="GE9161"/>
      <c r="GF9161"/>
      <c r="GG9161"/>
      <c r="GH9161"/>
      <c r="GI9161"/>
      <c r="GJ9161"/>
      <c r="GK9161"/>
      <c r="GL9161"/>
      <c r="GM9161"/>
      <c r="GN9161"/>
      <c r="GO9161"/>
    </row>
    <row r="9162" spans="107:197">
      <c r="DC9162"/>
      <c r="FH9162"/>
      <c r="FI9162"/>
      <c r="FJ9162"/>
      <c r="FK9162"/>
      <c r="FL9162"/>
      <c r="FM9162"/>
      <c r="FN9162"/>
      <c r="FO9162"/>
      <c r="FP9162"/>
      <c r="FQ9162"/>
      <c r="FR9162"/>
      <c r="FS9162"/>
      <c r="FT9162"/>
      <c r="FU9162"/>
      <c r="FV9162"/>
      <c r="FW9162"/>
      <c r="FX9162"/>
      <c r="FY9162"/>
      <c r="FZ9162"/>
      <c r="GA9162"/>
      <c r="GB9162"/>
      <c r="GC9162"/>
      <c r="GD9162"/>
      <c r="GE9162"/>
      <c r="GF9162"/>
      <c r="GG9162"/>
      <c r="GH9162"/>
      <c r="GI9162"/>
      <c r="GJ9162"/>
      <c r="GK9162"/>
      <c r="GL9162"/>
      <c r="GM9162"/>
      <c r="GN9162"/>
      <c r="GO9162"/>
    </row>
    <row r="9163" spans="107:197">
      <c r="DC9163"/>
      <c r="FH9163"/>
      <c r="FI9163"/>
      <c r="FJ9163"/>
      <c r="FK9163"/>
      <c r="FL9163"/>
      <c r="FM9163"/>
      <c r="FN9163"/>
      <c r="FO9163"/>
      <c r="FP9163"/>
      <c r="FQ9163"/>
      <c r="FR9163"/>
      <c r="FS9163"/>
      <c r="FT9163"/>
      <c r="FU9163"/>
      <c r="FV9163"/>
      <c r="FW9163"/>
      <c r="FX9163"/>
      <c r="FY9163"/>
      <c r="FZ9163"/>
      <c r="GA9163"/>
      <c r="GB9163"/>
      <c r="GC9163"/>
      <c r="GD9163"/>
      <c r="GE9163"/>
      <c r="GF9163"/>
      <c r="GG9163"/>
      <c r="GH9163"/>
      <c r="GI9163"/>
      <c r="GJ9163"/>
      <c r="GK9163"/>
      <c r="GL9163"/>
      <c r="GM9163"/>
      <c r="GN9163"/>
      <c r="GO9163"/>
    </row>
    <row r="9164" spans="107:197">
      <c r="DC9164"/>
      <c r="FH9164"/>
      <c r="FI9164"/>
      <c r="FJ9164"/>
      <c r="FK9164"/>
      <c r="FL9164"/>
      <c r="FM9164"/>
      <c r="FN9164"/>
      <c r="FO9164"/>
      <c r="FP9164"/>
      <c r="FQ9164"/>
      <c r="FR9164"/>
      <c r="FS9164"/>
      <c r="FT9164"/>
      <c r="FU9164"/>
      <c r="FV9164"/>
      <c r="FW9164"/>
      <c r="FX9164"/>
      <c r="FY9164"/>
      <c r="FZ9164"/>
      <c r="GA9164"/>
      <c r="GB9164"/>
      <c r="GC9164"/>
      <c r="GD9164"/>
      <c r="GE9164"/>
      <c r="GF9164"/>
      <c r="GG9164"/>
      <c r="GH9164"/>
      <c r="GI9164"/>
      <c r="GJ9164"/>
      <c r="GK9164"/>
      <c r="GL9164"/>
      <c r="GM9164"/>
      <c r="GN9164"/>
      <c r="GO9164"/>
    </row>
    <row r="9165" spans="107:197">
      <c r="DC9165"/>
      <c r="FH9165"/>
      <c r="FI9165"/>
      <c r="FJ9165"/>
      <c r="FK9165"/>
      <c r="FL9165"/>
      <c r="FM9165"/>
      <c r="FN9165"/>
      <c r="FO9165"/>
      <c r="FP9165"/>
      <c r="FQ9165"/>
      <c r="FR9165"/>
      <c r="FS9165"/>
      <c r="FT9165"/>
      <c r="FU9165"/>
      <c r="FV9165"/>
      <c r="FW9165"/>
      <c r="FX9165"/>
      <c r="FY9165"/>
      <c r="FZ9165"/>
      <c r="GA9165"/>
      <c r="GB9165"/>
      <c r="GC9165"/>
      <c r="GD9165"/>
      <c r="GE9165"/>
      <c r="GF9165"/>
      <c r="GG9165"/>
      <c r="GH9165"/>
      <c r="GI9165"/>
      <c r="GJ9165"/>
      <c r="GK9165"/>
      <c r="GL9165"/>
      <c r="GM9165"/>
      <c r="GN9165"/>
      <c r="GO9165"/>
    </row>
    <row r="9166" spans="107:197">
      <c r="DC9166"/>
      <c r="FH9166"/>
      <c r="FI9166"/>
      <c r="FJ9166"/>
      <c r="FK9166"/>
      <c r="FL9166"/>
      <c r="FM9166"/>
      <c r="FN9166"/>
      <c r="FO9166"/>
      <c r="FP9166"/>
      <c r="FQ9166"/>
      <c r="FR9166"/>
      <c r="FS9166"/>
      <c r="FT9166"/>
      <c r="FU9166"/>
      <c r="FV9166"/>
      <c r="FW9166"/>
      <c r="FX9166"/>
      <c r="FY9166"/>
      <c r="FZ9166"/>
      <c r="GA9166"/>
      <c r="GB9166"/>
      <c r="GC9166"/>
      <c r="GD9166"/>
      <c r="GE9166"/>
      <c r="GF9166"/>
      <c r="GG9166"/>
      <c r="GH9166"/>
      <c r="GI9166"/>
      <c r="GJ9166"/>
      <c r="GK9166"/>
      <c r="GL9166"/>
      <c r="GM9166"/>
      <c r="GN9166"/>
      <c r="GO9166"/>
    </row>
    <row r="9167" spans="107:197">
      <c r="DC9167"/>
      <c r="FH9167"/>
      <c r="FI9167"/>
      <c r="FJ9167"/>
      <c r="FK9167"/>
      <c r="FL9167"/>
      <c r="FM9167"/>
      <c r="FN9167"/>
      <c r="FO9167"/>
      <c r="FP9167"/>
      <c r="FQ9167"/>
      <c r="FR9167"/>
      <c r="FS9167"/>
      <c r="FT9167"/>
      <c r="FU9167"/>
      <c r="FV9167"/>
      <c r="FW9167"/>
      <c r="FX9167"/>
      <c r="FY9167"/>
      <c r="FZ9167"/>
      <c r="GA9167"/>
      <c r="GB9167"/>
      <c r="GC9167"/>
      <c r="GD9167"/>
      <c r="GE9167"/>
      <c r="GF9167"/>
      <c r="GG9167"/>
      <c r="GH9167"/>
      <c r="GI9167"/>
      <c r="GJ9167"/>
      <c r="GK9167"/>
      <c r="GL9167"/>
      <c r="GM9167"/>
      <c r="GN9167"/>
      <c r="GO9167"/>
    </row>
    <row r="9168" spans="107:197">
      <c r="DC9168"/>
      <c r="FH9168"/>
      <c r="FI9168"/>
      <c r="FJ9168"/>
      <c r="FK9168"/>
      <c r="FL9168"/>
      <c r="FM9168"/>
      <c r="FN9168"/>
      <c r="FO9168"/>
      <c r="FP9168"/>
      <c r="FQ9168"/>
      <c r="FR9168"/>
      <c r="FS9168"/>
      <c r="FT9168"/>
      <c r="FU9168"/>
      <c r="FV9168"/>
      <c r="FW9168"/>
      <c r="FX9168"/>
      <c r="FY9168"/>
      <c r="FZ9168"/>
      <c r="GA9168"/>
      <c r="GB9168"/>
      <c r="GC9168"/>
      <c r="GD9168"/>
      <c r="GE9168"/>
      <c r="GF9168"/>
      <c r="GG9168"/>
      <c r="GH9168"/>
      <c r="GI9168"/>
      <c r="GJ9168"/>
      <c r="GK9168"/>
      <c r="GL9168"/>
      <c r="GM9168"/>
      <c r="GN9168"/>
      <c r="GO9168"/>
    </row>
    <row r="9169" spans="107:197">
      <c r="DC9169"/>
      <c r="FH9169"/>
      <c r="FI9169"/>
      <c r="FJ9169"/>
      <c r="FK9169"/>
      <c r="FL9169"/>
      <c r="FM9169"/>
      <c r="FN9169"/>
      <c r="FO9169"/>
      <c r="FP9169"/>
      <c r="FQ9169"/>
      <c r="FR9169"/>
      <c r="FS9169"/>
      <c r="FT9169"/>
      <c r="FU9169"/>
      <c r="FV9169"/>
      <c r="FW9169"/>
      <c r="FX9169"/>
      <c r="FY9169"/>
      <c r="FZ9169"/>
      <c r="GA9169"/>
      <c r="GB9169"/>
      <c r="GC9169"/>
      <c r="GD9169"/>
      <c r="GE9169"/>
      <c r="GF9169"/>
      <c r="GG9169"/>
      <c r="GH9169"/>
      <c r="GI9169"/>
      <c r="GJ9169"/>
      <c r="GK9169"/>
      <c r="GL9169"/>
      <c r="GM9169"/>
      <c r="GN9169"/>
      <c r="GO9169"/>
    </row>
    <row r="9170" spans="107:197">
      <c r="DC9170"/>
      <c r="FH9170"/>
      <c r="FI9170"/>
      <c r="FJ9170"/>
      <c r="FK9170"/>
      <c r="FL9170"/>
      <c r="FM9170"/>
      <c r="FN9170"/>
      <c r="FO9170"/>
      <c r="FP9170"/>
      <c r="FQ9170"/>
      <c r="FR9170"/>
      <c r="FS9170"/>
      <c r="FT9170"/>
      <c r="FU9170"/>
      <c r="FV9170"/>
      <c r="FW9170"/>
      <c r="FX9170"/>
      <c r="FY9170"/>
      <c r="FZ9170"/>
      <c r="GA9170"/>
      <c r="GB9170"/>
      <c r="GC9170"/>
      <c r="GD9170"/>
      <c r="GE9170"/>
      <c r="GF9170"/>
      <c r="GG9170"/>
      <c r="GH9170"/>
      <c r="GI9170"/>
      <c r="GJ9170"/>
      <c r="GK9170"/>
      <c r="GL9170"/>
      <c r="GM9170"/>
      <c r="GN9170"/>
      <c r="GO9170"/>
    </row>
    <row r="9171" spans="107:197">
      <c r="DC9171"/>
      <c r="FH9171"/>
      <c r="FI9171"/>
      <c r="FJ9171"/>
      <c r="FK9171"/>
      <c r="FL9171"/>
      <c r="FM9171"/>
      <c r="FN9171"/>
      <c r="FO9171"/>
      <c r="FP9171"/>
      <c r="FQ9171"/>
      <c r="FR9171"/>
      <c r="FS9171"/>
      <c r="FT9171"/>
      <c r="FU9171"/>
      <c r="FV9171"/>
      <c r="FW9171"/>
      <c r="FX9171"/>
      <c r="FY9171"/>
      <c r="FZ9171"/>
      <c r="GA9171"/>
      <c r="GB9171"/>
      <c r="GC9171"/>
      <c r="GD9171"/>
      <c r="GE9171"/>
      <c r="GF9171"/>
      <c r="GG9171"/>
      <c r="GH9171"/>
      <c r="GI9171"/>
      <c r="GJ9171"/>
      <c r="GK9171"/>
      <c r="GL9171"/>
      <c r="GM9171"/>
      <c r="GN9171"/>
      <c r="GO9171"/>
    </row>
    <row r="9172" spans="107:197">
      <c r="DC9172"/>
      <c r="FH9172"/>
      <c r="FI9172"/>
      <c r="FJ9172"/>
      <c r="FK9172"/>
      <c r="FL9172"/>
      <c r="FM9172"/>
      <c r="FN9172"/>
      <c r="FO9172"/>
      <c r="FP9172"/>
      <c r="FQ9172"/>
      <c r="FR9172"/>
      <c r="FS9172"/>
      <c r="FT9172"/>
      <c r="FU9172"/>
      <c r="FV9172"/>
      <c r="FW9172"/>
      <c r="FX9172"/>
      <c r="FY9172"/>
      <c r="FZ9172"/>
      <c r="GA9172"/>
      <c r="GB9172"/>
      <c r="GC9172"/>
      <c r="GD9172"/>
      <c r="GE9172"/>
      <c r="GF9172"/>
      <c r="GG9172"/>
      <c r="GH9172"/>
      <c r="GI9172"/>
      <c r="GJ9172"/>
      <c r="GK9172"/>
      <c r="GL9172"/>
      <c r="GM9172"/>
      <c r="GN9172"/>
      <c r="GO9172"/>
    </row>
    <row r="9173" spans="107:197">
      <c r="DC9173"/>
      <c r="FH9173"/>
      <c r="FI9173"/>
      <c r="FJ9173"/>
      <c r="FK9173"/>
      <c r="FL9173"/>
      <c r="FM9173"/>
      <c r="FN9173"/>
      <c r="FO9173"/>
      <c r="FP9173"/>
      <c r="FQ9173"/>
      <c r="FR9173"/>
      <c r="FS9173"/>
      <c r="FT9173"/>
      <c r="FU9173"/>
      <c r="FV9173"/>
      <c r="FW9173"/>
      <c r="FX9173"/>
      <c r="FY9173"/>
      <c r="FZ9173"/>
      <c r="GA9173"/>
      <c r="GB9173"/>
      <c r="GC9173"/>
      <c r="GD9173"/>
      <c r="GE9173"/>
      <c r="GF9173"/>
      <c r="GG9173"/>
      <c r="GH9173"/>
      <c r="GI9173"/>
      <c r="GJ9173"/>
      <c r="GK9173"/>
      <c r="GL9173"/>
      <c r="GM9173"/>
      <c r="GN9173"/>
      <c r="GO9173"/>
    </row>
    <row r="9174" spans="107:197">
      <c r="DC9174"/>
      <c r="FH9174"/>
      <c r="FI9174"/>
      <c r="FJ9174"/>
      <c r="FK9174"/>
      <c r="FL9174"/>
      <c r="FM9174"/>
      <c r="FN9174"/>
      <c r="FO9174"/>
      <c r="FP9174"/>
      <c r="FQ9174"/>
      <c r="FR9174"/>
      <c r="FS9174"/>
      <c r="FT9174"/>
      <c r="FU9174"/>
      <c r="FV9174"/>
      <c r="FW9174"/>
      <c r="FX9174"/>
      <c r="FY9174"/>
      <c r="FZ9174"/>
      <c r="GA9174"/>
      <c r="GB9174"/>
      <c r="GC9174"/>
      <c r="GD9174"/>
      <c r="GE9174"/>
      <c r="GF9174"/>
      <c r="GG9174"/>
      <c r="GH9174"/>
      <c r="GI9174"/>
      <c r="GJ9174"/>
      <c r="GK9174"/>
      <c r="GL9174"/>
      <c r="GM9174"/>
      <c r="GN9174"/>
      <c r="GO9174"/>
    </row>
    <row r="9175" spans="107:197">
      <c r="DC9175"/>
      <c r="FH9175"/>
      <c r="FI9175"/>
      <c r="FJ9175"/>
      <c r="FK9175"/>
      <c r="FL9175"/>
      <c r="FM9175"/>
      <c r="FN9175"/>
      <c r="FO9175"/>
      <c r="FP9175"/>
      <c r="FQ9175"/>
      <c r="FR9175"/>
      <c r="FS9175"/>
      <c r="FT9175"/>
      <c r="FU9175"/>
      <c r="FV9175"/>
      <c r="FW9175"/>
      <c r="FX9175"/>
      <c r="FY9175"/>
      <c r="FZ9175"/>
      <c r="GA9175"/>
      <c r="GB9175"/>
      <c r="GC9175"/>
      <c r="GD9175"/>
      <c r="GE9175"/>
      <c r="GF9175"/>
      <c r="GG9175"/>
      <c r="GH9175"/>
      <c r="GI9175"/>
      <c r="GJ9175"/>
      <c r="GK9175"/>
      <c r="GL9175"/>
      <c r="GM9175"/>
      <c r="GN9175"/>
      <c r="GO9175"/>
    </row>
    <row r="9176" spans="107:197">
      <c r="DC9176"/>
      <c r="FH9176"/>
      <c r="FI9176"/>
      <c r="FJ9176"/>
      <c r="FK9176"/>
      <c r="FL9176"/>
      <c r="FM9176"/>
      <c r="FN9176"/>
      <c r="FO9176"/>
      <c r="FP9176"/>
      <c r="FQ9176"/>
      <c r="FR9176"/>
      <c r="FS9176"/>
      <c r="FT9176"/>
      <c r="FU9176"/>
      <c r="FV9176"/>
      <c r="FW9176"/>
      <c r="FX9176"/>
      <c r="FY9176"/>
      <c r="FZ9176"/>
      <c r="GA9176"/>
      <c r="GB9176"/>
      <c r="GC9176"/>
      <c r="GD9176"/>
      <c r="GE9176"/>
      <c r="GF9176"/>
      <c r="GG9176"/>
      <c r="GH9176"/>
      <c r="GI9176"/>
      <c r="GJ9176"/>
      <c r="GK9176"/>
      <c r="GL9176"/>
      <c r="GM9176"/>
      <c r="GN9176"/>
      <c r="GO9176"/>
    </row>
    <row r="9177" spans="107:197">
      <c r="DC9177"/>
      <c r="FH9177"/>
      <c r="FI9177"/>
      <c r="FJ9177"/>
      <c r="FK9177"/>
      <c r="FL9177"/>
      <c r="FM9177"/>
      <c r="FN9177"/>
      <c r="FO9177"/>
      <c r="FP9177"/>
      <c r="FQ9177"/>
      <c r="FR9177"/>
      <c r="FS9177"/>
      <c r="FT9177"/>
      <c r="FU9177"/>
      <c r="FV9177"/>
      <c r="FW9177"/>
      <c r="FX9177"/>
      <c r="FY9177"/>
      <c r="FZ9177"/>
      <c r="GA9177"/>
      <c r="GB9177"/>
      <c r="GC9177"/>
      <c r="GD9177"/>
      <c r="GE9177"/>
      <c r="GF9177"/>
      <c r="GG9177"/>
      <c r="GH9177"/>
      <c r="GI9177"/>
      <c r="GJ9177"/>
      <c r="GK9177"/>
      <c r="GL9177"/>
      <c r="GM9177"/>
      <c r="GN9177"/>
      <c r="GO9177"/>
    </row>
    <row r="9178" spans="107:197">
      <c r="DC9178"/>
      <c r="FH9178"/>
      <c r="FI9178"/>
      <c r="FJ9178"/>
      <c r="FK9178"/>
      <c r="FL9178"/>
      <c r="FM9178"/>
      <c r="FN9178"/>
      <c r="FO9178"/>
      <c r="FP9178"/>
      <c r="FQ9178"/>
      <c r="FR9178"/>
      <c r="FS9178"/>
      <c r="FT9178"/>
      <c r="FU9178"/>
      <c r="FV9178"/>
      <c r="FW9178"/>
      <c r="FX9178"/>
      <c r="FY9178"/>
      <c r="FZ9178"/>
      <c r="GA9178"/>
      <c r="GB9178"/>
      <c r="GC9178"/>
      <c r="GD9178"/>
      <c r="GE9178"/>
      <c r="GF9178"/>
      <c r="GG9178"/>
      <c r="GH9178"/>
      <c r="GI9178"/>
      <c r="GJ9178"/>
      <c r="GK9178"/>
      <c r="GL9178"/>
      <c r="GM9178"/>
      <c r="GN9178"/>
      <c r="GO9178"/>
    </row>
    <row r="9179" spans="107:197">
      <c r="DC9179"/>
      <c r="FH9179"/>
      <c r="FI9179"/>
      <c r="FJ9179"/>
      <c r="FK9179"/>
      <c r="FL9179"/>
      <c r="FM9179"/>
      <c r="FN9179"/>
      <c r="FO9179"/>
      <c r="FP9179"/>
      <c r="FQ9179"/>
      <c r="FR9179"/>
      <c r="FS9179"/>
      <c r="FT9179"/>
      <c r="FU9179"/>
      <c r="FV9179"/>
      <c r="FW9179"/>
      <c r="FX9179"/>
      <c r="FY9179"/>
      <c r="FZ9179"/>
      <c r="GA9179"/>
      <c r="GB9179"/>
      <c r="GC9179"/>
      <c r="GD9179"/>
      <c r="GE9179"/>
      <c r="GF9179"/>
      <c r="GG9179"/>
      <c r="GH9179"/>
      <c r="GI9179"/>
      <c r="GJ9179"/>
      <c r="GK9179"/>
      <c r="GL9179"/>
      <c r="GM9179"/>
      <c r="GN9179"/>
      <c r="GO9179"/>
    </row>
    <row r="9180" spans="107:197">
      <c r="DC9180"/>
      <c r="FH9180"/>
      <c r="FI9180"/>
      <c r="FJ9180"/>
      <c r="FK9180"/>
      <c r="FL9180"/>
      <c r="FM9180"/>
      <c r="FN9180"/>
      <c r="FO9180"/>
      <c r="FP9180"/>
      <c r="FQ9180"/>
      <c r="FR9180"/>
      <c r="FS9180"/>
      <c r="FT9180"/>
      <c r="FU9180"/>
      <c r="FV9180"/>
      <c r="FW9180"/>
      <c r="FX9180"/>
      <c r="FY9180"/>
      <c r="FZ9180"/>
      <c r="GA9180"/>
      <c r="GB9180"/>
      <c r="GC9180"/>
      <c r="GD9180"/>
      <c r="GE9180"/>
      <c r="GF9180"/>
      <c r="GG9180"/>
      <c r="GH9180"/>
      <c r="GI9180"/>
      <c r="GJ9180"/>
      <c r="GK9180"/>
      <c r="GL9180"/>
      <c r="GM9180"/>
      <c r="GN9180"/>
      <c r="GO9180"/>
    </row>
    <row r="9181" spans="107:197">
      <c r="DC9181"/>
      <c r="FH9181"/>
      <c r="FI9181"/>
      <c r="FJ9181"/>
      <c r="FK9181"/>
      <c r="FL9181"/>
      <c r="FM9181"/>
      <c r="FN9181"/>
      <c r="FO9181"/>
      <c r="FP9181"/>
      <c r="FQ9181"/>
      <c r="FR9181"/>
      <c r="FS9181"/>
      <c r="FT9181"/>
      <c r="FU9181"/>
      <c r="FV9181"/>
      <c r="FW9181"/>
      <c r="FX9181"/>
      <c r="FY9181"/>
      <c r="FZ9181"/>
      <c r="GA9181"/>
      <c r="GB9181"/>
      <c r="GC9181"/>
      <c r="GD9181"/>
      <c r="GE9181"/>
      <c r="GF9181"/>
      <c r="GG9181"/>
      <c r="GH9181"/>
      <c r="GI9181"/>
      <c r="GJ9181"/>
      <c r="GK9181"/>
      <c r="GL9181"/>
      <c r="GM9181"/>
      <c r="GN9181"/>
      <c r="GO9181"/>
    </row>
    <row r="9182" spans="107:197">
      <c r="DC9182"/>
      <c r="FH9182"/>
      <c r="FI9182"/>
      <c r="FJ9182"/>
      <c r="FK9182"/>
      <c r="FL9182"/>
      <c r="FM9182"/>
      <c r="FN9182"/>
      <c r="FO9182"/>
      <c r="FP9182"/>
      <c r="FQ9182"/>
      <c r="FR9182"/>
      <c r="FS9182"/>
      <c r="FT9182"/>
      <c r="FU9182"/>
      <c r="FV9182"/>
      <c r="FW9182"/>
      <c r="FX9182"/>
      <c r="FY9182"/>
      <c r="FZ9182"/>
      <c r="GA9182"/>
      <c r="GB9182"/>
      <c r="GC9182"/>
      <c r="GD9182"/>
      <c r="GE9182"/>
      <c r="GF9182"/>
      <c r="GG9182"/>
      <c r="GH9182"/>
      <c r="GI9182"/>
      <c r="GJ9182"/>
      <c r="GK9182"/>
      <c r="GL9182"/>
      <c r="GM9182"/>
      <c r="GN9182"/>
      <c r="GO9182"/>
    </row>
    <row r="9183" spans="107:197">
      <c r="DC9183"/>
      <c r="FH9183"/>
      <c r="FI9183"/>
      <c r="FJ9183"/>
      <c r="FK9183"/>
      <c r="FL9183"/>
      <c r="FM9183"/>
      <c r="FN9183"/>
      <c r="FO9183"/>
      <c r="FP9183"/>
      <c r="FQ9183"/>
      <c r="FR9183"/>
      <c r="FS9183"/>
      <c r="FT9183"/>
      <c r="FU9183"/>
      <c r="FV9183"/>
      <c r="FW9183"/>
      <c r="FX9183"/>
      <c r="FY9183"/>
      <c r="FZ9183"/>
      <c r="GA9183"/>
      <c r="GB9183"/>
      <c r="GC9183"/>
      <c r="GD9183"/>
      <c r="GE9183"/>
      <c r="GF9183"/>
      <c r="GG9183"/>
      <c r="GH9183"/>
      <c r="GI9183"/>
      <c r="GJ9183"/>
      <c r="GK9183"/>
      <c r="GL9183"/>
      <c r="GM9183"/>
      <c r="GN9183"/>
      <c r="GO9183"/>
    </row>
    <row r="9184" spans="107:197">
      <c r="DC9184"/>
      <c r="FH9184"/>
      <c r="FI9184"/>
      <c r="FJ9184"/>
      <c r="FK9184"/>
      <c r="FL9184"/>
      <c r="FM9184"/>
      <c r="FN9184"/>
      <c r="FO9184"/>
      <c r="FP9184"/>
      <c r="FQ9184"/>
      <c r="FR9184"/>
      <c r="FS9184"/>
      <c r="FT9184"/>
      <c r="FU9184"/>
      <c r="FV9184"/>
      <c r="FW9184"/>
      <c r="FX9184"/>
      <c r="FY9184"/>
      <c r="FZ9184"/>
      <c r="GA9184"/>
      <c r="GB9184"/>
      <c r="GC9184"/>
      <c r="GD9184"/>
      <c r="GE9184"/>
      <c r="GF9184"/>
      <c r="GG9184"/>
      <c r="GH9184"/>
      <c r="GI9184"/>
      <c r="GJ9184"/>
      <c r="GK9184"/>
      <c r="GL9184"/>
      <c r="GM9184"/>
      <c r="GN9184"/>
      <c r="GO9184"/>
    </row>
    <row r="9185" spans="107:197">
      <c r="DC9185"/>
      <c r="FH9185"/>
      <c r="FI9185"/>
      <c r="FJ9185"/>
      <c r="FK9185"/>
      <c r="FL9185"/>
      <c r="FM9185"/>
      <c r="FN9185"/>
      <c r="FO9185"/>
      <c r="FP9185"/>
      <c r="FQ9185"/>
      <c r="FR9185"/>
      <c r="FS9185"/>
      <c r="FT9185"/>
      <c r="FU9185"/>
      <c r="FV9185"/>
      <c r="FW9185"/>
      <c r="FX9185"/>
      <c r="FY9185"/>
      <c r="FZ9185"/>
      <c r="GA9185"/>
      <c r="GB9185"/>
      <c r="GC9185"/>
      <c r="GD9185"/>
      <c r="GE9185"/>
      <c r="GF9185"/>
      <c r="GG9185"/>
      <c r="GH9185"/>
      <c r="GI9185"/>
      <c r="GJ9185"/>
      <c r="GK9185"/>
      <c r="GL9185"/>
      <c r="GM9185"/>
      <c r="GN9185"/>
      <c r="GO9185"/>
    </row>
    <row r="9186" spans="107:197">
      <c r="DC9186"/>
      <c r="FH9186"/>
      <c r="FI9186"/>
      <c r="FJ9186"/>
      <c r="FK9186"/>
      <c r="FL9186"/>
      <c r="FM9186"/>
      <c r="FN9186"/>
      <c r="FO9186"/>
      <c r="FP9186"/>
      <c r="FQ9186"/>
      <c r="FR9186"/>
      <c r="FS9186"/>
      <c r="FT9186"/>
      <c r="FU9186"/>
      <c r="FV9186"/>
      <c r="FW9186"/>
      <c r="FX9186"/>
      <c r="FY9186"/>
      <c r="FZ9186"/>
      <c r="GA9186"/>
      <c r="GB9186"/>
      <c r="GC9186"/>
      <c r="GD9186"/>
      <c r="GE9186"/>
      <c r="GF9186"/>
      <c r="GG9186"/>
      <c r="GH9186"/>
      <c r="GI9186"/>
      <c r="GJ9186"/>
      <c r="GK9186"/>
      <c r="GL9186"/>
      <c r="GM9186"/>
      <c r="GN9186"/>
      <c r="GO9186"/>
    </row>
    <row r="9187" spans="107:197">
      <c r="DC9187"/>
      <c r="FH9187"/>
      <c r="FI9187"/>
      <c r="FJ9187"/>
      <c r="FK9187"/>
      <c r="FL9187"/>
      <c r="FM9187"/>
      <c r="FN9187"/>
      <c r="FO9187"/>
      <c r="FP9187"/>
      <c r="FQ9187"/>
      <c r="FR9187"/>
      <c r="FS9187"/>
      <c r="FT9187"/>
      <c r="FU9187"/>
      <c r="FV9187"/>
      <c r="FW9187"/>
      <c r="FX9187"/>
      <c r="FY9187"/>
      <c r="FZ9187"/>
      <c r="GA9187"/>
      <c r="GB9187"/>
      <c r="GC9187"/>
      <c r="GD9187"/>
      <c r="GE9187"/>
      <c r="GF9187"/>
      <c r="GG9187"/>
      <c r="GH9187"/>
      <c r="GI9187"/>
      <c r="GJ9187"/>
      <c r="GK9187"/>
      <c r="GL9187"/>
      <c r="GM9187"/>
      <c r="GN9187"/>
      <c r="GO9187"/>
    </row>
    <row r="9188" spans="107:197">
      <c r="DC9188"/>
      <c r="FH9188"/>
      <c r="FI9188"/>
      <c r="FJ9188"/>
      <c r="FK9188"/>
      <c r="FL9188"/>
      <c r="FM9188"/>
      <c r="FN9188"/>
      <c r="FO9188"/>
      <c r="FP9188"/>
      <c r="FQ9188"/>
      <c r="FR9188"/>
      <c r="FS9188"/>
      <c r="FT9188"/>
      <c r="FU9188"/>
      <c r="FV9188"/>
      <c r="FW9188"/>
      <c r="FX9188"/>
      <c r="FY9188"/>
      <c r="FZ9188"/>
      <c r="GA9188"/>
      <c r="GB9188"/>
      <c r="GC9188"/>
      <c r="GD9188"/>
      <c r="GE9188"/>
      <c r="GF9188"/>
      <c r="GG9188"/>
      <c r="GH9188"/>
      <c r="GI9188"/>
      <c r="GJ9188"/>
      <c r="GK9188"/>
      <c r="GL9188"/>
      <c r="GM9188"/>
      <c r="GN9188"/>
      <c r="GO9188"/>
    </row>
    <row r="9189" spans="107:197">
      <c r="DC9189"/>
      <c r="FH9189"/>
      <c r="FI9189"/>
      <c r="FJ9189"/>
      <c r="FK9189"/>
      <c r="FL9189"/>
      <c r="FM9189"/>
      <c r="FN9189"/>
      <c r="FO9189"/>
      <c r="FP9189"/>
      <c r="FQ9189"/>
      <c r="FR9189"/>
      <c r="FS9189"/>
      <c r="FT9189"/>
      <c r="FU9189"/>
      <c r="FV9189"/>
      <c r="FW9189"/>
      <c r="FX9189"/>
      <c r="FY9189"/>
      <c r="FZ9189"/>
      <c r="GA9189"/>
      <c r="GB9189"/>
      <c r="GC9189"/>
      <c r="GD9189"/>
      <c r="GE9189"/>
      <c r="GF9189"/>
      <c r="GG9189"/>
      <c r="GH9189"/>
      <c r="GI9189"/>
      <c r="GJ9189"/>
      <c r="GK9189"/>
      <c r="GL9189"/>
      <c r="GM9189"/>
      <c r="GN9189"/>
      <c r="GO9189"/>
    </row>
    <row r="9190" spans="107:197">
      <c r="DC9190"/>
      <c r="FH9190"/>
      <c r="FI9190"/>
      <c r="FJ9190"/>
      <c r="FK9190"/>
      <c r="FL9190"/>
      <c r="FM9190"/>
      <c r="FN9190"/>
      <c r="FO9190"/>
      <c r="FP9190"/>
      <c r="FQ9190"/>
      <c r="FR9190"/>
      <c r="FS9190"/>
      <c r="FT9190"/>
      <c r="FU9190"/>
      <c r="FV9190"/>
      <c r="FW9190"/>
      <c r="FX9190"/>
      <c r="FY9190"/>
      <c r="FZ9190"/>
      <c r="GA9190"/>
      <c r="GB9190"/>
      <c r="GC9190"/>
      <c r="GD9190"/>
      <c r="GE9190"/>
      <c r="GF9190"/>
      <c r="GG9190"/>
      <c r="GH9190"/>
      <c r="GI9190"/>
      <c r="GJ9190"/>
      <c r="GK9190"/>
      <c r="GL9190"/>
      <c r="GM9190"/>
      <c r="GN9190"/>
      <c r="GO9190"/>
    </row>
    <row r="9191" spans="107:197">
      <c r="DC9191"/>
      <c r="FH9191"/>
      <c r="FI9191"/>
      <c r="FJ9191"/>
      <c r="FK9191"/>
      <c r="FL9191"/>
      <c r="FM9191"/>
      <c r="FN9191"/>
      <c r="FO9191"/>
      <c r="FP9191"/>
      <c r="FQ9191"/>
      <c r="FR9191"/>
      <c r="FS9191"/>
      <c r="FT9191"/>
      <c r="FU9191"/>
      <c r="FV9191"/>
      <c r="FW9191"/>
      <c r="FX9191"/>
      <c r="FY9191"/>
      <c r="FZ9191"/>
      <c r="GA9191"/>
      <c r="GB9191"/>
      <c r="GC9191"/>
      <c r="GD9191"/>
      <c r="GE9191"/>
      <c r="GF9191"/>
      <c r="GG9191"/>
      <c r="GH9191"/>
      <c r="GI9191"/>
      <c r="GJ9191"/>
      <c r="GK9191"/>
      <c r="GL9191"/>
      <c r="GM9191"/>
      <c r="GN9191"/>
      <c r="GO9191"/>
    </row>
    <row r="9192" spans="107:197">
      <c r="DC9192"/>
      <c r="FH9192"/>
      <c r="FI9192"/>
      <c r="FJ9192"/>
      <c r="FK9192"/>
      <c r="FL9192"/>
      <c r="FM9192"/>
      <c r="FN9192"/>
      <c r="FO9192"/>
      <c r="FP9192"/>
      <c r="FQ9192"/>
      <c r="FR9192"/>
      <c r="FS9192"/>
      <c r="FT9192"/>
      <c r="FU9192"/>
      <c r="FV9192"/>
      <c r="FW9192"/>
      <c r="FX9192"/>
      <c r="FY9192"/>
      <c r="FZ9192"/>
      <c r="GA9192"/>
      <c r="GB9192"/>
      <c r="GC9192"/>
      <c r="GD9192"/>
      <c r="GE9192"/>
      <c r="GF9192"/>
      <c r="GG9192"/>
      <c r="GH9192"/>
      <c r="GI9192"/>
      <c r="GJ9192"/>
      <c r="GK9192"/>
      <c r="GL9192"/>
      <c r="GM9192"/>
      <c r="GN9192"/>
      <c r="GO9192"/>
    </row>
    <row r="9193" spans="107:197">
      <c r="DC9193"/>
      <c r="FH9193"/>
      <c r="FI9193"/>
      <c r="FJ9193"/>
      <c r="FK9193"/>
      <c r="FL9193"/>
      <c r="FM9193"/>
      <c r="FN9193"/>
      <c r="FO9193"/>
      <c r="FP9193"/>
      <c r="FQ9193"/>
      <c r="FR9193"/>
      <c r="FS9193"/>
      <c r="FT9193"/>
      <c r="FU9193"/>
      <c r="FV9193"/>
      <c r="FW9193"/>
      <c r="FX9193"/>
      <c r="FY9193"/>
      <c r="FZ9193"/>
      <c r="GA9193"/>
      <c r="GB9193"/>
      <c r="GC9193"/>
      <c r="GD9193"/>
      <c r="GE9193"/>
      <c r="GF9193"/>
      <c r="GG9193"/>
      <c r="GH9193"/>
      <c r="GI9193"/>
      <c r="GJ9193"/>
      <c r="GK9193"/>
      <c r="GL9193"/>
      <c r="GM9193"/>
      <c r="GN9193"/>
      <c r="GO9193"/>
    </row>
    <row r="9194" spans="107:197">
      <c r="DC9194"/>
      <c r="FH9194"/>
      <c r="FI9194"/>
      <c r="FJ9194"/>
      <c r="FK9194"/>
      <c r="FL9194"/>
      <c r="FM9194"/>
      <c r="FN9194"/>
      <c r="FO9194"/>
      <c r="FP9194"/>
      <c r="FQ9194"/>
      <c r="FR9194"/>
      <c r="FS9194"/>
      <c r="FT9194"/>
      <c r="FU9194"/>
      <c r="FV9194"/>
      <c r="FW9194"/>
      <c r="FX9194"/>
      <c r="FY9194"/>
      <c r="FZ9194"/>
      <c r="GA9194"/>
      <c r="GB9194"/>
      <c r="GC9194"/>
      <c r="GD9194"/>
      <c r="GE9194"/>
      <c r="GF9194"/>
      <c r="GG9194"/>
      <c r="GH9194"/>
      <c r="GI9194"/>
      <c r="GJ9194"/>
      <c r="GK9194"/>
      <c r="GL9194"/>
      <c r="GM9194"/>
      <c r="GN9194"/>
      <c r="GO9194"/>
    </row>
    <row r="9195" spans="107:197">
      <c r="DC9195"/>
      <c r="FH9195"/>
      <c r="FI9195"/>
      <c r="FJ9195"/>
      <c r="FK9195"/>
      <c r="FL9195"/>
      <c r="FM9195"/>
      <c r="FN9195"/>
      <c r="FO9195"/>
      <c r="FP9195"/>
      <c r="FQ9195"/>
      <c r="FR9195"/>
      <c r="FS9195"/>
      <c r="FT9195"/>
      <c r="FU9195"/>
      <c r="FV9195"/>
      <c r="FW9195"/>
      <c r="FX9195"/>
      <c r="FY9195"/>
      <c r="FZ9195"/>
      <c r="GA9195"/>
      <c r="GB9195"/>
      <c r="GC9195"/>
      <c r="GD9195"/>
      <c r="GE9195"/>
      <c r="GF9195"/>
      <c r="GG9195"/>
      <c r="GH9195"/>
      <c r="GI9195"/>
      <c r="GJ9195"/>
      <c r="GK9195"/>
      <c r="GL9195"/>
      <c r="GM9195"/>
      <c r="GN9195"/>
      <c r="GO9195"/>
    </row>
    <row r="9196" spans="107:197">
      <c r="DC9196"/>
      <c r="FH9196"/>
      <c r="FI9196"/>
      <c r="FJ9196"/>
      <c r="FK9196"/>
      <c r="FL9196"/>
      <c r="FM9196"/>
      <c r="FN9196"/>
      <c r="FO9196"/>
      <c r="FP9196"/>
      <c r="FQ9196"/>
      <c r="FR9196"/>
      <c r="FS9196"/>
      <c r="FT9196"/>
      <c r="FU9196"/>
      <c r="FV9196"/>
      <c r="FW9196"/>
      <c r="FX9196"/>
      <c r="FY9196"/>
      <c r="FZ9196"/>
      <c r="GA9196"/>
      <c r="GB9196"/>
      <c r="GC9196"/>
      <c r="GD9196"/>
      <c r="GE9196"/>
      <c r="GF9196"/>
      <c r="GG9196"/>
      <c r="GH9196"/>
      <c r="GI9196"/>
      <c r="GJ9196"/>
      <c r="GK9196"/>
      <c r="GL9196"/>
      <c r="GM9196"/>
      <c r="GN9196"/>
      <c r="GO9196"/>
    </row>
    <row r="9197" spans="107:197">
      <c r="DC9197"/>
      <c r="FH9197"/>
      <c r="FI9197"/>
      <c r="FJ9197"/>
      <c r="FK9197"/>
      <c r="FL9197"/>
      <c r="FM9197"/>
      <c r="FN9197"/>
      <c r="FO9197"/>
      <c r="FP9197"/>
      <c r="FQ9197"/>
      <c r="FR9197"/>
      <c r="FS9197"/>
      <c r="FT9197"/>
      <c r="FU9197"/>
      <c r="FV9197"/>
      <c r="FW9197"/>
      <c r="FX9197"/>
      <c r="FY9197"/>
      <c r="FZ9197"/>
      <c r="GA9197"/>
      <c r="GB9197"/>
      <c r="GC9197"/>
      <c r="GD9197"/>
      <c r="GE9197"/>
      <c r="GF9197"/>
      <c r="GG9197"/>
      <c r="GH9197"/>
      <c r="GI9197"/>
      <c r="GJ9197"/>
      <c r="GK9197"/>
      <c r="GL9197"/>
      <c r="GM9197"/>
      <c r="GN9197"/>
      <c r="GO9197"/>
    </row>
    <row r="9198" spans="107:197">
      <c r="DC9198"/>
      <c r="FH9198"/>
      <c r="FI9198"/>
      <c r="FJ9198"/>
      <c r="FK9198"/>
      <c r="FL9198"/>
      <c r="FM9198"/>
      <c r="FN9198"/>
      <c r="FO9198"/>
      <c r="FP9198"/>
      <c r="FQ9198"/>
      <c r="FR9198"/>
      <c r="FS9198"/>
      <c r="FT9198"/>
      <c r="FU9198"/>
      <c r="FV9198"/>
      <c r="FW9198"/>
      <c r="FX9198"/>
      <c r="FY9198"/>
      <c r="FZ9198"/>
      <c r="GA9198"/>
      <c r="GB9198"/>
      <c r="GC9198"/>
      <c r="GD9198"/>
      <c r="GE9198"/>
      <c r="GF9198"/>
      <c r="GG9198"/>
      <c r="GH9198"/>
      <c r="GI9198"/>
      <c r="GJ9198"/>
      <c r="GK9198"/>
      <c r="GL9198"/>
      <c r="GM9198"/>
      <c r="GN9198"/>
      <c r="GO9198"/>
    </row>
    <row r="9199" spans="107:197">
      <c r="DC9199"/>
      <c r="FH9199"/>
      <c r="FI9199"/>
      <c r="FJ9199"/>
      <c r="FK9199"/>
      <c r="FL9199"/>
      <c r="FM9199"/>
      <c r="FN9199"/>
      <c r="FO9199"/>
      <c r="FP9199"/>
      <c r="FQ9199"/>
      <c r="FR9199"/>
      <c r="FS9199"/>
      <c r="FT9199"/>
      <c r="FU9199"/>
      <c r="FV9199"/>
      <c r="FW9199"/>
      <c r="FX9199"/>
      <c r="FY9199"/>
      <c r="FZ9199"/>
      <c r="GA9199"/>
      <c r="GB9199"/>
      <c r="GC9199"/>
      <c r="GD9199"/>
      <c r="GE9199"/>
      <c r="GF9199"/>
      <c r="GG9199"/>
      <c r="GH9199"/>
      <c r="GI9199"/>
      <c r="GJ9199"/>
      <c r="GK9199"/>
      <c r="GL9199"/>
      <c r="GM9199"/>
      <c r="GN9199"/>
      <c r="GO9199"/>
    </row>
    <row r="9200" spans="107:197">
      <c r="DC9200"/>
      <c r="FH9200"/>
      <c r="FI9200"/>
      <c r="FJ9200"/>
      <c r="FK9200"/>
      <c r="FL9200"/>
      <c r="FM9200"/>
      <c r="FN9200"/>
      <c r="FO9200"/>
      <c r="FP9200"/>
      <c r="FQ9200"/>
      <c r="FR9200"/>
      <c r="FS9200"/>
      <c r="FT9200"/>
      <c r="FU9200"/>
      <c r="FV9200"/>
      <c r="FW9200"/>
      <c r="FX9200"/>
      <c r="FY9200"/>
      <c r="FZ9200"/>
      <c r="GA9200"/>
      <c r="GB9200"/>
      <c r="GC9200"/>
      <c r="GD9200"/>
      <c r="GE9200"/>
      <c r="GF9200"/>
      <c r="GG9200"/>
      <c r="GH9200"/>
      <c r="GI9200"/>
      <c r="GJ9200"/>
      <c r="GK9200"/>
      <c r="GL9200"/>
      <c r="GM9200"/>
      <c r="GN9200"/>
      <c r="GO9200"/>
    </row>
    <row r="9201" spans="107:197">
      <c r="DC9201"/>
      <c r="FH9201"/>
      <c r="FI9201"/>
      <c r="FJ9201"/>
      <c r="FK9201"/>
      <c r="FL9201"/>
      <c r="FM9201"/>
      <c r="FN9201"/>
      <c r="FO9201"/>
      <c r="FP9201"/>
      <c r="FQ9201"/>
      <c r="FR9201"/>
      <c r="FS9201"/>
      <c r="FT9201"/>
      <c r="FU9201"/>
      <c r="FV9201"/>
      <c r="FW9201"/>
      <c r="FX9201"/>
      <c r="FY9201"/>
      <c r="FZ9201"/>
      <c r="GA9201"/>
      <c r="GB9201"/>
      <c r="GC9201"/>
      <c r="GD9201"/>
      <c r="GE9201"/>
      <c r="GF9201"/>
      <c r="GG9201"/>
      <c r="GH9201"/>
      <c r="GI9201"/>
      <c r="GJ9201"/>
      <c r="GK9201"/>
      <c r="GL9201"/>
      <c r="GM9201"/>
      <c r="GN9201"/>
      <c r="GO9201"/>
    </row>
    <row r="9202" spans="107:197">
      <c r="DC9202"/>
      <c r="FH9202"/>
      <c r="FI9202"/>
      <c r="FJ9202"/>
      <c r="FK9202"/>
      <c r="FL9202"/>
      <c r="FM9202"/>
      <c r="FN9202"/>
      <c r="FO9202"/>
      <c r="FP9202"/>
      <c r="FQ9202"/>
      <c r="FR9202"/>
      <c r="FS9202"/>
      <c r="FT9202"/>
      <c r="FU9202"/>
      <c r="FV9202"/>
      <c r="FW9202"/>
      <c r="FX9202"/>
      <c r="FY9202"/>
      <c r="FZ9202"/>
      <c r="GA9202"/>
      <c r="GB9202"/>
      <c r="GC9202"/>
      <c r="GD9202"/>
      <c r="GE9202"/>
      <c r="GF9202"/>
      <c r="GG9202"/>
      <c r="GH9202"/>
      <c r="GI9202"/>
      <c r="GJ9202"/>
      <c r="GK9202"/>
      <c r="GL9202"/>
      <c r="GM9202"/>
      <c r="GN9202"/>
      <c r="GO9202"/>
    </row>
    <row r="9203" spans="107:197">
      <c r="DC9203"/>
      <c r="FH9203"/>
      <c r="FI9203"/>
      <c r="FJ9203"/>
      <c r="FK9203"/>
      <c r="FL9203"/>
      <c r="FM9203"/>
      <c r="FN9203"/>
      <c r="FO9203"/>
      <c r="FP9203"/>
      <c r="FQ9203"/>
      <c r="FR9203"/>
      <c r="FS9203"/>
      <c r="FT9203"/>
      <c r="FU9203"/>
      <c r="FV9203"/>
      <c r="FW9203"/>
      <c r="FX9203"/>
      <c r="FY9203"/>
      <c r="FZ9203"/>
      <c r="GA9203"/>
      <c r="GB9203"/>
      <c r="GC9203"/>
      <c r="GD9203"/>
      <c r="GE9203"/>
      <c r="GF9203"/>
      <c r="GG9203"/>
      <c r="GH9203"/>
      <c r="GI9203"/>
      <c r="GJ9203"/>
      <c r="GK9203"/>
      <c r="GL9203"/>
      <c r="GM9203"/>
      <c r="GN9203"/>
      <c r="GO9203"/>
    </row>
    <row r="9204" spans="107:197">
      <c r="DC9204"/>
      <c r="FH9204"/>
      <c r="FI9204"/>
      <c r="FJ9204"/>
      <c r="FK9204"/>
      <c r="FL9204"/>
      <c r="FM9204"/>
      <c r="FN9204"/>
      <c r="FO9204"/>
      <c r="FP9204"/>
      <c r="FQ9204"/>
      <c r="FR9204"/>
      <c r="FS9204"/>
      <c r="FT9204"/>
      <c r="FU9204"/>
      <c r="FV9204"/>
      <c r="FW9204"/>
      <c r="FX9204"/>
      <c r="FY9204"/>
      <c r="FZ9204"/>
      <c r="GA9204"/>
      <c r="GB9204"/>
      <c r="GC9204"/>
      <c r="GD9204"/>
      <c r="GE9204"/>
      <c r="GF9204"/>
      <c r="GG9204"/>
      <c r="GH9204"/>
      <c r="GI9204"/>
      <c r="GJ9204"/>
      <c r="GK9204"/>
      <c r="GL9204"/>
      <c r="GM9204"/>
      <c r="GN9204"/>
      <c r="GO9204"/>
    </row>
    <row r="9205" spans="107:197">
      <c r="DC9205"/>
      <c r="FH9205"/>
      <c r="FI9205"/>
      <c r="FJ9205"/>
      <c r="FK9205"/>
      <c r="FL9205"/>
      <c r="FM9205"/>
      <c r="FN9205"/>
      <c r="FO9205"/>
      <c r="FP9205"/>
      <c r="FQ9205"/>
      <c r="FR9205"/>
      <c r="FS9205"/>
      <c r="FT9205"/>
      <c r="FU9205"/>
      <c r="FV9205"/>
      <c r="FW9205"/>
      <c r="FX9205"/>
      <c r="FY9205"/>
      <c r="FZ9205"/>
      <c r="GA9205"/>
      <c r="GB9205"/>
      <c r="GC9205"/>
      <c r="GD9205"/>
      <c r="GE9205"/>
      <c r="GF9205"/>
      <c r="GG9205"/>
      <c r="GH9205"/>
      <c r="GI9205"/>
      <c r="GJ9205"/>
      <c r="GK9205"/>
      <c r="GL9205"/>
      <c r="GM9205"/>
      <c r="GN9205"/>
      <c r="GO9205"/>
    </row>
    <row r="9206" spans="107:197">
      <c r="DC9206"/>
      <c r="FH9206"/>
      <c r="FI9206"/>
      <c r="FJ9206"/>
      <c r="FK9206"/>
      <c r="FL9206"/>
      <c r="FM9206"/>
      <c r="FN9206"/>
      <c r="FO9206"/>
      <c r="FP9206"/>
      <c r="FQ9206"/>
      <c r="FR9206"/>
      <c r="FS9206"/>
      <c r="FT9206"/>
      <c r="FU9206"/>
      <c r="FV9206"/>
      <c r="FW9206"/>
      <c r="FX9206"/>
      <c r="FY9206"/>
      <c r="FZ9206"/>
      <c r="GA9206"/>
      <c r="GB9206"/>
      <c r="GC9206"/>
      <c r="GD9206"/>
      <c r="GE9206"/>
      <c r="GF9206"/>
      <c r="GG9206"/>
      <c r="GH9206"/>
      <c r="GI9206"/>
      <c r="GJ9206"/>
      <c r="GK9206"/>
      <c r="GL9206"/>
      <c r="GM9206"/>
      <c r="GN9206"/>
      <c r="GO9206"/>
    </row>
    <row r="9207" spans="107:197">
      <c r="DC9207"/>
      <c r="FH9207"/>
      <c r="FI9207"/>
      <c r="FJ9207"/>
      <c r="FK9207"/>
      <c r="FL9207"/>
      <c r="FM9207"/>
      <c r="FN9207"/>
      <c r="FO9207"/>
      <c r="FP9207"/>
      <c r="FQ9207"/>
      <c r="FR9207"/>
      <c r="FS9207"/>
      <c r="FT9207"/>
      <c r="FU9207"/>
      <c r="FV9207"/>
      <c r="FW9207"/>
      <c r="FX9207"/>
      <c r="FY9207"/>
      <c r="FZ9207"/>
      <c r="GA9207"/>
      <c r="GB9207"/>
      <c r="GC9207"/>
      <c r="GD9207"/>
      <c r="GE9207"/>
      <c r="GF9207"/>
      <c r="GG9207"/>
      <c r="GH9207"/>
      <c r="GI9207"/>
      <c r="GJ9207"/>
      <c r="GK9207"/>
      <c r="GL9207"/>
      <c r="GM9207"/>
      <c r="GN9207"/>
      <c r="GO9207"/>
    </row>
    <row r="9208" spans="107:197">
      <c r="DC9208"/>
      <c r="FH9208"/>
      <c r="FI9208"/>
      <c r="FJ9208"/>
      <c r="FK9208"/>
      <c r="FL9208"/>
      <c r="FM9208"/>
      <c r="FN9208"/>
      <c r="FO9208"/>
      <c r="FP9208"/>
      <c r="FQ9208"/>
      <c r="FR9208"/>
      <c r="FS9208"/>
      <c r="FT9208"/>
      <c r="FU9208"/>
      <c r="FV9208"/>
      <c r="FW9208"/>
      <c r="FX9208"/>
      <c r="FY9208"/>
      <c r="FZ9208"/>
      <c r="GA9208"/>
      <c r="GB9208"/>
      <c r="GC9208"/>
      <c r="GD9208"/>
      <c r="GE9208"/>
      <c r="GF9208"/>
      <c r="GG9208"/>
      <c r="GH9208"/>
      <c r="GI9208"/>
      <c r="GJ9208"/>
      <c r="GK9208"/>
      <c r="GL9208"/>
      <c r="GM9208"/>
      <c r="GN9208"/>
      <c r="GO9208"/>
    </row>
    <row r="9209" spans="107:197">
      <c r="DC9209"/>
      <c r="FH9209"/>
      <c r="FI9209"/>
      <c r="FJ9209"/>
      <c r="FK9209"/>
      <c r="FL9209"/>
      <c r="FM9209"/>
      <c r="FN9209"/>
      <c r="FO9209"/>
      <c r="FP9209"/>
      <c r="FQ9209"/>
      <c r="FR9209"/>
      <c r="FS9209"/>
      <c r="FT9209"/>
      <c r="FU9209"/>
      <c r="FV9209"/>
      <c r="FW9209"/>
      <c r="FX9209"/>
      <c r="FY9209"/>
      <c r="FZ9209"/>
      <c r="GA9209"/>
      <c r="GB9209"/>
      <c r="GC9209"/>
      <c r="GD9209"/>
      <c r="GE9209"/>
      <c r="GF9209"/>
      <c r="GG9209"/>
      <c r="GH9209"/>
      <c r="GI9209"/>
      <c r="GJ9209"/>
      <c r="GK9209"/>
      <c r="GL9209"/>
      <c r="GM9209"/>
      <c r="GN9209"/>
      <c r="GO9209"/>
    </row>
    <row r="9210" spans="107:197">
      <c r="DC9210"/>
      <c r="FH9210"/>
      <c r="FI9210"/>
      <c r="FJ9210"/>
      <c r="FK9210"/>
      <c r="FL9210"/>
      <c r="FM9210"/>
      <c r="FN9210"/>
      <c r="FO9210"/>
      <c r="FP9210"/>
      <c r="FQ9210"/>
      <c r="FR9210"/>
      <c r="FS9210"/>
      <c r="FT9210"/>
      <c r="FU9210"/>
      <c r="FV9210"/>
      <c r="FW9210"/>
      <c r="FX9210"/>
      <c r="FY9210"/>
      <c r="FZ9210"/>
      <c r="GA9210"/>
      <c r="GB9210"/>
      <c r="GC9210"/>
      <c r="GD9210"/>
      <c r="GE9210"/>
      <c r="GF9210"/>
      <c r="GG9210"/>
      <c r="GH9210"/>
      <c r="GI9210"/>
      <c r="GJ9210"/>
      <c r="GK9210"/>
      <c r="GL9210"/>
      <c r="GM9210"/>
      <c r="GN9210"/>
      <c r="GO9210"/>
    </row>
    <row r="9211" spans="107:197">
      <c r="DC9211"/>
      <c r="FH9211"/>
      <c r="FI9211"/>
      <c r="FJ9211"/>
      <c r="FK9211"/>
      <c r="FL9211"/>
      <c r="FM9211"/>
      <c r="FN9211"/>
      <c r="FO9211"/>
      <c r="FP9211"/>
      <c r="FQ9211"/>
      <c r="FR9211"/>
      <c r="FS9211"/>
      <c r="FT9211"/>
      <c r="FU9211"/>
      <c r="FV9211"/>
      <c r="FW9211"/>
      <c r="FX9211"/>
      <c r="FY9211"/>
      <c r="FZ9211"/>
      <c r="GA9211"/>
      <c r="GB9211"/>
      <c r="GC9211"/>
      <c r="GD9211"/>
      <c r="GE9211"/>
      <c r="GF9211"/>
      <c r="GG9211"/>
      <c r="GH9211"/>
      <c r="GI9211"/>
      <c r="GJ9211"/>
      <c r="GK9211"/>
      <c r="GL9211"/>
      <c r="GM9211"/>
      <c r="GN9211"/>
      <c r="GO9211"/>
    </row>
    <row r="9212" spans="107:197">
      <c r="DC9212"/>
      <c r="FH9212"/>
      <c r="FI9212"/>
      <c r="FJ9212"/>
      <c r="FK9212"/>
      <c r="FL9212"/>
      <c r="FM9212"/>
      <c r="FN9212"/>
      <c r="FO9212"/>
      <c r="FP9212"/>
      <c r="FQ9212"/>
      <c r="FR9212"/>
      <c r="FS9212"/>
      <c r="FT9212"/>
      <c r="FU9212"/>
      <c r="FV9212"/>
      <c r="FW9212"/>
      <c r="FX9212"/>
      <c r="FY9212"/>
      <c r="FZ9212"/>
      <c r="GA9212"/>
      <c r="GB9212"/>
      <c r="GC9212"/>
      <c r="GD9212"/>
      <c r="GE9212"/>
      <c r="GF9212"/>
      <c r="GG9212"/>
      <c r="GH9212"/>
      <c r="GI9212"/>
      <c r="GJ9212"/>
      <c r="GK9212"/>
      <c r="GL9212"/>
      <c r="GM9212"/>
      <c r="GN9212"/>
      <c r="GO9212"/>
    </row>
    <row r="9213" spans="107:197">
      <c r="DC9213"/>
      <c r="FH9213"/>
      <c r="FI9213"/>
      <c r="FJ9213"/>
      <c r="FK9213"/>
      <c r="FL9213"/>
      <c r="FM9213"/>
      <c r="FN9213"/>
      <c r="FO9213"/>
      <c r="FP9213"/>
      <c r="FQ9213"/>
      <c r="FR9213"/>
      <c r="FS9213"/>
      <c r="FT9213"/>
      <c r="FU9213"/>
      <c r="FV9213"/>
      <c r="FW9213"/>
      <c r="FX9213"/>
      <c r="FY9213"/>
      <c r="FZ9213"/>
      <c r="GA9213"/>
      <c r="GB9213"/>
      <c r="GC9213"/>
      <c r="GD9213"/>
      <c r="GE9213"/>
      <c r="GF9213"/>
      <c r="GG9213"/>
      <c r="GH9213"/>
      <c r="GI9213"/>
      <c r="GJ9213"/>
      <c r="GK9213"/>
      <c r="GL9213"/>
      <c r="GM9213"/>
      <c r="GN9213"/>
      <c r="GO9213"/>
    </row>
    <row r="9214" spans="107:197">
      <c r="DC9214"/>
      <c r="FH9214"/>
      <c r="FI9214"/>
      <c r="FJ9214"/>
      <c r="FK9214"/>
      <c r="FL9214"/>
      <c r="FM9214"/>
      <c r="FN9214"/>
      <c r="FO9214"/>
      <c r="FP9214"/>
      <c r="FQ9214"/>
      <c r="FR9214"/>
      <c r="FS9214"/>
      <c r="FT9214"/>
      <c r="FU9214"/>
      <c r="FV9214"/>
      <c r="FW9214"/>
      <c r="FX9214"/>
      <c r="FY9214"/>
      <c r="FZ9214"/>
      <c r="GA9214"/>
      <c r="GB9214"/>
      <c r="GC9214"/>
      <c r="GD9214"/>
      <c r="GE9214"/>
      <c r="GF9214"/>
      <c r="GG9214"/>
      <c r="GH9214"/>
      <c r="GI9214"/>
      <c r="GJ9214"/>
      <c r="GK9214"/>
      <c r="GL9214"/>
      <c r="GM9214"/>
      <c r="GN9214"/>
      <c r="GO9214"/>
    </row>
    <row r="9215" spans="107:197">
      <c r="DC9215"/>
      <c r="FH9215"/>
      <c r="FI9215"/>
      <c r="FJ9215"/>
      <c r="FK9215"/>
      <c r="FL9215"/>
      <c r="FM9215"/>
      <c r="FN9215"/>
      <c r="FO9215"/>
      <c r="FP9215"/>
      <c r="FQ9215"/>
      <c r="FR9215"/>
      <c r="FS9215"/>
      <c r="FT9215"/>
      <c r="FU9215"/>
      <c r="FV9215"/>
      <c r="FW9215"/>
      <c r="FX9215"/>
      <c r="FY9215"/>
      <c r="FZ9215"/>
      <c r="GA9215"/>
      <c r="GB9215"/>
      <c r="GC9215"/>
      <c r="GD9215"/>
      <c r="GE9215"/>
      <c r="GF9215"/>
      <c r="GG9215"/>
      <c r="GH9215"/>
      <c r="GI9215"/>
      <c r="GJ9215"/>
      <c r="GK9215"/>
      <c r="GL9215"/>
      <c r="GM9215"/>
      <c r="GN9215"/>
      <c r="GO9215"/>
    </row>
    <row r="9216" spans="107:197">
      <c r="DC9216"/>
      <c r="FH9216"/>
      <c r="FI9216"/>
      <c r="FJ9216"/>
      <c r="FK9216"/>
      <c r="FL9216"/>
      <c r="FM9216"/>
      <c r="FN9216"/>
      <c r="FO9216"/>
      <c r="FP9216"/>
      <c r="FQ9216"/>
      <c r="FR9216"/>
      <c r="FS9216"/>
      <c r="FT9216"/>
      <c r="FU9216"/>
      <c r="FV9216"/>
      <c r="FW9216"/>
      <c r="FX9216"/>
      <c r="FY9216"/>
      <c r="FZ9216"/>
      <c r="GA9216"/>
      <c r="GB9216"/>
      <c r="GC9216"/>
      <c r="GD9216"/>
      <c r="GE9216"/>
      <c r="GF9216"/>
      <c r="GG9216"/>
      <c r="GH9216"/>
      <c r="GI9216"/>
      <c r="GJ9216"/>
      <c r="GK9216"/>
      <c r="GL9216"/>
      <c r="GM9216"/>
      <c r="GN9216"/>
      <c r="GO9216"/>
    </row>
    <row r="9217" spans="107:197">
      <c r="DC9217"/>
      <c r="FH9217"/>
      <c r="FI9217"/>
      <c r="FJ9217"/>
      <c r="FK9217"/>
      <c r="FL9217"/>
      <c r="FM9217"/>
      <c r="FN9217"/>
      <c r="FO9217"/>
      <c r="FP9217"/>
      <c r="FQ9217"/>
      <c r="FR9217"/>
      <c r="FS9217"/>
      <c r="FT9217"/>
      <c r="FU9217"/>
      <c r="FV9217"/>
      <c r="FW9217"/>
      <c r="FX9217"/>
      <c r="FY9217"/>
      <c r="FZ9217"/>
      <c r="GA9217"/>
      <c r="GB9217"/>
      <c r="GC9217"/>
      <c r="GD9217"/>
      <c r="GE9217"/>
      <c r="GF9217"/>
      <c r="GG9217"/>
      <c r="GH9217"/>
      <c r="GI9217"/>
      <c r="GJ9217"/>
      <c r="GK9217"/>
      <c r="GL9217"/>
      <c r="GM9217"/>
      <c r="GN9217"/>
      <c r="GO9217"/>
    </row>
    <row r="9218" spans="107:197">
      <c r="DC9218"/>
      <c r="FH9218"/>
      <c r="FI9218"/>
      <c r="FJ9218"/>
      <c r="FK9218"/>
      <c r="FL9218"/>
      <c r="FM9218"/>
      <c r="FN9218"/>
      <c r="FO9218"/>
      <c r="FP9218"/>
      <c r="FQ9218"/>
      <c r="FR9218"/>
      <c r="FS9218"/>
      <c r="FT9218"/>
      <c r="FU9218"/>
      <c r="FV9218"/>
      <c r="FW9218"/>
      <c r="FX9218"/>
      <c r="FY9218"/>
      <c r="FZ9218"/>
      <c r="GA9218"/>
      <c r="GB9218"/>
      <c r="GC9218"/>
      <c r="GD9218"/>
      <c r="GE9218"/>
      <c r="GF9218"/>
      <c r="GG9218"/>
      <c r="GH9218"/>
      <c r="GI9218"/>
      <c r="GJ9218"/>
      <c r="GK9218"/>
      <c r="GL9218"/>
      <c r="GM9218"/>
      <c r="GN9218"/>
      <c r="GO9218"/>
    </row>
    <row r="9219" spans="107:197">
      <c r="DC9219"/>
      <c r="FH9219"/>
      <c r="FI9219"/>
      <c r="FJ9219"/>
      <c r="FK9219"/>
      <c r="FL9219"/>
      <c r="FM9219"/>
      <c r="FN9219"/>
      <c r="FO9219"/>
      <c r="FP9219"/>
      <c r="FQ9219"/>
      <c r="FR9219"/>
      <c r="FS9219"/>
      <c r="FT9219"/>
      <c r="FU9219"/>
      <c r="FV9219"/>
      <c r="FW9219"/>
      <c r="FX9219"/>
      <c r="FY9219"/>
      <c r="FZ9219"/>
      <c r="GA9219"/>
      <c r="GB9219"/>
      <c r="GC9219"/>
      <c r="GD9219"/>
      <c r="GE9219"/>
      <c r="GF9219"/>
      <c r="GG9219"/>
      <c r="GH9219"/>
      <c r="GI9219"/>
      <c r="GJ9219"/>
      <c r="GK9219"/>
      <c r="GL9219"/>
      <c r="GM9219"/>
      <c r="GN9219"/>
      <c r="GO9219"/>
    </row>
    <row r="9220" spans="107:197">
      <c r="DC9220"/>
      <c r="FH9220"/>
      <c r="FI9220"/>
      <c r="FJ9220"/>
      <c r="FK9220"/>
      <c r="FL9220"/>
      <c r="FM9220"/>
      <c r="FN9220"/>
      <c r="FO9220"/>
      <c r="FP9220"/>
      <c r="FQ9220"/>
      <c r="FR9220"/>
      <c r="FS9220"/>
      <c r="FT9220"/>
      <c r="FU9220"/>
      <c r="FV9220"/>
      <c r="FW9220"/>
      <c r="FX9220"/>
      <c r="FY9220"/>
      <c r="FZ9220"/>
      <c r="GA9220"/>
      <c r="GB9220"/>
      <c r="GC9220"/>
      <c r="GD9220"/>
      <c r="GE9220"/>
      <c r="GF9220"/>
      <c r="GG9220"/>
      <c r="GH9220"/>
      <c r="GI9220"/>
      <c r="GJ9220"/>
      <c r="GK9220"/>
      <c r="GL9220"/>
      <c r="GM9220"/>
      <c r="GN9220"/>
      <c r="GO9220"/>
    </row>
    <row r="9221" spans="107:197">
      <c r="DC9221"/>
      <c r="FH9221"/>
      <c r="FI9221"/>
      <c r="FJ9221"/>
      <c r="FK9221"/>
      <c r="FL9221"/>
      <c r="FM9221"/>
      <c r="FN9221"/>
      <c r="FO9221"/>
      <c r="FP9221"/>
      <c r="FQ9221"/>
      <c r="FR9221"/>
      <c r="FS9221"/>
      <c r="FT9221"/>
      <c r="FU9221"/>
      <c r="FV9221"/>
      <c r="FW9221"/>
      <c r="FX9221"/>
      <c r="FY9221"/>
      <c r="FZ9221"/>
      <c r="GA9221"/>
      <c r="GB9221"/>
      <c r="GC9221"/>
      <c r="GD9221"/>
      <c r="GE9221"/>
      <c r="GF9221"/>
      <c r="GG9221"/>
      <c r="GH9221"/>
      <c r="GI9221"/>
      <c r="GJ9221"/>
      <c r="GK9221"/>
      <c r="GL9221"/>
      <c r="GM9221"/>
      <c r="GN9221"/>
      <c r="GO9221"/>
    </row>
    <row r="9222" spans="107:197">
      <c r="DC9222"/>
      <c r="FH9222"/>
      <c r="FI9222"/>
      <c r="FJ9222"/>
      <c r="FK9222"/>
      <c r="FL9222"/>
      <c r="FM9222"/>
      <c r="FN9222"/>
      <c r="FO9222"/>
      <c r="FP9222"/>
      <c r="FQ9222"/>
      <c r="FR9222"/>
      <c r="FS9222"/>
      <c r="FT9222"/>
      <c r="FU9222"/>
      <c r="FV9222"/>
      <c r="FW9222"/>
      <c r="FX9222"/>
      <c r="FY9222"/>
      <c r="FZ9222"/>
      <c r="GA9222"/>
      <c r="GB9222"/>
      <c r="GC9222"/>
      <c r="GD9222"/>
      <c r="GE9222"/>
      <c r="GF9222"/>
      <c r="GG9222"/>
      <c r="GH9222"/>
      <c r="GI9222"/>
      <c r="GJ9222"/>
      <c r="GK9222"/>
      <c r="GL9222"/>
      <c r="GM9222"/>
      <c r="GN9222"/>
      <c r="GO9222"/>
    </row>
    <row r="9223" spans="107:197">
      <c r="DC9223"/>
      <c r="FH9223"/>
      <c r="FI9223"/>
      <c r="FJ9223"/>
      <c r="FK9223"/>
      <c r="FL9223"/>
      <c r="FM9223"/>
      <c r="FN9223"/>
      <c r="FO9223"/>
      <c r="FP9223"/>
      <c r="FQ9223"/>
      <c r="FR9223"/>
      <c r="FS9223"/>
      <c r="FT9223"/>
      <c r="FU9223"/>
      <c r="FV9223"/>
      <c r="FW9223"/>
      <c r="FX9223"/>
      <c r="FY9223"/>
      <c r="FZ9223"/>
      <c r="GA9223"/>
      <c r="GB9223"/>
      <c r="GC9223"/>
      <c r="GD9223"/>
      <c r="GE9223"/>
      <c r="GF9223"/>
      <c r="GG9223"/>
      <c r="GH9223"/>
      <c r="GI9223"/>
      <c r="GJ9223"/>
      <c r="GK9223"/>
      <c r="GL9223"/>
      <c r="GM9223"/>
      <c r="GN9223"/>
      <c r="GO9223"/>
    </row>
    <row r="9224" spans="107:197">
      <c r="DC9224"/>
      <c r="FH9224"/>
      <c r="FI9224"/>
      <c r="FJ9224"/>
      <c r="FK9224"/>
      <c r="FL9224"/>
      <c r="FM9224"/>
      <c r="FN9224"/>
      <c r="FO9224"/>
      <c r="FP9224"/>
      <c r="FQ9224"/>
      <c r="FR9224"/>
      <c r="FS9224"/>
      <c r="FT9224"/>
      <c r="FU9224"/>
      <c r="FV9224"/>
      <c r="FW9224"/>
      <c r="FX9224"/>
      <c r="FY9224"/>
      <c r="FZ9224"/>
      <c r="GA9224"/>
      <c r="GB9224"/>
      <c r="GC9224"/>
      <c r="GD9224"/>
      <c r="GE9224"/>
      <c r="GF9224"/>
      <c r="GG9224"/>
      <c r="GH9224"/>
      <c r="GI9224"/>
      <c r="GJ9224"/>
      <c r="GK9224"/>
      <c r="GL9224"/>
      <c r="GM9224"/>
      <c r="GN9224"/>
      <c r="GO9224"/>
    </row>
    <row r="9225" spans="107:197">
      <c r="DC9225"/>
      <c r="FH9225"/>
      <c r="FI9225"/>
      <c r="FJ9225"/>
      <c r="FK9225"/>
      <c r="FL9225"/>
      <c r="FM9225"/>
      <c r="FN9225"/>
      <c r="FO9225"/>
      <c r="FP9225"/>
      <c r="FQ9225"/>
      <c r="FR9225"/>
      <c r="FS9225"/>
      <c r="FT9225"/>
      <c r="FU9225"/>
      <c r="FV9225"/>
      <c r="FW9225"/>
      <c r="FX9225"/>
      <c r="FY9225"/>
      <c r="FZ9225"/>
      <c r="GA9225"/>
      <c r="GB9225"/>
      <c r="GC9225"/>
      <c r="GD9225"/>
      <c r="GE9225"/>
      <c r="GF9225"/>
      <c r="GG9225"/>
      <c r="GH9225"/>
      <c r="GI9225"/>
      <c r="GJ9225"/>
      <c r="GK9225"/>
      <c r="GL9225"/>
      <c r="GM9225"/>
      <c r="GN9225"/>
      <c r="GO9225"/>
    </row>
    <row r="9226" spans="107:197">
      <c r="DC9226"/>
      <c r="FH9226"/>
      <c r="FI9226"/>
      <c r="FJ9226"/>
      <c r="FK9226"/>
      <c r="FL9226"/>
      <c r="FM9226"/>
      <c r="FN9226"/>
      <c r="FO9226"/>
      <c r="FP9226"/>
      <c r="FQ9226"/>
      <c r="FR9226"/>
      <c r="FS9226"/>
      <c r="FT9226"/>
      <c r="FU9226"/>
      <c r="FV9226"/>
      <c r="FW9226"/>
      <c r="FX9226"/>
      <c r="FY9226"/>
      <c r="FZ9226"/>
      <c r="GA9226"/>
      <c r="GB9226"/>
      <c r="GC9226"/>
      <c r="GD9226"/>
      <c r="GE9226"/>
      <c r="GF9226"/>
      <c r="GG9226"/>
      <c r="GH9226"/>
      <c r="GI9226"/>
      <c r="GJ9226"/>
      <c r="GK9226"/>
      <c r="GL9226"/>
      <c r="GM9226"/>
      <c r="GN9226"/>
      <c r="GO9226"/>
    </row>
    <row r="9227" spans="107:197">
      <c r="DC9227"/>
      <c r="FH9227"/>
      <c r="FI9227"/>
      <c r="FJ9227"/>
      <c r="FK9227"/>
      <c r="FL9227"/>
      <c r="FM9227"/>
      <c r="FN9227"/>
      <c r="FO9227"/>
      <c r="FP9227"/>
      <c r="FQ9227"/>
      <c r="FR9227"/>
      <c r="FS9227"/>
      <c r="FT9227"/>
      <c r="FU9227"/>
      <c r="FV9227"/>
      <c r="FW9227"/>
      <c r="FX9227"/>
      <c r="FY9227"/>
      <c r="FZ9227"/>
      <c r="GA9227"/>
      <c r="GB9227"/>
      <c r="GC9227"/>
      <c r="GD9227"/>
      <c r="GE9227"/>
      <c r="GF9227"/>
      <c r="GG9227"/>
      <c r="GH9227"/>
      <c r="GI9227"/>
      <c r="GJ9227"/>
      <c r="GK9227"/>
      <c r="GL9227"/>
      <c r="GM9227"/>
      <c r="GN9227"/>
      <c r="GO9227"/>
    </row>
    <row r="9228" spans="107:197">
      <c r="DC9228"/>
      <c r="FH9228"/>
      <c r="FI9228"/>
      <c r="FJ9228"/>
      <c r="FK9228"/>
      <c r="FL9228"/>
      <c r="FM9228"/>
      <c r="FN9228"/>
      <c r="FO9228"/>
      <c r="FP9228"/>
      <c r="FQ9228"/>
      <c r="FR9228"/>
      <c r="FS9228"/>
      <c r="FT9228"/>
      <c r="FU9228"/>
      <c r="FV9228"/>
      <c r="FW9228"/>
      <c r="FX9228"/>
      <c r="FY9228"/>
      <c r="FZ9228"/>
      <c r="GA9228"/>
      <c r="GB9228"/>
      <c r="GC9228"/>
      <c r="GD9228"/>
      <c r="GE9228"/>
      <c r="GF9228"/>
      <c r="GG9228"/>
      <c r="GH9228"/>
      <c r="GI9228"/>
      <c r="GJ9228"/>
      <c r="GK9228"/>
      <c r="GL9228"/>
      <c r="GM9228"/>
      <c r="GN9228"/>
      <c r="GO9228"/>
    </row>
    <row r="9229" spans="107:197">
      <c r="DC9229"/>
      <c r="FH9229"/>
      <c r="FI9229"/>
      <c r="FJ9229"/>
      <c r="FK9229"/>
      <c r="FL9229"/>
      <c r="FM9229"/>
      <c r="FN9229"/>
      <c r="FO9229"/>
      <c r="FP9229"/>
      <c r="FQ9229"/>
      <c r="FR9229"/>
      <c r="FS9229"/>
      <c r="FT9229"/>
      <c r="FU9229"/>
      <c r="FV9229"/>
      <c r="FW9229"/>
      <c r="FX9229"/>
      <c r="FY9229"/>
      <c r="FZ9229"/>
      <c r="GA9229"/>
      <c r="GB9229"/>
      <c r="GC9229"/>
      <c r="GD9229"/>
      <c r="GE9229"/>
      <c r="GF9229"/>
      <c r="GG9229"/>
      <c r="GH9229"/>
      <c r="GI9229"/>
      <c r="GJ9229"/>
      <c r="GK9229"/>
      <c r="GL9229"/>
      <c r="GM9229"/>
      <c r="GN9229"/>
      <c r="GO9229"/>
    </row>
    <row r="9230" spans="107:197">
      <c r="DC9230"/>
      <c r="FH9230"/>
      <c r="FI9230"/>
      <c r="FJ9230"/>
      <c r="FK9230"/>
      <c r="FL9230"/>
      <c r="FM9230"/>
      <c r="FN9230"/>
      <c r="FO9230"/>
      <c r="FP9230"/>
      <c r="FQ9230"/>
      <c r="FR9230"/>
      <c r="FS9230"/>
      <c r="FT9230"/>
      <c r="FU9230"/>
      <c r="FV9230"/>
      <c r="FW9230"/>
      <c r="FX9230"/>
      <c r="FY9230"/>
      <c r="FZ9230"/>
      <c r="GA9230"/>
      <c r="GB9230"/>
      <c r="GC9230"/>
      <c r="GD9230"/>
      <c r="GE9230"/>
      <c r="GF9230"/>
      <c r="GG9230"/>
      <c r="GH9230"/>
      <c r="GI9230"/>
      <c r="GJ9230"/>
      <c r="GK9230"/>
      <c r="GL9230"/>
      <c r="GM9230"/>
      <c r="GN9230"/>
      <c r="GO9230"/>
    </row>
    <row r="9231" spans="107:197">
      <c r="DC9231"/>
      <c r="FH9231"/>
      <c r="FI9231"/>
      <c r="FJ9231"/>
      <c r="FK9231"/>
      <c r="FL9231"/>
      <c r="FM9231"/>
      <c r="FN9231"/>
      <c r="FO9231"/>
      <c r="FP9231"/>
      <c r="FQ9231"/>
      <c r="FR9231"/>
      <c r="FS9231"/>
      <c r="FT9231"/>
      <c r="FU9231"/>
      <c r="FV9231"/>
      <c r="FW9231"/>
      <c r="FX9231"/>
      <c r="FY9231"/>
      <c r="FZ9231"/>
      <c r="GA9231"/>
      <c r="GB9231"/>
      <c r="GC9231"/>
      <c r="GD9231"/>
      <c r="GE9231"/>
      <c r="GF9231"/>
      <c r="GG9231"/>
      <c r="GH9231"/>
      <c r="GI9231"/>
      <c r="GJ9231"/>
      <c r="GK9231"/>
      <c r="GL9231"/>
      <c r="GM9231"/>
      <c r="GN9231"/>
      <c r="GO9231"/>
    </row>
    <row r="9232" spans="107:197">
      <c r="DC9232"/>
      <c r="FH9232"/>
      <c r="FI9232"/>
      <c r="FJ9232"/>
      <c r="FK9232"/>
      <c r="FL9232"/>
      <c r="FM9232"/>
      <c r="FN9232"/>
      <c r="FO9232"/>
      <c r="FP9232"/>
      <c r="FQ9232"/>
      <c r="FR9232"/>
      <c r="FS9232"/>
      <c r="FT9232"/>
      <c r="FU9232"/>
      <c r="FV9232"/>
      <c r="FW9232"/>
      <c r="FX9232"/>
      <c r="FY9232"/>
      <c r="FZ9232"/>
      <c r="GA9232"/>
      <c r="GB9232"/>
      <c r="GC9232"/>
      <c r="GD9232"/>
      <c r="GE9232"/>
      <c r="GF9232"/>
      <c r="GG9232"/>
      <c r="GH9232"/>
      <c r="GI9232"/>
      <c r="GJ9232"/>
      <c r="GK9232"/>
      <c r="GL9232"/>
      <c r="GM9232"/>
      <c r="GN9232"/>
      <c r="GO9232"/>
    </row>
    <row r="9233" spans="107:197">
      <c r="DC9233"/>
      <c r="FH9233"/>
      <c r="FI9233"/>
      <c r="FJ9233"/>
      <c r="FK9233"/>
      <c r="FL9233"/>
      <c r="FM9233"/>
      <c r="FN9233"/>
      <c r="FO9233"/>
      <c r="FP9233"/>
      <c r="FQ9233"/>
      <c r="FR9233"/>
      <c r="FS9233"/>
      <c r="FT9233"/>
      <c r="FU9233"/>
      <c r="FV9233"/>
      <c r="FW9233"/>
      <c r="FX9233"/>
      <c r="FY9233"/>
      <c r="FZ9233"/>
      <c r="GA9233"/>
      <c r="GB9233"/>
      <c r="GC9233"/>
      <c r="GD9233"/>
      <c r="GE9233"/>
      <c r="GF9233"/>
      <c r="GG9233"/>
      <c r="GH9233"/>
      <c r="GI9233"/>
      <c r="GJ9233"/>
      <c r="GK9233"/>
      <c r="GL9233"/>
      <c r="GM9233"/>
      <c r="GN9233"/>
      <c r="GO9233"/>
    </row>
    <row r="9234" spans="107:197">
      <c r="DC9234"/>
      <c r="FH9234"/>
      <c r="FI9234"/>
      <c r="FJ9234"/>
      <c r="FK9234"/>
      <c r="FL9234"/>
      <c r="FM9234"/>
      <c r="FN9234"/>
      <c r="FO9234"/>
      <c r="FP9234"/>
      <c r="FQ9234"/>
      <c r="FR9234"/>
      <c r="FS9234"/>
      <c r="FT9234"/>
      <c r="FU9234"/>
      <c r="FV9234"/>
      <c r="FW9234"/>
      <c r="FX9234"/>
      <c r="FY9234"/>
      <c r="FZ9234"/>
      <c r="GA9234"/>
      <c r="GB9234"/>
      <c r="GC9234"/>
      <c r="GD9234"/>
      <c r="GE9234"/>
      <c r="GF9234"/>
      <c r="GG9234"/>
      <c r="GH9234"/>
      <c r="GI9234"/>
      <c r="GJ9234"/>
      <c r="GK9234"/>
      <c r="GL9234"/>
      <c r="GM9234"/>
      <c r="GN9234"/>
      <c r="GO9234"/>
    </row>
    <row r="9235" spans="107:197">
      <c r="DC9235"/>
      <c r="FH9235"/>
      <c r="FI9235"/>
      <c r="FJ9235"/>
      <c r="FK9235"/>
      <c r="FL9235"/>
      <c r="FM9235"/>
      <c r="FN9235"/>
      <c r="FO9235"/>
      <c r="FP9235"/>
      <c r="FQ9235"/>
      <c r="FR9235"/>
      <c r="FS9235"/>
      <c r="FT9235"/>
      <c r="FU9235"/>
      <c r="FV9235"/>
      <c r="FW9235"/>
      <c r="FX9235"/>
      <c r="FY9235"/>
      <c r="FZ9235"/>
      <c r="GA9235"/>
      <c r="GB9235"/>
      <c r="GC9235"/>
      <c r="GD9235"/>
      <c r="GE9235"/>
      <c r="GF9235"/>
      <c r="GG9235"/>
      <c r="GH9235"/>
      <c r="GI9235"/>
      <c r="GJ9235"/>
      <c r="GK9235"/>
      <c r="GL9235"/>
      <c r="GM9235"/>
      <c r="GN9235"/>
      <c r="GO9235"/>
    </row>
    <row r="9236" spans="107:197">
      <c r="DC9236"/>
      <c r="FH9236"/>
      <c r="FI9236"/>
      <c r="FJ9236"/>
      <c r="FK9236"/>
      <c r="FL9236"/>
      <c r="FM9236"/>
      <c r="FN9236"/>
      <c r="FO9236"/>
      <c r="FP9236"/>
      <c r="FQ9236"/>
      <c r="FR9236"/>
      <c r="FS9236"/>
      <c r="FT9236"/>
      <c r="FU9236"/>
      <c r="FV9236"/>
      <c r="FW9236"/>
      <c r="FX9236"/>
      <c r="FY9236"/>
      <c r="FZ9236"/>
      <c r="GA9236"/>
      <c r="GB9236"/>
      <c r="GC9236"/>
      <c r="GD9236"/>
      <c r="GE9236"/>
      <c r="GF9236"/>
      <c r="GG9236"/>
      <c r="GH9236"/>
      <c r="GI9236"/>
      <c r="GJ9236"/>
      <c r="GK9236"/>
      <c r="GL9236"/>
      <c r="GM9236"/>
      <c r="GN9236"/>
      <c r="GO9236"/>
    </row>
    <row r="9237" spans="107:197">
      <c r="DC9237"/>
      <c r="FH9237"/>
      <c r="FI9237"/>
      <c r="FJ9237"/>
      <c r="FK9237"/>
      <c r="FL9237"/>
      <c r="FM9237"/>
      <c r="FN9237"/>
      <c r="FO9237"/>
      <c r="FP9237"/>
      <c r="FQ9237"/>
      <c r="FR9237"/>
      <c r="FS9237"/>
      <c r="FT9237"/>
      <c r="FU9237"/>
      <c r="FV9237"/>
      <c r="FW9237"/>
      <c r="FX9237"/>
      <c r="FY9237"/>
      <c r="FZ9237"/>
      <c r="GA9237"/>
      <c r="GB9237"/>
      <c r="GC9237"/>
      <c r="GD9237"/>
      <c r="GE9237"/>
      <c r="GF9237"/>
      <c r="GG9237"/>
      <c r="GH9237"/>
      <c r="GI9237"/>
      <c r="GJ9237"/>
      <c r="GK9237"/>
      <c r="GL9237"/>
      <c r="GM9237"/>
      <c r="GN9237"/>
      <c r="GO9237"/>
    </row>
    <row r="9238" spans="107:197">
      <c r="DC9238"/>
      <c r="FH9238"/>
      <c r="FI9238"/>
      <c r="FJ9238"/>
      <c r="FK9238"/>
      <c r="FL9238"/>
      <c r="FM9238"/>
      <c r="FN9238"/>
      <c r="FO9238"/>
      <c r="FP9238"/>
      <c r="FQ9238"/>
      <c r="FR9238"/>
      <c r="FS9238"/>
      <c r="FT9238"/>
      <c r="FU9238"/>
      <c r="FV9238"/>
      <c r="FW9238"/>
      <c r="FX9238"/>
      <c r="FY9238"/>
      <c r="FZ9238"/>
      <c r="GA9238"/>
      <c r="GB9238"/>
      <c r="GC9238"/>
      <c r="GD9238"/>
      <c r="GE9238"/>
      <c r="GF9238"/>
      <c r="GG9238"/>
      <c r="GH9238"/>
      <c r="GI9238"/>
      <c r="GJ9238"/>
      <c r="GK9238"/>
      <c r="GL9238"/>
      <c r="GM9238"/>
      <c r="GN9238"/>
      <c r="GO9238"/>
    </row>
    <row r="9239" spans="107:197">
      <c r="DC9239"/>
      <c r="FH9239"/>
      <c r="FI9239"/>
      <c r="FJ9239"/>
      <c r="FK9239"/>
      <c r="FL9239"/>
      <c r="FM9239"/>
      <c r="FN9239"/>
      <c r="FO9239"/>
      <c r="FP9239"/>
      <c r="FQ9239"/>
      <c r="FR9239"/>
      <c r="FS9239"/>
      <c r="FT9239"/>
      <c r="FU9239"/>
      <c r="FV9239"/>
      <c r="FW9239"/>
      <c r="FX9239"/>
      <c r="FY9239"/>
      <c r="FZ9239"/>
      <c r="GA9239"/>
      <c r="GB9239"/>
      <c r="GC9239"/>
      <c r="GD9239"/>
      <c r="GE9239"/>
      <c r="GF9239"/>
      <c r="GG9239"/>
      <c r="GH9239"/>
      <c r="GI9239"/>
      <c r="GJ9239"/>
      <c r="GK9239"/>
      <c r="GL9239"/>
      <c r="GM9239"/>
      <c r="GN9239"/>
      <c r="GO9239"/>
    </row>
    <row r="9240" spans="107:197">
      <c r="DC9240"/>
      <c r="FH9240"/>
      <c r="FI9240"/>
      <c r="FJ9240"/>
      <c r="FK9240"/>
      <c r="FL9240"/>
      <c r="FM9240"/>
      <c r="FN9240"/>
      <c r="FO9240"/>
      <c r="FP9240"/>
      <c r="FQ9240"/>
      <c r="FR9240"/>
      <c r="FS9240"/>
      <c r="FT9240"/>
      <c r="FU9240"/>
      <c r="FV9240"/>
      <c r="FW9240"/>
      <c r="FX9240"/>
      <c r="FY9240"/>
      <c r="FZ9240"/>
      <c r="GA9240"/>
      <c r="GB9240"/>
      <c r="GC9240"/>
      <c r="GD9240"/>
      <c r="GE9240"/>
      <c r="GF9240"/>
      <c r="GG9240"/>
      <c r="GH9240"/>
      <c r="GI9240"/>
      <c r="GJ9240"/>
      <c r="GK9240"/>
      <c r="GL9240"/>
      <c r="GM9240"/>
      <c r="GN9240"/>
      <c r="GO9240"/>
    </row>
    <row r="9241" spans="107:197">
      <c r="DC9241"/>
      <c r="FH9241"/>
      <c r="FI9241"/>
      <c r="FJ9241"/>
      <c r="FK9241"/>
      <c r="FL9241"/>
      <c r="FM9241"/>
      <c r="FN9241"/>
      <c r="FO9241"/>
      <c r="FP9241"/>
      <c r="FQ9241"/>
      <c r="FR9241"/>
      <c r="FS9241"/>
      <c r="FT9241"/>
      <c r="FU9241"/>
      <c r="FV9241"/>
      <c r="FW9241"/>
      <c r="FX9241"/>
      <c r="FY9241"/>
      <c r="FZ9241"/>
      <c r="GA9241"/>
      <c r="GB9241"/>
      <c r="GC9241"/>
      <c r="GD9241"/>
      <c r="GE9241"/>
      <c r="GF9241"/>
      <c r="GG9241"/>
      <c r="GH9241"/>
      <c r="GI9241"/>
      <c r="GJ9241"/>
      <c r="GK9241"/>
      <c r="GL9241"/>
      <c r="GM9241"/>
      <c r="GN9241"/>
      <c r="GO9241"/>
    </row>
    <row r="9242" spans="107:197">
      <c r="DC9242"/>
      <c r="FH9242"/>
      <c r="FI9242"/>
      <c r="FJ9242"/>
      <c r="FK9242"/>
      <c r="FL9242"/>
      <c r="FM9242"/>
      <c r="FN9242"/>
      <c r="FO9242"/>
      <c r="FP9242"/>
      <c r="FQ9242"/>
      <c r="FR9242"/>
      <c r="FS9242"/>
      <c r="FT9242"/>
      <c r="FU9242"/>
      <c r="FV9242"/>
      <c r="FW9242"/>
      <c r="FX9242"/>
      <c r="FY9242"/>
      <c r="FZ9242"/>
      <c r="GA9242"/>
      <c r="GB9242"/>
      <c r="GC9242"/>
      <c r="GD9242"/>
      <c r="GE9242"/>
      <c r="GF9242"/>
      <c r="GG9242"/>
      <c r="GH9242"/>
      <c r="GI9242"/>
      <c r="GJ9242"/>
      <c r="GK9242"/>
      <c r="GL9242"/>
      <c r="GM9242"/>
      <c r="GN9242"/>
      <c r="GO9242"/>
    </row>
    <row r="9243" spans="107:197">
      <c r="DC9243"/>
      <c r="FH9243"/>
      <c r="FI9243"/>
      <c r="FJ9243"/>
      <c r="FK9243"/>
      <c r="FL9243"/>
      <c r="FM9243"/>
      <c r="FN9243"/>
      <c r="FO9243"/>
      <c r="FP9243"/>
      <c r="FQ9243"/>
      <c r="FR9243"/>
      <c r="FS9243"/>
      <c r="FT9243"/>
      <c r="FU9243"/>
      <c r="FV9243"/>
      <c r="FW9243"/>
      <c r="FX9243"/>
      <c r="FY9243"/>
      <c r="FZ9243"/>
      <c r="GA9243"/>
      <c r="GB9243"/>
      <c r="GC9243"/>
      <c r="GD9243"/>
      <c r="GE9243"/>
      <c r="GF9243"/>
      <c r="GG9243"/>
      <c r="GH9243"/>
      <c r="GI9243"/>
      <c r="GJ9243"/>
      <c r="GK9243"/>
      <c r="GL9243"/>
      <c r="GM9243"/>
      <c r="GN9243"/>
      <c r="GO9243"/>
    </row>
    <row r="9244" spans="107:197">
      <c r="DC9244"/>
      <c r="FH9244"/>
      <c r="FI9244"/>
      <c r="FJ9244"/>
      <c r="FK9244"/>
      <c r="FL9244"/>
      <c r="FM9244"/>
      <c r="FN9244"/>
      <c r="FO9244"/>
      <c r="FP9244"/>
      <c r="FQ9244"/>
      <c r="FR9244"/>
      <c r="FS9244"/>
      <c r="FT9244"/>
      <c r="FU9244"/>
      <c r="FV9244"/>
      <c r="FW9244"/>
      <c r="FX9244"/>
      <c r="FY9244"/>
      <c r="FZ9244"/>
      <c r="GA9244"/>
      <c r="GB9244"/>
      <c r="GC9244"/>
      <c r="GD9244"/>
      <c r="GE9244"/>
      <c r="GF9244"/>
      <c r="GG9244"/>
      <c r="GH9244"/>
      <c r="GI9244"/>
      <c r="GJ9244"/>
      <c r="GK9244"/>
      <c r="GL9244"/>
      <c r="GM9244"/>
      <c r="GN9244"/>
      <c r="GO9244"/>
    </row>
    <row r="9245" spans="107:197">
      <c r="DC9245"/>
      <c r="FH9245"/>
      <c r="FI9245"/>
      <c r="FJ9245"/>
      <c r="FK9245"/>
      <c r="FL9245"/>
      <c r="FM9245"/>
      <c r="FN9245"/>
      <c r="FO9245"/>
      <c r="FP9245"/>
      <c r="FQ9245"/>
      <c r="FR9245"/>
      <c r="FS9245"/>
      <c r="FT9245"/>
      <c r="FU9245"/>
      <c r="FV9245"/>
      <c r="FW9245"/>
      <c r="FX9245"/>
      <c r="FY9245"/>
      <c r="FZ9245"/>
      <c r="GA9245"/>
      <c r="GB9245"/>
      <c r="GC9245"/>
      <c r="GD9245"/>
      <c r="GE9245"/>
      <c r="GF9245"/>
      <c r="GG9245"/>
      <c r="GH9245"/>
      <c r="GI9245"/>
      <c r="GJ9245"/>
      <c r="GK9245"/>
      <c r="GL9245"/>
      <c r="GM9245"/>
      <c r="GN9245"/>
      <c r="GO9245"/>
    </row>
    <row r="9246" spans="107:197">
      <c r="DC9246"/>
      <c r="FH9246"/>
      <c r="FI9246"/>
      <c r="FJ9246"/>
      <c r="FK9246"/>
      <c r="FL9246"/>
      <c r="FM9246"/>
      <c r="FN9246"/>
      <c r="FO9246"/>
      <c r="FP9246"/>
      <c r="FQ9246"/>
      <c r="FR9246"/>
      <c r="FS9246"/>
      <c r="FT9246"/>
      <c r="FU9246"/>
      <c r="FV9246"/>
      <c r="FW9246"/>
      <c r="FX9246"/>
      <c r="FY9246"/>
      <c r="FZ9246"/>
      <c r="GA9246"/>
      <c r="GB9246"/>
      <c r="GC9246"/>
      <c r="GD9246"/>
      <c r="GE9246"/>
      <c r="GF9246"/>
      <c r="GG9246"/>
      <c r="GH9246"/>
      <c r="GI9246"/>
      <c r="GJ9246"/>
      <c r="GK9246"/>
      <c r="GL9246"/>
      <c r="GM9246"/>
      <c r="GN9246"/>
      <c r="GO9246"/>
    </row>
    <row r="9247" spans="107:197">
      <c r="DC9247"/>
      <c r="FH9247"/>
      <c r="FI9247"/>
      <c r="FJ9247"/>
      <c r="FK9247"/>
      <c r="FL9247"/>
      <c r="FM9247"/>
      <c r="FN9247"/>
      <c r="FO9247"/>
      <c r="FP9247"/>
      <c r="FQ9247"/>
      <c r="FR9247"/>
      <c r="FS9247"/>
      <c r="FT9247"/>
      <c r="FU9247"/>
      <c r="FV9247"/>
      <c r="FW9247"/>
      <c r="FX9247"/>
      <c r="FY9247"/>
      <c r="FZ9247"/>
      <c r="GA9247"/>
      <c r="GB9247"/>
      <c r="GC9247"/>
      <c r="GD9247"/>
      <c r="GE9247"/>
      <c r="GF9247"/>
      <c r="GG9247"/>
      <c r="GH9247"/>
      <c r="GI9247"/>
      <c r="GJ9247"/>
      <c r="GK9247"/>
      <c r="GL9247"/>
      <c r="GM9247"/>
      <c r="GN9247"/>
      <c r="GO9247"/>
    </row>
    <row r="9248" spans="107:197">
      <c r="DC9248"/>
      <c r="FH9248"/>
      <c r="FI9248"/>
      <c r="FJ9248"/>
      <c r="FK9248"/>
      <c r="FL9248"/>
      <c r="FM9248"/>
      <c r="FN9248"/>
      <c r="FO9248"/>
      <c r="FP9248"/>
      <c r="FQ9248"/>
      <c r="FR9248"/>
      <c r="FS9248"/>
      <c r="FT9248"/>
      <c r="FU9248"/>
      <c r="FV9248"/>
      <c r="FW9248"/>
      <c r="FX9248"/>
      <c r="FY9248"/>
      <c r="FZ9248"/>
      <c r="GA9248"/>
      <c r="GB9248"/>
      <c r="GC9248"/>
      <c r="GD9248"/>
      <c r="GE9248"/>
      <c r="GF9248"/>
      <c r="GG9248"/>
      <c r="GH9248"/>
      <c r="GI9248"/>
      <c r="GJ9248"/>
      <c r="GK9248"/>
      <c r="GL9248"/>
      <c r="GM9248"/>
      <c r="GN9248"/>
      <c r="GO9248"/>
    </row>
    <row r="9249" spans="107:197">
      <c r="DC9249"/>
      <c r="FH9249"/>
      <c r="FI9249"/>
      <c r="FJ9249"/>
      <c r="FK9249"/>
      <c r="FL9249"/>
      <c r="FM9249"/>
      <c r="FN9249"/>
      <c r="FO9249"/>
      <c r="FP9249"/>
      <c r="FQ9249"/>
      <c r="FR9249"/>
      <c r="FS9249"/>
      <c r="FT9249"/>
      <c r="FU9249"/>
      <c r="FV9249"/>
      <c r="FW9249"/>
      <c r="FX9249"/>
      <c r="FY9249"/>
      <c r="FZ9249"/>
      <c r="GA9249"/>
      <c r="GB9249"/>
      <c r="GC9249"/>
      <c r="GD9249"/>
      <c r="GE9249"/>
      <c r="GF9249"/>
      <c r="GG9249"/>
      <c r="GH9249"/>
      <c r="GI9249"/>
      <c r="GJ9249"/>
      <c r="GK9249"/>
      <c r="GL9249"/>
      <c r="GM9249"/>
      <c r="GN9249"/>
      <c r="GO9249"/>
    </row>
    <row r="9250" spans="107:197">
      <c r="DC9250"/>
      <c r="FH9250"/>
      <c r="FI9250"/>
      <c r="FJ9250"/>
      <c r="FK9250"/>
      <c r="FL9250"/>
      <c r="FM9250"/>
      <c r="FN9250"/>
      <c r="FO9250"/>
      <c r="FP9250"/>
      <c r="FQ9250"/>
      <c r="FR9250"/>
      <c r="FS9250"/>
      <c r="FT9250"/>
      <c r="FU9250"/>
      <c r="FV9250"/>
      <c r="FW9250"/>
      <c r="FX9250"/>
      <c r="FY9250"/>
      <c r="FZ9250"/>
      <c r="GA9250"/>
      <c r="GB9250"/>
      <c r="GC9250"/>
      <c r="GD9250"/>
      <c r="GE9250"/>
      <c r="GF9250"/>
      <c r="GG9250"/>
      <c r="GH9250"/>
      <c r="GI9250"/>
      <c r="GJ9250"/>
      <c r="GK9250"/>
      <c r="GL9250"/>
      <c r="GM9250"/>
      <c r="GN9250"/>
      <c r="GO9250"/>
    </row>
    <row r="9251" spans="107:197">
      <c r="DC9251"/>
      <c r="FH9251"/>
      <c r="FI9251"/>
      <c r="FJ9251"/>
      <c r="FK9251"/>
      <c r="FL9251"/>
      <c r="FM9251"/>
      <c r="FN9251"/>
      <c r="FO9251"/>
      <c r="FP9251"/>
      <c r="FQ9251"/>
      <c r="FR9251"/>
      <c r="FS9251"/>
      <c r="FT9251"/>
      <c r="FU9251"/>
      <c r="FV9251"/>
      <c r="FW9251"/>
      <c r="FX9251"/>
      <c r="FY9251"/>
      <c r="FZ9251"/>
      <c r="GA9251"/>
      <c r="GB9251"/>
      <c r="GC9251"/>
      <c r="GD9251"/>
      <c r="GE9251"/>
      <c r="GF9251"/>
      <c r="GG9251"/>
      <c r="GH9251"/>
      <c r="GI9251"/>
      <c r="GJ9251"/>
      <c r="GK9251"/>
      <c r="GL9251"/>
      <c r="GM9251"/>
      <c r="GN9251"/>
      <c r="GO9251"/>
    </row>
    <row r="9252" spans="107:197">
      <c r="DC9252"/>
      <c r="FH9252"/>
      <c r="FI9252"/>
      <c r="FJ9252"/>
      <c r="FK9252"/>
      <c r="FL9252"/>
      <c r="FM9252"/>
      <c r="FN9252"/>
      <c r="FO9252"/>
      <c r="FP9252"/>
      <c r="FQ9252"/>
      <c r="FR9252"/>
      <c r="FS9252"/>
      <c r="FT9252"/>
      <c r="FU9252"/>
      <c r="FV9252"/>
      <c r="FW9252"/>
      <c r="FX9252"/>
      <c r="FY9252"/>
      <c r="FZ9252"/>
      <c r="GA9252"/>
      <c r="GB9252"/>
      <c r="GC9252"/>
      <c r="GD9252"/>
      <c r="GE9252"/>
      <c r="GF9252"/>
      <c r="GG9252"/>
      <c r="GH9252"/>
      <c r="GI9252"/>
      <c r="GJ9252"/>
      <c r="GK9252"/>
      <c r="GL9252"/>
      <c r="GM9252"/>
      <c r="GN9252"/>
      <c r="GO9252"/>
    </row>
    <row r="9253" spans="107:197">
      <c r="DC9253"/>
      <c r="FH9253"/>
      <c r="FI9253"/>
      <c r="FJ9253"/>
      <c r="FK9253"/>
      <c r="FL9253"/>
      <c r="FM9253"/>
      <c r="FN9253"/>
      <c r="FO9253"/>
      <c r="FP9253"/>
      <c r="FQ9253"/>
      <c r="FR9253"/>
      <c r="FS9253"/>
      <c r="FT9253"/>
      <c r="FU9253"/>
      <c r="FV9253"/>
      <c r="FW9253"/>
      <c r="FX9253"/>
      <c r="FY9253"/>
      <c r="FZ9253"/>
      <c r="GA9253"/>
      <c r="GB9253"/>
      <c r="GC9253"/>
      <c r="GD9253"/>
      <c r="GE9253"/>
      <c r="GF9253"/>
      <c r="GG9253"/>
      <c r="GH9253"/>
      <c r="GI9253"/>
      <c r="GJ9253"/>
      <c r="GK9253"/>
      <c r="GL9253"/>
      <c r="GM9253"/>
      <c r="GN9253"/>
      <c r="GO9253"/>
    </row>
    <row r="9254" spans="107:197">
      <c r="DC9254"/>
      <c r="FH9254"/>
      <c r="FI9254"/>
      <c r="FJ9254"/>
      <c r="FK9254"/>
      <c r="FL9254"/>
      <c r="FM9254"/>
      <c r="FN9254"/>
      <c r="FO9254"/>
      <c r="FP9254"/>
      <c r="FQ9254"/>
      <c r="FR9254"/>
      <c r="FS9254"/>
      <c r="FT9254"/>
      <c r="FU9254"/>
      <c r="FV9254"/>
      <c r="FW9254"/>
      <c r="FX9254"/>
      <c r="FY9254"/>
      <c r="FZ9254"/>
      <c r="GA9254"/>
      <c r="GB9254"/>
      <c r="GC9254"/>
      <c r="GD9254"/>
      <c r="GE9254"/>
      <c r="GF9254"/>
      <c r="GG9254"/>
      <c r="GH9254"/>
      <c r="GI9254"/>
      <c r="GJ9254"/>
      <c r="GK9254"/>
      <c r="GL9254"/>
      <c r="GM9254"/>
      <c r="GN9254"/>
      <c r="GO9254"/>
    </row>
    <row r="9255" spans="107:197">
      <c r="DC9255"/>
      <c r="FH9255"/>
      <c r="FI9255"/>
      <c r="FJ9255"/>
      <c r="FK9255"/>
      <c r="FL9255"/>
      <c r="FM9255"/>
      <c r="FN9255"/>
      <c r="FO9255"/>
      <c r="FP9255"/>
      <c r="FQ9255"/>
      <c r="FR9255"/>
      <c r="FS9255"/>
      <c r="FT9255"/>
      <c r="FU9255"/>
      <c r="FV9255"/>
      <c r="FW9255"/>
      <c r="FX9255"/>
      <c r="FY9255"/>
      <c r="FZ9255"/>
      <c r="GA9255"/>
      <c r="GB9255"/>
      <c r="GC9255"/>
      <c r="GD9255"/>
      <c r="GE9255"/>
      <c r="GF9255"/>
      <c r="GG9255"/>
      <c r="GH9255"/>
      <c r="GI9255"/>
      <c r="GJ9255"/>
      <c r="GK9255"/>
      <c r="GL9255"/>
      <c r="GM9255"/>
      <c r="GN9255"/>
      <c r="GO9255"/>
    </row>
    <row r="9256" spans="107:197">
      <c r="DC9256"/>
      <c r="FH9256"/>
      <c r="FI9256"/>
      <c r="FJ9256"/>
      <c r="FK9256"/>
      <c r="FL9256"/>
      <c r="FM9256"/>
      <c r="FN9256"/>
      <c r="FO9256"/>
      <c r="FP9256"/>
      <c r="FQ9256"/>
      <c r="FR9256"/>
      <c r="FS9256"/>
      <c r="FT9256"/>
      <c r="FU9256"/>
      <c r="FV9256"/>
      <c r="FW9256"/>
      <c r="FX9256"/>
      <c r="FY9256"/>
      <c r="FZ9256"/>
      <c r="GA9256"/>
      <c r="GB9256"/>
      <c r="GC9256"/>
      <c r="GD9256"/>
      <c r="GE9256"/>
      <c r="GF9256"/>
      <c r="GG9256"/>
      <c r="GH9256"/>
      <c r="GI9256"/>
      <c r="GJ9256"/>
      <c r="GK9256"/>
      <c r="GL9256"/>
      <c r="GM9256"/>
      <c r="GN9256"/>
      <c r="GO9256"/>
    </row>
    <row r="9257" spans="107:197">
      <c r="DC9257"/>
      <c r="FH9257"/>
      <c r="FI9257"/>
      <c r="FJ9257"/>
      <c r="FK9257"/>
      <c r="FL9257"/>
      <c r="FM9257"/>
      <c r="FN9257"/>
      <c r="FO9257"/>
      <c r="FP9257"/>
      <c r="FQ9257"/>
      <c r="FR9257"/>
      <c r="FS9257"/>
      <c r="FT9257"/>
      <c r="FU9257"/>
      <c r="FV9257"/>
      <c r="FW9257"/>
      <c r="FX9257"/>
      <c r="FY9257"/>
      <c r="FZ9257"/>
      <c r="GA9257"/>
      <c r="GB9257"/>
      <c r="GC9257"/>
      <c r="GD9257"/>
      <c r="GE9257"/>
      <c r="GF9257"/>
      <c r="GG9257"/>
      <c r="GH9257"/>
      <c r="GI9257"/>
      <c r="GJ9257"/>
      <c r="GK9257"/>
      <c r="GL9257"/>
      <c r="GM9257"/>
      <c r="GN9257"/>
      <c r="GO9257"/>
    </row>
    <row r="9258" spans="107:197">
      <c r="DC9258"/>
      <c r="FH9258"/>
      <c r="FI9258"/>
      <c r="FJ9258"/>
      <c r="FK9258"/>
      <c r="FL9258"/>
      <c r="FM9258"/>
      <c r="FN9258"/>
      <c r="FO9258"/>
      <c r="FP9258"/>
      <c r="FQ9258"/>
      <c r="FR9258"/>
      <c r="FS9258"/>
      <c r="FT9258"/>
      <c r="FU9258"/>
      <c r="FV9258"/>
      <c r="FW9258"/>
      <c r="FX9258"/>
      <c r="FY9258"/>
      <c r="FZ9258"/>
      <c r="GA9258"/>
      <c r="GB9258"/>
      <c r="GC9258"/>
      <c r="GD9258"/>
      <c r="GE9258"/>
      <c r="GF9258"/>
      <c r="GG9258"/>
      <c r="GH9258"/>
      <c r="GI9258"/>
      <c r="GJ9258"/>
      <c r="GK9258"/>
      <c r="GL9258"/>
      <c r="GM9258"/>
      <c r="GN9258"/>
      <c r="GO9258"/>
    </row>
    <row r="9259" spans="107:197">
      <c r="DC9259"/>
      <c r="FH9259"/>
      <c r="FI9259"/>
      <c r="FJ9259"/>
      <c r="FK9259"/>
      <c r="FL9259"/>
      <c r="FM9259"/>
      <c r="FN9259"/>
      <c r="FO9259"/>
      <c r="FP9259"/>
      <c r="FQ9259"/>
      <c r="FR9259"/>
      <c r="FS9259"/>
      <c r="FT9259"/>
      <c r="FU9259"/>
      <c r="FV9259"/>
      <c r="FW9259"/>
      <c r="FX9259"/>
      <c r="FY9259"/>
      <c r="FZ9259"/>
      <c r="GA9259"/>
      <c r="GB9259"/>
      <c r="GC9259"/>
      <c r="GD9259"/>
      <c r="GE9259"/>
      <c r="GF9259"/>
      <c r="GG9259"/>
      <c r="GH9259"/>
      <c r="GI9259"/>
      <c r="GJ9259"/>
      <c r="GK9259"/>
      <c r="GL9259"/>
      <c r="GM9259"/>
      <c r="GN9259"/>
      <c r="GO9259"/>
    </row>
    <row r="9260" spans="107:197">
      <c r="DC9260"/>
      <c r="FH9260"/>
      <c r="FI9260"/>
      <c r="FJ9260"/>
      <c r="FK9260"/>
      <c r="FL9260"/>
      <c r="FM9260"/>
      <c r="FN9260"/>
      <c r="FO9260"/>
      <c r="FP9260"/>
      <c r="FQ9260"/>
      <c r="FR9260"/>
      <c r="FS9260"/>
      <c r="FT9260"/>
      <c r="FU9260"/>
      <c r="FV9260"/>
      <c r="FW9260"/>
      <c r="FX9260"/>
      <c r="FY9260"/>
      <c r="FZ9260"/>
      <c r="GA9260"/>
      <c r="GB9260"/>
      <c r="GC9260"/>
      <c r="GD9260"/>
      <c r="GE9260"/>
      <c r="GF9260"/>
      <c r="GG9260"/>
      <c r="GH9260"/>
      <c r="GI9260"/>
      <c r="GJ9260"/>
      <c r="GK9260"/>
      <c r="GL9260"/>
      <c r="GM9260"/>
      <c r="GN9260"/>
      <c r="GO9260"/>
    </row>
    <row r="9261" spans="107:197">
      <c r="DC9261"/>
      <c r="FH9261"/>
      <c r="FI9261"/>
      <c r="FJ9261"/>
      <c r="FK9261"/>
      <c r="FL9261"/>
      <c r="FM9261"/>
      <c r="FN9261"/>
      <c r="FO9261"/>
      <c r="FP9261"/>
      <c r="FQ9261"/>
      <c r="FR9261"/>
      <c r="FS9261"/>
      <c r="FT9261"/>
      <c r="FU9261"/>
      <c r="FV9261"/>
      <c r="FW9261"/>
      <c r="FX9261"/>
      <c r="FY9261"/>
      <c r="FZ9261"/>
      <c r="GA9261"/>
      <c r="GB9261"/>
      <c r="GC9261"/>
      <c r="GD9261"/>
      <c r="GE9261"/>
      <c r="GF9261"/>
      <c r="GG9261"/>
      <c r="GH9261"/>
      <c r="GI9261"/>
      <c r="GJ9261"/>
      <c r="GK9261"/>
      <c r="GL9261"/>
      <c r="GM9261"/>
      <c r="GN9261"/>
      <c r="GO9261"/>
    </row>
    <row r="9262" spans="107:197">
      <c r="DC9262"/>
      <c r="FH9262"/>
      <c r="FI9262"/>
      <c r="FJ9262"/>
      <c r="FK9262"/>
      <c r="FL9262"/>
      <c r="FM9262"/>
      <c r="FN9262"/>
      <c r="FO9262"/>
      <c r="FP9262"/>
      <c r="FQ9262"/>
      <c r="FR9262"/>
      <c r="FS9262"/>
      <c r="FT9262"/>
      <c r="FU9262"/>
      <c r="FV9262"/>
      <c r="FW9262"/>
      <c r="FX9262"/>
      <c r="FY9262"/>
      <c r="FZ9262"/>
      <c r="GA9262"/>
      <c r="GB9262"/>
      <c r="GC9262"/>
      <c r="GD9262"/>
      <c r="GE9262"/>
      <c r="GF9262"/>
      <c r="GG9262"/>
      <c r="GH9262"/>
      <c r="GI9262"/>
      <c r="GJ9262"/>
      <c r="GK9262"/>
      <c r="GL9262"/>
      <c r="GM9262"/>
      <c r="GN9262"/>
      <c r="GO9262"/>
    </row>
    <row r="9263" spans="107:197">
      <c r="DC9263"/>
      <c r="FH9263"/>
      <c r="FI9263"/>
      <c r="FJ9263"/>
      <c r="FK9263"/>
      <c r="FL9263"/>
      <c r="FM9263"/>
      <c r="FN9263"/>
      <c r="FO9263"/>
      <c r="FP9263"/>
      <c r="FQ9263"/>
      <c r="FR9263"/>
      <c r="FS9263"/>
      <c r="FT9263"/>
      <c r="FU9263"/>
      <c r="FV9263"/>
      <c r="FW9263"/>
      <c r="FX9263"/>
      <c r="FY9263"/>
      <c r="FZ9263"/>
      <c r="GA9263"/>
      <c r="GB9263"/>
      <c r="GC9263"/>
      <c r="GD9263"/>
      <c r="GE9263"/>
      <c r="GF9263"/>
      <c r="GG9263"/>
      <c r="GH9263"/>
      <c r="GI9263"/>
      <c r="GJ9263"/>
      <c r="GK9263"/>
      <c r="GL9263"/>
      <c r="GM9263"/>
      <c r="GN9263"/>
      <c r="GO9263"/>
    </row>
    <row r="9264" spans="107:197">
      <c r="DC9264"/>
      <c r="FH9264"/>
      <c r="FI9264"/>
      <c r="FJ9264"/>
      <c r="FK9264"/>
      <c r="FL9264"/>
      <c r="FM9264"/>
      <c r="FN9264"/>
      <c r="FO9264"/>
      <c r="FP9264"/>
      <c r="FQ9264"/>
      <c r="FR9264"/>
      <c r="FS9264"/>
      <c r="FT9264"/>
      <c r="FU9264"/>
      <c r="FV9264"/>
      <c r="FW9264"/>
      <c r="FX9264"/>
      <c r="FY9264"/>
      <c r="FZ9264"/>
      <c r="GA9264"/>
      <c r="GB9264"/>
      <c r="GC9264"/>
      <c r="GD9264"/>
      <c r="GE9264"/>
      <c r="GF9264"/>
      <c r="GG9264"/>
      <c r="GH9264"/>
      <c r="GI9264"/>
      <c r="GJ9264"/>
      <c r="GK9264"/>
      <c r="GL9264"/>
      <c r="GM9264"/>
      <c r="GN9264"/>
      <c r="GO9264"/>
    </row>
    <row r="9265" spans="107:197">
      <c r="DC9265"/>
      <c r="FH9265"/>
      <c r="FI9265"/>
      <c r="FJ9265"/>
      <c r="FK9265"/>
      <c r="FL9265"/>
      <c r="FM9265"/>
      <c r="FN9265"/>
      <c r="FO9265"/>
      <c r="FP9265"/>
      <c r="FQ9265"/>
      <c r="FR9265"/>
      <c r="FS9265"/>
      <c r="FT9265"/>
      <c r="FU9265"/>
      <c r="FV9265"/>
      <c r="FW9265"/>
      <c r="FX9265"/>
      <c r="FY9265"/>
      <c r="FZ9265"/>
      <c r="GA9265"/>
      <c r="GB9265"/>
      <c r="GC9265"/>
      <c r="GD9265"/>
      <c r="GE9265"/>
      <c r="GF9265"/>
      <c r="GG9265"/>
      <c r="GH9265"/>
      <c r="GI9265"/>
      <c r="GJ9265"/>
      <c r="GK9265"/>
      <c r="GL9265"/>
      <c r="GM9265"/>
      <c r="GN9265"/>
      <c r="GO9265"/>
    </row>
    <row r="9266" spans="107:197">
      <c r="DC9266"/>
      <c r="FH9266"/>
      <c r="FI9266"/>
      <c r="FJ9266"/>
      <c r="FK9266"/>
      <c r="FL9266"/>
      <c r="FM9266"/>
      <c r="FN9266"/>
      <c r="FO9266"/>
      <c r="FP9266"/>
      <c r="FQ9266"/>
      <c r="FR9266"/>
      <c r="FS9266"/>
      <c r="FT9266"/>
      <c r="FU9266"/>
      <c r="FV9266"/>
      <c r="FW9266"/>
      <c r="FX9266"/>
      <c r="FY9266"/>
      <c r="FZ9266"/>
      <c r="GA9266"/>
      <c r="GB9266"/>
      <c r="GC9266"/>
      <c r="GD9266"/>
      <c r="GE9266"/>
      <c r="GF9266"/>
      <c r="GG9266"/>
      <c r="GH9266"/>
      <c r="GI9266"/>
      <c r="GJ9266"/>
      <c r="GK9266"/>
      <c r="GL9266"/>
      <c r="GM9266"/>
      <c r="GN9266"/>
      <c r="GO9266"/>
    </row>
    <row r="9267" spans="107:197">
      <c r="DC9267"/>
      <c r="FH9267"/>
      <c r="FI9267"/>
      <c r="FJ9267"/>
      <c r="FK9267"/>
      <c r="FL9267"/>
      <c r="FM9267"/>
      <c r="FN9267"/>
      <c r="FO9267"/>
      <c r="FP9267"/>
      <c r="FQ9267"/>
      <c r="FR9267"/>
      <c r="FS9267"/>
      <c r="FT9267"/>
      <c r="FU9267"/>
      <c r="FV9267"/>
      <c r="FW9267"/>
      <c r="FX9267"/>
      <c r="FY9267"/>
      <c r="FZ9267"/>
      <c r="GA9267"/>
      <c r="GB9267"/>
      <c r="GC9267"/>
      <c r="GD9267"/>
      <c r="GE9267"/>
      <c r="GF9267"/>
      <c r="GG9267"/>
      <c r="GH9267"/>
      <c r="GI9267"/>
      <c r="GJ9267"/>
      <c r="GK9267"/>
      <c r="GL9267"/>
      <c r="GM9267"/>
      <c r="GN9267"/>
      <c r="GO9267"/>
    </row>
    <row r="9268" spans="107:197">
      <c r="DC9268"/>
      <c r="FH9268"/>
      <c r="FI9268"/>
      <c r="FJ9268"/>
      <c r="FK9268"/>
      <c r="FL9268"/>
      <c r="FM9268"/>
      <c r="FN9268"/>
      <c r="FO9268"/>
      <c r="FP9268"/>
      <c r="FQ9268"/>
      <c r="FR9268"/>
      <c r="FS9268"/>
      <c r="FT9268"/>
      <c r="FU9268"/>
      <c r="FV9268"/>
      <c r="FW9268"/>
      <c r="FX9268"/>
      <c r="FY9268"/>
      <c r="FZ9268"/>
      <c r="GA9268"/>
      <c r="GB9268"/>
      <c r="GC9268"/>
      <c r="GD9268"/>
      <c r="GE9268"/>
      <c r="GF9268"/>
      <c r="GG9268"/>
      <c r="GH9268"/>
      <c r="GI9268"/>
      <c r="GJ9268"/>
      <c r="GK9268"/>
      <c r="GL9268"/>
      <c r="GM9268"/>
      <c r="GN9268"/>
      <c r="GO9268"/>
    </row>
    <row r="9269" spans="107:197">
      <c r="DC9269"/>
      <c r="FH9269"/>
      <c r="FI9269"/>
      <c r="FJ9269"/>
      <c r="FK9269"/>
      <c r="FL9269"/>
      <c r="FM9269"/>
      <c r="FN9269"/>
      <c r="FO9269"/>
      <c r="FP9269"/>
      <c r="FQ9269"/>
      <c r="FR9269"/>
      <c r="FS9269"/>
      <c r="FT9269"/>
      <c r="FU9269"/>
      <c r="FV9269"/>
      <c r="FW9269"/>
      <c r="FX9269"/>
      <c r="FY9269"/>
      <c r="FZ9269"/>
      <c r="GA9269"/>
      <c r="GB9269"/>
      <c r="GC9269"/>
      <c r="GD9269"/>
      <c r="GE9269"/>
      <c r="GF9269"/>
      <c r="GG9269"/>
      <c r="GH9269"/>
      <c r="GI9269"/>
      <c r="GJ9269"/>
      <c r="GK9269"/>
      <c r="GL9269"/>
      <c r="GM9269"/>
      <c r="GN9269"/>
      <c r="GO9269"/>
    </row>
    <row r="9270" spans="107:197">
      <c r="DC9270"/>
      <c r="FH9270"/>
      <c r="FI9270"/>
      <c r="FJ9270"/>
      <c r="FK9270"/>
      <c r="FL9270"/>
      <c r="FM9270"/>
      <c r="FN9270"/>
      <c r="FO9270"/>
      <c r="FP9270"/>
      <c r="FQ9270"/>
      <c r="FR9270"/>
      <c r="FS9270"/>
      <c r="FT9270"/>
      <c r="FU9270"/>
      <c r="FV9270"/>
      <c r="FW9270"/>
      <c r="FX9270"/>
      <c r="FY9270"/>
      <c r="FZ9270"/>
      <c r="GA9270"/>
      <c r="GB9270"/>
      <c r="GC9270"/>
      <c r="GD9270"/>
      <c r="GE9270"/>
      <c r="GF9270"/>
      <c r="GG9270"/>
      <c r="GH9270"/>
      <c r="GI9270"/>
      <c r="GJ9270"/>
      <c r="GK9270"/>
      <c r="GL9270"/>
      <c r="GM9270"/>
      <c r="GN9270"/>
      <c r="GO9270"/>
    </row>
    <row r="9271" spans="107:197">
      <c r="DC9271"/>
      <c r="FH9271"/>
      <c r="FI9271"/>
      <c r="FJ9271"/>
      <c r="FK9271"/>
      <c r="FL9271"/>
      <c r="FM9271"/>
      <c r="FN9271"/>
      <c r="FO9271"/>
      <c r="FP9271"/>
      <c r="FQ9271"/>
      <c r="FR9271"/>
      <c r="FS9271"/>
      <c r="FT9271"/>
      <c r="FU9271"/>
      <c r="FV9271"/>
      <c r="FW9271"/>
      <c r="FX9271"/>
      <c r="FY9271"/>
      <c r="FZ9271"/>
      <c r="GA9271"/>
      <c r="GB9271"/>
      <c r="GC9271"/>
      <c r="GD9271"/>
      <c r="GE9271"/>
      <c r="GF9271"/>
      <c r="GG9271"/>
      <c r="GH9271"/>
      <c r="GI9271"/>
      <c r="GJ9271"/>
      <c r="GK9271"/>
      <c r="GL9271"/>
      <c r="GM9271"/>
      <c r="GN9271"/>
      <c r="GO9271"/>
    </row>
    <row r="9272" spans="107:197">
      <c r="DC9272"/>
      <c r="FH9272"/>
      <c r="FI9272"/>
      <c r="FJ9272"/>
      <c r="FK9272"/>
      <c r="FL9272"/>
      <c r="FM9272"/>
      <c r="FN9272"/>
      <c r="FO9272"/>
      <c r="FP9272"/>
      <c r="FQ9272"/>
      <c r="FR9272"/>
      <c r="FS9272"/>
      <c r="FT9272"/>
      <c r="FU9272"/>
      <c r="FV9272"/>
      <c r="FW9272"/>
      <c r="FX9272"/>
      <c r="FY9272"/>
      <c r="FZ9272"/>
      <c r="GA9272"/>
      <c r="GB9272"/>
      <c r="GC9272"/>
      <c r="GD9272"/>
      <c r="GE9272"/>
      <c r="GF9272"/>
      <c r="GG9272"/>
      <c r="GH9272"/>
      <c r="GI9272"/>
      <c r="GJ9272"/>
      <c r="GK9272"/>
      <c r="GL9272"/>
      <c r="GM9272"/>
      <c r="GN9272"/>
      <c r="GO9272"/>
    </row>
    <row r="9273" spans="107:197">
      <c r="DC9273"/>
      <c r="FH9273"/>
      <c r="FI9273"/>
      <c r="FJ9273"/>
      <c r="FK9273"/>
      <c r="FL9273"/>
      <c r="FM9273"/>
      <c r="FN9273"/>
      <c r="FO9273"/>
      <c r="FP9273"/>
      <c r="FQ9273"/>
      <c r="FR9273"/>
      <c r="FS9273"/>
      <c r="FT9273"/>
      <c r="FU9273"/>
      <c r="FV9273"/>
      <c r="FW9273"/>
      <c r="FX9273"/>
      <c r="FY9273"/>
      <c r="FZ9273"/>
      <c r="GA9273"/>
      <c r="GB9273"/>
      <c r="GC9273"/>
      <c r="GD9273"/>
      <c r="GE9273"/>
      <c r="GF9273"/>
      <c r="GG9273"/>
      <c r="GH9273"/>
      <c r="GI9273"/>
      <c r="GJ9273"/>
      <c r="GK9273"/>
      <c r="GL9273"/>
      <c r="GM9273"/>
      <c r="GN9273"/>
      <c r="GO9273"/>
    </row>
    <row r="9274" spans="107:197">
      <c r="DC9274"/>
      <c r="FH9274"/>
      <c r="FI9274"/>
      <c r="FJ9274"/>
      <c r="FK9274"/>
      <c r="FL9274"/>
      <c r="FM9274"/>
      <c r="FN9274"/>
      <c r="FO9274"/>
      <c r="FP9274"/>
      <c r="FQ9274"/>
      <c r="FR9274"/>
      <c r="FS9274"/>
      <c r="FT9274"/>
      <c r="FU9274"/>
      <c r="FV9274"/>
      <c r="FW9274"/>
      <c r="FX9274"/>
      <c r="FY9274"/>
      <c r="FZ9274"/>
      <c r="GA9274"/>
      <c r="GB9274"/>
      <c r="GC9274"/>
      <c r="GD9274"/>
      <c r="GE9274"/>
      <c r="GF9274"/>
      <c r="GG9274"/>
      <c r="GH9274"/>
      <c r="GI9274"/>
      <c r="GJ9274"/>
      <c r="GK9274"/>
      <c r="GL9274"/>
      <c r="GM9274"/>
      <c r="GN9274"/>
      <c r="GO9274"/>
    </row>
    <row r="9275" spans="107:197">
      <c r="DC9275"/>
      <c r="FH9275"/>
      <c r="FI9275"/>
      <c r="FJ9275"/>
      <c r="FK9275"/>
      <c r="FL9275"/>
      <c r="FM9275"/>
      <c r="FN9275"/>
      <c r="FO9275"/>
      <c r="FP9275"/>
      <c r="FQ9275"/>
      <c r="FR9275"/>
      <c r="FS9275"/>
      <c r="FT9275"/>
      <c r="FU9275"/>
      <c r="FV9275"/>
      <c r="FW9275"/>
      <c r="FX9275"/>
      <c r="FY9275"/>
      <c r="FZ9275"/>
      <c r="GA9275"/>
      <c r="GB9275"/>
      <c r="GC9275"/>
      <c r="GD9275"/>
      <c r="GE9275"/>
      <c r="GF9275"/>
      <c r="GG9275"/>
      <c r="GH9275"/>
      <c r="GI9275"/>
      <c r="GJ9275"/>
      <c r="GK9275"/>
      <c r="GL9275"/>
      <c r="GM9275"/>
      <c r="GN9275"/>
      <c r="GO9275"/>
    </row>
    <row r="9276" spans="107:197">
      <c r="DC9276"/>
      <c r="FH9276"/>
      <c r="FI9276"/>
      <c r="FJ9276"/>
      <c r="FK9276"/>
      <c r="FL9276"/>
      <c r="FM9276"/>
      <c r="FN9276"/>
      <c r="FO9276"/>
      <c r="FP9276"/>
      <c r="FQ9276"/>
      <c r="FR9276"/>
      <c r="FS9276"/>
      <c r="FT9276"/>
      <c r="FU9276"/>
      <c r="FV9276"/>
      <c r="FW9276"/>
      <c r="FX9276"/>
      <c r="FY9276"/>
      <c r="FZ9276"/>
      <c r="GA9276"/>
      <c r="GB9276"/>
      <c r="GC9276"/>
      <c r="GD9276"/>
      <c r="GE9276"/>
      <c r="GF9276"/>
      <c r="GG9276"/>
      <c r="GH9276"/>
      <c r="GI9276"/>
      <c r="GJ9276"/>
      <c r="GK9276"/>
      <c r="GL9276"/>
      <c r="GM9276"/>
      <c r="GN9276"/>
      <c r="GO9276"/>
    </row>
    <row r="9277" spans="107:197">
      <c r="DC9277"/>
      <c r="FH9277"/>
      <c r="FI9277"/>
      <c r="FJ9277"/>
      <c r="FK9277"/>
      <c r="FL9277"/>
      <c r="FM9277"/>
      <c r="FN9277"/>
      <c r="FO9277"/>
      <c r="FP9277"/>
      <c r="FQ9277"/>
      <c r="FR9277"/>
      <c r="FS9277"/>
      <c r="FT9277"/>
      <c r="FU9277"/>
      <c r="FV9277"/>
      <c r="FW9277"/>
      <c r="FX9277"/>
      <c r="FY9277"/>
      <c r="FZ9277"/>
      <c r="GA9277"/>
      <c r="GB9277"/>
      <c r="GC9277"/>
      <c r="GD9277"/>
      <c r="GE9277"/>
      <c r="GF9277"/>
      <c r="GG9277"/>
      <c r="GH9277"/>
      <c r="GI9277"/>
      <c r="GJ9277"/>
      <c r="GK9277"/>
      <c r="GL9277"/>
      <c r="GM9277"/>
      <c r="GN9277"/>
      <c r="GO9277"/>
    </row>
    <row r="9278" spans="107:197">
      <c r="DC9278"/>
      <c r="FH9278"/>
      <c r="FI9278"/>
      <c r="FJ9278"/>
      <c r="FK9278"/>
      <c r="FL9278"/>
      <c r="FM9278"/>
      <c r="FN9278"/>
      <c r="FO9278"/>
      <c r="FP9278"/>
      <c r="FQ9278"/>
      <c r="FR9278"/>
      <c r="FS9278"/>
      <c r="FT9278"/>
      <c r="FU9278"/>
      <c r="FV9278"/>
      <c r="FW9278"/>
      <c r="FX9278"/>
      <c r="FY9278"/>
      <c r="FZ9278"/>
      <c r="GA9278"/>
      <c r="GB9278"/>
      <c r="GC9278"/>
      <c r="GD9278"/>
      <c r="GE9278"/>
      <c r="GF9278"/>
      <c r="GG9278"/>
      <c r="GH9278"/>
      <c r="GI9278"/>
      <c r="GJ9278"/>
      <c r="GK9278"/>
      <c r="GL9278"/>
      <c r="GM9278"/>
      <c r="GN9278"/>
      <c r="GO9278"/>
    </row>
    <row r="9279" spans="107:197">
      <c r="DC9279"/>
      <c r="FH9279"/>
      <c r="FI9279"/>
      <c r="FJ9279"/>
      <c r="FK9279"/>
      <c r="FL9279"/>
      <c r="FM9279"/>
      <c r="FN9279"/>
      <c r="FO9279"/>
      <c r="FP9279"/>
      <c r="FQ9279"/>
      <c r="FR9279"/>
      <c r="FS9279"/>
      <c r="FT9279"/>
      <c r="FU9279"/>
      <c r="FV9279"/>
      <c r="FW9279"/>
      <c r="FX9279"/>
      <c r="FY9279"/>
      <c r="FZ9279"/>
      <c r="GA9279"/>
      <c r="GB9279"/>
      <c r="GC9279"/>
      <c r="GD9279"/>
      <c r="GE9279"/>
      <c r="GF9279"/>
      <c r="GG9279"/>
      <c r="GH9279"/>
      <c r="GI9279"/>
      <c r="GJ9279"/>
      <c r="GK9279"/>
      <c r="GL9279"/>
      <c r="GM9279"/>
      <c r="GN9279"/>
      <c r="GO9279"/>
    </row>
    <row r="9280" spans="107:197">
      <c r="DC9280"/>
      <c r="FH9280"/>
      <c r="FI9280"/>
      <c r="FJ9280"/>
      <c r="FK9280"/>
      <c r="FL9280"/>
      <c r="FM9280"/>
      <c r="FN9280"/>
      <c r="FO9280"/>
      <c r="FP9280"/>
      <c r="FQ9280"/>
      <c r="FR9280"/>
      <c r="FS9280"/>
      <c r="FT9280"/>
      <c r="FU9280"/>
      <c r="FV9280"/>
      <c r="FW9280"/>
      <c r="FX9280"/>
      <c r="FY9280"/>
      <c r="FZ9280"/>
      <c r="GA9280"/>
      <c r="GB9280"/>
      <c r="GC9280"/>
      <c r="GD9280"/>
      <c r="GE9280"/>
      <c r="GF9280"/>
      <c r="GG9280"/>
      <c r="GH9280"/>
      <c r="GI9280"/>
      <c r="GJ9280"/>
      <c r="GK9280"/>
      <c r="GL9280"/>
      <c r="GM9280"/>
      <c r="GN9280"/>
      <c r="GO9280"/>
    </row>
    <row r="9281" spans="107:197">
      <c r="DC9281"/>
      <c r="FH9281"/>
      <c r="FI9281"/>
      <c r="FJ9281"/>
      <c r="FK9281"/>
      <c r="FL9281"/>
      <c r="FM9281"/>
      <c r="FN9281"/>
      <c r="FO9281"/>
      <c r="FP9281"/>
      <c r="FQ9281"/>
      <c r="FR9281"/>
      <c r="FS9281"/>
      <c r="FT9281"/>
      <c r="FU9281"/>
      <c r="FV9281"/>
      <c r="FW9281"/>
      <c r="FX9281"/>
      <c r="FY9281"/>
      <c r="FZ9281"/>
      <c r="GA9281"/>
      <c r="GB9281"/>
      <c r="GC9281"/>
      <c r="GD9281"/>
      <c r="GE9281"/>
      <c r="GF9281"/>
      <c r="GG9281"/>
      <c r="GH9281"/>
      <c r="GI9281"/>
      <c r="GJ9281"/>
      <c r="GK9281"/>
      <c r="GL9281"/>
      <c r="GM9281"/>
      <c r="GN9281"/>
      <c r="GO9281"/>
    </row>
    <row r="9282" spans="107:197">
      <c r="DC9282"/>
      <c r="FH9282"/>
      <c r="FI9282"/>
      <c r="FJ9282"/>
      <c r="FK9282"/>
      <c r="FL9282"/>
      <c r="FM9282"/>
      <c r="FN9282"/>
      <c r="FO9282"/>
      <c r="FP9282"/>
      <c r="FQ9282"/>
      <c r="FR9282"/>
      <c r="FS9282"/>
      <c r="FT9282"/>
      <c r="FU9282"/>
      <c r="FV9282"/>
      <c r="FW9282"/>
      <c r="FX9282"/>
      <c r="FY9282"/>
      <c r="FZ9282"/>
      <c r="GA9282"/>
      <c r="GB9282"/>
      <c r="GC9282"/>
      <c r="GD9282"/>
      <c r="GE9282"/>
      <c r="GF9282"/>
      <c r="GG9282"/>
      <c r="GH9282"/>
      <c r="GI9282"/>
      <c r="GJ9282"/>
      <c r="GK9282"/>
      <c r="GL9282"/>
      <c r="GM9282"/>
      <c r="GN9282"/>
      <c r="GO9282"/>
    </row>
    <row r="9283" spans="107:197">
      <c r="DC9283"/>
      <c r="FH9283"/>
      <c r="FI9283"/>
      <c r="FJ9283"/>
      <c r="FK9283"/>
      <c r="FL9283"/>
      <c r="FM9283"/>
      <c r="FN9283"/>
      <c r="FO9283"/>
      <c r="FP9283"/>
      <c r="FQ9283"/>
      <c r="FR9283"/>
      <c r="FS9283"/>
      <c r="FT9283"/>
      <c r="FU9283"/>
      <c r="FV9283"/>
      <c r="FW9283"/>
      <c r="FX9283"/>
      <c r="FY9283"/>
      <c r="FZ9283"/>
      <c r="GA9283"/>
      <c r="GB9283"/>
      <c r="GC9283"/>
      <c r="GD9283"/>
      <c r="GE9283"/>
      <c r="GF9283"/>
      <c r="GG9283"/>
      <c r="GH9283"/>
      <c r="GI9283"/>
      <c r="GJ9283"/>
      <c r="GK9283"/>
      <c r="GL9283"/>
      <c r="GM9283"/>
      <c r="GN9283"/>
      <c r="GO9283"/>
    </row>
    <row r="9284" spans="107:197">
      <c r="DC9284"/>
      <c r="FH9284"/>
      <c r="FI9284"/>
      <c r="FJ9284"/>
      <c r="FK9284"/>
      <c r="FL9284"/>
      <c r="FM9284"/>
      <c r="FN9284"/>
      <c r="FO9284"/>
      <c r="FP9284"/>
      <c r="FQ9284"/>
      <c r="FR9284"/>
      <c r="FS9284"/>
      <c r="FT9284"/>
      <c r="FU9284"/>
      <c r="FV9284"/>
      <c r="FW9284"/>
      <c r="FX9284"/>
      <c r="FY9284"/>
      <c r="FZ9284"/>
      <c r="GA9284"/>
      <c r="GB9284"/>
      <c r="GC9284"/>
      <c r="GD9284"/>
      <c r="GE9284"/>
      <c r="GF9284"/>
      <c r="GG9284"/>
      <c r="GH9284"/>
      <c r="GI9284"/>
      <c r="GJ9284"/>
      <c r="GK9284"/>
      <c r="GL9284"/>
      <c r="GM9284"/>
      <c r="GN9284"/>
      <c r="GO9284"/>
    </row>
    <row r="9285" spans="107:197">
      <c r="DC9285"/>
      <c r="FH9285"/>
      <c r="FI9285"/>
      <c r="FJ9285"/>
      <c r="FK9285"/>
      <c r="FL9285"/>
      <c r="FM9285"/>
      <c r="FN9285"/>
      <c r="FO9285"/>
      <c r="FP9285"/>
      <c r="FQ9285"/>
      <c r="FR9285"/>
      <c r="FS9285"/>
      <c r="FT9285"/>
      <c r="FU9285"/>
      <c r="FV9285"/>
      <c r="FW9285"/>
      <c r="FX9285"/>
      <c r="FY9285"/>
      <c r="FZ9285"/>
      <c r="GA9285"/>
      <c r="GB9285"/>
      <c r="GC9285"/>
      <c r="GD9285"/>
      <c r="GE9285"/>
      <c r="GF9285"/>
      <c r="GG9285"/>
      <c r="GH9285"/>
      <c r="GI9285"/>
      <c r="GJ9285"/>
      <c r="GK9285"/>
      <c r="GL9285"/>
      <c r="GM9285"/>
      <c r="GN9285"/>
      <c r="GO9285"/>
    </row>
    <row r="9286" spans="107:197">
      <c r="DC9286"/>
      <c r="FH9286"/>
      <c r="FI9286"/>
      <c r="FJ9286"/>
      <c r="FK9286"/>
      <c r="FL9286"/>
      <c r="FM9286"/>
      <c r="FN9286"/>
      <c r="FO9286"/>
      <c r="FP9286"/>
      <c r="FQ9286"/>
      <c r="FR9286"/>
      <c r="FS9286"/>
      <c r="FT9286"/>
      <c r="FU9286"/>
      <c r="FV9286"/>
      <c r="FW9286"/>
      <c r="FX9286"/>
      <c r="FY9286"/>
      <c r="FZ9286"/>
      <c r="GA9286"/>
      <c r="GB9286"/>
      <c r="GC9286"/>
      <c r="GD9286"/>
      <c r="GE9286"/>
      <c r="GF9286"/>
      <c r="GG9286"/>
      <c r="GH9286"/>
      <c r="GI9286"/>
      <c r="GJ9286"/>
      <c r="GK9286"/>
      <c r="GL9286"/>
      <c r="GM9286"/>
      <c r="GN9286"/>
      <c r="GO9286"/>
    </row>
    <row r="9287" spans="107:197">
      <c r="DC9287"/>
      <c r="FH9287"/>
      <c r="FI9287"/>
      <c r="FJ9287"/>
      <c r="FK9287"/>
      <c r="FL9287"/>
      <c r="FM9287"/>
      <c r="FN9287"/>
      <c r="FO9287"/>
      <c r="FP9287"/>
      <c r="FQ9287"/>
      <c r="FR9287"/>
      <c r="FS9287"/>
      <c r="FT9287"/>
      <c r="FU9287"/>
      <c r="FV9287"/>
      <c r="FW9287"/>
      <c r="FX9287"/>
      <c r="FY9287"/>
      <c r="FZ9287"/>
      <c r="GA9287"/>
      <c r="GB9287"/>
      <c r="GC9287"/>
      <c r="GD9287"/>
      <c r="GE9287"/>
      <c r="GF9287"/>
      <c r="GG9287"/>
      <c r="GH9287"/>
      <c r="GI9287"/>
      <c r="GJ9287"/>
      <c r="GK9287"/>
      <c r="GL9287"/>
      <c r="GM9287"/>
      <c r="GN9287"/>
      <c r="GO9287"/>
    </row>
    <row r="9288" spans="107:197">
      <c r="DC9288"/>
      <c r="FH9288"/>
      <c r="FI9288"/>
      <c r="FJ9288"/>
      <c r="FK9288"/>
      <c r="FL9288"/>
      <c r="FM9288"/>
      <c r="FN9288"/>
      <c r="FO9288"/>
      <c r="FP9288"/>
      <c r="FQ9288"/>
      <c r="FR9288"/>
      <c r="FS9288"/>
      <c r="FT9288"/>
      <c r="FU9288"/>
      <c r="FV9288"/>
      <c r="FW9288"/>
      <c r="FX9288"/>
      <c r="FY9288"/>
      <c r="FZ9288"/>
      <c r="GA9288"/>
      <c r="GB9288"/>
      <c r="GC9288"/>
      <c r="GD9288"/>
      <c r="GE9288"/>
      <c r="GF9288"/>
      <c r="GG9288"/>
      <c r="GH9288"/>
      <c r="GI9288"/>
      <c r="GJ9288"/>
      <c r="GK9288"/>
      <c r="GL9288"/>
      <c r="GM9288"/>
      <c r="GN9288"/>
      <c r="GO9288"/>
    </row>
    <row r="9289" spans="107:197">
      <c r="DC9289"/>
      <c r="FH9289"/>
      <c r="FI9289"/>
      <c r="FJ9289"/>
      <c r="FK9289"/>
      <c r="FL9289"/>
      <c r="FM9289"/>
      <c r="FN9289"/>
      <c r="FO9289"/>
      <c r="FP9289"/>
      <c r="FQ9289"/>
      <c r="FR9289"/>
      <c r="FS9289"/>
      <c r="FT9289"/>
      <c r="FU9289"/>
      <c r="FV9289"/>
      <c r="FW9289"/>
      <c r="FX9289"/>
      <c r="FY9289"/>
      <c r="FZ9289"/>
      <c r="GA9289"/>
      <c r="GB9289"/>
      <c r="GC9289"/>
      <c r="GD9289"/>
      <c r="GE9289"/>
      <c r="GF9289"/>
      <c r="GG9289"/>
      <c r="GH9289"/>
      <c r="GI9289"/>
      <c r="GJ9289"/>
      <c r="GK9289"/>
      <c r="GL9289"/>
      <c r="GM9289"/>
      <c r="GN9289"/>
      <c r="GO9289"/>
    </row>
    <row r="9290" spans="107:197">
      <c r="DC9290"/>
      <c r="FH9290"/>
      <c r="FI9290"/>
      <c r="FJ9290"/>
      <c r="FK9290"/>
      <c r="FL9290"/>
      <c r="FM9290"/>
      <c r="FN9290"/>
      <c r="FO9290"/>
      <c r="FP9290"/>
      <c r="FQ9290"/>
      <c r="FR9290"/>
      <c r="FS9290"/>
      <c r="FT9290"/>
      <c r="FU9290"/>
      <c r="FV9290"/>
      <c r="FW9290"/>
      <c r="FX9290"/>
      <c r="FY9290"/>
      <c r="FZ9290"/>
      <c r="GA9290"/>
      <c r="GB9290"/>
      <c r="GC9290"/>
      <c r="GD9290"/>
      <c r="GE9290"/>
      <c r="GF9290"/>
      <c r="GG9290"/>
      <c r="GH9290"/>
      <c r="GI9290"/>
      <c r="GJ9290"/>
      <c r="GK9290"/>
      <c r="GL9290"/>
      <c r="GM9290"/>
      <c r="GN9290"/>
      <c r="GO9290"/>
    </row>
    <row r="9291" spans="107:197">
      <c r="DC9291"/>
      <c r="FH9291"/>
      <c r="FI9291"/>
      <c r="FJ9291"/>
      <c r="FK9291"/>
      <c r="FL9291"/>
      <c r="FM9291"/>
      <c r="FN9291"/>
      <c r="FO9291"/>
      <c r="FP9291"/>
      <c r="FQ9291"/>
      <c r="FR9291"/>
      <c r="FS9291"/>
      <c r="FT9291"/>
      <c r="FU9291"/>
      <c r="FV9291"/>
      <c r="FW9291"/>
      <c r="FX9291"/>
      <c r="FY9291"/>
      <c r="FZ9291"/>
      <c r="GA9291"/>
      <c r="GB9291"/>
      <c r="GC9291"/>
      <c r="GD9291"/>
      <c r="GE9291"/>
      <c r="GF9291"/>
      <c r="GG9291"/>
      <c r="GH9291"/>
      <c r="GI9291"/>
      <c r="GJ9291"/>
      <c r="GK9291"/>
      <c r="GL9291"/>
      <c r="GM9291"/>
      <c r="GN9291"/>
      <c r="GO9291"/>
    </row>
    <row r="9292" spans="107:197">
      <c r="DC9292"/>
      <c r="FH9292"/>
      <c r="FI9292"/>
      <c r="FJ9292"/>
      <c r="FK9292"/>
      <c r="FL9292"/>
      <c r="FM9292"/>
      <c r="FN9292"/>
      <c r="FO9292"/>
      <c r="FP9292"/>
      <c r="FQ9292"/>
      <c r="FR9292"/>
      <c r="FS9292"/>
      <c r="FT9292"/>
      <c r="FU9292"/>
      <c r="FV9292"/>
      <c r="FW9292"/>
      <c r="FX9292"/>
      <c r="FY9292"/>
      <c r="FZ9292"/>
      <c r="GA9292"/>
      <c r="GB9292"/>
      <c r="GC9292"/>
      <c r="GD9292"/>
      <c r="GE9292"/>
      <c r="GF9292"/>
      <c r="GG9292"/>
      <c r="GH9292"/>
      <c r="GI9292"/>
      <c r="GJ9292"/>
      <c r="GK9292"/>
      <c r="GL9292"/>
      <c r="GM9292"/>
      <c r="GN9292"/>
      <c r="GO9292"/>
    </row>
    <row r="9293" spans="107:197">
      <c r="DC9293"/>
      <c r="FH9293"/>
      <c r="FI9293"/>
      <c r="FJ9293"/>
      <c r="FK9293"/>
      <c r="FL9293"/>
      <c r="FM9293"/>
      <c r="FN9293"/>
      <c r="FO9293"/>
      <c r="FP9293"/>
      <c r="FQ9293"/>
      <c r="FR9293"/>
      <c r="FS9293"/>
      <c r="FT9293"/>
      <c r="FU9293"/>
      <c r="FV9293"/>
      <c r="FW9293"/>
      <c r="FX9293"/>
      <c r="FY9293"/>
      <c r="FZ9293"/>
      <c r="GA9293"/>
      <c r="GB9293"/>
      <c r="GC9293"/>
      <c r="GD9293"/>
      <c r="GE9293"/>
      <c r="GF9293"/>
      <c r="GG9293"/>
      <c r="GH9293"/>
      <c r="GI9293"/>
      <c r="GJ9293"/>
      <c r="GK9293"/>
      <c r="GL9293"/>
      <c r="GM9293"/>
      <c r="GN9293"/>
      <c r="GO9293"/>
    </row>
    <row r="9294" spans="107:197">
      <c r="DC9294"/>
      <c r="FH9294"/>
      <c r="FI9294"/>
      <c r="FJ9294"/>
      <c r="FK9294"/>
      <c r="FL9294"/>
      <c r="FM9294"/>
      <c r="FN9294"/>
      <c r="FO9294"/>
      <c r="FP9294"/>
      <c r="FQ9294"/>
      <c r="FR9294"/>
      <c r="FS9294"/>
      <c r="FT9294"/>
      <c r="FU9294"/>
      <c r="FV9294"/>
      <c r="FW9294"/>
      <c r="FX9294"/>
      <c r="FY9294"/>
      <c r="FZ9294"/>
      <c r="GA9294"/>
      <c r="GB9294"/>
      <c r="GC9294"/>
      <c r="GD9294"/>
      <c r="GE9294"/>
      <c r="GF9294"/>
      <c r="GG9294"/>
      <c r="GH9294"/>
      <c r="GI9294"/>
      <c r="GJ9294"/>
      <c r="GK9294"/>
      <c r="GL9294"/>
      <c r="GM9294"/>
      <c r="GN9294"/>
      <c r="GO9294"/>
    </row>
    <row r="9295" spans="107:197">
      <c r="DC9295"/>
      <c r="FH9295"/>
      <c r="FI9295"/>
      <c r="FJ9295"/>
      <c r="FK9295"/>
      <c r="FL9295"/>
      <c r="FM9295"/>
      <c r="FN9295"/>
      <c r="FO9295"/>
      <c r="FP9295"/>
      <c r="FQ9295"/>
      <c r="FR9295"/>
      <c r="FS9295"/>
      <c r="FT9295"/>
      <c r="FU9295"/>
      <c r="FV9295"/>
      <c r="FW9295"/>
      <c r="FX9295"/>
      <c r="FY9295"/>
      <c r="FZ9295"/>
      <c r="GA9295"/>
      <c r="GB9295"/>
      <c r="GC9295"/>
      <c r="GD9295"/>
      <c r="GE9295"/>
      <c r="GF9295"/>
      <c r="GG9295"/>
      <c r="GH9295"/>
      <c r="GI9295"/>
      <c r="GJ9295"/>
      <c r="GK9295"/>
      <c r="GL9295"/>
      <c r="GM9295"/>
      <c r="GN9295"/>
      <c r="GO9295"/>
    </row>
    <row r="9296" spans="107:197">
      <c r="DC9296"/>
      <c r="FH9296"/>
      <c r="FI9296"/>
      <c r="FJ9296"/>
      <c r="FK9296"/>
      <c r="FL9296"/>
      <c r="FM9296"/>
      <c r="FN9296"/>
      <c r="FO9296"/>
      <c r="FP9296"/>
      <c r="FQ9296"/>
      <c r="FR9296"/>
      <c r="FS9296"/>
      <c r="FT9296"/>
      <c r="FU9296"/>
      <c r="FV9296"/>
      <c r="FW9296"/>
      <c r="FX9296"/>
      <c r="FY9296"/>
      <c r="FZ9296"/>
      <c r="GA9296"/>
      <c r="GB9296"/>
      <c r="GC9296"/>
      <c r="GD9296"/>
      <c r="GE9296"/>
      <c r="GF9296"/>
      <c r="GG9296"/>
      <c r="GH9296"/>
      <c r="GI9296"/>
      <c r="GJ9296"/>
      <c r="GK9296"/>
      <c r="GL9296"/>
      <c r="GM9296"/>
      <c r="GN9296"/>
      <c r="GO9296"/>
    </row>
    <row r="9297" spans="107:197">
      <c r="DC9297"/>
      <c r="FH9297"/>
      <c r="FI9297"/>
      <c r="FJ9297"/>
      <c r="FK9297"/>
      <c r="FL9297"/>
      <c r="FM9297"/>
      <c r="FN9297"/>
      <c r="FO9297"/>
      <c r="FP9297"/>
      <c r="FQ9297"/>
      <c r="FR9297"/>
      <c r="FS9297"/>
      <c r="FT9297"/>
      <c r="FU9297"/>
      <c r="FV9297"/>
      <c r="FW9297"/>
      <c r="FX9297"/>
      <c r="FY9297"/>
      <c r="FZ9297"/>
      <c r="GA9297"/>
      <c r="GB9297"/>
      <c r="GC9297"/>
      <c r="GD9297"/>
      <c r="GE9297"/>
      <c r="GF9297"/>
      <c r="GG9297"/>
      <c r="GH9297"/>
      <c r="GI9297"/>
      <c r="GJ9297"/>
      <c r="GK9297"/>
      <c r="GL9297"/>
      <c r="GM9297"/>
      <c r="GN9297"/>
      <c r="GO9297"/>
    </row>
    <row r="9298" spans="107:197">
      <c r="DC9298"/>
      <c r="FH9298"/>
      <c r="FI9298"/>
      <c r="FJ9298"/>
      <c r="FK9298"/>
      <c r="FL9298"/>
      <c r="FM9298"/>
      <c r="FN9298"/>
      <c r="FO9298"/>
      <c r="FP9298"/>
      <c r="FQ9298"/>
      <c r="FR9298"/>
      <c r="FS9298"/>
      <c r="FT9298"/>
      <c r="FU9298"/>
      <c r="FV9298"/>
      <c r="FW9298"/>
      <c r="FX9298"/>
      <c r="FY9298"/>
      <c r="FZ9298"/>
      <c r="GA9298"/>
      <c r="GB9298"/>
      <c r="GC9298"/>
      <c r="GD9298"/>
      <c r="GE9298"/>
      <c r="GF9298"/>
      <c r="GG9298"/>
      <c r="GH9298"/>
      <c r="GI9298"/>
      <c r="GJ9298"/>
      <c r="GK9298"/>
      <c r="GL9298"/>
      <c r="GM9298"/>
      <c r="GN9298"/>
      <c r="GO9298"/>
    </row>
    <row r="9299" spans="107:197">
      <c r="DC9299"/>
      <c r="FH9299"/>
      <c r="FI9299"/>
      <c r="FJ9299"/>
      <c r="FK9299"/>
      <c r="FL9299"/>
      <c r="FM9299"/>
      <c r="FN9299"/>
      <c r="FO9299"/>
      <c r="FP9299"/>
      <c r="FQ9299"/>
      <c r="FR9299"/>
      <c r="FS9299"/>
      <c r="FT9299"/>
      <c r="FU9299"/>
      <c r="FV9299"/>
      <c r="FW9299"/>
      <c r="FX9299"/>
      <c r="FY9299"/>
      <c r="FZ9299"/>
      <c r="GA9299"/>
      <c r="GB9299"/>
      <c r="GC9299"/>
      <c r="GD9299"/>
      <c r="GE9299"/>
      <c r="GF9299"/>
      <c r="GG9299"/>
      <c r="GH9299"/>
      <c r="GI9299"/>
      <c r="GJ9299"/>
      <c r="GK9299"/>
      <c r="GL9299"/>
      <c r="GM9299"/>
      <c r="GN9299"/>
      <c r="GO9299"/>
    </row>
    <row r="9300" spans="107:197">
      <c r="DC9300"/>
      <c r="FH9300"/>
      <c r="FI9300"/>
      <c r="FJ9300"/>
      <c r="FK9300"/>
      <c r="FL9300"/>
      <c r="FM9300"/>
      <c r="FN9300"/>
      <c r="FO9300"/>
      <c r="FP9300"/>
      <c r="FQ9300"/>
      <c r="FR9300"/>
      <c r="FS9300"/>
      <c r="FT9300"/>
      <c r="FU9300"/>
      <c r="FV9300"/>
      <c r="FW9300"/>
      <c r="FX9300"/>
      <c r="FY9300"/>
      <c r="FZ9300"/>
      <c r="GA9300"/>
      <c r="GB9300"/>
      <c r="GC9300"/>
      <c r="GD9300"/>
      <c r="GE9300"/>
      <c r="GF9300"/>
      <c r="GG9300"/>
      <c r="GH9300"/>
      <c r="GI9300"/>
      <c r="GJ9300"/>
      <c r="GK9300"/>
      <c r="GL9300"/>
      <c r="GM9300"/>
      <c r="GN9300"/>
      <c r="GO9300"/>
    </row>
    <row r="9301" spans="107:197">
      <c r="DC9301"/>
      <c r="FH9301"/>
      <c r="FI9301"/>
      <c r="FJ9301"/>
      <c r="FK9301"/>
      <c r="FL9301"/>
      <c r="FM9301"/>
      <c r="FN9301"/>
      <c r="FO9301"/>
      <c r="FP9301"/>
      <c r="FQ9301"/>
      <c r="FR9301"/>
      <c r="FS9301"/>
      <c r="FT9301"/>
      <c r="FU9301"/>
      <c r="FV9301"/>
      <c r="FW9301"/>
      <c r="FX9301"/>
      <c r="FY9301"/>
      <c r="FZ9301"/>
      <c r="GA9301"/>
      <c r="GB9301"/>
      <c r="GC9301"/>
      <c r="GD9301"/>
      <c r="GE9301"/>
      <c r="GF9301"/>
      <c r="GG9301"/>
      <c r="GH9301"/>
      <c r="GI9301"/>
      <c r="GJ9301"/>
      <c r="GK9301"/>
      <c r="GL9301"/>
      <c r="GM9301"/>
      <c r="GN9301"/>
      <c r="GO9301"/>
    </row>
    <row r="9302" spans="107:197">
      <c r="DC9302"/>
      <c r="FH9302"/>
      <c r="FI9302"/>
      <c r="FJ9302"/>
      <c r="FK9302"/>
      <c r="FL9302"/>
      <c r="FM9302"/>
      <c r="FN9302"/>
      <c r="FO9302"/>
      <c r="FP9302"/>
      <c r="FQ9302"/>
      <c r="FR9302"/>
      <c r="FS9302"/>
      <c r="FT9302"/>
      <c r="FU9302"/>
      <c r="FV9302"/>
      <c r="FW9302"/>
      <c r="FX9302"/>
      <c r="FY9302"/>
      <c r="FZ9302"/>
      <c r="GA9302"/>
      <c r="GB9302"/>
      <c r="GC9302"/>
      <c r="GD9302"/>
      <c r="GE9302"/>
      <c r="GF9302"/>
      <c r="GG9302"/>
      <c r="GH9302"/>
      <c r="GI9302"/>
      <c r="GJ9302"/>
      <c r="GK9302"/>
      <c r="GL9302"/>
      <c r="GM9302"/>
      <c r="GN9302"/>
      <c r="GO9302"/>
    </row>
    <row r="9303" spans="107:197">
      <c r="DC9303"/>
      <c r="FH9303"/>
      <c r="FI9303"/>
      <c r="FJ9303"/>
      <c r="FK9303"/>
      <c r="FL9303"/>
      <c r="FM9303"/>
      <c r="FN9303"/>
      <c r="FO9303"/>
      <c r="FP9303"/>
      <c r="FQ9303"/>
      <c r="FR9303"/>
      <c r="FS9303"/>
      <c r="FT9303"/>
      <c r="FU9303"/>
      <c r="FV9303"/>
      <c r="FW9303"/>
      <c r="FX9303"/>
      <c r="FY9303"/>
      <c r="FZ9303"/>
      <c r="GA9303"/>
      <c r="GB9303"/>
      <c r="GC9303"/>
      <c r="GD9303"/>
      <c r="GE9303"/>
      <c r="GF9303"/>
      <c r="GG9303"/>
      <c r="GH9303"/>
      <c r="GI9303"/>
      <c r="GJ9303"/>
      <c r="GK9303"/>
      <c r="GL9303"/>
      <c r="GM9303"/>
      <c r="GN9303"/>
      <c r="GO9303"/>
    </row>
    <row r="9304" spans="107:197">
      <c r="DC9304"/>
      <c r="FH9304"/>
      <c r="FI9304"/>
      <c r="FJ9304"/>
      <c r="FK9304"/>
      <c r="FL9304"/>
      <c r="FM9304"/>
      <c r="FN9304"/>
      <c r="FO9304"/>
      <c r="FP9304"/>
      <c r="FQ9304"/>
      <c r="FR9304"/>
      <c r="FS9304"/>
      <c r="FT9304"/>
      <c r="FU9304"/>
      <c r="FV9304"/>
      <c r="FW9304"/>
      <c r="FX9304"/>
      <c r="FY9304"/>
      <c r="FZ9304"/>
      <c r="GA9304"/>
      <c r="GB9304"/>
      <c r="GC9304"/>
      <c r="GD9304"/>
      <c r="GE9304"/>
      <c r="GF9304"/>
      <c r="GG9304"/>
      <c r="GH9304"/>
      <c r="GI9304"/>
      <c r="GJ9304"/>
      <c r="GK9304"/>
      <c r="GL9304"/>
      <c r="GM9304"/>
      <c r="GN9304"/>
      <c r="GO9304"/>
    </row>
    <row r="9305" spans="107:197">
      <c r="DC9305"/>
      <c r="FH9305"/>
      <c r="FI9305"/>
      <c r="FJ9305"/>
      <c r="FK9305"/>
      <c r="FL9305"/>
      <c r="FM9305"/>
      <c r="FN9305"/>
      <c r="FO9305"/>
      <c r="FP9305"/>
      <c r="FQ9305"/>
      <c r="FR9305"/>
      <c r="FS9305"/>
      <c r="FT9305"/>
      <c r="FU9305"/>
      <c r="FV9305"/>
      <c r="FW9305"/>
      <c r="FX9305"/>
      <c r="FY9305"/>
      <c r="FZ9305"/>
      <c r="GA9305"/>
      <c r="GB9305"/>
      <c r="GC9305"/>
      <c r="GD9305"/>
      <c r="GE9305"/>
      <c r="GF9305"/>
      <c r="GG9305"/>
      <c r="GH9305"/>
      <c r="GI9305"/>
      <c r="GJ9305"/>
      <c r="GK9305"/>
      <c r="GL9305"/>
      <c r="GM9305"/>
      <c r="GN9305"/>
      <c r="GO9305"/>
    </row>
    <row r="9306" spans="107:197">
      <c r="DC9306"/>
      <c r="FH9306"/>
      <c r="FI9306"/>
      <c r="FJ9306"/>
      <c r="FK9306"/>
      <c r="FL9306"/>
      <c r="FM9306"/>
      <c r="FN9306"/>
      <c r="FO9306"/>
      <c r="FP9306"/>
      <c r="FQ9306"/>
      <c r="FR9306"/>
      <c r="FS9306"/>
      <c r="FT9306"/>
      <c r="FU9306"/>
      <c r="FV9306"/>
      <c r="FW9306"/>
      <c r="FX9306"/>
      <c r="FY9306"/>
      <c r="FZ9306"/>
      <c r="GA9306"/>
      <c r="GB9306"/>
      <c r="GC9306"/>
      <c r="GD9306"/>
      <c r="GE9306"/>
      <c r="GF9306"/>
      <c r="GG9306"/>
      <c r="GH9306"/>
      <c r="GI9306"/>
      <c r="GJ9306"/>
      <c r="GK9306"/>
      <c r="GL9306"/>
      <c r="GM9306"/>
      <c r="GN9306"/>
      <c r="GO9306"/>
    </row>
    <row r="9307" spans="107:197">
      <c r="DC9307"/>
      <c r="FH9307"/>
      <c r="FI9307"/>
      <c r="FJ9307"/>
      <c r="FK9307"/>
      <c r="FL9307"/>
      <c r="FM9307"/>
      <c r="FN9307"/>
      <c r="FO9307"/>
      <c r="FP9307"/>
      <c r="FQ9307"/>
      <c r="FR9307"/>
      <c r="FS9307"/>
      <c r="FT9307"/>
      <c r="FU9307"/>
      <c r="FV9307"/>
      <c r="FW9307"/>
      <c r="FX9307"/>
      <c r="FY9307"/>
      <c r="FZ9307"/>
      <c r="GA9307"/>
      <c r="GB9307"/>
      <c r="GC9307"/>
      <c r="GD9307"/>
      <c r="GE9307"/>
      <c r="GF9307"/>
      <c r="GG9307"/>
      <c r="GH9307"/>
      <c r="GI9307"/>
      <c r="GJ9307"/>
      <c r="GK9307"/>
      <c r="GL9307"/>
      <c r="GM9307"/>
      <c r="GN9307"/>
      <c r="GO9307"/>
    </row>
    <row r="9308" spans="107:197">
      <c r="DC9308"/>
      <c r="FH9308"/>
      <c r="FI9308"/>
      <c r="FJ9308"/>
      <c r="FK9308"/>
      <c r="FL9308"/>
      <c r="FM9308"/>
      <c r="FN9308"/>
      <c r="FO9308"/>
      <c r="FP9308"/>
      <c r="FQ9308"/>
      <c r="FR9308"/>
      <c r="FS9308"/>
      <c r="FT9308"/>
      <c r="FU9308"/>
      <c r="FV9308"/>
      <c r="FW9308"/>
      <c r="FX9308"/>
      <c r="FY9308"/>
      <c r="FZ9308"/>
      <c r="GA9308"/>
      <c r="GB9308"/>
      <c r="GC9308"/>
      <c r="GD9308"/>
      <c r="GE9308"/>
      <c r="GF9308"/>
      <c r="GG9308"/>
      <c r="GH9308"/>
      <c r="GI9308"/>
      <c r="GJ9308"/>
      <c r="GK9308"/>
      <c r="GL9308"/>
      <c r="GM9308"/>
      <c r="GN9308"/>
      <c r="GO9308"/>
    </row>
    <row r="9309" spans="107:197">
      <c r="DC9309"/>
      <c r="FH9309"/>
      <c r="FI9309"/>
      <c r="FJ9309"/>
      <c r="FK9309"/>
      <c r="FL9309"/>
      <c r="FM9309"/>
      <c r="FN9309"/>
      <c r="FO9309"/>
      <c r="FP9309"/>
      <c r="FQ9309"/>
      <c r="FR9309"/>
      <c r="FS9309"/>
      <c r="FT9309"/>
      <c r="FU9309"/>
      <c r="FV9309"/>
      <c r="FW9309"/>
      <c r="FX9309"/>
      <c r="FY9309"/>
      <c r="FZ9309"/>
      <c r="GA9309"/>
      <c r="GB9309"/>
      <c r="GC9309"/>
      <c r="GD9309"/>
      <c r="GE9309"/>
      <c r="GF9309"/>
      <c r="GG9309"/>
      <c r="GH9309"/>
      <c r="GI9309"/>
      <c r="GJ9309"/>
      <c r="GK9309"/>
      <c r="GL9309"/>
      <c r="GM9309"/>
      <c r="GN9309"/>
      <c r="GO9309"/>
    </row>
    <row r="9310" spans="107:197">
      <c r="DC9310"/>
      <c r="FH9310"/>
      <c r="FI9310"/>
      <c r="FJ9310"/>
      <c r="FK9310"/>
      <c r="FL9310"/>
      <c r="FM9310"/>
      <c r="FN9310"/>
      <c r="FO9310"/>
      <c r="FP9310"/>
      <c r="FQ9310"/>
      <c r="FR9310"/>
      <c r="FS9310"/>
      <c r="FT9310"/>
      <c r="FU9310"/>
      <c r="FV9310"/>
      <c r="FW9310"/>
      <c r="FX9310"/>
      <c r="FY9310"/>
      <c r="FZ9310"/>
      <c r="GA9310"/>
      <c r="GB9310"/>
      <c r="GC9310"/>
      <c r="GD9310"/>
      <c r="GE9310"/>
      <c r="GF9310"/>
      <c r="GG9310"/>
      <c r="GH9310"/>
      <c r="GI9310"/>
      <c r="GJ9310"/>
      <c r="GK9310"/>
      <c r="GL9310"/>
      <c r="GM9310"/>
      <c r="GN9310"/>
      <c r="GO9310"/>
    </row>
    <row r="9311" spans="107:197">
      <c r="DC9311"/>
      <c r="FH9311"/>
      <c r="FI9311"/>
      <c r="FJ9311"/>
      <c r="FK9311"/>
      <c r="FL9311"/>
      <c r="FM9311"/>
      <c r="FN9311"/>
      <c r="FO9311"/>
      <c r="FP9311"/>
      <c r="FQ9311"/>
      <c r="FR9311"/>
      <c r="FS9311"/>
      <c r="FT9311"/>
      <c r="FU9311"/>
      <c r="FV9311"/>
      <c r="FW9311"/>
      <c r="FX9311"/>
      <c r="FY9311"/>
      <c r="FZ9311"/>
      <c r="GA9311"/>
      <c r="GB9311"/>
      <c r="GC9311"/>
      <c r="GD9311"/>
      <c r="GE9311"/>
      <c r="GF9311"/>
      <c r="GG9311"/>
      <c r="GH9311"/>
      <c r="GI9311"/>
      <c r="GJ9311"/>
      <c r="GK9311"/>
      <c r="GL9311"/>
      <c r="GM9311"/>
      <c r="GN9311"/>
      <c r="GO9311"/>
    </row>
    <row r="9312" spans="107:197">
      <c r="DC9312"/>
      <c r="FH9312"/>
      <c r="FI9312"/>
      <c r="FJ9312"/>
      <c r="FK9312"/>
      <c r="FL9312"/>
      <c r="FM9312"/>
      <c r="FN9312"/>
      <c r="FO9312"/>
      <c r="FP9312"/>
      <c r="FQ9312"/>
      <c r="FR9312"/>
      <c r="FS9312"/>
      <c r="FT9312"/>
      <c r="FU9312"/>
      <c r="FV9312"/>
      <c r="FW9312"/>
      <c r="FX9312"/>
      <c r="FY9312"/>
      <c r="FZ9312"/>
      <c r="GA9312"/>
      <c r="GB9312"/>
      <c r="GC9312"/>
      <c r="GD9312"/>
      <c r="GE9312"/>
      <c r="GF9312"/>
      <c r="GG9312"/>
      <c r="GH9312"/>
      <c r="GI9312"/>
      <c r="GJ9312"/>
      <c r="GK9312"/>
      <c r="GL9312"/>
      <c r="GM9312"/>
      <c r="GN9312"/>
      <c r="GO9312"/>
    </row>
    <row r="9313" spans="107:197">
      <c r="DC9313"/>
      <c r="FH9313"/>
      <c r="FI9313"/>
      <c r="FJ9313"/>
      <c r="FK9313"/>
      <c r="FL9313"/>
      <c r="FM9313"/>
      <c r="FN9313"/>
      <c r="FO9313"/>
      <c r="FP9313"/>
      <c r="FQ9313"/>
      <c r="FR9313"/>
      <c r="FS9313"/>
      <c r="FT9313"/>
      <c r="FU9313"/>
      <c r="FV9313"/>
      <c r="FW9313"/>
      <c r="FX9313"/>
      <c r="FY9313"/>
      <c r="FZ9313"/>
      <c r="GA9313"/>
      <c r="GB9313"/>
      <c r="GC9313"/>
      <c r="GD9313"/>
      <c r="GE9313"/>
      <c r="GF9313"/>
      <c r="GG9313"/>
      <c r="GH9313"/>
      <c r="GI9313"/>
      <c r="GJ9313"/>
      <c r="GK9313"/>
      <c r="GL9313"/>
      <c r="GM9313"/>
      <c r="GN9313"/>
      <c r="GO9313"/>
    </row>
    <row r="9314" spans="107:197">
      <c r="DC9314"/>
      <c r="FH9314"/>
      <c r="FI9314"/>
      <c r="FJ9314"/>
      <c r="FK9314"/>
      <c r="FL9314"/>
      <c r="FM9314"/>
      <c r="FN9314"/>
      <c r="FO9314"/>
      <c r="FP9314"/>
      <c r="FQ9314"/>
      <c r="FR9314"/>
      <c r="FS9314"/>
      <c r="FT9314"/>
      <c r="FU9314"/>
      <c r="FV9314"/>
      <c r="FW9314"/>
      <c r="FX9314"/>
      <c r="FY9314"/>
      <c r="FZ9314"/>
      <c r="GA9314"/>
      <c r="GB9314"/>
      <c r="GC9314"/>
      <c r="GD9314"/>
      <c r="GE9314"/>
      <c r="GF9314"/>
      <c r="GG9314"/>
      <c r="GH9314"/>
      <c r="GI9314"/>
      <c r="GJ9314"/>
      <c r="GK9314"/>
      <c r="GL9314"/>
      <c r="GM9314"/>
      <c r="GN9314"/>
      <c r="GO9314"/>
    </row>
    <row r="9315" spans="107:197">
      <c r="DC9315"/>
      <c r="FH9315"/>
      <c r="FI9315"/>
      <c r="FJ9315"/>
      <c r="FK9315"/>
      <c r="FL9315"/>
      <c r="FM9315"/>
      <c r="FN9315"/>
      <c r="FO9315"/>
      <c r="FP9315"/>
      <c r="FQ9315"/>
      <c r="FR9315"/>
      <c r="FS9315"/>
      <c r="FT9315"/>
      <c r="FU9315"/>
      <c r="FV9315"/>
      <c r="FW9315"/>
      <c r="FX9315"/>
      <c r="FY9315"/>
      <c r="FZ9315"/>
      <c r="GA9315"/>
      <c r="GB9315"/>
      <c r="GC9315"/>
      <c r="GD9315"/>
      <c r="GE9315"/>
      <c r="GF9315"/>
      <c r="GG9315"/>
      <c r="GH9315"/>
      <c r="GI9315"/>
      <c r="GJ9315"/>
      <c r="GK9315"/>
      <c r="GL9315"/>
      <c r="GM9315"/>
      <c r="GN9315"/>
      <c r="GO9315"/>
    </row>
    <row r="9316" spans="107:197">
      <c r="DC9316"/>
      <c r="FH9316"/>
      <c r="FI9316"/>
      <c r="FJ9316"/>
      <c r="FK9316"/>
      <c r="FL9316"/>
      <c r="FM9316"/>
      <c r="FN9316"/>
      <c r="FO9316"/>
      <c r="FP9316"/>
      <c r="FQ9316"/>
      <c r="FR9316"/>
      <c r="FS9316"/>
      <c r="FT9316"/>
      <c r="FU9316"/>
      <c r="FV9316"/>
      <c r="FW9316"/>
      <c r="FX9316"/>
      <c r="FY9316"/>
      <c r="FZ9316"/>
      <c r="GA9316"/>
      <c r="GB9316"/>
      <c r="GC9316"/>
      <c r="GD9316"/>
      <c r="GE9316"/>
      <c r="GF9316"/>
      <c r="GG9316"/>
      <c r="GH9316"/>
      <c r="GI9316"/>
      <c r="GJ9316"/>
      <c r="GK9316"/>
      <c r="GL9316"/>
      <c r="GM9316"/>
      <c r="GN9316"/>
      <c r="GO9316"/>
    </row>
    <row r="9317" spans="107:197">
      <c r="DC9317"/>
      <c r="FH9317"/>
      <c r="FI9317"/>
      <c r="FJ9317"/>
      <c r="FK9317"/>
      <c r="FL9317"/>
      <c r="FM9317"/>
      <c r="FN9317"/>
      <c r="FO9317"/>
      <c r="FP9317"/>
      <c r="FQ9317"/>
      <c r="FR9317"/>
      <c r="FS9317"/>
      <c r="FT9317"/>
      <c r="FU9317"/>
      <c r="FV9317"/>
      <c r="FW9317"/>
      <c r="FX9317"/>
      <c r="FY9317"/>
      <c r="FZ9317"/>
      <c r="GA9317"/>
      <c r="GB9317"/>
      <c r="GC9317"/>
      <c r="GD9317"/>
      <c r="GE9317"/>
      <c r="GF9317"/>
      <c r="GG9317"/>
      <c r="GH9317"/>
      <c r="GI9317"/>
      <c r="GJ9317"/>
      <c r="GK9317"/>
      <c r="GL9317"/>
      <c r="GM9317"/>
      <c r="GN9317"/>
      <c r="GO9317"/>
    </row>
    <row r="9318" spans="107:197">
      <c r="DC9318"/>
      <c r="FH9318"/>
      <c r="FI9318"/>
      <c r="FJ9318"/>
      <c r="FK9318"/>
      <c r="FL9318"/>
      <c r="FM9318"/>
      <c r="FN9318"/>
      <c r="FO9318"/>
      <c r="FP9318"/>
      <c r="FQ9318"/>
      <c r="FR9318"/>
      <c r="FS9318"/>
      <c r="FT9318"/>
      <c r="FU9318"/>
      <c r="FV9318"/>
      <c r="FW9318"/>
      <c r="FX9318"/>
      <c r="FY9318"/>
      <c r="FZ9318"/>
      <c r="GA9318"/>
      <c r="GB9318"/>
      <c r="GC9318"/>
      <c r="GD9318"/>
      <c r="GE9318"/>
      <c r="GF9318"/>
      <c r="GG9318"/>
      <c r="GH9318"/>
      <c r="GI9318"/>
      <c r="GJ9318"/>
      <c r="GK9318"/>
      <c r="GL9318"/>
      <c r="GM9318"/>
      <c r="GN9318"/>
      <c r="GO9318"/>
    </row>
    <row r="9319" spans="107:197">
      <c r="DC9319"/>
      <c r="FH9319"/>
      <c r="FI9319"/>
      <c r="FJ9319"/>
      <c r="FK9319"/>
      <c r="FL9319"/>
      <c r="FM9319"/>
      <c r="FN9319"/>
      <c r="FO9319"/>
      <c r="FP9319"/>
      <c r="FQ9319"/>
      <c r="FR9319"/>
      <c r="FS9319"/>
      <c r="FT9319"/>
      <c r="FU9319"/>
      <c r="FV9319"/>
      <c r="FW9319"/>
      <c r="FX9319"/>
      <c r="FY9319"/>
      <c r="FZ9319"/>
      <c r="GA9319"/>
      <c r="GB9319"/>
      <c r="GC9319"/>
      <c r="GD9319"/>
      <c r="GE9319"/>
      <c r="GF9319"/>
      <c r="GG9319"/>
      <c r="GH9319"/>
      <c r="GI9319"/>
      <c r="GJ9319"/>
      <c r="GK9319"/>
      <c r="GL9319"/>
      <c r="GM9319"/>
      <c r="GN9319"/>
      <c r="GO9319"/>
    </row>
    <row r="9320" spans="107:197">
      <c r="DC9320"/>
      <c r="FH9320"/>
      <c r="FI9320"/>
      <c r="FJ9320"/>
      <c r="FK9320"/>
      <c r="FL9320"/>
      <c r="FM9320"/>
      <c r="FN9320"/>
      <c r="FO9320"/>
      <c r="FP9320"/>
      <c r="FQ9320"/>
      <c r="FR9320"/>
      <c r="FS9320"/>
      <c r="FT9320"/>
      <c r="FU9320"/>
      <c r="FV9320"/>
      <c r="FW9320"/>
      <c r="FX9320"/>
      <c r="FY9320"/>
      <c r="FZ9320"/>
      <c r="GA9320"/>
      <c r="GB9320"/>
      <c r="GC9320"/>
      <c r="GD9320"/>
      <c r="GE9320"/>
      <c r="GF9320"/>
      <c r="GG9320"/>
      <c r="GH9320"/>
      <c r="GI9320"/>
      <c r="GJ9320"/>
      <c r="GK9320"/>
      <c r="GL9320"/>
      <c r="GM9320"/>
      <c r="GN9320"/>
      <c r="GO9320"/>
    </row>
    <row r="9321" spans="107:197">
      <c r="DC9321"/>
      <c r="FH9321"/>
      <c r="FI9321"/>
      <c r="FJ9321"/>
      <c r="FK9321"/>
      <c r="FL9321"/>
      <c r="FM9321"/>
      <c r="FN9321"/>
      <c r="FO9321"/>
      <c r="FP9321"/>
      <c r="FQ9321"/>
      <c r="FR9321"/>
      <c r="FS9321"/>
      <c r="FT9321"/>
      <c r="FU9321"/>
      <c r="FV9321"/>
      <c r="FW9321"/>
      <c r="FX9321"/>
      <c r="FY9321"/>
      <c r="FZ9321"/>
      <c r="GA9321"/>
      <c r="GB9321"/>
      <c r="GC9321"/>
      <c r="GD9321"/>
      <c r="GE9321"/>
      <c r="GF9321"/>
      <c r="GG9321"/>
      <c r="GH9321"/>
      <c r="GI9321"/>
      <c r="GJ9321"/>
      <c r="GK9321"/>
      <c r="GL9321"/>
      <c r="GM9321"/>
      <c r="GN9321"/>
      <c r="GO9321"/>
    </row>
    <row r="9322" spans="107:197">
      <c r="DC9322"/>
      <c r="FH9322"/>
      <c r="FI9322"/>
      <c r="FJ9322"/>
      <c r="FK9322"/>
      <c r="FL9322"/>
      <c r="FM9322"/>
      <c r="FN9322"/>
      <c r="FO9322"/>
      <c r="FP9322"/>
      <c r="FQ9322"/>
      <c r="FR9322"/>
      <c r="FS9322"/>
      <c r="FT9322"/>
      <c r="FU9322"/>
      <c r="FV9322"/>
      <c r="FW9322"/>
      <c r="FX9322"/>
      <c r="FY9322"/>
      <c r="FZ9322"/>
      <c r="GA9322"/>
      <c r="GB9322"/>
      <c r="GC9322"/>
      <c r="GD9322"/>
      <c r="GE9322"/>
      <c r="GF9322"/>
      <c r="GG9322"/>
      <c r="GH9322"/>
      <c r="GI9322"/>
      <c r="GJ9322"/>
      <c r="GK9322"/>
      <c r="GL9322"/>
      <c r="GM9322"/>
      <c r="GN9322"/>
      <c r="GO9322"/>
    </row>
    <row r="9323" spans="107:197">
      <c r="DC9323"/>
      <c r="FH9323"/>
      <c r="FI9323"/>
      <c r="FJ9323"/>
      <c r="FK9323"/>
      <c r="FL9323"/>
      <c r="FM9323"/>
      <c r="FN9323"/>
      <c r="FO9323"/>
      <c r="FP9323"/>
      <c r="FQ9323"/>
      <c r="FR9323"/>
      <c r="FS9323"/>
      <c r="FT9323"/>
      <c r="FU9323"/>
      <c r="FV9323"/>
      <c r="FW9323"/>
      <c r="FX9323"/>
      <c r="FY9323"/>
      <c r="FZ9323"/>
      <c r="GA9323"/>
      <c r="GB9323"/>
      <c r="GC9323"/>
      <c r="GD9323"/>
      <c r="GE9323"/>
      <c r="GF9323"/>
      <c r="GG9323"/>
      <c r="GH9323"/>
      <c r="GI9323"/>
      <c r="GJ9323"/>
      <c r="GK9323"/>
      <c r="GL9323"/>
      <c r="GM9323"/>
      <c r="GN9323"/>
      <c r="GO9323"/>
    </row>
    <row r="9324" spans="107:197">
      <c r="DC9324"/>
      <c r="FH9324"/>
      <c r="FI9324"/>
      <c r="FJ9324"/>
      <c r="FK9324"/>
      <c r="FL9324"/>
      <c r="FM9324"/>
      <c r="FN9324"/>
      <c r="FO9324"/>
      <c r="FP9324"/>
      <c r="FQ9324"/>
      <c r="FR9324"/>
      <c r="FS9324"/>
      <c r="FT9324"/>
      <c r="FU9324"/>
      <c r="FV9324"/>
      <c r="FW9324"/>
      <c r="FX9324"/>
      <c r="FY9324"/>
      <c r="FZ9324"/>
      <c r="GA9324"/>
      <c r="GB9324"/>
      <c r="GC9324"/>
      <c r="GD9324"/>
      <c r="GE9324"/>
      <c r="GF9324"/>
      <c r="GG9324"/>
      <c r="GH9324"/>
      <c r="GI9324"/>
      <c r="GJ9324"/>
      <c r="GK9324"/>
      <c r="GL9324"/>
      <c r="GM9324"/>
      <c r="GN9324"/>
      <c r="GO9324"/>
    </row>
    <row r="9325" spans="107:197">
      <c r="DC9325"/>
      <c r="FH9325"/>
      <c r="FI9325"/>
      <c r="FJ9325"/>
      <c r="FK9325"/>
      <c r="FL9325"/>
      <c r="FM9325"/>
      <c r="FN9325"/>
      <c r="FO9325"/>
      <c r="FP9325"/>
      <c r="FQ9325"/>
      <c r="FR9325"/>
      <c r="FS9325"/>
      <c r="FT9325"/>
      <c r="FU9325"/>
      <c r="FV9325"/>
      <c r="FW9325"/>
      <c r="FX9325"/>
      <c r="FY9325"/>
      <c r="FZ9325"/>
      <c r="GA9325"/>
      <c r="GB9325"/>
      <c r="GC9325"/>
      <c r="GD9325"/>
      <c r="GE9325"/>
      <c r="GF9325"/>
      <c r="GG9325"/>
      <c r="GH9325"/>
      <c r="GI9325"/>
      <c r="GJ9325"/>
      <c r="GK9325"/>
      <c r="GL9325"/>
      <c r="GM9325"/>
      <c r="GN9325"/>
      <c r="GO9325"/>
    </row>
    <row r="9326" spans="107:197">
      <c r="DC9326"/>
      <c r="FH9326"/>
      <c r="FI9326"/>
      <c r="FJ9326"/>
      <c r="FK9326"/>
      <c r="FL9326"/>
      <c r="FM9326"/>
      <c r="FN9326"/>
      <c r="FO9326"/>
      <c r="FP9326"/>
      <c r="FQ9326"/>
      <c r="FR9326"/>
      <c r="FS9326"/>
      <c r="FT9326"/>
      <c r="FU9326"/>
      <c r="FV9326"/>
      <c r="FW9326"/>
      <c r="FX9326"/>
      <c r="FY9326"/>
      <c r="FZ9326"/>
      <c r="GA9326"/>
      <c r="GB9326"/>
      <c r="GC9326"/>
      <c r="GD9326"/>
      <c r="GE9326"/>
      <c r="GF9326"/>
      <c r="GG9326"/>
      <c r="GH9326"/>
      <c r="GI9326"/>
      <c r="GJ9326"/>
      <c r="GK9326"/>
      <c r="GL9326"/>
      <c r="GM9326"/>
      <c r="GN9326"/>
      <c r="GO9326"/>
    </row>
    <row r="9327" spans="107:197">
      <c r="DC9327"/>
      <c r="FH9327"/>
      <c r="FI9327"/>
      <c r="FJ9327"/>
      <c r="FK9327"/>
      <c r="FL9327"/>
      <c r="FM9327"/>
      <c r="FN9327"/>
      <c r="FO9327"/>
      <c r="FP9327"/>
      <c r="FQ9327"/>
      <c r="FR9327"/>
      <c r="FS9327"/>
      <c r="FT9327"/>
      <c r="FU9327"/>
      <c r="FV9327"/>
      <c r="FW9327"/>
      <c r="FX9327"/>
      <c r="FY9327"/>
      <c r="FZ9327"/>
      <c r="GA9327"/>
      <c r="GB9327"/>
      <c r="GC9327"/>
      <c r="GD9327"/>
      <c r="GE9327"/>
      <c r="GF9327"/>
      <c r="GG9327"/>
      <c r="GH9327"/>
      <c r="GI9327"/>
      <c r="GJ9327"/>
      <c r="GK9327"/>
      <c r="GL9327"/>
      <c r="GM9327"/>
      <c r="GN9327"/>
      <c r="GO9327"/>
    </row>
    <row r="9328" spans="107:197">
      <c r="DC9328"/>
      <c r="FH9328"/>
      <c r="FI9328"/>
      <c r="FJ9328"/>
      <c r="FK9328"/>
      <c r="FL9328"/>
      <c r="FM9328"/>
      <c r="FN9328"/>
      <c r="FO9328"/>
      <c r="FP9328"/>
      <c r="FQ9328"/>
      <c r="FR9328"/>
      <c r="FS9328"/>
      <c r="FT9328"/>
      <c r="FU9328"/>
      <c r="FV9328"/>
      <c r="FW9328"/>
      <c r="FX9328"/>
      <c r="FY9328"/>
      <c r="FZ9328"/>
      <c r="GA9328"/>
      <c r="GB9328"/>
      <c r="GC9328"/>
      <c r="GD9328"/>
      <c r="GE9328"/>
      <c r="GF9328"/>
      <c r="GG9328"/>
      <c r="GH9328"/>
      <c r="GI9328"/>
      <c r="GJ9328"/>
      <c r="GK9328"/>
      <c r="GL9328"/>
      <c r="GM9328"/>
      <c r="GN9328"/>
      <c r="GO9328"/>
    </row>
    <row r="9329" spans="107:197">
      <c r="DC9329"/>
      <c r="FH9329"/>
      <c r="FI9329"/>
      <c r="FJ9329"/>
      <c r="FK9329"/>
      <c r="FL9329"/>
      <c r="FM9329"/>
      <c r="FN9329"/>
      <c r="FO9329"/>
      <c r="FP9329"/>
      <c r="FQ9329"/>
      <c r="FR9329"/>
      <c r="FS9329"/>
      <c r="FT9329"/>
      <c r="FU9329"/>
      <c r="FV9329"/>
      <c r="FW9329"/>
      <c r="FX9329"/>
      <c r="FY9329"/>
      <c r="FZ9329"/>
      <c r="GA9329"/>
      <c r="GB9329"/>
      <c r="GC9329"/>
      <c r="GD9329"/>
      <c r="GE9329"/>
      <c r="GF9329"/>
      <c r="GG9329"/>
      <c r="GH9329"/>
      <c r="GI9329"/>
      <c r="GJ9329"/>
      <c r="GK9329"/>
      <c r="GL9329"/>
      <c r="GM9329"/>
      <c r="GN9329"/>
      <c r="GO9329"/>
    </row>
    <row r="9330" spans="107:197">
      <c r="DC9330"/>
      <c r="FH9330"/>
      <c r="FI9330"/>
      <c r="FJ9330"/>
      <c r="FK9330"/>
      <c r="FL9330"/>
      <c r="FM9330"/>
      <c r="FN9330"/>
      <c r="FO9330"/>
      <c r="FP9330"/>
      <c r="FQ9330"/>
      <c r="FR9330"/>
      <c r="FS9330"/>
      <c r="FT9330"/>
      <c r="FU9330"/>
      <c r="FV9330"/>
      <c r="FW9330"/>
      <c r="FX9330"/>
      <c r="FY9330"/>
      <c r="FZ9330"/>
      <c r="GA9330"/>
      <c r="GB9330"/>
      <c r="GC9330"/>
      <c r="GD9330"/>
      <c r="GE9330"/>
      <c r="GF9330"/>
      <c r="GG9330"/>
      <c r="GH9330"/>
      <c r="GI9330"/>
      <c r="GJ9330"/>
      <c r="GK9330"/>
      <c r="GL9330"/>
      <c r="GM9330"/>
      <c r="GN9330"/>
      <c r="GO9330"/>
    </row>
    <row r="9331" spans="107:197">
      <c r="DC9331"/>
      <c r="FH9331"/>
      <c r="FI9331"/>
      <c r="FJ9331"/>
      <c r="FK9331"/>
      <c r="FL9331"/>
      <c r="FM9331"/>
      <c r="FN9331"/>
      <c r="FO9331"/>
      <c r="FP9331"/>
      <c r="FQ9331"/>
      <c r="FR9331"/>
      <c r="FS9331"/>
      <c r="FT9331"/>
      <c r="FU9331"/>
      <c r="FV9331"/>
      <c r="FW9331"/>
      <c r="FX9331"/>
      <c r="FY9331"/>
      <c r="FZ9331"/>
      <c r="GA9331"/>
      <c r="GB9331"/>
      <c r="GC9331"/>
      <c r="GD9331"/>
      <c r="GE9331"/>
      <c r="GF9331"/>
      <c r="GG9331"/>
      <c r="GH9331"/>
      <c r="GI9331"/>
      <c r="GJ9331"/>
      <c r="GK9331"/>
      <c r="GL9331"/>
      <c r="GM9331"/>
      <c r="GN9331"/>
      <c r="GO9331"/>
    </row>
    <row r="9332" spans="107:197">
      <c r="DC9332"/>
      <c r="FH9332"/>
      <c r="FI9332"/>
      <c r="FJ9332"/>
      <c r="FK9332"/>
      <c r="FL9332"/>
      <c r="FM9332"/>
      <c r="FN9332"/>
      <c r="FO9332"/>
      <c r="FP9332"/>
      <c r="FQ9332"/>
      <c r="FR9332"/>
      <c r="FS9332"/>
      <c r="FT9332"/>
      <c r="FU9332"/>
      <c r="FV9332"/>
      <c r="FW9332"/>
      <c r="FX9332"/>
      <c r="FY9332"/>
      <c r="FZ9332"/>
      <c r="GA9332"/>
      <c r="GB9332"/>
      <c r="GC9332"/>
      <c r="GD9332"/>
      <c r="GE9332"/>
      <c r="GF9332"/>
      <c r="GG9332"/>
      <c r="GH9332"/>
      <c r="GI9332"/>
      <c r="GJ9332"/>
      <c r="GK9332"/>
      <c r="GL9332"/>
      <c r="GM9332"/>
      <c r="GN9332"/>
      <c r="GO9332"/>
    </row>
    <row r="9333" spans="107:197">
      <c r="DC9333"/>
      <c r="FH9333"/>
      <c r="FI9333"/>
      <c r="FJ9333"/>
      <c r="FK9333"/>
      <c r="FL9333"/>
      <c r="FM9333"/>
      <c r="FN9333"/>
      <c r="FO9333"/>
      <c r="FP9333"/>
      <c r="FQ9333"/>
      <c r="FR9333"/>
      <c r="FS9333"/>
      <c r="FT9333"/>
      <c r="FU9333"/>
      <c r="FV9333"/>
      <c r="FW9333"/>
      <c r="FX9333"/>
      <c r="FY9333"/>
      <c r="FZ9333"/>
      <c r="GA9333"/>
      <c r="GB9333"/>
      <c r="GC9333"/>
      <c r="GD9333"/>
      <c r="GE9333"/>
      <c r="GF9333"/>
      <c r="GG9333"/>
      <c r="GH9333"/>
      <c r="GI9333"/>
      <c r="GJ9333"/>
      <c r="GK9333"/>
      <c r="GL9333"/>
      <c r="GM9333"/>
      <c r="GN9333"/>
      <c r="GO9333"/>
    </row>
    <row r="9334" spans="107:197">
      <c r="DC9334"/>
      <c r="FH9334"/>
      <c r="FI9334"/>
      <c r="FJ9334"/>
      <c r="FK9334"/>
      <c r="FL9334"/>
      <c r="FM9334"/>
      <c r="FN9334"/>
      <c r="FO9334"/>
      <c r="FP9334"/>
      <c r="FQ9334"/>
      <c r="FR9334"/>
      <c r="FS9334"/>
      <c r="FT9334"/>
      <c r="FU9334"/>
      <c r="FV9334"/>
      <c r="FW9334"/>
      <c r="FX9334"/>
      <c r="FY9334"/>
      <c r="FZ9334"/>
      <c r="GA9334"/>
      <c r="GB9334"/>
      <c r="GC9334"/>
      <c r="GD9334"/>
      <c r="GE9334"/>
      <c r="GF9334"/>
      <c r="GG9334"/>
      <c r="GH9334"/>
      <c r="GI9334"/>
      <c r="GJ9334"/>
      <c r="GK9334"/>
      <c r="GL9334"/>
      <c r="GM9334"/>
      <c r="GN9334"/>
      <c r="GO9334"/>
    </row>
    <row r="9335" spans="107:197">
      <c r="DC9335"/>
      <c r="FH9335"/>
      <c r="FI9335"/>
      <c r="FJ9335"/>
      <c r="FK9335"/>
      <c r="FL9335"/>
      <c r="FM9335"/>
      <c r="FN9335"/>
      <c r="FO9335"/>
      <c r="FP9335"/>
      <c r="FQ9335"/>
      <c r="FR9335"/>
      <c r="FS9335"/>
      <c r="FT9335"/>
      <c r="FU9335"/>
      <c r="FV9335"/>
      <c r="FW9335"/>
      <c r="FX9335"/>
      <c r="FY9335"/>
      <c r="FZ9335"/>
      <c r="GA9335"/>
      <c r="GB9335"/>
      <c r="GC9335"/>
      <c r="GD9335"/>
      <c r="GE9335"/>
      <c r="GF9335"/>
      <c r="GG9335"/>
      <c r="GH9335"/>
      <c r="GI9335"/>
      <c r="GJ9335"/>
      <c r="GK9335"/>
      <c r="GL9335"/>
      <c r="GM9335"/>
      <c r="GN9335"/>
      <c r="GO9335"/>
    </row>
    <row r="9336" spans="107:197">
      <c r="DC9336"/>
      <c r="FH9336"/>
      <c r="FI9336"/>
      <c r="FJ9336"/>
      <c r="FK9336"/>
      <c r="FL9336"/>
      <c r="FM9336"/>
      <c r="FN9336"/>
      <c r="FO9336"/>
      <c r="FP9336"/>
      <c r="FQ9336"/>
      <c r="FR9336"/>
      <c r="FS9336"/>
      <c r="FT9336"/>
      <c r="FU9336"/>
      <c r="FV9336"/>
      <c r="FW9336"/>
      <c r="FX9336"/>
      <c r="FY9336"/>
      <c r="FZ9336"/>
      <c r="GA9336"/>
      <c r="GB9336"/>
      <c r="GC9336"/>
      <c r="GD9336"/>
      <c r="GE9336"/>
      <c r="GF9336"/>
      <c r="GG9336"/>
      <c r="GH9336"/>
      <c r="GI9336"/>
      <c r="GJ9336"/>
      <c r="GK9336"/>
      <c r="GL9336"/>
      <c r="GM9336"/>
      <c r="GN9336"/>
      <c r="GO9336"/>
    </row>
    <row r="9337" spans="107:197">
      <c r="DC9337"/>
      <c r="FH9337"/>
      <c r="FI9337"/>
      <c r="FJ9337"/>
      <c r="FK9337"/>
      <c r="FL9337"/>
      <c r="FM9337"/>
      <c r="FN9337"/>
      <c r="FO9337"/>
      <c r="FP9337"/>
      <c r="FQ9337"/>
      <c r="FR9337"/>
      <c r="FS9337"/>
      <c r="FT9337"/>
      <c r="FU9337"/>
      <c r="FV9337"/>
      <c r="FW9337"/>
      <c r="FX9337"/>
      <c r="FY9337"/>
      <c r="FZ9337"/>
      <c r="GA9337"/>
      <c r="GB9337"/>
      <c r="GC9337"/>
      <c r="GD9337"/>
      <c r="GE9337"/>
      <c r="GF9337"/>
      <c r="GG9337"/>
      <c r="GH9337"/>
      <c r="GI9337"/>
      <c r="GJ9337"/>
      <c r="GK9337"/>
      <c r="GL9337"/>
      <c r="GM9337"/>
      <c r="GN9337"/>
      <c r="GO9337"/>
    </row>
    <row r="9338" spans="107:197">
      <c r="DC9338"/>
      <c r="FH9338"/>
      <c r="FI9338"/>
      <c r="FJ9338"/>
      <c r="FK9338"/>
      <c r="FL9338"/>
      <c r="FM9338"/>
      <c r="FN9338"/>
      <c r="FO9338"/>
      <c r="FP9338"/>
      <c r="FQ9338"/>
      <c r="FR9338"/>
      <c r="FS9338"/>
      <c r="FT9338"/>
      <c r="FU9338"/>
      <c r="FV9338"/>
      <c r="FW9338"/>
      <c r="FX9338"/>
      <c r="FY9338"/>
      <c r="FZ9338"/>
      <c r="GA9338"/>
      <c r="GB9338"/>
      <c r="GC9338"/>
      <c r="GD9338"/>
      <c r="GE9338"/>
      <c r="GF9338"/>
      <c r="GG9338"/>
      <c r="GH9338"/>
      <c r="GI9338"/>
      <c r="GJ9338"/>
      <c r="GK9338"/>
      <c r="GL9338"/>
      <c r="GM9338"/>
      <c r="GN9338"/>
      <c r="GO9338"/>
    </row>
    <row r="9339" spans="107:197">
      <c r="DC9339"/>
      <c r="FH9339"/>
      <c r="FI9339"/>
      <c r="FJ9339"/>
      <c r="FK9339"/>
      <c r="FL9339"/>
      <c r="FM9339"/>
      <c r="FN9339"/>
      <c r="FO9339"/>
      <c r="FP9339"/>
      <c r="FQ9339"/>
      <c r="FR9339"/>
      <c r="FS9339"/>
      <c r="FT9339"/>
      <c r="FU9339"/>
      <c r="FV9339"/>
      <c r="FW9339"/>
      <c r="FX9339"/>
      <c r="FY9339"/>
      <c r="FZ9339"/>
      <c r="GA9339"/>
      <c r="GB9339"/>
      <c r="GC9339"/>
      <c r="GD9339"/>
      <c r="GE9339"/>
      <c r="GF9339"/>
      <c r="GG9339"/>
      <c r="GH9339"/>
      <c r="GI9339"/>
      <c r="GJ9339"/>
      <c r="GK9339"/>
      <c r="GL9339"/>
      <c r="GM9339"/>
      <c r="GN9339"/>
      <c r="GO9339"/>
    </row>
    <row r="9340" spans="107:197">
      <c r="DC9340"/>
      <c r="FH9340"/>
      <c r="FI9340"/>
      <c r="FJ9340"/>
      <c r="FK9340"/>
      <c r="FL9340"/>
      <c r="FM9340"/>
      <c r="FN9340"/>
      <c r="FO9340"/>
      <c r="FP9340"/>
      <c r="FQ9340"/>
      <c r="FR9340"/>
      <c r="FS9340"/>
      <c r="FT9340"/>
      <c r="FU9340"/>
      <c r="FV9340"/>
      <c r="FW9340"/>
      <c r="FX9340"/>
      <c r="FY9340"/>
      <c r="FZ9340"/>
      <c r="GA9340"/>
      <c r="GB9340"/>
      <c r="GC9340"/>
      <c r="GD9340"/>
      <c r="GE9340"/>
      <c r="GF9340"/>
      <c r="GG9340"/>
      <c r="GH9340"/>
      <c r="GI9340"/>
      <c r="GJ9340"/>
      <c r="GK9340"/>
      <c r="GL9340"/>
      <c r="GM9340"/>
      <c r="GN9340"/>
      <c r="GO9340"/>
    </row>
    <row r="9341" spans="107:197">
      <c r="DC9341"/>
      <c r="FH9341"/>
      <c r="FI9341"/>
      <c r="FJ9341"/>
      <c r="FK9341"/>
      <c r="FL9341"/>
      <c r="FM9341"/>
      <c r="FN9341"/>
      <c r="FO9341"/>
      <c r="FP9341"/>
      <c r="FQ9341"/>
      <c r="FR9341"/>
      <c r="FS9341"/>
      <c r="FT9341"/>
      <c r="FU9341"/>
      <c r="FV9341"/>
      <c r="FW9341"/>
      <c r="FX9341"/>
      <c r="FY9341"/>
      <c r="FZ9341"/>
      <c r="GA9341"/>
      <c r="GB9341"/>
      <c r="GC9341"/>
      <c r="GD9341"/>
      <c r="GE9341"/>
      <c r="GF9341"/>
      <c r="GG9341"/>
      <c r="GH9341"/>
      <c r="GI9341"/>
      <c r="GJ9341"/>
      <c r="GK9341"/>
      <c r="GL9341"/>
      <c r="GM9341"/>
      <c r="GN9341"/>
      <c r="GO9341"/>
    </row>
    <row r="9342" spans="107:197">
      <c r="DC9342"/>
      <c r="FH9342"/>
      <c r="FI9342"/>
      <c r="FJ9342"/>
      <c r="FK9342"/>
      <c r="FL9342"/>
      <c r="FM9342"/>
      <c r="FN9342"/>
      <c r="FO9342"/>
      <c r="FP9342"/>
      <c r="FQ9342"/>
      <c r="FR9342"/>
      <c r="FS9342"/>
      <c r="FT9342"/>
      <c r="FU9342"/>
      <c r="FV9342"/>
      <c r="FW9342"/>
      <c r="FX9342"/>
      <c r="FY9342"/>
      <c r="FZ9342"/>
      <c r="GA9342"/>
      <c r="GB9342"/>
      <c r="GC9342"/>
      <c r="GD9342"/>
      <c r="GE9342"/>
      <c r="GF9342"/>
      <c r="GG9342"/>
      <c r="GH9342"/>
      <c r="GI9342"/>
      <c r="GJ9342"/>
      <c r="GK9342"/>
      <c r="GL9342"/>
      <c r="GM9342"/>
      <c r="GN9342"/>
      <c r="GO9342"/>
    </row>
    <row r="9343" spans="107:197">
      <c r="DC9343"/>
      <c r="FH9343"/>
      <c r="FI9343"/>
      <c r="FJ9343"/>
      <c r="FK9343"/>
      <c r="FL9343"/>
      <c r="FM9343"/>
      <c r="FN9343"/>
      <c r="FO9343"/>
      <c r="FP9343"/>
      <c r="FQ9343"/>
      <c r="FR9343"/>
      <c r="FS9343"/>
      <c r="FT9343"/>
      <c r="FU9343"/>
      <c r="FV9343"/>
      <c r="FW9343"/>
      <c r="FX9343"/>
      <c r="FY9343"/>
      <c r="FZ9343"/>
      <c r="GA9343"/>
      <c r="GB9343"/>
      <c r="GC9343"/>
      <c r="GD9343"/>
      <c r="GE9343"/>
      <c r="GF9343"/>
      <c r="GG9343"/>
      <c r="GH9343"/>
      <c r="GI9343"/>
      <c r="GJ9343"/>
      <c r="GK9343"/>
      <c r="GL9343"/>
      <c r="GM9343"/>
      <c r="GN9343"/>
      <c r="GO9343"/>
    </row>
    <row r="9344" spans="107:197">
      <c r="DC9344"/>
      <c r="FH9344"/>
      <c r="FI9344"/>
      <c r="FJ9344"/>
      <c r="FK9344"/>
      <c r="FL9344"/>
      <c r="FM9344"/>
      <c r="FN9344"/>
      <c r="FO9344"/>
      <c r="FP9344"/>
      <c r="FQ9344"/>
      <c r="FR9344"/>
      <c r="FS9344"/>
      <c r="FT9344"/>
      <c r="FU9344"/>
      <c r="FV9344"/>
      <c r="FW9344"/>
      <c r="FX9344"/>
      <c r="FY9344"/>
      <c r="FZ9344"/>
      <c r="GA9344"/>
      <c r="GB9344"/>
      <c r="GC9344"/>
      <c r="GD9344"/>
      <c r="GE9344"/>
      <c r="GF9344"/>
      <c r="GG9344"/>
      <c r="GH9344"/>
      <c r="GI9344"/>
      <c r="GJ9344"/>
      <c r="GK9344"/>
      <c r="GL9344"/>
      <c r="GM9344"/>
      <c r="GN9344"/>
      <c r="GO9344"/>
    </row>
    <row r="9345" spans="107:197">
      <c r="DC9345"/>
      <c r="FH9345"/>
      <c r="FI9345"/>
      <c r="FJ9345"/>
      <c r="FK9345"/>
      <c r="FL9345"/>
      <c r="FM9345"/>
      <c r="FN9345"/>
      <c r="FO9345"/>
      <c r="FP9345"/>
      <c r="FQ9345"/>
      <c r="FR9345"/>
      <c r="FS9345"/>
      <c r="FT9345"/>
      <c r="FU9345"/>
      <c r="FV9345"/>
      <c r="FW9345"/>
      <c r="FX9345"/>
      <c r="FY9345"/>
      <c r="FZ9345"/>
      <c r="GA9345"/>
      <c r="GB9345"/>
      <c r="GC9345"/>
      <c r="GD9345"/>
      <c r="GE9345"/>
      <c r="GF9345"/>
      <c r="GG9345"/>
      <c r="GH9345"/>
      <c r="GI9345"/>
      <c r="GJ9345"/>
      <c r="GK9345"/>
      <c r="GL9345"/>
      <c r="GM9345"/>
      <c r="GN9345"/>
      <c r="GO9345"/>
    </row>
    <row r="9346" spans="107:197">
      <c r="DC9346"/>
      <c r="FH9346"/>
      <c r="FI9346"/>
      <c r="FJ9346"/>
      <c r="FK9346"/>
      <c r="FL9346"/>
      <c r="FM9346"/>
      <c r="FN9346"/>
      <c r="FO9346"/>
      <c r="FP9346"/>
      <c r="FQ9346"/>
      <c r="FR9346"/>
      <c r="FS9346"/>
      <c r="FT9346"/>
      <c r="FU9346"/>
      <c r="FV9346"/>
      <c r="FW9346"/>
      <c r="FX9346"/>
      <c r="FY9346"/>
      <c r="FZ9346"/>
      <c r="GA9346"/>
      <c r="GB9346"/>
      <c r="GC9346"/>
      <c r="GD9346"/>
      <c r="GE9346"/>
      <c r="GF9346"/>
      <c r="GG9346"/>
      <c r="GH9346"/>
      <c r="GI9346"/>
      <c r="GJ9346"/>
      <c r="GK9346"/>
      <c r="GL9346"/>
      <c r="GM9346"/>
      <c r="GN9346"/>
      <c r="GO9346"/>
    </row>
    <row r="9347" spans="107:197">
      <c r="DC9347"/>
      <c r="FH9347"/>
      <c r="FI9347"/>
      <c r="FJ9347"/>
      <c r="FK9347"/>
      <c r="FL9347"/>
      <c r="FM9347"/>
      <c r="FN9347"/>
      <c r="FO9347"/>
      <c r="FP9347"/>
      <c r="FQ9347"/>
      <c r="FR9347"/>
      <c r="FS9347"/>
      <c r="FT9347"/>
      <c r="FU9347"/>
      <c r="FV9347"/>
      <c r="FW9347"/>
      <c r="FX9347"/>
      <c r="FY9347"/>
      <c r="FZ9347"/>
      <c r="GA9347"/>
      <c r="GB9347"/>
      <c r="GC9347"/>
      <c r="GD9347"/>
      <c r="GE9347"/>
      <c r="GF9347"/>
      <c r="GG9347"/>
      <c r="GH9347"/>
      <c r="GI9347"/>
      <c r="GJ9347"/>
      <c r="GK9347"/>
      <c r="GL9347"/>
      <c r="GM9347"/>
      <c r="GN9347"/>
      <c r="GO9347"/>
    </row>
    <row r="9348" spans="107:197">
      <c r="DC9348"/>
      <c r="FH9348"/>
      <c r="FI9348"/>
      <c r="FJ9348"/>
      <c r="FK9348"/>
      <c r="FL9348"/>
      <c r="FM9348"/>
      <c r="FN9348"/>
      <c r="FO9348"/>
      <c r="FP9348"/>
      <c r="FQ9348"/>
      <c r="FR9348"/>
      <c r="FS9348"/>
      <c r="FT9348"/>
      <c r="FU9348"/>
      <c r="FV9348"/>
      <c r="FW9348"/>
      <c r="FX9348"/>
      <c r="FY9348"/>
      <c r="FZ9348"/>
      <c r="GA9348"/>
      <c r="GB9348"/>
      <c r="GC9348"/>
      <c r="GD9348"/>
      <c r="GE9348"/>
      <c r="GF9348"/>
      <c r="GG9348"/>
      <c r="GH9348"/>
      <c r="GI9348"/>
      <c r="GJ9348"/>
      <c r="GK9348"/>
      <c r="GL9348"/>
      <c r="GM9348"/>
      <c r="GN9348"/>
      <c r="GO9348"/>
    </row>
    <row r="9349" spans="107:197">
      <c r="DC9349"/>
      <c r="FH9349"/>
      <c r="FI9349"/>
      <c r="FJ9349"/>
      <c r="FK9349"/>
      <c r="FL9349"/>
      <c r="FM9349"/>
      <c r="FN9349"/>
      <c r="FO9349"/>
      <c r="FP9349"/>
      <c r="FQ9349"/>
      <c r="FR9349"/>
      <c r="FS9349"/>
      <c r="FT9349"/>
      <c r="FU9349"/>
      <c r="FV9349"/>
      <c r="FW9349"/>
      <c r="FX9349"/>
      <c r="FY9349"/>
      <c r="FZ9349"/>
      <c r="GA9349"/>
      <c r="GB9349"/>
      <c r="GC9349"/>
      <c r="GD9349"/>
      <c r="GE9349"/>
      <c r="GF9349"/>
      <c r="GG9349"/>
      <c r="GH9349"/>
      <c r="GI9349"/>
      <c r="GJ9349"/>
      <c r="GK9349"/>
      <c r="GL9349"/>
      <c r="GM9349"/>
      <c r="GN9349"/>
      <c r="GO9349"/>
    </row>
    <row r="9350" spans="107:197">
      <c r="DC9350"/>
      <c r="FH9350"/>
      <c r="FI9350"/>
      <c r="FJ9350"/>
      <c r="FK9350"/>
      <c r="FL9350"/>
      <c r="FM9350"/>
      <c r="FN9350"/>
      <c r="FO9350"/>
      <c r="FP9350"/>
      <c r="FQ9350"/>
      <c r="FR9350"/>
      <c r="FS9350"/>
      <c r="FT9350"/>
      <c r="FU9350"/>
      <c r="FV9350"/>
      <c r="FW9350"/>
      <c r="FX9350"/>
      <c r="FY9350"/>
      <c r="FZ9350"/>
      <c r="GA9350"/>
      <c r="GB9350"/>
      <c r="GC9350"/>
      <c r="GD9350"/>
      <c r="GE9350"/>
      <c r="GF9350"/>
      <c r="GG9350"/>
      <c r="GH9350"/>
      <c r="GI9350"/>
      <c r="GJ9350"/>
      <c r="GK9350"/>
      <c r="GL9350"/>
      <c r="GM9350"/>
      <c r="GN9350"/>
      <c r="GO9350"/>
    </row>
    <row r="9351" spans="107:197">
      <c r="DC9351"/>
      <c r="FH9351"/>
      <c r="FI9351"/>
      <c r="FJ9351"/>
      <c r="FK9351"/>
      <c r="FL9351"/>
      <c r="FM9351"/>
      <c r="FN9351"/>
      <c r="FO9351"/>
      <c r="FP9351"/>
      <c r="FQ9351"/>
      <c r="FR9351"/>
      <c r="FS9351"/>
      <c r="FT9351"/>
      <c r="FU9351"/>
      <c r="FV9351"/>
      <c r="FW9351"/>
      <c r="FX9351"/>
      <c r="FY9351"/>
      <c r="FZ9351"/>
      <c r="GA9351"/>
      <c r="GB9351"/>
      <c r="GC9351"/>
      <c r="GD9351"/>
      <c r="GE9351"/>
      <c r="GF9351"/>
      <c r="GG9351"/>
      <c r="GH9351"/>
      <c r="GI9351"/>
      <c r="GJ9351"/>
      <c r="GK9351"/>
      <c r="GL9351"/>
      <c r="GM9351"/>
      <c r="GN9351"/>
      <c r="GO9351"/>
    </row>
    <row r="9352" spans="107:197">
      <c r="DC9352"/>
      <c r="FH9352"/>
      <c r="FI9352"/>
      <c r="FJ9352"/>
      <c r="FK9352"/>
      <c r="FL9352"/>
      <c r="FM9352"/>
      <c r="FN9352"/>
      <c r="FO9352"/>
      <c r="FP9352"/>
      <c r="FQ9352"/>
      <c r="FR9352"/>
      <c r="FS9352"/>
      <c r="FT9352"/>
      <c r="FU9352"/>
      <c r="FV9352"/>
      <c r="FW9352"/>
      <c r="FX9352"/>
      <c r="FY9352"/>
      <c r="FZ9352"/>
      <c r="GA9352"/>
      <c r="GB9352"/>
      <c r="GC9352"/>
      <c r="GD9352"/>
      <c r="GE9352"/>
      <c r="GF9352"/>
      <c r="GG9352"/>
      <c r="GH9352"/>
      <c r="GI9352"/>
      <c r="GJ9352"/>
      <c r="GK9352"/>
      <c r="GL9352"/>
      <c r="GM9352"/>
      <c r="GN9352"/>
      <c r="GO9352"/>
    </row>
    <row r="9353" spans="107:197">
      <c r="DC9353"/>
      <c r="FH9353"/>
      <c r="FI9353"/>
      <c r="FJ9353"/>
      <c r="FK9353"/>
      <c r="FL9353"/>
      <c r="FM9353"/>
      <c r="FN9353"/>
      <c r="FO9353"/>
      <c r="FP9353"/>
      <c r="FQ9353"/>
      <c r="FR9353"/>
      <c r="FS9353"/>
      <c r="FT9353"/>
      <c r="FU9353"/>
      <c r="FV9353"/>
      <c r="FW9353"/>
      <c r="FX9353"/>
      <c r="FY9353"/>
      <c r="FZ9353"/>
      <c r="GA9353"/>
      <c r="GB9353"/>
      <c r="GC9353"/>
      <c r="GD9353"/>
      <c r="GE9353"/>
      <c r="GF9353"/>
      <c r="GG9353"/>
      <c r="GH9353"/>
      <c r="GI9353"/>
      <c r="GJ9353"/>
      <c r="GK9353"/>
      <c r="GL9353"/>
      <c r="GM9353"/>
      <c r="GN9353"/>
      <c r="GO9353"/>
    </row>
    <row r="9354" spans="107:197">
      <c r="DC9354"/>
      <c r="FH9354"/>
      <c r="FI9354"/>
      <c r="FJ9354"/>
      <c r="FK9354"/>
      <c r="FL9354"/>
      <c r="FM9354"/>
      <c r="FN9354"/>
      <c r="FO9354"/>
      <c r="FP9354"/>
      <c r="FQ9354"/>
      <c r="FR9354"/>
      <c r="FS9354"/>
      <c r="FT9354"/>
      <c r="FU9354"/>
      <c r="FV9354"/>
      <c r="FW9354"/>
      <c r="FX9354"/>
      <c r="FY9354"/>
      <c r="FZ9354"/>
      <c r="GA9354"/>
      <c r="GB9354"/>
      <c r="GC9354"/>
      <c r="GD9354"/>
      <c r="GE9354"/>
      <c r="GF9354"/>
      <c r="GG9354"/>
      <c r="GH9354"/>
      <c r="GI9354"/>
      <c r="GJ9354"/>
      <c r="GK9354"/>
      <c r="GL9354"/>
      <c r="GM9354"/>
      <c r="GN9354"/>
      <c r="GO9354"/>
    </row>
    <row r="9355" spans="107:197">
      <c r="DC9355"/>
      <c r="FH9355"/>
      <c r="FI9355"/>
      <c r="FJ9355"/>
      <c r="FK9355"/>
      <c r="FL9355"/>
      <c r="FM9355"/>
      <c r="FN9355"/>
      <c r="FO9355"/>
      <c r="FP9355"/>
      <c r="FQ9355"/>
      <c r="FR9355"/>
      <c r="FS9355"/>
      <c r="FT9355"/>
      <c r="FU9355"/>
      <c r="FV9355"/>
      <c r="FW9355"/>
      <c r="FX9355"/>
      <c r="FY9355"/>
      <c r="FZ9355"/>
      <c r="GA9355"/>
      <c r="GB9355"/>
      <c r="GC9355"/>
      <c r="GD9355"/>
      <c r="GE9355"/>
      <c r="GF9355"/>
      <c r="GG9355"/>
      <c r="GH9355"/>
      <c r="GI9355"/>
      <c r="GJ9355"/>
      <c r="GK9355"/>
      <c r="GL9355"/>
      <c r="GM9355"/>
      <c r="GN9355"/>
      <c r="GO9355"/>
    </row>
    <row r="9356" spans="107:197">
      <c r="DC9356"/>
      <c r="FH9356"/>
      <c r="FI9356"/>
      <c r="FJ9356"/>
      <c r="FK9356"/>
      <c r="FL9356"/>
      <c r="FM9356"/>
      <c r="FN9356"/>
      <c r="FO9356"/>
      <c r="FP9356"/>
      <c r="FQ9356"/>
      <c r="FR9356"/>
      <c r="FS9356"/>
      <c r="FT9356"/>
      <c r="FU9356"/>
      <c r="FV9356"/>
      <c r="FW9356"/>
      <c r="FX9356"/>
      <c r="FY9356"/>
      <c r="FZ9356"/>
      <c r="GA9356"/>
      <c r="GB9356"/>
      <c r="GC9356"/>
      <c r="GD9356"/>
      <c r="GE9356"/>
      <c r="GF9356"/>
      <c r="GG9356"/>
      <c r="GH9356"/>
      <c r="GI9356"/>
      <c r="GJ9356"/>
      <c r="GK9356"/>
      <c r="GL9356"/>
      <c r="GM9356"/>
      <c r="GN9356"/>
      <c r="GO9356"/>
    </row>
    <row r="9357" spans="107:197">
      <c r="DC9357"/>
      <c r="FH9357"/>
      <c r="FI9357"/>
      <c r="FJ9357"/>
      <c r="FK9357"/>
      <c r="FL9357"/>
      <c r="FM9357"/>
      <c r="FN9357"/>
      <c r="FO9357"/>
      <c r="FP9357"/>
      <c r="FQ9357"/>
      <c r="FR9357"/>
      <c r="FS9357"/>
      <c r="FT9357"/>
      <c r="FU9357"/>
      <c r="FV9357"/>
      <c r="FW9357"/>
      <c r="FX9357"/>
      <c r="FY9357"/>
      <c r="FZ9357"/>
      <c r="GA9357"/>
      <c r="GB9357"/>
      <c r="GC9357"/>
      <c r="GD9357"/>
      <c r="GE9357"/>
      <c r="GF9357"/>
      <c r="GG9357"/>
      <c r="GH9357"/>
      <c r="GI9357"/>
      <c r="GJ9357"/>
      <c r="GK9357"/>
      <c r="GL9357"/>
      <c r="GM9357"/>
      <c r="GN9357"/>
      <c r="GO9357"/>
    </row>
    <row r="9358" spans="107:197">
      <c r="DC9358"/>
      <c r="FH9358"/>
      <c r="FI9358"/>
      <c r="FJ9358"/>
      <c r="FK9358"/>
      <c r="FL9358"/>
      <c r="FM9358"/>
      <c r="FN9358"/>
      <c r="FO9358"/>
      <c r="FP9358"/>
      <c r="FQ9358"/>
      <c r="FR9358"/>
      <c r="FS9358"/>
      <c r="FT9358"/>
      <c r="FU9358"/>
      <c r="FV9358"/>
      <c r="FW9358"/>
      <c r="FX9358"/>
      <c r="FY9358"/>
      <c r="FZ9358"/>
      <c r="GA9358"/>
      <c r="GB9358"/>
      <c r="GC9358"/>
      <c r="GD9358"/>
      <c r="GE9358"/>
      <c r="GF9358"/>
      <c r="GG9358"/>
      <c r="GH9358"/>
      <c r="GI9358"/>
      <c r="GJ9358"/>
      <c r="GK9358"/>
      <c r="GL9358"/>
      <c r="GM9358"/>
      <c r="GN9358"/>
      <c r="GO9358"/>
    </row>
    <row r="9359" spans="107:197">
      <c r="DC9359"/>
      <c r="FH9359"/>
      <c r="FI9359"/>
      <c r="FJ9359"/>
      <c r="FK9359"/>
      <c r="FL9359"/>
      <c r="FM9359"/>
      <c r="FN9359"/>
      <c r="FO9359"/>
      <c r="FP9359"/>
      <c r="FQ9359"/>
      <c r="FR9359"/>
      <c r="FS9359"/>
      <c r="FT9359"/>
      <c r="FU9359"/>
      <c r="FV9359"/>
      <c r="FW9359"/>
      <c r="FX9359"/>
      <c r="FY9359"/>
      <c r="FZ9359"/>
      <c r="GA9359"/>
      <c r="GB9359"/>
      <c r="GC9359"/>
      <c r="GD9359"/>
      <c r="GE9359"/>
      <c r="GF9359"/>
      <c r="GG9359"/>
      <c r="GH9359"/>
      <c r="GI9359"/>
      <c r="GJ9359"/>
      <c r="GK9359"/>
      <c r="GL9359"/>
      <c r="GM9359"/>
      <c r="GN9359"/>
      <c r="GO9359"/>
    </row>
    <row r="9360" spans="107:197">
      <c r="DC9360"/>
      <c r="FH9360"/>
      <c r="FI9360"/>
      <c r="FJ9360"/>
      <c r="FK9360"/>
      <c r="FL9360"/>
      <c r="FM9360"/>
      <c r="FN9360"/>
      <c r="FO9360"/>
      <c r="FP9360"/>
      <c r="FQ9360"/>
      <c r="FR9360"/>
      <c r="FS9360"/>
      <c r="FT9360"/>
      <c r="FU9360"/>
      <c r="FV9360"/>
      <c r="FW9360"/>
      <c r="FX9360"/>
      <c r="FY9360"/>
      <c r="FZ9360"/>
      <c r="GA9360"/>
      <c r="GB9360"/>
      <c r="GC9360"/>
      <c r="GD9360"/>
      <c r="GE9360"/>
      <c r="GF9360"/>
      <c r="GG9360"/>
      <c r="GH9360"/>
      <c r="GI9360"/>
      <c r="GJ9360"/>
      <c r="GK9360"/>
      <c r="GL9360"/>
      <c r="GM9360"/>
      <c r="GN9360"/>
      <c r="GO9360"/>
    </row>
    <row r="9361" spans="107:197">
      <c r="DC9361"/>
      <c r="FH9361"/>
      <c r="FI9361"/>
      <c r="FJ9361"/>
      <c r="FK9361"/>
      <c r="FL9361"/>
      <c r="FM9361"/>
      <c r="FN9361"/>
      <c r="FO9361"/>
      <c r="FP9361"/>
      <c r="FQ9361"/>
      <c r="FR9361"/>
      <c r="FS9361"/>
      <c r="FT9361"/>
      <c r="FU9361"/>
      <c r="FV9361"/>
      <c r="FW9361"/>
      <c r="FX9361"/>
      <c r="FY9361"/>
      <c r="FZ9361"/>
      <c r="GA9361"/>
      <c r="GB9361"/>
      <c r="GC9361"/>
      <c r="GD9361"/>
      <c r="GE9361"/>
      <c r="GF9361"/>
      <c r="GG9361"/>
      <c r="GH9361"/>
      <c r="GI9361"/>
      <c r="GJ9361"/>
      <c r="GK9361"/>
      <c r="GL9361"/>
      <c r="GM9361"/>
      <c r="GN9361"/>
      <c r="GO9361"/>
    </row>
    <row r="9362" spans="107:197">
      <c r="DC9362"/>
      <c r="FH9362"/>
      <c r="FI9362"/>
      <c r="FJ9362"/>
      <c r="FK9362"/>
      <c r="FL9362"/>
      <c r="FM9362"/>
      <c r="FN9362"/>
      <c r="FO9362"/>
      <c r="FP9362"/>
      <c r="FQ9362"/>
      <c r="FR9362"/>
      <c r="FS9362"/>
      <c r="FT9362"/>
      <c r="FU9362"/>
      <c r="FV9362"/>
      <c r="FW9362"/>
      <c r="FX9362"/>
      <c r="FY9362"/>
      <c r="FZ9362"/>
      <c r="GA9362"/>
      <c r="GB9362"/>
      <c r="GC9362"/>
      <c r="GD9362"/>
      <c r="GE9362"/>
      <c r="GF9362"/>
      <c r="GG9362"/>
      <c r="GH9362"/>
      <c r="GI9362"/>
      <c r="GJ9362"/>
      <c r="GK9362"/>
      <c r="GL9362"/>
      <c r="GM9362"/>
      <c r="GN9362"/>
      <c r="GO9362"/>
    </row>
    <row r="9363" spans="107:197">
      <c r="DC9363"/>
      <c r="FH9363"/>
      <c r="FI9363"/>
      <c r="FJ9363"/>
      <c r="FK9363"/>
      <c r="FL9363"/>
      <c r="FM9363"/>
      <c r="FN9363"/>
      <c r="FO9363"/>
      <c r="FP9363"/>
      <c r="FQ9363"/>
      <c r="FR9363"/>
      <c r="FS9363"/>
      <c r="FT9363"/>
      <c r="FU9363"/>
      <c r="FV9363"/>
      <c r="FW9363"/>
      <c r="FX9363"/>
      <c r="FY9363"/>
      <c r="FZ9363"/>
      <c r="GA9363"/>
      <c r="GB9363"/>
      <c r="GC9363"/>
      <c r="GD9363"/>
      <c r="GE9363"/>
      <c r="GF9363"/>
      <c r="GG9363"/>
      <c r="GH9363"/>
      <c r="GI9363"/>
      <c r="GJ9363"/>
      <c r="GK9363"/>
      <c r="GL9363"/>
      <c r="GM9363"/>
      <c r="GN9363"/>
      <c r="GO9363"/>
    </row>
    <row r="9364" spans="107:197">
      <c r="DC9364"/>
      <c r="FH9364"/>
      <c r="FI9364"/>
      <c r="FJ9364"/>
      <c r="FK9364"/>
      <c r="FL9364"/>
      <c r="FM9364"/>
      <c r="FN9364"/>
      <c r="FO9364"/>
      <c r="FP9364"/>
      <c r="FQ9364"/>
      <c r="FR9364"/>
      <c r="FS9364"/>
      <c r="FT9364"/>
      <c r="FU9364"/>
      <c r="FV9364"/>
      <c r="FW9364"/>
      <c r="FX9364"/>
      <c r="FY9364"/>
      <c r="FZ9364"/>
      <c r="GA9364"/>
      <c r="GB9364"/>
      <c r="GC9364"/>
      <c r="GD9364"/>
      <c r="GE9364"/>
      <c r="GF9364"/>
      <c r="GG9364"/>
      <c r="GH9364"/>
      <c r="GI9364"/>
      <c r="GJ9364"/>
      <c r="GK9364"/>
      <c r="GL9364"/>
      <c r="GM9364"/>
      <c r="GN9364"/>
      <c r="GO9364"/>
    </row>
    <row r="9365" spans="107:197">
      <c r="DC9365"/>
      <c r="FH9365"/>
      <c r="FI9365"/>
      <c r="FJ9365"/>
      <c r="FK9365"/>
      <c r="FL9365"/>
      <c r="FM9365"/>
      <c r="FN9365"/>
      <c r="FO9365"/>
      <c r="FP9365"/>
      <c r="FQ9365"/>
      <c r="FR9365"/>
      <c r="FS9365"/>
      <c r="FT9365"/>
      <c r="FU9365"/>
      <c r="FV9365"/>
      <c r="FW9365"/>
      <c r="FX9365"/>
      <c r="FY9365"/>
      <c r="FZ9365"/>
      <c r="GA9365"/>
      <c r="GB9365"/>
      <c r="GC9365"/>
      <c r="GD9365"/>
      <c r="GE9365"/>
      <c r="GF9365"/>
      <c r="GG9365"/>
      <c r="GH9365"/>
      <c r="GI9365"/>
      <c r="GJ9365"/>
      <c r="GK9365"/>
      <c r="GL9365"/>
      <c r="GM9365"/>
      <c r="GN9365"/>
      <c r="GO9365"/>
    </row>
    <row r="9366" spans="107:197">
      <c r="DC9366"/>
      <c r="FH9366"/>
      <c r="FI9366"/>
      <c r="FJ9366"/>
      <c r="FK9366"/>
      <c r="FL9366"/>
      <c r="FM9366"/>
      <c r="FN9366"/>
      <c r="FO9366"/>
      <c r="FP9366"/>
      <c r="FQ9366"/>
      <c r="FR9366"/>
      <c r="FS9366"/>
      <c r="FT9366"/>
      <c r="FU9366"/>
      <c r="FV9366"/>
      <c r="FW9366"/>
      <c r="FX9366"/>
      <c r="FY9366"/>
      <c r="FZ9366"/>
      <c r="GA9366"/>
      <c r="GB9366"/>
      <c r="GC9366"/>
      <c r="GD9366"/>
      <c r="GE9366"/>
      <c r="GF9366"/>
      <c r="GG9366"/>
      <c r="GH9366"/>
      <c r="GI9366"/>
      <c r="GJ9366"/>
      <c r="GK9366"/>
      <c r="GL9366"/>
      <c r="GM9366"/>
      <c r="GN9366"/>
      <c r="GO9366"/>
    </row>
    <row r="9367" spans="107:197">
      <c r="DC9367"/>
      <c r="FH9367"/>
      <c r="FI9367"/>
      <c r="FJ9367"/>
      <c r="FK9367"/>
      <c r="FL9367"/>
      <c r="FM9367"/>
      <c r="FN9367"/>
      <c r="FO9367"/>
      <c r="FP9367"/>
      <c r="FQ9367"/>
      <c r="FR9367"/>
      <c r="FS9367"/>
      <c r="FT9367"/>
      <c r="FU9367"/>
      <c r="FV9367"/>
      <c r="FW9367"/>
      <c r="FX9367"/>
      <c r="FY9367"/>
      <c r="FZ9367"/>
      <c r="GA9367"/>
      <c r="GB9367"/>
      <c r="GC9367"/>
      <c r="GD9367"/>
      <c r="GE9367"/>
      <c r="GF9367"/>
      <c r="GG9367"/>
      <c r="GH9367"/>
      <c r="GI9367"/>
      <c r="GJ9367"/>
      <c r="GK9367"/>
      <c r="GL9367"/>
      <c r="GM9367"/>
      <c r="GN9367"/>
      <c r="GO9367"/>
    </row>
    <row r="9368" spans="107:197">
      <c r="DC9368"/>
      <c r="FH9368"/>
      <c r="FI9368"/>
      <c r="FJ9368"/>
      <c r="FK9368"/>
      <c r="FL9368"/>
      <c r="FM9368"/>
      <c r="FN9368"/>
      <c r="FO9368"/>
      <c r="FP9368"/>
      <c r="FQ9368"/>
      <c r="FR9368"/>
      <c r="FS9368"/>
      <c r="FT9368"/>
      <c r="FU9368"/>
      <c r="FV9368"/>
      <c r="FW9368"/>
      <c r="FX9368"/>
      <c r="FY9368"/>
      <c r="FZ9368"/>
      <c r="GA9368"/>
      <c r="GB9368"/>
      <c r="GC9368"/>
      <c r="GD9368"/>
      <c r="GE9368"/>
      <c r="GF9368"/>
      <c r="GG9368"/>
      <c r="GH9368"/>
      <c r="GI9368"/>
      <c r="GJ9368"/>
      <c r="GK9368"/>
      <c r="GL9368"/>
      <c r="GM9368"/>
      <c r="GN9368"/>
      <c r="GO9368"/>
    </row>
    <row r="9369" spans="107:197">
      <c r="DC9369"/>
      <c r="FH9369"/>
      <c r="FI9369"/>
      <c r="FJ9369"/>
      <c r="FK9369"/>
      <c r="FL9369"/>
      <c r="FM9369"/>
      <c r="FN9369"/>
      <c r="FO9369"/>
      <c r="FP9369"/>
      <c r="FQ9369"/>
      <c r="FR9369"/>
      <c r="FS9369"/>
      <c r="FT9369"/>
      <c r="FU9369"/>
      <c r="FV9369"/>
      <c r="FW9369"/>
      <c r="FX9369"/>
      <c r="FY9369"/>
      <c r="FZ9369"/>
      <c r="GA9369"/>
      <c r="GB9369"/>
      <c r="GC9369"/>
      <c r="GD9369"/>
      <c r="GE9369"/>
      <c r="GF9369"/>
      <c r="GG9369"/>
      <c r="GH9369"/>
      <c r="GI9369"/>
      <c r="GJ9369"/>
      <c r="GK9369"/>
      <c r="GL9369"/>
      <c r="GM9369"/>
      <c r="GN9369"/>
      <c r="GO9369"/>
    </row>
    <row r="9370" spans="107:197">
      <c r="DC9370"/>
      <c r="FH9370"/>
      <c r="FI9370"/>
      <c r="FJ9370"/>
      <c r="FK9370"/>
      <c r="FL9370"/>
      <c r="FM9370"/>
      <c r="FN9370"/>
      <c r="FO9370"/>
      <c r="FP9370"/>
      <c r="FQ9370"/>
      <c r="FR9370"/>
      <c r="FS9370"/>
      <c r="FT9370"/>
      <c r="FU9370"/>
      <c r="FV9370"/>
      <c r="FW9370"/>
      <c r="FX9370"/>
      <c r="FY9370"/>
      <c r="FZ9370"/>
      <c r="GA9370"/>
      <c r="GB9370"/>
      <c r="GC9370"/>
      <c r="GD9370"/>
      <c r="GE9370"/>
      <c r="GF9370"/>
      <c r="GG9370"/>
      <c r="GH9370"/>
      <c r="GI9370"/>
      <c r="GJ9370"/>
      <c r="GK9370"/>
      <c r="GL9370"/>
      <c r="GM9370"/>
      <c r="GN9370"/>
      <c r="GO9370"/>
    </row>
    <row r="9371" spans="107:197">
      <c r="DC9371"/>
      <c r="FH9371"/>
      <c r="FI9371"/>
      <c r="FJ9371"/>
      <c r="FK9371"/>
      <c r="FL9371"/>
      <c r="FM9371"/>
      <c r="FN9371"/>
      <c r="FO9371"/>
      <c r="FP9371"/>
      <c r="FQ9371"/>
      <c r="FR9371"/>
      <c r="FS9371"/>
      <c r="FT9371"/>
      <c r="FU9371"/>
      <c r="FV9371"/>
      <c r="FW9371"/>
      <c r="FX9371"/>
      <c r="FY9371"/>
      <c r="FZ9371"/>
      <c r="GA9371"/>
      <c r="GB9371"/>
      <c r="GC9371"/>
      <c r="GD9371"/>
      <c r="GE9371"/>
      <c r="GF9371"/>
      <c r="GG9371"/>
      <c r="GH9371"/>
      <c r="GI9371"/>
      <c r="GJ9371"/>
      <c r="GK9371"/>
      <c r="GL9371"/>
      <c r="GM9371"/>
      <c r="GN9371"/>
      <c r="GO9371"/>
    </row>
    <row r="9372" spans="107:197">
      <c r="DC9372"/>
      <c r="FH9372"/>
      <c r="FI9372"/>
      <c r="FJ9372"/>
      <c r="FK9372"/>
      <c r="FL9372"/>
      <c r="FM9372"/>
      <c r="FN9372"/>
      <c r="FO9372"/>
      <c r="FP9372"/>
      <c r="FQ9372"/>
      <c r="FR9372"/>
      <c r="FS9372"/>
      <c r="FT9372"/>
      <c r="FU9372"/>
      <c r="FV9372"/>
      <c r="FW9372"/>
      <c r="FX9372"/>
      <c r="FY9372"/>
      <c r="FZ9372"/>
      <c r="GA9372"/>
      <c r="GB9372"/>
      <c r="GC9372"/>
      <c r="GD9372"/>
      <c r="GE9372"/>
      <c r="GF9372"/>
      <c r="GG9372"/>
      <c r="GH9372"/>
      <c r="GI9372"/>
      <c r="GJ9372"/>
      <c r="GK9372"/>
      <c r="GL9372"/>
      <c r="GM9372"/>
      <c r="GN9372"/>
      <c r="GO9372"/>
    </row>
    <row r="9373" spans="107:197">
      <c r="DC9373"/>
      <c r="FH9373"/>
      <c r="FI9373"/>
      <c r="FJ9373"/>
      <c r="FK9373"/>
      <c r="FL9373"/>
      <c r="FM9373"/>
      <c r="FN9373"/>
      <c r="FO9373"/>
      <c r="FP9373"/>
      <c r="FQ9373"/>
      <c r="FR9373"/>
      <c r="FS9373"/>
      <c r="FT9373"/>
      <c r="FU9373"/>
      <c r="FV9373"/>
      <c r="FW9373"/>
      <c r="FX9373"/>
      <c r="FY9373"/>
      <c r="FZ9373"/>
      <c r="GA9373"/>
      <c r="GB9373"/>
      <c r="GC9373"/>
      <c r="GD9373"/>
      <c r="GE9373"/>
      <c r="GF9373"/>
      <c r="GG9373"/>
      <c r="GH9373"/>
      <c r="GI9373"/>
      <c r="GJ9373"/>
      <c r="GK9373"/>
      <c r="GL9373"/>
      <c r="GM9373"/>
      <c r="GN9373"/>
      <c r="GO9373"/>
    </row>
    <row r="9374" spans="107:197">
      <c r="DC9374"/>
      <c r="FH9374"/>
      <c r="FI9374"/>
      <c r="FJ9374"/>
      <c r="FK9374"/>
      <c r="FL9374"/>
      <c r="FM9374"/>
      <c r="FN9374"/>
      <c r="FO9374"/>
      <c r="FP9374"/>
      <c r="FQ9374"/>
      <c r="FR9374"/>
      <c r="FS9374"/>
      <c r="FT9374"/>
      <c r="FU9374"/>
      <c r="FV9374"/>
      <c r="FW9374"/>
      <c r="FX9374"/>
      <c r="FY9374"/>
      <c r="FZ9374"/>
      <c r="GA9374"/>
      <c r="GB9374"/>
      <c r="GC9374"/>
      <c r="GD9374"/>
      <c r="GE9374"/>
      <c r="GF9374"/>
      <c r="GG9374"/>
      <c r="GH9374"/>
      <c r="GI9374"/>
      <c r="GJ9374"/>
      <c r="GK9374"/>
      <c r="GL9374"/>
      <c r="GM9374"/>
      <c r="GN9374"/>
      <c r="GO9374"/>
    </row>
    <row r="9375" spans="107:197">
      <c r="DC9375"/>
      <c r="FH9375"/>
      <c r="FI9375"/>
      <c r="FJ9375"/>
      <c r="FK9375"/>
      <c r="FL9375"/>
      <c r="FM9375"/>
      <c r="FN9375"/>
      <c r="FO9375"/>
      <c r="FP9375"/>
      <c r="FQ9375"/>
      <c r="FR9375"/>
      <c r="FS9375"/>
      <c r="FT9375"/>
      <c r="FU9375"/>
      <c r="FV9375"/>
      <c r="FW9375"/>
      <c r="FX9375"/>
      <c r="FY9375"/>
      <c r="FZ9375"/>
      <c r="GA9375"/>
      <c r="GB9375"/>
      <c r="GC9375"/>
      <c r="GD9375"/>
      <c r="GE9375"/>
      <c r="GF9375"/>
      <c r="GG9375"/>
      <c r="GH9375"/>
      <c r="GI9375"/>
      <c r="GJ9375"/>
      <c r="GK9375"/>
      <c r="GL9375"/>
      <c r="GM9375"/>
      <c r="GN9375"/>
      <c r="GO9375"/>
    </row>
    <row r="9376" spans="107:197">
      <c r="DC9376"/>
      <c r="FH9376"/>
      <c r="FI9376"/>
      <c r="FJ9376"/>
      <c r="FK9376"/>
      <c r="FL9376"/>
      <c r="FM9376"/>
      <c r="FN9376"/>
      <c r="FO9376"/>
      <c r="FP9376"/>
      <c r="FQ9376"/>
      <c r="FR9376"/>
      <c r="FS9376"/>
      <c r="FT9376"/>
      <c r="FU9376"/>
      <c r="FV9376"/>
      <c r="FW9376"/>
      <c r="FX9376"/>
      <c r="FY9376"/>
      <c r="FZ9376"/>
      <c r="GA9376"/>
      <c r="GB9376"/>
      <c r="GC9376"/>
      <c r="GD9376"/>
      <c r="GE9376"/>
      <c r="GF9376"/>
      <c r="GG9376"/>
      <c r="GH9376"/>
      <c r="GI9376"/>
      <c r="GJ9376"/>
      <c r="GK9376"/>
      <c r="GL9376"/>
      <c r="GM9376"/>
      <c r="GN9376"/>
      <c r="GO9376"/>
    </row>
    <row r="9377" spans="107:197">
      <c r="DC9377"/>
      <c r="FH9377"/>
      <c r="FI9377"/>
      <c r="FJ9377"/>
      <c r="FK9377"/>
      <c r="FL9377"/>
      <c r="FM9377"/>
      <c r="FN9377"/>
      <c r="FO9377"/>
      <c r="FP9377"/>
      <c r="FQ9377"/>
      <c r="FR9377"/>
      <c r="FS9377"/>
      <c r="FT9377"/>
      <c r="FU9377"/>
      <c r="FV9377"/>
      <c r="FW9377"/>
      <c r="FX9377"/>
      <c r="FY9377"/>
      <c r="FZ9377"/>
      <c r="GA9377"/>
      <c r="GB9377"/>
      <c r="GC9377"/>
      <c r="GD9377"/>
      <c r="GE9377"/>
      <c r="GF9377"/>
      <c r="GG9377"/>
      <c r="GH9377"/>
      <c r="GI9377"/>
      <c r="GJ9377"/>
      <c r="GK9377"/>
      <c r="GL9377"/>
      <c r="GM9377"/>
      <c r="GN9377"/>
      <c r="GO9377"/>
    </row>
    <row r="9378" spans="107:197">
      <c r="DC9378"/>
      <c r="FH9378"/>
      <c r="FI9378"/>
      <c r="FJ9378"/>
      <c r="FK9378"/>
      <c r="FL9378"/>
      <c r="FM9378"/>
      <c r="FN9378"/>
      <c r="FO9378"/>
      <c r="FP9378"/>
      <c r="FQ9378"/>
      <c r="FR9378"/>
      <c r="FS9378"/>
      <c r="FT9378"/>
      <c r="FU9378"/>
      <c r="FV9378"/>
      <c r="FW9378"/>
      <c r="FX9378"/>
      <c r="FY9378"/>
      <c r="FZ9378"/>
      <c r="GA9378"/>
      <c r="GB9378"/>
      <c r="GC9378"/>
      <c r="GD9378"/>
      <c r="GE9378"/>
      <c r="GF9378"/>
      <c r="GG9378"/>
      <c r="GH9378"/>
      <c r="GI9378"/>
      <c r="GJ9378"/>
      <c r="GK9378"/>
      <c r="GL9378"/>
      <c r="GM9378"/>
      <c r="GN9378"/>
      <c r="GO9378"/>
    </row>
    <row r="9379" spans="107:197">
      <c r="DC9379"/>
      <c r="FH9379"/>
      <c r="FI9379"/>
      <c r="FJ9379"/>
      <c r="FK9379"/>
      <c r="FL9379"/>
      <c r="FM9379"/>
      <c r="FN9379"/>
      <c r="FO9379"/>
      <c r="FP9379"/>
      <c r="FQ9379"/>
      <c r="FR9379"/>
      <c r="FS9379"/>
      <c r="FT9379"/>
      <c r="FU9379"/>
      <c r="FV9379"/>
      <c r="FW9379"/>
      <c r="FX9379"/>
      <c r="FY9379"/>
      <c r="FZ9379"/>
      <c r="GA9379"/>
      <c r="GB9379"/>
      <c r="GC9379"/>
      <c r="GD9379"/>
      <c r="GE9379"/>
      <c r="GF9379"/>
      <c r="GG9379"/>
      <c r="GH9379"/>
      <c r="GI9379"/>
      <c r="GJ9379"/>
      <c r="GK9379"/>
      <c r="GL9379"/>
      <c r="GM9379"/>
      <c r="GN9379"/>
      <c r="GO9379"/>
    </row>
    <row r="9380" spans="107:197">
      <c r="DC9380"/>
      <c r="FH9380"/>
      <c r="FI9380"/>
      <c r="FJ9380"/>
      <c r="FK9380"/>
      <c r="FL9380"/>
      <c r="FM9380"/>
      <c r="FN9380"/>
      <c r="FO9380"/>
      <c r="FP9380"/>
      <c r="FQ9380"/>
      <c r="FR9380"/>
      <c r="FS9380"/>
      <c r="FT9380"/>
      <c r="FU9380"/>
      <c r="FV9380"/>
      <c r="FW9380"/>
      <c r="FX9380"/>
      <c r="FY9380"/>
      <c r="FZ9380"/>
      <c r="GA9380"/>
      <c r="GB9380"/>
      <c r="GC9380"/>
      <c r="GD9380"/>
      <c r="GE9380"/>
      <c r="GF9380"/>
      <c r="GG9380"/>
      <c r="GH9380"/>
      <c r="GI9380"/>
      <c r="GJ9380"/>
      <c r="GK9380"/>
      <c r="GL9380"/>
      <c r="GM9380"/>
      <c r="GN9380"/>
      <c r="GO9380"/>
    </row>
    <row r="9381" spans="107:197">
      <c r="DC9381"/>
      <c r="FH9381"/>
      <c r="FI9381"/>
      <c r="FJ9381"/>
      <c r="FK9381"/>
      <c r="FL9381"/>
      <c r="FM9381"/>
      <c r="FN9381"/>
      <c r="FO9381"/>
      <c r="FP9381"/>
      <c r="FQ9381"/>
      <c r="FR9381"/>
      <c r="FS9381"/>
      <c r="FT9381"/>
      <c r="FU9381"/>
      <c r="FV9381"/>
      <c r="FW9381"/>
      <c r="FX9381"/>
      <c r="FY9381"/>
      <c r="FZ9381"/>
      <c r="GA9381"/>
      <c r="GB9381"/>
      <c r="GC9381"/>
      <c r="GD9381"/>
      <c r="GE9381"/>
      <c r="GF9381"/>
      <c r="GG9381"/>
      <c r="GH9381"/>
      <c r="GI9381"/>
      <c r="GJ9381"/>
      <c r="GK9381"/>
      <c r="GL9381"/>
      <c r="GM9381"/>
      <c r="GN9381"/>
      <c r="GO9381"/>
    </row>
    <row r="9382" spans="107:197">
      <c r="DC9382"/>
      <c r="FH9382"/>
      <c r="FI9382"/>
      <c r="FJ9382"/>
      <c r="FK9382"/>
      <c r="FL9382"/>
      <c r="FM9382"/>
      <c r="FN9382"/>
      <c r="FO9382"/>
      <c r="FP9382"/>
      <c r="FQ9382"/>
      <c r="FR9382"/>
      <c r="FS9382"/>
      <c r="FT9382"/>
      <c r="FU9382"/>
      <c r="FV9382"/>
      <c r="FW9382"/>
      <c r="FX9382"/>
      <c r="FY9382"/>
      <c r="FZ9382"/>
      <c r="GA9382"/>
      <c r="GB9382"/>
      <c r="GC9382"/>
      <c r="GD9382"/>
      <c r="GE9382"/>
      <c r="GF9382"/>
      <c r="GG9382"/>
      <c r="GH9382"/>
      <c r="GI9382"/>
      <c r="GJ9382"/>
      <c r="GK9382"/>
      <c r="GL9382"/>
      <c r="GM9382"/>
      <c r="GN9382"/>
      <c r="GO9382"/>
    </row>
    <row r="9383" spans="107:197">
      <c r="DC9383"/>
      <c r="FH9383"/>
      <c r="FI9383"/>
      <c r="FJ9383"/>
      <c r="FK9383"/>
      <c r="FL9383"/>
      <c r="FM9383"/>
      <c r="FN9383"/>
      <c r="FO9383"/>
      <c r="FP9383"/>
      <c r="FQ9383"/>
      <c r="FR9383"/>
      <c r="FS9383"/>
      <c r="FT9383"/>
      <c r="FU9383"/>
      <c r="FV9383"/>
      <c r="FW9383"/>
      <c r="FX9383"/>
      <c r="FY9383"/>
      <c r="FZ9383"/>
      <c r="GA9383"/>
      <c r="GB9383"/>
      <c r="GC9383"/>
      <c r="GD9383"/>
      <c r="GE9383"/>
      <c r="GF9383"/>
      <c r="GG9383"/>
      <c r="GH9383"/>
      <c r="GI9383"/>
      <c r="GJ9383"/>
      <c r="GK9383"/>
      <c r="GL9383"/>
      <c r="GM9383"/>
      <c r="GN9383"/>
      <c r="GO9383"/>
    </row>
    <row r="9384" spans="107:197">
      <c r="DC9384"/>
      <c r="FH9384"/>
      <c r="FI9384"/>
      <c r="FJ9384"/>
      <c r="FK9384"/>
      <c r="FL9384"/>
      <c r="FM9384"/>
      <c r="FN9384"/>
      <c r="FO9384"/>
      <c r="FP9384"/>
      <c r="FQ9384"/>
      <c r="FR9384"/>
      <c r="FS9384"/>
      <c r="FT9384"/>
      <c r="FU9384"/>
      <c r="FV9384"/>
      <c r="FW9384"/>
      <c r="FX9384"/>
      <c r="FY9384"/>
      <c r="FZ9384"/>
      <c r="GA9384"/>
      <c r="GB9384"/>
      <c r="GC9384"/>
      <c r="GD9384"/>
      <c r="GE9384"/>
      <c r="GF9384"/>
      <c r="GG9384"/>
      <c r="GH9384"/>
      <c r="GI9384"/>
      <c r="GJ9384"/>
      <c r="GK9384"/>
      <c r="GL9384"/>
      <c r="GM9384"/>
      <c r="GN9384"/>
      <c r="GO9384"/>
    </row>
    <row r="9385" spans="107:197">
      <c r="DC9385"/>
      <c r="FH9385"/>
      <c r="FI9385"/>
      <c r="FJ9385"/>
      <c r="FK9385"/>
      <c r="FL9385"/>
      <c r="FM9385"/>
      <c r="FN9385"/>
      <c r="FO9385"/>
      <c r="FP9385"/>
      <c r="FQ9385"/>
      <c r="FR9385"/>
      <c r="FS9385"/>
      <c r="FT9385"/>
      <c r="FU9385"/>
      <c r="FV9385"/>
      <c r="FW9385"/>
      <c r="FX9385"/>
      <c r="FY9385"/>
      <c r="FZ9385"/>
      <c r="GA9385"/>
      <c r="GB9385"/>
      <c r="GC9385"/>
      <c r="GD9385"/>
      <c r="GE9385"/>
      <c r="GF9385"/>
      <c r="GG9385"/>
      <c r="GH9385"/>
      <c r="GI9385"/>
      <c r="GJ9385"/>
      <c r="GK9385"/>
      <c r="GL9385"/>
      <c r="GM9385"/>
      <c r="GN9385"/>
      <c r="GO9385"/>
    </row>
    <row r="9386" spans="107:197">
      <c r="DC9386"/>
      <c r="FH9386"/>
      <c r="FI9386"/>
      <c r="FJ9386"/>
      <c r="FK9386"/>
      <c r="FL9386"/>
      <c r="FM9386"/>
      <c r="FN9386"/>
      <c r="FO9386"/>
      <c r="FP9386"/>
      <c r="FQ9386"/>
      <c r="FR9386"/>
      <c r="FS9386"/>
      <c r="FT9386"/>
      <c r="FU9386"/>
      <c r="FV9386"/>
      <c r="FW9386"/>
      <c r="FX9386"/>
      <c r="FY9386"/>
      <c r="FZ9386"/>
      <c r="GA9386"/>
      <c r="GB9386"/>
      <c r="GC9386"/>
      <c r="GD9386"/>
      <c r="GE9386"/>
      <c r="GF9386"/>
      <c r="GG9386"/>
      <c r="GH9386"/>
      <c r="GI9386"/>
      <c r="GJ9386"/>
      <c r="GK9386"/>
      <c r="GL9386"/>
      <c r="GM9386"/>
      <c r="GN9386"/>
      <c r="GO9386"/>
    </row>
    <row r="9387" spans="107:197">
      <c r="DC9387"/>
      <c r="FH9387"/>
      <c r="FI9387"/>
      <c r="FJ9387"/>
      <c r="FK9387"/>
      <c r="FL9387"/>
      <c r="FM9387"/>
      <c r="FN9387"/>
      <c r="FO9387"/>
      <c r="FP9387"/>
      <c r="FQ9387"/>
      <c r="FR9387"/>
      <c r="FS9387"/>
      <c r="FT9387"/>
      <c r="FU9387"/>
      <c r="FV9387"/>
      <c r="FW9387"/>
      <c r="FX9387"/>
      <c r="FY9387"/>
      <c r="FZ9387"/>
      <c r="GA9387"/>
      <c r="GB9387"/>
      <c r="GC9387"/>
      <c r="GD9387"/>
      <c r="GE9387"/>
      <c r="GF9387"/>
      <c r="GG9387"/>
      <c r="GH9387"/>
      <c r="GI9387"/>
      <c r="GJ9387"/>
      <c r="GK9387"/>
      <c r="GL9387"/>
      <c r="GM9387"/>
      <c r="GN9387"/>
      <c r="GO9387"/>
    </row>
    <row r="9388" spans="107:197">
      <c r="DC9388"/>
      <c r="FH9388"/>
      <c r="FI9388"/>
      <c r="FJ9388"/>
      <c r="FK9388"/>
      <c r="FL9388"/>
      <c r="FM9388"/>
      <c r="FN9388"/>
      <c r="FO9388"/>
      <c r="FP9388"/>
      <c r="FQ9388"/>
      <c r="FR9388"/>
      <c r="FS9388"/>
      <c r="FT9388"/>
      <c r="FU9388"/>
      <c r="FV9388"/>
      <c r="FW9388"/>
      <c r="FX9388"/>
      <c r="FY9388"/>
      <c r="FZ9388"/>
      <c r="GA9388"/>
      <c r="GB9388"/>
      <c r="GC9388"/>
      <c r="GD9388"/>
      <c r="GE9388"/>
      <c r="GF9388"/>
      <c r="GG9388"/>
      <c r="GH9388"/>
      <c r="GI9388"/>
      <c r="GJ9388"/>
      <c r="GK9388"/>
      <c r="GL9388"/>
      <c r="GM9388"/>
      <c r="GN9388"/>
      <c r="GO9388"/>
    </row>
    <row r="9389" spans="107:197">
      <c r="DC9389"/>
      <c r="FH9389"/>
      <c r="FI9389"/>
      <c r="FJ9389"/>
      <c r="FK9389"/>
      <c r="FL9389"/>
      <c r="FM9389"/>
      <c r="FN9389"/>
      <c r="FO9389"/>
      <c r="FP9389"/>
      <c r="FQ9389"/>
      <c r="FR9389"/>
      <c r="FS9389"/>
      <c r="FT9389"/>
      <c r="FU9389"/>
      <c r="FV9389"/>
      <c r="FW9389"/>
      <c r="FX9389"/>
      <c r="FY9389"/>
      <c r="FZ9389"/>
      <c r="GA9389"/>
      <c r="GB9389"/>
      <c r="GC9389"/>
      <c r="GD9389"/>
      <c r="GE9389"/>
      <c r="GF9389"/>
      <c r="GG9389"/>
      <c r="GH9389"/>
      <c r="GI9389"/>
      <c r="GJ9389"/>
      <c r="GK9389"/>
      <c r="GL9389"/>
      <c r="GM9389"/>
      <c r="GN9389"/>
      <c r="GO9389"/>
    </row>
    <row r="9390" spans="107:197">
      <c r="DC9390"/>
      <c r="FH9390"/>
      <c r="FI9390"/>
      <c r="FJ9390"/>
      <c r="FK9390"/>
      <c r="FL9390"/>
      <c r="FM9390"/>
      <c r="FN9390"/>
      <c r="FO9390"/>
      <c r="FP9390"/>
      <c r="FQ9390"/>
      <c r="FR9390"/>
      <c r="FS9390"/>
      <c r="FT9390"/>
      <c r="FU9390"/>
      <c r="FV9390"/>
      <c r="FW9390"/>
      <c r="FX9390"/>
      <c r="FY9390"/>
      <c r="FZ9390"/>
      <c r="GA9390"/>
      <c r="GB9390"/>
      <c r="GC9390"/>
      <c r="GD9390"/>
      <c r="GE9390"/>
      <c r="GF9390"/>
      <c r="GG9390"/>
      <c r="GH9390"/>
      <c r="GI9390"/>
      <c r="GJ9390"/>
      <c r="GK9390"/>
      <c r="GL9390"/>
      <c r="GM9390"/>
      <c r="GN9390"/>
      <c r="GO9390"/>
    </row>
    <row r="9391" spans="107:197">
      <c r="DC9391"/>
      <c r="FH9391"/>
      <c r="FI9391"/>
      <c r="FJ9391"/>
      <c r="FK9391"/>
      <c r="FL9391"/>
      <c r="FM9391"/>
      <c r="FN9391"/>
      <c r="FO9391"/>
      <c r="FP9391"/>
      <c r="FQ9391"/>
      <c r="FR9391"/>
      <c r="FS9391"/>
      <c r="FT9391"/>
      <c r="FU9391"/>
      <c r="FV9391"/>
      <c r="FW9391"/>
      <c r="FX9391"/>
      <c r="FY9391"/>
      <c r="FZ9391"/>
      <c r="GA9391"/>
      <c r="GB9391"/>
      <c r="GC9391"/>
      <c r="GD9391"/>
      <c r="GE9391"/>
      <c r="GF9391"/>
      <c r="GG9391"/>
      <c r="GH9391"/>
      <c r="GI9391"/>
      <c r="GJ9391"/>
      <c r="GK9391"/>
      <c r="GL9391"/>
      <c r="GM9391"/>
      <c r="GN9391"/>
      <c r="GO9391"/>
    </row>
    <row r="9392" spans="107:197">
      <c r="DC9392"/>
      <c r="FH9392"/>
      <c r="FI9392"/>
      <c r="FJ9392"/>
      <c r="FK9392"/>
      <c r="FL9392"/>
      <c r="FM9392"/>
      <c r="FN9392"/>
      <c r="FO9392"/>
      <c r="FP9392"/>
      <c r="FQ9392"/>
      <c r="FR9392"/>
      <c r="FS9392"/>
      <c r="FT9392"/>
      <c r="FU9392"/>
      <c r="FV9392"/>
      <c r="FW9392"/>
      <c r="FX9392"/>
      <c r="FY9392"/>
      <c r="FZ9392"/>
      <c r="GA9392"/>
      <c r="GB9392"/>
      <c r="GC9392"/>
      <c r="GD9392"/>
      <c r="GE9392"/>
      <c r="GF9392"/>
      <c r="GG9392"/>
      <c r="GH9392"/>
      <c r="GI9392"/>
      <c r="GJ9392"/>
      <c r="GK9392"/>
      <c r="GL9392"/>
      <c r="GM9392"/>
      <c r="GN9392"/>
      <c r="GO9392"/>
    </row>
    <row r="9393" spans="107:197">
      <c r="DC9393"/>
      <c r="FH9393"/>
      <c r="FI9393"/>
      <c r="FJ9393"/>
      <c r="FK9393"/>
      <c r="FL9393"/>
      <c r="FM9393"/>
      <c r="FN9393"/>
      <c r="FO9393"/>
      <c r="FP9393"/>
      <c r="FQ9393"/>
      <c r="FR9393"/>
      <c r="FS9393"/>
      <c r="FT9393"/>
      <c r="FU9393"/>
      <c r="FV9393"/>
      <c r="FW9393"/>
      <c r="FX9393"/>
      <c r="FY9393"/>
      <c r="FZ9393"/>
      <c r="GA9393"/>
      <c r="GB9393"/>
      <c r="GC9393"/>
      <c r="GD9393"/>
      <c r="GE9393"/>
      <c r="GF9393"/>
      <c r="GG9393"/>
      <c r="GH9393"/>
      <c r="GI9393"/>
      <c r="GJ9393"/>
      <c r="GK9393"/>
      <c r="GL9393"/>
      <c r="GM9393"/>
      <c r="GN9393"/>
      <c r="GO9393"/>
    </row>
    <row r="9394" spans="107:197">
      <c r="DC9394"/>
      <c r="FH9394"/>
      <c r="FI9394"/>
      <c r="FJ9394"/>
      <c r="FK9394"/>
      <c r="FL9394"/>
      <c r="FM9394"/>
      <c r="FN9394"/>
      <c r="FO9394"/>
      <c r="FP9394"/>
      <c r="FQ9394"/>
      <c r="FR9394"/>
      <c r="FS9394"/>
      <c r="FT9394"/>
      <c r="FU9394"/>
      <c r="FV9394"/>
      <c r="FW9394"/>
      <c r="FX9394"/>
      <c r="FY9394"/>
      <c r="FZ9394"/>
      <c r="GA9394"/>
      <c r="GB9394"/>
      <c r="GC9394"/>
      <c r="GD9394"/>
      <c r="GE9394"/>
      <c r="GF9394"/>
      <c r="GG9394"/>
      <c r="GH9394"/>
      <c r="GI9394"/>
      <c r="GJ9394"/>
      <c r="GK9394"/>
      <c r="GL9394"/>
      <c r="GM9394"/>
      <c r="GN9394"/>
      <c r="GO9394"/>
    </row>
    <row r="9395" spans="107:197">
      <c r="DC9395"/>
      <c r="FH9395"/>
      <c r="FI9395"/>
      <c r="FJ9395"/>
      <c r="FK9395"/>
      <c r="FL9395"/>
      <c r="FM9395"/>
      <c r="FN9395"/>
      <c r="FO9395"/>
      <c r="FP9395"/>
      <c r="FQ9395"/>
      <c r="FR9395"/>
      <c r="FS9395"/>
      <c r="FT9395"/>
      <c r="FU9395"/>
      <c r="FV9395"/>
      <c r="FW9395"/>
      <c r="FX9395"/>
      <c r="FY9395"/>
      <c r="FZ9395"/>
      <c r="GA9395"/>
      <c r="GB9395"/>
      <c r="GC9395"/>
      <c r="GD9395"/>
      <c r="GE9395"/>
      <c r="GF9395"/>
      <c r="GG9395"/>
      <c r="GH9395"/>
      <c r="GI9395"/>
      <c r="GJ9395"/>
      <c r="GK9395"/>
      <c r="GL9395"/>
      <c r="GM9395"/>
      <c r="GN9395"/>
      <c r="GO9395"/>
    </row>
    <row r="9396" spans="107:197">
      <c r="DC9396"/>
      <c r="FH9396"/>
      <c r="FI9396"/>
      <c r="FJ9396"/>
      <c r="FK9396"/>
      <c r="FL9396"/>
      <c r="FM9396"/>
      <c r="FN9396"/>
      <c r="FO9396"/>
      <c r="FP9396"/>
      <c r="FQ9396"/>
      <c r="FR9396"/>
      <c r="FS9396"/>
      <c r="FT9396"/>
      <c r="FU9396"/>
      <c r="FV9396"/>
      <c r="FW9396"/>
      <c r="FX9396"/>
      <c r="FY9396"/>
      <c r="FZ9396"/>
      <c r="GA9396"/>
      <c r="GB9396"/>
      <c r="GC9396"/>
      <c r="GD9396"/>
      <c r="GE9396"/>
      <c r="GF9396"/>
      <c r="GG9396"/>
      <c r="GH9396"/>
      <c r="GI9396"/>
      <c r="GJ9396"/>
      <c r="GK9396"/>
      <c r="GL9396"/>
      <c r="GM9396"/>
      <c r="GN9396"/>
      <c r="GO9396"/>
    </row>
    <row r="9397" spans="107:197">
      <c r="DC9397"/>
      <c r="FH9397"/>
      <c r="FI9397"/>
      <c r="FJ9397"/>
      <c r="FK9397"/>
      <c r="FL9397"/>
      <c r="FM9397"/>
      <c r="FN9397"/>
      <c r="FO9397"/>
      <c r="FP9397"/>
      <c r="FQ9397"/>
      <c r="FR9397"/>
      <c r="FS9397"/>
      <c r="FT9397"/>
      <c r="FU9397"/>
      <c r="FV9397"/>
      <c r="FW9397"/>
      <c r="FX9397"/>
      <c r="FY9397"/>
      <c r="FZ9397"/>
      <c r="GA9397"/>
      <c r="GB9397"/>
      <c r="GC9397"/>
      <c r="GD9397"/>
      <c r="GE9397"/>
      <c r="GF9397"/>
      <c r="GG9397"/>
      <c r="GH9397"/>
      <c r="GI9397"/>
      <c r="GJ9397"/>
      <c r="GK9397"/>
      <c r="GL9397"/>
      <c r="GM9397"/>
      <c r="GN9397"/>
      <c r="GO9397"/>
    </row>
    <row r="9398" spans="107:197">
      <c r="DC9398"/>
      <c r="FH9398"/>
      <c r="FI9398"/>
      <c r="FJ9398"/>
      <c r="FK9398"/>
      <c r="FL9398"/>
      <c r="FM9398"/>
      <c r="FN9398"/>
      <c r="FO9398"/>
      <c r="FP9398"/>
      <c r="FQ9398"/>
      <c r="FR9398"/>
      <c r="FS9398"/>
      <c r="FT9398"/>
      <c r="FU9398"/>
      <c r="FV9398"/>
      <c r="FW9398"/>
      <c r="FX9398"/>
      <c r="FY9398"/>
      <c r="FZ9398"/>
      <c r="GA9398"/>
      <c r="GB9398"/>
      <c r="GC9398"/>
      <c r="GD9398"/>
      <c r="GE9398"/>
      <c r="GF9398"/>
      <c r="GG9398"/>
      <c r="GH9398"/>
      <c r="GI9398"/>
      <c r="GJ9398"/>
      <c r="GK9398"/>
      <c r="GL9398"/>
      <c r="GM9398"/>
      <c r="GN9398"/>
      <c r="GO9398"/>
    </row>
    <row r="9399" spans="107:197">
      <c r="DC9399"/>
      <c r="FH9399"/>
      <c r="FI9399"/>
      <c r="FJ9399"/>
      <c r="FK9399"/>
      <c r="FL9399"/>
      <c r="FM9399"/>
      <c r="FN9399"/>
      <c r="FO9399"/>
      <c r="FP9399"/>
      <c r="FQ9399"/>
      <c r="FR9399"/>
      <c r="FS9399"/>
      <c r="FT9399"/>
      <c r="FU9399"/>
      <c r="FV9399"/>
      <c r="FW9399"/>
      <c r="FX9399"/>
      <c r="FY9399"/>
      <c r="FZ9399"/>
      <c r="GA9399"/>
      <c r="GB9399"/>
      <c r="GC9399"/>
      <c r="GD9399"/>
      <c r="GE9399"/>
      <c r="GF9399"/>
      <c r="GG9399"/>
      <c r="GH9399"/>
      <c r="GI9399"/>
      <c r="GJ9399"/>
      <c r="GK9399"/>
      <c r="GL9399"/>
      <c r="GM9399"/>
      <c r="GN9399"/>
      <c r="GO9399"/>
    </row>
    <row r="9400" spans="107:197">
      <c r="DC9400"/>
      <c r="FH9400"/>
      <c r="FI9400"/>
      <c r="FJ9400"/>
      <c r="FK9400"/>
      <c r="FL9400"/>
      <c r="FM9400"/>
      <c r="FN9400"/>
      <c r="FO9400"/>
      <c r="FP9400"/>
      <c r="FQ9400"/>
      <c r="FR9400"/>
      <c r="FS9400"/>
      <c r="FT9400"/>
      <c r="FU9400"/>
      <c r="FV9400"/>
      <c r="FW9400"/>
      <c r="FX9400"/>
      <c r="FY9400"/>
      <c r="FZ9400"/>
      <c r="GA9400"/>
      <c r="GB9400"/>
      <c r="GC9400"/>
      <c r="GD9400"/>
      <c r="GE9400"/>
      <c r="GF9400"/>
      <c r="GG9400"/>
      <c r="GH9400"/>
      <c r="GI9400"/>
      <c r="GJ9400"/>
      <c r="GK9400"/>
      <c r="GL9400"/>
      <c r="GM9400"/>
      <c r="GN9400"/>
      <c r="GO9400"/>
    </row>
    <row r="9401" spans="107:197">
      <c r="DC9401"/>
      <c r="FH9401"/>
      <c r="FI9401"/>
      <c r="FJ9401"/>
      <c r="FK9401"/>
      <c r="FL9401"/>
      <c r="FM9401"/>
      <c r="FN9401"/>
      <c r="FO9401"/>
      <c r="FP9401"/>
      <c r="FQ9401"/>
      <c r="FR9401"/>
      <c r="FS9401"/>
      <c r="FT9401"/>
      <c r="FU9401"/>
      <c r="FV9401"/>
      <c r="FW9401"/>
      <c r="FX9401"/>
      <c r="FY9401"/>
      <c r="FZ9401"/>
      <c r="GA9401"/>
      <c r="GB9401"/>
      <c r="GC9401"/>
      <c r="GD9401"/>
      <c r="GE9401"/>
      <c r="GF9401"/>
      <c r="GG9401"/>
      <c r="GH9401"/>
      <c r="GI9401"/>
      <c r="GJ9401"/>
      <c r="GK9401"/>
      <c r="GL9401"/>
      <c r="GM9401"/>
      <c r="GN9401"/>
      <c r="GO9401"/>
    </row>
    <row r="9402" spans="107:197">
      <c r="DC9402"/>
      <c r="FH9402"/>
      <c r="FI9402"/>
      <c r="FJ9402"/>
      <c r="FK9402"/>
      <c r="FL9402"/>
      <c r="FM9402"/>
      <c r="FN9402"/>
      <c r="FO9402"/>
      <c r="FP9402"/>
      <c r="FQ9402"/>
      <c r="FR9402"/>
      <c r="FS9402"/>
      <c r="FT9402"/>
      <c r="FU9402"/>
      <c r="FV9402"/>
      <c r="FW9402"/>
      <c r="FX9402"/>
      <c r="FY9402"/>
      <c r="FZ9402"/>
      <c r="GA9402"/>
      <c r="GB9402"/>
      <c r="GC9402"/>
      <c r="GD9402"/>
      <c r="GE9402"/>
      <c r="GF9402"/>
      <c r="GG9402"/>
      <c r="GH9402"/>
      <c r="GI9402"/>
      <c r="GJ9402"/>
      <c r="GK9402"/>
      <c r="GL9402"/>
      <c r="GM9402"/>
      <c r="GN9402"/>
      <c r="GO9402"/>
    </row>
    <row r="9403" spans="107:197">
      <c r="DC9403"/>
      <c r="FH9403"/>
      <c r="FI9403"/>
      <c r="FJ9403"/>
      <c r="FK9403"/>
      <c r="FL9403"/>
      <c r="FM9403"/>
      <c r="FN9403"/>
      <c r="FO9403"/>
      <c r="FP9403"/>
      <c r="FQ9403"/>
      <c r="FR9403"/>
      <c r="FS9403"/>
      <c r="FT9403"/>
      <c r="FU9403"/>
      <c r="FV9403"/>
      <c r="FW9403"/>
      <c r="FX9403"/>
      <c r="FY9403"/>
      <c r="FZ9403"/>
      <c r="GA9403"/>
      <c r="GB9403"/>
      <c r="GC9403"/>
      <c r="GD9403"/>
      <c r="GE9403"/>
      <c r="GF9403"/>
      <c r="GG9403"/>
      <c r="GH9403"/>
      <c r="GI9403"/>
      <c r="GJ9403"/>
      <c r="GK9403"/>
      <c r="GL9403"/>
      <c r="GM9403"/>
      <c r="GN9403"/>
      <c r="GO9403"/>
    </row>
    <row r="9404" spans="107:197">
      <c r="DC9404"/>
      <c r="FH9404"/>
      <c r="FI9404"/>
      <c r="FJ9404"/>
      <c r="FK9404"/>
      <c r="FL9404"/>
      <c r="FM9404"/>
      <c r="FN9404"/>
      <c r="FO9404"/>
      <c r="FP9404"/>
      <c r="FQ9404"/>
      <c r="FR9404"/>
      <c r="FS9404"/>
      <c r="FT9404"/>
      <c r="FU9404"/>
      <c r="FV9404"/>
      <c r="FW9404"/>
      <c r="FX9404"/>
      <c r="FY9404"/>
      <c r="FZ9404"/>
      <c r="GA9404"/>
      <c r="GB9404"/>
      <c r="GC9404"/>
      <c r="GD9404"/>
      <c r="GE9404"/>
      <c r="GF9404"/>
      <c r="GG9404"/>
      <c r="GH9404"/>
      <c r="GI9404"/>
      <c r="GJ9404"/>
      <c r="GK9404"/>
      <c r="GL9404"/>
      <c r="GM9404"/>
      <c r="GN9404"/>
      <c r="GO9404"/>
    </row>
    <row r="9405" spans="107:197">
      <c r="DC9405"/>
      <c r="FH9405"/>
      <c r="FI9405"/>
      <c r="FJ9405"/>
      <c r="FK9405"/>
      <c r="FL9405"/>
      <c r="FM9405"/>
      <c r="FN9405"/>
      <c r="FO9405"/>
      <c r="FP9405"/>
      <c r="FQ9405"/>
      <c r="FR9405"/>
      <c r="FS9405"/>
      <c r="FT9405"/>
      <c r="FU9405"/>
      <c r="FV9405"/>
      <c r="FW9405"/>
      <c r="FX9405"/>
      <c r="FY9405"/>
      <c r="FZ9405"/>
      <c r="GA9405"/>
      <c r="GB9405"/>
      <c r="GC9405"/>
      <c r="GD9405"/>
      <c r="GE9405"/>
      <c r="GF9405"/>
      <c r="GG9405"/>
      <c r="GH9405"/>
      <c r="GI9405"/>
      <c r="GJ9405"/>
      <c r="GK9405"/>
      <c r="GL9405"/>
      <c r="GM9405"/>
      <c r="GN9405"/>
      <c r="GO9405"/>
    </row>
    <row r="9406" spans="107:197">
      <c r="DC9406"/>
      <c r="FH9406"/>
      <c r="FI9406"/>
      <c r="FJ9406"/>
      <c r="FK9406"/>
      <c r="FL9406"/>
      <c r="FM9406"/>
      <c r="FN9406"/>
      <c r="FO9406"/>
      <c r="FP9406"/>
      <c r="FQ9406"/>
      <c r="FR9406"/>
      <c r="FS9406"/>
      <c r="FT9406"/>
      <c r="FU9406"/>
      <c r="FV9406"/>
      <c r="FW9406"/>
      <c r="FX9406"/>
      <c r="FY9406"/>
      <c r="FZ9406"/>
      <c r="GA9406"/>
      <c r="GB9406"/>
      <c r="GC9406"/>
      <c r="GD9406"/>
      <c r="GE9406"/>
      <c r="GF9406"/>
      <c r="GG9406"/>
      <c r="GH9406"/>
      <c r="GI9406"/>
      <c r="GJ9406"/>
      <c r="GK9406"/>
      <c r="GL9406"/>
      <c r="GM9406"/>
      <c r="GN9406"/>
      <c r="GO9406"/>
    </row>
    <row r="9407" spans="107:197">
      <c r="DC9407"/>
      <c r="FH9407"/>
      <c r="FI9407"/>
      <c r="FJ9407"/>
      <c r="FK9407"/>
      <c r="FL9407"/>
      <c r="FM9407"/>
      <c r="FN9407"/>
      <c r="FO9407"/>
      <c r="FP9407"/>
      <c r="FQ9407"/>
      <c r="FR9407"/>
      <c r="FS9407"/>
      <c r="FT9407"/>
      <c r="FU9407"/>
      <c r="FV9407"/>
      <c r="FW9407"/>
      <c r="FX9407"/>
      <c r="FY9407"/>
      <c r="FZ9407"/>
      <c r="GA9407"/>
      <c r="GB9407"/>
      <c r="GC9407"/>
      <c r="GD9407"/>
      <c r="GE9407"/>
      <c r="GF9407"/>
      <c r="GG9407"/>
      <c r="GH9407"/>
      <c r="GI9407"/>
      <c r="GJ9407"/>
      <c r="GK9407"/>
      <c r="GL9407"/>
      <c r="GM9407"/>
      <c r="GN9407"/>
      <c r="GO9407"/>
    </row>
    <row r="9408" spans="107:197">
      <c r="DC9408"/>
      <c r="FH9408"/>
      <c r="FI9408"/>
      <c r="FJ9408"/>
      <c r="FK9408"/>
      <c r="FL9408"/>
      <c r="FM9408"/>
      <c r="FN9408"/>
      <c r="FO9408"/>
      <c r="FP9408"/>
      <c r="FQ9408"/>
      <c r="FR9408"/>
      <c r="FS9408"/>
      <c r="FT9408"/>
      <c r="FU9408"/>
      <c r="FV9408"/>
      <c r="FW9408"/>
      <c r="FX9408"/>
      <c r="FY9408"/>
      <c r="FZ9408"/>
      <c r="GA9408"/>
      <c r="GB9408"/>
      <c r="GC9408"/>
      <c r="GD9408"/>
      <c r="GE9408"/>
      <c r="GF9408"/>
      <c r="GG9408"/>
      <c r="GH9408"/>
      <c r="GI9408"/>
      <c r="GJ9408"/>
      <c r="GK9408"/>
      <c r="GL9408"/>
      <c r="GM9408"/>
      <c r="GN9408"/>
      <c r="GO9408"/>
    </row>
    <row r="9409" spans="107:197">
      <c r="DC9409"/>
      <c r="FH9409"/>
      <c r="FI9409"/>
      <c r="FJ9409"/>
      <c r="FK9409"/>
      <c r="FL9409"/>
      <c r="FM9409"/>
      <c r="FN9409"/>
      <c r="FO9409"/>
      <c r="FP9409"/>
      <c r="FQ9409"/>
      <c r="FR9409"/>
      <c r="FS9409"/>
      <c r="FT9409"/>
      <c r="FU9409"/>
      <c r="FV9409"/>
      <c r="FW9409"/>
      <c r="FX9409"/>
      <c r="FY9409"/>
      <c r="FZ9409"/>
      <c r="GA9409"/>
      <c r="GB9409"/>
      <c r="GC9409"/>
      <c r="GD9409"/>
      <c r="GE9409"/>
      <c r="GF9409"/>
      <c r="GG9409"/>
      <c r="GH9409"/>
      <c r="GI9409"/>
      <c r="GJ9409"/>
      <c r="GK9409"/>
      <c r="GL9409"/>
      <c r="GM9409"/>
      <c r="GN9409"/>
      <c r="GO9409"/>
    </row>
    <row r="9410" spans="107:197">
      <c r="DC9410"/>
      <c r="FH9410"/>
      <c r="FI9410"/>
      <c r="FJ9410"/>
      <c r="FK9410"/>
      <c r="FL9410"/>
      <c r="FM9410"/>
      <c r="FN9410"/>
      <c r="FO9410"/>
      <c r="FP9410"/>
      <c r="FQ9410"/>
      <c r="FR9410"/>
      <c r="FS9410"/>
      <c r="FT9410"/>
      <c r="FU9410"/>
      <c r="FV9410"/>
      <c r="FW9410"/>
      <c r="FX9410"/>
      <c r="FY9410"/>
      <c r="FZ9410"/>
      <c r="GA9410"/>
      <c r="GB9410"/>
      <c r="GC9410"/>
      <c r="GD9410"/>
      <c r="GE9410"/>
      <c r="GF9410"/>
      <c r="GG9410"/>
      <c r="GH9410"/>
      <c r="GI9410"/>
      <c r="GJ9410"/>
      <c r="GK9410"/>
      <c r="GL9410"/>
      <c r="GM9410"/>
      <c r="GN9410"/>
      <c r="GO9410"/>
    </row>
    <row r="9411" spans="107:197">
      <c r="DC9411"/>
      <c r="FH9411"/>
      <c r="FI9411"/>
      <c r="FJ9411"/>
      <c r="FK9411"/>
      <c r="FL9411"/>
      <c r="FM9411"/>
      <c r="FN9411"/>
      <c r="FO9411"/>
      <c r="FP9411"/>
      <c r="FQ9411"/>
      <c r="FR9411"/>
      <c r="FS9411"/>
      <c r="FT9411"/>
      <c r="FU9411"/>
      <c r="FV9411"/>
      <c r="FW9411"/>
      <c r="FX9411"/>
      <c r="FY9411"/>
      <c r="FZ9411"/>
      <c r="GA9411"/>
      <c r="GB9411"/>
      <c r="GC9411"/>
      <c r="GD9411"/>
      <c r="GE9411"/>
      <c r="GF9411"/>
      <c r="GG9411"/>
      <c r="GH9411"/>
      <c r="GI9411"/>
      <c r="GJ9411"/>
      <c r="GK9411"/>
      <c r="GL9411"/>
      <c r="GM9411"/>
      <c r="GN9411"/>
      <c r="GO9411"/>
    </row>
    <row r="9412" spans="107:197">
      <c r="DC9412"/>
      <c r="FH9412"/>
      <c r="FI9412"/>
      <c r="FJ9412"/>
      <c r="FK9412"/>
      <c r="FL9412"/>
      <c r="FM9412"/>
      <c r="FN9412"/>
      <c r="FO9412"/>
      <c r="FP9412"/>
      <c r="FQ9412"/>
      <c r="FR9412"/>
      <c r="FS9412"/>
      <c r="FT9412"/>
      <c r="FU9412"/>
      <c r="FV9412"/>
      <c r="FW9412"/>
      <c r="FX9412"/>
      <c r="FY9412"/>
      <c r="FZ9412"/>
      <c r="GA9412"/>
      <c r="GB9412"/>
      <c r="GC9412"/>
      <c r="GD9412"/>
      <c r="GE9412"/>
      <c r="GF9412"/>
      <c r="GG9412"/>
      <c r="GH9412"/>
      <c r="GI9412"/>
      <c r="GJ9412"/>
      <c r="GK9412"/>
      <c r="GL9412"/>
      <c r="GM9412"/>
      <c r="GN9412"/>
      <c r="GO9412"/>
    </row>
    <row r="9413" spans="107:197">
      <c r="DC9413"/>
      <c r="FH9413"/>
      <c r="FI9413"/>
      <c r="FJ9413"/>
      <c r="FK9413"/>
      <c r="FL9413"/>
      <c r="FM9413"/>
      <c r="FN9413"/>
      <c r="FO9413"/>
      <c r="FP9413"/>
      <c r="FQ9413"/>
      <c r="FR9413"/>
      <c r="FS9413"/>
      <c r="FT9413"/>
      <c r="FU9413"/>
      <c r="FV9413"/>
      <c r="FW9413"/>
      <c r="FX9413"/>
      <c r="FY9413"/>
      <c r="FZ9413"/>
      <c r="GA9413"/>
      <c r="GB9413"/>
      <c r="GC9413"/>
      <c r="GD9413"/>
      <c r="GE9413"/>
      <c r="GF9413"/>
      <c r="GG9413"/>
      <c r="GH9413"/>
      <c r="GI9413"/>
      <c r="GJ9413"/>
      <c r="GK9413"/>
      <c r="GL9413"/>
      <c r="GM9413"/>
      <c r="GN9413"/>
      <c r="GO9413"/>
    </row>
    <row r="9414" spans="107:197">
      <c r="DC9414"/>
      <c r="FH9414"/>
      <c r="FI9414"/>
      <c r="FJ9414"/>
      <c r="FK9414"/>
      <c r="FL9414"/>
      <c r="FM9414"/>
      <c r="FN9414"/>
      <c r="FO9414"/>
      <c r="FP9414"/>
      <c r="FQ9414"/>
      <c r="FR9414"/>
      <c r="FS9414"/>
      <c r="FT9414"/>
      <c r="FU9414"/>
      <c r="FV9414"/>
      <c r="FW9414"/>
      <c r="FX9414"/>
      <c r="FY9414"/>
      <c r="FZ9414"/>
      <c r="GA9414"/>
      <c r="GB9414"/>
      <c r="GC9414"/>
      <c r="GD9414"/>
      <c r="GE9414"/>
      <c r="GF9414"/>
      <c r="GG9414"/>
      <c r="GH9414"/>
      <c r="GI9414"/>
      <c r="GJ9414"/>
      <c r="GK9414"/>
      <c r="GL9414"/>
      <c r="GM9414"/>
      <c r="GN9414"/>
      <c r="GO9414"/>
    </row>
    <row r="9415" spans="107:197">
      <c r="DC9415"/>
      <c r="FH9415"/>
      <c r="FI9415"/>
      <c r="FJ9415"/>
      <c r="FK9415"/>
      <c r="FL9415"/>
      <c r="FM9415"/>
      <c r="FN9415"/>
      <c r="FO9415"/>
      <c r="FP9415"/>
      <c r="FQ9415"/>
      <c r="FR9415"/>
      <c r="FS9415"/>
      <c r="FT9415"/>
      <c r="FU9415"/>
      <c r="FV9415"/>
      <c r="FW9415"/>
      <c r="FX9415"/>
      <c r="FY9415"/>
      <c r="FZ9415"/>
      <c r="GA9415"/>
      <c r="GB9415"/>
      <c r="GC9415"/>
      <c r="GD9415"/>
      <c r="GE9415"/>
      <c r="GF9415"/>
      <c r="GG9415"/>
      <c r="GH9415"/>
      <c r="GI9415"/>
      <c r="GJ9415"/>
      <c r="GK9415"/>
      <c r="GL9415"/>
      <c r="GM9415"/>
      <c r="GN9415"/>
      <c r="GO9415"/>
    </row>
    <row r="9416" spans="107:197">
      <c r="DC9416"/>
      <c r="FH9416"/>
      <c r="FI9416"/>
      <c r="FJ9416"/>
      <c r="FK9416"/>
      <c r="FL9416"/>
      <c r="FM9416"/>
      <c r="FN9416"/>
      <c r="FO9416"/>
      <c r="FP9416"/>
      <c r="FQ9416"/>
      <c r="FR9416"/>
      <c r="FS9416"/>
      <c r="FT9416"/>
      <c r="FU9416"/>
      <c r="FV9416"/>
      <c r="FW9416"/>
      <c r="FX9416"/>
      <c r="FY9416"/>
      <c r="FZ9416"/>
      <c r="GA9416"/>
      <c r="GB9416"/>
      <c r="GC9416"/>
      <c r="GD9416"/>
      <c r="GE9416"/>
      <c r="GF9416"/>
      <c r="GG9416"/>
      <c r="GH9416"/>
      <c r="GI9416"/>
      <c r="GJ9416"/>
      <c r="GK9416"/>
      <c r="GL9416"/>
      <c r="GM9416"/>
      <c r="GN9416"/>
      <c r="GO9416"/>
    </row>
    <row r="9417" spans="107:197">
      <c r="DC9417"/>
      <c r="FH9417"/>
      <c r="FI9417"/>
      <c r="FJ9417"/>
      <c r="FK9417"/>
      <c r="FL9417"/>
      <c r="FM9417"/>
      <c r="FN9417"/>
      <c r="FO9417"/>
      <c r="FP9417"/>
      <c r="FQ9417"/>
      <c r="FR9417"/>
      <c r="FS9417"/>
      <c r="FT9417"/>
      <c r="FU9417"/>
      <c r="FV9417"/>
      <c r="FW9417"/>
      <c r="FX9417"/>
      <c r="FY9417"/>
      <c r="FZ9417"/>
      <c r="GA9417"/>
      <c r="GB9417"/>
      <c r="GC9417"/>
      <c r="GD9417"/>
      <c r="GE9417"/>
      <c r="GF9417"/>
      <c r="GG9417"/>
      <c r="GH9417"/>
      <c r="GI9417"/>
      <c r="GJ9417"/>
      <c r="GK9417"/>
      <c r="GL9417"/>
      <c r="GM9417"/>
      <c r="GN9417"/>
      <c r="GO9417"/>
    </row>
    <row r="9418" spans="107:197">
      <c r="DC9418"/>
      <c r="FH9418"/>
      <c r="FI9418"/>
      <c r="FJ9418"/>
      <c r="FK9418"/>
      <c r="FL9418"/>
      <c r="FM9418"/>
      <c r="FN9418"/>
      <c r="FO9418"/>
      <c r="FP9418"/>
      <c r="FQ9418"/>
      <c r="FR9418"/>
      <c r="FS9418"/>
      <c r="FT9418"/>
      <c r="FU9418"/>
      <c r="FV9418"/>
      <c r="FW9418"/>
      <c r="FX9418"/>
      <c r="FY9418"/>
      <c r="FZ9418"/>
      <c r="GA9418"/>
      <c r="GB9418"/>
      <c r="GC9418"/>
      <c r="GD9418"/>
      <c r="GE9418"/>
      <c r="GF9418"/>
      <c r="GG9418"/>
      <c r="GH9418"/>
      <c r="GI9418"/>
      <c r="GJ9418"/>
      <c r="GK9418"/>
      <c r="GL9418"/>
      <c r="GM9418"/>
      <c r="GN9418"/>
      <c r="GO9418"/>
    </row>
    <row r="9419" spans="107:197">
      <c r="DC9419"/>
      <c r="FH9419"/>
      <c r="FI9419"/>
      <c r="FJ9419"/>
      <c r="FK9419"/>
      <c r="FL9419"/>
      <c r="FM9419"/>
      <c r="FN9419"/>
      <c r="FO9419"/>
      <c r="FP9419"/>
      <c r="FQ9419"/>
      <c r="FR9419"/>
      <c r="FS9419"/>
      <c r="FT9419"/>
      <c r="FU9419"/>
      <c r="FV9419"/>
      <c r="FW9419"/>
      <c r="FX9419"/>
      <c r="FY9419"/>
      <c r="FZ9419"/>
      <c r="GA9419"/>
      <c r="GB9419"/>
      <c r="GC9419"/>
      <c r="GD9419"/>
      <c r="GE9419"/>
      <c r="GF9419"/>
      <c r="GG9419"/>
      <c r="GH9419"/>
      <c r="GI9419"/>
      <c r="GJ9419"/>
      <c r="GK9419"/>
      <c r="GL9419"/>
      <c r="GM9419"/>
      <c r="GN9419"/>
      <c r="GO9419"/>
    </row>
    <row r="9420" spans="107:197">
      <c r="DC9420"/>
      <c r="FH9420"/>
      <c r="FI9420"/>
      <c r="FJ9420"/>
      <c r="FK9420"/>
      <c r="FL9420"/>
      <c r="FM9420"/>
      <c r="FN9420"/>
      <c r="FO9420"/>
      <c r="FP9420"/>
      <c r="FQ9420"/>
      <c r="FR9420"/>
      <c r="FS9420"/>
      <c r="FT9420"/>
      <c r="FU9420"/>
      <c r="FV9420"/>
      <c r="FW9420"/>
      <c r="FX9420"/>
      <c r="FY9420"/>
      <c r="FZ9420"/>
      <c r="GA9420"/>
      <c r="GB9420"/>
      <c r="GC9420"/>
      <c r="GD9420"/>
      <c r="GE9420"/>
      <c r="GF9420"/>
      <c r="GG9420"/>
      <c r="GH9420"/>
      <c r="GI9420"/>
      <c r="GJ9420"/>
      <c r="GK9420"/>
      <c r="GL9420"/>
      <c r="GM9420"/>
      <c r="GN9420"/>
      <c r="GO9420"/>
    </row>
    <row r="9421" spans="107:197">
      <c r="DC9421"/>
      <c r="FH9421"/>
      <c r="FI9421"/>
      <c r="FJ9421"/>
      <c r="FK9421"/>
      <c r="FL9421"/>
      <c r="FM9421"/>
      <c r="FN9421"/>
      <c r="FO9421"/>
      <c r="FP9421"/>
      <c r="FQ9421"/>
      <c r="FR9421"/>
      <c r="FS9421"/>
      <c r="FT9421"/>
      <c r="FU9421"/>
      <c r="FV9421"/>
      <c r="FW9421"/>
      <c r="FX9421"/>
      <c r="FY9421"/>
      <c r="FZ9421"/>
      <c r="GA9421"/>
      <c r="GB9421"/>
      <c r="GC9421"/>
      <c r="GD9421"/>
      <c r="GE9421"/>
      <c r="GF9421"/>
      <c r="GG9421"/>
      <c r="GH9421"/>
      <c r="GI9421"/>
      <c r="GJ9421"/>
      <c r="GK9421"/>
      <c r="GL9421"/>
      <c r="GM9421"/>
      <c r="GN9421"/>
      <c r="GO9421"/>
    </row>
    <row r="9422" spans="107:197">
      <c r="DC9422"/>
      <c r="FH9422"/>
      <c r="FI9422"/>
      <c r="FJ9422"/>
      <c r="FK9422"/>
      <c r="FL9422"/>
      <c r="FM9422"/>
      <c r="FN9422"/>
      <c r="FO9422"/>
      <c r="FP9422"/>
      <c r="FQ9422"/>
      <c r="FR9422"/>
      <c r="FS9422"/>
      <c r="FT9422"/>
      <c r="FU9422"/>
      <c r="FV9422"/>
      <c r="FW9422"/>
      <c r="FX9422"/>
      <c r="FY9422"/>
      <c r="FZ9422"/>
      <c r="GA9422"/>
      <c r="GB9422"/>
      <c r="GC9422"/>
      <c r="GD9422"/>
      <c r="GE9422"/>
      <c r="GF9422"/>
      <c r="GG9422"/>
      <c r="GH9422"/>
      <c r="GI9422"/>
      <c r="GJ9422"/>
      <c r="GK9422"/>
      <c r="GL9422"/>
      <c r="GM9422"/>
      <c r="GN9422"/>
      <c r="GO9422"/>
    </row>
    <row r="9423" spans="107:197">
      <c r="DC9423"/>
      <c r="FH9423"/>
      <c r="FI9423"/>
      <c r="FJ9423"/>
      <c r="FK9423"/>
      <c r="FL9423"/>
      <c r="FM9423"/>
      <c r="FN9423"/>
      <c r="FO9423"/>
      <c r="FP9423"/>
      <c r="FQ9423"/>
      <c r="FR9423"/>
      <c r="FS9423"/>
      <c r="FT9423"/>
      <c r="FU9423"/>
      <c r="FV9423"/>
      <c r="FW9423"/>
      <c r="FX9423"/>
      <c r="FY9423"/>
      <c r="FZ9423"/>
      <c r="GA9423"/>
      <c r="GB9423"/>
      <c r="GC9423"/>
      <c r="GD9423"/>
      <c r="GE9423"/>
      <c r="GF9423"/>
      <c r="GG9423"/>
      <c r="GH9423"/>
      <c r="GI9423"/>
      <c r="GJ9423"/>
      <c r="GK9423"/>
      <c r="GL9423"/>
      <c r="GM9423"/>
      <c r="GN9423"/>
      <c r="GO9423"/>
    </row>
    <row r="9424" spans="107:197">
      <c r="DC9424"/>
      <c r="FH9424"/>
      <c r="FI9424"/>
      <c r="FJ9424"/>
      <c r="FK9424"/>
      <c r="FL9424"/>
      <c r="FM9424"/>
      <c r="FN9424"/>
      <c r="FO9424"/>
      <c r="FP9424"/>
      <c r="FQ9424"/>
      <c r="FR9424"/>
      <c r="FS9424"/>
      <c r="FT9424"/>
      <c r="FU9424"/>
      <c r="FV9424"/>
      <c r="FW9424"/>
      <c r="FX9424"/>
      <c r="FY9424"/>
      <c r="FZ9424"/>
      <c r="GA9424"/>
      <c r="GB9424"/>
      <c r="GC9424"/>
      <c r="GD9424"/>
      <c r="GE9424"/>
      <c r="GF9424"/>
      <c r="GG9424"/>
      <c r="GH9424"/>
      <c r="GI9424"/>
      <c r="GJ9424"/>
      <c r="GK9424"/>
      <c r="GL9424"/>
      <c r="GM9424"/>
      <c r="GN9424"/>
      <c r="GO9424"/>
    </row>
    <row r="9425" spans="107:197">
      <c r="DC9425"/>
      <c r="FH9425"/>
      <c r="FI9425"/>
      <c r="FJ9425"/>
      <c r="FK9425"/>
      <c r="FL9425"/>
      <c r="FM9425"/>
      <c r="FN9425"/>
      <c r="FO9425"/>
      <c r="FP9425"/>
      <c r="FQ9425"/>
      <c r="FR9425"/>
      <c r="FS9425"/>
      <c r="FT9425"/>
      <c r="FU9425"/>
      <c r="FV9425"/>
      <c r="FW9425"/>
      <c r="FX9425"/>
      <c r="FY9425"/>
      <c r="FZ9425"/>
      <c r="GA9425"/>
      <c r="GB9425"/>
      <c r="GC9425"/>
      <c r="GD9425"/>
      <c r="GE9425"/>
      <c r="GF9425"/>
      <c r="GG9425"/>
      <c r="GH9425"/>
      <c r="GI9425"/>
      <c r="GJ9425"/>
      <c r="GK9425"/>
      <c r="GL9425"/>
      <c r="GM9425"/>
      <c r="GN9425"/>
      <c r="GO9425"/>
    </row>
    <row r="9426" spans="107:197">
      <c r="DC9426"/>
      <c r="FH9426"/>
      <c r="FI9426"/>
      <c r="FJ9426"/>
      <c r="FK9426"/>
      <c r="FL9426"/>
      <c r="FM9426"/>
      <c r="FN9426"/>
      <c r="FO9426"/>
      <c r="FP9426"/>
      <c r="FQ9426"/>
      <c r="FR9426"/>
      <c r="FS9426"/>
      <c r="FT9426"/>
      <c r="FU9426"/>
      <c r="FV9426"/>
      <c r="FW9426"/>
      <c r="FX9426"/>
      <c r="FY9426"/>
      <c r="FZ9426"/>
      <c r="GA9426"/>
      <c r="GB9426"/>
      <c r="GC9426"/>
      <c r="GD9426"/>
      <c r="GE9426"/>
      <c r="GF9426"/>
      <c r="GG9426"/>
      <c r="GH9426"/>
      <c r="GI9426"/>
      <c r="GJ9426"/>
      <c r="GK9426"/>
      <c r="GL9426"/>
      <c r="GM9426"/>
      <c r="GN9426"/>
      <c r="GO9426"/>
    </row>
    <row r="9427" spans="107:197">
      <c r="DC9427"/>
      <c r="FH9427"/>
      <c r="FI9427"/>
      <c r="FJ9427"/>
      <c r="FK9427"/>
      <c r="FL9427"/>
      <c r="FM9427"/>
      <c r="FN9427"/>
      <c r="FO9427"/>
      <c r="FP9427"/>
      <c r="FQ9427"/>
      <c r="FR9427"/>
      <c r="FS9427"/>
      <c r="FT9427"/>
      <c r="FU9427"/>
      <c r="FV9427"/>
      <c r="FW9427"/>
      <c r="FX9427"/>
      <c r="FY9427"/>
      <c r="FZ9427"/>
      <c r="GA9427"/>
      <c r="GB9427"/>
      <c r="GC9427"/>
      <c r="GD9427"/>
      <c r="GE9427"/>
      <c r="GF9427"/>
      <c r="GG9427"/>
      <c r="GH9427"/>
      <c r="GI9427"/>
      <c r="GJ9427"/>
      <c r="GK9427"/>
      <c r="GL9427"/>
      <c r="GM9427"/>
      <c r="GN9427"/>
      <c r="GO9427"/>
    </row>
    <row r="9428" spans="107:197">
      <c r="DC9428"/>
      <c r="FH9428"/>
      <c r="FI9428"/>
      <c r="FJ9428"/>
      <c r="FK9428"/>
      <c r="FL9428"/>
      <c r="FM9428"/>
      <c r="FN9428"/>
      <c r="FO9428"/>
      <c r="FP9428"/>
      <c r="FQ9428"/>
      <c r="FR9428"/>
      <c r="FS9428"/>
      <c r="FT9428"/>
      <c r="FU9428"/>
      <c r="FV9428"/>
      <c r="FW9428"/>
      <c r="FX9428"/>
      <c r="FY9428"/>
      <c r="FZ9428"/>
      <c r="GA9428"/>
      <c r="GB9428"/>
      <c r="GC9428"/>
      <c r="GD9428"/>
      <c r="GE9428"/>
      <c r="GF9428"/>
      <c r="GG9428"/>
      <c r="GH9428"/>
      <c r="GI9428"/>
      <c r="GJ9428"/>
      <c r="GK9428"/>
      <c r="GL9428"/>
      <c r="GM9428"/>
      <c r="GN9428"/>
      <c r="GO9428"/>
    </row>
    <row r="9429" spans="107:197">
      <c r="DC9429"/>
      <c r="FH9429"/>
      <c r="FI9429"/>
      <c r="FJ9429"/>
      <c r="FK9429"/>
      <c r="FL9429"/>
      <c r="FM9429"/>
      <c r="FN9429"/>
      <c r="FO9429"/>
      <c r="FP9429"/>
      <c r="FQ9429"/>
      <c r="FR9429"/>
      <c r="FS9429"/>
      <c r="FT9429"/>
      <c r="FU9429"/>
      <c r="FV9429"/>
      <c r="FW9429"/>
      <c r="FX9429"/>
      <c r="FY9429"/>
      <c r="FZ9429"/>
      <c r="GA9429"/>
      <c r="GB9429"/>
      <c r="GC9429"/>
      <c r="GD9429"/>
      <c r="GE9429"/>
      <c r="GF9429"/>
      <c r="GG9429"/>
      <c r="GH9429"/>
      <c r="GI9429"/>
      <c r="GJ9429"/>
      <c r="GK9429"/>
      <c r="GL9429"/>
      <c r="GM9429"/>
      <c r="GN9429"/>
      <c r="GO9429"/>
    </row>
    <row r="9430" spans="107:197">
      <c r="DC9430"/>
      <c r="FH9430"/>
      <c r="FI9430"/>
      <c r="FJ9430"/>
      <c r="FK9430"/>
      <c r="FL9430"/>
      <c r="FM9430"/>
      <c r="FN9430"/>
      <c r="FO9430"/>
      <c r="FP9430"/>
      <c r="FQ9430"/>
      <c r="FR9430"/>
      <c r="FS9430"/>
      <c r="FT9430"/>
      <c r="FU9430"/>
      <c r="FV9430"/>
      <c r="FW9430"/>
      <c r="FX9430"/>
      <c r="FY9430"/>
      <c r="FZ9430"/>
      <c r="GA9430"/>
      <c r="GB9430"/>
      <c r="GC9430"/>
      <c r="GD9430"/>
      <c r="GE9430"/>
      <c r="GF9430"/>
      <c r="GG9430"/>
      <c r="GH9430"/>
      <c r="GI9430"/>
      <c r="GJ9430"/>
      <c r="GK9430"/>
      <c r="GL9430"/>
      <c r="GM9430"/>
      <c r="GN9430"/>
      <c r="GO9430"/>
    </row>
    <row r="9431" spans="107:197">
      <c r="DC9431"/>
      <c r="FH9431"/>
      <c r="FI9431"/>
      <c r="FJ9431"/>
      <c r="FK9431"/>
      <c r="FL9431"/>
      <c r="FM9431"/>
      <c r="FN9431"/>
      <c r="FO9431"/>
      <c r="FP9431"/>
      <c r="FQ9431"/>
      <c r="FR9431"/>
      <c r="FS9431"/>
      <c r="FT9431"/>
      <c r="FU9431"/>
      <c r="FV9431"/>
      <c r="FW9431"/>
      <c r="FX9431"/>
      <c r="FY9431"/>
      <c r="FZ9431"/>
      <c r="GA9431"/>
      <c r="GB9431"/>
      <c r="GC9431"/>
      <c r="GD9431"/>
      <c r="GE9431"/>
      <c r="GF9431"/>
      <c r="GG9431"/>
      <c r="GH9431"/>
      <c r="GI9431"/>
      <c r="GJ9431"/>
      <c r="GK9431"/>
      <c r="GL9431"/>
      <c r="GM9431"/>
      <c r="GN9431"/>
      <c r="GO9431"/>
    </row>
    <row r="9432" spans="107:197">
      <c r="DC9432"/>
      <c r="FH9432"/>
      <c r="FI9432"/>
      <c r="FJ9432"/>
      <c r="FK9432"/>
      <c r="FL9432"/>
      <c r="FM9432"/>
      <c r="FN9432"/>
      <c r="FO9432"/>
      <c r="FP9432"/>
      <c r="FQ9432"/>
      <c r="FR9432"/>
      <c r="FS9432"/>
      <c r="FT9432"/>
      <c r="FU9432"/>
      <c r="FV9432"/>
      <c r="FW9432"/>
      <c r="FX9432"/>
      <c r="FY9432"/>
      <c r="FZ9432"/>
      <c r="GA9432"/>
      <c r="GB9432"/>
      <c r="GC9432"/>
      <c r="GD9432"/>
      <c r="GE9432"/>
      <c r="GF9432"/>
      <c r="GG9432"/>
      <c r="GH9432"/>
      <c r="GI9432"/>
      <c r="GJ9432"/>
      <c r="GK9432"/>
      <c r="GL9432"/>
      <c r="GM9432"/>
      <c r="GN9432"/>
      <c r="GO9432"/>
    </row>
    <row r="9433" spans="107:197">
      <c r="DC9433"/>
      <c r="FH9433"/>
      <c r="FI9433"/>
      <c r="FJ9433"/>
      <c r="FK9433"/>
      <c r="FL9433"/>
      <c r="FM9433"/>
      <c r="FN9433"/>
      <c r="FO9433"/>
      <c r="FP9433"/>
      <c r="FQ9433"/>
      <c r="FR9433"/>
      <c r="FS9433"/>
      <c r="FT9433"/>
      <c r="FU9433"/>
      <c r="FV9433"/>
      <c r="FW9433"/>
      <c r="FX9433"/>
      <c r="FY9433"/>
      <c r="FZ9433"/>
      <c r="GA9433"/>
      <c r="GB9433"/>
      <c r="GC9433"/>
      <c r="GD9433"/>
      <c r="GE9433"/>
      <c r="GF9433"/>
      <c r="GG9433"/>
      <c r="GH9433"/>
      <c r="GI9433"/>
      <c r="GJ9433"/>
      <c r="GK9433"/>
      <c r="GL9433"/>
      <c r="GM9433"/>
      <c r="GN9433"/>
      <c r="GO9433"/>
    </row>
    <row r="9434" spans="107:197">
      <c r="DC9434"/>
      <c r="FH9434"/>
      <c r="FI9434"/>
      <c r="FJ9434"/>
      <c r="FK9434"/>
      <c r="FL9434"/>
      <c r="FM9434"/>
      <c r="FN9434"/>
      <c r="FO9434"/>
      <c r="FP9434"/>
      <c r="FQ9434"/>
      <c r="FR9434"/>
      <c r="FS9434"/>
      <c r="FT9434"/>
      <c r="FU9434"/>
      <c r="FV9434"/>
      <c r="FW9434"/>
      <c r="FX9434"/>
      <c r="FY9434"/>
      <c r="FZ9434"/>
      <c r="GA9434"/>
      <c r="GB9434"/>
      <c r="GC9434"/>
      <c r="GD9434"/>
      <c r="GE9434"/>
      <c r="GF9434"/>
      <c r="GG9434"/>
      <c r="GH9434"/>
      <c r="GI9434"/>
      <c r="GJ9434"/>
      <c r="GK9434"/>
      <c r="GL9434"/>
      <c r="GM9434"/>
      <c r="GN9434"/>
      <c r="GO9434"/>
    </row>
    <row r="9435" spans="107:197">
      <c r="DC9435"/>
      <c r="FH9435"/>
      <c r="FI9435"/>
      <c r="FJ9435"/>
      <c r="FK9435"/>
      <c r="FL9435"/>
      <c r="FM9435"/>
      <c r="FN9435"/>
      <c r="FO9435"/>
      <c r="FP9435"/>
      <c r="FQ9435"/>
      <c r="FR9435"/>
      <c r="FS9435"/>
      <c r="FT9435"/>
      <c r="FU9435"/>
      <c r="FV9435"/>
      <c r="FW9435"/>
      <c r="FX9435"/>
      <c r="FY9435"/>
      <c r="FZ9435"/>
      <c r="GA9435"/>
      <c r="GB9435"/>
      <c r="GC9435"/>
      <c r="GD9435"/>
      <c r="GE9435"/>
      <c r="GF9435"/>
      <c r="GG9435"/>
      <c r="GH9435"/>
      <c r="GI9435"/>
      <c r="GJ9435"/>
      <c r="GK9435"/>
      <c r="GL9435"/>
      <c r="GM9435"/>
      <c r="GN9435"/>
      <c r="GO9435"/>
    </row>
    <row r="9436" spans="107:197">
      <c r="DC9436"/>
      <c r="FH9436"/>
      <c r="FI9436"/>
      <c r="FJ9436"/>
      <c r="FK9436"/>
      <c r="FL9436"/>
      <c r="FM9436"/>
      <c r="FN9436"/>
      <c r="FO9436"/>
      <c r="FP9436"/>
      <c r="FQ9436"/>
      <c r="FR9436"/>
      <c r="FS9436"/>
      <c r="FT9436"/>
      <c r="FU9436"/>
      <c r="FV9436"/>
      <c r="FW9436"/>
      <c r="FX9436"/>
      <c r="FY9436"/>
      <c r="FZ9436"/>
      <c r="GA9436"/>
      <c r="GB9436"/>
      <c r="GC9436"/>
      <c r="GD9436"/>
      <c r="GE9436"/>
      <c r="GF9436"/>
      <c r="GG9436"/>
      <c r="GH9436"/>
      <c r="GI9436"/>
      <c r="GJ9436"/>
      <c r="GK9436"/>
      <c r="GL9436"/>
      <c r="GM9436"/>
      <c r="GN9436"/>
      <c r="GO9436"/>
    </row>
    <row r="9437" spans="107:197">
      <c r="DC9437"/>
      <c r="FH9437"/>
      <c r="FI9437"/>
      <c r="FJ9437"/>
      <c r="FK9437"/>
      <c r="FL9437"/>
      <c r="FM9437"/>
      <c r="FN9437"/>
      <c r="FO9437"/>
      <c r="FP9437"/>
      <c r="FQ9437"/>
      <c r="FR9437"/>
      <c r="FS9437"/>
      <c r="FT9437"/>
      <c r="FU9437"/>
      <c r="FV9437"/>
      <c r="FW9437"/>
      <c r="FX9437"/>
      <c r="FY9437"/>
      <c r="FZ9437"/>
      <c r="GA9437"/>
      <c r="GB9437"/>
      <c r="GC9437"/>
      <c r="GD9437"/>
      <c r="GE9437"/>
      <c r="GF9437"/>
      <c r="GG9437"/>
      <c r="GH9437"/>
      <c r="GI9437"/>
      <c r="GJ9437"/>
      <c r="GK9437"/>
      <c r="GL9437"/>
      <c r="GM9437"/>
      <c r="GN9437"/>
      <c r="GO9437"/>
    </row>
    <row r="9438" spans="107:197">
      <c r="DC9438"/>
      <c r="FH9438"/>
      <c r="FI9438"/>
      <c r="FJ9438"/>
      <c r="FK9438"/>
      <c r="FL9438"/>
      <c r="FM9438"/>
      <c r="FN9438"/>
      <c r="FO9438"/>
      <c r="FP9438"/>
      <c r="FQ9438"/>
      <c r="FR9438"/>
      <c r="FS9438"/>
      <c r="FT9438"/>
      <c r="FU9438"/>
      <c r="FV9438"/>
      <c r="FW9438"/>
      <c r="FX9438"/>
      <c r="FY9438"/>
      <c r="FZ9438"/>
      <c r="GA9438"/>
      <c r="GB9438"/>
      <c r="GC9438"/>
      <c r="GD9438"/>
      <c r="GE9438"/>
      <c r="GF9438"/>
      <c r="GG9438"/>
      <c r="GH9438"/>
      <c r="GI9438"/>
      <c r="GJ9438"/>
      <c r="GK9438"/>
      <c r="GL9438"/>
      <c r="GM9438"/>
      <c r="GN9438"/>
      <c r="GO9438"/>
    </row>
    <row r="9439" spans="107:197">
      <c r="DC9439"/>
      <c r="FH9439"/>
      <c r="FI9439"/>
      <c r="FJ9439"/>
      <c r="FK9439"/>
      <c r="FL9439"/>
      <c r="FM9439"/>
      <c r="FN9439"/>
      <c r="FO9439"/>
      <c r="FP9439"/>
      <c r="FQ9439"/>
      <c r="FR9439"/>
      <c r="FS9439"/>
      <c r="FT9439"/>
      <c r="FU9439"/>
      <c r="FV9439"/>
      <c r="FW9439"/>
      <c r="FX9439"/>
      <c r="FY9439"/>
      <c r="FZ9439"/>
      <c r="GA9439"/>
      <c r="GB9439"/>
      <c r="GC9439"/>
      <c r="GD9439"/>
      <c r="GE9439"/>
      <c r="GF9439"/>
      <c r="GG9439"/>
      <c r="GH9439"/>
      <c r="GI9439"/>
      <c r="GJ9439"/>
      <c r="GK9439"/>
      <c r="GL9439"/>
      <c r="GM9439"/>
      <c r="GN9439"/>
      <c r="GO9439"/>
    </row>
    <row r="9440" spans="107:197">
      <c r="DC9440"/>
      <c r="FH9440"/>
      <c r="FI9440"/>
      <c r="FJ9440"/>
      <c r="FK9440"/>
      <c r="FL9440"/>
      <c r="FM9440"/>
      <c r="FN9440"/>
      <c r="FO9440"/>
      <c r="FP9440"/>
      <c r="FQ9440"/>
      <c r="FR9440"/>
      <c r="FS9440"/>
      <c r="FT9440"/>
      <c r="FU9440"/>
      <c r="FV9440"/>
      <c r="FW9440"/>
      <c r="FX9440"/>
      <c r="FY9440"/>
      <c r="FZ9440"/>
      <c r="GA9440"/>
      <c r="GB9440"/>
      <c r="GC9440"/>
      <c r="GD9440"/>
      <c r="GE9440"/>
      <c r="GF9440"/>
      <c r="GG9440"/>
      <c r="GH9440"/>
      <c r="GI9440"/>
      <c r="GJ9440"/>
      <c r="GK9440"/>
      <c r="GL9440"/>
      <c r="GM9440"/>
      <c r="GN9440"/>
      <c r="GO9440"/>
    </row>
    <row r="9441" spans="107:197">
      <c r="DC9441"/>
      <c r="FH9441"/>
      <c r="FI9441"/>
      <c r="FJ9441"/>
      <c r="FK9441"/>
      <c r="FL9441"/>
      <c r="FM9441"/>
      <c r="FN9441"/>
      <c r="FO9441"/>
      <c r="FP9441"/>
      <c r="FQ9441"/>
      <c r="FR9441"/>
      <c r="FS9441"/>
      <c r="FT9441"/>
      <c r="FU9441"/>
      <c r="FV9441"/>
      <c r="FW9441"/>
      <c r="FX9441"/>
      <c r="FY9441"/>
      <c r="FZ9441"/>
      <c r="GA9441"/>
      <c r="GB9441"/>
      <c r="GC9441"/>
      <c r="GD9441"/>
      <c r="GE9441"/>
      <c r="GF9441"/>
      <c r="GG9441"/>
      <c r="GH9441"/>
      <c r="GI9441"/>
      <c r="GJ9441"/>
      <c r="GK9441"/>
      <c r="GL9441"/>
      <c r="GM9441"/>
      <c r="GN9441"/>
      <c r="GO9441"/>
    </row>
    <row r="9442" spans="107:197">
      <c r="DC9442"/>
      <c r="FH9442"/>
      <c r="FI9442"/>
      <c r="FJ9442"/>
      <c r="FK9442"/>
      <c r="FL9442"/>
      <c r="FM9442"/>
      <c r="FN9442"/>
      <c r="FO9442"/>
      <c r="FP9442"/>
      <c r="FQ9442"/>
      <c r="FR9442"/>
      <c r="FS9442"/>
      <c r="FT9442"/>
      <c r="FU9442"/>
      <c r="FV9442"/>
      <c r="FW9442"/>
      <c r="FX9442"/>
      <c r="FY9442"/>
      <c r="FZ9442"/>
      <c r="GA9442"/>
      <c r="GB9442"/>
      <c r="GC9442"/>
      <c r="GD9442"/>
      <c r="GE9442"/>
      <c r="GF9442"/>
      <c r="GG9442"/>
      <c r="GH9442"/>
      <c r="GI9442"/>
      <c r="GJ9442"/>
      <c r="GK9442"/>
      <c r="GL9442"/>
      <c r="GM9442"/>
      <c r="GN9442"/>
      <c r="GO9442"/>
    </row>
    <row r="9443" spans="107:197">
      <c r="DC9443"/>
      <c r="FH9443"/>
      <c r="FI9443"/>
      <c r="FJ9443"/>
      <c r="FK9443"/>
      <c r="FL9443"/>
      <c r="FM9443"/>
      <c r="FN9443"/>
      <c r="FO9443"/>
      <c r="FP9443"/>
      <c r="FQ9443"/>
      <c r="FR9443"/>
      <c r="FS9443"/>
      <c r="FT9443"/>
      <c r="FU9443"/>
      <c r="FV9443"/>
      <c r="FW9443"/>
      <c r="FX9443"/>
      <c r="FY9443"/>
      <c r="FZ9443"/>
      <c r="GA9443"/>
      <c r="GB9443"/>
      <c r="GC9443"/>
      <c r="GD9443"/>
      <c r="GE9443"/>
      <c r="GF9443"/>
      <c r="GG9443"/>
      <c r="GH9443"/>
      <c r="GI9443"/>
      <c r="GJ9443"/>
      <c r="GK9443"/>
      <c r="GL9443"/>
      <c r="GM9443"/>
      <c r="GN9443"/>
      <c r="GO9443"/>
    </row>
    <row r="9444" spans="107:197">
      <c r="DC9444"/>
      <c r="FH9444"/>
      <c r="FI9444"/>
      <c r="FJ9444"/>
      <c r="FK9444"/>
      <c r="FL9444"/>
      <c r="FM9444"/>
      <c r="FN9444"/>
      <c r="FO9444"/>
      <c r="FP9444"/>
      <c r="FQ9444"/>
      <c r="FR9444"/>
      <c r="FS9444"/>
      <c r="FT9444"/>
      <c r="FU9444"/>
      <c r="FV9444"/>
      <c r="FW9444"/>
      <c r="FX9444"/>
      <c r="FY9444"/>
      <c r="FZ9444"/>
      <c r="GA9444"/>
      <c r="GB9444"/>
      <c r="GC9444"/>
      <c r="GD9444"/>
      <c r="GE9444"/>
      <c r="GF9444"/>
      <c r="GG9444"/>
      <c r="GH9444"/>
      <c r="GI9444"/>
      <c r="GJ9444"/>
      <c r="GK9444"/>
      <c r="GL9444"/>
      <c r="GM9444"/>
      <c r="GN9444"/>
      <c r="GO9444"/>
    </row>
    <row r="9445" spans="107:197">
      <c r="DC9445"/>
      <c r="FH9445"/>
      <c r="FI9445"/>
      <c r="FJ9445"/>
      <c r="FK9445"/>
      <c r="FL9445"/>
      <c r="FM9445"/>
      <c r="FN9445"/>
      <c r="FO9445"/>
      <c r="FP9445"/>
      <c r="FQ9445"/>
      <c r="FR9445"/>
      <c r="FS9445"/>
      <c r="FT9445"/>
      <c r="FU9445"/>
      <c r="FV9445"/>
      <c r="FW9445"/>
      <c r="FX9445"/>
      <c r="FY9445"/>
      <c r="FZ9445"/>
      <c r="GA9445"/>
      <c r="GB9445"/>
      <c r="GC9445"/>
      <c r="GD9445"/>
      <c r="GE9445"/>
      <c r="GF9445"/>
      <c r="GG9445"/>
      <c r="GH9445"/>
      <c r="GI9445"/>
      <c r="GJ9445"/>
      <c r="GK9445"/>
      <c r="GL9445"/>
      <c r="GM9445"/>
      <c r="GN9445"/>
      <c r="GO9445"/>
    </row>
    <row r="9446" spans="107:197">
      <c r="DC9446"/>
      <c r="FH9446"/>
      <c r="FI9446"/>
      <c r="FJ9446"/>
      <c r="FK9446"/>
      <c r="FL9446"/>
      <c r="FM9446"/>
      <c r="FN9446"/>
      <c r="FO9446"/>
      <c r="FP9446"/>
      <c r="FQ9446"/>
      <c r="FR9446"/>
      <c r="FS9446"/>
      <c r="FT9446"/>
      <c r="FU9446"/>
      <c r="FV9446"/>
      <c r="FW9446"/>
      <c r="FX9446"/>
      <c r="FY9446"/>
      <c r="FZ9446"/>
      <c r="GA9446"/>
      <c r="GB9446"/>
      <c r="GC9446"/>
      <c r="GD9446"/>
      <c r="GE9446"/>
      <c r="GF9446"/>
      <c r="GG9446"/>
      <c r="GH9446"/>
      <c r="GI9446"/>
      <c r="GJ9446"/>
      <c r="GK9446"/>
      <c r="GL9446"/>
      <c r="GM9446"/>
      <c r="GN9446"/>
      <c r="GO9446"/>
    </row>
    <row r="9447" spans="107:197">
      <c r="DC9447"/>
      <c r="FH9447"/>
      <c r="FI9447"/>
      <c r="FJ9447"/>
      <c r="FK9447"/>
      <c r="FL9447"/>
      <c r="FM9447"/>
      <c r="FN9447"/>
      <c r="FO9447"/>
      <c r="FP9447"/>
      <c r="FQ9447"/>
      <c r="FR9447"/>
      <c r="FS9447"/>
      <c r="FT9447"/>
      <c r="FU9447"/>
      <c r="FV9447"/>
      <c r="FW9447"/>
      <c r="FX9447"/>
      <c r="FY9447"/>
      <c r="FZ9447"/>
      <c r="GA9447"/>
      <c r="GB9447"/>
      <c r="GC9447"/>
      <c r="GD9447"/>
      <c r="GE9447"/>
      <c r="GF9447"/>
      <c r="GG9447"/>
      <c r="GH9447"/>
      <c r="GI9447"/>
      <c r="GJ9447"/>
      <c r="GK9447"/>
      <c r="GL9447"/>
      <c r="GM9447"/>
      <c r="GN9447"/>
      <c r="GO9447"/>
    </row>
    <row r="9448" spans="107:197">
      <c r="DC9448"/>
      <c r="FH9448"/>
      <c r="FI9448"/>
      <c r="FJ9448"/>
      <c r="FK9448"/>
      <c r="FL9448"/>
      <c r="FM9448"/>
      <c r="FN9448"/>
      <c r="FO9448"/>
      <c r="FP9448"/>
      <c r="FQ9448"/>
      <c r="FR9448"/>
      <c r="FS9448"/>
      <c r="FT9448"/>
      <c r="FU9448"/>
      <c r="FV9448"/>
      <c r="FW9448"/>
      <c r="FX9448"/>
      <c r="FY9448"/>
      <c r="FZ9448"/>
      <c r="GA9448"/>
      <c r="GB9448"/>
      <c r="GC9448"/>
      <c r="GD9448"/>
      <c r="GE9448"/>
      <c r="GF9448"/>
      <c r="GG9448"/>
      <c r="GH9448"/>
      <c r="GI9448"/>
      <c r="GJ9448"/>
      <c r="GK9448"/>
      <c r="GL9448"/>
      <c r="GM9448"/>
      <c r="GN9448"/>
      <c r="GO9448"/>
    </row>
    <row r="9449" spans="107:197">
      <c r="DC9449"/>
      <c r="FH9449"/>
      <c r="FI9449"/>
      <c r="FJ9449"/>
      <c r="FK9449"/>
      <c r="FL9449"/>
      <c r="FM9449"/>
      <c r="FN9449"/>
      <c r="FO9449"/>
      <c r="FP9449"/>
      <c r="FQ9449"/>
      <c r="FR9449"/>
      <c r="FS9449"/>
      <c r="FT9449"/>
      <c r="FU9449"/>
      <c r="FV9449"/>
      <c r="FW9449"/>
      <c r="FX9449"/>
      <c r="FY9449"/>
      <c r="FZ9449"/>
      <c r="GA9449"/>
      <c r="GB9449"/>
      <c r="GC9449"/>
      <c r="GD9449"/>
      <c r="GE9449"/>
      <c r="GF9449"/>
      <c r="GG9449"/>
      <c r="GH9449"/>
      <c r="GI9449"/>
      <c r="GJ9449"/>
      <c r="GK9449"/>
      <c r="GL9449"/>
      <c r="GM9449"/>
      <c r="GN9449"/>
      <c r="GO9449"/>
    </row>
    <row r="9450" spans="107:197">
      <c r="DC9450"/>
      <c r="FH9450"/>
      <c r="FI9450"/>
      <c r="FJ9450"/>
      <c r="FK9450"/>
      <c r="FL9450"/>
      <c r="FM9450"/>
      <c r="FN9450"/>
      <c r="FO9450"/>
      <c r="FP9450"/>
      <c r="FQ9450"/>
      <c r="FR9450"/>
      <c r="FS9450"/>
      <c r="FT9450"/>
      <c r="FU9450"/>
      <c r="FV9450"/>
      <c r="FW9450"/>
      <c r="FX9450"/>
      <c r="FY9450"/>
      <c r="FZ9450"/>
      <c r="GA9450"/>
      <c r="GB9450"/>
      <c r="GC9450"/>
      <c r="GD9450"/>
      <c r="GE9450"/>
      <c r="GF9450"/>
      <c r="GG9450"/>
      <c r="GH9450"/>
      <c r="GI9450"/>
      <c r="GJ9450"/>
      <c r="GK9450"/>
      <c r="GL9450"/>
      <c r="GM9450"/>
      <c r="GN9450"/>
      <c r="GO9450"/>
    </row>
    <row r="9451" spans="107:197">
      <c r="DC9451"/>
      <c r="FH9451"/>
      <c r="FI9451"/>
      <c r="FJ9451"/>
      <c r="FK9451"/>
      <c r="FL9451"/>
      <c r="FM9451"/>
      <c r="FN9451"/>
      <c r="FO9451"/>
      <c r="FP9451"/>
      <c r="FQ9451"/>
      <c r="FR9451"/>
      <c r="FS9451"/>
      <c r="FT9451"/>
      <c r="FU9451"/>
      <c r="FV9451"/>
      <c r="FW9451"/>
      <c r="FX9451"/>
      <c r="FY9451"/>
      <c r="FZ9451"/>
      <c r="GA9451"/>
      <c r="GB9451"/>
      <c r="GC9451"/>
      <c r="GD9451"/>
      <c r="GE9451"/>
      <c r="GF9451"/>
      <c r="GG9451"/>
      <c r="GH9451"/>
      <c r="GI9451"/>
      <c r="GJ9451"/>
      <c r="GK9451"/>
      <c r="GL9451"/>
      <c r="GM9451"/>
      <c r="GN9451"/>
      <c r="GO9451"/>
    </row>
    <row r="9452" spans="107:197">
      <c r="DC9452"/>
      <c r="FH9452"/>
      <c r="FI9452"/>
      <c r="FJ9452"/>
      <c r="FK9452"/>
      <c r="FL9452"/>
      <c r="FM9452"/>
      <c r="FN9452"/>
      <c r="FO9452"/>
      <c r="FP9452"/>
      <c r="FQ9452"/>
      <c r="FR9452"/>
      <c r="FS9452"/>
      <c r="FT9452"/>
      <c r="FU9452"/>
      <c r="FV9452"/>
      <c r="FW9452"/>
      <c r="FX9452"/>
      <c r="FY9452"/>
      <c r="FZ9452"/>
      <c r="GA9452"/>
      <c r="GB9452"/>
      <c r="GC9452"/>
      <c r="GD9452"/>
      <c r="GE9452"/>
      <c r="GF9452"/>
      <c r="GG9452"/>
      <c r="GH9452"/>
      <c r="GI9452"/>
      <c r="GJ9452"/>
      <c r="GK9452"/>
      <c r="GL9452"/>
      <c r="GM9452"/>
      <c r="GN9452"/>
      <c r="GO9452"/>
    </row>
    <row r="9453" spans="107:197">
      <c r="DC9453"/>
      <c r="FH9453"/>
      <c r="FI9453"/>
      <c r="FJ9453"/>
      <c r="FK9453"/>
      <c r="FL9453"/>
      <c r="FM9453"/>
      <c r="FN9453"/>
      <c r="FO9453"/>
      <c r="FP9453"/>
      <c r="FQ9453"/>
      <c r="FR9453"/>
      <c r="FS9453"/>
      <c r="FT9453"/>
      <c r="FU9453"/>
      <c r="FV9453"/>
      <c r="FW9453"/>
      <c r="FX9453"/>
      <c r="FY9453"/>
      <c r="FZ9453"/>
      <c r="GA9453"/>
      <c r="GB9453"/>
      <c r="GC9453"/>
      <c r="GD9453"/>
      <c r="GE9453"/>
      <c r="GF9453"/>
      <c r="GG9453"/>
      <c r="GH9453"/>
      <c r="GI9453"/>
      <c r="GJ9453"/>
      <c r="GK9453"/>
      <c r="GL9453"/>
      <c r="GM9453"/>
      <c r="GN9453"/>
      <c r="GO9453"/>
    </row>
    <row r="9454" spans="107:197">
      <c r="DC9454"/>
      <c r="FH9454"/>
      <c r="FI9454"/>
      <c r="FJ9454"/>
      <c r="FK9454"/>
      <c r="FL9454"/>
      <c r="FM9454"/>
      <c r="FN9454"/>
      <c r="FO9454"/>
      <c r="FP9454"/>
      <c r="FQ9454"/>
      <c r="FR9454"/>
      <c r="FS9454"/>
      <c r="FT9454"/>
      <c r="FU9454"/>
      <c r="FV9454"/>
      <c r="FW9454"/>
      <c r="FX9454"/>
      <c r="FY9454"/>
      <c r="FZ9454"/>
      <c r="GA9454"/>
      <c r="GB9454"/>
      <c r="GC9454"/>
      <c r="GD9454"/>
      <c r="GE9454"/>
      <c r="GF9454"/>
      <c r="GG9454"/>
      <c r="GH9454"/>
      <c r="GI9454"/>
      <c r="GJ9454"/>
      <c r="GK9454"/>
      <c r="GL9454"/>
      <c r="GM9454"/>
      <c r="GN9454"/>
      <c r="GO9454"/>
    </row>
    <row r="9455" spans="107:197">
      <c r="DC9455"/>
      <c r="FH9455"/>
      <c r="FI9455"/>
      <c r="FJ9455"/>
      <c r="FK9455"/>
      <c r="FL9455"/>
      <c r="FM9455"/>
      <c r="FN9455"/>
      <c r="FO9455"/>
      <c r="FP9455"/>
      <c r="FQ9455"/>
      <c r="FR9455"/>
      <c r="FS9455"/>
      <c r="FT9455"/>
      <c r="FU9455"/>
      <c r="FV9455"/>
      <c r="FW9455"/>
      <c r="FX9455"/>
      <c r="FY9455"/>
      <c r="FZ9455"/>
      <c r="GA9455"/>
      <c r="GB9455"/>
      <c r="GC9455"/>
      <c r="GD9455"/>
      <c r="GE9455"/>
      <c r="GF9455"/>
      <c r="GG9455"/>
      <c r="GH9455"/>
      <c r="GI9455"/>
      <c r="GJ9455"/>
      <c r="GK9455"/>
      <c r="GL9455"/>
      <c r="GM9455"/>
      <c r="GN9455"/>
      <c r="GO9455"/>
    </row>
    <row r="9456" spans="107:197">
      <c r="DC9456"/>
      <c r="FH9456"/>
      <c r="FI9456"/>
      <c r="FJ9456"/>
      <c r="FK9456"/>
      <c r="FL9456"/>
      <c r="FM9456"/>
      <c r="FN9456"/>
      <c r="FO9456"/>
      <c r="FP9456"/>
      <c r="FQ9456"/>
      <c r="FR9456"/>
      <c r="FS9456"/>
      <c r="FT9456"/>
      <c r="FU9456"/>
      <c r="FV9456"/>
      <c r="FW9456"/>
      <c r="FX9456"/>
      <c r="FY9456"/>
      <c r="FZ9456"/>
      <c r="GA9456"/>
      <c r="GB9456"/>
      <c r="GC9456"/>
      <c r="GD9456"/>
      <c r="GE9456"/>
      <c r="GF9456"/>
      <c r="GG9456"/>
      <c r="GH9456"/>
      <c r="GI9456"/>
      <c r="GJ9456"/>
      <c r="GK9456"/>
      <c r="GL9456"/>
      <c r="GM9456"/>
      <c r="GN9456"/>
      <c r="GO9456"/>
    </row>
    <row r="9457" spans="107:197">
      <c r="DC9457"/>
      <c r="FH9457"/>
      <c r="FI9457"/>
      <c r="FJ9457"/>
      <c r="FK9457"/>
      <c r="FL9457"/>
      <c r="FM9457"/>
      <c r="FN9457"/>
      <c r="FO9457"/>
      <c r="FP9457"/>
      <c r="FQ9457"/>
      <c r="FR9457"/>
      <c r="FS9457"/>
      <c r="FT9457"/>
      <c r="FU9457"/>
      <c r="FV9457"/>
      <c r="FW9457"/>
      <c r="FX9457"/>
      <c r="FY9457"/>
      <c r="FZ9457"/>
      <c r="GA9457"/>
      <c r="GB9457"/>
      <c r="GC9457"/>
      <c r="GD9457"/>
      <c r="GE9457"/>
      <c r="GF9457"/>
      <c r="GG9457"/>
      <c r="GH9457"/>
      <c r="GI9457"/>
      <c r="GJ9457"/>
      <c r="GK9457"/>
      <c r="GL9457"/>
      <c r="GM9457"/>
      <c r="GN9457"/>
      <c r="GO9457"/>
    </row>
    <row r="9458" spans="107:197">
      <c r="DC9458"/>
      <c r="FH9458"/>
      <c r="FI9458"/>
      <c r="FJ9458"/>
      <c r="FK9458"/>
      <c r="FL9458"/>
      <c r="FM9458"/>
      <c r="FN9458"/>
      <c r="FO9458"/>
      <c r="FP9458"/>
      <c r="FQ9458"/>
      <c r="FR9458"/>
      <c r="FS9458"/>
      <c r="FT9458"/>
      <c r="FU9458"/>
      <c r="FV9458"/>
      <c r="FW9458"/>
      <c r="FX9458"/>
      <c r="FY9458"/>
      <c r="FZ9458"/>
      <c r="GA9458"/>
      <c r="GB9458"/>
      <c r="GC9458"/>
      <c r="GD9458"/>
      <c r="GE9458"/>
      <c r="GF9458"/>
      <c r="GG9458"/>
      <c r="GH9458"/>
      <c r="GI9458"/>
      <c r="GJ9458"/>
      <c r="GK9458"/>
      <c r="GL9458"/>
      <c r="GM9458"/>
      <c r="GN9458"/>
      <c r="GO9458"/>
    </row>
    <row r="9459" spans="107:197">
      <c r="DC9459"/>
      <c r="FH9459"/>
      <c r="FI9459"/>
      <c r="FJ9459"/>
      <c r="FK9459"/>
      <c r="FL9459"/>
      <c r="FM9459"/>
      <c r="FN9459"/>
      <c r="FO9459"/>
      <c r="FP9459"/>
      <c r="FQ9459"/>
      <c r="FR9459"/>
      <c r="FS9459"/>
      <c r="FT9459"/>
      <c r="FU9459"/>
      <c r="FV9459"/>
      <c r="FW9459"/>
      <c r="FX9459"/>
      <c r="FY9459"/>
      <c r="FZ9459"/>
      <c r="GA9459"/>
      <c r="GB9459"/>
      <c r="GC9459"/>
      <c r="GD9459"/>
      <c r="GE9459"/>
      <c r="GF9459"/>
      <c r="GG9459"/>
      <c r="GH9459"/>
      <c r="GI9459"/>
      <c r="GJ9459"/>
      <c r="GK9459"/>
      <c r="GL9459"/>
      <c r="GM9459"/>
      <c r="GN9459"/>
      <c r="GO9459"/>
    </row>
    <row r="9460" spans="107:197">
      <c r="DC9460"/>
      <c r="FH9460"/>
      <c r="FI9460"/>
      <c r="FJ9460"/>
      <c r="FK9460"/>
      <c r="FL9460"/>
      <c r="FM9460"/>
      <c r="FN9460"/>
      <c r="FO9460"/>
      <c r="FP9460"/>
      <c r="FQ9460"/>
      <c r="FR9460"/>
      <c r="FS9460"/>
      <c r="FT9460"/>
      <c r="FU9460"/>
      <c r="FV9460"/>
      <c r="FW9460"/>
      <c r="FX9460"/>
      <c r="FY9460"/>
      <c r="FZ9460"/>
      <c r="GA9460"/>
      <c r="GB9460"/>
      <c r="GC9460"/>
      <c r="GD9460"/>
      <c r="GE9460"/>
      <c r="GF9460"/>
      <c r="GG9460"/>
      <c r="GH9460"/>
      <c r="GI9460"/>
      <c r="GJ9460"/>
      <c r="GK9460"/>
      <c r="GL9460"/>
      <c r="GM9460"/>
      <c r="GN9460"/>
      <c r="GO9460"/>
    </row>
    <row r="9461" spans="107:197">
      <c r="DC9461"/>
      <c r="FH9461"/>
      <c r="FI9461"/>
      <c r="FJ9461"/>
      <c r="FK9461"/>
      <c r="FL9461"/>
      <c r="FM9461"/>
      <c r="FN9461"/>
      <c r="FO9461"/>
      <c r="FP9461"/>
      <c r="FQ9461"/>
      <c r="FR9461"/>
      <c r="FS9461"/>
      <c r="FT9461"/>
      <c r="FU9461"/>
      <c r="FV9461"/>
      <c r="FW9461"/>
      <c r="FX9461"/>
      <c r="FY9461"/>
      <c r="FZ9461"/>
      <c r="GA9461"/>
      <c r="GB9461"/>
      <c r="GC9461"/>
      <c r="GD9461"/>
      <c r="GE9461"/>
      <c r="GF9461"/>
      <c r="GG9461"/>
      <c r="GH9461"/>
      <c r="GI9461"/>
      <c r="GJ9461"/>
      <c r="GK9461"/>
      <c r="GL9461"/>
      <c r="GM9461"/>
      <c r="GN9461"/>
      <c r="GO9461"/>
    </row>
    <row r="9462" spans="107:197">
      <c r="DC9462"/>
      <c r="FH9462"/>
      <c r="FI9462"/>
      <c r="FJ9462"/>
      <c r="FK9462"/>
      <c r="FL9462"/>
      <c r="FM9462"/>
      <c r="FN9462"/>
      <c r="FO9462"/>
      <c r="FP9462"/>
      <c r="FQ9462"/>
      <c r="FR9462"/>
      <c r="FS9462"/>
      <c r="FT9462"/>
      <c r="FU9462"/>
      <c r="FV9462"/>
      <c r="FW9462"/>
      <c r="FX9462"/>
      <c r="FY9462"/>
      <c r="FZ9462"/>
      <c r="GA9462"/>
      <c r="GB9462"/>
      <c r="GC9462"/>
      <c r="GD9462"/>
      <c r="GE9462"/>
      <c r="GF9462"/>
      <c r="GG9462"/>
      <c r="GH9462"/>
      <c r="GI9462"/>
      <c r="GJ9462"/>
      <c r="GK9462"/>
      <c r="GL9462"/>
      <c r="GM9462"/>
      <c r="GN9462"/>
      <c r="GO9462"/>
    </row>
    <row r="9463" spans="107:197">
      <c r="DC9463"/>
      <c r="FH9463"/>
      <c r="FI9463"/>
      <c r="FJ9463"/>
      <c r="FK9463"/>
      <c r="FL9463"/>
      <c r="FM9463"/>
      <c r="FN9463"/>
      <c r="FO9463"/>
      <c r="FP9463"/>
      <c r="FQ9463"/>
      <c r="FR9463"/>
      <c r="FS9463"/>
      <c r="FT9463"/>
      <c r="FU9463"/>
      <c r="FV9463"/>
      <c r="FW9463"/>
      <c r="FX9463"/>
      <c r="FY9463"/>
      <c r="FZ9463"/>
      <c r="GA9463"/>
      <c r="GB9463"/>
      <c r="GC9463"/>
      <c r="GD9463"/>
      <c r="GE9463"/>
      <c r="GF9463"/>
      <c r="GG9463"/>
      <c r="GH9463"/>
      <c r="GI9463"/>
      <c r="GJ9463"/>
      <c r="GK9463"/>
      <c r="GL9463"/>
      <c r="GM9463"/>
      <c r="GN9463"/>
      <c r="GO9463"/>
    </row>
    <row r="9464" spans="107:197">
      <c r="DC9464"/>
      <c r="FH9464"/>
      <c r="FI9464"/>
      <c r="FJ9464"/>
      <c r="FK9464"/>
      <c r="FL9464"/>
      <c r="FM9464"/>
      <c r="FN9464"/>
      <c r="FO9464"/>
      <c r="FP9464"/>
      <c r="FQ9464"/>
      <c r="FR9464"/>
      <c r="FS9464"/>
      <c r="FT9464"/>
      <c r="FU9464"/>
      <c r="FV9464"/>
      <c r="FW9464"/>
      <c r="FX9464"/>
      <c r="FY9464"/>
      <c r="FZ9464"/>
      <c r="GA9464"/>
      <c r="GB9464"/>
      <c r="GC9464"/>
      <c r="GD9464"/>
      <c r="GE9464"/>
      <c r="GF9464"/>
      <c r="GG9464"/>
      <c r="GH9464"/>
      <c r="GI9464"/>
      <c r="GJ9464"/>
      <c r="GK9464"/>
      <c r="GL9464"/>
      <c r="GM9464"/>
      <c r="GN9464"/>
      <c r="GO9464"/>
    </row>
    <row r="9465" spans="107:197">
      <c r="DC9465"/>
      <c r="FH9465"/>
      <c r="FI9465"/>
      <c r="FJ9465"/>
      <c r="FK9465"/>
      <c r="FL9465"/>
      <c r="FM9465"/>
      <c r="FN9465"/>
      <c r="FO9465"/>
      <c r="FP9465"/>
      <c r="FQ9465"/>
      <c r="FR9465"/>
      <c r="FS9465"/>
      <c r="FT9465"/>
      <c r="FU9465"/>
      <c r="FV9465"/>
      <c r="FW9465"/>
      <c r="FX9465"/>
      <c r="FY9465"/>
      <c r="FZ9465"/>
      <c r="GA9465"/>
      <c r="GB9465"/>
      <c r="GC9465"/>
      <c r="GD9465"/>
      <c r="GE9465"/>
      <c r="GF9465"/>
      <c r="GG9465"/>
      <c r="GH9465"/>
      <c r="GI9465"/>
      <c r="GJ9465"/>
      <c r="GK9465"/>
      <c r="GL9465"/>
      <c r="GM9465"/>
      <c r="GN9465"/>
      <c r="GO9465"/>
    </row>
    <row r="9466" spans="107:197">
      <c r="DC9466"/>
      <c r="FH9466"/>
      <c r="FI9466"/>
      <c r="FJ9466"/>
      <c r="FK9466"/>
      <c r="FL9466"/>
      <c r="FM9466"/>
      <c r="FN9466"/>
      <c r="FO9466"/>
      <c r="FP9466"/>
      <c r="FQ9466"/>
      <c r="FR9466"/>
      <c r="FS9466"/>
      <c r="FT9466"/>
      <c r="FU9466"/>
      <c r="FV9466"/>
      <c r="FW9466"/>
      <c r="FX9466"/>
      <c r="FY9466"/>
      <c r="FZ9466"/>
      <c r="GA9466"/>
      <c r="GB9466"/>
      <c r="GC9466"/>
      <c r="GD9466"/>
      <c r="GE9466"/>
      <c r="GF9466"/>
      <c r="GG9466"/>
      <c r="GH9466"/>
      <c r="GI9466"/>
      <c r="GJ9466"/>
      <c r="GK9466"/>
      <c r="GL9466"/>
      <c r="GM9466"/>
      <c r="GN9466"/>
      <c r="GO9466"/>
    </row>
    <row r="9467" spans="107:197">
      <c r="DC9467"/>
      <c r="FH9467"/>
      <c r="FI9467"/>
      <c r="FJ9467"/>
      <c r="FK9467"/>
      <c r="FL9467"/>
      <c r="FM9467"/>
      <c r="FN9467"/>
      <c r="FO9467"/>
      <c r="FP9467"/>
      <c r="FQ9467"/>
      <c r="FR9467"/>
      <c r="FS9467"/>
      <c r="FT9467"/>
      <c r="FU9467"/>
      <c r="FV9467"/>
      <c r="FW9467"/>
      <c r="FX9467"/>
      <c r="FY9467"/>
      <c r="FZ9467"/>
      <c r="GA9467"/>
      <c r="GB9467"/>
      <c r="GC9467"/>
      <c r="GD9467"/>
      <c r="GE9467"/>
      <c r="GF9467"/>
      <c r="GG9467"/>
      <c r="GH9467"/>
      <c r="GI9467"/>
      <c r="GJ9467"/>
      <c r="GK9467"/>
      <c r="GL9467"/>
      <c r="GM9467"/>
      <c r="GN9467"/>
      <c r="GO9467"/>
    </row>
    <row r="9468" spans="107:197">
      <c r="DC9468"/>
      <c r="FH9468"/>
      <c r="FI9468"/>
      <c r="FJ9468"/>
      <c r="FK9468"/>
      <c r="FL9468"/>
      <c r="FM9468"/>
      <c r="FN9468"/>
      <c r="FO9468"/>
      <c r="FP9468"/>
      <c r="FQ9468"/>
      <c r="FR9468"/>
      <c r="FS9468"/>
      <c r="FT9468"/>
      <c r="FU9468"/>
      <c r="FV9468"/>
      <c r="FW9468"/>
      <c r="FX9468"/>
      <c r="FY9468"/>
      <c r="FZ9468"/>
      <c r="GA9468"/>
      <c r="GB9468"/>
      <c r="GC9468"/>
      <c r="GD9468"/>
      <c r="GE9468"/>
      <c r="GF9468"/>
      <c r="GG9468"/>
      <c r="GH9468"/>
      <c r="GI9468"/>
      <c r="GJ9468"/>
      <c r="GK9468"/>
      <c r="GL9468"/>
      <c r="GM9468"/>
      <c r="GN9468"/>
      <c r="GO9468"/>
    </row>
    <row r="9469" spans="107:197">
      <c r="DC9469"/>
      <c r="FH9469"/>
      <c r="FI9469"/>
      <c r="FJ9469"/>
      <c r="FK9469"/>
      <c r="FL9469"/>
      <c r="FM9469"/>
      <c r="FN9469"/>
      <c r="FO9469"/>
      <c r="FP9469"/>
      <c r="FQ9469"/>
      <c r="FR9469"/>
      <c r="FS9469"/>
      <c r="FT9469"/>
      <c r="FU9469"/>
      <c r="FV9469"/>
      <c r="FW9469"/>
      <c r="FX9469"/>
      <c r="FY9469"/>
      <c r="FZ9469"/>
      <c r="GA9469"/>
      <c r="GB9469"/>
      <c r="GC9469"/>
      <c r="GD9469"/>
      <c r="GE9469"/>
      <c r="GF9469"/>
      <c r="GG9469"/>
      <c r="GH9469"/>
      <c r="GI9469"/>
      <c r="GJ9469"/>
      <c r="GK9469"/>
      <c r="GL9469"/>
      <c r="GM9469"/>
      <c r="GN9469"/>
      <c r="GO9469"/>
    </row>
    <row r="9470" spans="107:197">
      <c r="DC9470"/>
      <c r="FH9470"/>
      <c r="FI9470"/>
      <c r="FJ9470"/>
      <c r="FK9470"/>
      <c r="FL9470"/>
      <c r="FM9470"/>
      <c r="FN9470"/>
      <c r="FO9470"/>
      <c r="FP9470"/>
      <c r="FQ9470"/>
      <c r="FR9470"/>
      <c r="FS9470"/>
      <c r="FT9470"/>
      <c r="FU9470"/>
      <c r="FV9470"/>
      <c r="FW9470"/>
      <c r="FX9470"/>
      <c r="FY9470"/>
      <c r="FZ9470"/>
      <c r="GA9470"/>
      <c r="GB9470"/>
      <c r="GC9470"/>
      <c r="GD9470"/>
      <c r="GE9470"/>
      <c r="GF9470"/>
      <c r="GG9470"/>
      <c r="GH9470"/>
      <c r="GI9470"/>
      <c r="GJ9470"/>
      <c r="GK9470"/>
      <c r="GL9470"/>
      <c r="GM9470"/>
      <c r="GN9470"/>
      <c r="GO9470"/>
    </row>
    <row r="9471" spans="107:197">
      <c r="DC9471"/>
      <c r="FH9471"/>
      <c r="FI9471"/>
      <c r="FJ9471"/>
      <c r="FK9471"/>
      <c r="FL9471"/>
      <c r="FM9471"/>
      <c r="FN9471"/>
      <c r="FO9471"/>
      <c r="FP9471"/>
      <c r="FQ9471"/>
      <c r="FR9471"/>
      <c r="FS9471"/>
      <c r="FT9471"/>
      <c r="FU9471"/>
      <c r="FV9471"/>
      <c r="FW9471"/>
      <c r="FX9471"/>
      <c r="FY9471"/>
      <c r="FZ9471"/>
      <c r="GA9471"/>
      <c r="GB9471"/>
      <c r="GC9471"/>
      <c r="GD9471"/>
      <c r="GE9471"/>
      <c r="GF9471"/>
      <c r="GG9471"/>
      <c r="GH9471"/>
      <c r="GI9471"/>
      <c r="GJ9471"/>
      <c r="GK9471"/>
      <c r="GL9471"/>
      <c r="GM9471"/>
      <c r="GN9471"/>
      <c r="GO9471"/>
    </row>
    <row r="9472" spans="107:197">
      <c r="DC9472"/>
      <c r="FH9472"/>
      <c r="FI9472"/>
      <c r="FJ9472"/>
      <c r="FK9472"/>
      <c r="FL9472"/>
      <c r="FM9472"/>
      <c r="FN9472"/>
      <c r="FO9472"/>
      <c r="FP9472"/>
      <c r="FQ9472"/>
      <c r="FR9472"/>
      <c r="FS9472"/>
      <c r="FT9472"/>
      <c r="FU9472"/>
      <c r="FV9472"/>
      <c r="FW9472"/>
      <c r="FX9472"/>
      <c r="FY9472"/>
      <c r="FZ9472"/>
      <c r="GA9472"/>
      <c r="GB9472"/>
      <c r="GC9472"/>
      <c r="GD9472"/>
      <c r="GE9472"/>
      <c r="GF9472"/>
      <c r="GG9472"/>
      <c r="GH9472"/>
      <c r="GI9472"/>
      <c r="GJ9472"/>
      <c r="GK9472"/>
      <c r="GL9472"/>
      <c r="GM9472"/>
      <c r="GN9472"/>
      <c r="GO9472"/>
    </row>
    <row r="9473" spans="107:197">
      <c r="DC9473"/>
      <c r="FH9473"/>
      <c r="FI9473"/>
      <c r="FJ9473"/>
      <c r="FK9473"/>
      <c r="FL9473"/>
      <c r="FM9473"/>
      <c r="FN9473"/>
      <c r="FO9473"/>
      <c r="FP9473"/>
      <c r="FQ9473"/>
      <c r="FR9473"/>
      <c r="FS9473"/>
      <c r="FT9473"/>
      <c r="FU9473"/>
      <c r="FV9473"/>
      <c r="FW9473"/>
      <c r="FX9473"/>
      <c r="FY9473"/>
      <c r="FZ9473"/>
      <c r="GA9473"/>
      <c r="GB9473"/>
      <c r="GC9473"/>
      <c r="GD9473"/>
      <c r="GE9473"/>
      <c r="GF9473"/>
      <c r="GG9473"/>
      <c r="GH9473"/>
      <c r="GI9473"/>
      <c r="GJ9473"/>
      <c r="GK9473"/>
      <c r="GL9473"/>
      <c r="GM9473"/>
      <c r="GN9473"/>
      <c r="GO9473"/>
    </row>
    <row r="9474" spans="107:197">
      <c r="DC9474"/>
      <c r="FH9474"/>
      <c r="FI9474"/>
      <c r="FJ9474"/>
      <c r="FK9474"/>
      <c r="FL9474"/>
      <c r="FM9474"/>
      <c r="FN9474"/>
      <c r="FO9474"/>
      <c r="FP9474"/>
      <c r="FQ9474"/>
      <c r="FR9474"/>
      <c r="FS9474"/>
      <c r="FT9474"/>
      <c r="FU9474"/>
      <c r="FV9474"/>
      <c r="FW9474"/>
      <c r="FX9474"/>
      <c r="FY9474"/>
      <c r="FZ9474"/>
      <c r="GA9474"/>
      <c r="GB9474"/>
      <c r="GC9474"/>
      <c r="GD9474"/>
      <c r="GE9474"/>
      <c r="GF9474"/>
      <c r="GG9474"/>
      <c r="GH9474"/>
      <c r="GI9474"/>
      <c r="GJ9474"/>
      <c r="GK9474"/>
      <c r="GL9474"/>
      <c r="GM9474"/>
      <c r="GN9474"/>
      <c r="GO9474"/>
    </row>
    <row r="9475" spans="107:197">
      <c r="DC9475"/>
      <c r="FH9475"/>
      <c r="FI9475"/>
      <c r="FJ9475"/>
      <c r="FK9475"/>
      <c r="FL9475"/>
      <c r="FM9475"/>
      <c r="FN9475"/>
      <c r="FO9475"/>
      <c r="FP9475"/>
      <c r="FQ9475"/>
      <c r="FR9475"/>
      <c r="FS9475"/>
      <c r="FT9475"/>
      <c r="FU9475"/>
      <c r="FV9475"/>
      <c r="FW9475"/>
      <c r="FX9475"/>
      <c r="FY9475"/>
      <c r="FZ9475"/>
      <c r="GA9475"/>
      <c r="GB9475"/>
      <c r="GC9475"/>
      <c r="GD9475"/>
      <c r="GE9475"/>
      <c r="GF9475"/>
      <c r="GG9475"/>
      <c r="GH9475"/>
      <c r="GI9475"/>
      <c r="GJ9475"/>
      <c r="GK9475"/>
      <c r="GL9475"/>
      <c r="GM9475"/>
      <c r="GN9475"/>
      <c r="GO9475"/>
    </row>
    <row r="9476" spans="107:197">
      <c r="DC9476"/>
      <c r="FH9476"/>
      <c r="FI9476"/>
      <c r="FJ9476"/>
      <c r="FK9476"/>
      <c r="FL9476"/>
      <c r="FM9476"/>
      <c r="FN9476"/>
      <c r="FO9476"/>
      <c r="FP9476"/>
      <c r="FQ9476"/>
      <c r="FR9476"/>
      <c r="FS9476"/>
      <c r="FT9476"/>
      <c r="FU9476"/>
      <c r="FV9476"/>
      <c r="FW9476"/>
      <c r="FX9476"/>
      <c r="FY9476"/>
      <c r="FZ9476"/>
      <c r="GA9476"/>
      <c r="GB9476"/>
      <c r="GC9476"/>
      <c r="GD9476"/>
      <c r="GE9476"/>
      <c r="GF9476"/>
      <c r="GG9476"/>
      <c r="GH9476"/>
      <c r="GI9476"/>
      <c r="GJ9476"/>
      <c r="GK9476"/>
      <c r="GL9476"/>
      <c r="GM9476"/>
      <c r="GN9476"/>
      <c r="GO9476"/>
    </row>
    <row r="9477" spans="107:197">
      <c r="DC9477"/>
      <c r="FH9477"/>
      <c r="FI9477"/>
      <c r="FJ9477"/>
      <c r="FK9477"/>
      <c r="FL9477"/>
      <c r="FM9477"/>
      <c r="FN9477"/>
      <c r="FO9477"/>
      <c r="FP9477"/>
      <c r="FQ9477"/>
      <c r="FR9477"/>
      <c r="FS9477"/>
      <c r="FT9477"/>
      <c r="FU9477"/>
      <c r="FV9477"/>
      <c r="FW9477"/>
      <c r="FX9477"/>
      <c r="FY9477"/>
      <c r="FZ9477"/>
      <c r="GA9477"/>
      <c r="GB9477"/>
      <c r="GC9477"/>
      <c r="GD9477"/>
      <c r="GE9477"/>
      <c r="GF9477"/>
      <c r="GG9477"/>
      <c r="GH9477"/>
      <c r="GI9477"/>
      <c r="GJ9477"/>
      <c r="GK9477"/>
      <c r="GL9477"/>
      <c r="GM9477"/>
      <c r="GN9477"/>
      <c r="GO9477"/>
    </row>
    <row r="9478" spans="107:197">
      <c r="DC9478"/>
      <c r="FH9478"/>
      <c r="FI9478"/>
      <c r="FJ9478"/>
      <c r="FK9478"/>
      <c r="FL9478"/>
      <c r="FM9478"/>
      <c r="FN9478"/>
      <c r="FO9478"/>
      <c r="FP9478"/>
      <c r="FQ9478"/>
      <c r="FR9478"/>
      <c r="FS9478"/>
      <c r="FT9478"/>
      <c r="FU9478"/>
      <c r="FV9478"/>
      <c r="FW9478"/>
      <c r="FX9478"/>
      <c r="FY9478"/>
      <c r="FZ9478"/>
      <c r="GA9478"/>
      <c r="GB9478"/>
      <c r="GC9478"/>
      <c r="GD9478"/>
      <c r="GE9478"/>
      <c r="GF9478"/>
      <c r="GG9478"/>
      <c r="GH9478"/>
      <c r="GI9478"/>
      <c r="GJ9478"/>
      <c r="GK9478"/>
      <c r="GL9478"/>
      <c r="GM9478"/>
      <c r="GN9478"/>
      <c r="GO9478"/>
    </row>
    <row r="9479" spans="107:197">
      <c r="DC9479"/>
      <c r="FH9479"/>
      <c r="FI9479"/>
      <c r="FJ9479"/>
      <c r="FK9479"/>
      <c r="FL9479"/>
      <c r="FM9479"/>
      <c r="FN9479"/>
      <c r="FO9479"/>
      <c r="FP9479"/>
      <c r="FQ9479"/>
      <c r="FR9479"/>
      <c r="FS9479"/>
      <c r="FT9479"/>
      <c r="FU9479"/>
      <c r="FV9479"/>
      <c r="FW9479"/>
      <c r="FX9479"/>
      <c r="FY9479"/>
      <c r="FZ9479"/>
      <c r="GA9479"/>
      <c r="GB9479"/>
      <c r="GC9479"/>
      <c r="GD9479"/>
      <c r="GE9479"/>
      <c r="GF9479"/>
      <c r="GG9479"/>
      <c r="GH9479"/>
      <c r="GI9479"/>
      <c r="GJ9479"/>
      <c r="GK9479"/>
      <c r="GL9479"/>
      <c r="GM9479"/>
      <c r="GN9479"/>
      <c r="GO9479"/>
    </row>
    <row r="9480" spans="107:197">
      <c r="DC9480"/>
      <c r="FH9480"/>
      <c r="FI9480"/>
      <c r="FJ9480"/>
      <c r="FK9480"/>
      <c r="FL9480"/>
      <c r="FM9480"/>
      <c r="FN9480"/>
      <c r="FO9480"/>
      <c r="FP9480"/>
      <c r="FQ9480"/>
      <c r="FR9480"/>
      <c r="FS9480"/>
      <c r="FT9480"/>
      <c r="FU9480"/>
      <c r="FV9480"/>
      <c r="FW9480"/>
      <c r="FX9480"/>
      <c r="FY9480"/>
      <c r="FZ9480"/>
      <c r="GA9480"/>
      <c r="GB9480"/>
      <c r="GC9480"/>
      <c r="GD9480"/>
      <c r="GE9480"/>
      <c r="GF9480"/>
      <c r="GG9480"/>
      <c r="GH9480"/>
      <c r="GI9480"/>
      <c r="GJ9480"/>
      <c r="GK9480"/>
      <c r="GL9480"/>
      <c r="GM9480"/>
      <c r="GN9480"/>
      <c r="GO9480"/>
    </row>
    <row r="9481" spans="107:197">
      <c r="DC9481"/>
      <c r="FH9481"/>
      <c r="FI9481"/>
      <c r="FJ9481"/>
      <c r="FK9481"/>
      <c r="FL9481"/>
      <c r="FM9481"/>
      <c r="FN9481"/>
      <c r="FO9481"/>
      <c r="FP9481"/>
      <c r="FQ9481"/>
      <c r="FR9481"/>
      <c r="FS9481"/>
      <c r="FT9481"/>
      <c r="FU9481"/>
      <c r="FV9481"/>
      <c r="FW9481"/>
      <c r="FX9481"/>
      <c r="FY9481"/>
      <c r="FZ9481"/>
      <c r="GA9481"/>
      <c r="GB9481"/>
      <c r="GC9481"/>
      <c r="GD9481"/>
      <c r="GE9481"/>
      <c r="GF9481"/>
      <c r="GG9481"/>
      <c r="GH9481"/>
      <c r="GI9481"/>
      <c r="GJ9481"/>
      <c r="GK9481"/>
      <c r="GL9481"/>
      <c r="GM9481"/>
      <c r="GN9481"/>
      <c r="GO9481"/>
    </row>
    <row r="9482" spans="107:197">
      <c r="DC9482"/>
      <c r="FH9482"/>
      <c r="FI9482"/>
      <c r="FJ9482"/>
      <c r="FK9482"/>
      <c r="FL9482"/>
      <c r="FM9482"/>
      <c r="FN9482"/>
      <c r="FO9482"/>
      <c r="FP9482"/>
      <c r="FQ9482"/>
      <c r="FR9482"/>
      <c r="FS9482"/>
      <c r="FT9482"/>
      <c r="FU9482"/>
      <c r="FV9482"/>
      <c r="FW9482"/>
      <c r="FX9482"/>
      <c r="FY9482"/>
      <c r="FZ9482"/>
      <c r="GA9482"/>
      <c r="GB9482"/>
      <c r="GC9482"/>
      <c r="GD9482"/>
      <c r="GE9482"/>
      <c r="GF9482"/>
      <c r="GG9482"/>
      <c r="GH9482"/>
      <c r="GI9482"/>
      <c r="GJ9482"/>
      <c r="GK9482"/>
      <c r="GL9482"/>
      <c r="GM9482"/>
      <c r="GN9482"/>
      <c r="GO9482"/>
    </row>
    <row r="9483" spans="107:197">
      <c r="DC9483"/>
      <c r="FH9483"/>
      <c r="FI9483"/>
      <c r="FJ9483"/>
      <c r="FK9483"/>
      <c r="FL9483"/>
      <c r="FM9483"/>
      <c r="FN9483"/>
      <c r="FO9483"/>
      <c r="FP9483"/>
      <c r="FQ9483"/>
      <c r="FR9483"/>
      <c r="FS9483"/>
      <c r="FT9483"/>
      <c r="FU9483"/>
      <c r="FV9483"/>
      <c r="FW9483"/>
      <c r="FX9483"/>
      <c r="FY9483"/>
      <c r="FZ9483"/>
      <c r="GA9483"/>
      <c r="GB9483"/>
      <c r="GC9483"/>
      <c r="GD9483"/>
      <c r="GE9483"/>
      <c r="GF9483"/>
      <c r="GG9483"/>
      <c r="GH9483"/>
      <c r="GI9483"/>
      <c r="GJ9483"/>
      <c r="GK9483"/>
      <c r="GL9483"/>
      <c r="GM9483"/>
      <c r="GN9483"/>
      <c r="GO9483"/>
    </row>
    <row r="9484" spans="107:197">
      <c r="DC9484"/>
      <c r="FH9484"/>
      <c r="FI9484"/>
      <c r="FJ9484"/>
      <c r="FK9484"/>
      <c r="FL9484"/>
      <c r="FM9484"/>
      <c r="FN9484"/>
      <c r="FO9484"/>
      <c r="FP9484"/>
      <c r="FQ9484"/>
      <c r="FR9484"/>
      <c r="FS9484"/>
      <c r="FT9484"/>
      <c r="FU9484"/>
      <c r="FV9484"/>
      <c r="FW9484"/>
      <c r="FX9484"/>
      <c r="FY9484"/>
      <c r="FZ9484"/>
      <c r="GA9484"/>
      <c r="GB9484"/>
      <c r="GC9484"/>
      <c r="GD9484"/>
      <c r="GE9484"/>
      <c r="GF9484"/>
      <c r="GG9484"/>
      <c r="GH9484"/>
      <c r="GI9484"/>
      <c r="GJ9484"/>
      <c r="GK9484"/>
      <c r="GL9484"/>
      <c r="GM9484"/>
      <c r="GN9484"/>
      <c r="GO9484"/>
    </row>
    <row r="9485" spans="107:197">
      <c r="DC9485"/>
      <c r="FH9485"/>
      <c r="FI9485"/>
      <c r="FJ9485"/>
      <c r="FK9485"/>
      <c r="FL9485"/>
      <c r="FM9485"/>
      <c r="FN9485"/>
      <c r="FO9485"/>
      <c r="FP9485"/>
      <c r="FQ9485"/>
      <c r="FR9485"/>
      <c r="FS9485"/>
      <c r="FT9485"/>
      <c r="FU9485"/>
      <c r="FV9485"/>
      <c r="FW9485"/>
      <c r="FX9485"/>
      <c r="FY9485"/>
      <c r="FZ9485"/>
      <c r="GA9485"/>
      <c r="GB9485"/>
      <c r="GC9485"/>
      <c r="GD9485"/>
      <c r="GE9485"/>
      <c r="GF9485"/>
      <c r="GG9485"/>
      <c r="GH9485"/>
      <c r="GI9485"/>
      <c r="GJ9485"/>
      <c r="GK9485"/>
      <c r="GL9485"/>
      <c r="GM9485"/>
      <c r="GN9485"/>
      <c r="GO9485"/>
    </row>
    <row r="9486" spans="107:197">
      <c r="DC9486"/>
      <c r="FH9486"/>
      <c r="FI9486"/>
      <c r="FJ9486"/>
      <c r="FK9486"/>
      <c r="FL9486"/>
      <c r="FM9486"/>
      <c r="FN9486"/>
      <c r="FO9486"/>
      <c r="FP9486"/>
      <c r="FQ9486"/>
      <c r="FR9486"/>
      <c r="FS9486"/>
      <c r="FT9486"/>
      <c r="FU9486"/>
      <c r="FV9486"/>
      <c r="FW9486"/>
      <c r="FX9486"/>
      <c r="FY9486"/>
      <c r="FZ9486"/>
      <c r="GA9486"/>
      <c r="GB9486"/>
      <c r="GC9486"/>
      <c r="GD9486"/>
      <c r="GE9486"/>
      <c r="GF9486"/>
      <c r="GG9486"/>
      <c r="GH9486"/>
      <c r="GI9486"/>
      <c r="GJ9486"/>
      <c r="GK9486"/>
      <c r="GL9486"/>
      <c r="GM9486"/>
      <c r="GN9486"/>
      <c r="GO9486"/>
    </row>
    <row r="9487" spans="107:197">
      <c r="DC9487"/>
      <c r="FH9487"/>
      <c r="FI9487"/>
      <c r="FJ9487"/>
      <c r="FK9487"/>
      <c r="FL9487"/>
      <c r="FM9487"/>
      <c r="FN9487"/>
      <c r="FO9487"/>
      <c r="FP9487"/>
      <c r="FQ9487"/>
      <c r="FR9487"/>
      <c r="FS9487"/>
      <c r="FT9487"/>
      <c r="FU9487"/>
      <c r="FV9487"/>
      <c r="FW9487"/>
      <c r="FX9487"/>
      <c r="FY9487"/>
      <c r="FZ9487"/>
      <c r="GA9487"/>
      <c r="GB9487"/>
      <c r="GC9487"/>
      <c r="GD9487"/>
      <c r="GE9487"/>
      <c r="GF9487"/>
      <c r="GG9487"/>
      <c r="GH9487"/>
      <c r="GI9487"/>
      <c r="GJ9487"/>
      <c r="GK9487"/>
      <c r="GL9487"/>
      <c r="GM9487"/>
      <c r="GN9487"/>
      <c r="GO9487"/>
    </row>
    <row r="9488" spans="107:197">
      <c r="DC9488"/>
      <c r="FH9488"/>
      <c r="FI9488"/>
      <c r="FJ9488"/>
      <c r="FK9488"/>
      <c r="FL9488"/>
      <c r="FM9488"/>
      <c r="FN9488"/>
      <c r="FO9488"/>
      <c r="FP9488"/>
      <c r="FQ9488"/>
      <c r="FR9488"/>
      <c r="FS9488"/>
      <c r="FT9488"/>
      <c r="FU9488"/>
      <c r="FV9488"/>
      <c r="FW9488"/>
      <c r="FX9488"/>
      <c r="FY9488"/>
      <c r="FZ9488"/>
      <c r="GA9488"/>
      <c r="GB9488"/>
      <c r="GC9488"/>
      <c r="GD9488"/>
      <c r="GE9488"/>
      <c r="GF9488"/>
      <c r="GG9488"/>
      <c r="GH9488"/>
      <c r="GI9488"/>
      <c r="GJ9488"/>
      <c r="GK9488"/>
      <c r="GL9488"/>
      <c r="GM9488"/>
      <c r="GN9488"/>
      <c r="GO9488"/>
    </row>
    <row r="9489" spans="107:197">
      <c r="DC9489"/>
      <c r="FH9489"/>
      <c r="FI9489"/>
      <c r="FJ9489"/>
      <c r="FK9489"/>
      <c r="FL9489"/>
      <c r="FM9489"/>
      <c r="FN9489"/>
      <c r="FO9489"/>
      <c r="FP9489"/>
      <c r="FQ9489"/>
      <c r="FR9489"/>
      <c r="FS9489"/>
      <c r="FT9489"/>
      <c r="FU9489"/>
      <c r="FV9489"/>
      <c r="FW9489"/>
      <c r="FX9489"/>
      <c r="FY9489"/>
      <c r="FZ9489"/>
      <c r="GA9489"/>
      <c r="GB9489"/>
      <c r="GC9489"/>
      <c r="GD9489"/>
      <c r="GE9489"/>
      <c r="GF9489"/>
      <c r="GG9489"/>
      <c r="GH9489"/>
      <c r="GI9489"/>
      <c r="GJ9489"/>
      <c r="GK9489"/>
      <c r="GL9489"/>
      <c r="GM9489"/>
      <c r="GN9489"/>
      <c r="GO9489"/>
    </row>
    <row r="9490" spans="107:197">
      <c r="DC9490"/>
      <c r="FH9490"/>
      <c r="FI9490"/>
      <c r="FJ9490"/>
      <c r="FK9490"/>
      <c r="FL9490"/>
      <c r="FM9490"/>
      <c r="FN9490"/>
      <c r="FO9490"/>
      <c r="FP9490"/>
      <c r="FQ9490"/>
      <c r="FR9490"/>
      <c r="FS9490"/>
      <c r="FT9490"/>
      <c r="FU9490"/>
      <c r="FV9490"/>
      <c r="FW9490"/>
      <c r="FX9490"/>
      <c r="FY9490"/>
      <c r="FZ9490"/>
      <c r="GA9490"/>
      <c r="GB9490"/>
      <c r="GC9490"/>
      <c r="GD9490"/>
      <c r="GE9490"/>
      <c r="GF9490"/>
      <c r="GG9490"/>
      <c r="GH9490"/>
      <c r="GI9490"/>
      <c r="GJ9490"/>
      <c r="GK9490"/>
      <c r="GL9490"/>
      <c r="GM9490"/>
      <c r="GN9490"/>
      <c r="GO9490"/>
    </row>
    <row r="9491" spans="107:197">
      <c r="DC9491"/>
      <c r="FH9491"/>
      <c r="FI9491"/>
      <c r="FJ9491"/>
      <c r="FK9491"/>
      <c r="FL9491"/>
      <c r="FM9491"/>
      <c r="FN9491"/>
      <c r="FO9491"/>
      <c r="FP9491"/>
      <c r="FQ9491"/>
      <c r="FR9491"/>
      <c r="FS9491"/>
      <c r="FT9491"/>
      <c r="FU9491"/>
      <c r="FV9491"/>
      <c r="FW9491"/>
      <c r="FX9491"/>
      <c r="FY9491"/>
      <c r="FZ9491"/>
      <c r="GA9491"/>
      <c r="GB9491"/>
      <c r="GC9491"/>
      <c r="GD9491"/>
      <c r="GE9491"/>
      <c r="GF9491"/>
      <c r="GG9491"/>
      <c r="GH9491"/>
      <c r="GI9491"/>
      <c r="GJ9491"/>
      <c r="GK9491"/>
      <c r="GL9491"/>
      <c r="GM9491"/>
      <c r="GN9491"/>
      <c r="GO9491"/>
    </row>
    <row r="9492" spans="107:197">
      <c r="DC9492"/>
      <c r="FH9492"/>
      <c r="FI9492"/>
      <c r="FJ9492"/>
      <c r="FK9492"/>
      <c r="FL9492"/>
      <c r="FM9492"/>
      <c r="FN9492"/>
      <c r="FO9492"/>
      <c r="FP9492"/>
      <c r="FQ9492"/>
      <c r="FR9492"/>
      <c r="FS9492"/>
      <c r="FT9492"/>
      <c r="FU9492"/>
      <c r="FV9492"/>
      <c r="FW9492"/>
      <c r="FX9492"/>
      <c r="FY9492"/>
      <c r="FZ9492"/>
      <c r="GA9492"/>
      <c r="GB9492"/>
      <c r="GC9492"/>
      <c r="GD9492"/>
      <c r="GE9492"/>
      <c r="GF9492"/>
      <c r="GG9492"/>
      <c r="GH9492"/>
      <c r="GI9492"/>
      <c r="GJ9492"/>
      <c r="GK9492"/>
      <c r="GL9492"/>
      <c r="GM9492"/>
      <c r="GN9492"/>
      <c r="GO9492"/>
    </row>
    <row r="9493" spans="107:197">
      <c r="DC9493"/>
      <c r="FH9493"/>
      <c r="FI9493"/>
      <c r="FJ9493"/>
      <c r="FK9493"/>
      <c r="FL9493"/>
      <c r="FM9493"/>
      <c r="FN9493"/>
      <c r="FO9493"/>
      <c r="FP9493"/>
      <c r="FQ9493"/>
      <c r="FR9493"/>
      <c r="FS9493"/>
      <c r="FT9493"/>
      <c r="FU9493"/>
      <c r="FV9493"/>
      <c r="FW9493"/>
      <c r="FX9493"/>
      <c r="FY9493"/>
      <c r="FZ9493"/>
      <c r="GA9493"/>
      <c r="GB9493"/>
      <c r="GC9493"/>
      <c r="GD9493"/>
      <c r="GE9493"/>
      <c r="GF9493"/>
      <c r="GG9493"/>
      <c r="GH9493"/>
      <c r="GI9493"/>
      <c r="GJ9493"/>
      <c r="GK9493"/>
      <c r="GL9493"/>
      <c r="GM9493"/>
      <c r="GN9493"/>
      <c r="GO9493"/>
    </row>
    <row r="9494" spans="107:197">
      <c r="DC9494"/>
      <c r="FH9494"/>
      <c r="FI9494"/>
      <c r="FJ9494"/>
      <c r="FK9494"/>
      <c r="FL9494"/>
      <c r="FM9494"/>
      <c r="FN9494"/>
      <c r="FO9494"/>
      <c r="FP9494"/>
      <c r="FQ9494"/>
      <c r="FR9494"/>
      <c r="FS9494"/>
      <c r="FT9494"/>
      <c r="FU9494"/>
      <c r="FV9494"/>
      <c r="FW9494"/>
      <c r="FX9494"/>
      <c r="FY9494"/>
      <c r="FZ9494"/>
      <c r="GA9494"/>
      <c r="GB9494"/>
      <c r="GC9494"/>
      <c r="GD9494"/>
      <c r="GE9494"/>
      <c r="GF9494"/>
      <c r="GG9494"/>
      <c r="GH9494"/>
      <c r="GI9494"/>
      <c r="GJ9494"/>
      <c r="GK9494"/>
      <c r="GL9494"/>
      <c r="GM9494"/>
      <c r="GN9494"/>
      <c r="GO9494"/>
    </row>
    <row r="9495" spans="107:197">
      <c r="DC9495"/>
      <c r="FH9495"/>
      <c r="FI9495"/>
      <c r="FJ9495"/>
      <c r="FK9495"/>
      <c r="FL9495"/>
      <c r="FM9495"/>
      <c r="FN9495"/>
      <c r="FO9495"/>
      <c r="FP9495"/>
      <c r="FQ9495"/>
      <c r="FR9495"/>
      <c r="FS9495"/>
      <c r="FT9495"/>
      <c r="FU9495"/>
      <c r="FV9495"/>
      <c r="FW9495"/>
      <c r="FX9495"/>
      <c r="FY9495"/>
      <c r="FZ9495"/>
      <c r="GA9495"/>
      <c r="GB9495"/>
      <c r="GC9495"/>
      <c r="GD9495"/>
      <c r="GE9495"/>
      <c r="GF9495"/>
      <c r="GG9495"/>
      <c r="GH9495"/>
      <c r="GI9495"/>
      <c r="GJ9495"/>
      <c r="GK9495"/>
      <c r="GL9495"/>
      <c r="GM9495"/>
      <c r="GN9495"/>
      <c r="GO9495"/>
    </row>
    <row r="9496" spans="107:197">
      <c r="DC9496"/>
      <c r="FH9496"/>
      <c r="FI9496"/>
      <c r="FJ9496"/>
      <c r="FK9496"/>
      <c r="FL9496"/>
      <c r="FM9496"/>
      <c r="FN9496"/>
      <c r="FO9496"/>
      <c r="FP9496"/>
      <c r="FQ9496"/>
      <c r="FR9496"/>
      <c r="FS9496"/>
      <c r="FT9496"/>
      <c r="FU9496"/>
      <c r="FV9496"/>
      <c r="FW9496"/>
      <c r="FX9496"/>
      <c r="FY9496"/>
      <c r="FZ9496"/>
      <c r="GA9496"/>
      <c r="GB9496"/>
      <c r="GC9496"/>
      <c r="GD9496"/>
      <c r="GE9496"/>
      <c r="GF9496"/>
      <c r="GG9496"/>
      <c r="GH9496"/>
      <c r="GI9496"/>
      <c r="GJ9496"/>
      <c r="GK9496"/>
      <c r="GL9496"/>
      <c r="GM9496"/>
      <c r="GN9496"/>
      <c r="GO9496"/>
    </row>
    <row r="9497" spans="107:197">
      <c r="DC9497"/>
      <c r="FH9497"/>
      <c r="FI9497"/>
      <c r="FJ9497"/>
      <c r="FK9497"/>
      <c r="FL9497"/>
      <c r="FM9497"/>
      <c r="FN9497"/>
      <c r="FO9497"/>
      <c r="FP9497"/>
      <c r="FQ9497"/>
      <c r="FR9497"/>
      <c r="FS9497"/>
      <c r="FT9497"/>
      <c r="FU9497"/>
      <c r="FV9497"/>
      <c r="FW9497"/>
      <c r="FX9497"/>
      <c r="FY9497"/>
      <c r="FZ9497"/>
      <c r="GA9497"/>
      <c r="GB9497"/>
      <c r="GC9497"/>
      <c r="GD9497"/>
      <c r="GE9497"/>
      <c r="GF9497"/>
      <c r="GG9497"/>
      <c r="GH9497"/>
      <c r="GI9497"/>
      <c r="GJ9497"/>
      <c r="GK9497"/>
      <c r="GL9497"/>
      <c r="GM9497"/>
      <c r="GN9497"/>
      <c r="GO9497"/>
    </row>
    <row r="9498" spans="107:197">
      <c r="DC9498"/>
      <c r="FH9498"/>
      <c r="FI9498"/>
      <c r="FJ9498"/>
      <c r="FK9498"/>
      <c r="FL9498"/>
      <c r="FM9498"/>
      <c r="FN9498"/>
      <c r="FO9498"/>
      <c r="FP9498"/>
      <c r="FQ9498"/>
      <c r="FR9498"/>
      <c r="FS9498"/>
      <c r="FT9498"/>
      <c r="FU9498"/>
      <c r="FV9498"/>
      <c r="FW9498"/>
      <c r="FX9498"/>
      <c r="FY9498"/>
      <c r="FZ9498"/>
      <c r="GA9498"/>
      <c r="GB9498"/>
      <c r="GC9498"/>
      <c r="GD9498"/>
      <c r="GE9498"/>
      <c r="GF9498"/>
      <c r="GG9498"/>
      <c r="GH9498"/>
      <c r="GI9498"/>
      <c r="GJ9498"/>
      <c r="GK9498"/>
      <c r="GL9498"/>
      <c r="GM9498"/>
      <c r="GN9498"/>
      <c r="GO9498"/>
    </row>
    <row r="9499" spans="107:197">
      <c r="DC9499"/>
      <c r="FH9499"/>
      <c r="FI9499"/>
      <c r="FJ9499"/>
      <c r="FK9499"/>
      <c r="FL9499"/>
      <c r="FM9499"/>
      <c r="FN9499"/>
      <c r="FO9499"/>
      <c r="FP9499"/>
      <c r="FQ9499"/>
      <c r="FR9499"/>
      <c r="FS9499"/>
      <c r="FT9499"/>
      <c r="FU9499"/>
      <c r="FV9499"/>
      <c r="FW9499"/>
      <c r="FX9499"/>
      <c r="FY9499"/>
      <c r="FZ9499"/>
      <c r="GA9499"/>
      <c r="GB9499"/>
      <c r="GC9499"/>
      <c r="GD9499"/>
      <c r="GE9499"/>
      <c r="GF9499"/>
      <c r="GG9499"/>
      <c r="GH9499"/>
      <c r="GI9499"/>
      <c r="GJ9499"/>
      <c r="GK9499"/>
      <c r="GL9499"/>
      <c r="GM9499"/>
      <c r="GN9499"/>
      <c r="GO9499"/>
    </row>
    <row r="9500" spans="107:197">
      <c r="DC9500"/>
      <c r="FH9500"/>
      <c r="FI9500"/>
      <c r="FJ9500"/>
      <c r="FK9500"/>
      <c r="FL9500"/>
      <c r="FM9500"/>
      <c r="FN9500"/>
      <c r="FO9500"/>
      <c r="FP9500"/>
      <c r="FQ9500"/>
      <c r="FR9500"/>
      <c r="FS9500"/>
      <c r="FT9500"/>
      <c r="FU9500"/>
      <c r="FV9500"/>
      <c r="FW9500"/>
      <c r="FX9500"/>
      <c r="FY9500"/>
      <c r="FZ9500"/>
      <c r="GA9500"/>
      <c r="GB9500"/>
      <c r="GC9500"/>
      <c r="GD9500"/>
      <c r="GE9500"/>
      <c r="GF9500"/>
      <c r="GG9500"/>
      <c r="GH9500"/>
      <c r="GI9500"/>
      <c r="GJ9500"/>
      <c r="GK9500"/>
      <c r="GL9500"/>
      <c r="GM9500"/>
      <c r="GN9500"/>
      <c r="GO9500"/>
    </row>
    <row r="9501" spans="107:197">
      <c r="DC9501"/>
      <c r="FH9501"/>
      <c r="FI9501"/>
      <c r="FJ9501"/>
      <c r="FK9501"/>
      <c r="FL9501"/>
      <c r="FM9501"/>
      <c r="FN9501"/>
      <c r="FO9501"/>
      <c r="FP9501"/>
      <c r="FQ9501"/>
      <c r="FR9501"/>
      <c r="FS9501"/>
      <c r="FT9501"/>
      <c r="FU9501"/>
      <c r="FV9501"/>
      <c r="FW9501"/>
      <c r="FX9501"/>
      <c r="FY9501"/>
      <c r="FZ9501"/>
      <c r="GA9501"/>
      <c r="GB9501"/>
      <c r="GC9501"/>
      <c r="GD9501"/>
      <c r="GE9501"/>
      <c r="GF9501"/>
      <c r="GG9501"/>
      <c r="GH9501"/>
      <c r="GI9501"/>
      <c r="GJ9501"/>
      <c r="GK9501"/>
      <c r="GL9501"/>
      <c r="GM9501"/>
      <c r="GN9501"/>
      <c r="GO9501"/>
    </row>
    <row r="9502" spans="107:197">
      <c r="DC9502"/>
      <c r="FH9502"/>
      <c r="FI9502"/>
      <c r="FJ9502"/>
      <c r="FK9502"/>
      <c r="FL9502"/>
      <c r="FM9502"/>
      <c r="FN9502"/>
      <c r="FO9502"/>
      <c r="FP9502"/>
      <c r="FQ9502"/>
      <c r="FR9502"/>
      <c r="FS9502"/>
      <c r="FT9502"/>
      <c r="FU9502"/>
      <c r="FV9502"/>
      <c r="FW9502"/>
      <c r="FX9502"/>
      <c r="FY9502"/>
      <c r="FZ9502"/>
      <c r="GA9502"/>
      <c r="GB9502"/>
      <c r="GC9502"/>
      <c r="GD9502"/>
      <c r="GE9502"/>
      <c r="GF9502"/>
      <c r="GG9502"/>
      <c r="GH9502"/>
      <c r="GI9502"/>
      <c r="GJ9502"/>
      <c r="GK9502"/>
      <c r="GL9502"/>
      <c r="GM9502"/>
      <c r="GN9502"/>
      <c r="GO9502"/>
    </row>
    <row r="9503" spans="107:197">
      <c r="DC9503"/>
      <c r="FH9503"/>
      <c r="FI9503"/>
      <c r="FJ9503"/>
      <c r="FK9503"/>
      <c r="FL9503"/>
      <c r="FM9503"/>
      <c r="FN9503"/>
      <c r="FO9503"/>
      <c r="FP9503"/>
      <c r="FQ9503"/>
      <c r="FR9503"/>
      <c r="FS9503"/>
      <c r="FT9503"/>
      <c r="FU9503"/>
      <c r="FV9503"/>
      <c r="FW9503"/>
      <c r="FX9503"/>
      <c r="FY9503"/>
      <c r="FZ9503"/>
      <c r="GA9503"/>
      <c r="GB9503"/>
      <c r="GC9503"/>
      <c r="GD9503"/>
      <c r="GE9503"/>
      <c r="GF9503"/>
      <c r="GG9503"/>
      <c r="GH9503"/>
      <c r="GI9503"/>
      <c r="GJ9503"/>
      <c r="GK9503"/>
      <c r="GL9503"/>
      <c r="GM9503"/>
      <c r="GN9503"/>
      <c r="GO9503"/>
    </row>
    <row r="9504" spans="107:197">
      <c r="DC9504"/>
      <c r="FH9504"/>
      <c r="FI9504"/>
      <c r="FJ9504"/>
      <c r="FK9504"/>
      <c r="FL9504"/>
      <c r="FM9504"/>
      <c r="FN9504"/>
      <c r="FO9504"/>
      <c r="FP9504"/>
      <c r="FQ9504"/>
      <c r="FR9504"/>
      <c r="FS9504"/>
      <c r="FT9504"/>
      <c r="FU9504"/>
      <c r="FV9504"/>
      <c r="FW9504"/>
      <c r="FX9504"/>
      <c r="FY9504"/>
      <c r="FZ9504"/>
      <c r="GA9504"/>
      <c r="GB9504"/>
      <c r="GC9504"/>
      <c r="GD9504"/>
      <c r="GE9504"/>
      <c r="GF9504"/>
      <c r="GG9504"/>
      <c r="GH9504"/>
      <c r="GI9504"/>
      <c r="GJ9504"/>
      <c r="GK9504"/>
      <c r="GL9504"/>
      <c r="GM9504"/>
      <c r="GN9504"/>
      <c r="GO9504"/>
    </row>
    <row r="9505" spans="107:197">
      <c r="DC9505"/>
      <c r="FH9505"/>
      <c r="FI9505"/>
      <c r="FJ9505"/>
      <c r="FK9505"/>
      <c r="FL9505"/>
      <c r="FM9505"/>
      <c r="FN9505"/>
      <c r="FO9505"/>
      <c r="FP9505"/>
      <c r="FQ9505"/>
      <c r="FR9505"/>
      <c r="FS9505"/>
      <c r="FT9505"/>
      <c r="FU9505"/>
      <c r="FV9505"/>
      <c r="FW9505"/>
      <c r="FX9505"/>
      <c r="FY9505"/>
      <c r="FZ9505"/>
      <c r="GA9505"/>
      <c r="GB9505"/>
      <c r="GC9505"/>
      <c r="GD9505"/>
      <c r="GE9505"/>
      <c r="GF9505"/>
      <c r="GG9505"/>
      <c r="GH9505"/>
      <c r="GI9505"/>
      <c r="GJ9505"/>
      <c r="GK9505"/>
      <c r="GL9505"/>
      <c r="GM9505"/>
      <c r="GN9505"/>
      <c r="GO9505"/>
    </row>
    <row r="9506" spans="107:197">
      <c r="DC9506"/>
      <c r="FH9506"/>
      <c r="FI9506"/>
      <c r="FJ9506"/>
      <c r="FK9506"/>
      <c r="FL9506"/>
      <c r="FM9506"/>
      <c r="FN9506"/>
      <c r="FO9506"/>
      <c r="FP9506"/>
      <c r="FQ9506"/>
      <c r="FR9506"/>
      <c r="FS9506"/>
      <c r="FT9506"/>
      <c r="FU9506"/>
      <c r="FV9506"/>
      <c r="FW9506"/>
      <c r="FX9506"/>
      <c r="FY9506"/>
      <c r="FZ9506"/>
      <c r="GA9506"/>
      <c r="GB9506"/>
      <c r="GC9506"/>
      <c r="GD9506"/>
      <c r="GE9506"/>
      <c r="GF9506"/>
      <c r="GG9506"/>
      <c r="GH9506"/>
      <c r="GI9506"/>
      <c r="GJ9506"/>
      <c r="GK9506"/>
      <c r="GL9506"/>
      <c r="GM9506"/>
      <c r="GN9506"/>
      <c r="GO9506"/>
    </row>
    <row r="9507" spans="107:197">
      <c r="DC9507"/>
      <c r="FH9507"/>
      <c r="FI9507"/>
      <c r="FJ9507"/>
      <c r="FK9507"/>
      <c r="FL9507"/>
      <c r="FM9507"/>
      <c r="FN9507"/>
      <c r="FO9507"/>
      <c r="FP9507"/>
      <c r="FQ9507"/>
      <c r="FR9507"/>
      <c r="FS9507"/>
      <c r="FT9507"/>
      <c r="FU9507"/>
      <c r="FV9507"/>
      <c r="FW9507"/>
      <c r="FX9507"/>
      <c r="FY9507"/>
      <c r="FZ9507"/>
      <c r="GA9507"/>
      <c r="GB9507"/>
      <c r="GC9507"/>
      <c r="GD9507"/>
      <c r="GE9507"/>
      <c r="GF9507"/>
      <c r="GG9507"/>
      <c r="GH9507"/>
      <c r="GI9507"/>
      <c r="GJ9507"/>
      <c r="GK9507"/>
      <c r="GL9507"/>
      <c r="GM9507"/>
      <c r="GN9507"/>
      <c r="GO9507"/>
    </row>
    <row r="9508" spans="107:197">
      <c r="DC9508"/>
      <c r="FH9508"/>
      <c r="FI9508"/>
      <c r="FJ9508"/>
      <c r="FK9508"/>
      <c r="FL9508"/>
      <c r="FM9508"/>
      <c r="FN9508"/>
      <c r="FO9508"/>
      <c r="FP9508"/>
      <c r="FQ9508"/>
      <c r="FR9508"/>
      <c r="FS9508"/>
      <c r="FT9508"/>
      <c r="FU9508"/>
      <c r="FV9508"/>
      <c r="FW9508"/>
      <c r="FX9508"/>
      <c r="FY9508"/>
      <c r="FZ9508"/>
      <c r="GA9508"/>
      <c r="GB9508"/>
      <c r="GC9508"/>
      <c r="GD9508"/>
      <c r="GE9508"/>
      <c r="GF9508"/>
      <c r="GG9508"/>
      <c r="GH9508"/>
      <c r="GI9508"/>
      <c r="GJ9508"/>
      <c r="GK9508"/>
      <c r="GL9508"/>
      <c r="GM9508"/>
      <c r="GN9508"/>
      <c r="GO9508"/>
    </row>
    <row r="9509" spans="107:197">
      <c r="DC9509"/>
      <c r="FH9509"/>
      <c r="FI9509"/>
      <c r="FJ9509"/>
      <c r="FK9509"/>
      <c r="FL9509"/>
      <c r="FM9509"/>
      <c r="FN9509"/>
      <c r="FO9509"/>
      <c r="FP9509"/>
      <c r="FQ9509"/>
      <c r="FR9509"/>
      <c r="FS9509"/>
      <c r="FT9509"/>
      <c r="FU9509"/>
      <c r="FV9509"/>
      <c r="FW9509"/>
      <c r="FX9509"/>
      <c r="FY9509"/>
      <c r="FZ9509"/>
      <c r="GA9509"/>
      <c r="GB9509"/>
      <c r="GC9509"/>
      <c r="GD9509"/>
      <c r="GE9509"/>
      <c r="GF9509"/>
      <c r="GG9509"/>
      <c r="GH9509"/>
      <c r="GI9509"/>
      <c r="GJ9509"/>
      <c r="GK9509"/>
      <c r="GL9509"/>
      <c r="GM9509"/>
      <c r="GN9509"/>
      <c r="GO9509"/>
    </row>
    <row r="9510" spans="107:197">
      <c r="DC9510"/>
      <c r="FH9510"/>
      <c r="FI9510"/>
      <c r="FJ9510"/>
      <c r="FK9510"/>
      <c r="FL9510"/>
      <c r="FM9510"/>
      <c r="FN9510"/>
      <c r="FO9510"/>
      <c r="FP9510"/>
      <c r="FQ9510"/>
      <c r="FR9510"/>
      <c r="FS9510"/>
      <c r="FT9510"/>
      <c r="FU9510"/>
      <c r="FV9510"/>
      <c r="FW9510"/>
      <c r="FX9510"/>
      <c r="FY9510"/>
      <c r="FZ9510"/>
      <c r="GA9510"/>
      <c r="GB9510"/>
      <c r="GC9510"/>
      <c r="GD9510"/>
      <c r="GE9510"/>
      <c r="GF9510"/>
      <c r="GG9510"/>
      <c r="GH9510"/>
      <c r="GI9510"/>
      <c r="GJ9510"/>
      <c r="GK9510"/>
      <c r="GL9510"/>
      <c r="GM9510"/>
      <c r="GN9510"/>
      <c r="GO9510"/>
    </row>
    <row r="9511" spans="107:197">
      <c r="DC9511"/>
      <c r="FH9511"/>
      <c r="FI9511"/>
      <c r="FJ9511"/>
      <c r="FK9511"/>
      <c r="FL9511"/>
      <c r="FM9511"/>
      <c r="FN9511"/>
      <c r="FO9511"/>
      <c r="FP9511"/>
      <c r="FQ9511"/>
      <c r="FR9511"/>
      <c r="FS9511"/>
      <c r="FT9511"/>
      <c r="FU9511"/>
      <c r="FV9511"/>
      <c r="FW9511"/>
      <c r="FX9511"/>
      <c r="FY9511"/>
      <c r="FZ9511"/>
      <c r="GA9511"/>
      <c r="GB9511"/>
      <c r="GC9511"/>
      <c r="GD9511"/>
      <c r="GE9511"/>
      <c r="GF9511"/>
      <c r="GG9511"/>
      <c r="GH9511"/>
      <c r="GI9511"/>
      <c r="GJ9511"/>
      <c r="GK9511"/>
      <c r="GL9511"/>
      <c r="GM9511"/>
      <c r="GN9511"/>
      <c r="GO9511"/>
    </row>
    <row r="9512" spans="107:197">
      <c r="DC9512"/>
      <c r="FH9512"/>
      <c r="FI9512"/>
      <c r="FJ9512"/>
      <c r="FK9512"/>
      <c r="FL9512"/>
      <c r="FM9512"/>
      <c r="FN9512"/>
      <c r="FO9512"/>
      <c r="FP9512"/>
      <c r="FQ9512"/>
      <c r="FR9512"/>
      <c r="FS9512"/>
      <c r="FT9512"/>
      <c r="FU9512"/>
      <c r="FV9512"/>
      <c r="FW9512"/>
      <c r="FX9512"/>
      <c r="FY9512"/>
      <c r="FZ9512"/>
      <c r="GA9512"/>
      <c r="GB9512"/>
      <c r="GC9512"/>
      <c r="GD9512"/>
      <c r="GE9512"/>
      <c r="GF9512"/>
      <c r="GG9512"/>
      <c r="GH9512"/>
      <c r="GI9512"/>
      <c r="GJ9512"/>
      <c r="GK9512"/>
      <c r="GL9512"/>
      <c r="GM9512"/>
      <c r="GN9512"/>
      <c r="GO9512"/>
    </row>
    <row r="9513" spans="107:197">
      <c r="DC9513"/>
      <c r="FH9513"/>
      <c r="FI9513"/>
      <c r="FJ9513"/>
      <c r="FK9513"/>
      <c r="FL9513"/>
      <c r="FM9513"/>
      <c r="FN9513"/>
      <c r="FO9513"/>
      <c r="FP9513"/>
      <c r="FQ9513"/>
      <c r="FR9513"/>
      <c r="FS9513"/>
      <c r="FT9513"/>
      <c r="FU9513"/>
      <c r="FV9513"/>
      <c r="FW9513"/>
      <c r="FX9513"/>
      <c r="FY9513"/>
      <c r="FZ9513"/>
      <c r="GA9513"/>
      <c r="GB9513"/>
      <c r="GC9513"/>
      <c r="GD9513"/>
      <c r="GE9513"/>
      <c r="GF9513"/>
      <c r="GG9513"/>
      <c r="GH9513"/>
      <c r="GI9513"/>
      <c r="GJ9513"/>
      <c r="GK9513"/>
      <c r="GL9513"/>
      <c r="GM9513"/>
      <c r="GN9513"/>
      <c r="GO9513"/>
    </row>
    <row r="9514" spans="107:197">
      <c r="DC9514"/>
      <c r="FH9514"/>
      <c r="FI9514"/>
      <c r="FJ9514"/>
      <c r="FK9514"/>
      <c r="FL9514"/>
      <c r="FM9514"/>
      <c r="FN9514"/>
      <c r="FO9514"/>
      <c r="FP9514"/>
      <c r="FQ9514"/>
      <c r="FR9514"/>
      <c r="FS9514"/>
      <c r="FT9514"/>
      <c r="FU9514"/>
      <c r="FV9514"/>
      <c r="FW9514"/>
      <c r="FX9514"/>
      <c r="FY9514"/>
      <c r="FZ9514"/>
      <c r="GA9514"/>
      <c r="GB9514"/>
      <c r="GC9514"/>
      <c r="GD9514"/>
      <c r="GE9514"/>
      <c r="GF9514"/>
      <c r="GG9514"/>
      <c r="GH9514"/>
      <c r="GI9514"/>
      <c r="GJ9514"/>
      <c r="GK9514"/>
      <c r="GL9514"/>
      <c r="GM9514"/>
      <c r="GN9514"/>
      <c r="GO9514"/>
    </row>
    <row r="9515" spans="107:197">
      <c r="DC9515"/>
      <c r="FH9515"/>
      <c r="FI9515"/>
      <c r="FJ9515"/>
      <c r="FK9515"/>
      <c r="FL9515"/>
      <c r="FM9515"/>
      <c r="FN9515"/>
      <c r="FO9515"/>
      <c r="FP9515"/>
      <c r="FQ9515"/>
      <c r="FR9515"/>
      <c r="FS9515"/>
      <c r="FT9515"/>
      <c r="FU9515"/>
      <c r="FV9515"/>
      <c r="FW9515"/>
      <c r="FX9515"/>
      <c r="FY9515"/>
      <c r="FZ9515"/>
      <c r="GA9515"/>
      <c r="GB9515"/>
      <c r="GC9515"/>
      <c r="GD9515"/>
      <c r="GE9515"/>
      <c r="GF9515"/>
      <c r="GG9515"/>
      <c r="GH9515"/>
      <c r="GI9515"/>
      <c r="GJ9515"/>
      <c r="GK9515"/>
      <c r="GL9515"/>
      <c r="GM9515"/>
      <c r="GN9515"/>
      <c r="GO9515"/>
    </row>
    <row r="9516" spans="107:197">
      <c r="DC9516"/>
      <c r="FH9516"/>
      <c r="FI9516"/>
      <c r="FJ9516"/>
      <c r="FK9516"/>
      <c r="FL9516"/>
      <c r="FM9516"/>
      <c r="FN9516"/>
      <c r="FO9516"/>
      <c r="FP9516"/>
      <c r="FQ9516"/>
      <c r="FR9516"/>
      <c r="FS9516"/>
      <c r="FT9516"/>
      <c r="FU9516"/>
      <c r="FV9516"/>
      <c r="FW9516"/>
      <c r="FX9516"/>
      <c r="FY9516"/>
      <c r="FZ9516"/>
      <c r="GA9516"/>
      <c r="GB9516"/>
      <c r="GC9516"/>
      <c r="GD9516"/>
      <c r="GE9516"/>
      <c r="GF9516"/>
      <c r="GG9516"/>
      <c r="GH9516"/>
      <c r="GI9516"/>
      <c r="GJ9516"/>
      <c r="GK9516"/>
      <c r="GL9516"/>
      <c r="GM9516"/>
      <c r="GN9516"/>
      <c r="GO9516"/>
    </row>
    <row r="9517" spans="107:197">
      <c r="DC9517"/>
      <c r="FH9517"/>
      <c r="FI9517"/>
      <c r="FJ9517"/>
      <c r="FK9517"/>
      <c r="FL9517"/>
      <c r="FM9517"/>
      <c r="FN9517"/>
      <c r="FO9517"/>
      <c r="FP9517"/>
      <c r="FQ9517"/>
      <c r="FR9517"/>
      <c r="FS9517"/>
      <c r="FT9517"/>
      <c r="FU9517"/>
      <c r="FV9517"/>
      <c r="FW9517"/>
      <c r="FX9517"/>
      <c r="FY9517"/>
      <c r="FZ9517"/>
      <c r="GA9517"/>
      <c r="GB9517"/>
      <c r="GC9517"/>
      <c r="GD9517"/>
      <c r="GE9517"/>
      <c r="GF9517"/>
      <c r="GG9517"/>
      <c r="GH9517"/>
      <c r="GI9517"/>
      <c r="GJ9517"/>
      <c r="GK9517"/>
      <c r="GL9517"/>
      <c r="GM9517"/>
      <c r="GN9517"/>
      <c r="GO9517"/>
    </row>
    <row r="9518" spans="107:197">
      <c r="DC9518"/>
      <c r="FH9518"/>
      <c r="FI9518"/>
      <c r="FJ9518"/>
      <c r="FK9518"/>
      <c r="FL9518"/>
      <c r="FM9518"/>
      <c r="FN9518"/>
      <c r="FO9518"/>
      <c r="FP9518"/>
      <c r="FQ9518"/>
      <c r="FR9518"/>
      <c r="FS9518"/>
      <c r="FT9518"/>
      <c r="FU9518"/>
      <c r="FV9518"/>
      <c r="FW9518"/>
      <c r="FX9518"/>
      <c r="FY9518"/>
      <c r="FZ9518"/>
      <c r="GA9518"/>
      <c r="GB9518"/>
      <c r="GC9518"/>
      <c r="GD9518"/>
      <c r="GE9518"/>
      <c r="GF9518"/>
      <c r="GG9518"/>
      <c r="GH9518"/>
      <c r="GI9518"/>
      <c r="GJ9518"/>
      <c r="GK9518"/>
      <c r="GL9518"/>
      <c r="GM9518"/>
      <c r="GN9518"/>
      <c r="GO9518"/>
    </row>
    <row r="9519" spans="107:197">
      <c r="DC9519"/>
      <c r="FH9519"/>
      <c r="FI9519"/>
      <c r="FJ9519"/>
      <c r="FK9519"/>
      <c r="FL9519"/>
      <c r="FM9519"/>
      <c r="FN9519"/>
      <c r="FO9519"/>
      <c r="FP9519"/>
      <c r="FQ9519"/>
      <c r="FR9519"/>
      <c r="FS9519"/>
      <c r="FT9519"/>
      <c r="FU9519"/>
      <c r="FV9519"/>
      <c r="FW9519"/>
      <c r="FX9519"/>
      <c r="FY9519"/>
      <c r="FZ9519"/>
      <c r="GA9519"/>
      <c r="GB9519"/>
      <c r="GC9519"/>
      <c r="GD9519"/>
      <c r="GE9519"/>
      <c r="GF9519"/>
      <c r="GG9519"/>
      <c r="GH9519"/>
      <c r="GI9519"/>
      <c r="GJ9519"/>
      <c r="GK9519"/>
      <c r="GL9519"/>
      <c r="GM9519"/>
      <c r="GN9519"/>
      <c r="GO9519"/>
    </row>
    <row r="9520" spans="107:197">
      <c r="DC9520"/>
      <c r="FH9520"/>
      <c r="FI9520"/>
      <c r="FJ9520"/>
      <c r="FK9520"/>
      <c r="FL9520"/>
      <c r="FM9520"/>
      <c r="FN9520"/>
      <c r="FO9520"/>
      <c r="FP9520"/>
      <c r="FQ9520"/>
      <c r="FR9520"/>
      <c r="FS9520"/>
      <c r="FT9520"/>
      <c r="FU9520"/>
      <c r="FV9520"/>
      <c r="FW9520"/>
      <c r="FX9520"/>
      <c r="FY9520"/>
      <c r="FZ9520"/>
      <c r="GA9520"/>
      <c r="GB9520"/>
      <c r="GC9520"/>
      <c r="GD9520"/>
      <c r="GE9520"/>
      <c r="GF9520"/>
      <c r="GG9520"/>
      <c r="GH9520"/>
      <c r="GI9520"/>
      <c r="GJ9520"/>
      <c r="GK9520"/>
      <c r="GL9520"/>
      <c r="GM9520"/>
      <c r="GN9520"/>
      <c r="GO9520"/>
    </row>
    <row r="9521" spans="107:197">
      <c r="DC9521"/>
      <c r="FH9521"/>
      <c r="FI9521"/>
      <c r="FJ9521"/>
      <c r="FK9521"/>
      <c r="FL9521"/>
      <c r="FM9521"/>
      <c r="FN9521"/>
      <c r="FO9521"/>
      <c r="FP9521"/>
      <c r="FQ9521"/>
      <c r="FR9521"/>
      <c r="FS9521"/>
      <c r="FT9521"/>
      <c r="FU9521"/>
      <c r="FV9521"/>
      <c r="FW9521"/>
      <c r="FX9521"/>
      <c r="FY9521"/>
      <c r="FZ9521"/>
      <c r="GA9521"/>
      <c r="GB9521"/>
      <c r="GC9521"/>
      <c r="GD9521"/>
      <c r="GE9521"/>
      <c r="GF9521"/>
      <c r="GG9521"/>
      <c r="GH9521"/>
      <c r="GI9521"/>
      <c r="GJ9521"/>
      <c r="GK9521"/>
      <c r="GL9521"/>
      <c r="GM9521"/>
      <c r="GN9521"/>
      <c r="GO9521"/>
    </row>
    <row r="9522" spans="107:197">
      <c r="DC9522"/>
      <c r="FH9522"/>
      <c r="FI9522"/>
      <c r="FJ9522"/>
      <c r="FK9522"/>
      <c r="FL9522"/>
      <c r="FM9522"/>
      <c r="FN9522"/>
      <c r="FO9522"/>
      <c r="FP9522"/>
      <c r="FQ9522"/>
      <c r="FR9522"/>
      <c r="FS9522"/>
      <c r="FT9522"/>
      <c r="FU9522"/>
      <c r="FV9522"/>
      <c r="FW9522"/>
      <c r="FX9522"/>
      <c r="FY9522"/>
      <c r="FZ9522"/>
      <c r="GA9522"/>
      <c r="GB9522"/>
      <c r="GC9522"/>
      <c r="GD9522"/>
      <c r="GE9522"/>
      <c r="GF9522"/>
      <c r="GG9522"/>
      <c r="GH9522"/>
      <c r="GI9522"/>
      <c r="GJ9522"/>
      <c r="GK9522"/>
      <c r="GL9522"/>
      <c r="GM9522"/>
      <c r="GN9522"/>
      <c r="GO9522"/>
    </row>
    <row r="9523" spans="107:197">
      <c r="DC9523"/>
      <c r="FH9523"/>
      <c r="FI9523"/>
      <c r="FJ9523"/>
      <c r="FK9523"/>
      <c r="FL9523"/>
      <c r="FM9523"/>
      <c r="FN9523"/>
      <c r="FO9523"/>
      <c r="FP9523"/>
      <c r="FQ9523"/>
      <c r="FR9523"/>
      <c r="FS9523"/>
      <c r="FT9523"/>
      <c r="FU9523"/>
      <c r="FV9523"/>
      <c r="FW9523"/>
      <c r="FX9523"/>
      <c r="FY9523"/>
      <c r="FZ9523"/>
      <c r="GA9523"/>
      <c r="GB9523"/>
      <c r="GC9523"/>
      <c r="GD9523"/>
      <c r="GE9523"/>
      <c r="GF9523"/>
      <c r="GG9523"/>
      <c r="GH9523"/>
      <c r="GI9523"/>
      <c r="GJ9523"/>
      <c r="GK9523"/>
      <c r="GL9523"/>
      <c r="GM9523"/>
      <c r="GN9523"/>
      <c r="GO9523"/>
    </row>
    <row r="9524" spans="107:197">
      <c r="DC9524"/>
      <c r="FH9524"/>
      <c r="FI9524"/>
      <c r="FJ9524"/>
      <c r="FK9524"/>
      <c r="FL9524"/>
      <c r="FM9524"/>
      <c r="FN9524"/>
      <c r="FO9524"/>
      <c r="FP9524"/>
      <c r="FQ9524"/>
      <c r="FR9524"/>
      <c r="FS9524"/>
      <c r="FT9524"/>
      <c r="FU9524"/>
      <c r="FV9524"/>
      <c r="FW9524"/>
      <c r="FX9524"/>
      <c r="FY9524"/>
      <c r="FZ9524"/>
      <c r="GA9524"/>
      <c r="GB9524"/>
      <c r="GC9524"/>
      <c r="GD9524"/>
      <c r="GE9524"/>
      <c r="GF9524"/>
      <c r="GG9524"/>
      <c r="GH9524"/>
      <c r="GI9524"/>
      <c r="GJ9524"/>
      <c r="GK9524"/>
      <c r="GL9524"/>
      <c r="GM9524"/>
      <c r="GN9524"/>
      <c r="GO9524"/>
    </row>
    <row r="9525" spans="107:197">
      <c r="DC9525"/>
      <c r="FH9525"/>
      <c r="FI9525"/>
      <c r="FJ9525"/>
      <c r="FK9525"/>
      <c r="FL9525"/>
      <c r="FM9525"/>
      <c r="FN9525"/>
      <c r="FO9525"/>
      <c r="FP9525"/>
      <c r="FQ9525"/>
      <c r="FR9525"/>
      <c r="FS9525"/>
      <c r="FT9525"/>
      <c r="FU9525"/>
      <c r="FV9525"/>
      <c r="FW9525"/>
      <c r="FX9525"/>
      <c r="FY9525"/>
      <c r="FZ9525"/>
      <c r="GA9525"/>
      <c r="GB9525"/>
      <c r="GC9525"/>
      <c r="GD9525"/>
      <c r="GE9525"/>
      <c r="GF9525"/>
      <c r="GG9525"/>
      <c r="GH9525"/>
      <c r="GI9525"/>
      <c r="GJ9525"/>
      <c r="GK9525"/>
      <c r="GL9525"/>
      <c r="GM9525"/>
      <c r="GN9525"/>
      <c r="GO9525"/>
    </row>
    <row r="9526" spans="107:197">
      <c r="DC9526"/>
      <c r="FH9526"/>
      <c r="FI9526"/>
      <c r="FJ9526"/>
      <c r="FK9526"/>
      <c r="FL9526"/>
      <c r="FM9526"/>
      <c r="FN9526"/>
      <c r="FO9526"/>
      <c r="FP9526"/>
      <c r="FQ9526"/>
      <c r="FR9526"/>
      <c r="FS9526"/>
      <c r="FT9526"/>
      <c r="FU9526"/>
      <c r="FV9526"/>
      <c r="FW9526"/>
      <c r="FX9526"/>
      <c r="FY9526"/>
      <c r="FZ9526"/>
      <c r="GA9526"/>
      <c r="GB9526"/>
      <c r="GC9526"/>
      <c r="GD9526"/>
      <c r="GE9526"/>
      <c r="GF9526"/>
      <c r="GG9526"/>
      <c r="GH9526"/>
      <c r="GI9526"/>
      <c r="GJ9526"/>
      <c r="GK9526"/>
      <c r="GL9526"/>
      <c r="GM9526"/>
      <c r="GN9526"/>
      <c r="GO9526"/>
    </row>
    <row r="9527" spans="107:197">
      <c r="DC9527"/>
      <c r="FH9527"/>
      <c r="FI9527"/>
      <c r="FJ9527"/>
      <c r="FK9527"/>
      <c r="FL9527"/>
      <c r="FM9527"/>
      <c r="FN9527"/>
      <c r="FO9527"/>
      <c r="FP9527"/>
      <c r="FQ9527"/>
      <c r="FR9527"/>
      <c r="FS9527"/>
      <c r="FT9527"/>
      <c r="FU9527"/>
      <c r="FV9527"/>
      <c r="FW9527"/>
      <c r="FX9527"/>
      <c r="FY9527"/>
      <c r="FZ9527"/>
      <c r="GA9527"/>
      <c r="GB9527"/>
      <c r="GC9527"/>
      <c r="GD9527"/>
      <c r="GE9527"/>
      <c r="GF9527"/>
      <c r="GG9527"/>
      <c r="GH9527"/>
      <c r="GI9527"/>
      <c r="GJ9527"/>
      <c r="GK9527"/>
      <c r="GL9527"/>
      <c r="GM9527"/>
      <c r="GN9527"/>
      <c r="GO9527"/>
    </row>
    <row r="9528" spans="107:197">
      <c r="DC9528"/>
      <c r="FH9528"/>
      <c r="FI9528"/>
      <c r="FJ9528"/>
      <c r="FK9528"/>
      <c r="FL9528"/>
      <c r="FM9528"/>
      <c r="FN9528"/>
      <c r="FO9528"/>
      <c r="FP9528"/>
      <c r="FQ9528"/>
      <c r="FR9528"/>
      <c r="FS9528"/>
      <c r="FT9528"/>
      <c r="FU9528"/>
      <c r="FV9528"/>
      <c r="FW9528"/>
      <c r="FX9528"/>
      <c r="FY9528"/>
      <c r="FZ9528"/>
      <c r="GA9528"/>
      <c r="GB9528"/>
      <c r="GC9528"/>
      <c r="GD9528"/>
      <c r="GE9528"/>
      <c r="GF9528"/>
      <c r="GG9528"/>
      <c r="GH9528"/>
      <c r="GI9528"/>
      <c r="GJ9528"/>
      <c r="GK9528"/>
      <c r="GL9528"/>
      <c r="GM9528"/>
      <c r="GN9528"/>
      <c r="GO9528"/>
    </row>
    <row r="9529" spans="107:197">
      <c r="DC9529"/>
      <c r="FH9529"/>
      <c r="FI9529"/>
      <c r="FJ9529"/>
      <c r="FK9529"/>
      <c r="FL9529"/>
      <c r="FM9529"/>
      <c r="FN9529"/>
      <c r="FO9529"/>
      <c r="FP9529"/>
      <c r="FQ9529"/>
      <c r="FR9529"/>
      <c r="FS9529"/>
      <c r="FT9529"/>
      <c r="FU9529"/>
      <c r="FV9529"/>
      <c r="FW9529"/>
      <c r="FX9529"/>
      <c r="FY9529"/>
      <c r="FZ9529"/>
      <c r="GA9529"/>
      <c r="GB9529"/>
      <c r="GC9529"/>
      <c r="GD9529"/>
      <c r="GE9529"/>
      <c r="GF9529"/>
      <c r="GG9529"/>
      <c r="GH9529"/>
      <c r="GI9529"/>
      <c r="GJ9529"/>
      <c r="GK9529"/>
      <c r="GL9529"/>
      <c r="GM9529"/>
      <c r="GN9529"/>
      <c r="GO9529"/>
    </row>
    <row r="9530" spans="107:197">
      <c r="DC9530"/>
      <c r="FH9530"/>
      <c r="FI9530"/>
      <c r="FJ9530"/>
      <c r="FK9530"/>
      <c r="FL9530"/>
      <c r="FM9530"/>
      <c r="FN9530"/>
      <c r="FO9530"/>
      <c r="FP9530"/>
      <c r="FQ9530"/>
      <c r="FR9530"/>
      <c r="FS9530"/>
      <c r="FT9530"/>
      <c r="FU9530"/>
      <c r="FV9530"/>
      <c r="FW9530"/>
      <c r="FX9530"/>
      <c r="FY9530"/>
      <c r="FZ9530"/>
      <c r="GA9530"/>
      <c r="GB9530"/>
      <c r="GC9530"/>
      <c r="GD9530"/>
      <c r="GE9530"/>
      <c r="GF9530"/>
      <c r="GG9530"/>
      <c r="GH9530"/>
      <c r="GI9530"/>
      <c r="GJ9530"/>
      <c r="GK9530"/>
      <c r="GL9530"/>
      <c r="GM9530"/>
      <c r="GN9530"/>
      <c r="GO9530"/>
    </row>
    <row r="9531" spans="107:197">
      <c r="DC9531"/>
      <c r="FH9531"/>
      <c r="FI9531"/>
      <c r="FJ9531"/>
      <c r="FK9531"/>
      <c r="FL9531"/>
      <c r="FM9531"/>
      <c r="FN9531"/>
      <c r="FO9531"/>
      <c r="FP9531"/>
      <c r="FQ9531"/>
      <c r="FR9531"/>
      <c r="FS9531"/>
      <c r="FT9531"/>
      <c r="FU9531"/>
      <c r="FV9531"/>
      <c r="FW9531"/>
      <c r="FX9531"/>
      <c r="FY9531"/>
      <c r="FZ9531"/>
      <c r="GA9531"/>
      <c r="GB9531"/>
      <c r="GC9531"/>
      <c r="GD9531"/>
      <c r="GE9531"/>
      <c r="GF9531"/>
      <c r="GG9531"/>
      <c r="GH9531"/>
      <c r="GI9531"/>
      <c r="GJ9531"/>
      <c r="GK9531"/>
      <c r="GL9531"/>
      <c r="GM9531"/>
      <c r="GN9531"/>
      <c r="GO9531"/>
    </row>
    <row r="9532" spans="107:197">
      <c r="DC9532"/>
      <c r="FH9532"/>
      <c r="FI9532"/>
      <c r="FJ9532"/>
      <c r="FK9532"/>
      <c r="FL9532"/>
      <c r="FM9532"/>
      <c r="FN9532"/>
      <c r="FO9532"/>
      <c r="FP9532"/>
      <c r="FQ9532"/>
      <c r="FR9532"/>
      <c r="FS9532"/>
      <c r="FT9532"/>
      <c r="FU9532"/>
      <c r="FV9532"/>
      <c r="FW9532"/>
      <c r="FX9532"/>
      <c r="FY9532"/>
      <c r="FZ9532"/>
      <c r="GA9532"/>
      <c r="GB9532"/>
      <c r="GC9532"/>
      <c r="GD9532"/>
      <c r="GE9532"/>
      <c r="GF9532"/>
      <c r="GG9532"/>
      <c r="GH9532"/>
      <c r="GI9532"/>
      <c r="GJ9532"/>
      <c r="GK9532"/>
      <c r="GL9532"/>
      <c r="GM9532"/>
      <c r="GN9532"/>
      <c r="GO9532"/>
    </row>
    <row r="9533" spans="107:197">
      <c r="DC9533"/>
      <c r="FH9533"/>
      <c r="FI9533"/>
      <c r="FJ9533"/>
      <c r="FK9533"/>
      <c r="FL9533"/>
      <c r="FM9533"/>
      <c r="FN9533"/>
      <c r="FO9533"/>
      <c r="FP9533"/>
      <c r="FQ9533"/>
      <c r="FR9533"/>
      <c r="FS9533"/>
      <c r="FT9533"/>
      <c r="FU9533"/>
      <c r="FV9533"/>
      <c r="FW9533"/>
      <c r="FX9533"/>
      <c r="FY9533"/>
      <c r="FZ9533"/>
      <c r="GA9533"/>
      <c r="GB9533"/>
      <c r="GC9533"/>
      <c r="GD9533"/>
      <c r="GE9533"/>
      <c r="GF9533"/>
      <c r="GG9533"/>
      <c r="GH9533"/>
      <c r="GI9533"/>
      <c r="GJ9533"/>
      <c r="GK9533"/>
      <c r="GL9533"/>
      <c r="GM9533"/>
      <c r="GN9533"/>
      <c r="GO9533"/>
    </row>
    <row r="9534" spans="107:197">
      <c r="DC9534"/>
      <c r="FH9534"/>
      <c r="FI9534"/>
      <c r="FJ9534"/>
      <c r="FK9534"/>
      <c r="FL9534"/>
      <c r="FM9534"/>
      <c r="FN9534"/>
      <c r="FO9534"/>
      <c r="FP9534"/>
      <c r="FQ9534"/>
      <c r="FR9534"/>
      <c r="FS9534"/>
      <c r="FT9534"/>
      <c r="FU9534"/>
      <c r="FV9534"/>
      <c r="FW9534"/>
      <c r="FX9534"/>
      <c r="FY9534"/>
      <c r="FZ9534"/>
      <c r="GA9534"/>
      <c r="GB9534"/>
      <c r="GC9534"/>
      <c r="GD9534"/>
      <c r="GE9534"/>
      <c r="GF9534"/>
      <c r="GG9534"/>
      <c r="GH9534"/>
      <c r="GI9534"/>
      <c r="GJ9534"/>
      <c r="GK9534"/>
      <c r="GL9534"/>
      <c r="GM9534"/>
      <c r="GN9534"/>
      <c r="GO9534"/>
    </row>
    <row r="9535" spans="107:197">
      <c r="DC9535"/>
      <c r="FH9535"/>
      <c r="FI9535"/>
      <c r="FJ9535"/>
      <c r="FK9535"/>
      <c r="FL9535"/>
      <c r="FM9535"/>
      <c r="FN9535"/>
      <c r="FO9535"/>
      <c r="FP9535"/>
      <c r="FQ9535"/>
      <c r="FR9535"/>
      <c r="FS9535"/>
      <c r="FT9535"/>
      <c r="FU9535"/>
      <c r="FV9535"/>
      <c r="FW9535"/>
      <c r="FX9535"/>
      <c r="FY9535"/>
      <c r="FZ9535"/>
      <c r="GA9535"/>
      <c r="GB9535"/>
      <c r="GC9535"/>
      <c r="GD9535"/>
      <c r="GE9535"/>
      <c r="GF9535"/>
      <c r="GG9535"/>
      <c r="GH9535"/>
      <c r="GI9535"/>
      <c r="GJ9535"/>
      <c r="GK9535"/>
      <c r="GL9535"/>
      <c r="GM9535"/>
      <c r="GN9535"/>
      <c r="GO9535"/>
    </row>
    <row r="9536" spans="107:197">
      <c r="DC9536"/>
      <c r="FH9536"/>
      <c r="FI9536"/>
      <c r="FJ9536"/>
      <c r="FK9536"/>
      <c r="FL9536"/>
      <c r="FM9536"/>
      <c r="FN9536"/>
      <c r="FO9536"/>
      <c r="FP9536"/>
      <c r="FQ9536"/>
      <c r="FR9536"/>
      <c r="FS9536"/>
      <c r="FT9536"/>
      <c r="FU9536"/>
      <c r="FV9536"/>
      <c r="FW9536"/>
      <c r="FX9536"/>
      <c r="FY9536"/>
      <c r="FZ9536"/>
      <c r="GA9536"/>
      <c r="GB9536"/>
      <c r="GC9536"/>
      <c r="GD9536"/>
      <c r="GE9536"/>
      <c r="GF9536"/>
      <c r="GG9536"/>
      <c r="GH9536"/>
      <c r="GI9536"/>
      <c r="GJ9536"/>
      <c r="GK9536"/>
      <c r="GL9536"/>
      <c r="GM9536"/>
      <c r="GN9536"/>
      <c r="GO9536"/>
    </row>
    <row r="9537" spans="107:197">
      <c r="DC9537"/>
      <c r="FH9537"/>
      <c r="FI9537"/>
      <c r="FJ9537"/>
      <c r="FK9537"/>
      <c r="FL9537"/>
      <c r="FM9537"/>
      <c r="FN9537"/>
      <c r="FO9537"/>
      <c r="FP9537"/>
      <c r="FQ9537"/>
      <c r="FR9537"/>
      <c r="FS9537"/>
      <c r="FT9537"/>
      <c r="FU9537"/>
      <c r="FV9537"/>
      <c r="FW9537"/>
      <c r="FX9537"/>
      <c r="FY9537"/>
      <c r="FZ9537"/>
      <c r="GA9537"/>
      <c r="GB9537"/>
      <c r="GC9537"/>
      <c r="GD9537"/>
      <c r="GE9537"/>
      <c r="GF9537"/>
      <c r="GG9537"/>
      <c r="GH9537"/>
      <c r="GI9537"/>
      <c r="GJ9537"/>
      <c r="GK9537"/>
      <c r="GL9537"/>
      <c r="GM9537"/>
      <c r="GN9537"/>
      <c r="GO9537"/>
    </row>
    <row r="9538" spans="107:197">
      <c r="DC9538"/>
      <c r="FH9538"/>
      <c r="FI9538"/>
      <c r="FJ9538"/>
      <c r="FK9538"/>
      <c r="FL9538"/>
      <c r="FM9538"/>
      <c r="FN9538"/>
      <c r="FO9538"/>
      <c r="FP9538"/>
      <c r="FQ9538"/>
      <c r="FR9538"/>
      <c r="FS9538"/>
      <c r="FT9538"/>
      <c r="FU9538"/>
      <c r="FV9538"/>
      <c r="FW9538"/>
      <c r="FX9538"/>
      <c r="FY9538"/>
      <c r="FZ9538"/>
      <c r="GA9538"/>
      <c r="GB9538"/>
      <c r="GC9538"/>
      <c r="GD9538"/>
      <c r="GE9538"/>
      <c r="GF9538"/>
      <c r="GG9538"/>
      <c r="GH9538"/>
      <c r="GI9538"/>
      <c r="GJ9538"/>
      <c r="GK9538"/>
      <c r="GL9538"/>
      <c r="GM9538"/>
      <c r="GN9538"/>
      <c r="GO9538"/>
    </row>
    <row r="9539" spans="107:197">
      <c r="DC9539"/>
      <c r="FH9539"/>
      <c r="FI9539"/>
      <c r="FJ9539"/>
      <c r="FK9539"/>
      <c r="FL9539"/>
      <c r="FM9539"/>
      <c r="FN9539"/>
      <c r="FO9539"/>
      <c r="FP9539"/>
      <c r="FQ9539"/>
      <c r="FR9539"/>
      <c r="FS9539"/>
      <c r="FT9539"/>
      <c r="FU9539"/>
      <c r="FV9539"/>
      <c r="FW9539"/>
      <c r="FX9539"/>
      <c r="FY9539"/>
      <c r="FZ9539"/>
      <c r="GA9539"/>
      <c r="GB9539"/>
      <c r="GC9539"/>
      <c r="GD9539"/>
      <c r="GE9539"/>
      <c r="GF9539"/>
      <c r="GG9539"/>
      <c r="GH9539"/>
      <c r="GI9539"/>
      <c r="GJ9539"/>
      <c r="GK9539"/>
      <c r="GL9539"/>
      <c r="GM9539"/>
      <c r="GN9539"/>
      <c r="GO9539"/>
    </row>
    <row r="9540" spans="107:197">
      <c r="DC9540"/>
      <c r="FH9540"/>
      <c r="FI9540"/>
      <c r="FJ9540"/>
      <c r="FK9540"/>
      <c r="FL9540"/>
      <c r="FM9540"/>
      <c r="FN9540"/>
      <c r="FO9540"/>
      <c r="FP9540"/>
      <c r="FQ9540"/>
      <c r="FR9540"/>
      <c r="FS9540"/>
      <c r="FT9540"/>
      <c r="FU9540"/>
      <c r="FV9540"/>
      <c r="FW9540"/>
      <c r="FX9540"/>
      <c r="FY9540"/>
      <c r="FZ9540"/>
      <c r="GA9540"/>
      <c r="GB9540"/>
      <c r="GC9540"/>
      <c r="GD9540"/>
      <c r="GE9540"/>
      <c r="GF9540"/>
      <c r="GG9540"/>
      <c r="GH9540"/>
      <c r="GI9540"/>
      <c r="GJ9540"/>
      <c r="GK9540"/>
      <c r="GL9540"/>
      <c r="GM9540"/>
      <c r="GN9540"/>
      <c r="GO9540"/>
    </row>
    <row r="9541" spans="107:197">
      <c r="DC9541"/>
      <c r="FH9541"/>
      <c r="FI9541"/>
      <c r="FJ9541"/>
      <c r="FK9541"/>
      <c r="FL9541"/>
      <c r="FM9541"/>
      <c r="FN9541"/>
      <c r="FO9541"/>
      <c r="FP9541"/>
      <c r="FQ9541"/>
      <c r="FR9541"/>
      <c r="FS9541"/>
      <c r="FT9541"/>
      <c r="FU9541"/>
      <c r="FV9541"/>
      <c r="FW9541"/>
      <c r="FX9541"/>
      <c r="FY9541"/>
      <c r="FZ9541"/>
      <c r="GA9541"/>
      <c r="GB9541"/>
      <c r="GC9541"/>
      <c r="GD9541"/>
      <c r="GE9541"/>
      <c r="GF9541"/>
      <c r="GG9541"/>
      <c r="GH9541"/>
      <c r="GI9541"/>
      <c r="GJ9541"/>
      <c r="GK9541"/>
      <c r="GL9541"/>
      <c r="GM9541"/>
      <c r="GN9541"/>
      <c r="GO9541"/>
    </row>
    <row r="9542" spans="107:197">
      <c r="DC9542"/>
      <c r="FH9542"/>
      <c r="FI9542"/>
      <c r="FJ9542"/>
      <c r="FK9542"/>
      <c r="FL9542"/>
      <c r="FM9542"/>
      <c r="FN9542"/>
      <c r="FO9542"/>
      <c r="FP9542"/>
      <c r="FQ9542"/>
      <c r="FR9542"/>
      <c r="FS9542"/>
      <c r="FT9542"/>
      <c r="FU9542"/>
      <c r="FV9542"/>
      <c r="FW9542"/>
      <c r="FX9542"/>
      <c r="FY9542"/>
      <c r="FZ9542"/>
      <c r="GA9542"/>
      <c r="GB9542"/>
      <c r="GC9542"/>
      <c r="GD9542"/>
      <c r="GE9542"/>
      <c r="GF9542"/>
      <c r="GG9542"/>
      <c r="GH9542"/>
      <c r="GI9542"/>
      <c r="GJ9542"/>
      <c r="GK9542"/>
      <c r="GL9542"/>
      <c r="GM9542"/>
      <c r="GN9542"/>
      <c r="GO9542"/>
    </row>
    <row r="9543" spans="107:197">
      <c r="DC9543"/>
      <c r="FH9543"/>
      <c r="FI9543"/>
      <c r="FJ9543"/>
      <c r="FK9543"/>
      <c r="FL9543"/>
      <c r="FM9543"/>
      <c r="FN9543"/>
      <c r="FO9543"/>
      <c r="FP9543"/>
      <c r="FQ9543"/>
      <c r="FR9543"/>
      <c r="FS9543"/>
      <c r="FT9543"/>
      <c r="FU9543"/>
      <c r="FV9543"/>
      <c r="FW9543"/>
      <c r="FX9543"/>
      <c r="FY9543"/>
      <c r="FZ9543"/>
      <c r="GA9543"/>
      <c r="GB9543"/>
      <c r="GC9543"/>
      <c r="GD9543"/>
      <c r="GE9543"/>
      <c r="GF9543"/>
      <c r="GG9543"/>
      <c r="GH9543"/>
      <c r="GI9543"/>
      <c r="GJ9543"/>
      <c r="GK9543"/>
      <c r="GL9543"/>
      <c r="GM9543"/>
      <c r="GN9543"/>
      <c r="GO9543"/>
    </row>
    <row r="9544" spans="107:197">
      <c r="DC9544"/>
      <c r="FH9544"/>
      <c r="FI9544"/>
      <c r="FJ9544"/>
      <c r="FK9544"/>
      <c r="FL9544"/>
      <c r="FM9544"/>
      <c r="FN9544"/>
      <c r="FO9544"/>
      <c r="FP9544"/>
      <c r="FQ9544"/>
      <c r="FR9544"/>
      <c r="FS9544"/>
      <c r="FT9544"/>
      <c r="FU9544"/>
      <c r="FV9544"/>
      <c r="FW9544"/>
      <c r="FX9544"/>
      <c r="FY9544"/>
      <c r="FZ9544"/>
      <c r="GA9544"/>
      <c r="GB9544"/>
      <c r="GC9544"/>
      <c r="GD9544"/>
      <c r="GE9544"/>
      <c r="GF9544"/>
      <c r="GG9544"/>
      <c r="GH9544"/>
      <c r="GI9544"/>
      <c r="GJ9544"/>
      <c r="GK9544"/>
      <c r="GL9544"/>
      <c r="GM9544"/>
      <c r="GN9544"/>
      <c r="GO9544"/>
    </row>
    <row r="9545" spans="107:197">
      <c r="DC9545"/>
      <c r="FH9545"/>
      <c r="FI9545"/>
      <c r="FJ9545"/>
      <c r="FK9545"/>
      <c r="FL9545"/>
      <c r="FM9545"/>
      <c r="FN9545"/>
      <c r="FO9545"/>
      <c r="FP9545"/>
      <c r="FQ9545"/>
      <c r="FR9545"/>
      <c r="FS9545"/>
      <c r="FT9545"/>
      <c r="FU9545"/>
      <c r="FV9545"/>
      <c r="FW9545"/>
      <c r="FX9545"/>
      <c r="FY9545"/>
      <c r="FZ9545"/>
      <c r="GA9545"/>
      <c r="GB9545"/>
      <c r="GC9545"/>
      <c r="GD9545"/>
      <c r="GE9545"/>
      <c r="GF9545"/>
      <c r="GG9545"/>
      <c r="GH9545"/>
      <c r="GI9545"/>
      <c r="GJ9545"/>
      <c r="GK9545"/>
      <c r="GL9545"/>
      <c r="GM9545"/>
      <c r="GN9545"/>
      <c r="GO9545"/>
    </row>
    <row r="9546" spans="107:197">
      <c r="DC9546"/>
      <c r="FH9546"/>
      <c r="FI9546"/>
      <c r="FJ9546"/>
      <c r="FK9546"/>
      <c r="FL9546"/>
      <c r="FM9546"/>
      <c r="FN9546"/>
      <c r="FO9546"/>
      <c r="FP9546"/>
      <c r="FQ9546"/>
      <c r="FR9546"/>
      <c r="FS9546"/>
      <c r="FT9546"/>
      <c r="FU9546"/>
      <c r="FV9546"/>
      <c r="FW9546"/>
      <c r="FX9546"/>
      <c r="FY9546"/>
      <c r="FZ9546"/>
      <c r="GA9546"/>
      <c r="GB9546"/>
      <c r="GC9546"/>
      <c r="GD9546"/>
      <c r="GE9546"/>
      <c r="GF9546"/>
      <c r="GG9546"/>
      <c r="GH9546"/>
      <c r="GI9546"/>
      <c r="GJ9546"/>
      <c r="GK9546"/>
      <c r="GL9546"/>
      <c r="GM9546"/>
      <c r="GN9546"/>
      <c r="GO9546"/>
    </row>
    <row r="9547" spans="107:197">
      <c r="DC9547"/>
      <c r="FH9547"/>
      <c r="FI9547"/>
      <c r="FJ9547"/>
      <c r="FK9547"/>
      <c r="FL9547"/>
      <c r="FM9547"/>
      <c r="FN9547"/>
      <c r="FO9547"/>
      <c r="FP9547"/>
      <c r="FQ9547"/>
      <c r="FR9547"/>
      <c r="FS9547"/>
      <c r="FT9547"/>
      <c r="FU9547"/>
      <c r="FV9547"/>
      <c r="FW9547"/>
      <c r="FX9547"/>
      <c r="FY9547"/>
      <c r="FZ9547"/>
      <c r="GA9547"/>
      <c r="GB9547"/>
      <c r="GC9547"/>
      <c r="GD9547"/>
      <c r="GE9547"/>
      <c r="GF9547"/>
      <c r="GG9547"/>
      <c r="GH9547"/>
      <c r="GI9547"/>
      <c r="GJ9547"/>
      <c r="GK9547"/>
      <c r="GL9547"/>
      <c r="GM9547"/>
      <c r="GN9547"/>
      <c r="GO9547"/>
    </row>
    <row r="9548" spans="107:197">
      <c r="DC9548"/>
      <c r="FH9548"/>
      <c r="FI9548"/>
      <c r="FJ9548"/>
      <c r="FK9548"/>
      <c r="FL9548"/>
      <c r="FM9548"/>
      <c r="FN9548"/>
      <c r="FO9548"/>
      <c r="FP9548"/>
      <c r="FQ9548"/>
      <c r="FR9548"/>
      <c r="FS9548"/>
      <c r="FT9548"/>
      <c r="FU9548"/>
      <c r="FV9548"/>
      <c r="FW9548"/>
      <c r="FX9548"/>
      <c r="FY9548"/>
      <c r="FZ9548"/>
      <c r="GA9548"/>
      <c r="GB9548"/>
      <c r="GC9548"/>
      <c r="GD9548"/>
      <c r="GE9548"/>
      <c r="GF9548"/>
      <c r="GG9548"/>
      <c r="GH9548"/>
      <c r="GI9548"/>
      <c r="GJ9548"/>
      <c r="GK9548"/>
      <c r="GL9548"/>
      <c r="GM9548"/>
      <c r="GN9548"/>
      <c r="GO9548"/>
    </row>
    <row r="9549" spans="107:197">
      <c r="DC9549"/>
      <c r="FH9549"/>
      <c r="FI9549"/>
      <c r="FJ9549"/>
      <c r="FK9549"/>
      <c r="FL9549"/>
      <c r="FM9549"/>
      <c r="FN9549"/>
      <c r="FO9549"/>
      <c r="FP9549"/>
      <c r="FQ9549"/>
      <c r="FR9549"/>
      <c r="FS9549"/>
      <c r="FT9549"/>
      <c r="FU9549"/>
      <c r="FV9549"/>
      <c r="FW9549"/>
      <c r="FX9549"/>
      <c r="FY9549"/>
      <c r="FZ9549"/>
      <c r="GA9549"/>
      <c r="GB9549"/>
      <c r="GC9549"/>
      <c r="GD9549"/>
      <c r="GE9549"/>
      <c r="GF9549"/>
      <c r="GG9549"/>
      <c r="GH9549"/>
      <c r="GI9549"/>
      <c r="GJ9549"/>
      <c r="GK9549"/>
      <c r="GL9549"/>
      <c r="GM9549"/>
      <c r="GN9549"/>
      <c r="GO9549"/>
    </row>
    <row r="9550" spans="107:197">
      <c r="DC9550"/>
      <c r="FH9550"/>
      <c r="FI9550"/>
      <c r="FJ9550"/>
      <c r="FK9550"/>
      <c r="FL9550"/>
      <c r="FM9550"/>
      <c r="FN9550"/>
      <c r="FO9550"/>
      <c r="FP9550"/>
      <c r="FQ9550"/>
      <c r="FR9550"/>
      <c r="FS9550"/>
      <c r="FT9550"/>
      <c r="FU9550"/>
      <c r="FV9550"/>
      <c r="FW9550"/>
      <c r="FX9550"/>
      <c r="FY9550"/>
      <c r="FZ9550"/>
      <c r="GA9550"/>
      <c r="GB9550"/>
      <c r="GC9550"/>
      <c r="GD9550"/>
      <c r="GE9550"/>
      <c r="GF9550"/>
      <c r="GG9550"/>
      <c r="GH9550"/>
      <c r="GI9550"/>
      <c r="GJ9550"/>
      <c r="GK9550"/>
      <c r="GL9550"/>
      <c r="GM9550"/>
      <c r="GN9550"/>
      <c r="GO9550"/>
    </row>
    <row r="9551" spans="107:197">
      <c r="DC9551"/>
      <c r="FH9551"/>
      <c r="FI9551"/>
      <c r="FJ9551"/>
      <c r="FK9551"/>
      <c r="FL9551"/>
      <c r="FM9551"/>
      <c r="FN9551"/>
      <c r="FO9551"/>
      <c r="FP9551"/>
      <c r="FQ9551"/>
      <c r="FR9551"/>
      <c r="FS9551"/>
      <c r="FT9551"/>
      <c r="FU9551"/>
      <c r="FV9551"/>
      <c r="FW9551"/>
      <c r="FX9551"/>
      <c r="FY9551"/>
      <c r="FZ9551"/>
      <c r="GA9551"/>
      <c r="GB9551"/>
      <c r="GC9551"/>
      <c r="GD9551"/>
      <c r="GE9551"/>
      <c r="GF9551"/>
      <c r="GG9551"/>
      <c r="GH9551"/>
      <c r="GI9551"/>
      <c r="GJ9551"/>
      <c r="GK9551"/>
      <c r="GL9551"/>
      <c r="GM9551"/>
      <c r="GN9551"/>
      <c r="GO9551"/>
    </row>
    <row r="9552" spans="107:197">
      <c r="DC9552"/>
      <c r="FH9552"/>
      <c r="FI9552"/>
      <c r="FJ9552"/>
      <c r="FK9552"/>
      <c r="FL9552"/>
      <c r="FM9552"/>
      <c r="FN9552"/>
      <c r="FO9552"/>
      <c r="FP9552"/>
      <c r="FQ9552"/>
      <c r="FR9552"/>
      <c r="FS9552"/>
      <c r="FT9552"/>
      <c r="FU9552"/>
      <c r="FV9552"/>
      <c r="FW9552"/>
      <c r="FX9552"/>
      <c r="FY9552"/>
      <c r="FZ9552"/>
      <c r="GA9552"/>
      <c r="GB9552"/>
      <c r="GC9552"/>
      <c r="GD9552"/>
      <c r="GE9552"/>
      <c r="GF9552"/>
      <c r="GG9552"/>
      <c r="GH9552"/>
      <c r="GI9552"/>
      <c r="GJ9552"/>
      <c r="GK9552"/>
      <c r="GL9552"/>
      <c r="GM9552"/>
      <c r="GN9552"/>
      <c r="GO9552"/>
    </row>
    <row r="9553" spans="107:197">
      <c r="DC9553"/>
      <c r="FH9553"/>
      <c r="FI9553"/>
      <c r="FJ9553"/>
      <c r="FK9553"/>
      <c r="FL9553"/>
      <c r="FM9553"/>
      <c r="FN9553"/>
      <c r="FO9553"/>
      <c r="FP9553"/>
      <c r="FQ9553"/>
      <c r="FR9553"/>
      <c r="FS9553"/>
      <c r="FT9553"/>
      <c r="FU9553"/>
      <c r="FV9553"/>
      <c r="FW9553"/>
      <c r="FX9553"/>
      <c r="FY9553"/>
      <c r="FZ9553"/>
      <c r="GA9553"/>
      <c r="GB9553"/>
      <c r="GC9553"/>
      <c r="GD9553"/>
      <c r="GE9553"/>
      <c r="GF9553"/>
      <c r="GG9553"/>
      <c r="GH9553"/>
      <c r="GI9553"/>
      <c r="GJ9553"/>
      <c r="GK9553"/>
      <c r="GL9553"/>
      <c r="GM9553"/>
      <c r="GN9553"/>
      <c r="GO9553"/>
    </row>
    <row r="9554" spans="107:197">
      <c r="DC9554"/>
      <c r="FH9554"/>
      <c r="FI9554"/>
      <c r="FJ9554"/>
      <c r="FK9554"/>
      <c r="FL9554"/>
      <c r="FM9554"/>
      <c r="FN9554"/>
      <c r="FO9554"/>
      <c r="FP9554"/>
      <c r="FQ9554"/>
      <c r="FR9554"/>
      <c r="FS9554"/>
      <c r="FT9554"/>
      <c r="FU9554"/>
      <c r="FV9554"/>
      <c r="FW9554"/>
      <c r="FX9554"/>
      <c r="FY9554"/>
      <c r="FZ9554"/>
      <c r="GA9554"/>
      <c r="GB9554"/>
      <c r="GC9554"/>
      <c r="GD9554"/>
      <c r="GE9554"/>
      <c r="GF9554"/>
      <c r="GG9554"/>
      <c r="GH9554"/>
      <c r="GI9554"/>
      <c r="GJ9554"/>
      <c r="GK9554"/>
      <c r="GL9554"/>
      <c r="GM9554"/>
      <c r="GN9554"/>
      <c r="GO9554"/>
    </row>
    <row r="9555" spans="107:197">
      <c r="DC9555"/>
      <c r="FH9555"/>
      <c r="FI9555"/>
      <c r="FJ9555"/>
      <c r="FK9555"/>
      <c r="FL9555"/>
      <c r="FM9555"/>
      <c r="FN9555"/>
      <c r="FO9555"/>
      <c r="FP9555"/>
      <c r="FQ9555"/>
      <c r="FR9555"/>
      <c r="FS9555"/>
      <c r="FT9555"/>
      <c r="FU9555"/>
      <c r="FV9555"/>
      <c r="FW9555"/>
      <c r="FX9555"/>
      <c r="FY9555"/>
      <c r="FZ9555"/>
      <c r="GA9555"/>
      <c r="GB9555"/>
      <c r="GC9555"/>
      <c r="GD9555"/>
      <c r="GE9555"/>
      <c r="GF9555"/>
      <c r="GG9555"/>
      <c r="GH9555"/>
      <c r="GI9555"/>
      <c r="GJ9555"/>
      <c r="GK9555"/>
      <c r="GL9555"/>
      <c r="GM9555"/>
      <c r="GN9555"/>
      <c r="GO9555"/>
    </row>
    <row r="9556" spans="107:197">
      <c r="DC9556"/>
      <c r="FH9556"/>
      <c r="FI9556"/>
      <c r="FJ9556"/>
      <c r="FK9556"/>
      <c r="FL9556"/>
      <c r="FM9556"/>
      <c r="FN9556"/>
      <c r="FO9556"/>
      <c r="FP9556"/>
      <c r="FQ9556"/>
      <c r="FR9556"/>
      <c r="FS9556"/>
      <c r="FT9556"/>
      <c r="FU9556"/>
      <c r="FV9556"/>
      <c r="FW9556"/>
      <c r="FX9556"/>
      <c r="FY9556"/>
      <c r="FZ9556"/>
      <c r="GA9556"/>
      <c r="GB9556"/>
      <c r="GC9556"/>
      <c r="GD9556"/>
      <c r="GE9556"/>
      <c r="GF9556"/>
      <c r="GG9556"/>
      <c r="GH9556"/>
      <c r="GI9556"/>
      <c r="GJ9556"/>
      <c r="GK9556"/>
      <c r="GL9556"/>
      <c r="GM9556"/>
      <c r="GN9556"/>
      <c r="GO9556"/>
    </row>
    <row r="9557" spans="107:197">
      <c r="DC9557"/>
      <c r="FH9557"/>
      <c r="FI9557"/>
      <c r="FJ9557"/>
      <c r="FK9557"/>
      <c r="FL9557"/>
      <c r="FM9557"/>
      <c r="FN9557"/>
      <c r="FO9557"/>
      <c r="FP9557"/>
      <c r="FQ9557"/>
      <c r="FR9557"/>
      <c r="FS9557"/>
      <c r="FT9557"/>
      <c r="FU9557"/>
      <c r="FV9557"/>
      <c r="FW9557"/>
      <c r="FX9557"/>
      <c r="FY9557"/>
      <c r="FZ9557"/>
      <c r="GA9557"/>
      <c r="GB9557"/>
      <c r="GC9557"/>
      <c r="GD9557"/>
      <c r="GE9557"/>
      <c r="GF9557"/>
      <c r="GG9557"/>
      <c r="GH9557"/>
      <c r="GI9557"/>
      <c r="GJ9557"/>
      <c r="GK9557"/>
      <c r="GL9557"/>
      <c r="GM9557"/>
      <c r="GN9557"/>
      <c r="GO9557"/>
    </row>
    <row r="9558" spans="107:197">
      <c r="DC9558"/>
      <c r="FH9558"/>
      <c r="FI9558"/>
      <c r="FJ9558"/>
      <c r="FK9558"/>
      <c r="FL9558"/>
      <c r="FM9558"/>
      <c r="FN9558"/>
      <c r="FO9558"/>
      <c r="FP9558"/>
      <c r="FQ9558"/>
      <c r="FR9558"/>
      <c r="FS9558"/>
      <c r="FT9558"/>
      <c r="FU9558"/>
      <c r="FV9558"/>
      <c r="FW9558"/>
      <c r="FX9558"/>
      <c r="FY9558"/>
      <c r="FZ9558"/>
      <c r="GA9558"/>
      <c r="GB9558"/>
      <c r="GC9558"/>
      <c r="GD9558"/>
      <c r="GE9558"/>
      <c r="GF9558"/>
      <c r="GG9558"/>
      <c r="GH9558"/>
      <c r="GI9558"/>
      <c r="GJ9558"/>
      <c r="GK9558"/>
      <c r="GL9558"/>
      <c r="GM9558"/>
      <c r="GN9558"/>
      <c r="GO9558"/>
    </row>
    <row r="9559" spans="107:197">
      <c r="DC9559"/>
      <c r="FH9559"/>
      <c r="FI9559"/>
      <c r="FJ9559"/>
      <c r="FK9559"/>
      <c r="FL9559"/>
      <c r="FM9559"/>
      <c r="FN9559"/>
      <c r="FO9559"/>
      <c r="FP9559"/>
      <c r="FQ9559"/>
      <c r="FR9559"/>
      <c r="FS9559"/>
      <c r="FT9559"/>
      <c r="FU9559"/>
      <c r="FV9559"/>
      <c r="FW9559"/>
      <c r="FX9559"/>
      <c r="FY9559"/>
      <c r="FZ9559"/>
      <c r="GA9559"/>
      <c r="GB9559"/>
      <c r="GC9559"/>
      <c r="GD9559"/>
      <c r="GE9559"/>
      <c r="GF9559"/>
      <c r="GG9559"/>
      <c r="GH9559"/>
      <c r="GI9559"/>
      <c r="GJ9559"/>
      <c r="GK9559"/>
      <c r="GL9559"/>
      <c r="GM9559"/>
      <c r="GN9559"/>
      <c r="GO9559"/>
    </row>
    <row r="9560" spans="107:197">
      <c r="DC9560"/>
      <c r="FH9560"/>
      <c r="FI9560"/>
      <c r="FJ9560"/>
      <c r="FK9560"/>
      <c r="FL9560"/>
      <c r="FM9560"/>
      <c r="FN9560"/>
      <c r="FO9560"/>
      <c r="FP9560"/>
      <c r="FQ9560"/>
      <c r="FR9560"/>
      <c r="FS9560"/>
      <c r="FT9560"/>
      <c r="FU9560"/>
      <c r="FV9560"/>
      <c r="FW9560"/>
      <c r="FX9560"/>
      <c r="FY9560"/>
      <c r="FZ9560"/>
      <c r="GA9560"/>
      <c r="GB9560"/>
      <c r="GC9560"/>
      <c r="GD9560"/>
      <c r="GE9560"/>
      <c r="GF9560"/>
      <c r="GG9560"/>
      <c r="GH9560"/>
      <c r="GI9560"/>
      <c r="GJ9560"/>
      <c r="GK9560"/>
      <c r="GL9560"/>
      <c r="GM9560"/>
      <c r="GN9560"/>
      <c r="GO9560"/>
    </row>
    <row r="9561" spans="107:197">
      <c r="DC9561"/>
      <c r="FH9561"/>
      <c r="FI9561"/>
      <c r="FJ9561"/>
      <c r="FK9561"/>
      <c r="FL9561"/>
      <c r="FM9561"/>
      <c r="FN9561"/>
      <c r="FO9561"/>
      <c r="FP9561"/>
      <c r="FQ9561"/>
      <c r="FR9561"/>
      <c r="FS9561"/>
      <c r="FT9561"/>
      <c r="FU9561"/>
      <c r="FV9561"/>
      <c r="FW9561"/>
      <c r="FX9561"/>
      <c r="FY9561"/>
      <c r="FZ9561"/>
      <c r="GA9561"/>
      <c r="GB9561"/>
      <c r="GC9561"/>
      <c r="GD9561"/>
      <c r="GE9561"/>
      <c r="GF9561"/>
      <c r="GG9561"/>
      <c r="GH9561"/>
      <c r="GI9561"/>
      <c r="GJ9561"/>
      <c r="GK9561"/>
      <c r="GL9561"/>
      <c r="GM9561"/>
      <c r="GN9561"/>
      <c r="GO9561"/>
    </row>
    <row r="9562" spans="107:197">
      <c r="DC9562"/>
      <c r="FH9562"/>
      <c r="FI9562"/>
      <c r="FJ9562"/>
      <c r="FK9562"/>
      <c r="FL9562"/>
      <c r="FM9562"/>
      <c r="FN9562"/>
      <c r="FO9562"/>
      <c r="FP9562"/>
      <c r="FQ9562"/>
      <c r="FR9562"/>
      <c r="FS9562"/>
      <c r="FT9562"/>
      <c r="FU9562"/>
      <c r="FV9562"/>
      <c r="FW9562"/>
      <c r="FX9562"/>
      <c r="FY9562"/>
      <c r="FZ9562"/>
      <c r="GA9562"/>
      <c r="GB9562"/>
      <c r="GC9562"/>
      <c r="GD9562"/>
      <c r="GE9562"/>
      <c r="GF9562"/>
      <c r="GG9562"/>
      <c r="GH9562"/>
      <c r="GI9562"/>
      <c r="GJ9562"/>
      <c r="GK9562"/>
      <c r="GL9562"/>
      <c r="GM9562"/>
      <c r="GN9562"/>
      <c r="GO9562"/>
    </row>
    <row r="9563" spans="107:197">
      <c r="DC9563"/>
      <c r="FH9563"/>
      <c r="FI9563"/>
      <c r="FJ9563"/>
      <c r="FK9563"/>
      <c r="FL9563"/>
      <c r="FM9563"/>
      <c r="FN9563"/>
      <c r="FO9563"/>
      <c r="FP9563"/>
      <c r="FQ9563"/>
      <c r="FR9563"/>
      <c r="FS9563"/>
      <c r="FT9563"/>
      <c r="FU9563"/>
      <c r="FV9563"/>
      <c r="FW9563"/>
      <c r="FX9563"/>
      <c r="FY9563"/>
      <c r="FZ9563"/>
      <c r="GA9563"/>
      <c r="GB9563"/>
      <c r="GC9563"/>
      <c r="GD9563"/>
      <c r="GE9563"/>
      <c r="GF9563"/>
      <c r="GG9563"/>
      <c r="GH9563"/>
      <c r="GI9563"/>
      <c r="GJ9563"/>
      <c r="GK9563"/>
      <c r="GL9563"/>
      <c r="GM9563"/>
      <c r="GN9563"/>
      <c r="GO9563"/>
    </row>
    <row r="9564" spans="107:197">
      <c r="DC9564"/>
      <c r="FH9564"/>
      <c r="FI9564"/>
      <c r="FJ9564"/>
      <c r="FK9564"/>
      <c r="FL9564"/>
      <c r="FM9564"/>
      <c r="FN9564"/>
      <c r="FO9564"/>
      <c r="FP9564"/>
      <c r="FQ9564"/>
      <c r="FR9564"/>
      <c r="FS9564"/>
      <c r="FT9564"/>
      <c r="FU9564"/>
      <c r="FV9564"/>
      <c r="FW9564"/>
      <c r="FX9564"/>
      <c r="FY9564"/>
      <c r="FZ9564"/>
      <c r="GA9564"/>
      <c r="GB9564"/>
      <c r="GC9564"/>
      <c r="GD9564"/>
      <c r="GE9564"/>
      <c r="GF9564"/>
      <c r="GG9564"/>
      <c r="GH9564"/>
      <c r="GI9564"/>
      <c r="GJ9564"/>
      <c r="GK9564"/>
      <c r="GL9564"/>
      <c r="GM9564"/>
      <c r="GN9564"/>
      <c r="GO9564"/>
    </row>
    <row r="9565" spans="107:197">
      <c r="DC9565"/>
      <c r="FH9565"/>
      <c r="FI9565"/>
      <c r="FJ9565"/>
      <c r="FK9565"/>
      <c r="FL9565"/>
      <c r="FM9565"/>
      <c r="FN9565"/>
      <c r="FO9565"/>
      <c r="FP9565"/>
      <c r="FQ9565"/>
      <c r="FR9565"/>
      <c r="FS9565"/>
      <c r="FT9565"/>
      <c r="FU9565"/>
      <c r="FV9565"/>
      <c r="FW9565"/>
      <c r="FX9565"/>
      <c r="FY9565"/>
      <c r="FZ9565"/>
      <c r="GA9565"/>
      <c r="GB9565"/>
      <c r="GC9565"/>
      <c r="GD9565"/>
      <c r="GE9565"/>
      <c r="GF9565"/>
      <c r="GG9565"/>
      <c r="GH9565"/>
      <c r="GI9565"/>
      <c r="GJ9565"/>
      <c r="GK9565"/>
      <c r="GL9565"/>
      <c r="GM9565"/>
      <c r="GN9565"/>
      <c r="GO9565"/>
    </row>
    <row r="9566" spans="107:197">
      <c r="DC9566"/>
      <c r="FH9566"/>
      <c r="FI9566"/>
      <c r="FJ9566"/>
      <c r="FK9566"/>
      <c r="FL9566"/>
      <c r="FM9566"/>
      <c r="FN9566"/>
      <c r="FO9566"/>
      <c r="FP9566"/>
      <c r="FQ9566"/>
      <c r="FR9566"/>
      <c r="FS9566"/>
      <c r="FT9566"/>
      <c r="FU9566"/>
      <c r="FV9566"/>
      <c r="FW9566"/>
      <c r="FX9566"/>
      <c r="FY9566"/>
      <c r="FZ9566"/>
      <c r="GA9566"/>
      <c r="GB9566"/>
      <c r="GC9566"/>
      <c r="GD9566"/>
      <c r="GE9566"/>
      <c r="GF9566"/>
      <c r="GG9566"/>
      <c r="GH9566"/>
      <c r="GI9566"/>
      <c r="GJ9566"/>
      <c r="GK9566"/>
      <c r="GL9566"/>
      <c r="GM9566"/>
      <c r="GN9566"/>
      <c r="GO9566"/>
    </row>
    <row r="9567" spans="107:197">
      <c r="DC9567"/>
      <c r="FH9567"/>
      <c r="FI9567"/>
      <c r="FJ9567"/>
      <c r="FK9567"/>
      <c r="FL9567"/>
      <c r="FM9567"/>
      <c r="FN9567"/>
      <c r="FO9567"/>
      <c r="FP9567"/>
      <c r="FQ9567"/>
      <c r="FR9567"/>
      <c r="FS9567"/>
      <c r="FT9567"/>
      <c r="FU9567"/>
      <c r="FV9567"/>
      <c r="FW9567"/>
      <c r="FX9567"/>
      <c r="FY9567"/>
      <c r="FZ9567"/>
      <c r="GA9567"/>
      <c r="GB9567"/>
      <c r="GC9567"/>
      <c r="GD9567"/>
      <c r="GE9567"/>
      <c r="GF9567"/>
      <c r="GG9567"/>
      <c r="GH9567"/>
      <c r="GI9567"/>
      <c r="GJ9567"/>
      <c r="GK9567"/>
      <c r="GL9567"/>
      <c r="GM9567"/>
      <c r="GN9567"/>
      <c r="GO9567"/>
    </row>
    <row r="9568" spans="107:197">
      <c r="DC9568"/>
      <c r="FH9568"/>
      <c r="FI9568"/>
      <c r="FJ9568"/>
      <c r="FK9568"/>
      <c r="FL9568"/>
      <c r="FM9568"/>
      <c r="FN9568"/>
      <c r="FO9568"/>
      <c r="FP9568"/>
      <c r="FQ9568"/>
      <c r="FR9568"/>
      <c r="FS9568"/>
      <c r="FT9568"/>
      <c r="FU9568"/>
      <c r="FV9568"/>
      <c r="FW9568"/>
      <c r="FX9568"/>
      <c r="FY9568"/>
      <c r="FZ9568"/>
      <c r="GA9568"/>
      <c r="GB9568"/>
      <c r="GC9568"/>
      <c r="GD9568"/>
      <c r="GE9568"/>
      <c r="GF9568"/>
      <c r="GG9568"/>
      <c r="GH9568"/>
      <c r="GI9568"/>
      <c r="GJ9568"/>
      <c r="GK9568"/>
      <c r="GL9568"/>
      <c r="GM9568"/>
      <c r="GN9568"/>
      <c r="GO9568"/>
    </row>
    <row r="9569" spans="107:197">
      <c r="DC9569"/>
      <c r="FH9569"/>
      <c r="FI9569"/>
      <c r="FJ9569"/>
      <c r="FK9569"/>
      <c r="FL9569"/>
      <c r="FM9569"/>
      <c r="FN9569"/>
      <c r="FO9569"/>
      <c r="FP9569"/>
      <c r="FQ9569"/>
      <c r="FR9569"/>
      <c r="FS9569"/>
      <c r="FT9569"/>
      <c r="FU9569"/>
      <c r="FV9569"/>
      <c r="FW9569"/>
      <c r="FX9569"/>
      <c r="FY9569"/>
      <c r="FZ9569"/>
      <c r="GA9569"/>
      <c r="GB9569"/>
      <c r="GC9569"/>
      <c r="GD9569"/>
      <c r="GE9569"/>
      <c r="GF9569"/>
      <c r="GG9569"/>
      <c r="GH9569"/>
      <c r="GI9569"/>
      <c r="GJ9569"/>
      <c r="GK9569"/>
      <c r="GL9569"/>
      <c r="GM9569"/>
      <c r="GN9569"/>
      <c r="GO9569"/>
    </row>
    <row r="9570" spans="107:197">
      <c r="DC9570"/>
      <c r="FH9570"/>
      <c r="FI9570"/>
      <c r="FJ9570"/>
      <c r="FK9570"/>
      <c r="FL9570"/>
      <c r="FM9570"/>
      <c r="FN9570"/>
      <c r="FO9570"/>
      <c r="FP9570"/>
      <c r="FQ9570"/>
      <c r="FR9570"/>
      <c r="FS9570"/>
      <c r="FT9570"/>
      <c r="FU9570"/>
      <c r="FV9570"/>
      <c r="FW9570"/>
      <c r="FX9570"/>
      <c r="FY9570"/>
      <c r="FZ9570"/>
      <c r="GA9570"/>
      <c r="GB9570"/>
      <c r="GC9570"/>
      <c r="GD9570"/>
      <c r="GE9570"/>
      <c r="GF9570"/>
      <c r="GG9570"/>
      <c r="GH9570"/>
      <c r="GI9570"/>
      <c r="GJ9570"/>
      <c r="GK9570"/>
      <c r="GL9570"/>
      <c r="GM9570"/>
      <c r="GN9570"/>
      <c r="GO9570"/>
    </row>
    <row r="9571" spans="107:197">
      <c r="DC9571"/>
      <c r="FH9571"/>
      <c r="FI9571"/>
      <c r="FJ9571"/>
      <c r="FK9571"/>
      <c r="FL9571"/>
      <c r="FM9571"/>
      <c r="FN9571"/>
      <c r="FO9571"/>
      <c r="FP9571"/>
      <c r="FQ9571"/>
      <c r="FR9571"/>
      <c r="FS9571"/>
      <c r="FT9571"/>
      <c r="FU9571"/>
      <c r="FV9571"/>
      <c r="FW9571"/>
      <c r="FX9571"/>
      <c r="FY9571"/>
      <c r="FZ9571"/>
      <c r="GA9571"/>
      <c r="GB9571"/>
      <c r="GC9571"/>
      <c r="GD9571"/>
      <c r="GE9571"/>
      <c r="GF9571"/>
      <c r="GG9571"/>
      <c r="GH9571"/>
      <c r="GI9571"/>
      <c r="GJ9571"/>
      <c r="GK9571"/>
      <c r="GL9571"/>
      <c r="GM9571"/>
      <c r="GN9571"/>
      <c r="GO9571"/>
    </row>
    <row r="9572" spans="107:197">
      <c r="DC9572"/>
      <c r="FH9572"/>
      <c r="FI9572"/>
      <c r="FJ9572"/>
      <c r="FK9572"/>
      <c r="FL9572"/>
      <c r="FM9572"/>
      <c r="FN9572"/>
      <c r="FO9572"/>
      <c r="FP9572"/>
      <c r="FQ9572"/>
      <c r="FR9572"/>
      <c r="FS9572"/>
      <c r="FT9572"/>
      <c r="FU9572"/>
      <c r="FV9572"/>
      <c r="FW9572"/>
      <c r="FX9572"/>
      <c r="FY9572"/>
      <c r="FZ9572"/>
      <c r="GA9572"/>
      <c r="GB9572"/>
      <c r="GC9572"/>
      <c r="GD9572"/>
      <c r="GE9572"/>
      <c r="GF9572"/>
      <c r="GG9572"/>
      <c r="GH9572"/>
      <c r="GI9572"/>
      <c r="GJ9572"/>
      <c r="GK9572"/>
      <c r="GL9572"/>
      <c r="GM9572"/>
      <c r="GN9572"/>
      <c r="GO9572"/>
    </row>
    <row r="9573" spans="107:197">
      <c r="DC9573"/>
      <c r="FH9573"/>
      <c r="FI9573"/>
      <c r="FJ9573"/>
      <c r="FK9573"/>
      <c r="FL9573"/>
      <c r="FM9573"/>
      <c r="FN9573"/>
      <c r="FO9573"/>
      <c r="FP9573"/>
      <c r="FQ9573"/>
      <c r="FR9573"/>
      <c r="FS9573"/>
      <c r="FT9573"/>
      <c r="FU9573"/>
      <c r="FV9573"/>
      <c r="FW9573"/>
      <c r="FX9573"/>
      <c r="FY9573"/>
      <c r="FZ9573"/>
      <c r="GA9573"/>
      <c r="GB9573"/>
      <c r="GC9573"/>
      <c r="GD9573"/>
      <c r="GE9573"/>
      <c r="GF9573"/>
      <c r="GG9573"/>
      <c r="GH9573"/>
      <c r="GI9573"/>
      <c r="GJ9573"/>
      <c r="GK9573"/>
      <c r="GL9573"/>
      <c r="GM9573"/>
      <c r="GN9573"/>
      <c r="GO9573"/>
    </row>
    <row r="9574" spans="107:197">
      <c r="DC9574"/>
      <c r="FH9574"/>
      <c r="FI9574"/>
      <c r="FJ9574"/>
      <c r="FK9574"/>
      <c r="FL9574"/>
      <c r="FM9574"/>
      <c r="FN9574"/>
      <c r="FO9574"/>
      <c r="FP9574"/>
      <c r="FQ9574"/>
      <c r="FR9574"/>
      <c r="FS9574"/>
      <c r="FT9574"/>
      <c r="FU9574"/>
      <c r="FV9574"/>
      <c r="FW9574"/>
      <c r="FX9574"/>
      <c r="FY9574"/>
      <c r="FZ9574"/>
      <c r="GA9574"/>
      <c r="GB9574"/>
      <c r="GC9574"/>
      <c r="GD9574"/>
      <c r="GE9574"/>
      <c r="GF9574"/>
      <c r="GG9574"/>
      <c r="GH9574"/>
      <c r="GI9574"/>
      <c r="GJ9574"/>
      <c r="GK9574"/>
      <c r="GL9574"/>
      <c r="GM9574"/>
      <c r="GN9574"/>
      <c r="GO9574"/>
    </row>
    <row r="9575" spans="107:197">
      <c r="DC9575"/>
      <c r="FH9575"/>
      <c r="FI9575"/>
      <c r="FJ9575"/>
      <c r="FK9575"/>
      <c r="FL9575"/>
      <c r="FM9575"/>
      <c r="FN9575"/>
      <c r="FO9575"/>
      <c r="FP9575"/>
      <c r="FQ9575"/>
      <c r="FR9575"/>
      <c r="FS9575"/>
      <c r="FT9575"/>
      <c r="FU9575"/>
      <c r="FV9575"/>
      <c r="FW9575"/>
      <c r="FX9575"/>
      <c r="FY9575"/>
      <c r="FZ9575"/>
      <c r="GA9575"/>
      <c r="GB9575"/>
      <c r="GC9575"/>
      <c r="GD9575"/>
      <c r="GE9575"/>
      <c r="GF9575"/>
      <c r="GG9575"/>
      <c r="GH9575"/>
      <c r="GI9575"/>
      <c r="GJ9575"/>
      <c r="GK9575"/>
      <c r="GL9575"/>
      <c r="GM9575"/>
      <c r="GN9575"/>
      <c r="GO9575"/>
    </row>
    <row r="9576" spans="107:197">
      <c r="DC9576"/>
      <c r="FH9576"/>
      <c r="FI9576"/>
      <c r="FJ9576"/>
      <c r="FK9576"/>
      <c r="FL9576"/>
      <c r="FM9576"/>
      <c r="FN9576"/>
      <c r="FO9576"/>
      <c r="FP9576"/>
      <c r="FQ9576"/>
      <c r="FR9576"/>
      <c r="FS9576"/>
      <c r="FT9576"/>
      <c r="FU9576"/>
      <c r="FV9576"/>
      <c r="FW9576"/>
      <c r="FX9576"/>
      <c r="FY9576"/>
      <c r="FZ9576"/>
      <c r="GA9576"/>
      <c r="GB9576"/>
      <c r="GC9576"/>
      <c r="GD9576"/>
      <c r="GE9576"/>
      <c r="GF9576"/>
      <c r="GG9576"/>
      <c r="GH9576"/>
      <c r="GI9576"/>
      <c r="GJ9576"/>
      <c r="GK9576"/>
      <c r="GL9576"/>
      <c r="GM9576"/>
      <c r="GN9576"/>
      <c r="GO9576"/>
    </row>
    <row r="9577" spans="107:197">
      <c r="DC9577"/>
      <c r="FH9577"/>
      <c r="FI9577"/>
      <c r="FJ9577"/>
      <c r="FK9577"/>
      <c r="FL9577"/>
      <c r="FM9577"/>
      <c r="FN9577"/>
      <c r="FO9577"/>
      <c r="FP9577"/>
      <c r="FQ9577"/>
      <c r="FR9577"/>
      <c r="FS9577"/>
      <c r="FT9577"/>
      <c r="FU9577"/>
      <c r="FV9577"/>
      <c r="FW9577"/>
      <c r="FX9577"/>
      <c r="FY9577"/>
      <c r="FZ9577"/>
      <c r="GA9577"/>
      <c r="GB9577"/>
      <c r="GC9577"/>
      <c r="GD9577"/>
      <c r="GE9577"/>
      <c r="GF9577"/>
      <c r="GG9577"/>
      <c r="GH9577"/>
      <c r="GI9577"/>
      <c r="GJ9577"/>
      <c r="GK9577"/>
      <c r="GL9577"/>
      <c r="GM9577"/>
      <c r="GN9577"/>
      <c r="GO9577"/>
    </row>
    <row r="9578" spans="107:197">
      <c r="DC9578"/>
      <c r="FH9578"/>
      <c r="FI9578"/>
      <c r="FJ9578"/>
      <c r="FK9578"/>
      <c r="FL9578"/>
      <c r="FM9578"/>
      <c r="FN9578"/>
      <c r="FO9578"/>
      <c r="FP9578"/>
      <c r="FQ9578"/>
      <c r="FR9578"/>
      <c r="FS9578"/>
      <c r="FT9578"/>
      <c r="FU9578"/>
      <c r="FV9578"/>
      <c r="FW9578"/>
      <c r="FX9578"/>
      <c r="FY9578"/>
      <c r="FZ9578"/>
      <c r="GA9578"/>
      <c r="GB9578"/>
      <c r="GC9578"/>
      <c r="GD9578"/>
      <c r="GE9578"/>
      <c r="GF9578"/>
      <c r="GG9578"/>
      <c r="GH9578"/>
      <c r="GI9578"/>
      <c r="GJ9578"/>
      <c r="GK9578"/>
      <c r="GL9578"/>
      <c r="GM9578"/>
      <c r="GN9578"/>
      <c r="GO9578"/>
    </row>
    <row r="9579" spans="107:197">
      <c r="DC9579"/>
      <c r="FH9579"/>
      <c r="FI9579"/>
      <c r="FJ9579"/>
      <c r="FK9579"/>
      <c r="FL9579"/>
      <c r="FM9579"/>
      <c r="FN9579"/>
      <c r="FO9579"/>
      <c r="FP9579"/>
      <c r="FQ9579"/>
      <c r="FR9579"/>
      <c r="FS9579"/>
      <c r="FT9579"/>
      <c r="FU9579"/>
      <c r="FV9579"/>
      <c r="FW9579"/>
      <c r="FX9579"/>
      <c r="FY9579"/>
      <c r="FZ9579"/>
      <c r="GA9579"/>
      <c r="GB9579"/>
      <c r="GC9579"/>
      <c r="GD9579"/>
      <c r="GE9579"/>
      <c r="GF9579"/>
      <c r="GG9579"/>
      <c r="GH9579"/>
      <c r="GI9579"/>
      <c r="GJ9579"/>
      <c r="GK9579"/>
      <c r="GL9579"/>
      <c r="GM9579"/>
      <c r="GN9579"/>
      <c r="GO9579"/>
    </row>
    <row r="9580" spans="107:197">
      <c r="DC9580"/>
      <c r="FH9580"/>
      <c r="FI9580"/>
      <c r="FJ9580"/>
      <c r="FK9580"/>
      <c r="FL9580"/>
      <c r="FM9580"/>
      <c r="FN9580"/>
      <c r="FO9580"/>
      <c r="FP9580"/>
      <c r="FQ9580"/>
      <c r="FR9580"/>
      <c r="FS9580"/>
      <c r="FT9580"/>
      <c r="FU9580"/>
      <c r="FV9580"/>
      <c r="FW9580"/>
      <c r="FX9580"/>
      <c r="FY9580"/>
      <c r="FZ9580"/>
      <c r="GA9580"/>
      <c r="GB9580"/>
      <c r="GC9580"/>
      <c r="GD9580"/>
      <c r="GE9580"/>
      <c r="GF9580"/>
      <c r="GG9580"/>
      <c r="GH9580"/>
      <c r="GI9580"/>
      <c r="GJ9580"/>
      <c r="GK9580"/>
      <c r="GL9580"/>
      <c r="GM9580"/>
      <c r="GN9580"/>
      <c r="GO9580"/>
    </row>
    <row r="9581" spans="107:197">
      <c r="DC9581"/>
      <c r="FH9581"/>
      <c r="FI9581"/>
      <c r="FJ9581"/>
      <c r="FK9581"/>
      <c r="FL9581"/>
      <c r="FM9581"/>
      <c r="FN9581"/>
      <c r="FO9581"/>
      <c r="FP9581"/>
      <c r="FQ9581"/>
      <c r="FR9581"/>
      <c r="FS9581"/>
      <c r="FT9581"/>
      <c r="FU9581"/>
      <c r="FV9581"/>
      <c r="FW9581"/>
      <c r="FX9581"/>
      <c r="FY9581"/>
      <c r="FZ9581"/>
      <c r="GA9581"/>
      <c r="GB9581"/>
      <c r="GC9581"/>
      <c r="GD9581"/>
      <c r="GE9581"/>
      <c r="GF9581"/>
      <c r="GG9581"/>
      <c r="GH9581"/>
      <c r="GI9581"/>
      <c r="GJ9581"/>
      <c r="GK9581"/>
      <c r="GL9581"/>
      <c r="GM9581"/>
      <c r="GN9581"/>
      <c r="GO9581"/>
    </row>
    <row r="9582" spans="107:197">
      <c r="DC9582"/>
      <c r="FH9582"/>
      <c r="FI9582"/>
      <c r="FJ9582"/>
      <c r="FK9582"/>
      <c r="FL9582"/>
      <c r="FM9582"/>
      <c r="FN9582"/>
      <c r="FO9582"/>
      <c r="FP9582"/>
      <c r="FQ9582"/>
      <c r="FR9582"/>
      <c r="FS9582"/>
      <c r="FT9582"/>
      <c r="FU9582"/>
      <c r="FV9582"/>
      <c r="FW9582"/>
      <c r="FX9582"/>
      <c r="FY9582"/>
      <c r="FZ9582"/>
      <c r="GA9582"/>
      <c r="GB9582"/>
      <c r="GC9582"/>
      <c r="GD9582"/>
      <c r="GE9582"/>
      <c r="GF9582"/>
      <c r="GG9582"/>
      <c r="GH9582"/>
      <c r="GI9582"/>
      <c r="GJ9582"/>
      <c r="GK9582"/>
      <c r="GL9582"/>
      <c r="GM9582"/>
      <c r="GN9582"/>
      <c r="GO9582"/>
    </row>
    <row r="9583" spans="107:197">
      <c r="DC9583"/>
      <c r="FH9583"/>
      <c r="FI9583"/>
      <c r="FJ9583"/>
      <c r="FK9583"/>
      <c r="FL9583"/>
      <c r="FM9583"/>
      <c r="FN9583"/>
      <c r="FO9583"/>
      <c r="FP9583"/>
      <c r="FQ9583"/>
      <c r="FR9583"/>
      <c r="FS9583"/>
      <c r="FT9583"/>
      <c r="FU9583"/>
      <c r="FV9583"/>
      <c r="FW9583"/>
      <c r="FX9583"/>
      <c r="FY9583"/>
      <c r="FZ9583"/>
      <c r="GA9583"/>
      <c r="GB9583"/>
      <c r="GC9583"/>
      <c r="GD9583"/>
      <c r="GE9583"/>
      <c r="GF9583"/>
      <c r="GG9583"/>
      <c r="GH9583"/>
      <c r="GI9583"/>
      <c r="GJ9583"/>
      <c r="GK9583"/>
      <c r="GL9583"/>
      <c r="GM9583"/>
      <c r="GN9583"/>
      <c r="GO9583"/>
    </row>
    <row r="9584" spans="107:197">
      <c r="DC9584"/>
      <c r="FH9584"/>
      <c r="FI9584"/>
      <c r="FJ9584"/>
      <c r="FK9584"/>
      <c r="FL9584"/>
      <c r="FM9584"/>
      <c r="FN9584"/>
      <c r="FO9584"/>
      <c r="FP9584"/>
      <c r="FQ9584"/>
      <c r="FR9584"/>
      <c r="FS9584"/>
      <c r="FT9584"/>
      <c r="FU9584"/>
      <c r="FV9584"/>
      <c r="FW9584"/>
      <c r="FX9584"/>
      <c r="FY9584"/>
      <c r="FZ9584"/>
      <c r="GA9584"/>
      <c r="GB9584"/>
      <c r="GC9584"/>
      <c r="GD9584"/>
      <c r="GE9584"/>
      <c r="GF9584"/>
      <c r="GG9584"/>
      <c r="GH9584"/>
      <c r="GI9584"/>
      <c r="GJ9584"/>
      <c r="GK9584"/>
      <c r="GL9584"/>
      <c r="GM9584"/>
      <c r="GN9584"/>
      <c r="GO9584"/>
    </row>
    <row r="9585" spans="107:197">
      <c r="DC9585"/>
      <c r="FH9585"/>
      <c r="FI9585"/>
      <c r="FJ9585"/>
      <c r="FK9585"/>
      <c r="FL9585"/>
      <c r="FM9585"/>
      <c r="FN9585"/>
      <c r="FO9585"/>
      <c r="FP9585"/>
      <c r="FQ9585"/>
      <c r="FR9585"/>
      <c r="FS9585"/>
      <c r="FT9585"/>
      <c r="FU9585"/>
      <c r="FV9585"/>
      <c r="FW9585"/>
      <c r="FX9585"/>
      <c r="FY9585"/>
      <c r="FZ9585"/>
      <c r="GA9585"/>
      <c r="GB9585"/>
      <c r="GC9585"/>
      <c r="GD9585"/>
      <c r="GE9585"/>
      <c r="GF9585"/>
      <c r="GG9585"/>
      <c r="GH9585"/>
      <c r="GI9585"/>
      <c r="GJ9585"/>
      <c r="GK9585"/>
      <c r="GL9585"/>
      <c r="GM9585"/>
      <c r="GN9585"/>
      <c r="GO9585"/>
    </row>
    <row r="9586" spans="107:197">
      <c r="DC9586"/>
      <c r="FH9586"/>
      <c r="FI9586"/>
      <c r="FJ9586"/>
      <c r="FK9586"/>
      <c r="FL9586"/>
      <c r="FM9586"/>
      <c r="FN9586"/>
      <c r="FO9586"/>
      <c r="FP9586"/>
      <c r="FQ9586"/>
      <c r="FR9586"/>
      <c r="FS9586"/>
      <c r="FT9586"/>
      <c r="FU9586"/>
      <c r="FV9586"/>
      <c r="FW9586"/>
      <c r="FX9586"/>
      <c r="FY9586"/>
      <c r="FZ9586"/>
      <c r="GA9586"/>
      <c r="GB9586"/>
      <c r="GC9586"/>
      <c r="GD9586"/>
      <c r="GE9586"/>
      <c r="GF9586"/>
      <c r="GG9586"/>
      <c r="GH9586"/>
      <c r="GI9586"/>
      <c r="GJ9586"/>
      <c r="GK9586"/>
      <c r="GL9586"/>
      <c r="GM9586"/>
      <c r="GN9586"/>
      <c r="GO9586"/>
    </row>
    <row r="9587" spans="107:197">
      <c r="DC9587"/>
      <c r="FH9587"/>
      <c r="FI9587"/>
      <c r="FJ9587"/>
      <c r="FK9587"/>
      <c r="FL9587"/>
      <c r="FM9587"/>
      <c r="FN9587"/>
      <c r="FO9587"/>
      <c r="FP9587"/>
      <c r="FQ9587"/>
      <c r="FR9587"/>
      <c r="FS9587"/>
      <c r="FT9587"/>
      <c r="FU9587"/>
      <c r="FV9587"/>
      <c r="FW9587"/>
      <c r="FX9587"/>
      <c r="FY9587"/>
      <c r="FZ9587"/>
      <c r="GA9587"/>
      <c r="GB9587"/>
      <c r="GC9587"/>
      <c r="GD9587"/>
      <c r="GE9587"/>
      <c r="GF9587"/>
      <c r="GG9587"/>
      <c r="GH9587"/>
      <c r="GI9587"/>
      <c r="GJ9587"/>
      <c r="GK9587"/>
      <c r="GL9587"/>
      <c r="GM9587"/>
      <c r="GN9587"/>
      <c r="GO9587"/>
    </row>
    <row r="9588" spans="107:197">
      <c r="DC9588"/>
      <c r="FH9588"/>
      <c r="FI9588"/>
      <c r="FJ9588"/>
      <c r="FK9588"/>
      <c r="FL9588"/>
      <c r="FM9588"/>
      <c r="FN9588"/>
      <c r="FO9588"/>
      <c r="FP9588"/>
      <c r="FQ9588"/>
      <c r="FR9588"/>
      <c r="FS9588"/>
      <c r="FT9588"/>
      <c r="FU9588"/>
      <c r="FV9588"/>
      <c r="FW9588"/>
      <c r="FX9588"/>
      <c r="FY9588"/>
      <c r="FZ9588"/>
      <c r="GA9588"/>
      <c r="GB9588"/>
      <c r="GC9588"/>
      <c r="GD9588"/>
      <c r="GE9588"/>
      <c r="GF9588"/>
      <c r="GG9588"/>
      <c r="GH9588"/>
      <c r="GI9588"/>
      <c r="GJ9588"/>
      <c r="GK9588"/>
      <c r="GL9588"/>
      <c r="GM9588"/>
      <c r="GN9588"/>
      <c r="GO9588"/>
    </row>
    <row r="9589" spans="107:197">
      <c r="DC9589"/>
      <c r="FH9589"/>
      <c r="FI9589"/>
      <c r="FJ9589"/>
      <c r="FK9589"/>
      <c r="FL9589"/>
      <c r="FM9589"/>
      <c r="FN9589"/>
      <c r="FO9589"/>
      <c r="FP9589"/>
      <c r="FQ9589"/>
      <c r="FR9589"/>
      <c r="FS9589"/>
      <c r="FT9589"/>
      <c r="FU9589"/>
      <c r="FV9589"/>
      <c r="FW9589"/>
      <c r="FX9589"/>
      <c r="FY9589"/>
      <c r="FZ9589"/>
      <c r="GA9589"/>
      <c r="GB9589"/>
      <c r="GC9589"/>
      <c r="GD9589"/>
      <c r="GE9589"/>
      <c r="GF9589"/>
      <c r="GG9589"/>
      <c r="GH9589"/>
      <c r="GI9589"/>
      <c r="GJ9589"/>
      <c r="GK9589"/>
      <c r="GL9589"/>
      <c r="GM9589"/>
      <c r="GN9589"/>
      <c r="GO9589"/>
    </row>
    <row r="9590" spans="107:197">
      <c r="DC9590"/>
      <c r="FH9590"/>
      <c r="FI9590"/>
      <c r="FJ9590"/>
      <c r="FK9590"/>
      <c r="FL9590"/>
      <c r="FM9590"/>
      <c r="FN9590"/>
      <c r="FO9590"/>
      <c r="FP9590"/>
      <c r="FQ9590"/>
      <c r="FR9590"/>
      <c r="FS9590"/>
      <c r="FT9590"/>
      <c r="FU9590"/>
      <c r="FV9590"/>
      <c r="FW9590"/>
      <c r="FX9590"/>
      <c r="FY9590"/>
      <c r="FZ9590"/>
      <c r="GA9590"/>
      <c r="GB9590"/>
      <c r="GC9590"/>
      <c r="GD9590"/>
      <c r="GE9590"/>
      <c r="GF9590"/>
      <c r="GG9590"/>
      <c r="GH9590"/>
      <c r="GI9590"/>
      <c r="GJ9590"/>
      <c r="GK9590"/>
      <c r="GL9590"/>
      <c r="GM9590"/>
      <c r="GN9590"/>
      <c r="GO9590"/>
    </row>
    <row r="9591" spans="107:197">
      <c r="DC9591"/>
      <c r="FH9591"/>
      <c r="FI9591"/>
      <c r="FJ9591"/>
      <c r="FK9591"/>
      <c r="FL9591"/>
      <c r="FM9591"/>
      <c r="FN9591"/>
      <c r="FO9591"/>
      <c r="FP9591"/>
      <c r="FQ9591"/>
      <c r="FR9591"/>
      <c r="FS9591"/>
      <c r="FT9591"/>
      <c r="FU9591"/>
      <c r="FV9591"/>
      <c r="FW9591"/>
      <c r="FX9591"/>
      <c r="FY9591"/>
      <c r="FZ9591"/>
      <c r="GA9591"/>
      <c r="GB9591"/>
      <c r="GC9591"/>
      <c r="GD9591"/>
      <c r="GE9591"/>
      <c r="GF9591"/>
      <c r="GG9591"/>
      <c r="GH9591"/>
      <c r="GI9591"/>
      <c r="GJ9591"/>
      <c r="GK9591"/>
      <c r="GL9591"/>
      <c r="GM9591"/>
      <c r="GN9591"/>
      <c r="GO9591"/>
    </row>
    <row r="9592" spans="107:197">
      <c r="DC9592"/>
      <c r="FH9592"/>
      <c r="FI9592"/>
      <c r="FJ9592"/>
      <c r="FK9592"/>
      <c r="FL9592"/>
      <c r="FM9592"/>
      <c r="FN9592"/>
      <c r="FO9592"/>
      <c r="FP9592"/>
      <c r="FQ9592"/>
      <c r="FR9592"/>
      <c r="FS9592"/>
      <c r="FT9592"/>
      <c r="FU9592"/>
      <c r="FV9592"/>
      <c r="FW9592"/>
      <c r="FX9592"/>
      <c r="FY9592"/>
      <c r="FZ9592"/>
      <c r="GA9592"/>
      <c r="GB9592"/>
      <c r="GC9592"/>
      <c r="GD9592"/>
      <c r="GE9592"/>
      <c r="GF9592"/>
      <c r="GG9592"/>
      <c r="GH9592"/>
      <c r="GI9592"/>
      <c r="GJ9592"/>
      <c r="GK9592"/>
      <c r="GL9592"/>
      <c r="GM9592"/>
      <c r="GN9592"/>
      <c r="GO9592"/>
    </row>
    <row r="9593" spans="107:197">
      <c r="DC9593"/>
      <c r="FH9593"/>
      <c r="FI9593"/>
      <c r="FJ9593"/>
      <c r="FK9593"/>
      <c r="FL9593"/>
      <c r="FM9593"/>
      <c r="FN9593"/>
      <c r="FO9593"/>
      <c r="FP9593"/>
      <c r="FQ9593"/>
      <c r="FR9593"/>
      <c r="FS9593"/>
      <c r="FT9593"/>
      <c r="FU9593"/>
      <c r="FV9593"/>
      <c r="FW9593"/>
      <c r="FX9593"/>
      <c r="FY9593"/>
      <c r="FZ9593"/>
      <c r="GA9593"/>
      <c r="GB9593"/>
      <c r="GC9593"/>
      <c r="GD9593"/>
      <c r="GE9593"/>
      <c r="GF9593"/>
      <c r="GG9593"/>
      <c r="GH9593"/>
      <c r="GI9593"/>
      <c r="GJ9593"/>
      <c r="GK9593"/>
      <c r="GL9593"/>
      <c r="GM9593"/>
      <c r="GN9593"/>
      <c r="GO9593"/>
    </row>
    <row r="9594" spans="107:197">
      <c r="DC9594"/>
      <c r="FH9594"/>
      <c r="FI9594"/>
      <c r="FJ9594"/>
      <c r="FK9594"/>
      <c r="FL9594"/>
      <c r="FM9594"/>
      <c r="FN9594"/>
      <c r="FO9594"/>
      <c r="FP9594"/>
      <c r="FQ9594"/>
      <c r="FR9594"/>
      <c r="FS9594"/>
      <c r="FT9594"/>
      <c r="FU9594"/>
      <c r="FV9594"/>
      <c r="FW9594"/>
      <c r="FX9594"/>
      <c r="FY9594"/>
      <c r="FZ9594"/>
      <c r="GA9594"/>
      <c r="GB9594"/>
      <c r="GC9594"/>
      <c r="GD9594"/>
      <c r="GE9594"/>
      <c r="GF9594"/>
      <c r="GG9594"/>
      <c r="GH9594"/>
      <c r="GI9594"/>
      <c r="GJ9594"/>
      <c r="GK9594"/>
      <c r="GL9594"/>
      <c r="GM9594"/>
      <c r="GN9594"/>
      <c r="GO9594"/>
    </row>
    <row r="9595" spans="107:197">
      <c r="DC9595"/>
      <c r="FH9595"/>
      <c r="FI9595"/>
      <c r="FJ9595"/>
      <c r="FK9595"/>
      <c r="FL9595"/>
      <c r="FM9595"/>
      <c r="FN9595"/>
      <c r="FO9595"/>
      <c r="FP9595"/>
      <c r="FQ9595"/>
      <c r="FR9595"/>
      <c r="FS9595"/>
      <c r="FT9595"/>
      <c r="FU9595"/>
      <c r="FV9595"/>
      <c r="FW9595"/>
      <c r="FX9595"/>
      <c r="FY9595"/>
      <c r="FZ9595"/>
      <c r="GA9595"/>
      <c r="GB9595"/>
      <c r="GC9595"/>
      <c r="GD9595"/>
      <c r="GE9595"/>
      <c r="GF9595"/>
      <c r="GG9595"/>
      <c r="GH9595"/>
      <c r="GI9595"/>
      <c r="GJ9595"/>
      <c r="GK9595"/>
      <c r="GL9595"/>
      <c r="GM9595"/>
      <c r="GN9595"/>
      <c r="GO9595"/>
    </row>
    <row r="9596" spans="107:197">
      <c r="DC9596"/>
      <c r="FH9596"/>
      <c r="FI9596"/>
      <c r="FJ9596"/>
      <c r="FK9596"/>
      <c r="FL9596"/>
      <c r="FM9596"/>
      <c r="FN9596"/>
      <c r="FO9596"/>
      <c r="FP9596"/>
      <c r="FQ9596"/>
      <c r="FR9596"/>
      <c r="FS9596"/>
      <c r="FT9596"/>
      <c r="FU9596"/>
      <c r="FV9596"/>
      <c r="FW9596"/>
      <c r="FX9596"/>
      <c r="FY9596"/>
      <c r="FZ9596"/>
      <c r="GA9596"/>
      <c r="GB9596"/>
      <c r="GC9596"/>
      <c r="GD9596"/>
      <c r="GE9596"/>
      <c r="GF9596"/>
      <c r="GG9596"/>
      <c r="GH9596"/>
      <c r="GI9596"/>
      <c r="GJ9596"/>
      <c r="GK9596"/>
      <c r="GL9596"/>
      <c r="GM9596"/>
      <c r="GN9596"/>
      <c r="GO9596"/>
    </row>
    <row r="9597" spans="107:197">
      <c r="DC9597"/>
      <c r="FH9597"/>
      <c r="FI9597"/>
      <c r="FJ9597"/>
      <c r="FK9597"/>
      <c r="FL9597"/>
      <c r="FM9597"/>
      <c r="FN9597"/>
      <c r="FO9597"/>
      <c r="FP9597"/>
      <c r="FQ9597"/>
      <c r="FR9597"/>
      <c r="FS9597"/>
      <c r="FT9597"/>
      <c r="FU9597"/>
      <c r="FV9597"/>
      <c r="FW9597"/>
      <c r="FX9597"/>
      <c r="FY9597"/>
      <c r="FZ9597"/>
      <c r="GA9597"/>
      <c r="GB9597"/>
      <c r="GC9597"/>
      <c r="GD9597"/>
      <c r="GE9597"/>
      <c r="GF9597"/>
      <c r="GG9597"/>
      <c r="GH9597"/>
      <c r="GI9597"/>
      <c r="GJ9597"/>
      <c r="GK9597"/>
      <c r="GL9597"/>
      <c r="GM9597"/>
      <c r="GN9597"/>
      <c r="GO9597"/>
    </row>
    <row r="9598" spans="107:197">
      <c r="DC9598"/>
      <c r="FH9598"/>
      <c r="FI9598"/>
      <c r="FJ9598"/>
      <c r="FK9598"/>
      <c r="FL9598"/>
      <c r="FM9598"/>
      <c r="FN9598"/>
      <c r="FO9598"/>
      <c r="FP9598"/>
      <c r="FQ9598"/>
      <c r="FR9598"/>
      <c r="FS9598"/>
      <c r="FT9598"/>
      <c r="FU9598"/>
      <c r="FV9598"/>
      <c r="FW9598"/>
      <c r="FX9598"/>
      <c r="FY9598"/>
      <c r="FZ9598"/>
      <c r="GA9598"/>
      <c r="GB9598"/>
      <c r="GC9598"/>
      <c r="GD9598"/>
      <c r="GE9598"/>
      <c r="GF9598"/>
      <c r="GG9598"/>
      <c r="GH9598"/>
      <c r="GI9598"/>
      <c r="GJ9598"/>
      <c r="GK9598"/>
      <c r="GL9598"/>
      <c r="GM9598"/>
      <c r="GN9598"/>
      <c r="GO9598"/>
    </row>
    <row r="9599" spans="107:197">
      <c r="DC9599"/>
      <c r="FH9599"/>
      <c r="FI9599"/>
      <c r="FJ9599"/>
      <c r="FK9599"/>
      <c r="FL9599"/>
      <c r="FM9599"/>
      <c r="FN9599"/>
      <c r="FO9599"/>
      <c r="FP9599"/>
      <c r="FQ9599"/>
      <c r="FR9599"/>
      <c r="FS9599"/>
      <c r="FT9599"/>
      <c r="FU9599"/>
      <c r="FV9599"/>
      <c r="FW9599"/>
      <c r="FX9599"/>
      <c r="FY9599"/>
      <c r="FZ9599"/>
      <c r="GA9599"/>
      <c r="GB9599"/>
      <c r="GC9599"/>
      <c r="GD9599"/>
      <c r="GE9599"/>
      <c r="GF9599"/>
      <c r="GG9599"/>
      <c r="GH9599"/>
      <c r="GI9599"/>
      <c r="GJ9599"/>
      <c r="GK9599"/>
      <c r="GL9599"/>
      <c r="GM9599"/>
      <c r="GN9599"/>
      <c r="GO9599"/>
    </row>
    <row r="9600" spans="107:197">
      <c r="DC9600"/>
      <c r="FH9600"/>
      <c r="FI9600"/>
      <c r="FJ9600"/>
      <c r="FK9600"/>
      <c r="FL9600"/>
      <c r="FM9600"/>
      <c r="FN9600"/>
      <c r="FO9600"/>
      <c r="FP9600"/>
      <c r="FQ9600"/>
      <c r="FR9600"/>
      <c r="FS9600"/>
      <c r="FT9600"/>
      <c r="FU9600"/>
      <c r="FV9600"/>
      <c r="FW9600"/>
      <c r="FX9600"/>
      <c r="FY9600"/>
      <c r="FZ9600"/>
      <c r="GA9600"/>
      <c r="GB9600"/>
      <c r="GC9600"/>
      <c r="GD9600"/>
      <c r="GE9600"/>
      <c r="GF9600"/>
      <c r="GG9600"/>
      <c r="GH9600"/>
      <c r="GI9600"/>
      <c r="GJ9600"/>
      <c r="GK9600"/>
      <c r="GL9600"/>
      <c r="GM9600"/>
      <c r="GN9600"/>
      <c r="GO9600"/>
    </row>
    <row r="9601" spans="107:197">
      <c r="DC9601"/>
      <c r="FH9601"/>
      <c r="FI9601"/>
      <c r="FJ9601"/>
      <c r="FK9601"/>
      <c r="FL9601"/>
      <c r="FM9601"/>
      <c r="FN9601"/>
      <c r="FO9601"/>
      <c r="FP9601"/>
      <c r="FQ9601"/>
      <c r="FR9601"/>
      <c r="FS9601"/>
      <c r="FT9601"/>
      <c r="FU9601"/>
      <c r="FV9601"/>
      <c r="FW9601"/>
      <c r="FX9601"/>
      <c r="FY9601"/>
      <c r="FZ9601"/>
      <c r="GA9601"/>
      <c r="GB9601"/>
      <c r="GC9601"/>
      <c r="GD9601"/>
      <c r="GE9601"/>
      <c r="GF9601"/>
      <c r="GG9601"/>
      <c r="GH9601"/>
      <c r="GI9601"/>
      <c r="GJ9601"/>
      <c r="GK9601"/>
      <c r="GL9601"/>
      <c r="GM9601"/>
      <c r="GN9601"/>
      <c r="GO9601"/>
    </row>
    <row r="9602" spans="107:197">
      <c r="DC9602"/>
      <c r="FH9602"/>
      <c r="FI9602"/>
      <c r="FJ9602"/>
      <c r="FK9602"/>
      <c r="FL9602"/>
      <c r="FM9602"/>
      <c r="FN9602"/>
      <c r="FO9602"/>
      <c r="FP9602"/>
      <c r="FQ9602"/>
      <c r="FR9602"/>
      <c r="FS9602"/>
      <c r="FT9602"/>
      <c r="FU9602"/>
      <c r="FV9602"/>
      <c r="FW9602"/>
      <c r="FX9602"/>
      <c r="FY9602"/>
      <c r="FZ9602"/>
      <c r="GA9602"/>
      <c r="GB9602"/>
      <c r="GC9602"/>
      <c r="GD9602"/>
      <c r="GE9602"/>
      <c r="GF9602"/>
      <c r="GG9602"/>
      <c r="GH9602"/>
      <c r="GI9602"/>
      <c r="GJ9602"/>
      <c r="GK9602"/>
      <c r="GL9602"/>
      <c r="GM9602"/>
      <c r="GN9602"/>
      <c r="GO9602"/>
    </row>
    <row r="9603" spans="107:197">
      <c r="DC9603"/>
      <c r="FH9603"/>
      <c r="FI9603"/>
      <c r="FJ9603"/>
      <c r="FK9603"/>
      <c r="FL9603"/>
      <c r="FM9603"/>
      <c r="FN9603"/>
      <c r="FO9603"/>
      <c r="FP9603"/>
      <c r="FQ9603"/>
      <c r="FR9603"/>
      <c r="FS9603"/>
      <c r="FT9603"/>
      <c r="FU9603"/>
      <c r="FV9603"/>
      <c r="FW9603"/>
      <c r="FX9603"/>
      <c r="FY9603"/>
      <c r="FZ9603"/>
      <c r="GA9603"/>
      <c r="GB9603"/>
      <c r="GC9603"/>
      <c r="GD9603"/>
      <c r="GE9603"/>
      <c r="GF9603"/>
      <c r="GG9603"/>
      <c r="GH9603"/>
      <c r="GI9603"/>
      <c r="GJ9603"/>
      <c r="GK9603"/>
      <c r="GL9603"/>
      <c r="GM9603"/>
      <c r="GN9603"/>
      <c r="GO9603"/>
    </row>
    <row r="9604" spans="107:197">
      <c r="DC9604"/>
      <c r="FH9604"/>
      <c r="FI9604"/>
      <c r="FJ9604"/>
      <c r="FK9604"/>
      <c r="FL9604"/>
      <c r="FM9604"/>
      <c r="FN9604"/>
      <c r="FO9604"/>
      <c r="FP9604"/>
      <c r="FQ9604"/>
      <c r="FR9604"/>
      <c r="FS9604"/>
      <c r="FT9604"/>
      <c r="FU9604"/>
      <c r="FV9604"/>
      <c r="FW9604"/>
      <c r="FX9604"/>
      <c r="FY9604"/>
      <c r="FZ9604"/>
      <c r="GA9604"/>
      <c r="GB9604"/>
      <c r="GC9604"/>
      <c r="GD9604"/>
      <c r="GE9604"/>
      <c r="GF9604"/>
      <c r="GG9604"/>
      <c r="GH9604"/>
      <c r="GI9604"/>
      <c r="GJ9604"/>
      <c r="GK9604"/>
      <c r="GL9604"/>
      <c r="GM9604"/>
      <c r="GN9604"/>
      <c r="GO9604"/>
    </row>
    <row r="9605" spans="107:197">
      <c r="DC9605"/>
      <c r="FH9605"/>
      <c r="FI9605"/>
      <c r="FJ9605"/>
      <c r="FK9605"/>
      <c r="FL9605"/>
      <c r="FM9605"/>
      <c r="FN9605"/>
      <c r="FO9605"/>
      <c r="FP9605"/>
      <c r="FQ9605"/>
      <c r="FR9605"/>
      <c r="FS9605"/>
      <c r="FT9605"/>
      <c r="FU9605"/>
      <c r="FV9605"/>
      <c r="FW9605"/>
      <c r="FX9605"/>
      <c r="FY9605"/>
      <c r="FZ9605"/>
      <c r="GA9605"/>
      <c r="GB9605"/>
      <c r="GC9605"/>
      <c r="GD9605"/>
      <c r="GE9605"/>
      <c r="GF9605"/>
      <c r="GG9605"/>
      <c r="GH9605"/>
      <c r="GI9605"/>
      <c r="GJ9605"/>
      <c r="GK9605"/>
      <c r="GL9605"/>
      <c r="GM9605"/>
      <c r="GN9605"/>
      <c r="GO9605"/>
    </row>
    <row r="9606" spans="107:197">
      <c r="DC9606"/>
      <c r="FH9606"/>
      <c r="FI9606"/>
      <c r="FJ9606"/>
      <c r="FK9606"/>
      <c r="FL9606"/>
      <c r="FM9606"/>
      <c r="FN9606"/>
      <c r="FO9606"/>
      <c r="FP9606"/>
      <c r="FQ9606"/>
      <c r="FR9606"/>
      <c r="FS9606"/>
      <c r="FT9606"/>
      <c r="FU9606"/>
      <c r="FV9606"/>
      <c r="FW9606"/>
      <c r="FX9606"/>
      <c r="FY9606"/>
      <c r="FZ9606"/>
      <c r="GA9606"/>
      <c r="GB9606"/>
      <c r="GC9606"/>
      <c r="GD9606"/>
      <c r="GE9606"/>
      <c r="GF9606"/>
      <c r="GG9606"/>
      <c r="GH9606"/>
      <c r="GI9606"/>
      <c r="GJ9606"/>
      <c r="GK9606"/>
      <c r="GL9606"/>
      <c r="GM9606"/>
      <c r="GN9606"/>
      <c r="GO9606"/>
    </row>
    <row r="9607" spans="107:197">
      <c r="DC9607"/>
      <c r="FH9607"/>
      <c r="FI9607"/>
      <c r="FJ9607"/>
      <c r="FK9607"/>
      <c r="FL9607"/>
      <c r="FM9607"/>
      <c r="FN9607"/>
      <c r="FO9607"/>
      <c r="FP9607"/>
      <c r="FQ9607"/>
      <c r="FR9607"/>
      <c r="FS9607"/>
      <c r="FT9607"/>
      <c r="FU9607"/>
      <c r="FV9607"/>
      <c r="FW9607"/>
      <c r="FX9607"/>
      <c r="FY9607"/>
      <c r="FZ9607"/>
      <c r="GA9607"/>
      <c r="GB9607"/>
      <c r="GC9607"/>
      <c r="GD9607"/>
      <c r="GE9607"/>
      <c r="GF9607"/>
      <c r="GG9607"/>
      <c r="GH9607"/>
      <c r="GI9607"/>
      <c r="GJ9607"/>
      <c r="GK9607"/>
      <c r="GL9607"/>
      <c r="GM9607"/>
      <c r="GN9607"/>
      <c r="GO9607"/>
    </row>
    <row r="9608" spans="107:197">
      <c r="DC9608"/>
      <c r="FH9608"/>
      <c r="FI9608"/>
      <c r="FJ9608"/>
      <c r="FK9608"/>
      <c r="FL9608"/>
      <c r="FM9608"/>
      <c r="FN9608"/>
      <c r="FO9608"/>
      <c r="FP9608"/>
      <c r="FQ9608"/>
      <c r="FR9608"/>
      <c r="FS9608"/>
      <c r="FT9608"/>
      <c r="FU9608"/>
      <c r="FV9608"/>
      <c r="FW9608"/>
      <c r="FX9608"/>
      <c r="FY9608"/>
      <c r="FZ9608"/>
      <c r="GA9608"/>
      <c r="GB9608"/>
      <c r="GC9608"/>
      <c r="GD9608"/>
      <c r="GE9608"/>
      <c r="GF9608"/>
      <c r="GG9608"/>
      <c r="GH9608"/>
      <c r="GI9608"/>
      <c r="GJ9608"/>
      <c r="GK9608"/>
      <c r="GL9608"/>
      <c r="GM9608"/>
      <c r="GN9608"/>
      <c r="GO9608"/>
    </row>
    <row r="9609" spans="107:197">
      <c r="DC9609"/>
      <c r="FH9609"/>
      <c r="FI9609"/>
      <c r="FJ9609"/>
      <c r="FK9609"/>
      <c r="FL9609"/>
      <c r="FM9609"/>
      <c r="FN9609"/>
      <c r="FO9609"/>
      <c r="FP9609"/>
      <c r="FQ9609"/>
      <c r="FR9609"/>
      <c r="FS9609"/>
      <c r="FT9609"/>
      <c r="FU9609"/>
      <c r="FV9609"/>
      <c r="FW9609"/>
      <c r="FX9609"/>
      <c r="FY9609"/>
      <c r="FZ9609"/>
      <c r="GA9609"/>
      <c r="GB9609"/>
      <c r="GC9609"/>
      <c r="GD9609"/>
      <c r="GE9609"/>
      <c r="GF9609"/>
      <c r="GG9609"/>
      <c r="GH9609"/>
      <c r="GI9609"/>
      <c r="GJ9609"/>
      <c r="GK9609"/>
      <c r="GL9609"/>
      <c r="GM9609"/>
      <c r="GN9609"/>
      <c r="GO9609"/>
    </row>
    <row r="9610" spans="107:197">
      <c r="DC9610"/>
      <c r="FH9610"/>
      <c r="FI9610"/>
      <c r="FJ9610"/>
      <c r="FK9610"/>
      <c r="FL9610"/>
      <c r="FM9610"/>
      <c r="FN9610"/>
      <c r="FO9610"/>
      <c r="FP9610"/>
      <c r="FQ9610"/>
      <c r="FR9610"/>
      <c r="FS9610"/>
      <c r="FT9610"/>
      <c r="FU9610"/>
      <c r="FV9610"/>
      <c r="FW9610"/>
      <c r="FX9610"/>
      <c r="FY9610"/>
      <c r="FZ9610"/>
      <c r="GA9610"/>
      <c r="GB9610"/>
      <c r="GC9610"/>
      <c r="GD9610"/>
      <c r="GE9610"/>
      <c r="GF9610"/>
      <c r="GG9610"/>
      <c r="GH9610"/>
      <c r="GI9610"/>
      <c r="GJ9610"/>
      <c r="GK9610"/>
      <c r="GL9610"/>
      <c r="GM9610"/>
      <c r="GN9610"/>
      <c r="GO9610"/>
    </row>
    <row r="9611" spans="107:197">
      <c r="DC9611"/>
      <c r="FH9611"/>
      <c r="FI9611"/>
      <c r="FJ9611"/>
      <c r="FK9611"/>
      <c r="FL9611"/>
      <c r="FM9611"/>
      <c r="FN9611"/>
      <c r="FO9611"/>
      <c r="FP9611"/>
      <c r="FQ9611"/>
      <c r="FR9611"/>
      <c r="FS9611"/>
      <c r="FT9611"/>
      <c r="FU9611"/>
      <c r="FV9611"/>
      <c r="FW9611"/>
      <c r="FX9611"/>
      <c r="FY9611"/>
      <c r="FZ9611"/>
      <c r="GA9611"/>
      <c r="GB9611"/>
      <c r="GC9611"/>
      <c r="GD9611"/>
      <c r="GE9611"/>
      <c r="GF9611"/>
      <c r="GG9611"/>
      <c r="GH9611"/>
      <c r="GI9611"/>
      <c r="GJ9611"/>
      <c r="GK9611"/>
      <c r="GL9611"/>
      <c r="GM9611"/>
      <c r="GN9611"/>
      <c r="GO9611"/>
    </row>
    <row r="9612" spans="107:197">
      <c r="DC9612"/>
      <c r="FH9612"/>
      <c r="FI9612"/>
      <c r="FJ9612"/>
      <c r="FK9612"/>
      <c r="FL9612"/>
      <c r="FM9612"/>
      <c r="FN9612"/>
      <c r="FO9612"/>
      <c r="FP9612"/>
      <c r="FQ9612"/>
      <c r="FR9612"/>
      <c r="FS9612"/>
      <c r="FT9612"/>
      <c r="FU9612"/>
      <c r="FV9612"/>
      <c r="FW9612"/>
      <c r="FX9612"/>
      <c r="FY9612"/>
      <c r="FZ9612"/>
      <c r="GA9612"/>
      <c r="GB9612"/>
      <c r="GC9612"/>
      <c r="GD9612"/>
      <c r="GE9612"/>
      <c r="GF9612"/>
      <c r="GG9612"/>
      <c r="GH9612"/>
      <c r="GI9612"/>
      <c r="GJ9612"/>
      <c r="GK9612"/>
      <c r="GL9612"/>
      <c r="GM9612"/>
      <c r="GN9612"/>
      <c r="GO9612"/>
    </row>
    <row r="9613" spans="107:197">
      <c r="DC9613"/>
      <c r="FH9613"/>
      <c r="FI9613"/>
      <c r="FJ9613"/>
      <c r="FK9613"/>
      <c r="FL9613"/>
      <c r="FM9613"/>
      <c r="FN9613"/>
      <c r="FO9613"/>
      <c r="FP9613"/>
      <c r="FQ9613"/>
      <c r="FR9613"/>
      <c r="FS9613"/>
      <c r="FT9613"/>
      <c r="FU9613"/>
      <c r="FV9613"/>
      <c r="FW9613"/>
      <c r="FX9613"/>
      <c r="FY9613"/>
      <c r="FZ9613"/>
      <c r="GA9613"/>
      <c r="GB9613"/>
      <c r="GC9613"/>
      <c r="GD9613"/>
      <c r="GE9613"/>
      <c r="GF9613"/>
      <c r="GG9613"/>
      <c r="GH9613"/>
      <c r="GI9613"/>
      <c r="GJ9613"/>
      <c r="GK9613"/>
      <c r="GL9613"/>
      <c r="GM9613"/>
      <c r="GN9613"/>
      <c r="GO9613"/>
    </row>
    <row r="9614" spans="107:197">
      <c r="DC9614"/>
      <c r="FH9614"/>
      <c r="FI9614"/>
      <c r="FJ9614"/>
      <c r="FK9614"/>
      <c r="FL9614"/>
      <c r="FM9614"/>
      <c r="FN9614"/>
      <c r="FO9614"/>
      <c r="FP9614"/>
      <c r="FQ9614"/>
      <c r="FR9614"/>
      <c r="FS9614"/>
      <c r="FT9614"/>
      <c r="FU9614"/>
      <c r="FV9614"/>
      <c r="FW9614"/>
      <c r="FX9614"/>
      <c r="FY9614"/>
      <c r="FZ9614"/>
      <c r="GA9614"/>
      <c r="GB9614"/>
      <c r="GC9614"/>
      <c r="GD9614"/>
      <c r="GE9614"/>
      <c r="GF9614"/>
      <c r="GG9614"/>
      <c r="GH9614"/>
      <c r="GI9614"/>
      <c r="GJ9614"/>
      <c r="GK9614"/>
      <c r="GL9614"/>
      <c r="GM9614"/>
      <c r="GN9614"/>
      <c r="GO9614"/>
    </row>
    <row r="9615" spans="107:197">
      <c r="DC9615"/>
      <c r="FH9615"/>
      <c r="FI9615"/>
      <c r="FJ9615"/>
      <c r="FK9615"/>
      <c r="FL9615"/>
      <c r="FM9615"/>
      <c r="FN9615"/>
      <c r="FO9615"/>
      <c r="FP9615"/>
      <c r="FQ9615"/>
      <c r="FR9615"/>
      <c r="FS9615"/>
      <c r="FT9615"/>
      <c r="FU9615"/>
      <c r="FV9615"/>
      <c r="FW9615"/>
      <c r="FX9615"/>
      <c r="FY9615"/>
      <c r="FZ9615"/>
      <c r="GA9615"/>
      <c r="GB9615"/>
      <c r="GC9615"/>
      <c r="GD9615"/>
      <c r="GE9615"/>
      <c r="GF9615"/>
      <c r="GG9615"/>
      <c r="GH9615"/>
      <c r="GI9615"/>
      <c r="GJ9615"/>
      <c r="GK9615"/>
      <c r="GL9615"/>
      <c r="GM9615"/>
      <c r="GN9615"/>
      <c r="GO9615"/>
    </row>
    <row r="9616" spans="107:197">
      <c r="DC9616"/>
      <c r="FH9616"/>
      <c r="FI9616"/>
      <c r="FJ9616"/>
      <c r="FK9616"/>
      <c r="FL9616"/>
      <c r="FM9616"/>
      <c r="FN9616"/>
      <c r="FO9616"/>
      <c r="FP9616"/>
      <c r="FQ9616"/>
      <c r="FR9616"/>
      <c r="FS9616"/>
      <c r="FT9616"/>
      <c r="FU9616"/>
      <c r="FV9616"/>
      <c r="FW9616"/>
      <c r="FX9616"/>
      <c r="FY9616"/>
      <c r="FZ9616"/>
      <c r="GA9616"/>
      <c r="GB9616"/>
      <c r="GC9616"/>
      <c r="GD9616"/>
      <c r="GE9616"/>
      <c r="GF9616"/>
      <c r="GG9616"/>
      <c r="GH9616"/>
      <c r="GI9616"/>
      <c r="GJ9616"/>
      <c r="GK9616"/>
      <c r="GL9616"/>
      <c r="GM9616"/>
      <c r="GN9616"/>
      <c r="GO9616"/>
    </row>
    <row r="9617" spans="107:197">
      <c r="DC9617"/>
      <c r="FH9617"/>
      <c r="FI9617"/>
      <c r="FJ9617"/>
      <c r="FK9617"/>
      <c r="FL9617"/>
      <c r="FM9617"/>
      <c r="FN9617"/>
      <c r="FO9617"/>
      <c r="FP9617"/>
      <c r="FQ9617"/>
      <c r="FR9617"/>
      <c r="FS9617"/>
      <c r="FT9617"/>
      <c r="FU9617"/>
      <c r="FV9617"/>
      <c r="FW9617"/>
      <c r="FX9617"/>
      <c r="FY9617"/>
      <c r="FZ9617"/>
      <c r="GA9617"/>
      <c r="GB9617"/>
      <c r="GC9617"/>
      <c r="GD9617"/>
      <c r="GE9617"/>
      <c r="GF9617"/>
      <c r="GG9617"/>
      <c r="GH9617"/>
      <c r="GI9617"/>
      <c r="GJ9617"/>
      <c r="GK9617"/>
      <c r="GL9617"/>
      <c r="GM9617"/>
      <c r="GN9617"/>
      <c r="GO9617"/>
    </row>
    <row r="9618" spans="107:197">
      <c r="DC9618"/>
      <c r="FH9618"/>
      <c r="FI9618"/>
      <c r="FJ9618"/>
      <c r="FK9618"/>
      <c r="FL9618"/>
      <c r="FM9618"/>
      <c r="FN9618"/>
      <c r="FO9618"/>
      <c r="FP9618"/>
      <c r="FQ9618"/>
      <c r="FR9618"/>
      <c r="FS9618"/>
      <c r="FT9618"/>
      <c r="FU9618"/>
      <c r="FV9618"/>
      <c r="FW9618"/>
      <c r="FX9618"/>
      <c r="FY9618"/>
      <c r="FZ9618"/>
      <c r="GA9618"/>
      <c r="GB9618"/>
      <c r="GC9618"/>
      <c r="GD9618"/>
      <c r="GE9618"/>
      <c r="GF9618"/>
      <c r="GG9618"/>
      <c r="GH9618"/>
      <c r="GI9618"/>
      <c r="GJ9618"/>
      <c r="GK9618"/>
      <c r="GL9618"/>
      <c r="GM9618"/>
      <c r="GN9618"/>
      <c r="GO9618"/>
    </row>
    <row r="9619" spans="107:197">
      <c r="DC9619"/>
      <c r="FH9619"/>
      <c r="FI9619"/>
      <c r="FJ9619"/>
      <c r="FK9619"/>
      <c r="FL9619"/>
      <c r="FM9619"/>
      <c r="FN9619"/>
      <c r="FO9619"/>
      <c r="FP9619"/>
      <c r="FQ9619"/>
      <c r="FR9619"/>
      <c r="FS9619"/>
      <c r="FT9619"/>
      <c r="FU9619"/>
      <c r="FV9619"/>
      <c r="FW9619"/>
      <c r="FX9619"/>
      <c r="FY9619"/>
      <c r="FZ9619"/>
      <c r="GA9619"/>
      <c r="GB9619"/>
      <c r="GC9619"/>
      <c r="GD9619"/>
      <c r="GE9619"/>
      <c r="GF9619"/>
      <c r="GG9619"/>
      <c r="GH9619"/>
      <c r="GI9619"/>
      <c r="GJ9619"/>
      <c r="GK9619"/>
      <c r="GL9619"/>
      <c r="GM9619"/>
      <c r="GN9619"/>
      <c r="GO9619"/>
    </row>
    <row r="9620" spans="107:197">
      <c r="DC9620"/>
      <c r="FH9620"/>
      <c r="FI9620"/>
      <c r="FJ9620"/>
      <c r="FK9620"/>
      <c r="FL9620"/>
      <c r="FM9620"/>
      <c r="FN9620"/>
      <c r="FO9620"/>
      <c r="FP9620"/>
      <c r="FQ9620"/>
      <c r="FR9620"/>
      <c r="FS9620"/>
      <c r="FT9620"/>
      <c r="FU9620"/>
      <c r="FV9620"/>
      <c r="FW9620"/>
      <c r="FX9620"/>
      <c r="FY9620"/>
      <c r="FZ9620"/>
      <c r="GA9620"/>
      <c r="GB9620"/>
      <c r="GC9620"/>
      <c r="GD9620"/>
      <c r="GE9620"/>
      <c r="GF9620"/>
      <c r="GG9620"/>
      <c r="GH9620"/>
      <c r="GI9620"/>
      <c r="GJ9620"/>
      <c r="GK9620"/>
      <c r="GL9620"/>
      <c r="GM9620"/>
      <c r="GN9620"/>
      <c r="GO9620"/>
    </row>
    <row r="9621" spans="107:197">
      <c r="DC9621"/>
      <c r="FH9621"/>
      <c r="FI9621"/>
      <c r="FJ9621"/>
      <c r="FK9621"/>
      <c r="FL9621"/>
      <c r="FM9621"/>
      <c r="FN9621"/>
      <c r="FO9621"/>
      <c r="FP9621"/>
      <c r="FQ9621"/>
      <c r="FR9621"/>
      <c r="FS9621"/>
      <c r="FT9621"/>
      <c r="FU9621"/>
      <c r="FV9621"/>
      <c r="FW9621"/>
      <c r="FX9621"/>
      <c r="FY9621"/>
      <c r="FZ9621"/>
      <c r="GA9621"/>
      <c r="GB9621"/>
      <c r="GC9621"/>
      <c r="GD9621"/>
      <c r="GE9621"/>
      <c r="GF9621"/>
      <c r="GG9621"/>
      <c r="GH9621"/>
      <c r="GI9621"/>
      <c r="GJ9621"/>
      <c r="GK9621"/>
      <c r="GL9621"/>
      <c r="GM9621"/>
      <c r="GN9621"/>
      <c r="GO9621"/>
    </row>
    <row r="9622" spans="107:197">
      <c r="DC9622"/>
      <c r="FH9622"/>
      <c r="FI9622"/>
      <c r="FJ9622"/>
      <c r="FK9622"/>
      <c r="FL9622"/>
      <c r="FM9622"/>
      <c r="FN9622"/>
      <c r="FO9622"/>
      <c r="FP9622"/>
      <c r="FQ9622"/>
      <c r="FR9622"/>
      <c r="FS9622"/>
      <c r="FT9622"/>
      <c r="FU9622"/>
      <c r="FV9622"/>
      <c r="FW9622"/>
      <c r="FX9622"/>
      <c r="FY9622"/>
      <c r="FZ9622"/>
      <c r="GA9622"/>
      <c r="GB9622"/>
      <c r="GC9622"/>
      <c r="GD9622"/>
      <c r="GE9622"/>
      <c r="GF9622"/>
      <c r="GG9622"/>
      <c r="GH9622"/>
      <c r="GI9622"/>
      <c r="GJ9622"/>
      <c r="GK9622"/>
      <c r="GL9622"/>
      <c r="GM9622"/>
      <c r="GN9622"/>
      <c r="GO9622"/>
    </row>
    <row r="9623" spans="107:197">
      <c r="DC9623"/>
      <c r="FH9623"/>
      <c r="FI9623"/>
      <c r="FJ9623"/>
      <c r="FK9623"/>
      <c r="FL9623"/>
      <c r="FM9623"/>
      <c r="FN9623"/>
      <c r="FO9623"/>
      <c r="FP9623"/>
      <c r="FQ9623"/>
      <c r="FR9623"/>
      <c r="FS9623"/>
      <c r="FT9623"/>
      <c r="FU9623"/>
      <c r="FV9623"/>
      <c r="FW9623"/>
      <c r="FX9623"/>
      <c r="FY9623"/>
      <c r="FZ9623"/>
      <c r="GA9623"/>
      <c r="GB9623"/>
      <c r="GC9623"/>
      <c r="GD9623"/>
      <c r="GE9623"/>
      <c r="GF9623"/>
      <c r="GG9623"/>
      <c r="GH9623"/>
      <c r="GI9623"/>
      <c r="GJ9623"/>
      <c r="GK9623"/>
      <c r="GL9623"/>
      <c r="GM9623"/>
      <c r="GN9623"/>
      <c r="GO9623"/>
    </row>
    <row r="9624" spans="107:197">
      <c r="DC9624"/>
      <c r="FH9624"/>
      <c r="FI9624"/>
      <c r="FJ9624"/>
      <c r="FK9624"/>
      <c r="FL9624"/>
      <c r="FM9624"/>
      <c r="FN9624"/>
      <c r="FO9624"/>
      <c r="FP9624"/>
      <c r="FQ9624"/>
      <c r="FR9624"/>
      <c r="FS9624"/>
      <c r="FT9624"/>
      <c r="FU9624"/>
      <c r="FV9624"/>
      <c r="FW9624"/>
      <c r="FX9624"/>
      <c r="FY9624"/>
      <c r="FZ9624"/>
      <c r="GA9624"/>
      <c r="GB9624"/>
      <c r="GC9624"/>
      <c r="GD9624"/>
      <c r="GE9624"/>
      <c r="GF9624"/>
      <c r="GG9624"/>
      <c r="GH9624"/>
      <c r="GI9624"/>
      <c r="GJ9624"/>
      <c r="GK9624"/>
      <c r="GL9624"/>
      <c r="GM9624"/>
      <c r="GN9624"/>
      <c r="GO9624"/>
    </row>
    <row r="9625" spans="107:197">
      <c r="DC9625"/>
      <c r="FH9625"/>
      <c r="FI9625"/>
      <c r="FJ9625"/>
      <c r="FK9625"/>
      <c r="FL9625"/>
      <c r="FM9625"/>
      <c r="FN9625"/>
      <c r="FO9625"/>
      <c r="FP9625"/>
      <c r="FQ9625"/>
      <c r="FR9625"/>
      <c r="FS9625"/>
      <c r="FT9625"/>
      <c r="FU9625"/>
      <c r="FV9625"/>
      <c r="FW9625"/>
      <c r="FX9625"/>
      <c r="FY9625"/>
      <c r="FZ9625"/>
      <c r="GA9625"/>
      <c r="GB9625"/>
      <c r="GC9625"/>
      <c r="GD9625"/>
      <c r="GE9625"/>
      <c r="GF9625"/>
      <c r="GG9625"/>
      <c r="GH9625"/>
      <c r="GI9625"/>
      <c r="GJ9625"/>
      <c r="GK9625"/>
      <c r="GL9625"/>
      <c r="GM9625"/>
      <c r="GN9625"/>
      <c r="GO9625"/>
    </row>
    <row r="9626" spans="107:197">
      <c r="DC9626"/>
      <c r="FH9626"/>
      <c r="FI9626"/>
      <c r="FJ9626"/>
      <c r="FK9626"/>
      <c r="FL9626"/>
      <c r="FM9626"/>
      <c r="FN9626"/>
      <c r="FO9626"/>
      <c r="FP9626"/>
      <c r="FQ9626"/>
      <c r="FR9626"/>
      <c r="FS9626"/>
      <c r="FT9626"/>
      <c r="FU9626"/>
      <c r="FV9626"/>
      <c r="FW9626"/>
      <c r="FX9626"/>
      <c r="FY9626"/>
      <c r="FZ9626"/>
      <c r="GA9626"/>
      <c r="GB9626"/>
      <c r="GC9626"/>
      <c r="GD9626"/>
      <c r="GE9626"/>
      <c r="GF9626"/>
      <c r="GG9626"/>
      <c r="GH9626"/>
      <c r="GI9626"/>
      <c r="GJ9626"/>
      <c r="GK9626"/>
      <c r="GL9626"/>
      <c r="GM9626"/>
      <c r="GN9626"/>
      <c r="GO9626"/>
    </row>
    <row r="9627" spans="107:197">
      <c r="DC9627"/>
      <c r="FH9627"/>
      <c r="FI9627"/>
      <c r="FJ9627"/>
      <c r="FK9627"/>
      <c r="FL9627"/>
      <c r="FM9627"/>
      <c r="FN9627"/>
      <c r="FO9627"/>
      <c r="FP9627"/>
      <c r="FQ9627"/>
      <c r="FR9627"/>
      <c r="FS9627"/>
      <c r="FT9627"/>
      <c r="FU9627"/>
      <c r="FV9627"/>
      <c r="FW9627"/>
      <c r="FX9627"/>
      <c r="FY9627"/>
      <c r="FZ9627"/>
      <c r="GA9627"/>
      <c r="GB9627"/>
      <c r="GC9627"/>
      <c r="GD9627"/>
      <c r="GE9627"/>
      <c r="GF9627"/>
      <c r="GG9627"/>
      <c r="GH9627"/>
      <c r="GI9627"/>
      <c r="GJ9627"/>
      <c r="GK9627"/>
      <c r="GL9627"/>
      <c r="GM9627"/>
      <c r="GN9627"/>
      <c r="GO9627"/>
    </row>
    <row r="9628" spans="107:197">
      <c r="DC9628"/>
      <c r="FH9628"/>
      <c r="FI9628"/>
      <c r="FJ9628"/>
      <c r="FK9628"/>
      <c r="FL9628"/>
      <c r="FM9628"/>
      <c r="FN9628"/>
      <c r="FO9628"/>
      <c r="FP9628"/>
      <c r="FQ9628"/>
      <c r="FR9628"/>
      <c r="FS9628"/>
      <c r="FT9628"/>
      <c r="FU9628"/>
      <c r="FV9628"/>
      <c r="FW9628"/>
      <c r="FX9628"/>
      <c r="FY9628"/>
      <c r="FZ9628"/>
      <c r="GA9628"/>
      <c r="GB9628"/>
      <c r="GC9628"/>
      <c r="GD9628"/>
      <c r="GE9628"/>
      <c r="GF9628"/>
      <c r="GG9628"/>
      <c r="GH9628"/>
      <c r="GI9628"/>
      <c r="GJ9628"/>
      <c r="GK9628"/>
      <c r="GL9628"/>
      <c r="GM9628"/>
      <c r="GN9628"/>
      <c r="GO9628"/>
    </row>
    <row r="9629" spans="107:197">
      <c r="DC9629"/>
      <c r="FH9629"/>
      <c r="FI9629"/>
      <c r="FJ9629"/>
      <c r="FK9629"/>
      <c r="FL9629"/>
      <c r="FM9629"/>
      <c r="FN9629"/>
      <c r="FO9629"/>
      <c r="FP9629"/>
      <c r="FQ9629"/>
      <c r="FR9629"/>
      <c r="FS9629"/>
      <c r="FT9629"/>
      <c r="FU9629"/>
      <c r="FV9629"/>
      <c r="FW9629"/>
      <c r="FX9629"/>
      <c r="FY9629"/>
      <c r="FZ9629"/>
      <c r="GA9629"/>
      <c r="GB9629"/>
      <c r="GC9629"/>
      <c r="GD9629"/>
      <c r="GE9629"/>
      <c r="GF9629"/>
      <c r="GG9629"/>
      <c r="GH9629"/>
      <c r="GI9629"/>
      <c r="GJ9629"/>
      <c r="GK9629"/>
      <c r="GL9629"/>
      <c r="GM9629"/>
      <c r="GN9629"/>
      <c r="GO9629"/>
    </row>
    <row r="9630" spans="107:197">
      <c r="DC9630"/>
      <c r="FH9630"/>
      <c r="FI9630"/>
      <c r="FJ9630"/>
      <c r="FK9630"/>
      <c r="FL9630"/>
      <c r="FM9630"/>
      <c r="FN9630"/>
      <c r="FO9630"/>
      <c r="FP9630"/>
      <c r="FQ9630"/>
      <c r="FR9630"/>
      <c r="FS9630"/>
      <c r="FT9630"/>
      <c r="FU9630"/>
      <c r="FV9630"/>
      <c r="FW9630"/>
      <c r="FX9630"/>
      <c r="FY9630"/>
      <c r="FZ9630"/>
      <c r="GA9630"/>
      <c r="GB9630"/>
      <c r="GC9630"/>
      <c r="GD9630"/>
      <c r="GE9630"/>
      <c r="GF9630"/>
      <c r="GG9630"/>
      <c r="GH9630"/>
      <c r="GI9630"/>
      <c r="GJ9630"/>
      <c r="GK9630"/>
      <c r="GL9630"/>
      <c r="GM9630"/>
      <c r="GN9630"/>
      <c r="GO9630"/>
    </row>
    <row r="9631" spans="107:197">
      <c r="DC9631"/>
      <c r="FH9631"/>
      <c r="FI9631"/>
      <c r="FJ9631"/>
      <c r="FK9631"/>
      <c r="FL9631"/>
      <c r="FM9631"/>
      <c r="FN9631"/>
      <c r="FO9631"/>
      <c r="FP9631"/>
      <c r="FQ9631"/>
      <c r="FR9631"/>
      <c r="FS9631"/>
      <c r="FT9631"/>
      <c r="FU9631"/>
      <c r="FV9631"/>
      <c r="FW9631"/>
      <c r="FX9631"/>
      <c r="FY9631"/>
      <c r="FZ9631"/>
      <c r="GA9631"/>
      <c r="GB9631"/>
      <c r="GC9631"/>
      <c r="GD9631"/>
      <c r="GE9631"/>
      <c r="GF9631"/>
      <c r="GG9631"/>
      <c r="GH9631"/>
      <c r="GI9631"/>
      <c r="GJ9631"/>
      <c r="GK9631"/>
      <c r="GL9631"/>
      <c r="GM9631"/>
      <c r="GN9631"/>
      <c r="GO9631"/>
    </row>
    <row r="9632" spans="107:197">
      <c r="DC9632"/>
      <c r="FH9632"/>
      <c r="FI9632"/>
      <c r="FJ9632"/>
      <c r="FK9632"/>
      <c r="FL9632"/>
      <c r="FM9632"/>
      <c r="FN9632"/>
      <c r="FO9632"/>
      <c r="FP9632"/>
      <c r="FQ9632"/>
      <c r="FR9632"/>
      <c r="FS9632"/>
      <c r="FT9632"/>
      <c r="FU9632"/>
      <c r="FV9632"/>
      <c r="FW9632"/>
      <c r="FX9632"/>
      <c r="FY9632"/>
      <c r="FZ9632"/>
      <c r="GA9632"/>
      <c r="GB9632"/>
      <c r="GC9632"/>
      <c r="GD9632"/>
      <c r="GE9632"/>
      <c r="GF9632"/>
      <c r="GG9632"/>
      <c r="GH9632"/>
      <c r="GI9632"/>
      <c r="GJ9632"/>
      <c r="GK9632"/>
      <c r="GL9632"/>
      <c r="GM9632"/>
      <c r="GN9632"/>
      <c r="GO9632"/>
    </row>
    <row r="9633" spans="107:197">
      <c r="DC9633"/>
      <c r="FH9633"/>
      <c r="FI9633"/>
      <c r="FJ9633"/>
      <c r="FK9633"/>
      <c r="FL9633"/>
      <c r="FM9633"/>
      <c r="FN9633"/>
      <c r="FO9633"/>
      <c r="FP9633"/>
      <c r="FQ9633"/>
      <c r="FR9633"/>
      <c r="FS9633"/>
      <c r="FT9633"/>
      <c r="FU9633"/>
      <c r="FV9633"/>
      <c r="FW9633"/>
      <c r="FX9633"/>
      <c r="FY9633"/>
      <c r="FZ9633"/>
      <c r="GA9633"/>
      <c r="GB9633"/>
      <c r="GC9633"/>
      <c r="GD9633"/>
      <c r="GE9633"/>
      <c r="GF9633"/>
      <c r="GG9633"/>
      <c r="GH9633"/>
      <c r="GI9633"/>
      <c r="GJ9633"/>
      <c r="GK9633"/>
      <c r="GL9633"/>
      <c r="GM9633"/>
      <c r="GN9633"/>
      <c r="GO9633"/>
    </row>
    <row r="9634" spans="107:197">
      <c r="DC9634"/>
      <c r="FH9634"/>
      <c r="FI9634"/>
      <c r="FJ9634"/>
      <c r="FK9634"/>
      <c r="FL9634"/>
      <c r="FM9634"/>
      <c r="FN9634"/>
      <c r="FO9634"/>
      <c r="FP9634"/>
      <c r="FQ9634"/>
      <c r="FR9634"/>
      <c r="FS9634"/>
      <c r="FT9634"/>
      <c r="FU9634"/>
      <c r="FV9634"/>
      <c r="FW9634"/>
      <c r="FX9634"/>
      <c r="FY9634"/>
      <c r="FZ9634"/>
      <c r="GA9634"/>
      <c r="GB9634"/>
      <c r="GC9634"/>
      <c r="GD9634"/>
      <c r="GE9634"/>
      <c r="GF9634"/>
      <c r="GG9634"/>
      <c r="GH9634"/>
      <c r="GI9634"/>
      <c r="GJ9634"/>
      <c r="GK9634"/>
      <c r="GL9634"/>
      <c r="GM9634"/>
      <c r="GN9634"/>
      <c r="GO9634"/>
    </row>
    <row r="9635" spans="107:197">
      <c r="DC9635"/>
      <c r="FH9635"/>
      <c r="FI9635"/>
      <c r="FJ9635"/>
      <c r="FK9635"/>
      <c r="FL9635"/>
      <c r="FM9635"/>
      <c r="FN9635"/>
      <c r="FO9635"/>
      <c r="FP9635"/>
      <c r="FQ9635"/>
      <c r="FR9635"/>
      <c r="FS9635"/>
      <c r="FT9635"/>
      <c r="FU9635"/>
      <c r="FV9635"/>
      <c r="FW9635"/>
      <c r="FX9635"/>
      <c r="FY9635"/>
      <c r="FZ9635"/>
      <c r="GA9635"/>
      <c r="GB9635"/>
      <c r="GC9635"/>
      <c r="GD9635"/>
      <c r="GE9635"/>
      <c r="GF9635"/>
      <c r="GG9635"/>
      <c r="GH9635"/>
      <c r="GI9635"/>
      <c r="GJ9635"/>
      <c r="GK9635"/>
      <c r="GL9635"/>
      <c r="GM9635"/>
      <c r="GN9635"/>
      <c r="GO9635"/>
    </row>
    <row r="9636" spans="107:197">
      <c r="DC9636"/>
      <c r="FH9636"/>
      <c r="FI9636"/>
      <c r="FJ9636"/>
      <c r="FK9636"/>
      <c r="FL9636"/>
      <c r="FM9636"/>
      <c r="FN9636"/>
      <c r="FO9636"/>
      <c r="FP9636"/>
      <c r="FQ9636"/>
      <c r="FR9636"/>
      <c r="FS9636"/>
      <c r="FT9636"/>
      <c r="FU9636"/>
      <c r="FV9636"/>
      <c r="FW9636"/>
      <c r="FX9636"/>
      <c r="FY9636"/>
      <c r="FZ9636"/>
      <c r="GA9636"/>
      <c r="GB9636"/>
      <c r="GC9636"/>
      <c r="GD9636"/>
      <c r="GE9636"/>
      <c r="GF9636"/>
      <c r="GG9636"/>
      <c r="GH9636"/>
      <c r="GI9636"/>
      <c r="GJ9636"/>
      <c r="GK9636"/>
      <c r="GL9636"/>
      <c r="GM9636"/>
      <c r="GN9636"/>
      <c r="GO9636"/>
    </row>
    <row r="9637" spans="107:197">
      <c r="DC9637"/>
      <c r="FH9637"/>
      <c r="FI9637"/>
      <c r="FJ9637"/>
      <c r="FK9637"/>
      <c r="FL9637"/>
      <c r="FM9637"/>
      <c r="FN9637"/>
      <c r="FO9637"/>
      <c r="FP9637"/>
      <c r="FQ9637"/>
      <c r="FR9637"/>
      <c r="FS9637"/>
      <c r="FT9637"/>
      <c r="FU9637"/>
      <c r="FV9637"/>
      <c r="FW9637"/>
      <c r="FX9637"/>
      <c r="FY9637"/>
      <c r="FZ9637"/>
      <c r="GA9637"/>
      <c r="GB9637"/>
      <c r="GC9637"/>
      <c r="GD9637"/>
      <c r="GE9637"/>
      <c r="GF9637"/>
      <c r="GG9637"/>
      <c r="GH9637"/>
      <c r="GI9637"/>
      <c r="GJ9637"/>
      <c r="GK9637"/>
      <c r="GL9637"/>
      <c r="GM9637"/>
      <c r="GN9637"/>
      <c r="GO9637"/>
    </row>
    <row r="9638" spans="107:197">
      <c r="DC9638"/>
      <c r="FH9638"/>
      <c r="FI9638"/>
      <c r="FJ9638"/>
      <c r="FK9638"/>
      <c r="FL9638"/>
      <c r="FM9638"/>
      <c r="FN9638"/>
      <c r="FO9638"/>
      <c r="FP9638"/>
      <c r="FQ9638"/>
      <c r="FR9638"/>
      <c r="FS9638"/>
      <c r="FT9638"/>
      <c r="FU9638"/>
      <c r="FV9638"/>
      <c r="FW9638"/>
      <c r="FX9638"/>
      <c r="FY9638"/>
      <c r="FZ9638"/>
      <c r="GA9638"/>
      <c r="GB9638"/>
      <c r="GC9638"/>
      <c r="GD9638"/>
      <c r="GE9638"/>
      <c r="GF9638"/>
      <c r="GG9638"/>
      <c r="GH9638"/>
      <c r="GI9638"/>
      <c r="GJ9638"/>
      <c r="GK9638"/>
      <c r="GL9638"/>
      <c r="GM9638"/>
      <c r="GN9638"/>
      <c r="GO9638"/>
    </row>
    <row r="9639" spans="107:197">
      <c r="DC9639"/>
      <c r="FH9639"/>
      <c r="FI9639"/>
      <c r="FJ9639"/>
      <c r="FK9639"/>
      <c r="FL9639"/>
      <c r="FM9639"/>
      <c r="FN9639"/>
      <c r="FO9639"/>
      <c r="FP9639"/>
      <c r="FQ9639"/>
      <c r="FR9639"/>
      <c r="FS9639"/>
      <c r="FT9639"/>
      <c r="FU9639"/>
      <c r="FV9639"/>
      <c r="FW9639"/>
      <c r="FX9639"/>
      <c r="FY9639"/>
      <c r="FZ9639"/>
      <c r="GA9639"/>
      <c r="GB9639"/>
      <c r="GC9639"/>
      <c r="GD9639"/>
      <c r="GE9639"/>
      <c r="GF9639"/>
      <c r="GG9639"/>
      <c r="GH9639"/>
      <c r="GI9639"/>
      <c r="GJ9639"/>
      <c r="GK9639"/>
      <c r="GL9639"/>
      <c r="GM9639"/>
      <c r="GN9639"/>
      <c r="GO9639"/>
    </row>
    <row r="9640" spans="107:197">
      <c r="DC9640"/>
      <c r="FH9640"/>
      <c r="FI9640"/>
      <c r="FJ9640"/>
      <c r="FK9640"/>
      <c r="FL9640"/>
      <c r="FM9640"/>
      <c r="FN9640"/>
      <c r="FO9640"/>
      <c r="FP9640"/>
      <c r="FQ9640"/>
      <c r="FR9640"/>
      <c r="FS9640"/>
      <c r="FT9640"/>
      <c r="FU9640"/>
      <c r="FV9640"/>
      <c r="FW9640"/>
      <c r="FX9640"/>
      <c r="FY9640"/>
      <c r="FZ9640"/>
      <c r="GA9640"/>
      <c r="GB9640"/>
      <c r="GC9640"/>
      <c r="GD9640"/>
      <c r="GE9640"/>
      <c r="GF9640"/>
      <c r="GG9640"/>
      <c r="GH9640"/>
      <c r="GI9640"/>
      <c r="GJ9640"/>
      <c r="GK9640"/>
      <c r="GL9640"/>
      <c r="GM9640"/>
      <c r="GN9640"/>
      <c r="GO9640"/>
    </row>
    <row r="9641" spans="107:197">
      <c r="DC9641"/>
      <c r="FH9641"/>
      <c r="FI9641"/>
      <c r="FJ9641"/>
      <c r="FK9641"/>
      <c r="FL9641"/>
      <c r="FM9641"/>
      <c r="FN9641"/>
      <c r="FO9641"/>
      <c r="FP9641"/>
      <c r="FQ9641"/>
      <c r="FR9641"/>
      <c r="FS9641"/>
      <c r="FT9641"/>
      <c r="FU9641"/>
      <c r="FV9641"/>
      <c r="FW9641"/>
      <c r="FX9641"/>
      <c r="FY9641"/>
      <c r="FZ9641"/>
      <c r="GA9641"/>
      <c r="GB9641"/>
      <c r="GC9641"/>
      <c r="GD9641"/>
      <c r="GE9641"/>
      <c r="GF9641"/>
      <c r="GG9641"/>
      <c r="GH9641"/>
      <c r="GI9641"/>
      <c r="GJ9641"/>
      <c r="GK9641"/>
      <c r="GL9641"/>
      <c r="GM9641"/>
      <c r="GN9641"/>
      <c r="GO9641"/>
    </row>
    <row r="9642" spans="107:197">
      <c r="DC9642"/>
      <c r="FH9642"/>
      <c r="FI9642"/>
      <c r="FJ9642"/>
      <c r="FK9642"/>
      <c r="FL9642"/>
      <c r="FM9642"/>
      <c r="FN9642"/>
      <c r="FO9642"/>
      <c r="FP9642"/>
      <c r="FQ9642"/>
      <c r="FR9642"/>
      <c r="FS9642"/>
      <c r="FT9642"/>
      <c r="FU9642"/>
      <c r="FV9642"/>
      <c r="FW9642"/>
      <c r="FX9642"/>
      <c r="FY9642"/>
      <c r="FZ9642"/>
      <c r="GA9642"/>
      <c r="GB9642"/>
      <c r="GC9642"/>
      <c r="GD9642"/>
      <c r="GE9642"/>
      <c r="GF9642"/>
      <c r="GG9642"/>
      <c r="GH9642"/>
      <c r="GI9642"/>
      <c r="GJ9642"/>
      <c r="GK9642"/>
      <c r="GL9642"/>
      <c r="GM9642"/>
      <c r="GN9642"/>
      <c r="GO9642"/>
    </row>
    <row r="9643" spans="107:197">
      <c r="DC9643"/>
      <c r="FH9643"/>
      <c r="FI9643"/>
      <c r="FJ9643"/>
      <c r="FK9643"/>
      <c r="FL9643"/>
      <c r="FM9643"/>
      <c r="FN9643"/>
      <c r="FO9643"/>
      <c r="FP9643"/>
      <c r="FQ9643"/>
      <c r="FR9643"/>
      <c r="FS9643"/>
      <c r="FT9643"/>
      <c r="FU9643"/>
      <c r="FV9643"/>
      <c r="FW9643"/>
      <c r="FX9643"/>
      <c r="FY9643"/>
      <c r="FZ9643"/>
      <c r="GA9643"/>
      <c r="GB9643"/>
      <c r="GC9643"/>
      <c r="GD9643"/>
      <c r="GE9643"/>
      <c r="GF9643"/>
      <c r="GG9643"/>
      <c r="GH9643"/>
      <c r="GI9643"/>
      <c r="GJ9643"/>
      <c r="GK9643"/>
      <c r="GL9643"/>
      <c r="GM9643"/>
      <c r="GN9643"/>
      <c r="GO9643"/>
    </row>
    <row r="9644" spans="107:197">
      <c r="DC9644"/>
      <c r="FH9644"/>
      <c r="FI9644"/>
      <c r="FJ9644"/>
      <c r="FK9644"/>
      <c r="FL9644"/>
      <c r="FM9644"/>
      <c r="FN9644"/>
      <c r="FO9644"/>
      <c r="FP9644"/>
      <c r="FQ9644"/>
      <c r="FR9644"/>
      <c r="FS9644"/>
      <c r="FT9644"/>
      <c r="FU9644"/>
      <c r="FV9644"/>
      <c r="FW9644"/>
      <c r="FX9644"/>
      <c r="FY9644"/>
      <c r="FZ9644"/>
      <c r="GA9644"/>
      <c r="GB9644"/>
      <c r="GC9644"/>
      <c r="GD9644"/>
      <c r="GE9644"/>
      <c r="GF9644"/>
      <c r="GG9644"/>
      <c r="GH9644"/>
      <c r="GI9644"/>
      <c r="GJ9644"/>
      <c r="GK9644"/>
      <c r="GL9644"/>
      <c r="GM9644"/>
      <c r="GN9644"/>
      <c r="GO9644"/>
    </row>
    <row r="9645" spans="107:197">
      <c r="DC9645"/>
      <c r="FH9645"/>
      <c r="FI9645"/>
      <c r="FJ9645"/>
      <c r="FK9645"/>
      <c r="FL9645"/>
      <c r="FM9645"/>
      <c r="FN9645"/>
      <c r="FO9645"/>
      <c r="FP9645"/>
      <c r="FQ9645"/>
      <c r="FR9645"/>
      <c r="FS9645"/>
      <c r="FT9645"/>
      <c r="FU9645"/>
      <c r="FV9645"/>
      <c r="FW9645"/>
      <c r="FX9645"/>
      <c r="FY9645"/>
      <c r="FZ9645"/>
      <c r="GA9645"/>
      <c r="GB9645"/>
      <c r="GC9645"/>
      <c r="GD9645"/>
      <c r="GE9645"/>
      <c r="GF9645"/>
      <c r="GG9645"/>
      <c r="GH9645"/>
      <c r="GI9645"/>
      <c r="GJ9645"/>
      <c r="GK9645"/>
      <c r="GL9645"/>
      <c r="GM9645"/>
      <c r="GN9645"/>
      <c r="GO9645"/>
    </row>
    <row r="9646" spans="107:197">
      <c r="DC9646"/>
      <c r="FH9646"/>
      <c r="FI9646"/>
      <c r="FJ9646"/>
      <c r="FK9646"/>
      <c r="FL9646"/>
      <c r="FM9646"/>
      <c r="FN9646"/>
      <c r="FO9646"/>
      <c r="FP9646"/>
      <c r="FQ9646"/>
      <c r="FR9646"/>
      <c r="FS9646"/>
      <c r="FT9646"/>
      <c r="FU9646"/>
      <c r="FV9646"/>
      <c r="FW9646"/>
      <c r="FX9646"/>
      <c r="FY9646"/>
      <c r="FZ9646"/>
      <c r="GA9646"/>
      <c r="GB9646"/>
      <c r="GC9646"/>
      <c r="GD9646"/>
      <c r="GE9646"/>
      <c r="GF9646"/>
      <c r="GG9646"/>
      <c r="GH9646"/>
      <c r="GI9646"/>
      <c r="GJ9646"/>
      <c r="GK9646"/>
      <c r="GL9646"/>
      <c r="GM9646"/>
      <c r="GN9646"/>
      <c r="GO9646"/>
    </row>
    <row r="9647" spans="107:197">
      <c r="DC9647"/>
      <c r="FH9647"/>
      <c r="FI9647"/>
      <c r="FJ9647"/>
      <c r="FK9647"/>
      <c r="FL9647"/>
      <c r="FM9647"/>
      <c r="FN9647"/>
      <c r="FO9647"/>
      <c r="FP9647"/>
      <c r="FQ9647"/>
      <c r="FR9647"/>
      <c r="FS9647"/>
      <c r="FT9647"/>
      <c r="FU9647"/>
      <c r="FV9647"/>
      <c r="FW9647"/>
      <c r="FX9647"/>
      <c r="FY9647"/>
      <c r="FZ9647"/>
      <c r="GA9647"/>
      <c r="GB9647"/>
      <c r="GC9647"/>
      <c r="GD9647"/>
      <c r="GE9647"/>
      <c r="GF9647"/>
      <c r="GG9647"/>
      <c r="GH9647"/>
      <c r="GI9647"/>
      <c r="GJ9647"/>
      <c r="GK9647"/>
      <c r="GL9647"/>
      <c r="GM9647"/>
      <c r="GN9647"/>
      <c r="GO9647"/>
    </row>
    <row r="9648" spans="107:197">
      <c r="DC9648"/>
      <c r="FH9648"/>
      <c r="FI9648"/>
      <c r="FJ9648"/>
      <c r="FK9648"/>
      <c r="FL9648"/>
      <c r="FM9648"/>
      <c r="FN9648"/>
      <c r="FO9648"/>
      <c r="FP9648"/>
      <c r="FQ9648"/>
      <c r="FR9648"/>
      <c r="FS9648"/>
      <c r="FT9648"/>
      <c r="FU9648"/>
      <c r="FV9648"/>
      <c r="FW9648"/>
      <c r="FX9648"/>
      <c r="FY9648"/>
      <c r="FZ9648"/>
      <c r="GA9648"/>
      <c r="GB9648"/>
      <c r="GC9648"/>
      <c r="GD9648"/>
      <c r="GE9648"/>
      <c r="GF9648"/>
      <c r="GG9648"/>
      <c r="GH9648"/>
      <c r="GI9648"/>
      <c r="GJ9648"/>
      <c r="GK9648"/>
      <c r="GL9648"/>
      <c r="GM9648"/>
      <c r="GN9648"/>
      <c r="GO9648"/>
    </row>
    <row r="9649" spans="107:197">
      <c r="DC9649"/>
      <c r="FH9649"/>
      <c r="FI9649"/>
      <c r="FJ9649"/>
      <c r="FK9649"/>
      <c r="FL9649"/>
      <c r="FM9649"/>
      <c r="FN9649"/>
      <c r="FO9649"/>
      <c r="FP9649"/>
      <c r="FQ9649"/>
      <c r="FR9649"/>
      <c r="FS9649"/>
      <c r="FT9649"/>
      <c r="FU9649"/>
      <c r="FV9649"/>
      <c r="FW9649"/>
      <c r="FX9649"/>
      <c r="FY9649"/>
      <c r="FZ9649"/>
      <c r="GA9649"/>
      <c r="GB9649"/>
      <c r="GC9649"/>
      <c r="GD9649"/>
      <c r="GE9649"/>
      <c r="GF9649"/>
      <c r="GG9649"/>
      <c r="GH9649"/>
      <c r="GI9649"/>
      <c r="GJ9649"/>
      <c r="GK9649"/>
      <c r="GL9649"/>
      <c r="GM9649"/>
      <c r="GN9649"/>
      <c r="GO9649"/>
    </row>
    <row r="9650" spans="107:197">
      <c r="DC9650"/>
      <c r="FH9650"/>
      <c r="FI9650"/>
      <c r="FJ9650"/>
      <c r="FK9650"/>
      <c r="FL9650"/>
      <c r="FM9650"/>
      <c r="FN9650"/>
      <c r="FO9650"/>
      <c r="FP9650"/>
      <c r="FQ9650"/>
      <c r="FR9650"/>
      <c r="FS9650"/>
      <c r="FT9650"/>
      <c r="FU9650"/>
      <c r="FV9650"/>
      <c r="FW9650"/>
      <c r="FX9650"/>
      <c r="FY9650"/>
      <c r="FZ9650"/>
      <c r="GA9650"/>
      <c r="GB9650"/>
      <c r="GC9650"/>
      <c r="GD9650"/>
      <c r="GE9650"/>
      <c r="GF9650"/>
      <c r="GG9650"/>
      <c r="GH9650"/>
      <c r="GI9650"/>
      <c r="GJ9650"/>
      <c r="GK9650"/>
      <c r="GL9650"/>
      <c r="GM9650"/>
      <c r="GN9650"/>
      <c r="GO9650"/>
    </row>
    <row r="9651" spans="107:197">
      <c r="DC9651"/>
      <c r="FH9651"/>
      <c r="FI9651"/>
      <c r="FJ9651"/>
      <c r="FK9651"/>
      <c r="FL9651"/>
      <c r="FM9651"/>
      <c r="FN9651"/>
      <c r="FO9651"/>
      <c r="FP9651"/>
      <c r="FQ9651"/>
      <c r="FR9651"/>
      <c r="FS9651"/>
      <c r="FT9651"/>
      <c r="FU9651"/>
      <c r="FV9651"/>
      <c r="FW9651"/>
      <c r="FX9651"/>
      <c r="FY9651"/>
      <c r="FZ9651"/>
      <c r="GA9651"/>
      <c r="GB9651"/>
      <c r="GC9651"/>
      <c r="GD9651"/>
      <c r="GE9651"/>
      <c r="GF9651"/>
      <c r="GG9651"/>
      <c r="GH9651"/>
      <c r="GI9651"/>
      <c r="GJ9651"/>
      <c r="GK9651"/>
      <c r="GL9651"/>
      <c r="GM9651"/>
      <c r="GN9651"/>
      <c r="GO9651"/>
    </row>
    <row r="9652" spans="107:197">
      <c r="DC9652"/>
      <c r="FH9652"/>
      <c r="FI9652"/>
      <c r="FJ9652"/>
      <c r="FK9652"/>
      <c r="FL9652"/>
      <c r="FM9652"/>
      <c r="FN9652"/>
      <c r="FO9652"/>
      <c r="FP9652"/>
      <c r="FQ9652"/>
      <c r="FR9652"/>
      <c r="FS9652"/>
      <c r="FT9652"/>
      <c r="FU9652"/>
      <c r="FV9652"/>
      <c r="FW9652"/>
      <c r="FX9652"/>
      <c r="FY9652"/>
      <c r="FZ9652"/>
      <c r="GA9652"/>
      <c r="GB9652"/>
      <c r="GC9652"/>
      <c r="GD9652"/>
      <c r="GE9652"/>
      <c r="GF9652"/>
      <c r="GG9652"/>
      <c r="GH9652"/>
      <c r="GI9652"/>
      <c r="GJ9652"/>
      <c r="GK9652"/>
      <c r="GL9652"/>
      <c r="GM9652"/>
      <c r="GN9652"/>
      <c r="GO9652"/>
    </row>
    <row r="9653" spans="107:197">
      <c r="DC9653"/>
      <c r="FH9653"/>
      <c r="FI9653"/>
      <c r="FJ9653"/>
      <c r="FK9653"/>
      <c r="FL9653"/>
      <c r="FM9653"/>
      <c r="FN9653"/>
      <c r="FO9653"/>
      <c r="FP9653"/>
      <c r="FQ9653"/>
      <c r="FR9653"/>
      <c r="FS9653"/>
      <c r="FT9653"/>
      <c r="FU9653"/>
      <c r="FV9653"/>
      <c r="FW9653"/>
      <c r="FX9653"/>
      <c r="FY9653"/>
      <c r="FZ9653"/>
      <c r="GA9653"/>
      <c r="GB9653"/>
      <c r="GC9653"/>
      <c r="GD9653"/>
      <c r="GE9653"/>
      <c r="GF9653"/>
      <c r="GG9653"/>
      <c r="GH9653"/>
      <c r="GI9653"/>
      <c r="GJ9653"/>
      <c r="GK9653"/>
      <c r="GL9653"/>
      <c r="GM9653"/>
      <c r="GN9653"/>
      <c r="GO9653"/>
    </row>
    <row r="9654" spans="107:197">
      <c r="DC9654"/>
      <c r="FH9654"/>
      <c r="FI9654"/>
      <c r="FJ9654"/>
      <c r="FK9654"/>
      <c r="FL9654"/>
      <c r="FM9654"/>
      <c r="FN9654"/>
      <c r="FO9654"/>
      <c r="FP9654"/>
      <c r="FQ9654"/>
      <c r="FR9654"/>
      <c r="FS9654"/>
      <c r="FT9654"/>
      <c r="FU9654"/>
      <c r="FV9654"/>
      <c r="FW9654"/>
      <c r="FX9654"/>
      <c r="FY9654"/>
      <c r="FZ9654"/>
      <c r="GA9654"/>
      <c r="GB9654"/>
      <c r="GC9654"/>
      <c r="GD9654"/>
      <c r="GE9654"/>
      <c r="GF9654"/>
      <c r="GG9654"/>
      <c r="GH9654"/>
      <c r="GI9654"/>
      <c r="GJ9654"/>
      <c r="GK9654"/>
      <c r="GL9654"/>
      <c r="GM9654"/>
      <c r="GN9654"/>
      <c r="GO9654"/>
    </row>
    <row r="9655" spans="107:197">
      <c r="DC9655"/>
      <c r="FH9655"/>
      <c r="FI9655"/>
      <c r="FJ9655"/>
      <c r="FK9655"/>
      <c r="FL9655"/>
      <c r="FM9655"/>
      <c r="FN9655"/>
      <c r="FO9655"/>
      <c r="FP9655"/>
      <c r="FQ9655"/>
      <c r="FR9655"/>
      <c r="FS9655"/>
      <c r="FT9655"/>
      <c r="FU9655"/>
      <c r="FV9655"/>
      <c r="FW9655"/>
      <c r="FX9655"/>
      <c r="FY9655"/>
      <c r="FZ9655"/>
      <c r="GA9655"/>
      <c r="GB9655"/>
      <c r="GC9655"/>
      <c r="GD9655"/>
      <c r="GE9655"/>
      <c r="GF9655"/>
      <c r="GG9655"/>
      <c r="GH9655"/>
      <c r="GI9655"/>
      <c r="GJ9655"/>
      <c r="GK9655"/>
      <c r="GL9655"/>
      <c r="GM9655"/>
      <c r="GN9655"/>
      <c r="GO9655"/>
    </row>
    <row r="9656" spans="107:197">
      <c r="DC9656"/>
      <c r="FH9656"/>
      <c r="FI9656"/>
      <c r="FJ9656"/>
      <c r="FK9656"/>
      <c r="FL9656"/>
      <c r="FM9656"/>
      <c r="FN9656"/>
      <c r="FO9656"/>
      <c r="FP9656"/>
      <c r="FQ9656"/>
      <c r="FR9656"/>
      <c r="FS9656"/>
      <c r="FT9656"/>
      <c r="FU9656"/>
      <c r="FV9656"/>
      <c r="FW9656"/>
      <c r="FX9656"/>
      <c r="FY9656"/>
      <c r="FZ9656"/>
      <c r="GA9656"/>
      <c r="GB9656"/>
      <c r="GC9656"/>
      <c r="GD9656"/>
      <c r="GE9656"/>
      <c r="GF9656"/>
      <c r="GG9656"/>
      <c r="GH9656"/>
      <c r="GI9656"/>
      <c r="GJ9656"/>
      <c r="GK9656"/>
      <c r="GL9656"/>
      <c r="GM9656"/>
      <c r="GN9656"/>
      <c r="GO9656"/>
    </row>
    <row r="9657" spans="107:197">
      <c r="DC9657"/>
      <c r="FH9657"/>
      <c r="FI9657"/>
      <c r="FJ9657"/>
      <c r="FK9657"/>
      <c r="FL9657"/>
      <c r="FM9657"/>
      <c r="FN9657"/>
      <c r="FO9657"/>
      <c r="FP9657"/>
      <c r="FQ9657"/>
      <c r="FR9657"/>
      <c r="FS9657"/>
      <c r="FT9657"/>
      <c r="FU9657"/>
      <c r="FV9657"/>
      <c r="FW9657"/>
      <c r="FX9657"/>
      <c r="FY9657"/>
      <c r="FZ9657"/>
      <c r="GA9657"/>
      <c r="GB9657"/>
      <c r="GC9657"/>
      <c r="GD9657"/>
      <c r="GE9657"/>
      <c r="GF9657"/>
      <c r="GG9657"/>
      <c r="GH9657"/>
      <c r="GI9657"/>
      <c r="GJ9657"/>
      <c r="GK9657"/>
      <c r="GL9657"/>
      <c r="GM9657"/>
      <c r="GN9657"/>
      <c r="GO9657"/>
    </row>
    <row r="9658" spans="107:197">
      <c r="DC9658"/>
      <c r="FH9658"/>
      <c r="FI9658"/>
      <c r="FJ9658"/>
      <c r="FK9658"/>
      <c r="FL9658"/>
      <c r="FM9658"/>
      <c r="FN9658"/>
      <c r="FO9658"/>
      <c r="FP9658"/>
      <c r="FQ9658"/>
      <c r="FR9658"/>
      <c r="FS9658"/>
      <c r="FT9658"/>
      <c r="FU9658"/>
      <c r="FV9658"/>
      <c r="FW9658"/>
      <c r="FX9658"/>
      <c r="FY9658"/>
      <c r="FZ9658"/>
      <c r="GA9658"/>
      <c r="GB9658"/>
      <c r="GC9658"/>
      <c r="GD9658"/>
      <c r="GE9658"/>
      <c r="GF9658"/>
      <c r="GG9658"/>
      <c r="GH9658"/>
      <c r="GI9658"/>
      <c r="GJ9658"/>
      <c r="GK9658"/>
      <c r="GL9658"/>
      <c r="GM9658"/>
      <c r="GN9658"/>
      <c r="GO9658"/>
    </row>
    <row r="9659" spans="107:197">
      <c r="DC9659"/>
      <c r="FH9659"/>
      <c r="FI9659"/>
      <c r="FJ9659"/>
      <c r="FK9659"/>
      <c r="FL9659"/>
      <c r="FM9659"/>
      <c r="FN9659"/>
      <c r="FO9659"/>
      <c r="FP9659"/>
      <c r="FQ9659"/>
      <c r="FR9659"/>
      <c r="FS9659"/>
      <c r="FT9659"/>
      <c r="FU9659"/>
      <c r="FV9659"/>
      <c r="FW9659"/>
      <c r="FX9659"/>
      <c r="FY9659"/>
      <c r="FZ9659"/>
      <c r="GA9659"/>
      <c r="GB9659"/>
      <c r="GC9659"/>
      <c r="GD9659"/>
      <c r="GE9659"/>
      <c r="GF9659"/>
      <c r="GG9659"/>
      <c r="GH9659"/>
      <c r="GI9659"/>
      <c r="GJ9659"/>
      <c r="GK9659"/>
      <c r="GL9659"/>
      <c r="GM9659"/>
      <c r="GN9659"/>
      <c r="GO9659"/>
    </row>
    <row r="9660" spans="107:197">
      <c r="DC9660"/>
      <c r="FH9660"/>
      <c r="FI9660"/>
      <c r="FJ9660"/>
      <c r="FK9660"/>
      <c r="FL9660"/>
      <c r="FM9660"/>
      <c r="FN9660"/>
      <c r="FO9660"/>
      <c r="FP9660"/>
      <c r="FQ9660"/>
      <c r="FR9660"/>
      <c r="FS9660"/>
      <c r="FT9660"/>
      <c r="FU9660"/>
      <c r="FV9660"/>
      <c r="FW9660"/>
      <c r="FX9660"/>
      <c r="FY9660"/>
      <c r="FZ9660"/>
      <c r="GA9660"/>
      <c r="GB9660"/>
      <c r="GC9660"/>
      <c r="GD9660"/>
      <c r="GE9660"/>
      <c r="GF9660"/>
      <c r="GG9660"/>
      <c r="GH9660"/>
      <c r="GI9660"/>
      <c r="GJ9660"/>
      <c r="GK9660"/>
      <c r="GL9660"/>
      <c r="GM9660"/>
      <c r="GN9660"/>
      <c r="GO9660"/>
    </row>
    <row r="9661" spans="107:197">
      <c r="DC9661"/>
      <c r="FH9661"/>
      <c r="FI9661"/>
      <c r="FJ9661"/>
      <c r="FK9661"/>
      <c r="FL9661"/>
      <c r="FM9661"/>
      <c r="FN9661"/>
      <c r="FO9661"/>
      <c r="FP9661"/>
      <c r="FQ9661"/>
      <c r="FR9661"/>
      <c r="FS9661"/>
      <c r="FT9661"/>
      <c r="FU9661"/>
      <c r="FV9661"/>
      <c r="FW9661"/>
      <c r="FX9661"/>
      <c r="FY9661"/>
      <c r="FZ9661"/>
      <c r="GA9661"/>
      <c r="GB9661"/>
      <c r="GC9661"/>
      <c r="GD9661"/>
      <c r="GE9661"/>
      <c r="GF9661"/>
      <c r="GG9661"/>
      <c r="GH9661"/>
      <c r="GI9661"/>
      <c r="GJ9661"/>
      <c r="GK9661"/>
      <c r="GL9661"/>
      <c r="GM9661"/>
      <c r="GN9661"/>
      <c r="GO9661"/>
    </row>
    <row r="9662" spans="107:197">
      <c r="DC9662"/>
      <c r="FH9662"/>
      <c r="FI9662"/>
      <c r="FJ9662"/>
      <c r="FK9662"/>
      <c r="FL9662"/>
      <c r="FM9662"/>
      <c r="FN9662"/>
      <c r="FO9662"/>
      <c r="FP9662"/>
      <c r="FQ9662"/>
      <c r="FR9662"/>
      <c r="FS9662"/>
      <c r="FT9662"/>
      <c r="FU9662"/>
      <c r="FV9662"/>
      <c r="FW9662"/>
      <c r="FX9662"/>
      <c r="FY9662"/>
      <c r="FZ9662"/>
      <c r="GA9662"/>
      <c r="GB9662"/>
      <c r="GC9662"/>
      <c r="GD9662"/>
      <c r="GE9662"/>
      <c r="GF9662"/>
      <c r="GG9662"/>
      <c r="GH9662"/>
      <c r="GI9662"/>
      <c r="GJ9662"/>
      <c r="GK9662"/>
      <c r="GL9662"/>
      <c r="GM9662"/>
      <c r="GN9662"/>
      <c r="GO9662"/>
    </row>
    <row r="9663" spans="107:197">
      <c r="DC9663"/>
      <c r="FH9663"/>
      <c r="FI9663"/>
      <c r="FJ9663"/>
      <c r="FK9663"/>
      <c r="FL9663"/>
      <c r="FM9663"/>
      <c r="FN9663"/>
      <c r="FO9663"/>
      <c r="FP9663"/>
      <c r="FQ9663"/>
      <c r="FR9663"/>
      <c r="FS9663"/>
      <c r="FT9663"/>
      <c r="FU9663"/>
      <c r="FV9663"/>
      <c r="FW9663"/>
      <c r="FX9663"/>
      <c r="FY9663"/>
      <c r="FZ9663"/>
      <c r="GA9663"/>
      <c r="GB9663"/>
      <c r="GC9663"/>
      <c r="GD9663"/>
      <c r="GE9663"/>
      <c r="GF9663"/>
      <c r="GG9663"/>
      <c r="GH9663"/>
      <c r="GI9663"/>
      <c r="GJ9663"/>
      <c r="GK9663"/>
      <c r="GL9663"/>
      <c r="GM9663"/>
      <c r="GN9663"/>
      <c r="GO9663"/>
    </row>
    <row r="9664" spans="107:197">
      <c r="DC9664"/>
      <c r="FH9664"/>
      <c r="FI9664"/>
      <c r="FJ9664"/>
      <c r="FK9664"/>
      <c r="FL9664"/>
      <c r="FM9664"/>
      <c r="FN9664"/>
      <c r="FO9664"/>
      <c r="FP9664"/>
      <c r="FQ9664"/>
      <c r="FR9664"/>
      <c r="FS9664"/>
      <c r="FT9664"/>
      <c r="FU9664"/>
      <c r="FV9664"/>
      <c r="FW9664"/>
      <c r="FX9664"/>
      <c r="FY9664"/>
      <c r="FZ9664"/>
      <c r="GA9664"/>
      <c r="GB9664"/>
      <c r="GC9664"/>
      <c r="GD9664"/>
      <c r="GE9664"/>
      <c r="GF9664"/>
      <c r="GG9664"/>
      <c r="GH9664"/>
      <c r="GI9664"/>
      <c r="GJ9664"/>
      <c r="GK9664"/>
      <c r="GL9664"/>
      <c r="GM9664"/>
      <c r="GN9664"/>
      <c r="GO9664"/>
    </row>
    <row r="9665" spans="107:197">
      <c r="DC9665"/>
      <c r="FH9665"/>
      <c r="FI9665"/>
      <c r="FJ9665"/>
      <c r="FK9665"/>
      <c r="FL9665"/>
      <c r="FM9665"/>
      <c r="FN9665"/>
      <c r="FO9665"/>
      <c r="FP9665"/>
      <c r="FQ9665"/>
      <c r="FR9665"/>
      <c r="FS9665"/>
      <c r="FT9665"/>
      <c r="FU9665"/>
      <c r="FV9665"/>
      <c r="FW9665"/>
      <c r="FX9665"/>
      <c r="FY9665"/>
      <c r="FZ9665"/>
      <c r="GA9665"/>
      <c r="GB9665"/>
      <c r="GC9665"/>
      <c r="GD9665"/>
      <c r="GE9665"/>
      <c r="GF9665"/>
      <c r="GG9665"/>
      <c r="GH9665"/>
      <c r="GI9665"/>
      <c r="GJ9665"/>
      <c r="GK9665"/>
      <c r="GL9665"/>
      <c r="GM9665"/>
      <c r="GN9665"/>
      <c r="GO9665"/>
    </row>
    <row r="9666" spans="107:197">
      <c r="DC9666"/>
      <c r="FH9666"/>
      <c r="FI9666"/>
      <c r="FJ9666"/>
      <c r="FK9666"/>
      <c r="FL9666"/>
      <c r="FM9666"/>
      <c r="FN9666"/>
      <c r="FO9666"/>
      <c r="FP9666"/>
      <c r="FQ9666"/>
      <c r="FR9666"/>
      <c r="FS9666"/>
      <c r="FT9666"/>
      <c r="FU9666"/>
      <c r="FV9666"/>
      <c r="FW9666"/>
      <c r="FX9666"/>
      <c r="FY9666"/>
      <c r="FZ9666"/>
      <c r="GA9666"/>
      <c r="GB9666"/>
      <c r="GC9666"/>
      <c r="GD9666"/>
      <c r="GE9666"/>
      <c r="GF9666"/>
      <c r="GG9666"/>
      <c r="GH9666"/>
      <c r="GI9666"/>
      <c r="GJ9666"/>
      <c r="GK9666"/>
      <c r="GL9666"/>
      <c r="GM9666"/>
      <c r="GN9666"/>
      <c r="GO9666"/>
    </row>
    <row r="9667" spans="107:197">
      <c r="DC9667"/>
      <c r="FH9667"/>
      <c r="FI9667"/>
      <c r="FJ9667"/>
      <c r="FK9667"/>
      <c r="FL9667"/>
      <c r="FM9667"/>
      <c r="FN9667"/>
      <c r="FO9667"/>
      <c r="FP9667"/>
      <c r="FQ9667"/>
      <c r="FR9667"/>
      <c r="FS9667"/>
      <c r="FT9667"/>
      <c r="FU9667"/>
      <c r="FV9667"/>
      <c r="FW9667"/>
      <c r="FX9667"/>
      <c r="FY9667"/>
      <c r="FZ9667"/>
      <c r="GA9667"/>
      <c r="GB9667"/>
      <c r="GC9667"/>
      <c r="GD9667"/>
      <c r="GE9667"/>
      <c r="GF9667"/>
      <c r="GG9667"/>
      <c r="GH9667"/>
      <c r="GI9667"/>
      <c r="GJ9667"/>
      <c r="GK9667"/>
      <c r="GL9667"/>
      <c r="GM9667"/>
      <c r="GN9667"/>
      <c r="GO9667"/>
    </row>
    <row r="9668" spans="107:197">
      <c r="DC9668"/>
      <c r="FH9668"/>
      <c r="FI9668"/>
      <c r="FJ9668"/>
      <c r="FK9668"/>
      <c r="FL9668"/>
      <c r="FM9668"/>
      <c r="FN9668"/>
      <c r="FO9668"/>
      <c r="FP9668"/>
      <c r="FQ9668"/>
      <c r="FR9668"/>
      <c r="FS9668"/>
      <c r="FT9668"/>
      <c r="FU9668"/>
      <c r="FV9668"/>
      <c r="FW9668"/>
      <c r="FX9668"/>
      <c r="FY9668"/>
      <c r="FZ9668"/>
      <c r="GA9668"/>
      <c r="GB9668"/>
      <c r="GC9668"/>
      <c r="GD9668"/>
      <c r="GE9668"/>
      <c r="GF9668"/>
      <c r="GG9668"/>
      <c r="GH9668"/>
      <c r="GI9668"/>
      <c r="GJ9668"/>
      <c r="GK9668"/>
      <c r="GL9668"/>
      <c r="GM9668"/>
      <c r="GN9668"/>
      <c r="GO9668"/>
    </row>
    <row r="9669" spans="107:197">
      <c r="DC9669"/>
      <c r="FH9669"/>
      <c r="FI9669"/>
      <c r="FJ9669"/>
      <c r="FK9669"/>
      <c r="FL9669"/>
      <c r="FM9669"/>
      <c r="FN9669"/>
      <c r="FO9669"/>
      <c r="FP9669"/>
      <c r="FQ9669"/>
      <c r="FR9669"/>
      <c r="FS9669"/>
      <c r="FT9669"/>
      <c r="FU9669"/>
      <c r="FV9669"/>
      <c r="FW9669"/>
      <c r="FX9669"/>
      <c r="FY9669"/>
      <c r="FZ9669"/>
      <c r="GA9669"/>
      <c r="GB9669"/>
      <c r="GC9669"/>
      <c r="GD9669"/>
      <c r="GE9669"/>
      <c r="GF9669"/>
      <c r="GG9669"/>
      <c r="GH9669"/>
      <c r="GI9669"/>
      <c r="GJ9669"/>
      <c r="GK9669"/>
      <c r="GL9669"/>
      <c r="GM9669"/>
      <c r="GN9669"/>
      <c r="GO9669"/>
    </row>
    <row r="9670" spans="107:197">
      <c r="DC9670"/>
      <c r="FH9670"/>
      <c r="FI9670"/>
      <c r="FJ9670"/>
      <c r="FK9670"/>
      <c r="FL9670"/>
      <c r="FM9670"/>
      <c r="FN9670"/>
      <c r="FO9670"/>
      <c r="FP9670"/>
      <c r="FQ9670"/>
      <c r="FR9670"/>
      <c r="FS9670"/>
      <c r="FT9670"/>
      <c r="FU9670"/>
      <c r="FV9670"/>
      <c r="FW9670"/>
      <c r="FX9670"/>
      <c r="FY9670"/>
      <c r="FZ9670"/>
      <c r="GA9670"/>
      <c r="GB9670"/>
      <c r="GC9670"/>
      <c r="GD9670"/>
      <c r="GE9670"/>
      <c r="GF9670"/>
      <c r="GG9670"/>
      <c r="GH9670"/>
      <c r="GI9670"/>
      <c r="GJ9670"/>
      <c r="GK9670"/>
      <c r="GL9670"/>
      <c r="GM9670"/>
      <c r="GN9670"/>
      <c r="GO9670"/>
    </row>
    <row r="9671" spans="107:197">
      <c r="DC9671"/>
      <c r="FH9671"/>
      <c r="FI9671"/>
      <c r="FJ9671"/>
      <c r="FK9671"/>
      <c r="FL9671"/>
      <c r="FM9671"/>
      <c r="FN9671"/>
      <c r="FO9671"/>
      <c r="FP9671"/>
      <c r="FQ9671"/>
      <c r="FR9671"/>
      <c r="FS9671"/>
      <c r="FT9671"/>
      <c r="FU9671"/>
      <c r="FV9671"/>
      <c r="FW9671"/>
      <c r="FX9671"/>
      <c r="FY9671"/>
      <c r="FZ9671"/>
      <c r="GA9671"/>
      <c r="GB9671"/>
      <c r="GC9671"/>
      <c r="GD9671"/>
      <c r="GE9671"/>
      <c r="GF9671"/>
      <c r="GG9671"/>
      <c r="GH9671"/>
      <c r="GI9671"/>
      <c r="GJ9671"/>
      <c r="GK9671"/>
      <c r="GL9671"/>
      <c r="GM9671"/>
      <c r="GN9671"/>
      <c r="GO9671"/>
    </row>
    <row r="9672" spans="107:197">
      <c r="DC9672"/>
      <c r="FH9672"/>
      <c r="FI9672"/>
      <c r="FJ9672"/>
      <c r="FK9672"/>
      <c r="FL9672"/>
      <c r="FM9672"/>
      <c r="FN9672"/>
      <c r="FO9672"/>
      <c r="FP9672"/>
      <c r="FQ9672"/>
      <c r="FR9672"/>
      <c r="FS9672"/>
      <c r="FT9672"/>
      <c r="FU9672"/>
      <c r="FV9672"/>
      <c r="FW9672"/>
      <c r="FX9672"/>
      <c r="FY9672"/>
      <c r="FZ9672"/>
      <c r="GA9672"/>
      <c r="GB9672"/>
      <c r="GC9672"/>
      <c r="GD9672"/>
      <c r="GE9672"/>
      <c r="GF9672"/>
      <c r="GG9672"/>
      <c r="GH9672"/>
      <c r="GI9672"/>
      <c r="GJ9672"/>
      <c r="GK9672"/>
      <c r="GL9672"/>
      <c r="GM9672"/>
      <c r="GN9672"/>
      <c r="GO9672"/>
    </row>
    <row r="9673" spans="107:197">
      <c r="DC9673"/>
      <c r="FH9673"/>
      <c r="FI9673"/>
      <c r="FJ9673"/>
      <c r="FK9673"/>
      <c r="FL9673"/>
      <c r="FM9673"/>
      <c r="FN9673"/>
      <c r="FO9673"/>
      <c r="FP9673"/>
      <c r="FQ9673"/>
      <c r="FR9673"/>
      <c r="FS9673"/>
      <c r="FT9673"/>
      <c r="FU9673"/>
      <c r="FV9673"/>
      <c r="FW9673"/>
      <c r="FX9673"/>
      <c r="FY9673"/>
      <c r="FZ9673"/>
      <c r="GA9673"/>
      <c r="GB9673"/>
      <c r="GC9673"/>
      <c r="GD9673"/>
      <c r="GE9673"/>
      <c r="GF9673"/>
      <c r="GG9673"/>
      <c r="GH9673"/>
      <c r="GI9673"/>
      <c r="GJ9673"/>
      <c r="GK9673"/>
      <c r="GL9673"/>
      <c r="GM9673"/>
      <c r="GN9673"/>
      <c r="GO9673"/>
    </row>
    <row r="9674" spans="107:197">
      <c r="DC9674"/>
      <c r="FH9674"/>
      <c r="FI9674"/>
      <c r="FJ9674"/>
      <c r="FK9674"/>
      <c r="FL9674"/>
      <c r="FM9674"/>
      <c r="FN9674"/>
      <c r="FO9674"/>
      <c r="FP9674"/>
      <c r="FQ9674"/>
      <c r="FR9674"/>
      <c r="FS9674"/>
      <c r="FT9674"/>
      <c r="FU9674"/>
      <c r="FV9674"/>
      <c r="FW9674"/>
      <c r="FX9674"/>
      <c r="FY9674"/>
      <c r="FZ9674"/>
      <c r="GA9674"/>
      <c r="GB9674"/>
      <c r="GC9674"/>
      <c r="GD9674"/>
      <c r="GE9674"/>
      <c r="GF9674"/>
      <c r="GG9674"/>
      <c r="GH9674"/>
      <c r="GI9674"/>
      <c r="GJ9674"/>
      <c r="GK9674"/>
      <c r="GL9674"/>
      <c r="GM9674"/>
      <c r="GN9674"/>
      <c r="GO9674"/>
    </row>
    <row r="9675" spans="107:197">
      <c r="DC9675"/>
      <c r="FH9675"/>
      <c r="FI9675"/>
      <c r="FJ9675"/>
      <c r="FK9675"/>
      <c r="FL9675"/>
      <c r="FM9675"/>
      <c r="FN9675"/>
      <c r="FO9675"/>
      <c r="FP9675"/>
      <c r="FQ9675"/>
      <c r="FR9675"/>
      <c r="FS9675"/>
      <c r="FT9675"/>
      <c r="FU9675"/>
      <c r="FV9675"/>
      <c r="FW9675"/>
      <c r="FX9675"/>
      <c r="FY9675"/>
      <c r="FZ9675"/>
      <c r="GA9675"/>
      <c r="GB9675"/>
      <c r="GC9675"/>
      <c r="GD9675"/>
      <c r="GE9675"/>
      <c r="GF9675"/>
      <c r="GG9675"/>
      <c r="GH9675"/>
      <c r="GI9675"/>
      <c r="GJ9675"/>
      <c r="GK9675"/>
      <c r="GL9675"/>
      <c r="GM9675"/>
      <c r="GN9675"/>
      <c r="GO9675"/>
    </row>
    <row r="9676" spans="107:197">
      <c r="DC9676"/>
      <c r="FH9676"/>
      <c r="FI9676"/>
      <c r="FJ9676"/>
      <c r="FK9676"/>
      <c r="FL9676"/>
      <c r="FM9676"/>
      <c r="FN9676"/>
      <c r="FO9676"/>
      <c r="FP9676"/>
      <c r="FQ9676"/>
      <c r="FR9676"/>
      <c r="FS9676"/>
      <c r="FT9676"/>
      <c r="FU9676"/>
      <c r="FV9676"/>
      <c r="FW9676"/>
      <c r="FX9676"/>
      <c r="FY9676"/>
      <c r="FZ9676"/>
      <c r="GA9676"/>
      <c r="GB9676"/>
      <c r="GC9676"/>
      <c r="GD9676"/>
      <c r="GE9676"/>
      <c r="GF9676"/>
      <c r="GG9676"/>
      <c r="GH9676"/>
      <c r="GI9676"/>
      <c r="GJ9676"/>
      <c r="GK9676"/>
      <c r="GL9676"/>
      <c r="GM9676"/>
      <c r="GN9676"/>
      <c r="GO9676"/>
    </row>
    <row r="9677" spans="107:197">
      <c r="DC9677"/>
      <c r="FH9677"/>
      <c r="FI9677"/>
      <c r="FJ9677"/>
      <c r="FK9677"/>
      <c r="FL9677"/>
      <c r="FM9677"/>
      <c r="FN9677"/>
      <c r="FO9677"/>
      <c r="FP9677"/>
      <c r="FQ9677"/>
      <c r="FR9677"/>
      <c r="FS9677"/>
      <c r="FT9677"/>
      <c r="FU9677"/>
      <c r="FV9677"/>
      <c r="FW9677"/>
      <c r="FX9677"/>
      <c r="FY9677"/>
      <c r="FZ9677"/>
      <c r="GA9677"/>
      <c r="GB9677"/>
      <c r="GC9677"/>
      <c r="GD9677"/>
      <c r="GE9677"/>
      <c r="GF9677"/>
      <c r="GG9677"/>
      <c r="GH9677"/>
      <c r="GI9677"/>
      <c r="GJ9677"/>
      <c r="GK9677"/>
      <c r="GL9677"/>
      <c r="GM9677"/>
      <c r="GN9677"/>
      <c r="GO9677"/>
    </row>
    <row r="9678" spans="107:197">
      <c r="DC9678"/>
      <c r="FH9678"/>
      <c r="FI9678"/>
      <c r="FJ9678"/>
      <c r="FK9678"/>
      <c r="FL9678"/>
      <c r="FM9678"/>
      <c r="FN9678"/>
      <c r="FO9678"/>
      <c r="FP9678"/>
      <c r="FQ9678"/>
      <c r="FR9678"/>
      <c r="FS9678"/>
      <c r="FT9678"/>
      <c r="FU9678"/>
      <c r="FV9678"/>
      <c r="FW9678"/>
      <c r="FX9678"/>
      <c r="FY9678"/>
      <c r="FZ9678"/>
      <c r="GA9678"/>
      <c r="GB9678"/>
      <c r="GC9678"/>
      <c r="GD9678"/>
      <c r="GE9678"/>
      <c r="GF9678"/>
      <c r="GG9678"/>
      <c r="GH9678"/>
      <c r="GI9678"/>
      <c r="GJ9678"/>
      <c r="GK9678"/>
      <c r="GL9678"/>
      <c r="GM9678"/>
      <c r="GN9678"/>
      <c r="GO9678"/>
    </row>
    <row r="9679" spans="107:197">
      <c r="DC9679"/>
      <c r="FH9679"/>
      <c r="FI9679"/>
      <c r="FJ9679"/>
      <c r="FK9679"/>
      <c r="FL9679"/>
      <c r="FM9679"/>
      <c r="FN9679"/>
      <c r="FO9679"/>
      <c r="FP9679"/>
      <c r="FQ9679"/>
      <c r="FR9679"/>
      <c r="FS9679"/>
      <c r="FT9679"/>
      <c r="FU9679"/>
      <c r="FV9679"/>
      <c r="FW9679"/>
      <c r="FX9679"/>
      <c r="FY9679"/>
      <c r="FZ9679"/>
      <c r="GA9679"/>
      <c r="GB9679"/>
      <c r="GC9679"/>
      <c r="GD9679"/>
      <c r="GE9679"/>
      <c r="GF9679"/>
      <c r="GG9679"/>
      <c r="GH9679"/>
      <c r="GI9679"/>
      <c r="GJ9679"/>
      <c r="GK9679"/>
      <c r="GL9679"/>
      <c r="GM9679"/>
      <c r="GN9679"/>
      <c r="GO9679"/>
    </row>
    <row r="9680" spans="107:197">
      <c r="DC9680"/>
      <c r="FH9680"/>
      <c r="FI9680"/>
      <c r="FJ9680"/>
      <c r="FK9680"/>
      <c r="FL9680"/>
      <c r="FM9680"/>
      <c r="FN9680"/>
      <c r="FO9680"/>
      <c r="FP9680"/>
      <c r="FQ9680"/>
      <c r="FR9680"/>
      <c r="FS9680"/>
      <c r="FT9680"/>
      <c r="FU9680"/>
      <c r="FV9680"/>
      <c r="FW9680"/>
      <c r="FX9680"/>
      <c r="FY9680"/>
      <c r="FZ9680"/>
      <c r="GA9680"/>
      <c r="GB9680"/>
      <c r="GC9680"/>
      <c r="GD9680"/>
      <c r="GE9680"/>
      <c r="GF9680"/>
      <c r="GG9680"/>
      <c r="GH9680"/>
      <c r="GI9680"/>
      <c r="GJ9680"/>
      <c r="GK9680"/>
      <c r="GL9680"/>
      <c r="GM9680"/>
      <c r="GN9680"/>
      <c r="GO9680"/>
    </row>
    <row r="9681" spans="107:197">
      <c r="DC9681"/>
      <c r="FH9681"/>
      <c r="FI9681"/>
      <c r="FJ9681"/>
      <c r="FK9681"/>
      <c r="FL9681"/>
      <c r="FM9681"/>
      <c r="FN9681"/>
      <c r="FO9681"/>
      <c r="FP9681"/>
      <c r="FQ9681"/>
      <c r="FR9681"/>
      <c r="FS9681"/>
      <c r="FT9681"/>
      <c r="FU9681"/>
      <c r="FV9681"/>
      <c r="FW9681"/>
      <c r="FX9681"/>
      <c r="FY9681"/>
      <c r="FZ9681"/>
      <c r="GA9681"/>
      <c r="GB9681"/>
      <c r="GC9681"/>
      <c r="GD9681"/>
      <c r="GE9681"/>
      <c r="GF9681"/>
      <c r="GG9681"/>
      <c r="GH9681"/>
      <c r="GI9681"/>
      <c r="GJ9681"/>
      <c r="GK9681"/>
      <c r="GL9681"/>
      <c r="GM9681"/>
      <c r="GN9681"/>
      <c r="GO9681"/>
    </row>
    <row r="9682" spans="107:197">
      <c r="DC9682"/>
      <c r="FH9682"/>
      <c r="FI9682"/>
      <c r="FJ9682"/>
      <c r="FK9682"/>
      <c r="FL9682"/>
      <c r="FM9682"/>
      <c r="FN9682"/>
      <c r="FO9682"/>
      <c r="FP9682"/>
      <c r="FQ9682"/>
      <c r="FR9682"/>
      <c r="FS9682"/>
      <c r="FT9682"/>
      <c r="FU9682"/>
      <c r="FV9682"/>
      <c r="FW9682"/>
      <c r="FX9682"/>
      <c r="FY9682"/>
      <c r="FZ9682"/>
      <c r="GA9682"/>
      <c r="GB9682"/>
      <c r="GC9682"/>
      <c r="GD9682"/>
      <c r="GE9682"/>
      <c r="GF9682"/>
      <c r="GG9682"/>
      <c r="GH9682"/>
      <c r="GI9682"/>
      <c r="GJ9682"/>
      <c r="GK9682"/>
      <c r="GL9682"/>
      <c r="GM9682"/>
      <c r="GN9682"/>
      <c r="GO9682"/>
    </row>
    <row r="9683" spans="107:197">
      <c r="DC9683"/>
      <c r="FH9683"/>
      <c r="FI9683"/>
      <c r="FJ9683"/>
      <c r="FK9683"/>
      <c r="FL9683"/>
      <c r="FM9683"/>
      <c r="FN9683"/>
      <c r="FO9683"/>
      <c r="FP9683"/>
      <c r="FQ9683"/>
      <c r="FR9683"/>
      <c r="FS9683"/>
      <c r="FT9683"/>
      <c r="FU9683"/>
      <c r="FV9683"/>
      <c r="FW9683"/>
      <c r="FX9683"/>
      <c r="FY9683"/>
      <c r="FZ9683"/>
      <c r="GA9683"/>
      <c r="GB9683"/>
      <c r="GC9683"/>
      <c r="GD9683"/>
      <c r="GE9683"/>
      <c r="GF9683"/>
      <c r="GG9683"/>
      <c r="GH9683"/>
      <c r="GI9683"/>
      <c r="GJ9683"/>
      <c r="GK9683"/>
      <c r="GL9683"/>
      <c r="GM9683"/>
      <c r="GN9683"/>
      <c r="GO9683"/>
    </row>
    <row r="9684" spans="107:197">
      <c r="DC9684"/>
      <c r="FH9684"/>
      <c r="FI9684"/>
      <c r="FJ9684"/>
      <c r="FK9684"/>
      <c r="FL9684"/>
      <c r="FM9684"/>
      <c r="FN9684"/>
      <c r="FO9684"/>
      <c r="FP9684"/>
      <c r="FQ9684"/>
      <c r="FR9684"/>
      <c r="FS9684"/>
      <c r="FT9684"/>
      <c r="FU9684"/>
      <c r="FV9684"/>
      <c r="FW9684"/>
      <c r="FX9684"/>
      <c r="FY9684"/>
      <c r="FZ9684"/>
      <c r="GA9684"/>
      <c r="GB9684"/>
      <c r="GC9684"/>
      <c r="GD9684"/>
      <c r="GE9684"/>
      <c r="GF9684"/>
      <c r="GG9684"/>
      <c r="GH9684"/>
      <c r="GI9684"/>
      <c r="GJ9684"/>
      <c r="GK9684"/>
      <c r="GL9684"/>
      <c r="GM9684"/>
      <c r="GN9684"/>
      <c r="GO9684"/>
    </row>
    <row r="9685" spans="107:197">
      <c r="DC9685"/>
      <c r="FH9685"/>
      <c r="FI9685"/>
      <c r="FJ9685"/>
      <c r="FK9685"/>
      <c r="FL9685"/>
      <c r="FM9685"/>
      <c r="FN9685"/>
      <c r="FO9685"/>
      <c r="FP9685"/>
      <c r="FQ9685"/>
      <c r="FR9685"/>
      <c r="FS9685"/>
      <c r="FT9685"/>
      <c r="FU9685"/>
      <c r="FV9685"/>
      <c r="FW9685"/>
      <c r="FX9685"/>
      <c r="FY9685"/>
      <c r="FZ9685"/>
      <c r="GA9685"/>
      <c r="GB9685"/>
      <c r="GC9685"/>
      <c r="GD9685"/>
      <c r="GE9685"/>
      <c r="GF9685"/>
      <c r="GG9685"/>
      <c r="GH9685"/>
      <c r="GI9685"/>
      <c r="GJ9685"/>
      <c r="GK9685"/>
      <c r="GL9685"/>
      <c r="GM9685"/>
      <c r="GN9685"/>
      <c r="GO9685"/>
    </row>
    <row r="9686" spans="107:197">
      <c r="DC9686"/>
      <c r="FH9686"/>
      <c r="FI9686"/>
      <c r="FJ9686"/>
      <c r="FK9686"/>
      <c r="FL9686"/>
      <c r="FM9686"/>
      <c r="FN9686"/>
      <c r="FO9686"/>
      <c r="FP9686"/>
      <c r="FQ9686"/>
      <c r="FR9686"/>
      <c r="FS9686"/>
      <c r="FT9686"/>
      <c r="FU9686"/>
      <c r="FV9686"/>
      <c r="FW9686"/>
      <c r="FX9686"/>
      <c r="FY9686"/>
      <c r="FZ9686"/>
      <c r="GA9686"/>
      <c r="GB9686"/>
      <c r="GC9686"/>
      <c r="GD9686"/>
      <c r="GE9686"/>
      <c r="GF9686"/>
      <c r="GG9686"/>
      <c r="GH9686"/>
      <c r="GI9686"/>
      <c r="GJ9686"/>
      <c r="GK9686"/>
      <c r="GL9686"/>
      <c r="GM9686"/>
      <c r="GN9686"/>
      <c r="GO9686"/>
    </row>
    <row r="9687" spans="107:197">
      <c r="DC9687"/>
      <c r="FH9687"/>
      <c r="FI9687"/>
      <c r="FJ9687"/>
      <c r="FK9687"/>
      <c r="FL9687"/>
      <c r="FM9687"/>
      <c r="FN9687"/>
      <c r="FO9687"/>
      <c r="FP9687"/>
      <c r="FQ9687"/>
      <c r="FR9687"/>
      <c r="FS9687"/>
      <c r="FT9687"/>
      <c r="FU9687"/>
      <c r="FV9687"/>
      <c r="FW9687"/>
      <c r="FX9687"/>
      <c r="FY9687"/>
      <c r="FZ9687"/>
      <c r="GA9687"/>
      <c r="GB9687"/>
      <c r="GC9687"/>
      <c r="GD9687"/>
      <c r="GE9687"/>
      <c r="GF9687"/>
      <c r="GG9687"/>
      <c r="GH9687"/>
      <c r="GI9687"/>
      <c r="GJ9687"/>
      <c r="GK9687"/>
      <c r="GL9687"/>
      <c r="GM9687"/>
      <c r="GN9687"/>
      <c r="GO9687"/>
    </row>
    <row r="9688" spans="107:197">
      <c r="DC9688"/>
      <c r="FH9688"/>
      <c r="FI9688"/>
      <c r="FJ9688"/>
      <c r="FK9688"/>
      <c r="FL9688"/>
      <c r="FM9688"/>
      <c r="FN9688"/>
      <c r="FO9688"/>
      <c r="FP9688"/>
      <c r="FQ9688"/>
      <c r="FR9688"/>
      <c r="FS9688"/>
      <c r="FT9688"/>
      <c r="FU9688"/>
      <c r="FV9688"/>
      <c r="FW9688"/>
      <c r="FX9688"/>
      <c r="FY9688"/>
      <c r="FZ9688"/>
      <c r="GA9688"/>
      <c r="GB9688"/>
      <c r="GC9688"/>
      <c r="GD9688"/>
      <c r="GE9688"/>
      <c r="GF9688"/>
      <c r="GG9688"/>
      <c r="GH9688"/>
      <c r="GI9688"/>
      <c r="GJ9688"/>
      <c r="GK9688"/>
      <c r="GL9688"/>
      <c r="GM9688"/>
      <c r="GN9688"/>
      <c r="GO9688"/>
    </row>
    <row r="9689" spans="107:197">
      <c r="DC9689"/>
      <c r="FH9689"/>
      <c r="FI9689"/>
      <c r="FJ9689"/>
      <c r="FK9689"/>
      <c r="FL9689"/>
      <c r="FM9689"/>
      <c r="FN9689"/>
      <c r="FO9689"/>
      <c r="FP9689"/>
      <c r="FQ9689"/>
      <c r="FR9689"/>
      <c r="FS9689"/>
      <c r="FT9689"/>
      <c r="FU9689"/>
      <c r="FV9689"/>
      <c r="FW9689"/>
      <c r="FX9689"/>
      <c r="FY9689"/>
      <c r="FZ9689"/>
      <c r="GA9689"/>
      <c r="GB9689"/>
      <c r="GC9689"/>
      <c r="GD9689"/>
      <c r="GE9689"/>
      <c r="GF9689"/>
      <c r="GG9689"/>
      <c r="GH9689"/>
      <c r="GI9689"/>
      <c r="GJ9689"/>
      <c r="GK9689"/>
      <c r="GL9689"/>
      <c r="GM9689"/>
      <c r="GN9689"/>
      <c r="GO9689"/>
    </row>
    <row r="9690" spans="107:197">
      <c r="DC9690"/>
      <c r="FH9690"/>
      <c r="FI9690"/>
      <c r="FJ9690"/>
      <c r="FK9690"/>
      <c r="FL9690"/>
      <c r="FM9690"/>
      <c r="FN9690"/>
      <c r="FO9690"/>
      <c r="FP9690"/>
      <c r="FQ9690"/>
      <c r="FR9690"/>
      <c r="FS9690"/>
      <c r="FT9690"/>
      <c r="FU9690"/>
      <c r="FV9690"/>
      <c r="FW9690"/>
      <c r="FX9690"/>
      <c r="FY9690"/>
      <c r="FZ9690"/>
      <c r="GA9690"/>
      <c r="GB9690"/>
      <c r="GC9690"/>
      <c r="GD9690"/>
      <c r="GE9690"/>
      <c r="GF9690"/>
      <c r="GG9690"/>
      <c r="GH9690"/>
      <c r="GI9690"/>
      <c r="GJ9690"/>
      <c r="GK9690"/>
      <c r="GL9690"/>
      <c r="GM9690"/>
      <c r="GN9690"/>
      <c r="GO9690"/>
    </row>
    <row r="9691" spans="107:197">
      <c r="DC9691"/>
      <c r="FH9691"/>
      <c r="FI9691"/>
      <c r="FJ9691"/>
      <c r="FK9691"/>
      <c r="FL9691"/>
      <c r="FM9691"/>
      <c r="FN9691"/>
      <c r="FO9691"/>
      <c r="FP9691"/>
      <c r="FQ9691"/>
      <c r="FR9691"/>
      <c r="FS9691"/>
      <c r="FT9691"/>
      <c r="FU9691"/>
      <c r="FV9691"/>
      <c r="FW9691"/>
      <c r="FX9691"/>
      <c r="FY9691"/>
      <c r="FZ9691"/>
      <c r="GA9691"/>
      <c r="GB9691"/>
      <c r="GC9691"/>
      <c r="GD9691"/>
      <c r="GE9691"/>
      <c r="GF9691"/>
      <c r="GG9691"/>
      <c r="GH9691"/>
      <c r="GI9691"/>
      <c r="GJ9691"/>
      <c r="GK9691"/>
      <c r="GL9691"/>
      <c r="GM9691"/>
      <c r="GN9691"/>
      <c r="GO9691"/>
    </row>
    <row r="9692" spans="107:197">
      <c r="DC9692"/>
      <c r="FH9692"/>
      <c r="FI9692"/>
      <c r="FJ9692"/>
      <c r="FK9692"/>
      <c r="FL9692"/>
      <c r="FM9692"/>
      <c r="FN9692"/>
      <c r="FO9692"/>
      <c r="FP9692"/>
      <c r="FQ9692"/>
      <c r="FR9692"/>
      <c r="FS9692"/>
      <c r="FT9692"/>
      <c r="FU9692"/>
      <c r="FV9692"/>
      <c r="FW9692"/>
      <c r="FX9692"/>
      <c r="FY9692"/>
      <c r="FZ9692"/>
      <c r="GA9692"/>
      <c r="GB9692"/>
      <c r="GC9692"/>
      <c r="GD9692"/>
      <c r="GE9692"/>
      <c r="GF9692"/>
      <c r="GG9692"/>
      <c r="GH9692"/>
      <c r="GI9692"/>
      <c r="GJ9692"/>
      <c r="GK9692"/>
      <c r="GL9692"/>
      <c r="GM9692"/>
      <c r="GN9692"/>
      <c r="GO9692"/>
    </row>
    <row r="9693" spans="107:197">
      <c r="DC9693"/>
      <c r="FH9693"/>
      <c r="FI9693"/>
      <c r="FJ9693"/>
      <c r="FK9693"/>
      <c r="FL9693"/>
      <c r="FM9693"/>
      <c r="FN9693"/>
      <c r="FO9693"/>
      <c r="FP9693"/>
      <c r="FQ9693"/>
      <c r="FR9693"/>
      <c r="FS9693"/>
      <c r="FT9693"/>
      <c r="FU9693"/>
      <c r="FV9693"/>
      <c r="FW9693"/>
      <c r="FX9693"/>
      <c r="FY9693"/>
      <c r="FZ9693"/>
      <c r="GA9693"/>
      <c r="GB9693"/>
      <c r="GC9693"/>
      <c r="GD9693"/>
      <c r="GE9693"/>
      <c r="GF9693"/>
      <c r="GG9693"/>
      <c r="GH9693"/>
      <c r="GI9693"/>
      <c r="GJ9693"/>
      <c r="GK9693"/>
      <c r="GL9693"/>
      <c r="GM9693"/>
      <c r="GN9693"/>
      <c r="GO9693"/>
    </row>
    <row r="9694" spans="107:197">
      <c r="DC9694"/>
      <c r="FH9694"/>
      <c r="FI9694"/>
      <c r="FJ9694"/>
      <c r="FK9694"/>
      <c r="FL9694"/>
      <c r="FM9694"/>
      <c r="FN9694"/>
      <c r="FO9694"/>
      <c r="FP9694"/>
      <c r="FQ9694"/>
      <c r="FR9694"/>
      <c r="FS9694"/>
      <c r="FT9694"/>
      <c r="FU9694"/>
      <c r="FV9694"/>
      <c r="FW9694"/>
      <c r="FX9694"/>
      <c r="FY9694"/>
      <c r="FZ9694"/>
      <c r="GA9694"/>
      <c r="GB9694"/>
      <c r="GC9694"/>
      <c r="GD9694"/>
      <c r="GE9694"/>
      <c r="GF9694"/>
      <c r="GG9694"/>
      <c r="GH9694"/>
      <c r="GI9694"/>
      <c r="GJ9694"/>
      <c r="GK9694"/>
      <c r="GL9694"/>
      <c r="GM9694"/>
      <c r="GN9694"/>
      <c r="GO9694"/>
    </row>
    <row r="9695" spans="107:197">
      <c r="DC9695"/>
      <c r="FH9695"/>
      <c r="FI9695"/>
      <c r="FJ9695"/>
      <c r="FK9695"/>
      <c r="FL9695"/>
      <c r="FM9695"/>
      <c r="FN9695"/>
      <c r="FO9695"/>
      <c r="FP9695"/>
      <c r="FQ9695"/>
      <c r="FR9695"/>
      <c r="FS9695"/>
      <c r="FT9695"/>
      <c r="FU9695"/>
      <c r="FV9695"/>
      <c r="FW9695"/>
      <c r="FX9695"/>
      <c r="FY9695"/>
      <c r="FZ9695"/>
      <c r="GA9695"/>
      <c r="GB9695"/>
      <c r="GC9695"/>
      <c r="GD9695"/>
      <c r="GE9695"/>
      <c r="GF9695"/>
      <c r="GG9695"/>
      <c r="GH9695"/>
      <c r="GI9695"/>
      <c r="GJ9695"/>
      <c r="GK9695"/>
      <c r="GL9695"/>
      <c r="GM9695"/>
      <c r="GN9695"/>
      <c r="GO9695"/>
    </row>
    <row r="9696" spans="107:197">
      <c r="DC9696"/>
      <c r="FH9696"/>
      <c r="FI9696"/>
      <c r="FJ9696"/>
      <c r="FK9696"/>
      <c r="FL9696"/>
      <c r="FM9696"/>
      <c r="FN9696"/>
      <c r="FO9696"/>
      <c r="FP9696"/>
      <c r="FQ9696"/>
      <c r="FR9696"/>
      <c r="FS9696"/>
      <c r="FT9696"/>
      <c r="FU9696"/>
      <c r="FV9696"/>
      <c r="FW9696"/>
      <c r="FX9696"/>
      <c r="FY9696"/>
      <c r="FZ9696"/>
      <c r="GA9696"/>
      <c r="GB9696"/>
      <c r="GC9696"/>
      <c r="GD9696"/>
      <c r="GE9696"/>
      <c r="GF9696"/>
      <c r="GG9696"/>
      <c r="GH9696"/>
      <c r="GI9696"/>
      <c r="GJ9696"/>
      <c r="GK9696"/>
      <c r="GL9696"/>
      <c r="GM9696"/>
      <c r="GN9696"/>
      <c r="GO9696"/>
    </row>
    <row r="9697" spans="107:197">
      <c r="DC9697"/>
      <c r="FH9697"/>
      <c r="FI9697"/>
      <c r="FJ9697"/>
      <c r="FK9697"/>
      <c r="FL9697"/>
      <c r="FM9697"/>
      <c r="FN9697"/>
      <c r="FO9697"/>
      <c r="FP9697"/>
      <c r="FQ9697"/>
      <c r="FR9697"/>
      <c r="FS9697"/>
      <c r="FT9697"/>
      <c r="FU9697"/>
      <c r="FV9697"/>
      <c r="FW9697"/>
      <c r="FX9697"/>
      <c r="FY9697"/>
      <c r="FZ9697"/>
      <c r="GA9697"/>
      <c r="GB9697"/>
      <c r="GC9697"/>
      <c r="GD9697"/>
      <c r="GE9697"/>
      <c r="GF9697"/>
      <c r="GG9697"/>
      <c r="GH9697"/>
      <c r="GI9697"/>
      <c r="GJ9697"/>
      <c r="GK9697"/>
      <c r="GL9697"/>
      <c r="GM9697"/>
      <c r="GN9697"/>
      <c r="GO9697"/>
    </row>
    <row r="9698" spans="107:197">
      <c r="DC9698"/>
      <c r="FH9698"/>
      <c r="FI9698"/>
      <c r="FJ9698"/>
      <c r="FK9698"/>
      <c r="FL9698"/>
      <c r="FM9698"/>
      <c r="FN9698"/>
      <c r="FO9698"/>
      <c r="FP9698"/>
      <c r="FQ9698"/>
      <c r="FR9698"/>
      <c r="FS9698"/>
      <c r="FT9698"/>
      <c r="FU9698"/>
      <c r="FV9698"/>
      <c r="FW9698"/>
      <c r="FX9698"/>
      <c r="FY9698"/>
      <c r="FZ9698"/>
      <c r="GA9698"/>
      <c r="GB9698"/>
      <c r="GC9698"/>
      <c r="GD9698"/>
      <c r="GE9698"/>
      <c r="GF9698"/>
      <c r="GG9698"/>
      <c r="GH9698"/>
      <c r="GI9698"/>
      <c r="GJ9698"/>
      <c r="GK9698"/>
      <c r="GL9698"/>
      <c r="GM9698"/>
      <c r="GN9698"/>
      <c r="GO9698"/>
    </row>
    <row r="9699" spans="107:197">
      <c r="DC9699"/>
      <c r="FH9699"/>
      <c r="FI9699"/>
      <c r="FJ9699"/>
      <c r="FK9699"/>
      <c r="FL9699"/>
      <c r="FM9699"/>
      <c r="FN9699"/>
      <c r="FO9699"/>
      <c r="FP9699"/>
      <c r="FQ9699"/>
      <c r="FR9699"/>
      <c r="FS9699"/>
      <c r="FT9699"/>
      <c r="FU9699"/>
      <c r="FV9699"/>
      <c r="FW9699"/>
      <c r="FX9699"/>
      <c r="FY9699"/>
      <c r="FZ9699"/>
      <c r="GA9699"/>
      <c r="GB9699"/>
      <c r="GC9699"/>
      <c r="GD9699"/>
      <c r="GE9699"/>
      <c r="GF9699"/>
      <c r="GG9699"/>
      <c r="GH9699"/>
      <c r="GI9699"/>
      <c r="GJ9699"/>
      <c r="GK9699"/>
      <c r="GL9699"/>
      <c r="GM9699"/>
      <c r="GN9699"/>
      <c r="GO9699"/>
    </row>
    <row r="9700" spans="107:197">
      <c r="DC9700"/>
      <c r="FH9700"/>
      <c r="FI9700"/>
      <c r="FJ9700"/>
      <c r="FK9700"/>
      <c r="FL9700"/>
      <c r="FM9700"/>
      <c r="FN9700"/>
      <c r="FO9700"/>
      <c r="FP9700"/>
      <c r="FQ9700"/>
      <c r="FR9700"/>
      <c r="FS9700"/>
      <c r="FT9700"/>
      <c r="FU9700"/>
      <c r="FV9700"/>
      <c r="FW9700"/>
      <c r="FX9700"/>
      <c r="FY9700"/>
      <c r="FZ9700"/>
      <c r="GA9700"/>
      <c r="GB9700"/>
      <c r="GC9700"/>
      <c r="GD9700"/>
      <c r="GE9700"/>
      <c r="GF9700"/>
      <c r="GG9700"/>
      <c r="GH9700"/>
      <c r="GI9700"/>
      <c r="GJ9700"/>
      <c r="GK9700"/>
      <c r="GL9700"/>
      <c r="GM9700"/>
      <c r="GN9700"/>
      <c r="GO9700"/>
    </row>
    <row r="9701" spans="107:197">
      <c r="DC9701"/>
      <c r="FH9701"/>
      <c r="FI9701"/>
      <c r="FJ9701"/>
      <c r="FK9701"/>
      <c r="FL9701"/>
      <c r="FM9701"/>
      <c r="FN9701"/>
      <c r="FO9701"/>
      <c r="FP9701"/>
      <c r="FQ9701"/>
      <c r="FR9701"/>
      <c r="FS9701"/>
      <c r="FT9701"/>
      <c r="FU9701"/>
      <c r="FV9701"/>
      <c r="FW9701"/>
      <c r="FX9701"/>
      <c r="FY9701"/>
      <c r="FZ9701"/>
      <c r="GA9701"/>
      <c r="GB9701"/>
      <c r="GC9701"/>
      <c r="GD9701"/>
      <c r="GE9701"/>
      <c r="GF9701"/>
      <c r="GG9701"/>
      <c r="GH9701"/>
      <c r="GI9701"/>
      <c r="GJ9701"/>
      <c r="GK9701"/>
      <c r="GL9701"/>
      <c r="GM9701"/>
      <c r="GN9701"/>
      <c r="GO9701"/>
    </row>
    <row r="9702" spans="107:197">
      <c r="DC9702"/>
      <c r="FH9702"/>
      <c r="FI9702"/>
      <c r="FJ9702"/>
      <c r="FK9702"/>
      <c r="FL9702"/>
      <c r="FM9702"/>
      <c r="FN9702"/>
      <c r="FO9702"/>
      <c r="FP9702"/>
      <c r="FQ9702"/>
      <c r="FR9702"/>
      <c r="FS9702"/>
      <c r="FT9702"/>
      <c r="FU9702"/>
      <c r="FV9702"/>
      <c r="FW9702"/>
      <c r="FX9702"/>
      <c r="FY9702"/>
      <c r="FZ9702"/>
      <c r="GA9702"/>
      <c r="GB9702"/>
      <c r="GC9702"/>
      <c r="GD9702"/>
      <c r="GE9702"/>
      <c r="GF9702"/>
      <c r="GG9702"/>
      <c r="GH9702"/>
      <c r="GI9702"/>
      <c r="GJ9702"/>
      <c r="GK9702"/>
      <c r="GL9702"/>
      <c r="GM9702"/>
      <c r="GN9702"/>
      <c r="GO9702"/>
    </row>
    <row r="9703" spans="107:197">
      <c r="DC9703"/>
      <c r="FH9703"/>
      <c r="FI9703"/>
      <c r="FJ9703"/>
      <c r="FK9703"/>
      <c r="FL9703"/>
      <c r="FM9703"/>
      <c r="FN9703"/>
      <c r="FO9703"/>
      <c r="FP9703"/>
      <c r="FQ9703"/>
      <c r="FR9703"/>
      <c r="FS9703"/>
      <c r="FT9703"/>
      <c r="FU9703"/>
      <c r="FV9703"/>
      <c r="FW9703"/>
      <c r="FX9703"/>
      <c r="FY9703"/>
      <c r="FZ9703"/>
      <c r="GA9703"/>
      <c r="GB9703"/>
      <c r="GC9703"/>
      <c r="GD9703"/>
      <c r="GE9703"/>
      <c r="GF9703"/>
      <c r="GG9703"/>
      <c r="GH9703"/>
      <c r="GI9703"/>
      <c r="GJ9703"/>
      <c r="GK9703"/>
      <c r="GL9703"/>
      <c r="GM9703"/>
      <c r="GN9703"/>
      <c r="GO9703"/>
    </row>
    <row r="9704" spans="107:197">
      <c r="DC9704"/>
      <c r="FH9704"/>
      <c r="FI9704"/>
      <c r="FJ9704"/>
      <c r="FK9704"/>
      <c r="FL9704"/>
      <c r="FM9704"/>
      <c r="FN9704"/>
      <c r="FO9704"/>
      <c r="FP9704"/>
      <c r="FQ9704"/>
      <c r="FR9704"/>
      <c r="FS9704"/>
      <c r="FT9704"/>
      <c r="FU9704"/>
      <c r="FV9704"/>
      <c r="FW9704"/>
      <c r="FX9704"/>
      <c r="FY9704"/>
      <c r="FZ9704"/>
      <c r="GA9704"/>
      <c r="GB9704"/>
      <c r="GC9704"/>
      <c r="GD9704"/>
      <c r="GE9704"/>
      <c r="GF9704"/>
      <c r="GG9704"/>
      <c r="GH9704"/>
      <c r="GI9704"/>
      <c r="GJ9704"/>
      <c r="GK9704"/>
      <c r="GL9704"/>
      <c r="GM9704"/>
      <c r="GN9704"/>
      <c r="GO9704"/>
    </row>
    <row r="9705" spans="107:197">
      <c r="DC9705"/>
      <c r="FH9705"/>
      <c r="FI9705"/>
      <c r="FJ9705"/>
      <c r="FK9705"/>
      <c r="FL9705"/>
      <c r="FM9705"/>
      <c r="FN9705"/>
      <c r="FO9705"/>
      <c r="FP9705"/>
      <c r="FQ9705"/>
      <c r="FR9705"/>
      <c r="FS9705"/>
      <c r="FT9705"/>
      <c r="FU9705"/>
      <c r="FV9705"/>
      <c r="FW9705"/>
      <c r="FX9705"/>
      <c r="FY9705"/>
      <c r="FZ9705"/>
      <c r="GA9705"/>
      <c r="GB9705"/>
      <c r="GC9705"/>
      <c r="GD9705"/>
      <c r="GE9705"/>
      <c r="GF9705"/>
      <c r="GG9705"/>
      <c r="GH9705"/>
      <c r="GI9705"/>
      <c r="GJ9705"/>
      <c r="GK9705"/>
      <c r="GL9705"/>
      <c r="GM9705"/>
      <c r="GN9705"/>
      <c r="GO9705"/>
    </row>
    <row r="9706" spans="107:197">
      <c r="DC9706"/>
      <c r="FH9706"/>
      <c r="FI9706"/>
      <c r="FJ9706"/>
      <c r="FK9706"/>
      <c r="FL9706"/>
      <c r="FM9706"/>
      <c r="FN9706"/>
      <c r="FO9706"/>
      <c r="FP9706"/>
      <c r="FQ9706"/>
      <c r="FR9706"/>
      <c r="FS9706"/>
      <c r="FT9706"/>
      <c r="FU9706"/>
      <c r="FV9706"/>
      <c r="FW9706"/>
      <c r="FX9706"/>
      <c r="FY9706"/>
      <c r="FZ9706"/>
      <c r="GA9706"/>
      <c r="GB9706"/>
      <c r="GC9706"/>
      <c r="GD9706"/>
      <c r="GE9706"/>
      <c r="GF9706"/>
      <c r="GG9706"/>
      <c r="GH9706"/>
      <c r="GI9706"/>
      <c r="GJ9706"/>
      <c r="GK9706"/>
      <c r="GL9706"/>
      <c r="GM9706"/>
      <c r="GN9706"/>
      <c r="GO9706"/>
    </row>
    <row r="9707" spans="107:197">
      <c r="DC9707"/>
      <c r="FH9707"/>
      <c r="FI9707"/>
      <c r="FJ9707"/>
      <c r="FK9707"/>
      <c r="FL9707"/>
      <c r="FM9707"/>
      <c r="FN9707"/>
      <c r="FO9707"/>
      <c r="FP9707"/>
      <c r="FQ9707"/>
      <c r="FR9707"/>
      <c r="FS9707"/>
      <c r="FT9707"/>
      <c r="FU9707"/>
      <c r="FV9707"/>
      <c r="FW9707"/>
      <c r="FX9707"/>
      <c r="FY9707"/>
      <c r="FZ9707"/>
      <c r="GA9707"/>
      <c r="GB9707"/>
      <c r="GC9707"/>
      <c r="GD9707"/>
      <c r="GE9707"/>
      <c r="GF9707"/>
      <c r="GG9707"/>
      <c r="GH9707"/>
      <c r="GI9707"/>
      <c r="GJ9707"/>
      <c r="GK9707"/>
      <c r="GL9707"/>
      <c r="GM9707"/>
      <c r="GN9707"/>
      <c r="GO9707"/>
    </row>
    <row r="9708" spans="107:197">
      <c r="DC9708"/>
      <c r="FH9708"/>
      <c r="FI9708"/>
      <c r="FJ9708"/>
      <c r="FK9708"/>
      <c r="FL9708"/>
      <c r="FM9708"/>
      <c r="FN9708"/>
      <c r="FO9708"/>
      <c r="FP9708"/>
      <c r="FQ9708"/>
      <c r="FR9708"/>
      <c r="FS9708"/>
      <c r="FT9708"/>
      <c r="FU9708"/>
      <c r="FV9708"/>
      <c r="FW9708"/>
      <c r="FX9708"/>
      <c r="FY9708"/>
      <c r="FZ9708"/>
      <c r="GA9708"/>
      <c r="GB9708"/>
      <c r="GC9708"/>
      <c r="GD9708"/>
      <c r="GE9708"/>
      <c r="GF9708"/>
      <c r="GG9708"/>
      <c r="GH9708"/>
      <c r="GI9708"/>
      <c r="GJ9708"/>
      <c r="GK9708"/>
      <c r="GL9708"/>
      <c r="GM9708"/>
      <c r="GN9708"/>
      <c r="GO9708"/>
    </row>
    <row r="9709" spans="107:197">
      <c r="DC9709"/>
      <c r="FH9709"/>
      <c r="FI9709"/>
      <c r="FJ9709"/>
      <c r="FK9709"/>
      <c r="FL9709"/>
      <c r="FM9709"/>
      <c r="FN9709"/>
      <c r="FO9709"/>
      <c r="FP9709"/>
      <c r="FQ9709"/>
      <c r="FR9709"/>
      <c r="FS9709"/>
      <c r="FT9709"/>
      <c r="FU9709"/>
      <c r="FV9709"/>
      <c r="FW9709"/>
      <c r="FX9709"/>
      <c r="FY9709"/>
      <c r="FZ9709"/>
      <c r="GA9709"/>
      <c r="GB9709"/>
      <c r="GC9709"/>
      <c r="GD9709"/>
      <c r="GE9709"/>
      <c r="GF9709"/>
      <c r="GG9709"/>
      <c r="GH9709"/>
      <c r="GI9709"/>
      <c r="GJ9709"/>
      <c r="GK9709"/>
      <c r="GL9709"/>
      <c r="GM9709"/>
      <c r="GN9709"/>
      <c r="GO9709"/>
    </row>
    <row r="9710" spans="107:197">
      <c r="DC9710"/>
      <c r="FH9710"/>
      <c r="FI9710"/>
      <c r="FJ9710"/>
      <c r="FK9710"/>
      <c r="FL9710"/>
      <c r="FM9710"/>
      <c r="FN9710"/>
      <c r="FO9710"/>
      <c r="FP9710"/>
      <c r="FQ9710"/>
      <c r="FR9710"/>
      <c r="FS9710"/>
      <c r="FT9710"/>
      <c r="FU9710"/>
      <c r="FV9710"/>
      <c r="FW9710"/>
      <c r="FX9710"/>
      <c r="FY9710"/>
      <c r="FZ9710"/>
      <c r="GA9710"/>
      <c r="GB9710"/>
      <c r="GC9710"/>
      <c r="GD9710"/>
      <c r="GE9710"/>
      <c r="GF9710"/>
      <c r="GG9710"/>
      <c r="GH9710"/>
      <c r="GI9710"/>
      <c r="GJ9710"/>
      <c r="GK9710"/>
      <c r="GL9710"/>
      <c r="GM9710"/>
      <c r="GN9710"/>
      <c r="GO9710"/>
    </row>
    <row r="9711" spans="107:197">
      <c r="DC9711"/>
      <c r="FH9711"/>
      <c r="FI9711"/>
      <c r="FJ9711"/>
      <c r="FK9711"/>
      <c r="FL9711"/>
      <c r="FM9711"/>
      <c r="FN9711"/>
      <c r="FO9711"/>
      <c r="FP9711"/>
      <c r="FQ9711"/>
      <c r="FR9711"/>
      <c r="FS9711"/>
      <c r="FT9711"/>
      <c r="FU9711"/>
      <c r="FV9711"/>
      <c r="FW9711"/>
      <c r="FX9711"/>
      <c r="FY9711"/>
      <c r="FZ9711"/>
      <c r="GA9711"/>
      <c r="GB9711"/>
      <c r="GC9711"/>
      <c r="GD9711"/>
      <c r="GE9711"/>
      <c r="GF9711"/>
      <c r="GG9711"/>
      <c r="GH9711"/>
      <c r="GI9711"/>
      <c r="GJ9711"/>
      <c r="GK9711"/>
      <c r="GL9711"/>
      <c r="GM9711"/>
      <c r="GN9711"/>
      <c r="GO9711"/>
    </row>
    <row r="9712" spans="107:197">
      <c r="DC9712"/>
      <c r="FH9712"/>
      <c r="FI9712"/>
      <c r="FJ9712"/>
      <c r="FK9712"/>
      <c r="FL9712"/>
      <c r="FM9712"/>
      <c r="FN9712"/>
      <c r="FO9712"/>
      <c r="FP9712"/>
      <c r="FQ9712"/>
      <c r="FR9712"/>
      <c r="FS9712"/>
      <c r="FT9712"/>
      <c r="FU9712"/>
      <c r="FV9712"/>
      <c r="FW9712"/>
      <c r="FX9712"/>
      <c r="FY9712"/>
      <c r="FZ9712"/>
      <c r="GA9712"/>
      <c r="GB9712"/>
      <c r="GC9712"/>
      <c r="GD9712"/>
      <c r="GE9712"/>
      <c r="GF9712"/>
      <c r="GG9712"/>
      <c r="GH9712"/>
      <c r="GI9712"/>
      <c r="GJ9712"/>
      <c r="GK9712"/>
      <c r="GL9712"/>
      <c r="GM9712"/>
      <c r="GN9712"/>
      <c r="GO9712"/>
    </row>
    <row r="9713" spans="107:197">
      <c r="DC9713"/>
      <c r="FH9713"/>
      <c r="FI9713"/>
      <c r="FJ9713"/>
      <c r="FK9713"/>
      <c r="FL9713"/>
      <c r="FM9713"/>
      <c r="FN9713"/>
      <c r="FO9713"/>
      <c r="FP9713"/>
      <c r="FQ9713"/>
      <c r="FR9713"/>
      <c r="FS9713"/>
      <c r="FT9713"/>
      <c r="FU9713"/>
      <c r="FV9713"/>
      <c r="FW9713"/>
      <c r="FX9713"/>
      <c r="FY9713"/>
      <c r="FZ9713"/>
      <c r="GA9713"/>
      <c r="GB9713"/>
      <c r="GC9713"/>
      <c r="GD9713"/>
      <c r="GE9713"/>
      <c r="GF9713"/>
      <c r="GG9713"/>
      <c r="GH9713"/>
      <c r="GI9713"/>
      <c r="GJ9713"/>
      <c r="GK9713"/>
      <c r="GL9713"/>
      <c r="GM9713"/>
      <c r="GN9713"/>
      <c r="GO9713"/>
    </row>
    <row r="9714" spans="107:197">
      <c r="DC9714"/>
      <c r="FH9714"/>
      <c r="FI9714"/>
      <c r="FJ9714"/>
      <c r="FK9714"/>
      <c r="FL9714"/>
      <c r="FM9714"/>
      <c r="FN9714"/>
      <c r="FO9714"/>
      <c r="FP9714"/>
      <c r="FQ9714"/>
      <c r="FR9714"/>
      <c r="FS9714"/>
      <c r="FT9714"/>
      <c r="FU9714"/>
      <c r="FV9714"/>
      <c r="FW9714"/>
      <c r="FX9714"/>
      <c r="FY9714"/>
      <c r="FZ9714"/>
      <c r="GA9714"/>
      <c r="GB9714"/>
      <c r="GC9714"/>
      <c r="GD9714"/>
      <c r="GE9714"/>
      <c r="GF9714"/>
      <c r="GG9714"/>
      <c r="GH9714"/>
      <c r="GI9714"/>
      <c r="GJ9714"/>
      <c r="GK9714"/>
      <c r="GL9714"/>
      <c r="GM9714"/>
      <c r="GN9714"/>
      <c r="GO9714"/>
    </row>
    <row r="9715" spans="107:197">
      <c r="DC9715"/>
      <c r="FH9715"/>
      <c r="FI9715"/>
      <c r="FJ9715"/>
      <c r="FK9715"/>
      <c r="FL9715"/>
      <c r="FM9715"/>
      <c r="FN9715"/>
      <c r="FO9715"/>
      <c r="FP9715"/>
      <c r="FQ9715"/>
      <c r="FR9715"/>
      <c r="FS9715"/>
      <c r="FT9715"/>
      <c r="FU9715"/>
      <c r="FV9715"/>
      <c r="FW9715"/>
      <c r="FX9715"/>
      <c r="FY9715"/>
      <c r="FZ9715"/>
      <c r="GA9715"/>
      <c r="GB9715"/>
      <c r="GC9715"/>
      <c r="GD9715"/>
      <c r="GE9715"/>
      <c r="GF9715"/>
      <c r="GG9715"/>
      <c r="GH9715"/>
      <c r="GI9715"/>
      <c r="GJ9715"/>
      <c r="GK9715"/>
      <c r="GL9715"/>
      <c r="GM9715"/>
      <c r="GN9715"/>
      <c r="GO9715"/>
    </row>
    <row r="9716" spans="107:197">
      <c r="DC9716"/>
      <c r="FH9716"/>
      <c r="FI9716"/>
      <c r="FJ9716"/>
      <c r="FK9716"/>
      <c r="FL9716"/>
      <c r="FM9716"/>
      <c r="FN9716"/>
      <c r="FO9716"/>
      <c r="FP9716"/>
      <c r="FQ9716"/>
      <c r="FR9716"/>
      <c r="FS9716"/>
      <c r="FT9716"/>
      <c r="FU9716"/>
      <c r="FV9716"/>
      <c r="FW9716"/>
      <c r="FX9716"/>
      <c r="FY9716"/>
      <c r="FZ9716"/>
      <c r="GA9716"/>
      <c r="GB9716"/>
      <c r="GC9716"/>
      <c r="GD9716"/>
      <c r="GE9716"/>
      <c r="GF9716"/>
      <c r="GG9716"/>
      <c r="GH9716"/>
      <c r="GI9716"/>
      <c r="GJ9716"/>
      <c r="GK9716"/>
      <c r="GL9716"/>
      <c r="GM9716"/>
      <c r="GN9716"/>
      <c r="GO9716"/>
    </row>
    <row r="9717" spans="107:197">
      <c r="DC9717"/>
      <c r="FH9717"/>
      <c r="FI9717"/>
      <c r="FJ9717"/>
      <c r="FK9717"/>
      <c r="FL9717"/>
      <c r="FM9717"/>
      <c r="FN9717"/>
      <c r="FO9717"/>
      <c r="FP9717"/>
      <c r="FQ9717"/>
      <c r="FR9717"/>
      <c r="FS9717"/>
      <c r="FT9717"/>
      <c r="FU9717"/>
      <c r="FV9717"/>
      <c r="FW9717"/>
      <c r="FX9717"/>
      <c r="FY9717"/>
      <c r="FZ9717"/>
      <c r="GA9717"/>
      <c r="GB9717"/>
      <c r="GC9717"/>
      <c r="GD9717"/>
      <c r="GE9717"/>
      <c r="GF9717"/>
      <c r="GG9717"/>
      <c r="GH9717"/>
      <c r="GI9717"/>
      <c r="GJ9717"/>
      <c r="GK9717"/>
      <c r="GL9717"/>
      <c r="GM9717"/>
      <c r="GN9717"/>
      <c r="GO9717"/>
    </row>
    <row r="9718" spans="107:197">
      <c r="DC9718"/>
      <c r="FH9718"/>
      <c r="FI9718"/>
      <c r="FJ9718"/>
      <c r="FK9718"/>
      <c r="FL9718"/>
      <c r="FM9718"/>
      <c r="FN9718"/>
      <c r="FO9718"/>
      <c r="FP9718"/>
      <c r="FQ9718"/>
      <c r="FR9718"/>
      <c r="FS9718"/>
      <c r="FT9718"/>
      <c r="FU9718"/>
      <c r="FV9718"/>
      <c r="FW9718"/>
      <c r="FX9718"/>
      <c r="FY9718"/>
      <c r="FZ9718"/>
      <c r="GA9718"/>
      <c r="GB9718"/>
      <c r="GC9718"/>
      <c r="GD9718"/>
      <c r="GE9718"/>
      <c r="GF9718"/>
      <c r="GG9718"/>
      <c r="GH9718"/>
      <c r="GI9718"/>
      <c r="GJ9718"/>
      <c r="GK9718"/>
      <c r="GL9718"/>
      <c r="GM9718"/>
      <c r="GN9718"/>
      <c r="GO9718"/>
    </row>
    <row r="9719" spans="107:197">
      <c r="DC9719"/>
      <c r="FH9719"/>
      <c r="FI9719"/>
      <c r="FJ9719"/>
      <c r="FK9719"/>
      <c r="FL9719"/>
      <c r="FM9719"/>
      <c r="FN9719"/>
      <c r="FO9719"/>
      <c r="FP9719"/>
      <c r="FQ9719"/>
      <c r="FR9719"/>
      <c r="FS9719"/>
      <c r="FT9719"/>
      <c r="FU9719"/>
      <c r="FV9719"/>
      <c r="FW9719"/>
      <c r="FX9719"/>
      <c r="FY9719"/>
      <c r="FZ9719"/>
      <c r="GA9719"/>
      <c r="GB9719"/>
      <c r="GC9719"/>
      <c r="GD9719"/>
      <c r="GE9719"/>
      <c r="GF9719"/>
      <c r="GG9719"/>
      <c r="GH9719"/>
      <c r="GI9719"/>
      <c r="GJ9719"/>
      <c r="GK9719"/>
      <c r="GL9719"/>
      <c r="GM9719"/>
      <c r="GN9719"/>
      <c r="GO9719"/>
    </row>
    <row r="9720" spans="107:197">
      <c r="DC9720"/>
      <c r="FH9720"/>
      <c r="FI9720"/>
      <c r="FJ9720"/>
      <c r="FK9720"/>
      <c r="FL9720"/>
      <c r="FM9720"/>
      <c r="FN9720"/>
      <c r="FO9720"/>
      <c r="FP9720"/>
      <c r="FQ9720"/>
      <c r="FR9720"/>
      <c r="FS9720"/>
      <c r="FT9720"/>
      <c r="FU9720"/>
      <c r="FV9720"/>
      <c r="FW9720"/>
      <c r="FX9720"/>
      <c r="FY9720"/>
      <c r="FZ9720"/>
      <c r="GA9720"/>
      <c r="GB9720"/>
      <c r="GC9720"/>
      <c r="GD9720"/>
      <c r="GE9720"/>
      <c r="GF9720"/>
      <c r="GG9720"/>
      <c r="GH9720"/>
      <c r="GI9720"/>
      <c r="GJ9720"/>
      <c r="GK9720"/>
      <c r="GL9720"/>
      <c r="GM9720"/>
      <c r="GN9720"/>
      <c r="GO9720"/>
    </row>
    <row r="9721" spans="107:197">
      <c r="DC9721"/>
      <c r="FH9721"/>
      <c r="FI9721"/>
      <c r="FJ9721"/>
      <c r="FK9721"/>
      <c r="FL9721"/>
      <c r="FM9721"/>
      <c r="FN9721"/>
      <c r="FO9721"/>
      <c r="FP9721"/>
      <c r="FQ9721"/>
      <c r="FR9721"/>
      <c r="FS9721"/>
      <c r="FT9721"/>
      <c r="FU9721"/>
      <c r="FV9721"/>
      <c r="FW9721"/>
      <c r="FX9721"/>
      <c r="FY9721"/>
      <c r="FZ9721"/>
      <c r="GA9721"/>
      <c r="GB9721"/>
      <c r="GC9721"/>
      <c r="GD9721"/>
      <c r="GE9721"/>
      <c r="GF9721"/>
      <c r="GG9721"/>
      <c r="GH9721"/>
      <c r="GI9721"/>
      <c r="GJ9721"/>
      <c r="GK9721"/>
      <c r="GL9721"/>
      <c r="GM9721"/>
      <c r="GN9721"/>
      <c r="GO9721"/>
    </row>
    <row r="9722" spans="107:197">
      <c r="DC9722"/>
      <c r="FH9722"/>
      <c r="FI9722"/>
      <c r="FJ9722"/>
      <c r="FK9722"/>
      <c r="FL9722"/>
      <c r="FM9722"/>
      <c r="FN9722"/>
      <c r="FO9722"/>
      <c r="FP9722"/>
      <c r="FQ9722"/>
      <c r="FR9722"/>
      <c r="FS9722"/>
      <c r="FT9722"/>
      <c r="FU9722"/>
      <c r="FV9722"/>
      <c r="FW9722"/>
      <c r="FX9722"/>
      <c r="FY9722"/>
      <c r="FZ9722"/>
      <c r="GA9722"/>
      <c r="GB9722"/>
      <c r="GC9722"/>
      <c r="GD9722"/>
      <c r="GE9722"/>
      <c r="GF9722"/>
      <c r="GG9722"/>
      <c r="GH9722"/>
      <c r="GI9722"/>
      <c r="GJ9722"/>
      <c r="GK9722"/>
      <c r="GL9722"/>
      <c r="GM9722"/>
      <c r="GN9722"/>
      <c r="GO9722"/>
    </row>
    <row r="9723" spans="107:197">
      <c r="DC9723"/>
      <c r="FH9723"/>
      <c r="FI9723"/>
      <c r="FJ9723"/>
      <c r="FK9723"/>
      <c r="FL9723"/>
      <c r="FM9723"/>
      <c r="FN9723"/>
      <c r="FO9723"/>
      <c r="FP9723"/>
      <c r="FQ9723"/>
      <c r="FR9723"/>
      <c r="FS9723"/>
      <c r="FT9723"/>
      <c r="FU9723"/>
      <c r="FV9723"/>
      <c r="FW9723"/>
      <c r="FX9723"/>
      <c r="FY9723"/>
      <c r="FZ9723"/>
      <c r="GA9723"/>
      <c r="GB9723"/>
      <c r="GC9723"/>
      <c r="GD9723"/>
      <c r="GE9723"/>
      <c r="GF9723"/>
      <c r="GG9723"/>
      <c r="GH9723"/>
      <c r="GI9723"/>
      <c r="GJ9723"/>
      <c r="GK9723"/>
      <c r="GL9723"/>
      <c r="GM9723"/>
      <c r="GN9723"/>
      <c r="GO9723"/>
    </row>
    <row r="9724" spans="107:197">
      <c r="DC9724"/>
      <c r="FH9724"/>
      <c r="FI9724"/>
      <c r="FJ9724"/>
      <c r="FK9724"/>
      <c r="FL9724"/>
      <c r="FM9724"/>
      <c r="FN9724"/>
      <c r="FO9724"/>
      <c r="FP9724"/>
      <c r="FQ9724"/>
      <c r="FR9724"/>
      <c r="FS9724"/>
      <c r="FT9724"/>
      <c r="FU9724"/>
      <c r="FV9724"/>
      <c r="FW9724"/>
      <c r="FX9724"/>
      <c r="FY9724"/>
      <c r="FZ9724"/>
      <c r="GA9724"/>
      <c r="GB9724"/>
      <c r="GC9724"/>
      <c r="GD9724"/>
      <c r="GE9724"/>
      <c r="GF9724"/>
      <c r="GG9724"/>
      <c r="GH9724"/>
      <c r="GI9724"/>
      <c r="GJ9724"/>
      <c r="GK9724"/>
      <c r="GL9724"/>
      <c r="GM9724"/>
      <c r="GN9724"/>
      <c r="GO9724"/>
    </row>
    <row r="9725" spans="107:197">
      <c r="DC9725"/>
      <c r="FH9725"/>
      <c r="FI9725"/>
      <c r="FJ9725"/>
      <c r="FK9725"/>
      <c r="FL9725"/>
      <c r="FM9725"/>
      <c r="FN9725"/>
      <c r="FO9725"/>
      <c r="FP9725"/>
      <c r="FQ9725"/>
      <c r="FR9725"/>
      <c r="FS9725"/>
      <c r="FT9725"/>
      <c r="FU9725"/>
      <c r="FV9725"/>
      <c r="FW9725"/>
      <c r="FX9725"/>
      <c r="FY9725"/>
      <c r="FZ9725"/>
      <c r="GA9725"/>
      <c r="GB9725"/>
      <c r="GC9725"/>
      <c r="GD9725"/>
      <c r="GE9725"/>
      <c r="GF9725"/>
      <c r="GG9725"/>
      <c r="GH9725"/>
      <c r="GI9725"/>
      <c r="GJ9725"/>
      <c r="GK9725"/>
      <c r="GL9725"/>
      <c r="GM9725"/>
      <c r="GN9725"/>
      <c r="GO9725"/>
    </row>
    <row r="9726" spans="107:197">
      <c r="DC9726"/>
      <c r="FH9726"/>
      <c r="FI9726"/>
      <c r="FJ9726"/>
      <c r="FK9726"/>
      <c r="FL9726"/>
      <c r="FM9726"/>
      <c r="FN9726"/>
      <c r="FO9726"/>
      <c r="FP9726"/>
      <c r="FQ9726"/>
      <c r="FR9726"/>
      <c r="FS9726"/>
      <c r="FT9726"/>
      <c r="FU9726"/>
      <c r="FV9726"/>
      <c r="FW9726"/>
      <c r="FX9726"/>
      <c r="FY9726"/>
      <c r="FZ9726"/>
      <c r="GA9726"/>
      <c r="GB9726"/>
      <c r="GC9726"/>
      <c r="GD9726"/>
      <c r="GE9726"/>
      <c r="GF9726"/>
      <c r="GG9726"/>
      <c r="GH9726"/>
      <c r="GI9726"/>
      <c r="GJ9726"/>
      <c r="GK9726"/>
      <c r="GL9726"/>
      <c r="GM9726"/>
      <c r="GN9726"/>
      <c r="GO9726"/>
    </row>
    <row r="9727" spans="107:197">
      <c r="DC9727"/>
      <c r="FH9727"/>
      <c r="FI9727"/>
      <c r="FJ9727"/>
      <c r="FK9727"/>
      <c r="FL9727"/>
      <c r="FM9727"/>
      <c r="FN9727"/>
      <c r="FO9727"/>
      <c r="FP9727"/>
      <c r="FQ9727"/>
      <c r="FR9727"/>
      <c r="FS9727"/>
      <c r="FT9727"/>
      <c r="FU9727"/>
      <c r="FV9727"/>
      <c r="FW9727"/>
      <c r="FX9727"/>
      <c r="FY9727"/>
      <c r="FZ9727"/>
      <c r="GA9727"/>
      <c r="GB9727"/>
      <c r="GC9727"/>
      <c r="GD9727"/>
      <c r="GE9727"/>
      <c r="GF9727"/>
      <c r="GG9727"/>
      <c r="GH9727"/>
      <c r="GI9727"/>
      <c r="GJ9727"/>
      <c r="GK9727"/>
      <c r="GL9727"/>
      <c r="GM9727"/>
      <c r="GN9727"/>
      <c r="GO9727"/>
    </row>
    <row r="9728" spans="107:197">
      <c r="DC9728"/>
      <c r="FH9728"/>
      <c r="FI9728"/>
      <c r="FJ9728"/>
      <c r="FK9728"/>
      <c r="FL9728"/>
      <c r="FM9728"/>
      <c r="FN9728"/>
      <c r="FO9728"/>
      <c r="FP9728"/>
      <c r="FQ9728"/>
      <c r="FR9728"/>
      <c r="FS9728"/>
      <c r="FT9728"/>
      <c r="FU9728"/>
      <c r="FV9728"/>
      <c r="FW9728"/>
      <c r="FX9728"/>
      <c r="FY9728"/>
      <c r="FZ9728"/>
      <c r="GA9728"/>
      <c r="GB9728"/>
      <c r="GC9728"/>
      <c r="GD9728"/>
      <c r="GE9728"/>
      <c r="GF9728"/>
      <c r="GG9728"/>
      <c r="GH9728"/>
      <c r="GI9728"/>
      <c r="GJ9728"/>
      <c r="GK9728"/>
      <c r="GL9728"/>
      <c r="GM9728"/>
      <c r="GN9728"/>
      <c r="GO9728"/>
    </row>
    <row r="9729" spans="107:197">
      <c r="DC9729"/>
      <c r="FH9729"/>
      <c r="FI9729"/>
      <c r="FJ9729"/>
      <c r="FK9729"/>
      <c r="FL9729"/>
      <c r="FM9729"/>
      <c r="FN9729"/>
      <c r="FO9729"/>
      <c r="FP9729"/>
      <c r="FQ9729"/>
      <c r="FR9729"/>
      <c r="FS9729"/>
      <c r="FT9729"/>
      <c r="FU9729"/>
      <c r="FV9729"/>
      <c r="FW9729"/>
      <c r="FX9729"/>
      <c r="FY9729"/>
      <c r="FZ9729"/>
      <c r="GA9729"/>
      <c r="GB9729"/>
      <c r="GC9729"/>
      <c r="GD9729"/>
      <c r="GE9729"/>
      <c r="GF9729"/>
      <c r="GG9729"/>
      <c r="GH9729"/>
      <c r="GI9729"/>
      <c r="GJ9729"/>
      <c r="GK9729"/>
      <c r="GL9729"/>
      <c r="GM9729"/>
      <c r="GN9729"/>
      <c r="GO9729"/>
    </row>
    <row r="9730" spans="107:197">
      <c r="DC9730"/>
      <c r="FH9730"/>
      <c r="FI9730"/>
      <c r="FJ9730"/>
      <c r="FK9730"/>
      <c r="FL9730"/>
      <c r="FM9730"/>
      <c r="FN9730"/>
      <c r="FO9730"/>
      <c r="FP9730"/>
      <c r="FQ9730"/>
      <c r="FR9730"/>
      <c r="FS9730"/>
      <c r="FT9730"/>
      <c r="FU9730"/>
      <c r="FV9730"/>
      <c r="FW9730"/>
      <c r="FX9730"/>
      <c r="FY9730"/>
      <c r="FZ9730"/>
      <c r="GA9730"/>
      <c r="GB9730"/>
      <c r="GC9730"/>
      <c r="GD9730"/>
      <c r="GE9730"/>
      <c r="GF9730"/>
      <c r="GG9730"/>
      <c r="GH9730"/>
      <c r="GI9730"/>
      <c r="GJ9730"/>
      <c r="GK9730"/>
      <c r="GL9730"/>
      <c r="GM9730"/>
      <c r="GN9730"/>
      <c r="GO9730"/>
    </row>
    <row r="9731" spans="107:197">
      <c r="DC9731"/>
      <c r="FH9731"/>
      <c r="FI9731"/>
      <c r="FJ9731"/>
      <c r="FK9731"/>
      <c r="FL9731"/>
      <c r="FM9731"/>
      <c r="FN9731"/>
      <c r="FO9731"/>
      <c r="FP9731"/>
      <c r="FQ9731"/>
      <c r="FR9731"/>
      <c r="FS9731"/>
      <c r="FT9731"/>
      <c r="FU9731"/>
      <c r="FV9731"/>
      <c r="FW9731"/>
      <c r="FX9731"/>
      <c r="FY9731"/>
      <c r="FZ9731"/>
      <c r="GA9731"/>
      <c r="GB9731"/>
      <c r="GC9731"/>
      <c r="GD9731"/>
      <c r="GE9731"/>
      <c r="GF9731"/>
      <c r="GG9731"/>
      <c r="GH9731"/>
      <c r="GI9731"/>
      <c r="GJ9731"/>
      <c r="GK9731"/>
      <c r="GL9731"/>
      <c r="GM9731"/>
      <c r="GN9731"/>
      <c r="GO9731"/>
    </row>
    <row r="9732" spans="107:197">
      <c r="DC9732"/>
      <c r="FH9732"/>
      <c r="FI9732"/>
      <c r="FJ9732"/>
      <c r="FK9732"/>
      <c r="FL9732"/>
      <c r="FM9732"/>
      <c r="FN9732"/>
      <c r="FO9732"/>
      <c r="FP9732"/>
      <c r="FQ9732"/>
      <c r="FR9732"/>
      <c r="FS9732"/>
      <c r="FT9732"/>
      <c r="FU9732"/>
      <c r="FV9732"/>
      <c r="FW9732"/>
      <c r="FX9732"/>
      <c r="FY9732"/>
      <c r="FZ9732"/>
      <c r="GA9732"/>
      <c r="GB9732"/>
      <c r="GC9732"/>
      <c r="GD9732"/>
      <c r="GE9732"/>
      <c r="GF9732"/>
      <c r="GG9732"/>
      <c r="GH9732"/>
      <c r="GI9732"/>
      <c r="GJ9732"/>
      <c r="GK9732"/>
      <c r="GL9732"/>
      <c r="GM9732"/>
      <c r="GN9732"/>
      <c r="GO9732"/>
    </row>
    <row r="9733" spans="107:197">
      <c r="DC9733"/>
      <c r="FH9733"/>
      <c r="FI9733"/>
      <c r="FJ9733"/>
      <c r="FK9733"/>
      <c r="FL9733"/>
      <c r="FM9733"/>
      <c r="FN9733"/>
      <c r="FO9733"/>
      <c r="FP9733"/>
      <c r="FQ9733"/>
      <c r="FR9733"/>
      <c r="FS9733"/>
      <c r="FT9733"/>
      <c r="FU9733"/>
      <c r="FV9733"/>
      <c r="FW9733"/>
      <c r="FX9733"/>
      <c r="FY9733"/>
      <c r="FZ9733"/>
      <c r="GA9733"/>
      <c r="GB9733"/>
      <c r="GC9733"/>
      <c r="GD9733"/>
      <c r="GE9733"/>
      <c r="GF9733"/>
      <c r="GG9733"/>
      <c r="GH9733"/>
      <c r="GI9733"/>
      <c r="GJ9733"/>
      <c r="GK9733"/>
      <c r="GL9733"/>
      <c r="GM9733"/>
      <c r="GN9733"/>
      <c r="GO9733"/>
    </row>
    <row r="9734" spans="107:197">
      <c r="DC9734"/>
      <c r="FH9734"/>
      <c r="FI9734"/>
      <c r="FJ9734"/>
      <c r="FK9734"/>
      <c r="FL9734"/>
      <c r="FM9734"/>
      <c r="FN9734"/>
      <c r="FO9734"/>
      <c r="FP9734"/>
      <c r="FQ9734"/>
      <c r="FR9734"/>
      <c r="FS9734"/>
      <c r="FT9734"/>
      <c r="FU9734"/>
      <c r="FV9734"/>
      <c r="FW9734"/>
      <c r="FX9734"/>
      <c r="FY9734"/>
      <c r="FZ9734"/>
      <c r="GA9734"/>
      <c r="GB9734"/>
      <c r="GC9734"/>
      <c r="GD9734"/>
      <c r="GE9734"/>
      <c r="GF9734"/>
      <c r="GG9734"/>
      <c r="GH9734"/>
      <c r="GI9734"/>
      <c r="GJ9734"/>
      <c r="GK9734"/>
      <c r="GL9734"/>
      <c r="GM9734"/>
      <c r="GN9734"/>
      <c r="GO9734"/>
    </row>
    <row r="9735" spans="107:197">
      <c r="DC9735"/>
      <c r="FH9735"/>
      <c r="FI9735"/>
      <c r="FJ9735"/>
      <c r="FK9735"/>
      <c r="FL9735"/>
      <c r="FM9735"/>
      <c r="FN9735"/>
      <c r="FO9735"/>
      <c r="FP9735"/>
      <c r="FQ9735"/>
      <c r="FR9735"/>
      <c r="FS9735"/>
      <c r="FT9735"/>
      <c r="FU9735"/>
      <c r="FV9735"/>
      <c r="FW9735"/>
      <c r="FX9735"/>
      <c r="FY9735"/>
      <c r="FZ9735"/>
      <c r="GA9735"/>
      <c r="GB9735"/>
      <c r="GC9735"/>
      <c r="GD9735"/>
      <c r="GE9735"/>
      <c r="GF9735"/>
      <c r="GG9735"/>
      <c r="GH9735"/>
      <c r="GI9735"/>
      <c r="GJ9735"/>
      <c r="GK9735"/>
      <c r="GL9735"/>
      <c r="GM9735"/>
      <c r="GN9735"/>
      <c r="GO9735"/>
    </row>
    <row r="9736" spans="107:197">
      <c r="DC9736"/>
      <c r="FH9736"/>
      <c r="FI9736"/>
      <c r="FJ9736"/>
      <c r="FK9736"/>
      <c r="FL9736"/>
      <c r="FM9736"/>
      <c r="FN9736"/>
      <c r="FO9736"/>
      <c r="FP9736"/>
      <c r="FQ9736"/>
      <c r="FR9736"/>
      <c r="FS9736"/>
      <c r="FT9736"/>
      <c r="FU9736"/>
      <c r="FV9736"/>
      <c r="FW9736"/>
      <c r="FX9736"/>
      <c r="FY9736"/>
      <c r="FZ9736"/>
      <c r="GA9736"/>
      <c r="GB9736"/>
      <c r="GC9736"/>
      <c r="GD9736"/>
      <c r="GE9736"/>
      <c r="GF9736"/>
      <c r="GG9736"/>
      <c r="GH9736"/>
      <c r="GI9736"/>
      <c r="GJ9736"/>
      <c r="GK9736"/>
      <c r="GL9736"/>
      <c r="GM9736"/>
      <c r="GN9736"/>
      <c r="GO9736"/>
    </row>
    <row r="9737" spans="107:197">
      <c r="DC9737"/>
      <c r="FH9737"/>
      <c r="FI9737"/>
      <c r="FJ9737"/>
      <c r="FK9737"/>
      <c r="FL9737"/>
      <c r="FM9737"/>
      <c r="FN9737"/>
      <c r="FO9737"/>
      <c r="FP9737"/>
      <c r="FQ9737"/>
      <c r="FR9737"/>
      <c r="FS9737"/>
      <c r="FT9737"/>
      <c r="FU9737"/>
      <c r="FV9737"/>
      <c r="FW9737"/>
      <c r="FX9737"/>
      <c r="FY9737"/>
      <c r="FZ9737"/>
      <c r="GA9737"/>
      <c r="GB9737"/>
      <c r="GC9737"/>
      <c r="GD9737"/>
      <c r="GE9737"/>
      <c r="GF9737"/>
      <c r="GG9737"/>
      <c r="GH9737"/>
      <c r="GI9737"/>
      <c r="GJ9737"/>
      <c r="GK9737"/>
      <c r="GL9737"/>
      <c r="GM9737"/>
      <c r="GN9737"/>
      <c r="GO9737"/>
    </row>
    <row r="9738" spans="107:197">
      <c r="DC9738"/>
      <c r="FH9738"/>
      <c r="FI9738"/>
      <c r="FJ9738"/>
      <c r="FK9738"/>
      <c r="FL9738"/>
      <c r="FM9738"/>
      <c r="FN9738"/>
      <c r="FO9738"/>
      <c r="FP9738"/>
      <c r="FQ9738"/>
      <c r="FR9738"/>
      <c r="FS9738"/>
      <c r="FT9738"/>
      <c r="FU9738"/>
      <c r="FV9738"/>
      <c r="FW9738"/>
      <c r="FX9738"/>
      <c r="FY9738"/>
      <c r="FZ9738"/>
      <c r="GA9738"/>
      <c r="GB9738"/>
      <c r="GC9738"/>
      <c r="GD9738"/>
      <c r="GE9738"/>
      <c r="GF9738"/>
      <c r="GG9738"/>
      <c r="GH9738"/>
      <c r="GI9738"/>
      <c r="GJ9738"/>
      <c r="GK9738"/>
      <c r="GL9738"/>
      <c r="GM9738"/>
      <c r="GN9738"/>
      <c r="GO9738"/>
    </row>
    <row r="9739" spans="107:197">
      <c r="DC9739"/>
      <c r="FH9739"/>
      <c r="FI9739"/>
      <c r="FJ9739"/>
      <c r="FK9739"/>
      <c r="FL9739"/>
      <c r="FM9739"/>
      <c r="FN9739"/>
      <c r="FO9739"/>
      <c r="FP9739"/>
      <c r="FQ9739"/>
      <c r="FR9739"/>
      <c r="FS9739"/>
      <c r="FT9739"/>
      <c r="FU9739"/>
      <c r="FV9739"/>
      <c r="FW9739"/>
      <c r="FX9739"/>
      <c r="FY9739"/>
      <c r="FZ9739"/>
      <c r="GA9739"/>
      <c r="GB9739"/>
      <c r="GC9739"/>
      <c r="GD9739"/>
      <c r="GE9739"/>
      <c r="GF9739"/>
      <c r="GG9739"/>
      <c r="GH9739"/>
      <c r="GI9739"/>
      <c r="GJ9739"/>
      <c r="GK9739"/>
      <c r="GL9739"/>
      <c r="GM9739"/>
      <c r="GN9739"/>
      <c r="GO9739"/>
    </row>
    <row r="9740" spans="107:197">
      <c r="DC9740"/>
      <c r="FH9740"/>
      <c r="FI9740"/>
      <c r="FJ9740"/>
      <c r="FK9740"/>
      <c r="FL9740"/>
      <c r="FM9740"/>
      <c r="FN9740"/>
      <c r="FO9740"/>
      <c r="FP9740"/>
      <c r="FQ9740"/>
      <c r="FR9740"/>
      <c r="FS9740"/>
      <c r="FT9740"/>
      <c r="FU9740"/>
      <c r="FV9740"/>
      <c r="FW9740"/>
      <c r="FX9740"/>
      <c r="FY9740"/>
      <c r="FZ9740"/>
      <c r="GA9740"/>
      <c r="GB9740"/>
      <c r="GC9740"/>
      <c r="GD9740"/>
      <c r="GE9740"/>
      <c r="GF9740"/>
      <c r="GG9740"/>
      <c r="GH9740"/>
      <c r="GI9740"/>
      <c r="GJ9740"/>
      <c r="GK9740"/>
      <c r="GL9740"/>
      <c r="GM9740"/>
      <c r="GN9740"/>
      <c r="GO9740"/>
    </row>
    <row r="9741" spans="107:197">
      <c r="DC9741"/>
      <c r="FH9741"/>
      <c r="FI9741"/>
      <c r="FJ9741"/>
      <c r="FK9741"/>
      <c r="FL9741"/>
      <c r="FM9741"/>
      <c r="FN9741"/>
      <c r="FO9741"/>
      <c r="FP9741"/>
      <c r="FQ9741"/>
      <c r="FR9741"/>
      <c r="FS9741"/>
      <c r="FT9741"/>
      <c r="FU9741"/>
      <c r="FV9741"/>
      <c r="FW9741"/>
      <c r="FX9741"/>
      <c r="FY9741"/>
      <c r="FZ9741"/>
      <c r="GA9741"/>
      <c r="GB9741"/>
      <c r="GC9741"/>
      <c r="GD9741"/>
      <c r="GE9741"/>
      <c r="GF9741"/>
      <c r="GG9741"/>
      <c r="GH9741"/>
      <c r="GI9741"/>
      <c r="GJ9741"/>
      <c r="GK9741"/>
      <c r="GL9741"/>
      <c r="GM9741"/>
      <c r="GN9741"/>
      <c r="GO9741"/>
    </row>
    <row r="9742" spans="107:197">
      <c r="DC9742"/>
      <c r="FH9742"/>
      <c r="FI9742"/>
      <c r="FJ9742"/>
      <c r="FK9742"/>
      <c r="FL9742"/>
      <c r="FM9742"/>
      <c r="FN9742"/>
      <c r="FO9742"/>
      <c r="FP9742"/>
      <c r="FQ9742"/>
      <c r="FR9742"/>
      <c r="FS9742"/>
      <c r="FT9742"/>
      <c r="FU9742"/>
      <c r="FV9742"/>
      <c r="FW9742"/>
      <c r="FX9742"/>
      <c r="FY9742"/>
      <c r="FZ9742"/>
      <c r="GA9742"/>
      <c r="GB9742"/>
      <c r="GC9742"/>
      <c r="GD9742"/>
      <c r="GE9742"/>
      <c r="GF9742"/>
      <c r="GG9742"/>
      <c r="GH9742"/>
      <c r="GI9742"/>
      <c r="GJ9742"/>
      <c r="GK9742"/>
      <c r="GL9742"/>
      <c r="GM9742"/>
      <c r="GN9742"/>
      <c r="GO9742"/>
    </row>
    <row r="9743" spans="107:197">
      <c r="DC9743"/>
      <c r="FH9743"/>
      <c r="FI9743"/>
      <c r="FJ9743"/>
      <c r="FK9743"/>
      <c r="FL9743"/>
      <c r="FM9743"/>
      <c r="FN9743"/>
      <c r="FO9743"/>
      <c r="FP9743"/>
      <c r="FQ9743"/>
      <c r="FR9743"/>
      <c r="FS9743"/>
      <c r="FT9743"/>
      <c r="FU9743"/>
      <c r="FV9743"/>
      <c r="FW9743"/>
      <c r="FX9743"/>
      <c r="FY9743"/>
      <c r="FZ9743"/>
      <c r="GA9743"/>
      <c r="GB9743"/>
      <c r="GC9743"/>
      <c r="GD9743"/>
      <c r="GE9743"/>
      <c r="GF9743"/>
      <c r="GG9743"/>
      <c r="GH9743"/>
      <c r="GI9743"/>
      <c r="GJ9743"/>
      <c r="GK9743"/>
      <c r="GL9743"/>
      <c r="GM9743"/>
      <c r="GN9743"/>
      <c r="GO9743"/>
    </row>
    <row r="9744" spans="107:197">
      <c r="DC9744"/>
      <c r="FH9744"/>
      <c r="FI9744"/>
      <c r="FJ9744"/>
      <c r="FK9744"/>
      <c r="FL9744"/>
      <c r="FM9744"/>
      <c r="FN9744"/>
      <c r="FO9744"/>
      <c r="FP9744"/>
      <c r="FQ9744"/>
      <c r="FR9744"/>
      <c r="FS9744"/>
      <c r="FT9744"/>
      <c r="FU9744"/>
      <c r="FV9744"/>
      <c r="FW9744"/>
      <c r="FX9744"/>
      <c r="FY9744"/>
      <c r="FZ9744"/>
      <c r="GA9744"/>
      <c r="GB9744"/>
      <c r="GC9744"/>
      <c r="GD9744"/>
      <c r="GE9744"/>
      <c r="GF9744"/>
      <c r="GG9744"/>
      <c r="GH9744"/>
      <c r="GI9744"/>
      <c r="GJ9744"/>
      <c r="GK9744"/>
      <c r="GL9744"/>
      <c r="GM9744"/>
      <c r="GN9744"/>
      <c r="GO9744"/>
    </row>
    <row r="9745" spans="107:197">
      <c r="DC9745"/>
      <c r="FH9745"/>
      <c r="FI9745"/>
      <c r="FJ9745"/>
      <c r="FK9745"/>
      <c r="FL9745"/>
      <c r="FM9745"/>
      <c r="FN9745"/>
      <c r="FO9745"/>
      <c r="FP9745"/>
      <c r="FQ9745"/>
      <c r="FR9745"/>
      <c r="FS9745"/>
      <c r="FT9745"/>
      <c r="FU9745"/>
      <c r="FV9745"/>
      <c r="FW9745"/>
      <c r="FX9745"/>
      <c r="FY9745"/>
      <c r="FZ9745"/>
      <c r="GA9745"/>
      <c r="GB9745"/>
      <c r="GC9745"/>
      <c r="GD9745"/>
      <c r="GE9745"/>
      <c r="GF9745"/>
      <c r="GG9745"/>
      <c r="GH9745"/>
      <c r="GI9745"/>
      <c r="GJ9745"/>
      <c r="GK9745"/>
      <c r="GL9745"/>
      <c r="GM9745"/>
      <c r="GN9745"/>
      <c r="GO9745"/>
    </row>
    <row r="9746" spans="107:197">
      <c r="DC9746"/>
      <c r="FH9746"/>
      <c r="FI9746"/>
      <c r="FJ9746"/>
      <c r="FK9746"/>
      <c r="FL9746"/>
      <c r="FM9746"/>
      <c r="FN9746"/>
      <c r="FO9746"/>
      <c r="FP9746"/>
      <c r="FQ9746"/>
      <c r="FR9746"/>
      <c r="FS9746"/>
      <c r="FT9746"/>
      <c r="FU9746"/>
      <c r="FV9746"/>
      <c r="FW9746"/>
      <c r="FX9746"/>
      <c r="FY9746"/>
      <c r="FZ9746"/>
      <c r="GA9746"/>
      <c r="GB9746"/>
      <c r="GC9746"/>
      <c r="GD9746"/>
      <c r="GE9746"/>
      <c r="GF9746"/>
      <c r="GG9746"/>
      <c r="GH9746"/>
      <c r="GI9746"/>
      <c r="GJ9746"/>
      <c r="GK9746"/>
      <c r="GL9746"/>
      <c r="GM9746"/>
      <c r="GN9746"/>
      <c r="GO9746"/>
    </row>
    <row r="9747" spans="107:197">
      <c r="DC9747"/>
      <c r="FH9747"/>
      <c r="FI9747"/>
      <c r="FJ9747"/>
      <c r="FK9747"/>
      <c r="FL9747"/>
      <c r="FM9747"/>
      <c r="FN9747"/>
      <c r="FO9747"/>
      <c r="FP9747"/>
      <c r="FQ9747"/>
      <c r="FR9747"/>
      <c r="FS9747"/>
      <c r="FT9747"/>
      <c r="FU9747"/>
      <c r="FV9747"/>
      <c r="FW9747"/>
      <c r="FX9747"/>
      <c r="FY9747"/>
      <c r="FZ9747"/>
      <c r="GA9747"/>
      <c r="GB9747"/>
      <c r="GC9747"/>
      <c r="GD9747"/>
      <c r="GE9747"/>
      <c r="GF9747"/>
      <c r="GG9747"/>
      <c r="GH9747"/>
      <c r="GI9747"/>
      <c r="GJ9747"/>
      <c r="GK9747"/>
      <c r="GL9747"/>
      <c r="GM9747"/>
      <c r="GN9747"/>
      <c r="GO9747"/>
    </row>
    <row r="9748" spans="107:197">
      <c r="DC9748"/>
      <c r="FH9748"/>
      <c r="FI9748"/>
      <c r="FJ9748"/>
      <c r="FK9748"/>
      <c r="FL9748"/>
      <c r="FM9748"/>
      <c r="FN9748"/>
      <c r="FO9748"/>
      <c r="FP9748"/>
      <c r="FQ9748"/>
      <c r="FR9748"/>
      <c r="FS9748"/>
      <c r="FT9748"/>
      <c r="FU9748"/>
      <c r="FV9748"/>
      <c r="FW9748"/>
      <c r="FX9748"/>
      <c r="FY9748"/>
      <c r="FZ9748"/>
      <c r="GA9748"/>
      <c r="GB9748"/>
      <c r="GC9748"/>
      <c r="GD9748"/>
      <c r="GE9748"/>
      <c r="GF9748"/>
      <c r="GG9748"/>
      <c r="GH9748"/>
      <c r="GI9748"/>
      <c r="GJ9748"/>
      <c r="GK9748"/>
      <c r="GL9748"/>
      <c r="GM9748"/>
      <c r="GN9748"/>
      <c r="GO9748"/>
    </row>
    <row r="9749" spans="107:197">
      <c r="DC9749"/>
      <c r="FH9749"/>
      <c r="FI9749"/>
      <c r="FJ9749"/>
      <c r="FK9749"/>
      <c r="FL9749"/>
      <c r="FM9749"/>
      <c r="FN9749"/>
      <c r="FO9749"/>
      <c r="FP9749"/>
      <c r="FQ9749"/>
      <c r="FR9749"/>
      <c r="FS9749"/>
      <c r="FT9749"/>
      <c r="FU9749"/>
      <c r="FV9749"/>
      <c r="FW9749"/>
      <c r="FX9749"/>
      <c r="FY9749"/>
      <c r="FZ9749"/>
      <c r="GA9749"/>
      <c r="GB9749"/>
      <c r="GC9749"/>
      <c r="GD9749"/>
      <c r="GE9749"/>
      <c r="GF9749"/>
      <c r="GG9749"/>
      <c r="GH9749"/>
      <c r="GI9749"/>
      <c r="GJ9749"/>
      <c r="GK9749"/>
      <c r="GL9749"/>
      <c r="GM9749"/>
      <c r="GN9749"/>
      <c r="GO9749"/>
    </row>
    <row r="9750" spans="107:197">
      <c r="DC9750"/>
      <c r="FH9750"/>
      <c r="FI9750"/>
      <c r="FJ9750"/>
      <c r="FK9750"/>
      <c r="FL9750"/>
      <c r="FM9750"/>
      <c r="FN9750"/>
      <c r="FO9750"/>
      <c r="FP9750"/>
      <c r="FQ9750"/>
      <c r="FR9750"/>
      <c r="FS9750"/>
      <c r="FT9750"/>
      <c r="FU9750"/>
      <c r="FV9750"/>
      <c r="FW9750"/>
      <c r="FX9750"/>
      <c r="FY9750"/>
      <c r="FZ9750"/>
      <c r="GA9750"/>
      <c r="GB9750"/>
      <c r="GC9750"/>
      <c r="GD9750"/>
      <c r="GE9750"/>
      <c r="GF9750"/>
      <c r="GG9750"/>
      <c r="GH9750"/>
      <c r="GI9750"/>
      <c r="GJ9750"/>
      <c r="GK9750"/>
      <c r="GL9750"/>
      <c r="GM9750"/>
      <c r="GN9750"/>
      <c r="GO9750"/>
    </row>
    <row r="9751" spans="107:197">
      <c r="DC9751"/>
      <c r="FH9751"/>
      <c r="FI9751"/>
      <c r="FJ9751"/>
      <c r="FK9751"/>
      <c r="FL9751"/>
      <c r="FM9751"/>
      <c r="FN9751"/>
      <c r="FO9751"/>
      <c r="FP9751"/>
      <c r="FQ9751"/>
      <c r="FR9751"/>
      <c r="FS9751"/>
      <c r="FT9751"/>
      <c r="FU9751"/>
      <c r="FV9751"/>
      <c r="FW9751"/>
      <c r="FX9751"/>
      <c r="FY9751"/>
      <c r="FZ9751"/>
      <c r="GA9751"/>
      <c r="GB9751"/>
      <c r="GC9751"/>
      <c r="GD9751"/>
      <c r="GE9751"/>
      <c r="GF9751"/>
      <c r="GG9751"/>
      <c r="GH9751"/>
      <c r="GI9751"/>
      <c r="GJ9751"/>
      <c r="GK9751"/>
      <c r="GL9751"/>
      <c r="GM9751"/>
      <c r="GN9751"/>
      <c r="GO9751"/>
    </row>
    <row r="9752" spans="107:197">
      <c r="DC9752"/>
      <c r="FH9752"/>
      <c r="FI9752"/>
      <c r="FJ9752"/>
      <c r="FK9752"/>
      <c r="FL9752"/>
      <c r="FM9752"/>
      <c r="FN9752"/>
      <c r="FO9752"/>
      <c r="FP9752"/>
      <c r="FQ9752"/>
      <c r="FR9752"/>
      <c r="FS9752"/>
      <c r="FT9752"/>
      <c r="FU9752"/>
      <c r="FV9752"/>
      <c r="FW9752"/>
      <c r="FX9752"/>
      <c r="FY9752"/>
      <c r="FZ9752"/>
      <c r="GA9752"/>
      <c r="GB9752"/>
      <c r="GC9752"/>
      <c r="GD9752"/>
      <c r="GE9752"/>
      <c r="GF9752"/>
      <c r="GG9752"/>
      <c r="GH9752"/>
      <c r="GI9752"/>
      <c r="GJ9752"/>
      <c r="GK9752"/>
      <c r="GL9752"/>
      <c r="GM9752"/>
      <c r="GN9752"/>
      <c r="GO9752"/>
    </row>
    <row r="9753" spans="107:197">
      <c r="DC9753"/>
      <c r="FH9753"/>
      <c r="FI9753"/>
      <c r="FJ9753"/>
      <c r="FK9753"/>
      <c r="FL9753"/>
      <c r="FM9753"/>
      <c r="FN9753"/>
      <c r="FO9753"/>
      <c r="FP9753"/>
      <c r="FQ9753"/>
      <c r="FR9753"/>
      <c r="FS9753"/>
      <c r="FT9753"/>
      <c r="FU9753"/>
      <c r="FV9753"/>
      <c r="FW9753"/>
      <c r="FX9753"/>
      <c r="FY9753"/>
      <c r="FZ9753"/>
      <c r="GA9753"/>
      <c r="GB9753"/>
      <c r="GC9753"/>
      <c r="GD9753"/>
      <c r="GE9753"/>
      <c r="GF9753"/>
      <c r="GG9753"/>
      <c r="GH9753"/>
      <c r="GI9753"/>
      <c r="GJ9753"/>
      <c r="GK9753"/>
      <c r="GL9753"/>
      <c r="GM9753"/>
      <c r="GN9753"/>
      <c r="GO9753"/>
    </row>
    <row r="9754" spans="107:197">
      <c r="DC9754"/>
      <c r="FH9754"/>
      <c r="FI9754"/>
      <c r="FJ9754"/>
      <c r="FK9754"/>
      <c r="FL9754"/>
      <c r="FM9754"/>
      <c r="FN9754"/>
      <c r="FO9754"/>
      <c r="FP9754"/>
      <c r="FQ9754"/>
      <c r="FR9754"/>
      <c r="FS9754"/>
      <c r="FT9754"/>
      <c r="FU9754"/>
      <c r="FV9754"/>
      <c r="FW9754"/>
      <c r="FX9754"/>
      <c r="FY9754"/>
      <c r="FZ9754"/>
      <c r="GA9754"/>
      <c r="GB9754"/>
      <c r="GC9754"/>
      <c r="GD9754"/>
      <c r="GE9754"/>
      <c r="GF9754"/>
      <c r="GG9754"/>
      <c r="GH9754"/>
      <c r="GI9754"/>
      <c r="GJ9754"/>
      <c r="GK9754"/>
      <c r="GL9754"/>
      <c r="GM9754"/>
      <c r="GN9754"/>
      <c r="GO9754"/>
    </row>
    <row r="9755" spans="107:197">
      <c r="DC9755"/>
      <c r="FH9755"/>
      <c r="FI9755"/>
      <c r="FJ9755"/>
      <c r="FK9755"/>
      <c r="FL9755"/>
      <c r="FM9755"/>
      <c r="FN9755"/>
      <c r="FO9755"/>
      <c r="FP9755"/>
      <c r="FQ9755"/>
      <c r="FR9755"/>
      <c r="FS9755"/>
      <c r="FT9755"/>
      <c r="FU9755"/>
      <c r="FV9755"/>
      <c r="FW9755"/>
      <c r="FX9755"/>
      <c r="FY9755"/>
      <c r="FZ9755"/>
      <c r="GA9755"/>
      <c r="GB9755"/>
      <c r="GC9755"/>
      <c r="GD9755"/>
      <c r="GE9755"/>
      <c r="GF9755"/>
      <c r="GG9755"/>
      <c r="GH9755"/>
      <c r="GI9755"/>
      <c r="GJ9755"/>
      <c r="GK9755"/>
      <c r="GL9755"/>
      <c r="GM9755"/>
      <c r="GN9755"/>
      <c r="GO9755"/>
    </row>
    <row r="9756" spans="107:197">
      <c r="DC9756"/>
      <c r="FH9756"/>
      <c r="FI9756"/>
      <c r="FJ9756"/>
      <c r="FK9756"/>
      <c r="FL9756"/>
      <c r="FM9756"/>
      <c r="FN9756"/>
      <c r="FO9756"/>
      <c r="FP9756"/>
      <c r="FQ9756"/>
      <c r="FR9756"/>
      <c r="FS9756"/>
      <c r="FT9756"/>
      <c r="FU9756"/>
      <c r="FV9756"/>
      <c r="FW9756"/>
      <c r="FX9756"/>
      <c r="FY9756"/>
      <c r="FZ9756"/>
      <c r="GA9756"/>
      <c r="GB9756"/>
      <c r="GC9756"/>
      <c r="GD9756"/>
      <c r="GE9756"/>
      <c r="GF9756"/>
      <c r="GG9756"/>
      <c r="GH9756"/>
      <c r="GI9756"/>
      <c r="GJ9756"/>
      <c r="GK9756"/>
      <c r="GL9756"/>
      <c r="GM9756"/>
      <c r="GN9756"/>
      <c r="GO9756"/>
    </row>
    <row r="9757" spans="107:197">
      <c r="DC9757"/>
      <c r="FH9757"/>
      <c r="FI9757"/>
      <c r="FJ9757"/>
      <c r="FK9757"/>
      <c r="FL9757"/>
      <c r="FM9757"/>
      <c r="FN9757"/>
      <c r="FO9757"/>
      <c r="FP9757"/>
      <c r="FQ9757"/>
      <c r="FR9757"/>
      <c r="FS9757"/>
      <c r="FT9757"/>
      <c r="FU9757"/>
      <c r="FV9757"/>
      <c r="FW9757"/>
      <c r="FX9757"/>
      <c r="FY9757"/>
      <c r="FZ9757"/>
      <c r="GA9757"/>
      <c r="GB9757"/>
      <c r="GC9757"/>
      <c r="GD9757"/>
      <c r="GE9757"/>
      <c r="GF9757"/>
      <c r="GG9757"/>
      <c r="GH9757"/>
      <c r="GI9757"/>
      <c r="GJ9757"/>
      <c r="GK9757"/>
      <c r="GL9757"/>
      <c r="GM9757"/>
      <c r="GN9757"/>
      <c r="GO9757"/>
    </row>
    <row r="9758" spans="107:197">
      <c r="DC9758"/>
      <c r="FH9758"/>
      <c r="FI9758"/>
      <c r="FJ9758"/>
      <c r="FK9758"/>
      <c r="FL9758"/>
      <c r="FM9758"/>
      <c r="FN9758"/>
      <c r="FO9758"/>
      <c r="FP9758"/>
      <c r="FQ9758"/>
      <c r="FR9758"/>
      <c r="FS9758"/>
      <c r="FT9758"/>
      <c r="FU9758"/>
      <c r="FV9758"/>
      <c r="FW9758"/>
      <c r="FX9758"/>
      <c r="FY9758"/>
      <c r="FZ9758"/>
      <c r="GA9758"/>
      <c r="GB9758"/>
      <c r="GC9758"/>
      <c r="GD9758"/>
      <c r="GE9758"/>
      <c r="GF9758"/>
      <c r="GG9758"/>
      <c r="GH9758"/>
      <c r="GI9758"/>
      <c r="GJ9758"/>
      <c r="GK9758"/>
      <c r="GL9758"/>
      <c r="GM9758"/>
      <c r="GN9758"/>
      <c r="GO9758"/>
    </row>
    <row r="9759" spans="107:197">
      <c r="DC9759"/>
      <c r="FH9759"/>
      <c r="FI9759"/>
      <c r="FJ9759"/>
      <c r="FK9759"/>
      <c r="FL9759"/>
      <c r="FM9759"/>
      <c r="FN9759"/>
      <c r="FO9759"/>
      <c r="FP9759"/>
      <c r="FQ9759"/>
      <c r="FR9759"/>
      <c r="FS9759"/>
      <c r="FT9759"/>
      <c r="FU9759"/>
      <c r="FV9759"/>
      <c r="FW9759"/>
      <c r="FX9759"/>
      <c r="FY9759"/>
      <c r="FZ9759"/>
      <c r="GA9759"/>
      <c r="GB9759"/>
      <c r="GC9759"/>
      <c r="GD9759"/>
      <c r="GE9759"/>
      <c r="GF9759"/>
      <c r="GG9759"/>
      <c r="GH9759"/>
      <c r="GI9759"/>
      <c r="GJ9759"/>
      <c r="GK9759"/>
      <c r="GL9759"/>
      <c r="GM9759"/>
      <c r="GN9759"/>
      <c r="GO9759"/>
    </row>
    <row r="9760" spans="107:197">
      <c r="DC9760"/>
      <c r="FH9760"/>
      <c r="FI9760"/>
      <c r="FJ9760"/>
      <c r="FK9760"/>
      <c r="FL9760"/>
      <c r="FM9760"/>
      <c r="FN9760"/>
      <c r="FO9760"/>
      <c r="FP9760"/>
      <c r="FQ9760"/>
      <c r="FR9760"/>
      <c r="FS9760"/>
      <c r="FT9760"/>
      <c r="FU9760"/>
      <c r="FV9760"/>
      <c r="FW9760"/>
      <c r="FX9760"/>
      <c r="FY9760"/>
      <c r="FZ9760"/>
      <c r="GA9760"/>
      <c r="GB9760"/>
      <c r="GC9760"/>
      <c r="GD9760"/>
      <c r="GE9760"/>
      <c r="GF9760"/>
      <c r="GG9760"/>
      <c r="GH9760"/>
      <c r="GI9760"/>
      <c r="GJ9760"/>
      <c r="GK9760"/>
      <c r="GL9760"/>
      <c r="GM9760"/>
      <c r="GN9760"/>
      <c r="GO9760"/>
    </row>
    <row r="9761" spans="107:197">
      <c r="DC9761"/>
      <c r="FH9761"/>
      <c r="FI9761"/>
      <c r="FJ9761"/>
      <c r="FK9761"/>
      <c r="FL9761"/>
      <c r="FM9761"/>
      <c r="FN9761"/>
      <c r="FO9761"/>
      <c r="FP9761"/>
      <c r="FQ9761"/>
      <c r="FR9761"/>
      <c r="FS9761"/>
      <c r="FT9761"/>
      <c r="FU9761"/>
      <c r="FV9761"/>
      <c r="FW9761"/>
      <c r="FX9761"/>
      <c r="FY9761"/>
      <c r="FZ9761"/>
      <c r="GA9761"/>
      <c r="GB9761"/>
      <c r="GC9761"/>
      <c r="GD9761"/>
      <c r="GE9761"/>
      <c r="GF9761"/>
      <c r="GG9761"/>
      <c r="GH9761"/>
      <c r="GI9761"/>
      <c r="GJ9761"/>
      <c r="GK9761"/>
      <c r="GL9761"/>
      <c r="GM9761"/>
      <c r="GN9761"/>
      <c r="GO9761"/>
    </row>
    <row r="9762" spans="107:197">
      <c r="DC9762"/>
      <c r="FH9762"/>
      <c r="FI9762"/>
      <c r="FJ9762"/>
      <c r="FK9762"/>
      <c r="FL9762"/>
      <c r="FM9762"/>
      <c r="FN9762"/>
      <c r="FO9762"/>
      <c r="FP9762"/>
      <c r="FQ9762"/>
      <c r="FR9762"/>
      <c r="FS9762"/>
      <c r="FT9762"/>
      <c r="FU9762"/>
      <c r="FV9762"/>
      <c r="FW9762"/>
      <c r="FX9762"/>
      <c r="FY9762"/>
      <c r="FZ9762"/>
      <c r="GA9762"/>
      <c r="GB9762"/>
      <c r="GC9762"/>
      <c r="GD9762"/>
      <c r="GE9762"/>
      <c r="GF9762"/>
      <c r="GG9762"/>
      <c r="GH9762"/>
      <c r="GI9762"/>
      <c r="GJ9762"/>
      <c r="GK9762"/>
      <c r="GL9762"/>
      <c r="GM9762"/>
      <c r="GN9762"/>
      <c r="GO9762"/>
    </row>
    <row r="9763" spans="107:197">
      <c r="DC9763"/>
      <c r="FH9763"/>
      <c r="FI9763"/>
      <c r="FJ9763"/>
      <c r="FK9763"/>
      <c r="FL9763"/>
      <c r="FM9763"/>
      <c r="FN9763"/>
      <c r="FO9763"/>
      <c r="FP9763"/>
      <c r="FQ9763"/>
      <c r="FR9763"/>
      <c r="FS9763"/>
      <c r="FT9763"/>
      <c r="FU9763"/>
      <c r="FV9763"/>
      <c r="FW9763"/>
      <c r="FX9763"/>
      <c r="FY9763"/>
      <c r="FZ9763"/>
      <c r="GA9763"/>
      <c r="GB9763"/>
      <c r="GC9763"/>
      <c r="GD9763"/>
      <c r="GE9763"/>
      <c r="GF9763"/>
      <c r="GG9763"/>
      <c r="GH9763"/>
      <c r="GI9763"/>
      <c r="GJ9763"/>
      <c r="GK9763"/>
      <c r="GL9763"/>
      <c r="GM9763"/>
      <c r="GN9763"/>
      <c r="GO9763"/>
    </row>
    <row r="9764" spans="107:197">
      <c r="DC9764"/>
      <c r="FH9764"/>
      <c r="FI9764"/>
      <c r="FJ9764"/>
      <c r="FK9764"/>
      <c r="FL9764"/>
      <c r="FM9764"/>
      <c r="FN9764"/>
      <c r="FO9764"/>
      <c r="FP9764"/>
      <c r="FQ9764"/>
      <c r="FR9764"/>
      <c r="FS9764"/>
      <c r="FT9764"/>
      <c r="FU9764"/>
      <c r="FV9764"/>
      <c r="FW9764"/>
      <c r="FX9764"/>
      <c r="FY9764"/>
      <c r="FZ9764"/>
      <c r="GA9764"/>
      <c r="GB9764"/>
      <c r="GC9764"/>
      <c r="GD9764"/>
      <c r="GE9764"/>
      <c r="GF9764"/>
      <c r="GG9764"/>
      <c r="GH9764"/>
      <c r="GI9764"/>
      <c r="GJ9764"/>
      <c r="GK9764"/>
      <c r="GL9764"/>
      <c r="GM9764"/>
      <c r="GN9764"/>
      <c r="GO9764"/>
    </row>
    <row r="9765" spans="107:197">
      <c r="DC9765"/>
      <c r="FH9765"/>
      <c r="FI9765"/>
      <c r="FJ9765"/>
      <c r="FK9765"/>
      <c r="FL9765"/>
      <c r="FM9765"/>
      <c r="FN9765"/>
      <c r="FO9765"/>
      <c r="FP9765"/>
      <c r="FQ9765"/>
      <c r="FR9765"/>
      <c r="FS9765"/>
      <c r="FT9765"/>
      <c r="FU9765"/>
      <c r="FV9765"/>
      <c r="FW9765"/>
      <c r="FX9765"/>
      <c r="FY9765"/>
      <c r="FZ9765"/>
      <c r="GA9765"/>
      <c r="GB9765"/>
      <c r="GC9765"/>
      <c r="GD9765"/>
      <c r="GE9765"/>
      <c r="GF9765"/>
      <c r="GG9765"/>
      <c r="GH9765"/>
      <c r="GI9765"/>
      <c r="GJ9765"/>
      <c r="GK9765"/>
      <c r="GL9765"/>
      <c r="GM9765"/>
      <c r="GN9765"/>
      <c r="GO9765"/>
    </row>
    <row r="9766" spans="107:197">
      <c r="DC9766"/>
      <c r="FH9766"/>
      <c r="FI9766"/>
      <c r="FJ9766"/>
      <c r="FK9766"/>
      <c r="FL9766"/>
      <c r="FM9766"/>
      <c r="FN9766"/>
      <c r="FO9766"/>
      <c r="FP9766"/>
      <c r="FQ9766"/>
      <c r="FR9766"/>
      <c r="FS9766"/>
      <c r="FT9766"/>
      <c r="FU9766"/>
      <c r="FV9766"/>
      <c r="FW9766"/>
      <c r="FX9766"/>
      <c r="FY9766"/>
      <c r="FZ9766"/>
      <c r="GA9766"/>
      <c r="GB9766"/>
      <c r="GC9766"/>
      <c r="GD9766"/>
      <c r="GE9766"/>
      <c r="GF9766"/>
      <c r="GG9766"/>
      <c r="GH9766"/>
      <c r="GI9766"/>
      <c r="GJ9766"/>
      <c r="GK9766"/>
      <c r="GL9766"/>
      <c r="GM9766"/>
      <c r="GN9766"/>
      <c r="GO9766"/>
    </row>
    <row r="9767" spans="107:197">
      <c r="DC9767"/>
      <c r="FH9767"/>
      <c r="FI9767"/>
      <c r="FJ9767"/>
      <c r="FK9767"/>
      <c r="FL9767"/>
      <c r="FM9767"/>
      <c r="FN9767"/>
      <c r="FO9767"/>
      <c r="FP9767"/>
      <c r="FQ9767"/>
      <c r="FR9767"/>
      <c r="FS9767"/>
      <c r="FT9767"/>
      <c r="FU9767"/>
      <c r="FV9767"/>
      <c r="FW9767"/>
      <c r="FX9767"/>
      <c r="FY9767"/>
      <c r="FZ9767"/>
      <c r="GA9767"/>
      <c r="GB9767"/>
      <c r="GC9767"/>
      <c r="GD9767"/>
      <c r="GE9767"/>
      <c r="GF9767"/>
      <c r="GG9767"/>
      <c r="GH9767"/>
      <c r="GI9767"/>
      <c r="GJ9767"/>
      <c r="GK9767"/>
      <c r="GL9767"/>
      <c r="GM9767"/>
      <c r="GN9767"/>
      <c r="GO9767"/>
    </row>
    <row r="9768" spans="107:197">
      <c r="DC9768"/>
      <c r="FH9768"/>
      <c r="FI9768"/>
      <c r="FJ9768"/>
      <c r="FK9768"/>
      <c r="FL9768"/>
      <c r="FM9768"/>
      <c r="FN9768"/>
      <c r="FO9768"/>
      <c r="FP9768"/>
      <c r="FQ9768"/>
      <c r="FR9768"/>
      <c r="FS9768"/>
      <c r="FT9768"/>
      <c r="FU9768"/>
      <c r="FV9768"/>
      <c r="FW9768"/>
      <c r="FX9768"/>
      <c r="FY9768"/>
      <c r="FZ9768"/>
      <c r="GA9768"/>
      <c r="GB9768"/>
      <c r="GC9768"/>
      <c r="GD9768"/>
      <c r="GE9768"/>
      <c r="GF9768"/>
      <c r="GG9768"/>
      <c r="GH9768"/>
      <c r="GI9768"/>
      <c r="GJ9768"/>
      <c r="GK9768"/>
      <c r="GL9768"/>
      <c r="GM9768"/>
      <c r="GN9768"/>
      <c r="GO9768"/>
    </row>
    <row r="9769" spans="107:197">
      <c r="DC9769"/>
      <c r="FH9769"/>
      <c r="FI9769"/>
      <c r="FJ9769"/>
      <c r="FK9769"/>
      <c r="FL9769"/>
      <c r="FM9769"/>
      <c r="FN9769"/>
      <c r="FO9769"/>
      <c r="FP9769"/>
      <c r="FQ9769"/>
      <c r="FR9769"/>
      <c r="FS9769"/>
      <c r="FT9769"/>
      <c r="FU9769"/>
      <c r="FV9769"/>
      <c r="FW9769"/>
      <c r="FX9769"/>
      <c r="FY9769"/>
      <c r="FZ9769"/>
      <c r="GA9769"/>
      <c r="GB9769"/>
      <c r="GC9769"/>
      <c r="GD9769"/>
      <c r="GE9769"/>
      <c r="GF9769"/>
      <c r="GG9769"/>
      <c r="GH9769"/>
      <c r="GI9769"/>
      <c r="GJ9769"/>
      <c r="GK9769"/>
      <c r="GL9769"/>
      <c r="GM9769"/>
      <c r="GN9769"/>
      <c r="GO9769"/>
    </row>
    <row r="9770" spans="107:197">
      <c r="DC9770"/>
      <c r="FH9770"/>
      <c r="FI9770"/>
      <c r="FJ9770"/>
      <c r="FK9770"/>
      <c r="FL9770"/>
      <c r="FM9770"/>
      <c r="FN9770"/>
      <c r="FO9770"/>
      <c r="FP9770"/>
      <c r="FQ9770"/>
      <c r="FR9770"/>
      <c r="FS9770"/>
      <c r="FT9770"/>
      <c r="FU9770"/>
      <c r="FV9770"/>
      <c r="FW9770"/>
      <c r="FX9770"/>
      <c r="FY9770"/>
      <c r="FZ9770"/>
      <c r="GA9770"/>
      <c r="GB9770"/>
      <c r="GC9770"/>
      <c r="GD9770"/>
      <c r="GE9770"/>
      <c r="GF9770"/>
      <c r="GG9770"/>
      <c r="GH9770"/>
      <c r="GI9770"/>
      <c r="GJ9770"/>
      <c r="GK9770"/>
      <c r="GL9770"/>
      <c r="GM9770"/>
      <c r="GN9770"/>
      <c r="GO9770"/>
    </row>
    <row r="9771" spans="107:197">
      <c r="DC9771"/>
      <c r="FH9771"/>
      <c r="FI9771"/>
      <c r="FJ9771"/>
      <c r="FK9771"/>
      <c r="FL9771"/>
      <c r="FM9771"/>
      <c r="FN9771"/>
      <c r="FO9771"/>
      <c r="FP9771"/>
      <c r="FQ9771"/>
      <c r="FR9771"/>
      <c r="FS9771"/>
      <c r="FT9771"/>
      <c r="FU9771"/>
      <c r="FV9771"/>
      <c r="FW9771"/>
      <c r="FX9771"/>
      <c r="FY9771"/>
      <c r="FZ9771"/>
      <c r="GA9771"/>
      <c r="GB9771"/>
      <c r="GC9771"/>
      <c r="GD9771"/>
      <c r="GE9771"/>
      <c r="GF9771"/>
      <c r="GG9771"/>
      <c r="GH9771"/>
      <c r="GI9771"/>
      <c r="GJ9771"/>
      <c r="GK9771"/>
      <c r="GL9771"/>
      <c r="GM9771"/>
      <c r="GN9771"/>
      <c r="GO9771"/>
    </row>
    <row r="9772" spans="107:197">
      <c r="DC9772"/>
      <c r="FH9772"/>
      <c r="FI9772"/>
      <c r="FJ9772"/>
      <c r="FK9772"/>
      <c r="FL9772"/>
      <c r="FM9772"/>
      <c r="FN9772"/>
      <c r="FO9772"/>
      <c r="FP9772"/>
      <c r="FQ9772"/>
      <c r="FR9772"/>
      <c r="FS9772"/>
      <c r="FT9772"/>
      <c r="FU9772"/>
      <c r="FV9772"/>
      <c r="FW9772"/>
      <c r="FX9772"/>
      <c r="FY9772"/>
      <c r="FZ9772"/>
      <c r="GA9772"/>
      <c r="GB9772"/>
      <c r="GC9772"/>
      <c r="GD9772"/>
      <c r="GE9772"/>
      <c r="GF9772"/>
      <c r="GG9772"/>
      <c r="GH9772"/>
      <c r="GI9772"/>
      <c r="GJ9772"/>
      <c r="GK9772"/>
      <c r="GL9772"/>
      <c r="GM9772"/>
      <c r="GN9772"/>
      <c r="GO9772"/>
    </row>
    <row r="9773" spans="107:197">
      <c r="DC9773"/>
      <c r="FH9773"/>
      <c r="FI9773"/>
      <c r="FJ9773"/>
      <c r="FK9773"/>
      <c r="FL9773"/>
      <c r="FM9773"/>
      <c r="FN9773"/>
      <c r="FO9773"/>
      <c r="FP9773"/>
      <c r="FQ9773"/>
      <c r="FR9773"/>
      <c r="FS9773"/>
      <c r="FT9773"/>
      <c r="FU9773"/>
      <c r="FV9773"/>
      <c r="FW9773"/>
      <c r="FX9773"/>
      <c r="FY9773"/>
      <c r="FZ9773"/>
      <c r="GA9773"/>
      <c r="GB9773"/>
      <c r="GC9773"/>
      <c r="GD9773"/>
      <c r="GE9773"/>
      <c r="GF9773"/>
      <c r="GG9773"/>
      <c r="GH9773"/>
      <c r="GI9773"/>
      <c r="GJ9773"/>
      <c r="GK9773"/>
      <c r="GL9773"/>
      <c r="GM9773"/>
      <c r="GN9773"/>
      <c r="GO9773"/>
    </row>
    <row r="9774" spans="107:197">
      <c r="DC9774"/>
      <c r="FH9774"/>
      <c r="FI9774"/>
      <c r="FJ9774"/>
      <c r="FK9774"/>
      <c r="FL9774"/>
      <c r="FM9774"/>
      <c r="FN9774"/>
      <c r="FO9774"/>
      <c r="FP9774"/>
      <c r="FQ9774"/>
      <c r="FR9774"/>
      <c r="FS9774"/>
      <c r="FT9774"/>
      <c r="FU9774"/>
      <c r="FV9774"/>
      <c r="FW9774"/>
      <c r="FX9774"/>
      <c r="FY9774"/>
      <c r="FZ9774"/>
      <c r="GA9774"/>
      <c r="GB9774"/>
      <c r="GC9774"/>
      <c r="GD9774"/>
      <c r="GE9774"/>
      <c r="GF9774"/>
      <c r="GG9774"/>
      <c r="GH9774"/>
      <c r="GI9774"/>
      <c r="GJ9774"/>
      <c r="GK9774"/>
      <c r="GL9774"/>
      <c r="GM9774"/>
      <c r="GN9774"/>
      <c r="GO9774"/>
    </row>
    <row r="9775" spans="107:197">
      <c r="DC9775"/>
      <c r="FH9775"/>
      <c r="FI9775"/>
      <c r="FJ9775"/>
      <c r="FK9775"/>
      <c r="FL9775"/>
      <c r="FM9775"/>
      <c r="FN9775"/>
      <c r="FO9775"/>
      <c r="FP9775"/>
      <c r="FQ9775"/>
      <c r="FR9775"/>
      <c r="FS9775"/>
      <c r="FT9775"/>
      <c r="FU9775"/>
      <c r="FV9775"/>
      <c r="FW9775"/>
      <c r="FX9775"/>
      <c r="FY9775"/>
      <c r="FZ9775"/>
      <c r="GA9775"/>
      <c r="GB9775"/>
      <c r="GC9775"/>
      <c r="GD9775"/>
      <c r="GE9775"/>
      <c r="GF9775"/>
      <c r="GG9775"/>
      <c r="GH9775"/>
      <c r="GI9775"/>
      <c r="GJ9775"/>
      <c r="GK9775"/>
      <c r="GL9775"/>
      <c r="GM9775"/>
      <c r="GN9775"/>
      <c r="GO9775"/>
    </row>
    <row r="9776" spans="107:197">
      <c r="DC9776"/>
      <c r="FH9776"/>
      <c r="FI9776"/>
      <c r="FJ9776"/>
      <c r="FK9776"/>
      <c r="FL9776"/>
      <c r="FM9776"/>
      <c r="FN9776"/>
      <c r="FO9776"/>
      <c r="FP9776"/>
      <c r="FQ9776"/>
      <c r="FR9776"/>
      <c r="FS9776"/>
      <c r="FT9776"/>
      <c r="FU9776"/>
      <c r="FV9776"/>
      <c r="FW9776"/>
      <c r="FX9776"/>
      <c r="FY9776"/>
      <c r="FZ9776"/>
      <c r="GA9776"/>
      <c r="GB9776"/>
      <c r="GC9776"/>
      <c r="GD9776"/>
      <c r="GE9776"/>
      <c r="GF9776"/>
      <c r="GG9776"/>
      <c r="GH9776"/>
      <c r="GI9776"/>
      <c r="GJ9776"/>
      <c r="GK9776"/>
      <c r="GL9776"/>
      <c r="GM9776"/>
      <c r="GN9776"/>
      <c r="GO9776"/>
    </row>
    <row r="9777" spans="107:197">
      <c r="DC9777"/>
      <c r="FH9777"/>
      <c r="FI9777"/>
      <c r="FJ9777"/>
      <c r="FK9777"/>
      <c r="FL9777"/>
      <c r="FM9777"/>
      <c r="FN9777"/>
      <c r="FO9777"/>
      <c r="FP9777"/>
      <c r="FQ9777"/>
      <c r="FR9777"/>
      <c r="FS9777"/>
      <c r="FT9777"/>
      <c r="FU9777"/>
      <c r="FV9777"/>
      <c r="FW9777"/>
      <c r="FX9777"/>
      <c r="FY9777"/>
      <c r="FZ9777"/>
      <c r="GA9777"/>
      <c r="GB9777"/>
      <c r="GC9777"/>
      <c r="GD9777"/>
      <c r="GE9777"/>
      <c r="GF9777"/>
      <c r="GG9777"/>
      <c r="GH9777"/>
      <c r="GI9777"/>
      <c r="GJ9777"/>
      <c r="GK9777"/>
      <c r="GL9777"/>
      <c r="GM9777"/>
      <c r="GN9777"/>
      <c r="GO9777"/>
    </row>
    <row r="9778" spans="107:197">
      <c r="DC9778"/>
      <c r="FH9778"/>
      <c r="FI9778"/>
      <c r="FJ9778"/>
      <c r="FK9778"/>
      <c r="FL9778"/>
      <c r="FM9778"/>
      <c r="FN9778"/>
      <c r="FO9778"/>
      <c r="FP9778"/>
      <c r="FQ9778"/>
      <c r="FR9778"/>
      <c r="FS9778"/>
      <c r="FT9778"/>
      <c r="FU9778"/>
      <c r="FV9778"/>
      <c r="FW9778"/>
      <c r="FX9778"/>
      <c r="FY9778"/>
      <c r="FZ9778"/>
      <c r="GA9778"/>
      <c r="GB9778"/>
      <c r="GC9778"/>
      <c r="GD9778"/>
      <c r="GE9778"/>
      <c r="GF9778"/>
      <c r="GG9778"/>
      <c r="GH9778"/>
      <c r="GI9778"/>
      <c r="GJ9778"/>
      <c r="GK9778"/>
      <c r="GL9778"/>
      <c r="GM9778"/>
      <c r="GN9778"/>
      <c r="GO9778"/>
    </row>
    <row r="9779" spans="107:197">
      <c r="DC9779"/>
      <c r="FH9779"/>
      <c r="FI9779"/>
      <c r="FJ9779"/>
      <c r="FK9779"/>
      <c r="FL9779"/>
      <c r="FM9779"/>
      <c r="FN9779"/>
      <c r="FO9779"/>
      <c r="FP9779"/>
      <c r="FQ9779"/>
      <c r="FR9779"/>
      <c r="FS9779"/>
      <c r="FT9779"/>
      <c r="FU9779"/>
      <c r="FV9779"/>
      <c r="FW9779"/>
      <c r="FX9779"/>
      <c r="FY9779"/>
      <c r="FZ9779"/>
      <c r="GA9779"/>
      <c r="GB9779"/>
      <c r="GC9779"/>
      <c r="GD9779"/>
      <c r="GE9779"/>
      <c r="GF9779"/>
      <c r="GG9779"/>
      <c r="GH9779"/>
      <c r="GI9779"/>
      <c r="GJ9779"/>
      <c r="GK9779"/>
      <c r="GL9779"/>
      <c r="GM9779"/>
      <c r="GN9779"/>
      <c r="GO9779"/>
    </row>
    <row r="9780" spans="107:197">
      <c r="DC9780"/>
      <c r="FH9780"/>
      <c r="FI9780"/>
      <c r="FJ9780"/>
      <c r="FK9780"/>
      <c r="FL9780"/>
      <c r="FM9780"/>
      <c r="FN9780"/>
      <c r="FO9780"/>
      <c r="FP9780"/>
      <c r="FQ9780"/>
      <c r="FR9780"/>
      <c r="FS9780"/>
      <c r="FT9780"/>
      <c r="FU9780"/>
      <c r="FV9780"/>
      <c r="FW9780"/>
      <c r="FX9780"/>
      <c r="FY9780"/>
      <c r="FZ9780"/>
      <c r="GA9780"/>
      <c r="GB9780"/>
      <c r="GC9780"/>
      <c r="GD9780"/>
      <c r="GE9780"/>
      <c r="GF9780"/>
      <c r="GG9780"/>
      <c r="GH9780"/>
      <c r="GI9780"/>
      <c r="GJ9780"/>
      <c r="GK9780"/>
      <c r="GL9780"/>
      <c r="GM9780"/>
      <c r="GN9780"/>
      <c r="GO9780"/>
    </row>
    <row r="9781" spans="107:197">
      <c r="DC9781"/>
      <c r="FH9781"/>
      <c r="FI9781"/>
      <c r="FJ9781"/>
      <c r="FK9781"/>
      <c r="FL9781"/>
      <c r="FM9781"/>
      <c r="FN9781"/>
      <c r="FO9781"/>
      <c r="FP9781"/>
      <c r="FQ9781"/>
      <c r="FR9781"/>
      <c r="FS9781"/>
      <c r="FT9781"/>
      <c r="FU9781"/>
      <c r="FV9781"/>
      <c r="FW9781"/>
      <c r="FX9781"/>
      <c r="FY9781"/>
      <c r="FZ9781"/>
      <c r="GA9781"/>
      <c r="GB9781"/>
      <c r="GC9781"/>
      <c r="GD9781"/>
      <c r="GE9781"/>
      <c r="GF9781"/>
      <c r="GG9781"/>
      <c r="GH9781"/>
      <c r="GI9781"/>
      <c r="GJ9781"/>
      <c r="GK9781"/>
      <c r="GL9781"/>
      <c r="GM9781"/>
      <c r="GN9781"/>
      <c r="GO9781"/>
    </row>
    <row r="9782" spans="107:197">
      <c r="DC9782"/>
      <c r="FH9782"/>
      <c r="FI9782"/>
      <c r="FJ9782"/>
      <c r="FK9782"/>
      <c r="FL9782"/>
      <c r="FM9782"/>
      <c r="FN9782"/>
      <c r="FO9782"/>
      <c r="FP9782"/>
      <c r="FQ9782"/>
      <c r="FR9782"/>
      <c r="FS9782"/>
      <c r="FT9782"/>
      <c r="FU9782"/>
      <c r="FV9782"/>
      <c r="FW9782"/>
      <c r="FX9782"/>
      <c r="FY9782"/>
      <c r="FZ9782"/>
      <c r="GA9782"/>
      <c r="GB9782"/>
      <c r="GC9782"/>
      <c r="GD9782"/>
      <c r="GE9782"/>
      <c r="GF9782"/>
      <c r="GG9782"/>
      <c r="GH9782"/>
      <c r="GI9782"/>
      <c r="GJ9782"/>
      <c r="GK9782"/>
      <c r="GL9782"/>
      <c r="GM9782"/>
      <c r="GN9782"/>
      <c r="GO9782"/>
    </row>
    <row r="9783" spans="107:197">
      <c r="DC9783"/>
      <c r="FH9783"/>
      <c r="FI9783"/>
      <c r="FJ9783"/>
      <c r="FK9783"/>
      <c r="FL9783"/>
      <c r="FM9783"/>
      <c r="FN9783"/>
      <c r="FO9783"/>
      <c r="FP9783"/>
      <c r="FQ9783"/>
      <c r="FR9783"/>
      <c r="FS9783"/>
      <c r="FT9783"/>
      <c r="FU9783"/>
      <c r="FV9783"/>
      <c r="FW9783"/>
      <c r="FX9783"/>
      <c r="FY9783"/>
      <c r="FZ9783"/>
      <c r="GA9783"/>
      <c r="GB9783"/>
      <c r="GC9783"/>
      <c r="GD9783"/>
      <c r="GE9783"/>
      <c r="GF9783"/>
      <c r="GG9783"/>
      <c r="GH9783"/>
      <c r="GI9783"/>
      <c r="GJ9783"/>
      <c r="GK9783"/>
      <c r="GL9783"/>
      <c r="GM9783"/>
      <c r="GN9783"/>
      <c r="GO9783"/>
    </row>
    <row r="9784" spans="107:197">
      <c r="DC9784"/>
      <c r="FH9784"/>
      <c r="FI9784"/>
      <c r="FJ9784"/>
      <c r="FK9784"/>
      <c r="FL9784"/>
      <c r="FM9784"/>
      <c r="FN9784"/>
      <c r="FO9784"/>
      <c r="FP9784"/>
      <c r="FQ9784"/>
      <c r="FR9784"/>
      <c r="FS9784"/>
      <c r="FT9784"/>
      <c r="FU9784"/>
      <c r="FV9784"/>
      <c r="FW9784"/>
      <c r="FX9784"/>
      <c r="FY9784"/>
      <c r="FZ9784"/>
      <c r="GA9784"/>
      <c r="GB9784"/>
      <c r="GC9784"/>
      <c r="GD9784"/>
      <c r="GE9784"/>
      <c r="GF9784"/>
      <c r="GG9784"/>
      <c r="GH9784"/>
      <c r="GI9784"/>
      <c r="GJ9784"/>
      <c r="GK9784"/>
      <c r="GL9784"/>
      <c r="GM9784"/>
      <c r="GN9784"/>
      <c r="GO9784"/>
    </row>
    <row r="9785" spans="107:197">
      <c r="DC9785"/>
      <c r="FH9785"/>
      <c r="FI9785"/>
      <c r="FJ9785"/>
      <c r="FK9785"/>
      <c r="FL9785"/>
      <c r="FM9785"/>
      <c r="FN9785"/>
      <c r="FO9785"/>
      <c r="FP9785"/>
      <c r="FQ9785"/>
      <c r="FR9785"/>
      <c r="FS9785"/>
      <c r="FT9785"/>
      <c r="FU9785"/>
      <c r="FV9785"/>
      <c r="FW9785"/>
      <c r="FX9785"/>
      <c r="FY9785"/>
      <c r="FZ9785"/>
      <c r="GA9785"/>
      <c r="GB9785"/>
      <c r="GC9785"/>
      <c r="GD9785"/>
      <c r="GE9785"/>
      <c r="GF9785"/>
      <c r="GG9785"/>
      <c r="GH9785"/>
      <c r="GI9785"/>
      <c r="GJ9785"/>
      <c r="GK9785"/>
      <c r="GL9785"/>
      <c r="GM9785"/>
      <c r="GN9785"/>
      <c r="GO9785"/>
    </row>
    <row r="9786" spans="107:197">
      <c r="DC9786"/>
      <c r="FH9786"/>
      <c r="FI9786"/>
      <c r="FJ9786"/>
      <c r="FK9786"/>
      <c r="FL9786"/>
      <c r="FM9786"/>
      <c r="FN9786"/>
      <c r="FO9786"/>
      <c r="FP9786"/>
      <c r="FQ9786"/>
      <c r="FR9786"/>
      <c r="FS9786"/>
      <c r="FT9786"/>
      <c r="FU9786"/>
      <c r="FV9786"/>
      <c r="FW9786"/>
      <c r="FX9786"/>
      <c r="FY9786"/>
      <c r="FZ9786"/>
      <c r="GA9786"/>
      <c r="GB9786"/>
      <c r="GC9786"/>
      <c r="GD9786"/>
      <c r="GE9786"/>
      <c r="GF9786"/>
      <c r="GG9786"/>
      <c r="GH9786"/>
      <c r="GI9786"/>
      <c r="GJ9786"/>
      <c r="GK9786"/>
      <c r="GL9786"/>
      <c r="GM9786"/>
      <c r="GN9786"/>
      <c r="GO9786"/>
    </row>
    <row r="9787" spans="107:197">
      <c r="DC9787"/>
      <c r="FH9787"/>
      <c r="FI9787"/>
      <c r="FJ9787"/>
      <c r="FK9787"/>
      <c r="FL9787"/>
      <c r="FM9787"/>
      <c r="FN9787"/>
      <c r="FO9787"/>
      <c r="FP9787"/>
      <c r="FQ9787"/>
      <c r="FR9787"/>
      <c r="FS9787"/>
      <c r="FT9787"/>
      <c r="FU9787"/>
      <c r="FV9787"/>
      <c r="FW9787"/>
      <c r="FX9787"/>
      <c r="FY9787"/>
      <c r="FZ9787"/>
      <c r="GA9787"/>
      <c r="GB9787"/>
      <c r="GC9787"/>
      <c r="GD9787"/>
      <c r="GE9787"/>
      <c r="GF9787"/>
      <c r="GG9787"/>
      <c r="GH9787"/>
      <c r="GI9787"/>
      <c r="GJ9787"/>
      <c r="GK9787"/>
      <c r="GL9787"/>
      <c r="GM9787"/>
      <c r="GN9787"/>
      <c r="GO9787"/>
    </row>
    <row r="9788" spans="107:197">
      <c r="DC9788"/>
      <c r="FH9788"/>
      <c r="FI9788"/>
      <c r="FJ9788"/>
      <c r="FK9788"/>
      <c r="FL9788"/>
      <c r="FM9788"/>
      <c r="FN9788"/>
      <c r="FO9788"/>
      <c r="FP9788"/>
      <c r="FQ9788"/>
      <c r="FR9788"/>
      <c r="FS9788"/>
      <c r="FT9788"/>
      <c r="FU9788"/>
      <c r="FV9788"/>
      <c r="FW9788"/>
      <c r="FX9788"/>
      <c r="FY9788"/>
      <c r="FZ9788"/>
      <c r="GA9788"/>
      <c r="GB9788"/>
      <c r="GC9788"/>
      <c r="GD9788"/>
      <c r="GE9788"/>
      <c r="GF9788"/>
      <c r="GG9788"/>
      <c r="GH9788"/>
      <c r="GI9788"/>
      <c r="GJ9788"/>
      <c r="GK9788"/>
      <c r="GL9788"/>
      <c r="GM9788"/>
      <c r="GN9788"/>
      <c r="GO9788"/>
    </row>
    <row r="9789" spans="107:197">
      <c r="DC9789"/>
      <c r="FH9789"/>
      <c r="FI9789"/>
      <c r="FJ9789"/>
      <c r="FK9789"/>
      <c r="FL9789"/>
      <c r="FM9789"/>
      <c r="FN9789"/>
      <c r="FO9789"/>
      <c r="FP9789"/>
      <c r="FQ9789"/>
      <c r="FR9789"/>
      <c r="FS9789"/>
      <c r="FT9789"/>
      <c r="FU9789"/>
      <c r="FV9789"/>
      <c r="FW9789"/>
      <c r="FX9789"/>
      <c r="FY9789"/>
      <c r="FZ9789"/>
      <c r="GA9789"/>
      <c r="GB9789"/>
      <c r="GC9789"/>
      <c r="GD9789"/>
      <c r="GE9789"/>
      <c r="GF9789"/>
      <c r="GG9789"/>
      <c r="GH9789"/>
      <c r="GI9789"/>
      <c r="GJ9789"/>
      <c r="GK9789"/>
      <c r="GL9789"/>
      <c r="GM9789"/>
      <c r="GN9789"/>
      <c r="GO9789"/>
    </row>
    <row r="9790" spans="107:197">
      <c r="DC9790"/>
      <c r="FH9790"/>
      <c r="FI9790"/>
      <c r="FJ9790"/>
      <c r="FK9790"/>
      <c r="FL9790"/>
      <c r="FM9790"/>
      <c r="FN9790"/>
      <c r="FO9790"/>
      <c r="FP9790"/>
      <c r="FQ9790"/>
      <c r="FR9790"/>
      <c r="FS9790"/>
      <c r="FT9790"/>
      <c r="FU9790"/>
      <c r="FV9790"/>
      <c r="FW9790"/>
      <c r="FX9790"/>
      <c r="FY9790"/>
      <c r="FZ9790"/>
      <c r="GA9790"/>
      <c r="GB9790"/>
      <c r="GC9790"/>
      <c r="GD9790"/>
      <c r="GE9790"/>
      <c r="GF9790"/>
      <c r="GG9790"/>
      <c r="GH9790"/>
      <c r="GI9790"/>
      <c r="GJ9790"/>
      <c r="GK9790"/>
      <c r="GL9790"/>
      <c r="GM9790"/>
      <c r="GN9790"/>
      <c r="GO9790"/>
    </row>
    <row r="9791" spans="107:197">
      <c r="DC9791"/>
      <c r="FH9791"/>
      <c r="FI9791"/>
      <c r="FJ9791"/>
      <c r="FK9791"/>
      <c r="FL9791"/>
      <c r="FM9791"/>
      <c r="FN9791"/>
      <c r="FO9791"/>
      <c r="FP9791"/>
      <c r="FQ9791"/>
      <c r="FR9791"/>
      <c r="FS9791"/>
      <c r="FT9791"/>
      <c r="FU9791"/>
      <c r="FV9791"/>
      <c r="FW9791"/>
      <c r="FX9791"/>
      <c r="FY9791"/>
      <c r="FZ9791"/>
      <c r="GA9791"/>
      <c r="GB9791"/>
      <c r="GC9791"/>
      <c r="GD9791"/>
      <c r="GE9791"/>
      <c r="GF9791"/>
      <c r="GG9791"/>
      <c r="GH9791"/>
      <c r="GI9791"/>
      <c r="GJ9791"/>
      <c r="GK9791"/>
      <c r="GL9791"/>
      <c r="GM9791"/>
      <c r="GN9791"/>
      <c r="GO9791"/>
    </row>
    <row r="9792" spans="107:197">
      <c r="DC9792"/>
      <c r="FH9792"/>
      <c r="FI9792"/>
      <c r="FJ9792"/>
      <c r="FK9792"/>
      <c r="FL9792"/>
      <c r="FM9792"/>
      <c r="FN9792"/>
      <c r="FO9792"/>
      <c r="FP9792"/>
      <c r="FQ9792"/>
      <c r="FR9792"/>
      <c r="FS9792"/>
      <c r="FT9792"/>
      <c r="FU9792"/>
      <c r="FV9792"/>
      <c r="FW9792"/>
      <c r="FX9792"/>
      <c r="FY9792"/>
      <c r="FZ9792"/>
      <c r="GA9792"/>
      <c r="GB9792"/>
      <c r="GC9792"/>
      <c r="GD9792"/>
      <c r="GE9792"/>
      <c r="GF9792"/>
      <c r="GG9792"/>
      <c r="GH9792"/>
      <c r="GI9792"/>
      <c r="GJ9792"/>
      <c r="GK9792"/>
      <c r="GL9792"/>
      <c r="GM9792"/>
      <c r="GN9792"/>
      <c r="GO9792"/>
    </row>
    <row r="9793" spans="107:197">
      <c r="DC9793"/>
      <c r="FH9793"/>
      <c r="FI9793"/>
      <c r="FJ9793"/>
      <c r="FK9793"/>
      <c r="FL9793"/>
      <c r="FM9793"/>
      <c r="FN9793"/>
      <c r="FO9793"/>
      <c r="FP9793"/>
      <c r="FQ9793"/>
      <c r="FR9793"/>
      <c r="FS9793"/>
      <c r="FT9793"/>
      <c r="FU9793"/>
      <c r="FV9793"/>
      <c r="FW9793"/>
      <c r="FX9793"/>
      <c r="FY9793"/>
      <c r="FZ9793"/>
      <c r="GA9793"/>
      <c r="GB9793"/>
      <c r="GC9793"/>
      <c r="GD9793"/>
      <c r="GE9793"/>
      <c r="GF9793"/>
      <c r="GG9793"/>
      <c r="GH9793"/>
      <c r="GI9793"/>
      <c r="GJ9793"/>
      <c r="GK9793"/>
      <c r="GL9793"/>
      <c r="GM9793"/>
      <c r="GN9793"/>
      <c r="GO9793"/>
    </row>
    <row r="9794" spans="107:197">
      <c r="DC9794"/>
      <c r="FH9794"/>
      <c r="FI9794"/>
      <c r="FJ9794"/>
      <c r="FK9794"/>
      <c r="FL9794"/>
      <c r="FM9794"/>
      <c r="FN9794"/>
      <c r="FO9794"/>
      <c r="FP9794"/>
      <c r="FQ9794"/>
      <c r="FR9794"/>
      <c r="FS9794"/>
      <c r="FT9794"/>
      <c r="FU9794"/>
      <c r="FV9794"/>
      <c r="FW9794"/>
      <c r="FX9794"/>
      <c r="FY9794"/>
      <c r="FZ9794"/>
      <c r="GA9794"/>
      <c r="GB9794"/>
      <c r="GC9794"/>
      <c r="GD9794"/>
      <c r="GE9794"/>
      <c r="GF9794"/>
      <c r="GG9794"/>
      <c r="GH9794"/>
      <c r="GI9794"/>
      <c r="GJ9794"/>
      <c r="GK9794"/>
      <c r="GL9794"/>
      <c r="GM9794"/>
      <c r="GN9794"/>
      <c r="GO9794"/>
    </row>
    <row r="9795" spans="107:197">
      <c r="DC9795"/>
      <c r="FH9795"/>
      <c r="FI9795"/>
      <c r="FJ9795"/>
      <c r="FK9795"/>
      <c r="FL9795"/>
      <c r="FM9795"/>
      <c r="FN9795"/>
      <c r="FO9795"/>
      <c r="FP9795"/>
      <c r="FQ9795"/>
      <c r="FR9795"/>
      <c r="FS9795"/>
      <c r="FT9795"/>
      <c r="FU9795"/>
      <c r="FV9795"/>
      <c r="FW9795"/>
      <c r="FX9795"/>
      <c r="FY9795"/>
      <c r="FZ9795"/>
      <c r="GA9795"/>
      <c r="GB9795"/>
      <c r="GC9795"/>
      <c r="GD9795"/>
      <c r="GE9795"/>
      <c r="GF9795"/>
      <c r="GG9795"/>
      <c r="GH9795"/>
      <c r="GI9795"/>
      <c r="GJ9795"/>
      <c r="GK9795"/>
      <c r="GL9795"/>
      <c r="GM9795"/>
      <c r="GN9795"/>
      <c r="GO9795"/>
    </row>
    <row r="9796" spans="107:197">
      <c r="DC9796"/>
      <c r="FH9796"/>
      <c r="FI9796"/>
      <c r="FJ9796"/>
      <c r="FK9796"/>
      <c r="FL9796"/>
      <c r="FM9796"/>
      <c r="FN9796"/>
      <c r="FO9796"/>
      <c r="FP9796"/>
      <c r="FQ9796"/>
      <c r="FR9796"/>
      <c r="FS9796"/>
      <c r="FT9796"/>
      <c r="FU9796"/>
      <c r="FV9796"/>
      <c r="FW9796"/>
      <c r="FX9796"/>
      <c r="FY9796"/>
      <c r="FZ9796"/>
      <c r="GA9796"/>
      <c r="GB9796"/>
      <c r="GC9796"/>
      <c r="GD9796"/>
      <c r="GE9796"/>
      <c r="GF9796"/>
      <c r="GG9796"/>
      <c r="GH9796"/>
      <c r="GI9796"/>
      <c r="GJ9796"/>
      <c r="GK9796"/>
      <c r="GL9796"/>
      <c r="GM9796"/>
      <c r="GN9796"/>
      <c r="GO9796"/>
    </row>
    <row r="9797" spans="107:197">
      <c r="DC9797"/>
      <c r="FH9797"/>
      <c r="FI9797"/>
      <c r="FJ9797"/>
      <c r="FK9797"/>
      <c r="FL9797"/>
      <c r="FM9797"/>
      <c r="FN9797"/>
      <c r="FO9797"/>
      <c r="FP9797"/>
      <c r="FQ9797"/>
      <c r="FR9797"/>
      <c r="FS9797"/>
      <c r="FT9797"/>
      <c r="FU9797"/>
      <c r="FV9797"/>
      <c r="FW9797"/>
      <c r="FX9797"/>
      <c r="FY9797"/>
      <c r="FZ9797"/>
      <c r="GA9797"/>
      <c r="GB9797"/>
      <c r="GC9797"/>
      <c r="GD9797"/>
      <c r="GE9797"/>
      <c r="GF9797"/>
      <c r="GG9797"/>
      <c r="GH9797"/>
      <c r="GI9797"/>
      <c r="GJ9797"/>
      <c r="GK9797"/>
      <c r="GL9797"/>
      <c r="GM9797"/>
      <c r="GN9797"/>
      <c r="GO9797"/>
    </row>
    <row r="9798" spans="107:197">
      <c r="DC9798"/>
      <c r="FH9798"/>
      <c r="FI9798"/>
      <c r="FJ9798"/>
      <c r="FK9798"/>
      <c r="FL9798"/>
      <c r="FM9798"/>
      <c r="FN9798"/>
      <c r="FO9798"/>
      <c r="FP9798"/>
      <c r="FQ9798"/>
      <c r="FR9798"/>
      <c r="FS9798"/>
      <c r="FT9798"/>
      <c r="FU9798"/>
      <c r="FV9798"/>
      <c r="FW9798"/>
      <c r="FX9798"/>
      <c r="FY9798"/>
      <c r="FZ9798"/>
      <c r="GA9798"/>
      <c r="GB9798"/>
      <c r="GC9798"/>
      <c r="GD9798"/>
      <c r="GE9798"/>
      <c r="GF9798"/>
      <c r="GG9798"/>
      <c r="GH9798"/>
      <c r="GI9798"/>
      <c r="GJ9798"/>
      <c r="GK9798"/>
      <c r="GL9798"/>
      <c r="GM9798"/>
      <c r="GN9798"/>
      <c r="GO9798"/>
    </row>
    <row r="9799" spans="107:197">
      <c r="DC9799"/>
      <c r="FH9799"/>
      <c r="FI9799"/>
      <c r="FJ9799"/>
      <c r="FK9799"/>
      <c r="FL9799"/>
      <c r="FM9799"/>
      <c r="FN9799"/>
      <c r="FO9799"/>
      <c r="FP9799"/>
      <c r="FQ9799"/>
      <c r="FR9799"/>
      <c r="FS9799"/>
      <c r="FT9799"/>
      <c r="FU9799"/>
      <c r="FV9799"/>
      <c r="FW9799"/>
      <c r="FX9799"/>
      <c r="FY9799"/>
      <c r="FZ9799"/>
      <c r="GA9799"/>
      <c r="GB9799"/>
      <c r="GC9799"/>
      <c r="GD9799"/>
      <c r="GE9799"/>
      <c r="GF9799"/>
      <c r="GG9799"/>
      <c r="GH9799"/>
      <c r="GI9799"/>
      <c r="GJ9799"/>
      <c r="GK9799"/>
      <c r="GL9799"/>
      <c r="GM9799"/>
      <c r="GN9799"/>
      <c r="GO9799"/>
    </row>
    <row r="9800" spans="107:197">
      <c r="DC9800"/>
      <c r="FH9800"/>
      <c r="FI9800"/>
      <c r="FJ9800"/>
      <c r="FK9800"/>
      <c r="FL9800"/>
      <c r="FM9800"/>
      <c r="FN9800"/>
      <c r="FO9800"/>
      <c r="FP9800"/>
      <c r="FQ9800"/>
      <c r="FR9800"/>
      <c r="FS9800"/>
      <c r="FT9800"/>
      <c r="FU9800"/>
      <c r="FV9800"/>
      <c r="FW9800"/>
      <c r="FX9800"/>
      <c r="FY9800"/>
      <c r="FZ9800"/>
      <c r="GA9800"/>
      <c r="GB9800"/>
      <c r="GC9800"/>
      <c r="GD9800"/>
      <c r="GE9800"/>
      <c r="GF9800"/>
      <c r="GG9800"/>
      <c r="GH9800"/>
      <c r="GI9800"/>
      <c r="GJ9800"/>
      <c r="GK9800"/>
      <c r="GL9800"/>
      <c r="GM9800"/>
      <c r="GN9800"/>
      <c r="GO9800"/>
    </row>
    <row r="9801" spans="107:197">
      <c r="DC9801"/>
      <c r="FH9801"/>
      <c r="FI9801"/>
      <c r="FJ9801"/>
      <c r="FK9801"/>
      <c r="FL9801"/>
      <c r="FM9801"/>
      <c r="FN9801"/>
      <c r="FO9801"/>
      <c r="FP9801"/>
      <c r="FQ9801"/>
      <c r="FR9801"/>
      <c r="FS9801"/>
      <c r="FT9801"/>
      <c r="FU9801"/>
      <c r="FV9801"/>
      <c r="FW9801"/>
      <c r="FX9801"/>
      <c r="FY9801"/>
      <c r="FZ9801"/>
      <c r="GA9801"/>
      <c r="GB9801"/>
      <c r="GC9801"/>
      <c r="GD9801"/>
      <c r="GE9801"/>
      <c r="GF9801"/>
      <c r="GG9801"/>
      <c r="GH9801"/>
      <c r="GI9801"/>
      <c r="GJ9801"/>
      <c r="GK9801"/>
      <c r="GL9801"/>
      <c r="GM9801"/>
      <c r="GN9801"/>
      <c r="GO9801"/>
    </row>
    <row r="9802" spans="107:197">
      <c r="DC9802"/>
      <c r="FH9802"/>
      <c r="FI9802"/>
      <c r="FJ9802"/>
      <c r="FK9802"/>
      <c r="FL9802"/>
      <c r="FM9802"/>
      <c r="FN9802"/>
      <c r="FO9802"/>
      <c r="FP9802"/>
      <c r="FQ9802"/>
      <c r="FR9802"/>
      <c r="FS9802"/>
      <c r="FT9802"/>
      <c r="FU9802"/>
      <c r="FV9802"/>
      <c r="FW9802"/>
      <c r="FX9802"/>
      <c r="FY9802"/>
      <c r="FZ9802"/>
      <c r="GA9802"/>
      <c r="GB9802"/>
      <c r="GC9802"/>
      <c r="GD9802"/>
      <c r="GE9802"/>
      <c r="GF9802"/>
      <c r="GG9802"/>
      <c r="GH9802"/>
      <c r="GI9802"/>
      <c r="GJ9802"/>
      <c r="GK9802"/>
      <c r="GL9802"/>
      <c r="GM9802"/>
      <c r="GN9802"/>
      <c r="GO9802"/>
    </row>
    <row r="9803" spans="107:197">
      <c r="DC9803"/>
      <c r="FH9803"/>
      <c r="FI9803"/>
      <c r="FJ9803"/>
      <c r="FK9803"/>
      <c r="FL9803"/>
      <c r="FM9803"/>
      <c r="FN9803"/>
      <c r="FO9803"/>
      <c r="FP9803"/>
      <c r="FQ9803"/>
      <c r="FR9803"/>
      <c r="FS9803"/>
      <c r="FT9803"/>
      <c r="FU9803"/>
      <c r="FV9803"/>
      <c r="FW9803"/>
      <c r="FX9803"/>
      <c r="FY9803"/>
      <c r="FZ9803"/>
      <c r="GA9803"/>
      <c r="GB9803"/>
      <c r="GC9803"/>
      <c r="GD9803"/>
      <c r="GE9803"/>
      <c r="GF9803"/>
      <c r="GG9803"/>
      <c r="GH9803"/>
      <c r="GI9803"/>
      <c r="GJ9803"/>
      <c r="GK9803"/>
      <c r="GL9803"/>
      <c r="GM9803"/>
      <c r="GN9803"/>
      <c r="GO9803"/>
    </row>
    <row r="9804" spans="107:197">
      <c r="DC9804"/>
      <c r="FH9804"/>
      <c r="FI9804"/>
      <c r="FJ9804"/>
      <c r="FK9804"/>
      <c r="FL9804"/>
      <c r="FM9804"/>
      <c r="FN9804"/>
      <c r="FO9804"/>
      <c r="FP9804"/>
      <c r="FQ9804"/>
      <c r="FR9804"/>
      <c r="FS9804"/>
      <c r="FT9804"/>
      <c r="FU9804"/>
      <c r="FV9804"/>
      <c r="FW9804"/>
      <c r="FX9804"/>
      <c r="FY9804"/>
      <c r="FZ9804"/>
      <c r="GA9804"/>
      <c r="GB9804"/>
      <c r="GC9804"/>
      <c r="GD9804"/>
      <c r="GE9804"/>
      <c r="GF9804"/>
      <c r="GG9804"/>
      <c r="GH9804"/>
      <c r="GI9804"/>
      <c r="GJ9804"/>
      <c r="GK9804"/>
      <c r="GL9804"/>
      <c r="GM9804"/>
      <c r="GN9804"/>
      <c r="GO9804"/>
    </row>
    <row r="9805" spans="107:197">
      <c r="DC9805"/>
      <c r="FH9805"/>
      <c r="FI9805"/>
      <c r="FJ9805"/>
      <c r="FK9805"/>
      <c r="FL9805"/>
      <c r="FM9805"/>
      <c r="FN9805"/>
      <c r="FO9805"/>
      <c r="FP9805"/>
      <c r="FQ9805"/>
      <c r="FR9805"/>
      <c r="FS9805"/>
      <c r="FT9805"/>
      <c r="FU9805"/>
      <c r="FV9805"/>
      <c r="FW9805"/>
      <c r="FX9805"/>
      <c r="FY9805"/>
      <c r="FZ9805"/>
      <c r="GA9805"/>
      <c r="GB9805"/>
      <c r="GC9805"/>
      <c r="GD9805"/>
      <c r="GE9805"/>
      <c r="GF9805"/>
      <c r="GG9805"/>
      <c r="GH9805"/>
      <c r="GI9805"/>
      <c r="GJ9805"/>
      <c r="GK9805"/>
      <c r="GL9805"/>
      <c r="GM9805"/>
      <c r="GN9805"/>
      <c r="GO9805"/>
    </row>
    <row r="9806" spans="107:197">
      <c r="DC9806"/>
      <c r="FH9806"/>
      <c r="FI9806"/>
      <c r="FJ9806"/>
      <c r="FK9806"/>
      <c r="FL9806"/>
      <c r="FM9806"/>
      <c r="FN9806"/>
      <c r="FO9806"/>
      <c r="FP9806"/>
      <c r="FQ9806"/>
      <c r="FR9806"/>
      <c r="FS9806"/>
      <c r="FT9806"/>
      <c r="FU9806"/>
      <c r="FV9806"/>
      <c r="FW9806"/>
      <c r="FX9806"/>
      <c r="FY9806"/>
      <c r="FZ9806"/>
      <c r="GA9806"/>
      <c r="GB9806"/>
      <c r="GC9806"/>
      <c r="GD9806"/>
      <c r="GE9806"/>
      <c r="GF9806"/>
      <c r="GG9806"/>
      <c r="GH9806"/>
      <c r="GI9806"/>
      <c r="GJ9806"/>
      <c r="GK9806"/>
      <c r="GL9806"/>
      <c r="GM9806"/>
      <c r="GN9806"/>
      <c r="GO9806"/>
    </row>
    <row r="9807" spans="107:197">
      <c r="DC9807"/>
      <c r="FH9807"/>
      <c r="FI9807"/>
      <c r="FJ9807"/>
      <c r="FK9807"/>
      <c r="FL9807"/>
      <c r="FM9807"/>
      <c r="FN9807"/>
      <c r="FO9807"/>
      <c r="FP9807"/>
      <c r="FQ9807"/>
      <c r="FR9807"/>
      <c r="FS9807"/>
      <c r="FT9807"/>
      <c r="FU9807"/>
      <c r="FV9807"/>
      <c r="FW9807"/>
      <c r="FX9807"/>
      <c r="FY9807"/>
      <c r="FZ9807"/>
      <c r="GA9807"/>
      <c r="GB9807"/>
      <c r="GC9807"/>
      <c r="GD9807"/>
      <c r="GE9807"/>
      <c r="GF9807"/>
      <c r="GG9807"/>
      <c r="GH9807"/>
      <c r="GI9807"/>
      <c r="GJ9807"/>
      <c r="GK9807"/>
      <c r="GL9807"/>
      <c r="GM9807"/>
      <c r="GN9807"/>
      <c r="GO9807"/>
    </row>
    <row r="9808" spans="107:197">
      <c r="DC9808"/>
      <c r="FH9808"/>
      <c r="FI9808"/>
      <c r="FJ9808"/>
      <c r="FK9808"/>
      <c r="FL9808"/>
      <c r="FM9808"/>
      <c r="FN9808"/>
      <c r="FO9808"/>
      <c r="FP9808"/>
      <c r="FQ9808"/>
      <c r="FR9808"/>
      <c r="FS9808"/>
      <c r="FT9808"/>
      <c r="FU9808"/>
      <c r="FV9808"/>
      <c r="FW9808"/>
      <c r="FX9808"/>
      <c r="FY9808"/>
      <c r="FZ9808"/>
      <c r="GA9808"/>
      <c r="GB9808"/>
      <c r="GC9808"/>
      <c r="GD9808"/>
      <c r="GE9808"/>
      <c r="GF9808"/>
      <c r="GG9808"/>
      <c r="GH9808"/>
      <c r="GI9808"/>
      <c r="GJ9808"/>
      <c r="GK9808"/>
      <c r="GL9808"/>
      <c r="GM9808"/>
      <c r="GN9808"/>
      <c r="GO9808"/>
    </row>
    <row r="9809" spans="107:197">
      <c r="DC9809"/>
      <c r="FH9809"/>
      <c r="FI9809"/>
      <c r="FJ9809"/>
      <c r="FK9809"/>
      <c r="FL9809"/>
      <c r="FM9809"/>
      <c r="FN9809"/>
      <c r="FO9809"/>
      <c r="FP9809"/>
      <c r="FQ9809"/>
      <c r="FR9809"/>
      <c r="FS9809"/>
      <c r="FT9809"/>
      <c r="FU9809"/>
      <c r="FV9809"/>
      <c r="FW9809"/>
      <c r="FX9809"/>
      <c r="FY9809"/>
      <c r="FZ9809"/>
      <c r="GA9809"/>
      <c r="GB9809"/>
      <c r="GC9809"/>
      <c r="GD9809"/>
      <c r="GE9809"/>
      <c r="GF9809"/>
      <c r="GG9809"/>
      <c r="GH9809"/>
      <c r="GI9809"/>
      <c r="GJ9809"/>
      <c r="GK9809"/>
      <c r="GL9809"/>
      <c r="GM9809"/>
      <c r="GN9809"/>
      <c r="GO9809"/>
    </row>
    <row r="9810" spans="107:197">
      <c r="DC9810"/>
      <c r="FH9810"/>
      <c r="FI9810"/>
      <c r="FJ9810"/>
      <c r="FK9810"/>
      <c r="FL9810"/>
      <c r="FM9810"/>
      <c r="FN9810"/>
      <c r="FO9810"/>
      <c r="FP9810"/>
      <c r="FQ9810"/>
      <c r="FR9810"/>
      <c r="FS9810"/>
      <c r="FT9810"/>
      <c r="FU9810"/>
      <c r="FV9810"/>
      <c r="FW9810"/>
      <c r="FX9810"/>
      <c r="FY9810"/>
      <c r="FZ9810"/>
      <c r="GA9810"/>
      <c r="GB9810"/>
      <c r="GC9810"/>
      <c r="GD9810"/>
      <c r="GE9810"/>
      <c r="GF9810"/>
      <c r="GG9810"/>
      <c r="GH9810"/>
      <c r="GI9810"/>
      <c r="GJ9810"/>
      <c r="GK9810"/>
      <c r="GL9810"/>
      <c r="GM9810"/>
      <c r="GN9810"/>
      <c r="GO9810"/>
    </row>
    <row r="9811" spans="107:197">
      <c r="DC9811"/>
      <c r="FH9811"/>
      <c r="FI9811"/>
      <c r="FJ9811"/>
      <c r="FK9811"/>
      <c r="FL9811"/>
      <c r="FM9811"/>
      <c r="FN9811"/>
      <c r="FO9811"/>
      <c r="FP9811"/>
      <c r="FQ9811"/>
      <c r="FR9811"/>
      <c r="FS9811"/>
      <c r="FT9811"/>
      <c r="FU9811"/>
      <c r="FV9811"/>
      <c r="FW9811"/>
      <c r="FX9811"/>
      <c r="FY9811"/>
      <c r="FZ9811"/>
      <c r="GA9811"/>
      <c r="GB9811"/>
      <c r="GC9811"/>
      <c r="GD9811"/>
      <c r="GE9811"/>
      <c r="GF9811"/>
      <c r="GG9811"/>
      <c r="GH9811"/>
      <c r="GI9811"/>
      <c r="GJ9811"/>
      <c r="GK9811"/>
      <c r="GL9811"/>
      <c r="GM9811"/>
      <c r="GN9811"/>
      <c r="GO9811"/>
    </row>
    <row r="9812" spans="107:197">
      <c r="DC9812"/>
      <c r="FH9812"/>
      <c r="FI9812"/>
      <c r="FJ9812"/>
      <c r="FK9812"/>
      <c r="FL9812"/>
      <c r="FM9812"/>
      <c r="FN9812"/>
      <c r="FO9812"/>
      <c r="FP9812"/>
      <c r="FQ9812"/>
      <c r="FR9812"/>
      <c r="FS9812"/>
      <c r="FT9812"/>
      <c r="FU9812"/>
      <c r="FV9812"/>
      <c r="FW9812"/>
      <c r="FX9812"/>
      <c r="FY9812"/>
      <c r="FZ9812"/>
      <c r="GA9812"/>
      <c r="GB9812"/>
      <c r="GC9812"/>
      <c r="GD9812"/>
      <c r="GE9812"/>
      <c r="GF9812"/>
      <c r="GG9812"/>
      <c r="GH9812"/>
      <c r="GI9812"/>
      <c r="GJ9812"/>
      <c r="GK9812"/>
      <c r="GL9812"/>
      <c r="GM9812"/>
      <c r="GN9812"/>
      <c r="GO9812"/>
    </row>
    <row r="9813" spans="107:197">
      <c r="DC9813"/>
      <c r="FH9813"/>
      <c r="FI9813"/>
      <c r="FJ9813"/>
      <c r="FK9813"/>
      <c r="FL9813"/>
      <c r="FM9813"/>
      <c r="FN9813"/>
      <c r="FO9813"/>
      <c r="FP9813"/>
      <c r="FQ9813"/>
      <c r="FR9813"/>
      <c r="FS9813"/>
      <c r="FT9813"/>
      <c r="FU9813"/>
      <c r="FV9813"/>
      <c r="FW9813"/>
      <c r="FX9813"/>
      <c r="FY9813"/>
      <c r="FZ9813"/>
      <c r="GA9813"/>
      <c r="GB9813"/>
      <c r="GC9813"/>
      <c r="GD9813"/>
      <c r="GE9813"/>
      <c r="GF9813"/>
      <c r="GG9813"/>
      <c r="GH9813"/>
      <c r="GI9813"/>
      <c r="GJ9813"/>
      <c r="GK9813"/>
      <c r="GL9813"/>
      <c r="GM9813"/>
      <c r="GN9813"/>
      <c r="GO9813"/>
    </row>
    <row r="9814" spans="107:197">
      <c r="DC9814"/>
      <c r="FH9814"/>
      <c r="FI9814"/>
      <c r="FJ9814"/>
      <c r="FK9814"/>
      <c r="FL9814"/>
      <c r="FM9814"/>
      <c r="FN9814"/>
      <c r="FO9814"/>
      <c r="FP9814"/>
      <c r="FQ9814"/>
      <c r="FR9814"/>
      <c r="FS9814"/>
      <c r="FT9814"/>
      <c r="FU9814"/>
      <c r="FV9814"/>
      <c r="FW9814"/>
      <c r="FX9814"/>
      <c r="FY9814"/>
      <c r="FZ9814"/>
      <c r="GA9814"/>
      <c r="GB9814"/>
      <c r="GC9814"/>
      <c r="GD9814"/>
      <c r="GE9814"/>
      <c r="GF9814"/>
      <c r="GG9814"/>
      <c r="GH9814"/>
      <c r="GI9814"/>
      <c r="GJ9814"/>
      <c r="GK9814"/>
      <c r="GL9814"/>
      <c r="GM9814"/>
      <c r="GN9814"/>
      <c r="GO9814"/>
    </row>
    <row r="9815" spans="107:197">
      <c r="DC9815"/>
      <c r="FH9815"/>
      <c r="FI9815"/>
      <c r="FJ9815"/>
      <c r="FK9815"/>
      <c r="FL9815"/>
      <c r="FM9815"/>
      <c r="FN9815"/>
      <c r="FO9815"/>
      <c r="FP9815"/>
      <c r="FQ9815"/>
      <c r="FR9815"/>
      <c r="FS9815"/>
      <c r="FT9815"/>
      <c r="FU9815"/>
      <c r="FV9815"/>
      <c r="FW9815"/>
      <c r="FX9815"/>
      <c r="FY9815"/>
      <c r="FZ9815"/>
      <c r="GA9815"/>
      <c r="GB9815"/>
      <c r="GC9815"/>
      <c r="GD9815"/>
      <c r="GE9815"/>
      <c r="GF9815"/>
      <c r="GG9815"/>
      <c r="GH9815"/>
      <c r="GI9815"/>
      <c r="GJ9815"/>
      <c r="GK9815"/>
      <c r="GL9815"/>
      <c r="GM9815"/>
      <c r="GN9815"/>
      <c r="GO9815"/>
    </row>
    <row r="9816" spans="107:197">
      <c r="DC9816"/>
      <c r="FH9816"/>
      <c r="FI9816"/>
      <c r="FJ9816"/>
      <c r="FK9816"/>
      <c r="FL9816"/>
      <c r="FM9816"/>
      <c r="FN9816"/>
      <c r="FO9816"/>
      <c r="FP9816"/>
      <c r="FQ9816"/>
      <c r="FR9816"/>
      <c r="FS9816"/>
      <c r="FT9816"/>
      <c r="FU9816"/>
      <c r="FV9816"/>
      <c r="FW9816"/>
      <c r="FX9816"/>
      <c r="FY9816"/>
      <c r="FZ9816"/>
      <c r="GA9816"/>
      <c r="GB9816"/>
      <c r="GC9816"/>
      <c r="GD9816"/>
      <c r="GE9816"/>
      <c r="GF9816"/>
      <c r="GG9816"/>
      <c r="GH9816"/>
      <c r="GI9816"/>
      <c r="GJ9816"/>
      <c r="GK9816"/>
      <c r="GL9816"/>
      <c r="GM9816"/>
      <c r="GN9816"/>
      <c r="GO9816"/>
    </row>
    <row r="9817" spans="107:197">
      <c r="DC9817"/>
      <c r="FH9817"/>
      <c r="FI9817"/>
      <c r="FJ9817"/>
      <c r="FK9817"/>
      <c r="FL9817"/>
      <c r="FM9817"/>
      <c r="FN9817"/>
      <c r="FO9817"/>
      <c r="FP9817"/>
      <c r="FQ9817"/>
      <c r="FR9817"/>
      <c r="FS9817"/>
      <c r="FT9817"/>
      <c r="FU9817"/>
      <c r="FV9817"/>
      <c r="FW9817"/>
      <c r="FX9817"/>
      <c r="FY9817"/>
      <c r="FZ9817"/>
      <c r="GA9817"/>
      <c r="GB9817"/>
      <c r="GC9817"/>
      <c r="GD9817"/>
      <c r="GE9817"/>
      <c r="GF9817"/>
      <c r="GG9817"/>
      <c r="GH9817"/>
      <c r="GI9817"/>
      <c r="GJ9817"/>
      <c r="GK9817"/>
      <c r="GL9817"/>
      <c r="GM9817"/>
      <c r="GN9817"/>
      <c r="GO9817"/>
    </row>
    <row r="9818" spans="107:197">
      <c r="DC9818"/>
      <c r="FH9818"/>
      <c r="FI9818"/>
      <c r="FJ9818"/>
      <c r="FK9818"/>
      <c r="FL9818"/>
      <c r="FM9818"/>
      <c r="FN9818"/>
      <c r="FO9818"/>
      <c r="FP9818"/>
      <c r="FQ9818"/>
      <c r="FR9818"/>
      <c r="FS9818"/>
      <c r="FT9818"/>
      <c r="FU9818"/>
      <c r="FV9818"/>
      <c r="FW9818"/>
      <c r="FX9818"/>
      <c r="FY9818"/>
      <c r="FZ9818"/>
      <c r="GA9818"/>
      <c r="GB9818"/>
      <c r="GC9818"/>
      <c r="GD9818"/>
      <c r="GE9818"/>
      <c r="GF9818"/>
      <c r="GG9818"/>
      <c r="GH9818"/>
      <c r="GI9818"/>
      <c r="GJ9818"/>
      <c r="GK9818"/>
      <c r="GL9818"/>
      <c r="GM9818"/>
      <c r="GN9818"/>
      <c r="GO9818"/>
    </row>
    <row r="9819" spans="107:197">
      <c r="DC9819"/>
      <c r="FH9819"/>
      <c r="FI9819"/>
      <c r="FJ9819"/>
      <c r="FK9819"/>
      <c r="FL9819"/>
      <c r="FM9819"/>
      <c r="FN9819"/>
      <c r="FO9819"/>
      <c r="FP9819"/>
      <c r="FQ9819"/>
      <c r="FR9819"/>
      <c r="FS9819"/>
      <c r="FT9819"/>
      <c r="FU9819"/>
      <c r="FV9819"/>
      <c r="FW9819"/>
      <c r="FX9819"/>
      <c r="FY9819"/>
      <c r="FZ9819"/>
      <c r="GA9819"/>
      <c r="GB9819"/>
      <c r="GC9819"/>
      <c r="GD9819"/>
      <c r="GE9819"/>
      <c r="GF9819"/>
      <c r="GG9819"/>
      <c r="GH9819"/>
      <c r="GI9819"/>
      <c r="GJ9819"/>
      <c r="GK9819"/>
      <c r="GL9819"/>
      <c r="GM9819"/>
      <c r="GN9819"/>
      <c r="GO9819"/>
    </row>
    <row r="9820" spans="107:197">
      <c r="DC9820"/>
      <c r="FH9820"/>
      <c r="FI9820"/>
      <c r="FJ9820"/>
      <c r="FK9820"/>
      <c r="FL9820"/>
      <c r="FM9820"/>
      <c r="FN9820"/>
      <c r="FO9820"/>
      <c r="FP9820"/>
      <c r="FQ9820"/>
      <c r="FR9820"/>
      <c r="FS9820"/>
      <c r="FT9820"/>
      <c r="FU9820"/>
      <c r="FV9820"/>
      <c r="FW9820"/>
      <c r="FX9820"/>
      <c r="FY9820"/>
      <c r="FZ9820"/>
      <c r="GA9820"/>
      <c r="GB9820"/>
      <c r="GC9820"/>
      <c r="GD9820"/>
      <c r="GE9820"/>
      <c r="GF9820"/>
      <c r="GG9820"/>
      <c r="GH9820"/>
      <c r="GI9820"/>
      <c r="GJ9820"/>
      <c r="GK9820"/>
      <c r="GL9820"/>
      <c r="GM9820"/>
      <c r="GN9820"/>
      <c r="GO9820"/>
    </row>
    <row r="9821" spans="107:197">
      <c r="DC9821"/>
      <c r="FH9821"/>
      <c r="FI9821"/>
      <c r="FJ9821"/>
      <c r="FK9821"/>
      <c r="FL9821"/>
      <c r="FM9821"/>
      <c r="FN9821"/>
      <c r="FO9821"/>
      <c r="FP9821"/>
      <c r="FQ9821"/>
      <c r="FR9821"/>
      <c r="FS9821"/>
      <c r="FT9821"/>
      <c r="FU9821"/>
      <c r="FV9821"/>
      <c r="FW9821"/>
      <c r="FX9821"/>
      <c r="FY9821"/>
      <c r="FZ9821"/>
      <c r="GA9821"/>
      <c r="GB9821"/>
      <c r="GC9821"/>
      <c r="GD9821"/>
      <c r="GE9821"/>
      <c r="GF9821"/>
      <c r="GG9821"/>
      <c r="GH9821"/>
      <c r="GI9821"/>
      <c r="GJ9821"/>
      <c r="GK9821"/>
      <c r="GL9821"/>
      <c r="GM9821"/>
      <c r="GN9821"/>
      <c r="GO9821"/>
    </row>
    <row r="9822" spans="107:197">
      <c r="DC9822"/>
      <c r="FH9822"/>
      <c r="FI9822"/>
      <c r="FJ9822"/>
      <c r="FK9822"/>
      <c r="FL9822"/>
      <c r="FM9822"/>
      <c r="FN9822"/>
      <c r="FO9822"/>
      <c r="FP9822"/>
      <c r="FQ9822"/>
      <c r="FR9822"/>
      <c r="FS9822"/>
      <c r="FT9822"/>
      <c r="FU9822"/>
      <c r="FV9822"/>
      <c r="FW9822"/>
      <c r="FX9822"/>
      <c r="FY9822"/>
      <c r="FZ9822"/>
      <c r="GA9822"/>
      <c r="GB9822"/>
      <c r="GC9822"/>
      <c r="GD9822"/>
      <c r="GE9822"/>
      <c r="GF9822"/>
      <c r="GG9822"/>
      <c r="GH9822"/>
      <c r="GI9822"/>
      <c r="GJ9822"/>
      <c r="GK9822"/>
      <c r="GL9822"/>
      <c r="GM9822"/>
      <c r="GN9822"/>
      <c r="GO9822"/>
    </row>
    <row r="9823" spans="107:197">
      <c r="DC9823"/>
      <c r="FH9823"/>
      <c r="FI9823"/>
      <c r="FJ9823"/>
      <c r="FK9823"/>
      <c r="FL9823"/>
      <c r="FM9823"/>
      <c r="FN9823"/>
      <c r="FO9823"/>
      <c r="FP9823"/>
      <c r="FQ9823"/>
      <c r="FR9823"/>
      <c r="FS9823"/>
      <c r="FT9823"/>
      <c r="FU9823"/>
      <c r="FV9823"/>
      <c r="FW9823"/>
      <c r="FX9823"/>
      <c r="FY9823"/>
      <c r="FZ9823"/>
      <c r="GA9823"/>
      <c r="GB9823"/>
      <c r="GC9823"/>
      <c r="GD9823"/>
      <c r="GE9823"/>
      <c r="GF9823"/>
      <c r="GG9823"/>
      <c r="GH9823"/>
      <c r="GI9823"/>
      <c r="GJ9823"/>
      <c r="GK9823"/>
      <c r="GL9823"/>
      <c r="GM9823"/>
      <c r="GN9823"/>
      <c r="GO9823"/>
    </row>
    <row r="9824" spans="107:197">
      <c r="DC9824"/>
      <c r="FH9824"/>
      <c r="FI9824"/>
      <c r="FJ9824"/>
      <c r="FK9824"/>
      <c r="FL9824"/>
      <c r="FM9824"/>
      <c r="FN9824"/>
      <c r="FO9824"/>
      <c r="FP9824"/>
      <c r="FQ9824"/>
      <c r="FR9824"/>
      <c r="FS9824"/>
      <c r="FT9824"/>
      <c r="FU9824"/>
      <c r="FV9824"/>
      <c r="FW9824"/>
      <c r="FX9824"/>
      <c r="FY9824"/>
      <c r="FZ9824"/>
      <c r="GA9824"/>
      <c r="GB9824"/>
      <c r="GC9824"/>
      <c r="GD9824"/>
      <c r="GE9824"/>
      <c r="GF9824"/>
      <c r="GG9824"/>
      <c r="GH9824"/>
      <c r="GI9824"/>
      <c r="GJ9824"/>
      <c r="GK9824"/>
      <c r="GL9824"/>
      <c r="GM9824"/>
      <c r="GN9824"/>
      <c r="GO9824"/>
    </row>
    <row r="9825" spans="107:197">
      <c r="DC9825"/>
      <c r="FH9825"/>
      <c r="FI9825"/>
      <c r="FJ9825"/>
      <c r="FK9825"/>
      <c r="FL9825"/>
      <c r="FM9825"/>
      <c r="FN9825"/>
      <c r="FO9825"/>
      <c r="FP9825"/>
      <c r="FQ9825"/>
      <c r="FR9825"/>
      <c r="FS9825"/>
      <c r="FT9825"/>
      <c r="FU9825"/>
      <c r="FV9825"/>
      <c r="FW9825"/>
      <c r="FX9825"/>
      <c r="FY9825"/>
      <c r="FZ9825"/>
      <c r="GA9825"/>
      <c r="GB9825"/>
      <c r="GC9825"/>
      <c r="GD9825"/>
      <c r="GE9825"/>
      <c r="GF9825"/>
      <c r="GG9825"/>
      <c r="GH9825"/>
      <c r="GI9825"/>
      <c r="GJ9825"/>
      <c r="GK9825"/>
      <c r="GL9825"/>
      <c r="GM9825"/>
      <c r="GN9825"/>
      <c r="GO9825"/>
    </row>
    <row r="9826" spans="107:197">
      <c r="DC9826"/>
      <c r="FH9826"/>
      <c r="FI9826"/>
      <c r="FJ9826"/>
      <c r="FK9826"/>
      <c r="FL9826"/>
      <c r="FM9826"/>
      <c r="FN9826"/>
      <c r="FO9826"/>
      <c r="FP9826"/>
      <c r="FQ9826"/>
      <c r="FR9826"/>
      <c r="FS9826"/>
      <c r="FT9826"/>
      <c r="FU9826"/>
      <c r="FV9826"/>
      <c r="FW9826"/>
      <c r="FX9826"/>
      <c r="FY9826"/>
      <c r="FZ9826"/>
      <c r="GA9826"/>
      <c r="GB9826"/>
      <c r="GC9826"/>
      <c r="GD9826"/>
      <c r="GE9826"/>
      <c r="GF9826"/>
      <c r="GG9826"/>
      <c r="GH9826"/>
      <c r="GI9826"/>
      <c r="GJ9826"/>
      <c r="GK9826"/>
      <c r="GL9826"/>
      <c r="GM9826"/>
      <c r="GN9826"/>
      <c r="GO9826"/>
    </row>
    <row r="9827" spans="107:197">
      <c r="DC9827"/>
      <c r="FH9827"/>
      <c r="FI9827"/>
      <c r="FJ9827"/>
      <c r="FK9827"/>
      <c r="FL9827"/>
      <c r="FM9827"/>
      <c r="FN9827"/>
      <c r="FO9827"/>
      <c r="FP9827"/>
      <c r="FQ9827"/>
      <c r="FR9827"/>
      <c r="FS9827"/>
      <c r="FT9827"/>
      <c r="FU9827"/>
      <c r="FV9827"/>
      <c r="FW9827"/>
      <c r="FX9827"/>
      <c r="FY9827"/>
      <c r="FZ9827"/>
      <c r="GA9827"/>
      <c r="GB9827"/>
      <c r="GC9827"/>
      <c r="GD9827"/>
      <c r="GE9827"/>
      <c r="GF9827"/>
      <c r="GG9827"/>
      <c r="GH9827"/>
      <c r="GI9827"/>
      <c r="GJ9827"/>
      <c r="GK9827"/>
      <c r="GL9827"/>
      <c r="GM9827"/>
      <c r="GN9827"/>
      <c r="GO9827"/>
    </row>
    <row r="9828" spans="107:197">
      <c r="DC9828"/>
      <c r="FH9828"/>
      <c r="FI9828"/>
      <c r="FJ9828"/>
      <c r="FK9828"/>
      <c r="FL9828"/>
      <c r="FM9828"/>
      <c r="FN9828"/>
      <c r="FO9828"/>
      <c r="FP9828"/>
      <c r="FQ9828"/>
      <c r="FR9828"/>
      <c r="FS9828"/>
      <c r="FT9828"/>
      <c r="FU9828"/>
      <c r="FV9828"/>
      <c r="FW9828"/>
      <c r="FX9828"/>
      <c r="FY9828"/>
      <c r="FZ9828"/>
      <c r="GA9828"/>
      <c r="GB9828"/>
      <c r="GC9828"/>
      <c r="GD9828"/>
      <c r="GE9828"/>
      <c r="GF9828"/>
      <c r="GG9828"/>
      <c r="GH9828"/>
      <c r="GI9828"/>
      <c r="GJ9828"/>
      <c r="GK9828"/>
      <c r="GL9828"/>
      <c r="GM9828"/>
      <c r="GN9828"/>
      <c r="GO9828"/>
    </row>
    <row r="9829" spans="107:197">
      <c r="DC9829"/>
      <c r="FH9829"/>
      <c r="FI9829"/>
      <c r="FJ9829"/>
      <c r="FK9829"/>
      <c r="FL9829"/>
      <c r="FM9829"/>
      <c r="FN9829"/>
      <c r="FO9829"/>
      <c r="FP9829"/>
      <c r="FQ9829"/>
      <c r="FR9829"/>
      <c r="FS9829"/>
      <c r="FT9829"/>
      <c r="FU9829"/>
      <c r="FV9829"/>
      <c r="FW9829"/>
      <c r="FX9829"/>
      <c r="FY9829"/>
      <c r="FZ9829"/>
      <c r="GA9829"/>
      <c r="GB9829"/>
      <c r="GC9829"/>
      <c r="GD9829"/>
      <c r="GE9829"/>
      <c r="GF9829"/>
      <c r="GG9829"/>
      <c r="GH9829"/>
      <c r="GI9829"/>
      <c r="GJ9829"/>
      <c r="GK9829"/>
      <c r="GL9829"/>
      <c r="GM9829"/>
      <c r="GN9829"/>
      <c r="GO9829"/>
    </row>
    <row r="9830" spans="107:197">
      <c r="DC9830"/>
      <c r="FH9830"/>
      <c r="FI9830"/>
      <c r="FJ9830"/>
      <c r="FK9830"/>
      <c r="FL9830"/>
      <c r="FM9830"/>
      <c r="FN9830"/>
      <c r="FO9830"/>
      <c r="FP9830"/>
      <c r="FQ9830"/>
      <c r="FR9830"/>
      <c r="FS9830"/>
      <c r="FT9830"/>
      <c r="FU9830"/>
      <c r="FV9830"/>
      <c r="FW9830"/>
      <c r="FX9830"/>
      <c r="FY9830"/>
      <c r="FZ9830"/>
      <c r="GA9830"/>
      <c r="GB9830"/>
      <c r="GC9830"/>
      <c r="GD9830"/>
      <c r="GE9830"/>
      <c r="GF9830"/>
      <c r="GG9830"/>
      <c r="GH9830"/>
      <c r="GI9830"/>
      <c r="GJ9830"/>
      <c r="GK9830"/>
      <c r="GL9830"/>
      <c r="GM9830"/>
      <c r="GN9830"/>
      <c r="GO9830"/>
    </row>
    <row r="9831" spans="107:197">
      <c r="DC9831"/>
      <c r="FH9831"/>
      <c r="FI9831"/>
      <c r="FJ9831"/>
      <c r="FK9831"/>
      <c r="FL9831"/>
      <c r="FM9831"/>
      <c r="FN9831"/>
      <c r="FO9831"/>
      <c r="FP9831"/>
      <c r="FQ9831"/>
      <c r="FR9831"/>
      <c r="FS9831"/>
      <c r="FT9831"/>
      <c r="FU9831"/>
      <c r="FV9831"/>
      <c r="FW9831"/>
      <c r="FX9831"/>
      <c r="FY9831"/>
      <c r="FZ9831"/>
      <c r="GA9831"/>
      <c r="GB9831"/>
      <c r="GC9831"/>
      <c r="GD9831"/>
      <c r="GE9831"/>
      <c r="GF9831"/>
      <c r="GG9831"/>
      <c r="GH9831"/>
      <c r="GI9831"/>
      <c r="GJ9831"/>
      <c r="GK9831"/>
      <c r="GL9831"/>
      <c r="GM9831"/>
      <c r="GN9831"/>
      <c r="GO9831"/>
    </row>
    <row r="9832" spans="107:197">
      <c r="DC9832"/>
      <c r="FH9832"/>
      <c r="FI9832"/>
      <c r="FJ9832"/>
      <c r="FK9832"/>
      <c r="FL9832"/>
      <c r="FM9832"/>
      <c r="FN9832"/>
      <c r="FO9832"/>
      <c r="FP9832"/>
      <c r="FQ9832"/>
      <c r="FR9832"/>
      <c r="FS9832"/>
      <c r="FT9832"/>
      <c r="FU9832"/>
      <c r="FV9832"/>
      <c r="FW9832"/>
      <c r="FX9832"/>
      <c r="FY9832"/>
      <c r="FZ9832"/>
      <c r="GA9832"/>
      <c r="GB9832"/>
      <c r="GC9832"/>
      <c r="GD9832"/>
      <c r="GE9832"/>
      <c r="GF9832"/>
      <c r="GG9832"/>
      <c r="GH9832"/>
      <c r="GI9832"/>
      <c r="GJ9832"/>
      <c r="GK9832"/>
      <c r="GL9832"/>
      <c r="GM9832"/>
      <c r="GN9832"/>
      <c r="GO9832"/>
    </row>
    <row r="9833" spans="107:197">
      <c r="DC9833"/>
      <c r="FH9833"/>
      <c r="FI9833"/>
      <c r="FJ9833"/>
      <c r="FK9833"/>
      <c r="FL9833"/>
      <c r="FM9833"/>
      <c r="FN9833"/>
      <c r="FO9833"/>
      <c r="FP9833"/>
      <c r="FQ9833"/>
      <c r="FR9833"/>
      <c r="FS9833"/>
      <c r="FT9833"/>
      <c r="FU9833"/>
      <c r="FV9833"/>
      <c r="FW9833"/>
      <c r="FX9833"/>
      <c r="FY9833"/>
      <c r="FZ9833"/>
      <c r="GA9833"/>
      <c r="GB9833"/>
      <c r="GC9833"/>
      <c r="GD9833"/>
      <c r="GE9833"/>
      <c r="GF9833"/>
      <c r="GG9833"/>
      <c r="GH9833"/>
      <c r="GI9833"/>
      <c r="GJ9833"/>
      <c r="GK9833"/>
      <c r="GL9833"/>
      <c r="GM9833"/>
      <c r="GN9833"/>
      <c r="GO9833"/>
    </row>
    <row r="9834" spans="107:197">
      <c r="DC9834"/>
      <c r="FH9834"/>
      <c r="FI9834"/>
      <c r="FJ9834"/>
      <c r="FK9834"/>
      <c r="FL9834"/>
      <c r="FM9834"/>
      <c r="FN9834"/>
      <c r="FO9834"/>
      <c r="FP9834"/>
      <c r="FQ9834"/>
      <c r="FR9834"/>
      <c r="FS9834"/>
      <c r="FT9834"/>
      <c r="FU9834"/>
      <c r="FV9834"/>
      <c r="FW9834"/>
      <c r="FX9834"/>
      <c r="FY9834"/>
      <c r="FZ9834"/>
      <c r="GA9834"/>
      <c r="GB9834"/>
      <c r="GC9834"/>
      <c r="GD9834"/>
      <c r="GE9834"/>
      <c r="GF9834"/>
      <c r="GG9834"/>
      <c r="GH9834"/>
      <c r="GI9834"/>
      <c r="GJ9834"/>
      <c r="GK9834"/>
      <c r="GL9834"/>
      <c r="GM9834"/>
      <c r="GN9834"/>
      <c r="GO9834"/>
    </row>
    <row r="9835" spans="107:197">
      <c r="DC9835"/>
      <c r="FH9835"/>
      <c r="FI9835"/>
      <c r="FJ9835"/>
      <c r="FK9835"/>
      <c r="FL9835"/>
      <c r="FM9835"/>
      <c r="FN9835"/>
      <c r="FO9835"/>
      <c r="FP9835"/>
      <c r="FQ9835"/>
      <c r="FR9835"/>
      <c r="FS9835"/>
      <c r="FT9835"/>
      <c r="FU9835"/>
      <c r="FV9835"/>
      <c r="FW9835"/>
      <c r="FX9835"/>
      <c r="FY9835"/>
      <c r="FZ9835"/>
      <c r="GA9835"/>
      <c r="GB9835"/>
      <c r="GC9835"/>
      <c r="GD9835"/>
      <c r="GE9835"/>
      <c r="GF9835"/>
      <c r="GG9835"/>
      <c r="GH9835"/>
      <c r="GI9835"/>
      <c r="GJ9835"/>
      <c r="GK9835"/>
      <c r="GL9835"/>
      <c r="GM9835"/>
      <c r="GN9835"/>
      <c r="GO9835"/>
    </row>
    <row r="9836" spans="107:197">
      <c r="DC9836"/>
      <c r="FH9836"/>
      <c r="FI9836"/>
      <c r="FJ9836"/>
      <c r="FK9836"/>
      <c r="FL9836"/>
      <c r="FM9836"/>
      <c r="FN9836"/>
      <c r="FO9836"/>
      <c r="FP9836"/>
      <c r="FQ9836"/>
      <c r="FR9836"/>
      <c r="FS9836"/>
      <c r="FT9836"/>
      <c r="FU9836"/>
      <c r="FV9836"/>
      <c r="FW9836"/>
      <c r="FX9836"/>
      <c r="FY9836"/>
      <c r="FZ9836"/>
      <c r="GA9836"/>
      <c r="GB9836"/>
      <c r="GC9836"/>
      <c r="GD9836"/>
      <c r="GE9836"/>
      <c r="GF9836"/>
      <c r="GG9836"/>
      <c r="GH9836"/>
      <c r="GI9836"/>
      <c r="GJ9836"/>
      <c r="GK9836"/>
      <c r="GL9836"/>
      <c r="GM9836"/>
      <c r="GN9836"/>
      <c r="GO9836"/>
    </row>
    <row r="9837" spans="107:197">
      <c r="DC9837"/>
      <c r="FH9837"/>
      <c r="FI9837"/>
      <c r="FJ9837"/>
      <c r="FK9837"/>
      <c r="FL9837"/>
      <c r="FM9837"/>
      <c r="FN9837"/>
      <c r="FO9837"/>
      <c r="FP9837"/>
      <c r="FQ9837"/>
      <c r="FR9837"/>
      <c r="FS9837"/>
      <c r="FT9837"/>
      <c r="FU9837"/>
      <c r="FV9837"/>
      <c r="FW9837"/>
      <c r="FX9837"/>
      <c r="FY9837"/>
      <c r="FZ9837"/>
      <c r="GA9837"/>
      <c r="GB9837"/>
      <c r="GC9837"/>
      <c r="GD9837"/>
      <c r="GE9837"/>
      <c r="GF9837"/>
      <c r="GG9837"/>
      <c r="GH9837"/>
      <c r="GI9837"/>
      <c r="GJ9837"/>
      <c r="GK9837"/>
      <c r="GL9837"/>
      <c r="GM9837"/>
      <c r="GN9837"/>
      <c r="GO9837"/>
    </row>
    <row r="9838" spans="107:197">
      <c r="DC9838"/>
      <c r="FH9838"/>
      <c r="FI9838"/>
      <c r="FJ9838"/>
      <c r="FK9838"/>
      <c r="FL9838"/>
      <c r="FM9838"/>
      <c r="FN9838"/>
      <c r="FO9838"/>
      <c r="FP9838"/>
      <c r="FQ9838"/>
      <c r="FR9838"/>
      <c r="FS9838"/>
      <c r="FT9838"/>
      <c r="FU9838"/>
      <c r="FV9838"/>
      <c r="FW9838"/>
      <c r="FX9838"/>
      <c r="FY9838"/>
      <c r="FZ9838"/>
      <c r="GA9838"/>
      <c r="GB9838"/>
      <c r="GC9838"/>
      <c r="GD9838"/>
      <c r="GE9838"/>
      <c r="GF9838"/>
      <c r="GG9838"/>
      <c r="GH9838"/>
      <c r="GI9838"/>
      <c r="GJ9838"/>
      <c r="GK9838"/>
      <c r="GL9838"/>
      <c r="GM9838"/>
      <c r="GN9838"/>
      <c r="GO9838"/>
    </row>
    <row r="9839" spans="107:197">
      <c r="DC9839"/>
      <c r="FH9839"/>
      <c r="FI9839"/>
      <c r="FJ9839"/>
      <c r="FK9839"/>
      <c r="FL9839"/>
      <c r="FM9839"/>
      <c r="FN9839"/>
      <c r="FO9839"/>
      <c r="FP9839"/>
      <c r="FQ9839"/>
      <c r="FR9839"/>
      <c r="FS9839"/>
      <c r="FT9839"/>
      <c r="FU9839"/>
      <c r="FV9839"/>
      <c r="FW9839"/>
      <c r="FX9839"/>
      <c r="FY9839"/>
      <c r="FZ9839"/>
      <c r="GA9839"/>
      <c r="GB9839"/>
      <c r="GC9839"/>
      <c r="GD9839"/>
      <c r="GE9839"/>
      <c r="GF9839"/>
      <c r="GG9839"/>
      <c r="GH9839"/>
      <c r="GI9839"/>
      <c r="GJ9839"/>
      <c r="GK9839"/>
      <c r="GL9839"/>
      <c r="GM9839"/>
      <c r="GN9839"/>
      <c r="GO9839"/>
    </row>
    <row r="9840" spans="107:197">
      <c r="DC9840"/>
      <c r="FH9840"/>
      <c r="FI9840"/>
      <c r="FJ9840"/>
      <c r="FK9840"/>
      <c r="FL9840"/>
      <c r="FM9840"/>
      <c r="FN9840"/>
      <c r="FO9840"/>
      <c r="FP9840"/>
      <c r="FQ9840"/>
      <c r="FR9840"/>
      <c r="FS9840"/>
      <c r="FT9840"/>
      <c r="FU9840"/>
      <c r="FV9840"/>
      <c r="FW9840"/>
      <c r="FX9840"/>
      <c r="FY9840"/>
      <c r="FZ9840"/>
      <c r="GA9840"/>
      <c r="GB9840"/>
      <c r="GC9840"/>
      <c r="GD9840"/>
      <c r="GE9840"/>
      <c r="GF9840"/>
      <c r="GG9840"/>
      <c r="GH9840"/>
      <c r="GI9840"/>
      <c r="GJ9840"/>
      <c r="GK9840"/>
      <c r="GL9840"/>
      <c r="GM9840"/>
      <c r="GN9840"/>
      <c r="GO9840"/>
    </row>
    <row r="9841" spans="107:197">
      <c r="DC9841"/>
      <c r="FH9841"/>
      <c r="FI9841"/>
      <c r="FJ9841"/>
      <c r="FK9841"/>
      <c r="FL9841"/>
      <c r="FM9841"/>
      <c r="FN9841"/>
      <c r="FO9841"/>
      <c r="FP9841"/>
      <c r="FQ9841"/>
      <c r="FR9841"/>
      <c r="FS9841"/>
      <c r="FT9841"/>
      <c r="FU9841"/>
      <c r="FV9841"/>
      <c r="FW9841"/>
      <c r="FX9841"/>
      <c r="FY9841"/>
      <c r="FZ9841"/>
      <c r="GA9841"/>
      <c r="GB9841"/>
      <c r="GC9841"/>
      <c r="GD9841"/>
      <c r="GE9841"/>
      <c r="GF9841"/>
      <c r="GG9841"/>
      <c r="GH9841"/>
      <c r="GI9841"/>
      <c r="GJ9841"/>
      <c r="GK9841"/>
      <c r="GL9841"/>
      <c r="GM9841"/>
      <c r="GN9841"/>
      <c r="GO9841"/>
    </row>
    <row r="9842" spans="107:197">
      <c r="DC9842"/>
      <c r="FH9842"/>
      <c r="FI9842"/>
      <c r="FJ9842"/>
      <c r="FK9842"/>
      <c r="FL9842"/>
      <c r="FM9842"/>
      <c r="FN9842"/>
      <c r="FO9842"/>
      <c r="FP9842"/>
      <c r="FQ9842"/>
      <c r="FR9842"/>
      <c r="FS9842"/>
      <c r="FT9842"/>
      <c r="FU9842"/>
      <c r="FV9842"/>
      <c r="FW9842"/>
      <c r="FX9842"/>
      <c r="FY9842"/>
      <c r="FZ9842"/>
      <c r="GA9842"/>
      <c r="GB9842"/>
      <c r="GC9842"/>
      <c r="GD9842"/>
      <c r="GE9842"/>
      <c r="GF9842"/>
      <c r="GG9842"/>
      <c r="GH9842"/>
      <c r="GI9842"/>
      <c r="GJ9842"/>
      <c r="GK9842"/>
      <c r="GL9842"/>
      <c r="GM9842"/>
      <c r="GN9842"/>
      <c r="GO9842"/>
    </row>
    <row r="9843" spans="107:197">
      <c r="DC9843"/>
      <c r="FH9843"/>
      <c r="FI9843"/>
      <c r="FJ9843"/>
      <c r="FK9843"/>
      <c r="FL9843"/>
      <c r="FM9843"/>
      <c r="FN9843"/>
      <c r="FO9843"/>
      <c r="FP9843"/>
      <c r="FQ9843"/>
      <c r="FR9843"/>
      <c r="FS9843"/>
      <c r="FT9843"/>
      <c r="FU9843"/>
      <c r="FV9843"/>
      <c r="FW9843"/>
      <c r="FX9843"/>
      <c r="FY9843"/>
      <c r="FZ9843"/>
      <c r="GA9843"/>
      <c r="GB9843"/>
      <c r="GC9843"/>
      <c r="GD9843"/>
      <c r="GE9843"/>
      <c r="GF9843"/>
      <c r="GG9843"/>
      <c r="GH9843"/>
      <c r="GI9843"/>
      <c r="GJ9843"/>
      <c r="GK9843"/>
      <c r="GL9843"/>
      <c r="GM9843"/>
      <c r="GN9843"/>
      <c r="GO9843"/>
    </row>
    <row r="9844" spans="107:197">
      <c r="DC9844"/>
      <c r="FH9844"/>
      <c r="FI9844"/>
      <c r="FJ9844"/>
      <c r="FK9844"/>
      <c r="FL9844"/>
      <c r="FM9844"/>
      <c r="FN9844"/>
      <c r="FO9844"/>
      <c r="FP9844"/>
      <c r="FQ9844"/>
      <c r="FR9844"/>
      <c r="FS9844"/>
      <c r="FT9844"/>
      <c r="FU9844"/>
      <c r="FV9844"/>
      <c r="FW9844"/>
      <c r="FX9844"/>
      <c r="FY9844"/>
      <c r="FZ9844"/>
      <c r="GA9844"/>
      <c r="GB9844"/>
      <c r="GC9844"/>
      <c r="GD9844"/>
      <c r="GE9844"/>
      <c r="GF9844"/>
      <c r="GG9844"/>
      <c r="GH9844"/>
      <c r="GI9844"/>
      <c r="GJ9844"/>
      <c r="GK9844"/>
      <c r="GL9844"/>
      <c r="GM9844"/>
      <c r="GN9844"/>
      <c r="GO9844"/>
    </row>
    <row r="9845" spans="107:197">
      <c r="DC9845"/>
      <c r="FH9845"/>
      <c r="FI9845"/>
      <c r="FJ9845"/>
      <c r="FK9845"/>
      <c r="FL9845"/>
      <c r="FM9845"/>
      <c r="FN9845"/>
      <c r="FO9845"/>
      <c r="FP9845"/>
      <c r="FQ9845"/>
      <c r="FR9845"/>
      <c r="FS9845"/>
      <c r="FT9845"/>
      <c r="FU9845"/>
      <c r="FV9845"/>
      <c r="FW9845"/>
      <c r="FX9845"/>
      <c r="FY9845"/>
      <c r="FZ9845"/>
      <c r="GA9845"/>
      <c r="GB9845"/>
      <c r="GC9845"/>
      <c r="GD9845"/>
      <c r="GE9845"/>
      <c r="GF9845"/>
      <c r="GG9845"/>
      <c r="GH9845"/>
      <c r="GI9845"/>
      <c r="GJ9845"/>
      <c r="GK9845"/>
      <c r="GL9845"/>
      <c r="GM9845"/>
      <c r="GN9845"/>
      <c r="GO9845"/>
    </row>
    <row r="9846" spans="107:197">
      <c r="DC9846"/>
      <c r="FH9846"/>
      <c r="FI9846"/>
      <c r="FJ9846"/>
      <c r="FK9846"/>
      <c r="FL9846"/>
      <c r="FM9846"/>
      <c r="FN9846"/>
      <c r="FO9846"/>
      <c r="FP9846"/>
      <c r="FQ9846"/>
      <c r="FR9846"/>
      <c r="FS9846"/>
      <c r="FT9846"/>
      <c r="FU9846"/>
      <c r="FV9846"/>
      <c r="FW9846"/>
      <c r="FX9846"/>
      <c r="FY9846"/>
      <c r="FZ9846"/>
      <c r="GA9846"/>
      <c r="GB9846"/>
      <c r="GC9846"/>
      <c r="GD9846"/>
      <c r="GE9846"/>
      <c r="GF9846"/>
      <c r="GG9846"/>
      <c r="GH9846"/>
      <c r="GI9846"/>
      <c r="GJ9846"/>
      <c r="GK9846"/>
      <c r="GL9846"/>
      <c r="GM9846"/>
      <c r="GN9846"/>
      <c r="GO9846"/>
    </row>
    <row r="9847" spans="107:197">
      <c r="DC9847"/>
      <c r="FH9847"/>
      <c r="FI9847"/>
      <c r="FJ9847"/>
      <c r="FK9847"/>
      <c r="FL9847"/>
      <c r="FM9847"/>
      <c r="FN9847"/>
      <c r="FO9847"/>
      <c r="FP9847"/>
      <c r="FQ9847"/>
      <c r="FR9847"/>
      <c r="FS9847"/>
      <c r="FT9847"/>
      <c r="FU9847"/>
      <c r="FV9847"/>
      <c r="FW9847"/>
      <c r="FX9847"/>
      <c r="FY9847"/>
      <c r="FZ9847"/>
      <c r="GA9847"/>
      <c r="GB9847"/>
      <c r="GC9847"/>
      <c r="GD9847"/>
      <c r="GE9847"/>
      <c r="GF9847"/>
      <c r="GG9847"/>
      <c r="GH9847"/>
      <c r="GI9847"/>
      <c r="GJ9847"/>
      <c r="GK9847"/>
      <c r="GL9847"/>
      <c r="GM9847"/>
      <c r="GN9847"/>
      <c r="GO9847"/>
    </row>
    <row r="9848" spans="107:197">
      <c r="DC9848"/>
      <c r="FH9848"/>
      <c r="FI9848"/>
      <c r="FJ9848"/>
      <c r="FK9848"/>
      <c r="FL9848"/>
      <c r="FM9848"/>
      <c r="FN9848"/>
      <c r="FO9848"/>
      <c r="FP9848"/>
      <c r="FQ9848"/>
      <c r="FR9848"/>
      <c r="FS9848"/>
      <c r="FT9848"/>
      <c r="FU9848"/>
      <c r="FV9848"/>
      <c r="FW9848"/>
      <c r="FX9848"/>
      <c r="FY9848"/>
      <c r="FZ9848"/>
      <c r="GA9848"/>
      <c r="GB9848"/>
      <c r="GC9848"/>
      <c r="GD9848"/>
      <c r="GE9848"/>
      <c r="GF9848"/>
      <c r="GG9848"/>
      <c r="GH9848"/>
      <c r="GI9848"/>
      <c r="GJ9848"/>
      <c r="GK9848"/>
      <c r="GL9848"/>
      <c r="GM9848"/>
      <c r="GN9848"/>
      <c r="GO9848"/>
    </row>
    <row r="9849" spans="107:197">
      <c r="DC9849"/>
      <c r="FH9849"/>
      <c r="FI9849"/>
      <c r="FJ9849"/>
      <c r="FK9849"/>
      <c r="FL9849"/>
      <c r="FM9849"/>
      <c r="FN9849"/>
      <c r="FO9849"/>
      <c r="FP9849"/>
      <c r="FQ9849"/>
      <c r="FR9849"/>
      <c r="FS9849"/>
      <c r="FT9849"/>
      <c r="FU9849"/>
      <c r="FV9849"/>
      <c r="FW9849"/>
      <c r="FX9849"/>
      <c r="FY9849"/>
      <c r="FZ9849"/>
      <c r="GA9849"/>
      <c r="GB9849"/>
      <c r="GC9849"/>
      <c r="GD9849"/>
      <c r="GE9849"/>
      <c r="GF9849"/>
      <c r="GG9849"/>
      <c r="GH9849"/>
      <c r="GI9849"/>
      <c r="GJ9849"/>
      <c r="GK9849"/>
      <c r="GL9849"/>
      <c r="GM9849"/>
      <c r="GN9849"/>
      <c r="GO9849"/>
    </row>
    <row r="9850" spans="107:197">
      <c r="DC9850"/>
      <c r="FH9850"/>
      <c r="FI9850"/>
      <c r="FJ9850"/>
      <c r="FK9850"/>
      <c r="FL9850"/>
      <c r="FM9850"/>
      <c r="FN9850"/>
      <c r="FO9850"/>
      <c r="FP9850"/>
      <c r="FQ9850"/>
      <c r="FR9850"/>
      <c r="FS9850"/>
      <c r="FT9850"/>
      <c r="FU9850"/>
      <c r="FV9850"/>
      <c r="FW9850"/>
      <c r="FX9850"/>
      <c r="FY9850"/>
      <c r="FZ9850"/>
      <c r="GA9850"/>
      <c r="GB9850"/>
      <c r="GC9850"/>
      <c r="GD9850"/>
      <c r="GE9850"/>
      <c r="GF9850"/>
      <c r="GG9850"/>
      <c r="GH9850"/>
      <c r="GI9850"/>
      <c r="GJ9850"/>
      <c r="GK9850"/>
      <c r="GL9850"/>
      <c r="GM9850"/>
      <c r="GN9850"/>
      <c r="GO9850"/>
    </row>
    <row r="9851" spans="107:197">
      <c r="DC9851"/>
      <c r="FH9851"/>
      <c r="FI9851"/>
      <c r="FJ9851"/>
      <c r="FK9851"/>
      <c r="FL9851"/>
      <c r="FM9851"/>
      <c r="FN9851"/>
      <c r="FO9851"/>
      <c r="FP9851"/>
      <c r="FQ9851"/>
      <c r="FR9851"/>
      <c r="FS9851"/>
      <c r="FT9851"/>
      <c r="FU9851"/>
      <c r="FV9851"/>
      <c r="FW9851"/>
      <c r="FX9851"/>
      <c r="FY9851"/>
      <c r="FZ9851"/>
      <c r="GA9851"/>
      <c r="GB9851"/>
      <c r="GC9851"/>
      <c r="GD9851"/>
      <c r="GE9851"/>
      <c r="GF9851"/>
      <c r="GG9851"/>
      <c r="GH9851"/>
      <c r="GI9851"/>
      <c r="GJ9851"/>
      <c r="GK9851"/>
      <c r="GL9851"/>
      <c r="GM9851"/>
      <c r="GN9851"/>
      <c r="GO9851"/>
    </row>
    <row r="9852" spans="107:197">
      <c r="DC9852"/>
      <c r="FH9852"/>
      <c r="FI9852"/>
      <c r="FJ9852"/>
      <c r="FK9852"/>
      <c r="FL9852"/>
      <c r="FM9852"/>
      <c r="FN9852"/>
      <c r="FO9852"/>
      <c r="FP9852"/>
      <c r="FQ9852"/>
      <c r="FR9852"/>
      <c r="FS9852"/>
      <c r="FT9852"/>
      <c r="FU9852"/>
      <c r="FV9852"/>
      <c r="FW9852"/>
      <c r="FX9852"/>
      <c r="FY9852"/>
      <c r="FZ9852"/>
      <c r="GA9852"/>
      <c r="GB9852"/>
      <c r="GC9852"/>
      <c r="GD9852"/>
      <c r="GE9852"/>
      <c r="GF9852"/>
      <c r="GG9852"/>
      <c r="GH9852"/>
      <c r="GI9852"/>
      <c r="GJ9852"/>
      <c r="GK9852"/>
      <c r="GL9852"/>
      <c r="GM9852"/>
      <c r="GN9852"/>
      <c r="GO9852"/>
    </row>
    <row r="9853" spans="107:197">
      <c r="DC9853"/>
      <c r="FH9853"/>
      <c r="FI9853"/>
      <c r="FJ9853"/>
      <c r="FK9853"/>
      <c r="FL9853"/>
      <c r="FM9853"/>
      <c r="FN9853"/>
      <c r="FO9853"/>
      <c r="FP9853"/>
      <c r="FQ9853"/>
      <c r="FR9853"/>
      <c r="FS9853"/>
      <c r="FT9853"/>
      <c r="FU9853"/>
      <c r="FV9853"/>
      <c r="FW9853"/>
      <c r="FX9853"/>
      <c r="FY9853"/>
      <c r="FZ9853"/>
      <c r="GA9853"/>
      <c r="GB9853"/>
      <c r="GC9853"/>
      <c r="GD9853"/>
      <c r="GE9853"/>
      <c r="GF9853"/>
      <c r="GG9853"/>
      <c r="GH9853"/>
      <c r="GI9853"/>
      <c r="GJ9853"/>
      <c r="GK9853"/>
      <c r="GL9853"/>
      <c r="GM9853"/>
      <c r="GN9853"/>
      <c r="GO9853"/>
    </row>
    <row r="9854" spans="107:197">
      <c r="DC9854"/>
      <c r="FH9854"/>
      <c r="FI9854"/>
      <c r="FJ9854"/>
      <c r="FK9854"/>
      <c r="FL9854"/>
      <c r="FM9854"/>
      <c r="FN9854"/>
      <c r="FO9854"/>
      <c r="FP9854"/>
      <c r="FQ9854"/>
      <c r="FR9854"/>
      <c r="FS9854"/>
      <c r="FT9854"/>
      <c r="FU9854"/>
      <c r="FV9854"/>
      <c r="FW9854"/>
      <c r="FX9854"/>
      <c r="FY9854"/>
      <c r="FZ9854"/>
      <c r="GA9854"/>
      <c r="GB9854"/>
      <c r="GC9854"/>
      <c r="GD9854"/>
      <c r="GE9854"/>
      <c r="GF9854"/>
      <c r="GG9854"/>
      <c r="GH9854"/>
      <c r="GI9854"/>
      <c r="GJ9854"/>
      <c r="GK9854"/>
      <c r="GL9854"/>
      <c r="GM9854"/>
      <c r="GN9854"/>
      <c r="GO9854"/>
    </row>
    <row r="9855" spans="107:197">
      <c r="DC9855"/>
      <c r="FH9855"/>
      <c r="FI9855"/>
      <c r="FJ9855"/>
      <c r="FK9855"/>
      <c r="FL9855"/>
      <c r="FM9855"/>
      <c r="FN9855"/>
      <c r="FO9855"/>
      <c r="FP9855"/>
      <c r="FQ9855"/>
      <c r="FR9855"/>
      <c r="FS9855"/>
      <c r="FT9855"/>
      <c r="FU9855"/>
      <c r="FV9855"/>
      <c r="FW9855"/>
      <c r="FX9855"/>
      <c r="FY9855"/>
      <c r="FZ9855"/>
      <c r="GA9855"/>
      <c r="GB9855"/>
      <c r="GC9855"/>
      <c r="GD9855"/>
      <c r="GE9855"/>
      <c r="GF9855"/>
      <c r="GG9855"/>
      <c r="GH9855"/>
      <c r="GI9855"/>
      <c r="GJ9855"/>
      <c r="GK9855"/>
      <c r="GL9855"/>
      <c r="GM9855"/>
      <c r="GN9855"/>
      <c r="GO9855"/>
    </row>
    <row r="9856" spans="107:197">
      <c r="DC9856"/>
      <c r="FH9856"/>
      <c r="FI9856"/>
      <c r="FJ9856"/>
      <c r="FK9856"/>
      <c r="FL9856"/>
      <c r="FM9856"/>
      <c r="FN9856"/>
      <c r="FO9856"/>
      <c r="FP9856"/>
      <c r="FQ9856"/>
      <c r="FR9856"/>
      <c r="FS9856"/>
      <c r="FT9856"/>
      <c r="FU9856"/>
      <c r="FV9856"/>
      <c r="FW9856"/>
      <c r="FX9856"/>
      <c r="FY9856"/>
      <c r="FZ9856"/>
      <c r="GA9856"/>
      <c r="GB9856"/>
      <c r="GC9856"/>
      <c r="GD9856"/>
      <c r="GE9856"/>
      <c r="GF9856"/>
      <c r="GG9856"/>
      <c r="GH9856"/>
      <c r="GI9856"/>
      <c r="GJ9856"/>
      <c r="GK9856"/>
      <c r="GL9856"/>
      <c r="GM9856"/>
      <c r="GN9856"/>
      <c r="GO9856"/>
    </row>
    <row r="9857" spans="107:197">
      <c r="DC9857"/>
      <c r="FH9857"/>
      <c r="FI9857"/>
      <c r="FJ9857"/>
      <c r="FK9857"/>
      <c r="FL9857"/>
      <c r="FM9857"/>
      <c r="FN9857"/>
      <c r="FO9857"/>
      <c r="FP9857"/>
      <c r="FQ9857"/>
      <c r="FR9857"/>
      <c r="FS9857"/>
      <c r="FT9857"/>
      <c r="FU9857"/>
      <c r="FV9857"/>
      <c r="FW9857"/>
      <c r="FX9857"/>
      <c r="FY9857"/>
      <c r="FZ9857"/>
      <c r="GA9857"/>
      <c r="GB9857"/>
      <c r="GC9857"/>
      <c r="GD9857"/>
      <c r="GE9857"/>
      <c r="GF9857"/>
      <c r="GG9857"/>
      <c r="GH9857"/>
      <c r="GI9857"/>
      <c r="GJ9857"/>
      <c r="GK9857"/>
      <c r="GL9857"/>
      <c r="GM9857"/>
      <c r="GN9857"/>
      <c r="GO9857"/>
    </row>
    <row r="9858" spans="107:197">
      <c r="DC9858"/>
      <c r="FH9858"/>
      <c r="FI9858"/>
      <c r="FJ9858"/>
      <c r="FK9858"/>
      <c r="FL9858"/>
      <c r="FM9858"/>
      <c r="FN9858"/>
      <c r="FO9858"/>
      <c r="FP9858"/>
      <c r="FQ9858"/>
      <c r="FR9858"/>
      <c r="FS9858"/>
      <c r="FT9858"/>
      <c r="FU9858"/>
      <c r="FV9858"/>
      <c r="FW9858"/>
      <c r="FX9858"/>
      <c r="FY9858"/>
      <c r="FZ9858"/>
      <c r="GA9858"/>
      <c r="GB9858"/>
      <c r="GC9858"/>
      <c r="GD9858"/>
      <c r="GE9858"/>
      <c r="GF9858"/>
      <c r="GG9858"/>
      <c r="GH9858"/>
      <c r="GI9858"/>
      <c r="GJ9858"/>
      <c r="GK9858"/>
      <c r="GL9858"/>
      <c r="GM9858"/>
      <c r="GN9858"/>
      <c r="GO9858"/>
    </row>
    <row r="9859" spans="107:197">
      <c r="DC9859"/>
      <c r="FH9859"/>
      <c r="FI9859"/>
      <c r="FJ9859"/>
      <c r="FK9859"/>
      <c r="FL9859"/>
      <c r="FM9859"/>
      <c r="FN9859"/>
      <c r="FO9859"/>
      <c r="FP9859"/>
      <c r="FQ9859"/>
      <c r="FR9859"/>
      <c r="FS9859"/>
      <c r="FT9859"/>
      <c r="FU9859"/>
      <c r="FV9859"/>
      <c r="FW9859"/>
      <c r="FX9859"/>
      <c r="FY9859"/>
      <c r="FZ9859"/>
      <c r="GA9859"/>
      <c r="GB9859"/>
      <c r="GC9859"/>
      <c r="GD9859"/>
      <c r="GE9859"/>
      <c r="GF9859"/>
      <c r="GG9859"/>
      <c r="GH9859"/>
      <c r="GI9859"/>
      <c r="GJ9859"/>
      <c r="GK9859"/>
      <c r="GL9859"/>
      <c r="GM9859"/>
      <c r="GN9859"/>
      <c r="GO9859"/>
    </row>
    <row r="9860" spans="107:197">
      <c r="DC9860"/>
      <c r="FH9860"/>
      <c r="FI9860"/>
      <c r="FJ9860"/>
      <c r="FK9860"/>
      <c r="FL9860"/>
      <c r="FM9860"/>
      <c r="FN9860"/>
      <c r="FO9860"/>
      <c r="FP9860"/>
      <c r="FQ9860"/>
      <c r="FR9860"/>
      <c r="FS9860"/>
      <c r="FT9860"/>
      <c r="FU9860"/>
      <c r="FV9860"/>
      <c r="FW9860"/>
      <c r="FX9860"/>
      <c r="FY9860"/>
      <c r="FZ9860"/>
      <c r="GA9860"/>
      <c r="GB9860"/>
      <c r="GC9860"/>
      <c r="GD9860"/>
      <c r="GE9860"/>
      <c r="GF9860"/>
      <c r="GG9860"/>
      <c r="GH9860"/>
      <c r="GI9860"/>
      <c r="GJ9860"/>
      <c r="GK9860"/>
      <c r="GL9860"/>
      <c r="GM9860"/>
      <c r="GN9860"/>
      <c r="GO9860"/>
    </row>
    <row r="9861" spans="107:197">
      <c r="DC9861"/>
      <c r="FH9861"/>
      <c r="FI9861"/>
      <c r="FJ9861"/>
      <c r="FK9861"/>
      <c r="FL9861"/>
      <c r="FM9861"/>
      <c r="FN9861"/>
      <c r="FO9861"/>
      <c r="FP9861"/>
      <c r="FQ9861"/>
      <c r="FR9861"/>
      <c r="FS9861"/>
      <c r="FT9861"/>
      <c r="FU9861"/>
      <c r="FV9861"/>
      <c r="FW9861"/>
      <c r="FX9861"/>
      <c r="FY9861"/>
      <c r="FZ9861"/>
      <c r="GA9861"/>
      <c r="GB9861"/>
      <c r="GC9861"/>
      <c r="GD9861"/>
      <c r="GE9861"/>
      <c r="GF9861"/>
      <c r="GG9861"/>
      <c r="GH9861"/>
      <c r="GI9861"/>
      <c r="GJ9861"/>
      <c r="GK9861"/>
      <c r="GL9861"/>
      <c r="GM9861"/>
      <c r="GN9861"/>
      <c r="GO9861"/>
    </row>
    <row r="9862" spans="107:197">
      <c r="DC9862"/>
      <c r="FH9862"/>
      <c r="FI9862"/>
      <c r="FJ9862"/>
      <c r="FK9862"/>
      <c r="FL9862"/>
      <c r="FM9862"/>
      <c r="FN9862"/>
      <c r="FO9862"/>
      <c r="FP9862"/>
      <c r="FQ9862"/>
      <c r="FR9862"/>
      <c r="FS9862"/>
      <c r="FT9862"/>
      <c r="FU9862"/>
      <c r="FV9862"/>
      <c r="FW9862"/>
      <c r="FX9862"/>
      <c r="FY9862"/>
      <c r="FZ9862"/>
      <c r="GA9862"/>
      <c r="GB9862"/>
      <c r="GC9862"/>
      <c r="GD9862"/>
      <c r="GE9862"/>
      <c r="GF9862"/>
      <c r="GG9862"/>
      <c r="GH9862"/>
      <c r="GI9862"/>
      <c r="GJ9862"/>
      <c r="GK9862"/>
      <c r="GL9862"/>
      <c r="GM9862"/>
      <c r="GN9862"/>
      <c r="GO9862"/>
    </row>
    <row r="9863" spans="107:197">
      <c r="DC9863"/>
      <c r="FH9863"/>
      <c r="FI9863"/>
      <c r="FJ9863"/>
      <c r="FK9863"/>
      <c r="FL9863"/>
      <c r="FM9863"/>
      <c r="FN9863"/>
      <c r="FO9863"/>
      <c r="FP9863"/>
      <c r="FQ9863"/>
      <c r="FR9863"/>
      <c r="FS9863"/>
      <c r="FT9863"/>
      <c r="FU9863"/>
      <c r="FV9863"/>
      <c r="FW9863"/>
      <c r="FX9863"/>
      <c r="FY9863"/>
      <c r="FZ9863"/>
      <c r="GA9863"/>
      <c r="GB9863"/>
      <c r="GC9863"/>
      <c r="GD9863"/>
      <c r="GE9863"/>
      <c r="GF9863"/>
      <c r="GG9863"/>
      <c r="GH9863"/>
      <c r="GI9863"/>
      <c r="GJ9863"/>
      <c r="GK9863"/>
      <c r="GL9863"/>
      <c r="GM9863"/>
      <c r="GN9863"/>
      <c r="GO9863"/>
    </row>
    <row r="9864" spans="107:197">
      <c r="DC9864"/>
      <c r="FH9864"/>
      <c r="FI9864"/>
      <c r="FJ9864"/>
      <c r="FK9864"/>
      <c r="FL9864"/>
      <c r="FM9864"/>
      <c r="FN9864"/>
      <c r="FO9864"/>
      <c r="FP9864"/>
      <c r="FQ9864"/>
      <c r="FR9864"/>
      <c r="FS9864"/>
      <c r="FT9864"/>
      <c r="FU9864"/>
      <c r="FV9864"/>
      <c r="FW9864"/>
      <c r="FX9864"/>
      <c r="FY9864"/>
      <c r="FZ9864"/>
      <c r="GA9864"/>
      <c r="GB9864"/>
      <c r="GC9864"/>
      <c r="GD9864"/>
      <c r="GE9864"/>
      <c r="GF9864"/>
      <c r="GG9864"/>
      <c r="GH9864"/>
      <c r="GI9864"/>
      <c r="GJ9864"/>
      <c r="GK9864"/>
      <c r="GL9864"/>
      <c r="GM9864"/>
      <c r="GN9864"/>
      <c r="GO9864"/>
    </row>
    <row r="9865" spans="107:197">
      <c r="DC9865"/>
      <c r="FH9865"/>
      <c r="FI9865"/>
      <c r="FJ9865"/>
      <c r="FK9865"/>
      <c r="FL9865"/>
      <c r="FM9865"/>
      <c r="FN9865"/>
      <c r="FO9865"/>
      <c r="FP9865"/>
      <c r="FQ9865"/>
      <c r="FR9865"/>
      <c r="FS9865"/>
      <c r="FT9865"/>
      <c r="FU9865"/>
      <c r="FV9865"/>
      <c r="FW9865"/>
      <c r="FX9865"/>
      <c r="FY9865"/>
      <c r="FZ9865"/>
      <c r="GA9865"/>
      <c r="GB9865"/>
      <c r="GC9865"/>
      <c r="GD9865"/>
      <c r="GE9865"/>
      <c r="GF9865"/>
      <c r="GG9865"/>
      <c r="GH9865"/>
      <c r="GI9865"/>
      <c r="GJ9865"/>
      <c r="GK9865"/>
      <c r="GL9865"/>
      <c r="GM9865"/>
      <c r="GN9865"/>
      <c r="GO9865"/>
    </row>
    <row r="9866" spans="107:197">
      <c r="DC9866"/>
      <c r="FH9866"/>
      <c r="FI9866"/>
      <c r="FJ9866"/>
      <c r="FK9866"/>
      <c r="FL9866"/>
      <c r="FM9866"/>
      <c r="FN9866"/>
      <c r="FO9866"/>
      <c r="FP9866"/>
      <c r="FQ9866"/>
      <c r="FR9866"/>
      <c r="FS9866"/>
      <c r="FT9866"/>
      <c r="FU9866"/>
      <c r="FV9866"/>
      <c r="FW9866"/>
      <c r="FX9866"/>
      <c r="FY9866"/>
      <c r="FZ9866"/>
      <c r="GA9866"/>
      <c r="GB9866"/>
      <c r="GC9866"/>
      <c r="GD9866"/>
      <c r="GE9866"/>
      <c r="GF9866"/>
      <c r="GG9866"/>
      <c r="GH9866"/>
      <c r="GI9866"/>
      <c r="GJ9866"/>
      <c r="GK9866"/>
      <c r="GL9866"/>
      <c r="GM9866"/>
      <c r="GN9866"/>
      <c r="GO9866"/>
    </row>
    <row r="9867" spans="107:197">
      <c r="DC9867"/>
      <c r="FH9867"/>
      <c r="FI9867"/>
      <c r="FJ9867"/>
      <c r="FK9867"/>
      <c r="FL9867"/>
      <c r="FM9867"/>
      <c r="FN9867"/>
      <c r="FO9867"/>
      <c r="FP9867"/>
      <c r="FQ9867"/>
      <c r="FR9867"/>
      <c r="FS9867"/>
      <c r="FT9867"/>
      <c r="FU9867"/>
      <c r="FV9867"/>
      <c r="FW9867"/>
      <c r="FX9867"/>
      <c r="FY9867"/>
      <c r="FZ9867"/>
      <c r="GA9867"/>
      <c r="GB9867"/>
      <c r="GC9867"/>
      <c r="GD9867"/>
      <c r="GE9867"/>
      <c r="GF9867"/>
      <c r="GG9867"/>
      <c r="GH9867"/>
      <c r="GI9867"/>
      <c r="GJ9867"/>
      <c r="GK9867"/>
      <c r="GL9867"/>
      <c r="GM9867"/>
      <c r="GN9867"/>
      <c r="GO9867"/>
    </row>
    <row r="9868" spans="107:197">
      <c r="DC9868"/>
      <c r="FH9868"/>
      <c r="FI9868"/>
      <c r="FJ9868"/>
      <c r="FK9868"/>
      <c r="FL9868"/>
      <c r="FM9868"/>
      <c r="FN9868"/>
      <c r="FO9868"/>
      <c r="FP9868"/>
      <c r="FQ9868"/>
      <c r="FR9868"/>
      <c r="FS9868"/>
      <c r="FT9868"/>
      <c r="FU9868"/>
      <c r="FV9868"/>
      <c r="FW9868"/>
      <c r="FX9868"/>
      <c r="FY9868"/>
      <c r="FZ9868"/>
      <c r="GA9868"/>
      <c r="GB9868"/>
      <c r="GC9868"/>
      <c r="GD9868"/>
      <c r="GE9868"/>
      <c r="GF9868"/>
      <c r="GG9868"/>
      <c r="GH9868"/>
      <c r="GI9868"/>
      <c r="GJ9868"/>
      <c r="GK9868"/>
      <c r="GL9868"/>
      <c r="GM9868"/>
      <c r="GN9868"/>
      <c r="GO9868"/>
    </row>
    <row r="9869" spans="107:197">
      <c r="DC9869"/>
      <c r="FH9869"/>
      <c r="FI9869"/>
      <c r="FJ9869"/>
      <c r="FK9869"/>
      <c r="FL9869"/>
      <c r="FM9869"/>
      <c r="FN9869"/>
      <c r="FO9869"/>
      <c r="FP9869"/>
      <c r="FQ9869"/>
      <c r="FR9869"/>
      <c r="FS9869"/>
      <c r="FT9869"/>
      <c r="FU9869"/>
      <c r="FV9869"/>
      <c r="FW9869"/>
      <c r="FX9869"/>
      <c r="FY9869"/>
      <c r="FZ9869"/>
      <c r="GA9869"/>
      <c r="GB9869"/>
      <c r="GC9869"/>
      <c r="GD9869"/>
      <c r="GE9869"/>
      <c r="GF9869"/>
      <c r="GG9869"/>
      <c r="GH9869"/>
      <c r="GI9869"/>
      <c r="GJ9869"/>
      <c r="GK9869"/>
      <c r="GL9869"/>
      <c r="GM9869"/>
      <c r="GN9869"/>
      <c r="GO9869"/>
    </row>
    <row r="9870" spans="107:197">
      <c r="DC9870"/>
      <c r="FH9870"/>
      <c r="FI9870"/>
      <c r="FJ9870"/>
      <c r="FK9870"/>
      <c r="FL9870"/>
      <c r="FM9870"/>
      <c r="FN9870"/>
      <c r="FO9870"/>
      <c r="FP9870"/>
      <c r="FQ9870"/>
      <c r="FR9870"/>
      <c r="FS9870"/>
      <c r="FT9870"/>
      <c r="FU9870"/>
      <c r="FV9870"/>
      <c r="FW9870"/>
      <c r="FX9870"/>
      <c r="FY9870"/>
      <c r="FZ9870"/>
      <c r="GA9870"/>
      <c r="GB9870"/>
      <c r="GC9870"/>
      <c r="GD9870"/>
      <c r="GE9870"/>
      <c r="GF9870"/>
      <c r="GG9870"/>
      <c r="GH9870"/>
      <c r="GI9870"/>
      <c r="GJ9870"/>
      <c r="GK9870"/>
      <c r="GL9870"/>
      <c r="GM9870"/>
      <c r="GN9870"/>
      <c r="GO9870"/>
    </row>
    <row r="9871" spans="107:197">
      <c r="DC9871"/>
      <c r="FH9871"/>
      <c r="FI9871"/>
      <c r="FJ9871"/>
      <c r="FK9871"/>
      <c r="FL9871"/>
      <c r="FM9871"/>
      <c r="FN9871"/>
      <c r="FO9871"/>
      <c r="FP9871"/>
      <c r="FQ9871"/>
      <c r="FR9871"/>
      <c r="FS9871"/>
      <c r="FT9871"/>
      <c r="FU9871"/>
      <c r="FV9871"/>
      <c r="FW9871"/>
      <c r="FX9871"/>
      <c r="FY9871"/>
      <c r="FZ9871"/>
      <c r="GA9871"/>
      <c r="GB9871"/>
      <c r="GC9871"/>
      <c r="GD9871"/>
      <c r="GE9871"/>
      <c r="GF9871"/>
      <c r="GG9871"/>
      <c r="GH9871"/>
      <c r="GI9871"/>
      <c r="GJ9871"/>
      <c r="GK9871"/>
      <c r="GL9871"/>
      <c r="GM9871"/>
      <c r="GN9871"/>
      <c r="GO9871"/>
    </row>
    <row r="9872" spans="107:197">
      <c r="DC9872"/>
      <c r="FH9872"/>
      <c r="FI9872"/>
      <c r="FJ9872"/>
      <c r="FK9872"/>
      <c r="FL9872"/>
      <c r="FM9872"/>
      <c r="FN9872"/>
      <c r="FO9872"/>
      <c r="FP9872"/>
      <c r="FQ9872"/>
      <c r="FR9872"/>
      <c r="FS9872"/>
      <c r="FT9872"/>
      <c r="FU9872"/>
      <c r="FV9872"/>
      <c r="FW9872"/>
      <c r="FX9872"/>
      <c r="FY9872"/>
      <c r="FZ9872"/>
      <c r="GA9872"/>
      <c r="GB9872"/>
      <c r="GC9872"/>
      <c r="GD9872"/>
      <c r="GE9872"/>
      <c r="GF9872"/>
      <c r="GG9872"/>
      <c r="GH9872"/>
      <c r="GI9872"/>
      <c r="GJ9872"/>
      <c r="GK9872"/>
      <c r="GL9872"/>
      <c r="GM9872"/>
      <c r="GN9872"/>
      <c r="GO9872"/>
    </row>
    <row r="9873" spans="107:197">
      <c r="DC9873"/>
      <c r="FH9873"/>
      <c r="FI9873"/>
      <c r="FJ9873"/>
      <c r="FK9873"/>
      <c r="FL9873"/>
      <c r="FM9873"/>
      <c r="FN9873"/>
      <c r="FO9873"/>
      <c r="FP9873"/>
      <c r="FQ9873"/>
      <c r="FR9873"/>
      <c r="FS9873"/>
      <c r="FT9873"/>
      <c r="FU9873"/>
      <c r="FV9873"/>
      <c r="FW9873"/>
      <c r="FX9873"/>
      <c r="FY9873"/>
      <c r="FZ9873"/>
      <c r="GA9873"/>
      <c r="GB9873"/>
      <c r="GC9873"/>
      <c r="GD9873"/>
      <c r="GE9873"/>
      <c r="GF9873"/>
      <c r="GG9873"/>
      <c r="GH9873"/>
      <c r="GI9873"/>
      <c r="GJ9873"/>
      <c r="GK9873"/>
      <c r="GL9873"/>
      <c r="GM9873"/>
      <c r="GN9873"/>
      <c r="GO9873"/>
    </row>
    <row r="9874" spans="107:197">
      <c r="DC9874"/>
      <c r="FH9874"/>
      <c r="FI9874"/>
      <c r="FJ9874"/>
      <c r="FK9874"/>
      <c r="FL9874"/>
      <c r="FM9874"/>
      <c r="FN9874"/>
      <c r="FO9874"/>
      <c r="FP9874"/>
      <c r="FQ9874"/>
      <c r="FR9874"/>
      <c r="FS9874"/>
      <c r="FT9874"/>
      <c r="FU9874"/>
      <c r="FV9874"/>
      <c r="FW9874"/>
      <c r="FX9874"/>
      <c r="FY9874"/>
      <c r="FZ9874"/>
      <c r="GA9874"/>
      <c r="GB9874"/>
      <c r="GC9874"/>
      <c r="GD9874"/>
      <c r="GE9874"/>
      <c r="GF9874"/>
      <c r="GG9874"/>
      <c r="GH9874"/>
      <c r="GI9874"/>
      <c r="GJ9874"/>
      <c r="GK9874"/>
      <c r="GL9874"/>
      <c r="GM9874"/>
      <c r="GN9874"/>
      <c r="GO9874"/>
    </row>
    <row r="9875" spans="107:197">
      <c r="DC9875"/>
      <c r="FH9875"/>
      <c r="FI9875"/>
      <c r="FJ9875"/>
      <c r="FK9875"/>
      <c r="FL9875"/>
      <c r="FM9875"/>
      <c r="FN9875"/>
      <c r="FO9875"/>
      <c r="FP9875"/>
      <c r="FQ9875"/>
      <c r="FR9875"/>
      <c r="FS9875"/>
      <c r="FT9875"/>
      <c r="FU9875"/>
      <c r="FV9875"/>
      <c r="FW9875"/>
      <c r="FX9875"/>
      <c r="FY9875"/>
      <c r="FZ9875"/>
      <c r="GA9875"/>
      <c r="GB9875"/>
      <c r="GC9875"/>
      <c r="GD9875"/>
      <c r="GE9875"/>
      <c r="GF9875"/>
      <c r="GG9875"/>
      <c r="GH9875"/>
      <c r="GI9875"/>
      <c r="GJ9875"/>
      <c r="GK9875"/>
      <c r="GL9875"/>
      <c r="GM9875"/>
      <c r="GN9875"/>
      <c r="GO9875"/>
    </row>
    <row r="9876" spans="107:197">
      <c r="DC9876"/>
      <c r="FH9876"/>
      <c r="FI9876"/>
      <c r="FJ9876"/>
      <c r="FK9876"/>
      <c r="FL9876"/>
      <c r="FM9876"/>
      <c r="FN9876"/>
      <c r="FO9876"/>
      <c r="FP9876"/>
      <c r="FQ9876"/>
      <c r="FR9876"/>
      <c r="FS9876"/>
      <c r="FT9876"/>
      <c r="FU9876"/>
      <c r="FV9876"/>
      <c r="FW9876"/>
      <c r="FX9876"/>
      <c r="FY9876"/>
      <c r="FZ9876"/>
      <c r="GA9876"/>
      <c r="GB9876"/>
      <c r="GC9876"/>
      <c r="GD9876"/>
      <c r="GE9876"/>
      <c r="GF9876"/>
      <c r="GG9876"/>
      <c r="GH9876"/>
      <c r="GI9876"/>
      <c r="GJ9876"/>
      <c r="GK9876"/>
      <c r="GL9876"/>
      <c r="GM9876"/>
      <c r="GN9876"/>
      <c r="GO9876"/>
    </row>
    <row r="9877" spans="107:197">
      <c r="DC9877"/>
      <c r="FH9877"/>
      <c r="FI9877"/>
      <c r="FJ9877"/>
      <c r="FK9877"/>
      <c r="FL9877"/>
      <c r="FM9877"/>
      <c r="FN9877"/>
      <c r="FO9877"/>
      <c r="FP9877"/>
      <c r="FQ9877"/>
      <c r="FR9877"/>
      <c r="FS9877"/>
      <c r="FT9877"/>
      <c r="FU9877"/>
      <c r="FV9877"/>
      <c r="FW9877"/>
      <c r="FX9877"/>
      <c r="FY9877"/>
      <c r="FZ9877"/>
      <c r="GA9877"/>
      <c r="GB9877"/>
      <c r="GC9877"/>
      <c r="GD9877"/>
      <c r="GE9877"/>
      <c r="GF9877"/>
      <c r="GG9877"/>
      <c r="GH9877"/>
      <c r="GI9877"/>
      <c r="GJ9877"/>
      <c r="GK9877"/>
      <c r="GL9877"/>
      <c r="GM9877"/>
      <c r="GN9877"/>
      <c r="GO9877"/>
    </row>
    <row r="9878" spans="107:197">
      <c r="DC9878"/>
      <c r="FH9878"/>
      <c r="FI9878"/>
      <c r="FJ9878"/>
      <c r="FK9878"/>
      <c r="FL9878"/>
      <c r="FM9878"/>
      <c r="FN9878"/>
      <c r="FO9878"/>
      <c r="FP9878"/>
      <c r="FQ9878"/>
      <c r="FR9878"/>
      <c r="FS9878"/>
      <c r="FT9878"/>
      <c r="FU9878"/>
      <c r="FV9878"/>
      <c r="FW9878"/>
      <c r="FX9878"/>
      <c r="FY9878"/>
      <c r="FZ9878"/>
      <c r="GA9878"/>
      <c r="GB9878"/>
      <c r="GC9878"/>
      <c r="GD9878"/>
      <c r="GE9878"/>
      <c r="GF9878"/>
      <c r="GG9878"/>
      <c r="GH9878"/>
      <c r="GI9878"/>
      <c r="GJ9878"/>
      <c r="GK9878"/>
      <c r="GL9878"/>
      <c r="GM9878"/>
      <c r="GN9878"/>
      <c r="GO9878"/>
    </row>
    <row r="9879" spans="107:197">
      <c r="DC9879"/>
      <c r="FH9879"/>
      <c r="FI9879"/>
      <c r="FJ9879"/>
      <c r="FK9879"/>
      <c r="FL9879"/>
      <c r="FM9879"/>
      <c r="FN9879"/>
      <c r="FO9879"/>
      <c r="FP9879"/>
      <c r="FQ9879"/>
      <c r="FR9879"/>
      <c r="FS9879"/>
      <c r="FT9879"/>
      <c r="FU9879"/>
      <c r="FV9879"/>
      <c r="FW9879"/>
      <c r="FX9879"/>
      <c r="FY9879"/>
      <c r="FZ9879"/>
      <c r="GA9879"/>
      <c r="GB9879"/>
      <c r="GC9879"/>
      <c r="GD9879"/>
      <c r="GE9879"/>
      <c r="GF9879"/>
      <c r="GG9879"/>
      <c r="GH9879"/>
      <c r="GI9879"/>
      <c r="GJ9879"/>
      <c r="GK9879"/>
      <c r="GL9879"/>
      <c r="GM9879"/>
      <c r="GN9879"/>
      <c r="GO9879"/>
    </row>
    <row r="9880" spans="107:197">
      <c r="DC9880"/>
      <c r="FH9880"/>
      <c r="FI9880"/>
      <c r="FJ9880"/>
      <c r="FK9880"/>
      <c r="FL9880"/>
      <c r="FM9880"/>
      <c r="FN9880"/>
      <c r="FO9880"/>
      <c r="FP9880"/>
      <c r="FQ9880"/>
      <c r="FR9880"/>
      <c r="FS9880"/>
      <c r="FT9880"/>
      <c r="FU9880"/>
      <c r="FV9880"/>
      <c r="FW9880"/>
      <c r="FX9880"/>
      <c r="FY9880"/>
      <c r="FZ9880"/>
      <c r="GA9880"/>
      <c r="GB9880"/>
      <c r="GC9880"/>
      <c r="GD9880"/>
      <c r="GE9880"/>
      <c r="GF9880"/>
      <c r="GG9880"/>
      <c r="GH9880"/>
      <c r="GI9880"/>
      <c r="GJ9880"/>
      <c r="GK9880"/>
      <c r="GL9880"/>
      <c r="GM9880"/>
      <c r="GN9880"/>
      <c r="GO9880"/>
    </row>
    <row r="9881" spans="107:197">
      <c r="DC9881"/>
      <c r="FH9881"/>
      <c r="FI9881"/>
      <c r="FJ9881"/>
      <c r="FK9881"/>
      <c r="FL9881"/>
      <c r="FM9881"/>
      <c r="FN9881"/>
      <c r="FO9881"/>
      <c r="FP9881"/>
      <c r="FQ9881"/>
      <c r="FR9881"/>
      <c r="FS9881"/>
      <c r="FT9881"/>
      <c r="FU9881"/>
      <c r="FV9881"/>
      <c r="FW9881"/>
      <c r="FX9881"/>
      <c r="FY9881"/>
      <c r="FZ9881"/>
      <c r="GA9881"/>
      <c r="GB9881"/>
      <c r="GC9881"/>
      <c r="GD9881"/>
      <c r="GE9881"/>
      <c r="GF9881"/>
      <c r="GG9881"/>
      <c r="GH9881"/>
      <c r="GI9881"/>
      <c r="GJ9881"/>
      <c r="GK9881"/>
      <c r="GL9881"/>
      <c r="GM9881"/>
      <c r="GN9881"/>
      <c r="GO9881"/>
    </row>
    <row r="9882" spans="107:197">
      <c r="DC9882"/>
      <c r="FH9882"/>
      <c r="FI9882"/>
      <c r="FJ9882"/>
      <c r="FK9882"/>
      <c r="FL9882"/>
      <c r="FM9882"/>
      <c r="FN9882"/>
      <c r="FO9882"/>
      <c r="FP9882"/>
      <c r="FQ9882"/>
      <c r="FR9882"/>
      <c r="FS9882"/>
      <c r="FT9882"/>
      <c r="FU9882"/>
      <c r="FV9882"/>
      <c r="FW9882"/>
      <c r="FX9882"/>
      <c r="FY9882"/>
      <c r="FZ9882"/>
      <c r="GA9882"/>
      <c r="GB9882"/>
      <c r="GC9882"/>
      <c r="GD9882"/>
      <c r="GE9882"/>
      <c r="GF9882"/>
      <c r="GG9882"/>
      <c r="GH9882"/>
      <c r="GI9882"/>
      <c r="GJ9882"/>
      <c r="GK9882"/>
      <c r="GL9882"/>
      <c r="GM9882"/>
      <c r="GN9882"/>
      <c r="GO9882"/>
    </row>
    <row r="9883" spans="107:197">
      <c r="DC9883"/>
      <c r="FH9883"/>
      <c r="FI9883"/>
      <c r="FJ9883"/>
      <c r="FK9883"/>
      <c r="FL9883"/>
      <c r="FM9883"/>
      <c r="FN9883"/>
      <c r="FO9883"/>
      <c r="FP9883"/>
      <c r="FQ9883"/>
      <c r="FR9883"/>
      <c r="FS9883"/>
      <c r="FT9883"/>
      <c r="FU9883"/>
      <c r="FV9883"/>
      <c r="FW9883"/>
      <c r="FX9883"/>
      <c r="FY9883"/>
      <c r="FZ9883"/>
      <c r="GA9883"/>
      <c r="GB9883"/>
      <c r="GC9883"/>
      <c r="GD9883"/>
      <c r="GE9883"/>
      <c r="GF9883"/>
      <c r="GG9883"/>
      <c r="GH9883"/>
      <c r="GI9883"/>
      <c r="GJ9883"/>
      <c r="GK9883"/>
      <c r="GL9883"/>
      <c r="GM9883"/>
      <c r="GN9883"/>
      <c r="GO9883"/>
    </row>
    <row r="9884" spans="107:197">
      <c r="DC9884"/>
      <c r="FH9884"/>
      <c r="FI9884"/>
      <c r="FJ9884"/>
      <c r="FK9884"/>
      <c r="FL9884"/>
      <c r="FM9884"/>
      <c r="FN9884"/>
      <c r="FO9884"/>
      <c r="FP9884"/>
      <c r="FQ9884"/>
      <c r="FR9884"/>
      <c r="FS9884"/>
      <c r="FT9884"/>
      <c r="FU9884"/>
      <c r="FV9884"/>
      <c r="FW9884"/>
      <c r="FX9884"/>
      <c r="FY9884"/>
      <c r="FZ9884"/>
      <c r="GA9884"/>
      <c r="GB9884"/>
      <c r="GC9884"/>
      <c r="GD9884"/>
      <c r="GE9884"/>
      <c r="GF9884"/>
      <c r="GG9884"/>
      <c r="GH9884"/>
      <c r="GI9884"/>
      <c r="GJ9884"/>
      <c r="GK9884"/>
      <c r="GL9884"/>
      <c r="GM9884"/>
      <c r="GN9884"/>
      <c r="GO9884"/>
    </row>
    <row r="9885" spans="107:197">
      <c r="DC9885"/>
      <c r="FH9885"/>
      <c r="FI9885"/>
      <c r="FJ9885"/>
      <c r="FK9885"/>
      <c r="FL9885"/>
      <c r="FM9885"/>
      <c r="FN9885"/>
      <c r="FO9885"/>
      <c r="FP9885"/>
      <c r="FQ9885"/>
      <c r="FR9885"/>
      <c r="FS9885"/>
      <c r="FT9885"/>
      <c r="FU9885"/>
      <c r="FV9885"/>
      <c r="FW9885"/>
      <c r="FX9885"/>
      <c r="FY9885"/>
      <c r="FZ9885"/>
      <c r="GA9885"/>
      <c r="GB9885"/>
      <c r="GC9885"/>
      <c r="GD9885"/>
      <c r="GE9885"/>
      <c r="GF9885"/>
      <c r="GG9885"/>
      <c r="GH9885"/>
      <c r="GI9885"/>
      <c r="GJ9885"/>
      <c r="GK9885"/>
      <c r="GL9885"/>
      <c r="GM9885"/>
      <c r="GN9885"/>
      <c r="GO9885"/>
    </row>
    <row r="9886" spans="107:197">
      <c r="DC9886"/>
      <c r="FH9886"/>
      <c r="FI9886"/>
      <c r="FJ9886"/>
      <c r="FK9886"/>
      <c r="FL9886"/>
      <c r="FM9886"/>
      <c r="FN9886"/>
      <c r="FO9886"/>
      <c r="FP9886"/>
      <c r="FQ9886"/>
      <c r="FR9886"/>
      <c r="FS9886"/>
      <c r="FT9886"/>
      <c r="FU9886"/>
      <c r="FV9886"/>
      <c r="FW9886"/>
      <c r="FX9886"/>
      <c r="FY9886"/>
      <c r="FZ9886"/>
      <c r="GA9886"/>
      <c r="GB9886"/>
      <c r="GC9886"/>
      <c r="GD9886"/>
      <c r="GE9886"/>
      <c r="GF9886"/>
      <c r="GG9886"/>
      <c r="GH9886"/>
      <c r="GI9886"/>
      <c r="GJ9886"/>
      <c r="GK9886"/>
      <c r="GL9886"/>
      <c r="GM9886"/>
      <c r="GN9886"/>
      <c r="GO9886"/>
    </row>
    <row r="9887" spans="107:197">
      <c r="DC9887"/>
      <c r="FH9887"/>
      <c r="FI9887"/>
      <c r="FJ9887"/>
      <c r="FK9887"/>
      <c r="FL9887"/>
      <c r="FM9887"/>
      <c r="FN9887"/>
      <c r="FO9887"/>
      <c r="FP9887"/>
      <c r="FQ9887"/>
      <c r="FR9887"/>
      <c r="FS9887"/>
      <c r="FT9887"/>
      <c r="FU9887"/>
      <c r="FV9887"/>
      <c r="FW9887"/>
      <c r="FX9887"/>
      <c r="FY9887"/>
      <c r="FZ9887"/>
      <c r="GA9887"/>
      <c r="GB9887"/>
      <c r="GC9887"/>
      <c r="GD9887"/>
      <c r="GE9887"/>
      <c r="GF9887"/>
      <c r="GG9887"/>
      <c r="GH9887"/>
      <c r="GI9887"/>
      <c r="GJ9887"/>
      <c r="GK9887"/>
      <c r="GL9887"/>
      <c r="GM9887"/>
      <c r="GN9887"/>
      <c r="GO9887"/>
    </row>
    <row r="9888" spans="107:197">
      <c r="DC9888"/>
      <c r="FH9888"/>
      <c r="FI9888"/>
      <c r="FJ9888"/>
      <c r="FK9888"/>
      <c r="FL9888"/>
      <c r="FM9888"/>
      <c r="FN9888"/>
      <c r="FO9888"/>
      <c r="FP9888"/>
      <c r="FQ9888"/>
      <c r="FR9888"/>
      <c r="FS9888"/>
      <c r="FT9888"/>
      <c r="FU9888"/>
      <c r="FV9888"/>
      <c r="FW9888"/>
      <c r="FX9888"/>
      <c r="FY9888"/>
      <c r="FZ9888"/>
      <c r="GA9888"/>
      <c r="GB9888"/>
      <c r="GC9888"/>
      <c r="GD9888"/>
      <c r="GE9888"/>
      <c r="GF9888"/>
      <c r="GG9888"/>
      <c r="GH9888"/>
      <c r="GI9888"/>
      <c r="GJ9888"/>
      <c r="GK9888"/>
      <c r="GL9888"/>
      <c r="GM9888"/>
      <c r="GN9888"/>
      <c r="GO9888"/>
    </row>
    <row r="9889" spans="107:197">
      <c r="DC9889"/>
      <c r="FH9889"/>
      <c r="FI9889"/>
      <c r="FJ9889"/>
      <c r="FK9889"/>
      <c r="FL9889"/>
      <c r="FM9889"/>
      <c r="FN9889"/>
      <c r="FO9889"/>
      <c r="FP9889"/>
      <c r="FQ9889"/>
      <c r="FR9889"/>
      <c r="FS9889"/>
      <c r="FT9889"/>
      <c r="FU9889"/>
      <c r="FV9889"/>
      <c r="FW9889"/>
      <c r="FX9889"/>
      <c r="FY9889"/>
      <c r="FZ9889"/>
      <c r="GA9889"/>
      <c r="GB9889"/>
      <c r="GC9889"/>
      <c r="GD9889"/>
      <c r="GE9889"/>
      <c r="GF9889"/>
      <c r="GG9889"/>
      <c r="GH9889"/>
      <c r="GI9889"/>
      <c r="GJ9889"/>
      <c r="GK9889"/>
      <c r="GL9889"/>
      <c r="GM9889"/>
      <c r="GN9889"/>
      <c r="GO9889"/>
    </row>
    <row r="9890" spans="107:197">
      <c r="DC9890"/>
      <c r="FH9890"/>
      <c r="FI9890"/>
      <c r="FJ9890"/>
      <c r="FK9890"/>
      <c r="FL9890"/>
      <c r="FM9890"/>
      <c r="FN9890"/>
      <c r="FO9890"/>
      <c r="FP9890"/>
      <c r="FQ9890"/>
      <c r="FR9890"/>
      <c r="FS9890"/>
      <c r="FT9890"/>
      <c r="FU9890"/>
      <c r="FV9890"/>
      <c r="FW9890"/>
      <c r="FX9890"/>
      <c r="FY9890"/>
      <c r="FZ9890"/>
      <c r="GA9890"/>
      <c r="GB9890"/>
      <c r="GC9890"/>
      <c r="GD9890"/>
      <c r="GE9890"/>
      <c r="GF9890"/>
      <c r="GG9890"/>
      <c r="GH9890"/>
      <c r="GI9890"/>
      <c r="GJ9890"/>
      <c r="GK9890"/>
      <c r="GL9890"/>
      <c r="GM9890"/>
      <c r="GN9890"/>
      <c r="GO9890"/>
    </row>
    <row r="9891" spans="107:197">
      <c r="DC9891"/>
      <c r="FH9891"/>
      <c r="FI9891"/>
      <c r="FJ9891"/>
      <c r="FK9891"/>
      <c r="FL9891"/>
      <c r="FM9891"/>
      <c r="FN9891"/>
      <c r="FO9891"/>
      <c r="FP9891"/>
      <c r="FQ9891"/>
      <c r="FR9891"/>
      <c r="FS9891"/>
      <c r="FT9891"/>
      <c r="FU9891"/>
      <c r="FV9891"/>
      <c r="FW9891"/>
      <c r="FX9891"/>
      <c r="FY9891"/>
      <c r="FZ9891"/>
      <c r="GA9891"/>
      <c r="GB9891"/>
      <c r="GC9891"/>
      <c r="GD9891"/>
      <c r="GE9891"/>
      <c r="GF9891"/>
      <c r="GG9891"/>
      <c r="GH9891"/>
      <c r="GI9891"/>
      <c r="GJ9891"/>
      <c r="GK9891"/>
      <c r="GL9891"/>
      <c r="GM9891"/>
      <c r="GN9891"/>
      <c r="GO9891"/>
    </row>
    <row r="9892" spans="107:197">
      <c r="DC9892"/>
      <c r="FH9892"/>
      <c r="FI9892"/>
      <c r="FJ9892"/>
      <c r="FK9892"/>
      <c r="FL9892"/>
      <c r="FM9892"/>
      <c r="FN9892"/>
      <c r="FO9892"/>
      <c r="FP9892"/>
      <c r="FQ9892"/>
      <c r="FR9892"/>
      <c r="FS9892"/>
      <c r="FT9892"/>
      <c r="FU9892"/>
      <c r="FV9892"/>
      <c r="FW9892"/>
      <c r="FX9892"/>
      <c r="FY9892"/>
      <c r="FZ9892"/>
      <c r="GA9892"/>
      <c r="GB9892"/>
      <c r="GC9892"/>
      <c r="GD9892"/>
      <c r="GE9892"/>
      <c r="GF9892"/>
      <c r="GG9892"/>
      <c r="GH9892"/>
      <c r="GI9892"/>
      <c r="GJ9892"/>
      <c r="GK9892"/>
      <c r="GL9892"/>
      <c r="GM9892"/>
      <c r="GN9892"/>
      <c r="GO9892"/>
    </row>
    <row r="9893" spans="107:197">
      <c r="DC9893"/>
      <c r="FH9893"/>
      <c r="FI9893"/>
      <c r="FJ9893"/>
      <c r="FK9893"/>
      <c r="FL9893"/>
      <c r="FM9893"/>
      <c r="FN9893"/>
      <c r="FO9893"/>
      <c r="FP9893"/>
      <c r="FQ9893"/>
      <c r="FR9893"/>
      <c r="FS9893"/>
      <c r="FT9893"/>
      <c r="FU9893"/>
      <c r="FV9893"/>
      <c r="FW9893"/>
      <c r="FX9893"/>
      <c r="FY9893"/>
      <c r="FZ9893"/>
      <c r="GA9893"/>
      <c r="GB9893"/>
      <c r="GC9893"/>
      <c r="GD9893"/>
      <c r="GE9893"/>
      <c r="GF9893"/>
      <c r="GG9893"/>
      <c r="GH9893"/>
      <c r="GI9893"/>
      <c r="GJ9893"/>
      <c r="GK9893"/>
      <c r="GL9893"/>
      <c r="GM9893"/>
      <c r="GN9893"/>
      <c r="GO9893"/>
    </row>
    <row r="9894" spans="107:197">
      <c r="DC9894"/>
      <c r="FH9894"/>
      <c r="FI9894"/>
      <c r="FJ9894"/>
      <c r="FK9894"/>
      <c r="FL9894"/>
      <c r="FM9894"/>
      <c r="FN9894"/>
      <c r="FO9894"/>
      <c r="FP9894"/>
      <c r="FQ9894"/>
      <c r="FR9894"/>
      <c r="FS9894"/>
      <c r="FT9894"/>
      <c r="FU9894"/>
      <c r="FV9894"/>
      <c r="FW9894"/>
      <c r="FX9894"/>
      <c r="FY9894"/>
      <c r="FZ9894"/>
      <c r="GA9894"/>
      <c r="GB9894"/>
      <c r="GC9894"/>
      <c r="GD9894"/>
      <c r="GE9894"/>
      <c r="GF9894"/>
      <c r="GG9894"/>
      <c r="GH9894"/>
      <c r="GI9894"/>
      <c r="GJ9894"/>
      <c r="GK9894"/>
      <c r="GL9894"/>
      <c r="GM9894"/>
      <c r="GN9894"/>
      <c r="GO9894"/>
    </row>
    <row r="9895" spans="107:197">
      <c r="DC9895"/>
      <c r="FH9895"/>
      <c r="FI9895"/>
      <c r="FJ9895"/>
      <c r="FK9895"/>
      <c r="FL9895"/>
      <c r="FM9895"/>
      <c r="FN9895"/>
      <c r="FO9895"/>
      <c r="FP9895"/>
      <c r="FQ9895"/>
      <c r="FR9895"/>
      <c r="FS9895"/>
      <c r="FT9895"/>
      <c r="FU9895"/>
      <c r="FV9895"/>
      <c r="FW9895"/>
      <c r="FX9895"/>
      <c r="FY9895"/>
      <c r="FZ9895"/>
      <c r="GA9895"/>
      <c r="GB9895"/>
      <c r="GC9895"/>
      <c r="GD9895"/>
      <c r="GE9895"/>
      <c r="GF9895"/>
      <c r="GG9895"/>
      <c r="GH9895"/>
      <c r="GI9895"/>
      <c r="GJ9895"/>
      <c r="GK9895"/>
      <c r="GL9895"/>
      <c r="GM9895"/>
      <c r="GN9895"/>
      <c r="GO9895"/>
    </row>
    <row r="9896" spans="107:197">
      <c r="DC9896"/>
      <c r="FH9896"/>
      <c r="FI9896"/>
      <c r="FJ9896"/>
      <c r="FK9896"/>
      <c r="FL9896"/>
      <c r="FM9896"/>
      <c r="FN9896"/>
      <c r="FO9896"/>
      <c r="FP9896"/>
      <c r="FQ9896"/>
      <c r="FR9896"/>
      <c r="FS9896"/>
      <c r="FT9896"/>
      <c r="FU9896"/>
      <c r="FV9896"/>
      <c r="FW9896"/>
      <c r="FX9896"/>
      <c r="FY9896"/>
      <c r="FZ9896"/>
      <c r="GA9896"/>
      <c r="GB9896"/>
      <c r="GC9896"/>
      <c r="GD9896"/>
      <c r="GE9896"/>
      <c r="GF9896"/>
      <c r="GG9896"/>
      <c r="GH9896"/>
      <c r="GI9896"/>
      <c r="GJ9896"/>
      <c r="GK9896"/>
      <c r="GL9896"/>
      <c r="GM9896"/>
      <c r="GN9896"/>
      <c r="GO9896"/>
    </row>
    <row r="9897" spans="107:197">
      <c r="DC9897"/>
      <c r="FH9897"/>
      <c r="FI9897"/>
      <c r="FJ9897"/>
      <c r="FK9897"/>
      <c r="FL9897"/>
      <c r="FM9897"/>
      <c r="FN9897"/>
      <c r="FO9897"/>
      <c r="FP9897"/>
      <c r="FQ9897"/>
      <c r="FR9897"/>
      <c r="FS9897"/>
      <c r="FT9897"/>
      <c r="FU9897"/>
      <c r="FV9897"/>
      <c r="FW9897"/>
      <c r="FX9897"/>
      <c r="FY9897"/>
      <c r="FZ9897"/>
      <c r="GA9897"/>
      <c r="GB9897"/>
      <c r="GC9897"/>
      <c r="GD9897"/>
      <c r="GE9897"/>
      <c r="GF9897"/>
      <c r="GG9897"/>
      <c r="GH9897"/>
      <c r="GI9897"/>
      <c r="GJ9897"/>
      <c r="GK9897"/>
      <c r="GL9897"/>
      <c r="GM9897"/>
      <c r="GN9897"/>
      <c r="GO9897"/>
    </row>
    <row r="9898" spans="107:197">
      <c r="DC9898"/>
      <c r="FH9898"/>
      <c r="FI9898"/>
      <c r="FJ9898"/>
      <c r="FK9898"/>
      <c r="FL9898"/>
      <c r="FM9898"/>
      <c r="FN9898"/>
      <c r="FO9898"/>
      <c r="FP9898"/>
      <c r="FQ9898"/>
      <c r="FR9898"/>
      <c r="FS9898"/>
      <c r="FT9898"/>
      <c r="FU9898"/>
      <c r="FV9898"/>
      <c r="FW9898"/>
      <c r="FX9898"/>
      <c r="FY9898"/>
      <c r="FZ9898"/>
      <c r="GA9898"/>
      <c r="GB9898"/>
      <c r="GC9898"/>
      <c r="GD9898"/>
      <c r="GE9898"/>
      <c r="GF9898"/>
      <c r="GG9898"/>
      <c r="GH9898"/>
      <c r="GI9898"/>
      <c r="GJ9898"/>
      <c r="GK9898"/>
      <c r="GL9898"/>
      <c r="GM9898"/>
      <c r="GN9898"/>
      <c r="GO9898"/>
    </row>
    <row r="9899" spans="107:197">
      <c r="DC9899"/>
      <c r="FH9899"/>
      <c r="FI9899"/>
      <c r="FJ9899"/>
      <c r="FK9899"/>
      <c r="FL9899"/>
      <c r="FM9899"/>
      <c r="FN9899"/>
      <c r="FO9899"/>
      <c r="FP9899"/>
      <c r="FQ9899"/>
      <c r="FR9899"/>
      <c r="FS9899"/>
      <c r="FT9899"/>
      <c r="FU9899"/>
      <c r="FV9899"/>
      <c r="FW9899"/>
      <c r="FX9899"/>
      <c r="FY9899"/>
      <c r="FZ9899"/>
      <c r="GA9899"/>
      <c r="GB9899"/>
      <c r="GC9899"/>
      <c r="GD9899"/>
      <c r="GE9899"/>
      <c r="GF9899"/>
      <c r="GG9899"/>
      <c r="GH9899"/>
      <c r="GI9899"/>
      <c r="GJ9899"/>
      <c r="GK9899"/>
      <c r="GL9899"/>
      <c r="GM9899"/>
      <c r="GN9899"/>
      <c r="GO9899"/>
    </row>
    <row r="9900" spans="107:197">
      <c r="DC9900"/>
      <c r="FH9900"/>
      <c r="FI9900"/>
      <c r="FJ9900"/>
      <c r="FK9900"/>
      <c r="FL9900"/>
      <c r="FM9900"/>
      <c r="FN9900"/>
      <c r="FO9900"/>
      <c r="FP9900"/>
      <c r="FQ9900"/>
      <c r="FR9900"/>
      <c r="FS9900"/>
      <c r="FT9900"/>
      <c r="FU9900"/>
      <c r="FV9900"/>
      <c r="FW9900"/>
      <c r="FX9900"/>
      <c r="FY9900"/>
      <c r="FZ9900"/>
      <c r="GA9900"/>
      <c r="GB9900"/>
      <c r="GC9900"/>
      <c r="GD9900"/>
      <c r="GE9900"/>
      <c r="GF9900"/>
      <c r="GG9900"/>
      <c r="GH9900"/>
      <c r="GI9900"/>
      <c r="GJ9900"/>
      <c r="GK9900"/>
      <c r="GL9900"/>
      <c r="GM9900"/>
      <c r="GN9900"/>
      <c r="GO9900"/>
    </row>
    <row r="9901" spans="107:197">
      <c r="DC9901"/>
      <c r="FH9901"/>
      <c r="FI9901"/>
      <c r="FJ9901"/>
      <c r="FK9901"/>
      <c r="FL9901"/>
      <c r="FM9901"/>
      <c r="FN9901"/>
      <c r="FO9901"/>
      <c r="FP9901"/>
      <c r="FQ9901"/>
      <c r="FR9901"/>
      <c r="FS9901"/>
      <c r="FT9901"/>
      <c r="FU9901"/>
      <c r="FV9901"/>
      <c r="FW9901"/>
      <c r="FX9901"/>
      <c r="FY9901"/>
      <c r="FZ9901"/>
      <c r="GA9901"/>
      <c r="GB9901"/>
      <c r="GC9901"/>
      <c r="GD9901"/>
      <c r="GE9901"/>
      <c r="GF9901"/>
      <c r="GG9901"/>
      <c r="GH9901"/>
      <c r="GI9901"/>
      <c r="GJ9901"/>
      <c r="GK9901"/>
      <c r="GL9901"/>
      <c r="GM9901"/>
      <c r="GN9901"/>
      <c r="GO9901"/>
    </row>
    <row r="9902" spans="107:197">
      <c r="DC9902"/>
      <c r="FH9902"/>
      <c r="FI9902"/>
      <c r="FJ9902"/>
      <c r="FK9902"/>
      <c r="FL9902"/>
      <c r="FM9902"/>
      <c r="FN9902"/>
      <c r="FO9902"/>
      <c r="FP9902"/>
      <c r="FQ9902"/>
      <c r="FR9902"/>
      <c r="FS9902"/>
      <c r="FT9902"/>
      <c r="FU9902"/>
      <c r="FV9902"/>
      <c r="FW9902"/>
      <c r="FX9902"/>
      <c r="FY9902"/>
      <c r="FZ9902"/>
      <c r="GA9902"/>
      <c r="GB9902"/>
      <c r="GC9902"/>
      <c r="GD9902"/>
      <c r="GE9902"/>
      <c r="GF9902"/>
      <c r="GG9902"/>
      <c r="GH9902"/>
      <c r="GI9902"/>
      <c r="GJ9902"/>
      <c r="GK9902"/>
      <c r="GL9902"/>
      <c r="GM9902"/>
      <c r="GN9902"/>
      <c r="GO9902"/>
    </row>
    <row r="9903" spans="107:197">
      <c r="DC9903"/>
      <c r="FH9903"/>
      <c r="FI9903"/>
      <c r="FJ9903"/>
      <c r="FK9903"/>
      <c r="FL9903"/>
      <c r="FM9903"/>
      <c r="FN9903"/>
      <c r="FO9903"/>
      <c r="FP9903"/>
      <c r="FQ9903"/>
      <c r="FR9903"/>
      <c r="FS9903"/>
      <c r="FT9903"/>
      <c r="FU9903"/>
      <c r="FV9903"/>
      <c r="FW9903"/>
      <c r="FX9903"/>
      <c r="FY9903"/>
      <c r="FZ9903"/>
      <c r="GA9903"/>
      <c r="GB9903"/>
      <c r="GC9903"/>
      <c r="GD9903"/>
      <c r="GE9903"/>
      <c r="GF9903"/>
      <c r="GG9903"/>
      <c r="GH9903"/>
      <c r="GI9903"/>
      <c r="GJ9903"/>
      <c r="GK9903"/>
      <c r="GL9903"/>
      <c r="GM9903"/>
      <c r="GN9903"/>
      <c r="GO9903"/>
    </row>
    <row r="9904" spans="107:197">
      <c r="DC9904"/>
      <c r="FH9904"/>
      <c r="FI9904"/>
      <c r="FJ9904"/>
      <c r="FK9904"/>
      <c r="FL9904"/>
      <c r="FM9904"/>
      <c r="FN9904"/>
      <c r="FO9904"/>
      <c r="FP9904"/>
      <c r="FQ9904"/>
      <c r="FR9904"/>
      <c r="FS9904"/>
      <c r="FT9904"/>
      <c r="FU9904"/>
      <c r="FV9904"/>
      <c r="FW9904"/>
      <c r="FX9904"/>
      <c r="FY9904"/>
      <c r="FZ9904"/>
      <c r="GA9904"/>
      <c r="GB9904"/>
      <c r="GC9904"/>
      <c r="GD9904"/>
      <c r="GE9904"/>
      <c r="GF9904"/>
      <c r="GG9904"/>
      <c r="GH9904"/>
      <c r="GI9904"/>
      <c r="GJ9904"/>
      <c r="GK9904"/>
      <c r="GL9904"/>
      <c r="GM9904"/>
      <c r="GN9904"/>
      <c r="GO9904"/>
    </row>
    <row r="9905" spans="107:197">
      <c r="DC9905"/>
      <c r="FH9905"/>
      <c r="FI9905"/>
      <c r="FJ9905"/>
      <c r="FK9905"/>
      <c r="FL9905"/>
      <c r="FM9905"/>
      <c r="FN9905"/>
      <c r="FO9905"/>
      <c r="FP9905"/>
      <c r="FQ9905"/>
      <c r="FR9905"/>
      <c r="FS9905"/>
      <c r="FT9905"/>
      <c r="FU9905"/>
      <c r="FV9905"/>
      <c r="FW9905"/>
      <c r="FX9905"/>
      <c r="FY9905"/>
      <c r="FZ9905"/>
      <c r="GA9905"/>
      <c r="GB9905"/>
      <c r="GC9905"/>
      <c r="GD9905"/>
      <c r="GE9905"/>
      <c r="GF9905"/>
      <c r="GG9905"/>
      <c r="GH9905"/>
      <c r="GI9905"/>
      <c r="GJ9905"/>
      <c r="GK9905"/>
      <c r="GL9905"/>
      <c r="GM9905"/>
      <c r="GN9905"/>
      <c r="GO9905"/>
    </row>
    <row r="9906" spans="107:197">
      <c r="DC9906"/>
      <c r="FH9906"/>
      <c r="FI9906"/>
      <c r="FJ9906"/>
      <c r="FK9906"/>
      <c r="FL9906"/>
      <c r="FM9906"/>
      <c r="FN9906"/>
      <c r="FO9906"/>
      <c r="FP9906"/>
      <c r="FQ9906"/>
      <c r="FR9906"/>
      <c r="FS9906"/>
      <c r="FT9906"/>
      <c r="FU9906"/>
      <c r="FV9906"/>
      <c r="FW9906"/>
      <c r="FX9906"/>
      <c r="FY9906"/>
      <c r="FZ9906"/>
      <c r="GA9906"/>
      <c r="GB9906"/>
      <c r="GC9906"/>
      <c r="GD9906"/>
      <c r="GE9906"/>
      <c r="GF9906"/>
      <c r="GG9906"/>
      <c r="GH9906"/>
      <c r="GI9906"/>
      <c r="GJ9906"/>
      <c r="GK9906"/>
      <c r="GL9906"/>
      <c r="GM9906"/>
      <c r="GN9906"/>
      <c r="GO9906"/>
    </row>
    <row r="9907" spans="107:197">
      <c r="DC9907"/>
      <c r="FH9907"/>
      <c r="FI9907"/>
      <c r="FJ9907"/>
      <c r="FK9907"/>
      <c r="FL9907"/>
      <c r="FM9907"/>
      <c r="FN9907"/>
      <c r="FO9907"/>
      <c r="FP9907"/>
      <c r="FQ9907"/>
      <c r="FR9907"/>
      <c r="FS9907"/>
      <c r="FT9907"/>
      <c r="FU9907"/>
      <c r="FV9907"/>
      <c r="FW9907"/>
      <c r="FX9907"/>
      <c r="FY9907"/>
      <c r="FZ9907"/>
      <c r="GA9907"/>
      <c r="GB9907"/>
      <c r="GC9907"/>
      <c r="GD9907"/>
      <c r="GE9907"/>
      <c r="GF9907"/>
      <c r="GG9907"/>
      <c r="GH9907"/>
      <c r="GI9907"/>
      <c r="GJ9907"/>
      <c r="GK9907"/>
      <c r="GL9907"/>
      <c r="GM9907"/>
      <c r="GN9907"/>
      <c r="GO9907"/>
    </row>
    <row r="9908" spans="107:197">
      <c r="DC9908"/>
      <c r="FH9908"/>
      <c r="FI9908"/>
      <c r="FJ9908"/>
      <c r="FK9908"/>
      <c r="FL9908"/>
      <c r="FM9908"/>
      <c r="FN9908"/>
      <c r="FO9908"/>
      <c r="FP9908"/>
      <c r="FQ9908"/>
      <c r="FR9908"/>
      <c r="FS9908"/>
      <c r="FT9908"/>
      <c r="FU9908"/>
      <c r="FV9908"/>
      <c r="FW9908"/>
      <c r="FX9908"/>
      <c r="FY9908"/>
      <c r="FZ9908"/>
      <c r="GA9908"/>
      <c r="GB9908"/>
      <c r="GC9908"/>
      <c r="GD9908"/>
      <c r="GE9908"/>
      <c r="GF9908"/>
      <c r="GG9908"/>
      <c r="GH9908"/>
      <c r="GI9908"/>
      <c r="GJ9908"/>
      <c r="GK9908"/>
      <c r="GL9908"/>
      <c r="GM9908"/>
      <c r="GN9908"/>
      <c r="GO9908"/>
    </row>
    <row r="9909" spans="107:197">
      <c r="DC9909"/>
      <c r="FH9909"/>
      <c r="FI9909"/>
      <c r="FJ9909"/>
      <c r="FK9909"/>
      <c r="FL9909"/>
      <c r="FM9909"/>
      <c r="FN9909"/>
      <c r="FO9909"/>
      <c r="FP9909"/>
      <c r="FQ9909"/>
      <c r="FR9909"/>
      <c r="FS9909"/>
      <c r="FT9909"/>
      <c r="FU9909"/>
      <c r="FV9909"/>
      <c r="FW9909"/>
      <c r="FX9909"/>
      <c r="FY9909"/>
      <c r="FZ9909"/>
      <c r="GA9909"/>
      <c r="GB9909"/>
      <c r="GC9909"/>
      <c r="GD9909"/>
      <c r="GE9909"/>
      <c r="GF9909"/>
      <c r="GG9909"/>
      <c r="GH9909"/>
      <c r="GI9909"/>
      <c r="GJ9909"/>
      <c r="GK9909"/>
      <c r="GL9909"/>
      <c r="GM9909"/>
      <c r="GN9909"/>
      <c r="GO9909"/>
    </row>
    <row r="9910" spans="107:197">
      <c r="DC9910"/>
      <c r="FH9910"/>
      <c r="FI9910"/>
      <c r="FJ9910"/>
      <c r="FK9910"/>
      <c r="FL9910"/>
      <c r="FM9910"/>
      <c r="FN9910"/>
      <c r="FO9910"/>
      <c r="FP9910"/>
      <c r="FQ9910"/>
      <c r="FR9910"/>
      <c r="FS9910"/>
      <c r="FT9910"/>
      <c r="FU9910"/>
      <c r="FV9910"/>
      <c r="FW9910"/>
      <c r="FX9910"/>
      <c r="FY9910"/>
      <c r="FZ9910"/>
      <c r="GA9910"/>
      <c r="GB9910"/>
      <c r="GC9910"/>
      <c r="GD9910"/>
      <c r="GE9910"/>
      <c r="GF9910"/>
      <c r="GG9910"/>
      <c r="GH9910"/>
      <c r="GI9910"/>
      <c r="GJ9910"/>
      <c r="GK9910"/>
      <c r="GL9910"/>
      <c r="GM9910"/>
      <c r="GN9910"/>
      <c r="GO9910"/>
    </row>
    <row r="9911" spans="107:197">
      <c r="DC9911"/>
      <c r="FH9911"/>
      <c r="FI9911"/>
      <c r="FJ9911"/>
      <c r="FK9911"/>
      <c r="FL9911"/>
      <c r="FM9911"/>
      <c r="FN9911"/>
      <c r="FO9911"/>
      <c r="FP9911"/>
      <c r="FQ9911"/>
      <c r="FR9911"/>
      <c r="FS9911"/>
      <c r="FT9911"/>
      <c r="FU9911"/>
      <c r="FV9911"/>
      <c r="FW9911"/>
      <c r="FX9911"/>
      <c r="FY9911"/>
      <c r="FZ9911"/>
      <c r="GA9911"/>
      <c r="GB9911"/>
      <c r="GC9911"/>
      <c r="GD9911"/>
      <c r="GE9911"/>
      <c r="GF9911"/>
      <c r="GG9911"/>
      <c r="GH9911"/>
      <c r="GI9911"/>
      <c r="GJ9911"/>
      <c r="GK9911"/>
      <c r="GL9911"/>
      <c r="GM9911"/>
      <c r="GN9911"/>
      <c r="GO9911"/>
    </row>
    <row r="9912" spans="107:197">
      <c r="DC9912"/>
      <c r="FH9912"/>
      <c r="FI9912"/>
      <c r="FJ9912"/>
      <c r="FK9912"/>
      <c r="FL9912"/>
      <c r="FM9912"/>
      <c r="FN9912"/>
      <c r="FO9912"/>
      <c r="FP9912"/>
      <c r="FQ9912"/>
      <c r="FR9912"/>
      <c r="FS9912"/>
      <c r="FT9912"/>
      <c r="FU9912"/>
      <c r="FV9912"/>
      <c r="FW9912"/>
      <c r="FX9912"/>
      <c r="FY9912"/>
      <c r="FZ9912"/>
      <c r="GA9912"/>
      <c r="GB9912"/>
      <c r="GC9912"/>
      <c r="GD9912"/>
      <c r="GE9912"/>
      <c r="GF9912"/>
      <c r="GG9912"/>
      <c r="GH9912"/>
      <c r="GI9912"/>
      <c r="GJ9912"/>
      <c r="GK9912"/>
      <c r="GL9912"/>
      <c r="GM9912"/>
      <c r="GN9912"/>
      <c r="GO9912"/>
    </row>
    <row r="9913" spans="107:197">
      <c r="DC9913"/>
      <c r="FH9913"/>
      <c r="FI9913"/>
      <c r="FJ9913"/>
      <c r="FK9913"/>
      <c r="FL9913"/>
      <c r="FM9913"/>
      <c r="FN9913"/>
      <c r="FO9913"/>
      <c r="FP9913"/>
      <c r="FQ9913"/>
      <c r="FR9913"/>
      <c r="FS9913"/>
      <c r="FT9913"/>
      <c r="FU9913"/>
      <c r="FV9913"/>
      <c r="FW9913"/>
      <c r="FX9913"/>
      <c r="FY9913"/>
      <c r="FZ9913"/>
      <c r="GA9913"/>
      <c r="GB9913"/>
      <c r="GC9913"/>
      <c r="GD9913"/>
      <c r="GE9913"/>
      <c r="GF9913"/>
      <c r="GG9913"/>
      <c r="GH9913"/>
      <c r="GI9913"/>
      <c r="GJ9913"/>
      <c r="GK9913"/>
      <c r="GL9913"/>
      <c r="GM9913"/>
      <c r="GN9913"/>
      <c r="GO9913"/>
    </row>
    <row r="9914" spans="107:197">
      <c r="DC9914"/>
      <c r="FH9914"/>
      <c r="FI9914"/>
      <c r="FJ9914"/>
      <c r="FK9914"/>
      <c r="FL9914"/>
      <c r="FM9914"/>
      <c r="FN9914"/>
      <c r="FO9914"/>
      <c r="FP9914"/>
      <c r="FQ9914"/>
      <c r="FR9914"/>
      <c r="FS9914"/>
      <c r="FT9914"/>
      <c r="FU9914"/>
      <c r="FV9914"/>
      <c r="FW9914"/>
      <c r="FX9914"/>
      <c r="FY9914"/>
      <c r="FZ9914"/>
      <c r="GA9914"/>
      <c r="GB9914"/>
      <c r="GC9914"/>
      <c r="GD9914"/>
      <c r="GE9914"/>
      <c r="GF9914"/>
      <c r="GG9914"/>
      <c r="GH9914"/>
      <c r="GI9914"/>
      <c r="GJ9914"/>
      <c r="GK9914"/>
      <c r="GL9914"/>
      <c r="GM9914"/>
      <c r="GN9914"/>
      <c r="GO9914"/>
    </row>
    <row r="9915" spans="107:197">
      <c r="DC9915"/>
      <c r="FH9915"/>
      <c r="FI9915"/>
      <c r="FJ9915"/>
      <c r="FK9915"/>
      <c r="FL9915"/>
      <c r="FM9915"/>
      <c r="FN9915"/>
      <c r="FO9915"/>
      <c r="FP9915"/>
      <c r="FQ9915"/>
      <c r="FR9915"/>
      <c r="FS9915"/>
      <c r="FT9915"/>
      <c r="FU9915"/>
      <c r="FV9915"/>
      <c r="FW9915"/>
      <c r="FX9915"/>
      <c r="FY9915"/>
      <c r="FZ9915"/>
      <c r="GA9915"/>
      <c r="GB9915"/>
      <c r="GC9915"/>
      <c r="GD9915"/>
      <c r="GE9915"/>
      <c r="GF9915"/>
      <c r="GG9915"/>
      <c r="GH9915"/>
      <c r="GI9915"/>
      <c r="GJ9915"/>
      <c r="GK9915"/>
      <c r="GL9915"/>
      <c r="GM9915"/>
      <c r="GN9915"/>
      <c r="GO9915"/>
    </row>
    <row r="9916" spans="107:197">
      <c r="DC9916"/>
      <c r="FH9916"/>
      <c r="FI9916"/>
      <c r="FJ9916"/>
      <c r="FK9916"/>
      <c r="FL9916"/>
      <c r="FM9916"/>
      <c r="FN9916"/>
      <c r="FO9916"/>
      <c r="FP9916"/>
      <c r="FQ9916"/>
      <c r="FR9916"/>
      <c r="FS9916"/>
      <c r="FT9916"/>
      <c r="FU9916"/>
      <c r="FV9916"/>
      <c r="FW9916"/>
      <c r="FX9916"/>
      <c r="FY9916"/>
      <c r="FZ9916"/>
      <c r="GA9916"/>
      <c r="GB9916"/>
      <c r="GC9916"/>
      <c r="GD9916"/>
      <c r="GE9916"/>
      <c r="GF9916"/>
      <c r="GG9916"/>
      <c r="GH9916"/>
      <c r="GI9916"/>
      <c r="GJ9916"/>
      <c r="GK9916"/>
      <c r="GL9916"/>
      <c r="GM9916"/>
      <c r="GN9916"/>
      <c r="GO9916"/>
    </row>
    <row r="9917" spans="107:197">
      <c r="DC9917"/>
      <c r="FH9917"/>
      <c r="FI9917"/>
      <c r="FJ9917"/>
      <c r="FK9917"/>
      <c r="FL9917"/>
      <c r="FM9917"/>
      <c r="FN9917"/>
      <c r="FO9917"/>
      <c r="FP9917"/>
      <c r="FQ9917"/>
      <c r="FR9917"/>
      <c r="FS9917"/>
      <c r="FT9917"/>
      <c r="FU9917"/>
      <c r="FV9917"/>
      <c r="FW9917"/>
      <c r="FX9917"/>
      <c r="FY9917"/>
      <c r="FZ9917"/>
      <c r="GA9917"/>
      <c r="GB9917"/>
      <c r="GC9917"/>
      <c r="GD9917"/>
      <c r="GE9917"/>
      <c r="GF9917"/>
      <c r="GG9917"/>
      <c r="GH9917"/>
      <c r="GI9917"/>
      <c r="GJ9917"/>
      <c r="GK9917"/>
      <c r="GL9917"/>
      <c r="GM9917"/>
      <c r="GN9917"/>
      <c r="GO9917"/>
    </row>
    <row r="9918" spans="107:197">
      <c r="DC9918"/>
      <c r="FH9918"/>
      <c r="FI9918"/>
      <c r="FJ9918"/>
      <c r="FK9918"/>
      <c r="FL9918"/>
      <c r="FM9918"/>
      <c r="FN9918"/>
      <c r="FO9918"/>
      <c r="FP9918"/>
      <c r="FQ9918"/>
      <c r="FR9918"/>
      <c r="FS9918"/>
      <c r="FT9918"/>
      <c r="FU9918"/>
      <c r="FV9918"/>
      <c r="FW9918"/>
      <c r="FX9918"/>
      <c r="FY9918"/>
      <c r="FZ9918"/>
      <c r="GA9918"/>
      <c r="GB9918"/>
      <c r="GC9918"/>
      <c r="GD9918"/>
      <c r="GE9918"/>
      <c r="GF9918"/>
      <c r="GG9918"/>
      <c r="GH9918"/>
      <c r="GI9918"/>
      <c r="GJ9918"/>
      <c r="GK9918"/>
      <c r="GL9918"/>
      <c r="GM9918"/>
      <c r="GN9918"/>
      <c r="GO9918"/>
    </row>
    <row r="9919" spans="107:197">
      <c r="DC9919"/>
      <c r="FH9919"/>
      <c r="FI9919"/>
      <c r="FJ9919"/>
      <c r="FK9919"/>
      <c r="FL9919"/>
      <c r="FM9919"/>
      <c r="FN9919"/>
      <c r="FO9919"/>
      <c r="FP9919"/>
      <c r="FQ9919"/>
      <c r="FR9919"/>
      <c r="FS9919"/>
      <c r="FT9919"/>
      <c r="FU9919"/>
      <c r="FV9919"/>
      <c r="FW9919"/>
      <c r="FX9919"/>
      <c r="FY9919"/>
      <c r="FZ9919"/>
      <c r="GA9919"/>
      <c r="GB9919"/>
      <c r="GC9919"/>
      <c r="GD9919"/>
      <c r="GE9919"/>
      <c r="GF9919"/>
      <c r="GG9919"/>
      <c r="GH9919"/>
      <c r="GI9919"/>
      <c r="GJ9919"/>
      <c r="GK9919"/>
      <c r="GL9919"/>
      <c r="GM9919"/>
      <c r="GN9919"/>
      <c r="GO9919"/>
    </row>
    <row r="9920" spans="107:197">
      <c r="DC9920"/>
      <c r="FH9920"/>
      <c r="FI9920"/>
      <c r="FJ9920"/>
      <c r="FK9920"/>
      <c r="FL9920"/>
      <c r="FM9920"/>
      <c r="FN9920"/>
      <c r="FO9920"/>
      <c r="FP9920"/>
      <c r="FQ9920"/>
      <c r="FR9920"/>
      <c r="FS9920"/>
      <c r="FT9920"/>
      <c r="FU9920"/>
      <c r="FV9920"/>
      <c r="FW9920"/>
      <c r="FX9920"/>
      <c r="FY9920"/>
      <c r="FZ9920"/>
      <c r="GA9920"/>
      <c r="GB9920"/>
      <c r="GC9920"/>
      <c r="GD9920"/>
      <c r="GE9920"/>
      <c r="GF9920"/>
      <c r="GG9920"/>
      <c r="GH9920"/>
      <c r="GI9920"/>
      <c r="GJ9920"/>
      <c r="GK9920"/>
      <c r="GL9920"/>
      <c r="GM9920"/>
      <c r="GN9920"/>
      <c r="GO9920"/>
    </row>
    <row r="9921" spans="107:197">
      <c r="DC9921"/>
      <c r="FH9921"/>
      <c r="FI9921"/>
      <c r="FJ9921"/>
      <c r="FK9921"/>
      <c r="FL9921"/>
      <c r="FM9921"/>
      <c r="FN9921"/>
      <c r="FO9921"/>
      <c r="FP9921"/>
      <c r="FQ9921"/>
      <c r="FR9921"/>
      <c r="FS9921"/>
      <c r="FT9921"/>
      <c r="FU9921"/>
      <c r="FV9921"/>
      <c r="FW9921"/>
      <c r="FX9921"/>
      <c r="FY9921"/>
      <c r="FZ9921"/>
      <c r="GA9921"/>
      <c r="GB9921"/>
      <c r="GC9921"/>
      <c r="GD9921"/>
      <c r="GE9921"/>
      <c r="GF9921"/>
      <c r="GG9921"/>
      <c r="GH9921"/>
      <c r="GI9921"/>
      <c r="GJ9921"/>
      <c r="GK9921"/>
      <c r="GL9921"/>
      <c r="GM9921"/>
      <c r="GN9921"/>
      <c r="GO9921"/>
    </row>
    <row r="9922" spans="107:197">
      <c r="DC9922"/>
      <c r="FH9922"/>
      <c r="FI9922"/>
      <c r="FJ9922"/>
      <c r="FK9922"/>
      <c r="FL9922"/>
      <c r="FM9922"/>
      <c r="FN9922"/>
      <c r="FO9922"/>
      <c r="FP9922"/>
      <c r="FQ9922"/>
      <c r="FR9922"/>
      <c r="FS9922"/>
      <c r="FT9922"/>
      <c r="FU9922"/>
      <c r="FV9922"/>
      <c r="FW9922"/>
      <c r="FX9922"/>
      <c r="FY9922"/>
      <c r="FZ9922"/>
      <c r="GA9922"/>
      <c r="GB9922"/>
      <c r="GC9922"/>
      <c r="GD9922"/>
      <c r="GE9922"/>
      <c r="GF9922"/>
      <c r="GG9922"/>
      <c r="GH9922"/>
      <c r="GI9922"/>
      <c r="GJ9922"/>
      <c r="GK9922"/>
      <c r="GL9922"/>
      <c r="GM9922"/>
      <c r="GN9922"/>
      <c r="GO9922"/>
    </row>
    <row r="9923" spans="107:197">
      <c r="DC9923"/>
      <c r="FH9923"/>
      <c r="FI9923"/>
      <c r="FJ9923"/>
      <c r="FK9923"/>
      <c r="FL9923"/>
      <c r="FM9923"/>
      <c r="FN9923"/>
      <c r="FO9923"/>
      <c r="FP9923"/>
      <c r="FQ9923"/>
      <c r="FR9923"/>
      <c r="FS9923"/>
      <c r="FT9923"/>
      <c r="FU9923"/>
      <c r="FV9923"/>
      <c r="FW9923"/>
      <c r="FX9923"/>
      <c r="FY9923"/>
      <c r="FZ9923"/>
      <c r="GA9923"/>
      <c r="GB9923"/>
      <c r="GC9923"/>
      <c r="GD9923"/>
      <c r="GE9923"/>
      <c r="GF9923"/>
      <c r="GG9923"/>
      <c r="GH9923"/>
      <c r="GI9923"/>
      <c r="GJ9923"/>
      <c r="GK9923"/>
      <c r="GL9923"/>
      <c r="GM9923"/>
      <c r="GN9923"/>
      <c r="GO9923"/>
    </row>
    <row r="9924" spans="107:197">
      <c r="DC9924"/>
      <c r="FH9924"/>
      <c r="FI9924"/>
      <c r="FJ9924"/>
      <c r="FK9924"/>
      <c r="FL9924"/>
      <c r="FM9924"/>
      <c r="FN9924"/>
      <c r="FO9924"/>
      <c r="FP9924"/>
      <c r="FQ9924"/>
      <c r="FR9924"/>
      <c r="FS9924"/>
      <c r="FT9924"/>
      <c r="FU9924"/>
      <c r="FV9924"/>
      <c r="FW9924"/>
      <c r="FX9924"/>
      <c r="FY9924"/>
      <c r="FZ9924"/>
      <c r="GA9924"/>
      <c r="GB9924"/>
      <c r="GC9924"/>
      <c r="GD9924"/>
      <c r="GE9924"/>
      <c r="GF9924"/>
      <c r="GG9924"/>
      <c r="GH9924"/>
      <c r="GI9924"/>
      <c r="GJ9924"/>
      <c r="GK9924"/>
      <c r="GL9924"/>
      <c r="GM9924"/>
      <c r="GN9924"/>
      <c r="GO9924"/>
    </row>
    <row r="9925" spans="107:197">
      <c r="DC9925"/>
      <c r="FH9925"/>
      <c r="FI9925"/>
      <c r="FJ9925"/>
      <c r="FK9925"/>
      <c r="FL9925"/>
      <c r="FM9925"/>
      <c r="FN9925"/>
      <c r="FO9925"/>
      <c r="FP9925"/>
      <c r="FQ9925"/>
      <c r="FR9925"/>
      <c r="FS9925"/>
      <c r="FT9925"/>
      <c r="FU9925"/>
      <c r="FV9925"/>
      <c r="FW9925"/>
      <c r="FX9925"/>
      <c r="FY9925"/>
      <c r="FZ9925"/>
      <c r="GA9925"/>
      <c r="GB9925"/>
      <c r="GC9925"/>
      <c r="GD9925"/>
      <c r="GE9925"/>
      <c r="GF9925"/>
      <c r="GG9925"/>
      <c r="GH9925"/>
      <c r="GI9925"/>
      <c r="GJ9925"/>
      <c r="GK9925"/>
      <c r="GL9925"/>
      <c r="GM9925"/>
      <c r="GN9925"/>
      <c r="GO9925"/>
    </row>
    <row r="9926" spans="107:197">
      <c r="DC9926"/>
      <c r="FH9926"/>
      <c r="FI9926"/>
      <c r="FJ9926"/>
      <c r="FK9926"/>
      <c r="FL9926"/>
      <c r="FM9926"/>
      <c r="FN9926"/>
      <c r="FO9926"/>
      <c r="FP9926"/>
      <c r="FQ9926"/>
      <c r="FR9926"/>
      <c r="FS9926"/>
      <c r="FT9926"/>
      <c r="FU9926"/>
      <c r="FV9926"/>
      <c r="FW9926"/>
      <c r="FX9926"/>
      <c r="FY9926"/>
      <c r="FZ9926"/>
      <c r="GA9926"/>
      <c r="GB9926"/>
      <c r="GC9926"/>
      <c r="GD9926"/>
      <c r="GE9926"/>
      <c r="GF9926"/>
      <c r="GG9926"/>
      <c r="GH9926"/>
      <c r="GI9926"/>
      <c r="GJ9926"/>
      <c r="GK9926"/>
      <c r="GL9926"/>
      <c r="GM9926"/>
      <c r="GN9926"/>
      <c r="GO9926"/>
    </row>
    <row r="9927" spans="107:197">
      <c r="DC9927"/>
      <c r="FH9927"/>
      <c r="FI9927"/>
      <c r="FJ9927"/>
      <c r="FK9927"/>
      <c r="FL9927"/>
      <c r="FM9927"/>
      <c r="FN9927"/>
      <c r="FO9927"/>
      <c r="FP9927"/>
      <c r="FQ9927"/>
      <c r="FR9927"/>
      <c r="FS9927"/>
      <c r="FT9927"/>
      <c r="FU9927"/>
      <c r="FV9927"/>
      <c r="FW9927"/>
      <c r="FX9927"/>
      <c r="FY9927"/>
      <c r="FZ9927"/>
      <c r="GA9927"/>
      <c r="GB9927"/>
      <c r="GC9927"/>
      <c r="GD9927"/>
      <c r="GE9927"/>
      <c r="GF9927"/>
      <c r="GG9927"/>
      <c r="GH9927"/>
      <c r="GI9927"/>
      <c r="GJ9927"/>
      <c r="GK9927"/>
      <c r="GL9927"/>
      <c r="GM9927"/>
      <c r="GN9927"/>
      <c r="GO9927"/>
    </row>
    <row r="9928" spans="107:197">
      <c r="DC9928"/>
      <c r="FH9928"/>
      <c r="FI9928"/>
      <c r="FJ9928"/>
      <c r="FK9928"/>
      <c r="FL9928"/>
      <c r="FM9928"/>
      <c r="FN9928"/>
      <c r="FO9928"/>
      <c r="FP9928"/>
      <c r="FQ9928"/>
      <c r="FR9928"/>
      <c r="FS9928"/>
      <c r="FT9928"/>
      <c r="FU9928"/>
      <c r="FV9928"/>
      <c r="FW9928"/>
      <c r="FX9928"/>
      <c r="FY9928"/>
      <c r="FZ9928"/>
      <c r="GA9928"/>
      <c r="GB9928"/>
      <c r="GC9928"/>
      <c r="GD9928"/>
      <c r="GE9928"/>
      <c r="GF9928"/>
      <c r="GG9928"/>
      <c r="GH9928"/>
      <c r="GI9928"/>
      <c r="GJ9928"/>
      <c r="GK9928"/>
      <c r="GL9928"/>
      <c r="GM9928"/>
      <c r="GN9928"/>
      <c r="GO9928"/>
    </row>
    <row r="9929" spans="107:197">
      <c r="DC9929"/>
      <c r="FH9929"/>
      <c r="FI9929"/>
      <c r="FJ9929"/>
      <c r="FK9929"/>
      <c r="FL9929"/>
      <c r="FM9929"/>
      <c r="FN9929"/>
      <c r="FO9929"/>
      <c r="FP9929"/>
      <c r="FQ9929"/>
      <c r="FR9929"/>
      <c r="FS9929"/>
      <c r="FT9929"/>
      <c r="FU9929"/>
      <c r="FV9929"/>
      <c r="FW9929"/>
      <c r="FX9929"/>
      <c r="FY9929"/>
      <c r="FZ9929"/>
      <c r="GA9929"/>
      <c r="GB9929"/>
      <c r="GC9929"/>
      <c r="GD9929"/>
      <c r="GE9929"/>
      <c r="GF9929"/>
      <c r="GG9929"/>
      <c r="GH9929"/>
      <c r="GI9929"/>
      <c r="GJ9929"/>
      <c r="GK9929"/>
      <c r="GL9929"/>
      <c r="GM9929"/>
      <c r="GN9929"/>
      <c r="GO9929"/>
    </row>
    <row r="9930" spans="107:197">
      <c r="DC9930"/>
      <c r="FH9930"/>
      <c r="FI9930"/>
      <c r="FJ9930"/>
      <c r="FK9930"/>
      <c r="FL9930"/>
      <c r="FM9930"/>
      <c r="FN9930"/>
      <c r="FO9930"/>
      <c r="FP9930"/>
      <c r="FQ9930"/>
      <c r="FR9930"/>
      <c r="FS9930"/>
      <c r="FT9930"/>
      <c r="FU9930"/>
      <c r="FV9930"/>
      <c r="FW9930"/>
      <c r="FX9930"/>
      <c r="FY9930"/>
      <c r="FZ9930"/>
      <c r="GA9930"/>
      <c r="GB9930"/>
      <c r="GC9930"/>
      <c r="GD9930"/>
      <c r="GE9930"/>
      <c r="GF9930"/>
      <c r="GG9930"/>
      <c r="GH9930"/>
      <c r="GI9930"/>
      <c r="GJ9930"/>
      <c r="GK9930"/>
      <c r="GL9930"/>
      <c r="GM9930"/>
      <c r="GN9930"/>
      <c r="GO9930"/>
    </row>
    <row r="9931" spans="107:197">
      <c r="DC9931"/>
      <c r="FH9931"/>
      <c r="FI9931"/>
      <c r="FJ9931"/>
      <c r="FK9931"/>
      <c r="FL9931"/>
      <c r="FM9931"/>
      <c r="FN9931"/>
      <c r="FO9931"/>
      <c r="FP9931"/>
      <c r="FQ9931"/>
      <c r="FR9931"/>
      <c r="FS9931"/>
      <c r="FT9931"/>
      <c r="FU9931"/>
      <c r="FV9931"/>
      <c r="FW9931"/>
      <c r="FX9931"/>
      <c r="FY9931"/>
      <c r="FZ9931"/>
      <c r="GA9931"/>
      <c r="GB9931"/>
      <c r="GC9931"/>
      <c r="GD9931"/>
      <c r="GE9931"/>
      <c r="GF9931"/>
      <c r="GG9931"/>
      <c r="GH9931"/>
      <c r="GI9931"/>
      <c r="GJ9931"/>
      <c r="GK9931"/>
      <c r="GL9931"/>
      <c r="GM9931"/>
      <c r="GN9931"/>
      <c r="GO9931"/>
    </row>
    <row r="9932" spans="107:197">
      <c r="DC9932"/>
      <c r="FH9932"/>
      <c r="FI9932"/>
      <c r="FJ9932"/>
      <c r="FK9932"/>
      <c r="FL9932"/>
      <c r="FM9932"/>
      <c r="FN9932"/>
      <c r="FO9932"/>
      <c r="FP9932"/>
      <c r="FQ9932"/>
      <c r="FR9932"/>
      <c r="FS9932"/>
      <c r="FT9932"/>
      <c r="FU9932"/>
      <c r="FV9932"/>
      <c r="FW9932"/>
      <c r="FX9932"/>
      <c r="FY9932"/>
      <c r="FZ9932"/>
      <c r="GA9932"/>
      <c r="GB9932"/>
      <c r="GC9932"/>
      <c r="GD9932"/>
      <c r="GE9932"/>
      <c r="GF9932"/>
      <c r="GG9932"/>
      <c r="GH9932"/>
      <c r="GI9932"/>
      <c r="GJ9932"/>
      <c r="GK9932"/>
      <c r="GL9932"/>
      <c r="GM9932"/>
      <c r="GN9932"/>
      <c r="GO9932"/>
    </row>
    <row r="9933" spans="107:197">
      <c r="DC9933"/>
      <c r="FH9933"/>
      <c r="FI9933"/>
      <c r="FJ9933"/>
      <c r="FK9933"/>
      <c r="FL9933"/>
      <c r="FM9933"/>
      <c r="FN9933"/>
      <c r="FO9933"/>
      <c r="FP9933"/>
      <c r="FQ9933"/>
      <c r="FR9933"/>
      <c r="FS9933"/>
      <c r="FT9933"/>
      <c r="FU9933"/>
      <c r="FV9933"/>
      <c r="FW9933"/>
      <c r="FX9933"/>
      <c r="FY9933"/>
      <c r="FZ9933"/>
      <c r="GA9933"/>
      <c r="GB9933"/>
      <c r="GC9933"/>
      <c r="GD9933"/>
      <c r="GE9933"/>
      <c r="GF9933"/>
      <c r="GG9933"/>
      <c r="GH9933"/>
      <c r="GI9933"/>
      <c r="GJ9933"/>
      <c r="GK9933"/>
      <c r="GL9933"/>
      <c r="GM9933"/>
      <c r="GN9933"/>
      <c r="GO9933"/>
    </row>
    <row r="9934" spans="107:197">
      <c r="DC9934"/>
      <c r="FH9934"/>
      <c r="FI9934"/>
      <c r="FJ9934"/>
      <c r="FK9934"/>
      <c r="FL9934"/>
      <c r="FM9934"/>
      <c r="FN9934"/>
      <c r="FO9934"/>
      <c r="FP9934"/>
      <c r="FQ9934"/>
      <c r="FR9934"/>
      <c r="FS9934"/>
      <c r="FT9934"/>
      <c r="FU9934"/>
      <c r="FV9934"/>
      <c r="FW9934"/>
      <c r="FX9934"/>
      <c r="FY9934"/>
      <c r="FZ9934"/>
      <c r="GA9934"/>
      <c r="GB9934"/>
      <c r="GC9934"/>
      <c r="GD9934"/>
      <c r="GE9934"/>
      <c r="GF9934"/>
      <c r="GG9934"/>
      <c r="GH9934"/>
      <c r="GI9934"/>
      <c r="GJ9934"/>
      <c r="GK9934"/>
      <c r="GL9934"/>
      <c r="GM9934"/>
      <c r="GN9934"/>
      <c r="GO9934"/>
    </row>
    <row r="9935" spans="107:197">
      <c r="DC9935"/>
      <c r="FH9935"/>
      <c r="FI9935"/>
      <c r="FJ9935"/>
      <c r="FK9935"/>
      <c r="FL9935"/>
      <c r="FM9935"/>
      <c r="FN9935"/>
      <c r="FO9935"/>
      <c r="FP9935"/>
      <c r="FQ9935"/>
      <c r="FR9935"/>
      <c r="FS9935"/>
      <c r="FT9935"/>
      <c r="FU9935"/>
      <c r="FV9935"/>
      <c r="FW9935"/>
      <c r="FX9935"/>
      <c r="FY9935"/>
      <c r="FZ9935"/>
      <c r="GA9935"/>
      <c r="GB9935"/>
      <c r="GC9935"/>
      <c r="GD9935"/>
      <c r="GE9935"/>
      <c r="GF9935"/>
      <c r="GG9935"/>
      <c r="GH9935"/>
      <c r="GI9935"/>
      <c r="GJ9935"/>
      <c r="GK9935"/>
      <c r="GL9935"/>
      <c r="GM9935"/>
      <c r="GN9935"/>
      <c r="GO9935"/>
    </row>
    <row r="9936" spans="107:197">
      <c r="DC9936"/>
      <c r="FH9936"/>
      <c r="FI9936"/>
      <c r="FJ9936"/>
      <c r="FK9936"/>
      <c r="FL9936"/>
      <c r="FM9936"/>
      <c r="FN9936"/>
      <c r="FO9936"/>
      <c r="FP9936"/>
      <c r="FQ9936"/>
      <c r="FR9936"/>
      <c r="FS9936"/>
      <c r="FT9936"/>
      <c r="FU9936"/>
      <c r="FV9936"/>
      <c r="FW9936"/>
      <c r="FX9936"/>
      <c r="FY9936"/>
      <c r="FZ9936"/>
      <c r="GA9936"/>
      <c r="GB9936"/>
      <c r="GC9936"/>
      <c r="GD9936"/>
      <c r="GE9936"/>
      <c r="GF9936"/>
      <c r="GG9936"/>
      <c r="GH9936"/>
      <c r="GI9936"/>
      <c r="GJ9936"/>
      <c r="GK9936"/>
      <c r="GL9936"/>
      <c r="GM9936"/>
      <c r="GN9936"/>
      <c r="GO9936"/>
    </row>
    <row r="9937" spans="107:197">
      <c r="DC9937"/>
      <c r="FH9937"/>
      <c r="FI9937"/>
      <c r="FJ9937"/>
      <c r="FK9937"/>
      <c r="FL9937"/>
      <c r="FM9937"/>
      <c r="FN9937"/>
      <c r="FO9937"/>
      <c r="FP9937"/>
      <c r="FQ9937"/>
      <c r="FR9937"/>
      <c r="FS9937"/>
      <c r="FT9937"/>
      <c r="FU9937"/>
      <c r="FV9937"/>
      <c r="FW9937"/>
      <c r="FX9937"/>
      <c r="FY9937"/>
      <c r="FZ9937"/>
      <c r="GA9937"/>
      <c r="GB9937"/>
      <c r="GC9937"/>
      <c r="GD9937"/>
      <c r="GE9937"/>
      <c r="GF9937"/>
      <c r="GG9937"/>
      <c r="GH9937"/>
      <c r="GI9937"/>
      <c r="GJ9937"/>
      <c r="GK9937"/>
      <c r="GL9937"/>
      <c r="GM9937"/>
      <c r="GN9937"/>
      <c r="GO9937"/>
    </row>
    <row r="9938" spans="107:197">
      <c r="DC9938"/>
      <c r="FH9938"/>
      <c r="FI9938"/>
      <c r="FJ9938"/>
      <c r="FK9938"/>
      <c r="FL9938"/>
      <c r="FM9938"/>
      <c r="FN9938"/>
      <c r="FO9938"/>
      <c r="FP9938"/>
      <c r="FQ9938"/>
      <c r="FR9938"/>
      <c r="FS9938"/>
      <c r="FT9938"/>
      <c r="FU9938"/>
      <c r="FV9938"/>
      <c r="FW9938"/>
      <c r="FX9938"/>
      <c r="FY9938"/>
      <c r="FZ9938"/>
      <c r="GA9938"/>
      <c r="GB9938"/>
      <c r="GC9938"/>
      <c r="GD9938"/>
      <c r="GE9938"/>
      <c r="GF9938"/>
      <c r="GG9938"/>
      <c r="GH9938"/>
      <c r="GI9938"/>
      <c r="GJ9938"/>
      <c r="GK9938"/>
      <c r="GL9938"/>
      <c r="GM9938"/>
      <c r="GN9938"/>
      <c r="GO9938"/>
    </row>
    <row r="9939" spans="107:197">
      <c r="DC9939"/>
      <c r="FH9939"/>
      <c r="FI9939"/>
      <c r="FJ9939"/>
      <c r="FK9939"/>
      <c r="FL9939"/>
      <c r="FM9939"/>
      <c r="FN9939"/>
      <c r="FO9939"/>
      <c r="FP9939"/>
      <c r="FQ9939"/>
      <c r="FR9939"/>
      <c r="FS9939"/>
      <c r="FT9939"/>
      <c r="FU9939"/>
      <c r="FV9939"/>
      <c r="FW9939"/>
      <c r="FX9939"/>
      <c r="FY9939"/>
      <c r="FZ9939"/>
      <c r="GA9939"/>
      <c r="GB9939"/>
      <c r="GC9939"/>
      <c r="GD9939"/>
      <c r="GE9939"/>
      <c r="GF9939"/>
      <c r="GG9939"/>
      <c r="GH9939"/>
      <c r="GI9939"/>
      <c r="GJ9939"/>
      <c r="GK9939"/>
      <c r="GL9939"/>
      <c r="GM9939"/>
      <c r="GN9939"/>
      <c r="GO9939"/>
    </row>
    <row r="9940" spans="107:197">
      <c r="DC9940"/>
      <c r="FH9940"/>
      <c r="FI9940"/>
      <c r="FJ9940"/>
      <c r="FK9940"/>
      <c r="FL9940"/>
      <c r="FM9940"/>
      <c r="FN9940"/>
      <c r="FO9940"/>
      <c r="FP9940"/>
      <c r="FQ9940"/>
      <c r="FR9940"/>
      <c r="FS9940"/>
      <c r="FT9940"/>
      <c r="FU9940"/>
      <c r="FV9940"/>
      <c r="FW9940"/>
      <c r="FX9940"/>
      <c r="FY9940"/>
      <c r="FZ9940"/>
      <c r="GA9940"/>
      <c r="GB9940"/>
      <c r="GC9940"/>
      <c r="GD9940"/>
      <c r="GE9940"/>
      <c r="GF9940"/>
      <c r="GG9940"/>
      <c r="GH9940"/>
      <c r="GI9940"/>
      <c r="GJ9940"/>
      <c r="GK9940"/>
      <c r="GL9940"/>
      <c r="GM9940"/>
      <c r="GN9940"/>
      <c r="GO9940"/>
    </row>
    <row r="9941" spans="107:197">
      <c r="DC9941"/>
      <c r="FH9941"/>
      <c r="FI9941"/>
      <c r="FJ9941"/>
      <c r="FK9941"/>
      <c r="FL9941"/>
      <c r="FM9941"/>
      <c r="FN9941"/>
      <c r="FO9941"/>
      <c r="FP9941"/>
      <c r="FQ9941"/>
      <c r="FR9941"/>
      <c r="FS9941"/>
      <c r="FT9941"/>
      <c r="FU9941"/>
      <c r="FV9941"/>
      <c r="FW9941"/>
      <c r="FX9941"/>
      <c r="FY9941"/>
      <c r="FZ9941"/>
      <c r="GA9941"/>
      <c r="GB9941"/>
      <c r="GC9941"/>
      <c r="GD9941"/>
      <c r="GE9941"/>
      <c r="GF9941"/>
      <c r="GG9941"/>
      <c r="GH9941"/>
      <c r="GI9941"/>
      <c r="GJ9941"/>
      <c r="GK9941"/>
      <c r="GL9941"/>
      <c r="GM9941"/>
      <c r="GN9941"/>
      <c r="GO9941"/>
    </row>
    <row r="9942" spans="107:197">
      <c r="DC9942"/>
      <c r="FH9942"/>
      <c r="FI9942"/>
      <c r="FJ9942"/>
      <c r="FK9942"/>
      <c r="FL9942"/>
      <c r="FM9942"/>
      <c r="FN9942"/>
      <c r="FO9942"/>
      <c r="FP9942"/>
      <c r="FQ9942"/>
      <c r="FR9942"/>
      <c r="FS9942"/>
      <c r="FT9942"/>
      <c r="FU9942"/>
      <c r="FV9942"/>
      <c r="FW9942"/>
      <c r="FX9942"/>
      <c r="FY9942"/>
      <c r="FZ9942"/>
      <c r="GA9942"/>
      <c r="GB9942"/>
      <c r="GC9942"/>
      <c r="GD9942"/>
      <c r="GE9942"/>
      <c r="GF9942"/>
      <c r="GG9942"/>
      <c r="GH9942"/>
      <c r="GI9942"/>
      <c r="GJ9942"/>
      <c r="GK9942"/>
      <c r="GL9942"/>
      <c r="GM9942"/>
      <c r="GN9942"/>
      <c r="GO9942"/>
    </row>
    <row r="9943" spans="107:197">
      <c r="DC9943"/>
      <c r="FH9943"/>
      <c r="FI9943"/>
      <c r="FJ9943"/>
      <c r="FK9943"/>
      <c r="FL9943"/>
      <c r="FM9943"/>
      <c r="FN9943"/>
      <c r="FO9943"/>
      <c r="FP9943"/>
      <c r="FQ9943"/>
      <c r="FR9943"/>
      <c r="FS9943"/>
      <c r="FT9943"/>
      <c r="FU9943"/>
      <c r="FV9943"/>
      <c r="FW9943"/>
      <c r="FX9943"/>
      <c r="FY9943"/>
      <c r="FZ9943"/>
      <c r="GA9943"/>
      <c r="GB9943"/>
      <c r="GC9943"/>
      <c r="GD9943"/>
      <c r="GE9943"/>
      <c r="GF9943"/>
      <c r="GG9943"/>
      <c r="GH9943"/>
      <c r="GI9943"/>
      <c r="GJ9943"/>
      <c r="GK9943"/>
      <c r="GL9943"/>
      <c r="GM9943"/>
      <c r="GN9943"/>
      <c r="GO9943"/>
    </row>
    <row r="9944" spans="107:197">
      <c r="DC9944"/>
      <c r="FH9944"/>
      <c r="FI9944"/>
      <c r="FJ9944"/>
      <c r="FK9944"/>
      <c r="FL9944"/>
      <c r="FM9944"/>
      <c r="FN9944"/>
      <c r="FO9944"/>
      <c r="FP9944"/>
      <c r="FQ9944"/>
      <c r="FR9944"/>
      <c r="FS9944"/>
      <c r="FT9944"/>
      <c r="FU9944"/>
      <c r="FV9944"/>
      <c r="FW9944"/>
      <c r="FX9944"/>
      <c r="FY9944"/>
      <c r="FZ9944"/>
      <c r="GA9944"/>
      <c r="GB9944"/>
      <c r="GC9944"/>
      <c r="GD9944"/>
      <c r="GE9944"/>
      <c r="GF9944"/>
      <c r="GG9944"/>
      <c r="GH9944"/>
      <c r="GI9944"/>
      <c r="GJ9944"/>
      <c r="GK9944"/>
      <c r="GL9944"/>
      <c r="GM9944"/>
      <c r="GN9944"/>
      <c r="GO9944"/>
    </row>
    <row r="9945" spans="107:197">
      <c r="DC9945"/>
      <c r="FH9945"/>
      <c r="FI9945"/>
      <c r="FJ9945"/>
      <c r="FK9945"/>
      <c r="FL9945"/>
      <c r="FM9945"/>
      <c r="FN9945"/>
      <c r="FO9945"/>
      <c r="FP9945"/>
      <c r="FQ9945"/>
      <c r="FR9945"/>
      <c r="FS9945"/>
      <c r="FT9945"/>
      <c r="FU9945"/>
      <c r="FV9945"/>
      <c r="FW9945"/>
      <c r="FX9945"/>
      <c r="FY9945"/>
      <c r="FZ9945"/>
      <c r="GA9945"/>
      <c r="GB9945"/>
      <c r="GC9945"/>
      <c r="GD9945"/>
      <c r="GE9945"/>
      <c r="GF9945"/>
      <c r="GG9945"/>
      <c r="GH9945"/>
      <c r="GI9945"/>
      <c r="GJ9945"/>
      <c r="GK9945"/>
      <c r="GL9945"/>
      <c r="GM9945"/>
      <c r="GN9945"/>
      <c r="GO9945"/>
    </row>
    <row r="9946" spans="107:197">
      <c r="DC9946"/>
      <c r="FH9946"/>
      <c r="FI9946"/>
      <c r="FJ9946"/>
      <c r="FK9946"/>
      <c r="FL9946"/>
      <c r="FM9946"/>
      <c r="FN9946"/>
      <c r="FO9946"/>
      <c r="FP9946"/>
      <c r="FQ9946"/>
      <c r="FR9946"/>
      <c r="FS9946"/>
      <c r="FT9946"/>
      <c r="FU9946"/>
      <c r="FV9946"/>
      <c r="FW9946"/>
      <c r="FX9946"/>
      <c r="FY9946"/>
      <c r="FZ9946"/>
      <c r="GA9946"/>
      <c r="GB9946"/>
      <c r="GC9946"/>
      <c r="GD9946"/>
      <c r="GE9946"/>
      <c r="GF9946"/>
      <c r="GG9946"/>
      <c r="GH9946"/>
      <c r="GI9946"/>
      <c r="GJ9946"/>
      <c r="GK9946"/>
      <c r="GL9946"/>
      <c r="GM9946"/>
      <c r="GN9946"/>
      <c r="GO9946"/>
    </row>
    <row r="9947" spans="107:197">
      <c r="DC9947"/>
      <c r="FH9947"/>
      <c r="FI9947"/>
      <c r="FJ9947"/>
      <c r="FK9947"/>
      <c r="FL9947"/>
      <c r="FM9947"/>
      <c r="FN9947"/>
      <c r="FO9947"/>
      <c r="FP9947"/>
      <c r="FQ9947"/>
      <c r="FR9947"/>
      <c r="FS9947"/>
      <c r="FT9947"/>
      <c r="FU9947"/>
      <c r="FV9947"/>
      <c r="FW9947"/>
      <c r="FX9947"/>
      <c r="FY9947"/>
      <c r="FZ9947"/>
      <c r="GA9947"/>
      <c r="GB9947"/>
      <c r="GC9947"/>
      <c r="GD9947"/>
      <c r="GE9947"/>
      <c r="GF9947"/>
      <c r="GG9947"/>
      <c r="GH9947"/>
      <c r="GI9947"/>
      <c r="GJ9947"/>
      <c r="GK9947"/>
      <c r="GL9947"/>
      <c r="GM9947"/>
      <c r="GN9947"/>
      <c r="GO9947"/>
    </row>
    <row r="9948" spans="107:197">
      <c r="DC9948"/>
      <c r="FH9948"/>
      <c r="FI9948"/>
      <c r="FJ9948"/>
      <c r="FK9948"/>
      <c r="FL9948"/>
      <c r="FM9948"/>
      <c r="FN9948"/>
      <c r="FO9948"/>
      <c r="FP9948"/>
      <c r="FQ9948"/>
      <c r="FR9948"/>
      <c r="FS9948"/>
      <c r="FT9948"/>
      <c r="FU9948"/>
      <c r="FV9948"/>
      <c r="FW9948"/>
      <c r="FX9948"/>
      <c r="FY9948"/>
      <c r="FZ9948"/>
      <c r="GA9948"/>
      <c r="GB9948"/>
      <c r="GC9948"/>
      <c r="GD9948"/>
      <c r="GE9948"/>
      <c r="GF9948"/>
      <c r="GG9948"/>
      <c r="GH9948"/>
      <c r="GI9948"/>
      <c r="GJ9948"/>
      <c r="GK9948"/>
      <c r="GL9948"/>
      <c r="GM9948"/>
      <c r="GN9948"/>
      <c r="GO9948"/>
    </row>
    <row r="9949" spans="107:197">
      <c r="DC9949"/>
      <c r="FH9949"/>
      <c r="FI9949"/>
      <c r="FJ9949"/>
      <c r="FK9949"/>
      <c r="FL9949"/>
      <c r="FM9949"/>
      <c r="FN9949"/>
      <c r="FO9949"/>
      <c r="FP9949"/>
      <c r="FQ9949"/>
      <c r="FR9949"/>
      <c r="FS9949"/>
      <c r="FT9949"/>
      <c r="FU9949"/>
      <c r="FV9949"/>
      <c r="FW9949"/>
      <c r="FX9949"/>
      <c r="FY9949"/>
      <c r="FZ9949"/>
      <c r="GA9949"/>
      <c r="GB9949"/>
      <c r="GC9949"/>
      <c r="GD9949"/>
      <c r="GE9949"/>
      <c r="GF9949"/>
      <c r="GG9949"/>
      <c r="GH9949"/>
      <c r="GI9949"/>
      <c r="GJ9949"/>
      <c r="GK9949"/>
      <c r="GL9949"/>
      <c r="GM9949"/>
      <c r="GN9949"/>
      <c r="GO9949"/>
    </row>
    <row r="9950" spans="107:197">
      <c r="DC9950"/>
      <c r="FH9950"/>
      <c r="FI9950"/>
      <c r="FJ9950"/>
      <c r="FK9950"/>
      <c r="FL9950"/>
      <c r="FM9950"/>
      <c r="FN9950"/>
      <c r="FO9950"/>
      <c r="FP9950"/>
      <c r="FQ9950"/>
      <c r="FR9950"/>
      <c r="FS9950"/>
      <c r="FT9950"/>
      <c r="FU9950"/>
      <c r="FV9950"/>
      <c r="FW9950"/>
      <c r="FX9950"/>
      <c r="FY9950"/>
      <c r="FZ9950"/>
      <c r="GA9950"/>
      <c r="GB9950"/>
      <c r="GC9950"/>
      <c r="GD9950"/>
      <c r="GE9950"/>
      <c r="GF9950"/>
      <c r="GG9950"/>
      <c r="GH9950"/>
      <c r="GI9950"/>
      <c r="GJ9950"/>
      <c r="GK9950"/>
      <c r="GL9950"/>
      <c r="GM9950"/>
      <c r="GN9950"/>
      <c r="GO9950"/>
    </row>
    <row r="9951" spans="107:197">
      <c r="DC9951"/>
      <c r="FH9951"/>
      <c r="FI9951"/>
      <c r="FJ9951"/>
      <c r="FK9951"/>
      <c r="FL9951"/>
      <c r="FM9951"/>
      <c r="FN9951"/>
      <c r="FO9951"/>
      <c r="FP9951"/>
      <c r="FQ9951"/>
      <c r="FR9951"/>
      <c r="FS9951"/>
      <c r="FT9951"/>
      <c r="FU9951"/>
      <c r="FV9951"/>
      <c r="FW9951"/>
      <c r="FX9951"/>
      <c r="FY9951"/>
      <c r="FZ9951"/>
      <c r="GA9951"/>
      <c r="GB9951"/>
      <c r="GC9951"/>
      <c r="GD9951"/>
      <c r="GE9951"/>
      <c r="GF9951"/>
      <c r="GG9951"/>
      <c r="GH9951"/>
      <c r="GI9951"/>
      <c r="GJ9951"/>
      <c r="GK9951"/>
      <c r="GL9951"/>
      <c r="GM9951"/>
      <c r="GN9951"/>
      <c r="GO9951"/>
    </row>
    <row r="9952" spans="107:197">
      <c r="DC9952"/>
      <c r="FH9952"/>
      <c r="FI9952"/>
      <c r="FJ9952"/>
      <c r="FK9952"/>
      <c r="FL9952"/>
      <c r="FM9952"/>
      <c r="FN9952"/>
      <c r="FO9952"/>
      <c r="FP9952"/>
      <c r="FQ9952"/>
      <c r="FR9952"/>
      <c r="FS9952"/>
      <c r="FT9952"/>
      <c r="FU9952"/>
      <c r="FV9952"/>
      <c r="FW9952"/>
      <c r="FX9952"/>
      <c r="FY9952"/>
      <c r="FZ9952"/>
      <c r="GA9952"/>
      <c r="GB9952"/>
      <c r="GC9952"/>
      <c r="GD9952"/>
      <c r="GE9952"/>
      <c r="GF9952"/>
      <c r="GG9952"/>
      <c r="GH9952"/>
      <c r="GI9952"/>
      <c r="GJ9952"/>
      <c r="GK9952"/>
      <c r="GL9952"/>
      <c r="GM9952"/>
      <c r="GN9952"/>
      <c r="GO9952"/>
    </row>
    <row r="9953" spans="107:197">
      <c r="DC9953"/>
      <c r="FH9953"/>
      <c r="FI9953"/>
      <c r="FJ9953"/>
      <c r="FK9953"/>
      <c r="FL9953"/>
      <c r="FM9953"/>
      <c r="FN9953"/>
      <c r="FO9953"/>
      <c r="FP9953"/>
      <c r="FQ9953"/>
      <c r="FR9953"/>
      <c r="FS9953"/>
      <c r="FT9953"/>
      <c r="FU9953"/>
      <c r="FV9953"/>
      <c r="FW9953"/>
      <c r="FX9953"/>
      <c r="FY9953"/>
      <c r="FZ9953"/>
      <c r="GA9953"/>
      <c r="GB9953"/>
      <c r="GC9953"/>
      <c r="GD9953"/>
      <c r="GE9953"/>
      <c r="GF9953"/>
      <c r="GG9953"/>
      <c r="GH9953"/>
      <c r="GI9953"/>
      <c r="GJ9953"/>
      <c r="GK9953"/>
      <c r="GL9953"/>
      <c r="GM9953"/>
      <c r="GN9953"/>
      <c r="GO9953"/>
    </row>
    <row r="9954" spans="107:197">
      <c r="DC9954"/>
      <c r="FH9954"/>
      <c r="FI9954"/>
      <c r="FJ9954"/>
      <c r="FK9954"/>
      <c r="FL9954"/>
      <c r="FM9954"/>
      <c r="FN9954"/>
      <c r="FO9954"/>
      <c r="FP9954"/>
      <c r="FQ9954"/>
      <c r="FR9954"/>
      <c r="FS9954"/>
      <c r="FT9954"/>
      <c r="FU9954"/>
      <c r="FV9954"/>
      <c r="FW9954"/>
      <c r="FX9954"/>
      <c r="FY9954"/>
      <c r="FZ9954"/>
      <c r="GA9954"/>
      <c r="GB9954"/>
      <c r="GC9954"/>
      <c r="GD9954"/>
      <c r="GE9954"/>
      <c r="GF9954"/>
      <c r="GG9954"/>
      <c r="GH9954"/>
      <c r="GI9954"/>
      <c r="GJ9954"/>
      <c r="GK9954"/>
      <c r="GL9954"/>
      <c r="GM9954"/>
      <c r="GN9954"/>
      <c r="GO9954"/>
    </row>
    <row r="9955" spans="107:197">
      <c r="DC9955"/>
      <c r="FH9955"/>
      <c r="FI9955"/>
      <c r="FJ9955"/>
      <c r="FK9955"/>
      <c r="FL9955"/>
      <c r="FM9955"/>
      <c r="FN9955"/>
      <c r="FO9955"/>
      <c r="FP9955"/>
      <c r="FQ9955"/>
      <c r="FR9955"/>
      <c r="FS9955"/>
      <c r="FT9955"/>
      <c r="FU9955"/>
      <c r="FV9955"/>
      <c r="FW9955"/>
      <c r="FX9955"/>
      <c r="FY9955"/>
      <c r="FZ9955"/>
      <c r="GA9955"/>
      <c r="GB9955"/>
      <c r="GC9955"/>
      <c r="GD9955"/>
      <c r="GE9955"/>
      <c r="GF9955"/>
      <c r="GG9955"/>
      <c r="GH9955"/>
      <c r="GI9955"/>
      <c r="GJ9955"/>
      <c r="GK9955"/>
      <c r="GL9955"/>
      <c r="GM9955"/>
      <c r="GN9955"/>
      <c r="GO9955"/>
    </row>
    <row r="9956" spans="107:197">
      <c r="DC9956"/>
      <c r="FH9956"/>
      <c r="FI9956"/>
      <c r="FJ9956"/>
      <c r="FK9956"/>
      <c r="FL9956"/>
      <c r="FM9956"/>
      <c r="FN9956"/>
      <c r="FO9956"/>
      <c r="FP9956"/>
      <c r="FQ9956"/>
      <c r="FR9956"/>
      <c r="FS9956"/>
      <c r="FT9956"/>
      <c r="FU9956"/>
      <c r="FV9956"/>
      <c r="FW9956"/>
      <c r="FX9956"/>
      <c r="FY9956"/>
      <c r="FZ9956"/>
      <c r="GA9956"/>
      <c r="GB9956"/>
      <c r="GC9956"/>
      <c r="GD9956"/>
      <c r="GE9956"/>
      <c r="GF9956"/>
      <c r="GG9956"/>
      <c r="GH9956"/>
      <c r="GI9956"/>
      <c r="GJ9956"/>
      <c r="GK9956"/>
      <c r="GL9956"/>
      <c r="GM9956"/>
      <c r="GN9956"/>
      <c r="GO9956"/>
    </row>
    <row r="9957" spans="107:197">
      <c r="DC9957"/>
      <c r="FH9957"/>
      <c r="FI9957"/>
      <c r="FJ9957"/>
      <c r="FK9957"/>
      <c r="FL9957"/>
      <c r="FM9957"/>
      <c r="FN9957"/>
      <c r="FO9957"/>
      <c r="FP9957"/>
      <c r="FQ9957"/>
      <c r="FR9957"/>
      <c r="FS9957"/>
      <c r="FT9957"/>
      <c r="FU9957"/>
      <c r="FV9957"/>
      <c r="FW9957"/>
      <c r="FX9957"/>
      <c r="FY9957"/>
      <c r="FZ9957"/>
      <c r="GA9957"/>
      <c r="GB9957"/>
      <c r="GC9957"/>
      <c r="GD9957"/>
      <c r="GE9957"/>
      <c r="GF9957"/>
      <c r="GG9957"/>
      <c r="GH9957"/>
      <c r="GI9957"/>
      <c r="GJ9957"/>
      <c r="GK9957"/>
      <c r="GL9957"/>
      <c r="GM9957"/>
      <c r="GN9957"/>
      <c r="GO9957"/>
    </row>
    <row r="9958" spans="107:197">
      <c r="DC9958"/>
      <c r="FH9958"/>
      <c r="FI9958"/>
      <c r="FJ9958"/>
      <c r="FK9958"/>
      <c r="FL9958"/>
      <c r="FM9958"/>
      <c r="FN9958"/>
      <c r="FO9958"/>
      <c r="FP9958"/>
      <c r="FQ9958"/>
      <c r="FR9958"/>
      <c r="FS9958"/>
      <c r="FT9958"/>
      <c r="FU9958"/>
      <c r="FV9958"/>
      <c r="FW9958"/>
      <c r="FX9958"/>
      <c r="FY9958"/>
      <c r="FZ9958"/>
      <c r="GA9958"/>
      <c r="GB9958"/>
      <c r="GC9958"/>
      <c r="GD9958"/>
      <c r="GE9958"/>
      <c r="GF9958"/>
      <c r="GG9958"/>
      <c r="GH9958"/>
      <c r="GI9958"/>
      <c r="GJ9958"/>
      <c r="GK9958"/>
      <c r="GL9958"/>
      <c r="GM9958"/>
      <c r="GN9958"/>
      <c r="GO9958"/>
    </row>
    <row r="9959" spans="107:197">
      <c r="DC9959"/>
      <c r="FH9959"/>
      <c r="FI9959"/>
      <c r="FJ9959"/>
      <c r="FK9959"/>
      <c r="FL9959"/>
      <c r="FM9959"/>
      <c r="FN9959"/>
      <c r="FO9959"/>
      <c r="FP9959"/>
      <c r="FQ9959"/>
      <c r="FR9959"/>
      <c r="FS9959"/>
      <c r="FT9959"/>
      <c r="FU9959"/>
      <c r="FV9959"/>
      <c r="FW9959"/>
      <c r="FX9959"/>
      <c r="FY9959"/>
      <c r="FZ9959"/>
      <c r="GA9959"/>
      <c r="GB9959"/>
      <c r="GC9959"/>
      <c r="GD9959"/>
      <c r="GE9959"/>
      <c r="GF9959"/>
      <c r="GG9959"/>
      <c r="GH9959"/>
      <c r="GI9959"/>
      <c r="GJ9959"/>
      <c r="GK9959"/>
      <c r="GL9959"/>
      <c r="GM9959"/>
      <c r="GN9959"/>
      <c r="GO9959"/>
    </row>
    <row r="9960" spans="107:197">
      <c r="DC9960"/>
      <c r="FH9960"/>
      <c r="FI9960"/>
      <c r="FJ9960"/>
      <c r="FK9960"/>
      <c r="FL9960"/>
      <c r="FM9960"/>
      <c r="FN9960"/>
      <c r="FO9960"/>
      <c r="FP9960"/>
      <c r="FQ9960"/>
      <c r="FR9960"/>
      <c r="FS9960"/>
      <c r="FT9960"/>
      <c r="FU9960"/>
      <c r="FV9960"/>
      <c r="FW9960"/>
      <c r="FX9960"/>
      <c r="FY9960"/>
      <c r="FZ9960"/>
      <c r="GA9960"/>
      <c r="GB9960"/>
      <c r="GC9960"/>
      <c r="GD9960"/>
      <c r="GE9960"/>
      <c r="GF9960"/>
      <c r="GG9960"/>
      <c r="GH9960"/>
      <c r="GI9960"/>
      <c r="GJ9960"/>
      <c r="GK9960"/>
      <c r="GL9960"/>
      <c r="GM9960"/>
      <c r="GN9960"/>
      <c r="GO9960"/>
    </row>
    <row r="9961" spans="107:197">
      <c r="DC9961"/>
      <c r="FH9961"/>
      <c r="FI9961"/>
      <c r="FJ9961"/>
      <c r="FK9961"/>
      <c r="FL9961"/>
      <c r="FM9961"/>
      <c r="FN9961"/>
      <c r="FO9961"/>
      <c r="FP9961"/>
      <c r="FQ9961"/>
      <c r="FR9961"/>
      <c r="FS9961"/>
      <c r="FT9961"/>
      <c r="FU9961"/>
      <c r="FV9961"/>
      <c r="FW9961"/>
      <c r="FX9961"/>
      <c r="FY9961"/>
      <c r="FZ9961"/>
      <c r="GA9961"/>
      <c r="GB9961"/>
      <c r="GC9961"/>
      <c r="GD9961"/>
      <c r="GE9961"/>
      <c r="GF9961"/>
      <c r="GG9961"/>
      <c r="GH9961"/>
      <c r="GI9961"/>
      <c r="GJ9961"/>
      <c r="GK9961"/>
      <c r="GL9961"/>
      <c r="GM9961"/>
      <c r="GN9961"/>
      <c r="GO9961"/>
    </row>
    <row r="9962" spans="107:197">
      <c r="DC9962"/>
      <c r="FH9962"/>
      <c r="FI9962"/>
      <c r="FJ9962"/>
      <c r="FK9962"/>
      <c r="FL9962"/>
      <c r="FM9962"/>
      <c r="FN9962"/>
      <c r="FO9962"/>
      <c r="FP9962"/>
      <c r="FQ9962"/>
      <c r="FR9962"/>
      <c r="FS9962"/>
      <c r="FT9962"/>
      <c r="FU9962"/>
      <c r="FV9962"/>
      <c r="FW9962"/>
      <c r="FX9962"/>
      <c r="FY9962"/>
      <c r="FZ9962"/>
      <c r="GA9962"/>
      <c r="GB9962"/>
      <c r="GC9962"/>
      <c r="GD9962"/>
      <c r="GE9962"/>
      <c r="GF9962"/>
      <c r="GG9962"/>
      <c r="GH9962"/>
      <c r="GI9962"/>
      <c r="GJ9962"/>
      <c r="GK9962"/>
      <c r="GL9962"/>
      <c r="GM9962"/>
      <c r="GN9962"/>
      <c r="GO9962"/>
    </row>
    <row r="9963" spans="107:197">
      <c r="DC9963"/>
      <c r="FH9963"/>
      <c r="FI9963"/>
      <c r="FJ9963"/>
      <c r="FK9963"/>
      <c r="FL9963"/>
      <c r="FM9963"/>
      <c r="FN9963"/>
      <c r="FO9963"/>
      <c r="FP9963"/>
      <c r="FQ9963"/>
      <c r="FR9963"/>
      <c r="FS9963"/>
      <c r="FT9963"/>
      <c r="FU9963"/>
      <c r="FV9963"/>
      <c r="FW9963"/>
      <c r="FX9963"/>
      <c r="FY9963"/>
      <c r="FZ9963"/>
      <c r="GA9963"/>
      <c r="GB9963"/>
      <c r="GC9963"/>
      <c r="GD9963"/>
      <c r="GE9963"/>
      <c r="GF9963"/>
      <c r="GG9963"/>
      <c r="GH9963"/>
      <c r="GI9963"/>
      <c r="GJ9963"/>
      <c r="GK9963"/>
      <c r="GL9963"/>
      <c r="GM9963"/>
      <c r="GN9963"/>
      <c r="GO9963"/>
    </row>
    <row r="9964" spans="107:197">
      <c r="DC9964"/>
      <c r="FH9964"/>
      <c r="FI9964"/>
      <c r="FJ9964"/>
      <c r="FK9964"/>
      <c r="FL9964"/>
      <c r="FM9964"/>
      <c r="FN9964"/>
      <c r="FO9964"/>
      <c r="FP9964"/>
      <c r="FQ9964"/>
      <c r="FR9964"/>
      <c r="FS9964"/>
      <c r="FT9964"/>
      <c r="FU9964"/>
      <c r="FV9964"/>
      <c r="FW9964"/>
      <c r="FX9964"/>
      <c r="FY9964"/>
      <c r="FZ9964"/>
      <c r="GA9964"/>
      <c r="GB9964"/>
      <c r="GC9964"/>
      <c r="GD9964"/>
      <c r="GE9964"/>
      <c r="GF9964"/>
      <c r="GG9964"/>
      <c r="GH9964"/>
      <c r="GI9964"/>
      <c r="GJ9964"/>
      <c r="GK9964"/>
      <c r="GL9964"/>
      <c r="GM9964"/>
      <c r="GN9964"/>
      <c r="GO9964"/>
    </row>
    <row r="9965" spans="107:197">
      <c r="DC9965"/>
      <c r="FH9965"/>
      <c r="FI9965"/>
      <c r="FJ9965"/>
      <c r="FK9965"/>
      <c r="FL9965"/>
      <c r="FM9965"/>
      <c r="FN9965"/>
      <c r="FO9965"/>
      <c r="FP9965"/>
      <c r="FQ9965"/>
      <c r="FR9965"/>
      <c r="FS9965"/>
      <c r="FT9965"/>
      <c r="FU9965"/>
      <c r="FV9965"/>
      <c r="FW9965"/>
      <c r="FX9965"/>
      <c r="FY9965"/>
      <c r="FZ9965"/>
      <c r="GA9965"/>
      <c r="GB9965"/>
      <c r="GC9965"/>
      <c r="GD9965"/>
      <c r="GE9965"/>
      <c r="GF9965"/>
      <c r="GG9965"/>
      <c r="GH9965"/>
      <c r="GI9965"/>
      <c r="GJ9965"/>
      <c r="GK9965"/>
      <c r="GL9965"/>
      <c r="GM9965"/>
      <c r="GN9965"/>
      <c r="GO9965"/>
    </row>
    <row r="9966" spans="107:197">
      <c r="DC9966"/>
      <c r="FH9966"/>
      <c r="FI9966"/>
      <c r="FJ9966"/>
      <c r="FK9966"/>
      <c r="FL9966"/>
      <c r="FM9966"/>
      <c r="FN9966"/>
      <c r="FO9966"/>
      <c r="FP9966"/>
      <c r="FQ9966"/>
      <c r="FR9966"/>
      <c r="FS9966"/>
      <c r="FT9966"/>
      <c r="FU9966"/>
      <c r="FV9966"/>
      <c r="FW9966"/>
      <c r="FX9966"/>
      <c r="FY9966"/>
      <c r="FZ9966"/>
      <c r="GA9966"/>
      <c r="GB9966"/>
      <c r="GC9966"/>
      <c r="GD9966"/>
      <c r="GE9966"/>
      <c r="GF9966"/>
      <c r="GG9966"/>
      <c r="GH9966"/>
      <c r="GI9966"/>
      <c r="GJ9966"/>
      <c r="GK9966"/>
      <c r="GL9966"/>
      <c r="GM9966"/>
      <c r="GN9966"/>
      <c r="GO9966"/>
    </row>
    <row r="9967" spans="107:197">
      <c r="DC9967"/>
      <c r="FH9967"/>
      <c r="FI9967"/>
      <c r="FJ9967"/>
      <c r="FK9967"/>
      <c r="FL9967"/>
      <c r="FM9967"/>
      <c r="FN9967"/>
      <c r="FO9967"/>
      <c r="FP9967"/>
      <c r="FQ9967"/>
      <c r="FR9967"/>
      <c r="FS9967"/>
      <c r="FT9967"/>
      <c r="FU9967"/>
      <c r="FV9967"/>
      <c r="FW9967"/>
      <c r="FX9967"/>
      <c r="FY9967"/>
      <c r="FZ9967"/>
      <c r="GA9967"/>
      <c r="GB9967"/>
      <c r="GC9967"/>
      <c r="GD9967"/>
      <c r="GE9967"/>
      <c r="GF9967"/>
      <c r="GG9967"/>
      <c r="GH9967"/>
      <c r="GI9967"/>
      <c r="GJ9967"/>
      <c r="GK9967"/>
      <c r="GL9967"/>
      <c r="GM9967"/>
      <c r="GN9967"/>
      <c r="GO9967"/>
    </row>
    <row r="9968" spans="107:197">
      <c r="DC9968"/>
      <c r="FH9968"/>
      <c r="FI9968"/>
      <c r="FJ9968"/>
      <c r="FK9968"/>
      <c r="FL9968"/>
      <c r="FM9968"/>
      <c r="FN9968"/>
      <c r="FO9968"/>
      <c r="FP9968"/>
      <c r="FQ9968"/>
      <c r="FR9968"/>
      <c r="FS9968"/>
      <c r="FT9968"/>
      <c r="FU9968"/>
      <c r="FV9968"/>
      <c r="FW9968"/>
      <c r="FX9968"/>
      <c r="FY9968"/>
      <c r="FZ9968"/>
      <c r="GA9968"/>
      <c r="GB9968"/>
      <c r="GC9968"/>
      <c r="GD9968"/>
      <c r="GE9968"/>
      <c r="GF9968"/>
      <c r="GG9968"/>
      <c r="GH9968"/>
      <c r="GI9968"/>
      <c r="GJ9968"/>
      <c r="GK9968"/>
      <c r="GL9968"/>
      <c r="GM9968"/>
      <c r="GN9968"/>
      <c r="GO9968"/>
    </row>
    <row r="9969" spans="107:197">
      <c r="DC9969"/>
      <c r="FH9969"/>
      <c r="FI9969"/>
      <c r="FJ9969"/>
      <c r="FK9969"/>
      <c r="FL9969"/>
      <c r="FM9969"/>
      <c r="FN9969"/>
      <c r="FO9969"/>
      <c r="FP9969"/>
      <c r="FQ9969"/>
      <c r="FR9969"/>
      <c r="FS9969"/>
      <c r="FT9969"/>
      <c r="FU9969"/>
      <c r="FV9969"/>
      <c r="FW9969"/>
      <c r="FX9969"/>
      <c r="FY9969"/>
      <c r="FZ9969"/>
      <c r="GA9969"/>
      <c r="GB9969"/>
      <c r="GC9969"/>
      <c r="GD9969"/>
      <c r="GE9969"/>
      <c r="GF9969"/>
      <c r="GG9969"/>
      <c r="GH9969"/>
      <c r="GI9969"/>
      <c r="GJ9969"/>
      <c r="GK9969"/>
      <c r="GL9969"/>
      <c r="GM9969"/>
      <c r="GN9969"/>
      <c r="GO9969"/>
    </row>
    <row r="9970" spans="107:197">
      <c r="DC9970"/>
      <c r="FH9970"/>
      <c r="FI9970"/>
      <c r="FJ9970"/>
      <c r="FK9970"/>
      <c r="FL9970"/>
      <c r="FM9970"/>
      <c r="FN9970"/>
      <c r="FO9970"/>
      <c r="FP9970"/>
      <c r="FQ9970"/>
      <c r="FR9970"/>
      <c r="FS9970"/>
      <c r="FT9970"/>
      <c r="FU9970"/>
      <c r="FV9970"/>
      <c r="FW9970"/>
      <c r="FX9970"/>
      <c r="FY9970"/>
      <c r="FZ9970"/>
      <c r="GA9970"/>
      <c r="GB9970"/>
      <c r="GC9970"/>
      <c r="GD9970"/>
      <c r="GE9970"/>
      <c r="GF9970"/>
      <c r="GG9970"/>
      <c r="GH9970"/>
      <c r="GI9970"/>
      <c r="GJ9970"/>
      <c r="GK9970"/>
      <c r="GL9970"/>
      <c r="GM9970"/>
      <c r="GN9970"/>
      <c r="GO9970"/>
    </row>
    <row r="9971" spans="107:197">
      <c r="DC9971"/>
      <c r="FH9971"/>
      <c r="FI9971"/>
      <c r="FJ9971"/>
      <c r="FK9971"/>
      <c r="FL9971"/>
      <c r="FM9971"/>
      <c r="FN9971"/>
      <c r="FO9971"/>
      <c r="FP9971"/>
      <c r="FQ9971"/>
      <c r="FR9971"/>
      <c r="FS9971"/>
      <c r="FT9971"/>
      <c r="FU9971"/>
      <c r="FV9971"/>
      <c r="FW9971"/>
      <c r="FX9971"/>
      <c r="FY9971"/>
      <c r="FZ9971"/>
      <c r="GA9971"/>
      <c r="GB9971"/>
      <c r="GC9971"/>
      <c r="GD9971"/>
      <c r="GE9971"/>
      <c r="GF9971"/>
      <c r="GG9971"/>
      <c r="GH9971"/>
      <c r="GI9971"/>
      <c r="GJ9971"/>
      <c r="GK9971"/>
      <c r="GL9971"/>
      <c r="GM9971"/>
      <c r="GN9971"/>
      <c r="GO9971"/>
    </row>
    <row r="9972" spans="107:197">
      <c r="DC9972"/>
      <c r="FH9972"/>
      <c r="FI9972"/>
      <c r="FJ9972"/>
      <c r="FK9972"/>
      <c r="FL9972"/>
      <c r="FM9972"/>
      <c r="FN9972"/>
      <c r="FO9972"/>
      <c r="FP9972"/>
      <c r="FQ9972"/>
      <c r="FR9972"/>
      <c r="FS9972"/>
      <c r="FT9972"/>
      <c r="FU9972"/>
      <c r="FV9972"/>
      <c r="FW9972"/>
      <c r="FX9972"/>
      <c r="FY9972"/>
      <c r="FZ9972"/>
      <c r="GA9972"/>
      <c r="GB9972"/>
      <c r="GC9972"/>
      <c r="GD9972"/>
      <c r="GE9972"/>
      <c r="GF9972"/>
      <c r="GG9972"/>
      <c r="GH9972"/>
      <c r="GI9972"/>
      <c r="GJ9972"/>
      <c r="GK9972"/>
      <c r="GL9972"/>
      <c r="GM9972"/>
      <c r="GN9972"/>
      <c r="GO9972"/>
    </row>
    <row r="9973" spans="107:197">
      <c r="DC9973"/>
      <c r="FH9973"/>
      <c r="FI9973"/>
      <c r="FJ9973"/>
      <c r="FK9973"/>
      <c r="FL9973"/>
      <c r="FM9973"/>
      <c r="FN9973"/>
      <c r="FO9973"/>
      <c r="FP9973"/>
      <c r="FQ9973"/>
      <c r="FR9973"/>
      <c r="FS9973"/>
      <c r="FT9973"/>
      <c r="FU9973"/>
      <c r="FV9973"/>
      <c r="FW9973"/>
      <c r="FX9973"/>
      <c r="FY9973"/>
      <c r="FZ9973"/>
      <c r="GA9973"/>
      <c r="GB9973"/>
      <c r="GC9973"/>
      <c r="GD9973"/>
      <c r="GE9973"/>
      <c r="GF9973"/>
      <c r="GG9973"/>
      <c r="GH9973"/>
      <c r="GI9973"/>
      <c r="GJ9973"/>
      <c r="GK9973"/>
      <c r="GL9973"/>
      <c r="GM9973"/>
      <c r="GN9973"/>
      <c r="GO9973"/>
    </row>
    <row r="9974" spans="107:197">
      <c r="DC9974"/>
      <c r="FH9974"/>
      <c r="FI9974"/>
      <c r="FJ9974"/>
      <c r="FK9974"/>
      <c r="FL9974"/>
      <c r="FM9974"/>
      <c r="FN9974"/>
      <c r="FO9974"/>
      <c r="FP9974"/>
      <c r="FQ9974"/>
      <c r="FR9974"/>
      <c r="FS9974"/>
      <c r="FT9974"/>
      <c r="FU9974"/>
      <c r="FV9974"/>
      <c r="FW9974"/>
      <c r="FX9974"/>
      <c r="FY9974"/>
      <c r="FZ9974"/>
      <c r="GA9974"/>
      <c r="GB9974"/>
      <c r="GC9974"/>
      <c r="GD9974"/>
      <c r="GE9974"/>
      <c r="GF9974"/>
      <c r="GG9974"/>
      <c r="GH9974"/>
      <c r="GI9974"/>
      <c r="GJ9974"/>
      <c r="GK9974"/>
      <c r="GL9974"/>
      <c r="GM9974"/>
      <c r="GN9974"/>
      <c r="GO9974"/>
    </row>
    <row r="9975" spans="107:197">
      <c r="DC9975"/>
      <c r="FH9975"/>
      <c r="FI9975"/>
      <c r="FJ9975"/>
      <c r="FK9975"/>
      <c r="FL9975"/>
      <c r="FM9975"/>
      <c r="FN9975"/>
      <c r="FO9975"/>
      <c r="FP9975"/>
      <c r="FQ9975"/>
      <c r="FR9975"/>
      <c r="FS9975"/>
      <c r="FT9975"/>
      <c r="FU9975"/>
      <c r="FV9975"/>
      <c r="FW9975"/>
      <c r="FX9975"/>
      <c r="FY9975"/>
      <c r="FZ9975"/>
      <c r="GA9975"/>
      <c r="GB9975"/>
      <c r="GC9975"/>
      <c r="GD9975"/>
      <c r="GE9975"/>
      <c r="GF9975"/>
      <c r="GG9975"/>
      <c r="GH9975"/>
      <c r="GI9975"/>
      <c r="GJ9975"/>
      <c r="GK9975"/>
      <c r="GL9975"/>
      <c r="GM9975"/>
      <c r="GN9975"/>
      <c r="GO9975"/>
    </row>
    <row r="9976" spans="107:197">
      <c r="DC9976"/>
      <c r="FH9976"/>
      <c r="FI9976"/>
      <c r="FJ9976"/>
      <c r="FK9976"/>
      <c r="FL9976"/>
      <c r="FM9976"/>
      <c r="FN9976"/>
      <c r="FO9976"/>
      <c r="FP9976"/>
      <c r="FQ9976"/>
      <c r="FR9976"/>
      <c r="FS9976"/>
      <c r="FT9976"/>
      <c r="FU9976"/>
      <c r="FV9976"/>
      <c r="FW9976"/>
      <c r="FX9976"/>
      <c r="FY9976"/>
      <c r="FZ9976"/>
      <c r="GA9976"/>
      <c r="GB9976"/>
      <c r="GC9976"/>
      <c r="GD9976"/>
      <c r="GE9976"/>
      <c r="GF9976"/>
      <c r="GG9976"/>
      <c r="GH9976"/>
      <c r="GI9976"/>
      <c r="GJ9976"/>
      <c r="GK9976"/>
      <c r="GL9976"/>
      <c r="GM9976"/>
      <c r="GN9976"/>
      <c r="GO9976"/>
    </row>
    <row r="9977" spans="107:197">
      <c r="DC9977"/>
      <c r="FH9977"/>
      <c r="FI9977"/>
      <c r="FJ9977"/>
      <c r="FK9977"/>
      <c r="FL9977"/>
      <c r="FM9977"/>
      <c r="FN9977"/>
      <c r="FO9977"/>
      <c r="FP9977"/>
      <c r="FQ9977"/>
      <c r="FR9977"/>
      <c r="FS9977"/>
      <c r="FT9977"/>
      <c r="FU9977"/>
      <c r="FV9977"/>
      <c r="FW9977"/>
      <c r="FX9977"/>
      <c r="FY9977"/>
      <c r="FZ9977"/>
      <c r="GA9977"/>
      <c r="GB9977"/>
      <c r="GC9977"/>
      <c r="GD9977"/>
      <c r="GE9977"/>
      <c r="GF9977"/>
      <c r="GG9977"/>
      <c r="GH9977"/>
      <c r="GI9977"/>
      <c r="GJ9977"/>
      <c r="GK9977"/>
      <c r="GL9977"/>
      <c r="GM9977"/>
      <c r="GN9977"/>
      <c r="GO9977"/>
    </row>
    <row r="9978" spans="107:197">
      <c r="DC9978"/>
      <c r="FH9978"/>
      <c r="FI9978"/>
      <c r="FJ9978"/>
      <c r="FK9978"/>
      <c r="FL9978"/>
      <c r="FM9978"/>
      <c r="FN9978"/>
      <c r="FO9978"/>
      <c r="FP9978"/>
      <c r="FQ9978"/>
      <c r="FR9978"/>
      <c r="FS9978"/>
      <c r="FT9978"/>
      <c r="FU9978"/>
      <c r="FV9978"/>
      <c r="FW9978"/>
      <c r="FX9978"/>
      <c r="FY9978"/>
      <c r="FZ9978"/>
      <c r="GA9978"/>
      <c r="GB9978"/>
      <c r="GC9978"/>
      <c r="GD9978"/>
      <c r="GE9978"/>
      <c r="GF9978"/>
      <c r="GG9978"/>
      <c r="GH9978"/>
      <c r="GI9978"/>
      <c r="GJ9978"/>
      <c r="GK9978"/>
      <c r="GL9978"/>
      <c r="GM9978"/>
      <c r="GN9978"/>
      <c r="GO9978"/>
    </row>
    <row r="9979" spans="107:197">
      <c r="DC9979"/>
      <c r="FH9979"/>
      <c r="FI9979"/>
      <c r="FJ9979"/>
      <c r="FK9979"/>
      <c r="FL9979"/>
      <c r="FM9979"/>
      <c r="FN9979"/>
      <c r="FO9979"/>
      <c r="FP9979"/>
      <c r="FQ9979"/>
      <c r="FR9979"/>
      <c r="FS9979"/>
      <c r="FT9979"/>
      <c r="FU9979"/>
      <c r="FV9979"/>
      <c r="FW9979"/>
      <c r="FX9979"/>
      <c r="FY9979"/>
      <c r="FZ9979"/>
      <c r="GA9979"/>
      <c r="GB9979"/>
      <c r="GC9979"/>
      <c r="GD9979"/>
      <c r="GE9979"/>
      <c r="GF9979"/>
      <c r="GG9979"/>
      <c r="GH9979"/>
      <c r="GI9979"/>
      <c r="GJ9979"/>
      <c r="GK9979"/>
      <c r="GL9979"/>
      <c r="GM9979"/>
      <c r="GN9979"/>
      <c r="GO9979"/>
    </row>
    <row r="9980" spans="107:197">
      <c r="DC9980"/>
      <c r="FH9980"/>
      <c r="FI9980"/>
      <c r="FJ9980"/>
      <c r="FK9980"/>
      <c r="FL9980"/>
      <c r="FM9980"/>
      <c r="FN9980"/>
      <c r="FO9980"/>
      <c r="FP9980"/>
      <c r="FQ9980"/>
      <c r="FR9980"/>
      <c r="FS9980"/>
      <c r="FT9980"/>
      <c r="FU9980"/>
      <c r="FV9980"/>
      <c r="FW9980"/>
      <c r="FX9980"/>
      <c r="FY9980"/>
      <c r="FZ9980"/>
      <c r="GA9980"/>
      <c r="GB9980"/>
      <c r="GC9980"/>
      <c r="GD9980"/>
      <c r="GE9980"/>
      <c r="GF9980"/>
      <c r="GG9980"/>
      <c r="GH9980"/>
      <c r="GI9980"/>
      <c r="GJ9980"/>
      <c r="GK9980"/>
      <c r="GL9980"/>
      <c r="GM9980"/>
      <c r="GN9980"/>
      <c r="GO9980"/>
    </row>
    <row r="9981" spans="107:197">
      <c r="DC9981"/>
      <c r="FH9981"/>
      <c r="FI9981"/>
      <c r="FJ9981"/>
      <c r="FK9981"/>
      <c r="FL9981"/>
      <c r="FM9981"/>
      <c r="FN9981"/>
      <c r="FO9981"/>
      <c r="FP9981"/>
      <c r="FQ9981"/>
      <c r="FR9981"/>
      <c r="FS9981"/>
      <c r="FT9981"/>
      <c r="FU9981"/>
      <c r="FV9981"/>
      <c r="FW9981"/>
      <c r="FX9981"/>
      <c r="FY9981"/>
      <c r="FZ9981"/>
      <c r="GA9981"/>
      <c r="GB9981"/>
      <c r="GC9981"/>
      <c r="GD9981"/>
      <c r="GE9981"/>
      <c r="GF9981"/>
      <c r="GG9981"/>
      <c r="GH9981"/>
      <c r="GI9981"/>
      <c r="GJ9981"/>
      <c r="GK9981"/>
      <c r="GL9981"/>
      <c r="GM9981"/>
      <c r="GN9981"/>
      <c r="GO9981"/>
    </row>
    <row r="9982" spans="107:197">
      <c r="DC9982"/>
      <c r="FH9982"/>
      <c r="FI9982"/>
      <c r="FJ9982"/>
      <c r="FK9982"/>
      <c r="FL9982"/>
      <c r="FM9982"/>
      <c r="FN9982"/>
      <c r="FO9982"/>
      <c r="FP9982"/>
      <c r="FQ9982"/>
      <c r="FR9982"/>
      <c r="FS9982"/>
      <c r="FT9982"/>
      <c r="FU9982"/>
      <c r="FV9982"/>
      <c r="FW9982"/>
      <c r="FX9982"/>
      <c r="FY9982"/>
      <c r="FZ9982"/>
      <c r="GA9982"/>
      <c r="GB9982"/>
      <c r="GC9982"/>
      <c r="GD9982"/>
      <c r="GE9982"/>
      <c r="GF9982"/>
      <c r="GG9982"/>
      <c r="GH9982"/>
      <c r="GI9982"/>
      <c r="GJ9982"/>
      <c r="GK9982"/>
      <c r="GL9982"/>
      <c r="GM9982"/>
      <c r="GN9982"/>
      <c r="GO9982"/>
    </row>
    <row r="9983" spans="107:197">
      <c r="DC9983"/>
      <c r="FH9983"/>
      <c r="FI9983"/>
      <c r="FJ9983"/>
      <c r="FK9983"/>
      <c r="FL9983"/>
      <c r="FM9983"/>
      <c r="FN9983"/>
      <c r="FO9983"/>
      <c r="FP9983"/>
      <c r="FQ9983"/>
      <c r="FR9983"/>
      <c r="FS9983"/>
      <c r="FT9983"/>
      <c r="FU9983"/>
      <c r="FV9983"/>
      <c r="FW9983"/>
      <c r="FX9983"/>
      <c r="FY9983"/>
      <c r="FZ9983"/>
      <c r="GA9983"/>
      <c r="GB9983"/>
      <c r="GC9983"/>
      <c r="GD9983"/>
      <c r="GE9983"/>
      <c r="GF9983"/>
      <c r="GG9983"/>
      <c r="GH9983"/>
      <c r="GI9983"/>
      <c r="GJ9983"/>
      <c r="GK9983"/>
      <c r="GL9983"/>
      <c r="GM9983"/>
      <c r="GN9983"/>
      <c r="GO9983"/>
    </row>
    <row r="9984" spans="107:197">
      <c r="DC9984"/>
      <c r="FH9984"/>
      <c r="FI9984"/>
      <c r="FJ9984"/>
      <c r="FK9984"/>
      <c r="FL9984"/>
      <c r="FM9984"/>
      <c r="FN9984"/>
      <c r="FO9984"/>
      <c r="FP9984"/>
      <c r="FQ9984"/>
      <c r="FR9984"/>
      <c r="FS9984"/>
      <c r="FT9984"/>
      <c r="FU9984"/>
      <c r="FV9984"/>
      <c r="FW9984"/>
      <c r="FX9984"/>
      <c r="FY9984"/>
      <c r="FZ9984"/>
      <c r="GA9984"/>
      <c r="GB9984"/>
      <c r="GC9984"/>
      <c r="GD9984"/>
      <c r="GE9984"/>
      <c r="GF9984"/>
      <c r="GG9984"/>
      <c r="GH9984"/>
      <c r="GI9984"/>
      <c r="GJ9984"/>
      <c r="GK9984"/>
      <c r="GL9984"/>
      <c r="GM9984"/>
      <c r="GN9984"/>
      <c r="GO9984"/>
    </row>
    <row r="9985" spans="107:197">
      <c r="DC9985"/>
      <c r="FH9985"/>
      <c r="FI9985"/>
      <c r="FJ9985"/>
      <c r="FK9985"/>
      <c r="FL9985"/>
      <c r="FM9985"/>
      <c r="FN9985"/>
      <c r="FO9985"/>
      <c r="FP9985"/>
      <c r="FQ9985"/>
      <c r="FR9985"/>
      <c r="FS9985"/>
      <c r="FT9985"/>
      <c r="FU9985"/>
      <c r="FV9985"/>
      <c r="FW9985"/>
      <c r="FX9985"/>
      <c r="FY9985"/>
      <c r="FZ9985"/>
      <c r="GA9985"/>
      <c r="GB9985"/>
      <c r="GC9985"/>
      <c r="GD9985"/>
      <c r="GE9985"/>
      <c r="GF9985"/>
      <c r="GG9985"/>
      <c r="GH9985"/>
      <c r="GI9985"/>
      <c r="GJ9985"/>
      <c r="GK9985"/>
      <c r="GL9985"/>
      <c r="GM9985"/>
      <c r="GN9985"/>
      <c r="GO9985"/>
    </row>
    <row r="9986" spans="107:197">
      <c r="DC9986"/>
      <c r="FH9986"/>
      <c r="FI9986"/>
      <c r="FJ9986"/>
      <c r="FK9986"/>
      <c r="FL9986"/>
      <c r="FM9986"/>
      <c r="FN9986"/>
      <c r="FO9986"/>
      <c r="FP9986"/>
      <c r="FQ9986"/>
      <c r="FR9986"/>
      <c r="FS9986"/>
      <c r="FT9986"/>
      <c r="FU9986"/>
      <c r="FV9986"/>
      <c r="FW9986"/>
      <c r="FX9986"/>
      <c r="FY9986"/>
      <c r="FZ9986"/>
      <c r="GA9986"/>
      <c r="GB9986"/>
      <c r="GC9986"/>
      <c r="GD9986"/>
      <c r="GE9986"/>
      <c r="GF9986"/>
      <c r="GG9986"/>
      <c r="GH9986"/>
      <c r="GI9986"/>
      <c r="GJ9986"/>
      <c r="GK9986"/>
      <c r="GL9986"/>
      <c r="GM9986"/>
      <c r="GN9986"/>
      <c r="GO9986"/>
    </row>
    <row r="9987" spans="107:197">
      <c r="DC9987"/>
      <c r="FH9987"/>
      <c r="FI9987"/>
      <c r="FJ9987"/>
      <c r="FK9987"/>
      <c r="FL9987"/>
      <c r="FM9987"/>
      <c r="FN9987"/>
      <c r="FO9987"/>
      <c r="FP9987"/>
      <c r="FQ9987"/>
      <c r="FR9987"/>
      <c r="FS9987"/>
      <c r="FT9987"/>
      <c r="FU9987"/>
      <c r="FV9987"/>
      <c r="FW9987"/>
      <c r="FX9987"/>
      <c r="FY9987"/>
      <c r="FZ9987"/>
      <c r="GA9987"/>
      <c r="GB9987"/>
      <c r="GC9987"/>
      <c r="GD9987"/>
      <c r="GE9987"/>
      <c r="GF9987"/>
      <c r="GG9987"/>
      <c r="GH9987"/>
      <c r="GI9987"/>
      <c r="GJ9987"/>
      <c r="GK9987"/>
      <c r="GL9987"/>
      <c r="GM9987"/>
      <c r="GN9987"/>
      <c r="GO9987"/>
    </row>
    <row r="9988" spans="107:197">
      <c r="DC9988"/>
      <c r="FH9988"/>
      <c r="FI9988"/>
      <c r="FJ9988"/>
      <c r="FK9988"/>
      <c r="FL9988"/>
      <c r="FM9988"/>
      <c r="FN9988"/>
      <c r="FO9988"/>
      <c r="FP9988"/>
      <c r="FQ9988"/>
      <c r="FR9988"/>
      <c r="FS9988"/>
      <c r="FT9988"/>
      <c r="FU9988"/>
      <c r="FV9988"/>
      <c r="FW9988"/>
      <c r="FX9988"/>
      <c r="FY9988"/>
      <c r="FZ9988"/>
      <c r="GA9988"/>
      <c r="GB9988"/>
      <c r="GC9988"/>
      <c r="GD9988"/>
      <c r="GE9988"/>
      <c r="GF9988"/>
      <c r="GG9988"/>
      <c r="GH9988"/>
      <c r="GI9988"/>
      <c r="GJ9988"/>
      <c r="GK9988"/>
      <c r="GL9988"/>
      <c r="GM9988"/>
      <c r="GN9988"/>
      <c r="GO9988"/>
    </row>
    <row r="9989" spans="107:197">
      <c r="DC9989"/>
      <c r="FH9989"/>
      <c r="FI9989"/>
      <c r="FJ9989"/>
      <c r="FK9989"/>
      <c r="FL9989"/>
      <c r="FM9989"/>
      <c r="FN9989"/>
      <c r="FO9989"/>
      <c r="FP9989"/>
      <c r="FQ9989"/>
      <c r="FR9989"/>
      <c r="FS9989"/>
      <c r="FT9989"/>
      <c r="FU9989"/>
      <c r="FV9989"/>
      <c r="FW9989"/>
      <c r="FX9989"/>
      <c r="FY9989"/>
      <c r="FZ9989"/>
      <c r="GA9989"/>
      <c r="GB9989"/>
      <c r="GC9989"/>
      <c r="GD9989"/>
      <c r="GE9989"/>
      <c r="GF9989"/>
      <c r="GG9989"/>
      <c r="GH9989"/>
      <c r="GI9989"/>
      <c r="GJ9989"/>
      <c r="GK9989"/>
      <c r="GL9989"/>
      <c r="GM9989"/>
      <c r="GN9989"/>
      <c r="GO9989"/>
    </row>
    <row r="9990" spans="107:197">
      <c r="DC9990"/>
      <c r="FH9990"/>
      <c r="FI9990"/>
      <c r="FJ9990"/>
      <c r="FK9990"/>
      <c r="FL9990"/>
      <c r="FM9990"/>
      <c r="FN9990"/>
      <c r="FO9990"/>
      <c r="FP9990"/>
      <c r="FQ9990"/>
      <c r="FR9990"/>
      <c r="FS9990"/>
      <c r="FT9990"/>
      <c r="FU9990"/>
      <c r="FV9990"/>
      <c r="FW9990"/>
      <c r="FX9990"/>
      <c r="FY9990"/>
      <c r="FZ9990"/>
      <c r="GA9990"/>
      <c r="GB9990"/>
      <c r="GC9990"/>
      <c r="GD9990"/>
      <c r="GE9990"/>
      <c r="GF9990"/>
      <c r="GG9990"/>
      <c r="GH9990"/>
      <c r="GI9990"/>
      <c r="GJ9990"/>
      <c r="GK9990"/>
      <c r="GL9990"/>
      <c r="GM9990"/>
      <c r="GN9990"/>
      <c r="GO9990"/>
    </row>
    <row r="9991" spans="107:197">
      <c r="DC9991"/>
      <c r="FH9991"/>
      <c r="FI9991"/>
      <c r="FJ9991"/>
      <c r="FK9991"/>
      <c r="FL9991"/>
      <c r="FM9991"/>
      <c r="FN9991"/>
      <c r="FO9991"/>
      <c r="FP9991"/>
      <c r="FQ9991"/>
      <c r="FR9991"/>
      <c r="FS9991"/>
      <c r="FT9991"/>
      <c r="FU9991"/>
      <c r="FV9991"/>
      <c r="FW9991"/>
      <c r="FX9991"/>
      <c r="FY9991"/>
      <c r="FZ9991"/>
      <c r="GA9991"/>
      <c r="GB9991"/>
      <c r="GC9991"/>
      <c r="GD9991"/>
      <c r="GE9991"/>
      <c r="GF9991"/>
      <c r="GG9991"/>
      <c r="GH9991"/>
      <c r="GI9991"/>
      <c r="GJ9991"/>
      <c r="GK9991"/>
      <c r="GL9991"/>
      <c r="GM9991"/>
      <c r="GN9991"/>
      <c r="GO9991"/>
    </row>
    <row r="9992" spans="107:197">
      <c r="DC9992"/>
      <c r="FH9992"/>
      <c r="FI9992"/>
      <c r="FJ9992"/>
      <c r="FK9992"/>
      <c r="FL9992"/>
      <c r="FM9992"/>
      <c r="FN9992"/>
      <c r="FO9992"/>
      <c r="FP9992"/>
      <c r="FQ9992"/>
      <c r="FR9992"/>
      <c r="FS9992"/>
      <c r="FT9992"/>
      <c r="FU9992"/>
      <c r="FV9992"/>
      <c r="FW9992"/>
      <c r="FX9992"/>
      <c r="FY9992"/>
      <c r="FZ9992"/>
      <c r="GA9992"/>
      <c r="GB9992"/>
      <c r="GC9992"/>
      <c r="GD9992"/>
      <c r="GE9992"/>
      <c r="GF9992"/>
      <c r="GG9992"/>
      <c r="GH9992"/>
      <c r="GI9992"/>
      <c r="GJ9992"/>
      <c r="GK9992"/>
      <c r="GL9992"/>
      <c r="GM9992"/>
      <c r="GN9992"/>
      <c r="GO9992"/>
    </row>
    <row r="9993" spans="107:197">
      <c r="DC9993"/>
      <c r="FH9993"/>
      <c r="FI9993"/>
      <c r="FJ9993"/>
      <c r="FK9993"/>
      <c r="FL9993"/>
      <c r="FM9993"/>
      <c r="FN9993"/>
      <c r="FO9993"/>
      <c r="FP9993"/>
      <c r="FQ9993"/>
      <c r="FR9993"/>
      <c r="FS9993"/>
      <c r="FT9993"/>
      <c r="FU9993"/>
      <c r="FV9993"/>
      <c r="FW9993"/>
      <c r="FX9993"/>
      <c r="FY9993"/>
      <c r="FZ9993"/>
      <c r="GA9993"/>
      <c r="GB9993"/>
      <c r="GC9993"/>
      <c r="GD9993"/>
      <c r="GE9993"/>
      <c r="GF9993"/>
      <c r="GG9993"/>
      <c r="GH9993"/>
      <c r="GI9993"/>
      <c r="GJ9993"/>
      <c r="GK9993"/>
      <c r="GL9993"/>
      <c r="GM9993"/>
      <c r="GN9993"/>
      <c r="GO9993"/>
    </row>
    <row r="9994" spans="107:197">
      <c r="DC9994"/>
      <c r="FH9994"/>
      <c r="FI9994"/>
      <c r="FJ9994"/>
      <c r="FK9994"/>
      <c r="FL9994"/>
      <c r="FM9994"/>
      <c r="FN9994"/>
      <c r="FO9994"/>
      <c r="FP9994"/>
      <c r="FQ9994"/>
      <c r="FR9994"/>
      <c r="FS9994"/>
      <c r="FT9994"/>
      <c r="FU9994"/>
      <c r="FV9994"/>
      <c r="FW9994"/>
      <c r="FX9994"/>
      <c r="FY9994"/>
      <c r="FZ9994"/>
      <c r="GA9994"/>
      <c r="GB9994"/>
      <c r="GC9994"/>
      <c r="GD9994"/>
      <c r="GE9994"/>
      <c r="GF9994"/>
      <c r="GG9994"/>
      <c r="GH9994"/>
      <c r="GI9994"/>
      <c r="GJ9994"/>
      <c r="GK9994"/>
      <c r="GL9994"/>
      <c r="GM9994"/>
      <c r="GN9994"/>
      <c r="GO9994"/>
    </row>
    <row r="9995" spans="107:197">
      <c r="DC9995"/>
      <c r="FH9995"/>
      <c r="FI9995"/>
      <c r="FJ9995"/>
      <c r="FK9995"/>
      <c r="FL9995"/>
      <c r="FM9995"/>
      <c r="FN9995"/>
      <c r="FO9995"/>
      <c r="FP9995"/>
      <c r="FQ9995"/>
      <c r="FR9995"/>
      <c r="FS9995"/>
      <c r="FT9995"/>
      <c r="FU9995"/>
      <c r="FV9995"/>
      <c r="FW9995"/>
      <c r="FX9995"/>
      <c r="FY9995"/>
      <c r="FZ9995"/>
      <c r="GA9995"/>
      <c r="GB9995"/>
      <c r="GC9995"/>
      <c r="GD9995"/>
      <c r="GE9995"/>
      <c r="GF9995"/>
      <c r="GG9995"/>
      <c r="GH9995"/>
      <c r="GI9995"/>
      <c r="GJ9995"/>
      <c r="GK9995"/>
      <c r="GL9995"/>
      <c r="GM9995"/>
      <c r="GN9995"/>
      <c r="GO9995"/>
    </row>
    <row r="9996" spans="107:197">
      <c r="DC9996"/>
      <c r="FH9996"/>
      <c r="FI9996"/>
      <c r="FJ9996"/>
      <c r="FK9996"/>
      <c r="FL9996"/>
      <c r="FM9996"/>
      <c r="FN9996"/>
      <c r="FO9996"/>
      <c r="FP9996"/>
      <c r="FQ9996"/>
      <c r="FR9996"/>
      <c r="FS9996"/>
      <c r="FT9996"/>
      <c r="FU9996"/>
      <c r="FV9996"/>
      <c r="FW9996"/>
      <c r="FX9996"/>
      <c r="FY9996"/>
      <c r="FZ9996"/>
      <c r="GA9996"/>
      <c r="GB9996"/>
      <c r="GC9996"/>
      <c r="GD9996"/>
      <c r="GE9996"/>
      <c r="GF9996"/>
      <c r="GG9996"/>
      <c r="GH9996"/>
      <c r="GI9996"/>
      <c r="GJ9996"/>
      <c r="GK9996"/>
      <c r="GL9996"/>
      <c r="GM9996"/>
      <c r="GN9996"/>
      <c r="GO9996"/>
    </row>
    <row r="9997" spans="107:197">
      <c r="DC9997"/>
      <c r="FH9997"/>
      <c r="FI9997"/>
      <c r="FJ9997"/>
      <c r="FK9997"/>
      <c r="FL9997"/>
      <c r="FM9997"/>
      <c r="FN9997"/>
      <c r="FO9997"/>
      <c r="FP9997"/>
      <c r="FQ9997"/>
      <c r="FR9997"/>
      <c r="FS9997"/>
      <c r="FT9997"/>
      <c r="FU9997"/>
      <c r="FV9997"/>
      <c r="FW9997"/>
      <c r="FX9997"/>
      <c r="FY9997"/>
      <c r="FZ9997"/>
      <c r="GA9997"/>
      <c r="GB9997"/>
      <c r="GC9997"/>
      <c r="GD9997"/>
      <c r="GE9997"/>
      <c r="GF9997"/>
      <c r="GG9997"/>
      <c r="GH9997"/>
      <c r="GI9997"/>
      <c r="GJ9997"/>
      <c r="GK9997"/>
      <c r="GL9997"/>
      <c r="GM9997"/>
      <c r="GN9997"/>
      <c r="GO9997"/>
    </row>
    <row r="9998" spans="107:197">
      <c r="DC9998"/>
      <c r="FH9998"/>
      <c r="FI9998"/>
      <c r="FJ9998"/>
      <c r="FK9998"/>
      <c r="FL9998"/>
      <c r="FM9998"/>
      <c r="FN9998"/>
      <c r="FO9998"/>
      <c r="FP9998"/>
      <c r="FQ9998"/>
      <c r="FR9998"/>
      <c r="FS9998"/>
      <c r="FT9998"/>
      <c r="FU9998"/>
      <c r="FV9998"/>
      <c r="FW9998"/>
      <c r="FX9998"/>
      <c r="FY9998"/>
      <c r="FZ9998"/>
      <c r="GA9998"/>
      <c r="GB9998"/>
      <c r="GC9998"/>
      <c r="GD9998"/>
      <c r="GE9998"/>
      <c r="GF9998"/>
      <c r="GG9998"/>
      <c r="GH9998"/>
      <c r="GI9998"/>
      <c r="GJ9998"/>
      <c r="GK9998"/>
      <c r="GL9998"/>
      <c r="GM9998"/>
      <c r="GN9998"/>
      <c r="GO9998"/>
    </row>
    <row r="9999" spans="107:197">
      <c r="DC9999"/>
      <c r="FH9999"/>
      <c r="FI9999"/>
      <c r="FJ9999"/>
      <c r="FK9999"/>
      <c r="FL9999"/>
      <c r="FM9999"/>
      <c r="FN9999"/>
      <c r="FO9999"/>
      <c r="FP9999"/>
      <c r="FQ9999"/>
      <c r="FR9999"/>
      <c r="FS9999"/>
      <c r="FT9999"/>
      <c r="FU9999"/>
      <c r="FV9999"/>
      <c r="FW9999"/>
      <c r="FX9999"/>
      <c r="FY9999"/>
      <c r="FZ9999"/>
      <c r="GA9999"/>
      <c r="GB9999"/>
      <c r="GC9999"/>
      <c r="GD9999"/>
      <c r="GE9999"/>
      <c r="GF9999"/>
      <c r="GG9999"/>
      <c r="GH9999"/>
      <c r="GI9999"/>
      <c r="GJ9999"/>
      <c r="GK9999"/>
      <c r="GL9999"/>
      <c r="GM9999"/>
      <c r="GN9999"/>
      <c r="GO9999"/>
    </row>
    <row r="10000" spans="107:197">
      <c r="DC10000"/>
      <c r="FH10000"/>
      <c r="FI10000"/>
      <c r="FJ10000"/>
      <c r="FK10000"/>
      <c r="FL10000"/>
      <c r="FM10000"/>
      <c r="FN10000"/>
      <c r="FO10000"/>
      <c r="FP10000"/>
      <c r="FQ10000"/>
      <c r="FR10000"/>
      <c r="FS10000"/>
      <c r="FT10000"/>
      <c r="FU10000"/>
      <c r="FV10000"/>
      <c r="FW10000"/>
      <c r="FX10000"/>
      <c r="FY10000"/>
      <c r="FZ10000"/>
      <c r="GA10000"/>
      <c r="GB10000"/>
      <c r="GC10000"/>
      <c r="GD10000"/>
      <c r="GE10000"/>
      <c r="GF10000"/>
      <c r="GG10000"/>
      <c r="GH10000"/>
      <c r="GI10000"/>
      <c r="GJ10000"/>
      <c r="GK10000"/>
      <c r="GL10000"/>
      <c r="GM10000"/>
      <c r="GN10000"/>
      <c r="GO10000"/>
    </row>
    <row r="10001" spans="107:197">
      <c r="DC10001"/>
      <c r="FH10001"/>
      <c r="FI10001"/>
      <c r="FJ10001"/>
      <c r="FK10001"/>
      <c r="FL10001"/>
      <c r="FM10001"/>
      <c r="FN10001"/>
      <c r="FO10001"/>
      <c r="FP10001"/>
      <c r="FQ10001"/>
      <c r="FR10001"/>
      <c r="FS10001"/>
      <c r="FT10001"/>
      <c r="FU10001"/>
      <c r="FV10001"/>
      <c r="FW10001"/>
      <c r="FX10001"/>
      <c r="FY10001"/>
      <c r="FZ10001"/>
      <c r="GA10001"/>
      <c r="GB10001"/>
      <c r="GC10001"/>
      <c r="GD10001"/>
      <c r="GE10001"/>
      <c r="GF10001"/>
      <c r="GG10001"/>
      <c r="GH10001"/>
      <c r="GI10001"/>
      <c r="GJ10001"/>
      <c r="GK10001"/>
      <c r="GL10001"/>
      <c r="GM10001"/>
      <c r="GN10001"/>
      <c r="GO10001"/>
    </row>
    <row r="10002" spans="107:197">
      <c r="DC10002"/>
      <c r="FH10002"/>
      <c r="FI10002"/>
      <c r="FJ10002"/>
      <c r="FK10002"/>
      <c r="FL10002"/>
      <c r="FM10002"/>
      <c r="FN10002"/>
      <c r="FO10002"/>
      <c r="FP10002"/>
      <c r="FQ10002"/>
      <c r="FR10002"/>
      <c r="FS10002"/>
      <c r="FT10002"/>
      <c r="FU10002"/>
      <c r="FV10002"/>
      <c r="FW10002"/>
      <c r="FX10002"/>
      <c r="FY10002"/>
      <c r="FZ10002"/>
      <c r="GA10002"/>
      <c r="GB10002"/>
      <c r="GC10002"/>
      <c r="GD10002"/>
      <c r="GE10002"/>
      <c r="GF10002"/>
      <c r="GG10002"/>
      <c r="GH10002"/>
      <c r="GI10002"/>
      <c r="GJ10002"/>
      <c r="GK10002"/>
      <c r="GL10002"/>
      <c r="GM10002"/>
      <c r="GN10002"/>
      <c r="GO10002"/>
    </row>
    <row r="10003" spans="107:197">
      <c r="DC10003"/>
      <c r="FH10003"/>
      <c r="FI10003"/>
      <c r="FJ10003"/>
      <c r="FK10003"/>
      <c r="FL10003"/>
      <c r="FM10003"/>
      <c r="FN10003"/>
      <c r="FO10003"/>
      <c r="FP10003"/>
      <c r="FQ10003"/>
      <c r="FR10003"/>
      <c r="FS10003"/>
      <c r="FT10003"/>
      <c r="FU10003"/>
      <c r="FV10003"/>
      <c r="FW10003"/>
      <c r="FX10003"/>
      <c r="FY10003"/>
      <c r="FZ10003"/>
      <c r="GA10003"/>
      <c r="GB10003"/>
      <c r="GC10003"/>
      <c r="GD10003"/>
      <c r="GE10003"/>
      <c r="GF10003"/>
      <c r="GG10003"/>
      <c r="GH10003"/>
      <c r="GI10003"/>
      <c r="GJ10003"/>
      <c r="GK10003"/>
      <c r="GL10003"/>
      <c r="GM10003"/>
      <c r="GN10003"/>
      <c r="GO10003"/>
    </row>
    <row r="10004" spans="107:197">
      <c r="DC10004"/>
      <c r="FH10004"/>
      <c r="FI10004"/>
      <c r="FJ10004"/>
      <c r="FK10004"/>
      <c r="FL10004"/>
      <c r="FM10004"/>
      <c r="FN10004"/>
      <c r="FO10004"/>
      <c r="FP10004"/>
      <c r="FQ10004"/>
      <c r="FR10004"/>
      <c r="FS10004"/>
      <c r="FT10004"/>
      <c r="FU10004"/>
      <c r="FV10004"/>
      <c r="FW10004"/>
      <c r="FX10004"/>
      <c r="FY10004"/>
      <c r="FZ10004"/>
      <c r="GA10004"/>
      <c r="GB10004"/>
      <c r="GC10004"/>
      <c r="GD10004"/>
      <c r="GE10004"/>
      <c r="GF10004"/>
      <c r="GG10004"/>
      <c r="GH10004"/>
      <c r="GI10004"/>
      <c r="GJ10004"/>
      <c r="GK10004"/>
      <c r="GL10004"/>
      <c r="GM10004"/>
      <c r="GN10004"/>
      <c r="GO10004"/>
    </row>
    <row r="10005" spans="107:197">
      <c r="DC10005"/>
      <c r="FH10005"/>
      <c r="FI10005"/>
      <c r="FJ10005"/>
      <c r="FK10005"/>
      <c r="FL10005"/>
      <c r="FM10005"/>
      <c r="FN10005"/>
      <c r="FO10005"/>
      <c r="FP10005"/>
      <c r="FQ10005"/>
      <c r="FR10005"/>
      <c r="FS10005"/>
      <c r="FT10005"/>
      <c r="FU10005"/>
      <c r="FV10005"/>
      <c r="FW10005"/>
      <c r="FX10005"/>
      <c r="FY10005"/>
      <c r="FZ10005"/>
      <c r="GA10005"/>
      <c r="GB10005"/>
      <c r="GC10005"/>
      <c r="GD10005"/>
      <c r="GE10005"/>
      <c r="GF10005"/>
      <c r="GG10005"/>
      <c r="GH10005"/>
      <c r="GI10005"/>
      <c r="GJ10005"/>
      <c r="GK10005"/>
      <c r="GL10005"/>
      <c r="GM10005"/>
      <c r="GN10005"/>
      <c r="GO10005"/>
    </row>
    <row r="10006" spans="107:197">
      <c r="DC10006"/>
      <c r="FH10006"/>
      <c r="FI10006"/>
      <c r="FJ10006"/>
      <c r="FK10006"/>
      <c r="FL10006"/>
      <c r="FM10006"/>
      <c r="FN10006"/>
      <c r="FO10006"/>
      <c r="FP10006"/>
      <c r="FQ10006"/>
      <c r="FR10006"/>
      <c r="FS10006"/>
      <c r="FT10006"/>
      <c r="FU10006"/>
      <c r="FV10006"/>
      <c r="FW10006"/>
      <c r="FX10006"/>
      <c r="FY10006"/>
      <c r="FZ10006"/>
      <c r="GA10006"/>
      <c r="GB10006"/>
      <c r="GC10006"/>
      <c r="GD10006"/>
      <c r="GE10006"/>
      <c r="GF10006"/>
      <c r="GG10006"/>
      <c r="GH10006"/>
      <c r="GI10006"/>
      <c r="GJ10006"/>
      <c r="GK10006"/>
      <c r="GL10006"/>
      <c r="GM10006"/>
      <c r="GN10006"/>
      <c r="GO10006"/>
    </row>
    <row r="10007" spans="107:197">
      <c r="DC10007"/>
      <c r="FH10007"/>
      <c r="FI10007"/>
      <c r="FJ10007"/>
      <c r="FK10007"/>
      <c r="FL10007"/>
      <c r="FM10007"/>
      <c r="FN10007"/>
      <c r="FO10007"/>
      <c r="FP10007"/>
      <c r="FQ10007"/>
      <c r="FR10007"/>
      <c r="FS10007"/>
      <c r="FT10007"/>
      <c r="FU10007"/>
      <c r="FV10007"/>
      <c r="FW10007"/>
      <c r="FX10007"/>
      <c r="FY10007"/>
      <c r="FZ10007"/>
      <c r="GA10007"/>
      <c r="GB10007"/>
      <c r="GC10007"/>
      <c r="GD10007"/>
      <c r="GE10007"/>
      <c r="GF10007"/>
      <c r="GG10007"/>
      <c r="GH10007"/>
      <c r="GI10007"/>
      <c r="GJ10007"/>
      <c r="GK10007"/>
      <c r="GL10007"/>
      <c r="GM10007"/>
      <c r="GN10007"/>
      <c r="GO10007"/>
    </row>
    <row r="10008" spans="107:197">
      <c r="DC10008"/>
      <c r="FH10008"/>
      <c r="FI10008"/>
      <c r="FJ10008"/>
      <c r="FK10008"/>
      <c r="FL10008"/>
      <c r="FM10008"/>
      <c r="FN10008"/>
      <c r="FO10008"/>
      <c r="FP10008"/>
      <c r="FQ10008"/>
      <c r="FR10008"/>
      <c r="FS10008"/>
      <c r="FT10008"/>
      <c r="FU10008"/>
      <c r="FV10008"/>
      <c r="FW10008"/>
      <c r="FX10008"/>
      <c r="FY10008"/>
      <c r="FZ10008"/>
      <c r="GA10008"/>
      <c r="GB10008"/>
      <c r="GC10008"/>
      <c r="GD10008"/>
      <c r="GE10008"/>
      <c r="GF10008"/>
      <c r="GG10008"/>
      <c r="GH10008"/>
      <c r="GI10008"/>
      <c r="GJ10008"/>
      <c r="GK10008"/>
      <c r="GL10008"/>
      <c r="GM10008"/>
      <c r="GN10008"/>
      <c r="GO10008"/>
    </row>
    <row r="10009" spans="107:197">
      <c r="DC10009"/>
      <c r="FH10009"/>
      <c r="FI10009"/>
      <c r="FJ10009"/>
      <c r="FK10009"/>
      <c r="FL10009"/>
      <c r="FM10009"/>
      <c r="FN10009"/>
      <c r="FO10009"/>
      <c r="FP10009"/>
      <c r="FQ10009"/>
      <c r="FR10009"/>
      <c r="FS10009"/>
      <c r="FT10009"/>
      <c r="FU10009"/>
      <c r="FV10009"/>
      <c r="FW10009"/>
      <c r="FX10009"/>
      <c r="FY10009"/>
      <c r="FZ10009"/>
      <c r="GA10009"/>
      <c r="GB10009"/>
      <c r="GC10009"/>
      <c r="GD10009"/>
      <c r="GE10009"/>
      <c r="GF10009"/>
      <c r="GG10009"/>
      <c r="GH10009"/>
      <c r="GI10009"/>
      <c r="GJ10009"/>
      <c r="GK10009"/>
      <c r="GL10009"/>
      <c r="GM10009"/>
      <c r="GN10009"/>
      <c r="GO10009"/>
    </row>
    <row r="10010" spans="107:197">
      <c r="DC10010"/>
      <c r="FH10010"/>
      <c r="FI10010"/>
      <c r="FJ10010"/>
      <c r="FK10010"/>
      <c r="FL10010"/>
      <c r="FM10010"/>
      <c r="FN10010"/>
      <c r="FO10010"/>
      <c r="FP10010"/>
      <c r="FQ10010"/>
      <c r="FR10010"/>
      <c r="FS10010"/>
      <c r="FT10010"/>
      <c r="FU10010"/>
      <c r="FV10010"/>
      <c r="FW10010"/>
      <c r="FX10010"/>
      <c r="FY10010"/>
      <c r="FZ10010"/>
      <c r="GA10010"/>
      <c r="GB10010"/>
      <c r="GC10010"/>
      <c r="GD10010"/>
      <c r="GE10010"/>
      <c r="GF10010"/>
      <c r="GG10010"/>
      <c r="GH10010"/>
      <c r="GI10010"/>
      <c r="GJ10010"/>
      <c r="GK10010"/>
      <c r="GL10010"/>
      <c r="GM10010"/>
      <c r="GN10010"/>
      <c r="GO10010"/>
    </row>
    <row r="10011" spans="107:197">
      <c r="DC10011"/>
      <c r="FH10011"/>
      <c r="FI10011"/>
      <c r="FJ10011"/>
      <c r="FK10011"/>
      <c r="FL10011"/>
      <c r="FM10011"/>
      <c r="FN10011"/>
      <c r="FO10011"/>
      <c r="FP10011"/>
      <c r="FQ10011"/>
      <c r="FR10011"/>
      <c r="FS10011"/>
      <c r="FT10011"/>
      <c r="FU10011"/>
      <c r="FV10011"/>
      <c r="FW10011"/>
      <c r="FX10011"/>
      <c r="FY10011"/>
      <c r="FZ10011"/>
      <c r="GA10011"/>
      <c r="GB10011"/>
      <c r="GC10011"/>
      <c r="GD10011"/>
      <c r="GE10011"/>
      <c r="GF10011"/>
      <c r="GG10011"/>
      <c r="GH10011"/>
      <c r="GI10011"/>
      <c r="GJ10011"/>
      <c r="GK10011"/>
      <c r="GL10011"/>
      <c r="GM10011"/>
      <c r="GN10011"/>
      <c r="GO10011"/>
    </row>
    <row r="10012" spans="107:197">
      <c r="DC10012"/>
      <c r="FH10012"/>
      <c r="FI10012"/>
      <c r="FJ10012"/>
      <c r="FK10012"/>
      <c r="FL10012"/>
      <c r="FM10012"/>
      <c r="FN10012"/>
      <c r="FO10012"/>
      <c r="FP10012"/>
      <c r="FQ10012"/>
      <c r="FR10012"/>
      <c r="FS10012"/>
      <c r="FT10012"/>
      <c r="FU10012"/>
      <c r="FV10012"/>
      <c r="FW10012"/>
      <c r="FX10012"/>
      <c r="FY10012"/>
      <c r="FZ10012"/>
      <c r="GA10012"/>
      <c r="GB10012"/>
      <c r="GC10012"/>
      <c r="GD10012"/>
      <c r="GE10012"/>
      <c r="GF10012"/>
      <c r="GG10012"/>
      <c r="GH10012"/>
      <c r="GI10012"/>
      <c r="GJ10012"/>
      <c r="GK10012"/>
      <c r="GL10012"/>
      <c r="GM10012"/>
      <c r="GN10012"/>
      <c r="GO10012"/>
    </row>
    <row r="10013" spans="107:197">
      <c r="DC10013"/>
      <c r="FH10013"/>
      <c r="FI10013"/>
      <c r="FJ10013"/>
      <c r="FK10013"/>
      <c r="FL10013"/>
      <c r="FM10013"/>
      <c r="FN10013"/>
      <c r="FO10013"/>
      <c r="FP10013"/>
      <c r="FQ10013"/>
      <c r="FR10013"/>
      <c r="FS10013"/>
      <c r="FT10013"/>
      <c r="FU10013"/>
      <c r="FV10013"/>
      <c r="FW10013"/>
      <c r="FX10013"/>
      <c r="FY10013"/>
      <c r="FZ10013"/>
      <c r="GA10013"/>
      <c r="GB10013"/>
      <c r="GC10013"/>
      <c r="GD10013"/>
      <c r="GE10013"/>
      <c r="GF10013"/>
      <c r="GG10013"/>
      <c r="GH10013"/>
      <c r="GI10013"/>
      <c r="GJ10013"/>
      <c r="GK10013"/>
      <c r="GL10013"/>
      <c r="GM10013"/>
      <c r="GN10013"/>
      <c r="GO10013"/>
    </row>
    <row r="10014" spans="107:197">
      <c r="DC10014"/>
      <c r="FH10014"/>
      <c r="FI10014"/>
      <c r="FJ10014"/>
      <c r="FK10014"/>
      <c r="FL10014"/>
      <c r="FM10014"/>
      <c r="FN10014"/>
      <c r="FO10014"/>
      <c r="FP10014"/>
      <c r="FQ10014"/>
      <c r="FR10014"/>
      <c r="FS10014"/>
      <c r="FT10014"/>
      <c r="FU10014"/>
      <c r="FV10014"/>
      <c r="FW10014"/>
      <c r="FX10014"/>
      <c r="FY10014"/>
      <c r="FZ10014"/>
      <c r="GA10014"/>
      <c r="GB10014"/>
      <c r="GC10014"/>
      <c r="GD10014"/>
      <c r="GE10014"/>
      <c r="GF10014"/>
      <c r="GG10014"/>
      <c r="GH10014"/>
      <c r="GI10014"/>
      <c r="GJ10014"/>
      <c r="GK10014"/>
      <c r="GL10014"/>
      <c r="GM10014"/>
      <c r="GN10014"/>
      <c r="GO10014"/>
    </row>
    <row r="10015" spans="107:197">
      <c r="DC10015"/>
      <c r="FH10015"/>
      <c r="FI10015"/>
      <c r="FJ10015"/>
      <c r="FK10015"/>
      <c r="FL10015"/>
      <c r="FM10015"/>
      <c r="FN10015"/>
      <c r="FO10015"/>
      <c r="FP10015"/>
      <c r="FQ10015"/>
      <c r="FR10015"/>
      <c r="FS10015"/>
      <c r="FT10015"/>
      <c r="FU10015"/>
      <c r="FV10015"/>
      <c r="FW10015"/>
      <c r="FX10015"/>
      <c r="FY10015"/>
      <c r="FZ10015"/>
      <c r="GA10015"/>
      <c r="GB10015"/>
      <c r="GC10015"/>
      <c r="GD10015"/>
      <c r="GE10015"/>
      <c r="GF10015"/>
      <c r="GG10015"/>
      <c r="GH10015"/>
      <c r="GI10015"/>
      <c r="GJ10015"/>
      <c r="GK10015"/>
      <c r="GL10015"/>
      <c r="GM10015"/>
      <c r="GN10015"/>
      <c r="GO10015"/>
    </row>
    <row r="10016" spans="107:197">
      <c r="DC10016"/>
      <c r="FH10016"/>
      <c r="FI10016"/>
      <c r="FJ10016"/>
      <c r="FK10016"/>
      <c r="FL10016"/>
      <c r="FM10016"/>
      <c r="FN10016"/>
      <c r="FO10016"/>
      <c r="FP10016"/>
      <c r="FQ10016"/>
      <c r="FR10016"/>
      <c r="FS10016"/>
      <c r="FT10016"/>
      <c r="FU10016"/>
      <c r="FV10016"/>
      <c r="FW10016"/>
      <c r="FX10016"/>
      <c r="FY10016"/>
      <c r="FZ10016"/>
      <c r="GA10016"/>
      <c r="GB10016"/>
      <c r="GC10016"/>
      <c r="GD10016"/>
      <c r="GE10016"/>
      <c r="GF10016"/>
      <c r="GG10016"/>
      <c r="GH10016"/>
      <c r="GI10016"/>
      <c r="GJ10016"/>
      <c r="GK10016"/>
      <c r="GL10016"/>
      <c r="GM10016"/>
      <c r="GN10016"/>
      <c r="GO10016"/>
    </row>
    <row r="10017" spans="107:197">
      <c r="DC10017"/>
      <c r="FH10017"/>
      <c r="FI10017"/>
      <c r="FJ10017"/>
      <c r="FK10017"/>
      <c r="FL10017"/>
      <c r="FM10017"/>
      <c r="FN10017"/>
      <c r="FO10017"/>
      <c r="FP10017"/>
      <c r="FQ10017"/>
      <c r="FR10017"/>
      <c r="FS10017"/>
      <c r="FT10017"/>
      <c r="FU10017"/>
      <c r="FV10017"/>
      <c r="FW10017"/>
      <c r="FX10017"/>
      <c r="FY10017"/>
      <c r="FZ10017"/>
      <c r="GA10017"/>
      <c r="GB10017"/>
      <c r="GC10017"/>
      <c r="GD10017"/>
      <c r="GE10017"/>
      <c r="GF10017"/>
      <c r="GG10017"/>
      <c r="GH10017"/>
      <c r="GI10017"/>
      <c r="GJ10017"/>
      <c r="GK10017"/>
      <c r="GL10017"/>
      <c r="GM10017"/>
      <c r="GN10017"/>
      <c r="GO10017"/>
    </row>
    <row r="10018" spans="107:197">
      <c r="DC10018"/>
      <c r="FH10018"/>
      <c r="FI10018"/>
      <c r="FJ10018"/>
      <c r="FK10018"/>
      <c r="FL10018"/>
      <c r="FM10018"/>
      <c r="FN10018"/>
      <c r="FO10018"/>
      <c r="FP10018"/>
      <c r="FQ10018"/>
      <c r="FR10018"/>
      <c r="FS10018"/>
      <c r="FT10018"/>
      <c r="FU10018"/>
      <c r="FV10018"/>
      <c r="FW10018"/>
      <c r="FX10018"/>
      <c r="FY10018"/>
      <c r="FZ10018"/>
      <c r="GA10018"/>
      <c r="GB10018"/>
      <c r="GC10018"/>
      <c r="GD10018"/>
      <c r="GE10018"/>
      <c r="GF10018"/>
      <c r="GG10018"/>
      <c r="GH10018"/>
      <c r="GI10018"/>
      <c r="GJ10018"/>
      <c r="GK10018"/>
      <c r="GL10018"/>
      <c r="GM10018"/>
      <c r="GN10018"/>
      <c r="GO10018"/>
    </row>
    <row r="10019" spans="107:197">
      <c r="DC10019"/>
      <c r="FH10019"/>
      <c r="FI10019"/>
      <c r="FJ10019"/>
      <c r="FK10019"/>
      <c r="FL10019"/>
      <c r="FM10019"/>
      <c r="FN10019"/>
      <c r="FO10019"/>
      <c r="FP10019"/>
      <c r="FQ10019"/>
      <c r="FR10019"/>
      <c r="FS10019"/>
      <c r="FT10019"/>
      <c r="FU10019"/>
      <c r="FV10019"/>
      <c r="FW10019"/>
      <c r="FX10019"/>
      <c r="FY10019"/>
      <c r="FZ10019"/>
      <c r="GA10019"/>
      <c r="GB10019"/>
      <c r="GC10019"/>
      <c r="GD10019"/>
      <c r="GE10019"/>
      <c r="GF10019"/>
      <c r="GG10019"/>
      <c r="GH10019"/>
      <c r="GI10019"/>
      <c r="GJ10019"/>
      <c r="GK10019"/>
      <c r="GL10019"/>
      <c r="GM10019"/>
      <c r="GN10019"/>
      <c r="GO10019"/>
    </row>
    <row r="10020" spans="107:197">
      <c r="DC10020"/>
      <c r="FH10020"/>
      <c r="FI10020"/>
      <c r="FJ10020"/>
      <c r="FK10020"/>
      <c r="FL10020"/>
      <c r="FM10020"/>
      <c r="FN10020"/>
      <c r="FO10020"/>
      <c r="FP10020"/>
      <c r="FQ10020"/>
      <c r="FR10020"/>
      <c r="FS10020"/>
      <c r="FT10020"/>
      <c r="FU10020"/>
      <c r="FV10020"/>
      <c r="FW10020"/>
      <c r="FX10020"/>
      <c r="FY10020"/>
      <c r="FZ10020"/>
      <c r="GA10020"/>
      <c r="GB10020"/>
      <c r="GC10020"/>
      <c r="GD10020"/>
      <c r="GE10020"/>
      <c r="GF10020"/>
      <c r="GG10020"/>
      <c r="GH10020"/>
      <c r="GI10020"/>
      <c r="GJ10020"/>
      <c r="GK10020"/>
      <c r="GL10020"/>
      <c r="GM10020"/>
      <c r="GN10020"/>
      <c r="GO10020"/>
    </row>
    <row r="10021" spans="107:197">
      <c r="DC10021"/>
      <c r="FH10021"/>
      <c r="FI10021"/>
      <c r="FJ10021"/>
      <c r="FK10021"/>
      <c r="FL10021"/>
      <c r="FM10021"/>
      <c r="FN10021"/>
      <c r="FO10021"/>
      <c r="FP10021"/>
      <c r="FQ10021"/>
      <c r="FR10021"/>
      <c r="FS10021"/>
      <c r="FT10021"/>
      <c r="FU10021"/>
      <c r="FV10021"/>
      <c r="FW10021"/>
      <c r="FX10021"/>
      <c r="FY10021"/>
      <c r="FZ10021"/>
      <c r="GA10021"/>
      <c r="GB10021"/>
      <c r="GC10021"/>
      <c r="GD10021"/>
      <c r="GE10021"/>
      <c r="GF10021"/>
      <c r="GG10021"/>
      <c r="GH10021"/>
      <c r="GI10021"/>
      <c r="GJ10021"/>
      <c r="GK10021"/>
      <c r="GL10021"/>
      <c r="GM10021"/>
      <c r="GN10021"/>
      <c r="GO10021"/>
    </row>
    <row r="10022" spans="107:197">
      <c r="DC10022"/>
      <c r="FH10022"/>
      <c r="FI10022"/>
      <c r="FJ10022"/>
      <c r="FK10022"/>
      <c r="FL10022"/>
      <c r="FM10022"/>
      <c r="FN10022"/>
      <c r="FO10022"/>
      <c r="FP10022"/>
      <c r="FQ10022"/>
      <c r="FR10022"/>
      <c r="FS10022"/>
      <c r="FT10022"/>
      <c r="FU10022"/>
      <c r="FV10022"/>
      <c r="FW10022"/>
      <c r="FX10022"/>
      <c r="FY10022"/>
      <c r="FZ10022"/>
      <c r="GA10022"/>
      <c r="GB10022"/>
      <c r="GC10022"/>
      <c r="GD10022"/>
      <c r="GE10022"/>
      <c r="GF10022"/>
      <c r="GG10022"/>
      <c r="GH10022"/>
      <c r="GI10022"/>
      <c r="GJ10022"/>
      <c r="GK10022"/>
      <c r="GL10022"/>
      <c r="GM10022"/>
      <c r="GN10022"/>
      <c r="GO10022"/>
    </row>
    <row r="10023" spans="107:197">
      <c r="DC10023"/>
      <c r="FH10023"/>
      <c r="FI10023"/>
      <c r="FJ10023"/>
      <c r="FK10023"/>
      <c r="FL10023"/>
      <c r="FM10023"/>
      <c r="FN10023"/>
      <c r="FO10023"/>
      <c r="FP10023"/>
      <c r="FQ10023"/>
      <c r="FR10023"/>
      <c r="FS10023"/>
      <c r="FT10023"/>
      <c r="FU10023"/>
      <c r="FV10023"/>
      <c r="FW10023"/>
      <c r="FX10023"/>
      <c r="FY10023"/>
      <c r="FZ10023"/>
      <c r="GA10023"/>
      <c r="GB10023"/>
      <c r="GC10023"/>
      <c r="GD10023"/>
      <c r="GE10023"/>
      <c r="GF10023"/>
      <c r="GG10023"/>
      <c r="GH10023"/>
      <c r="GI10023"/>
      <c r="GJ10023"/>
      <c r="GK10023"/>
      <c r="GL10023"/>
      <c r="GM10023"/>
      <c r="GN10023"/>
      <c r="GO10023"/>
    </row>
    <row r="10024" spans="107:197">
      <c r="DC10024"/>
      <c r="FH10024"/>
      <c r="FI10024"/>
      <c r="FJ10024"/>
      <c r="FK10024"/>
      <c r="FL10024"/>
      <c r="FM10024"/>
      <c r="FN10024"/>
      <c r="FO10024"/>
      <c r="FP10024"/>
      <c r="FQ10024"/>
      <c r="FR10024"/>
      <c r="FS10024"/>
      <c r="FT10024"/>
      <c r="FU10024"/>
      <c r="FV10024"/>
      <c r="FW10024"/>
      <c r="FX10024"/>
      <c r="FY10024"/>
      <c r="FZ10024"/>
      <c r="GA10024"/>
      <c r="GB10024"/>
      <c r="GC10024"/>
      <c r="GD10024"/>
      <c r="GE10024"/>
      <c r="GF10024"/>
      <c r="GG10024"/>
      <c r="GH10024"/>
      <c r="GI10024"/>
      <c r="GJ10024"/>
      <c r="GK10024"/>
      <c r="GL10024"/>
      <c r="GM10024"/>
      <c r="GN10024"/>
      <c r="GO10024"/>
    </row>
    <row r="10025" spans="107:197">
      <c r="DC10025"/>
      <c r="FH10025"/>
      <c r="FI10025"/>
      <c r="FJ10025"/>
      <c r="FK10025"/>
      <c r="FL10025"/>
      <c r="FM10025"/>
      <c r="FN10025"/>
      <c r="FO10025"/>
      <c r="FP10025"/>
      <c r="FQ10025"/>
      <c r="FR10025"/>
      <c r="FS10025"/>
      <c r="FT10025"/>
      <c r="FU10025"/>
      <c r="FV10025"/>
      <c r="FW10025"/>
      <c r="FX10025"/>
      <c r="FY10025"/>
      <c r="FZ10025"/>
      <c r="GA10025"/>
      <c r="GB10025"/>
      <c r="GC10025"/>
      <c r="GD10025"/>
      <c r="GE10025"/>
      <c r="GF10025"/>
      <c r="GG10025"/>
      <c r="GH10025"/>
      <c r="GI10025"/>
      <c r="GJ10025"/>
      <c r="GK10025"/>
      <c r="GL10025"/>
      <c r="GM10025"/>
      <c r="GN10025"/>
      <c r="GO10025"/>
    </row>
    <row r="10026" spans="107:197">
      <c r="DC10026"/>
      <c r="FH10026"/>
      <c r="FI10026"/>
      <c r="FJ10026"/>
      <c r="FK10026"/>
      <c r="FL10026"/>
      <c r="FM10026"/>
      <c r="FN10026"/>
      <c r="FO10026"/>
      <c r="FP10026"/>
      <c r="FQ10026"/>
      <c r="FR10026"/>
      <c r="FS10026"/>
      <c r="FT10026"/>
      <c r="FU10026"/>
      <c r="FV10026"/>
      <c r="FW10026"/>
      <c r="FX10026"/>
      <c r="FY10026"/>
      <c r="FZ10026"/>
      <c r="GA10026"/>
      <c r="GB10026"/>
      <c r="GC10026"/>
      <c r="GD10026"/>
      <c r="GE10026"/>
      <c r="GF10026"/>
      <c r="GG10026"/>
      <c r="GH10026"/>
      <c r="GI10026"/>
      <c r="GJ10026"/>
      <c r="GK10026"/>
      <c r="GL10026"/>
      <c r="GM10026"/>
      <c r="GN10026"/>
      <c r="GO10026"/>
    </row>
    <row r="10027" spans="107:197">
      <c r="DC10027"/>
      <c r="FH10027"/>
      <c r="FI10027"/>
      <c r="FJ10027"/>
      <c r="FK10027"/>
      <c r="FL10027"/>
      <c r="FM10027"/>
      <c r="FN10027"/>
      <c r="FO10027"/>
      <c r="FP10027"/>
      <c r="FQ10027"/>
      <c r="FR10027"/>
      <c r="FS10027"/>
      <c r="FT10027"/>
      <c r="FU10027"/>
      <c r="FV10027"/>
      <c r="FW10027"/>
      <c r="FX10027"/>
      <c r="FY10027"/>
      <c r="FZ10027"/>
      <c r="GA10027"/>
      <c r="GB10027"/>
      <c r="GC10027"/>
      <c r="GD10027"/>
      <c r="GE10027"/>
      <c r="GF10027"/>
      <c r="GG10027"/>
      <c r="GH10027"/>
      <c r="GI10027"/>
      <c r="GJ10027"/>
      <c r="GK10027"/>
      <c r="GL10027"/>
      <c r="GM10027"/>
      <c r="GN10027"/>
      <c r="GO10027"/>
    </row>
    <row r="10028" spans="107:197">
      <c r="DC10028"/>
      <c r="FH10028"/>
      <c r="FI10028"/>
      <c r="FJ10028"/>
      <c r="FK10028"/>
      <c r="FL10028"/>
      <c r="FM10028"/>
      <c r="FN10028"/>
      <c r="FO10028"/>
      <c r="FP10028"/>
      <c r="FQ10028"/>
      <c r="FR10028"/>
      <c r="FS10028"/>
      <c r="FT10028"/>
      <c r="FU10028"/>
      <c r="FV10028"/>
      <c r="FW10028"/>
      <c r="FX10028"/>
      <c r="FY10028"/>
      <c r="FZ10028"/>
      <c r="GA10028"/>
      <c r="GB10028"/>
      <c r="GC10028"/>
      <c r="GD10028"/>
      <c r="GE10028"/>
      <c r="GF10028"/>
      <c r="GG10028"/>
      <c r="GH10028"/>
      <c r="GI10028"/>
      <c r="GJ10028"/>
      <c r="GK10028"/>
      <c r="GL10028"/>
      <c r="GM10028"/>
      <c r="GN10028"/>
      <c r="GO10028"/>
    </row>
    <row r="10029" spans="107:197">
      <c r="DC10029"/>
      <c r="FH10029"/>
      <c r="FI10029"/>
      <c r="FJ10029"/>
      <c r="FK10029"/>
      <c r="FL10029"/>
      <c r="FM10029"/>
      <c r="FN10029"/>
      <c r="FO10029"/>
      <c r="FP10029"/>
      <c r="FQ10029"/>
      <c r="FR10029"/>
      <c r="FS10029"/>
      <c r="FT10029"/>
      <c r="FU10029"/>
      <c r="FV10029"/>
      <c r="FW10029"/>
      <c r="FX10029"/>
      <c r="FY10029"/>
      <c r="FZ10029"/>
      <c r="GA10029"/>
      <c r="GB10029"/>
      <c r="GC10029"/>
      <c r="GD10029"/>
      <c r="GE10029"/>
      <c r="GF10029"/>
      <c r="GG10029"/>
      <c r="GH10029"/>
      <c r="GI10029"/>
      <c r="GJ10029"/>
      <c r="GK10029"/>
      <c r="GL10029"/>
      <c r="GM10029"/>
      <c r="GN10029"/>
      <c r="GO10029"/>
    </row>
    <row r="10030" spans="107:197">
      <c r="DC10030"/>
      <c r="FH10030"/>
      <c r="FI10030"/>
      <c r="FJ10030"/>
      <c r="FK10030"/>
      <c r="FL10030"/>
      <c r="FM10030"/>
      <c r="FN10030"/>
      <c r="FO10030"/>
      <c r="FP10030"/>
      <c r="FQ10030"/>
      <c r="FR10030"/>
      <c r="FS10030"/>
      <c r="FT10030"/>
      <c r="FU10030"/>
      <c r="FV10030"/>
      <c r="FW10030"/>
      <c r="FX10030"/>
      <c r="FY10030"/>
      <c r="FZ10030"/>
      <c r="GA10030"/>
      <c r="GB10030"/>
      <c r="GC10030"/>
      <c r="GD10030"/>
      <c r="GE10030"/>
      <c r="GF10030"/>
      <c r="GG10030"/>
      <c r="GH10030"/>
      <c r="GI10030"/>
      <c r="GJ10030"/>
      <c r="GK10030"/>
      <c r="GL10030"/>
      <c r="GM10030"/>
      <c r="GN10030"/>
      <c r="GO10030"/>
    </row>
    <row r="10031" spans="107:197">
      <c r="DC10031"/>
      <c r="FH10031"/>
      <c r="FI10031"/>
      <c r="FJ10031"/>
      <c r="FK10031"/>
      <c r="FL10031"/>
      <c r="FM10031"/>
      <c r="FN10031"/>
      <c r="FO10031"/>
      <c r="FP10031"/>
      <c r="FQ10031"/>
      <c r="FR10031"/>
      <c r="FS10031"/>
      <c r="FT10031"/>
      <c r="FU10031"/>
      <c r="FV10031"/>
      <c r="FW10031"/>
      <c r="FX10031"/>
      <c r="FY10031"/>
      <c r="FZ10031"/>
      <c r="GA10031"/>
      <c r="GB10031"/>
      <c r="GC10031"/>
      <c r="GD10031"/>
      <c r="GE10031"/>
      <c r="GF10031"/>
      <c r="GG10031"/>
      <c r="GH10031"/>
      <c r="GI10031"/>
      <c r="GJ10031"/>
      <c r="GK10031"/>
      <c r="GL10031"/>
      <c r="GM10031"/>
      <c r="GN10031"/>
      <c r="GO10031"/>
    </row>
    <row r="10032" spans="107:197">
      <c r="DC10032"/>
      <c r="FH10032"/>
      <c r="FI10032"/>
      <c r="FJ10032"/>
      <c r="FK10032"/>
      <c r="FL10032"/>
      <c r="FM10032"/>
      <c r="FN10032"/>
      <c r="FO10032"/>
      <c r="FP10032"/>
      <c r="FQ10032"/>
      <c r="FR10032"/>
      <c r="FS10032"/>
      <c r="FT10032"/>
      <c r="FU10032"/>
      <c r="FV10032"/>
      <c r="FW10032"/>
      <c r="FX10032"/>
      <c r="FY10032"/>
      <c r="FZ10032"/>
      <c r="GA10032"/>
      <c r="GB10032"/>
      <c r="GC10032"/>
      <c r="GD10032"/>
      <c r="GE10032"/>
      <c r="GF10032"/>
      <c r="GG10032"/>
      <c r="GH10032"/>
      <c r="GI10032"/>
      <c r="GJ10032"/>
      <c r="GK10032"/>
      <c r="GL10032"/>
      <c r="GM10032"/>
      <c r="GN10032"/>
      <c r="GO10032"/>
    </row>
    <row r="10033" spans="107:197">
      <c r="DC10033"/>
      <c r="FH10033"/>
      <c r="FI10033"/>
      <c r="FJ10033"/>
      <c r="FK10033"/>
      <c r="FL10033"/>
      <c r="FM10033"/>
      <c r="FN10033"/>
      <c r="FO10033"/>
      <c r="FP10033"/>
      <c r="FQ10033"/>
      <c r="FR10033"/>
      <c r="FS10033"/>
      <c r="FT10033"/>
      <c r="FU10033"/>
      <c r="FV10033"/>
      <c r="FW10033"/>
      <c r="FX10033"/>
      <c r="FY10033"/>
      <c r="FZ10033"/>
      <c r="GA10033"/>
      <c r="GB10033"/>
      <c r="GC10033"/>
      <c r="GD10033"/>
      <c r="GE10033"/>
      <c r="GF10033"/>
      <c r="GG10033"/>
      <c r="GH10033"/>
      <c r="GI10033"/>
      <c r="GJ10033"/>
      <c r="GK10033"/>
      <c r="GL10033"/>
      <c r="GM10033"/>
      <c r="GN10033"/>
      <c r="GO10033"/>
    </row>
    <row r="10034" spans="107:197">
      <c r="DC10034"/>
      <c r="FH10034"/>
      <c r="FI10034"/>
      <c r="FJ10034"/>
      <c r="FK10034"/>
      <c r="FL10034"/>
      <c r="FM10034"/>
      <c r="FN10034"/>
      <c r="FO10034"/>
      <c r="FP10034"/>
      <c r="FQ10034"/>
      <c r="FR10034"/>
      <c r="FS10034"/>
      <c r="FT10034"/>
      <c r="FU10034"/>
      <c r="FV10034"/>
      <c r="FW10034"/>
      <c r="FX10034"/>
      <c r="FY10034"/>
      <c r="FZ10034"/>
      <c r="GA10034"/>
      <c r="GB10034"/>
      <c r="GC10034"/>
      <c r="GD10034"/>
      <c r="GE10034"/>
      <c r="GF10034"/>
      <c r="GG10034"/>
      <c r="GH10034"/>
      <c r="GI10034"/>
      <c r="GJ10034"/>
      <c r="GK10034"/>
      <c r="GL10034"/>
      <c r="GM10034"/>
      <c r="GN10034"/>
      <c r="GO10034"/>
    </row>
    <row r="10035" spans="107:197">
      <c r="DC10035"/>
      <c r="FH10035"/>
      <c r="FI10035"/>
      <c r="FJ10035"/>
      <c r="FK10035"/>
      <c r="FL10035"/>
      <c r="FM10035"/>
      <c r="FN10035"/>
      <c r="FO10035"/>
      <c r="FP10035"/>
      <c r="FQ10035"/>
      <c r="FR10035"/>
      <c r="FS10035"/>
      <c r="FT10035"/>
      <c r="FU10035"/>
      <c r="FV10035"/>
      <c r="FW10035"/>
      <c r="FX10035"/>
      <c r="FY10035"/>
      <c r="FZ10035"/>
      <c r="GA10035"/>
      <c r="GB10035"/>
      <c r="GC10035"/>
      <c r="GD10035"/>
      <c r="GE10035"/>
      <c r="GF10035"/>
      <c r="GG10035"/>
      <c r="GH10035"/>
      <c r="GI10035"/>
      <c r="GJ10035"/>
      <c r="GK10035"/>
      <c r="GL10035"/>
      <c r="GM10035"/>
      <c r="GN10035"/>
      <c r="GO10035"/>
    </row>
    <row r="10036" spans="107:197">
      <c r="DC10036"/>
      <c r="FH10036"/>
      <c r="FI10036"/>
      <c r="FJ10036"/>
      <c r="FK10036"/>
      <c r="FL10036"/>
      <c r="FM10036"/>
      <c r="FN10036"/>
      <c r="FO10036"/>
      <c r="FP10036"/>
      <c r="FQ10036"/>
      <c r="FR10036"/>
      <c r="FS10036"/>
      <c r="FT10036"/>
      <c r="FU10036"/>
      <c r="FV10036"/>
      <c r="FW10036"/>
      <c r="FX10036"/>
      <c r="FY10036"/>
      <c r="FZ10036"/>
      <c r="GA10036"/>
      <c r="GB10036"/>
      <c r="GC10036"/>
      <c r="GD10036"/>
      <c r="GE10036"/>
      <c r="GF10036"/>
      <c r="GG10036"/>
      <c r="GH10036"/>
      <c r="GI10036"/>
      <c r="GJ10036"/>
      <c r="GK10036"/>
      <c r="GL10036"/>
      <c r="GM10036"/>
      <c r="GN10036"/>
      <c r="GO10036"/>
    </row>
    <row r="10037" spans="107:197">
      <c r="DC10037"/>
      <c r="FH10037"/>
      <c r="FI10037"/>
      <c r="FJ10037"/>
      <c r="FK10037"/>
      <c r="FL10037"/>
      <c r="FM10037"/>
      <c r="FN10037"/>
      <c r="FO10037"/>
      <c r="FP10037"/>
      <c r="FQ10037"/>
      <c r="FR10037"/>
      <c r="FS10037"/>
      <c r="FT10037"/>
      <c r="FU10037"/>
      <c r="FV10037"/>
      <c r="FW10037"/>
      <c r="FX10037"/>
      <c r="FY10037"/>
      <c r="FZ10037"/>
      <c r="GA10037"/>
      <c r="GB10037"/>
      <c r="GC10037"/>
      <c r="GD10037"/>
      <c r="GE10037"/>
      <c r="GF10037"/>
      <c r="GG10037"/>
      <c r="GH10037"/>
      <c r="GI10037"/>
      <c r="GJ10037"/>
      <c r="GK10037"/>
      <c r="GL10037"/>
      <c r="GM10037"/>
      <c r="GN10037"/>
      <c r="GO10037"/>
    </row>
    <row r="10038" spans="107:197">
      <c r="DC10038"/>
      <c r="FH10038"/>
      <c r="FI10038"/>
      <c r="FJ10038"/>
      <c r="FK10038"/>
      <c r="FL10038"/>
      <c r="FM10038"/>
      <c r="FN10038"/>
      <c r="FO10038"/>
      <c r="FP10038"/>
      <c r="FQ10038"/>
      <c r="FR10038"/>
      <c r="FS10038"/>
      <c r="FT10038"/>
      <c r="FU10038"/>
      <c r="FV10038"/>
      <c r="FW10038"/>
      <c r="FX10038"/>
      <c r="FY10038"/>
      <c r="FZ10038"/>
      <c r="GA10038"/>
      <c r="GB10038"/>
      <c r="GC10038"/>
      <c r="GD10038"/>
      <c r="GE10038"/>
      <c r="GF10038"/>
      <c r="GG10038"/>
      <c r="GH10038"/>
      <c r="GI10038"/>
      <c r="GJ10038"/>
      <c r="GK10038"/>
      <c r="GL10038"/>
      <c r="GM10038"/>
      <c r="GN10038"/>
      <c r="GO10038"/>
    </row>
    <row r="10039" spans="107:197">
      <c r="DC10039"/>
      <c r="FH10039"/>
      <c r="FI10039"/>
      <c r="FJ10039"/>
      <c r="FK10039"/>
      <c r="FL10039"/>
      <c r="FM10039"/>
      <c r="FN10039"/>
      <c r="FO10039"/>
      <c r="FP10039"/>
      <c r="FQ10039"/>
      <c r="FR10039"/>
      <c r="FS10039"/>
      <c r="FT10039"/>
      <c r="FU10039"/>
      <c r="FV10039"/>
      <c r="FW10039"/>
      <c r="FX10039"/>
      <c r="FY10039"/>
      <c r="FZ10039"/>
      <c r="GA10039"/>
      <c r="GB10039"/>
      <c r="GC10039"/>
      <c r="GD10039"/>
      <c r="GE10039"/>
      <c r="GF10039"/>
      <c r="GG10039"/>
      <c r="GH10039"/>
      <c r="GI10039"/>
      <c r="GJ10039"/>
      <c r="GK10039"/>
      <c r="GL10039"/>
      <c r="GM10039"/>
      <c r="GN10039"/>
      <c r="GO10039"/>
    </row>
    <row r="10040" spans="107:197">
      <c r="DC10040"/>
      <c r="FH10040"/>
      <c r="FI10040"/>
      <c r="FJ10040"/>
      <c r="FK10040"/>
      <c r="FL10040"/>
      <c r="FM10040"/>
      <c r="FN10040"/>
      <c r="FO10040"/>
      <c r="FP10040"/>
      <c r="FQ10040"/>
      <c r="FR10040"/>
      <c r="FS10040"/>
      <c r="FT10040"/>
      <c r="FU10040"/>
      <c r="FV10040"/>
      <c r="FW10040"/>
      <c r="FX10040"/>
      <c r="FY10040"/>
      <c r="FZ10040"/>
      <c r="GA10040"/>
      <c r="GB10040"/>
      <c r="GC10040"/>
      <c r="GD10040"/>
      <c r="GE10040"/>
      <c r="GF10040"/>
      <c r="GG10040"/>
      <c r="GH10040"/>
      <c r="GI10040"/>
      <c r="GJ10040"/>
      <c r="GK10040"/>
      <c r="GL10040"/>
      <c r="GM10040"/>
      <c r="GN10040"/>
      <c r="GO10040"/>
    </row>
    <row r="10041" spans="107:197">
      <c r="DC10041"/>
      <c r="FH10041"/>
      <c r="FI10041"/>
      <c r="FJ10041"/>
      <c r="FK10041"/>
      <c r="FL10041"/>
      <c r="FM10041"/>
      <c r="FN10041"/>
      <c r="FO10041"/>
      <c r="FP10041"/>
      <c r="FQ10041"/>
      <c r="FR10041"/>
      <c r="FS10041"/>
      <c r="FT10041"/>
      <c r="FU10041"/>
      <c r="FV10041"/>
      <c r="FW10041"/>
      <c r="FX10041"/>
      <c r="FY10041"/>
      <c r="FZ10041"/>
      <c r="GA10041"/>
      <c r="GB10041"/>
      <c r="GC10041"/>
      <c r="GD10041"/>
      <c r="GE10041"/>
      <c r="GF10041"/>
      <c r="GG10041"/>
      <c r="GH10041"/>
      <c r="GI10041"/>
      <c r="GJ10041"/>
      <c r="GK10041"/>
      <c r="GL10041"/>
      <c r="GM10041"/>
      <c r="GN10041"/>
      <c r="GO10041"/>
    </row>
    <row r="10042" spans="107:197">
      <c r="DC10042"/>
      <c r="FH10042"/>
      <c r="FI10042"/>
      <c r="FJ10042"/>
      <c r="FK10042"/>
      <c r="FL10042"/>
      <c r="FM10042"/>
      <c r="FN10042"/>
      <c r="FO10042"/>
      <c r="FP10042"/>
      <c r="FQ10042"/>
      <c r="FR10042"/>
      <c r="FS10042"/>
      <c r="FT10042"/>
      <c r="FU10042"/>
      <c r="FV10042"/>
      <c r="FW10042"/>
      <c r="FX10042"/>
      <c r="FY10042"/>
      <c r="FZ10042"/>
      <c r="GA10042"/>
      <c r="GB10042"/>
      <c r="GC10042"/>
      <c r="GD10042"/>
      <c r="GE10042"/>
      <c r="GF10042"/>
      <c r="GG10042"/>
      <c r="GH10042"/>
      <c r="GI10042"/>
      <c r="GJ10042"/>
      <c r="GK10042"/>
      <c r="GL10042"/>
      <c r="GM10042"/>
      <c r="GN10042"/>
      <c r="GO10042"/>
    </row>
    <row r="10043" spans="107:197">
      <c r="DC10043"/>
      <c r="FH10043"/>
      <c r="FI10043"/>
      <c r="FJ10043"/>
      <c r="FK10043"/>
      <c r="FL10043"/>
      <c r="FM10043"/>
      <c r="FN10043"/>
      <c r="FO10043"/>
      <c r="FP10043"/>
      <c r="FQ10043"/>
      <c r="FR10043"/>
      <c r="FS10043"/>
      <c r="FT10043"/>
      <c r="FU10043"/>
      <c r="FV10043"/>
      <c r="FW10043"/>
      <c r="FX10043"/>
      <c r="FY10043"/>
      <c r="FZ10043"/>
      <c r="GA10043"/>
      <c r="GB10043"/>
      <c r="GC10043"/>
      <c r="GD10043"/>
      <c r="GE10043"/>
      <c r="GF10043"/>
      <c r="GG10043"/>
      <c r="GH10043"/>
      <c r="GI10043"/>
      <c r="GJ10043"/>
      <c r="GK10043"/>
      <c r="GL10043"/>
      <c r="GM10043"/>
      <c r="GN10043"/>
      <c r="GO10043"/>
    </row>
    <row r="10044" spans="107:197">
      <c r="DC10044"/>
      <c r="FH10044"/>
      <c r="FI10044"/>
      <c r="FJ10044"/>
      <c r="FK10044"/>
      <c r="FL10044"/>
      <c r="FM10044"/>
      <c r="FN10044"/>
      <c r="FO10044"/>
      <c r="FP10044"/>
      <c r="FQ10044"/>
      <c r="FR10044"/>
      <c r="FS10044"/>
      <c r="FT10044"/>
      <c r="FU10044"/>
      <c r="FV10044"/>
      <c r="FW10044"/>
      <c r="FX10044"/>
      <c r="FY10044"/>
      <c r="FZ10044"/>
      <c r="GA10044"/>
      <c r="GB10044"/>
      <c r="GC10044"/>
      <c r="GD10044"/>
      <c r="GE10044"/>
      <c r="GF10044"/>
      <c r="GG10044"/>
      <c r="GH10044"/>
      <c r="GI10044"/>
      <c r="GJ10044"/>
      <c r="GK10044"/>
      <c r="GL10044"/>
      <c r="GM10044"/>
      <c r="GN10044"/>
      <c r="GO10044"/>
    </row>
    <row r="10045" spans="107:197">
      <c r="DC10045"/>
      <c r="FH10045"/>
      <c r="FI10045"/>
      <c r="FJ10045"/>
      <c r="FK10045"/>
      <c r="FL10045"/>
      <c r="FM10045"/>
      <c r="FN10045"/>
      <c r="FO10045"/>
      <c r="FP10045"/>
      <c r="FQ10045"/>
      <c r="FR10045"/>
      <c r="FS10045"/>
      <c r="FT10045"/>
      <c r="FU10045"/>
      <c r="FV10045"/>
      <c r="FW10045"/>
      <c r="FX10045"/>
      <c r="FY10045"/>
      <c r="FZ10045"/>
      <c r="GA10045"/>
      <c r="GB10045"/>
      <c r="GC10045"/>
      <c r="GD10045"/>
      <c r="GE10045"/>
      <c r="GF10045"/>
      <c r="GG10045"/>
      <c r="GH10045"/>
      <c r="GI10045"/>
      <c r="GJ10045"/>
      <c r="GK10045"/>
      <c r="GL10045"/>
      <c r="GM10045"/>
      <c r="GN10045"/>
      <c r="GO10045"/>
    </row>
    <row r="10046" spans="107:197">
      <c r="DC10046"/>
      <c r="FH10046"/>
      <c r="FI10046"/>
      <c r="FJ10046"/>
      <c r="FK10046"/>
      <c r="FL10046"/>
      <c r="FM10046"/>
      <c r="FN10046"/>
      <c r="FO10046"/>
      <c r="FP10046"/>
      <c r="FQ10046"/>
      <c r="FR10046"/>
      <c r="FS10046"/>
      <c r="FT10046"/>
      <c r="FU10046"/>
      <c r="FV10046"/>
      <c r="FW10046"/>
      <c r="FX10046"/>
      <c r="FY10046"/>
      <c r="FZ10046"/>
      <c r="GA10046"/>
      <c r="GB10046"/>
      <c r="GC10046"/>
      <c r="GD10046"/>
      <c r="GE10046"/>
      <c r="GF10046"/>
      <c r="GG10046"/>
      <c r="GH10046"/>
      <c r="GI10046"/>
      <c r="GJ10046"/>
      <c r="GK10046"/>
      <c r="GL10046"/>
      <c r="GM10046"/>
      <c r="GN10046"/>
      <c r="GO10046"/>
    </row>
    <row r="10047" spans="107:197">
      <c r="DC10047"/>
      <c r="FH10047"/>
      <c r="FI10047"/>
      <c r="FJ10047"/>
      <c r="FK10047"/>
      <c r="FL10047"/>
      <c r="FM10047"/>
      <c r="FN10047"/>
      <c r="FO10047"/>
      <c r="FP10047"/>
      <c r="FQ10047"/>
      <c r="FR10047"/>
      <c r="FS10047"/>
      <c r="FT10047"/>
      <c r="FU10047"/>
      <c r="FV10047"/>
      <c r="FW10047"/>
      <c r="FX10047"/>
      <c r="FY10047"/>
      <c r="FZ10047"/>
      <c r="GA10047"/>
      <c r="GB10047"/>
      <c r="GC10047"/>
      <c r="GD10047"/>
      <c r="GE10047"/>
      <c r="GF10047"/>
      <c r="GG10047"/>
      <c r="GH10047"/>
      <c r="GI10047"/>
      <c r="GJ10047"/>
      <c r="GK10047"/>
      <c r="GL10047"/>
      <c r="GM10047"/>
      <c r="GN10047"/>
      <c r="GO10047"/>
    </row>
    <row r="10048" spans="107:197">
      <c r="DC10048"/>
      <c r="FH10048"/>
      <c r="FI10048"/>
      <c r="FJ10048"/>
      <c r="FK10048"/>
      <c r="FL10048"/>
      <c r="FM10048"/>
      <c r="FN10048"/>
      <c r="FO10048"/>
      <c r="FP10048"/>
      <c r="FQ10048"/>
      <c r="FR10048"/>
      <c r="FS10048"/>
      <c r="FT10048"/>
      <c r="FU10048"/>
      <c r="FV10048"/>
      <c r="FW10048"/>
      <c r="FX10048"/>
      <c r="FY10048"/>
      <c r="FZ10048"/>
      <c r="GA10048"/>
      <c r="GB10048"/>
      <c r="GC10048"/>
      <c r="GD10048"/>
      <c r="GE10048"/>
      <c r="GF10048"/>
      <c r="GG10048"/>
      <c r="GH10048"/>
      <c r="GI10048"/>
      <c r="GJ10048"/>
      <c r="GK10048"/>
      <c r="GL10048"/>
      <c r="GM10048"/>
      <c r="GN10048"/>
      <c r="GO10048"/>
    </row>
    <row r="10049" spans="107:197">
      <c r="DC10049"/>
      <c r="FH10049"/>
      <c r="FI10049"/>
      <c r="FJ10049"/>
      <c r="FK10049"/>
      <c r="FL10049"/>
      <c r="FM10049"/>
      <c r="FN10049"/>
      <c r="FO10049"/>
      <c r="FP10049"/>
      <c r="FQ10049"/>
      <c r="FR10049"/>
      <c r="FS10049"/>
      <c r="FT10049"/>
      <c r="FU10049"/>
      <c r="FV10049"/>
      <c r="FW10049"/>
      <c r="FX10049"/>
      <c r="FY10049"/>
      <c r="FZ10049"/>
      <c r="GA10049"/>
      <c r="GB10049"/>
      <c r="GC10049"/>
      <c r="GD10049"/>
      <c r="GE10049"/>
      <c r="GF10049"/>
      <c r="GG10049"/>
      <c r="GH10049"/>
      <c r="GI10049"/>
      <c r="GJ10049"/>
      <c r="GK10049"/>
      <c r="GL10049"/>
      <c r="GM10049"/>
      <c r="GN10049"/>
      <c r="GO10049"/>
    </row>
    <row r="10050" spans="107:197">
      <c r="DC10050"/>
      <c r="FH10050"/>
      <c r="FI10050"/>
      <c r="FJ10050"/>
      <c r="FK10050"/>
      <c r="FL10050"/>
      <c r="FM10050"/>
      <c r="FN10050"/>
      <c r="FO10050"/>
      <c r="FP10050"/>
      <c r="FQ10050"/>
      <c r="FR10050"/>
      <c r="FS10050"/>
      <c r="FT10050"/>
      <c r="FU10050"/>
      <c r="FV10050"/>
      <c r="FW10050"/>
      <c r="FX10050"/>
      <c r="FY10050"/>
      <c r="FZ10050"/>
      <c r="GA10050"/>
      <c r="GB10050"/>
      <c r="GC10050"/>
      <c r="GD10050"/>
      <c r="GE10050"/>
      <c r="GF10050"/>
      <c r="GG10050"/>
      <c r="GH10050"/>
      <c r="GI10050"/>
      <c r="GJ10050"/>
      <c r="GK10050"/>
      <c r="GL10050"/>
      <c r="GM10050"/>
      <c r="GN10050"/>
      <c r="GO10050"/>
    </row>
    <row r="10051" spans="107:197">
      <c r="DC10051"/>
      <c r="FH10051"/>
      <c r="FI10051"/>
      <c r="FJ10051"/>
      <c r="FK10051"/>
      <c r="FL10051"/>
      <c r="FM10051"/>
      <c r="FN10051"/>
      <c r="FO10051"/>
      <c r="FP10051"/>
      <c r="FQ10051"/>
      <c r="FR10051"/>
      <c r="FS10051"/>
      <c r="FT10051"/>
      <c r="FU10051"/>
      <c r="FV10051"/>
      <c r="FW10051"/>
      <c r="FX10051"/>
      <c r="FY10051"/>
      <c r="FZ10051"/>
      <c r="GA10051"/>
      <c r="GB10051"/>
      <c r="GC10051"/>
      <c r="GD10051"/>
      <c r="GE10051"/>
      <c r="GF10051"/>
      <c r="GG10051"/>
      <c r="GH10051"/>
      <c r="GI10051"/>
      <c r="GJ10051"/>
      <c r="GK10051"/>
      <c r="GL10051"/>
      <c r="GM10051"/>
      <c r="GN10051"/>
      <c r="GO10051"/>
    </row>
    <row r="10052" spans="107:197">
      <c r="DC10052"/>
      <c r="FH10052"/>
      <c r="FI10052"/>
      <c r="FJ10052"/>
      <c r="FK10052"/>
      <c r="FL10052"/>
      <c r="FM10052"/>
      <c r="FN10052"/>
      <c r="FO10052"/>
      <c r="FP10052"/>
      <c r="FQ10052"/>
      <c r="FR10052"/>
      <c r="FS10052"/>
      <c r="FT10052"/>
      <c r="FU10052"/>
      <c r="FV10052"/>
      <c r="FW10052"/>
      <c r="FX10052"/>
      <c r="FY10052"/>
      <c r="FZ10052"/>
      <c r="GA10052"/>
      <c r="GB10052"/>
      <c r="GC10052"/>
      <c r="GD10052"/>
      <c r="GE10052"/>
      <c r="GF10052"/>
      <c r="GG10052"/>
      <c r="GH10052"/>
      <c r="GI10052"/>
      <c r="GJ10052"/>
      <c r="GK10052"/>
      <c r="GL10052"/>
      <c r="GM10052"/>
      <c r="GN10052"/>
      <c r="GO10052"/>
    </row>
    <row r="10053" spans="107:197">
      <c r="DC10053"/>
      <c r="FH10053"/>
      <c r="FI10053"/>
      <c r="FJ10053"/>
      <c r="FK10053"/>
      <c r="FL10053"/>
      <c r="FM10053"/>
      <c r="FN10053"/>
      <c r="FO10053"/>
      <c r="FP10053"/>
      <c r="FQ10053"/>
      <c r="FR10053"/>
      <c r="FS10053"/>
      <c r="FT10053"/>
      <c r="FU10053"/>
      <c r="FV10053"/>
      <c r="FW10053"/>
      <c r="FX10053"/>
      <c r="FY10053"/>
      <c r="FZ10053"/>
      <c r="GA10053"/>
      <c r="GB10053"/>
      <c r="GC10053"/>
      <c r="GD10053"/>
      <c r="GE10053"/>
      <c r="GF10053"/>
      <c r="GG10053"/>
      <c r="GH10053"/>
      <c r="GI10053"/>
      <c r="GJ10053"/>
      <c r="GK10053"/>
      <c r="GL10053"/>
      <c r="GM10053"/>
      <c r="GN10053"/>
      <c r="GO10053"/>
    </row>
    <row r="10054" spans="107:197">
      <c r="DC10054"/>
      <c r="FH10054"/>
      <c r="FI10054"/>
      <c r="FJ10054"/>
      <c r="FK10054"/>
      <c r="FL10054"/>
      <c r="FM10054"/>
      <c r="FN10054"/>
      <c r="FO10054"/>
      <c r="FP10054"/>
      <c r="FQ10054"/>
      <c r="FR10054"/>
      <c r="FS10054"/>
      <c r="FT10054"/>
      <c r="FU10054"/>
      <c r="FV10054"/>
      <c r="FW10054"/>
      <c r="FX10054"/>
      <c r="FY10054"/>
      <c r="FZ10054"/>
      <c r="GA10054"/>
      <c r="GB10054"/>
      <c r="GC10054"/>
      <c r="GD10054"/>
      <c r="GE10054"/>
      <c r="GF10054"/>
      <c r="GG10054"/>
      <c r="GH10054"/>
      <c r="GI10054"/>
      <c r="GJ10054"/>
      <c r="GK10054"/>
      <c r="GL10054"/>
      <c r="GM10054"/>
      <c r="GN10054"/>
      <c r="GO10054"/>
    </row>
    <row r="10055" spans="107:197">
      <c r="DC10055"/>
      <c r="FH10055"/>
      <c r="FI10055"/>
      <c r="FJ10055"/>
      <c r="FK10055"/>
      <c r="FL10055"/>
      <c r="FM10055"/>
      <c r="FN10055"/>
      <c r="FO10055"/>
      <c r="FP10055"/>
      <c r="FQ10055"/>
      <c r="FR10055"/>
      <c r="FS10055"/>
      <c r="FT10055"/>
      <c r="FU10055"/>
      <c r="FV10055"/>
      <c r="FW10055"/>
      <c r="FX10055"/>
      <c r="FY10055"/>
      <c r="FZ10055"/>
      <c r="GA10055"/>
      <c r="GB10055"/>
      <c r="GC10055"/>
      <c r="GD10055"/>
      <c r="GE10055"/>
      <c r="GF10055"/>
      <c r="GG10055"/>
      <c r="GH10055"/>
      <c r="GI10055"/>
      <c r="GJ10055"/>
      <c r="GK10055"/>
      <c r="GL10055"/>
      <c r="GM10055"/>
      <c r="GN10055"/>
      <c r="GO10055"/>
    </row>
    <row r="10056" spans="107:197">
      <c r="DC10056"/>
      <c r="FH10056"/>
      <c r="FI10056"/>
      <c r="FJ10056"/>
      <c r="FK10056"/>
      <c r="FL10056"/>
      <c r="FM10056"/>
      <c r="FN10056"/>
      <c r="FO10056"/>
      <c r="FP10056"/>
      <c r="FQ10056"/>
      <c r="FR10056"/>
      <c r="FS10056"/>
      <c r="FT10056"/>
      <c r="FU10056"/>
      <c r="FV10056"/>
      <c r="FW10056"/>
      <c r="FX10056"/>
      <c r="FY10056"/>
      <c r="FZ10056"/>
      <c r="GA10056"/>
      <c r="GB10056"/>
      <c r="GC10056"/>
      <c r="GD10056"/>
      <c r="GE10056"/>
      <c r="GF10056"/>
      <c r="GG10056"/>
      <c r="GH10056"/>
      <c r="GI10056"/>
      <c r="GJ10056"/>
      <c r="GK10056"/>
      <c r="GL10056"/>
      <c r="GM10056"/>
      <c r="GN10056"/>
      <c r="GO10056"/>
    </row>
    <row r="10057" spans="107:197">
      <c r="DC10057"/>
      <c r="FH10057"/>
      <c r="FI10057"/>
      <c r="FJ10057"/>
      <c r="FK10057"/>
      <c r="FL10057"/>
      <c r="FM10057"/>
      <c r="FN10057"/>
      <c r="FO10057"/>
      <c r="FP10057"/>
      <c r="FQ10057"/>
      <c r="FR10057"/>
      <c r="FS10057"/>
      <c r="FT10057"/>
      <c r="FU10057"/>
      <c r="FV10057"/>
      <c r="FW10057"/>
      <c r="FX10057"/>
      <c r="FY10057"/>
      <c r="FZ10057"/>
      <c r="GA10057"/>
      <c r="GB10057"/>
      <c r="GC10057"/>
      <c r="GD10057"/>
      <c r="GE10057"/>
      <c r="GF10057"/>
      <c r="GG10057"/>
      <c r="GH10057"/>
      <c r="GI10057"/>
      <c r="GJ10057"/>
      <c r="GK10057"/>
      <c r="GL10057"/>
      <c r="GM10057"/>
      <c r="GN10057"/>
      <c r="GO10057"/>
    </row>
    <row r="10058" spans="107:197">
      <c r="DC10058"/>
      <c r="FH10058"/>
      <c r="FI10058"/>
      <c r="FJ10058"/>
      <c r="FK10058"/>
      <c r="FL10058"/>
      <c r="FM10058"/>
      <c r="FN10058"/>
      <c r="FO10058"/>
      <c r="FP10058"/>
      <c r="FQ10058"/>
      <c r="FR10058"/>
      <c r="FS10058"/>
      <c r="FT10058"/>
      <c r="FU10058"/>
      <c r="FV10058"/>
      <c r="FW10058"/>
      <c r="FX10058"/>
      <c r="FY10058"/>
      <c r="FZ10058"/>
      <c r="GA10058"/>
      <c r="GB10058"/>
      <c r="GC10058"/>
      <c r="GD10058"/>
      <c r="GE10058"/>
      <c r="GF10058"/>
      <c r="GG10058"/>
      <c r="GH10058"/>
      <c r="GI10058"/>
      <c r="GJ10058"/>
      <c r="GK10058"/>
      <c r="GL10058"/>
      <c r="GM10058"/>
      <c r="GN10058"/>
      <c r="GO10058"/>
    </row>
    <row r="10059" spans="107:197">
      <c r="DC10059"/>
      <c r="FH10059"/>
      <c r="FI10059"/>
      <c r="FJ10059"/>
      <c r="FK10059"/>
      <c r="FL10059"/>
      <c r="FM10059"/>
      <c r="FN10059"/>
      <c r="FO10059"/>
      <c r="FP10059"/>
      <c r="FQ10059"/>
      <c r="FR10059"/>
      <c r="FS10059"/>
      <c r="FT10059"/>
      <c r="FU10059"/>
      <c r="FV10059"/>
      <c r="FW10059"/>
      <c r="FX10059"/>
      <c r="FY10059"/>
      <c r="FZ10059"/>
      <c r="GA10059"/>
      <c r="GB10059"/>
      <c r="GC10059"/>
      <c r="GD10059"/>
      <c r="GE10059"/>
      <c r="GF10059"/>
      <c r="GG10059"/>
      <c r="GH10059"/>
      <c r="GI10059"/>
      <c r="GJ10059"/>
      <c r="GK10059"/>
      <c r="GL10059"/>
      <c r="GM10059"/>
      <c r="GN10059"/>
      <c r="GO10059"/>
    </row>
    <row r="10060" spans="107:197">
      <c r="DC10060"/>
      <c r="FH10060"/>
      <c r="FI10060"/>
      <c r="FJ10060"/>
      <c r="FK10060"/>
      <c r="FL10060"/>
      <c r="FM10060"/>
      <c r="FN10060"/>
      <c r="FO10060"/>
      <c r="FP10060"/>
      <c r="FQ10060"/>
      <c r="FR10060"/>
      <c r="FS10060"/>
      <c r="FT10060"/>
      <c r="FU10060"/>
      <c r="FV10060"/>
      <c r="FW10060"/>
      <c r="FX10060"/>
      <c r="FY10060"/>
      <c r="FZ10060"/>
      <c r="GA10060"/>
      <c r="GB10060"/>
      <c r="GC10060"/>
      <c r="GD10060"/>
      <c r="GE10060"/>
      <c r="GF10060"/>
      <c r="GG10060"/>
      <c r="GH10060"/>
      <c r="GI10060"/>
      <c r="GJ10060"/>
      <c r="GK10060"/>
      <c r="GL10060"/>
      <c r="GM10060"/>
      <c r="GN10060"/>
      <c r="GO10060"/>
    </row>
    <row r="10061" spans="107:197">
      <c r="DC10061"/>
      <c r="FH10061"/>
      <c r="FI10061"/>
      <c r="FJ10061"/>
      <c r="FK10061"/>
      <c r="FL10061"/>
      <c r="FM10061"/>
      <c r="FN10061"/>
      <c r="FO10061"/>
      <c r="FP10061"/>
      <c r="FQ10061"/>
      <c r="FR10061"/>
      <c r="FS10061"/>
      <c r="FT10061"/>
      <c r="FU10061"/>
      <c r="FV10061"/>
      <c r="FW10061"/>
      <c r="FX10061"/>
      <c r="FY10061"/>
      <c r="FZ10061"/>
      <c r="GA10061"/>
      <c r="GB10061"/>
      <c r="GC10061"/>
      <c r="GD10061"/>
      <c r="GE10061"/>
      <c r="GF10061"/>
      <c r="GG10061"/>
      <c r="GH10061"/>
      <c r="GI10061"/>
      <c r="GJ10061"/>
      <c r="GK10061"/>
      <c r="GL10061"/>
      <c r="GM10061"/>
      <c r="GN10061"/>
      <c r="GO10061"/>
    </row>
    <row r="10062" spans="107:197">
      <c r="DC10062"/>
      <c r="FH10062"/>
      <c r="FI10062"/>
      <c r="FJ10062"/>
      <c r="FK10062"/>
      <c r="FL10062"/>
      <c r="FM10062"/>
      <c r="FN10062"/>
      <c r="FO10062"/>
      <c r="FP10062"/>
      <c r="FQ10062"/>
      <c r="FR10062"/>
      <c r="FS10062"/>
      <c r="FT10062"/>
      <c r="FU10062"/>
      <c r="FV10062"/>
      <c r="FW10062"/>
      <c r="FX10062"/>
      <c r="FY10062"/>
      <c r="FZ10062"/>
      <c r="GA10062"/>
      <c r="GB10062"/>
      <c r="GC10062"/>
      <c r="GD10062"/>
      <c r="GE10062"/>
      <c r="GF10062"/>
      <c r="GG10062"/>
      <c r="GH10062"/>
      <c r="GI10062"/>
      <c r="GJ10062"/>
      <c r="GK10062"/>
      <c r="GL10062"/>
      <c r="GM10062"/>
      <c r="GN10062"/>
      <c r="GO10062"/>
    </row>
    <row r="10063" spans="107:197">
      <c r="DC10063"/>
      <c r="FH10063"/>
      <c r="FI10063"/>
      <c r="FJ10063"/>
      <c r="FK10063"/>
      <c r="FL10063"/>
      <c r="FM10063"/>
      <c r="FN10063"/>
      <c r="FO10063"/>
      <c r="FP10063"/>
      <c r="FQ10063"/>
      <c r="FR10063"/>
      <c r="FS10063"/>
      <c r="FT10063"/>
      <c r="FU10063"/>
      <c r="FV10063"/>
      <c r="FW10063"/>
      <c r="FX10063"/>
      <c r="FY10063"/>
      <c r="FZ10063"/>
      <c r="GA10063"/>
      <c r="GB10063"/>
      <c r="GC10063"/>
      <c r="GD10063"/>
      <c r="GE10063"/>
      <c r="GF10063"/>
      <c r="GG10063"/>
      <c r="GH10063"/>
      <c r="GI10063"/>
      <c r="GJ10063"/>
      <c r="GK10063"/>
      <c r="GL10063"/>
      <c r="GM10063"/>
      <c r="GN10063"/>
      <c r="GO10063"/>
    </row>
    <row r="10064" spans="107:197">
      <c r="DC10064"/>
      <c r="FH10064"/>
      <c r="FI10064"/>
      <c r="FJ10064"/>
      <c r="FK10064"/>
      <c r="FL10064"/>
      <c r="FM10064"/>
      <c r="FN10064"/>
      <c r="FO10064"/>
      <c r="FP10064"/>
      <c r="FQ10064"/>
      <c r="FR10064"/>
      <c r="FS10064"/>
      <c r="FT10064"/>
      <c r="FU10064"/>
      <c r="FV10064"/>
      <c r="FW10064"/>
      <c r="FX10064"/>
      <c r="FY10064"/>
      <c r="FZ10064"/>
      <c r="GA10064"/>
      <c r="GB10064"/>
      <c r="GC10064"/>
      <c r="GD10064"/>
      <c r="GE10064"/>
      <c r="GF10064"/>
      <c r="GG10064"/>
      <c r="GH10064"/>
      <c r="GI10064"/>
      <c r="GJ10064"/>
      <c r="GK10064"/>
      <c r="GL10064"/>
      <c r="GM10064"/>
      <c r="GN10064"/>
      <c r="GO10064"/>
    </row>
    <row r="10065" spans="107:197">
      <c r="DC10065"/>
      <c r="FH10065"/>
      <c r="FI10065"/>
      <c r="FJ10065"/>
      <c r="FK10065"/>
      <c r="FL10065"/>
      <c r="FM10065"/>
      <c r="FN10065"/>
      <c r="FO10065"/>
      <c r="FP10065"/>
      <c r="FQ10065"/>
      <c r="FR10065"/>
      <c r="FS10065"/>
      <c r="FT10065"/>
      <c r="FU10065"/>
      <c r="FV10065"/>
      <c r="FW10065"/>
      <c r="FX10065"/>
      <c r="FY10065"/>
      <c r="FZ10065"/>
      <c r="GA10065"/>
      <c r="GB10065"/>
      <c r="GC10065"/>
      <c r="GD10065"/>
      <c r="GE10065"/>
      <c r="GF10065"/>
      <c r="GG10065"/>
      <c r="GH10065"/>
      <c r="GI10065"/>
      <c r="GJ10065"/>
      <c r="GK10065"/>
      <c r="GL10065"/>
      <c r="GM10065"/>
      <c r="GN10065"/>
      <c r="GO10065"/>
    </row>
    <row r="10066" spans="107:197">
      <c r="DC10066"/>
      <c r="FH10066"/>
      <c r="FI10066"/>
      <c r="FJ10066"/>
      <c r="FK10066"/>
      <c r="FL10066"/>
      <c r="FM10066"/>
      <c r="FN10066"/>
      <c r="FO10066"/>
      <c r="FP10066"/>
      <c r="FQ10066"/>
      <c r="FR10066"/>
      <c r="FS10066"/>
      <c r="FT10066"/>
      <c r="FU10066"/>
      <c r="FV10066"/>
      <c r="FW10066"/>
      <c r="FX10066"/>
      <c r="FY10066"/>
      <c r="FZ10066"/>
      <c r="GA10066"/>
      <c r="GB10066"/>
      <c r="GC10066"/>
      <c r="GD10066"/>
      <c r="GE10066"/>
      <c r="GF10066"/>
      <c r="GG10066"/>
      <c r="GH10066"/>
      <c r="GI10066"/>
      <c r="GJ10066"/>
      <c r="GK10066"/>
      <c r="GL10066"/>
      <c r="GM10066"/>
      <c r="GN10066"/>
      <c r="GO10066"/>
    </row>
    <row r="10067" spans="107:197">
      <c r="DC10067"/>
      <c r="FH10067"/>
      <c r="FI10067"/>
      <c r="FJ10067"/>
      <c r="FK10067"/>
      <c r="FL10067"/>
      <c r="FM10067"/>
      <c r="FN10067"/>
      <c r="FO10067"/>
      <c r="FP10067"/>
      <c r="FQ10067"/>
      <c r="FR10067"/>
      <c r="FS10067"/>
      <c r="FT10067"/>
      <c r="FU10067"/>
      <c r="FV10067"/>
      <c r="FW10067"/>
      <c r="FX10067"/>
      <c r="FY10067"/>
      <c r="FZ10067"/>
      <c r="GA10067"/>
      <c r="GB10067"/>
      <c r="GC10067"/>
      <c r="GD10067"/>
      <c r="GE10067"/>
      <c r="GF10067"/>
      <c r="GG10067"/>
      <c r="GH10067"/>
      <c r="GI10067"/>
      <c r="GJ10067"/>
      <c r="GK10067"/>
      <c r="GL10067"/>
      <c r="GM10067"/>
      <c r="GN10067"/>
      <c r="GO10067"/>
    </row>
    <row r="10068" spans="107:197">
      <c r="DC10068"/>
      <c r="FH10068"/>
      <c r="FI10068"/>
      <c r="FJ10068"/>
      <c r="FK10068"/>
      <c r="FL10068"/>
      <c r="FM10068"/>
      <c r="FN10068"/>
      <c r="FO10068"/>
      <c r="FP10068"/>
      <c r="FQ10068"/>
      <c r="FR10068"/>
      <c r="FS10068"/>
      <c r="FT10068"/>
      <c r="FU10068"/>
      <c r="FV10068"/>
      <c r="FW10068"/>
      <c r="FX10068"/>
      <c r="FY10068"/>
      <c r="FZ10068"/>
      <c r="GA10068"/>
      <c r="GB10068"/>
      <c r="GC10068"/>
      <c r="GD10068"/>
      <c r="GE10068"/>
      <c r="GF10068"/>
      <c r="GG10068"/>
      <c r="GH10068"/>
      <c r="GI10068"/>
      <c r="GJ10068"/>
      <c r="GK10068"/>
      <c r="GL10068"/>
      <c r="GM10068"/>
      <c r="GN10068"/>
      <c r="GO10068"/>
    </row>
    <row r="10069" spans="107:197">
      <c r="DC10069"/>
      <c r="FH10069"/>
      <c r="FI10069"/>
      <c r="FJ10069"/>
      <c r="FK10069"/>
      <c r="FL10069"/>
      <c r="FM10069"/>
      <c r="FN10069"/>
      <c r="FO10069"/>
      <c r="FP10069"/>
      <c r="FQ10069"/>
      <c r="FR10069"/>
      <c r="FS10069"/>
      <c r="FT10069"/>
      <c r="FU10069"/>
      <c r="FV10069"/>
      <c r="FW10069"/>
      <c r="FX10069"/>
      <c r="FY10069"/>
      <c r="FZ10069"/>
      <c r="GA10069"/>
      <c r="GB10069"/>
      <c r="GC10069"/>
      <c r="GD10069"/>
      <c r="GE10069"/>
      <c r="GF10069"/>
      <c r="GG10069"/>
      <c r="GH10069"/>
      <c r="GI10069"/>
      <c r="GJ10069"/>
      <c r="GK10069"/>
      <c r="GL10069"/>
      <c r="GM10069"/>
      <c r="GN10069"/>
      <c r="GO10069"/>
    </row>
    <row r="10070" spans="107:197">
      <c r="DC10070"/>
      <c r="FH10070"/>
      <c r="FI10070"/>
      <c r="FJ10070"/>
      <c r="FK10070"/>
      <c r="FL10070"/>
      <c r="FM10070"/>
      <c r="FN10070"/>
      <c r="FO10070"/>
      <c r="FP10070"/>
      <c r="FQ10070"/>
      <c r="FR10070"/>
      <c r="FS10070"/>
      <c r="FT10070"/>
      <c r="FU10070"/>
      <c r="FV10070"/>
      <c r="FW10070"/>
      <c r="FX10070"/>
      <c r="FY10070"/>
      <c r="FZ10070"/>
      <c r="GA10070"/>
      <c r="GB10070"/>
      <c r="GC10070"/>
      <c r="GD10070"/>
      <c r="GE10070"/>
      <c r="GF10070"/>
      <c r="GG10070"/>
      <c r="GH10070"/>
      <c r="GI10070"/>
      <c r="GJ10070"/>
      <c r="GK10070"/>
      <c r="GL10070"/>
      <c r="GM10070"/>
      <c r="GN10070"/>
      <c r="GO10070"/>
    </row>
    <row r="10071" spans="107:197">
      <c r="DC10071"/>
      <c r="FH10071"/>
      <c r="FI10071"/>
      <c r="FJ10071"/>
      <c r="FK10071"/>
      <c r="FL10071"/>
      <c r="FM10071"/>
      <c r="FN10071"/>
      <c r="FO10071"/>
      <c r="FP10071"/>
      <c r="FQ10071"/>
      <c r="FR10071"/>
      <c r="FS10071"/>
      <c r="FT10071"/>
      <c r="FU10071"/>
      <c r="FV10071"/>
      <c r="FW10071"/>
      <c r="FX10071"/>
      <c r="FY10071"/>
      <c r="FZ10071"/>
      <c r="GA10071"/>
      <c r="GB10071"/>
      <c r="GC10071"/>
      <c r="GD10071"/>
      <c r="GE10071"/>
      <c r="GF10071"/>
      <c r="GG10071"/>
      <c r="GH10071"/>
      <c r="GI10071"/>
      <c r="GJ10071"/>
      <c r="GK10071"/>
      <c r="GL10071"/>
      <c r="GM10071"/>
      <c r="GN10071"/>
      <c r="GO10071"/>
    </row>
    <row r="10072" spans="107:197">
      <c r="DC10072"/>
      <c r="FH10072"/>
      <c r="FI10072"/>
      <c r="FJ10072"/>
      <c r="FK10072"/>
      <c r="FL10072"/>
      <c r="FM10072"/>
      <c r="FN10072"/>
      <c r="FO10072"/>
      <c r="FP10072"/>
      <c r="FQ10072"/>
      <c r="FR10072"/>
      <c r="FS10072"/>
      <c r="FT10072"/>
      <c r="FU10072"/>
      <c r="FV10072"/>
      <c r="FW10072"/>
      <c r="FX10072"/>
      <c r="FY10072"/>
      <c r="FZ10072"/>
      <c r="GA10072"/>
      <c r="GB10072"/>
      <c r="GC10072"/>
      <c r="GD10072"/>
      <c r="GE10072"/>
      <c r="GF10072"/>
      <c r="GG10072"/>
      <c r="GH10072"/>
      <c r="GI10072"/>
      <c r="GJ10072"/>
      <c r="GK10072"/>
      <c r="GL10072"/>
      <c r="GM10072"/>
      <c r="GN10072"/>
      <c r="GO10072"/>
    </row>
    <row r="10073" spans="107:197">
      <c r="DC10073"/>
      <c r="FH10073"/>
      <c r="FI10073"/>
      <c r="FJ10073"/>
      <c r="FK10073"/>
      <c r="FL10073"/>
      <c r="FM10073"/>
      <c r="FN10073"/>
      <c r="FO10073"/>
      <c r="FP10073"/>
      <c r="FQ10073"/>
      <c r="FR10073"/>
      <c r="FS10073"/>
      <c r="FT10073"/>
      <c r="FU10073"/>
      <c r="FV10073"/>
      <c r="FW10073"/>
      <c r="FX10073"/>
      <c r="FY10073"/>
      <c r="FZ10073"/>
      <c r="GA10073"/>
      <c r="GB10073"/>
      <c r="GC10073"/>
      <c r="GD10073"/>
      <c r="GE10073"/>
      <c r="GF10073"/>
      <c r="GG10073"/>
      <c r="GH10073"/>
      <c r="GI10073"/>
      <c r="GJ10073"/>
      <c r="GK10073"/>
      <c r="GL10073"/>
      <c r="GM10073"/>
      <c r="GN10073"/>
      <c r="GO10073"/>
    </row>
    <row r="10074" spans="107:197">
      <c r="DC10074"/>
      <c r="FH10074"/>
      <c r="FI10074"/>
      <c r="FJ10074"/>
      <c r="FK10074"/>
      <c r="FL10074"/>
      <c r="FM10074"/>
      <c r="FN10074"/>
      <c r="FO10074"/>
      <c r="FP10074"/>
      <c r="FQ10074"/>
      <c r="FR10074"/>
      <c r="FS10074"/>
      <c r="FT10074"/>
      <c r="FU10074"/>
      <c r="FV10074"/>
      <c r="FW10074"/>
      <c r="FX10074"/>
      <c r="FY10074"/>
      <c r="FZ10074"/>
      <c r="GA10074"/>
      <c r="GB10074"/>
      <c r="GC10074"/>
      <c r="GD10074"/>
      <c r="GE10074"/>
      <c r="GF10074"/>
      <c r="GG10074"/>
      <c r="GH10074"/>
      <c r="GI10074"/>
      <c r="GJ10074"/>
      <c r="GK10074"/>
      <c r="GL10074"/>
      <c r="GM10074"/>
      <c r="GN10074"/>
      <c r="GO10074"/>
    </row>
    <row r="10075" spans="107:197">
      <c r="DC10075"/>
      <c r="FH10075"/>
      <c r="FI10075"/>
      <c r="FJ10075"/>
      <c r="FK10075"/>
      <c r="FL10075"/>
      <c r="FM10075"/>
      <c r="FN10075"/>
      <c r="FO10075"/>
      <c r="FP10075"/>
      <c r="FQ10075"/>
      <c r="FR10075"/>
      <c r="FS10075"/>
      <c r="FT10075"/>
      <c r="FU10075"/>
      <c r="FV10075"/>
      <c r="FW10075"/>
      <c r="FX10075"/>
      <c r="FY10075"/>
      <c r="FZ10075"/>
      <c r="GA10075"/>
      <c r="GB10075"/>
      <c r="GC10075"/>
      <c r="GD10075"/>
      <c r="GE10075"/>
      <c r="GF10075"/>
      <c r="GG10075"/>
      <c r="GH10075"/>
      <c r="GI10075"/>
      <c r="GJ10075"/>
      <c r="GK10075"/>
      <c r="GL10075"/>
      <c r="GM10075"/>
      <c r="GN10075"/>
      <c r="GO10075"/>
    </row>
    <row r="10076" spans="107:197">
      <c r="DC10076"/>
      <c r="FH10076"/>
      <c r="FI10076"/>
      <c r="FJ10076"/>
      <c r="FK10076"/>
      <c r="FL10076"/>
      <c r="FM10076"/>
      <c r="FN10076"/>
      <c r="FO10076"/>
      <c r="FP10076"/>
      <c r="FQ10076"/>
      <c r="FR10076"/>
      <c r="FS10076"/>
      <c r="FT10076"/>
      <c r="FU10076"/>
      <c r="FV10076"/>
      <c r="FW10076"/>
      <c r="FX10076"/>
      <c r="FY10076"/>
      <c r="FZ10076"/>
      <c r="GA10076"/>
      <c r="GB10076"/>
      <c r="GC10076"/>
      <c r="GD10076"/>
      <c r="GE10076"/>
      <c r="GF10076"/>
      <c r="GG10076"/>
      <c r="GH10076"/>
      <c r="GI10076"/>
      <c r="GJ10076"/>
      <c r="GK10076"/>
      <c r="GL10076"/>
      <c r="GM10076"/>
      <c r="GN10076"/>
      <c r="GO10076"/>
    </row>
    <row r="10077" spans="107:197">
      <c r="DC10077"/>
      <c r="FH10077"/>
      <c r="FI10077"/>
      <c r="FJ10077"/>
      <c r="FK10077"/>
      <c r="FL10077"/>
      <c r="FM10077"/>
      <c r="FN10077"/>
      <c r="FO10077"/>
      <c r="FP10077"/>
      <c r="FQ10077"/>
      <c r="FR10077"/>
      <c r="FS10077"/>
      <c r="FT10077"/>
      <c r="FU10077"/>
      <c r="FV10077"/>
      <c r="FW10077"/>
      <c r="FX10077"/>
      <c r="FY10077"/>
      <c r="FZ10077"/>
      <c r="GA10077"/>
      <c r="GB10077"/>
      <c r="GC10077"/>
      <c r="GD10077"/>
      <c r="GE10077"/>
      <c r="GF10077"/>
      <c r="GG10077"/>
      <c r="GH10077"/>
      <c r="GI10077"/>
      <c r="GJ10077"/>
      <c r="GK10077"/>
      <c r="GL10077"/>
      <c r="GM10077"/>
      <c r="GN10077"/>
      <c r="GO10077"/>
    </row>
    <row r="10078" spans="107:197">
      <c r="DC10078"/>
      <c r="FH10078"/>
      <c r="FI10078"/>
      <c r="FJ10078"/>
      <c r="FK10078"/>
      <c r="FL10078"/>
      <c r="FM10078"/>
      <c r="FN10078"/>
      <c r="FO10078"/>
      <c r="FP10078"/>
      <c r="FQ10078"/>
      <c r="FR10078"/>
      <c r="FS10078"/>
      <c r="FT10078"/>
      <c r="FU10078"/>
      <c r="FV10078"/>
      <c r="FW10078"/>
      <c r="FX10078"/>
      <c r="FY10078"/>
      <c r="FZ10078"/>
      <c r="GA10078"/>
      <c r="GB10078"/>
      <c r="GC10078"/>
      <c r="GD10078"/>
      <c r="GE10078"/>
      <c r="GF10078"/>
      <c r="GG10078"/>
      <c r="GH10078"/>
      <c r="GI10078"/>
      <c r="GJ10078"/>
      <c r="GK10078"/>
      <c r="GL10078"/>
      <c r="GM10078"/>
      <c r="GN10078"/>
      <c r="GO10078"/>
    </row>
    <row r="10079" spans="107:197">
      <c r="DC10079"/>
      <c r="FH10079"/>
      <c r="FI10079"/>
      <c r="FJ10079"/>
      <c r="FK10079"/>
      <c r="FL10079"/>
      <c r="FM10079"/>
      <c r="FN10079"/>
      <c r="FO10079"/>
      <c r="FP10079"/>
      <c r="FQ10079"/>
      <c r="FR10079"/>
      <c r="FS10079"/>
      <c r="FT10079"/>
      <c r="FU10079"/>
      <c r="FV10079"/>
      <c r="FW10079"/>
      <c r="FX10079"/>
      <c r="FY10079"/>
      <c r="FZ10079"/>
      <c r="GA10079"/>
      <c r="GB10079"/>
      <c r="GC10079"/>
      <c r="GD10079"/>
      <c r="GE10079"/>
      <c r="GF10079"/>
      <c r="GG10079"/>
      <c r="GH10079"/>
      <c r="GI10079"/>
      <c r="GJ10079"/>
      <c r="GK10079"/>
      <c r="GL10079"/>
      <c r="GM10079"/>
      <c r="GN10079"/>
      <c r="GO10079"/>
    </row>
    <row r="10080" spans="107:197">
      <c r="DC10080"/>
      <c r="FH10080"/>
      <c r="FI10080"/>
      <c r="FJ10080"/>
      <c r="FK10080"/>
      <c r="FL10080"/>
      <c r="FM10080"/>
      <c r="FN10080"/>
      <c r="FO10080"/>
      <c r="FP10080"/>
      <c r="FQ10080"/>
      <c r="FR10080"/>
      <c r="FS10080"/>
      <c r="FT10080"/>
      <c r="FU10080"/>
      <c r="FV10080"/>
      <c r="FW10080"/>
      <c r="FX10080"/>
      <c r="FY10080"/>
      <c r="FZ10080"/>
      <c r="GA10080"/>
      <c r="GB10080"/>
      <c r="GC10080"/>
      <c r="GD10080"/>
      <c r="GE10080"/>
      <c r="GF10080"/>
      <c r="GG10080"/>
      <c r="GH10080"/>
      <c r="GI10080"/>
      <c r="GJ10080"/>
      <c r="GK10080"/>
      <c r="GL10080"/>
      <c r="GM10080"/>
      <c r="GN10080"/>
      <c r="GO10080"/>
    </row>
    <row r="10081" spans="107:197">
      <c r="DC10081"/>
      <c r="FH10081"/>
      <c r="FI10081"/>
      <c r="FJ10081"/>
      <c r="FK10081"/>
      <c r="FL10081"/>
      <c r="FM10081"/>
      <c r="FN10081"/>
      <c r="FO10081"/>
      <c r="FP10081"/>
      <c r="FQ10081"/>
      <c r="FR10081"/>
      <c r="FS10081"/>
      <c r="FT10081"/>
      <c r="FU10081"/>
      <c r="FV10081"/>
      <c r="FW10081"/>
      <c r="FX10081"/>
      <c r="FY10081"/>
      <c r="FZ10081"/>
      <c r="GA10081"/>
      <c r="GB10081"/>
      <c r="GC10081"/>
      <c r="GD10081"/>
      <c r="GE10081"/>
      <c r="GF10081"/>
      <c r="GG10081"/>
      <c r="GH10081"/>
      <c r="GI10081"/>
      <c r="GJ10081"/>
      <c r="GK10081"/>
      <c r="GL10081"/>
      <c r="GM10081"/>
      <c r="GN10081"/>
      <c r="GO10081"/>
    </row>
    <row r="10082" spans="107:197">
      <c r="DC10082"/>
      <c r="FH10082"/>
      <c r="FI10082"/>
      <c r="FJ10082"/>
      <c r="FK10082"/>
      <c r="FL10082"/>
      <c r="FM10082"/>
      <c r="FN10082"/>
      <c r="FO10082"/>
      <c r="FP10082"/>
      <c r="FQ10082"/>
      <c r="FR10082"/>
      <c r="FS10082"/>
      <c r="FT10082"/>
      <c r="FU10082"/>
      <c r="FV10082"/>
      <c r="FW10082"/>
      <c r="FX10082"/>
      <c r="FY10082"/>
      <c r="FZ10082"/>
      <c r="GA10082"/>
      <c r="GB10082"/>
      <c r="GC10082"/>
      <c r="GD10082"/>
      <c r="GE10082"/>
      <c r="GF10082"/>
      <c r="GG10082"/>
      <c r="GH10082"/>
      <c r="GI10082"/>
      <c r="GJ10082"/>
      <c r="GK10082"/>
      <c r="GL10082"/>
      <c r="GM10082"/>
      <c r="GN10082"/>
      <c r="GO10082"/>
    </row>
    <row r="10083" spans="107:197">
      <c r="DC10083"/>
      <c r="FH10083"/>
      <c r="FI10083"/>
      <c r="FJ10083"/>
      <c r="FK10083"/>
      <c r="FL10083"/>
      <c r="FM10083"/>
      <c r="FN10083"/>
      <c r="FO10083"/>
      <c r="FP10083"/>
      <c r="FQ10083"/>
      <c r="FR10083"/>
      <c r="FS10083"/>
      <c r="FT10083"/>
      <c r="FU10083"/>
      <c r="FV10083"/>
      <c r="FW10083"/>
      <c r="FX10083"/>
      <c r="FY10083"/>
      <c r="FZ10083"/>
      <c r="GA10083"/>
      <c r="GB10083"/>
      <c r="GC10083"/>
      <c r="GD10083"/>
      <c r="GE10083"/>
      <c r="GF10083"/>
      <c r="GG10083"/>
      <c r="GH10083"/>
      <c r="GI10083"/>
      <c r="GJ10083"/>
      <c r="GK10083"/>
      <c r="GL10083"/>
      <c r="GM10083"/>
      <c r="GN10083"/>
      <c r="GO10083"/>
    </row>
    <row r="10084" spans="107:197">
      <c r="DC10084"/>
      <c r="FH10084"/>
      <c r="FI10084"/>
      <c r="FJ10084"/>
      <c r="FK10084"/>
      <c r="FL10084"/>
      <c r="FM10084"/>
      <c r="FN10084"/>
      <c r="FO10084"/>
      <c r="FP10084"/>
      <c r="FQ10084"/>
      <c r="FR10084"/>
      <c r="FS10084"/>
      <c r="FT10084"/>
      <c r="FU10084"/>
      <c r="FV10084"/>
      <c r="FW10084"/>
      <c r="FX10084"/>
      <c r="FY10084"/>
      <c r="FZ10084"/>
      <c r="GA10084"/>
      <c r="GB10084"/>
      <c r="GC10084"/>
      <c r="GD10084"/>
      <c r="GE10084"/>
      <c r="GF10084"/>
      <c r="GG10084"/>
      <c r="GH10084"/>
      <c r="GI10084"/>
      <c r="GJ10084"/>
      <c r="GK10084"/>
      <c r="GL10084"/>
      <c r="GM10084"/>
      <c r="GN10084"/>
      <c r="GO10084"/>
    </row>
    <row r="10085" spans="107:197">
      <c r="DC10085"/>
      <c r="FH10085"/>
      <c r="FI10085"/>
      <c r="FJ10085"/>
      <c r="FK10085"/>
      <c r="FL10085"/>
      <c r="FM10085"/>
      <c r="FN10085"/>
      <c r="FO10085"/>
      <c r="FP10085"/>
      <c r="FQ10085"/>
      <c r="FR10085"/>
      <c r="FS10085"/>
      <c r="FT10085"/>
      <c r="FU10085"/>
      <c r="FV10085"/>
      <c r="FW10085"/>
      <c r="FX10085"/>
      <c r="FY10085"/>
      <c r="FZ10085"/>
      <c r="GA10085"/>
      <c r="GB10085"/>
      <c r="GC10085"/>
      <c r="GD10085"/>
      <c r="GE10085"/>
      <c r="GF10085"/>
      <c r="GG10085"/>
      <c r="GH10085"/>
      <c r="GI10085"/>
      <c r="GJ10085"/>
      <c r="GK10085"/>
      <c r="GL10085"/>
      <c r="GM10085"/>
      <c r="GN10085"/>
      <c r="GO10085"/>
    </row>
    <row r="10086" spans="107:197">
      <c r="DC10086"/>
      <c r="FH10086"/>
      <c r="FI10086"/>
      <c r="FJ10086"/>
      <c r="FK10086"/>
      <c r="FL10086"/>
      <c r="FM10086"/>
      <c r="FN10086"/>
      <c r="FO10086"/>
      <c r="FP10086"/>
      <c r="FQ10086"/>
      <c r="FR10086"/>
      <c r="FS10086"/>
      <c r="FT10086"/>
      <c r="FU10086"/>
      <c r="FV10086"/>
      <c r="FW10086"/>
      <c r="FX10086"/>
      <c r="FY10086"/>
      <c r="FZ10086"/>
      <c r="GA10086"/>
      <c r="GB10086"/>
      <c r="GC10086"/>
      <c r="GD10086"/>
      <c r="GE10086"/>
      <c r="GF10086"/>
      <c r="GG10086"/>
      <c r="GH10086"/>
      <c r="GI10086"/>
      <c r="GJ10086"/>
      <c r="GK10086"/>
      <c r="GL10086"/>
      <c r="GM10086"/>
      <c r="GN10086"/>
      <c r="GO10086"/>
    </row>
    <row r="10087" spans="107:197">
      <c r="DC10087"/>
      <c r="FH10087"/>
      <c r="FI10087"/>
      <c r="FJ10087"/>
      <c r="FK10087"/>
      <c r="FL10087"/>
      <c r="FM10087"/>
      <c r="FN10087"/>
      <c r="FO10087"/>
      <c r="FP10087"/>
      <c r="FQ10087"/>
      <c r="FR10087"/>
      <c r="FS10087"/>
      <c r="FT10087"/>
      <c r="FU10087"/>
      <c r="FV10087"/>
      <c r="FW10087"/>
      <c r="FX10087"/>
      <c r="FY10087"/>
      <c r="FZ10087"/>
      <c r="GA10087"/>
      <c r="GB10087"/>
      <c r="GC10087"/>
      <c r="GD10087"/>
      <c r="GE10087"/>
      <c r="GF10087"/>
      <c r="GG10087"/>
      <c r="GH10087"/>
      <c r="GI10087"/>
      <c r="GJ10087"/>
      <c r="GK10087"/>
      <c r="GL10087"/>
      <c r="GM10087"/>
      <c r="GN10087"/>
      <c r="GO10087"/>
    </row>
    <row r="10088" spans="107:197">
      <c r="DC10088"/>
      <c r="FH10088"/>
      <c r="FI10088"/>
      <c r="FJ10088"/>
      <c r="FK10088"/>
      <c r="FL10088"/>
      <c r="FM10088"/>
      <c r="FN10088"/>
      <c r="FO10088"/>
      <c r="FP10088"/>
      <c r="FQ10088"/>
      <c r="FR10088"/>
      <c r="FS10088"/>
      <c r="FT10088"/>
      <c r="FU10088"/>
      <c r="FV10088"/>
      <c r="FW10088"/>
      <c r="FX10088"/>
      <c r="FY10088"/>
      <c r="FZ10088"/>
      <c r="GA10088"/>
      <c r="GB10088"/>
      <c r="GC10088"/>
      <c r="GD10088"/>
      <c r="GE10088"/>
      <c r="GF10088"/>
      <c r="GG10088"/>
      <c r="GH10088"/>
      <c r="GI10088"/>
      <c r="GJ10088"/>
      <c r="GK10088"/>
      <c r="GL10088"/>
      <c r="GM10088"/>
      <c r="GN10088"/>
      <c r="GO10088"/>
    </row>
    <row r="10089" spans="107:197">
      <c r="DC10089"/>
      <c r="FH10089"/>
      <c r="FI10089"/>
      <c r="FJ10089"/>
      <c r="FK10089"/>
      <c r="FL10089"/>
      <c r="FM10089"/>
      <c r="FN10089"/>
      <c r="FO10089"/>
      <c r="FP10089"/>
      <c r="FQ10089"/>
      <c r="FR10089"/>
      <c r="FS10089"/>
      <c r="FT10089"/>
      <c r="FU10089"/>
      <c r="FV10089"/>
      <c r="FW10089"/>
      <c r="FX10089"/>
      <c r="FY10089"/>
      <c r="FZ10089"/>
      <c r="GA10089"/>
      <c r="GB10089"/>
      <c r="GC10089"/>
      <c r="GD10089"/>
      <c r="GE10089"/>
      <c r="GF10089"/>
      <c r="GG10089"/>
      <c r="GH10089"/>
      <c r="GI10089"/>
      <c r="GJ10089"/>
      <c r="GK10089"/>
      <c r="GL10089"/>
      <c r="GM10089"/>
      <c r="GN10089"/>
      <c r="GO10089"/>
    </row>
    <row r="10090" spans="107:197">
      <c r="DC10090"/>
      <c r="FH10090"/>
      <c r="FI10090"/>
      <c r="FJ10090"/>
      <c r="FK10090"/>
      <c r="FL10090"/>
      <c r="FM10090"/>
      <c r="FN10090"/>
      <c r="FO10090"/>
      <c r="FP10090"/>
      <c r="FQ10090"/>
      <c r="FR10090"/>
      <c r="FS10090"/>
      <c r="FT10090"/>
      <c r="FU10090"/>
      <c r="FV10090"/>
      <c r="FW10090"/>
      <c r="FX10090"/>
      <c r="FY10090"/>
      <c r="FZ10090"/>
      <c r="GA10090"/>
      <c r="GB10090"/>
      <c r="GC10090"/>
      <c r="GD10090"/>
      <c r="GE10090"/>
      <c r="GF10090"/>
      <c r="GG10090"/>
      <c r="GH10090"/>
      <c r="GI10090"/>
      <c r="GJ10090"/>
      <c r="GK10090"/>
      <c r="GL10090"/>
      <c r="GM10090"/>
      <c r="GN10090"/>
      <c r="GO10090"/>
    </row>
    <row r="10091" spans="107:197">
      <c r="DC10091"/>
      <c r="FH10091"/>
      <c r="FI10091"/>
      <c r="FJ10091"/>
      <c r="FK10091"/>
      <c r="FL10091"/>
      <c r="FM10091"/>
      <c r="FN10091"/>
      <c r="FO10091"/>
      <c r="FP10091"/>
      <c r="FQ10091"/>
      <c r="FR10091"/>
      <c r="FS10091"/>
      <c r="FT10091"/>
      <c r="FU10091"/>
      <c r="FV10091"/>
      <c r="FW10091"/>
      <c r="FX10091"/>
      <c r="FY10091"/>
      <c r="FZ10091"/>
      <c r="GA10091"/>
      <c r="GB10091"/>
      <c r="GC10091"/>
      <c r="GD10091"/>
      <c r="GE10091"/>
      <c r="GF10091"/>
      <c r="GG10091"/>
      <c r="GH10091"/>
      <c r="GI10091"/>
      <c r="GJ10091"/>
      <c r="GK10091"/>
      <c r="GL10091"/>
      <c r="GM10091"/>
      <c r="GN10091"/>
      <c r="GO10091"/>
    </row>
    <row r="10092" spans="107:197">
      <c r="DC10092"/>
      <c r="FH10092"/>
      <c r="FI10092"/>
      <c r="FJ10092"/>
      <c r="FK10092"/>
      <c r="FL10092"/>
      <c r="FM10092"/>
      <c r="FN10092"/>
      <c r="FO10092"/>
      <c r="FP10092"/>
      <c r="FQ10092"/>
      <c r="FR10092"/>
      <c r="FS10092"/>
      <c r="FT10092"/>
      <c r="FU10092"/>
      <c r="FV10092"/>
      <c r="FW10092"/>
      <c r="FX10092"/>
      <c r="FY10092"/>
      <c r="FZ10092"/>
      <c r="GA10092"/>
      <c r="GB10092"/>
      <c r="GC10092"/>
      <c r="GD10092"/>
      <c r="GE10092"/>
      <c r="GF10092"/>
      <c r="GG10092"/>
      <c r="GH10092"/>
      <c r="GI10092"/>
      <c r="GJ10092"/>
      <c r="GK10092"/>
      <c r="GL10092"/>
      <c r="GM10092"/>
      <c r="GN10092"/>
      <c r="GO10092"/>
    </row>
    <row r="10093" spans="107:197">
      <c r="DC10093"/>
      <c r="FH10093"/>
      <c r="FI10093"/>
      <c r="FJ10093"/>
      <c r="FK10093"/>
      <c r="FL10093"/>
      <c r="FM10093"/>
      <c r="FN10093"/>
      <c r="FO10093"/>
      <c r="FP10093"/>
      <c r="FQ10093"/>
      <c r="FR10093"/>
      <c r="FS10093"/>
      <c r="FT10093"/>
      <c r="FU10093"/>
      <c r="FV10093"/>
      <c r="FW10093"/>
      <c r="FX10093"/>
      <c r="FY10093"/>
      <c r="FZ10093"/>
      <c r="GA10093"/>
      <c r="GB10093"/>
      <c r="GC10093"/>
      <c r="GD10093"/>
      <c r="GE10093"/>
      <c r="GF10093"/>
      <c r="GG10093"/>
      <c r="GH10093"/>
      <c r="GI10093"/>
      <c r="GJ10093"/>
      <c r="GK10093"/>
      <c r="GL10093"/>
      <c r="GM10093"/>
      <c r="GN10093"/>
      <c r="GO10093"/>
    </row>
    <row r="10094" spans="107:197">
      <c r="DC10094"/>
      <c r="FH10094"/>
      <c r="FI10094"/>
      <c r="FJ10094"/>
      <c r="FK10094"/>
      <c r="FL10094"/>
      <c r="FM10094"/>
      <c r="FN10094"/>
      <c r="FO10094"/>
      <c r="FP10094"/>
      <c r="FQ10094"/>
      <c r="FR10094"/>
      <c r="FS10094"/>
      <c r="FT10094"/>
      <c r="FU10094"/>
      <c r="FV10094"/>
      <c r="FW10094"/>
      <c r="FX10094"/>
      <c r="FY10094"/>
      <c r="FZ10094"/>
      <c r="GA10094"/>
      <c r="GB10094"/>
      <c r="GC10094"/>
      <c r="GD10094"/>
      <c r="GE10094"/>
      <c r="GF10094"/>
      <c r="GG10094"/>
      <c r="GH10094"/>
      <c r="GI10094"/>
      <c r="GJ10094"/>
      <c r="GK10094"/>
      <c r="GL10094"/>
      <c r="GM10094"/>
      <c r="GN10094"/>
      <c r="GO10094"/>
    </row>
    <row r="10095" spans="107:197">
      <c r="DC10095"/>
      <c r="FH10095"/>
      <c r="FI10095"/>
      <c r="FJ10095"/>
      <c r="FK10095"/>
      <c r="FL10095"/>
      <c r="FM10095"/>
      <c r="FN10095"/>
      <c r="FO10095"/>
      <c r="FP10095"/>
      <c r="FQ10095"/>
      <c r="FR10095"/>
      <c r="FS10095"/>
      <c r="FT10095"/>
      <c r="FU10095"/>
      <c r="FV10095"/>
      <c r="FW10095"/>
      <c r="FX10095"/>
      <c r="FY10095"/>
      <c r="FZ10095"/>
      <c r="GA10095"/>
      <c r="GB10095"/>
      <c r="GC10095"/>
      <c r="GD10095"/>
      <c r="GE10095"/>
      <c r="GF10095"/>
      <c r="GG10095"/>
      <c r="GH10095"/>
      <c r="GI10095"/>
      <c r="GJ10095"/>
      <c r="GK10095"/>
      <c r="GL10095"/>
      <c r="GM10095"/>
      <c r="GN10095"/>
      <c r="GO10095"/>
    </row>
    <row r="10096" spans="107:197">
      <c r="DC10096"/>
      <c r="FH10096"/>
      <c r="FI10096"/>
      <c r="FJ10096"/>
      <c r="FK10096"/>
      <c r="FL10096"/>
      <c r="FM10096"/>
      <c r="FN10096"/>
      <c r="FO10096"/>
      <c r="FP10096"/>
      <c r="FQ10096"/>
      <c r="FR10096"/>
      <c r="FS10096"/>
      <c r="FT10096"/>
      <c r="FU10096"/>
      <c r="FV10096"/>
      <c r="FW10096"/>
      <c r="FX10096"/>
      <c r="FY10096"/>
      <c r="FZ10096"/>
      <c r="GA10096"/>
      <c r="GB10096"/>
      <c r="GC10096"/>
      <c r="GD10096"/>
      <c r="GE10096"/>
      <c r="GF10096"/>
      <c r="GG10096"/>
      <c r="GH10096"/>
      <c r="GI10096"/>
      <c r="GJ10096"/>
      <c r="GK10096"/>
      <c r="GL10096"/>
      <c r="GM10096"/>
      <c r="GN10096"/>
      <c r="GO10096"/>
    </row>
    <row r="10097" spans="107:197">
      <c r="DC10097"/>
      <c r="FH10097"/>
      <c r="FI10097"/>
      <c r="FJ10097"/>
      <c r="FK10097"/>
      <c r="FL10097"/>
      <c r="FM10097"/>
      <c r="FN10097"/>
      <c r="FO10097"/>
      <c r="FP10097"/>
      <c r="FQ10097"/>
      <c r="FR10097"/>
      <c r="FS10097"/>
      <c r="FT10097"/>
      <c r="FU10097"/>
      <c r="FV10097"/>
      <c r="FW10097"/>
      <c r="FX10097"/>
      <c r="FY10097"/>
      <c r="FZ10097"/>
      <c r="GA10097"/>
      <c r="GB10097"/>
      <c r="GC10097"/>
      <c r="GD10097"/>
      <c r="GE10097"/>
      <c r="GF10097"/>
      <c r="GG10097"/>
      <c r="GH10097"/>
      <c r="GI10097"/>
      <c r="GJ10097"/>
      <c r="GK10097"/>
      <c r="GL10097"/>
      <c r="GM10097"/>
      <c r="GN10097"/>
      <c r="GO10097"/>
    </row>
    <row r="10098" spans="107:197">
      <c r="DC10098"/>
      <c r="FH10098"/>
      <c r="FI10098"/>
      <c r="FJ10098"/>
      <c r="FK10098"/>
      <c r="FL10098"/>
      <c r="FM10098"/>
      <c r="FN10098"/>
      <c r="FO10098"/>
      <c r="FP10098"/>
      <c r="FQ10098"/>
      <c r="FR10098"/>
      <c r="FS10098"/>
      <c r="FT10098"/>
      <c r="FU10098"/>
      <c r="FV10098"/>
      <c r="FW10098"/>
      <c r="FX10098"/>
      <c r="FY10098"/>
      <c r="FZ10098"/>
      <c r="GA10098"/>
      <c r="GB10098"/>
      <c r="GC10098"/>
      <c r="GD10098"/>
      <c r="GE10098"/>
      <c r="GF10098"/>
      <c r="GG10098"/>
      <c r="GH10098"/>
      <c r="GI10098"/>
      <c r="GJ10098"/>
      <c r="GK10098"/>
      <c r="GL10098"/>
      <c r="GM10098"/>
      <c r="GN10098"/>
      <c r="GO10098"/>
    </row>
    <row r="10099" spans="107:197">
      <c r="DC10099"/>
      <c r="FH10099"/>
      <c r="FI10099"/>
      <c r="FJ10099"/>
      <c r="FK10099"/>
      <c r="FL10099"/>
      <c r="FM10099"/>
      <c r="FN10099"/>
      <c r="FO10099"/>
      <c r="FP10099"/>
      <c r="FQ10099"/>
      <c r="FR10099"/>
      <c r="FS10099"/>
      <c r="FT10099"/>
      <c r="FU10099"/>
      <c r="FV10099"/>
      <c r="FW10099"/>
      <c r="FX10099"/>
      <c r="FY10099"/>
      <c r="FZ10099"/>
      <c r="GA10099"/>
      <c r="GB10099"/>
      <c r="GC10099"/>
      <c r="GD10099"/>
      <c r="GE10099"/>
      <c r="GF10099"/>
      <c r="GG10099"/>
      <c r="GH10099"/>
      <c r="GI10099"/>
      <c r="GJ10099"/>
      <c r="GK10099"/>
      <c r="GL10099"/>
      <c r="GM10099"/>
      <c r="GN10099"/>
      <c r="GO10099"/>
    </row>
    <row r="10100" spans="107:197">
      <c r="DC10100"/>
      <c r="FH10100"/>
      <c r="FI10100"/>
      <c r="FJ10100"/>
      <c r="FK10100"/>
      <c r="FL10100"/>
      <c r="FM10100"/>
      <c r="FN10100"/>
      <c r="FO10100"/>
      <c r="FP10100"/>
      <c r="FQ10100"/>
      <c r="FR10100"/>
      <c r="FS10100"/>
      <c r="FT10100"/>
      <c r="FU10100"/>
      <c r="FV10100"/>
      <c r="FW10100"/>
      <c r="FX10100"/>
      <c r="FY10100"/>
      <c r="FZ10100"/>
      <c r="GA10100"/>
      <c r="GB10100"/>
      <c r="GC10100"/>
      <c r="GD10100"/>
      <c r="GE10100"/>
      <c r="GF10100"/>
      <c r="GG10100"/>
      <c r="GH10100"/>
      <c r="GI10100"/>
      <c r="GJ10100"/>
      <c r="GK10100"/>
      <c r="GL10100"/>
      <c r="GM10100"/>
      <c r="GN10100"/>
      <c r="GO10100"/>
    </row>
    <row r="10101" spans="107:197">
      <c r="DC10101"/>
      <c r="FH10101"/>
      <c r="FI10101"/>
      <c r="FJ10101"/>
      <c r="FK10101"/>
      <c r="FL10101"/>
      <c r="FM10101"/>
      <c r="FN10101"/>
      <c r="FO10101"/>
      <c r="FP10101"/>
      <c r="FQ10101"/>
      <c r="FR10101"/>
      <c r="FS10101"/>
      <c r="FT10101"/>
      <c r="FU10101"/>
      <c r="FV10101"/>
      <c r="FW10101"/>
      <c r="FX10101"/>
      <c r="FY10101"/>
      <c r="FZ10101"/>
      <c r="GA10101"/>
      <c r="GB10101"/>
      <c r="GC10101"/>
      <c r="GD10101"/>
      <c r="GE10101"/>
      <c r="GF10101"/>
      <c r="GG10101"/>
      <c r="GH10101"/>
      <c r="GI10101"/>
      <c r="GJ10101"/>
      <c r="GK10101"/>
      <c r="GL10101"/>
      <c r="GM10101"/>
      <c r="GN10101"/>
      <c r="GO10101"/>
    </row>
    <row r="10102" spans="107:197">
      <c r="DC10102"/>
      <c r="FH10102"/>
      <c r="FI10102"/>
      <c r="FJ10102"/>
      <c r="FK10102"/>
      <c r="FL10102"/>
      <c r="FM10102"/>
      <c r="FN10102"/>
      <c r="FO10102"/>
      <c r="FP10102"/>
      <c r="FQ10102"/>
      <c r="FR10102"/>
      <c r="FS10102"/>
      <c r="FT10102"/>
      <c r="FU10102"/>
      <c r="FV10102"/>
      <c r="FW10102"/>
      <c r="FX10102"/>
      <c r="FY10102"/>
      <c r="FZ10102"/>
      <c r="GA10102"/>
      <c r="GB10102"/>
      <c r="GC10102"/>
      <c r="GD10102"/>
      <c r="GE10102"/>
      <c r="GF10102"/>
      <c r="GG10102"/>
      <c r="GH10102"/>
      <c r="GI10102"/>
      <c r="GJ10102"/>
      <c r="GK10102"/>
      <c r="GL10102"/>
      <c r="GM10102"/>
      <c r="GN10102"/>
      <c r="GO10102"/>
    </row>
    <row r="10103" spans="107:197">
      <c r="DC10103"/>
      <c r="FH10103"/>
      <c r="FI10103"/>
      <c r="FJ10103"/>
      <c r="FK10103"/>
      <c r="FL10103"/>
      <c r="FM10103"/>
      <c r="FN10103"/>
      <c r="FO10103"/>
      <c r="FP10103"/>
      <c r="FQ10103"/>
      <c r="FR10103"/>
      <c r="FS10103"/>
      <c r="FT10103"/>
      <c r="FU10103"/>
      <c r="FV10103"/>
      <c r="FW10103"/>
      <c r="FX10103"/>
      <c r="FY10103"/>
      <c r="FZ10103"/>
      <c r="GA10103"/>
      <c r="GB10103"/>
      <c r="GC10103"/>
      <c r="GD10103"/>
      <c r="GE10103"/>
      <c r="GF10103"/>
      <c r="GG10103"/>
      <c r="GH10103"/>
      <c r="GI10103"/>
      <c r="GJ10103"/>
      <c r="GK10103"/>
      <c r="GL10103"/>
      <c r="GM10103"/>
      <c r="GN10103"/>
      <c r="GO10103"/>
    </row>
    <row r="10104" spans="107:197">
      <c r="DC10104"/>
      <c r="FH10104"/>
      <c r="FI10104"/>
      <c r="FJ10104"/>
      <c r="FK10104"/>
      <c r="FL10104"/>
      <c r="FM10104"/>
      <c r="FN10104"/>
      <c r="FO10104"/>
      <c r="FP10104"/>
      <c r="FQ10104"/>
      <c r="FR10104"/>
      <c r="FS10104"/>
      <c r="FT10104"/>
      <c r="FU10104"/>
      <c r="FV10104"/>
      <c r="FW10104"/>
      <c r="FX10104"/>
      <c r="FY10104"/>
      <c r="FZ10104"/>
      <c r="GA10104"/>
      <c r="GB10104"/>
      <c r="GC10104"/>
      <c r="GD10104"/>
      <c r="GE10104"/>
      <c r="GF10104"/>
      <c r="GG10104"/>
      <c r="GH10104"/>
      <c r="GI10104"/>
      <c r="GJ10104"/>
      <c r="GK10104"/>
      <c r="GL10104"/>
      <c r="GM10104"/>
      <c r="GN10104"/>
      <c r="GO10104"/>
    </row>
    <row r="10105" spans="107:197">
      <c r="DC10105"/>
      <c r="FH10105"/>
      <c r="FI10105"/>
      <c r="FJ10105"/>
      <c r="FK10105"/>
      <c r="FL10105"/>
      <c r="FM10105"/>
      <c r="FN10105"/>
      <c r="FO10105"/>
      <c r="FP10105"/>
      <c r="FQ10105"/>
      <c r="FR10105"/>
      <c r="FS10105"/>
      <c r="FT10105"/>
      <c r="FU10105"/>
      <c r="FV10105"/>
      <c r="FW10105"/>
      <c r="FX10105"/>
      <c r="FY10105"/>
      <c r="FZ10105"/>
      <c r="GA10105"/>
      <c r="GB10105"/>
      <c r="GC10105"/>
      <c r="GD10105"/>
      <c r="GE10105"/>
      <c r="GF10105"/>
      <c r="GG10105"/>
      <c r="GH10105"/>
      <c r="GI10105"/>
      <c r="GJ10105"/>
      <c r="GK10105"/>
      <c r="GL10105"/>
      <c r="GM10105"/>
      <c r="GN10105"/>
      <c r="GO10105"/>
    </row>
    <row r="10106" spans="107:197">
      <c r="DC10106"/>
      <c r="FH10106"/>
      <c r="FI10106"/>
      <c r="FJ10106"/>
      <c r="FK10106"/>
      <c r="FL10106"/>
      <c r="FM10106"/>
      <c r="FN10106"/>
      <c r="FO10106"/>
      <c r="FP10106"/>
      <c r="FQ10106"/>
      <c r="FR10106"/>
      <c r="FS10106"/>
      <c r="FT10106"/>
      <c r="FU10106"/>
      <c r="FV10106"/>
      <c r="FW10106"/>
      <c r="FX10106"/>
      <c r="FY10106"/>
      <c r="FZ10106"/>
      <c r="GA10106"/>
      <c r="GB10106"/>
      <c r="GC10106"/>
      <c r="GD10106"/>
      <c r="GE10106"/>
      <c r="GF10106"/>
      <c r="GG10106"/>
      <c r="GH10106"/>
      <c r="GI10106"/>
      <c r="GJ10106"/>
      <c r="GK10106"/>
      <c r="GL10106"/>
      <c r="GM10106"/>
      <c r="GN10106"/>
      <c r="GO10106"/>
    </row>
    <row r="10107" spans="107:197">
      <c r="DC10107"/>
      <c r="FH10107"/>
      <c r="FI10107"/>
      <c r="FJ10107"/>
      <c r="FK10107"/>
      <c r="FL10107"/>
      <c r="FM10107"/>
      <c r="FN10107"/>
      <c r="FO10107"/>
      <c r="FP10107"/>
      <c r="FQ10107"/>
      <c r="FR10107"/>
      <c r="FS10107"/>
      <c r="FT10107"/>
      <c r="FU10107"/>
      <c r="FV10107"/>
      <c r="FW10107"/>
      <c r="FX10107"/>
      <c r="FY10107"/>
      <c r="FZ10107"/>
      <c r="GA10107"/>
      <c r="GB10107"/>
      <c r="GC10107"/>
      <c r="GD10107"/>
      <c r="GE10107"/>
      <c r="GF10107"/>
      <c r="GG10107"/>
      <c r="GH10107"/>
      <c r="GI10107"/>
      <c r="GJ10107"/>
      <c r="GK10107"/>
      <c r="GL10107"/>
      <c r="GM10107"/>
      <c r="GN10107"/>
      <c r="GO10107"/>
    </row>
    <row r="10108" spans="107:197">
      <c r="DC10108"/>
      <c r="FH10108"/>
      <c r="FI10108"/>
      <c r="FJ10108"/>
      <c r="FK10108"/>
      <c r="FL10108"/>
      <c r="FM10108"/>
      <c r="FN10108"/>
      <c r="FO10108"/>
      <c r="FP10108"/>
      <c r="FQ10108"/>
      <c r="FR10108"/>
      <c r="FS10108"/>
      <c r="FT10108"/>
      <c r="FU10108"/>
      <c r="FV10108"/>
      <c r="FW10108"/>
      <c r="FX10108"/>
      <c r="FY10108"/>
      <c r="FZ10108"/>
      <c r="GA10108"/>
      <c r="GB10108"/>
      <c r="GC10108"/>
      <c r="GD10108"/>
      <c r="GE10108"/>
      <c r="GF10108"/>
      <c r="GG10108"/>
      <c r="GH10108"/>
      <c r="GI10108"/>
      <c r="GJ10108"/>
      <c r="GK10108"/>
      <c r="GL10108"/>
      <c r="GM10108"/>
      <c r="GN10108"/>
      <c r="GO10108"/>
    </row>
    <row r="10109" spans="107:197">
      <c r="DC10109"/>
      <c r="FH10109"/>
      <c r="FI10109"/>
      <c r="FJ10109"/>
      <c r="FK10109"/>
      <c r="FL10109"/>
      <c r="FM10109"/>
      <c r="FN10109"/>
      <c r="FO10109"/>
      <c r="FP10109"/>
      <c r="FQ10109"/>
      <c r="FR10109"/>
      <c r="FS10109"/>
      <c r="FT10109"/>
      <c r="FU10109"/>
      <c r="FV10109"/>
      <c r="FW10109"/>
      <c r="FX10109"/>
      <c r="FY10109"/>
      <c r="FZ10109"/>
      <c r="GA10109"/>
      <c r="GB10109"/>
      <c r="GC10109"/>
      <c r="GD10109"/>
      <c r="GE10109"/>
      <c r="GF10109"/>
      <c r="GG10109"/>
      <c r="GH10109"/>
      <c r="GI10109"/>
      <c r="GJ10109"/>
      <c r="GK10109"/>
      <c r="GL10109"/>
      <c r="GM10109"/>
      <c r="GN10109"/>
      <c r="GO10109"/>
    </row>
    <row r="10110" spans="107:197">
      <c r="DC10110"/>
      <c r="FH10110"/>
      <c r="FI10110"/>
      <c r="FJ10110"/>
      <c r="FK10110"/>
      <c r="FL10110"/>
      <c r="FM10110"/>
      <c r="FN10110"/>
      <c r="FO10110"/>
      <c r="FP10110"/>
      <c r="FQ10110"/>
      <c r="FR10110"/>
      <c r="FS10110"/>
      <c r="FT10110"/>
      <c r="FU10110"/>
      <c r="FV10110"/>
      <c r="FW10110"/>
      <c r="FX10110"/>
      <c r="FY10110"/>
      <c r="FZ10110"/>
      <c r="GA10110"/>
      <c r="GB10110"/>
      <c r="GC10110"/>
      <c r="GD10110"/>
      <c r="GE10110"/>
      <c r="GF10110"/>
      <c r="GG10110"/>
      <c r="GH10110"/>
      <c r="GI10110"/>
      <c r="GJ10110"/>
      <c r="GK10110"/>
      <c r="GL10110"/>
      <c r="GM10110"/>
      <c r="GN10110"/>
      <c r="GO10110"/>
    </row>
    <row r="10111" spans="107:197">
      <c r="DC10111"/>
      <c r="FH10111"/>
      <c r="FI10111"/>
      <c r="FJ10111"/>
      <c r="FK10111"/>
      <c r="FL10111"/>
      <c r="FM10111"/>
      <c r="FN10111"/>
      <c r="FO10111"/>
      <c r="FP10111"/>
      <c r="FQ10111"/>
      <c r="FR10111"/>
      <c r="FS10111"/>
      <c r="FT10111"/>
      <c r="FU10111"/>
      <c r="FV10111"/>
      <c r="FW10111"/>
      <c r="FX10111"/>
      <c r="FY10111"/>
      <c r="FZ10111"/>
      <c r="GA10111"/>
      <c r="GB10111"/>
      <c r="GC10111"/>
      <c r="GD10111"/>
      <c r="GE10111"/>
      <c r="GF10111"/>
      <c r="GG10111"/>
      <c r="GH10111"/>
      <c r="GI10111"/>
      <c r="GJ10111"/>
      <c r="GK10111"/>
      <c r="GL10111"/>
      <c r="GM10111"/>
      <c r="GN10111"/>
      <c r="GO10111"/>
    </row>
    <row r="10112" spans="107:197">
      <c r="DC10112"/>
      <c r="FH10112"/>
      <c r="FI10112"/>
      <c r="FJ10112"/>
      <c r="FK10112"/>
      <c r="FL10112"/>
      <c r="FM10112"/>
      <c r="FN10112"/>
      <c r="FO10112"/>
      <c r="FP10112"/>
      <c r="FQ10112"/>
      <c r="FR10112"/>
      <c r="FS10112"/>
      <c r="FT10112"/>
      <c r="FU10112"/>
      <c r="FV10112"/>
      <c r="FW10112"/>
      <c r="FX10112"/>
      <c r="FY10112"/>
      <c r="FZ10112"/>
      <c r="GA10112"/>
      <c r="GB10112"/>
      <c r="GC10112"/>
      <c r="GD10112"/>
      <c r="GE10112"/>
      <c r="GF10112"/>
      <c r="GG10112"/>
      <c r="GH10112"/>
      <c r="GI10112"/>
      <c r="GJ10112"/>
      <c r="GK10112"/>
      <c r="GL10112"/>
      <c r="GM10112"/>
      <c r="GN10112"/>
      <c r="GO10112"/>
    </row>
    <row r="10113" spans="107:197">
      <c r="DC10113"/>
      <c r="FH10113"/>
      <c r="FI10113"/>
      <c r="FJ10113"/>
      <c r="FK10113"/>
      <c r="FL10113"/>
      <c r="FM10113"/>
      <c r="FN10113"/>
      <c r="FO10113"/>
      <c r="FP10113"/>
      <c r="FQ10113"/>
      <c r="FR10113"/>
      <c r="FS10113"/>
      <c r="FT10113"/>
      <c r="FU10113"/>
      <c r="FV10113"/>
      <c r="FW10113"/>
      <c r="FX10113"/>
      <c r="FY10113"/>
      <c r="FZ10113"/>
      <c r="GA10113"/>
      <c r="GB10113"/>
      <c r="GC10113"/>
      <c r="GD10113"/>
      <c r="GE10113"/>
      <c r="GF10113"/>
      <c r="GG10113"/>
      <c r="GH10113"/>
      <c r="GI10113"/>
      <c r="GJ10113"/>
      <c r="GK10113"/>
      <c r="GL10113"/>
      <c r="GM10113"/>
      <c r="GN10113"/>
      <c r="GO10113"/>
    </row>
    <row r="10114" spans="107:197">
      <c r="DC10114"/>
      <c r="FH10114"/>
      <c r="FI10114"/>
      <c r="FJ10114"/>
      <c r="FK10114"/>
      <c r="FL10114"/>
      <c r="FM10114"/>
      <c r="FN10114"/>
      <c r="FO10114"/>
      <c r="FP10114"/>
      <c r="FQ10114"/>
      <c r="FR10114"/>
      <c r="FS10114"/>
      <c r="FT10114"/>
      <c r="FU10114"/>
      <c r="FV10114"/>
      <c r="FW10114"/>
      <c r="FX10114"/>
      <c r="FY10114"/>
      <c r="FZ10114"/>
      <c r="GA10114"/>
      <c r="GB10114"/>
      <c r="GC10114"/>
      <c r="GD10114"/>
      <c r="GE10114"/>
      <c r="GF10114"/>
      <c r="GG10114"/>
      <c r="GH10114"/>
      <c r="GI10114"/>
      <c r="GJ10114"/>
      <c r="GK10114"/>
      <c r="GL10114"/>
      <c r="GM10114"/>
      <c r="GN10114"/>
      <c r="GO10114"/>
    </row>
    <row r="10115" spans="107:197">
      <c r="DC10115"/>
      <c r="FH10115"/>
      <c r="FI10115"/>
      <c r="FJ10115"/>
      <c r="FK10115"/>
      <c r="FL10115"/>
      <c r="FM10115"/>
      <c r="FN10115"/>
      <c r="FO10115"/>
      <c r="FP10115"/>
      <c r="FQ10115"/>
      <c r="FR10115"/>
      <c r="FS10115"/>
      <c r="FT10115"/>
      <c r="FU10115"/>
      <c r="FV10115"/>
      <c r="FW10115"/>
      <c r="FX10115"/>
      <c r="FY10115"/>
      <c r="FZ10115"/>
      <c r="GA10115"/>
      <c r="GB10115"/>
      <c r="GC10115"/>
      <c r="GD10115"/>
      <c r="GE10115"/>
      <c r="GF10115"/>
      <c r="GG10115"/>
      <c r="GH10115"/>
      <c r="GI10115"/>
      <c r="GJ10115"/>
      <c r="GK10115"/>
      <c r="GL10115"/>
      <c r="GM10115"/>
      <c r="GN10115"/>
      <c r="GO10115"/>
    </row>
    <row r="10116" spans="107:197">
      <c r="DC10116"/>
      <c r="FH10116"/>
      <c r="FI10116"/>
      <c r="FJ10116"/>
      <c r="FK10116"/>
      <c r="FL10116"/>
      <c r="FM10116"/>
      <c r="FN10116"/>
      <c r="FO10116"/>
      <c r="FP10116"/>
      <c r="FQ10116"/>
      <c r="FR10116"/>
      <c r="FS10116"/>
      <c r="FT10116"/>
      <c r="FU10116"/>
      <c r="FV10116"/>
      <c r="FW10116"/>
      <c r="FX10116"/>
      <c r="FY10116"/>
      <c r="FZ10116"/>
      <c r="GA10116"/>
      <c r="GB10116"/>
      <c r="GC10116"/>
      <c r="GD10116"/>
      <c r="GE10116"/>
      <c r="GF10116"/>
      <c r="GG10116"/>
      <c r="GH10116"/>
      <c r="GI10116"/>
      <c r="GJ10116"/>
      <c r="GK10116"/>
      <c r="GL10116"/>
      <c r="GM10116"/>
      <c r="GN10116"/>
      <c r="GO10116"/>
    </row>
    <row r="10117" spans="107:197">
      <c r="DC10117"/>
      <c r="FH10117"/>
      <c r="FI10117"/>
      <c r="FJ10117"/>
      <c r="FK10117"/>
      <c r="FL10117"/>
      <c r="FM10117"/>
      <c r="FN10117"/>
      <c r="FO10117"/>
      <c r="FP10117"/>
      <c r="FQ10117"/>
      <c r="FR10117"/>
      <c r="FS10117"/>
      <c r="FT10117"/>
      <c r="FU10117"/>
      <c r="FV10117"/>
      <c r="FW10117"/>
      <c r="FX10117"/>
      <c r="FY10117"/>
      <c r="FZ10117"/>
      <c r="GA10117"/>
      <c r="GB10117"/>
      <c r="GC10117"/>
      <c r="GD10117"/>
      <c r="GE10117"/>
      <c r="GF10117"/>
      <c r="GG10117"/>
      <c r="GH10117"/>
      <c r="GI10117"/>
      <c r="GJ10117"/>
      <c r="GK10117"/>
      <c r="GL10117"/>
      <c r="GM10117"/>
      <c r="GN10117"/>
      <c r="GO10117"/>
    </row>
    <row r="10118" spans="107:197">
      <c r="DC10118"/>
      <c r="FH10118"/>
      <c r="FI10118"/>
      <c r="FJ10118"/>
      <c r="FK10118"/>
      <c r="FL10118"/>
      <c r="FM10118"/>
      <c r="FN10118"/>
      <c r="FO10118"/>
      <c r="FP10118"/>
      <c r="FQ10118"/>
      <c r="FR10118"/>
      <c r="FS10118"/>
      <c r="FT10118"/>
      <c r="FU10118"/>
      <c r="FV10118"/>
      <c r="FW10118"/>
      <c r="FX10118"/>
      <c r="FY10118"/>
      <c r="FZ10118"/>
      <c r="GA10118"/>
      <c r="GB10118"/>
      <c r="GC10118"/>
      <c r="GD10118"/>
      <c r="GE10118"/>
      <c r="GF10118"/>
      <c r="GG10118"/>
      <c r="GH10118"/>
      <c r="GI10118"/>
      <c r="GJ10118"/>
      <c r="GK10118"/>
      <c r="GL10118"/>
      <c r="GM10118"/>
      <c r="GN10118"/>
      <c r="GO10118"/>
    </row>
    <row r="10119" spans="107:197">
      <c r="DC10119"/>
      <c r="FH10119"/>
      <c r="FI10119"/>
      <c r="FJ10119"/>
      <c r="FK10119"/>
      <c r="FL10119"/>
      <c r="FM10119"/>
      <c r="FN10119"/>
      <c r="FO10119"/>
      <c r="FP10119"/>
      <c r="FQ10119"/>
      <c r="FR10119"/>
      <c r="FS10119"/>
      <c r="FT10119"/>
      <c r="FU10119"/>
      <c r="FV10119"/>
      <c r="FW10119"/>
      <c r="FX10119"/>
      <c r="FY10119"/>
      <c r="FZ10119"/>
      <c r="GA10119"/>
      <c r="GB10119"/>
      <c r="GC10119"/>
      <c r="GD10119"/>
      <c r="GE10119"/>
      <c r="GF10119"/>
      <c r="GG10119"/>
      <c r="GH10119"/>
      <c r="GI10119"/>
      <c r="GJ10119"/>
      <c r="GK10119"/>
      <c r="GL10119"/>
      <c r="GM10119"/>
      <c r="GN10119"/>
      <c r="GO10119"/>
    </row>
    <row r="10120" spans="107:197">
      <c r="DC10120"/>
      <c r="FH10120"/>
      <c r="FI10120"/>
      <c r="FJ10120"/>
      <c r="FK10120"/>
      <c r="FL10120"/>
      <c r="FM10120"/>
      <c r="FN10120"/>
      <c r="FO10120"/>
      <c r="FP10120"/>
      <c r="FQ10120"/>
      <c r="FR10120"/>
      <c r="FS10120"/>
      <c r="FT10120"/>
      <c r="FU10120"/>
      <c r="FV10120"/>
      <c r="FW10120"/>
      <c r="FX10120"/>
      <c r="FY10120"/>
      <c r="FZ10120"/>
      <c r="GA10120"/>
      <c r="GB10120"/>
      <c r="GC10120"/>
      <c r="GD10120"/>
      <c r="GE10120"/>
      <c r="GF10120"/>
      <c r="GG10120"/>
      <c r="GH10120"/>
      <c r="GI10120"/>
      <c r="GJ10120"/>
      <c r="GK10120"/>
      <c r="GL10120"/>
      <c r="GM10120"/>
      <c r="GN10120"/>
      <c r="GO10120"/>
    </row>
    <row r="10121" spans="107:197">
      <c r="DC10121"/>
      <c r="FH10121"/>
      <c r="FI10121"/>
      <c r="FJ10121"/>
      <c r="FK10121"/>
      <c r="FL10121"/>
      <c r="FM10121"/>
      <c r="FN10121"/>
      <c r="FO10121"/>
      <c r="FP10121"/>
      <c r="FQ10121"/>
      <c r="FR10121"/>
      <c r="FS10121"/>
      <c r="FT10121"/>
      <c r="FU10121"/>
      <c r="FV10121"/>
      <c r="FW10121"/>
      <c r="FX10121"/>
      <c r="FY10121"/>
      <c r="FZ10121"/>
      <c r="GA10121"/>
      <c r="GB10121"/>
      <c r="GC10121"/>
      <c r="GD10121"/>
      <c r="GE10121"/>
      <c r="GF10121"/>
      <c r="GG10121"/>
      <c r="GH10121"/>
      <c r="GI10121"/>
      <c r="GJ10121"/>
      <c r="GK10121"/>
      <c r="GL10121"/>
      <c r="GM10121"/>
      <c r="GN10121"/>
      <c r="GO10121"/>
    </row>
    <row r="10122" spans="107:197">
      <c r="DC10122"/>
      <c r="FH10122"/>
      <c r="FI10122"/>
      <c r="FJ10122"/>
      <c r="FK10122"/>
      <c r="FL10122"/>
      <c r="FM10122"/>
      <c r="FN10122"/>
      <c r="FO10122"/>
      <c r="FP10122"/>
      <c r="FQ10122"/>
      <c r="FR10122"/>
      <c r="FS10122"/>
      <c r="FT10122"/>
      <c r="FU10122"/>
      <c r="FV10122"/>
      <c r="FW10122"/>
      <c r="FX10122"/>
      <c r="FY10122"/>
      <c r="FZ10122"/>
      <c r="GA10122"/>
      <c r="GB10122"/>
      <c r="GC10122"/>
      <c r="GD10122"/>
      <c r="GE10122"/>
      <c r="GF10122"/>
      <c r="GG10122"/>
      <c r="GH10122"/>
      <c r="GI10122"/>
      <c r="GJ10122"/>
      <c r="GK10122"/>
      <c r="GL10122"/>
      <c r="GM10122"/>
      <c r="GN10122"/>
      <c r="GO10122"/>
    </row>
    <row r="10123" spans="107:197">
      <c r="DC10123"/>
      <c r="FH10123"/>
      <c r="FI10123"/>
      <c r="FJ10123"/>
      <c r="FK10123"/>
      <c r="FL10123"/>
      <c r="FM10123"/>
      <c r="FN10123"/>
      <c r="FO10123"/>
      <c r="FP10123"/>
      <c r="FQ10123"/>
      <c r="FR10123"/>
      <c r="FS10123"/>
      <c r="FT10123"/>
      <c r="FU10123"/>
      <c r="FV10123"/>
      <c r="FW10123"/>
      <c r="FX10123"/>
      <c r="FY10123"/>
      <c r="FZ10123"/>
      <c r="GA10123"/>
      <c r="GB10123"/>
      <c r="GC10123"/>
      <c r="GD10123"/>
      <c r="GE10123"/>
      <c r="GF10123"/>
      <c r="GG10123"/>
      <c r="GH10123"/>
      <c r="GI10123"/>
      <c r="GJ10123"/>
      <c r="GK10123"/>
      <c r="GL10123"/>
      <c r="GM10123"/>
      <c r="GN10123"/>
      <c r="GO10123"/>
    </row>
    <row r="10124" spans="107:197">
      <c r="DC10124"/>
      <c r="FH10124"/>
      <c r="FI10124"/>
      <c r="FJ10124"/>
      <c r="FK10124"/>
      <c r="FL10124"/>
      <c r="FM10124"/>
      <c r="FN10124"/>
      <c r="FO10124"/>
      <c r="FP10124"/>
      <c r="FQ10124"/>
      <c r="FR10124"/>
      <c r="FS10124"/>
      <c r="FT10124"/>
      <c r="FU10124"/>
      <c r="FV10124"/>
      <c r="FW10124"/>
      <c r="FX10124"/>
      <c r="FY10124"/>
      <c r="FZ10124"/>
      <c r="GA10124"/>
      <c r="GB10124"/>
      <c r="GC10124"/>
      <c r="GD10124"/>
      <c r="GE10124"/>
      <c r="GF10124"/>
      <c r="GG10124"/>
      <c r="GH10124"/>
      <c r="GI10124"/>
      <c r="GJ10124"/>
      <c r="GK10124"/>
      <c r="GL10124"/>
      <c r="GM10124"/>
      <c r="GN10124"/>
      <c r="GO10124"/>
    </row>
    <row r="10125" spans="107:197">
      <c r="DC10125"/>
      <c r="FH10125"/>
      <c r="FI10125"/>
      <c r="FJ10125"/>
      <c r="FK10125"/>
      <c r="FL10125"/>
      <c r="FM10125"/>
      <c r="FN10125"/>
      <c r="FO10125"/>
      <c r="FP10125"/>
      <c r="FQ10125"/>
      <c r="FR10125"/>
      <c r="FS10125"/>
      <c r="FT10125"/>
      <c r="FU10125"/>
      <c r="FV10125"/>
      <c r="FW10125"/>
      <c r="FX10125"/>
      <c r="FY10125"/>
      <c r="FZ10125"/>
      <c r="GA10125"/>
      <c r="GB10125"/>
      <c r="GC10125"/>
      <c r="GD10125"/>
      <c r="GE10125"/>
      <c r="GF10125"/>
      <c r="GG10125"/>
      <c r="GH10125"/>
      <c r="GI10125"/>
      <c r="GJ10125"/>
      <c r="GK10125"/>
      <c r="GL10125"/>
      <c r="GM10125"/>
      <c r="GN10125"/>
      <c r="GO10125"/>
    </row>
    <row r="10126" spans="107:197">
      <c r="DC10126"/>
      <c r="FH10126"/>
      <c r="FI10126"/>
      <c r="FJ10126"/>
      <c r="FK10126"/>
      <c r="FL10126"/>
      <c r="FM10126"/>
      <c r="FN10126"/>
      <c r="FO10126"/>
      <c r="FP10126"/>
      <c r="FQ10126"/>
      <c r="FR10126"/>
      <c r="FS10126"/>
      <c r="FT10126"/>
      <c r="FU10126"/>
      <c r="FV10126"/>
      <c r="FW10126"/>
      <c r="FX10126"/>
      <c r="FY10126"/>
      <c r="FZ10126"/>
      <c r="GA10126"/>
      <c r="GB10126"/>
      <c r="GC10126"/>
      <c r="GD10126"/>
      <c r="GE10126"/>
      <c r="GF10126"/>
      <c r="GG10126"/>
      <c r="GH10126"/>
      <c r="GI10126"/>
      <c r="GJ10126"/>
      <c r="GK10126"/>
      <c r="GL10126"/>
      <c r="GM10126"/>
      <c r="GN10126"/>
      <c r="GO10126"/>
    </row>
    <row r="10127" spans="107:197">
      <c r="DC10127"/>
      <c r="FH10127"/>
      <c r="FI10127"/>
      <c r="FJ10127"/>
      <c r="FK10127"/>
      <c r="FL10127"/>
      <c r="FM10127"/>
      <c r="FN10127"/>
      <c r="FO10127"/>
      <c r="FP10127"/>
      <c r="FQ10127"/>
      <c r="FR10127"/>
      <c r="FS10127"/>
      <c r="FT10127"/>
      <c r="FU10127"/>
      <c r="FV10127"/>
      <c r="FW10127"/>
      <c r="FX10127"/>
      <c r="FY10127"/>
      <c r="FZ10127"/>
      <c r="GA10127"/>
      <c r="GB10127"/>
      <c r="GC10127"/>
      <c r="GD10127"/>
      <c r="GE10127"/>
      <c r="GF10127"/>
      <c r="GG10127"/>
      <c r="GH10127"/>
      <c r="GI10127"/>
      <c r="GJ10127"/>
      <c r="GK10127"/>
      <c r="GL10127"/>
      <c r="GM10127"/>
      <c r="GN10127"/>
      <c r="GO10127"/>
    </row>
    <row r="10128" spans="107:197">
      <c r="DC10128"/>
      <c r="FH10128"/>
      <c r="FI10128"/>
      <c r="FJ10128"/>
      <c r="FK10128"/>
      <c r="FL10128"/>
      <c r="FM10128"/>
      <c r="FN10128"/>
      <c r="FO10128"/>
      <c r="FP10128"/>
      <c r="FQ10128"/>
      <c r="FR10128"/>
      <c r="FS10128"/>
      <c r="FT10128"/>
      <c r="FU10128"/>
      <c r="FV10128"/>
      <c r="FW10128"/>
      <c r="FX10128"/>
      <c r="FY10128"/>
      <c r="FZ10128"/>
      <c r="GA10128"/>
      <c r="GB10128"/>
      <c r="GC10128"/>
      <c r="GD10128"/>
      <c r="GE10128"/>
      <c r="GF10128"/>
      <c r="GG10128"/>
      <c r="GH10128"/>
      <c r="GI10128"/>
      <c r="GJ10128"/>
      <c r="GK10128"/>
      <c r="GL10128"/>
      <c r="GM10128"/>
      <c r="GN10128"/>
      <c r="GO10128"/>
    </row>
    <row r="10129" spans="107:197">
      <c r="DC10129"/>
      <c r="FH10129"/>
      <c r="FI10129"/>
      <c r="FJ10129"/>
      <c r="FK10129"/>
      <c r="FL10129"/>
      <c r="FM10129"/>
      <c r="FN10129"/>
      <c r="FO10129"/>
      <c r="FP10129"/>
      <c r="FQ10129"/>
      <c r="FR10129"/>
      <c r="FS10129"/>
      <c r="FT10129"/>
      <c r="FU10129"/>
      <c r="FV10129"/>
      <c r="FW10129"/>
      <c r="FX10129"/>
      <c r="FY10129"/>
      <c r="FZ10129"/>
      <c r="GA10129"/>
      <c r="GB10129"/>
      <c r="GC10129"/>
      <c r="GD10129"/>
      <c r="GE10129"/>
      <c r="GF10129"/>
      <c r="GG10129"/>
      <c r="GH10129"/>
      <c r="GI10129"/>
      <c r="GJ10129"/>
      <c r="GK10129"/>
      <c r="GL10129"/>
      <c r="GM10129"/>
      <c r="GN10129"/>
      <c r="GO10129"/>
    </row>
    <row r="10130" spans="107:197">
      <c r="DC10130"/>
      <c r="FH10130"/>
      <c r="FI10130"/>
      <c r="FJ10130"/>
      <c r="FK10130"/>
      <c r="FL10130"/>
      <c r="FM10130"/>
      <c r="FN10130"/>
      <c r="FO10130"/>
      <c r="FP10130"/>
      <c r="FQ10130"/>
      <c r="FR10130"/>
      <c r="FS10130"/>
      <c r="FT10130"/>
      <c r="FU10130"/>
      <c r="FV10130"/>
      <c r="FW10130"/>
      <c r="FX10130"/>
      <c r="FY10130"/>
      <c r="FZ10130"/>
      <c r="GA10130"/>
      <c r="GB10130"/>
      <c r="GC10130"/>
      <c r="GD10130"/>
      <c r="GE10130"/>
      <c r="GF10130"/>
      <c r="GG10130"/>
      <c r="GH10130"/>
      <c r="GI10130"/>
      <c r="GJ10130"/>
      <c r="GK10130"/>
      <c r="GL10130"/>
      <c r="GM10130"/>
      <c r="GN10130"/>
      <c r="GO10130"/>
    </row>
    <row r="10131" spans="107:197">
      <c r="DC10131"/>
      <c r="FH10131"/>
      <c r="FI10131"/>
      <c r="FJ10131"/>
      <c r="FK10131"/>
      <c r="FL10131"/>
      <c r="FM10131"/>
      <c r="FN10131"/>
      <c r="FO10131"/>
      <c r="FP10131"/>
      <c r="FQ10131"/>
      <c r="FR10131"/>
      <c r="FS10131"/>
      <c r="FT10131"/>
      <c r="FU10131"/>
      <c r="FV10131"/>
      <c r="FW10131"/>
      <c r="FX10131"/>
      <c r="FY10131"/>
      <c r="FZ10131"/>
      <c r="GA10131"/>
      <c r="GB10131"/>
      <c r="GC10131"/>
      <c r="GD10131"/>
      <c r="GE10131"/>
      <c r="GF10131"/>
      <c r="GG10131"/>
      <c r="GH10131"/>
      <c r="GI10131"/>
      <c r="GJ10131"/>
      <c r="GK10131"/>
      <c r="GL10131"/>
      <c r="GM10131"/>
      <c r="GN10131"/>
      <c r="GO10131"/>
    </row>
    <row r="10132" spans="107:197">
      <c r="DC10132"/>
      <c r="FH10132"/>
      <c r="FI10132"/>
      <c r="FJ10132"/>
      <c r="FK10132"/>
      <c r="FL10132"/>
      <c r="FM10132"/>
      <c r="FN10132"/>
      <c r="FO10132"/>
      <c r="FP10132"/>
      <c r="FQ10132"/>
      <c r="FR10132"/>
      <c r="FS10132"/>
      <c r="FT10132"/>
      <c r="FU10132"/>
      <c r="FV10132"/>
      <c r="FW10132"/>
      <c r="FX10132"/>
      <c r="FY10132"/>
      <c r="FZ10132"/>
      <c r="GA10132"/>
      <c r="GB10132"/>
      <c r="GC10132"/>
      <c r="GD10132"/>
      <c r="GE10132"/>
      <c r="GF10132"/>
      <c r="GG10132"/>
      <c r="GH10132"/>
      <c r="GI10132"/>
      <c r="GJ10132"/>
      <c r="GK10132"/>
      <c r="GL10132"/>
      <c r="GM10132"/>
      <c r="GN10132"/>
      <c r="GO10132"/>
    </row>
    <row r="10133" spans="107:197">
      <c r="DC10133"/>
      <c r="FH10133"/>
      <c r="FI10133"/>
      <c r="FJ10133"/>
      <c r="FK10133"/>
      <c r="FL10133"/>
      <c r="FM10133"/>
      <c r="FN10133"/>
      <c r="FO10133"/>
      <c r="FP10133"/>
      <c r="FQ10133"/>
      <c r="FR10133"/>
      <c r="FS10133"/>
      <c r="FT10133"/>
      <c r="FU10133"/>
      <c r="FV10133"/>
      <c r="FW10133"/>
      <c r="FX10133"/>
      <c r="FY10133"/>
      <c r="FZ10133"/>
      <c r="GA10133"/>
      <c r="GB10133"/>
      <c r="GC10133"/>
      <c r="GD10133"/>
      <c r="GE10133"/>
      <c r="GF10133"/>
      <c r="GG10133"/>
      <c r="GH10133"/>
      <c r="GI10133"/>
      <c r="GJ10133"/>
      <c r="GK10133"/>
      <c r="GL10133"/>
      <c r="GM10133"/>
      <c r="GN10133"/>
      <c r="GO10133"/>
    </row>
    <row r="10134" spans="107:197">
      <c r="DC10134"/>
      <c r="FH10134"/>
      <c r="FI10134"/>
      <c r="FJ10134"/>
      <c r="FK10134"/>
      <c r="FL10134"/>
      <c r="FM10134"/>
      <c r="FN10134"/>
      <c r="FO10134"/>
      <c r="FP10134"/>
      <c r="FQ10134"/>
      <c r="FR10134"/>
      <c r="FS10134"/>
      <c r="FT10134"/>
      <c r="FU10134"/>
      <c r="FV10134"/>
      <c r="FW10134"/>
      <c r="FX10134"/>
      <c r="FY10134"/>
      <c r="FZ10134"/>
      <c r="GA10134"/>
      <c r="GB10134"/>
      <c r="GC10134"/>
      <c r="GD10134"/>
      <c r="GE10134"/>
      <c r="GF10134"/>
      <c r="GG10134"/>
      <c r="GH10134"/>
      <c r="GI10134"/>
      <c r="GJ10134"/>
      <c r="GK10134"/>
      <c r="GL10134"/>
      <c r="GM10134"/>
      <c r="GN10134"/>
      <c r="GO10134"/>
    </row>
    <row r="10135" spans="107:197">
      <c r="DC10135"/>
      <c r="FH10135"/>
      <c r="FI10135"/>
      <c r="FJ10135"/>
      <c r="FK10135"/>
      <c r="FL10135"/>
      <c r="FM10135"/>
      <c r="FN10135"/>
      <c r="FO10135"/>
      <c r="FP10135"/>
      <c r="FQ10135"/>
      <c r="FR10135"/>
      <c r="FS10135"/>
      <c r="FT10135"/>
      <c r="FU10135"/>
      <c r="FV10135"/>
      <c r="FW10135"/>
      <c r="FX10135"/>
      <c r="FY10135"/>
      <c r="FZ10135"/>
      <c r="GA10135"/>
      <c r="GB10135"/>
      <c r="GC10135"/>
      <c r="GD10135"/>
      <c r="GE10135"/>
      <c r="GF10135"/>
      <c r="GG10135"/>
      <c r="GH10135"/>
      <c r="GI10135"/>
      <c r="GJ10135"/>
      <c r="GK10135"/>
      <c r="GL10135"/>
      <c r="GM10135"/>
      <c r="GN10135"/>
      <c r="GO10135"/>
    </row>
    <row r="10136" spans="107:197">
      <c r="DC10136"/>
      <c r="FH10136"/>
      <c r="FI10136"/>
      <c r="FJ10136"/>
      <c r="FK10136"/>
      <c r="FL10136"/>
      <c r="FM10136"/>
      <c r="FN10136"/>
      <c r="FO10136"/>
      <c r="FP10136"/>
      <c r="FQ10136"/>
      <c r="FR10136"/>
      <c r="FS10136"/>
      <c r="FT10136"/>
      <c r="FU10136"/>
      <c r="FV10136"/>
      <c r="FW10136"/>
      <c r="FX10136"/>
      <c r="FY10136"/>
      <c r="FZ10136"/>
      <c r="GA10136"/>
      <c r="GB10136"/>
      <c r="GC10136"/>
      <c r="GD10136"/>
      <c r="GE10136"/>
      <c r="GF10136"/>
      <c r="GG10136"/>
      <c r="GH10136"/>
      <c r="GI10136"/>
      <c r="GJ10136"/>
      <c r="GK10136"/>
      <c r="GL10136"/>
      <c r="GM10136"/>
      <c r="GN10136"/>
      <c r="GO10136"/>
    </row>
    <row r="10137" spans="107:197">
      <c r="DC10137"/>
      <c r="FH10137"/>
      <c r="FI10137"/>
      <c r="FJ10137"/>
      <c r="FK10137"/>
      <c r="FL10137"/>
      <c r="FM10137"/>
      <c r="FN10137"/>
      <c r="FO10137"/>
      <c r="FP10137"/>
      <c r="FQ10137"/>
      <c r="FR10137"/>
      <c r="FS10137"/>
      <c r="FT10137"/>
      <c r="FU10137"/>
      <c r="FV10137"/>
      <c r="FW10137"/>
      <c r="FX10137"/>
      <c r="FY10137"/>
      <c r="FZ10137"/>
      <c r="GA10137"/>
      <c r="GB10137"/>
      <c r="GC10137"/>
      <c r="GD10137"/>
      <c r="GE10137"/>
      <c r="GF10137"/>
      <c r="GG10137"/>
      <c r="GH10137"/>
      <c r="GI10137"/>
      <c r="GJ10137"/>
      <c r="GK10137"/>
      <c r="GL10137"/>
      <c r="GM10137"/>
      <c r="GN10137"/>
      <c r="GO10137"/>
    </row>
    <row r="10138" spans="107:197">
      <c r="DC10138"/>
      <c r="FH10138"/>
      <c r="FI10138"/>
      <c r="FJ10138"/>
      <c r="FK10138"/>
      <c r="FL10138"/>
      <c r="FM10138"/>
      <c r="FN10138"/>
      <c r="FO10138"/>
      <c r="FP10138"/>
      <c r="FQ10138"/>
      <c r="FR10138"/>
      <c r="FS10138"/>
      <c r="FT10138"/>
      <c r="FU10138"/>
      <c r="FV10138"/>
      <c r="FW10138"/>
      <c r="FX10138"/>
      <c r="FY10138"/>
      <c r="FZ10138"/>
      <c r="GA10138"/>
      <c r="GB10138"/>
      <c r="GC10138"/>
      <c r="GD10138"/>
      <c r="GE10138"/>
      <c r="GF10138"/>
      <c r="GG10138"/>
      <c r="GH10138"/>
      <c r="GI10138"/>
      <c r="GJ10138"/>
      <c r="GK10138"/>
      <c r="GL10138"/>
      <c r="GM10138"/>
      <c r="GN10138"/>
      <c r="GO10138"/>
    </row>
    <row r="10139" spans="107:197">
      <c r="DC10139"/>
      <c r="FH10139"/>
      <c r="FI10139"/>
      <c r="FJ10139"/>
      <c r="FK10139"/>
      <c r="FL10139"/>
      <c r="FM10139"/>
      <c r="FN10139"/>
      <c r="FO10139"/>
      <c r="FP10139"/>
      <c r="FQ10139"/>
      <c r="FR10139"/>
      <c r="FS10139"/>
      <c r="FT10139"/>
      <c r="FU10139"/>
      <c r="FV10139"/>
      <c r="FW10139"/>
      <c r="FX10139"/>
      <c r="FY10139"/>
      <c r="FZ10139"/>
      <c r="GA10139"/>
      <c r="GB10139"/>
      <c r="GC10139"/>
      <c r="GD10139"/>
      <c r="GE10139"/>
      <c r="GF10139"/>
      <c r="GG10139"/>
      <c r="GH10139"/>
      <c r="GI10139"/>
      <c r="GJ10139"/>
      <c r="GK10139"/>
      <c r="GL10139"/>
      <c r="GM10139"/>
      <c r="GN10139"/>
      <c r="GO10139"/>
    </row>
    <row r="10140" spans="107:197">
      <c r="DC10140"/>
      <c r="FH10140"/>
      <c r="FI10140"/>
      <c r="FJ10140"/>
      <c r="FK10140"/>
      <c r="FL10140"/>
      <c r="FM10140"/>
      <c r="FN10140"/>
      <c r="FO10140"/>
      <c r="FP10140"/>
      <c r="FQ10140"/>
      <c r="FR10140"/>
      <c r="FS10140"/>
      <c r="FT10140"/>
      <c r="FU10140"/>
      <c r="FV10140"/>
      <c r="FW10140"/>
      <c r="FX10140"/>
      <c r="FY10140"/>
      <c r="FZ10140"/>
      <c r="GA10140"/>
      <c r="GB10140"/>
      <c r="GC10140"/>
      <c r="GD10140"/>
      <c r="GE10140"/>
      <c r="GF10140"/>
      <c r="GG10140"/>
      <c r="GH10140"/>
      <c r="GI10140"/>
      <c r="GJ10140"/>
      <c r="GK10140"/>
      <c r="GL10140"/>
      <c r="GM10140"/>
      <c r="GN10140"/>
      <c r="GO10140"/>
    </row>
    <row r="10141" spans="107:197">
      <c r="DC10141"/>
      <c r="FH10141"/>
      <c r="FI10141"/>
      <c r="FJ10141"/>
      <c r="FK10141"/>
      <c r="FL10141"/>
      <c r="FM10141"/>
      <c r="FN10141"/>
      <c r="FO10141"/>
      <c r="FP10141"/>
      <c r="FQ10141"/>
      <c r="FR10141"/>
      <c r="FS10141"/>
      <c r="FT10141"/>
      <c r="FU10141"/>
      <c r="FV10141"/>
      <c r="FW10141"/>
      <c r="FX10141"/>
      <c r="FY10141"/>
      <c r="FZ10141"/>
      <c r="GA10141"/>
      <c r="GB10141"/>
      <c r="GC10141"/>
      <c r="GD10141"/>
      <c r="GE10141"/>
      <c r="GF10141"/>
      <c r="GG10141"/>
      <c r="GH10141"/>
      <c r="GI10141"/>
      <c r="GJ10141"/>
      <c r="GK10141"/>
      <c r="GL10141"/>
      <c r="GM10141"/>
      <c r="GN10141"/>
      <c r="GO10141"/>
    </row>
    <row r="10142" spans="107:197">
      <c r="DC10142"/>
      <c r="FH10142"/>
      <c r="FI10142"/>
      <c r="FJ10142"/>
      <c r="FK10142"/>
      <c r="FL10142"/>
      <c r="FM10142"/>
      <c r="FN10142"/>
      <c r="FO10142"/>
      <c r="FP10142"/>
      <c r="FQ10142"/>
      <c r="FR10142"/>
      <c r="FS10142"/>
      <c r="FT10142"/>
      <c r="FU10142"/>
      <c r="FV10142"/>
      <c r="FW10142"/>
      <c r="FX10142"/>
      <c r="FY10142"/>
      <c r="FZ10142"/>
      <c r="GA10142"/>
      <c r="GB10142"/>
      <c r="GC10142"/>
      <c r="GD10142"/>
      <c r="GE10142"/>
      <c r="GF10142"/>
      <c r="GG10142"/>
      <c r="GH10142"/>
      <c r="GI10142"/>
      <c r="GJ10142"/>
      <c r="GK10142"/>
      <c r="GL10142"/>
      <c r="GM10142"/>
      <c r="GN10142"/>
      <c r="GO10142"/>
    </row>
    <row r="10143" spans="107:197">
      <c r="DC10143"/>
      <c r="FH10143"/>
      <c r="FI10143"/>
      <c r="FJ10143"/>
      <c r="FK10143"/>
      <c r="FL10143"/>
      <c r="FM10143"/>
      <c r="FN10143"/>
      <c r="FO10143"/>
      <c r="FP10143"/>
      <c r="FQ10143"/>
      <c r="FR10143"/>
      <c r="FS10143"/>
      <c r="FT10143"/>
      <c r="FU10143"/>
      <c r="FV10143"/>
      <c r="FW10143"/>
      <c r="FX10143"/>
      <c r="FY10143"/>
      <c r="FZ10143"/>
      <c r="GA10143"/>
      <c r="GB10143"/>
      <c r="GC10143"/>
      <c r="GD10143"/>
      <c r="GE10143"/>
      <c r="GF10143"/>
      <c r="GG10143"/>
      <c r="GH10143"/>
      <c r="GI10143"/>
      <c r="GJ10143"/>
      <c r="GK10143"/>
      <c r="GL10143"/>
      <c r="GM10143"/>
      <c r="GN10143"/>
      <c r="GO10143"/>
    </row>
    <row r="10144" spans="107:197">
      <c r="DC10144"/>
      <c r="FH10144"/>
      <c r="FI10144"/>
      <c r="FJ10144"/>
      <c r="FK10144"/>
      <c r="FL10144"/>
      <c r="FM10144"/>
      <c r="FN10144"/>
      <c r="FO10144"/>
      <c r="FP10144"/>
      <c r="FQ10144"/>
      <c r="FR10144"/>
      <c r="FS10144"/>
      <c r="FT10144"/>
      <c r="FU10144"/>
      <c r="FV10144"/>
      <c r="FW10144"/>
      <c r="FX10144"/>
      <c r="FY10144"/>
      <c r="FZ10144"/>
      <c r="GA10144"/>
      <c r="GB10144"/>
      <c r="GC10144"/>
      <c r="GD10144"/>
      <c r="GE10144"/>
      <c r="GF10144"/>
      <c r="GG10144"/>
      <c r="GH10144"/>
      <c r="GI10144"/>
      <c r="GJ10144"/>
      <c r="GK10144"/>
      <c r="GL10144"/>
      <c r="GM10144"/>
      <c r="GN10144"/>
      <c r="GO10144"/>
    </row>
    <row r="10145" spans="107:197">
      <c r="DC10145"/>
      <c r="FH10145"/>
      <c r="FI10145"/>
      <c r="FJ10145"/>
      <c r="FK10145"/>
      <c r="FL10145"/>
      <c r="FM10145"/>
      <c r="FN10145"/>
      <c r="FO10145"/>
      <c r="FP10145"/>
      <c r="FQ10145"/>
      <c r="FR10145"/>
      <c r="FS10145"/>
      <c r="FT10145"/>
      <c r="FU10145"/>
      <c r="FV10145"/>
      <c r="FW10145"/>
      <c r="FX10145"/>
      <c r="FY10145"/>
      <c r="FZ10145"/>
      <c r="GA10145"/>
      <c r="GB10145"/>
      <c r="GC10145"/>
      <c r="GD10145"/>
      <c r="GE10145"/>
      <c r="GF10145"/>
      <c r="GG10145"/>
      <c r="GH10145"/>
      <c r="GI10145"/>
      <c r="GJ10145"/>
      <c r="GK10145"/>
      <c r="GL10145"/>
      <c r="GM10145"/>
      <c r="GN10145"/>
      <c r="GO10145"/>
    </row>
    <row r="10146" spans="107:197">
      <c r="DC10146"/>
      <c r="FH10146"/>
      <c r="FI10146"/>
      <c r="FJ10146"/>
      <c r="FK10146"/>
      <c r="FL10146"/>
      <c r="FM10146"/>
      <c r="FN10146"/>
      <c r="FO10146"/>
      <c r="FP10146"/>
      <c r="FQ10146"/>
      <c r="FR10146"/>
      <c r="FS10146"/>
      <c r="FT10146"/>
      <c r="FU10146"/>
      <c r="FV10146"/>
      <c r="FW10146"/>
      <c r="FX10146"/>
      <c r="FY10146"/>
      <c r="FZ10146"/>
      <c r="GA10146"/>
      <c r="GB10146"/>
      <c r="GC10146"/>
      <c r="GD10146"/>
      <c r="GE10146"/>
      <c r="GF10146"/>
      <c r="GG10146"/>
      <c r="GH10146"/>
      <c r="GI10146"/>
      <c r="GJ10146"/>
      <c r="GK10146"/>
      <c r="GL10146"/>
      <c r="GM10146"/>
      <c r="GN10146"/>
      <c r="GO10146"/>
    </row>
    <row r="10147" spans="107:197">
      <c r="DC10147"/>
      <c r="FH10147"/>
      <c r="FI10147"/>
      <c r="FJ10147"/>
      <c r="FK10147"/>
      <c r="FL10147"/>
      <c r="FM10147"/>
      <c r="FN10147"/>
      <c r="FO10147"/>
      <c r="FP10147"/>
      <c r="FQ10147"/>
      <c r="FR10147"/>
      <c r="FS10147"/>
      <c r="FT10147"/>
      <c r="FU10147"/>
      <c r="FV10147"/>
      <c r="FW10147"/>
      <c r="FX10147"/>
      <c r="FY10147"/>
      <c r="FZ10147"/>
      <c r="GA10147"/>
      <c r="GB10147"/>
      <c r="GC10147"/>
      <c r="GD10147"/>
      <c r="GE10147"/>
      <c r="GF10147"/>
      <c r="GG10147"/>
      <c r="GH10147"/>
      <c r="GI10147"/>
      <c r="GJ10147"/>
      <c r="GK10147"/>
      <c r="GL10147"/>
      <c r="GM10147"/>
      <c r="GN10147"/>
      <c r="GO10147"/>
    </row>
    <row r="10148" spans="107:197">
      <c r="DC10148"/>
      <c r="FH10148"/>
      <c r="FI10148"/>
      <c r="FJ10148"/>
      <c r="FK10148"/>
      <c r="FL10148"/>
      <c r="FM10148"/>
      <c r="FN10148"/>
      <c r="FO10148"/>
      <c r="FP10148"/>
      <c r="FQ10148"/>
      <c r="FR10148"/>
      <c r="FS10148"/>
      <c r="FT10148"/>
      <c r="FU10148"/>
      <c r="FV10148"/>
      <c r="FW10148"/>
      <c r="FX10148"/>
      <c r="FY10148"/>
      <c r="FZ10148"/>
      <c r="GA10148"/>
      <c r="GB10148"/>
      <c r="GC10148"/>
      <c r="GD10148"/>
      <c r="GE10148"/>
      <c r="GF10148"/>
      <c r="GG10148"/>
      <c r="GH10148"/>
      <c r="GI10148"/>
      <c r="GJ10148"/>
      <c r="GK10148"/>
      <c r="GL10148"/>
      <c r="GM10148"/>
      <c r="GN10148"/>
      <c r="GO10148"/>
    </row>
  </sheetData>
  <mergeCells count="22">
    <mergeCell ref="A29:D29"/>
    <mergeCell ref="I26:J26"/>
    <mergeCell ref="L26:V26"/>
    <mergeCell ref="DT144:DV144"/>
    <mergeCell ref="DH144:DJ144"/>
    <mergeCell ref="DE144:DG144"/>
    <mergeCell ref="DD142:DR142"/>
    <mergeCell ref="DN144:DP144"/>
    <mergeCell ref="DK144:DM144"/>
    <mergeCell ref="EX144:EZ144"/>
    <mergeCell ref="EU144:EW144"/>
    <mergeCell ref="FA144:FC144"/>
    <mergeCell ref="DQ144:DS144"/>
    <mergeCell ref="FD144:FF144"/>
    <mergeCell ref="EC144:EE144"/>
    <mergeCell ref="EF144:EH144"/>
    <mergeCell ref="EL144:EN144"/>
    <mergeCell ref="EI144:EK144"/>
    <mergeCell ref="ER144:ET144"/>
    <mergeCell ref="EO144:EQ144"/>
    <mergeCell ref="DZ144:EB144"/>
    <mergeCell ref="DW144:DY144"/>
  </mergeCells>
  <conditionalFormatting sqref="B30:B43">
    <cfRule type="duplicateValues" dxfId="136" priority="1"/>
  </conditionalFormatting>
  <pageMargins left="0.7" right="0.7" top="0.75" bottom="0.75" header="0.3" footer="0.3"/>
  <pageSetup paperSize="9" orientation="portrait" horizontalDpi="1200" verticalDpi="1200" r:id="rId1"/>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B93DF-C9A2-435A-A76E-E2A0338849EF}">
  <sheetPr>
    <tabColor rgb="FFFFC000"/>
  </sheetPr>
  <dimension ref="CN48:CN140"/>
  <sheetViews>
    <sheetView topLeftCell="S1" zoomScale="85" zoomScaleNormal="85" workbookViewId="0"/>
  </sheetViews>
  <sheetFormatPr defaultRowHeight="14.25"/>
  <cols>
    <col min="3" max="3" width="9.6640625" customWidth="1"/>
    <col min="4" max="4" width="27.21875" bestFit="1" customWidth="1"/>
    <col min="18" max="18" width="10.21875" customWidth="1"/>
    <col min="19" max="19" width="26.44140625" customWidth="1"/>
  </cols>
  <sheetData>
    <row r="48" spans="92:92" ht="15">
      <c r="CN48" s="825"/>
    </row>
    <row r="49" spans="92:92" ht="15">
      <c r="CN49" s="825"/>
    </row>
    <row r="50" spans="92:92" ht="15">
      <c r="CN50" s="825"/>
    </row>
    <row r="51" spans="92:92" ht="15">
      <c r="CN51" s="825"/>
    </row>
    <row r="52" spans="92:92" ht="15">
      <c r="CN52" s="825"/>
    </row>
    <row r="53" spans="92:92" ht="15">
      <c r="CN53" s="825"/>
    </row>
    <row r="54" spans="92:92" ht="15">
      <c r="CN54" s="825"/>
    </row>
    <row r="55" spans="92:92" ht="15">
      <c r="CN55" s="825"/>
    </row>
    <row r="56" spans="92:92" ht="15">
      <c r="CN56" s="825"/>
    </row>
    <row r="57" spans="92:92" ht="15">
      <c r="CN57" s="825"/>
    </row>
    <row r="58" spans="92:92" ht="15">
      <c r="CN58" s="825"/>
    </row>
    <row r="59" spans="92:92" ht="15">
      <c r="CN59" s="825"/>
    </row>
    <row r="60" spans="92:92" ht="15">
      <c r="CN60" s="825"/>
    </row>
    <row r="61" spans="92:92" ht="15">
      <c r="CN61" s="825"/>
    </row>
    <row r="62" spans="92:92" ht="15">
      <c r="CN62" s="825"/>
    </row>
    <row r="63" spans="92:92" ht="15">
      <c r="CN63" s="825"/>
    </row>
    <row r="64" spans="92:92" ht="15">
      <c r="CN64" s="825"/>
    </row>
    <row r="65" spans="92:92" ht="15">
      <c r="CN65" s="825"/>
    </row>
    <row r="66" spans="92:92" ht="15">
      <c r="CN66" s="825"/>
    </row>
    <row r="67" spans="92:92" ht="15">
      <c r="CN67" s="825"/>
    </row>
    <row r="68" spans="92:92" ht="15">
      <c r="CN68" s="825"/>
    </row>
    <row r="69" spans="92:92" ht="15">
      <c r="CN69" s="825"/>
    </row>
    <row r="70" spans="92:92" ht="15">
      <c r="CN70" s="825"/>
    </row>
    <row r="71" spans="92:92" ht="15">
      <c r="CN71" s="825"/>
    </row>
    <row r="72" spans="92:92" ht="15">
      <c r="CN72" s="825"/>
    </row>
    <row r="73" spans="92:92" ht="15">
      <c r="CN73" s="825"/>
    </row>
    <row r="74" spans="92:92" ht="15">
      <c r="CN74" s="825"/>
    </row>
    <row r="75" spans="92:92" ht="15">
      <c r="CN75" s="825"/>
    </row>
    <row r="76" spans="92:92" ht="15">
      <c r="CN76" s="825"/>
    </row>
    <row r="77" spans="92:92" ht="15">
      <c r="CN77" s="825"/>
    </row>
    <row r="78" spans="92:92" ht="15">
      <c r="CN78" s="825"/>
    </row>
    <row r="79" spans="92:92" ht="15">
      <c r="CN79" s="825"/>
    </row>
    <row r="80" spans="92:92" ht="15">
      <c r="CN80" s="825"/>
    </row>
    <row r="81" spans="92:92" ht="15">
      <c r="CN81" s="825"/>
    </row>
    <row r="82" spans="92:92" ht="15">
      <c r="CN82" s="825"/>
    </row>
    <row r="83" spans="92:92" ht="15">
      <c r="CN83" s="825"/>
    </row>
    <row r="84" spans="92:92" ht="15">
      <c r="CN84" s="825"/>
    </row>
    <row r="85" spans="92:92" ht="15">
      <c r="CN85" s="825"/>
    </row>
    <row r="86" spans="92:92" ht="15">
      <c r="CN86" s="825"/>
    </row>
    <row r="87" spans="92:92" ht="15">
      <c r="CN87" s="825"/>
    </row>
    <row r="88" spans="92:92" ht="15">
      <c r="CN88" s="825"/>
    </row>
    <row r="89" spans="92:92" ht="15">
      <c r="CN89" s="825"/>
    </row>
    <row r="90" spans="92:92" ht="15">
      <c r="CN90" s="825"/>
    </row>
    <row r="91" spans="92:92" ht="15">
      <c r="CN91" s="825"/>
    </row>
    <row r="92" spans="92:92" ht="15">
      <c r="CN92" s="825"/>
    </row>
    <row r="93" spans="92:92" ht="15">
      <c r="CN93" s="825"/>
    </row>
    <row r="94" spans="92:92" ht="15">
      <c r="CN94" s="825"/>
    </row>
    <row r="95" spans="92:92" ht="15">
      <c r="CN95" s="825"/>
    </row>
    <row r="96" spans="92:92" ht="15">
      <c r="CN96" s="825"/>
    </row>
    <row r="97" spans="92:92" ht="15">
      <c r="CN97" s="825"/>
    </row>
    <row r="98" spans="92:92" ht="15">
      <c r="CN98" s="825"/>
    </row>
    <row r="99" spans="92:92" ht="15">
      <c r="CN99" s="825"/>
    </row>
    <row r="100" spans="92:92" ht="15">
      <c r="CN100" s="825"/>
    </row>
    <row r="101" spans="92:92" ht="15">
      <c r="CN101" s="825"/>
    </row>
    <row r="102" spans="92:92" ht="15">
      <c r="CN102" s="825"/>
    </row>
    <row r="103" spans="92:92" ht="15">
      <c r="CN103" s="825"/>
    </row>
    <row r="104" spans="92:92" ht="15">
      <c r="CN104" s="825"/>
    </row>
    <row r="105" spans="92:92" ht="15">
      <c r="CN105" s="825"/>
    </row>
    <row r="106" spans="92:92" ht="15">
      <c r="CN106" s="825"/>
    </row>
    <row r="107" spans="92:92" ht="15">
      <c r="CN107" s="825"/>
    </row>
    <row r="108" spans="92:92" ht="15">
      <c r="CN108" s="825"/>
    </row>
    <row r="109" spans="92:92" ht="15">
      <c r="CN109" s="825"/>
    </row>
    <row r="110" spans="92:92" ht="15">
      <c r="CN110" s="825"/>
    </row>
    <row r="111" spans="92:92" ht="15">
      <c r="CN111" s="825"/>
    </row>
    <row r="112" spans="92:92" ht="15">
      <c r="CN112" s="825"/>
    </row>
    <row r="113" spans="92:92" ht="15">
      <c r="CN113" s="825"/>
    </row>
    <row r="114" spans="92:92" ht="15">
      <c r="CN114" s="825"/>
    </row>
    <row r="115" spans="92:92" ht="15">
      <c r="CN115" s="825"/>
    </row>
    <row r="116" spans="92:92" ht="15">
      <c r="CN116" s="825"/>
    </row>
    <row r="117" spans="92:92" ht="15">
      <c r="CN117" s="825"/>
    </row>
    <row r="118" spans="92:92" ht="15">
      <c r="CN118" s="825"/>
    </row>
    <row r="119" spans="92:92" ht="15">
      <c r="CN119" s="825"/>
    </row>
    <row r="120" spans="92:92" ht="15">
      <c r="CN120" s="825"/>
    </row>
    <row r="121" spans="92:92" ht="15">
      <c r="CN121" s="825"/>
    </row>
    <row r="122" spans="92:92" ht="15">
      <c r="CN122" s="825"/>
    </row>
    <row r="123" spans="92:92" ht="15">
      <c r="CN123" s="825"/>
    </row>
    <row r="124" spans="92:92" ht="15">
      <c r="CN124" s="825"/>
    </row>
    <row r="125" spans="92:92" ht="15">
      <c r="CN125" s="825"/>
    </row>
    <row r="126" spans="92:92" ht="15">
      <c r="CN126" s="825"/>
    </row>
    <row r="127" spans="92:92" ht="15">
      <c r="CN127" s="825"/>
    </row>
    <row r="128" spans="92:92" ht="15">
      <c r="CN128" s="825"/>
    </row>
    <row r="129" spans="92:92" ht="15">
      <c r="CN129" s="825"/>
    </row>
    <row r="130" spans="92:92" ht="15">
      <c r="CN130" s="825"/>
    </row>
    <row r="131" spans="92:92" ht="15">
      <c r="CN131" s="825"/>
    </row>
    <row r="132" spans="92:92" ht="15">
      <c r="CN132" s="825"/>
    </row>
    <row r="133" spans="92:92" ht="15">
      <c r="CN133" s="825"/>
    </row>
    <row r="134" spans="92:92" ht="15">
      <c r="CN134" s="825"/>
    </row>
    <row r="135" spans="92:92" ht="15">
      <c r="CN135" s="825"/>
    </row>
    <row r="136" spans="92:92" ht="15">
      <c r="CN136" s="825"/>
    </row>
    <row r="137" spans="92:92" ht="15">
      <c r="CN137" s="825"/>
    </row>
    <row r="138" spans="92:92" ht="15">
      <c r="CN138" s="825"/>
    </row>
    <row r="139" spans="92:92" ht="15">
      <c r="CN139" s="825"/>
    </row>
    <row r="140" spans="92:92" ht="15">
      <c r="CN140" s="8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6B131-4218-428E-AB97-D47AA83E28FD}">
  <sheetPr codeName="Аркуш2">
    <tabColor rgb="FFFFC000"/>
  </sheetPr>
  <dimension ref="A1:M1202"/>
  <sheetViews>
    <sheetView topLeftCell="A703" zoomScale="130" zoomScaleNormal="130" workbookViewId="0">
      <selection activeCell="C1108" sqref="C1079:C1108"/>
    </sheetView>
  </sheetViews>
  <sheetFormatPr defaultRowHeight="14.25" outlineLevelRow="1"/>
  <cols>
    <col min="1" max="1" width="36.21875" style="1" customWidth="1"/>
    <col min="2" max="2" width="49.6640625" style="1" customWidth="1"/>
    <col min="3" max="3" width="16.44140625" style="1" customWidth="1"/>
    <col min="4" max="4" width="23.44140625" style="1" customWidth="1"/>
    <col min="5" max="5" width="33.88671875" style="1" customWidth="1"/>
    <col min="6" max="6" width="18.44140625" style="1" customWidth="1"/>
    <col min="7" max="7" width="19.21875" style="1" customWidth="1"/>
    <col min="8" max="11" width="8.88671875" style="1"/>
    <col min="12" max="12" width="13.77734375" style="1" bestFit="1" customWidth="1"/>
    <col min="13" max="16384" width="8.88671875" style="1"/>
  </cols>
  <sheetData>
    <row r="1" spans="1:6" ht="39.75" thickBot="1">
      <c r="A1" s="566" t="s">
        <v>9076</v>
      </c>
      <c r="B1" s="566"/>
      <c r="C1" s="566"/>
      <c r="D1" s="566"/>
      <c r="E1" s="566"/>
      <c r="F1" s="566"/>
    </row>
    <row r="2" spans="1:6" ht="15" outlineLevel="1" thickTop="1"/>
    <row r="3" spans="1:6" outlineLevel="1">
      <c r="A3" s="1" t="s">
        <v>9077</v>
      </c>
      <c r="B3" s="1" t="s">
        <v>9078</v>
      </c>
      <c r="C3" s="1" t="s">
        <v>9079</v>
      </c>
      <c r="D3" s="1" t="s">
        <v>9080</v>
      </c>
      <c r="E3" s="1" t="s">
        <v>9081</v>
      </c>
      <c r="F3" s="1" t="s">
        <v>9082</v>
      </c>
    </row>
    <row r="4" spans="1:6" outlineLevel="1">
      <c r="A4" s="1" t="s">
        <v>9083</v>
      </c>
      <c r="B4" s="521">
        <v>1</v>
      </c>
      <c r="C4" s="521">
        <v>0.1</v>
      </c>
      <c r="D4" s="521">
        <v>0.5</v>
      </c>
      <c r="E4" s="521">
        <v>1</v>
      </c>
      <c r="F4" s="521">
        <v>2</v>
      </c>
    </row>
    <row r="5" spans="1:6" outlineLevel="1">
      <c r="A5" s="1" t="s">
        <v>9084</v>
      </c>
      <c r="B5" s="521">
        <v>-0.1</v>
      </c>
      <c r="C5" s="521">
        <v>1</v>
      </c>
      <c r="D5" s="521">
        <v>0.1</v>
      </c>
      <c r="E5" s="521">
        <v>0.5</v>
      </c>
      <c r="F5" s="521">
        <v>1</v>
      </c>
    </row>
    <row r="6" spans="1:6" outlineLevel="1">
      <c r="A6" s="1" t="s">
        <v>9085</v>
      </c>
      <c r="B6" s="521">
        <v>-0.25</v>
      </c>
      <c r="C6" s="521">
        <v>-0.1</v>
      </c>
      <c r="D6" s="521">
        <v>1</v>
      </c>
      <c r="E6" s="521">
        <v>0.1</v>
      </c>
      <c r="F6" s="521">
        <v>0.5</v>
      </c>
    </row>
    <row r="7" spans="1:6" outlineLevel="1">
      <c r="A7" s="1" t="s">
        <v>9086</v>
      </c>
      <c r="B7" s="521">
        <v>-0.4</v>
      </c>
      <c r="C7" s="521">
        <v>-0.25</v>
      </c>
      <c r="D7" s="521">
        <v>-0.1</v>
      </c>
      <c r="E7" s="521">
        <v>1</v>
      </c>
      <c r="F7" s="521">
        <v>0.1</v>
      </c>
    </row>
    <row r="8" spans="1:6" outlineLevel="1">
      <c r="A8" s="1" t="s">
        <v>9087</v>
      </c>
      <c r="B8" s="521">
        <v>-0.75</v>
      </c>
      <c r="C8" s="521">
        <v>-0.4</v>
      </c>
      <c r="D8" s="521">
        <v>-0.25</v>
      </c>
      <c r="E8" s="521">
        <v>-0.1</v>
      </c>
      <c r="F8" s="521">
        <v>1</v>
      </c>
    </row>
    <row r="9" spans="1:6" outlineLevel="1"/>
    <row r="10" spans="1:6" outlineLevel="1">
      <c r="A10" s="1" t="s">
        <v>9088</v>
      </c>
      <c r="B10" s="1" t="s">
        <v>9089</v>
      </c>
      <c r="C10" s="1" t="s">
        <v>9090</v>
      </c>
      <c r="D10" s="1" t="s">
        <v>9091</v>
      </c>
      <c r="E10" s="1" t="s">
        <v>9092</v>
      </c>
      <c r="F10" s="1" t="s">
        <v>9093</v>
      </c>
    </row>
    <row r="11" spans="1:6" outlineLevel="1">
      <c r="A11" s="1" t="s">
        <v>9094</v>
      </c>
      <c r="B11" s="1" t="s">
        <v>9095</v>
      </c>
      <c r="C11" s="1" t="s">
        <v>9096</v>
      </c>
      <c r="D11" s="1" t="s">
        <v>9097</v>
      </c>
      <c r="E11" s="1" t="s">
        <v>9098</v>
      </c>
      <c r="F11" s="1" t="s">
        <v>9099</v>
      </c>
    </row>
    <row r="12" spans="1:6" outlineLevel="1">
      <c r="A12" s="1" t="s">
        <v>9083</v>
      </c>
      <c r="B12" s="1">
        <v>500</v>
      </c>
      <c r="C12" s="1" t="s">
        <v>9100</v>
      </c>
      <c r="D12" s="1" t="s">
        <v>9100</v>
      </c>
      <c r="E12" s="1" t="s">
        <v>9100</v>
      </c>
      <c r="F12" s="1" t="s">
        <v>9100</v>
      </c>
    </row>
    <row r="13" spans="1:6" outlineLevel="1">
      <c r="A13" s="1" t="s">
        <v>9101</v>
      </c>
      <c r="B13" s="1" t="s">
        <v>9100</v>
      </c>
      <c r="C13" s="1">
        <v>5000</v>
      </c>
      <c r="D13" s="1" t="s">
        <v>9100</v>
      </c>
      <c r="E13" s="1" t="s">
        <v>9100</v>
      </c>
      <c r="F13" s="1" t="s">
        <v>9100</v>
      </c>
    </row>
    <row r="14" spans="1:6" outlineLevel="1">
      <c r="A14" s="1" t="s">
        <v>9102</v>
      </c>
      <c r="B14" s="1" t="s">
        <v>9100</v>
      </c>
      <c r="C14" s="1" t="s">
        <v>9100</v>
      </c>
      <c r="D14" s="1">
        <v>15000</v>
      </c>
      <c r="E14" s="1" t="s">
        <v>9100</v>
      </c>
      <c r="F14" s="1" t="s">
        <v>9100</v>
      </c>
    </row>
    <row r="15" spans="1:6" outlineLevel="1">
      <c r="A15" s="1" t="s">
        <v>9103</v>
      </c>
      <c r="B15" s="1" t="s">
        <v>9100</v>
      </c>
      <c r="C15" s="1" t="s">
        <v>9100</v>
      </c>
      <c r="D15" s="1" t="s">
        <v>9100</v>
      </c>
      <c r="E15" s="1">
        <v>25000</v>
      </c>
      <c r="F15" s="1" t="s">
        <v>9100</v>
      </c>
    </row>
    <row r="16" spans="1:6" outlineLevel="1">
      <c r="A16" s="1" t="s">
        <v>9104</v>
      </c>
      <c r="B16" s="1" t="s">
        <v>9100</v>
      </c>
      <c r="C16" s="1" t="s">
        <v>9100</v>
      </c>
      <c r="D16" s="1" t="s">
        <v>9100</v>
      </c>
      <c r="E16" s="1" t="s">
        <v>9100</v>
      </c>
      <c r="F16" s="1">
        <v>50000</v>
      </c>
    </row>
    <row r="17" spans="1:5" outlineLevel="1"/>
    <row r="18" spans="1:5" outlineLevel="1"/>
    <row r="19" spans="1:5" outlineLevel="1">
      <c r="A19" s="1" t="s">
        <v>9105</v>
      </c>
      <c r="B19" s="1" t="s">
        <v>9106</v>
      </c>
    </row>
    <row r="20" spans="1:5" outlineLevel="1">
      <c r="A20" s="1">
        <v>1</v>
      </c>
    </row>
    <row r="21" spans="1:5" outlineLevel="1">
      <c r="A21" s="1">
        <v>2</v>
      </c>
    </row>
    <row r="22" spans="1:5" outlineLevel="1">
      <c r="A22" s="1">
        <v>3</v>
      </c>
    </row>
    <row r="23" spans="1:5" outlineLevel="1">
      <c r="A23" s="1">
        <v>4</v>
      </c>
    </row>
    <row r="24" spans="1:5" outlineLevel="1">
      <c r="A24" s="1">
        <v>5</v>
      </c>
    </row>
    <row r="25" spans="1:5" outlineLevel="1">
      <c r="A25" s="1">
        <v>6</v>
      </c>
    </row>
    <row r="26" spans="1:5" outlineLevel="1"/>
    <row r="27" spans="1:5" outlineLevel="1"/>
    <row r="28" spans="1:5" outlineLevel="1">
      <c r="A28" s="567" t="s">
        <v>9107</v>
      </c>
      <c r="D28" s="1" t="s">
        <v>9108</v>
      </c>
    </row>
    <row r="29" spans="1:5" outlineLevel="1">
      <c r="A29" s="1" t="s">
        <v>9109</v>
      </c>
      <c r="B29" s="1" t="s">
        <v>9110</v>
      </c>
      <c r="D29" s="1" t="s">
        <v>9109</v>
      </c>
      <c r="E29" s="1" t="s">
        <v>9110</v>
      </c>
    </row>
    <row r="30" spans="1:5" outlineLevel="1">
      <c r="A30" s="565" t="s">
        <v>9111</v>
      </c>
      <c r="B30" s="1" t="s">
        <v>9112</v>
      </c>
      <c r="D30" s="23">
        <v>44166</v>
      </c>
      <c r="E30" s="1" t="s">
        <v>9113</v>
      </c>
    </row>
    <row r="31" spans="1:5" outlineLevel="1">
      <c r="A31" s="24">
        <v>43344</v>
      </c>
      <c r="B31" s="1" t="s">
        <v>9114</v>
      </c>
      <c r="D31" s="1" t="s">
        <v>9115</v>
      </c>
      <c r="E31" s="1" t="s">
        <v>9116</v>
      </c>
    </row>
    <row r="32" spans="1:5" outlineLevel="1">
      <c r="A32" s="1" t="s">
        <v>9117</v>
      </c>
      <c r="B32" s="1" t="s">
        <v>9118</v>
      </c>
      <c r="D32" s="1" t="s">
        <v>9119</v>
      </c>
      <c r="E32" s="1" t="s">
        <v>9120</v>
      </c>
    </row>
    <row r="33" spans="1:5" outlineLevel="1">
      <c r="A33" s="1" t="s">
        <v>9121</v>
      </c>
      <c r="B33" s="1" t="s">
        <v>9122</v>
      </c>
      <c r="D33" s="1" t="s">
        <v>8133</v>
      </c>
      <c r="E33" s="1" t="s">
        <v>9123</v>
      </c>
    </row>
    <row r="34" spans="1:5" outlineLevel="1">
      <c r="A34" s="1" t="s">
        <v>9124</v>
      </c>
      <c r="B34" s="1" t="s">
        <v>9125</v>
      </c>
      <c r="D34" s="1" t="s">
        <v>9126</v>
      </c>
      <c r="E34" s="1" t="s">
        <v>9127</v>
      </c>
    </row>
    <row r="35" spans="1:5" outlineLevel="1">
      <c r="A35" s="1" t="s">
        <v>9128</v>
      </c>
      <c r="B35" s="1" t="s">
        <v>9129</v>
      </c>
      <c r="D35" s="1" t="s">
        <v>9130</v>
      </c>
      <c r="E35" s="1" t="s">
        <v>6347</v>
      </c>
    </row>
    <row r="36" spans="1:5" outlineLevel="1">
      <c r="A36" s="1" t="s">
        <v>9131</v>
      </c>
      <c r="B36" s="1" t="s">
        <v>9132</v>
      </c>
      <c r="D36" s="1" t="s">
        <v>9133</v>
      </c>
      <c r="E36" s="1" t="s">
        <v>9134</v>
      </c>
    </row>
    <row r="37" spans="1:5" outlineLevel="1">
      <c r="A37" s="1" t="s">
        <v>9135</v>
      </c>
      <c r="B37" s="1" t="s">
        <v>9136</v>
      </c>
      <c r="D37" s="1" t="s">
        <v>8086</v>
      </c>
      <c r="E37" s="1" t="s">
        <v>9137</v>
      </c>
    </row>
    <row r="38" spans="1:5" outlineLevel="1">
      <c r="B38" s="1" t="s">
        <v>9138</v>
      </c>
      <c r="D38" s="1" t="s">
        <v>9139</v>
      </c>
      <c r="E38" s="1" t="s">
        <v>9140</v>
      </c>
    </row>
    <row r="39" spans="1:5" outlineLevel="1">
      <c r="A39" s="1" t="s">
        <v>9141</v>
      </c>
      <c r="B39" s="1" t="s">
        <v>9142</v>
      </c>
      <c r="D39" s="1" t="s">
        <v>9143</v>
      </c>
      <c r="E39" s="1" t="s">
        <v>9144</v>
      </c>
    </row>
    <row r="40" spans="1:5" outlineLevel="1">
      <c r="A40" s="1" t="s">
        <v>9145</v>
      </c>
      <c r="B40" s="1" t="s">
        <v>9146</v>
      </c>
      <c r="D40" s="1" t="s">
        <v>9147</v>
      </c>
      <c r="E40" s="1" t="s">
        <v>9148</v>
      </c>
    </row>
    <row r="41" spans="1:5" outlineLevel="1">
      <c r="A41" s="1" t="s">
        <v>9149</v>
      </c>
      <c r="B41" s="1" t="s">
        <v>9150</v>
      </c>
      <c r="D41" s="1" t="s">
        <v>9151</v>
      </c>
      <c r="E41" s="1" t="s">
        <v>9152</v>
      </c>
    </row>
    <row r="42" spans="1:5" outlineLevel="1">
      <c r="A42" s="1" t="s">
        <v>9153</v>
      </c>
      <c r="B42" s="1" t="s">
        <v>9154</v>
      </c>
      <c r="D42" s="1" t="s">
        <v>9155</v>
      </c>
      <c r="E42" s="1" t="s">
        <v>9156</v>
      </c>
    </row>
    <row r="43" spans="1:5" outlineLevel="1">
      <c r="B43" s="1" t="s">
        <v>9157</v>
      </c>
      <c r="D43" s="1" t="s">
        <v>9158</v>
      </c>
      <c r="E43" s="1" t="s">
        <v>9159</v>
      </c>
    </row>
    <row r="44" spans="1:5" outlineLevel="1">
      <c r="A44" s="1" t="s">
        <v>9160</v>
      </c>
      <c r="B44" s="1" t="s">
        <v>9161</v>
      </c>
      <c r="D44" s="1" t="s">
        <v>9162</v>
      </c>
      <c r="E44" s="1" t="s">
        <v>9163</v>
      </c>
    </row>
    <row r="45" spans="1:5" outlineLevel="1"/>
    <row r="46" spans="1:5" outlineLevel="1"/>
    <row r="47" spans="1:5" outlineLevel="1"/>
    <row r="48" spans="1:5" outlineLevel="1">
      <c r="A48" s="1330" t="s">
        <v>9164</v>
      </c>
      <c r="B48" s="1330"/>
      <c r="C48" s="1330"/>
      <c r="D48" s="1330"/>
    </row>
    <row r="49" spans="1:13" outlineLevel="1">
      <c r="A49" s="517" t="s">
        <v>9164</v>
      </c>
      <c r="B49" s="568" t="s">
        <v>9165</v>
      </c>
      <c r="C49" s="568" t="s">
        <v>9166</v>
      </c>
      <c r="D49" s="515" t="s">
        <v>8792</v>
      </c>
    </row>
    <row r="50" spans="1:13" outlineLevel="1">
      <c r="A50" s="547" t="s">
        <v>9167</v>
      </c>
      <c r="B50" s="548" t="s">
        <v>9168</v>
      </c>
      <c r="C50" s="569">
        <v>-0.2</v>
      </c>
      <c r="D50" s="550" t="s">
        <v>9169</v>
      </c>
    </row>
    <row r="51" spans="1:13" outlineLevel="1">
      <c r="A51" s="547" t="s">
        <v>9170</v>
      </c>
      <c r="B51" s="548" t="s">
        <v>9168</v>
      </c>
      <c r="C51" s="569">
        <v>-0.1</v>
      </c>
      <c r="D51" s="550" t="s">
        <v>9171</v>
      </c>
    </row>
    <row r="52" spans="1:13" outlineLevel="1">
      <c r="A52" s="547" t="s">
        <v>9172</v>
      </c>
      <c r="B52" s="548" t="s">
        <v>9173</v>
      </c>
      <c r="C52" s="548" t="s">
        <v>9174</v>
      </c>
      <c r="D52" s="550" t="s">
        <v>9175</v>
      </c>
    </row>
    <row r="53" spans="1:13" outlineLevel="1">
      <c r="A53" s="547" t="s">
        <v>9176</v>
      </c>
      <c r="B53" s="548" t="s">
        <v>9177</v>
      </c>
      <c r="C53" s="569">
        <v>0.1</v>
      </c>
      <c r="D53" s="550" t="s">
        <v>9178</v>
      </c>
    </row>
    <row r="54" spans="1:13" outlineLevel="1">
      <c r="A54" s="547" t="s">
        <v>9179</v>
      </c>
      <c r="B54" s="548" t="s">
        <v>9177</v>
      </c>
      <c r="C54" s="569">
        <v>0.2</v>
      </c>
      <c r="D54" s="550" t="s">
        <v>9180</v>
      </c>
    </row>
    <row r="55" spans="1:13" outlineLevel="1">
      <c r="A55" s="547" t="s">
        <v>9181</v>
      </c>
      <c r="B55" s="548" t="s">
        <v>9182</v>
      </c>
      <c r="C55" s="548">
        <f>30%-40%</f>
        <v>-0.10000000000000003</v>
      </c>
      <c r="D55" s="550" t="s">
        <v>9183</v>
      </c>
    </row>
    <row r="56" spans="1:13" outlineLevel="1">
      <c r="A56" s="547" t="s">
        <v>9184</v>
      </c>
      <c r="B56" s="548" t="s">
        <v>9182</v>
      </c>
      <c r="C56" s="569">
        <v>0.5</v>
      </c>
      <c r="D56" s="550" t="s">
        <v>9185</v>
      </c>
    </row>
    <row r="57" spans="1:13" outlineLevel="1">
      <c r="A57" s="519" t="s">
        <v>9186</v>
      </c>
      <c r="B57" s="560" t="s">
        <v>9187</v>
      </c>
      <c r="C57" s="570">
        <v>1</v>
      </c>
      <c r="D57" s="518" t="s">
        <v>9188</v>
      </c>
    </row>
    <row r="58" spans="1:13" outlineLevel="1"/>
    <row r="59" spans="1:13" outlineLevel="1"/>
    <row r="60" spans="1:13" outlineLevel="1">
      <c r="A60" s="1330" t="s">
        <v>9189</v>
      </c>
      <c r="B60" s="1330"/>
      <c r="C60" s="1330"/>
      <c r="D60" s="1330"/>
      <c r="E60" s="1330"/>
      <c r="F60" s="1330"/>
      <c r="G60" s="1330"/>
      <c r="H60" s="1330"/>
    </row>
    <row r="61" spans="1:13" outlineLevel="1">
      <c r="A61" s="1" t="s">
        <v>9190</v>
      </c>
      <c r="B61" s="1" t="s">
        <v>9191</v>
      </c>
      <c r="C61" s="1" t="s">
        <v>9192</v>
      </c>
      <c r="D61" s="1" t="s">
        <v>11898</v>
      </c>
      <c r="E61" s="1" t="s">
        <v>9193</v>
      </c>
      <c r="F61" s="1" t="s">
        <v>9194</v>
      </c>
      <c r="G61" s="1" t="s">
        <v>9195</v>
      </c>
      <c r="H61" s="1" t="s">
        <v>9196</v>
      </c>
      <c r="I61" s="1" t="s">
        <v>9197</v>
      </c>
      <c r="J61" s="1" t="s">
        <v>11902</v>
      </c>
      <c r="K61" s="1" t="s">
        <v>9033</v>
      </c>
      <c r="L61" s="1" t="s">
        <v>4</v>
      </c>
      <c r="M61" s="1" t="s">
        <v>15338</v>
      </c>
    </row>
    <row r="62" spans="1:13" outlineLevel="1">
      <c r="A62" s="1" t="s">
        <v>9198</v>
      </c>
      <c r="B62" s="1">
        <v>20</v>
      </c>
      <c r="C62" s="1">
        <v>80</v>
      </c>
      <c r="D62" s="1">
        <v>0</v>
      </c>
      <c r="E62" s="1">
        <v>40</v>
      </c>
      <c r="F62" s="1">
        <v>100</v>
      </c>
      <c r="G62" s="1">
        <v>100</v>
      </c>
      <c r="H62" s="1">
        <v>1</v>
      </c>
      <c r="I62" s="1" t="s">
        <v>9199</v>
      </c>
      <c r="K62" s="1" t="s">
        <v>9071</v>
      </c>
      <c r="L62" s="821" t="s">
        <v>13885</v>
      </c>
      <c r="M62" s="1">
        <f>(Таблиця109[[#This Row],[POPULATION LOW]]+Таблиця109[[#This Row],[POPULATION HIGH]])/2</f>
        <v>50</v>
      </c>
    </row>
    <row r="63" spans="1:13" outlineLevel="1">
      <c r="A63" s="1" t="s">
        <v>9200</v>
      </c>
      <c r="B63" s="1">
        <v>81</v>
      </c>
      <c r="C63" s="1">
        <v>200</v>
      </c>
      <c r="D63" s="1">
        <f>C62</f>
        <v>80</v>
      </c>
      <c r="E63" s="1">
        <v>100</v>
      </c>
      <c r="F63" s="1">
        <v>200</v>
      </c>
      <c r="G63" s="1">
        <v>200</v>
      </c>
      <c r="H63" s="1">
        <v>1</v>
      </c>
      <c r="I63" s="1" t="s">
        <v>9199</v>
      </c>
      <c r="K63" s="1" t="s">
        <v>1907</v>
      </c>
      <c r="L63" s="821" t="s">
        <v>13892</v>
      </c>
      <c r="M63" s="1">
        <f>(Таблиця109[[#This Row],[POPULATION LOW]]+Таблиця109[[#This Row],[POPULATION HIGH]])/2</f>
        <v>140.5</v>
      </c>
    </row>
    <row r="64" spans="1:13" outlineLevel="1">
      <c r="A64" s="1" t="s">
        <v>1357</v>
      </c>
      <c r="B64" s="1">
        <v>201</v>
      </c>
      <c r="C64" s="1">
        <v>900</v>
      </c>
      <c r="D64" s="1">
        <f t="shared" ref="D64:D69" si="0">C63</f>
        <v>200</v>
      </c>
      <c r="E64" s="1">
        <v>200</v>
      </c>
      <c r="F64" s="1">
        <v>400</v>
      </c>
      <c r="G64" s="1">
        <v>400</v>
      </c>
      <c r="H64" s="1">
        <v>1</v>
      </c>
      <c r="I64" s="1" t="s">
        <v>9199</v>
      </c>
      <c r="K64" s="1" t="s">
        <v>9060</v>
      </c>
      <c r="L64" s="821" t="s">
        <v>13886</v>
      </c>
      <c r="M64" s="1">
        <f>(Таблиця109[[#This Row],[POPULATION LOW]]+Таблиця109[[#This Row],[POPULATION HIGH]])/2</f>
        <v>550.5</v>
      </c>
    </row>
    <row r="65" spans="1:13" outlineLevel="1">
      <c r="A65" s="1" t="s">
        <v>9201</v>
      </c>
      <c r="B65" s="1">
        <f>C64+1</f>
        <v>901</v>
      </c>
      <c r="C65" s="1">
        <v>2000</v>
      </c>
      <c r="D65" s="1">
        <f t="shared" si="0"/>
        <v>900</v>
      </c>
      <c r="E65" s="1">
        <v>800</v>
      </c>
      <c r="F65" s="1">
        <v>1600</v>
      </c>
      <c r="G65" s="1">
        <v>1000</v>
      </c>
      <c r="H65" s="1">
        <v>4</v>
      </c>
      <c r="I65" s="1" t="s">
        <v>9202</v>
      </c>
      <c r="K65" s="1" t="s">
        <v>9060</v>
      </c>
      <c r="L65" s="821" t="s">
        <v>13887</v>
      </c>
      <c r="M65" s="1">
        <f>(Таблиця109[[#This Row],[POPULATION LOW]]+Таблиця109[[#This Row],[POPULATION HIGH]])/2</f>
        <v>1450.5</v>
      </c>
    </row>
    <row r="66" spans="1:13" outlineLevel="1">
      <c r="A66" s="1" t="s">
        <v>9203</v>
      </c>
      <c r="B66" s="1">
        <f>C65+1</f>
        <v>2001</v>
      </c>
      <c r="C66" s="1">
        <v>5000</v>
      </c>
      <c r="D66" s="1">
        <f t="shared" si="0"/>
        <v>2000</v>
      </c>
      <c r="E66" s="1">
        <v>3000</v>
      </c>
      <c r="F66" s="1">
        <v>6000</v>
      </c>
      <c r="G66" s="1">
        <v>3000</v>
      </c>
      <c r="H66" s="1">
        <v>8</v>
      </c>
      <c r="I66" s="1" t="s">
        <v>9204</v>
      </c>
      <c r="K66" s="1" t="s">
        <v>9055</v>
      </c>
      <c r="L66" s="821" t="s">
        <v>13888</v>
      </c>
      <c r="M66" s="1">
        <f>(Таблиця109[[#This Row],[POPULATION LOW]]+Таблиця109[[#This Row],[POPULATION HIGH]])/2</f>
        <v>3500.5</v>
      </c>
    </row>
    <row r="67" spans="1:13" outlineLevel="1">
      <c r="A67" s="1" t="s">
        <v>9205</v>
      </c>
      <c r="B67" s="1">
        <f>C66+1</f>
        <v>5001</v>
      </c>
      <c r="C67" s="1">
        <v>12000</v>
      </c>
      <c r="D67" s="1">
        <f t="shared" si="0"/>
        <v>5000</v>
      </c>
      <c r="E67" s="1">
        <v>15000</v>
      </c>
      <c r="F67" s="1">
        <v>30000</v>
      </c>
      <c r="G67" s="1">
        <v>10000</v>
      </c>
      <c r="H67" s="1">
        <v>12</v>
      </c>
      <c r="I67" s="1" t="s">
        <v>9206</v>
      </c>
      <c r="K67" s="1" t="s">
        <v>9055</v>
      </c>
      <c r="L67" s="821" t="s">
        <v>13889</v>
      </c>
      <c r="M67" s="1">
        <f>(Таблиця109[[#This Row],[POPULATION LOW]]+Таблиця109[[#This Row],[POPULATION HIGH]])/2</f>
        <v>8500.5</v>
      </c>
    </row>
    <row r="68" spans="1:13" outlineLevel="1">
      <c r="A68" s="1" t="s">
        <v>9207</v>
      </c>
      <c r="B68" s="1">
        <f>C67+1</f>
        <v>12001</v>
      </c>
      <c r="C68" s="1">
        <v>25000</v>
      </c>
      <c r="D68" s="1">
        <f t="shared" si="0"/>
        <v>12000</v>
      </c>
      <c r="E68" s="1">
        <v>40000</v>
      </c>
      <c r="F68" s="1">
        <v>80000</v>
      </c>
      <c r="G68" s="1">
        <v>20000</v>
      </c>
      <c r="H68" s="1">
        <v>15</v>
      </c>
      <c r="I68" s="1" t="s">
        <v>9208</v>
      </c>
      <c r="K68" s="1" t="s">
        <v>9049</v>
      </c>
      <c r="L68" s="821" t="s">
        <v>13890</v>
      </c>
      <c r="M68" s="1">
        <f>(Таблиця109[[#This Row],[POPULATION LOW]]+Таблиця109[[#This Row],[POPULATION HIGH]])/2</f>
        <v>18500.5</v>
      </c>
    </row>
    <row r="69" spans="1:13" outlineLevel="1">
      <c r="A69" s="1" t="s">
        <v>9209</v>
      </c>
      <c r="B69" s="1">
        <f>C68+1</f>
        <v>25001</v>
      </c>
      <c r="C69" s="1">
        <v>1000000</v>
      </c>
      <c r="D69" s="1">
        <f t="shared" si="0"/>
        <v>25000</v>
      </c>
      <c r="E69" s="1">
        <v>100000</v>
      </c>
      <c r="F69" s="1">
        <v>200000</v>
      </c>
      <c r="G69" s="1">
        <v>50000</v>
      </c>
      <c r="H69" s="1">
        <v>18</v>
      </c>
      <c r="I69" s="571" t="s">
        <v>9210</v>
      </c>
      <c r="K69" s="1" t="s">
        <v>9042</v>
      </c>
      <c r="L69" s="821" t="s">
        <v>13891</v>
      </c>
      <c r="M69" s="1">
        <v>50000</v>
      </c>
    </row>
    <row r="70" spans="1:13" outlineLevel="1"/>
    <row r="71" spans="1:13" outlineLevel="1"/>
    <row r="72" spans="1:13" outlineLevel="1"/>
    <row r="73" spans="1:13" outlineLevel="1"/>
    <row r="74" spans="1:13" outlineLevel="1">
      <c r="A74" s="1" t="s">
        <v>9211</v>
      </c>
    </row>
    <row r="75" spans="1:13" outlineLevel="1">
      <c r="A75" s="1" t="s">
        <v>9033</v>
      </c>
      <c r="B75" s="1" t="s">
        <v>9034</v>
      </c>
      <c r="C75" s="1" t="s">
        <v>9035</v>
      </c>
      <c r="D75" s="1" t="s">
        <v>9036</v>
      </c>
      <c r="E75" s="1" t="s">
        <v>9037</v>
      </c>
      <c r="F75" s="1" t="s">
        <v>9038</v>
      </c>
      <c r="G75" s="1" t="s">
        <v>9039</v>
      </c>
    </row>
    <row r="76" spans="1:13" outlineLevel="1">
      <c r="A76" s="1" t="s">
        <v>9042</v>
      </c>
      <c r="B76" s="1" t="s">
        <v>9043</v>
      </c>
      <c r="C76" s="1" t="s">
        <v>9044</v>
      </c>
      <c r="D76" s="1" t="s">
        <v>9045</v>
      </c>
      <c r="E76" s="1" t="s">
        <v>9046</v>
      </c>
      <c r="F76" s="1" t="s">
        <v>9044</v>
      </c>
      <c r="G76" s="1" t="s">
        <v>9045</v>
      </c>
    </row>
    <row r="77" spans="1:13" outlineLevel="1">
      <c r="A77" s="1" t="s">
        <v>9049</v>
      </c>
      <c r="B77" s="1" t="s">
        <v>9050</v>
      </c>
      <c r="C77" s="1" t="s">
        <v>9046</v>
      </c>
      <c r="D77" s="1" t="s">
        <v>9051</v>
      </c>
      <c r="E77" s="1" t="s">
        <v>9052</v>
      </c>
      <c r="F77" s="1" t="s">
        <v>9046</v>
      </c>
      <c r="G77" s="1" t="s">
        <v>9051</v>
      </c>
    </row>
    <row r="78" spans="1:13" outlineLevel="1">
      <c r="A78" s="1" t="s">
        <v>9055</v>
      </c>
      <c r="B78" s="1" t="s">
        <v>9056</v>
      </c>
      <c r="C78" s="1" t="s">
        <v>9052</v>
      </c>
      <c r="D78" s="1" t="s">
        <v>9057</v>
      </c>
      <c r="E78" s="1" t="s">
        <v>5815</v>
      </c>
      <c r="F78" s="1" t="s">
        <v>9052</v>
      </c>
      <c r="G78" s="1" t="s">
        <v>9057</v>
      </c>
    </row>
    <row r="79" spans="1:13" outlineLevel="1">
      <c r="A79" s="1" t="s">
        <v>9060</v>
      </c>
      <c r="B79" s="1" t="s">
        <v>9061</v>
      </c>
      <c r="C79" s="1" t="s">
        <v>5815</v>
      </c>
      <c r="D79" s="1" t="s">
        <v>9062</v>
      </c>
      <c r="E79" s="1" t="s">
        <v>9063</v>
      </c>
      <c r="F79" s="1" t="s">
        <v>5815</v>
      </c>
      <c r="G79" s="1" t="s">
        <v>9062</v>
      </c>
    </row>
    <row r="80" spans="1:13" outlineLevel="1">
      <c r="A80" s="1" t="s">
        <v>1907</v>
      </c>
      <c r="B80" s="1" t="s">
        <v>9066</v>
      </c>
      <c r="C80" s="1" t="s">
        <v>9063</v>
      </c>
      <c r="D80" s="1" t="s">
        <v>9067</v>
      </c>
      <c r="E80" s="1" t="s">
        <v>9068</v>
      </c>
      <c r="F80" s="1" t="s">
        <v>9063</v>
      </c>
      <c r="G80" s="1" t="s">
        <v>9067</v>
      </c>
    </row>
    <row r="81" spans="1:7" outlineLevel="1">
      <c r="A81" s="1" t="s">
        <v>9071</v>
      </c>
      <c r="B81" s="1" t="s">
        <v>9072</v>
      </c>
      <c r="C81" s="1" t="s">
        <v>9068</v>
      </c>
      <c r="D81" s="1" t="s">
        <v>9073</v>
      </c>
      <c r="E81" s="1" t="s">
        <v>9074</v>
      </c>
      <c r="F81" s="1" t="s">
        <v>9068</v>
      </c>
      <c r="G81" s="1" t="s">
        <v>9073</v>
      </c>
    </row>
    <row r="82" spans="1:7" outlineLevel="1"/>
    <row r="83" spans="1:7" outlineLevel="1"/>
    <row r="84" spans="1:7" outlineLevel="1">
      <c r="A84" s="1" t="s">
        <v>9212</v>
      </c>
      <c r="B84" s="1" t="s">
        <v>9213</v>
      </c>
      <c r="C84" s="1" t="s">
        <v>9214</v>
      </c>
      <c r="D84" s="1" t="s">
        <v>9215</v>
      </c>
      <c r="E84" s="1" t="s">
        <v>9216</v>
      </c>
      <c r="F84" s="1" t="s">
        <v>9217</v>
      </c>
      <c r="G84" s="1" t="s">
        <v>9218</v>
      </c>
    </row>
    <row r="85" spans="1:7" outlineLevel="1">
      <c r="A85" s="1" t="s">
        <v>9219</v>
      </c>
      <c r="B85" s="1">
        <v>10000</v>
      </c>
      <c r="C85" s="1" t="s">
        <v>9220</v>
      </c>
      <c r="D85" s="1" t="s">
        <v>9221</v>
      </c>
      <c r="E85" s="1" t="s">
        <v>9222</v>
      </c>
      <c r="F85" s="1">
        <v>325</v>
      </c>
      <c r="G85" s="1">
        <v>875</v>
      </c>
    </row>
    <row r="86" spans="1:7" outlineLevel="1">
      <c r="A86" s="1" t="s">
        <v>9223</v>
      </c>
      <c r="B86" s="1">
        <v>20000</v>
      </c>
      <c r="C86" s="1" t="s">
        <v>9224</v>
      </c>
      <c r="D86" s="1" t="s">
        <v>9225</v>
      </c>
      <c r="E86" s="1" t="s">
        <v>9226</v>
      </c>
      <c r="F86" s="1">
        <v>525</v>
      </c>
      <c r="G86" s="1">
        <v>2600</v>
      </c>
    </row>
    <row r="87" spans="1:7" outlineLevel="1">
      <c r="A87" s="1" t="s">
        <v>9227</v>
      </c>
      <c r="B87" s="1">
        <v>3600</v>
      </c>
      <c r="C87" s="1" t="s">
        <v>9228</v>
      </c>
      <c r="D87" s="1" t="s">
        <v>9229</v>
      </c>
      <c r="E87" s="1" t="s">
        <v>9230</v>
      </c>
      <c r="F87" s="1">
        <v>515</v>
      </c>
      <c r="G87" s="1">
        <v>120</v>
      </c>
    </row>
    <row r="88" spans="1:7" outlineLevel="1">
      <c r="A88" s="1" t="s">
        <v>9231</v>
      </c>
      <c r="B88" s="1">
        <v>7200</v>
      </c>
      <c r="C88" s="1" t="s">
        <v>9232</v>
      </c>
      <c r="D88" s="1" t="s">
        <v>9233</v>
      </c>
      <c r="E88" s="1" t="s">
        <v>9234</v>
      </c>
      <c r="F88" s="1">
        <v>825</v>
      </c>
      <c r="G88" s="1">
        <v>600</v>
      </c>
    </row>
    <row r="89" spans="1:7" outlineLevel="1">
      <c r="A89" s="1" t="s">
        <v>9235</v>
      </c>
      <c r="B89" s="1">
        <v>10800</v>
      </c>
      <c r="C89" s="1" t="s">
        <v>9236</v>
      </c>
      <c r="D89" s="1" t="s">
        <v>9237</v>
      </c>
      <c r="E89" s="1" t="s">
        <v>9238</v>
      </c>
      <c r="F89" s="1">
        <v>1150</v>
      </c>
      <c r="G89" s="1">
        <v>1050</v>
      </c>
    </row>
    <row r="90" spans="1:7" outlineLevel="1">
      <c r="A90" s="1" t="s">
        <v>9239</v>
      </c>
      <c r="B90" s="1">
        <v>14500</v>
      </c>
      <c r="C90" s="1" t="s">
        <v>9240</v>
      </c>
      <c r="D90" s="1" t="s">
        <v>9241</v>
      </c>
      <c r="E90" s="1" t="s">
        <v>9242</v>
      </c>
      <c r="F90" s="1">
        <v>1450</v>
      </c>
      <c r="G90" s="1">
        <v>1475</v>
      </c>
    </row>
    <row r="91" spans="1:7" outlineLevel="1"/>
    <row r="92" spans="1:7" outlineLevel="1">
      <c r="A92" s="565" t="s">
        <v>9243</v>
      </c>
      <c r="B92" s="565"/>
      <c r="C92" s="565"/>
      <c r="D92" s="565"/>
      <c r="E92" s="565"/>
    </row>
    <row r="93" spans="1:7" outlineLevel="1">
      <c r="A93" s="565" t="s">
        <v>7557</v>
      </c>
      <c r="B93" s="565" t="s">
        <v>9244</v>
      </c>
      <c r="C93" s="565" t="s">
        <v>9245</v>
      </c>
      <c r="D93" s="565" t="s">
        <v>9246</v>
      </c>
      <c r="E93" s="565" t="s">
        <v>9247</v>
      </c>
    </row>
    <row r="94" spans="1:7" outlineLevel="1">
      <c r="A94" s="565" t="s">
        <v>9248</v>
      </c>
      <c r="B94" s="565" t="s">
        <v>9249</v>
      </c>
      <c r="C94" s="565" t="s">
        <v>9250</v>
      </c>
      <c r="D94" s="565" t="s">
        <v>8444</v>
      </c>
      <c r="E94" s="565" t="s">
        <v>8374</v>
      </c>
    </row>
    <row r="95" spans="1:7" outlineLevel="1">
      <c r="A95" s="565" t="s">
        <v>9251</v>
      </c>
      <c r="B95" s="565" t="s">
        <v>9252</v>
      </c>
      <c r="C95" s="565" t="s">
        <v>9253</v>
      </c>
      <c r="D95" s="565" t="s">
        <v>8444</v>
      </c>
      <c r="E95" s="565" t="s">
        <v>8414</v>
      </c>
    </row>
    <row r="96" spans="1:7" outlineLevel="1">
      <c r="A96" s="565" t="s">
        <v>9254</v>
      </c>
      <c r="B96" s="565" t="s">
        <v>9255</v>
      </c>
      <c r="C96" s="565" t="s">
        <v>9256</v>
      </c>
      <c r="D96" s="565" t="s">
        <v>8444</v>
      </c>
      <c r="E96" s="565" t="s">
        <v>8414</v>
      </c>
    </row>
    <row r="97" spans="1:5" outlineLevel="1">
      <c r="A97" s="565" t="s">
        <v>9115</v>
      </c>
      <c r="B97" s="565" t="s">
        <v>9257</v>
      </c>
      <c r="C97" s="565" t="s">
        <v>9258</v>
      </c>
      <c r="D97" s="565" t="s">
        <v>9259</v>
      </c>
      <c r="E97" s="565" t="s">
        <v>9259</v>
      </c>
    </row>
    <row r="98" spans="1:5" outlineLevel="1">
      <c r="A98" s="565" t="s">
        <v>9119</v>
      </c>
      <c r="B98" s="565" t="s">
        <v>9260</v>
      </c>
      <c r="C98" s="565" t="s">
        <v>9261</v>
      </c>
      <c r="D98" s="565" t="s">
        <v>8444</v>
      </c>
      <c r="E98" s="565" t="s">
        <v>8464</v>
      </c>
    </row>
    <row r="99" spans="1:5" outlineLevel="1">
      <c r="A99" s="565" t="s">
        <v>9262</v>
      </c>
      <c r="B99" s="565" t="s">
        <v>9263</v>
      </c>
      <c r="C99" s="565" t="s">
        <v>9253</v>
      </c>
      <c r="D99" s="565" t="s">
        <v>8444</v>
      </c>
      <c r="E99" s="565" t="s">
        <v>8464</v>
      </c>
    </row>
    <row r="100" spans="1:5" outlineLevel="1">
      <c r="A100" s="565" t="s">
        <v>9264</v>
      </c>
      <c r="B100" s="565" t="s">
        <v>9265</v>
      </c>
      <c r="C100" s="565" t="s">
        <v>9266</v>
      </c>
      <c r="D100" s="565" t="s">
        <v>8394</v>
      </c>
      <c r="E100" s="565" t="s">
        <v>8464</v>
      </c>
    </row>
    <row r="101" spans="1:5" outlineLevel="1">
      <c r="A101" s="565" t="s">
        <v>9267</v>
      </c>
      <c r="B101" s="565" t="s">
        <v>9268</v>
      </c>
      <c r="C101" s="565" t="s">
        <v>9269</v>
      </c>
      <c r="D101" s="565" t="s">
        <v>8384</v>
      </c>
      <c r="E101" s="565" t="s">
        <v>8464</v>
      </c>
    </row>
    <row r="102" spans="1:5" outlineLevel="1">
      <c r="A102" s="565" t="s">
        <v>9270</v>
      </c>
      <c r="B102" s="565" t="s">
        <v>9271</v>
      </c>
      <c r="C102" s="565" t="s">
        <v>9272</v>
      </c>
      <c r="D102" s="565" t="s">
        <v>8394</v>
      </c>
      <c r="E102" s="565" t="s">
        <v>9273</v>
      </c>
    </row>
    <row r="103" spans="1:5" outlineLevel="1">
      <c r="A103" s="565" t="s">
        <v>9274</v>
      </c>
      <c r="B103" s="565" t="s">
        <v>9275</v>
      </c>
      <c r="C103" s="565" t="s">
        <v>9276</v>
      </c>
      <c r="D103" s="565" t="s">
        <v>8374</v>
      </c>
      <c r="E103" s="565" t="s">
        <v>9273</v>
      </c>
    </row>
    <row r="104" spans="1:5" outlineLevel="1">
      <c r="A104" s="565" t="s">
        <v>9277</v>
      </c>
      <c r="B104" s="565" t="s">
        <v>9278</v>
      </c>
      <c r="C104" s="565" t="s">
        <v>9279</v>
      </c>
      <c r="D104" s="565" t="s">
        <v>8464</v>
      </c>
      <c r="E104" s="565" t="s">
        <v>9280</v>
      </c>
    </row>
    <row r="105" spans="1:5" outlineLevel="1">
      <c r="A105" s="565" t="s">
        <v>9281</v>
      </c>
      <c r="B105" s="565" t="s">
        <v>9282</v>
      </c>
      <c r="C105" s="565" t="s">
        <v>9253</v>
      </c>
      <c r="D105" s="565" t="s">
        <v>8444</v>
      </c>
      <c r="E105" s="565" t="s">
        <v>9280</v>
      </c>
    </row>
    <row r="106" spans="1:5" outlineLevel="1">
      <c r="A106" s="565" t="s">
        <v>9283</v>
      </c>
      <c r="B106" s="565" t="s">
        <v>9284</v>
      </c>
      <c r="C106" s="565" t="s">
        <v>9285</v>
      </c>
      <c r="D106" s="565" t="s">
        <v>8444</v>
      </c>
      <c r="E106" s="565" t="s">
        <v>9280</v>
      </c>
    </row>
    <row r="107" spans="1:5" outlineLevel="1">
      <c r="A107" s="565" t="s">
        <v>9286</v>
      </c>
      <c r="B107" s="565" t="s">
        <v>9287</v>
      </c>
      <c r="C107" s="565" t="s">
        <v>9288</v>
      </c>
      <c r="D107" s="565" t="s">
        <v>8380</v>
      </c>
      <c r="E107" s="565" t="s">
        <v>9280</v>
      </c>
    </row>
    <row r="108" spans="1:5" outlineLevel="1">
      <c r="A108" s="565" t="s">
        <v>9289</v>
      </c>
      <c r="B108" s="565" t="s">
        <v>9290</v>
      </c>
      <c r="C108" s="565" t="s">
        <v>9291</v>
      </c>
      <c r="D108" s="565" t="s">
        <v>8374</v>
      </c>
      <c r="E108" s="565" t="s">
        <v>9280</v>
      </c>
    </row>
    <row r="109" spans="1:5" outlineLevel="1">
      <c r="A109" s="565" t="s">
        <v>9292</v>
      </c>
      <c r="B109" s="565" t="s">
        <v>5785</v>
      </c>
      <c r="C109" s="565" t="s">
        <v>9293</v>
      </c>
      <c r="D109" s="565" t="s">
        <v>8374</v>
      </c>
      <c r="E109" s="565" t="s">
        <v>9280</v>
      </c>
    </row>
    <row r="110" spans="1:5" outlineLevel="1">
      <c r="A110" s="565" t="s">
        <v>9294</v>
      </c>
      <c r="B110" s="565" t="s">
        <v>9295</v>
      </c>
      <c r="C110" s="565" t="s">
        <v>9293</v>
      </c>
      <c r="D110" s="565" t="s">
        <v>8374</v>
      </c>
      <c r="E110" s="565" t="s">
        <v>9296</v>
      </c>
    </row>
    <row r="111" spans="1:5" outlineLevel="1">
      <c r="A111" s="565" t="s">
        <v>9297</v>
      </c>
      <c r="B111" s="565" t="s">
        <v>9298</v>
      </c>
      <c r="C111" s="565" t="s">
        <v>9266</v>
      </c>
      <c r="D111" s="565" t="s">
        <v>8389</v>
      </c>
      <c r="E111" s="565" t="s">
        <v>9299</v>
      </c>
    </row>
    <row r="112" spans="1:5" outlineLevel="1">
      <c r="A112" s="565" t="s">
        <v>9300</v>
      </c>
      <c r="B112" s="565" t="s">
        <v>9301</v>
      </c>
      <c r="C112" s="565" t="s">
        <v>9291</v>
      </c>
      <c r="D112" s="565" t="s">
        <v>8374</v>
      </c>
      <c r="E112" s="565" t="s">
        <v>9302</v>
      </c>
    </row>
    <row r="113" spans="1:5" outlineLevel="1">
      <c r="A113" s="565" t="s">
        <v>9303</v>
      </c>
      <c r="B113" s="565" t="s">
        <v>9304</v>
      </c>
      <c r="C113" s="565" t="s">
        <v>9305</v>
      </c>
      <c r="D113" s="565" t="s">
        <v>9259</v>
      </c>
      <c r="E113" s="565" t="s">
        <v>9259</v>
      </c>
    </row>
    <row r="114" spans="1:5" outlineLevel="1">
      <c r="A114" s="565" t="s">
        <v>9306</v>
      </c>
      <c r="B114" s="565" t="s">
        <v>9307</v>
      </c>
      <c r="C114" s="565"/>
      <c r="D114" s="565"/>
      <c r="E114" s="565"/>
    </row>
    <row r="115" spans="1:5" outlineLevel="1"/>
    <row r="116" spans="1:5" outlineLevel="1"/>
    <row r="117" spans="1:5" outlineLevel="1">
      <c r="B117" s="565"/>
      <c r="C117" s="565"/>
      <c r="D117" s="565"/>
      <c r="E117" s="565"/>
    </row>
    <row r="118" spans="1:5" outlineLevel="1">
      <c r="A118" s="565" t="s">
        <v>9308</v>
      </c>
      <c r="B118" s="565"/>
      <c r="C118" s="565"/>
      <c r="D118" s="565"/>
      <c r="E118" s="565"/>
    </row>
    <row r="119" spans="1:5" outlineLevel="1">
      <c r="A119" s="565" t="s">
        <v>7557</v>
      </c>
      <c r="B119" s="565" t="s">
        <v>9244</v>
      </c>
      <c r="C119" s="565" t="s">
        <v>9245</v>
      </c>
      <c r="D119" s="565" t="s">
        <v>9246</v>
      </c>
      <c r="E119" s="565" t="s">
        <v>9247</v>
      </c>
    </row>
    <row r="120" spans="1:5" outlineLevel="1">
      <c r="A120" s="565" t="s">
        <v>9309</v>
      </c>
      <c r="B120" s="565" t="s">
        <v>9310</v>
      </c>
      <c r="C120" s="565" t="s">
        <v>9293</v>
      </c>
      <c r="D120" s="565" t="s">
        <v>8369</v>
      </c>
      <c r="E120" s="565" t="s">
        <v>9311</v>
      </c>
    </row>
    <row r="121" spans="1:5" outlineLevel="1">
      <c r="A121" s="565" t="s">
        <v>9312</v>
      </c>
      <c r="B121" s="565" t="s">
        <v>9313</v>
      </c>
      <c r="C121" s="565" t="s">
        <v>9314</v>
      </c>
      <c r="D121" s="565" t="s">
        <v>8380</v>
      </c>
      <c r="E121" s="565" t="s">
        <v>9315</v>
      </c>
    </row>
    <row r="122" spans="1:5" outlineLevel="1">
      <c r="A122" s="565" t="s">
        <v>9316</v>
      </c>
      <c r="B122" s="565" t="s">
        <v>9317</v>
      </c>
      <c r="C122" s="565" t="s">
        <v>9318</v>
      </c>
      <c r="D122" s="565" t="s">
        <v>8369</v>
      </c>
      <c r="E122" s="565" t="s">
        <v>9315</v>
      </c>
    </row>
    <row r="123" spans="1:5" outlineLevel="1">
      <c r="A123" s="565" t="s">
        <v>9319</v>
      </c>
      <c r="B123" s="565" t="s">
        <v>9320</v>
      </c>
      <c r="C123" s="565" t="s">
        <v>9321</v>
      </c>
      <c r="D123" s="565" t="s">
        <v>8368</v>
      </c>
      <c r="E123" s="565" t="s">
        <v>9322</v>
      </c>
    </row>
    <row r="124" spans="1:5" outlineLevel="1">
      <c r="A124" s="565" t="s">
        <v>9323</v>
      </c>
      <c r="B124" s="565" t="s">
        <v>6347</v>
      </c>
      <c r="C124" s="565" t="s">
        <v>9324</v>
      </c>
      <c r="D124" s="565" t="s">
        <v>8372</v>
      </c>
      <c r="E124" s="565" t="s">
        <v>9325</v>
      </c>
    </row>
    <row r="125" spans="1:5" outlineLevel="1">
      <c r="A125" s="565" t="s">
        <v>9326</v>
      </c>
      <c r="B125" s="565" t="s">
        <v>8756</v>
      </c>
      <c r="C125" s="565" t="s">
        <v>9327</v>
      </c>
      <c r="D125" s="565" t="s">
        <v>7698</v>
      </c>
      <c r="E125" s="565" t="s">
        <v>9325</v>
      </c>
    </row>
    <row r="126" spans="1:5" outlineLevel="1">
      <c r="A126" s="565" t="s">
        <v>9328</v>
      </c>
      <c r="B126" s="565" t="s">
        <v>9329</v>
      </c>
      <c r="C126" s="565" t="s">
        <v>9291</v>
      </c>
      <c r="D126" s="565" t="s">
        <v>8374</v>
      </c>
      <c r="E126" s="565" t="s">
        <v>9330</v>
      </c>
    </row>
    <row r="127" spans="1:5" outlineLevel="1">
      <c r="A127" s="565" t="s">
        <v>9331</v>
      </c>
      <c r="B127" s="565" t="s">
        <v>9332</v>
      </c>
      <c r="C127" s="565" t="s">
        <v>9333</v>
      </c>
      <c r="D127" s="565" t="s">
        <v>8367</v>
      </c>
      <c r="E127" s="565" t="s">
        <v>9330</v>
      </c>
    </row>
    <row r="128" spans="1:5" outlineLevel="1">
      <c r="A128" s="565" t="s">
        <v>9334</v>
      </c>
      <c r="B128" s="565" t="s">
        <v>9335</v>
      </c>
      <c r="C128" s="565" t="s">
        <v>9336</v>
      </c>
      <c r="D128" s="565" t="s">
        <v>8384</v>
      </c>
      <c r="E128" s="565" t="s">
        <v>9337</v>
      </c>
    </row>
    <row r="129" spans="1:6" outlineLevel="1">
      <c r="A129" s="565" t="s">
        <v>9338</v>
      </c>
      <c r="B129" s="565" t="s">
        <v>9339</v>
      </c>
      <c r="C129" s="565" t="s">
        <v>9333</v>
      </c>
      <c r="D129" s="565" t="s">
        <v>7698</v>
      </c>
      <c r="E129" s="565" t="s">
        <v>9330</v>
      </c>
    </row>
    <row r="130" spans="1:6" outlineLevel="1">
      <c r="A130" s="565" t="s">
        <v>9340</v>
      </c>
      <c r="B130" s="565" t="s">
        <v>9341</v>
      </c>
      <c r="C130" s="565" t="s">
        <v>9333</v>
      </c>
      <c r="D130" s="565" t="s">
        <v>7698</v>
      </c>
      <c r="E130" s="565" t="s">
        <v>9342</v>
      </c>
    </row>
    <row r="131" spans="1:6" outlineLevel="1"/>
    <row r="132" spans="1:6" outlineLevel="1"/>
    <row r="133" spans="1:6" outlineLevel="1">
      <c r="A133" s="1" t="s">
        <v>9257</v>
      </c>
    </row>
    <row r="134" spans="1:6" outlineLevel="1">
      <c r="A134" s="565" t="s">
        <v>7557</v>
      </c>
      <c r="B134" s="565" t="s">
        <v>9343</v>
      </c>
      <c r="C134" s="565" t="s">
        <v>9344</v>
      </c>
      <c r="D134" s="565" t="s">
        <v>9345</v>
      </c>
      <c r="E134" s="565" t="s">
        <v>9346</v>
      </c>
      <c r="F134" s="565" t="s">
        <v>9347</v>
      </c>
    </row>
    <row r="135" spans="1:6" outlineLevel="1">
      <c r="A135" s="565" t="s">
        <v>7698</v>
      </c>
      <c r="B135" s="565" t="s">
        <v>9348</v>
      </c>
      <c r="C135" s="565" t="s">
        <v>9349</v>
      </c>
      <c r="D135" s="565" t="s">
        <v>9350</v>
      </c>
      <c r="E135" s="565" t="s">
        <v>9351</v>
      </c>
      <c r="F135" s="565" t="s">
        <v>8424</v>
      </c>
    </row>
    <row r="136" spans="1:6" outlineLevel="1">
      <c r="A136" s="565" t="s">
        <v>8366</v>
      </c>
      <c r="B136" s="565" t="s">
        <v>9352</v>
      </c>
      <c r="C136" s="565" t="s">
        <v>8370</v>
      </c>
      <c r="D136" s="565" t="s">
        <v>9353</v>
      </c>
      <c r="E136" s="565" t="s">
        <v>9351</v>
      </c>
      <c r="F136" s="565" t="s">
        <v>8424</v>
      </c>
    </row>
    <row r="137" spans="1:6" outlineLevel="1">
      <c r="A137" s="565" t="s">
        <v>8367</v>
      </c>
      <c r="B137" s="565" t="s">
        <v>9354</v>
      </c>
      <c r="C137" s="565" t="s">
        <v>8376</v>
      </c>
      <c r="D137" s="565" t="s">
        <v>9355</v>
      </c>
      <c r="E137" s="565" t="s">
        <v>9351</v>
      </c>
      <c r="F137" s="565" t="s">
        <v>8424</v>
      </c>
    </row>
    <row r="138" spans="1:6" outlineLevel="1">
      <c r="A138" s="565" t="s">
        <v>8368</v>
      </c>
      <c r="B138" s="565" t="s">
        <v>9356</v>
      </c>
      <c r="C138" s="565" t="s">
        <v>8414</v>
      </c>
      <c r="D138" s="565" t="s">
        <v>9357</v>
      </c>
      <c r="E138" s="565" t="s">
        <v>9351</v>
      </c>
      <c r="F138" s="565" t="s">
        <v>8414</v>
      </c>
    </row>
    <row r="139" spans="1:6" outlineLevel="1">
      <c r="A139" s="565" t="s">
        <v>9358</v>
      </c>
      <c r="B139" s="565" t="s">
        <v>9359</v>
      </c>
      <c r="C139" s="565" t="s">
        <v>9273</v>
      </c>
      <c r="D139" s="565" t="s">
        <v>9360</v>
      </c>
      <c r="E139" s="565" t="s">
        <v>9351</v>
      </c>
      <c r="F139" s="565" t="s">
        <v>8444</v>
      </c>
    </row>
    <row r="140" spans="1:6" outlineLevel="1">
      <c r="A140" s="565" t="s">
        <v>8371</v>
      </c>
      <c r="B140" s="565" t="s">
        <v>2704</v>
      </c>
      <c r="C140" s="565" t="s">
        <v>9280</v>
      </c>
      <c r="D140" s="565" t="s">
        <v>9361</v>
      </c>
      <c r="E140" s="565" t="s">
        <v>9362</v>
      </c>
      <c r="F140" s="565" t="s">
        <v>9315</v>
      </c>
    </row>
    <row r="141" spans="1:6" outlineLevel="1">
      <c r="A141" s="565" t="s">
        <v>8372</v>
      </c>
      <c r="B141" s="565" t="s">
        <v>4697</v>
      </c>
      <c r="C141" s="565" t="s">
        <v>9330</v>
      </c>
      <c r="D141" s="565" t="s">
        <v>9363</v>
      </c>
      <c r="E141" s="565" t="s">
        <v>9364</v>
      </c>
      <c r="F141" s="565" t="s">
        <v>9365</v>
      </c>
    </row>
    <row r="142" spans="1:6" outlineLevel="1"/>
    <row r="143" spans="1:6" ht="39.75" thickBot="1">
      <c r="A143" s="566" t="s">
        <v>9366</v>
      </c>
    </row>
    <row r="144" spans="1:6" ht="15" outlineLevel="1" thickTop="1"/>
    <row r="145" spans="1:3" outlineLevel="1">
      <c r="A145" s="1" t="s">
        <v>9367</v>
      </c>
      <c r="B145" s="1" t="s">
        <v>9368</v>
      </c>
      <c r="C145" s="1" t="s">
        <v>9369</v>
      </c>
    </row>
    <row r="146" spans="1:3" outlineLevel="1">
      <c r="A146" s="1">
        <v>1</v>
      </c>
      <c r="B146" s="1" t="s">
        <v>9370</v>
      </c>
    </row>
    <row r="147" spans="1:3" outlineLevel="1">
      <c r="A147" s="1">
        <v>2</v>
      </c>
      <c r="B147" s="1" t="s">
        <v>9371</v>
      </c>
    </row>
    <row r="148" spans="1:3" outlineLevel="1">
      <c r="A148" s="1">
        <v>3</v>
      </c>
      <c r="B148" s="1" t="s">
        <v>9372</v>
      </c>
      <c r="C148" s="1" t="s">
        <v>9373</v>
      </c>
    </row>
    <row r="149" spans="1:3" outlineLevel="1">
      <c r="A149" s="1">
        <v>4</v>
      </c>
      <c r="B149" s="1" t="s">
        <v>9374</v>
      </c>
      <c r="C149" s="1" t="s">
        <v>9375</v>
      </c>
    </row>
    <row r="150" spans="1:3" outlineLevel="1">
      <c r="B150" s="1" t="s">
        <v>9376</v>
      </c>
    </row>
    <row r="151" spans="1:3" outlineLevel="1">
      <c r="A151" s="1">
        <v>5</v>
      </c>
      <c r="B151" s="1" t="s">
        <v>9377</v>
      </c>
      <c r="C151" s="1" t="s">
        <v>9378</v>
      </c>
    </row>
    <row r="152" spans="1:3" outlineLevel="1">
      <c r="A152" s="1">
        <v>6</v>
      </c>
      <c r="B152" s="1" t="s">
        <v>9379</v>
      </c>
      <c r="C152" s="1" t="s">
        <v>9380</v>
      </c>
    </row>
    <row r="153" spans="1:3" ht="71.25" outlineLevel="1">
      <c r="A153" s="1">
        <v>7</v>
      </c>
      <c r="B153" s="1" t="s">
        <v>9381</v>
      </c>
      <c r="C153" s="506" t="s">
        <v>9382</v>
      </c>
    </row>
    <row r="154" spans="1:3" outlineLevel="1">
      <c r="A154" s="1">
        <v>8</v>
      </c>
      <c r="B154" s="1" t="s">
        <v>9383</v>
      </c>
      <c r="C154" s="1" t="s">
        <v>9384</v>
      </c>
    </row>
    <row r="155" spans="1:3" outlineLevel="1">
      <c r="A155" s="1">
        <v>9</v>
      </c>
      <c r="B155" s="1" t="s">
        <v>9385</v>
      </c>
      <c r="C155" s="1" t="s">
        <v>9386</v>
      </c>
    </row>
    <row r="156" spans="1:3" outlineLevel="1">
      <c r="B156" s="1" t="s">
        <v>9387</v>
      </c>
    </row>
    <row r="157" spans="1:3" outlineLevel="1">
      <c r="B157" s="1" t="s">
        <v>9388</v>
      </c>
    </row>
    <row r="158" spans="1:3" outlineLevel="1">
      <c r="B158" s="1" t="s">
        <v>9389</v>
      </c>
    </row>
    <row r="159" spans="1:3" outlineLevel="1">
      <c r="B159" s="1" t="s">
        <v>9390</v>
      </c>
      <c r="C159" s="1" t="s">
        <v>9391</v>
      </c>
    </row>
    <row r="160" spans="1:3" outlineLevel="1">
      <c r="B160" s="1" t="s">
        <v>9392</v>
      </c>
      <c r="C160" s="1" t="s">
        <v>9393</v>
      </c>
    </row>
    <row r="161" spans="1:5" outlineLevel="1">
      <c r="B161" s="1" t="s">
        <v>9394</v>
      </c>
    </row>
    <row r="162" spans="1:5" outlineLevel="1">
      <c r="B162" s="1" t="s">
        <v>9395</v>
      </c>
    </row>
    <row r="163" spans="1:5" outlineLevel="1">
      <c r="B163" s="1" t="s">
        <v>9396</v>
      </c>
      <c r="C163" s="1" t="s">
        <v>9397</v>
      </c>
    </row>
    <row r="164" spans="1:5" outlineLevel="1">
      <c r="B164" s="1" t="s">
        <v>9398</v>
      </c>
    </row>
    <row r="165" spans="1:5" outlineLevel="1">
      <c r="B165" s="1" t="s">
        <v>9399</v>
      </c>
      <c r="C165" s="1" t="s">
        <v>9400</v>
      </c>
    </row>
    <row r="166" spans="1:5" outlineLevel="1">
      <c r="B166" s="1" t="s">
        <v>9401</v>
      </c>
    </row>
    <row r="167" spans="1:5" outlineLevel="1">
      <c r="C167" s="1" t="s">
        <v>9402</v>
      </c>
    </row>
    <row r="168" spans="1:5" outlineLevel="1"/>
    <row r="169" spans="1:5" ht="39.75" thickBot="1">
      <c r="A169" s="566" t="s">
        <v>9403</v>
      </c>
    </row>
    <row r="170" spans="1:5" ht="15" outlineLevel="1" thickTop="1"/>
    <row r="171" spans="1:5" outlineLevel="1">
      <c r="A171" s="1" t="s">
        <v>9404</v>
      </c>
      <c r="B171" s="1" t="s">
        <v>9405</v>
      </c>
      <c r="C171" s="1" t="s">
        <v>2088</v>
      </c>
      <c r="D171" s="1" t="s">
        <v>9406</v>
      </c>
      <c r="E171" s="572" t="s">
        <v>9407</v>
      </c>
    </row>
    <row r="172" spans="1:5" ht="16.5" outlineLevel="1">
      <c r="A172" s="1" t="s">
        <v>3894</v>
      </c>
      <c r="B172" s="573">
        <f>1/4</f>
        <v>0.25</v>
      </c>
      <c r="C172" s="574">
        <v>15</v>
      </c>
      <c r="D172" s="574" t="s">
        <v>270</v>
      </c>
      <c r="E172" s="572" t="s">
        <v>9408</v>
      </c>
    </row>
    <row r="173" spans="1:5" ht="16.5" outlineLevel="1">
      <c r="A173" s="1" t="s">
        <v>9409</v>
      </c>
      <c r="B173" s="573">
        <f>1/2</f>
        <v>0.5</v>
      </c>
      <c r="C173" s="574">
        <v>25</v>
      </c>
      <c r="D173" s="574"/>
    </row>
    <row r="174" spans="1:5" ht="16.5" outlineLevel="1">
      <c r="A174" s="1" t="s">
        <v>9410</v>
      </c>
      <c r="B174" s="573">
        <v>1</v>
      </c>
      <c r="C174" s="574">
        <v>50</v>
      </c>
      <c r="D174" s="574"/>
    </row>
    <row r="175" spans="1:5" ht="16.5" outlineLevel="1">
      <c r="A175" s="1" t="s">
        <v>9411</v>
      </c>
      <c r="B175" s="574">
        <v>2</v>
      </c>
      <c r="C175" s="574">
        <v>100</v>
      </c>
      <c r="D175" s="574"/>
    </row>
    <row r="176" spans="1:5" ht="16.5" outlineLevel="1">
      <c r="A176" s="1" t="s">
        <v>9412</v>
      </c>
      <c r="B176" s="574">
        <v>5</v>
      </c>
      <c r="C176" s="574">
        <v>500</v>
      </c>
      <c r="D176" s="574"/>
    </row>
    <row r="177" spans="1:4" ht="16.5" outlineLevel="1">
      <c r="A177" s="1" t="s">
        <v>9413</v>
      </c>
      <c r="B177" s="574">
        <v>7</v>
      </c>
      <c r="C177" s="574">
        <v>1000</v>
      </c>
      <c r="D177" s="574"/>
    </row>
    <row r="178" spans="1:4" ht="16.5" outlineLevel="1">
      <c r="A178" s="1" t="s">
        <v>9414</v>
      </c>
      <c r="B178" s="574">
        <v>10</v>
      </c>
      <c r="C178" s="574">
        <v>2500</v>
      </c>
      <c r="D178" s="574"/>
    </row>
    <row r="179" spans="1:4" ht="16.5" outlineLevel="1">
      <c r="A179" s="1" t="s">
        <v>9415</v>
      </c>
      <c r="B179" s="574">
        <v>15</v>
      </c>
      <c r="C179" s="574">
        <v>5000</v>
      </c>
      <c r="D179" s="574"/>
    </row>
    <row r="180" spans="1:4" ht="16.5" outlineLevel="1">
      <c r="A180" s="1" t="s">
        <v>9416</v>
      </c>
      <c r="B180" s="574">
        <v>30</v>
      </c>
      <c r="C180" s="574">
        <v>10000</v>
      </c>
      <c r="D180" s="574"/>
    </row>
    <row r="181" spans="1:4" ht="16.5" outlineLevel="1">
      <c r="A181" s="1" t="s">
        <v>9417</v>
      </c>
      <c r="B181" s="574">
        <v>60</v>
      </c>
      <c r="C181" s="574">
        <v>50000</v>
      </c>
      <c r="D181" s="574"/>
    </row>
    <row r="182" spans="1:4" outlineLevel="1"/>
    <row r="183" spans="1:4" outlineLevel="1"/>
    <row r="184" spans="1:4" ht="39.75" thickBot="1">
      <c r="A184" s="566" t="s">
        <v>9418</v>
      </c>
      <c r="B184" s="3" t="s">
        <v>9419</v>
      </c>
    </row>
    <row r="185" spans="1:4" ht="15" outlineLevel="1" thickTop="1"/>
    <row r="186" spans="1:4" outlineLevel="1">
      <c r="A186" s="1" t="s">
        <v>9420</v>
      </c>
      <c r="B186" s="1" t="s">
        <v>2088</v>
      </c>
      <c r="C186" s="1" t="s">
        <v>9421</v>
      </c>
      <c r="D186" s="1" t="s">
        <v>9196</v>
      </c>
    </row>
    <row r="187" spans="1:4" ht="16.5" outlineLevel="1">
      <c r="A187" s="1" t="s">
        <v>9422</v>
      </c>
      <c r="B187" s="574">
        <v>1000</v>
      </c>
      <c r="C187" s="574">
        <v>2</v>
      </c>
      <c r="D187" s="574" t="s">
        <v>9423</v>
      </c>
    </row>
    <row r="188" spans="1:4" ht="16.5" outlineLevel="1">
      <c r="A188" s="1" t="s">
        <v>9424</v>
      </c>
      <c r="B188" s="574">
        <v>1000</v>
      </c>
      <c r="C188" s="574">
        <v>2</v>
      </c>
      <c r="D188" s="574" t="s">
        <v>9425</v>
      </c>
    </row>
    <row r="189" spans="1:4" ht="16.5" outlineLevel="1">
      <c r="A189" s="1" t="s">
        <v>9426</v>
      </c>
      <c r="B189" s="574" t="s">
        <v>9427</v>
      </c>
      <c r="C189" s="574" t="s">
        <v>9427</v>
      </c>
      <c r="D189" s="574" t="s">
        <v>9428</v>
      </c>
    </row>
    <row r="190" spans="1:4" outlineLevel="1"/>
    <row r="191" spans="1:4" outlineLevel="1"/>
    <row r="192" spans="1:4" outlineLevel="1"/>
    <row r="193" spans="1:8" outlineLevel="1">
      <c r="A193" s="1" t="s">
        <v>9429</v>
      </c>
      <c r="B193" s="1" t="s">
        <v>8470</v>
      </c>
    </row>
    <row r="194" spans="1:8" ht="16.5" outlineLevel="1">
      <c r="A194" s="1" t="s">
        <v>2088</v>
      </c>
      <c r="B194" s="574">
        <v>10000</v>
      </c>
    </row>
    <row r="195" spans="1:8" ht="16.5" outlineLevel="1">
      <c r="A195" s="1" t="s">
        <v>9430</v>
      </c>
      <c r="B195" s="574">
        <v>300</v>
      </c>
    </row>
    <row r="196" spans="1:8" ht="16.5" outlineLevel="1">
      <c r="A196" s="1" t="s">
        <v>9431</v>
      </c>
      <c r="B196" s="574">
        <v>5000</v>
      </c>
      <c r="E196" s="1" t="s">
        <v>9432</v>
      </c>
      <c r="F196" s="1" t="s">
        <v>9433</v>
      </c>
      <c r="G196" s="1" t="s">
        <v>9434</v>
      </c>
      <c r="H196" s="1" t="s">
        <v>9435</v>
      </c>
    </row>
    <row r="197" spans="1:8" ht="16.5" outlineLevel="1">
      <c r="A197" s="1" t="s">
        <v>9436</v>
      </c>
      <c r="B197" s="573" t="s">
        <v>9437</v>
      </c>
      <c r="E197" s="1">
        <v>1</v>
      </c>
      <c r="F197" s="1">
        <f>B194</f>
        <v>10000</v>
      </c>
      <c r="G197" s="1">
        <f>1000*E197</f>
        <v>1000</v>
      </c>
      <c r="H197" s="1">
        <f>$C$187*E197</f>
        <v>2</v>
      </c>
    </row>
    <row r="198" spans="1:8" outlineLevel="1">
      <c r="E198" s="1">
        <v>2</v>
      </c>
      <c r="F198" s="1">
        <f t="shared" ref="F198:F205" si="1">+$B$196*(E198-$E$197)+$F$197</f>
        <v>15000</v>
      </c>
      <c r="G198" s="1">
        <f t="shared" ref="G198:G205" si="2">1000*E198</f>
        <v>2000</v>
      </c>
      <c r="H198" s="1">
        <f t="shared" ref="H198:H205" si="3">$C$187*E198</f>
        <v>4</v>
      </c>
    </row>
    <row r="199" spans="1:8" outlineLevel="1">
      <c r="E199" s="1">
        <v>3</v>
      </c>
      <c r="F199" s="1">
        <f t="shared" si="1"/>
        <v>20000</v>
      </c>
      <c r="G199" s="1">
        <f t="shared" si="2"/>
        <v>3000</v>
      </c>
      <c r="H199" s="1">
        <f t="shared" si="3"/>
        <v>6</v>
      </c>
    </row>
    <row r="200" spans="1:8" outlineLevel="1">
      <c r="A200" s="1" t="s">
        <v>9438</v>
      </c>
      <c r="B200" s="1" t="s">
        <v>8470</v>
      </c>
      <c r="E200" s="1">
        <v>4</v>
      </c>
      <c r="F200" s="1">
        <f t="shared" si="1"/>
        <v>25000</v>
      </c>
      <c r="G200" s="1">
        <f t="shared" si="2"/>
        <v>4000</v>
      </c>
      <c r="H200" s="1">
        <f t="shared" si="3"/>
        <v>8</v>
      </c>
    </row>
    <row r="201" spans="1:8" ht="16.5" outlineLevel="1">
      <c r="A201" s="1" t="s">
        <v>9439</v>
      </c>
      <c r="B201" s="574">
        <v>10000</v>
      </c>
      <c r="E201" s="1">
        <v>5</v>
      </c>
      <c r="F201" s="1">
        <f t="shared" si="1"/>
        <v>30000</v>
      </c>
      <c r="G201" s="1">
        <f t="shared" si="2"/>
        <v>5000</v>
      </c>
      <c r="H201" s="1">
        <f t="shared" si="3"/>
        <v>10</v>
      </c>
    </row>
    <row r="202" spans="1:8" ht="16.5" outlineLevel="1">
      <c r="A202" s="1" t="s">
        <v>9440</v>
      </c>
      <c r="B202" s="574">
        <v>5000</v>
      </c>
      <c r="E202" s="1">
        <v>6</v>
      </c>
      <c r="F202" s="1">
        <f t="shared" si="1"/>
        <v>35000</v>
      </c>
      <c r="G202" s="1">
        <f t="shared" si="2"/>
        <v>6000</v>
      </c>
      <c r="H202" s="1">
        <f t="shared" si="3"/>
        <v>12</v>
      </c>
    </row>
    <row r="203" spans="1:8" ht="16.5" outlineLevel="1">
      <c r="A203" s="1" t="s">
        <v>9441</v>
      </c>
      <c r="B203" s="574">
        <v>10000</v>
      </c>
      <c r="E203" s="1">
        <v>7</v>
      </c>
      <c r="F203" s="1">
        <f t="shared" si="1"/>
        <v>40000</v>
      </c>
      <c r="G203" s="1">
        <f t="shared" si="2"/>
        <v>7000</v>
      </c>
      <c r="H203" s="1">
        <f t="shared" si="3"/>
        <v>14</v>
      </c>
    </row>
    <row r="204" spans="1:8" ht="16.5" outlineLevel="1">
      <c r="A204" s="1" t="s">
        <v>9442</v>
      </c>
      <c r="B204" s="574">
        <v>3</v>
      </c>
      <c r="E204" s="1">
        <v>8</v>
      </c>
      <c r="F204" s="1">
        <f t="shared" si="1"/>
        <v>45000</v>
      </c>
      <c r="G204" s="1">
        <f t="shared" si="2"/>
        <v>8000</v>
      </c>
      <c r="H204" s="1">
        <f t="shared" si="3"/>
        <v>16</v>
      </c>
    </row>
    <row r="205" spans="1:8" outlineLevel="1">
      <c r="E205" s="1">
        <v>9</v>
      </c>
      <c r="F205" s="1">
        <f t="shared" si="1"/>
        <v>50000</v>
      </c>
      <c r="G205" s="1">
        <f t="shared" si="2"/>
        <v>9000</v>
      </c>
      <c r="H205" s="1">
        <f t="shared" si="3"/>
        <v>18</v>
      </c>
    </row>
    <row r="206" spans="1:8" outlineLevel="1">
      <c r="A206" s="1" t="s">
        <v>9443</v>
      </c>
      <c r="B206" s="1" t="s">
        <v>9444</v>
      </c>
      <c r="C206" s="1" t="s">
        <v>9445</v>
      </c>
    </row>
    <row r="207" spans="1:8" ht="16.5" outlineLevel="1">
      <c r="A207" s="1" t="s">
        <v>5851</v>
      </c>
      <c r="B207" s="574">
        <v>100</v>
      </c>
      <c r="C207" s="574">
        <v>3</v>
      </c>
      <c r="E207" s="1" t="s">
        <v>9446</v>
      </c>
      <c r="F207" s="1">
        <v>10000</v>
      </c>
    </row>
    <row r="208" spans="1:8" ht="16.5" outlineLevel="1">
      <c r="A208" s="1" t="s">
        <v>6733</v>
      </c>
      <c r="B208" s="574">
        <v>500</v>
      </c>
      <c r="C208" s="574">
        <v>3</v>
      </c>
    </row>
    <row r="209" spans="1:3" ht="16.5" outlineLevel="1">
      <c r="A209" s="1" t="s">
        <v>6979</v>
      </c>
      <c r="B209" s="574">
        <v>5000</v>
      </c>
      <c r="C209" s="574">
        <v>6</v>
      </c>
    </row>
    <row r="210" spans="1:3" ht="16.5" outlineLevel="1">
      <c r="A210" s="1" t="s">
        <v>9447</v>
      </c>
      <c r="B210" s="574">
        <v>50000</v>
      </c>
      <c r="C210" s="574">
        <v>11</v>
      </c>
    </row>
    <row r="211" spans="1:3" ht="16.5" outlineLevel="1">
      <c r="A211" s="1" t="s">
        <v>2070</v>
      </c>
      <c r="B211" s="574">
        <v>500000</v>
      </c>
      <c r="C211" s="574">
        <v>17</v>
      </c>
    </row>
    <row r="212" spans="1:3" outlineLevel="1"/>
    <row r="213" spans="1:3" outlineLevel="1"/>
    <row r="214" spans="1:3" outlineLevel="1"/>
    <row r="215" spans="1:3" outlineLevel="1">
      <c r="A215" s="1" t="s">
        <v>9448</v>
      </c>
      <c r="B215" s="1" t="s">
        <v>9449</v>
      </c>
      <c r="C215" s="1" t="s">
        <v>9405</v>
      </c>
    </row>
    <row r="216" spans="1:3" ht="16.5" outlineLevel="1">
      <c r="A216" s="1" t="s">
        <v>9450</v>
      </c>
      <c r="B216" s="574" t="s">
        <v>9451</v>
      </c>
      <c r="C216" s="574" t="s">
        <v>9452</v>
      </c>
    </row>
    <row r="217" spans="1:3" ht="16.5" outlineLevel="1">
      <c r="A217" s="1" t="s">
        <v>9453</v>
      </c>
      <c r="B217" s="574" t="s">
        <v>9454</v>
      </c>
      <c r="C217" s="574" t="s">
        <v>9455</v>
      </c>
    </row>
    <row r="218" spans="1:3" ht="16.5" outlineLevel="1">
      <c r="A218" s="1" t="s">
        <v>9456</v>
      </c>
      <c r="B218" s="574" t="s">
        <v>9457</v>
      </c>
      <c r="C218" s="574" t="s">
        <v>9458</v>
      </c>
    </row>
    <row r="219" spans="1:3" ht="16.5" outlineLevel="1">
      <c r="A219" s="1" t="s">
        <v>9459</v>
      </c>
      <c r="B219" s="574" t="s">
        <v>9460</v>
      </c>
      <c r="C219" s="574" t="s">
        <v>9461</v>
      </c>
    </row>
    <row r="220" spans="1:3" ht="16.5" outlineLevel="1">
      <c r="A220" s="1" t="s">
        <v>9462</v>
      </c>
      <c r="B220" s="574" t="s">
        <v>9463</v>
      </c>
      <c r="C220" s="574" t="s">
        <v>9464</v>
      </c>
    </row>
    <row r="221" spans="1:3" ht="16.5" outlineLevel="1">
      <c r="A221" s="1" t="s">
        <v>9465</v>
      </c>
      <c r="B221" s="574" t="s">
        <v>9466</v>
      </c>
      <c r="C221" s="574" t="s">
        <v>9467</v>
      </c>
    </row>
    <row r="222" spans="1:3" ht="16.5" outlineLevel="1">
      <c r="A222" s="1" t="s">
        <v>9468</v>
      </c>
      <c r="B222" s="574" t="s">
        <v>9469</v>
      </c>
      <c r="C222" s="574" t="s">
        <v>9470</v>
      </c>
    </row>
    <row r="223" spans="1:3" ht="16.5" outlineLevel="1">
      <c r="A223" s="1" t="s">
        <v>9471</v>
      </c>
      <c r="B223" s="574" t="s">
        <v>9472</v>
      </c>
      <c r="C223" s="574" t="s">
        <v>9473</v>
      </c>
    </row>
    <row r="224" spans="1:3" ht="16.5" outlineLevel="1">
      <c r="A224" s="1" t="s">
        <v>9474</v>
      </c>
      <c r="B224" s="574" t="s">
        <v>9475</v>
      </c>
      <c r="C224" s="574" t="s">
        <v>9476</v>
      </c>
    </row>
    <row r="225" spans="1:7" ht="16.5" outlineLevel="1">
      <c r="A225" s="1" t="s">
        <v>9477</v>
      </c>
      <c r="B225" s="574" t="s">
        <v>9478</v>
      </c>
      <c r="C225" s="574" t="s">
        <v>9479</v>
      </c>
      <c r="E225" s="1" t="s">
        <v>9480</v>
      </c>
      <c r="F225" s="1">
        <v>5000</v>
      </c>
    </row>
    <row r="226" spans="1:7" ht="16.5" outlineLevel="1">
      <c r="A226" s="1" t="s">
        <v>9481</v>
      </c>
      <c r="B226" s="574" t="s">
        <v>9482</v>
      </c>
      <c r="C226" s="574" t="s">
        <v>9479</v>
      </c>
      <c r="E226" s="1" t="s">
        <v>9483</v>
      </c>
      <c r="F226" s="1">
        <v>15000</v>
      </c>
    </row>
    <row r="227" spans="1:7" ht="16.5" outlineLevel="1">
      <c r="A227" s="1" t="s">
        <v>9484</v>
      </c>
      <c r="B227" s="574" t="s">
        <v>9485</v>
      </c>
      <c r="C227" s="574" t="s">
        <v>9479</v>
      </c>
      <c r="E227" s="1" t="s">
        <v>9486</v>
      </c>
      <c r="F227" s="1">
        <v>35000</v>
      </c>
    </row>
    <row r="228" spans="1:7" ht="16.5" outlineLevel="1">
      <c r="A228" s="1" t="s">
        <v>9487</v>
      </c>
      <c r="B228" s="574" t="s">
        <v>9478</v>
      </c>
      <c r="C228" s="574" t="s">
        <v>9488</v>
      </c>
      <c r="E228" s="1" t="s">
        <v>9489</v>
      </c>
      <c r="F228" s="1">
        <f>5000+1500</f>
        <v>6500</v>
      </c>
      <c r="G228" s="1">
        <f>30*1</f>
        <v>30</v>
      </c>
    </row>
    <row r="229" spans="1:7" ht="16.5" outlineLevel="1">
      <c r="A229" s="1" t="s">
        <v>9481</v>
      </c>
      <c r="B229" s="574" t="s">
        <v>9490</v>
      </c>
      <c r="C229" s="575" t="s">
        <v>9491</v>
      </c>
      <c r="E229" s="1" t="s">
        <v>9492</v>
      </c>
      <c r="F229" s="1">
        <f>F228+10000</f>
        <v>16500</v>
      </c>
      <c r="G229" s="1">
        <f>G228+30</f>
        <v>60</v>
      </c>
    </row>
    <row r="230" spans="1:7" ht="16.5" outlineLevel="1">
      <c r="A230" s="1" t="s">
        <v>9484</v>
      </c>
      <c r="B230" s="574" t="s">
        <v>9485</v>
      </c>
      <c r="C230" s="575" t="s">
        <v>9491</v>
      </c>
      <c r="E230" s="1" t="s">
        <v>9493</v>
      </c>
      <c r="F230" s="1">
        <f>F229+20000</f>
        <v>36500</v>
      </c>
      <c r="G230" s="1">
        <f>G229+30</f>
        <v>90</v>
      </c>
    </row>
    <row r="231" spans="1:7" outlineLevel="1"/>
    <row r="232" spans="1:7" outlineLevel="1">
      <c r="A232" s="1" t="s">
        <v>9448</v>
      </c>
      <c r="B232" s="1" t="s">
        <v>9449</v>
      </c>
      <c r="C232" s="1" t="s">
        <v>9405</v>
      </c>
      <c r="D232" s="1" t="s">
        <v>9494</v>
      </c>
    </row>
    <row r="233" spans="1:7" outlineLevel="1">
      <c r="A233" s="1" t="s">
        <v>9495</v>
      </c>
      <c r="B233" s="1">
        <v>500</v>
      </c>
      <c r="C233" s="1">
        <v>5</v>
      </c>
      <c r="D233" s="1" t="s">
        <v>9496</v>
      </c>
    </row>
    <row r="234" spans="1:7" outlineLevel="1">
      <c r="A234" s="1" t="s">
        <v>9497</v>
      </c>
      <c r="B234" s="1">
        <v>1500</v>
      </c>
      <c r="C234" s="1">
        <v>15</v>
      </c>
      <c r="D234" s="1" t="s">
        <v>9498</v>
      </c>
    </row>
    <row r="235" spans="1:7" outlineLevel="1">
      <c r="A235" s="1" t="s">
        <v>9499</v>
      </c>
      <c r="B235" s="1">
        <v>30000</v>
      </c>
      <c r="C235" s="1">
        <v>120</v>
      </c>
      <c r="D235" s="1" t="s">
        <v>9500</v>
      </c>
    </row>
    <row r="236" spans="1:7" outlineLevel="1">
      <c r="A236" s="1" t="s">
        <v>9501</v>
      </c>
      <c r="B236" s="1">
        <v>33000</v>
      </c>
      <c r="C236" s="1">
        <v>160</v>
      </c>
      <c r="D236" s="1" t="s">
        <v>9502</v>
      </c>
    </row>
    <row r="237" spans="1:7" outlineLevel="1">
      <c r="A237" s="1" t="s">
        <v>9503</v>
      </c>
      <c r="B237" s="1">
        <v>5000</v>
      </c>
      <c r="C237" s="1">
        <v>30</v>
      </c>
      <c r="D237" s="1" t="s">
        <v>9504</v>
      </c>
    </row>
    <row r="238" spans="1:7" outlineLevel="1">
      <c r="A238" s="1" t="s">
        <v>9505</v>
      </c>
      <c r="B238" s="1">
        <v>15000</v>
      </c>
      <c r="C238" s="1">
        <v>60</v>
      </c>
      <c r="D238" s="1" t="s">
        <v>9506</v>
      </c>
    </row>
    <row r="239" spans="1:7" outlineLevel="1">
      <c r="A239" s="1" t="s">
        <v>9507</v>
      </c>
      <c r="B239" s="1">
        <v>10000</v>
      </c>
      <c r="C239" s="1">
        <v>45</v>
      </c>
      <c r="D239" s="1" t="s">
        <v>9508</v>
      </c>
    </row>
    <row r="240" spans="1:7" outlineLevel="1">
      <c r="A240" s="1" t="s">
        <v>9509</v>
      </c>
      <c r="B240" s="1">
        <v>5000</v>
      </c>
      <c r="C240" s="1">
        <v>180</v>
      </c>
      <c r="D240" s="1" t="s">
        <v>9510</v>
      </c>
    </row>
    <row r="241" spans="1:4" outlineLevel="1"/>
    <row r="242" spans="1:4" outlineLevel="1"/>
    <row r="243" spans="1:4" outlineLevel="1"/>
    <row r="244" spans="1:4" ht="39.75" thickBot="1">
      <c r="A244" s="566" t="s">
        <v>9511</v>
      </c>
      <c r="B244" s="3" t="s">
        <v>9419</v>
      </c>
      <c r="D244" s="3" t="s">
        <v>9512</v>
      </c>
    </row>
    <row r="245" spans="1:4" ht="15" outlineLevel="1" thickTop="1">
      <c r="A245" s="1" t="s">
        <v>9443</v>
      </c>
      <c r="B245" s="1" t="s">
        <v>9513</v>
      </c>
      <c r="C245" s="1" t="s">
        <v>9514</v>
      </c>
    </row>
    <row r="246" spans="1:4" ht="16.5" outlineLevel="1">
      <c r="A246" s="1" t="s">
        <v>5851</v>
      </c>
      <c r="B246" s="574">
        <v>1</v>
      </c>
      <c r="C246" s="574">
        <v>3</v>
      </c>
    </row>
    <row r="247" spans="1:4" ht="16.5" outlineLevel="1">
      <c r="A247" s="1" t="s">
        <v>6733</v>
      </c>
      <c r="B247" s="574">
        <f>C246+1</f>
        <v>4</v>
      </c>
      <c r="C247" s="574">
        <v>8</v>
      </c>
    </row>
    <row r="248" spans="1:4" ht="16.5" outlineLevel="1">
      <c r="A248" s="1" t="s">
        <v>6979</v>
      </c>
      <c r="B248" s="574">
        <f>C247+1</f>
        <v>9</v>
      </c>
      <c r="C248" s="574">
        <v>12</v>
      </c>
    </row>
    <row r="249" spans="1:4" ht="16.5" outlineLevel="1">
      <c r="A249" s="1" t="s">
        <v>7184</v>
      </c>
      <c r="B249" s="574">
        <f>C248+1</f>
        <v>13</v>
      </c>
      <c r="C249" s="574">
        <v>18</v>
      </c>
    </row>
    <row r="250" spans="1:4" ht="16.5" outlineLevel="1">
      <c r="A250" s="1" t="s">
        <v>2070</v>
      </c>
      <c r="B250" s="574">
        <f>C249+1</f>
        <v>19</v>
      </c>
      <c r="C250" s="575" t="s">
        <v>9515</v>
      </c>
    </row>
    <row r="251" spans="1:4" outlineLevel="1">
      <c r="A251" s="576" t="s">
        <v>9516</v>
      </c>
    </row>
    <row r="252" spans="1:4" outlineLevel="1">
      <c r="A252" s="1" t="s">
        <v>9443</v>
      </c>
      <c r="B252" s="1" t="s">
        <v>9517</v>
      </c>
      <c r="C252" s="1" t="s">
        <v>9518</v>
      </c>
    </row>
    <row r="253" spans="1:4" ht="16.5" outlineLevel="1">
      <c r="A253" s="1" t="s">
        <v>5851</v>
      </c>
      <c r="B253" s="574">
        <v>3</v>
      </c>
      <c r="C253" s="574">
        <v>2</v>
      </c>
    </row>
    <row r="254" spans="1:4" ht="16.5" outlineLevel="1">
      <c r="A254" s="1" t="s">
        <v>6733</v>
      </c>
      <c r="B254" s="574">
        <v>5</v>
      </c>
      <c r="C254" s="574">
        <v>4</v>
      </c>
    </row>
    <row r="255" spans="1:4" ht="16.5" outlineLevel="1">
      <c r="A255" s="1" t="s">
        <v>6979</v>
      </c>
      <c r="B255" s="574">
        <v>15</v>
      </c>
      <c r="C255" s="574">
        <v>6</v>
      </c>
    </row>
    <row r="256" spans="1:4" ht="16.5" outlineLevel="1">
      <c r="A256" s="1" t="s">
        <v>7184</v>
      </c>
      <c r="B256" s="574">
        <v>40</v>
      </c>
      <c r="C256" s="574">
        <v>8</v>
      </c>
    </row>
    <row r="257" spans="1:5" ht="16.5" outlineLevel="1">
      <c r="A257" s="1" t="s">
        <v>2070</v>
      </c>
      <c r="B257" s="574">
        <v>80</v>
      </c>
      <c r="C257" s="574">
        <v>10</v>
      </c>
    </row>
    <row r="258" spans="1:5" outlineLevel="1"/>
    <row r="259" spans="1:5" outlineLevel="1">
      <c r="A259" s="576" t="s">
        <v>9519</v>
      </c>
    </row>
    <row r="260" spans="1:5" outlineLevel="1">
      <c r="A260" s="1" t="s">
        <v>9443</v>
      </c>
      <c r="B260" s="1" t="s">
        <v>9517</v>
      </c>
      <c r="C260" s="1" t="s">
        <v>9520</v>
      </c>
      <c r="D260" s="1" t="s">
        <v>551</v>
      </c>
    </row>
    <row r="261" spans="1:5" ht="16.5" outlineLevel="1">
      <c r="A261" s="1" t="s">
        <v>5851</v>
      </c>
      <c r="B261" s="1">
        <v>5</v>
      </c>
      <c r="C261" s="574">
        <v>50</v>
      </c>
      <c r="D261" s="1">
        <v>15</v>
      </c>
    </row>
    <row r="262" spans="1:5" ht="16.5" outlineLevel="1">
      <c r="A262" s="1" t="s">
        <v>6733</v>
      </c>
      <c r="B262" s="1">
        <v>10</v>
      </c>
      <c r="C262" s="574">
        <v>200</v>
      </c>
      <c r="D262" s="1">
        <v>50</v>
      </c>
    </row>
    <row r="263" spans="1:5" ht="16.5" outlineLevel="1">
      <c r="A263" s="1" t="s">
        <v>6979</v>
      </c>
      <c r="B263" s="1">
        <v>50</v>
      </c>
      <c r="C263" s="574">
        <v>2000</v>
      </c>
      <c r="D263" s="1">
        <v>500</v>
      </c>
    </row>
    <row r="264" spans="1:5" ht="16.5" outlineLevel="1">
      <c r="A264" s="1" t="s">
        <v>7184</v>
      </c>
      <c r="B264" s="1">
        <v>125</v>
      </c>
      <c r="C264" s="574">
        <v>20000</v>
      </c>
      <c r="D264" s="1">
        <v>50000</v>
      </c>
    </row>
    <row r="265" spans="1:5" ht="16.5" outlineLevel="1">
      <c r="A265" s="1" t="s">
        <v>2070</v>
      </c>
      <c r="B265" s="1">
        <v>100</v>
      </c>
      <c r="C265" s="574">
        <v>100000</v>
      </c>
      <c r="D265" s="1">
        <v>25000</v>
      </c>
    </row>
    <row r="266" spans="1:5" outlineLevel="1">
      <c r="C266" s="1" t="s">
        <v>9521</v>
      </c>
    </row>
    <row r="267" spans="1:5" outlineLevel="1"/>
    <row r="268" spans="1:5" outlineLevel="1">
      <c r="A268" s="1" t="s">
        <v>7934</v>
      </c>
      <c r="B268" s="1" t="s">
        <v>9522</v>
      </c>
      <c r="D268" s="1" t="s">
        <v>7934</v>
      </c>
      <c r="E268" s="1" t="s">
        <v>9522</v>
      </c>
    </row>
    <row r="269" spans="1:5" outlineLevel="1">
      <c r="A269" s="1">
        <v>1</v>
      </c>
      <c r="B269" s="1" t="s">
        <v>9523</v>
      </c>
      <c r="D269" s="1">
        <v>1</v>
      </c>
      <c r="E269" s="1" t="s">
        <v>9524</v>
      </c>
    </row>
    <row r="270" spans="1:5" outlineLevel="1">
      <c r="A270" s="1">
        <v>2</v>
      </c>
      <c r="B270" s="1" t="s">
        <v>9525</v>
      </c>
      <c r="D270" s="1">
        <v>2</v>
      </c>
      <c r="E270" s="1" t="s">
        <v>9526</v>
      </c>
    </row>
    <row r="271" spans="1:5" outlineLevel="1">
      <c r="A271" s="1">
        <v>3</v>
      </c>
      <c r="B271" s="1" t="s">
        <v>9527</v>
      </c>
      <c r="D271" s="1">
        <v>3</v>
      </c>
      <c r="E271" s="1" t="s">
        <v>9528</v>
      </c>
    </row>
    <row r="272" spans="1:5" outlineLevel="1">
      <c r="A272" s="1">
        <v>4</v>
      </c>
      <c r="B272" s="1" t="s">
        <v>9529</v>
      </c>
      <c r="D272" s="1">
        <v>4</v>
      </c>
      <c r="E272" s="1" t="s">
        <v>9530</v>
      </c>
    </row>
    <row r="273" spans="1:5" outlineLevel="1">
      <c r="A273" s="1">
        <v>5</v>
      </c>
      <c r="B273" s="1" t="s">
        <v>9531</v>
      </c>
      <c r="D273" s="1">
        <v>5</v>
      </c>
      <c r="E273" s="1" t="s">
        <v>9532</v>
      </c>
    </row>
    <row r="274" spans="1:5" outlineLevel="1">
      <c r="A274" s="1">
        <v>6</v>
      </c>
      <c r="B274" s="1" t="s">
        <v>9533</v>
      </c>
      <c r="D274" s="1">
        <v>6</v>
      </c>
      <c r="E274" s="1" t="s">
        <v>9534</v>
      </c>
    </row>
    <row r="275" spans="1:5" outlineLevel="1"/>
    <row r="276" spans="1:5" ht="39.75" thickBot="1">
      <c r="A276" s="566" t="s">
        <v>9535</v>
      </c>
      <c r="B276" s="3" t="s">
        <v>9419</v>
      </c>
    </row>
    <row r="277" spans="1:5" ht="15" outlineLevel="1" thickTop="1">
      <c r="A277" s="1" t="s">
        <v>5844</v>
      </c>
      <c r="B277" s="1" t="s">
        <v>9536</v>
      </c>
    </row>
    <row r="278" spans="1:5" outlineLevel="1">
      <c r="A278" s="1" t="s">
        <v>7367</v>
      </c>
      <c r="B278" s="1" t="s">
        <v>9537</v>
      </c>
    </row>
    <row r="279" spans="1:5" outlineLevel="1">
      <c r="A279" s="1" t="s">
        <v>9538</v>
      </c>
      <c r="B279" s="1" t="s">
        <v>9539</v>
      </c>
    </row>
    <row r="280" spans="1:5" outlineLevel="1">
      <c r="A280" s="1" t="s">
        <v>9540</v>
      </c>
      <c r="B280" s="1" t="s">
        <v>9295</v>
      </c>
    </row>
    <row r="281" spans="1:5" outlineLevel="1">
      <c r="A281" s="1" t="s">
        <v>9541</v>
      </c>
      <c r="B281" s="1" t="s">
        <v>9542</v>
      </c>
    </row>
    <row r="282" spans="1:5" ht="39.75" thickBot="1">
      <c r="A282" s="566" t="s">
        <v>9543</v>
      </c>
      <c r="B282" s="3" t="s">
        <v>9419</v>
      </c>
    </row>
    <row r="283" spans="1:5" ht="15" outlineLevel="1" thickTop="1">
      <c r="A283" s="1" t="s">
        <v>1787</v>
      </c>
      <c r="B283" s="1" t="s">
        <v>9405</v>
      </c>
      <c r="C283" s="1" t="s">
        <v>2088</v>
      </c>
    </row>
    <row r="284" spans="1:5" ht="16.5" outlineLevel="1">
      <c r="A284" s="1" t="s">
        <v>9544</v>
      </c>
      <c r="B284" s="574">
        <v>1</v>
      </c>
      <c r="C284" s="574">
        <v>25</v>
      </c>
    </row>
    <row r="285" spans="1:5" ht="16.5" outlineLevel="1">
      <c r="A285" s="1" t="s">
        <v>9545</v>
      </c>
      <c r="B285" s="574">
        <v>5</v>
      </c>
      <c r="C285" s="574">
        <v>100</v>
      </c>
    </row>
    <row r="286" spans="1:5" ht="16.5" outlineLevel="1">
      <c r="A286" s="1" t="s">
        <v>9546</v>
      </c>
      <c r="B286" s="574">
        <v>15</v>
      </c>
      <c r="C286" s="574">
        <v>1000</v>
      </c>
    </row>
    <row r="287" spans="1:5" ht="16.5" outlineLevel="1">
      <c r="A287" s="1" t="s">
        <v>9547</v>
      </c>
      <c r="B287" s="574">
        <v>20</v>
      </c>
      <c r="C287" s="574">
        <v>10000</v>
      </c>
    </row>
    <row r="288" spans="1:5" outlineLevel="1"/>
    <row r="289" spans="1:5" ht="39">
      <c r="A289" s="577" t="s">
        <v>9548</v>
      </c>
      <c r="B289" s="3" t="s">
        <v>9419</v>
      </c>
    </row>
    <row r="290" spans="1:5" outlineLevel="1">
      <c r="A290" s="1" t="s">
        <v>9549</v>
      </c>
    </row>
    <row r="291" spans="1:5" outlineLevel="1">
      <c r="A291" s="1" t="s">
        <v>7934</v>
      </c>
      <c r="B291" s="1" t="s">
        <v>9522</v>
      </c>
    </row>
    <row r="292" spans="1:5" outlineLevel="1">
      <c r="A292" s="1">
        <v>1</v>
      </c>
      <c r="B292" s="1" t="s">
        <v>9550</v>
      </c>
    </row>
    <row r="293" spans="1:5" outlineLevel="1">
      <c r="A293" s="1">
        <v>2</v>
      </c>
      <c r="B293" s="1" t="s">
        <v>9551</v>
      </c>
    </row>
    <row r="294" spans="1:5" outlineLevel="1">
      <c r="A294" s="1">
        <v>3</v>
      </c>
      <c r="B294" s="1" t="s">
        <v>9552</v>
      </c>
    </row>
    <row r="295" spans="1:5" outlineLevel="1">
      <c r="A295" s="1">
        <v>4</v>
      </c>
      <c r="B295" s="1" t="s">
        <v>9553</v>
      </c>
    </row>
    <row r="296" spans="1:5" outlineLevel="1">
      <c r="A296" s="1">
        <v>5</v>
      </c>
      <c r="B296" s="1" t="s">
        <v>9554</v>
      </c>
    </row>
    <row r="297" spans="1:5" outlineLevel="1">
      <c r="A297" s="1">
        <v>6</v>
      </c>
      <c r="B297" s="1" t="s">
        <v>9555</v>
      </c>
    </row>
    <row r="298" spans="1:5" outlineLevel="1">
      <c r="A298" s="1" t="s">
        <v>9556</v>
      </c>
    </row>
    <row r="299" spans="1:5" outlineLevel="1"/>
    <row r="300" spans="1:5" outlineLevel="1"/>
    <row r="301" spans="1:5" ht="39.75" thickBot="1">
      <c r="A301" s="566" t="s">
        <v>9557</v>
      </c>
      <c r="B301" s="3" t="s">
        <v>9419</v>
      </c>
    </row>
    <row r="302" spans="1:5" ht="15" outlineLevel="1" thickTop="1">
      <c r="A302" s="1" t="s">
        <v>9558</v>
      </c>
    </row>
    <row r="303" spans="1:5" outlineLevel="1">
      <c r="A303" s="1" t="s">
        <v>9404</v>
      </c>
      <c r="B303" s="1" t="s">
        <v>9405</v>
      </c>
      <c r="C303" s="1" t="s">
        <v>2088</v>
      </c>
      <c r="D303" s="1" t="s">
        <v>9559</v>
      </c>
      <c r="E303" s="1" t="s">
        <v>551</v>
      </c>
    </row>
    <row r="304" spans="1:5" ht="16.5" outlineLevel="1">
      <c r="A304" s="1" t="s">
        <v>3894</v>
      </c>
      <c r="B304" s="574">
        <v>1</v>
      </c>
      <c r="C304" s="574">
        <v>15</v>
      </c>
      <c r="D304" s="1" t="s">
        <v>9560</v>
      </c>
      <c r="E304" s="1">
        <v>100</v>
      </c>
    </row>
    <row r="305" spans="1:5" ht="16.5" outlineLevel="1">
      <c r="A305" s="1" t="s">
        <v>9409</v>
      </c>
      <c r="B305" s="574">
        <v>1</v>
      </c>
      <c r="C305" s="574">
        <v>25</v>
      </c>
      <c r="D305" s="1" t="s">
        <v>9560</v>
      </c>
      <c r="E305" s="1">
        <v>100</v>
      </c>
    </row>
    <row r="306" spans="1:5" ht="16.5" outlineLevel="1">
      <c r="A306" s="1" t="s">
        <v>9410</v>
      </c>
      <c r="B306" s="574">
        <v>3</v>
      </c>
      <c r="C306" s="574">
        <v>250</v>
      </c>
      <c r="D306" s="1" t="s">
        <v>9560</v>
      </c>
      <c r="E306" s="1">
        <v>100</v>
      </c>
    </row>
    <row r="307" spans="1:5" ht="16.5" outlineLevel="1">
      <c r="A307" s="1" t="s">
        <v>9411</v>
      </c>
      <c r="B307" s="574">
        <v>5</v>
      </c>
      <c r="C307" s="574">
        <v>500</v>
      </c>
      <c r="D307" s="1" t="s">
        <v>1904</v>
      </c>
      <c r="E307" s="1">
        <v>1000</v>
      </c>
    </row>
    <row r="308" spans="1:5" ht="16.5" outlineLevel="1">
      <c r="A308" s="1" t="s">
        <v>9412</v>
      </c>
      <c r="B308" s="574">
        <v>10</v>
      </c>
      <c r="C308" s="574">
        <v>2500</v>
      </c>
      <c r="D308" s="1" t="s">
        <v>1904</v>
      </c>
      <c r="E308" s="1">
        <v>1000</v>
      </c>
    </row>
    <row r="309" spans="1:5" ht="16.5" outlineLevel="1">
      <c r="A309" s="1" t="s">
        <v>9413</v>
      </c>
      <c r="B309" s="574">
        <v>20</v>
      </c>
      <c r="C309" s="574">
        <v>5000</v>
      </c>
      <c r="D309" s="1" t="s">
        <v>9561</v>
      </c>
      <c r="E309" s="1">
        <v>10000</v>
      </c>
    </row>
    <row r="310" spans="1:5" ht="16.5" outlineLevel="1">
      <c r="A310" s="1" t="s">
        <v>9414</v>
      </c>
      <c r="B310" s="574">
        <v>40</v>
      </c>
      <c r="C310" s="574">
        <v>15000</v>
      </c>
      <c r="D310" s="1" t="s">
        <v>9561</v>
      </c>
      <c r="E310" s="1">
        <v>10000</v>
      </c>
    </row>
    <row r="311" spans="1:5" ht="16.5" outlineLevel="1">
      <c r="A311" s="1" t="s">
        <v>9415</v>
      </c>
      <c r="B311" s="574">
        <v>80</v>
      </c>
      <c r="C311" s="574">
        <v>25000</v>
      </c>
      <c r="D311" s="1" t="s">
        <v>9561</v>
      </c>
      <c r="E311" s="1">
        <v>10000</v>
      </c>
    </row>
    <row r="312" spans="1:5" ht="16.5" outlineLevel="1">
      <c r="A312" s="1" t="s">
        <v>9416</v>
      </c>
      <c r="B312" s="574">
        <v>160</v>
      </c>
      <c r="C312" s="574">
        <v>50000</v>
      </c>
      <c r="D312" s="1" t="s">
        <v>1906</v>
      </c>
      <c r="E312" s="1">
        <v>50000</v>
      </c>
    </row>
    <row r="313" spans="1:5" ht="16.5" outlineLevel="1">
      <c r="A313" s="1" t="s">
        <v>9417</v>
      </c>
      <c r="B313" s="574">
        <v>320</v>
      </c>
      <c r="C313" s="574">
        <v>250000</v>
      </c>
      <c r="D313" s="1" t="s">
        <v>1906</v>
      </c>
      <c r="E313" s="1">
        <v>50000</v>
      </c>
    </row>
    <row r="314" spans="1:5" outlineLevel="1"/>
    <row r="315" spans="1:5" outlineLevel="1">
      <c r="A315" s="1" t="s">
        <v>9562</v>
      </c>
    </row>
    <row r="316" spans="1:5" outlineLevel="1">
      <c r="A316" s="1" t="s">
        <v>7934</v>
      </c>
      <c r="B316" s="1" t="s">
        <v>9522</v>
      </c>
    </row>
    <row r="317" spans="1:5" outlineLevel="1">
      <c r="A317" s="1">
        <v>1</v>
      </c>
      <c r="B317" s="1" t="s">
        <v>9563</v>
      </c>
    </row>
    <row r="318" spans="1:5" outlineLevel="1">
      <c r="A318" s="1">
        <v>2</v>
      </c>
      <c r="B318" s="1" t="s">
        <v>9564</v>
      </c>
    </row>
    <row r="319" spans="1:5" outlineLevel="1">
      <c r="A319" s="1">
        <v>3</v>
      </c>
      <c r="B319" s="1" t="s">
        <v>9565</v>
      </c>
    </row>
    <row r="320" spans="1:5" outlineLevel="1">
      <c r="A320" s="1">
        <v>4</v>
      </c>
      <c r="B320" s="1" t="s">
        <v>9566</v>
      </c>
    </row>
    <row r="321" spans="1:2" outlineLevel="1">
      <c r="A321" s="1">
        <v>5</v>
      </c>
      <c r="B321" s="1" t="s">
        <v>9567</v>
      </c>
    </row>
    <row r="322" spans="1:2" outlineLevel="1">
      <c r="A322" s="1">
        <v>6</v>
      </c>
      <c r="B322" s="1" t="s">
        <v>9568</v>
      </c>
    </row>
    <row r="323" spans="1:2" outlineLevel="1"/>
    <row r="324" spans="1:2">
      <c r="B324" s="3" t="s">
        <v>9419</v>
      </c>
    </row>
    <row r="325" spans="1:2" outlineLevel="1"/>
    <row r="326" spans="1:2" ht="39.75" outlineLevel="1" thickBot="1">
      <c r="A326" s="566" t="s">
        <v>9569</v>
      </c>
    </row>
    <row r="327" spans="1:2" ht="17.25" outlineLevel="1" thickTop="1">
      <c r="A327" s="548" t="s">
        <v>9570</v>
      </c>
      <c r="B327" s="942">
        <v>5000</v>
      </c>
    </row>
    <row r="328" spans="1:2" ht="16.5" outlineLevel="1">
      <c r="A328" s="548" t="s">
        <v>9571</v>
      </c>
      <c r="B328" s="942" t="s">
        <v>9572</v>
      </c>
    </row>
    <row r="329" spans="1:2" ht="16.5" outlineLevel="1">
      <c r="A329" s="548" t="s">
        <v>9573</v>
      </c>
      <c r="B329" s="942" t="s">
        <v>9574</v>
      </c>
    </row>
    <row r="330" spans="1:2" ht="16.5" outlineLevel="1">
      <c r="A330" s="548" t="s">
        <v>9575</v>
      </c>
      <c r="B330" s="942">
        <v>5</v>
      </c>
    </row>
    <row r="331" spans="1:2" ht="16.5" outlineLevel="1">
      <c r="A331" s="548" t="s">
        <v>9196</v>
      </c>
      <c r="B331" s="942" t="s">
        <v>9576</v>
      </c>
    </row>
    <row r="332" spans="1:2" ht="16.5" outlineLevel="1">
      <c r="A332" s="548" t="s">
        <v>9577</v>
      </c>
      <c r="B332" s="942" t="s">
        <v>9578</v>
      </c>
    </row>
    <row r="333" spans="1:2" ht="16.5" outlineLevel="1">
      <c r="A333" s="548" t="s">
        <v>9579</v>
      </c>
      <c r="B333" s="942">
        <f>B203</f>
        <v>10000</v>
      </c>
    </row>
    <row r="334" spans="1:2" outlineLevel="1"/>
    <row r="335" spans="1:2" outlineLevel="1"/>
    <row r="336" spans="1:2" outlineLevel="1"/>
    <row r="337" spans="1:7" ht="39.75" thickBot="1">
      <c r="A337" s="566" t="s">
        <v>9580</v>
      </c>
    </row>
    <row r="338" spans="1:7" ht="15" outlineLevel="1" thickTop="1"/>
    <row r="339" spans="1:7" outlineLevel="1">
      <c r="A339" s="1" t="s">
        <v>9559</v>
      </c>
      <c r="B339" s="1" t="s">
        <v>9581</v>
      </c>
      <c r="C339" s="1" t="s">
        <v>9582</v>
      </c>
      <c r="D339" s="1" t="s">
        <v>9583</v>
      </c>
      <c r="E339" s="1" t="s">
        <v>9584</v>
      </c>
      <c r="F339" s="1" t="s">
        <v>9585</v>
      </c>
      <c r="G339" s="1" t="s">
        <v>9586</v>
      </c>
    </row>
    <row r="340" spans="1:7" ht="16.5" outlineLevel="1">
      <c r="A340" s="578" t="s">
        <v>5851</v>
      </c>
      <c r="B340" s="574">
        <v>15</v>
      </c>
      <c r="C340" s="574">
        <v>20</v>
      </c>
      <c r="D340" s="574">
        <v>50</v>
      </c>
      <c r="E340" s="574">
        <v>100</v>
      </c>
      <c r="F340" s="574">
        <v>75</v>
      </c>
      <c r="G340" s="574">
        <v>95</v>
      </c>
    </row>
    <row r="341" spans="1:7" ht="16.5" outlineLevel="1">
      <c r="A341" s="579" t="s">
        <v>6733</v>
      </c>
      <c r="B341" s="574">
        <v>50</v>
      </c>
      <c r="C341" s="574">
        <v>100</v>
      </c>
      <c r="D341" s="574">
        <v>150</v>
      </c>
      <c r="E341" s="574">
        <v>500</v>
      </c>
      <c r="F341" s="574">
        <v>250</v>
      </c>
      <c r="G341" s="574">
        <v>325</v>
      </c>
    </row>
    <row r="342" spans="1:7" ht="16.5" outlineLevel="1">
      <c r="A342" s="578" t="s">
        <v>6979</v>
      </c>
      <c r="B342" s="574">
        <v>500</v>
      </c>
      <c r="C342" s="574">
        <v>1000</v>
      </c>
      <c r="D342" s="574">
        <v>1500</v>
      </c>
      <c r="E342" s="574">
        <v>5000</v>
      </c>
      <c r="F342" s="574">
        <v>750</v>
      </c>
      <c r="G342" s="574">
        <v>950</v>
      </c>
    </row>
    <row r="343" spans="1:7" ht="16.5" outlineLevel="1">
      <c r="A343" s="579" t="s">
        <v>7184</v>
      </c>
      <c r="B343" s="574">
        <v>5000</v>
      </c>
      <c r="C343" s="574">
        <v>10000</v>
      </c>
      <c r="D343" s="574">
        <v>15000</v>
      </c>
      <c r="E343" s="574">
        <v>50000</v>
      </c>
      <c r="F343" s="574">
        <v>1500</v>
      </c>
      <c r="G343" s="574">
        <v>1875</v>
      </c>
    </row>
    <row r="344" spans="1:7" ht="16.5" outlineLevel="1">
      <c r="A344" s="580" t="s">
        <v>2070</v>
      </c>
      <c r="B344" s="574">
        <v>25000</v>
      </c>
      <c r="C344" s="574">
        <v>50000</v>
      </c>
      <c r="D344" s="574">
        <v>150000</v>
      </c>
      <c r="E344" s="574">
        <v>500000</v>
      </c>
      <c r="F344" s="574">
        <v>5000</v>
      </c>
      <c r="G344" s="574">
        <v>6500</v>
      </c>
    </row>
    <row r="345" spans="1:7" outlineLevel="1"/>
    <row r="346" spans="1:7" outlineLevel="1"/>
    <row r="347" spans="1:7" outlineLevel="1">
      <c r="A347" s="1" t="s">
        <v>5845</v>
      </c>
      <c r="B347" s="1" t="s">
        <v>9587</v>
      </c>
      <c r="C347" s="1" t="s">
        <v>9588</v>
      </c>
      <c r="E347" s="1" t="s">
        <v>9589</v>
      </c>
      <c r="F347" s="1" t="s">
        <v>551</v>
      </c>
      <c r="G347" s="521" t="s">
        <v>7706</v>
      </c>
    </row>
    <row r="348" spans="1:7" ht="16.5" outlineLevel="1">
      <c r="A348" s="1" t="s">
        <v>9590</v>
      </c>
      <c r="B348" s="574">
        <v>3</v>
      </c>
      <c r="C348" s="574">
        <v>5</v>
      </c>
      <c r="E348" s="1" t="s">
        <v>9591</v>
      </c>
      <c r="F348" s="1" t="s">
        <v>9592</v>
      </c>
      <c r="G348" s="581">
        <v>-0.1</v>
      </c>
    </row>
    <row r="349" spans="1:7" ht="16.5" outlineLevel="1">
      <c r="A349" s="1" t="s">
        <v>9593</v>
      </c>
      <c r="B349" s="574">
        <v>4</v>
      </c>
      <c r="C349" s="574">
        <v>6</v>
      </c>
      <c r="E349" s="1" t="s">
        <v>9594</v>
      </c>
      <c r="F349" s="1" t="s">
        <v>9595</v>
      </c>
      <c r="G349" s="581">
        <v>0.1</v>
      </c>
    </row>
    <row r="350" spans="1:7" ht="16.5" outlineLevel="1">
      <c r="A350" s="1" t="s">
        <v>9596</v>
      </c>
      <c r="B350" s="574">
        <v>5</v>
      </c>
      <c r="C350" s="574">
        <v>7</v>
      </c>
      <c r="E350" s="1" t="s">
        <v>9597</v>
      </c>
      <c r="F350" s="1" t="s">
        <v>9598</v>
      </c>
      <c r="G350" s="581">
        <v>-0.05</v>
      </c>
    </row>
    <row r="351" spans="1:7" ht="16.5" outlineLevel="1">
      <c r="A351" s="1" t="s">
        <v>9599</v>
      </c>
      <c r="B351" s="574">
        <v>6</v>
      </c>
      <c r="C351" s="574">
        <v>8</v>
      </c>
      <c r="F351" s="578" t="s">
        <v>9590</v>
      </c>
      <c r="G351" s="581">
        <v>-0.1</v>
      </c>
    </row>
    <row r="352" spans="1:7" ht="16.5" outlineLevel="1">
      <c r="F352" s="579" t="s">
        <v>9593</v>
      </c>
      <c r="G352" s="581">
        <v>-0.05</v>
      </c>
    </row>
    <row r="353" spans="1:7" ht="16.5" outlineLevel="1">
      <c r="A353" s="1" t="s">
        <v>9600</v>
      </c>
      <c r="F353" s="578" t="s">
        <v>9596</v>
      </c>
      <c r="G353" s="581">
        <v>0</v>
      </c>
    </row>
    <row r="354" spans="1:7" ht="16.5" outlineLevel="1">
      <c r="A354" s="1" t="s">
        <v>9601</v>
      </c>
      <c r="B354" s="582" t="s">
        <v>9602</v>
      </c>
      <c r="C354" s="582" t="s">
        <v>9603</v>
      </c>
      <c r="F354" s="579" t="s">
        <v>9599</v>
      </c>
      <c r="G354" s="581">
        <v>0.1</v>
      </c>
    </row>
    <row r="355" spans="1:7" ht="16.5" outlineLevel="1">
      <c r="A355" s="1" t="s">
        <v>9604</v>
      </c>
      <c r="B355" s="582" t="s">
        <v>9605</v>
      </c>
      <c r="C355" s="582" t="s">
        <v>9606</v>
      </c>
      <c r="F355" s="1" t="s">
        <v>9607</v>
      </c>
      <c r="G355" s="581">
        <v>-0.1</v>
      </c>
    </row>
    <row r="356" spans="1:7" ht="16.5" outlineLevel="1">
      <c r="A356" s="1" t="s">
        <v>9608</v>
      </c>
      <c r="F356" s="1" t="s">
        <v>9609</v>
      </c>
      <c r="G356" s="581">
        <v>0.85</v>
      </c>
    </row>
    <row r="357" spans="1:7" ht="16.5" outlineLevel="1">
      <c r="F357" s="1" t="s">
        <v>9610</v>
      </c>
      <c r="G357" s="581">
        <v>1.25</v>
      </c>
    </row>
    <row r="358" spans="1:7" outlineLevel="1">
      <c r="A358" s="1" t="s">
        <v>9611</v>
      </c>
      <c r="B358" s="1" t="s">
        <v>551</v>
      </c>
      <c r="G358" s="521"/>
    </row>
    <row r="359" spans="1:7" outlineLevel="1">
      <c r="A359" s="1" t="s">
        <v>9612</v>
      </c>
      <c r="B359" s="539" t="s">
        <v>9613</v>
      </c>
    </row>
    <row r="360" spans="1:7" outlineLevel="1">
      <c r="A360" s="1" t="s">
        <v>9614</v>
      </c>
      <c r="B360" s="571" t="s">
        <v>9615</v>
      </c>
    </row>
    <row r="361" spans="1:7" outlineLevel="1">
      <c r="A361" s="1" t="s">
        <v>6811</v>
      </c>
      <c r="B361" s="539" t="s">
        <v>9616</v>
      </c>
    </row>
    <row r="362" spans="1:7" outlineLevel="1">
      <c r="A362" s="1" t="s">
        <v>9617</v>
      </c>
      <c r="B362" s="571" t="s">
        <v>9618</v>
      </c>
    </row>
    <row r="363" spans="1:7" outlineLevel="1">
      <c r="A363" s="1" t="s">
        <v>9619</v>
      </c>
      <c r="B363" s="539" t="s">
        <v>9620</v>
      </c>
    </row>
    <row r="364" spans="1:7" outlineLevel="1">
      <c r="A364" s="1" t="s">
        <v>9621</v>
      </c>
      <c r="B364" s="583" t="s">
        <v>9622</v>
      </c>
    </row>
    <row r="365" spans="1:7" outlineLevel="1">
      <c r="A365" s="1" t="s">
        <v>9623</v>
      </c>
      <c r="B365" s="539" t="s">
        <v>9624</v>
      </c>
    </row>
    <row r="366" spans="1:7" outlineLevel="1">
      <c r="A366" s="1" t="s">
        <v>2858</v>
      </c>
      <c r="B366" s="539"/>
    </row>
    <row r="367" spans="1:7" outlineLevel="1">
      <c r="A367" s="1" t="s">
        <v>9625</v>
      </c>
      <c r="B367" s="571" t="s">
        <v>9626</v>
      </c>
    </row>
    <row r="368" spans="1:7" outlineLevel="1">
      <c r="A368" s="1" t="s">
        <v>6820</v>
      </c>
      <c r="B368" s="539" t="s">
        <v>9627</v>
      </c>
    </row>
    <row r="369" spans="1:2" outlineLevel="1">
      <c r="A369" s="1" t="s">
        <v>9628</v>
      </c>
      <c r="B369" s="571" t="s">
        <v>9629</v>
      </c>
    </row>
    <row r="370" spans="1:2" outlineLevel="1">
      <c r="A370" s="1" t="s">
        <v>6823</v>
      </c>
      <c r="B370" s="539" t="s">
        <v>9630</v>
      </c>
    </row>
    <row r="371" spans="1:2" outlineLevel="1">
      <c r="A371" s="1" t="s">
        <v>9631</v>
      </c>
      <c r="B371" s="583" t="s">
        <v>9632</v>
      </c>
    </row>
    <row r="372" spans="1:2" outlineLevel="1">
      <c r="A372" s="1" t="s">
        <v>9633</v>
      </c>
      <c r="B372" s="539" t="s">
        <v>9634</v>
      </c>
    </row>
    <row r="373" spans="1:2" outlineLevel="1">
      <c r="A373" s="1" t="s">
        <v>6831</v>
      </c>
      <c r="B373" s="571" t="s">
        <v>9635</v>
      </c>
    </row>
    <row r="374" spans="1:2" outlineLevel="1">
      <c r="A374" s="1" t="s">
        <v>6832</v>
      </c>
      <c r="B374" s="539" t="s">
        <v>9636</v>
      </c>
    </row>
    <row r="375" spans="1:2" outlineLevel="1">
      <c r="A375" s="1" t="s">
        <v>1845</v>
      </c>
      <c r="B375" s="539"/>
    </row>
    <row r="376" spans="1:2" outlineLevel="1">
      <c r="A376" s="1" t="s">
        <v>9637</v>
      </c>
      <c r="B376" s="583" t="s">
        <v>9638</v>
      </c>
    </row>
    <row r="377" spans="1:2" outlineLevel="1">
      <c r="A377" s="1" t="s">
        <v>9639</v>
      </c>
      <c r="B377" s="539" t="s">
        <v>9640</v>
      </c>
    </row>
    <row r="378" spans="1:2" outlineLevel="1">
      <c r="A378" s="1" t="s">
        <v>9641</v>
      </c>
      <c r="B378" s="583" t="s">
        <v>9642</v>
      </c>
    </row>
    <row r="379" spans="1:2" outlineLevel="1">
      <c r="A379" s="1" t="s">
        <v>9643</v>
      </c>
      <c r="B379" s="539" t="s">
        <v>9644</v>
      </c>
    </row>
    <row r="380" spans="1:2" outlineLevel="1">
      <c r="A380" s="1" t="s">
        <v>9645</v>
      </c>
      <c r="B380" s="571" t="s">
        <v>9646</v>
      </c>
    </row>
    <row r="381" spans="1:2" outlineLevel="1">
      <c r="B381" s="539"/>
    </row>
    <row r="382" spans="1:2" outlineLevel="1"/>
    <row r="383" spans="1:2" outlineLevel="1">
      <c r="B383" s="539"/>
    </row>
    <row r="384" spans="1:2" outlineLevel="1">
      <c r="A384" s="584"/>
    </row>
    <row r="385" spans="1:4" outlineLevel="1"/>
    <row r="386" spans="1:4" ht="39.75" thickBot="1">
      <c r="A386" s="566" t="s">
        <v>9647</v>
      </c>
    </row>
    <row r="387" spans="1:4" ht="15" outlineLevel="1" thickTop="1">
      <c r="A387" s="1" t="s">
        <v>9648</v>
      </c>
      <c r="B387" s="1" t="s">
        <v>9649</v>
      </c>
      <c r="D387" s="1" t="s">
        <v>9650</v>
      </c>
    </row>
    <row r="388" spans="1:4" outlineLevel="1">
      <c r="A388" s="1" t="s">
        <v>9651</v>
      </c>
      <c r="B388" s="1">
        <v>1500</v>
      </c>
      <c r="D388" s="505" t="s">
        <v>9652</v>
      </c>
    </row>
    <row r="389" spans="1:4" outlineLevel="1">
      <c r="A389" s="1" t="s">
        <v>9653</v>
      </c>
      <c r="B389" s="1">
        <v>1500</v>
      </c>
      <c r="D389" s="505" t="s">
        <v>9654</v>
      </c>
    </row>
    <row r="390" spans="1:4" outlineLevel="1">
      <c r="A390" s="1" t="s">
        <v>9655</v>
      </c>
      <c r="B390" s="1">
        <v>1000</v>
      </c>
      <c r="D390" s="505" t="s">
        <v>9656</v>
      </c>
    </row>
    <row r="391" spans="1:4" outlineLevel="1">
      <c r="A391" s="1" t="s">
        <v>9657</v>
      </c>
      <c r="B391" s="1">
        <v>6000</v>
      </c>
      <c r="D391" s="505" t="s">
        <v>9658</v>
      </c>
    </row>
    <row r="392" spans="1:4" outlineLevel="1">
      <c r="A392" s="1" t="s">
        <v>9659</v>
      </c>
      <c r="B392" s="1">
        <v>6000</v>
      </c>
      <c r="D392" s="505" t="s">
        <v>9660</v>
      </c>
    </row>
    <row r="393" spans="1:4" outlineLevel="1">
      <c r="A393" s="1" t="s">
        <v>9661</v>
      </c>
      <c r="B393" s="1">
        <v>4000</v>
      </c>
      <c r="D393" s="505" t="s">
        <v>9662</v>
      </c>
    </row>
    <row r="394" spans="1:4" outlineLevel="1">
      <c r="A394" s="1" t="s">
        <v>9663</v>
      </c>
      <c r="B394" s="1">
        <v>24000</v>
      </c>
      <c r="D394" s="505" t="s">
        <v>9664</v>
      </c>
    </row>
    <row r="395" spans="1:4" outlineLevel="1">
      <c r="A395" s="1" t="s">
        <v>9665</v>
      </c>
      <c r="B395" s="1">
        <v>24000</v>
      </c>
      <c r="D395" s="505" t="s">
        <v>9666</v>
      </c>
    </row>
    <row r="396" spans="1:4" outlineLevel="1">
      <c r="A396" s="1" t="s">
        <v>9667</v>
      </c>
      <c r="B396" s="1">
        <v>16000</v>
      </c>
      <c r="D396" s="505" t="s">
        <v>9668</v>
      </c>
    </row>
    <row r="397" spans="1:4" outlineLevel="1">
      <c r="A397" s="1" t="s">
        <v>6732</v>
      </c>
      <c r="B397" s="1">
        <v>500</v>
      </c>
      <c r="D397" s="505" t="s">
        <v>9669</v>
      </c>
    </row>
    <row r="398" spans="1:4" outlineLevel="1">
      <c r="A398" s="1" t="s">
        <v>6833</v>
      </c>
      <c r="B398" s="1">
        <v>6000</v>
      </c>
      <c r="D398" s="505" t="s">
        <v>9670</v>
      </c>
    </row>
    <row r="399" spans="1:4" outlineLevel="1">
      <c r="A399" s="1" t="s">
        <v>9671</v>
      </c>
      <c r="B399" s="1">
        <v>25</v>
      </c>
      <c r="D399" s="505" t="s">
        <v>9672</v>
      </c>
    </row>
    <row r="400" spans="1:4" outlineLevel="1">
      <c r="A400" s="1" t="s">
        <v>9673</v>
      </c>
      <c r="B400" s="1">
        <v>100</v>
      </c>
      <c r="D400" s="505" t="s">
        <v>9674</v>
      </c>
    </row>
    <row r="401" spans="1:4" outlineLevel="1">
      <c r="A401" s="1" t="s">
        <v>9675</v>
      </c>
      <c r="B401" s="1">
        <v>400</v>
      </c>
      <c r="D401" s="505" t="s">
        <v>9676</v>
      </c>
    </row>
    <row r="402" spans="1:4" outlineLevel="1">
      <c r="A402" s="1" t="s">
        <v>7103</v>
      </c>
      <c r="B402" s="1">
        <v>8000</v>
      </c>
      <c r="D402" s="505" t="s">
        <v>9677</v>
      </c>
    </row>
    <row r="403" spans="1:4" outlineLevel="1">
      <c r="A403" s="1" t="s">
        <v>6837</v>
      </c>
      <c r="B403" s="1">
        <v>20000</v>
      </c>
      <c r="D403" s="505" t="s">
        <v>9678</v>
      </c>
    </row>
    <row r="404" spans="1:4" outlineLevel="1">
      <c r="A404" s="1" t="s">
        <v>7242</v>
      </c>
      <c r="B404" s="1">
        <v>160000</v>
      </c>
      <c r="D404" s="505" t="s">
        <v>9679</v>
      </c>
    </row>
    <row r="405" spans="1:4" outlineLevel="1">
      <c r="A405" s="1" t="s">
        <v>7233</v>
      </c>
      <c r="B405" s="1">
        <v>6000</v>
      </c>
      <c r="D405" s="505" t="s">
        <v>9680</v>
      </c>
    </row>
    <row r="406" spans="1:4" outlineLevel="1">
      <c r="A406" s="1" t="s">
        <v>7301</v>
      </c>
      <c r="B406" s="1">
        <v>10000</v>
      </c>
      <c r="D406" s="505" t="s">
        <v>9681</v>
      </c>
    </row>
    <row r="407" spans="1:4" outlineLevel="1">
      <c r="A407" s="1" t="s">
        <v>7276</v>
      </c>
      <c r="B407" s="1">
        <v>18000</v>
      </c>
      <c r="D407" s="505" t="s">
        <v>9682</v>
      </c>
    </row>
    <row r="408" spans="1:4" outlineLevel="1">
      <c r="A408" s="1" t="s">
        <v>9683</v>
      </c>
      <c r="B408" s="1">
        <v>6000</v>
      </c>
    </row>
    <row r="409" spans="1:4" outlineLevel="1">
      <c r="A409" s="1" t="s">
        <v>9684</v>
      </c>
      <c r="B409" s="1">
        <v>600</v>
      </c>
    </row>
    <row r="410" spans="1:4" outlineLevel="1">
      <c r="A410" s="1" t="s">
        <v>9685</v>
      </c>
      <c r="B410" s="1">
        <v>6000</v>
      </c>
    </row>
    <row r="411" spans="1:4" outlineLevel="1">
      <c r="A411" s="1" t="s">
        <v>6839</v>
      </c>
      <c r="B411" s="1">
        <v>4000</v>
      </c>
    </row>
    <row r="412" spans="1:4" outlineLevel="1">
      <c r="A412" s="1" t="s">
        <v>7107</v>
      </c>
      <c r="B412" s="1">
        <v>960</v>
      </c>
    </row>
    <row r="413" spans="1:4" outlineLevel="1">
      <c r="A413" s="1" t="s">
        <v>7109</v>
      </c>
      <c r="B413" s="1">
        <v>6000</v>
      </c>
    </row>
    <row r="414" spans="1:4" outlineLevel="1">
      <c r="A414" s="1" t="s">
        <v>6845</v>
      </c>
      <c r="B414" s="1">
        <v>2500</v>
      </c>
    </row>
    <row r="415" spans="1:4" outlineLevel="1">
      <c r="A415" s="1" t="s">
        <v>7113</v>
      </c>
      <c r="B415" s="1">
        <v>4000</v>
      </c>
    </row>
    <row r="416" spans="1:4" outlineLevel="1">
      <c r="A416" s="1" t="s">
        <v>7115</v>
      </c>
      <c r="B416" s="1">
        <v>4000</v>
      </c>
    </row>
    <row r="417" spans="1:2" outlineLevel="1">
      <c r="A417" s="1" t="s">
        <v>6848</v>
      </c>
      <c r="B417" s="1">
        <v>5000</v>
      </c>
    </row>
    <row r="418" spans="1:2" outlineLevel="1">
      <c r="A418" s="1" t="s">
        <v>6851</v>
      </c>
      <c r="B418" s="1">
        <v>10000</v>
      </c>
    </row>
    <row r="419" spans="1:2" outlineLevel="1">
      <c r="A419" s="1" t="s">
        <v>7117</v>
      </c>
      <c r="B419" s="1">
        <v>8000</v>
      </c>
    </row>
    <row r="420" spans="1:2" outlineLevel="1">
      <c r="A420" s="1" t="s">
        <v>6854</v>
      </c>
      <c r="B420" s="1">
        <v>1500</v>
      </c>
    </row>
    <row r="421" spans="1:2" outlineLevel="1">
      <c r="A421" s="1" t="s">
        <v>7119</v>
      </c>
      <c r="B421" s="1">
        <v>6000</v>
      </c>
    </row>
    <row r="422" spans="1:2" outlineLevel="1">
      <c r="A422" s="1" t="s">
        <v>7121</v>
      </c>
      <c r="B422" s="1">
        <v>8000</v>
      </c>
    </row>
    <row r="423" spans="1:2" outlineLevel="1">
      <c r="A423" s="1" t="s">
        <v>9686</v>
      </c>
      <c r="B423" s="1">
        <v>8000</v>
      </c>
    </row>
    <row r="424" spans="1:2" outlineLevel="1">
      <c r="A424" s="1" t="s">
        <v>6856</v>
      </c>
      <c r="B424" s="1">
        <v>7500</v>
      </c>
    </row>
    <row r="425" spans="1:2" outlineLevel="1">
      <c r="A425" s="1" t="s">
        <v>6858</v>
      </c>
      <c r="B425" s="1">
        <v>8000</v>
      </c>
    </row>
    <row r="426" spans="1:2" outlineLevel="1">
      <c r="A426" s="1" t="s">
        <v>6860</v>
      </c>
      <c r="B426" s="1">
        <v>1000</v>
      </c>
    </row>
    <row r="427" spans="1:2" outlineLevel="1">
      <c r="A427" s="1" t="s">
        <v>7123</v>
      </c>
      <c r="B427" s="1">
        <v>8000</v>
      </c>
    </row>
    <row r="428" spans="1:2" outlineLevel="1">
      <c r="A428" s="1" t="s">
        <v>7248</v>
      </c>
      <c r="B428" s="1">
        <v>12000</v>
      </c>
    </row>
    <row r="429" spans="1:2" outlineLevel="1">
      <c r="A429" s="1" t="s">
        <v>7125</v>
      </c>
      <c r="B429" s="1">
        <v>8000</v>
      </c>
    </row>
    <row r="430" spans="1:2" outlineLevel="1">
      <c r="A430" s="1" t="s">
        <v>7127</v>
      </c>
      <c r="B430" s="1">
        <v>1500</v>
      </c>
    </row>
    <row r="431" spans="1:2" outlineLevel="1">
      <c r="A431" s="1" t="s">
        <v>6864</v>
      </c>
      <c r="B431" s="1">
        <v>1500</v>
      </c>
    </row>
    <row r="432" spans="1:2" outlineLevel="1">
      <c r="A432" s="1" t="s">
        <v>7249</v>
      </c>
      <c r="B432" s="1">
        <v>5000</v>
      </c>
    </row>
    <row r="433" spans="1:2" outlineLevel="1">
      <c r="A433" s="1" t="s">
        <v>7129</v>
      </c>
      <c r="B433" s="1">
        <v>60000</v>
      </c>
    </row>
    <row r="434" spans="1:2" outlineLevel="1">
      <c r="A434" s="1" t="s">
        <v>6867</v>
      </c>
      <c r="B434" s="1">
        <v>5000</v>
      </c>
    </row>
    <row r="435" spans="1:2" outlineLevel="1">
      <c r="A435" s="1" t="s">
        <v>7304</v>
      </c>
      <c r="B435" s="1">
        <v>80000</v>
      </c>
    </row>
    <row r="436" spans="1:2" outlineLevel="1">
      <c r="A436" s="1" t="s">
        <v>6870</v>
      </c>
      <c r="B436" s="1">
        <v>3500</v>
      </c>
    </row>
    <row r="437" spans="1:2" outlineLevel="1">
      <c r="A437" s="1" t="s">
        <v>7131</v>
      </c>
      <c r="B437" s="1">
        <v>6000</v>
      </c>
    </row>
    <row r="438" spans="1:2" outlineLevel="1">
      <c r="A438" s="1" t="s">
        <v>6874</v>
      </c>
      <c r="B438" s="1">
        <v>6000</v>
      </c>
    </row>
    <row r="439" spans="1:2" outlineLevel="1">
      <c r="A439" s="1" t="s">
        <v>7250</v>
      </c>
      <c r="B439" s="1">
        <v>50000</v>
      </c>
    </row>
    <row r="440" spans="1:2" outlineLevel="1">
      <c r="A440" s="1" t="s">
        <v>7133</v>
      </c>
      <c r="B440" s="1">
        <v>16000</v>
      </c>
    </row>
    <row r="441" spans="1:2" outlineLevel="1">
      <c r="A441" s="1" t="s">
        <v>7308</v>
      </c>
      <c r="B441" s="1">
        <v>40000</v>
      </c>
    </row>
    <row r="442" spans="1:2" outlineLevel="1">
      <c r="A442" s="1" t="s">
        <v>7135</v>
      </c>
      <c r="B442" s="1">
        <v>75000</v>
      </c>
    </row>
    <row r="443" spans="1:2" outlineLevel="1">
      <c r="A443" s="1" t="s">
        <v>7081</v>
      </c>
      <c r="B443" s="1">
        <v>2500</v>
      </c>
    </row>
    <row r="444" spans="1:2" outlineLevel="1">
      <c r="A444" s="1" t="s">
        <v>7221</v>
      </c>
      <c r="B444" s="1">
        <v>2000</v>
      </c>
    </row>
    <row r="445" spans="1:2" outlineLevel="1">
      <c r="A445" s="1" t="s">
        <v>6876</v>
      </c>
      <c r="B445" s="1">
        <v>135000</v>
      </c>
    </row>
    <row r="446" spans="1:2" outlineLevel="1">
      <c r="A446" s="1" t="s">
        <v>6880</v>
      </c>
      <c r="B446" s="1">
        <v>6120</v>
      </c>
    </row>
    <row r="447" spans="1:2" outlineLevel="1">
      <c r="A447" s="1" t="s">
        <v>7292</v>
      </c>
      <c r="B447" s="1">
        <v>24000</v>
      </c>
    </row>
    <row r="448" spans="1:2" outlineLevel="1">
      <c r="A448" s="1" t="s">
        <v>7138</v>
      </c>
      <c r="B448" s="1">
        <v>3000</v>
      </c>
    </row>
    <row r="449" spans="1:2" outlineLevel="1">
      <c r="A449" s="1" t="s">
        <v>7238</v>
      </c>
      <c r="B449" s="1">
        <v>4000</v>
      </c>
    </row>
    <row r="450" spans="1:2" outlineLevel="1">
      <c r="A450" s="1" t="s">
        <v>9687</v>
      </c>
      <c r="B450" s="1">
        <v>8000</v>
      </c>
    </row>
    <row r="451" spans="1:2" outlineLevel="1">
      <c r="A451" s="1" t="s">
        <v>6883</v>
      </c>
      <c r="B451" s="1">
        <v>750</v>
      </c>
    </row>
    <row r="452" spans="1:2" outlineLevel="1">
      <c r="A452" s="1" t="s">
        <v>6887</v>
      </c>
      <c r="B452" s="1">
        <v>300</v>
      </c>
    </row>
    <row r="453" spans="1:2" outlineLevel="1">
      <c r="A453" s="1" t="s">
        <v>9688</v>
      </c>
      <c r="B453" s="1">
        <v>120</v>
      </c>
    </row>
    <row r="454" spans="1:2" outlineLevel="1">
      <c r="A454" s="1" t="s">
        <v>6892</v>
      </c>
      <c r="B454" s="1">
        <v>480</v>
      </c>
    </row>
    <row r="455" spans="1:2" outlineLevel="1">
      <c r="A455" s="1" t="s">
        <v>7239</v>
      </c>
      <c r="B455" s="1">
        <v>9000</v>
      </c>
    </row>
    <row r="456" spans="1:2" outlineLevel="1">
      <c r="A456" s="1" t="s">
        <v>7223</v>
      </c>
      <c r="B456" s="1">
        <v>18000</v>
      </c>
    </row>
    <row r="457" spans="1:2" outlineLevel="1">
      <c r="A457" s="1" t="s">
        <v>9689</v>
      </c>
      <c r="B457" s="1">
        <v>6000</v>
      </c>
    </row>
    <row r="458" spans="1:2" outlineLevel="1">
      <c r="A458" s="1" t="s">
        <v>7278</v>
      </c>
      <c r="B458" s="1">
        <v>20000</v>
      </c>
    </row>
    <row r="459" spans="1:2" outlineLevel="1">
      <c r="A459" s="1" t="s">
        <v>6879</v>
      </c>
      <c r="B459" s="1">
        <v>960</v>
      </c>
    </row>
    <row r="460" spans="1:2" outlineLevel="1">
      <c r="A460" s="1" t="s">
        <v>6994</v>
      </c>
      <c r="B460" s="1">
        <v>120</v>
      </c>
    </row>
    <row r="461" spans="1:2" outlineLevel="1">
      <c r="A461" s="1" t="s">
        <v>6986</v>
      </c>
      <c r="B461" s="1">
        <v>4000</v>
      </c>
    </row>
    <row r="462" spans="1:2" outlineLevel="1">
      <c r="A462" s="1" t="s">
        <v>6895</v>
      </c>
      <c r="B462" s="1">
        <v>1000</v>
      </c>
    </row>
    <row r="463" spans="1:2" outlineLevel="1">
      <c r="A463" s="1" t="s">
        <v>6898</v>
      </c>
      <c r="B463" s="1">
        <v>3000</v>
      </c>
    </row>
    <row r="464" spans="1:2" outlineLevel="1">
      <c r="A464" s="1" t="s">
        <v>6900</v>
      </c>
      <c r="B464" s="1">
        <v>2500</v>
      </c>
    </row>
    <row r="465" spans="1:2" outlineLevel="1">
      <c r="A465" s="1" t="s">
        <v>6902</v>
      </c>
      <c r="B465" s="1">
        <v>2500</v>
      </c>
    </row>
    <row r="466" spans="1:2" outlineLevel="1">
      <c r="A466" s="1" t="s">
        <v>9690</v>
      </c>
      <c r="B466" s="1">
        <v>5000</v>
      </c>
    </row>
    <row r="467" spans="1:2" outlineLevel="1">
      <c r="A467" s="1" t="s">
        <v>7155</v>
      </c>
      <c r="B467" s="1">
        <v>10000</v>
      </c>
    </row>
    <row r="468" spans="1:2" outlineLevel="1">
      <c r="A468" s="1" t="s">
        <v>7225</v>
      </c>
      <c r="B468" s="1">
        <v>2200</v>
      </c>
    </row>
    <row r="469" spans="1:2" outlineLevel="1">
      <c r="A469" s="1" t="s">
        <v>6907</v>
      </c>
      <c r="B469" s="1">
        <v>8000</v>
      </c>
    </row>
    <row r="470" spans="1:2" outlineLevel="1">
      <c r="A470" s="1" t="s">
        <v>6910</v>
      </c>
      <c r="B470" s="1">
        <v>5000</v>
      </c>
    </row>
    <row r="471" spans="1:2" outlineLevel="1">
      <c r="A471" s="1" t="s">
        <v>7156</v>
      </c>
      <c r="B471" s="1">
        <v>32000</v>
      </c>
    </row>
    <row r="472" spans="1:2" outlineLevel="1">
      <c r="A472" s="1" t="s">
        <v>9691</v>
      </c>
      <c r="B472" s="1">
        <v>7000</v>
      </c>
    </row>
    <row r="473" spans="1:2" outlineLevel="1">
      <c r="A473" s="1" t="s">
        <v>6988</v>
      </c>
      <c r="B473" s="1">
        <v>2000</v>
      </c>
    </row>
    <row r="474" spans="1:2" outlineLevel="1">
      <c r="A474" s="1" t="s">
        <v>6912</v>
      </c>
      <c r="B474" s="1">
        <v>3000</v>
      </c>
    </row>
    <row r="475" spans="1:2" outlineLevel="1">
      <c r="A475" s="1" t="s">
        <v>6914</v>
      </c>
      <c r="B475" s="1">
        <v>2000</v>
      </c>
    </row>
    <row r="476" spans="1:2" outlineLevel="1">
      <c r="A476" s="1" t="s">
        <v>6916</v>
      </c>
      <c r="B476" s="1">
        <v>5000</v>
      </c>
    </row>
    <row r="477" spans="1:2" outlineLevel="1">
      <c r="A477" s="1" t="s">
        <v>6918</v>
      </c>
      <c r="B477" s="1">
        <v>1500</v>
      </c>
    </row>
    <row r="478" spans="1:2" outlineLevel="1">
      <c r="A478" s="1" t="s">
        <v>9692</v>
      </c>
      <c r="B478" s="1">
        <v>600</v>
      </c>
    </row>
    <row r="479" spans="1:2" outlineLevel="1">
      <c r="A479" s="1" t="s">
        <v>7294</v>
      </c>
      <c r="B479" s="1">
        <v>16000</v>
      </c>
    </row>
    <row r="480" spans="1:2" outlineLevel="1">
      <c r="A480" s="1" t="s">
        <v>6920</v>
      </c>
      <c r="B480" s="1">
        <v>5000</v>
      </c>
    </row>
    <row r="481" spans="1:2" outlineLevel="1">
      <c r="A481" s="1" t="s">
        <v>6923</v>
      </c>
      <c r="B481" s="1">
        <v>8000</v>
      </c>
    </row>
    <row r="482" spans="1:2" outlineLevel="1">
      <c r="A482" s="1" t="s">
        <v>6925</v>
      </c>
      <c r="B482" s="1">
        <v>500</v>
      </c>
    </row>
    <row r="483" spans="1:2" outlineLevel="1">
      <c r="A483" s="1" t="s">
        <v>6927</v>
      </c>
      <c r="B483" s="1">
        <v>12000</v>
      </c>
    </row>
    <row r="484" spans="1:2" outlineLevel="1">
      <c r="A484" s="1" t="s">
        <v>7157</v>
      </c>
      <c r="B484" s="1">
        <v>64000</v>
      </c>
    </row>
    <row r="485" spans="1:2" outlineLevel="1">
      <c r="A485" s="1" t="s">
        <v>7158</v>
      </c>
      <c r="B485" s="1">
        <v>2000</v>
      </c>
    </row>
    <row r="486" spans="1:2" outlineLevel="1">
      <c r="A486" s="1" t="s">
        <v>7295</v>
      </c>
      <c r="B486" s="1">
        <v>165000</v>
      </c>
    </row>
    <row r="487" spans="1:2" outlineLevel="1">
      <c r="A487" s="1" t="s">
        <v>7159</v>
      </c>
      <c r="B487" s="1">
        <v>450</v>
      </c>
    </row>
    <row r="488" spans="1:2" outlineLevel="1">
      <c r="A488" s="1" t="s">
        <v>7160</v>
      </c>
      <c r="B488" s="1">
        <v>8400</v>
      </c>
    </row>
    <row r="489" spans="1:2" outlineLevel="1">
      <c r="A489" s="1" t="s">
        <v>7254</v>
      </c>
      <c r="B489" s="1">
        <v>11200</v>
      </c>
    </row>
    <row r="490" spans="1:2" outlineLevel="1">
      <c r="A490" s="1" t="s">
        <v>7311</v>
      </c>
      <c r="B490" s="1">
        <v>14000</v>
      </c>
    </row>
    <row r="491" spans="1:2" outlineLevel="1">
      <c r="A491" s="1" t="s">
        <v>7161</v>
      </c>
      <c r="B491" s="1">
        <v>5600</v>
      </c>
    </row>
    <row r="492" spans="1:2" outlineLevel="1">
      <c r="A492" s="1" t="s">
        <v>7255</v>
      </c>
      <c r="B492" s="1">
        <v>1500</v>
      </c>
    </row>
    <row r="493" spans="1:2" outlineLevel="1">
      <c r="A493" s="1" t="s">
        <v>7162</v>
      </c>
      <c r="B493" s="1">
        <v>5000</v>
      </c>
    </row>
    <row r="494" spans="1:2" outlineLevel="1">
      <c r="A494" s="1" t="s">
        <v>6785</v>
      </c>
      <c r="B494" s="1">
        <v>5000</v>
      </c>
    </row>
    <row r="495" spans="1:2" outlineLevel="1">
      <c r="A495" s="1" t="s">
        <v>7256</v>
      </c>
      <c r="B495" s="1">
        <v>109000</v>
      </c>
    </row>
    <row r="496" spans="1:2" outlineLevel="1">
      <c r="A496" s="1" t="s">
        <v>7163</v>
      </c>
      <c r="B496" s="1">
        <v>30000</v>
      </c>
    </row>
    <row r="497" spans="1:2" outlineLevel="1">
      <c r="A497" s="1" t="s">
        <v>7165</v>
      </c>
      <c r="B497" s="1">
        <v>35000</v>
      </c>
    </row>
    <row r="498" spans="1:2" outlineLevel="1">
      <c r="A498" s="1" t="s">
        <v>6930</v>
      </c>
      <c r="B498" s="1">
        <v>28500</v>
      </c>
    </row>
    <row r="499" spans="1:2" outlineLevel="1">
      <c r="A499" s="1" t="s">
        <v>6933</v>
      </c>
      <c r="B499" s="1">
        <v>26500</v>
      </c>
    </row>
    <row r="500" spans="1:2" outlineLevel="1">
      <c r="A500" s="1" t="s">
        <v>6935</v>
      </c>
      <c r="B500" s="1">
        <v>27000</v>
      </c>
    </row>
    <row r="501" spans="1:2" outlineLevel="1">
      <c r="A501" s="1" t="s">
        <v>7312</v>
      </c>
      <c r="B501" s="1">
        <v>125000</v>
      </c>
    </row>
    <row r="502" spans="1:2" outlineLevel="1">
      <c r="A502" s="1" t="s">
        <v>7257</v>
      </c>
      <c r="B502" s="1">
        <v>2400</v>
      </c>
    </row>
    <row r="503" spans="1:2" outlineLevel="1">
      <c r="A503" s="1" t="s">
        <v>7258</v>
      </c>
      <c r="B503" s="1">
        <v>3000</v>
      </c>
    </row>
    <row r="504" spans="1:2" outlineLevel="1">
      <c r="A504" s="1" t="s">
        <v>7166</v>
      </c>
      <c r="B504" s="1">
        <v>12000</v>
      </c>
    </row>
    <row r="505" spans="1:2" outlineLevel="1">
      <c r="A505" s="1" t="s">
        <v>7259</v>
      </c>
      <c r="B505" s="1">
        <v>3000</v>
      </c>
    </row>
    <row r="506" spans="1:2" outlineLevel="1">
      <c r="A506" s="1" t="s">
        <v>7313</v>
      </c>
      <c r="B506" s="1">
        <v>31000</v>
      </c>
    </row>
    <row r="507" spans="1:2" outlineLevel="1">
      <c r="A507" s="1" t="s">
        <v>7260</v>
      </c>
      <c r="B507" s="1">
        <v>3000</v>
      </c>
    </row>
    <row r="508" spans="1:2" outlineLevel="1">
      <c r="A508" s="1" t="s">
        <v>7261</v>
      </c>
      <c r="B508" s="1">
        <v>3000</v>
      </c>
    </row>
    <row r="509" spans="1:2" outlineLevel="1">
      <c r="A509" s="1" t="s">
        <v>7262</v>
      </c>
      <c r="B509" s="1">
        <v>3000</v>
      </c>
    </row>
    <row r="510" spans="1:2" outlineLevel="1">
      <c r="A510" s="1" t="s">
        <v>7314</v>
      </c>
      <c r="B510" s="1">
        <v>15000</v>
      </c>
    </row>
    <row r="511" spans="1:2" outlineLevel="1">
      <c r="A511" s="1" t="s">
        <v>7167</v>
      </c>
      <c r="B511" s="1">
        <v>1200</v>
      </c>
    </row>
    <row r="512" spans="1:2" outlineLevel="1">
      <c r="A512" s="1" t="s">
        <v>7315</v>
      </c>
      <c r="B512" s="1">
        <v>4000</v>
      </c>
    </row>
    <row r="513" spans="1:2" outlineLevel="1">
      <c r="A513" s="1" t="s">
        <v>7168</v>
      </c>
      <c r="B513" s="1">
        <v>6000</v>
      </c>
    </row>
    <row r="514" spans="1:2" outlineLevel="1">
      <c r="A514" s="1" t="s">
        <v>7263</v>
      </c>
      <c r="B514" s="1">
        <v>3000</v>
      </c>
    </row>
    <row r="515" spans="1:2" outlineLevel="1">
      <c r="A515" s="1" t="s">
        <v>7169</v>
      </c>
      <c r="B515" s="1">
        <v>1000</v>
      </c>
    </row>
    <row r="516" spans="1:2" outlineLevel="1">
      <c r="A516" s="1" t="s">
        <v>7170</v>
      </c>
      <c r="B516" s="1">
        <v>4000</v>
      </c>
    </row>
    <row r="517" spans="1:2" outlineLevel="1">
      <c r="A517" s="1" t="s">
        <v>9693</v>
      </c>
      <c r="B517" s="1">
        <v>20000</v>
      </c>
    </row>
    <row r="518" spans="1:2" outlineLevel="1">
      <c r="A518" s="1" t="s">
        <v>9694</v>
      </c>
      <c r="B518" s="1">
        <v>400</v>
      </c>
    </row>
    <row r="519" spans="1:2" outlineLevel="1">
      <c r="A519" s="1" t="s">
        <v>9695</v>
      </c>
      <c r="B519" s="1">
        <v>1000</v>
      </c>
    </row>
    <row r="520" spans="1:2" outlineLevel="1">
      <c r="A520" s="1" t="s">
        <v>6817</v>
      </c>
      <c r="B520" s="1">
        <v>1500</v>
      </c>
    </row>
    <row r="521" spans="1:2" outlineLevel="1">
      <c r="A521" s="1" t="s">
        <v>9696</v>
      </c>
      <c r="B521" s="1">
        <v>120</v>
      </c>
    </row>
    <row r="522" spans="1:2" outlineLevel="1">
      <c r="A522" s="1" t="s">
        <v>6940</v>
      </c>
      <c r="B522" s="1">
        <v>5000</v>
      </c>
    </row>
    <row r="523" spans="1:2" outlineLevel="1">
      <c r="A523" s="1" t="s">
        <v>7087</v>
      </c>
      <c r="B523" s="1">
        <v>8000</v>
      </c>
    </row>
    <row r="524" spans="1:2" outlineLevel="1">
      <c r="A524" s="1" t="s">
        <v>7090</v>
      </c>
      <c r="B524" s="1">
        <v>7000</v>
      </c>
    </row>
    <row r="525" spans="1:2" outlineLevel="1">
      <c r="A525" s="1" t="s">
        <v>7092</v>
      </c>
      <c r="B525" s="1">
        <v>8000</v>
      </c>
    </row>
    <row r="526" spans="1:2" outlineLevel="1">
      <c r="A526" s="1" t="s">
        <v>7172</v>
      </c>
      <c r="B526" s="1">
        <v>30000</v>
      </c>
    </row>
    <row r="527" spans="1:2" outlineLevel="1">
      <c r="A527" s="1" t="s">
        <v>9697</v>
      </c>
      <c r="B527" s="1">
        <v>6000</v>
      </c>
    </row>
    <row r="528" spans="1:2" outlineLevel="1">
      <c r="A528" s="1" t="s">
        <v>6736</v>
      </c>
      <c r="B528" s="1">
        <v>1500</v>
      </c>
    </row>
    <row r="529" spans="1:2" outlineLevel="1">
      <c r="A529" s="1" t="s">
        <v>6942</v>
      </c>
      <c r="B529" s="1">
        <v>3000</v>
      </c>
    </row>
    <row r="530" spans="1:2" outlineLevel="1">
      <c r="A530" s="1" t="s">
        <v>7268</v>
      </c>
      <c r="B530" s="1">
        <v>18000</v>
      </c>
    </row>
    <row r="531" spans="1:2" outlineLevel="1">
      <c r="A531" s="1" t="s">
        <v>6739</v>
      </c>
      <c r="B531" s="1">
        <v>800</v>
      </c>
    </row>
    <row r="532" spans="1:2" outlineLevel="1">
      <c r="A532" s="1" t="s">
        <v>6944</v>
      </c>
      <c r="B532" s="1">
        <v>1500</v>
      </c>
    </row>
    <row r="533" spans="1:2" outlineLevel="1">
      <c r="A533" s="1" t="s">
        <v>9698</v>
      </c>
      <c r="B533" s="1">
        <v>3840</v>
      </c>
    </row>
    <row r="534" spans="1:2" outlineLevel="1">
      <c r="A534" s="1" t="s">
        <v>9699</v>
      </c>
      <c r="B534" s="1">
        <v>1600</v>
      </c>
    </row>
    <row r="535" spans="1:2" outlineLevel="1">
      <c r="A535" s="1" t="s">
        <v>9700</v>
      </c>
      <c r="B535" s="1">
        <v>300</v>
      </c>
    </row>
    <row r="536" spans="1:2" outlineLevel="1">
      <c r="A536" s="1" t="s">
        <v>9701</v>
      </c>
      <c r="B536" s="1">
        <v>7680</v>
      </c>
    </row>
    <row r="537" spans="1:2" outlineLevel="1">
      <c r="A537" s="1" t="s">
        <v>9702</v>
      </c>
      <c r="B537" s="1">
        <v>960</v>
      </c>
    </row>
    <row r="538" spans="1:2" outlineLevel="1">
      <c r="A538" s="1" t="s">
        <v>9703</v>
      </c>
      <c r="B538" s="1">
        <v>480</v>
      </c>
    </row>
    <row r="539" spans="1:2" outlineLevel="1">
      <c r="A539" s="1" t="s">
        <v>9704</v>
      </c>
      <c r="B539" s="1">
        <v>8000</v>
      </c>
    </row>
    <row r="540" spans="1:2" outlineLevel="1">
      <c r="A540" s="1" t="s">
        <v>7269</v>
      </c>
      <c r="B540" s="1">
        <v>200</v>
      </c>
    </row>
    <row r="541" spans="1:2" outlineLevel="1">
      <c r="A541" s="1" t="s">
        <v>7227</v>
      </c>
      <c r="B541" s="1">
        <v>3500</v>
      </c>
    </row>
    <row r="542" spans="1:2" outlineLevel="1">
      <c r="A542" s="1" t="s">
        <v>9705</v>
      </c>
      <c r="B542" s="1">
        <v>128000</v>
      </c>
    </row>
    <row r="543" spans="1:2" outlineLevel="1">
      <c r="A543" s="1" t="s">
        <v>6996</v>
      </c>
      <c r="B543" s="1">
        <v>1920</v>
      </c>
    </row>
    <row r="544" spans="1:2" outlineLevel="1">
      <c r="A544" s="1" t="s">
        <v>7187</v>
      </c>
      <c r="B544" s="1">
        <v>3200</v>
      </c>
    </row>
    <row r="545" spans="1:2" outlineLevel="1">
      <c r="A545" s="1" t="s">
        <v>6748</v>
      </c>
      <c r="B545" s="1">
        <v>480</v>
      </c>
    </row>
    <row r="546" spans="1:2" outlineLevel="1">
      <c r="A546" s="1" t="s">
        <v>9706</v>
      </c>
      <c r="B546" s="1">
        <v>3000</v>
      </c>
    </row>
    <row r="547" spans="1:2" outlineLevel="1">
      <c r="A547" s="1" t="s">
        <v>6946</v>
      </c>
      <c r="B547" s="1">
        <v>6000</v>
      </c>
    </row>
    <row r="548" spans="1:2" outlineLevel="1">
      <c r="A548" s="1" t="s">
        <v>6948</v>
      </c>
      <c r="B548" s="1">
        <v>5000</v>
      </c>
    </row>
    <row r="549" spans="1:2" outlineLevel="1">
      <c r="A549" s="1" t="s">
        <v>7176</v>
      </c>
      <c r="B549" s="1">
        <v>5000</v>
      </c>
    </row>
    <row r="550" spans="1:2" outlineLevel="1">
      <c r="A550" s="1" t="s">
        <v>6950</v>
      </c>
      <c r="B550" s="1">
        <v>5000</v>
      </c>
    </row>
    <row r="551" spans="1:2" outlineLevel="1">
      <c r="A551" s="1" t="s">
        <v>6751</v>
      </c>
      <c r="B551" s="1">
        <v>90</v>
      </c>
    </row>
    <row r="552" spans="1:2" outlineLevel="1">
      <c r="A552" s="1" t="s">
        <v>6952</v>
      </c>
      <c r="B552" s="1">
        <v>6000</v>
      </c>
    </row>
    <row r="553" spans="1:2" outlineLevel="1">
      <c r="A553" s="1" t="s">
        <v>6955</v>
      </c>
      <c r="B553" s="1">
        <v>2000</v>
      </c>
    </row>
    <row r="554" spans="1:2" outlineLevel="1">
      <c r="A554" s="1" t="s">
        <v>7280</v>
      </c>
      <c r="B554" s="1">
        <v>48000</v>
      </c>
    </row>
    <row r="555" spans="1:2" outlineLevel="1">
      <c r="A555" s="1" t="s">
        <v>7177</v>
      </c>
      <c r="B555" s="1">
        <v>8000</v>
      </c>
    </row>
    <row r="556" spans="1:2" outlineLevel="1">
      <c r="A556" s="1" t="s">
        <v>6753</v>
      </c>
      <c r="B556" s="1">
        <v>200</v>
      </c>
    </row>
    <row r="557" spans="1:2" outlineLevel="1">
      <c r="A557" s="1" t="s">
        <v>6999</v>
      </c>
      <c r="B557" s="1">
        <v>960</v>
      </c>
    </row>
    <row r="558" spans="1:2" outlineLevel="1">
      <c r="A558" s="1" t="s">
        <v>6718</v>
      </c>
      <c r="B558" s="1">
        <v>180</v>
      </c>
    </row>
    <row r="559" spans="1:2" outlineLevel="1">
      <c r="A559" s="1" t="s">
        <v>7001</v>
      </c>
      <c r="B559" s="1">
        <v>270</v>
      </c>
    </row>
    <row r="560" spans="1:2" outlineLevel="1">
      <c r="A560" s="1" t="s">
        <v>6756</v>
      </c>
      <c r="B560" s="1">
        <v>150</v>
      </c>
    </row>
    <row r="561" spans="1:2" outlineLevel="1">
      <c r="A561" s="1" t="s">
        <v>7189</v>
      </c>
      <c r="B561" s="1">
        <v>500</v>
      </c>
    </row>
    <row r="562" spans="1:2" outlineLevel="1">
      <c r="A562" s="1" t="s">
        <v>7008</v>
      </c>
      <c r="B562" s="1">
        <v>300</v>
      </c>
    </row>
    <row r="563" spans="1:2" outlineLevel="1">
      <c r="A563" s="1" t="s">
        <v>6758</v>
      </c>
      <c r="B563" s="1">
        <v>150</v>
      </c>
    </row>
    <row r="564" spans="1:2" outlineLevel="1">
      <c r="A564" s="1" t="s">
        <v>6760</v>
      </c>
      <c r="B564" s="1">
        <v>270</v>
      </c>
    </row>
    <row r="565" spans="1:2" outlineLevel="1">
      <c r="A565" s="1" t="s">
        <v>9495</v>
      </c>
      <c r="B565" s="1">
        <v>50</v>
      </c>
    </row>
    <row r="566" spans="1:2" outlineLevel="1">
      <c r="A566" s="1" t="s">
        <v>7010</v>
      </c>
      <c r="B566" s="1">
        <v>180</v>
      </c>
    </row>
    <row r="567" spans="1:2" outlineLevel="1">
      <c r="A567" s="1" t="s">
        <v>7190</v>
      </c>
      <c r="B567" s="1">
        <v>180</v>
      </c>
    </row>
    <row r="568" spans="1:2" outlineLevel="1">
      <c r="A568" s="1" t="s">
        <v>7013</v>
      </c>
      <c r="B568" s="1">
        <v>3840</v>
      </c>
    </row>
    <row r="569" spans="1:2" outlineLevel="1">
      <c r="A569" s="1" t="s">
        <v>7191</v>
      </c>
      <c r="B569" s="1">
        <v>9000</v>
      </c>
    </row>
    <row r="570" spans="1:2" outlineLevel="1">
      <c r="A570" s="1" t="s">
        <v>7016</v>
      </c>
      <c r="B570" s="1">
        <v>180</v>
      </c>
    </row>
    <row r="571" spans="1:2" outlineLevel="1">
      <c r="A571" s="1" t="s">
        <v>6764</v>
      </c>
      <c r="B571" s="1">
        <v>100</v>
      </c>
    </row>
    <row r="572" spans="1:2" outlineLevel="1">
      <c r="A572" s="1" t="s">
        <v>6767</v>
      </c>
      <c r="B572" s="1">
        <v>300</v>
      </c>
    </row>
    <row r="573" spans="1:2" outlineLevel="1">
      <c r="A573" s="1" t="s">
        <v>7193</v>
      </c>
      <c r="B573" s="1">
        <v>400</v>
      </c>
    </row>
    <row r="574" spans="1:2" outlineLevel="1">
      <c r="A574" s="1" t="s">
        <v>7021</v>
      </c>
      <c r="B574" s="1">
        <v>450</v>
      </c>
    </row>
    <row r="575" spans="1:2" outlineLevel="1">
      <c r="A575" s="1" t="s">
        <v>7195</v>
      </c>
      <c r="B575" s="1">
        <v>1350</v>
      </c>
    </row>
    <row r="576" spans="1:2" outlineLevel="1">
      <c r="A576" s="1" t="s">
        <v>7197</v>
      </c>
      <c r="B576" s="1">
        <v>960</v>
      </c>
    </row>
    <row r="577" spans="1:2" outlineLevel="1">
      <c r="A577" s="1" t="s">
        <v>6768</v>
      </c>
      <c r="B577" s="1">
        <v>180</v>
      </c>
    </row>
    <row r="578" spans="1:2" outlineLevel="1">
      <c r="A578" s="1" t="s">
        <v>9707</v>
      </c>
      <c r="B578" s="1">
        <v>2000</v>
      </c>
    </row>
    <row r="579" spans="1:2" outlineLevel="1">
      <c r="A579" s="1" t="s">
        <v>9708</v>
      </c>
      <c r="B579" s="1">
        <v>4000</v>
      </c>
    </row>
    <row r="580" spans="1:2" outlineLevel="1">
      <c r="A580" s="1" t="s">
        <v>9709</v>
      </c>
      <c r="B580" s="1">
        <v>32000</v>
      </c>
    </row>
    <row r="581" spans="1:2" outlineLevel="1">
      <c r="A581" s="1" t="s">
        <v>9710</v>
      </c>
      <c r="B581" s="1">
        <v>1500</v>
      </c>
    </row>
    <row r="582" spans="1:2" outlineLevel="1">
      <c r="A582" s="1" t="s">
        <v>9711</v>
      </c>
      <c r="B582" s="1">
        <v>128000</v>
      </c>
    </row>
    <row r="583" spans="1:2" outlineLevel="1">
      <c r="A583" s="1" t="s">
        <v>9712</v>
      </c>
      <c r="B583" s="1">
        <v>96000</v>
      </c>
    </row>
    <row r="584" spans="1:2" outlineLevel="1">
      <c r="A584" s="1" t="s">
        <v>9713</v>
      </c>
      <c r="B584" s="1">
        <v>50</v>
      </c>
    </row>
    <row r="585" spans="1:2" outlineLevel="1">
      <c r="A585" s="1" t="s">
        <v>9714</v>
      </c>
      <c r="B585" s="1">
        <v>3000</v>
      </c>
    </row>
    <row r="586" spans="1:2" outlineLevel="1">
      <c r="A586" s="1" t="s">
        <v>9715</v>
      </c>
      <c r="B586" s="1">
        <v>250</v>
      </c>
    </row>
    <row r="587" spans="1:2" outlineLevel="1">
      <c r="A587" s="1" t="s">
        <v>9716</v>
      </c>
      <c r="B587" s="1">
        <v>3000</v>
      </c>
    </row>
    <row r="588" spans="1:2" outlineLevel="1">
      <c r="A588" s="1" t="s">
        <v>9717</v>
      </c>
      <c r="B588" s="1">
        <v>250</v>
      </c>
    </row>
    <row r="589" spans="1:2" outlineLevel="1">
      <c r="A589" s="1" t="s">
        <v>6957</v>
      </c>
      <c r="B589" s="1">
        <v>1000</v>
      </c>
    </row>
    <row r="590" spans="1:2" outlineLevel="1">
      <c r="A590" s="1" t="s">
        <v>9718</v>
      </c>
      <c r="B590" s="1">
        <v>35000</v>
      </c>
    </row>
    <row r="591" spans="1:2" outlineLevel="1">
      <c r="A591" s="1" t="s">
        <v>7023</v>
      </c>
      <c r="B591" s="1">
        <v>4000</v>
      </c>
    </row>
    <row r="592" spans="1:2" outlineLevel="1">
      <c r="A592" s="1" t="s">
        <v>9719</v>
      </c>
      <c r="B592" s="1">
        <v>31000</v>
      </c>
    </row>
    <row r="593" spans="1:2" outlineLevel="1">
      <c r="A593" s="1" t="s">
        <v>7026</v>
      </c>
      <c r="B593" s="1">
        <v>5000</v>
      </c>
    </row>
    <row r="594" spans="1:2" outlineLevel="1">
      <c r="A594" s="1" t="s">
        <v>7028</v>
      </c>
      <c r="B594" s="1">
        <v>2000</v>
      </c>
    </row>
    <row r="595" spans="1:2" outlineLevel="1">
      <c r="A595" s="1" t="s">
        <v>9720</v>
      </c>
      <c r="B595" s="1">
        <v>17000</v>
      </c>
    </row>
    <row r="596" spans="1:2" outlineLevel="1">
      <c r="A596" s="1" t="s">
        <v>7030</v>
      </c>
      <c r="B596" s="1">
        <v>20000</v>
      </c>
    </row>
    <row r="597" spans="1:2" outlineLevel="1">
      <c r="A597" s="1" t="s">
        <v>7285</v>
      </c>
      <c r="B597" s="1">
        <v>10000</v>
      </c>
    </row>
    <row r="598" spans="1:2" outlineLevel="1">
      <c r="A598" s="1" t="s">
        <v>6770</v>
      </c>
      <c r="B598" s="1">
        <v>2500</v>
      </c>
    </row>
    <row r="599" spans="1:2" outlineLevel="1">
      <c r="A599" s="1" t="s">
        <v>6775</v>
      </c>
      <c r="B599" s="1">
        <v>16000</v>
      </c>
    </row>
    <row r="600" spans="1:2" outlineLevel="1">
      <c r="A600" s="1" t="s">
        <v>7033</v>
      </c>
      <c r="B600" s="1">
        <v>3500</v>
      </c>
    </row>
    <row r="601" spans="1:2" outlineLevel="1">
      <c r="A601" s="1" t="s">
        <v>7183</v>
      </c>
      <c r="B601" s="1">
        <v>12000</v>
      </c>
    </row>
    <row r="602" spans="1:2" outlineLevel="1">
      <c r="A602" s="1" t="s">
        <v>7035</v>
      </c>
      <c r="B602" s="1">
        <v>6000</v>
      </c>
    </row>
    <row r="603" spans="1:2" outlineLevel="1">
      <c r="A603" s="1" t="s">
        <v>7185</v>
      </c>
      <c r="B603" s="1">
        <v>14000</v>
      </c>
    </row>
    <row r="604" spans="1:2" outlineLevel="1">
      <c r="A604" s="1" t="s">
        <v>7038</v>
      </c>
      <c r="B604" s="1">
        <v>24000</v>
      </c>
    </row>
    <row r="605" spans="1:2" outlineLevel="1">
      <c r="A605" s="1" t="s">
        <v>7286</v>
      </c>
      <c r="B605" s="1">
        <v>30000</v>
      </c>
    </row>
    <row r="606" spans="1:2" outlineLevel="1">
      <c r="A606" s="1" t="s">
        <v>6778</v>
      </c>
      <c r="B606" s="1">
        <v>3000</v>
      </c>
    </row>
    <row r="607" spans="1:2" outlineLevel="1">
      <c r="A607" s="1" t="s">
        <v>7186</v>
      </c>
      <c r="B607" s="1">
        <v>80000</v>
      </c>
    </row>
    <row r="608" spans="1:2" outlineLevel="1">
      <c r="A608" s="1" t="s">
        <v>7042</v>
      </c>
      <c r="B608" s="1">
        <v>5000</v>
      </c>
    </row>
    <row r="609" spans="1:2" outlineLevel="1">
      <c r="A609" s="1" t="s">
        <v>6781</v>
      </c>
      <c r="B609" s="1">
        <v>1000</v>
      </c>
    </row>
    <row r="610" spans="1:2" outlineLevel="1">
      <c r="A610" s="1" t="s">
        <v>9721</v>
      </c>
      <c r="B610" s="1">
        <v>25000</v>
      </c>
    </row>
    <row r="611" spans="1:2" outlineLevel="1">
      <c r="A611" s="1" t="s">
        <v>6783</v>
      </c>
      <c r="B611" s="1">
        <v>1500</v>
      </c>
    </row>
    <row r="612" spans="1:2" outlineLevel="1">
      <c r="A612" s="1" t="s">
        <v>9722</v>
      </c>
      <c r="B612" s="1">
        <v>6000</v>
      </c>
    </row>
    <row r="613" spans="1:2" outlineLevel="1">
      <c r="A613" s="1" t="s">
        <v>7179</v>
      </c>
      <c r="B613" s="1">
        <v>30000</v>
      </c>
    </row>
    <row r="614" spans="1:2" outlineLevel="1">
      <c r="A614" s="1" t="s">
        <v>7270</v>
      </c>
      <c r="B614" s="1">
        <v>6000</v>
      </c>
    </row>
    <row r="615" spans="1:2" outlineLevel="1">
      <c r="A615" s="1" t="s">
        <v>7272</v>
      </c>
      <c r="B615" s="1">
        <v>60000</v>
      </c>
    </row>
    <row r="616" spans="1:2" outlineLevel="1">
      <c r="A616" s="1" t="s">
        <v>7317</v>
      </c>
      <c r="B616" s="1">
        <v>34000</v>
      </c>
    </row>
    <row r="617" spans="1:2" outlineLevel="1">
      <c r="A617" s="1" t="s">
        <v>7199</v>
      </c>
      <c r="B617" s="1">
        <v>50000</v>
      </c>
    </row>
    <row r="618" spans="1:2" outlineLevel="1">
      <c r="A618" s="1" t="s">
        <v>7200</v>
      </c>
      <c r="B618" s="1">
        <v>25000</v>
      </c>
    </row>
    <row r="619" spans="1:2" outlineLevel="1">
      <c r="A619" s="1" t="s">
        <v>7288</v>
      </c>
      <c r="B619" s="1">
        <v>28000</v>
      </c>
    </row>
    <row r="620" spans="1:2" outlineLevel="1">
      <c r="A620" s="1" t="s">
        <v>7045</v>
      </c>
      <c r="B620" s="1">
        <v>16000</v>
      </c>
    </row>
    <row r="621" spans="1:2" outlineLevel="1">
      <c r="A621" s="1" t="s">
        <v>7202</v>
      </c>
      <c r="B621" s="1">
        <v>90000</v>
      </c>
    </row>
    <row r="622" spans="1:2" outlineLevel="1">
      <c r="A622" s="1" t="s">
        <v>6788</v>
      </c>
      <c r="B622" s="1">
        <v>12000</v>
      </c>
    </row>
    <row r="623" spans="1:2" outlineLevel="1">
      <c r="A623" s="1" t="s">
        <v>7048</v>
      </c>
      <c r="B623" s="1">
        <v>16000</v>
      </c>
    </row>
    <row r="624" spans="1:2" outlineLevel="1">
      <c r="A624" s="1" t="s">
        <v>7048</v>
      </c>
      <c r="B624" s="1">
        <v>28000</v>
      </c>
    </row>
    <row r="625" spans="1:2" outlineLevel="1">
      <c r="A625" s="1" t="s">
        <v>6963</v>
      </c>
      <c r="B625" s="1">
        <v>2000</v>
      </c>
    </row>
    <row r="626" spans="1:2" outlineLevel="1">
      <c r="A626" s="1" t="s">
        <v>7180</v>
      </c>
      <c r="B626" s="1">
        <v>4000</v>
      </c>
    </row>
    <row r="627" spans="1:2" outlineLevel="1">
      <c r="A627" s="1" t="s">
        <v>6965</v>
      </c>
      <c r="B627" s="1">
        <v>2000</v>
      </c>
    </row>
    <row r="628" spans="1:2" outlineLevel="1">
      <c r="A628" s="1" t="s">
        <v>7318</v>
      </c>
      <c r="B628" s="1">
        <v>36000</v>
      </c>
    </row>
    <row r="629" spans="1:2" outlineLevel="1">
      <c r="A629" s="1" t="s">
        <v>7228</v>
      </c>
      <c r="B629" s="1">
        <v>6000</v>
      </c>
    </row>
    <row r="630" spans="1:2" outlineLevel="1">
      <c r="A630" s="1" t="s">
        <v>7054</v>
      </c>
      <c r="B630" s="1">
        <v>180</v>
      </c>
    </row>
    <row r="631" spans="1:2" outlineLevel="1">
      <c r="A631" s="1" t="s">
        <v>6967</v>
      </c>
      <c r="B631" s="1">
        <v>2000</v>
      </c>
    </row>
    <row r="632" spans="1:2" outlineLevel="1">
      <c r="A632" s="1" t="s">
        <v>6742</v>
      </c>
      <c r="B632" s="1">
        <v>20000</v>
      </c>
    </row>
    <row r="633" spans="1:2" outlineLevel="1">
      <c r="A633" s="1" t="s">
        <v>9723</v>
      </c>
      <c r="B633" s="1">
        <v>8000</v>
      </c>
    </row>
    <row r="634" spans="1:2" outlineLevel="1">
      <c r="A634" s="1" t="s">
        <v>6990</v>
      </c>
      <c r="B634" s="1">
        <v>6000</v>
      </c>
    </row>
    <row r="635" spans="1:2" outlineLevel="1">
      <c r="A635" s="1" t="s">
        <v>9724</v>
      </c>
      <c r="B635" s="1">
        <v>5000</v>
      </c>
    </row>
    <row r="636" spans="1:2" outlineLevel="1">
      <c r="A636" s="1" t="s">
        <v>6969</v>
      </c>
      <c r="B636" s="1">
        <v>5000</v>
      </c>
    </row>
    <row r="637" spans="1:2" outlineLevel="1">
      <c r="A637" s="1" t="s">
        <v>7319</v>
      </c>
      <c r="B637" s="1">
        <v>400</v>
      </c>
    </row>
    <row r="638" spans="1:2" outlineLevel="1">
      <c r="A638" s="1" t="s">
        <v>6730</v>
      </c>
      <c r="B638" s="1">
        <v>10</v>
      </c>
    </row>
    <row r="639" spans="1:2" outlineLevel="1">
      <c r="A639" s="1" t="s">
        <v>9725</v>
      </c>
      <c r="B639" s="1">
        <v>60</v>
      </c>
    </row>
    <row r="640" spans="1:2" outlineLevel="1">
      <c r="A640" s="1" t="s">
        <v>9726</v>
      </c>
      <c r="B640" s="1">
        <v>120</v>
      </c>
    </row>
    <row r="641" spans="1:2" outlineLevel="1">
      <c r="A641" s="1" t="s">
        <v>9727</v>
      </c>
      <c r="B641" s="1">
        <v>200</v>
      </c>
    </row>
    <row r="642" spans="1:2" outlineLevel="1">
      <c r="A642" s="1" t="s">
        <v>9728</v>
      </c>
      <c r="B642" s="1">
        <v>320</v>
      </c>
    </row>
    <row r="643" spans="1:2" outlineLevel="1">
      <c r="A643" s="1" t="s">
        <v>9729</v>
      </c>
      <c r="B643" s="1">
        <v>640</v>
      </c>
    </row>
    <row r="644" spans="1:2" outlineLevel="1">
      <c r="A644" s="1" t="s">
        <v>9730</v>
      </c>
      <c r="B644" s="1">
        <v>1280</v>
      </c>
    </row>
    <row r="645" spans="1:2" outlineLevel="1">
      <c r="A645" s="1" t="s">
        <v>9731</v>
      </c>
      <c r="B645" s="1">
        <v>2560</v>
      </c>
    </row>
    <row r="646" spans="1:2" outlineLevel="1">
      <c r="A646" s="1" t="s">
        <v>9732</v>
      </c>
      <c r="B646" s="1">
        <v>5120</v>
      </c>
    </row>
    <row r="647" spans="1:2" outlineLevel="1">
      <c r="A647" s="1" t="s">
        <v>9733</v>
      </c>
      <c r="B647" s="1">
        <v>10240</v>
      </c>
    </row>
    <row r="648" spans="1:2" outlineLevel="1">
      <c r="A648" s="1" t="s">
        <v>7241</v>
      </c>
      <c r="B648" s="1">
        <v>50000</v>
      </c>
    </row>
    <row r="649" spans="1:2" outlineLevel="1">
      <c r="A649" s="1" t="s">
        <v>7320</v>
      </c>
      <c r="B649" s="1">
        <v>15000</v>
      </c>
    </row>
    <row r="650" spans="1:2" outlineLevel="1">
      <c r="A650" s="1" t="s">
        <v>7071</v>
      </c>
      <c r="B650" s="1">
        <v>12000</v>
      </c>
    </row>
    <row r="651" spans="1:2" outlineLevel="1">
      <c r="A651" s="1" t="s">
        <v>7207</v>
      </c>
      <c r="B651" s="1">
        <v>16000</v>
      </c>
    </row>
    <row r="652" spans="1:2" outlineLevel="1">
      <c r="A652" s="1" t="s">
        <v>7209</v>
      </c>
      <c r="B652" s="1">
        <v>26000</v>
      </c>
    </row>
    <row r="653" spans="1:2" outlineLevel="1">
      <c r="A653" s="1" t="s">
        <v>9734</v>
      </c>
      <c r="B653" s="1">
        <v>13000</v>
      </c>
    </row>
    <row r="654" spans="1:2" outlineLevel="1">
      <c r="A654" s="1" t="s">
        <v>7210</v>
      </c>
      <c r="B654" s="1">
        <v>95500</v>
      </c>
    </row>
    <row r="655" spans="1:2" outlineLevel="1">
      <c r="A655" s="1" t="s">
        <v>7212</v>
      </c>
      <c r="B655" s="1">
        <v>21000</v>
      </c>
    </row>
    <row r="656" spans="1:2" outlineLevel="1">
      <c r="A656" s="1" t="s">
        <v>9735</v>
      </c>
      <c r="B656" s="1">
        <v>16000</v>
      </c>
    </row>
    <row r="657" spans="1:2" outlineLevel="1">
      <c r="A657" s="1" t="s">
        <v>6794</v>
      </c>
      <c r="B657" s="1">
        <v>1800</v>
      </c>
    </row>
    <row r="658" spans="1:2" outlineLevel="1">
      <c r="A658" s="1" t="s">
        <v>6796</v>
      </c>
      <c r="B658" s="1">
        <v>2000</v>
      </c>
    </row>
    <row r="659" spans="1:2" outlineLevel="1">
      <c r="A659" s="1" t="s">
        <v>9736</v>
      </c>
      <c r="B659" s="1">
        <v>44000</v>
      </c>
    </row>
    <row r="660" spans="1:2" outlineLevel="1">
      <c r="A660" s="1" t="s">
        <v>7213</v>
      </c>
      <c r="B660" s="1">
        <v>10000</v>
      </c>
    </row>
    <row r="661" spans="1:2" outlineLevel="1">
      <c r="A661" s="1" t="s">
        <v>9737</v>
      </c>
      <c r="B661" s="1">
        <v>3000</v>
      </c>
    </row>
    <row r="662" spans="1:2" outlineLevel="1">
      <c r="A662" s="1" t="s">
        <v>7181</v>
      </c>
      <c r="B662" s="1">
        <v>8000</v>
      </c>
    </row>
    <row r="663" spans="1:2" outlineLevel="1">
      <c r="A663" s="1" t="s">
        <v>6971</v>
      </c>
      <c r="B663" s="1">
        <v>4200</v>
      </c>
    </row>
    <row r="664" spans="1:2" outlineLevel="1">
      <c r="A664" s="1" t="s">
        <v>9738</v>
      </c>
      <c r="B664" s="1">
        <v>12000</v>
      </c>
    </row>
    <row r="665" spans="1:2" outlineLevel="1">
      <c r="A665" s="1" t="s">
        <v>7298</v>
      </c>
      <c r="B665" s="1">
        <v>36000</v>
      </c>
    </row>
    <row r="666" spans="1:2" outlineLevel="1">
      <c r="A666" s="1" t="s">
        <v>9739</v>
      </c>
      <c r="B666" s="1">
        <v>1000</v>
      </c>
    </row>
    <row r="667" spans="1:2" outlineLevel="1">
      <c r="A667" s="1" t="s">
        <v>7230</v>
      </c>
      <c r="B667" s="1">
        <v>1700</v>
      </c>
    </row>
    <row r="668" spans="1:2" outlineLevel="1">
      <c r="A668" s="1" t="s">
        <v>9740</v>
      </c>
      <c r="B668" s="1">
        <v>2000</v>
      </c>
    </row>
    <row r="669" spans="1:2" outlineLevel="1">
      <c r="A669" s="1" t="s">
        <v>7321</v>
      </c>
      <c r="B669" s="1">
        <v>71680</v>
      </c>
    </row>
    <row r="670" spans="1:2" outlineLevel="1">
      <c r="A670" s="1" t="s">
        <v>7325</v>
      </c>
      <c r="B670" s="1">
        <v>20000</v>
      </c>
    </row>
    <row r="671" spans="1:2" outlineLevel="1">
      <c r="A671" s="1" t="s">
        <v>7323</v>
      </c>
      <c r="B671" s="1">
        <v>61440</v>
      </c>
    </row>
    <row r="672" spans="1:2" outlineLevel="1">
      <c r="A672" s="1" t="s">
        <v>7051</v>
      </c>
      <c r="B672" s="1">
        <v>5000</v>
      </c>
    </row>
    <row r="673" spans="1:2" outlineLevel="1">
      <c r="A673" s="1" t="s">
        <v>6824</v>
      </c>
      <c r="B673" s="1">
        <v>800</v>
      </c>
    </row>
    <row r="674" spans="1:2" outlineLevel="1">
      <c r="A674" s="1" t="s">
        <v>7328</v>
      </c>
      <c r="B674" s="1">
        <v>300</v>
      </c>
    </row>
    <row r="675" spans="1:2" outlineLevel="1">
      <c r="A675" s="1" t="s">
        <v>7100</v>
      </c>
      <c r="B675" s="1">
        <v>350</v>
      </c>
    </row>
    <row r="676" spans="1:2" outlineLevel="1">
      <c r="A676" s="1" t="s">
        <v>7300</v>
      </c>
      <c r="B676" s="1">
        <v>24000</v>
      </c>
    </row>
    <row r="677" spans="1:2" outlineLevel="1">
      <c r="A677" s="1" t="s">
        <v>7060</v>
      </c>
      <c r="B677" s="1">
        <v>10000</v>
      </c>
    </row>
    <row r="678" spans="1:2" outlineLevel="1">
      <c r="A678" s="1" t="s">
        <v>7062</v>
      </c>
      <c r="B678" s="1">
        <v>4000</v>
      </c>
    </row>
    <row r="679" spans="1:2" outlineLevel="1">
      <c r="A679" s="1" t="s">
        <v>7065</v>
      </c>
      <c r="B679" s="1">
        <v>10000</v>
      </c>
    </row>
    <row r="680" spans="1:2" outlineLevel="1">
      <c r="A680" s="1" t="s">
        <v>7067</v>
      </c>
      <c r="B680" s="1">
        <v>32000</v>
      </c>
    </row>
    <row r="681" spans="1:2" outlineLevel="1">
      <c r="A681" s="1" t="s">
        <v>7069</v>
      </c>
      <c r="B681" s="1">
        <v>32000</v>
      </c>
    </row>
    <row r="682" spans="1:2" outlineLevel="1">
      <c r="A682" s="1" t="s">
        <v>6799</v>
      </c>
      <c r="B682" s="1">
        <v>1500</v>
      </c>
    </row>
    <row r="683" spans="1:2" outlineLevel="1">
      <c r="A683" s="1" t="s">
        <v>6802</v>
      </c>
      <c r="B683" s="1">
        <v>8000</v>
      </c>
    </row>
    <row r="684" spans="1:2" outlineLevel="1">
      <c r="A684" s="1" t="s">
        <v>7072</v>
      </c>
      <c r="B684" s="1">
        <v>16000</v>
      </c>
    </row>
    <row r="685" spans="1:2" outlineLevel="1">
      <c r="A685" s="1" t="s">
        <v>7214</v>
      </c>
      <c r="B685" s="1">
        <v>32000</v>
      </c>
    </row>
    <row r="686" spans="1:2" outlineLevel="1">
      <c r="A686" s="1" t="s">
        <v>6805</v>
      </c>
      <c r="B686" s="1">
        <v>1500</v>
      </c>
    </row>
    <row r="687" spans="1:2" outlineLevel="1">
      <c r="A687" s="1" t="s">
        <v>6812</v>
      </c>
      <c r="B687" s="1">
        <v>1200</v>
      </c>
    </row>
    <row r="688" spans="1:2" outlineLevel="1">
      <c r="A688" s="1" t="s">
        <v>7077</v>
      </c>
      <c r="B688" s="1">
        <v>4800</v>
      </c>
    </row>
    <row r="689" spans="1:5" outlineLevel="1">
      <c r="A689" s="1" t="s">
        <v>7216</v>
      </c>
      <c r="B689" s="1">
        <v>19200</v>
      </c>
    </row>
    <row r="690" spans="1:5" outlineLevel="1">
      <c r="A690" s="1" t="s">
        <v>6808</v>
      </c>
      <c r="B690" s="1">
        <v>8000</v>
      </c>
    </row>
    <row r="691" spans="1:5" outlineLevel="1">
      <c r="A691" s="1" t="s">
        <v>6828</v>
      </c>
      <c r="B691" s="1">
        <v>60000</v>
      </c>
    </row>
    <row r="692" spans="1:5" outlineLevel="1">
      <c r="A692" s="1" t="s">
        <v>6974</v>
      </c>
      <c r="B692" s="1">
        <v>1500</v>
      </c>
    </row>
    <row r="693" spans="1:5" outlineLevel="1">
      <c r="A693" s="1" t="s">
        <v>6976</v>
      </c>
      <c r="B693" s="1">
        <v>8000</v>
      </c>
    </row>
    <row r="694" spans="1:5" outlineLevel="1">
      <c r="A694" s="1" t="s">
        <v>7182</v>
      </c>
      <c r="B694" s="1">
        <v>5000</v>
      </c>
    </row>
    <row r="695" spans="1:5" outlineLevel="1"/>
    <row r="696" spans="1:5" outlineLevel="1"/>
    <row r="697" spans="1:5" ht="39.75" thickBot="1">
      <c r="A697" s="566" t="s">
        <v>9741</v>
      </c>
    </row>
    <row r="698" spans="1:5" ht="15" outlineLevel="1" thickTop="1"/>
    <row r="699" spans="1:5" outlineLevel="1">
      <c r="A699" s="1" t="s">
        <v>9432</v>
      </c>
      <c r="B699" s="1" t="s">
        <v>9439</v>
      </c>
      <c r="C699" s="1" t="s">
        <v>9742</v>
      </c>
      <c r="D699" s="1" t="s">
        <v>9743</v>
      </c>
      <c r="E699" s="1" t="s">
        <v>9744</v>
      </c>
    </row>
    <row r="700" spans="1:5" ht="16.5" outlineLevel="1">
      <c r="A700" s="1">
        <v>1</v>
      </c>
      <c r="B700" s="574">
        <v>50</v>
      </c>
      <c r="C700" s="510">
        <f t="shared" ref="C700:C708" si="4">$B$710*B700</f>
        <v>10</v>
      </c>
      <c r="D700" s="574">
        <f t="shared" ref="D700:D708" si="5">$B$711*B700</f>
        <v>75</v>
      </c>
      <c r="E700" s="574">
        <f>B700</f>
        <v>50</v>
      </c>
    </row>
    <row r="701" spans="1:5" ht="16.5" outlineLevel="1">
      <c r="A701" s="1">
        <v>2</v>
      </c>
      <c r="B701" s="574">
        <v>100</v>
      </c>
      <c r="C701" s="510">
        <f t="shared" si="4"/>
        <v>20</v>
      </c>
      <c r="D701" s="574">
        <f t="shared" si="5"/>
        <v>150</v>
      </c>
      <c r="E701" s="574">
        <f>B701</f>
        <v>100</v>
      </c>
    </row>
    <row r="702" spans="1:5" ht="16.5" outlineLevel="1">
      <c r="A702" s="1">
        <v>3</v>
      </c>
      <c r="B702" s="574">
        <v>375</v>
      </c>
      <c r="C702" s="510">
        <f t="shared" si="4"/>
        <v>75</v>
      </c>
      <c r="D702" s="574">
        <f t="shared" si="5"/>
        <v>562.5</v>
      </c>
      <c r="E702" s="574">
        <f>B702</f>
        <v>375</v>
      </c>
    </row>
    <row r="703" spans="1:5" ht="16.5" outlineLevel="1">
      <c r="A703" s="1">
        <v>4</v>
      </c>
      <c r="B703" s="574">
        <v>500</v>
      </c>
      <c r="C703" s="510">
        <f t="shared" si="4"/>
        <v>100</v>
      </c>
      <c r="D703" s="574">
        <f t="shared" si="5"/>
        <v>750</v>
      </c>
      <c r="E703" s="574">
        <f>B703</f>
        <v>500</v>
      </c>
    </row>
    <row r="704" spans="1:5" ht="16.5" outlineLevel="1">
      <c r="A704" s="1">
        <v>5</v>
      </c>
      <c r="B704" s="574">
        <v>750</v>
      </c>
      <c r="C704" s="510">
        <f t="shared" si="4"/>
        <v>150</v>
      </c>
      <c r="D704" s="574">
        <f t="shared" si="5"/>
        <v>1125</v>
      </c>
      <c r="E704" s="574">
        <f>B704</f>
        <v>750</v>
      </c>
    </row>
    <row r="705" spans="1:5" ht="16.5" outlineLevel="1">
      <c r="A705" s="1">
        <v>6</v>
      </c>
      <c r="B705" s="574">
        <v>1000</v>
      </c>
      <c r="C705" s="510">
        <f t="shared" si="4"/>
        <v>200</v>
      </c>
      <c r="D705" s="574">
        <f t="shared" si="5"/>
        <v>1500</v>
      </c>
    </row>
    <row r="706" spans="1:5" ht="16.5" outlineLevel="1">
      <c r="A706" s="1">
        <v>7</v>
      </c>
      <c r="B706" s="574">
        <v>1750</v>
      </c>
      <c r="C706" s="510">
        <f t="shared" si="4"/>
        <v>350</v>
      </c>
      <c r="D706" s="574">
        <f t="shared" si="5"/>
        <v>2625</v>
      </c>
    </row>
    <row r="707" spans="1:5" ht="16.5" outlineLevel="1">
      <c r="A707" s="1">
        <v>8</v>
      </c>
      <c r="B707" s="574">
        <v>2500</v>
      </c>
      <c r="C707" s="510">
        <f t="shared" si="4"/>
        <v>500</v>
      </c>
      <c r="D707" s="574">
        <f t="shared" si="5"/>
        <v>3750</v>
      </c>
    </row>
    <row r="708" spans="1:5" ht="16.5" outlineLevel="1">
      <c r="A708" s="1">
        <v>9</v>
      </c>
      <c r="B708" s="574">
        <v>7500</v>
      </c>
      <c r="C708" s="510">
        <f t="shared" si="4"/>
        <v>1500</v>
      </c>
      <c r="D708" s="574">
        <f t="shared" si="5"/>
        <v>11250</v>
      </c>
    </row>
    <row r="709" spans="1:5" outlineLevel="1"/>
    <row r="710" spans="1:5" ht="16.5" outlineLevel="1">
      <c r="A710" s="1" t="s">
        <v>9745</v>
      </c>
      <c r="B710" s="581">
        <v>0.2</v>
      </c>
    </row>
    <row r="711" spans="1:5" ht="16.5" outlineLevel="1">
      <c r="A711" s="1" t="s">
        <v>9743</v>
      </c>
      <c r="B711" s="574">
        <v>1.5</v>
      </c>
    </row>
    <row r="712" spans="1:5" ht="16.5" outlineLevel="1">
      <c r="A712" s="1" t="s">
        <v>9744</v>
      </c>
      <c r="B712" s="574" t="s">
        <v>9746</v>
      </c>
    </row>
    <row r="714" spans="1:5" ht="39.75" thickBot="1">
      <c r="A714" s="566" t="s">
        <v>9747</v>
      </c>
    </row>
    <row r="715" spans="1:5" ht="15" outlineLevel="1" thickTop="1">
      <c r="A715" s="1" t="s">
        <v>9748</v>
      </c>
      <c r="B715" s="1" t="s">
        <v>9749</v>
      </c>
      <c r="C715" s="1" t="s">
        <v>9750</v>
      </c>
      <c r="D715" s="1" t="s">
        <v>551</v>
      </c>
      <c r="E715" s="1" t="s">
        <v>7706</v>
      </c>
    </row>
    <row r="716" spans="1:5" ht="16.5" outlineLevel="1">
      <c r="A716" s="1" t="s">
        <v>9751</v>
      </c>
      <c r="B716" s="575" t="s">
        <v>9752</v>
      </c>
      <c r="C716" s="1">
        <v>2</v>
      </c>
      <c r="D716" s="1">
        <v>1</v>
      </c>
      <c r="E716" s="1">
        <v>1</v>
      </c>
    </row>
    <row r="717" spans="1:5" ht="16.5" outlineLevel="1">
      <c r="A717" s="1" t="s">
        <v>9753</v>
      </c>
      <c r="B717" s="575" t="s">
        <v>9754</v>
      </c>
      <c r="C717" s="1">
        <v>2</v>
      </c>
      <c r="D717" s="1">
        <v>2</v>
      </c>
      <c r="E717" s="1">
        <v>1</v>
      </c>
    </row>
    <row r="718" spans="1:5" ht="16.5" outlineLevel="1">
      <c r="A718" s="1" t="s">
        <v>9755</v>
      </c>
      <c r="B718" s="575" t="s">
        <v>9756</v>
      </c>
      <c r="C718" s="1">
        <v>3</v>
      </c>
      <c r="D718" s="1">
        <v>3</v>
      </c>
      <c r="E718" s="1">
        <v>2</v>
      </c>
    </row>
    <row r="719" spans="1:5" ht="16.5" outlineLevel="1">
      <c r="A719" s="1" t="s">
        <v>9757</v>
      </c>
      <c r="B719" s="575" t="s">
        <v>9758</v>
      </c>
      <c r="C719" s="1">
        <v>4</v>
      </c>
      <c r="D719" s="1">
        <v>4</v>
      </c>
      <c r="E719" s="1">
        <v>3</v>
      </c>
    </row>
    <row r="720" spans="1:5" ht="16.5" outlineLevel="1">
      <c r="A720" s="1" t="s">
        <v>5802</v>
      </c>
      <c r="B720" s="575" t="s">
        <v>9759</v>
      </c>
      <c r="C720" s="1">
        <v>4</v>
      </c>
      <c r="D720" s="1">
        <v>5</v>
      </c>
      <c r="E720" s="1">
        <v>4</v>
      </c>
    </row>
    <row r="721" spans="1:5" ht="16.5" outlineLevel="1">
      <c r="A721" s="1" t="s">
        <v>9760</v>
      </c>
      <c r="B721" s="575" t="s">
        <v>9761</v>
      </c>
      <c r="C721" s="1">
        <v>5</v>
      </c>
      <c r="D721" s="1">
        <v>6</v>
      </c>
      <c r="E721" s="1">
        <v>5</v>
      </c>
    </row>
    <row r="722" spans="1:5" ht="16.5" outlineLevel="1">
      <c r="A722" s="1" t="s">
        <v>2070</v>
      </c>
      <c r="B722" s="575" t="s">
        <v>7545</v>
      </c>
      <c r="C722" s="1">
        <v>6</v>
      </c>
      <c r="D722" s="1">
        <v>7</v>
      </c>
      <c r="E722" s="1">
        <v>6</v>
      </c>
    </row>
    <row r="723" spans="1:5" outlineLevel="1"/>
    <row r="724" spans="1:5" outlineLevel="1">
      <c r="A724" s="585" t="s">
        <v>9748</v>
      </c>
      <c r="B724" s="586" t="s">
        <v>9749</v>
      </c>
      <c r="C724" s="1" t="s">
        <v>9750</v>
      </c>
      <c r="D724" s="943" t="s">
        <v>551</v>
      </c>
    </row>
    <row r="725" spans="1:5" ht="16.5" outlineLevel="1">
      <c r="A725" s="1" t="s">
        <v>9762</v>
      </c>
      <c r="B725" s="575" t="s">
        <v>9763</v>
      </c>
      <c r="C725" s="1">
        <v>2</v>
      </c>
      <c r="D725" s="1">
        <v>1</v>
      </c>
    </row>
    <row r="726" spans="1:5" ht="16.5" outlineLevel="1">
      <c r="A726" s="1" t="s">
        <v>2760</v>
      </c>
      <c r="B726" s="575" t="s">
        <v>9756</v>
      </c>
      <c r="C726" s="1">
        <v>3</v>
      </c>
      <c r="D726" s="1">
        <v>2</v>
      </c>
    </row>
    <row r="727" spans="1:5" ht="16.5" outlineLevel="1">
      <c r="A727" s="1" t="s">
        <v>5802</v>
      </c>
      <c r="B727" s="575" t="s">
        <v>9764</v>
      </c>
      <c r="C727" s="1">
        <v>4</v>
      </c>
      <c r="D727" s="1">
        <v>3</v>
      </c>
    </row>
    <row r="728" spans="1:5" ht="16.5" outlineLevel="1">
      <c r="A728" s="1" t="s">
        <v>9760</v>
      </c>
      <c r="B728" s="575" t="s">
        <v>9115</v>
      </c>
      <c r="C728" s="1">
        <v>5</v>
      </c>
      <c r="D728" s="1">
        <v>4</v>
      </c>
    </row>
    <row r="729" spans="1:5" ht="16.5" outlineLevel="1">
      <c r="A729" s="1" t="s">
        <v>2070</v>
      </c>
      <c r="B729" s="575" t="s">
        <v>9119</v>
      </c>
      <c r="C729" s="1">
        <v>6</v>
      </c>
      <c r="D729" s="1">
        <v>5</v>
      </c>
    </row>
    <row r="730" spans="1:5" outlineLevel="1"/>
    <row r="733" spans="1:5" ht="39.75" thickBot="1">
      <c r="A733" s="566" t="s">
        <v>9765</v>
      </c>
    </row>
    <row r="734" spans="1:5" ht="15" thickTop="1">
      <c r="A734" s="1" t="s">
        <v>5851</v>
      </c>
      <c r="B734" s="1" t="s">
        <v>9766</v>
      </c>
    </row>
    <row r="735" spans="1:5">
      <c r="A735" s="1" t="s">
        <v>6733</v>
      </c>
      <c r="B735" s="1" t="s">
        <v>9767</v>
      </c>
    </row>
    <row r="736" spans="1:5">
      <c r="A736" s="1" t="s">
        <v>6979</v>
      </c>
      <c r="B736" s="1" t="s">
        <v>9768</v>
      </c>
    </row>
    <row r="737" spans="1:3">
      <c r="A737" s="1" t="s">
        <v>9447</v>
      </c>
      <c r="B737" s="1" t="s">
        <v>9769</v>
      </c>
    </row>
    <row r="738" spans="1:3">
      <c r="A738" s="1" t="s">
        <v>2070</v>
      </c>
      <c r="B738" s="1" t="s">
        <v>9770</v>
      </c>
    </row>
    <row r="740" spans="1:3">
      <c r="A740" s="1" t="s">
        <v>5851</v>
      </c>
      <c r="B740" s="1">
        <v>1</v>
      </c>
    </row>
    <row r="741" spans="1:3">
      <c r="A741" s="1" t="s">
        <v>6733</v>
      </c>
      <c r="B741" s="1">
        <v>2</v>
      </c>
    </row>
    <row r="742" spans="1:3">
      <c r="A742" s="1" t="s">
        <v>6979</v>
      </c>
      <c r="B742" s="1">
        <v>4</v>
      </c>
    </row>
    <row r="743" spans="1:3">
      <c r="A743" s="1" t="s">
        <v>9447</v>
      </c>
      <c r="B743" s="1">
        <v>7</v>
      </c>
    </row>
    <row r="744" spans="1:3">
      <c r="A744" s="1" t="s">
        <v>2070</v>
      </c>
      <c r="B744" s="1">
        <v>11</v>
      </c>
    </row>
    <row r="746" spans="1:3">
      <c r="A746" s="1" t="s">
        <v>5851</v>
      </c>
      <c r="B746" s="1">
        <v>4</v>
      </c>
      <c r="C746" s="1" t="s">
        <v>6259</v>
      </c>
    </row>
    <row r="747" spans="1:3">
      <c r="A747" s="1" t="s">
        <v>6733</v>
      </c>
      <c r="B747" s="1">
        <v>4</v>
      </c>
      <c r="C747" s="1" t="s">
        <v>9771</v>
      </c>
    </row>
    <row r="748" spans="1:3">
      <c r="A748" s="1" t="s">
        <v>6979</v>
      </c>
      <c r="B748" s="1">
        <v>7</v>
      </c>
      <c r="C748" s="1" t="s">
        <v>9772</v>
      </c>
    </row>
    <row r="749" spans="1:3">
      <c r="A749" s="1" t="s">
        <v>9447</v>
      </c>
      <c r="B749" s="1">
        <v>12</v>
      </c>
      <c r="C749" s="1" t="s">
        <v>9773</v>
      </c>
    </row>
    <row r="750" spans="1:3">
      <c r="A750" s="1" t="s">
        <v>2070</v>
      </c>
      <c r="B750" s="1">
        <v>18</v>
      </c>
      <c r="C750" s="1" t="s">
        <v>9774</v>
      </c>
    </row>
    <row r="756" spans="1:2" ht="39.75" thickBot="1">
      <c r="A756" s="566" t="s">
        <v>9775</v>
      </c>
    </row>
    <row r="757" spans="1:2" ht="15" outlineLevel="1" thickTop="1"/>
    <row r="758" spans="1:2" outlineLevel="1"/>
    <row r="759" spans="1:2" outlineLevel="1"/>
    <row r="760" spans="1:2" outlineLevel="1"/>
    <row r="761" spans="1:2" ht="15" outlineLevel="1" thickBot="1"/>
    <row r="762" spans="1:2" ht="15" outlineLevel="1" thickBot="1">
      <c r="A762" s="587" t="s">
        <v>9776</v>
      </c>
      <c r="B762" s="588" t="s">
        <v>9777</v>
      </c>
    </row>
    <row r="763" spans="1:2" ht="16.5" outlineLevel="1">
      <c r="A763" s="589">
        <v>2</v>
      </c>
      <c r="B763" s="589" t="s">
        <v>9778</v>
      </c>
    </row>
    <row r="764" spans="1:2" ht="16.5" outlineLevel="1">
      <c r="A764" s="589">
        <v>3</v>
      </c>
      <c r="B764" s="589" t="s">
        <v>9779</v>
      </c>
    </row>
    <row r="765" spans="1:2" ht="16.5" outlineLevel="1">
      <c r="A765" s="589">
        <v>4</v>
      </c>
      <c r="B765" s="589" t="s">
        <v>9780</v>
      </c>
    </row>
    <row r="766" spans="1:2" ht="16.5" outlineLevel="1">
      <c r="A766" s="589">
        <v>5</v>
      </c>
      <c r="B766" s="589" t="s">
        <v>9781</v>
      </c>
    </row>
    <row r="767" spans="1:2" ht="16.5" outlineLevel="1">
      <c r="A767" s="589">
        <v>6</v>
      </c>
      <c r="B767" s="589" t="s">
        <v>9782</v>
      </c>
    </row>
    <row r="768" spans="1:2" outlineLevel="1"/>
    <row r="769" spans="1:2" outlineLevel="1"/>
    <row r="770" spans="1:2" outlineLevel="1">
      <c r="A770" s="1" t="s">
        <v>9783</v>
      </c>
      <c r="B770" s="1" t="s">
        <v>9784</v>
      </c>
    </row>
    <row r="771" spans="1:2" outlineLevel="1">
      <c r="A771" s="1" t="s">
        <v>9785</v>
      </c>
      <c r="B771" s="1">
        <v>13</v>
      </c>
    </row>
    <row r="772" spans="1:2" outlineLevel="1">
      <c r="A772" s="1" t="s">
        <v>9786</v>
      </c>
      <c r="B772" s="1">
        <v>17</v>
      </c>
    </row>
    <row r="773" spans="1:2" outlineLevel="1">
      <c r="A773" s="1" t="s">
        <v>9787</v>
      </c>
      <c r="B773" s="1">
        <v>20</v>
      </c>
    </row>
    <row r="774" spans="1:2" outlineLevel="1">
      <c r="A774" s="1" t="s">
        <v>9788</v>
      </c>
      <c r="B774" s="1">
        <v>25</v>
      </c>
    </row>
    <row r="775" spans="1:2" outlineLevel="1">
      <c r="A775" s="1" t="s">
        <v>9789</v>
      </c>
      <c r="B775" s="1">
        <v>40</v>
      </c>
    </row>
    <row r="776" spans="1:2" outlineLevel="1">
      <c r="A776" s="1" t="s">
        <v>9790</v>
      </c>
      <c r="B776" s="1">
        <v>50</v>
      </c>
    </row>
    <row r="777" spans="1:2" ht="15" outlineLevel="1" thickBot="1"/>
    <row r="778" spans="1:2" ht="15" outlineLevel="1" thickBot="1">
      <c r="A778" s="587" t="s">
        <v>9791</v>
      </c>
      <c r="B778" s="588" t="s">
        <v>9792</v>
      </c>
    </row>
    <row r="779" spans="1:2" ht="16.5" outlineLevel="1">
      <c r="A779" s="589" t="s">
        <v>9778</v>
      </c>
      <c r="B779" s="589" t="s">
        <v>9793</v>
      </c>
    </row>
    <row r="780" spans="1:2" ht="16.5" outlineLevel="1">
      <c r="A780" s="589" t="s">
        <v>9779</v>
      </c>
      <c r="B780" s="589" t="s">
        <v>9780</v>
      </c>
    </row>
    <row r="781" spans="1:2" ht="16.5" outlineLevel="1">
      <c r="A781" s="589" t="s">
        <v>9780</v>
      </c>
      <c r="B781" s="589" t="s">
        <v>9781</v>
      </c>
    </row>
    <row r="782" spans="1:2" ht="16.5" outlineLevel="1">
      <c r="A782" s="589" t="s">
        <v>9781</v>
      </c>
      <c r="B782" s="589" t="s">
        <v>9782</v>
      </c>
    </row>
    <row r="783" spans="1:2" ht="16.5" outlineLevel="1">
      <c r="A783" s="589" t="s">
        <v>9782</v>
      </c>
      <c r="B783" s="589" t="s">
        <v>9794</v>
      </c>
    </row>
    <row r="784" spans="1:2" outlineLevel="1"/>
    <row r="785" spans="1:2" outlineLevel="1"/>
    <row r="786" spans="1:2" outlineLevel="1">
      <c r="A786" s="1" t="s">
        <v>9795</v>
      </c>
      <c r="B786" s="1" t="s">
        <v>9796</v>
      </c>
    </row>
    <row r="787" spans="1:2" outlineLevel="1">
      <c r="A787" s="1" t="s">
        <v>9797</v>
      </c>
      <c r="B787" s="1" t="s">
        <v>9798</v>
      </c>
    </row>
    <row r="788" spans="1:2" outlineLevel="1">
      <c r="A788" s="23">
        <v>43922</v>
      </c>
      <c r="B788" s="1" t="s">
        <v>9778</v>
      </c>
    </row>
    <row r="789" spans="1:2" outlineLevel="1">
      <c r="A789" s="23">
        <v>44048</v>
      </c>
      <c r="B789" s="1" t="s">
        <v>9779</v>
      </c>
    </row>
    <row r="790" spans="1:2" outlineLevel="1">
      <c r="A790" s="23">
        <v>44174</v>
      </c>
      <c r="B790" s="1" t="s">
        <v>9780</v>
      </c>
    </row>
    <row r="791" spans="1:2" outlineLevel="1">
      <c r="A791" s="1" t="s">
        <v>9115</v>
      </c>
      <c r="B791" s="1" t="s">
        <v>9799</v>
      </c>
    </row>
    <row r="792" spans="1:2" outlineLevel="1">
      <c r="A792" s="1" t="s">
        <v>9119</v>
      </c>
      <c r="B792" s="1" t="s">
        <v>9782</v>
      </c>
    </row>
    <row r="793" spans="1:2" outlineLevel="1">
      <c r="A793" s="1" t="s">
        <v>9800</v>
      </c>
      <c r="B793" s="1" t="s">
        <v>9801</v>
      </c>
    </row>
    <row r="794" spans="1:2" outlineLevel="1">
      <c r="A794" s="1" t="s">
        <v>9802</v>
      </c>
      <c r="B794" s="1" t="s">
        <v>9803</v>
      </c>
    </row>
    <row r="795" spans="1:2" outlineLevel="1"/>
    <row r="796" spans="1:2" outlineLevel="1">
      <c r="A796" s="1" t="s">
        <v>9796</v>
      </c>
      <c r="B796" s="1" t="s">
        <v>9804</v>
      </c>
    </row>
    <row r="797" spans="1:2" outlineLevel="1">
      <c r="A797" s="1" t="s">
        <v>9805</v>
      </c>
      <c r="B797" s="1" t="s">
        <v>2315</v>
      </c>
    </row>
    <row r="798" spans="1:2" outlineLevel="1">
      <c r="A798" s="1" t="s">
        <v>9783</v>
      </c>
      <c r="B798" s="1">
        <v>10</v>
      </c>
    </row>
    <row r="799" spans="1:2" outlineLevel="1">
      <c r="A799" s="1" t="s">
        <v>9785</v>
      </c>
      <c r="B799" s="1">
        <v>15</v>
      </c>
    </row>
    <row r="800" spans="1:2" outlineLevel="1">
      <c r="A800" s="1" t="s">
        <v>9786</v>
      </c>
      <c r="B800" s="1">
        <v>20</v>
      </c>
    </row>
    <row r="801" spans="1:2" outlineLevel="1">
      <c r="A801" s="1" t="s">
        <v>9787</v>
      </c>
      <c r="B801" s="1">
        <v>25</v>
      </c>
    </row>
    <row r="802" spans="1:2" outlineLevel="1">
      <c r="A802" s="1" t="s">
        <v>9788</v>
      </c>
      <c r="B802" s="1">
        <v>30</v>
      </c>
    </row>
    <row r="803" spans="1:2" outlineLevel="1">
      <c r="A803" s="1" t="s">
        <v>9789</v>
      </c>
      <c r="B803" s="1">
        <v>40</v>
      </c>
    </row>
    <row r="804" spans="1:2" outlineLevel="1">
      <c r="A804" s="1" t="s">
        <v>9790</v>
      </c>
      <c r="B804" s="1">
        <v>50</v>
      </c>
    </row>
    <row r="805" spans="1:2" outlineLevel="1"/>
    <row r="807" spans="1:2" outlineLevel="1">
      <c r="A807" s="1" t="s">
        <v>9796</v>
      </c>
      <c r="B807" s="1" t="s">
        <v>9804</v>
      </c>
    </row>
    <row r="808" spans="1:2" outlineLevel="1">
      <c r="A808" s="1" t="s">
        <v>9783</v>
      </c>
      <c r="B808" s="1">
        <v>10</v>
      </c>
    </row>
    <row r="809" spans="1:2" outlineLevel="1">
      <c r="A809" s="1" t="s">
        <v>9806</v>
      </c>
      <c r="B809" s="1">
        <v>13</v>
      </c>
    </row>
    <row r="810" spans="1:2" outlineLevel="1">
      <c r="A810" s="1" t="s">
        <v>9807</v>
      </c>
      <c r="B810" s="1">
        <v>17</v>
      </c>
    </row>
    <row r="811" spans="1:2" outlineLevel="1">
      <c r="A811" s="1" t="s">
        <v>9787</v>
      </c>
      <c r="B811" s="1">
        <v>20</v>
      </c>
    </row>
    <row r="812" spans="1:2" outlineLevel="1">
      <c r="A812" s="1" t="s">
        <v>9788</v>
      </c>
      <c r="B812" s="1">
        <v>25</v>
      </c>
    </row>
    <row r="813" spans="1:2" outlineLevel="1"/>
    <row r="815" spans="1:2" outlineLevel="1">
      <c r="A815" s="1" t="s">
        <v>9808</v>
      </c>
      <c r="B815" s="1" t="s">
        <v>9809</v>
      </c>
    </row>
    <row r="816" spans="1:2" outlineLevel="1">
      <c r="A816" s="1" t="s">
        <v>6281</v>
      </c>
      <c r="B816" s="1" t="s">
        <v>2315</v>
      </c>
    </row>
    <row r="817" spans="1:4" outlineLevel="1">
      <c r="A817" s="1" t="s">
        <v>9810</v>
      </c>
      <c r="B817" s="1" t="s">
        <v>6263</v>
      </c>
    </row>
    <row r="818" spans="1:4" outlineLevel="1">
      <c r="A818" s="1" t="s">
        <v>7344</v>
      </c>
      <c r="B818" s="1" t="s">
        <v>6271</v>
      </c>
    </row>
    <row r="819" spans="1:4" outlineLevel="1">
      <c r="A819" s="1" t="s">
        <v>7332</v>
      </c>
      <c r="B819" s="1" t="s">
        <v>6269</v>
      </c>
    </row>
    <row r="820" spans="1:4" outlineLevel="1">
      <c r="A820" s="1" t="s">
        <v>7333</v>
      </c>
      <c r="B820" s="1" t="s">
        <v>6261</v>
      </c>
    </row>
    <row r="821" spans="1:4" outlineLevel="1">
      <c r="A821" s="1" t="s">
        <v>7341</v>
      </c>
      <c r="B821" s="1" t="s">
        <v>9811</v>
      </c>
    </row>
    <row r="822" spans="1:4" outlineLevel="1">
      <c r="A822" s="1" t="s">
        <v>9812</v>
      </c>
      <c r="B822" s="1" t="s">
        <v>9813</v>
      </c>
    </row>
    <row r="823" spans="1:4" outlineLevel="1"/>
    <row r="825" spans="1:4" outlineLevel="1">
      <c r="A825" s="1" t="s">
        <v>9814</v>
      </c>
      <c r="B825" s="1" t="s">
        <v>9815</v>
      </c>
      <c r="C825" s="1" t="s">
        <v>9816</v>
      </c>
      <c r="D825" s="1" t="s">
        <v>9817</v>
      </c>
    </row>
    <row r="826" spans="1:4" outlineLevel="1">
      <c r="A826" s="1" t="s">
        <v>9818</v>
      </c>
      <c r="B826" s="1" t="s">
        <v>6259</v>
      </c>
      <c r="C826" s="1" t="s">
        <v>6262</v>
      </c>
      <c r="D826" s="1" t="s">
        <v>9819</v>
      </c>
    </row>
    <row r="827" spans="1:4" outlineLevel="1">
      <c r="A827" s="1" t="s">
        <v>9820</v>
      </c>
      <c r="B827" s="1" t="s">
        <v>8012</v>
      </c>
      <c r="C827" s="1" t="s">
        <v>6262</v>
      </c>
      <c r="D827" s="1" t="s">
        <v>9821</v>
      </c>
    </row>
    <row r="828" spans="1:4" outlineLevel="1">
      <c r="A828" s="1" t="s">
        <v>9822</v>
      </c>
      <c r="B828" s="1" t="s">
        <v>7979</v>
      </c>
      <c r="C828" s="1" t="s">
        <v>9823</v>
      </c>
    </row>
    <row r="829" spans="1:4" outlineLevel="1">
      <c r="A829" s="1" t="s">
        <v>9824</v>
      </c>
      <c r="B829" s="1" t="s">
        <v>8012</v>
      </c>
      <c r="C829" s="1" t="s">
        <v>7685</v>
      </c>
      <c r="D829" s="1" t="s">
        <v>9825</v>
      </c>
    </row>
    <row r="830" spans="1:4" outlineLevel="1">
      <c r="A830" s="1" t="s">
        <v>6267</v>
      </c>
      <c r="B830" s="1" t="s">
        <v>8012</v>
      </c>
      <c r="C830" s="1" t="s">
        <v>6265</v>
      </c>
      <c r="D830" s="1" t="s">
        <v>9825</v>
      </c>
    </row>
    <row r="831" spans="1:4" outlineLevel="1"/>
    <row r="832" spans="1:4" outlineLevel="1"/>
    <row r="835" spans="1:2" ht="39.75" thickBot="1">
      <c r="A835" s="590" t="s">
        <v>9826</v>
      </c>
    </row>
    <row r="836" spans="1:2" ht="15" thickTop="1"/>
    <row r="837" spans="1:2">
      <c r="A837" s="1" t="s">
        <v>9827</v>
      </c>
      <c r="B837" s="1" t="s">
        <v>9828</v>
      </c>
    </row>
    <row r="838" spans="1:2">
      <c r="A838" s="1" t="s">
        <v>9829</v>
      </c>
      <c r="B838" s="1" t="s">
        <v>9830</v>
      </c>
    </row>
    <row r="839" spans="1:2">
      <c r="A839" s="1" t="s">
        <v>9831</v>
      </c>
      <c r="B839" s="522" t="s">
        <v>15367</v>
      </c>
    </row>
    <row r="840" spans="1:2">
      <c r="A840" s="1" t="s">
        <v>9832</v>
      </c>
      <c r="B840" s="522" t="s">
        <v>15368</v>
      </c>
    </row>
    <row r="841" spans="1:2">
      <c r="A841" s="1" t="s">
        <v>9833</v>
      </c>
      <c r="B841" s="522" t="s">
        <v>15369</v>
      </c>
    </row>
    <row r="842" spans="1:2">
      <c r="A842" s="1" t="s">
        <v>9834</v>
      </c>
      <c r="B842" s="522" t="s">
        <v>15370</v>
      </c>
    </row>
    <row r="845" spans="1:2" ht="39.75" thickBot="1">
      <c r="A845" s="566" t="s">
        <v>9835</v>
      </c>
    </row>
    <row r="846" spans="1:2" ht="15" outlineLevel="1" thickTop="1">
      <c r="A846" s="1" t="s">
        <v>9814</v>
      </c>
      <c r="B846" s="1" t="s">
        <v>9836</v>
      </c>
    </row>
    <row r="847" spans="1:2" outlineLevel="1">
      <c r="A847" s="1" t="s">
        <v>9837</v>
      </c>
      <c r="B847" s="1">
        <f>1/4</f>
        <v>0.25</v>
      </c>
    </row>
    <row r="848" spans="1:2" outlineLevel="1">
      <c r="A848" s="1" t="s">
        <v>9838</v>
      </c>
      <c r="B848" s="1">
        <f>1/4</f>
        <v>0.25</v>
      </c>
    </row>
    <row r="849" spans="1:3" outlineLevel="1">
      <c r="A849" s="1" t="s">
        <v>9839</v>
      </c>
      <c r="B849" s="1">
        <f>1/4</f>
        <v>0.25</v>
      </c>
    </row>
    <row r="850" spans="1:3" outlineLevel="1">
      <c r="A850" s="1" t="s">
        <v>9840</v>
      </c>
      <c r="B850" s="1">
        <f>1.5/8</f>
        <v>0.1875</v>
      </c>
    </row>
    <row r="851" spans="1:3" outlineLevel="1">
      <c r="A851" s="1" t="s">
        <v>9841</v>
      </c>
      <c r="B851" s="1">
        <v>1</v>
      </c>
    </row>
    <row r="852" spans="1:3" outlineLevel="1">
      <c r="A852" s="1" t="s">
        <v>9842</v>
      </c>
      <c r="B852" s="1">
        <v>3</v>
      </c>
    </row>
    <row r="853" spans="1:3" outlineLevel="1">
      <c r="A853" s="1" t="s">
        <v>9843</v>
      </c>
      <c r="B853" s="1">
        <v>2</v>
      </c>
    </row>
    <row r="854" spans="1:3" outlineLevel="1"/>
    <row r="855" spans="1:3" outlineLevel="1"/>
    <row r="856" spans="1:3" outlineLevel="1">
      <c r="A856" s="1" t="s">
        <v>9844</v>
      </c>
      <c r="B856" s="1" t="s">
        <v>9816</v>
      </c>
    </row>
    <row r="857" spans="1:3" outlineLevel="1">
      <c r="A857" s="1" t="s">
        <v>9845</v>
      </c>
      <c r="B857" s="1">
        <v>0.75</v>
      </c>
    </row>
    <row r="858" spans="1:3" outlineLevel="1">
      <c r="A858" s="1" t="s">
        <v>9846</v>
      </c>
      <c r="B858" s="1">
        <v>1</v>
      </c>
    </row>
    <row r="859" spans="1:3" outlineLevel="1">
      <c r="A859" s="1" t="s">
        <v>9847</v>
      </c>
      <c r="B859" s="1">
        <v>2</v>
      </c>
    </row>
    <row r="860" spans="1:3" outlineLevel="1">
      <c r="A860" s="1" t="s">
        <v>9848</v>
      </c>
      <c r="B860" s="1">
        <v>4</v>
      </c>
    </row>
    <row r="861" spans="1:3" outlineLevel="1"/>
    <row r="862" spans="1:3" outlineLevel="1"/>
    <row r="863" spans="1:3" outlineLevel="1"/>
    <row r="864" spans="1:3" outlineLevel="1">
      <c r="A864" s="1" t="s">
        <v>9844</v>
      </c>
      <c r="B864" s="1" t="s">
        <v>9849</v>
      </c>
      <c r="C864" s="1" t="s">
        <v>9816</v>
      </c>
    </row>
    <row r="865" spans="1:5" outlineLevel="1">
      <c r="A865" s="1" t="s">
        <v>9846</v>
      </c>
      <c r="B865" s="23">
        <v>43952</v>
      </c>
      <c r="C865" s="1">
        <v>1</v>
      </c>
    </row>
    <row r="866" spans="1:5" outlineLevel="1">
      <c r="A866" s="1" t="s">
        <v>9847</v>
      </c>
      <c r="B866" s="1">
        <v>2</v>
      </c>
      <c r="C866" s="1">
        <v>2</v>
      </c>
    </row>
    <row r="867" spans="1:5" outlineLevel="1">
      <c r="A867" s="1" t="s">
        <v>9848</v>
      </c>
      <c r="B867" s="1">
        <v>3</v>
      </c>
      <c r="C867" s="1">
        <v>4</v>
      </c>
    </row>
    <row r="868" spans="1:5" outlineLevel="1"/>
    <row r="869" spans="1:5" outlineLevel="1">
      <c r="A869" s="1" t="s">
        <v>9850</v>
      </c>
      <c r="B869" s="1" t="s">
        <v>9847</v>
      </c>
      <c r="C869" s="1" t="s">
        <v>9848</v>
      </c>
      <c r="D869" s="1" t="s">
        <v>9851</v>
      </c>
      <c r="E869" s="1" t="s">
        <v>9852</v>
      </c>
    </row>
    <row r="870" spans="1:5" outlineLevel="1">
      <c r="A870" s="1" t="s">
        <v>9853</v>
      </c>
      <c r="B870" s="1" t="s">
        <v>9854</v>
      </c>
      <c r="C870" s="1" t="s">
        <v>9855</v>
      </c>
      <c r="D870" s="1" t="s">
        <v>9856</v>
      </c>
      <c r="E870" s="1" t="s">
        <v>9857</v>
      </c>
    </row>
    <row r="871" spans="1:5" outlineLevel="1">
      <c r="A871" s="1" t="s">
        <v>9858</v>
      </c>
      <c r="B871" s="1" t="s">
        <v>9859</v>
      </c>
      <c r="C871" s="1" t="s">
        <v>9860</v>
      </c>
      <c r="D871" s="1" t="s">
        <v>9861</v>
      </c>
      <c r="E871" s="1" t="s">
        <v>9862</v>
      </c>
    </row>
    <row r="872" spans="1:5" outlineLevel="1">
      <c r="A872" s="1" t="s">
        <v>9863</v>
      </c>
      <c r="B872" s="1" t="s">
        <v>9864</v>
      </c>
      <c r="C872" s="1" t="s">
        <v>9865</v>
      </c>
      <c r="D872" s="1" t="s">
        <v>9866</v>
      </c>
      <c r="E872" s="1" t="s">
        <v>9867</v>
      </c>
    </row>
    <row r="873" spans="1:5" outlineLevel="1">
      <c r="A873" s="1" t="s">
        <v>9855</v>
      </c>
      <c r="B873" s="1" t="s">
        <v>9868</v>
      </c>
      <c r="C873" s="1" t="s">
        <v>9869</v>
      </c>
      <c r="D873" s="1" t="s">
        <v>9870</v>
      </c>
      <c r="E873" s="1" t="s">
        <v>9871</v>
      </c>
    </row>
    <row r="874" spans="1:5" outlineLevel="1">
      <c r="A874" s="1" t="s">
        <v>9872</v>
      </c>
      <c r="B874" s="1" t="s">
        <v>9873</v>
      </c>
    </row>
    <row r="875" spans="1:5" outlineLevel="1"/>
    <row r="877" spans="1:5" outlineLevel="1">
      <c r="A877" s="1" t="s">
        <v>9105</v>
      </c>
      <c r="B877" s="1" t="s">
        <v>9874</v>
      </c>
    </row>
    <row r="878" spans="1:5" outlineLevel="1">
      <c r="A878" s="914" t="s">
        <v>15371</v>
      </c>
      <c r="B878" s="1" t="s">
        <v>9875</v>
      </c>
    </row>
    <row r="879" spans="1:5" outlineLevel="1">
      <c r="A879" s="1">
        <v>4</v>
      </c>
      <c r="B879" s="1" t="s">
        <v>9876</v>
      </c>
    </row>
    <row r="880" spans="1:5" outlineLevel="1">
      <c r="A880" s="1">
        <v>5</v>
      </c>
      <c r="B880" s="1" t="s">
        <v>9877</v>
      </c>
    </row>
    <row r="881" spans="1:2" outlineLevel="1">
      <c r="A881" s="1">
        <v>6</v>
      </c>
      <c r="B881" s="1" t="s">
        <v>9878</v>
      </c>
    </row>
    <row r="882" spans="1:2" outlineLevel="1"/>
    <row r="883" spans="1:2" outlineLevel="1"/>
    <row r="884" spans="1:2" outlineLevel="1"/>
    <row r="885" spans="1:2" outlineLevel="1"/>
    <row r="886" spans="1:2" outlineLevel="1"/>
    <row r="887" spans="1:2" outlineLevel="1"/>
    <row r="888" spans="1:2" outlineLevel="1"/>
    <row r="889" spans="1:2" outlineLevel="1"/>
    <row r="890" spans="1:2" outlineLevel="1"/>
    <row r="891" spans="1:2" outlineLevel="1"/>
    <row r="892" spans="1:2" outlineLevel="1"/>
    <row r="893" spans="1:2" outlineLevel="1"/>
    <row r="894" spans="1:2" outlineLevel="1"/>
    <row r="895" spans="1:2" outlineLevel="1">
      <c r="A895" s="1" t="s">
        <v>9879</v>
      </c>
    </row>
    <row r="896" spans="1:2" outlineLevel="1">
      <c r="A896" s="1" t="s">
        <v>9880</v>
      </c>
    </row>
    <row r="897" spans="1:1" outlineLevel="1">
      <c r="A897" s="1" t="s">
        <v>9881</v>
      </c>
    </row>
    <row r="898" spans="1:1" outlineLevel="1">
      <c r="A898" s="1" t="s">
        <v>9882</v>
      </c>
    </row>
    <row r="899" spans="1:1" outlineLevel="1"/>
    <row r="900" spans="1:1" outlineLevel="1">
      <c r="A900" s="1" t="s">
        <v>9883</v>
      </c>
    </row>
    <row r="901" spans="1:1" outlineLevel="1">
      <c r="A901" s="1" t="s">
        <v>9884</v>
      </c>
    </row>
    <row r="902" spans="1:1" outlineLevel="1">
      <c r="A902" s="1" t="s">
        <v>9885</v>
      </c>
    </row>
    <row r="903" spans="1:1" outlineLevel="1">
      <c r="A903" s="1" t="s">
        <v>9886</v>
      </c>
    </row>
    <row r="904" spans="1:1" outlineLevel="1">
      <c r="A904" s="1" t="s">
        <v>9887</v>
      </c>
    </row>
    <row r="905" spans="1:1" outlineLevel="1">
      <c r="A905" s="1" t="s">
        <v>9888</v>
      </c>
    </row>
    <row r="906" spans="1:1" outlineLevel="1">
      <c r="A906" s="1" t="s">
        <v>9889</v>
      </c>
    </row>
    <row r="907" spans="1:1" outlineLevel="1">
      <c r="A907" s="1" t="s">
        <v>9890</v>
      </c>
    </row>
    <row r="908" spans="1:1" outlineLevel="1">
      <c r="A908" s="1" t="s">
        <v>9891</v>
      </c>
    </row>
    <row r="909" spans="1:1" outlineLevel="1">
      <c r="A909" s="1" t="s">
        <v>9892</v>
      </c>
    </row>
    <row r="910" spans="1:1" outlineLevel="1"/>
    <row r="911" spans="1:1" outlineLevel="1"/>
    <row r="912" spans="1:1" outlineLevel="1"/>
    <row r="913" spans="1:1" outlineLevel="1"/>
    <row r="914" spans="1:1" outlineLevel="1"/>
    <row r="915" spans="1:1" outlineLevel="1">
      <c r="A915" s="1" t="s">
        <v>9893</v>
      </c>
    </row>
    <row r="916" spans="1:1" outlineLevel="1">
      <c r="A916" s="1" t="s">
        <v>9894</v>
      </c>
    </row>
    <row r="917" spans="1:1" outlineLevel="1">
      <c r="A917" s="1" t="s">
        <v>9895</v>
      </c>
    </row>
    <row r="918" spans="1:1" outlineLevel="1">
      <c r="A918" s="1" t="s">
        <v>9896</v>
      </c>
    </row>
    <row r="919" spans="1:1" outlineLevel="1">
      <c r="A919" s="1" t="s">
        <v>9897</v>
      </c>
    </row>
    <row r="920" spans="1:1" outlineLevel="1">
      <c r="A920" s="1" t="s">
        <v>9898</v>
      </c>
    </row>
    <row r="921" spans="1:1" outlineLevel="1">
      <c r="A921" s="1" t="s">
        <v>9899</v>
      </c>
    </row>
    <row r="922" spans="1:1" outlineLevel="1">
      <c r="A922" s="1" t="s">
        <v>9900</v>
      </c>
    </row>
    <row r="923" spans="1:1" outlineLevel="1">
      <c r="A923" s="1" t="s">
        <v>9901</v>
      </c>
    </row>
    <row r="924" spans="1:1" outlineLevel="1">
      <c r="A924" s="1" t="s">
        <v>9902</v>
      </c>
    </row>
    <row r="925" spans="1:1" outlineLevel="1">
      <c r="A925" s="1" t="s">
        <v>9903</v>
      </c>
    </row>
    <row r="926" spans="1:1" outlineLevel="1">
      <c r="A926" s="1" t="s">
        <v>9904</v>
      </c>
    </row>
    <row r="927" spans="1:1" outlineLevel="1">
      <c r="A927" s="1" t="s">
        <v>9905</v>
      </c>
    </row>
    <row r="928" spans="1:1" outlineLevel="1">
      <c r="A928" s="1" t="s">
        <v>9906</v>
      </c>
    </row>
    <row r="929" spans="1:1" outlineLevel="1">
      <c r="A929" s="1" t="s">
        <v>9907</v>
      </c>
    </row>
    <row r="930" spans="1:1" outlineLevel="1">
      <c r="A930" s="1" t="s">
        <v>9908</v>
      </c>
    </row>
    <row r="931" spans="1:1" outlineLevel="1">
      <c r="A931" s="1" t="s">
        <v>9909</v>
      </c>
    </row>
    <row r="932" spans="1:1" outlineLevel="1">
      <c r="A932" s="1" t="s">
        <v>9910</v>
      </c>
    </row>
    <row r="933" spans="1:1" outlineLevel="1">
      <c r="A933" s="1" t="s">
        <v>9911</v>
      </c>
    </row>
    <row r="934" spans="1:1" outlineLevel="1">
      <c r="A934" s="1" t="s">
        <v>9912</v>
      </c>
    </row>
    <row r="935" spans="1:1" outlineLevel="1">
      <c r="A935" s="1" t="s">
        <v>9913</v>
      </c>
    </row>
    <row r="936" spans="1:1" outlineLevel="1">
      <c r="A936" s="1" t="s">
        <v>9914</v>
      </c>
    </row>
    <row r="937" spans="1:1" outlineLevel="1">
      <c r="A937" s="1" t="s">
        <v>9915</v>
      </c>
    </row>
    <row r="938" spans="1:1" outlineLevel="1">
      <c r="A938" s="1" t="s">
        <v>9916</v>
      </c>
    </row>
    <row r="939" spans="1:1" outlineLevel="1">
      <c r="A939" s="1" t="s">
        <v>9917</v>
      </c>
    </row>
    <row r="940" spans="1:1" outlineLevel="1">
      <c r="A940" s="1" t="s">
        <v>9918</v>
      </c>
    </row>
    <row r="941" spans="1:1" outlineLevel="1">
      <c r="A941" s="1" t="s">
        <v>9919</v>
      </c>
    </row>
    <row r="942" spans="1:1" outlineLevel="1">
      <c r="A942" s="1" t="s">
        <v>9920</v>
      </c>
    </row>
    <row r="943" spans="1:1" outlineLevel="1">
      <c r="A943" s="1" t="s">
        <v>9921</v>
      </c>
    </row>
    <row r="944" spans="1:1" outlineLevel="1">
      <c r="A944" s="1" t="s">
        <v>9922</v>
      </c>
    </row>
    <row r="945" spans="1:3" outlineLevel="1">
      <c r="A945" s="1" t="s">
        <v>9923</v>
      </c>
    </row>
    <row r="946" spans="1:3" outlineLevel="1">
      <c r="A946" s="1" t="s">
        <v>9924</v>
      </c>
    </row>
    <row r="947" spans="1:3" outlineLevel="1">
      <c r="A947" s="1" t="s">
        <v>9925</v>
      </c>
    </row>
    <row r="948" spans="1:3" outlineLevel="1">
      <c r="A948" s="1" t="s">
        <v>9926</v>
      </c>
    </row>
    <row r="949" spans="1:3" outlineLevel="1">
      <c r="A949" s="1" t="s">
        <v>9927</v>
      </c>
    </row>
    <row r="950" spans="1:3" outlineLevel="1">
      <c r="A950" s="1" t="s">
        <v>9928</v>
      </c>
    </row>
    <row r="951" spans="1:3" outlineLevel="1">
      <c r="A951" s="1" t="s">
        <v>9929</v>
      </c>
    </row>
    <row r="952" spans="1:3" outlineLevel="1">
      <c r="A952" s="1" t="s">
        <v>9930</v>
      </c>
    </row>
    <row r="953" spans="1:3" outlineLevel="1">
      <c r="A953" s="1" t="s">
        <v>9931</v>
      </c>
    </row>
    <row r="954" spans="1:3" outlineLevel="1">
      <c r="A954" s="1" t="s">
        <v>9932</v>
      </c>
    </row>
    <row r="955" spans="1:3" outlineLevel="1">
      <c r="A955" s="1" t="s">
        <v>9933</v>
      </c>
    </row>
    <row r="956" spans="1:3" outlineLevel="1">
      <c r="A956" s="1" t="s">
        <v>9934</v>
      </c>
    </row>
    <row r="957" spans="1:3" outlineLevel="1">
      <c r="A957" s="1" t="s">
        <v>9924</v>
      </c>
    </row>
    <row r="958" spans="1:3" outlineLevel="1">
      <c r="A958" s="1" t="s">
        <v>9935</v>
      </c>
    </row>
    <row r="959" spans="1:3" outlineLevel="1"/>
    <row r="960" spans="1:3" outlineLevel="1">
      <c r="A960" s="1" t="s">
        <v>9936</v>
      </c>
      <c r="B960" s="1" t="s">
        <v>8684</v>
      </c>
      <c r="C960" s="1" t="s">
        <v>8792</v>
      </c>
    </row>
    <row r="961" spans="1:1" outlineLevel="1">
      <c r="A961" s="1" t="s">
        <v>9926</v>
      </c>
    </row>
    <row r="962" spans="1:1" outlineLevel="1">
      <c r="A962" s="1" t="s">
        <v>9932</v>
      </c>
    </row>
    <row r="963" spans="1:1" outlineLevel="1">
      <c r="A963" s="1" t="s">
        <v>9889</v>
      </c>
    </row>
    <row r="964" spans="1:1" outlineLevel="1">
      <c r="A964" s="1" t="s">
        <v>9893</v>
      </c>
    </row>
    <row r="965" spans="1:1" outlineLevel="1">
      <c r="A965" s="1" t="s">
        <v>9879</v>
      </c>
    </row>
    <row r="966" spans="1:1" outlineLevel="1">
      <c r="A966" s="1" t="s">
        <v>9883</v>
      </c>
    </row>
    <row r="967" spans="1:1" outlineLevel="1">
      <c r="A967" s="1" t="s">
        <v>9937</v>
      </c>
    </row>
    <row r="968" spans="1:1" outlineLevel="1">
      <c r="A968" s="1" t="s">
        <v>9938</v>
      </c>
    </row>
    <row r="969" spans="1:1" outlineLevel="1">
      <c r="A969" s="1" t="s">
        <v>9939</v>
      </c>
    </row>
    <row r="970" spans="1:1" outlineLevel="1">
      <c r="A970" s="1" t="s">
        <v>9940</v>
      </c>
    </row>
    <row r="971" spans="1:1" outlineLevel="1">
      <c r="A971" s="1" t="s">
        <v>9941</v>
      </c>
    </row>
    <row r="972" spans="1:1" outlineLevel="1">
      <c r="A972" s="1" t="s">
        <v>9942</v>
      </c>
    </row>
    <row r="973" spans="1:1" outlineLevel="1">
      <c r="A973" s="1" t="s">
        <v>9943</v>
      </c>
    </row>
    <row r="974" spans="1:1" outlineLevel="1">
      <c r="A974" s="1" t="s">
        <v>9897</v>
      </c>
    </row>
    <row r="975" spans="1:1" outlineLevel="1">
      <c r="A975" s="1" t="s">
        <v>9921</v>
      </c>
    </row>
    <row r="976" spans="1:1" outlineLevel="1">
      <c r="A976" s="1" t="s">
        <v>9916</v>
      </c>
    </row>
    <row r="977" spans="1:3" outlineLevel="1">
      <c r="A977" s="1" t="s">
        <v>9911</v>
      </c>
    </row>
    <row r="978" spans="1:3" outlineLevel="1">
      <c r="A978" s="1" t="s">
        <v>9897</v>
      </c>
    </row>
    <row r="979" spans="1:3" outlineLevel="1">
      <c r="A979" s="1" t="s">
        <v>9905</v>
      </c>
    </row>
    <row r="980" spans="1:3" outlineLevel="1"/>
    <row r="981" spans="1:3" outlineLevel="1"/>
    <row r="982" spans="1:3" outlineLevel="1"/>
    <row r="984" spans="1:3" outlineLevel="1">
      <c r="A984" s="1" t="s">
        <v>9944</v>
      </c>
      <c r="B984" s="1" t="s">
        <v>9945</v>
      </c>
      <c r="C984" s="1" t="s">
        <v>9946</v>
      </c>
    </row>
    <row r="985" spans="1:3" outlineLevel="1">
      <c r="A985" s="1" t="s">
        <v>9947</v>
      </c>
      <c r="B985" s="1" t="s">
        <v>9948</v>
      </c>
      <c r="C985" s="1">
        <v>125</v>
      </c>
    </row>
    <row r="986" spans="1:3" outlineLevel="1">
      <c r="A986" s="1" t="s">
        <v>9949</v>
      </c>
      <c r="B986" s="1" t="s">
        <v>9950</v>
      </c>
      <c r="C986" s="1">
        <v>250</v>
      </c>
    </row>
    <row r="987" spans="1:3" outlineLevel="1">
      <c r="A987" s="1" t="s">
        <v>9951</v>
      </c>
      <c r="B987" s="1" t="s">
        <v>9950</v>
      </c>
      <c r="C987" s="1">
        <v>125</v>
      </c>
    </row>
    <row r="988" spans="1:3" outlineLevel="1">
      <c r="A988" s="1" t="s">
        <v>9952</v>
      </c>
      <c r="B988" s="1" t="s">
        <v>9953</v>
      </c>
      <c r="C988" s="1">
        <v>100</v>
      </c>
    </row>
    <row r="989" spans="1:3" outlineLevel="1">
      <c r="A989" s="1" t="s">
        <v>9954</v>
      </c>
      <c r="B989" s="1" t="s">
        <v>9948</v>
      </c>
      <c r="C989" s="1">
        <v>75</v>
      </c>
    </row>
    <row r="990" spans="1:3" outlineLevel="1">
      <c r="A990" s="1" t="s">
        <v>9955</v>
      </c>
      <c r="B990" s="1" t="s">
        <v>9956</v>
      </c>
      <c r="C990" s="1">
        <v>200</v>
      </c>
    </row>
    <row r="991" spans="1:3" outlineLevel="1">
      <c r="A991" s="1" t="s">
        <v>9957</v>
      </c>
      <c r="B991" s="1" t="s">
        <v>9948</v>
      </c>
      <c r="C991" s="1">
        <v>750</v>
      </c>
    </row>
    <row r="992" spans="1:3" outlineLevel="1">
      <c r="A992" s="1" t="s">
        <v>9958</v>
      </c>
      <c r="B992" s="1" t="s">
        <v>9956</v>
      </c>
      <c r="C992" s="1">
        <v>100</v>
      </c>
    </row>
    <row r="993" spans="1:7" outlineLevel="1">
      <c r="A993" s="1" t="s">
        <v>9959</v>
      </c>
      <c r="B993" s="1" t="s">
        <v>9948</v>
      </c>
      <c r="C993" s="1">
        <v>300</v>
      </c>
    </row>
    <row r="994" spans="1:7" outlineLevel="1">
      <c r="A994" s="1" t="s">
        <v>9960</v>
      </c>
      <c r="B994" s="1" t="s">
        <v>9948</v>
      </c>
      <c r="C994" s="1">
        <v>75</v>
      </c>
    </row>
    <row r="995" spans="1:7" outlineLevel="1">
      <c r="A995" s="1" t="s">
        <v>9961</v>
      </c>
      <c r="B995" s="1" t="s">
        <v>9950</v>
      </c>
      <c r="C995" s="1">
        <v>150</v>
      </c>
    </row>
    <row r="996" spans="1:7" outlineLevel="1">
      <c r="A996" s="1" t="s">
        <v>9962</v>
      </c>
      <c r="B996" s="1" t="s">
        <v>9953</v>
      </c>
      <c r="C996" s="1">
        <v>600</v>
      </c>
    </row>
    <row r="997" spans="1:7" outlineLevel="1">
      <c r="A997" s="1" t="s">
        <v>9963</v>
      </c>
      <c r="B997" s="1" t="s">
        <v>9953</v>
      </c>
      <c r="C997" s="1">
        <v>100</v>
      </c>
    </row>
    <row r="998" spans="1:7" outlineLevel="1">
      <c r="A998" s="1" t="s">
        <v>9964</v>
      </c>
      <c r="B998" s="1" t="s">
        <v>9953</v>
      </c>
      <c r="C998" s="1">
        <v>1000</v>
      </c>
    </row>
    <row r="999" spans="1:7" outlineLevel="1"/>
    <row r="1000" spans="1:7" ht="39.75" thickBot="1">
      <c r="A1000" s="566" t="s">
        <v>9965</v>
      </c>
    </row>
    <row r="1001" spans="1:7" ht="15" outlineLevel="1" thickTop="1">
      <c r="A1001" s="1" t="s">
        <v>9648</v>
      </c>
      <c r="B1001" s="1" t="s">
        <v>5608</v>
      </c>
      <c r="C1001" s="1" t="s">
        <v>2321</v>
      </c>
      <c r="D1001" s="1" t="s">
        <v>5649</v>
      </c>
      <c r="E1001" s="1" t="s">
        <v>2063</v>
      </c>
      <c r="F1001" s="1" t="s">
        <v>2088</v>
      </c>
      <c r="G1001" s="1" t="s">
        <v>9966</v>
      </c>
    </row>
    <row r="1002" spans="1:7" outlineLevel="1">
      <c r="A1002" s="1" t="s">
        <v>9967</v>
      </c>
      <c r="F1002" s="1" t="s">
        <v>9968</v>
      </c>
      <c r="G1002" s="1" t="s">
        <v>9969</v>
      </c>
    </row>
    <row r="1003" spans="1:7" outlineLevel="1">
      <c r="A1003" s="1" t="s">
        <v>9970</v>
      </c>
      <c r="F1003" s="1" t="s">
        <v>7979</v>
      </c>
      <c r="G1003" s="1" t="s">
        <v>7685</v>
      </c>
    </row>
    <row r="1004" spans="1:7" outlineLevel="1">
      <c r="A1004" s="1" t="s">
        <v>9971</v>
      </c>
      <c r="F1004" s="1" t="s">
        <v>9972</v>
      </c>
      <c r="G1004" s="1" t="s">
        <v>9973</v>
      </c>
    </row>
    <row r="1005" spans="1:7" outlineLevel="1">
      <c r="A1005" s="1" t="s">
        <v>9974</v>
      </c>
      <c r="F1005" s="1" t="s">
        <v>9975</v>
      </c>
      <c r="G1005" s="1" t="s">
        <v>9976</v>
      </c>
    </row>
    <row r="1006" spans="1:7" outlineLevel="1">
      <c r="A1006" s="1" t="s">
        <v>9977</v>
      </c>
      <c r="F1006" s="1" t="s">
        <v>9978</v>
      </c>
      <c r="G1006" s="1" t="s">
        <v>9979</v>
      </c>
    </row>
    <row r="1007" spans="1:7" outlineLevel="1">
      <c r="A1007" s="1" t="s">
        <v>9980</v>
      </c>
      <c r="B1007" s="1" t="s">
        <v>9981</v>
      </c>
      <c r="F1007" s="1" t="s">
        <v>9982</v>
      </c>
      <c r="G1007" s="1" t="s">
        <v>9983</v>
      </c>
    </row>
    <row r="1008" spans="1:7" outlineLevel="1">
      <c r="A1008" s="1" t="s">
        <v>9984</v>
      </c>
      <c r="B1008" s="1" t="s">
        <v>9981</v>
      </c>
      <c r="F1008" s="1" t="s">
        <v>9975</v>
      </c>
      <c r="G1008" s="1" t="s">
        <v>9976</v>
      </c>
    </row>
    <row r="1009" spans="1:7" outlineLevel="1">
      <c r="A1009" s="1" t="s">
        <v>9985</v>
      </c>
      <c r="F1009" s="1" t="s">
        <v>9978</v>
      </c>
      <c r="G1009" s="1" t="s">
        <v>9979</v>
      </c>
    </row>
    <row r="1010" spans="1:7" outlineLevel="1">
      <c r="A1010" s="1" t="s">
        <v>9986</v>
      </c>
      <c r="F1010" s="1" t="s">
        <v>9987</v>
      </c>
      <c r="G1010" s="1" t="s">
        <v>9988</v>
      </c>
    </row>
    <row r="1011" spans="1:7" outlineLevel="1">
      <c r="A1011" s="1" t="s">
        <v>9989</v>
      </c>
      <c r="F1011" s="1" t="s">
        <v>9990</v>
      </c>
      <c r="G1011" s="1" t="s">
        <v>9979</v>
      </c>
    </row>
    <row r="1012" spans="1:7" outlineLevel="1">
      <c r="A1012" s="1" t="s">
        <v>9989</v>
      </c>
    </row>
    <row r="1013" spans="1:7" outlineLevel="1">
      <c r="A1013" s="1" t="s">
        <v>9991</v>
      </c>
      <c r="F1013" s="1" t="s">
        <v>9771</v>
      </c>
      <c r="G1013" s="1" t="s">
        <v>9992</v>
      </c>
    </row>
    <row r="1014" spans="1:7" outlineLevel="1">
      <c r="A1014" s="1" t="s">
        <v>9993</v>
      </c>
      <c r="F1014" s="1" t="s">
        <v>9982</v>
      </c>
      <c r="G1014" s="1" t="s">
        <v>9994</v>
      </c>
    </row>
    <row r="1015" spans="1:7" outlineLevel="1">
      <c r="A1015" s="1" t="s">
        <v>9995</v>
      </c>
      <c r="F1015" s="1" t="s">
        <v>9996</v>
      </c>
      <c r="G1015" s="1" t="s">
        <v>9997</v>
      </c>
    </row>
    <row r="1016" spans="1:7" outlineLevel="1">
      <c r="A1016" s="1" t="s">
        <v>9998</v>
      </c>
      <c r="F1016" s="1" t="s">
        <v>8042</v>
      </c>
      <c r="G1016" s="1" t="s">
        <v>9994</v>
      </c>
    </row>
    <row r="1017" spans="1:7" outlineLevel="1">
      <c r="A1017" s="1" t="s">
        <v>9998</v>
      </c>
    </row>
    <row r="1018" spans="1:7" outlineLevel="1">
      <c r="A1018" s="1" t="s">
        <v>9999</v>
      </c>
      <c r="B1018" s="1" t="s">
        <v>10000</v>
      </c>
      <c r="F1018" s="1" t="s">
        <v>9982</v>
      </c>
      <c r="G1018" s="1" t="s">
        <v>10001</v>
      </c>
    </row>
    <row r="1019" spans="1:7" outlineLevel="1">
      <c r="A1019" s="1" t="s">
        <v>10002</v>
      </c>
      <c r="F1019" s="1" t="s">
        <v>8068</v>
      </c>
      <c r="G1019" s="1" t="s">
        <v>10003</v>
      </c>
    </row>
    <row r="1020" spans="1:7" outlineLevel="1">
      <c r="A1020" s="1" t="s">
        <v>10004</v>
      </c>
      <c r="F1020" s="1" t="s">
        <v>9987</v>
      </c>
      <c r="G1020" s="1" t="s">
        <v>10005</v>
      </c>
    </row>
    <row r="1021" spans="1:7" outlineLevel="1">
      <c r="A1021" s="1" t="s">
        <v>10006</v>
      </c>
      <c r="F1021" s="1" t="s">
        <v>10007</v>
      </c>
      <c r="G1021" s="1" t="s">
        <v>10008</v>
      </c>
    </row>
    <row r="1022" spans="1:7" outlineLevel="1">
      <c r="A1022" s="1" t="s">
        <v>10009</v>
      </c>
      <c r="F1022" s="1" t="s">
        <v>10010</v>
      </c>
      <c r="G1022" s="1" t="s">
        <v>10011</v>
      </c>
    </row>
    <row r="1023" spans="1:7" outlineLevel="1">
      <c r="A1023" s="1" t="s">
        <v>10012</v>
      </c>
      <c r="F1023" s="1" t="s">
        <v>10013</v>
      </c>
      <c r="G1023" s="1" t="s">
        <v>10014</v>
      </c>
    </row>
    <row r="1024" spans="1:7" outlineLevel="1">
      <c r="A1024" s="1" t="s">
        <v>10015</v>
      </c>
      <c r="F1024" s="1" t="s">
        <v>10016</v>
      </c>
      <c r="G1024" s="1" t="s">
        <v>10017</v>
      </c>
    </row>
    <row r="1025" spans="1:7" outlineLevel="1">
      <c r="A1025" s="1" t="s">
        <v>10018</v>
      </c>
      <c r="F1025" s="1" t="s">
        <v>9978</v>
      </c>
      <c r="G1025" s="1" t="s">
        <v>10011</v>
      </c>
    </row>
    <row r="1026" spans="1:7" outlineLevel="1">
      <c r="A1026" s="1" t="s">
        <v>10019</v>
      </c>
      <c r="F1026" s="1" t="s">
        <v>10016</v>
      </c>
      <c r="G1026" s="1" t="s">
        <v>10020</v>
      </c>
    </row>
    <row r="1027" spans="1:7" outlineLevel="1">
      <c r="A1027" s="1" t="s">
        <v>10021</v>
      </c>
      <c r="F1027" s="1" t="s">
        <v>10022</v>
      </c>
      <c r="G1027" s="1" t="s">
        <v>10023</v>
      </c>
    </row>
    <row r="1028" spans="1:7" outlineLevel="1">
      <c r="A1028" s="1" t="s">
        <v>10024</v>
      </c>
      <c r="F1028" s="1" t="s">
        <v>10025</v>
      </c>
      <c r="G1028" s="1" t="s">
        <v>10026</v>
      </c>
    </row>
    <row r="1029" spans="1:7" outlineLevel="1">
      <c r="A1029" s="1" t="s">
        <v>10027</v>
      </c>
      <c r="F1029" s="1" t="s">
        <v>10028</v>
      </c>
      <c r="G1029" s="1" t="s">
        <v>10029</v>
      </c>
    </row>
    <row r="1030" spans="1:7" outlineLevel="1">
      <c r="A1030" s="1" t="s">
        <v>10030</v>
      </c>
      <c r="F1030" s="1" t="s">
        <v>10031</v>
      </c>
      <c r="G1030" s="1" t="s">
        <v>10032</v>
      </c>
    </row>
    <row r="1031" spans="1:7" outlineLevel="1">
      <c r="A1031" s="1" t="s">
        <v>10033</v>
      </c>
      <c r="F1031" s="1" t="s">
        <v>10034</v>
      </c>
      <c r="G1031" s="1" t="s">
        <v>10035</v>
      </c>
    </row>
    <row r="1032" spans="1:7" outlineLevel="1">
      <c r="A1032" s="1" t="s">
        <v>10036</v>
      </c>
    </row>
    <row r="1033" spans="1:7" outlineLevel="1">
      <c r="A1033" s="1" t="s">
        <v>10037</v>
      </c>
      <c r="F1033" s="1" t="s">
        <v>7979</v>
      </c>
      <c r="G1033" s="1" t="s">
        <v>9994</v>
      </c>
    </row>
    <row r="1034" spans="1:7" outlineLevel="1">
      <c r="A1034" s="1" t="s">
        <v>10037</v>
      </c>
    </row>
    <row r="1035" spans="1:7" outlineLevel="1">
      <c r="A1035" s="1" t="s">
        <v>10038</v>
      </c>
      <c r="B1035" s="1" t="s">
        <v>9981</v>
      </c>
    </row>
    <row r="1036" spans="1:7" outlineLevel="1">
      <c r="A1036" s="1" t="s">
        <v>10038</v>
      </c>
      <c r="B1036" s="1" t="s">
        <v>9981</v>
      </c>
      <c r="F1036" s="1" t="s">
        <v>8012</v>
      </c>
      <c r="G1036" s="1" t="s">
        <v>10001</v>
      </c>
    </row>
    <row r="1037" spans="1:7" outlineLevel="1">
      <c r="A1037" s="1" t="s">
        <v>10039</v>
      </c>
      <c r="F1037" s="1" t="s">
        <v>10040</v>
      </c>
      <c r="G1037" s="1" t="s">
        <v>10041</v>
      </c>
    </row>
    <row r="1038" spans="1:7" outlineLevel="1">
      <c r="A1038" s="1" t="s">
        <v>10042</v>
      </c>
      <c r="B1038" s="1" t="s">
        <v>10000</v>
      </c>
      <c r="F1038" s="1" t="s">
        <v>10043</v>
      </c>
      <c r="G1038" s="1" t="s">
        <v>10001</v>
      </c>
    </row>
    <row r="1039" spans="1:7" outlineLevel="1">
      <c r="A1039" s="1" t="s">
        <v>10044</v>
      </c>
      <c r="F1039" s="1" t="s">
        <v>10045</v>
      </c>
      <c r="G1039" s="1" t="s">
        <v>10046</v>
      </c>
    </row>
    <row r="1040" spans="1:7" outlineLevel="1">
      <c r="A1040" s="1" t="s">
        <v>10047</v>
      </c>
      <c r="F1040" s="1" t="s">
        <v>9987</v>
      </c>
      <c r="G1040" s="1" t="s">
        <v>10011</v>
      </c>
    </row>
    <row r="1041" spans="1:7" outlineLevel="1">
      <c r="A1041" s="1" t="s">
        <v>10047</v>
      </c>
    </row>
    <row r="1042" spans="1:7" outlineLevel="1">
      <c r="A1042" s="1" t="s">
        <v>10048</v>
      </c>
      <c r="F1042" s="1" t="s">
        <v>10049</v>
      </c>
      <c r="G1042" s="1" t="s">
        <v>10050</v>
      </c>
    </row>
    <row r="1043" spans="1:7" outlineLevel="1">
      <c r="A1043" s="1" t="s">
        <v>10051</v>
      </c>
      <c r="B1043" s="1" t="s">
        <v>10052</v>
      </c>
      <c r="F1043" s="1" t="s">
        <v>10053</v>
      </c>
      <c r="G1043" s="1" t="s">
        <v>10054</v>
      </c>
    </row>
    <row r="1044" spans="1:7" outlineLevel="1">
      <c r="A1044" s="1" t="s">
        <v>10055</v>
      </c>
      <c r="F1044" s="1" t="s">
        <v>10056</v>
      </c>
      <c r="G1044" s="1" t="s">
        <v>10057</v>
      </c>
    </row>
    <row r="1045" spans="1:7" outlineLevel="1">
      <c r="A1045" s="1" t="s">
        <v>10058</v>
      </c>
      <c r="B1045" s="1" t="s">
        <v>10000</v>
      </c>
    </row>
    <row r="1046" spans="1:7" outlineLevel="1">
      <c r="A1046" s="1" t="s">
        <v>10059</v>
      </c>
      <c r="B1046" s="1" t="s">
        <v>9981</v>
      </c>
      <c r="F1046" s="1" t="s">
        <v>10007</v>
      </c>
      <c r="G1046" s="1" t="s">
        <v>10060</v>
      </c>
    </row>
    <row r="1047" spans="1:7" outlineLevel="1">
      <c r="A1047" s="1" t="s">
        <v>10061</v>
      </c>
      <c r="B1047" s="1" t="s">
        <v>9981</v>
      </c>
      <c r="F1047" s="1" t="s">
        <v>10010</v>
      </c>
      <c r="G1047" s="1" t="s">
        <v>10062</v>
      </c>
    </row>
    <row r="1048" spans="1:7" outlineLevel="1">
      <c r="A1048" s="1" t="s">
        <v>10063</v>
      </c>
      <c r="F1048" s="1" t="s">
        <v>10064</v>
      </c>
      <c r="G1048" s="1" t="s">
        <v>10065</v>
      </c>
    </row>
    <row r="1049" spans="1:7" outlineLevel="1">
      <c r="A1049" s="1" t="s">
        <v>10066</v>
      </c>
      <c r="F1049" s="1" t="s">
        <v>10067</v>
      </c>
      <c r="G1049" s="1" t="s">
        <v>10068</v>
      </c>
    </row>
    <row r="1050" spans="1:7" outlineLevel="1">
      <c r="A1050" s="1" t="s">
        <v>10069</v>
      </c>
      <c r="F1050" s="1" t="s">
        <v>10070</v>
      </c>
      <c r="G1050" s="1" t="s">
        <v>10071</v>
      </c>
    </row>
    <row r="1051" spans="1:7" outlineLevel="1">
      <c r="A1051" s="1" t="s">
        <v>10072</v>
      </c>
      <c r="F1051" s="1" t="s">
        <v>10045</v>
      </c>
      <c r="G1051" s="1" t="s">
        <v>9994</v>
      </c>
    </row>
    <row r="1052" spans="1:7" outlineLevel="1">
      <c r="A1052" s="1" t="s">
        <v>10073</v>
      </c>
      <c r="B1052" s="1" t="s">
        <v>10074</v>
      </c>
      <c r="F1052" s="1" t="s">
        <v>7968</v>
      </c>
      <c r="G1052" s="1" t="s">
        <v>10075</v>
      </c>
    </row>
    <row r="1053" spans="1:7" outlineLevel="1">
      <c r="A1053" s="1" t="s">
        <v>10076</v>
      </c>
      <c r="B1053" s="1" t="s">
        <v>10077</v>
      </c>
      <c r="F1053" s="1" t="s">
        <v>10053</v>
      </c>
      <c r="G1053" s="1" t="s">
        <v>10078</v>
      </c>
    </row>
    <row r="1054" spans="1:7" outlineLevel="1">
      <c r="A1054" s="1" t="s">
        <v>10079</v>
      </c>
      <c r="F1054" s="1" t="s">
        <v>10053</v>
      </c>
      <c r="G1054" s="1" t="s">
        <v>10071</v>
      </c>
    </row>
    <row r="1055" spans="1:7" outlineLevel="1">
      <c r="A1055" s="1" t="s">
        <v>3245</v>
      </c>
      <c r="F1055" s="1" t="s">
        <v>10070</v>
      </c>
      <c r="G1055" s="1" t="s">
        <v>10080</v>
      </c>
    </row>
    <row r="1056" spans="1:7" outlineLevel="1">
      <c r="A1056" s="1" t="s">
        <v>10081</v>
      </c>
      <c r="B1056" s="1" t="s">
        <v>9981</v>
      </c>
      <c r="F1056" s="1" t="s">
        <v>10053</v>
      </c>
      <c r="G1056" s="1" t="s">
        <v>10082</v>
      </c>
    </row>
    <row r="1057" spans="1:7" outlineLevel="1">
      <c r="A1057" s="1" t="s">
        <v>10083</v>
      </c>
      <c r="B1057" s="1" t="s">
        <v>5622</v>
      </c>
      <c r="F1057" s="1" t="s">
        <v>7958</v>
      </c>
      <c r="G1057" s="1" t="s">
        <v>10011</v>
      </c>
    </row>
    <row r="1058" spans="1:7" outlineLevel="1">
      <c r="A1058" s="1" t="s">
        <v>10084</v>
      </c>
      <c r="B1058" s="1" t="s">
        <v>9981</v>
      </c>
      <c r="F1058" s="1" t="s">
        <v>9771</v>
      </c>
      <c r="G1058" s="1" t="s">
        <v>9973</v>
      </c>
    </row>
    <row r="1059" spans="1:7" outlineLevel="1">
      <c r="A1059" s="1" t="s">
        <v>3104</v>
      </c>
      <c r="F1059" s="1" t="s">
        <v>10085</v>
      </c>
      <c r="G1059" s="1" t="s">
        <v>10086</v>
      </c>
    </row>
    <row r="1060" spans="1:7" outlineLevel="1">
      <c r="A1060" s="1" t="s">
        <v>10087</v>
      </c>
      <c r="F1060" s="1" t="s">
        <v>10088</v>
      </c>
      <c r="G1060" s="1" t="s">
        <v>10089</v>
      </c>
    </row>
    <row r="1061" spans="1:7" outlineLevel="1">
      <c r="A1061" s="1" t="s">
        <v>10090</v>
      </c>
      <c r="F1061" s="1" t="s">
        <v>10045</v>
      </c>
      <c r="G1061" s="1" t="s">
        <v>10046</v>
      </c>
    </row>
    <row r="1062" spans="1:7" outlineLevel="1">
      <c r="A1062" s="1" t="s">
        <v>10091</v>
      </c>
      <c r="B1062" s="1" t="s">
        <v>9981</v>
      </c>
      <c r="F1062" s="1" t="s">
        <v>8023</v>
      </c>
      <c r="G1062" s="1" t="s">
        <v>10001</v>
      </c>
    </row>
    <row r="1063" spans="1:7" outlineLevel="1">
      <c r="A1063" s="1" t="s">
        <v>10092</v>
      </c>
      <c r="F1063" s="1" t="s">
        <v>8117</v>
      </c>
      <c r="G1063" s="1" t="s">
        <v>9994</v>
      </c>
    </row>
    <row r="1064" spans="1:7" outlineLevel="1">
      <c r="A1064" s="1" t="s">
        <v>10093</v>
      </c>
      <c r="B1064" s="1" t="s">
        <v>9981</v>
      </c>
      <c r="F1064" s="1" t="s">
        <v>10094</v>
      </c>
      <c r="G1064" s="1" t="s">
        <v>10095</v>
      </c>
    </row>
    <row r="1065" spans="1:7" outlineLevel="1">
      <c r="A1065" s="1" t="s">
        <v>10096</v>
      </c>
      <c r="B1065" s="1" t="s">
        <v>10077</v>
      </c>
      <c r="F1065" s="1" t="s">
        <v>10097</v>
      </c>
      <c r="G1065" s="1" t="s">
        <v>10003</v>
      </c>
    </row>
    <row r="1066" spans="1:7" outlineLevel="1">
      <c r="A1066" s="1" t="s">
        <v>10098</v>
      </c>
      <c r="B1066" s="1" t="s">
        <v>10052</v>
      </c>
      <c r="F1066" s="1" t="s">
        <v>9767</v>
      </c>
      <c r="G1066" s="1" t="s">
        <v>9994</v>
      </c>
    </row>
    <row r="1067" spans="1:7" outlineLevel="1">
      <c r="A1067" s="1" t="s">
        <v>10099</v>
      </c>
      <c r="F1067" s="1" t="s">
        <v>10043</v>
      </c>
      <c r="G1067" s="1" t="s">
        <v>10001</v>
      </c>
    </row>
    <row r="1068" spans="1:7" outlineLevel="1">
      <c r="A1068" s="1" t="s">
        <v>10100</v>
      </c>
      <c r="F1068" s="1" t="s">
        <v>10022</v>
      </c>
      <c r="G1068" s="1" t="s">
        <v>10003</v>
      </c>
    </row>
    <row r="1069" spans="1:7" outlineLevel="1">
      <c r="A1069" s="1" t="s">
        <v>10101</v>
      </c>
      <c r="B1069" s="1" t="s">
        <v>9981</v>
      </c>
      <c r="F1069" s="1" t="s">
        <v>10102</v>
      </c>
      <c r="G1069" s="1" t="s">
        <v>10103</v>
      </c>
    </row>
    <row r="1070" spans="1:7" outlineLevel="1">
      <c r="A1070" s="1" t="s">
        <v>10104</v>
      </c>
      <c r="F1070" s="1" t="s">
        <v>10105</v>
      </c>
      <c r="G1070" s="1" t="s">
        <v>10106</v>
      </c>
    </row>
    <row r="1071" spans="1:7" outlineLevel="1">
      <c r="A1071" s="1" t="s">
        <v>10107</v>
      </c>
      <c r="B1071" s="1" t="s">
        <v>10108</v>
      </c>
      <c r="F1071" s="1" t="s">
        <v>10109</v>
      </c>
      <c r="G1071" s="1" t="s">
        <v>10110</v>
      </c>
    </row>
    <row r="1072" spans="1:7" outlineLevel="1">
      <c r="A1072" s="1" t="s">
        <v>10111</v>
      </c>
      <c r="B1072" s="1" t="s">
        <v>10052</v>
      </c>
      <c r="F1072" s="1" t="s">
        <v>6269</v>
      </c>
      <c r="G1072" s="1" t="s">
        <v>7685</v>
      </c>
    </row>
    <row r="1073" spans="1:7" outlineLevel="1">
      <c r="A1073" s="1" t="s">
        <v>10112</v>
      </c>
      <c r="F1073" s="1" t="s">
        <v>9766</v>
      </c>
      <c r="G1073" s="1" t="s">
        <v>9973</v>
      </c>
    </row>
    <row r="1074" spans="1:7" outlineLevel="1">
      <c r="A1074" s="1" t="s">
        <v>10113</v>
      </c>
      <c r="F1074" s="1" t="s">
        <v>10010</v>
      </c>
      <c r="G1074" s="1" t="s">
        <v>9976</v>
      </c>
    </row>
    <row r="1075" spans="1:7" outlineLevel="1">
      <c r="A1075" s="1" t="s">
        <v>10114</v>
      </c>
      <c r="B1075" s="1" t="s">
        <v>9981</v>
      </c>
      <c r="F1075" s="1" t="s">
        <v>10064</v>
      </c>
      <c r="G1075" s="1" t="s">
        <v>10057</v>
      </c>
    </row>
    <row r="1076" spans="1:7" outlineLevel="1"/>
    <row r="1077" spans="1:7" ht="39.75" thickBot="1">
      <c r="A1077" s="566" t="s">
        <v>10115</v>
      </c>
    </row>
    <row r="1078" spans="1:7" ht="15" outlineLevel="1" thickTop="1">
      <c r="A1078" s="1" t="s">
        <v>9648</v>
      </c>
      <c r="B1078" s="1" t="s">
        <v>2063</v>
      </c>
      <c r="C1078" s="1" t="s">
        <v>15375</v>
      </c>
      <c r="D1078" s="1" t="s">
        <v>2088</v>
      </c>
    </row>
    <row r="1079" spans="1:7" outlineLevel="1">
      <c r="A1079" s="1" t="s">
        <v>10116</v>
      </c>
      <c r="B1079" s="1" t="s">
        <v>6979</v>
      </c>
      <c r="C1079" s="1">
        <v>50</v>
      </c>
    </row>
    <row r="1080" spans="1:7" outlineLevel="1">
      <c r="A1080" s="1" t="s">
        <v>10117</v>
      </c>
      <c r="B1080" s="1" t="s">
        <v>6979</v>
      </c>
      <c r="C1080" s="1" t="s">
        <v>15376</v>
      </c>
    </row>
    <row r="1081" spans="1:7" outlineLevel="1">
      <c r="A1081" s="1" t="s">
        <v>10118</v>
      </c>
    </row>
    <row r="1082" spans="1:7" outlineLevel="1">
      <c r="A1082" s="1" t="s">
        <v>10116</v>
      </c>
      <c r="B1082" s="1" t="s">
        <v>6979</v>
      </c>
      <c r="C1082" s="1" t="s">
        <v>15377</v>
      </c>
    </row>
    <row r="1083" spans="1:7" outlineLevel="1">
      <c r="A1083" s="1" t="s">
        <v>5784</v>
      </c>
    </row>
    <row r="1084" spans="1:7" outlineLevel="1">
      <c r="A1084" s="1" t="s">
        <v>10116</v>
      </c>
      <c r="B1084" s="1" t="s">
        <v>6979</v>
      </c>
      <c r="C1084" s="1" t="s">
        <v>15378</v>
      </c>
    </row>
    <row r="1085" spans="1:7" outlineLevel="1">
      <c r="A1085" s="1" t="s">
        <v>1892</v>
      </c>
    </row>
    <row r="1086" spans="1:7" outlineLevel="1">
      <c r="A1086" s="1" t="s">
        <v>10117</v>
      </c>
      <c r="B1086" s="1" t="s">
        <v>6979</v>
      </c>
      <c r="D1086" s="1">
        <v>150</v>
      </c>
    </row>
    <row r="1087" spans="1:7" outlineLevel="1">
      <c r="A1087" s="1" t="s">
        <v>10119</v>
      </c>
    </row>
    <row r="1088" spans="1:7" outlineLevel="1">
      <c r="A1088" s="1" t="s">
        <v>10120</v>
      </c>
      <c r="B1088" s="1" t="s">
        <v>7184</v>
      </c>
      <c r="C1088" s="1">
        <v>350</v>
      </c>
    </row>
    <row r="1089" spans="1:4" outlineLevel="1">
      <c r="A1089" s="1" t="s">
        <v>10121</v>
      </c>
      <c r="B1089" s="1" t="s">
        <v>7184</v>
      </c>
      <c r="C1089" s="1" t="s">
        <v>15379</v>
      </c>
    </row>
    <row r="1090" spans="1:4" outlineLevel="1">
      <c r="A1090" s="1" t="s">
        <v>10118</v>
      </c>
    </row>
    <row r="1091" spans="1:4" outlineLevel="1">
      <c r="A1091" s="1" t="s">
        <v>10120</v>
      </c>
      <c r="B1091" s="1" t="s">
        <v>7184</v>
      </c>
      <c r="C1091" s="1" t="s">
        <v>15380</v>
      </c>
    </row>
    <row r="1092" spans="1:4" outlineLevel="1">
      <c r="A1092" s="1" t="s">
        <v>5784</v>
      </c>
    </row>
    <row r="1093" spans="1:4" outlineLevel="1">
      <c r="A1093" s="1" t="s">
        <v>10122</v>
      </c>
      <c r="B1093" s="1" t="s">
        <v>7184</v>
      </c>
      <c r="C1093" s="1" t="s">
        <v>10123</v>
      </c>
    </row>
    <row r="1094" spans="1:4" outlineLevel="1">
      <c r="A1094" s="1" t="s">
        <v>10124</v>
      </c>
      <c r="B1094" s="1" t="s">
        <v>6979</v>
      </c>
      <c r="C1094" s="1">
        <v>85</v>
      </c>
    </row>
    <row r="1095" spans="1:4" outlineLevel="1">
      <c r="A1095" s="1" t="s">
        <v>10125</v>
      </c>
      <c r="B1095" s="1" t="s">
        <v>6979</v>
      </c>
      <c r="C1095" s="1" t="s">
        <v>15381</v>
      </c>
    </row>
    <row r="1096" spans="1:4" outlineLevel="1">
      <c r="A1096" s="1" t="s">
        <v>10118</v>
      </c>
    </row>
    <row r="1097" spans="1:4" outlineLevel="1">
      <c r="A1097" s="1" t="s">
        <v>10124</v>
      </c>
      <c r="B1097" s="1" t="s">
        <v>6979</v>
      </c>
      <c r="C1097" s="1" t="s">
        <v>15382</v>
      </c>
    </row>
    <row r="1098" spans="1:4" outlineLevel="1">
      <c r="A1098" s="1" t="s">
        <v>1892</v>
      </c>
    </row>
    <row r="1099" spans="1:4" outlineLevel="1">
      <c r="A1099" s="1" t="s">
        <v>10124</v>
      </c>
      <c r="B1099" s="1" t="s">
        <v>6979</v>
      </c>
      <c r="D1099" s="1" t="s">
        <v>10126</v>
      </c>
    </row>
    <row r="1100" spans="1:4" outlineLevel="1">
      <c r="A1100" s="1" t="s">
        <v>10127</v>
      </c>
    </row>
    <row r="1101" spans="1:4" outlineLevel="1">
      <c r="A1101" s="1" t="s">
        <v>10128</v>
      </c>
      <c r="B1101" s="1" t="s">
        <v>7184</v>
      </c>
      <c r="C1101" s="1">
        <v>250</v>
      </c>
    </row>
    <row r="1102" spans="1:4" outlineLevel="1">
      <c r="A1102" s="1" t="s">
        <v>10129</v>
      </c>
      <c r="B1102" s="1" t="s">
        <v>7184</v>
      </c>
      <c r="C1102" s="1" t="s">
        <v>15383</v>
      </c>
    </row>
    <row r="1103" spans="1:4" outlineLevel="1">
      <c r="A1103" s="1" t="s">
        <v>10118</v>
      </c>
    </row>
    <row r="1104" spans="1:4" outlineLevel="1">
      <c r="A1104" s="1" t="s">
        <v>10128</v>
      </c>
      <c r="B1104" s="1" t="s">
        <v>7184</v>
      </c>
      <c r="C1104" s="1" t="s">
        <v>15384</v>
      </c>
    </row>
    <row r="1105" spans="1:4" outlineLevel="1">
      <c r="A1105" s="1" t="s">
        <v>5784</v>
      </c>
    </row>
    <row r="1106" spans="1:4" outlineLevel="1">
      <c r="A1106" s="1" t="s">
        <v>10128</v>
      </c>
      <c r="B1106" s="1" t="s">
        <v>7184</v>
      </c>
      <c r="C1106" s="1" t="s">
        <v>15385</v>
      </c>
    </row>
    <row r="1107" spans="1:4" outlineLevel="1">
      <c r="A1107" s="1" t="s">
        <v>1892</v>
      </c>
    </row>
    <row r="1108" spans="1:4" outlineLevel="1">
      <c r="A1108" s="1" t="s">
        <v>10129</v>
      </c>
      <c r="B1108" s="1" t="s">
        <v>7184</v>
      </c>
      <c r="C1108" s="1" t="s">
        <v>10123</v>
      </c>
    </row>
    <row r="1109" spans="1:4" outlineLevel="1"/>
    <row r="1110" spans="1:4" outlineLevel="1"/>
    <row r="1111" spans="1:4" outlineLevel="1">
      <c r="A1111" s="1" t="s">
        <v>10130</v>
      </c>
    </row>
    <row r="1112" spans="1:4" outlineLevel="1">
      <c r="A1112" s="1" t="s">
        <v>9648</v>
      </c>
      <c r="B1112" s="1" t="s">
        <v>2063</v>
      </c>
      <c r="C1112" s="1" t="s">
        <v>2088</v>
      </c>
      <c r="D1112" s="1" t="s">
        <v>551</v>
      </c>
    </row>
    <row r="1113" spans="1:4" outlineLevel="1">
      <c r="A1113" s="1" t="s">
        <v>10131</v>
      </c>
      <c r="B1113" s="1" t="s">
        <v>5851</v>
      </c>
      <c r="C1113" s="1">
        <v>25</v>
      </c>
    </row>
    <row r="1114" spans="1:4" outlineLevel="1">
      <c r="A1114" s="1" t="s">
        <v>10132</v>
      </c>
    </row>
    <row r="1115" spans="1:4" outlineLevel="1">
      <c r="A1115" s="1" t="s">
        <v>10133</v>
      </c>
      <c r="B1115" s="1" t="s">
        <v>5851</v>
      </c>
      <c r="C1115" s="1">
        <v>1</v>
      </c>
      <c r="D1115" s="1" t="s">
        <v>15372</v>
      </c>
    </row>
    <row r="1116" spans="1:4" outlineLevel="1">
      <c r="A1116" s="1" t="s">
        <v>10134</v>
      </c>
      <c r="B1116" s="1" t="s">
        <v>6733</v>
      </c>
      <c r="C1116" s="1">
        <v>1</v>
      </c>
      <c r="D1116" s="1" t="s">
        <v>15373</v>
      </c>
    </row>
    <row r="1117" spans="1:4" outlineLevel="1">
      <c r="A1117" s="1" t="s">
        <v>10135</v>
      </c>
      <c r="B1117" s="1" t="s">
        <v>5851</v>
      </c>
      <c r="C1117" s="1">
        <v>1</v>
      </c>
      <c r="D1117" s="1" t="s">
        <v>15374</v>
      </c>
    </row>
    <row r="1118" spans="1:4" outlineLevel="1">
      <c r="A1118" s="1" t="s">
        <v>10136</v>
      </c>
    </row>
    <row r="1119" spans="1:4" outlineLevel="1">
      <c r="A1119" s="1" t="s">
        <v>10137</v>
      </c>
    </row>
    <row r="1120" spans="1:4" outlineLevel="1">
      <c r="A1120" s="1" t="s">
        <v>10138</v>
      </c>
      <c r="B1120" s="1" t="s">
        <v>6979</v>
      </c>
      <c r="C1120" s="1">
        <v>10</v>
      </c>
      <c r="D1120" s="1" t="s">
        <v>15374</v>
      </c>
    </row>
    <row r="1121" spans="1:4" outlineLevel="1">
      <c r="A1121" s="1" t="s">
        <v>10137</v>
      </c>
    </row>
    <row r="1122" spans="1:4" outlineLevel="1">
      <c r="A1122" s="1" t="s">
        <v>10139</v>
      </c>
      <c r="B1122" s="1" t="s">
        <v>6733</v>
      </c>
      <c r="C1122" s="1">
        <v>2</v>
      </c>
      <c r="D1122" s="1" t="s">
        <v>15374</v>
      </c>
    </row>
    <row r="1123" spans="1:4" outlineLevel="1"/>
    <row r="1124" spans="1:4" outlineLevel="1"/>
    <row r="1125" spans="1:4" outlineLevel="1">
      <c r="A1125" s="1" t="s">
        <v>9648</v>
      </c>
      <c r="B1125" s="1" t="s">
        <v>2088</v>
      </c>
      <c r="C1125" s="1" t="s">
        <v>7492</v>
      </c>
    </row>
    <row r="1126" spans="1:4" outlineLevel="1">
      <c r="A1126" s="1" t="s">
        <v>10140</v>
      </c>
      <c r="B1126" s="1">
        <v>25</v>
      </c>
      <c r="C1126" s="1">
        <v>1</v>
      </c>
    </row>
    <row r="1127" spans="1:4" outlineLevel="1">
      <c r="A1127" s="1" t="s">
        <v>10141</v>
      </c>
      <c r="B1127" s="1">
        <v>20</v>
      </c>
      <c r="C1127" s="1" t="s">
        <v>7685</v>
      </c>
    </row>
    <row r="1128" spans="1:4" outlineLevel="1">
      <c r="A1128" s="1" t="s">
        <v>10142</v>
      </c>
      <c r="B1128" s="1">
        <v>10</v>
      </c>
      <c r="C1128" s="1" t="s">
        <v>7685</v>
      </c>
    </row>
    <row r="1129" spans="1:4" outlineLevel="1">
      <c r="A1129" s="1" t="s">
        <v>10143</v>
      </c>
      <c r="B1129" s="1">
        <v>40</v>
      </c>
      <c r="C1129" s="1" t="s">
        <v>7685</v>
      </c>
    </row>
    <row r="1130" spans="1:4" outlineLevel="1">
      <c r="A1130" s="1" t="s">
        <v>10144</v>
      </c>
      <c r="B1130" s="1">
        <v>50</v>
      </c>
      <c r="C1130" s="1">
        <v>1</v>
      </c>
    </row>
    <row r="1131" spans="1:4" outlineLevel="1">
      <c r="A1131" s="1" t="s">
        <v>10145</v>
      </c>
      <c r="B1131" s="1">
        <v>50</v>
      </c>
      <c r="C1131" s="1" t="s">
        <v>7685</v>
      </c>
    </row>
    <row r="1132" spans="1:4" outlineLevel="1">
      <c r="A1132" s="1" t="s">
        <v>10146</v>
      </c>
      <c r="B1132" s="1">
        <v>3</v>
      </c>
      <c r="C1132" s="1">
        <v>1</v>
      </c>
    </row>
    <row r="1133" spans="1:4" outlineLevel="1">
      <c r="A1133" s="1" t="s">
        <v>10147</v>
      </c>
      <c r="B1133" s="1">
        <v>30</v>
      </c>
      <c r="C1133" s="1" t="s">
        <v>7685</v>
      </c>
    </row>
    <row r="1134" spans="1:4" outlineLevel="1">
      <c r="A1134" s="1" t="s">
        <v>10148</v>
      </c>
      <c r="B1134" s="1">
        <v>6</v>
      </c>
      <c r="C1134" s="1">
        <v>1</v>
      </c>
    </row>
    <row r="1135" spans="1:4" outlineLevel="1">
      <c r="A1135" s="1" t="s">
        <v>10149</v>
      </c>
      <c r="B1135" s="1">
        <v>4</v>
      </c>
      <c r="C1135" s="1" t="s">
        <v>7685</v>
      </c>
    </row>
    <row r="1136" spans="1:4" outlineLevel="1">
      <c r="A1136" s="1" t="s">
        <v>10150</v>
      </c>
      <c r="B1136" s="1">
        <v>25</v>
      </c>
      <c r="C1136" s="1">
        <v>1</v>
      </c>
    </row>
    <row r="1137" spans="1:3" outlineLevel="1">
      <c r="A1137" s="1" t="s">
        <v>10151</v>
      </c>
    </row>
    <row r="1138" spans="1:3" outlineLevel="1">
      <c r="A1138" s="1" t="s">
        <v>10152</v>
      </c>
      <c r="B1138" s="1">
        <v>10</v>
      </c>
      <c r="C1138" s="1" t="s">
        <v>7685</v>
      </c>
    </row>
    <row r="1139" spans="1:3" outlineLevel="1">
      <c r="A1139" s="1" t="s">
        <v>10153</v>
      </c>
      <c r="B1139" s="1">
        <v>15</v>
      </c>
      <c r="C1139" s="1" t="s">
        <v>7685</v>
      </c>
    </row>
    <row r="1140" spans="1:3" outlineLevel="1">
      <c r="A1140" s="1" t="s">
        <v>10154</v>
      </c>
      <c r="B1140" s="1">
        <v>15</v>
      </c>
      <c r="C1140" s="1" t="s">
        <v>7685</v>
      </c>
    </row>
    <row r="1141" spans="1:3" outlineLevel="1">
      <c r="A1141" s="1" t="s">
        <v>10155</v>
      </c>
      <c r="B1141" s="1">
        <v>25</v>
      </c>
      <c r="C1141" s="1" t="s">
        <v>7685</v>
      </c>
    </row>
    <row r="1142" spans="1:3" outlineLevel="1">
      <c r="A1142" s="1" t="s">
        <v>10156</v>
      </c>
      <c r="B1142" s="1">
        <v>6</v>
      </c>
      <c r="C1142" s="1">
        <v>1</v>
      </c>
    </row>
    <row r="1143" spans="1:3" outlineLevel="1">
      <c r="A1143" s="1" t="s">
        <v>10157</v>
      </c>
      <c r="B1143" s="1">
        <v>5</v>
      </c>
      <c r="C1143" s="1">
        <f>1/2</f>
        <v>0.5</v>
      </c>
    </row>
    <row r="1144" spans="1:3" outlineLevel="1">
      <c r="A1144" s="1" t="s">
        <v>10158</v>
      </c>
      <c r="B1144" s="1">
        <v>8</v>
      </c>
      <c r="C1144" s="1" t="s">
        <v>7685</v>
      </c>
    </row>
    <row r="1145" spans="1:3" outlineLevel="1">
      <c r="A1145" s="1" t="s">
        <v>10160</v>
      </c>
      <c r="B1145" s="1">
        <v>50</v>
      </c>
      <c r="C1145" s="1" t="s">
        <v>7685</v>
      </c>
    </row>
    <row r="1146" spans="1:3" outlineLevel="1">
      <c r="A1146" s="1" t="s">
        <v>10161</v>
      </c>
      <c r="B1146" s="1">
        <v>40</v>
      </c>
      <c r="C1146" s="1">
        <v>1</v>
      </c>
    </row>
    <row r="1147" spans="1:3" outlineLevel="1">
      <c r="A1147" s="1" t="s">
        <v>10162</v>
      </c>
      <c r="B1147" s="1">
        <v>50</v>
      </c>
      <c r="C1147" s="1" t="s">
        <v>7685</v>
      </c>
    </row>
    <row r="1148" spans="1:3" outlineLevel="1">
      <c r="A1148" s="1" t="s">
        <v>10163</v>
      </c>
      <c r="B1148" s="1">
        <v>50</v>
      </c>
      <c r="C1148" s="1" t="s">
        <v>7685</v>
      </c>
    </row>
    <row r="1149" spans="1:3" outlineLevel="1">
      <c r="A1149" s="1" t="s">
        <v>9648</v>
      </c>
      <c r="B1149" s="1" t="s">
        <v>2088</v>
      </c>
      <c r="C1149" s="1" t="s">
        <v>7492</v>
      </c>
    </row>
    <row r="1150" spans="1:3" outlineLevel="1">
      <c r="A1150" s="1" t="s">
        <v>10164</v>
      </c>
      <c r="B1150" s="1">
        <v>30</v>
      </c>
      <c r="C1150" s="1" t="s">
        <v>7685</v>
      </c>
    </row>
    <row r="1151" spans="1:3" outlineLevel="1">
      <c r="A1151" s="1" t="s">
        <v>10165</v>
      </c>
      <c r="B1151" s="1">
        <v>25</v>
      </c>
      <c r="C1151" s="1">
        <v>1</v>
      </c>
    </row>
    <row r="1152" spans="1:3" outlineLevel="1">
      <c r="A1152" s="1" t="s">
        <v>10166</v>
      </c>
      <c r="B1152" s="1">
        <v>10</v>
      </c>
      <c r="C1152" s="1" t="s">
        <v>7685</v>
      </c>
    </row>
    <row r="1153" spans="1:3" outlineLevel="1">
      <c r="A1153" s="1" t="s">
        <v>10167</v>
      </c>
      <c r="B1153" s="1">
        <v>15</v>
      </c>
      <c r="C1153" s="1" t="s">
        <v>7685</v>
      </c>
    </row>
    <row r="1154" spans="1:3" outlineLevel="1">
      <c r="A1154" s="1" t="s">
        <v>10168</v>
      </c>
      <c r="B1154" s="1">
        <v>20</v>
      </c>
      <c r="C1154" s="1" t="s">
        <v>7685</v>
      </c>
    </row>
    <row r="1155" spans="1:3" outlineLevel="1">
      <c r="A1155" s="1" t="s">
        <v>10169</v>
      </c>
      <c r="B1155" s="1">
        <v>1</v>
      </c>
      <c r="C1155" s="1">
        <v>1</v>
      </c>
    </row>
    <row r="1156" spans="1:3" outlineLevel="1">
      <c r="A1156" s="1" t="s">
        <v>10170</v>
      </c>
      <c r="B1156" s="1">
        <v>20</v>
      </c>
      <c r="C1156" s="1">
        <v>1</v>
      </c>
    </row>
    <row r="1157" spans="1:3" outlineLevel="1">
      <c r="A1157" s="1" t="s">
        <v>10171</v>
      </c>
      <c r="B1157" s="1">
        <v>1</v>
      </c>
      <c r="C1157" s="1">
        <v>1</v>
      </c>
    </row>
    <row r="1158" spans="1:3" outlineLevel="1">
      <c r="A1158" s="1" t="s">
        <v>10172</v>
      </c>
      <c r="B1158" s="1">
        <v>25</v>
      </c>
      <c r="C1158" s="1">
        <f>1/2</f>
        <v>0.5</v>
      </c>
    </row>
    <row r="1159" spans="1:3" outlineLevel="1">
      <c r="A1159" s="1" t="s">
        <v>10173</v>
      </c>
      <c r="B1159" s="1">
        <v>15</v>
      </c>
      <c r="C1159" s="1">
        <v>1</v>
      </c>
    </row>
    <row r="1160" spans="1:3" outlineLevel="1">
      <c r="A1160" s="1" t="s">
        <v>10174</v>
      </c>
      <c r="B1160" s="1">
        <v>1</v>
      </c>
      <c r="C1160" s="1" t="s">
        <v>7685</v>
      </c>
    </row>
    <row r="1161" spans="1:3" outlineLevel="1">
      <c r="A1161" s="1" t="s">
        <v>10175</v>
      </c>
      <c r="B1161" s="1">
        <v>20</v>
      </c>
      <c r="C1161" s="1" t="s">
        <v>7685</v>
      </c>
    </row>
    <row r="1162" spans="1:3" outlineLevel="1">
      <c r="A1162" s="1" t="s">
        <v>10176</v>
      </c>
      <c r="B1162" s="1">
        <v>4</v>
      </c>
      <c r="C1162" s="1">
        <v>1</v>
      </c>
    </row>
    <row r="1163" spans="1:3" outlineLevel="1">
      <c r="A1163" s="1" t="s">
        <v>10177</v>
      </c>
      <c r="B1163" s="1">
        <v>50</v>
      </c>
      <c r="C1163" s="1">
        <v>1</v>
      </c>
    </row>
    <row r="1164" spans="1:3" outlineLevel="1">
      <c r="A1164" s="1" t="s">
        <v>10178</v>
      </c>
      <c r="B1164" s="1">
        <v>95</v>
      </c>
      <c r="C1164" s="1">
        <v>1</v>
      </c>
    </row>
    <row r="1165" spans="1:3" outlineLevel="1">
      <c r="A1165" s="1" t="s">
        <v>10179</v>
      </c>
      <c r="B1165" s="1">
        <v>12</v>
      </c>
      <c r="C1165" s="1">
        <v>1</v>
      </c>
    </row>
    <row r="1166" spans="1:3" outlineLevel="1">
      <c r="A1166" s="1" t="s">
        <v>419</v>
      </c>
      <c r="B1166" s="1">
        <v>10</v>
      </c>
      <c r="C1166" s="1" t="s">
        <v>7685</v>
      </c>
    </row>
    <row r="1167" spans="1:3" outlineLevel="1">
      <c r="A1167" s="1" t="s">
        <v>10180</v>
      </c>
      <c r="B1167" s="1">
        <v>1</v>
      </c>
      <c r="C1167" s="1" t="s">
        <v>7685</v>
      </c>
    </row>
    <row r="1168" spans="1:3" outlineLevel="1">
      <c r="A1168" s="1" t="s">
        <v>10181</v>
      </c>
      <c r="B1168" s="1">
        <v>2</v>
      </c>
      <c r="C1168" s="1">
        <v>1</v>
      </c>
    </row>
    <row r="1169" spans="1:4" outlineLevel="1">
      <c r="A1169" s="1" t="s">
        <v>10182</v>
      </c>
      <c r="B1169" s="1">
        <v>15</v>
      </c>
      <c r="C1169" s="1" t="s">
        <v>7685</v>
      </c>
    </row>
    <row r="1170" spans="1:4" outlineLevel="1">
      <c r="A1170" s="1" t="s">
        <v>10183</v>
      </c>
      <c r="B1170" s="1">
        <v>2</v>
      </c>
      <c r="C1170" s="1">
        <v>1</v>
      </c>
    </row>
    <row r="1171" spans="1:4" outlineLevel="1">
      <c r="A1171" s="1" t="s">
        <v>10184</v>
      </c>
      <c r="B1171" s="1">
        <v>35</v>
      </c>
      <c r="C1171" s="1" t="s">
        <v>7685</v>
      </c>
    </row>
    <row r="1172" spans="1:4" outlineLevel="1"/>
    <row r="1173" spans="1:4" outlineLevel="1">
      <c r="A1173" s="1" t="s">
        <v>9648</v>
      </c>
      <c r="B1173" s="1" t="s">
        <v>2063</v>
      </c>
      <c r="C1173" s="1" t="s">
        <v>2088</v>
      </c>
      <c r="D1173" s="1" t="s">
        <v>551</v>
      </c>
    </row>
    <row r="1174" spans="1:4" outlineLevel="1">
      <c r="A1174" s="1" t="s">
        <v>10185</v>
      </c>
      <c r="B1174" s="1" t="s">
        <v>6733</v>
      </c>
      <c r="C1174" s="1">
        <v>20</v>
      </c>
      <c r="D1174" s="1" t="s">
        <v>15374</v>
      </c>
    </row>
    <row r="1175" spans="1:4" outlineLevel="1">
      <c r="A1175" s="1" t="s">
        <v>10186</v>
      </c>
    </row>
    <row r="1176" spans="1:4" outlineLevel="1">
      <c r="A1176" s="1" t="s">
        <v>10187</v>
      </c>
      <c r="B1176" s="1" t="s">
        <v>6733</v>
      </c>
      <c r="C1176" s="1">
        <v>15</v>
      </c>
    </row>
    <row r="1177" spans="1:4" outlineLevel="1">
      <c r="C1177" s="1" t="s">
        <v>10188</v>
      </c>
      <c r="D1177" s="1" t="s">
        <v>15373</v>
      </c>
    </row>
    <row r="1178" spans="1:4" outlineLevel="1">
      <c r="A1178" s="1" t="s">
        <v>10189</v>
      </c>
      <c r="B1178" s="1" t="s">
        <v>6979</v>
      </c>
      <c r="C1178" s="1">
        <v>50</v>
      </c>
      <c r="D1178" s="1" t="s">
        <v>15374</v>
      </c>
    </row>
    <row r="1179" spans="1:4" outlineLevel="1">
      <c r="A1179" s="1" t="s">
        <v>10190</v>
      </c>
      <c r="B1179" s="1" t="s">
        <v>6733</v>
      </c>
      <c r="C1179" s="1">
        <v>50</v>
      </c>
      <c r="D1179" s="1" t="s">
        <v>15374</v>
      </c>
    </row>
    <row r="1180" spans="1:4" outlineLevel="1">
      <c r="A1180" s="1" t="s">
        <v>10191</v>
      </c>
      <c r="B1180" s="1" t="s">
        <v>6733</v>
      </c>
      <c r="C1180" s="1">
        <v>12</v>
      </c>
    </row>
    <row r="1181" spans="1:4" outlineLevel="1">
      <c r="A1181" s="1" t="s">
        <v>10186</v>
      </c>
      <c r="C1181" s="1" t="s">
        <v>10188</v>
      </c>
      <c r="D1181" s="1" t="s">
        <v>15373</v>
      </c>
    </row>
    <row r="1182" spans="1:4" outlineLevel="1">
      <c r="A1182" s="1" t="s">
        <v>10192</v>
      </c>
      <c r="B1182" s="1" t="s">
        <v>6979</v>
      </c>
      <c r="C1182" s="1">
        <v>50</v>
      </c>
      <c r="D1182" s="1" t="s">
        <v>15374</v>
      </c>
    </row>
    <row r="1183" spans="1:4" outlineLevel="1">
      <c r="A1183" s="1" t="s">
        <v>10193</v>
      </c>
      <c r="B1183" s="1" t="s">
        <v>6733</v>
      </c>
      <c r="C1183" s="1">
        <v>20</v>
      </c>
      <c r="D1183" s="1" t="s">
        <v>15374</v>
      </c>
    </row>
    <row r="1184" spans="1:4" outlineLevel="1"/>
    <row r="1185" spans="1:3" outlineLevel="1"/>
    <row r="1186" spans="1:3" outlineLevel="1"/>
    <row r="1193" spans="1:3" ht="39.75" thickBot="1">
      <c r="A1193" s="566" t="s">
        <v>10194</v>
      </c>
    </row>
    <row r="1194" spans="1:3" ht="15" outlineLevel="1" thickTop="1">
      <c r="A1194" s="1" t="s">
        <v>10195</v>
      </c>
      <c r="B1194" s="1" t="s">
        <v>8802</v>
      </c>
      <c r="C1194" s="1" t="s">
        <v>10196</v>
      </c>
    </row>
    <row r="1195" spans="1:3" outlineLevel="1">
      <c r="A1195" s="1" t="s">
        <v>10197</v>
      </c>
    </row>
    <row r="1196" spans="1:3" outlineLevel="1">
      <c r="A1196" s="1" t="s">
        <v>10198</v>
      </c>
    </row>
    <row r="1197" spans="1:3" outlineLevel="1">
      <c r="A1197" s="1" t="s">
        <v>10199</v>
      </c>
    </row>
    <row r="1198" spans="1:3" outlineLevel="1">
      <c r="A1198" s="1" t="s">
        <v>10200</v>
      </c>
    </row>
    <row r="1199" spans="1:3" outlineLevel="1">
      <c r="A1199" s="1" t="s">
        <v>10201</v>
      </c>
    </row>
    <row r="1200" spans="1:3" outlineLevel="1">
      <c r="A1200" s="1" t="s">
        <v>10202</v>
      </c>
    </row>
    <row r="1201" outlineLevel="1"/>
    <row r="1202" outlineLevel="1"/>
  </sheetData>
  <mergeCells count="2">
    <mergeCell ref="A48:D48"/>
    <mergeCell ref="A60:H60"/>
  </mergeCells>
  <phoneticPr fontId="182" type="noConversion"/>
  <hyperlinks>
    <hyperlink ref="B184" r:id="rId1" display="https://1drv.ms/w/s!Atcrhwwo1lBAyt9NoKs6gricDBbi-g?e=efViAd" xr:uid="{327A313F-C46C-4202-AF54-D9018D600C28}"/>
    <hyperlink ref="B244" r:id="rId2" display="https://1drv.ms/w/s!Atcrhwwo1lBAyt9NoKs6gricDBbi-g?e=efViAd" xr:uid="{7359207F-74B1-4C70-9A9D-F1B698873C0E}"/>
    <hyperlink ref="B276" r:id="rId3" display="https://1drv.ms/w/s!Atcrhwwo1lBAyt9NoKs6gricDBbi-g?e=efViAd" xr:uid="{45EA23F1-76E6-48F3-8726-44A8FE3C0EA5}"/>
    <hyperlink ref="B282" r:id="rId4" display="https://1drv.ms/w/s!Atcrhwwo1lBAyt9NoKs6gricDBbi-g?e=efViAd" xr:uid="{209DFAAD-BE4E-4D2A-88B4-4E7F3DF3EA5D}"/>
    <hyperlink ref="B289" r:id="rId5" display="https://1drv.ms/w/s!Atcrhwwo1lBAyt9NoKs6gricDBbi-g?e=efViAd" xr:uid="{639A3D23-10A6-400D-88BD-FD00128095D1}"/>
    <hyperlink ref="B301" r:id="rId6" display="https://1drv.ms/w/s!Atcrhwwo1lBAyt9NoKs6gricDBbi-g?e=efViAd" xr:uid="{6B5B3CFC-AC71-4F9D-B487-F44BF22C1DE1}"/>
    <hyperlink ref="B324" r:id="rId7" display="https://1drv.ms/w/s!Atcrhwwo1lBAyt9NoKs6gricDBbi-g?e=efViAd" xr:uid="{8651DC44-F5FB-425A-9A26-D10056ADDF6B}"/>
    <hyperlink ref="D244" r:id="rId8" xr:uid="{4038F94D-41C9-4ECC-AF88-053B724CD628}"/>
  </hyperlinks>
  <pageMargins left="0.7" right="0.7" top="0.75" bottom="0.75" header="0.3" footer="0.3"/>
  <pageSetup paperSize="9" orientation="portrait" r:id="rId9"/>
  <drawing r:id="rId10"/>
  <tableParts count="57">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4C678-0F68-46F9-89FA-C879D3B40CD4}">
  <sheetPr codeName="Аркуш4">
    <tabColor rgb="FFFFC000"/>
  </sheetPr>
  <dimension ref="A1:CK194"/>
  <sheetViews>
    <sheetView zoomScale="85" zoomScaleNormal="85" workbookViewId="0">
      <selection activeCell="K41" sqref="K41"/>
    </sheetView>
  </sheetViews>
  <sheetFormatPr defaultRowHeight="14.25"/>
  <cols>
    <col min="1" max="2" width="19.44140625" style="1" customWidth="1"/>
    <col min="3" max="3" width="8.88671875" style="1" customWidth="1"/>
    <col min="4" max="4" width="15" style="1" customWidth="1"/>
    <col min="5" max="5" width="14.109375" style="1" customWidth="1"/>
    <col min="6" max="7" width="12.44140625" style="1" customWidth="1"/>
    <col min="8" max="8" width="13.44140625" style="1" customWidth="1"/>
    <col min="9" max="9" width="14.6640625" style="1" customWidth="1"/>
    <col min="10" max="14" width="8.88671875" style="1"/>
    <col min="15" max="15" width="17.44140625" style="1" bestFit="1" customWidth="1"/>
    <col min="16" max="16" width="11.33203125" style="1" bestFit="1" customWidth="1"/>
    <col min="17" max="19" width="8.44140625" style="1" customWidth="1"/>
    <col min="20" max="20" width="11.33203125" style="1" customWidth="1"/>
    <col min="21" max="22" width="14.44140625" style="1" customWidth="1"/>
    <col min="23" max="26" width="10.109375" style="1" customWidth="1"/>
    <col min="27" max="27" width="18.77734375" style="1" bestFit="1" customWidth="1"/>
    <col min="28" max="28" width="29.88671875" style="1" bestFit="1" customWidth="1"/>
    <col min="29" max="31" width="8.88671875" style="1"/>
    <col min="32" max="32" width="11.44140625" style="1" customWidth="1"/>
    <col min="33" max="39" width="8.88671875" style="1"/>
    <col min="40" max="40" width="18.77734375" style="1" customWidth="1"/>
    <col min="41" max="41" width="8.88671875" style="1"/>
    <col min="42" max="42" width="9.6640625" style="1" bestFit="1" customWidth="1"/>
    <col min="43" max="52" width="8.88671875" style="1"/>
    <col min="53" max="53" width="7.21875" style="1" customWidth="1"/>
    <col min="54" max="54" width="9" style="1" customWidth="1"/>
    <col min="55" max="55" width="12.77734375" style="1" customWidth="1"/>
    <col min="56" max="56" width="12.44140625" style="1" customWidth="1"/>
    <col min="57" max="16384" width="8.88671875" style="1"/>
  </cols>
  <sheetData>
    <row r="1" spans="15:89" ht="15" thickBot="1">
      <c r="O1" s="1330" t="s">
        <v>8786</v>
      </c>
      <c r="P1" s="1330"/>
      <c r="Q1" s="1330"/>
      <c r="R1" s="1330"/>
      <c r="S1" s="1330"/>
      <c r="T1" s="1330"/>
      <c r="U1" s="1330"/>
      <c r="V1" s="1330"/>
      <c r="W1" s="1330"/>
      <c r="X1" s="1330"/>
      <c r="Y1" s="1330"/>
      <c r="Z1" s="1330"/>
      <c r="AA1" s="1330"/>
      <c r="AB1" s="1330"/>
      <c r="AD1" s="1330" t="s">
        <v>8787</v>
      </c>
      <c r="AE1" s="1330"/>
      <c r="AF1" s="1330"/>
      <c r="AG1" s="1330"/>
      <c r="AH1" s="1330"/>
      <c r="AI1" s="1330"/>
      <c r="AJ1" s="1330"/>
      <c r="AK1" s="1330"/>
      <c r="AL1" s="1330"/>
    </row>
    <row r="2" spans="15:89" ht="28.5">
      <c r="O2" s="542" t="s">
        <v>8788</v>
      </c>
      <c r="P2" s="543" t="s">
        <v>8789</v>
      </c>
      <c r="Q2" s="543" t="s">
        <v>8790</v>
      </c>
      <c r="R2" s="543" t="s">
        <v>7406</v>
      </c>
      <c r="S2" s="543" t="s">
        <v>8791</v>
      </c>
      <c r="T2" s="543" t="s">
        <v>8792</v>
      </c>
      <c r="U2" s="544" t="s">
        <v>8793</v>
      </c>
      <c r="V2" s="544" t="s">
        <v>6725</v>
      </c>
      <c r="W2" s="544" t="s">
        <v>8794</v>
      </c>
      <c r="X2" s="544" t="s">
        <v>8795</v>
      </c>
      <c r="Y2" s="544" t="s">
        <v>8796</v>
      </c>
      <c r="Z2" s="544" t="s">
        <v>8797</v>
      </c>
      <c r="AA2" s="543" t="s">
        <v>8798</v>
      </c>
      <c r="AB2" s="543" t="s">
        <v>8799</v>
      </c>
      <c r="AD2" s="517" t="s">
        <v>8800</v>
      </c>
      <c r="AE2" s="543" t="s">
        <v>5649</v>
      </c>
      <c r="AF2" s="545" t="s">
        <v>8801</v>
      </c>
      <c r="AG2" s="543" t="s">
        <v>8802</v>
      </c>
      <c r="AH2" s="515" t="s">
        <v>8793</v>
      </c>
      <c r="AI2" s="516" t="s">
        <v>6725</v>
      </c>
      <c r="AJ2" s="516" t="s">
        <v>8803</v>
      </c>
      <c r="AK2" s="546" t="s">
        <v>8798</v>
      </c>
      <c r="AL2" s="542" t="s">
        <v>8799</v>
      </c>
      <c r="BO2" s="1331" t="s">
        <v>8804</v>
      </c>
      <c r="BP2" s="1331"/>
      <c r="BQ2" s="1331"/>
    </row>
    <row r="3" spans="15:89" ht="15" thickBot="1">
      <c r="O3" s="547" t="s">
        <v>8805</v>
      </c>
      <c r="P3" s="548">
        <v>3</v>
      </c>
      <c r="Q3" s="548">
        <v>7</v>
      </c>
      <c r="R3" s="548"/>
      <c r="S3" s="548"/>
      <c r="T3" s="548"/>
      <c r="U3" s="549" t="s">
        <v>8806</v>
      </c>
      <c r="V3" s="1" t="s">
        <v>8807</v>
      </c>
      <c r="W3" s="550">
        <v>25</v>
      </c>
      <c r="AA3" s="551">
        <f>Таблиця120[[#This Row],[PAY PER DAY, GP]]*30</f>
        <v>750</v>
      </c>
      <c r="AB3" s="551">
        <v>100</v>
      </c>
      <c r="AD3" s="547" t="s">
        <v>8808</v>
      </c>
      <c r="AE3" s="548"/>
      <c r="AF3" s="548"/>
      <c r="AG3" s="548"/>
      <c r="AH3" s="515"/>
      <c r="AI3" s="1" t="s">
        <v>8809</v>
      </c>
      <c r="AJ3" s="515">
        <v>110</v>
      </c>
      <c r="AK3" s="551">
        <f>Таблиця121[[#This Row],[Pay per day, gp]]*30</f>
        <v>3300</v>
      </c>
      <c r="BB3" s="1" t="s">
        <v>8810</v>
      </c>
      <c r="BC3" s="1" t="s">
        <v>8811</v>
      </c>
      <c r="BD3" s="1" t="s">
        <v>8812</v>
      </c>
      <c r="BO3" s="552" t="s">
        <v>8813</v>
      </c>
      <c r="BP3" s="552" t="s">
        <v>2093</v>
      </c>
      <c r="BR3" s="553" t="s">
        <v>8814</v>
      </c>
      <c r="BS3" s="554" t="s">
        <v>2093</v>
      </c>
      <c r="BU3" s="553" t="s">
        <v>8815</v>
      </c>
      <c r="BV3" s="553" t="s">
        <v>2093</v>
      </c>
      <c r="BX3" s="553" t="s">
        <v>8816</v>
      </c>
      <c r="BY3" s="554" t="s">
        <v>2093</v>
      </c>
      <c r="CA3" s="553" t="s">
        <v>8817</v>
      </c>
      <c r="CB3" s="554" t="s">
        <v>2093</v>
      </c>
      <c r="CD3" s="553" t="s">
        <v>8818</v>
      </c>
      <c r="CE3" s="554" t="s">
        <v>2093</v>
      </c>
      <c r="CG3" s="553" t="s">
        <v>8819</v>
      </c>
      <c r="CH3" s="554" t="s">
        <v>2093</v>
      </c>
      <c r="CJ3" s="553" t="s">
        <v>8820</v>
      </c>
      <c r="CK3" s="554" t="s">
        <v>2093</v>
      </c>
    </row>
    <row r="4" spans="15:89" ht="15" thickBot="1">
      <c r="O4" s="547" t="s">
        <v>8821</v>
      </c>
      <c r="P4" s="548"/>
      <c r="Q4" s="548"/>
      <c r="R4" s="548"/>
      <c r="S4" s="548"/>
      <c r="T4" s="548"/>
      <c r="V4" s="550" t="s">
        <v>8822</v>
      </c>
      <c r="W4" s="550">
        <v>2</v>
      </c>
      <c r="AA4" s="551">
        <f>Таблиця120[[#This Row],[PAY PER DAY, GP]]*30</f>
        <v>60</v>
      </c>
      <c r="AB4" s="551">
        <f>Таблиця120[[#This Row],[PAY PER MONTH, GP]]/2</f>
        <v>30</v>
      </c>
      <c r="AD4" s="547" t="s">
        <v>5585</v>
      </c>
      <c r="AE4" s="548">
        <f>1/4</f>
        <v>0.25</v>
      </c>
      <c r="AF4" s="548">
        <v>2</v>
      </c>
      <c r="AG4" s="548"/>
      <c r="AH4" s="549" t="s">
        <v>8823</v>
      </c>
      <c r="AI4" s="1" t="s">
        <v>8824</v>
      </c>
      <c r="AJ4" s="550">
        <v>2.5</v>
      </c>
      <c r="AK4" s="551">
        <f>Таблиця121[[#This Row],[Pay per day, gp]]*30</f>
        <v>75</v>
      </c>
      <c r="AL4" s="1">
        <f>Таблиця121[[#This Row],[Pay per day, gp]]/2</f>
        <v>1.25</v>
      </c>
      <c r="BB4" s="1" t="s">
        <v>8825</v>
      </c>
      <c r="BC4" s="1" t="s">
        <v>8826</v>
      </c>
      <c r="BD4" s="1" t="s">
        <v>8827</v>
      </c>
      <c r="BO4" s="552" t="s">
        <v>8828</v>
      </c>
      <c r="BP4" s="552">
        <v>-2</v>
      </c>
      <c r="BR4" s="553" t="s">
        <v>8829</v>
      </c>
      <c r="BS4" s="554">
        <v>-5</v>
      </c>
      <c r="BU4" s="553" t="s">
        <v>1672</v>
      </c>
      <c r="BV4" s="1">
        <v>-4</v>
      </c>
      <c r="BX4" s="553" t="s">
        <v>8830</v>
      </c>
      <c r="BY4" s="555">
        <v>-0.1</v>
      </c>
      <c r="CA4" s="553" t="s">
        <v>8831</v>
      </c>
      <c r="CB4" s="554">
        <v>-5</v>
      </c>
      <c r="CD4" s="553" t="s">
        <v>8832</v>
      </c>
      <c r="CE4" s="554">
        <v>3</v>
      </c>
      <c r="CG4" s="553" t="s">
        <v>8833</v>
      </c>
      <c r="CH4" s="554">
        <v>-8</v>
      </c>
      <c r="CJ4" s="553" t="s">
        <v>8834</v>
      </c>
      <c r="CK4" s="554">
        <v>-5</v>
      </c>
    </row>
    <row r="5" spans="15:89" ht="15" thickBot="1">
      <c r="O5" s="547" t="s">
        <v>8835</v>
      </c>
      <c r="P5" s="548"/>
      <c r="Q5" s="548"/>
      <c r="R5" s="548"/>
      <c r="S5" s="548"/>
      <c r="T5" s="548"/>
      <c r="V5" s="1" t="s">
        <v>8822</v>
      </c>
      <c r="W5" s="550">
        <v>1</v>
      </c>
      <c r="AA5" s="551">
        <f>Таблиця120[[#This Row],[PAY PER DAY, GP]]*30</f>
        <v>30</v>
      </c>
      <c r="AB5" s="551">
        <f>Таблиця120[[#This Row],[PAY PER MONTH, GP]]/2</f>
        <v>15</v>
      </c>
      <c r="AD5" s="547" t="s">
        <v>5320</v>
      </c>
      <c r="AE5" s="548">
        <f>1/4</f>
        <v>0.25</v>
      </c>
      <c r="AF5" s="548"/>
      <c r="AG5" s="548"/>
      <c r="AH5" s="556" t="s">
        <v>8836</v>
      </c>
      <c r="AI5" s="1" t="s">
        <v>8809</v>
      </c>
      <c r="AJ5" s="550">
        <v>2.5</v>
      </c>
      <c r="AK5" s="551">
        <f>Таблиця121[[#This Row],[Pay per day, gp]]*30</f>
        <v>75</v>
      </c>
      <c r="AL5" s="1">
        <f>Таблиця121[[#This Row],[Pay per day, gp]]/2</f>
        <v>1.25</v>
      </c>
      <c r="BB5" s="1" t="s">
        <v>8837</v>
      </c>
      <c r="BC5" s="1" t="s">
        <v>8838</v>
      </c>
      <c r="BD5" s="1" t="s">
        <v>8839</v>
      </c>
      <c r="BO5" s="552" t="s">
        <v>8840</v>
      </c>
      <c r="BP5" s="552">
        <v>-3</v>
      </c>
      <c r="BR5" s="553" t="s">
        <v>8841</v>
      </c>
      <c r="BS5" s="554">
        <v>-3</v>
      </c>
      <c r="BU5" s="553" t="s">
        <v>8842</v>
      </c>
      <c r="BV5" s="1">
        <v>-2</v>
      </c>
      <c r="BX5" s="553" t="s">
        <v>8843</v>
      </c>
      <c r="BY5" s="555">
        <v>-0.05</v>
      </c>
      <c r="CA5" s="553" t="s">
        <v>8844</v>
      </c>
      <c r="CB5" s="554">
        <v>-2</v>
      </c>
      <c r="CD5" s="553" t="s">
        <v>8845</v>
      </c>
      <c r="CE5" s="554">
        <v>2</v>
      </c>
      <c r="CG5" s="553" t="s">
        <v>8846</v>
      </c>
      <c r="CH5" s="554">
        <v>-6</v>
      </c>
      <c r="CJ5" s="553" t="s">
        <v>8847</v>
      </c>
      <c r="CK5" s="554">
        <v>-3</v>
      </c>
    </row>
    <row r="6" spans="15:89" ht="15" thickBot="1">
      <c r="O6" s="547" t="s">
        <v>5243</v>
      </c>
      <c r="P6" s="548">
        <f>1/8</f>
        <v>0.125</v>
      </c>
      <c r="Q6" s="548">
        <v>1</v>
      </c>
      <c r="R6" s="548" t="s">
        <v>8848</v>
      </c>
      <c r="S6" s="548"/>
      <c r="T6" s="548"/>
      <c r="U6" s="549" t="s">
        <v>8849</v>
      </c>
      <c r="V6" s="1" t="s">
        <v>8850</v>
      </c>
      <c r="W6" s="550">
        <v>0.2</v>
      </c>
      <c r="AA6" s="551">
        <f>Таблиця120[[#This Row],[PAY PER DAY, GP]]*30</f>
        <v>6</v>
      </c>
      <c r="AB6" s="551">
        <f>Таблиця120[[#This Row],[PAY PER MONTH, GP]]/2</f>
        <v>3</v>
      </c>
      <c r="AD6" s="547" t="s">
        <v>5791</v>
      </c>
      <c r="AE6" s="548">
        <v>2</v>
      </c>
      <c r="AF6" s="548">
        <v>4</v>
      </c>
      <c r="AG6" s="548"/>
      <c r="AH6" s="557" t="s">
        <v>8851</v>
      </c>
      <c r="AI6" s="1" t="s">
        <v>8852</v>
      </c>
      <c r="AJ6" s="550">
        <v>15</v>
      </c>
      <c r="AK6" s="551">
        <f>Таблиця121[[#This Row],[Pay per day, gp]]*30</f>
        <v>450</v>
      </c>
      <c r="AL6" s="1">
        <v>400</v>
      </c>
      <c r="BB6" s="1" t="s">
        <v>8853</v>
      </c>
      <c r="BC6" s="1" t="s">
        <v>8854</v>
      </c>
      <c r="BD6" s="1" t="s">
        <v>8855</v>
      </c>
      <c r="BO6" s="552" t="s">
        <v>8856</v>
      </c>
      <c r="BP6" s="552">
        <v>-1</v>
      </c>
      <c r="BR6" s="553" t="s">
        <v>8857</v>
      </c>
      <c r="BS6" s="554">
        <v>-1</v>
      </c>
      <c r="BU6" s="553" t="s">
        <v>8858</v>
      </c>
      <c r="BV6" s="1">
        <v>0</v>
      </c>
      <c r="BX6" s="553" t="s">
        <v>8859</v>
      </c>
      <c r="BY6" s="555">
        <v>0</v>
      </c>
      <c r="CA6" s="553" t="s">
        <v>8860</v>
      </c>
      <c r="CB6" s="554">
        <v>-1</v>
      </c>
      <c r="CD6" s="553" t="s">
        <v>8861</v>
      </c>
      <c r="CE6" s="554">
        <v>1</v>
      </c>
      <c r="CG6" s="553" t="s">
        <v>8862</v>
      </c>
      <c r="CH6" s="554">
        <v>-8</v>
      </c>
      <c r="CJ6" s="553" t="s">
        <v>8863</v>
      </c>
      <c r="CK6" s="554">
        <v>-1</v>
      </c>
    </row>
    <row r="7" spans="15:89" ht="15" thickBot="1">
      <c r="O7" s="547" t="s">
        <v>5234</v>
      </c>
      <c r="P7" s="548">
        <v>2</v>
      </c>
      <c r="Q7" s="548">
        <v>5</v>
      </c>
      <c r="R7" s="548"/>
      <c r="S7" s="548"/>
      <c r="T7" s="548"/>
      <c r="U7" s="549" t="s">
        <v>8864</v>
      </c>
      <c r="V7" s="1" t="s">
        <v>8865</v>
      </c>
      <c r="W7" s="550">
        <v>20</v>
      </c>
      <c r="AA7" s="551">
        <f>Таблиця120[[#This Row],[PAY PER DAY, GP]]*30</f>
        <v>600</v>
      </c>
      <c r="AB7" s="551">
        <f>Таблиця120[[#This Row],[PAY PER MONTH, GP]]/2</f>
        <v>300</v>
      </c>
      <c r="AD7" s="547" t="s">
        <v>8866</v>
      </c>
      <c r="AE7" s="548"/>
      <c r="AF7" s="548"/>
      <c r="AG7" s="548"/>
      <c r="AH7" s="550"/>
      <c r="AI7" s="1" t="s">
        <v>8867</v>
      </c>
      <c r="AJ7" s="550">
        <v>75</v>
      </c>
      <c r="AK7" s="551">
        <f>Таблиця121[[#This Row],[Pay per day, gp]]*30</f>
        <v>2250</v>
      </c>
      <c r="BB7" s="1" t="s">
        <v>8868</v>
      </c>
      <c r="BC7" s="1" t="s">
        <v>8869</v>
      </c>
      <c r="BD7" s="1" t="s">
        <v>8870</v>
      </c>
      <c r="BO7" s="552" t="s">
        <v>8871</v>
      </c>
      <c r="BP7" s="552">
        <v>0</v>
      </c>
      <c r="BR7" s="553" t="s">
        <v>8872</v>
      </c>
      <c r="BS7" s="554">
        <v>2</v>
      </c>
      <c r="BU7" s="553" t="s">
        <v>8873</v>
      </c>
      <c r="BV7" s="1">
        <v>1</v>
      </c>
      <c r="BX7" s="558" t="s">
        <v>8874</v>
      </c>
      <c r="BY7" s="559">
        <v>0.1</v>
      </c>
      <c r="CA7" s="553" t="s">
        <v>8875</v>
      </c>
      <c r="CB7" s="554">
        <v>2</v>
      </c>
      <c r="CD7" s="553" t="s">
        <v>8876</v>
      </c>
      <c r="CE7" s="554">
        <v>0</v>
      </c>
      <c r="CG7" s="553" t="s">
        <v>8877</v>
      </c>
      <c r="CH7" s="554">
        <v>-3</v>
      </c>
      <c r="CJ7" s="553" t="s">
        <v>8878</v>
      </c>
      <c r="CK7" s="554">
        <v>-0.6</v>
      </c>
    </row>
    <row r="8" spans="15:89" ht="15" thickBot="1">
      <c r="O8" s="547" t="s">
        <v>5167</v>
      </c>
      <c r="P8" s="548">
        <v>2</v>
      </c>
      <c r="Q8" s="548">
        <v>5</v>
      </c>
      <c r="R8" s="548"/>
      <c r="S8" s="548"/>
      <c r="T8" s="548"/>
      <c r="U8" s="549" t="s">
        <v>8879</v>
      </c>
      <c r="V8" s="550" t="s">
        <v>8865</v>
      </c>
      <c r="W8" s="550">
        <v>1.5</v>
      </c>
      <c r="AA8" s="551">
        <f>Таблиця120[[#This Row],[PAY PER DAY, GP]]*30</f>
        <v>45</v>
      </c>
      <c r="AB8" s="551">
        <f>Таблиця120[[#This Row],[PAY PER MONTH, GP]]/2</f>
        <v>22.5</v>
      </c>
      <c r="AD8" s="519" t="s">
        <v>4925</v>
      </c>
      <c r="AE8" s="560">
        <v>2</v>
      </c>
      <c r="AF8" s="560">
        <v>4</v>
      </c>
      <c r="AG8" s="560"/>
      <c r="AH8" s="561" t="s">
        <v>8880</v>
      </c>
      <c r="AI8" s="557"/>
      <c r="AJ8" s="518">
        <v>5</v>
      </c>
      <c r="AK8" s="551">
        <f>Таблиця121[[#This Row],[Pay per day, gp]]*30</f>
        <v>150</v>
      </c>
      <c r="AL8" s="1">
        <v>100</v>
      </c>
      <c r="BB8" s="1" t="s">
        <v>8881</v>
      </c>
      <c r="BC8" s="1" t="s">
        <v>8882</v>
      </c>
      <c r="BD8" s="1" t="s">
        <v>8883</v>
      </c>
      <c r="BO8" s="552" t="s">
        <v>8884</v>
      </c>
      <c r="BP8" s="552">
        <v>-1</v>
      </c>
      <c r="BR8" s="553" t="s">
        <v>8885</v>
      </c>
      <c r="BS8" s="554">
        <v>4</v>
      </c>
      <c r="BU8" s="553" t="s">
        <v>8886</v>
      </c>
      <c r="BV8" s="1">
        <v>2</v>
      </c>
      <c r="CA8" s="558" t="s">
        <v>8887</v>
      </c>
      <c r="CB8" s="552">
        <v>3</v>
      </c>
      <c r="CD8" s="553" t="s">
        <v>1695</v>
      </c>
      <c r="CE8" s="554">
        <v>0</v>
      </c>
      <c r="CG8" s="553" t="s">
        <v>8888</v>
      </c>
      <c r="CH8" s="554">
        <v>-2</v>
      </c>
      <c r="CJ8" s="553" t="s">
        <v>8889</v>
      </c>
      <c r="CK8" s="554">
        <v>-0.2</v>
      </c>
    </row>
    <row r="9" spans="15:89" ht="15" thickBot="1">
      <c r="O9" s="547" t="s">
        <v>8890</v>
      </c>
      <c r="P9" s="548"/>
      <c r="Q9" s="548"/>
      <c r="R9" s="548"/>
      <c r="S9" s="548"/>
      <c r="T9" s="548"/>
      <c r="V9" s="1" t="s">
        <v>8852</v>
      </c>
      <c r="W9" s="550">
        <v>65</v>
      </c>
      <c r="AA9" s="551">
        <f>Таблиця120[[#This Row],[PAY PER DAY, GP]]*30</f>
        <v>1950</v>
      </c>
      <c r="AB9" s="551">
        <f>Таблиця120[[#This Row],[PAY PER MONTH, GP]]/2</f>
        <v>975</v>
      </c>
      <c r="AD9" s="519" t="s">
        <v>8891</v>
      </c>
      <c r="AE9" s="560"/>
      <c r="AF9" s="560"/>
      <c r="AG9" s="560"/>
      <c r="AH9" s="550"/>
      <c r="AI9" s="1" t="s">
        <v>8892</v>
      </c>
      <c r="AJ9" s="518">
        <v>100</v>
      </c>
      <c r="AK9" s="551">
        <f>Таблиця121[[#This Row],[Pay per day, gp]]*30</f>
        <v>3000</v>
      </c>
      <c r="BO9" s="552" t="s">
        <v>8893</v>
      </c>
      <c r="BP9" s="552">
        <v>-6</v>
      </c>
      <c r="BR9" s="558" t="s">
        <v>8894</v>
      </c>
      <c r="BS9" s="552">
        <v>6</v>
      </c>
      <c r="CD9" s="553" t="s">
        <v>8895</v>
      </c>
      <c r="CE9" s="554">
        <v>-1</v>
      </c>
      <c r="CG9" s="553" t="s">
        <v>8896</v>
      </c>
      <c r="CH9" s="554">
        <v>-1</v>
      </c>
      <c r="CJ9" s="553" t="s">
        <v>8897</v>
      </c>
      <c r="CK9" s="554">
        <v>0.2</v>
      </c>
    </row>
    <row r="10" spans="15:89" ht="15" thickBot="1">
      <c r="O10" s="547" t="s">
        <v>5802</v>
      </c>
      <c r="P10" s="548"/>
      <c r="Q10" s="548"/>
      <c r="R10" s="548"/>
      <c r="S10" s="548"/>
      <c r="T10" s="548"/>
      <c r="V10" s="550" t="s">
        <v>8867</v>
      </c>
      <c r="W10" s="550">
        <v>75</v>
      </c>
      <c r="AA10" s="551">
        <f>Таблиця120[[#This Row],[PAY PER DAY, GP]]*30</f>
        <v>2250</v>
      </c>
      <c r="AB10" s="551">
        <f>Таблиця120[[#This Row],[PAY PER MONTH, GP]]/2</f>
        <v>1125</v>
      </c>
      <c r="AD10" s="519" t="s">
        <v>4781</v>
      </c>
      <c r="AE10" s="560">
        <v>2</v>
      </c>
      <c r="AF10" s="560">
        <v>4</v>
      </c>
      <c r="AG10" s="560"/>
      <c r="AH10" s="556" t="s">
        <v>8898</v>
      </c>
      <c r="AI10" s="1" t="s">
        <v>8899</v>
      </c>
      <c r="AJ10" s="518">
        <v>10</v>
      </c>
      <c r="AK10" s="551">
        <f>Таблиця121[[#This Row],[Pay per day, gp]]*30</f>
        <v>300</v>
      </c>
      <c r="AL10" s="1">
        <v>250</v>
      </c>
      <c r="BB10" s="1" t="s">
        <v>8900</v>
      </c>
      <c r="BC10" s="1" t="s">
        <v>8825</v>
      </c>
      <c r="BD10" s="1" t="s">
        <v>8901</v>
      </c>
      <c r="BE10" s="1" t="s">
        <v>8853</v>
      </c>
      <c r="BF10" s="1" t="s">
        <v>8868</v>
      </c>
      <c r="BG10" s="1" t="s">
        <v>8881</v>
      </c>
      <c r="BO10" s="552" t="s">
        <v>8902</v>
      </c>
      <c r="BP10" s="552">
        <v>-1</v>
      </c>
      <c r="CD10" s="553" t="s">
        <v>8903</v>
      </c>
      <c r="CE10" s="554">
        <v>-2</v>
      </c>
      <c r="CG10" s="553" t="s">
        <v>8904</v>
      </c>
      <c r="CH10" s="554">
        <v>1</v>
      </c>
      <c r="CJ10" s="553" t="s">
        <v>8905</v>
      </c>
      <c r="CK10" s="554">
        <v>0.4</v>
      </c>
    </row>
    <row r="11" spans="15:89" ht="27" customHeight="1" thickBot="1">
      <c r="O11" s="547" t="s">
        <v>8906</v>
      </c>
      <c r="P11" s="548"/>
      <c r="Q11" s="548"/>
      <c r="R11" s="548"/>
      <c r="S11" s="548"/>
      <c r="T11" s="548"/>
      <c r="V11" s="1" t="s">
        <v>8822</v>
      </c>
      <c r="W11" s="550">
        <v>1</v>
      </c>
      <c r="AA11" s="551">
        <f>Таблиця120[[#This Row],[PAY PER DAY, GP]]*30</f>
        <v>30</v>
      </c>
      <c r="AB11" s="551">
        <f>Таблиця120[[#This Row],[PAY PER MONTH, GP]]/2</f>
        <v>15</v>
      </c>
      <c r="AD11" s="547" t="s">
        <v>8907</v>
      </c>
      <c r="AE11" s="548"/>
      <c r="AF11" s="560"/>
      <c r="AG11" s="548"/>
      <c r="AH11" s="550"/>
      <c r="AI11" s="550" t="s">
        <v>8892</v>
      </c>
      <c r="AJ11" s="548">
        <v>60</v>
      </c>
      <c r="AK11" s="551">
        <f>Таблиця121[[#This Row],[Pay per day, gp]]*30</f>
        <v>1800</v>
      </c>
      <c r="BB11" s="1" t="s">
        <v>8825</v>
      </c>
      <c r="BC11" s="1" t="s">
        <v>8908</v>
      </c>
      <c r="BD11" s="1">
        <v>20</v>
      </c>
      <c r="BE11" s="1">
        <v>25</v>
      </c>
      <c r="BF11" s="1">
        <v>35</v>
      </c>
      <c r="BG11" s="1">
        <v>50</v>
      </c>
      <c r="BO11" s="552" t="s">
        <v>8909</v>
      </c>
      <c r="BP11" s="552">
        <v>0</v>
      </c>
      <c r="CD11" s="553" t="s">
        <v>8910</v>
      </c>
      <c r="CE11" s="554">
        <v>-3</v>
      </c>
      <c r="CG11" s="553" t="s">
        <v>8911</v>
      </c>
      <c r="CH11" s="554">
        <v>2</v>
      </c>
      <c r="CJ11" s="553" t="s">
        <v>8912</v>
      </c>
      <c r="CK11" s="554">
        <v>1</v>
      </c>
    </row>
    <row r="12" spans="15:89" ht="15" thickBot="1">
      <c r="O12" s="547" t="s">
        <v>8913</v>
      </c>
      <c r="P12" s="548"/>
      <c r="Q12" s="548"/>
      <c r="R12" s="548"/>
      <c r="S12" s="548"/>
      <c r="T12" s="548"/>
      <c r="V12" s="550" t="s">
        <v>8822</v>
      </c>
      <c r="W12" s="550"/>
      <c r="AA12" s="551">
        <f>Таблиця120[[#This Row],[PAY PER DAY, GP]]*30</f>
        <v>0</v>
      </c>
      <c r="AB12" s="551">
        <f>Таблиця120[[#This Row],[PAY PER MONTH, GP]]/2</f>
        <v>0</v>
      </c>
      <c r="AD12" s="547" t="s">
        <v>8914</v>
      </c>
      <c r="AE12" s="548"/>
      <c r="AF12" s="562"/>
      <c r="AG12" s="548"/>
      <c r="AH12" s="550"/>
      <c r="AI12" s="550" t="s">
        <v>8915</v>
      </c>
      <c r="AJ12" s="548">
        <v>110</v>
      </c>
      <c r="AK12" s="551">
        <f>Таблиця121[[#This Row],[Pay per day, gp]]*30</f>
        <v>3300</v>
      </c>
      <c r="BB12" s="1" t="s">
        <v>8837</v>
      </c>
      <c r="BC12" s="1" t="s">
        <v>8916</v>
      </c>
      <c r="BD12" s="1">
        <v>5</v>
      </c>
      <c r="BE12" s="1">
        <v>15</v>
      </c>
      <c r="BF12" s="1">
        <v>25</v>
      </c>
      <c r="BG12" s="1">
        <v>40</v>
      </c>
      <c r="BO12" s="552" t="s">
        <v>8917</v>
      </c>
      <c r="BP12" s="552">
        <v>2</v>
      </c>
      <c r="CD12" s="558" t="s">
        <v>8918</v>
      </c>
      <c r="CE12" s="552">
        <v>-4</v>
      </c>
      <c r="CG12" s="553" t="s">
        <v>8919</v>
      </c>
      <c r="CH12" s="554">
        <v>3</v>
      </c>
      <c r="CJ12" s="558" t="s">
        <v>8920</v>
      </c>
      <c r="CK12" s="552">
        <v>3</v>
      </c>
    </row>
    <row r="13" spans="15:89" ht="15" thickBot="1">
      <c r="O13" s="547" t="s">
        <v>8921</v>
      </c>
      <c r="P13" s="548"/>
      <c r="Q13" s="548"/>
      <c r="R13" s="548"/>
      <c r="S13" s="548"/>
      <c r="T13" s="548"/>
      <c r="V13" s="1" t="s">
        <v>8822</v>
      </c>
      <c r="W13" s="550"/>
      <c r="AA13" s="551">
        <f>Таблиця120[[#This Row],[PAY PER DAY, GP]]*30</f>
        <v>0</v>
      </c>
      <c r="AB13" s="551">
        <f>Таблиця120[[#This Row],[PAY PER MONTH, GP]]/2</f>
        <v>0</v>
      </c>
      <c r="AD13" s="547" t="s">
        <v>8922</v>
      </c>
      <c r="AE13" s="548"/>
      <c r="AF13" s="562"/>
      <c r="AG13" s="548"/>
      <c r="AH13" s="550"/>
      <c r="AI13" s="550" t="s">
        <v>8915</v>
      </c>
      <c r="AJ13" s="548">
        <v>40</v>
      </c>
      <c r="AK13" s="551">
        <f>Таблиця121[[#This Row],[Pay per day, gp]]*30</f>
        <v>1200</v>
      </c>
      <c r="BB13" s="1" t="s">
        <v>8853</v>
      </c>
      <c r="BD13" s="1" t="s">
        <v>8923</v>
      </c>
      <c r="BE13" s="1">
        <v>1</v>
      </c>
      <c r="BF13" s="1">
        <v>15</v>
      </c>
      <c r="BG13" s="1">
        <v>30</v>
      </c>
      <c r="BO13" s="552" t="s">
        <v>8924</v>
      </c>
      <c r="BP13" s="552">
        <v>3</v>
      </c>
      <c r="CG13" s="553" t="s">
        <v>8925</v>
      </c>
      <c r="CH13" s="554">
        <v>5</v>
      </c>
    </row>
    <row r="14" spans="15:89" ht="15" thickBot="1">
      <c r="O14" s="519" t="s">
        <v>8926</v>
      </c>
      <c r="P14" s="560"/>
      <c r="Q14" s="560"/>
      <c r="R14" s="560"/>
      <c r="S14" s="560"/>
      <c r="T14" s="560"/>
      <c r="W14" s="518"/>
      <c r="AA14" s="551">
        <f>Таблиця120[[#This Row],[PAY PER DAY, GP]]*30</f>
        <v>0</v>
      </c>
      <c r="AB14" s="551">
        <f>Таблиця120[[#This Row],[PAY PER MONTH, GP]]/2</f>
        <v>0</v>
      </c>
      <c r="AD14" s="547" t="s">
        <v>922</v>
      </c>
      <c r="AE14" s="548">
        <v>5</v>
      </c>
      <c r="AF14" s="562">
        <v>9</v>
      </c>
      <c r="AG14" s="548"/>
      <c r="AH14" s="550"/>
      <c r="AI14" s="550" t="s">
        <v>8927</v>
      </c>
      <c r="AJ14" s="548">
        <v>100</v>
      </c>
      <c r="AK14" s="551">
        <f>Таблиця121[[#This Row],[Pay per day, gp]]*30</f>
        <v>3000</v>
      </c>
      <c r="AL14" s="1">
        <v>2950</v>
      </c>
      <c r="BB14" s="1" t="s">
        <v>8868</v>
      </c>
      <c r="BE14" s="1" t="s">
        <v>8923</v>
      </c>
      <c r="BF14" s="1">
        <v>1</v>
      </c>
      <c r="BG14" s="1">
        <v>20</v>
      </c>
      <c r="CG14" s="553" t="s">
        <v>8928</v>
      </c>
      <c r="CH14" s="554">
        <v>5</v>
      </c>
    </row>
    <row r="15" spans="15:89">
      <c r="O15" s="519" t="s">
        <v>8929</v>
      </c>
      <c r="P15" s="560">
        <v>0.25</v>
      </c>
      <c r="Q15" s="560"/>
      <c r="R15" s="560"/>
      <c r="S15" s="560"/>
      <c r="T15" s="560"/>
      <c r="U15" s="518"/>
      <c r="V15" s="518"/>
      <c r="W15" s="518"/>
      <c r="AA15" s="551">
        <f>Таблиця120[[#This Row],[PAY PER DAY, GP]]*30</f>
        <v>0</v>
      </c>
      <c r="AB15" s="551">
        <f>Таблиця120[[#This Row],[PAY PER MONTH, GP]]/2</f>
        <v>0</v>
      </c>
      <c r="AD15" s="547" t="s">
        <v>8930</v>
      </c>
      <c r="AE15" s="548"/>
      <c r="AF15" s="562"/>
      <c r="AG15" s="548"/>
      <c r="AH15" s="550"/>
      <c r="AI15" s="550" t="s">
        <v>8931</v>
      </c>
      <c r="AJ15" s="548">
        <v>110</v>
      </c>
      <c r="AK15" s="551">
        <f>Таблиця121[[#This Row],[Pay per day, gp]]*30</f>
        <v>3300</v>
      </c>
      <c r="CG15" s="558" t="s">
        <v>8932</v>
      </c>
      <c r="CH15" s="552">
        <v>10</v>
      </c>
    </row>
    <row r="16" spans="15:89" ht="15" thickBot="1">
      <c r="O16" s="519" t="s">
        <v>4296</v>
      </c>
      <c r="P16" s="560">
        <v>5</v>
      </c>
      <c r="Q16" s="560"/>
      <c r="R16" s="560"/>
      <c r="S16" s="560"/>
      <c r="T16" s="560"/>
      <c r="U16" s="518"/>
      <c r="V16" s="518" t="s">
        <v>8899</v>
      </c>
      <c r="W16" s="518">
        <v>40</v>
      </c>
      <c r="AA16" s="551">
        <f>Таблиця120[[#This Row],[PAY PER DAY, GP]]*30</f>
        <v>1200</v>
      </c>
      <c r="AB16" s="551">
        <f>Таблиця120[[#This Row],[PAY PER MONTH, GP]]/2</f>
        <v>600</v>
      </c>
      <c r="AD16" s="547" t="s">
        <v>3465</v>
      </c>
      <c r="AE16" s="548">
        <v>2</v>
      </c>
      <c r="AF16" s="562">
        <v>5</v>
      </c>
      <c r="AG16" s="548"/>
      <c r="AH16" s="556" t="s">
        <v>8933</v>
      </c>
      <c r="AI16" s="550" t="s">
        <v>8934</v>
      </c>
      <c r="AJ16" s="548">
        <v>10</v>
      </c>
      <c r="AK16" s="551">
        <f>Таблиця121[[#This Row],[Pay per day, gp]]*30</f>
        <v>300</v>
      </c>
      <c r="AL16" s="1">
        <v>250</v>
      </c>
      <c r="BB16" s="1" t="s">
        <v>8935</v>
      </c>
      <c r="BC16" s="1" t="s">
        <v>8936</v>
      </c>
      <c r="BD16" s="1" t="s">
        <v>8937</v>
      </c>
      <c r="CG16" s="553"/>
      <c r="CH16" s="554"/>
    </row>
    <row r="17" spans="15:86" ht="15" thickBot="1">
      <c r="O17" s="519" t="s">
        <v>4191</v>
      </c>
      <c r="P17" s="560">
        <f>1/8</f>
        <v>0.125</v>
      </c>
      <c r="Q17" s="560">
        <v>1</v>
      </c>
      <c r="R17" s="560" t="s">
        <v>8938</v>
      </c>
      <c r="S17" s="560"/>
      <c r="T17" s="560"/>
      <c r="U17" s="557" t="s">
        <v>8939</v>
      </c>
      <c r="V17" s="1" t="s">
        <v>8927</v>
      </c>
      <c r="W17" s="518">
        <v>0.2</v>
      </c>
      <c r="AA17" s="551">
        <f>Таблиця120[[#This Row],[PAY PER DAY, GP]]*30</f>
        <v>6</v>
      </c>
      <c r="AB17" s="551">
        <f>Таблиця120[[#This Row],[PAY PER MONTH, GP]]/2</f>
        <v>3</v>
      </c>
      <c r="AD17" s="547" t="s">
        <v>8940</v>
      </c>
      <c r="AE17" s="548"/>
      <c r="AF17" s="562"/>
      <c r="AG17" s="548"/>
      <c r="AH17" s="550"/>
      <c r="AI17" s="550" t="s">
        <v>8931</v>
      </c>
      <c r="AJ17" s="548">
        <v>60</v>
      </c>
      <c r="AK17" s="551">
        <f>Таблиця121[[#This Row],[Pay per day, gp]]*30</f>
        <v>1800</v>
      </c>
      <c r="BB17" s="1" t="s">
        <v>8941</v>
      </c>
      <c r="BC17" s="1" t="s">
        <v>5787</v>
      </c>
      <c r="BD17" s="1" t="s">
        <v>8942</v>
      </c>
      <c r="CG17" s="553"/>
      <c r="CH17" s="554"/>
    </row>
    <row r="18" spans="15:86" ht="15" thickBot="1">
      <c r="O18" s="519" t="s">
        <v>8943</v>
      </c>
      <c r="P18" s="560"/>
      <c r="Q18" s="560"/>
      <c r="R18" s="560"/>
      <c r="S18" s="560"/>
      <c r="T18" s="560" t="s">
        <v>8944</v>
      </c>
      <c r="U18" s="518"/>
      <c r="V18" s="518" t="s">
        <v>8822</v>
      </c>
      <c r="W18" s="518">
        <v>8</v>
      </c>
      <c r="AA18" s="551">
        <f>Таблиця120[[#This Row],[PAY PER DAY, GP]]*30</f>
        <v>240</v>
      </c>
      <c r="AB18" s="551">
        <v>190</v>
      </c>
      <c r="AD18" s="547" t="s">
        <v>8945</v>
      </c>
      <c r="AE18" s="548">
        <v>2</v>
      </c>
      <c r="AF18" s="562">
        <v>4</v>
      </c>
      <c r="AG18" s="548"/>
      <c r="AH18" s="556" t="s">
        <v>8946</v>
      </c>
      <c r="AI18" s="556"/>
      <c r="AJ18" s="548">
        <v>5</v>
      </c>
      <c r="AK18" s="551">
        <f>Таблиця121[[#This Row],[Pay per day, gp]]*30</f>
        <v>150</v>
      </c>
      <c r="AL18" s="1">
        <v>100</v>
      </c>
      <c r="BB18" s="1" t="s">
        <v>8947</v>
      </c>
      <c r="BC18" s="1" t="s">
        <v>8948</v>
      </c>
      <c r="BD18" s="1" t="s">
        <v>8949</v>
      </c>
      <c r="CG18" s="553"/>
      <c r="CH18" s="554"/>
    </row>
    <row r="19" spans="15:86" ht="15" thickBot="1">
      <c r="O19" s="519" t="s">
        <v>8950</v>
      </c>
      <c r="P19" s="560"/>
      <c r="Q19" s="560"/>
      <c r="R19" s="560"/>
      <c r="S19" s="560"/>
      <c r="T19" s="560"/>
      <c r="V19" s="518" t="s">
        <v>8822</v>
      </c>
      <c r="W19" s="518">
        <v>1</v>
      </c>
      <c r="AA19" s="551">
        <f>Таблиця120[[#This Row],[PAY PER DAY, GP]]*30</f>
        <v>30</v>
      </c>
      <c r="AB19" s="551">
        <f>Таблиця120[[#This Row],[PAY PER MONTH, GP]]/2</f>
        <v>15</v>
      </c>
      <c r="AD19" s="547" t="s">
        <v>8951</v>
      </c>
      <c r="AE19" s="548"/>
      <c r="AF19" s="562"/>
      <c r="AG19" s="548"/>
      <c r="AH19" s="550"/>
      <c r="AI19" s="550" t="s">
        <v>8931</v>
      </c>
      <c r="AJ19" s="548">
        <v>110</v>
      </c>
      <c r="AK19" s="551">
        <f>Таблиця121[[#This Row],[Pay per day, gp]]*30</f>
        <v>3300</v>
      </c>
      <c r="BB19" s="1" t="s">
        <v>8952</v>
      </c>
      <c r="BC19" s="1" t="s">
        <v>8953</v>
      </c>
      <c r="BD19" s="1" t="s">
        <v>8954</v>
      </c>
      <c r="CG19" s="553"/>
      <c r="CH19" s="554"/>
    </row>
    <row r="20" spans="15:86" ht="15" thickBot="1">
      <c r="O20" s="519" t="s">
        <v>3971</v>
      </c>
      <c r="P20" s="560">
        <v>3</v>
      </c>
      <c r="Q20" s="560">
        <v>7</v>
      </c>
      <c r="R20" s="560"/>
      <c r="S20" s="560"/>
      <c r="T20" s="560"/>
      <c r="U20" s="561" t="s">
        <v>8955</v>
      </c>
      <c r="V20" s="518" t="s">
        <v>8927</v>
      </c>
      <c r="W20" s="518">
        <v>25</v>
      </c>
      <c r="AA20" s="551">
        <f>Таблиця120[[#This Row],[PAY PER DAY, GP]]*30</f>
        <v>750</v>
      </c>
      <c r="AB20" s="551">
        <v>250</v>
      </c>
      <c r="AD20" s="547" t="s">
        <v>8956</v>
      </c>
      <c r="AE20" s="548"/>
      <c r="AF20" s="562"/>
      <c r="AG20" s="548"/>
      <c r="AH20" s="550"/>
      <c r="AI20" s="550" t="s">
        <v>8957</v>
      </c>
      <c r="AJ20" s="548">
        <v>50</v>
      </c>
      <c r="AK20" s="551">
        <f>Таблиця121[[#This Row],[Pay per day, gp]]*30</f>
        <v>1500</v>
      </c>
      <c r="BB20" s="1" t="s">
        <v>7686</v>
      </c>
      <c r="BC20" s="1" t="s">
        <v>8958</v>
      </c>
      <c r="BD20" s="1" t="s">
        <v>8959</v>
      </c>
      <c r="CG20" s="553"/>
      <c r="CH20" s="554"/>
    </row>
    <row r="21" spans="15:86" ht="15" thickBot="1">
      <c r="O21" s="519" t="s">
        <v>8960</v>
      </c>
      <c r="P21" s="560"/>
      <c r="Q21" s="560"/>
      <c r="R21" s="560"/>
      <c r="S21" s="560"/>
      <c r="T21" s="560" t="s">
        <v>8961</v>
      </c>
      <c r="U21" s="518"/>
      <c r="V21" s="518" t="s">
        <v>8822</v>
      </c>
      <c r="W21" s="518">
        <v>3</v>
      </c>
      <c r="AA21" s="551">
        <f>Таблиця120[[#This Row],[PAY PER DAY, GP]]*30</f>
        <v>90</v>
      </c>
      <c r="AB21" s="551">
        <f>Таблиця120[[#This Row],[PAY PER MONTH, GP]]/2</f>
        <v>45</v>
      </c>
      <c r="AD21" s="547" t="s">
        <v>8962</v>
      </c>
      <c r="AE21" s="548"/>
      <c r="AF21" s="562"/>
      <c r="AG21" s="548"/>
      <c r="AH21" s="550"/>
      <c r="AI21" s="550" t="s">
        <v>8957</v>
      </c>
      <c r="AJ21" s="548">
        <v>85</v>
      </c>
      <c r="AK21" s="551">
        <f>Таблиця121[[#This Row],[Pay per day, gp]]*30</f>
        <v>2550</v>
      </c>
      <c r="BB21" s="1" t="s">
        <v>8963</v>
      </c>
      <c r="BC21" s="1" t="s">
        <v>8964</v>
      </c>
      <c r="BD21" s="1" t="s">
        <v>8965</v>
      </c>
      <c r="CG21" s="553"/>
      <c r="CH21" s="554"/>
    </row>
    <row r="22" spans="15:86" ht="15" thickBot="1">
      <c r="O22" s="519" t="s">
        <v>8966</v>
      </c>
      <c r="P22" s="560"/>
      <c r="Q22" s="560"/>
      <c r="R22" s="560"/>
      <c r="S22" s="560"/>
      <c r="T22" s="560"/>
      <c r="U22" s="518"/>
      <c r="V22" s="550" t="s">
        <v>8822</v>
      </c>
      <c r="W22" s="518">
        <v>0.5</v>
      </c>
      <c r="AA22" s="551">
        <f>Таблиця120[[#This Row],[PAY PER DAY, GP]]*30</f>
        <v>15</v>
      </c>
      <c r="AB22" s="551">
        <f>Таблиця120[[#This Row],[PAY PER MONTH, GP]]/2</f>
        <v>7.5</v>
      </c>
      <c r="AD22" s="547" t="s">
        <v>8967</v>
      </c>
      <c r="AE22" s="548"/>
      <c r="AF22" s="562"/>
      <c r="AG22" s="548"/>
      <c r="AH22" s="550"/>
      <c r="AI22" s="550" t="s">
        <v>8968</v>
      </c>
      <c r="AJ22" s="548">
        <v>75</v>
      </c>
      <c r="AK22" s="551">
        <f>Таблиця121[[#This Row],[Pay per day, gp]]*30</f>
        <v>2250</v>
      </c>
      <c r="BB22" s="1" t="s">
        <v>8969</v>
      </c>
      <c r="BC22" s="1" t="s">
        <v>8970</v>
      </c>
      <c r="BD22" s="1" t="s">
        <v>8971</v>
      </c>
      <c r="CG22" s="553"/>
      <c r="CH22" s="554"/>
    </row>
    <row r="23" spans="15:86" ht="15" thickBot="1">
      <c r="O23" s="519" t="s">
        <v>8972</v>
      </c>
      <c r="P23" s="560">
        <v>2</v>
      </c>
      <c r="Q23" s="560"/>
      <c r="R23" s="560"/>
      <c r="S23" s="560"/>
      <c r="T23" s="560"/>
      <c r="U23" s="518"/>
      <c r="V23" s="518" t="s">
        <v>8973</v>
      </c>
      <c r="W23" s="518">
        <v>25</v>
      </c>
      <c r="AA23" s="551">
        <f>Таблиця120[[#This Row],[PAY PER DAY, GP]]*30</f>
        <v>750</v>
      </c>
      <c r="AB23" s="551">
        <f>Таблиця120[[#This Row],[PAY PER MONTH, GP]]/2</f>
        <v>375</v>
      </c>
      <c r="AD23" s="547"/>
      <c r="AE23" s="548"/>
      <c r="AF23" s="562"/>
      <c r="AG23" s="548"/>
      <c r="AH23" s="550"/>
      <c r="AI23" s="550"/>
      <c r="AJ23" s="548"/>
      <c r="AK23" s="551"/>
      <c r="CG23" s="553"/>
      <c r="CH23" s="554"/>
    </row>
    <row r="24" spans="15:86">
      <c r="O24" s="519" t="s">
        <v>8974</v>
      </c>
      <c r="P24" s="560">
        <v>5</v>
      </c>
      <c r="Q24" s="560">
        <v>9</v>
      </c>
      <c r="R24" s="560"/>
      <c r="S24" s="560"/>
      <c r="T24" s="560" t="s">
        <v>8975</v>
      </c>
      <c r="U24" s="561" t="s">
        <v>8976</v>
      </c>
      <c r="V24" s="518" t="s">
        <v>8973</v>
      </c>
      <c r="W24" s="518">
        <v>40</v>
      </c>
      <c r="AA24" s="551">
        <f>Таблиця120[[#This Row],[PAY PER DAY, GP]]*30</f>
        <v>1200</v>
      </c>
      <c r="AB24" s="551">
        <v>700</v>
      </c>
      <c r="AD24" s="547"/>
      <c r="AE24" s="548"/>
      <c r="AF24" s="562"/>
      <c r="AG24" s="548"/>
      <c r="AH24" s="550"/>
      <c r="AI24" s="550"/>
      <c r="AJ24" s="548"/>
      <c r="AK24" s="551"/>
      <c r="CG24" s="558"/>
      <c r="CH24" s="552"/>
    </row>
    <row r="25" spans="15:86" ht="15" thickBot="1">
      <c r="O25" s="519" t="s">
        <v>8977</v>
      </c>
      <c r="P25" s="560"/>
      <c r="Q25" s="560"/>
      <c r="R25" s="560"/>
      <c r="S25" s="560"/>
      <c r="T25" s="560" t="s">
        <v>8961</v>
      </c>
      <c r="U25" s="518"/>
      <c r="V25" s="518" t="s">
        <v>8822</v>
      </c>
      <c r="W25" s="518">
        <v>5</v>
      </c>
      <c r="AA25" s="551">
        <f>Таблиця120[[#This Row],[PAY PER DAY, GP]]*30</f>
        <v>150</v>
      </c>
      <c r="AB25" s="551">
        <v>100</v>
      </c>
      <c r="AD25" s="547"/>
      <c r="AE25" s="548"/>
      <c r="AF25" s="562"/>
      <c r="AG25" s="548"/>
      <c r="AH25" s="550"/>
      <c r="AI25" s="550"/>
      <c r="AJ25" s="548"/>
      <c r="AK25" s="551"/>
      <c r="BB25" s="1" t="s">
        <v>8978</v>
      </c>
      <c r="BC25" s="1">
        <v>5</v>
      </c>
      <c r="CG25" s="563"/>
      <c r="CH25" s="553"/>
    </row>
    <row r="26" spans="15:86" ht="15" thickBot="1">
      <c r="O26" s="519" t="s">
        <v>8979</v>
      </c>
      <c r="P26" s="560"/>
      <c r="Q26" s="560"/>
      <c r="R26" s="560"/>
      <c r="S26" s="560"/>
      <c r="T26" s="560"/>
      <c r="U26" s="518"/>
      <c r="V26" s="550" t="s">
        <v>8822</v>
      </c>
      <c r="W26" s="518">
        <v>6</v>
      </c>
      <c r="AA26" s="551">
        <f>Таблиця120[[#This Row],[PAY PER DAY, GP]]*30</f>
        <v>180</v>
      </c>
      <c r="AB26" s="551">
        <v>130</v>
      </c>
      <c r="AD26" s="547"/>
      <c r="AE26" s="548"/>
      <c r="AF26" s="562"/>
      <c r="AG26" s="548"/>
      <c r="AH26" s="550"/>
      <c r="AI26" s="550"/>
      <c r="AJ26" s="548"/>
      <c r="AK26" s="551"/>
      <c r="BB26" s="1" t="s">
        <v>8980</v>
      </c>
      <c r="BC26" s="1">
        <v>7</v>
      </c>
      <c r="CG26" s="563"/>
      <c r="CH26" s="553"/>
    </row>
    <row r="27" spans="15:86">
      <c r="O27" s="519" t="s">
        <v>8981</v>
      </c>
      <c r="P27" s="560">
        <v>2</v>
      </c>
      <c r="Q27" s="560">
        <v>5</v>
      </c>
      <c r="R27" s="560"/>
      <c r="S27" s="560"/>
      <c r="T27" s="560"/>
      <c r="U27" s="561" t="s">
        <v>8982</v>
      </c>
      <c r="V27" s="561"/>
      <c r="W27" s="518">
        <v>10</v>
      </c>
      <c r="AA27" s="551">
        <f>Таблиця120[[#This Row],[PAY PER DAY, GP]]*30</f>
        <v>300</v>
      </c>
      <c r="AB27" s="551">
        <v>250</v>
      </c>
      <c r="AD27" s="547"/>
      <c r="AE27" s="548"/>
      <c r="AF27" s="562"/>
      <c r="AG27" s="548"/>
      <c r="AH27" s="550"/>
      <c r="AI27" s="550"/>
      <c r="AJ27" s="548"/>
      <c r="AK27" s="551"/>
      <c r="BB27" s="1" t="s">
        <v>8983</v>
      </c>
      <c r="BC27" s="1">
        <v>8</v>
      </c>
    </row>
    <row r="28" spans="15:86">
      <c r="O28" s="519" t="s">
        <v>3240</v>
      </c>
      <c r="P28" s="560">
        <f>1/2</f>
        <v>0.5</v>
      </c>
      <c r="Q28" s="560">
        <v>2</v>
      </c>
      <c r="R28" s="560" t="s">
        <v>8984</v>
      </c>
      <c r="S28" s="560"/>
      <c r="T28" s="560"/>
      <c r="U28" s="561" t="s">
        <v>8985</v>
      </c>
      <c r="V28" s="518" t="s">
        <v>8986</v>
      </c>
      <c r="W28" s="518">
        <v>1</v>
      </c>
      <c r="AA28" s="551">
        <f>Таблиця120[[#This Row],[PAY PER DAY, GP]]*30</f>
        <v>30</v>
      </c>
      <c r="AB28" s="551">
        <f>Таблиця120[[#This Row],[PAY PER MONTH, GP]]/2</f>
        <v>15</v>
      </c>
      <c r="AD28" s="519"/>
      <c r="AE28" s="560"/>
      <c r="AF28" s="562"/>
      <c r="AG28" s="560"/>
      <c r="AH28" s="518"/>
      <c r="AI28" s="518"/>
      <c r="AJ28" s="560"/>
      <c r="AK28" s="551"/>
      <c r="BB28" s="1" t="s">
        <v>8987</v>
      </c>
      <c r="BC28" s="522" t="s">
        <v>8988</v>
      </c>
    </row>
    <row r="29" spans="15:86">
      <c r="O29" s="519" t="s">
        <v>8989</v>
      </c>
      <c r="P29" s="560">
        <v>1</v>
      </c>
      <c r="Q29" s="560">
        <v>4</v>
      </c>
      <c r="R29" s="560"/>
      <c r="S29" s="560"/>
      <c r="T29" s="560"/>
      <c r="U29" s="561" t="s">
        <v>8990</v>
      </c>
      <c r="V29" s="561"/>
      <c r="W29" s="518">
        <v>1</v>
      </c>
      <c r="AA29" s="551">
        <f>Таблиця120[[#This Row],[PAY PER DAY, GP]]*30</f>
        <v>30</v>
      </c>
      <c r="AB29" s="551">
        <f>Таблиця120[[#This Row],[PAY PER MONTH, GP]]/2</f>
        <v>15</v>
      </c>
      <c r="BB29" s="1" t="s">
        <v>8991</v>
      </c>
      <c r="BC29" s="522" t="s">
        <v>8988</v>
      </c>
    </row>
    <row r="30" spans="15:86">
      <c r="O30" s="519" t="s">
        <v>8992</v>
      </c>
      <c r="P30" s="560">
        <v>1</v>
      </c>
      <c r="Q30" s="560">
        <v>4</v>
      </c>
      <c r="R30" s="560"/>
      <c r="S30" s="560"/>
      <c r="T30" s="560" t="s">
        <v>8993</v>
      </c>
      <c r="U30" s="561" t="s">
        <v>8994</v>
      </c>
      <c r="V30" s="561"/>
      <c r="W30" s="518">
        <v>1</v>
      </c>
      <c r="AA30" s="551">
        <f>Таблиця120[[#This Row],[PAY PER DAY, GP]]*30</f>
        <v>30</v>
      </c>
      <c r="AB30" s="551">
        <f>Таблиця120[[#This Row],[PAY PER MONTH, GP]]/2</f>
        <v>15</v>
      </c>
      <c r="BB30" s="1" t="s">
        <v>8995</v>
      </c>
      <c r="BC30" s="522" t="s">
        <v>8996</v>
      </c>
    </row>
    <row r="31" spans="15:86">
      <c r="O31" s="519" t="s">
        <v>8997</v>
      </c>
      <c r="P31" s="560">
        <v>0.5</v>
      </c>
      <c r="Q31" s="560"/>
      <c r="R31" s="560"/>
      <c r="S31" s="560"/>
      <c r="T31" s="560"/>
      <c r="U31" s="518"/>
      <c r="V31" s="550" t="s">
        <v>8822</v>
      </c>
      <c r="W31" s="518"/>
      <c r="AA31" s="551">
        <f>Таблиця120[[#This Row],[PAY PER DAY, GP]]*30</f>
        <v>0</v>
      </c>
      <c r="AB31" s="551">
        <f>Таблиця120[[#This Row],[PAY PER MONTH, GP]]/2</f>
        <v>0</v>
      </c>
      <c r="BB31" s="1" t="s">
        <v>688</v>
      </c>
      <c r="BC31" s="1">
        <v>-1</v>
      </c>
    </row>
    <row r="32" spans="15:86">
      <c r="O32" s="519" t="s">
        <v>8998</v>
      </c>
      <c r="P32" s="560">
        <v>0.25</v>
      </c>
      <c r="Q32" s="560">
        <v>3</v>
      </c>
      <c r="R32" s="560"/>
      <c r="S32" s="560"/>
      <c r="T32" s="560"/>
      <c r="U32" s="561" t="s">
        <v>8999</v>
      </c>
      <c r="V32" s="518" t="s">
        <v>8822</v>
      </c>
      <c r="W32" s="518"/>
      <c r="AA32" s="551">
        <f>Таблиця120[[#This Row],[PAY PER DAY, GP]]*30</f>
        <v>0</v>
      </c>
      <c r="AB32" s="551">
        <f>Таблиця120[[#This Row],[PAY PER MONTH, GP]]/2</f>
        <v>0</v>
      </c>
    </row>
    <row r="33" spans="15:45">
      <c r="O33" s="519" t="s">
        <v>3075</v>
      </c>
      <c r="P33" s="560">
        <f>1</f>
        <v>1</v>
      </c>
      <c r="Q33" s="560">
        <v>5</v>
      </c>
      <c r="R33" s="560"/>
      <c r="S33" s="560"/>
      <c r="T33" s="560"/>
      <c r="U33" s="561" t="s">
        <v>9000</v>
      </c>
      <c r="V33" s="518" t="s">
        <v>8986</v>
      </c>
      <c r="W33" s="518">
        <v>2</v>
      </c>
      <c r="AA33" s="551">
        <f>Таблиця120[[#This Row],[PAY PER DAY, GP]]*30</f>
        <v>60</v>
      </c>
      <c r="AB33" s="551">
        <f>Таблиця120[[#This Row],[PAY PER MONTH, GP]]/2</f>
        <v>30</v>
      </c>
    </row>
    <row r="34" spans="15:45">
      <c r="O34" s="519" t="s">
        <v>5804</v>
      </c>
      <c r="P34" s="560">
        <v>3</v>
      </c>
      <c r="Q34" s="560">
        <v>7</v>
      </c>
      <c r="R34" s="560"/>
      <c r="S34" s="560"/>
      <c r="T34" s="560"/>
      <c r="U34" s="561" t="s">
        <v>9001</v>
      </c>
      <c r="V34" s="518" t="s">
        <v>8931</v>
      </c>
      <c r="W34" s="518">
        <v>25</v>
      </c>
      <c r="AA34" s="551">
        <f>Таблиця120[[#This Row],[PAY PER DAY, GP]]*30</f>
        <v>750</v>
      </c>
      <c r="AB34" s="551">
        <v>100</v>
      </c>
    </row>
    <row r="35" spans="15:45">
      <c r="O35" s="519" t="s">
        <v>2902</v>
      </c>
      <c r="P35" s="560">
        <f>1/2</f>
        <v>0.5</v>
      </c>
      <c r="Q35" s="560"/>
      <c r="R35" s="560" t="s">
        <v>9002</v>
      </c>
      <c r="S35" s="560"/>
      <c r="T35" s="560"/>
      <c r="U35" s="561" t="s">
        <v>9003</v>
      </c>
      <c r="V35" s="550" t="s">
        <v>9004</v>
      </c>
      <c r="W35" s="518">
        <v>1</v>
      </c>
      <c r="AA35" s="551">
        <f>Таблиця120[[#This Row],[PAY PER DAY, GP]]*30</f>
        <v>30</v>
      </c>
      <c r="AB35" s="551">
        <f>Таблиця120[[#This Row],[PAY PER MONTH, GP]]/2</f>
        <v>15</v>
      </c>
    </row>
    <row r="36" spans="15:45">
      <c r="O36" s="547" t="s">
        <v>9005</v>
      </c>
      <c r="P36" s="548">
        <f>1/8</f>
        <v>0.125</v>
      </c>
      <c r="Q36" s="560"/>
      <c r="R36" s="560"/>
      <c r="S36" s="560"/>
      <c r="T36" s="548"/>
      <c r="U36" s="550"/>
      <c r="V36" s="550" t="s">
        <v>9004</v>
      </c>
      <c r="W36" s="548">
        <v>2</v>
      </c>
      <c r="AA36" s="551">
        <f>Таблиця120[[#This Row],[PAY PER DAY, GP]]*30</f>
        <v>60</v>
      </c>
      <c r="AB36" s="551">
        <f>Таблиця120[[#This Row],[PAY PER MONTH, GP]]/2</f>
        <v>30</v>
      </c>
    </row>
    <row r="37" spans="15:45">
      <c r="O37" s="547" t="s">
        <v>2760</v>
      </c>
      <c r="P37" s="548">
        <v>3</v>
      </c>
      <c r="Q37" s="562">
        <v>7</v>
      </c>
      <c r="R37" s="562"/>
      <c r="S37" s="562"/>
      <c r="T37" s="548"/>
      <c r="U37" s="556" t="s">
        <v>9006</v>
      </c>
      <c r="V37" s="550" t="s">
        <v>9004</v>
      </c>
      <c r="W37" s="548">
        <v>25</v>
      </c>
      <c r="AA37" s="551">
        <f>Таблиця120[[#This Row],[PAY PER DAY, GP]]*30</f>
        <v>750</v>
      </c>
      <c r="AB37" s="551">
        <v>100</v>
      </c>
    </row>
    <row r="38" spans="15:45">
      <c r="O38" s="547" t="s">
        <v>9007</v>
      </c>
      <c r="P38" s="548">
        <v>1</v>
      </c>
      <c r="Q38" s="562">
        <v>5</v>
      </c>
      <c r="R38" s="562"/>
      <c r="S38" s="562"/>
      <c r="T38" s="548"/>
      <c r="U38" s="556" t="s">
        <v>9008</v>
      </c>
      <c r="V38" s="550" t="s">
        <v>8822</v>
      </c>
      <c r="W38" s="548"/>
      <c r="AA38" s="551">
        <f>Таблиця120[[#This Row],[PAY PER DAY, GP]]*30</f>
        <v>0</v>
      </c>
      <c r="AB38" s="551">
        <f>Таблиця120[[#This Row],[PAY PER MONTH, GP]]/2</f>
        <v>0</v>
      </c>
      <c r="AS38" s="506"/>
    </row>
    <row r="39" spans="15:45">
      <c r="O39" s="547" t="s">
        <v>9009</v>
      </c>
      <c r="P39" s="548"/>
      <c r="Q39" s="562"/>
      <c r="R39" s="562"/>
      <c r="S39" s="562"/>
      <c r="T39" s="548"/>
      <c r="U39" s="550"/>
      <c r="V39" s="550"/>
      <c r="W39" s="548"/>
      <c r="AA39" s="551">
        <f>Таблиця120[[#This Row],[PAY PER DAY, GP]]*30</f>
        <v>0</v>
      </c>
      <c r="AB39" s="551">
        <f>Таблиця120[[#This Row],[PAY PER MONTH, GP]]/2</f>
        <v>0</v>
      </c>
    </row>
    <row r="40" spans="15:45">
      <c r="O40" s="547"/>
      <c r="P40" s="548"/>
      <c r="Q40" s="562"/>
      <c r="R40" s="562"/>
      <c r="S40" s="562"/>
      <c r="T40" s="548"/>
      <c r="U40" s="550"/>
      <c r="V40" s="550"/>
      <c r="W40" s="548"/>
      <c r="AA40" s="551">
        <f>Таблиця120[[#This Row],[PAY PER DAY, GP]]*30</f>
        <v>0</v>
      </c>
      <c r="AB40" s="551">
        <f>Таблиця120[[#This Row],[PAY PER MONTH, GP]]/2</f>
        <v>0</v>
      </c>
    </row>
    <row r="41" spans="15:45">
      <c r="O41" s="547"/>
      <c r="P41" s="548"/>
      <c r="Q41" s="562"/>
      <c r="R41" s="562"/>
      <c r="S41" s="562"/>
      <c r="T41" s="548"/>
      <c r="U41" s="550"/>
      <c r="V41" s="550"/>
      <c r="W41" s="548"/>
      <c r="AA41" s="551">
        <f>Таблиця120[[#This Row],[PAY PER DAY, GP]]*30</f>
        <v>0</v>
      </c>
      <c r="AB41" s="551">
        <f>Таблиця120[[#This Row],[PAY PER MONTH, GP]]/2</f>
        <v>0</v>
      </c>
    </row>
    <row r="42" spans="15:45">
      <c r="O42" s="547"/>
      <c r="P42" s="548"/>
      <c r="Q42" s="562"/>
      <c r="R42" s="562"/>
      <c r="S42" s="562"/>
      <c r="T42" s="548"/>
      <c r="U42" s="550"/>
      <c r="V42" s="550"/>
      <c r="W42" s="548"/>
      <c r="AA42" s="551">
        <f>Таблиця120[[#This Row],[PAY PER DAY, GP]]*30</f>
        <v>0</v>
      </c>
      <c r="AB42" s="551">
        <f>Таблиця120[[#This Row],[PAY PER MONTH, GP]]/2</f>
        <v>0</v>
      </c>
    </row>
    <row r="43" spans="15:45">
      <c r="O43" s="547"/>
      <c r="P43" s="548"/>
      <c r="Q43" s="562"/>
      <c r="R43" s="562"/>
      <c r="S43" s="562"/>
      <c r="T43" s="548"/>
      <c r="U43" s="550"/>
      <c r="V43" s="550"/>
      <c r="W43" s="548"/>
      <c r="AA43" s="551">
        <f>Таблиця120[[#This Row],[PAY PER DAY, GP]]*30</f>
        <v>0</v>
      </c>
      <c r="AB43" s="551">
        <f>Таблиця120[[#This Row],[PAY PER MONTH, GP]]/2</f>
        <v>0</v>
      </c>
    </row>
    <row r="44" spans="15:45">
      <c r="O44" s="547"/>
      <c r="P44" s="548"/>
      <c r="Q44" s="562"/>
      <c r="R44" s="562"/>
      <c r="S44" s="562"/>
      <c r="T44" s="548"/>
      <c r="U44" s="550"/>
      <c r="V44" s="550"/>
      <c r="W44" s="518"/>
      <c r="AA44" s="551">
        <f>Таблиця120[[#This Row],[PAY PER DAY, GP]]*30</f>
        <v>0</v>
      </c>
      <c r="AB44" s="551">
        <f>Таблиця120[[#This Row],[PAY PER MONTH, GP]]/2</f>
        <v>0</v>
      </c>
    </row>
    <row r="45" spans="15:45">
      <c r="O45" s="547"/>
      <c r="P45" s="548"/>
      <c r="Q45" s="562"/>
      <c r="R45" s="562"/>
      <c r="S45" s="562"/>
      <c r="T45" s="548"/>
      <c r="U45" s="550"/>
      <c r="V45" s="550"/>
      <c r="W45" s="548"/>
      <c r="AA45" s="551">
        <f>Таблиця120[[#This Row],[PAY PER DAY, GP]]*30</f>
        <v>0</v>
      </c>
      <c r="AB45" s="551">
        <f>Таблиця120[[#This Row],[PAY PER MONTH, GP]]/2</f>
        <v>0</v>
      </c>
    </row>
    <row r="46" spans="15:45">
      <c r="O46" s="547"/>
      <c r="P46" s="548"/>
      <c r="Q46" s="562"/>
      <c r="R46" s="562"/>
      <c r="S46" s="562"/>
      <c r="T46" s="548"/>
      <c r="U46" s="550"/>
      <c r="V46" s="550"/>
      <c r="W46" s="548"/>
      <c r="AA46" s="551">
        <f>Таблиця120[[#This Row],[PAY PER DAY, GP]]*30</f>
        <v>0</v>
      </c>
      <c r="AB46" s="551">
        <f>Таблиця120[[#This Row],[PAY PER MONTH, GP]]/2</f>
        <v>0</v>
      </c>
    </row>
    <row r="47" spans="15:45">
      <c r="O47" s="547"/>
      <c r="P47" s="548"/>
      <c r="Q47" s="562"/>
      <c r="R47" s="562"/>
      <c r="S47" s="562"/>
      <c r="T47" s="548"/>
      <c r="U47" s="550"/>
      <c r="V47" s="550"/>
      <c r="W47" s="548"/>
      <c r="AA47" s="551">
        <f>Таблиця120[[#This Row],[PAY PER DAY, GP]]*30</f>
        <v>0</v>
      </c>
      <c r="AB47" s="551">
        <f>Таблиця120[[#This Row],[PAY PER MONTH, GP]]/2</f>
        <v>0</v>
      </c>
    </row>
    <row r="48" spans="15:45">
      <c r="O48" s="547"/>
      <c r="P48" s="548"/>
      <c r="Q48" s="562"/>
      <c r="R48" s="562"/>
      <c r="S48" s="562"/>
      <c r="T48" s="548"/>
      <c r="U48" s="550"/>
      <c r="V48" s="550"/>
      <c r="W48" s="548"/>
      <c r="AA48" s="551">
        <f>Таблиця120[[#This Row],[PAY PER DAY, GP]]*30</f>
        <v>0</v>
      </c>
      <c r="AB48" s="551">
        <f>Таблиця120[[#This Row],[PAY PER MONTH, GP]]/2</f>
        <v>0</v>
      </c>
    </row>
    <row r="49" spans="15:28">
      <c r="O49" s="547"/>
      <c r="P49" s="548"/>
      <c r="Q49" s="562"/>
      <c r="R49" s="562"/>
      <c r="S49" s="562"/>
      <c r="T49" s="548"/>
      <c r="U49" s="550"/>
      <c r="V49" s="550"/>
      <c r="W49" s="518"/>
      <c r="AA49" s="551">
        <f>Таблиця120[[#This Row],[PAY PER DAY, GP]]*30</f>
        <v>0</v>
      </c>
      <c r="AB49" s="551">
        <f>Таблиця120[[#This Row],[PAY PER MONTH, GP]]/2</f>
        <v>0</v>
      </c>
    </row>
    <row r="50" spans="15:28">
      <c r="O50" s="547"/>
      <c r="P50" s="548"/>
      <c r="Q50" s="562"/>
      <c r="R50" s="562"/>
      <c r="S50" s="562"/>
      <c r="T50" s="548"/>
      <c r="U50" s="550"/>
      <c r="V50" s="550"/>
      <c r="W50" s="548"/>
      <c r="AA50" s="551">
        <f>Таблиця120[[#This Row],[PAY PER DAY, GP]]*30</f>
        <v>0</v>
      </c>
      <c r="AB50" s="551">
        <f>Таблиця120[[#This Row],[PAY PER MONTH, GP]]/2</f>
        <v>0</v>
      </c>
    </row>
    <row r="51" spans="15:28">
      <c r="O51" s="547"/>
      <c r="P51" s="548"/>
      <c r="Q51" s="562"/>
      <c r="R51" s="562"/>
      <c r="S51" s="562"/>
      <c r="T51" s="548"/>
      <c r="U51" s="550"/>
      <c r="V51" s="550"/>
      <c r="W51" s="548"/>
      <c r="AA51" s="551">
        <f>Таблиця120[[#This Row],[PAY PER DAY, GP]]*30</f>
        <v>0</v>
      </c>
      <c r="AB51" s="551">
        <f>Таблиця120[[#This Row],[PAY PER MONTH, GP]]/2</f>
        <v>0</v>
      </c>
    </row>
    <row r="52" spans="15:28">
      <c r="O52" s="519"/>
      <c r="P52" s="560"/>
      <c r="Q52" s="562"/>
      <c r="R52" s="562"/>
      <c r="S52" s="562"/>
      <c r="T52" s="560"/>
      <c r="W52" s="560"/>
      <c r="AA52" s="551">
        <f>Таблиця120[[#This Row],[PAY PER DAY, GP]]*30</f>
        <v>0</v>
      </c>
      <c r="AB52" s="551">
        <f>Таблиця120[[#This Row],[PAY PER MONTH, GP]]/2</f>
        <v>0</v>
      </c>
    </row>
    <row r="131" spans="4:7">
      <c r="D131" s="58"/>
      <c r="E131" s="58"/>
      <c r="F131" s="551"/>
      <c r="G131" s="564"/>
    </row>
    <row r="132" spans="4:7">
      <c r="D132" s="58"/>
      <c r="E132" s="58"/>
      <c r="F132" s="551"/>
      <c r="G132" s="564"/>
    </row>
    <row r="133" spans="4:7">
      <c r="D133" s="58"/>
      <c r="E133" s="58"/>
      <c r="F133" s="551"/>
      <c r="G133" s="564"/>
    </row>
    <row r="134" spans="4:7">
      <c r="D134" s="58"/>
      <c r="E134" s="58"/>
      <c r="F134" s="551"/>
      <c r="G134" s="564"/>
    </row>
    <row r="135" spans="4:7">
      <c r="D135" s="58"/>
      <c r="E135" s="58"/>
      <c r="F135" s="551"/>
      <c r="G135" s="564"/>
    </row>
    <row r="136" spans="4:7">
      <c r="D136" s="58"/>
      <c r="E136" s="58"/>
      <c r="F136" s="551"/>
      <c r="G136" s="564"/>
    </row>
    <row r="137" spans="4:7">
      <c r="D137" s="58"/>
      <c r="E137" s="58"/>
      <c r="F137" s="551"/>
      <c r="G137" s="564"/>
    </row>
    <row r="138" spans="4:7">
      <c r="D138" s="58"/>
      <c r="E138" s="58"/>
      <c r="F138" s="551"/>
      <c r="G138" s="564"/>
    </row>
    <row r="139" spans="4:7">
      <c r="D139" s="58"/>
      <c r="E139" s="58"/>
      <c r="F139" s="551"/>
      <c r="G139" s="564"/>
    </row>
    <row r="140" spans="4:7">
      <c r="D140" s="58"/>
      <c r="E140" s="58"/>
      <c r="F140" s="551"/>
      <c r="G140" s="564"/>
    </row>
    <row r="141" spans="4:7">
      <c r="D141" s="58"/>
      <c r="E141" s="58"/>
      <c r="F141" s="551"/>
      <c r="G141" s="564"/>
    </row>
    <row r="142" spans="4:7">
      <c r="D142" s="58"/>
      <c r="E142" s="58"/>
      <c r="F142" s="551"/>
      <c r="G142" s="564"/>
    </row>
    <row r="143" spans="4:7">
      <c r="D143" s="58"/>
      <c r="E143" s="58"/>
      <c r="F143" s="551"/>
      <c r="G143" s="564"/>
    </row>
    <row r="144" spans="4:7">
      <c r="D144" s="58"/>
      <c r="E144" s="58"/>
      <c r="F144" s="551"/>
      <c r="G144" s="564"/>
    </row>
    <row r="145" spans="4:7">
      <c r="D145" s="58"/>
      <c r="E145" s="58"/>
      <c r="F145" s="551"/>
      <c r="G145" s="564"/>
    </row>
    <row r="146" spans="4:7">
      <c r="D146" s="58"/>
      <c r="E146" s="58"/>
      <c r="F146" s="551"/>
      <c r="G146" s="564"/>
    </row>
    <row r="147" spans="4:7">
      <c r="D147" s="58"/>
      <c r="E147" s="58"/>
      <c r="F147" s="551"/>
      <c r="G147" s="564"/>
    </row>
    <row r="148" spans="4:7">
      <c r="D148" s="58"/>
      <c r="E148" s="58"/>
      <c r="F148" s="551"/>
      <c r="G148" s="564"/>
    </row>
    <row r="149" spans="4:7">
      <c r="D149" s="58"/>
      <c r="E149" s="58"/>
      <c r="F149" s="551"/>
      <c r="G149" s="564"/>
    </row>
    <row r="150" spans="4:7">
      <c r="D150" s="58"/>
      <c r="E150" s="58"/>
      <c r="F150" s="551"/>
      <c r="G150" s="564"/>
    </row>
    <row r="151" spans="4:7">
      <c r="D151" s="58"/>
      <c r="E151" s="58"/>
      <c r="F151" s="551"/>
      <c r="G151" s="564"/>
    </row>
    <row r="152" spans="4:7">
      <c r="D152" s="58"/>
      <c r="E152" s="58"/>
      <c r="F152" s="551"/>
      <c r="G152" s="564"/>
    </row>
    <row r="153" spans="4:7">
      <c r="D153" s="58"/>
      <c r="E153" s="58"/>
      <c r="F153" s="551"/>
      <c r="G153" s="564"/>
    </row>
    <row r="154" spans="4:7">
      <c r="D154" s="58"/>
      <c r="E154" s="58"/>
      <c r="F154" s="551"/>
      <c r="G154" s="564"/>
    </row>
    <row r="155" spans="4:7">
      <c r="D155" s="58"/>
      <c r="E155" s="58"/>
      <c r="F155" s="551"/>
      <c r="G155" s="564"/>
    </row>
    <row r="159" spans="4:7">
      <c r="F159" s="1">
        <v>30</v>
      </c>
      <c r="G159" s="1">
        <f>F159/30</f>
        <v>1</v>
      </c>
    </row>
    <row r="160" spans="4:7">
      <c r="F160" s="1">
        <v>30</v>
      </c>
      <c r="G160" s="1">
        <f t="shared" ref="G160:G184" si="0">F160/30</f>
        <v>1</v>
      </c>
    </row>
    <row r="161" spans="1:7">
      <c r="F161" s="1">
        <v>4.5</v>
      </c>
      <c r="G161" s="1">
        <f t="shared" si="0"/>
        <v>0.15</v>
      </c>
    </row>
    <row r="162" spans="1:7">
      <c r="F162" s="1">
        <v>30</v>
      </c>
      <c r="G162" s="1">
        <f t="shared" si="0"/>
        <v>1</v>
      </c>
    </row>
    <row r="163" spans="1:7">
      <c r="F163" s="1">
        <v>15</v>
      </c>
      <c r="G163" s="1">
        <f t="shared" si="0"/>
        <v>0.5</v>
      </c>
    </row>
    <row r="164" spans="1:7">
      <c r="F164" s="1">
        <v>18</v>
      </c>
      <c r="G164" s="1">
        <f t="shared" si="0"/>
        <v>0.6</v>
      </c>
    </row>
    <row r="165" spans="1:7">
      <c r="F165" s="1">
        <v>6</v>
      </c>
      <c r="G165" s="1">
        <f t="shared" si="0"/>
        <v>0.2</v>
      </c>
    </row>
    <row r="166" spans="1:7">
      <c r="F166" s="1">
        <v>15</v>
      </c>
      <c r="G166" s="1">
        <f t="shared" si="0"/>
        <v>0.5</v>
      </c>
    </row>
    <row r="167" spans="1:7">
      <c r="F167" s="1">
        <v>12</v>
      </c>
      <c r="G167" s="1">
        <f t="shared" si="0"/>
        <v>0.4</v>
      </c>
    </row>
    <row r="168" spans="1:7">
      <c r="F168" s="1">
        <v>12</v>
      </c>
      <c r="G168" s="1">
        <f t="shared" si="0"/>
        <v>0.4</v>
      </c>
    </row>
    <row r="169" spans="1:7">
      <c r="F169" s="1">
        <v>3</v>
      </c>
      <c r="G169" s="1">
        <f t="shared" si="0"/>
        <v>0.1</v>
      </c>
    </row>
    <row r="170" spans="1:7">
      <c r="F170" s="1">
        <v>12</v>
      </c>
      <c r="G170" s="1">
        <f t="shared" si="0"/>
        <v>0.4</v>
      </c>
    </row>
    <row r="171" spans="1:7">
      <c r="F171" s="1">
        <v>6</v>
      </c>
      <c r="G171" s="1">
        <f t="shared" si="0"/>
        <v>0.2</v>
      </c>
    </row>
    <row r="172" spans="1:7">
      <c r="F172" s="1">
        <v>3</v>
      </c>
      <c r="G172" s="1">
        <f t="shared" si="0"/>
        <v>0.1</v>
      </c>
    </row>
    <row r="173" spans="1:7">
      <c r="A173" s="1" t="s">
        <v>9010</v>
      </c>
      <c r="F173" s="1">
        <v>12</v>
      </c>
      <c r="G173" s="1">
        <f t="shared" si="0"/>
        <v>0.4</v>
      </c>
    </row>
    <row r="174" spans="1:7">
      <c r="A174" s="1" t="s">
        <v>9011</v>
      </c>
      <c r="C174" s="1" t="s">
        <v>9012</v>
      </c>
      <c r="F174" s="1">
        <v>3</v>
      </c>
      <c r="G174" s="1">
        <f t="shared" si="0"/>
        <v>0.1</v>
      </c>
    </row>
    <row r="175" spans="1:7">
      <c r="A175" s="1" t="s">
        <v>7371</v>
      </c>
      <c r="C175" s="1">
        <v>1</v>
      </c>
      <c r="D175" s="1" t="s">
        <v>9013</v>
      </c>
      <c r="F175" s="1">
        <v>9</v>
      </c>
      <c r="G175" s="1">
        <f t="shared" si="0"/>
        <v>0.3</v>
      </c>
    </row>
    <row r="176" spans="1:7">
      <c r="A176" s="1" t="s">
        <v>9014</v>
      </c>
      <c r="C176" s="1">
        <v>0.15</v>
      </c>
      <c r="F176" s="1">
        <v>18</v>
      </c>
      <c r="G176" s="1">
        <f t="shared" si="0"/>
        <v>0.6</v>
      </c>
    </row>
    <row r="177" spans="1:7">
      <c r="A177" s="1" t="s">
        <v>9015</v>
      </c>
      <c r="C177" s="1">
        <v>0.5</v>
      </c>
      <c r="F177" s="1">
        <v>60</v>
      </c>
      <c r="G177" s="1">
        <f t="shared" si="0"/>
        <v>2</v>
      </c>
    </row>
    <row r="178" spans="1:7">
      <c r="A178" s="1" t="s">
        <v>9016</v>
      </c>
      <c r="C178" s="1">
        <v>1</v>
      </c>
      <c r="F178" s="1">
        <v>9</v>
      </c>
      <c r="G178" s="1">
        <f t="shared" si="0"/>
        <v>0.3</v>
      </c>
    </row>
    <row r="179" spans="1:7">
      <c r="A179" s="1" t="s">
        <v>9017</v>
      </c>
      <c r="C179" s="1">
        <v>0.4</v>
      </c>
      <c r="F179" s="1">
        <v>3</v>
      </c>
      <c r="G179" s="1">
        <f t="shared" si="0"/>
        <v>0.1</v>
      </c>
    </row>
    <row r="180" spans="1:7">
      <c r="A180" s="1" t="s">
        <v>9018</v>
      </c>
      <c r="C180" s="1">
        <v>0.1</v>
      </c>
      <c r="F180" s="1">
        <v>6</v>
      </c>
      <c r="G180" s="1">
        <f t="shared" si="0"/>
        <v>0.2</v>
      </c>
    </row>
    <row r="181" spans="1:7">
      <c r="A181" s="1" t="s">
        <v>9019</v>
      </c>
      <c r="C181" s="1">
        <v>0.4</v>
      </c>
      <c r="F181" s="1">
        <v>12</v>
      </c>
      <c r="G181" s="1">
        <f t="shared" si="0"/>
        <v>0.4</v>
      </c>
    </row>
    <row r="182" spans="1:7">
      <c r="A182" s="1" t="s">
        <v>9020</v>
      </c>
      <c r="C182" s="1">
        <v>0.1</v>
      </c>
      <c r="F182" s="1">
        <v>9</v>
      </c>
      <c r="G182" s="1">
        <f t="shared" si="0"/>
        <v>0.3</v>
      </c>
    </row>
    <row r="183" spans="1:7">
      <c r="A183" s="1" t="s">
        <v>9021</v>
      </c>
      <c r="C183" s="1">
        <v>0.6</v>
      </c>
      <c r="F183" s="1">
        <v>6</v>
      </c>
      <c r="G183" s="1">
        <f t="shared" si="0"/>
        <v>0.2</v>
      </c>
    </row>
    <row r="184" spans="1:7">
      <c r="A184" s="1" t="s">
        <v>9022</v>
      </c>
      <c r="C184" s="1">
        <v>0.1</v>
      </c>
      <c r="F184" s="1">
        <v>30</v>
      </c>
      <c r="G184" s="1">
        <f t="shared" si="0"/>
        <v>1</v>
      </c>
    </row>
    <row r="185" spans="1:7">
      <c r="A185" s="1" t="s">
        <v>9023</v>
      </c>
      <c r="C185" s="1">
        <v>0.3</v>
      </c>
      <c r="D185" s="1" t="s">
        <v>9013</v>
      </c>
    </row>
    <row r="186" spans="1:7">
      <c r="A186" s="1" t="s">
        <v>9024</v>
      </c>
      <c r="C186" s="1">
        <v>0.2</v>
      </c>
    </row>
    <row r="187" spans="1:7">
      <c r="A187" s="1" t="s">
        <v>9025</v>
      </c>
      <c r="C187" s="1">
        <v>0.4</v>
      </c>
    </row>
    <row r="188" spans="1:7">
      <c r="A188" s="1" t="s">
        <v>9026</v>
      </c>
      <c r="C188" s="1">
        <v>0.6</v>
      </c>
      <c r="E188" s="522" t="s">
        <v>9027</v>
      </c>
      <c r="F188" s="1" t="s">
        <v>9028</v>
      </c>
    </row>
    <row r="189" spans="1:7">
      <c r="A189" s="1" t="s">
        <v>9029</v>
      </c>
      <c r="C189" s="1">
        <v>0.1</v>
      </c>
    </row>
    <row r="190" spans="1:7">
      <c r="A190" s="1" t="s">
        <v>7347</v>
      </c>
      <c r="C190" s="1">
        <v>2</v>
      </c>
    </row>
    <row r="191" spans="1:7">
      <c r="A191" s="1" t="s">
        <v>7377</v>
      </c>
      <c r="C191" s="1">
        <v>0.3</v>
      </c>
    </row>
    <row r="192" spans="1:7">
      <c r="A192" s="1" t="s">
        <v>9030</v>
      </c>
      <c r="C192" s="1">
        <v>0.4</v>
      </c>
      <c r="D192" s="1" t="s">
        <v>9013</v>
      </c>
    </row>
    <row r="193" spans="1:3">
      <c r="A193" s="1" t="s">
        <v>9031</v>
      </c>
      <c r="C193" s="1">
        <v>0.3</v>
      </c>
    </row>
    <row r="194" spans="1:3">
      <c r="A194" s="1" t="s">
        <v>9032</v>
      </c>
      <c r="C194" s="1">
        <v>0.2</v>
      </c>
    </row>
  </sheetData>
  <mergeCells count="3">
    <mergeCell ref="O1:AB1"/>
    <mergeCell ref="AD1:AL1"/>
    <mergeCell ref="BO2:BQ2"/>
  </mergeCells>
  <hyperlinks>
    <hyperlink ref="U38" r:id="rId1" location="/creature/view/5e9578bcb60f5b2a15c9107b" display="https://critterdb.com/ - /creature/view/5e9578bcb60f5b2a15c9107b" xr:uid="{41348884-B70F-4C40-82B3-21F48B9F96FE}"/>
    <hyperlink ref="AH4" r:id="rId2" xr:uid="{384BD151-7888-4537-A5AB-972C8A2D849D}"/>
    <hyperlink ref="AH16" r:id="rId3" xr:uid="{C86B148D-5601-471F-AEB9-6EC1C03B3925}"/>
    <hyperlink ref="AH5" r:id="rId4" xr:uid="{995FBCEC-D757-4D78-93D9-9A5D8252B3B3}"/>
    <hyperlink ref="AH8" r:id="rId5" xr:uid="{44243163-2CA0-4C16-822D-2C49C361F1DA}"/>
    <hyperlink ref="AH10" r:id="rId6" xr:uid="{A94CE346-8860-42A2-A3A0-1E2E10CB4D20}"/>
    <hyperlink ref="AH18" r:id="rId7" xr:uid="{974CD70A-E4DB-41DF-9909-11EC43E8FC4A}"/>
    <hyperlink ref="AH6" r:id="rId8" xr:uid="{0895B654-8EE0-4563-802F-A82EDF7991A3}"/>
    <hyperlink ref="U17" r:id="rId9" xr:uid="{2711AEBB-1624-4C17-8CEE-6E81152B7AE0}"/>
    <hyperlink ref="U6" r:id="rId10" xr:uid="{B12A5C42-BF24-48AD-B08F-E6C61175243C}"/>
    <hyperlink ref="U35" r:id="rId11" xr:uid="{24879524-7405-4458-84EF-A6F20CEF7657}"/>
    <hyperlink ref="U28" r:id="rId12" xr:uid="{700C0740-B87E-438D-9E86-8D458DB743D8}"/>
    <hyperlink ref="U33" r:id="rId13" xr:uid="{1F31BF29-18B9-4AFF-BC57-FD4451CA1177}"/>
    <hyperlink ref="U8" r:id="rId14" xr:uid="{2847A469-3034-42C1-A553-849C8894E298}"/>
    <hyperlink ref="U7" r:id="rId15" xr:uid="{FFF68455-73FF-4EAC-B4FB-65DF7AB01EF4}"/>
    <hyperlink ref="U37" r:id="rId16" xr:uid="{F2D9E1C2-BB7F-4FBA-AB65-66FBE7560BFE}"/>
    <hyperlink ref="U34" r:id="rId17" xr:uid="{CB93C110-0C13-4BD9-BF71-FDE062987B61}"/>
    <hyperlink ref="U20" r:id="rId18" xr:uid="{D8E565BF-6C98-4EF7-A377-FB60C62514E2}"/>
    <hyperlink ref="U27" r:id="rId19" xr:uid="{33BC2794-E165-4804-A46B-FFC57CD8F2A3}"/>
    <hyperlink ref="U24" r:id="rId20" xr:uid="{B3905CA1-C72D-4426-B96B-2CAEE0C22603}"/>
    <hyperlink ref="U3" r:id="rId21" xr:uid="{827C1BBA-0D4F-4A89-A966-00F926E81A3B}"/>
    <hyperlink ref="U29" r:id="rId22" location="/creature/view/5e115c77e5d4ba45eab9aff8" xr:uid="{96AE8F55-721A-4E5A-8A66-322AC676F6A9}"/>
    <hyperlink ref="U32" r:id="rId23" location="/creature/view/5e95844ab60f5b2a15c91164" xr:uid="{1C14CAF7-54D6-473B-A1DD-82CE0A115787}"/>
  </hyperlinks>
  <pageMargins left="0.7" right="0.7" top="0.75" bottom="0.75" header="0.3" footer="0.3"/>
  <tableParts count="1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E975-7C3B-4F9F-A493-E70B08883BE4}">
  <sheetPr codeName="Аркуш6">
    <tabColor rgb="FFFFC000"/>
  </sheetPr>
  <dimension ref="A1:AP103"/>
  <sheetViews>
    <sheetView topLeftCell="A36" zoomScaleNormal="100" workbookViewId="0">
      <selection activeCell="C1108" sqref="C1079:C1108"/>
    </sheetView>
  </sheetViews>
  <sheetFormatPr defaultRowHeight="14.25" outlineLevelCol="1"/>
  <cols>
    <col min="1" max="1" width="19.88671875" style="1" customWidth="1" outlineLevel="1"/>
    <col min="2" max="2" width="15" style="1" customWidth="1" outlineLevel="1"/>
    <col min="3" max="3" width="18.33203125" style="1" customWidth="1" outlineLevel="1"/>
    <col min="4" max="4" width="11.88671875" style="1" customWidth="1" outlineLevel="1"/>
    <col min="5" max="6" width="7.109375" style="1" customWidth="1" outlineLevel="1"/>
    <col min="7" max="7" width="3.21875" style="1" customWidth="1" outlineLevel="1"/>
    <col min="8" max="8" width="12.21875" style="1" customWidth="1" outlineLevel="1"/>
    <col min="9" max="9" width="13.33203125" style="1" customWidth="1" outlineLevel="1"/>
    <col min="10" max="10" width="7.109375" style="1" customWidth="1" outlineLevel="1"/>
    <col min="11" max="11" width="3.5546875" style="1" customWidth="1" outlineLevel="1"/>
    <col min="12" max="12" width="7.109375" style="1" customWidth="1" outlineLevel="1"/>
    <col min="13" max="13" width="11.33203125" style="1" customWidth="1" outlineLevel="1"/>
    <col min="14" max="24" width="7.109375" style="1" customWidth="1" outlineLevel="1"/>
    <col min="25" max="25" width="16.6640625" style="1" customWidth="1" outlineLevel="1"/>
    <col min="26" max="35" width="7.109375" style="1" customWidth="1" outlineLevel="1"/>
    <col min="36" max="16384" width="8.88671875" style="1"/>
  </cols>
  <sheetData>
    <row r="1" spans="1:42">
      <c r="A1" s="1" t="s">
        <v>8703</v>
      </c>
      <c r="V1" s="1" t="s">
        <v>8704</v>
      </c>
      <c r="AJ1" s="1" t="s">
        <v>8705</v>
      </c>
    </row>
    <row r="2" spans="1:42">
      <c r="Y2" s="1" t="s">
        <v>8706</v>
      </c>
      <c r="Z2" s="1" t="s">
        <v>8707</v>
      </c>
      <c r="AB2" s="1" t="s">
        <v>8708</v>
      </c>
      <c r="AE2" s="1" t="s">
        <v>8709</v>
      </c>
      <c r="AJ2" s="1330" t="s">
        <v>8710</v>
      </c>
      <c r="AK2" s="1330"/>
      <c r="AL2" s="1">
        <f ca="1">'SPECIAL NPCS'!F18</f>
        <v>2</v>
      </c>
      <c r="AN2" s="1330" t="s">
        <v>8710</v>
      </c>
      <c r="AO2" s="1330"/>
      <c r="AP2" s="1">
        <f ca="1">'SPECIAL NPCS'!F19</f>
        <v>3</v>
      </c>
    </row>
    <row r="3" spans="1:42">
      <c r="A3" s="1" t="s">
        <v>7704</v>
      </c>
      <c r="B3" s="1" t="s">
        <v>8711</v>
      </c>
      <c r="C3" s="1" t="s">
        <v>8712</v>
      </c>
      <c r="D3" s="1" t="s">
        <v>7703</v>
      </c>
      <c r="Y3" s="520" t="s">
        <v>5783</v>
      </c>
      <c r="Z3" s="1">
        <v>1</v>
      </c>
      <c r="AB3" s="1" t="s">
        <v>7639</v>
      </c>
      <c r="AC3" s="1" t="s">
        <v>8707</v>
      </c>
      <c r="AE3" s="1" t="s">
        <v>6282</v>
      </c>
      <c r="AF3" s="1" t="s">
        <v>2088</v>
      </c>
      <c r="AJ3" s="1" t="s">
        <v>1643</v>
      </c>
      <c r="AK3" s="1" t="s">
        <v>8713</v>
      </c>
      <c r="AL3" s="1" t="s">
        <v>8714</v>
      </c>
      <c r="AN3" s="1" t="s">
        <v>1643</v>
      </c>
      <c r="AO3" s="1" t="s">
        <v>8713</v>
      </c>
      <c r="AP3" s="1" t="s">
        <v>8714</v>
      </c>
    </row>
    <row r="4" spans="1:42">
      <c r="A4" s="1" t="s">
        <v>7697</v>
      </c>
      <c r="B4" s="1">
        <v>0</v>
      </c>
      <c r="C4" s="1" t="s">
        <v>7696</v>
      </c>
      <c r="D4" s="1">
        <v>0.5</v>
      </c>
      <c r="P4" s="1330" t="s">
        <v>8715</v>
      </c>
      <c r="Q4" s="1330"/>
      <c r="R4" s="1330"/>
      <c r="Y4" s="520" t="s">
        <v>8716</v>
      </c>
      <c r="Z4" s="1">
        <v>1</v>
      </c>
      <c r="AB4" s="1">
        <v>1</v>
      </c>
      <c r="AC4" s="1" t="s">
        <v>8717</v>
      </c>
      <c r="AE4" s="1">
        <v>2</v>
      </c>
      <c r="AF4" s="521">
        <v>0.3</v>
      </c>
      <c r="AJ4" s="1">
        <v>1</v>
      </c>
      <c r="AK4" s="1" t="str">
        <f ca="1">IF($AL$2&gt;ROW()-4,'SPECIAL NPCS'!I20,"")</f>
        <v>Secular World</v>
      </c>
      <c r="AL4" s="1" t="str">
        <f ca="1">IF($AL$2&gt;ROW()-4,'SPECIAL NPCS'!J20,"")</f>
        <v>Physics</v>
      </c>
      <c r="AN4" s="1">
        <v>1</v>
      </c>
      <c r="AO4" s="1" t="str">
        <f ca="1">IF($AP$2&gt;ROW()-4,'SPECIAL NPCS'!M20,"")</f>
        <v>Humans/Demihumans</v>
      </c>
      <c r="AP4" s="1" t="str">
        <f ca="1">IF($AP$2&gt;ROW()-4,'SPECIAL NPCS'!N20,"")</f>
        <v>Languages</v>
      </c>
    </row>
    <row r="5" spans="1:42">
      <c r="A5" s="522" t="s">
        <v>7691</v>
      </c>
      <c r="B5" s="1">
        <v>5</v>
      </c>
      <c r="C5" s="1" t="s">
        <v>7690</v>
      </c>
      <c r="D5" s="1">
        <v>0.2</v>
      </c>
      <c r="P5" s="1" t="s">
        <v>8718</v>
      </c>
      <c r="Q5" s="1" t="s">
        <v>8719</v>
      </c>
      <c r="R5" s="1" t="s">
        <v>8720</v>
      </c>
      <c r="Y5" s="520" t="s">
        <v>8721</v>
      </c>
      <c r="Z5" s="1">
        <v>1</v>
      </c>
      <c r="AB5" s="1">
        <v>2</v>
      </c>
      <c r="AC5" s="1" t="s">
        <v>8722</v>
      </c>
      <c r="AE5" s="1">
        <v>3</v>
      </c>
      <c r="AF5" s="521">
        <v>0.35</v>
      </c>
      <c r="AJ5" s="1">
        <f ca="1">IF(AL2&gt;ROW()-4,2,"")</f>
        <v>2</v>
      </c>
      <c r="AK5" s="1" t="str">
        <f ca="1">IF($AL$2&gt;ROW()-4,'SPECIAL NPCS'!I21,"")</f>
        <v>Secular World</v>
      </c>
      <c r="AL5" s="1" t="str">
        <f ca="1">IF($AL$2&gt;ROW()-4,'SPECIAL NPCS'!J21,"")</f>
        <v>Physics</v>
      </c>
      <c r="AN5" s="1">
        <f ca="1">IF($AP$2&gt;ROW()-4,AN4+1,"")</f>
        <v>2</v>
      </c>
      <c r="AO5" s="1" t="str">
        <f ca="1">IF($AP$2&gt;ROW()-4,'SPECIAL NPCS'!M21,"")</f>
        <v>Humans/Demihumans</v>
      </c>
      <c r="AP5" s="1" t="str">
        <f ca="1">IF($AP$2&gt;ROW()-4,'SPECIAL NPCS'!N21,"")</f>
        <v>Biology</v>
      </c>
    </row>
    <row r="6" spans="1:42">
      <c r="A6" s="522" t="s">
        <v>7686</v>
      </c>
      <c r="B6" s="1">
        <v>10</v>
      </c>
      <c r="C6" s="1" t="s">
        <v>6247</v>
      </c>
      <c r="D6" s="1">
        <v>0</v>
      </c>
      <c r="P6" s="521">
        <v>0.1</v>
      </c>
      <c r="Q6" s="1">
        <v>1</v>
      </c>
      <c r="R6" s="1">
        <v>2</v>
      </c>
      <c r="Y6" s="520" t="s">
        <v>8723</v>
      </c>
      <c r="Z6" s="1">
        <v>2</v>
      </c>
      <c r="AB6" s="1">
        <v>3</v>
      </c>
      <c r="AC6" s="1" t="s">
        <v>8724</v>
      </c>
      <c r="AE6" s="1">
        <v>4</v>
      </c>
      <c r="AF6" s="521">
        <v>0.35</v>
      </c>
      <c r="AJ6" s="1" t="str">
        <f ca="1">IF(AL2&gt;2,3,"")</f>
        <v/>
      </c>
      <c r="AK6" s="1" t="str">
        <f ca="1">IF($AL$2&gt;ROW()-4,'SPECIAL NPCS'!I22,"")</f>
        <v/>
      </c>
      <c r="AL6" s="1" t="str">
        <f ca="1">IF($AL$2&gt;ROW()-4,'SPECIAL NPCS'!J22,"")</f>
        <v/>
      </c>
      <c r="AN6" s="1">
        <f ca="1">IF($AP$2&gt;ROW()-4,AN5+1,"")</f>
        <v>3</v>
      </c>
      <c r="AO6" s="1" t="str">
        <f ca="1">IF($AP$2&gt;ROW()-4,'SPECIAL NPCS'!M22,"")</f>
        <v>Supernatural</v>
      </c>
      <c r="AP6" s="1" t="str">
        <f ca="1">IF($AP$2&gt;ROW()-4,'SPECIAL NPCS'!N22,"")</f>
        <v>Dweomercraft</v>
      </c>
    </row>
    <row r="7" spans="1:42">
      <c r="A7" s="1" t="s">
        <v>7680</v>
      </c>
      <c r="B7" s="1">
        <v>15</v>
      </c>
      <c r="C7" s="1" t="s">
        <v>7679</v>
      </c>
      <c r="D7" s="1">
        <v>-0.1</v>
      </c>
      <c r="P7" s="521">
        <v>0.2</v>
      </c>
      <c r="Q7" s="1">
        <v>1</v>
      </c>
      <c r="R7" s="1">
        <v>3</v>
      </c>
      <c r="Y7" s="520" t="s">
        <v>8725</v>
      </c>
      <c r="Z7" s="1">
        <v>2</v>
      </c>
      <c r="AB7" s="1">
        <v>4</v>
      </c>
      <c r="AC7" s="1" t="s">
        <v>8726</v>
      </c>
      <c r="AE7" s="1">
        <v>5</v>
      </c>
      <c r="AF7" s="521">
        <v>0.4</v>
      </c>
      <c r="AN7" s="1" t="str">
        <f ca="1">IF($AP$2&gt;ROW()-4,AN6+1,"")</f>
        <v/>
      </c>
      <c r="AO7" s="1" t="str">
        <f ca="1">IF($AP$2&gt;ROW()-4,'SPECIAL NPCS'!M23,"")</f>
        <v/>
      </c>
      <c r="AP7" s="1" t="str">
        <f ca="1">IF($AP$2&gt;ROW()-4,'SPECIAL NPCS'!N23,"")</f>
        <v/>
      </c>
    </row>
    <row r="8" spans="1:42">
      <c r="A8" s="1" t="s">
        <v>7675</v>
      </c>
      <c r="B8" s="1">
        <v>25</v>
      </c>
      <c r="C8" s="1" t="s">
        <v>7674</v>
      </c>
      <c r="D8" s="1">
        <v>-0.2</v>
      </c>
      <c r="P8" s="521">
        <v>0.2</v>
      </c>
      <c r="Q8" s="1">
        <v>1</v>
      </c>
      <c r="R8" s="1">
        <v>4</v>
      </c>
      <c r="Y8" s="520" t="s">
        <v>8727</v>
      </c>
      <c r="Z8" s="1">
        <v>2</v>
      </c>
      <c r="AB8" s="1">
        <v>5</v>
      </c>
      <c r="AC8" s="1" t="s">
        <v>8728</v>
      </c>
      <c r="AE8" s="1">
        <v>6</v>
      </c>
      <c r="AF8" s="521">
        <v>0.4</v>
      </c>
      <c r="AN8" s="1" t="str">
        <f ca="1">IF($AP$2&gt;ROW()-4,AN7+1,"")</f>
        <v/>
      </c>
      <c r="AO8" s="1" t="str">
        <f ca="1">IF($AP$2&gt;ROW()-4,'SPECIAL NPCS'!M24,"")</f>
        <v/>
      </c>
      <c r="AP8" s="1" t="str">
        <f ca="1">IF($AP$2&gt;ROW()-4,'SPECIAL NPCS'!N24,"")</f>
        <v/>
      </c>
    </row>
    <row r="9" spans="1:42">
      <c r="P9" s="521">
        <v>0.2</v>
      </c>
      <c r="Q9" s="1">
        <v>2</v>
      </c>
      <c r="R9" s="1">
        <v>2</v>
      </c>
      <c r="Y9" s="520" t="s">
        <v>8729</v>
      </c>
      <c r="Z9" s="1">
        <v>3</v>
      </c>
      <c r="AB9" s="1">
        <v>6</v>
      </c>
      <c r="AC9" s="1" t="s">
        <v>8730</v>
      </c>
      <c r="AE9" s="1">
        <v>7</v>
      </c>
      <c r="AF9" s="521">
        <v>0.45</v>
      </c>
    </row>
    <row r="10" spans="1:42">
      <c r="A10" s="1">
        <f ca="1">RANDBETWEEN(1,100)</f>
        <v>74</v>
      </c>
      <c r="P10" s="521">
        <v>0.2</v>
      </c>
      <c r="Q10" s="1">
        <v>2</v>
      </c>
      <c r="R10" s="1">
        <v>3</v>
      </c>
      <c r="Y10" s="520" t="s">
        <v>8731</v>
      </c>
      <c r="Z10" s="1">
        <v>3</v>
      </c>
      <c r="AB10" s="1">
        <v>7</v>
      </c>
      <c r="AC10" s="1" t="s">
        <v>8732</v>
      </c>
      <c r="AE10" s="1">
        <v>8</v>
      </c>
      <c r="AF10" s="521">
        <v>0.45</v>
      </c>
    </row>
    <row r="11" spans="1:42" ht="15">
      <c r="A11" s="523" t="s">
        <v>7695</v>
      </c>
      <c r="B11" s="524" t="s">
        <v>7702</v>
      </c>
      <c r="C11" s="524" t="s">
        <v>7701</v>
      </c>
      <c r="D11" s="525" t="s">
        <v>7700</v>
      </c>
      <c r="P11" s="521">
        <v>0.1</v>
      </c>
      <c r="Q11" s="1">
        <v>2</v>
      </c>
      <c r="R11" s="1">
        <v>4</v>
      </c>
      <c r="Y11" s="520" t="s">
        <v>8733</v>
      </c>
      <c r="Z11" s="1">
        <v>4</v>
      </c>
      <c r="AB11" s="1">
        <v>8</v>
      </c>
      <c r="AC11" s="1" t="s">
        <v>8734</v>
      </c>
      <c r="AE11" s="1">
        <v>9</v>
      </c>
      <c r="AF11" s="521">
        <v>0.5</v>
      </c>
    </row>
    <row r="12" spans="1:42" ht="15.75" thickBot="1">
      <c r="A12" s="526"/>
      <c r="B12" s="527">
        <v>0.5</v>
      </c>
      <c r="C12" s="527">
        <v>0.1</v>
      </c>
      <c r="D12" s="528"/>
      <c r="Y12" s="520" t="s">
        <v>8735</v>
      </c>
      <c r="Z12" s="1">
        <v>5</v>
      </c>
      <c r="AB12" s="1">
        <v>9</v>
      </c>
      <c r="AC12" s="1" t="s">
        <v>8736</v>
      </c>
      <c r="AE12" s="1">
        <v>10</v>
      </c>
      <c r="AF12" s="521">
        <v>0.5</v>
      </c>
    </row>
    <row r="13" spans="1:42" ht="15" thickBot="1">
      <c r="A13" s="529" t="s">
        <v>7689</v>
      </c>
      <c r="B13" s="530">
        <v>0.75</v>
      </c>
      <c r="C13" s="530">
        <v>0.5</v>
      </c>
      <c r="D13" s="531">
        <v>0.25</v>
      </c>
      <c r="P13" s="532" t="s">
        <v>8737</v>
      </c>
      <c r="Q13" s="532" t="s">
        <v>550</v>
      </c>
      <c r="S13" s="1" t="s">
        <v>8738</v>
      </c>
      <c r="T13" s="1" t="s">
        <v>8739</v>
      </c>
      <c r="Y13" s="520" t="s">
        <v>8740</v>
      </c>
      <c r="Z13" s="1">
        <v>5</v>
      </c>
      <c r="AB13" s="1">
        <v>10</v>
      </c>
      <c r="AC13" s="1" t="s">
        <v>8741</v>
      </c>
      <c r="AE13" s="1">
        <v>11</v>
      </c>
      <c r="AF13" s="521">
        <v>0.55000000000000004</v>
      </c>
    </row>
    <row r="14" spans="1:42" ht="15" thickBot="1">
      <c r="A14" s="529" t="s">
        <v>7684</v>
      </c>
      <c r="B14" s="530">
        <v>0.9</v>
      </c>
      <c r="C14" s="530">
        <v>0.75</v>
      </c>
      <c r="D14" s="531">
        <v>0.5</v>
      </c>
      <c r="P14" s="533" t="s">
        <v>8742</v>
      </c>
      <c r="Q14" s="533" t="s">
        <v>8743</v>
      </c>
      <c r="S14" s="1" t="s">
        <v>8744</v>
      </c>
      <c r="T14" s="521">
        <v>0.4</v>
      </c>
      <c r="Y14" s="520" t="s">
        <v>8745</v>
      </c>
      <c r="Z14" s="1">
        <v>6</v>
      </c>
      <c r="AB14" s="1">
        <v>11</v>
      </c>
      <c r="AC14" s="1" t="s">
        <v>8746</v>
      </c>
      <c r="AE14" s="1">
        <v>12</v>
      </c>
      <c r="AF14" s="521">
        <v>0.6</v>
      </c>
    </row>
    <row r="15" spans="1:42">
      <c r="A15" s="534" t="s">
        <v>7678</v>
      </c>
      <c r="B15" s="535">
        <v>1</v>
      </c>
      <c r="C15" s="535">
        <v>0.9</v>
      </c>
      <c r="D15" s="536">
        <v>0.75</v>
      </c>
      <c r="P15" s="533" t="s">
        <v>8742</v>
      </c>
      <c r="Q15" s="533" t="s">
        <v>7608</v>
      </c>
      <c r="S15" s="1" t="s">
        <v>8747</v>
      </c>
      <c r="T15" s="521">
        <v>0.2</v>
      </c>
      <c r="Y15" s="520" t="s">
        <v>8748</v>
      </c>
      <c r="Z15" s="1">
        <v>6</v>
      </c>
      <c r="AB15" s="1">
        <v>12</v>
      </c>
      <c r="AC15" s="1" t="s">
        <v>8749</v>
      </c>
    </row>
    <row r="16" spans="1:42">
      <c r="P16" s="533" t="s">
        <v>8742</v>
      </c>
      <c r="Q16" s="533" t="s">
        <v>7603</v>
      </c>
      <c r="S16" s="1" t="s">
        <v>8750</v>
      </c>
      <c r="T16" s="521">
        <v>0.1</v>
      </c>
      <c r="Y16" s="520" t="s">
        <v>8751</v>
      </c>
      <c r="Z16" s="1">
        <v>7</v>
      </c>
    </row>
    <row r="17" spans="1:26">
      <c r="A17" s="1">
        <f ca="1">RANDBETWEEN(1,6)+RANDBETWEEN(1,6)</f>
        <v>7</v>
      </c>
      <c r="B17" s="1">
        <f ca="1">INDEX(Таблиця141[Minor Expertise],MATCH($A$17,Таблиця141[2d6 roll],0),1)</f>
        <v>2</v>
      </c>
      <c r="C17" s="1">
        <f ca="1">INDEX(Таблиця141[Major Specialization],MATCH($A$17,Таблиця141[2d6 roll],0),1)</f>
        <v>3</v>
      </c>
      <c r="P17" s="533" t="s">
        <v>8742</v>
      </c>
      <c r="Q17" s="533" t="s">
        <v>8752</v>
      </c>
      <c r="S17" s="1" t="s">
        <v>7612</v>
      </c>
      <c r="T17" s="521">
        <v>0.1</v>
      </c>
      <c r="Y17" s="520" t="s">
        <v>8753</v>
      </c>
      <c r="Z17" s="1">
        <v>7</v>
      </c>
    </row>
    <row r="18" spans="1:26">
      <c r="A18" s="1" t="s">
        <v>7669</v>
      </c>
      <c r="B18" s="1" t="s">
        <v>7665</v>
      </c>
      <c r="C18" s="1" t="s">
        <v>7663</v>
      </c>
      <c r="E18" s="513" t="s">
        <v>7665</v>
      </c>
      <c r="F18" s="1">
        <f ca="1">INDEX(Таблиця141[Minor Expertise],MATCH($A$17,Таблиця141[2d6 roll],0),1)</f>
        <v>2</v>
      </c>
      <c r="H18" s="513" t="s">
        <v>7665</v>
      </c>
      <c r="L18" s="514" t="s">
        <v>7663</v>
      </c>
      <c r="P18" s="533" t="s">
        <v>8742</v>
      </c>
      <c r="Q18" s="533" t="s">
        <v>8754</v>
      </c>
      <c r="S18" s="1" t="s">
        <v>7606</v>
      </c>
      <c r="T18" s="537">
        <v>0.1</v>
      </c>
      <c r="Y18" s="520" t="s">
        <v>8755</v>
      </c>
      <c r="Z18" s="1">
        <v>7</v>
      </c>
    </row>
    <row r="19" spans="1:26">
      <c r="A19" s="1">
        <v>2</v>
      </c>
      <c r="B19" s="1">
        <v>1</v>
      </c>
      <c r="C19" s="1">
        <v>1</v>
      </c>
      <c r="E19" s="514" t="s">
        <v>7663</v>
      </c>
      <c r="F19" s="1">
        <f ca="1">INDEX(Таблиця141[Major Specialization],MATCH($A$17,Таблиця141[2d6 roll],0),1)</f>
        <v>3</v>
      </c>
      <c r="H19" s="1" t="s">
        <v>1643</v>
      </c>
      <c r="I19" s="1" t="s">
        <v>8713</v>
      </c>
      <c r="J19" s="1" t="s">
        <v>551</v>
      </c>
      <c r="L19" s="1" t="s">
        <v>1643</v>
      </c>
      <c r="M19" s="1" t="s">
        <v>8713</v>
      </c>
      <c r="N19" s="1" t="s">
        <v>551</v>
      </c>
      <c r="P19" s="533" t="s">
        <v>8742</v>
      </c>
      <c r="Q19" s="533" t="s">
        <v>7582</v>
      </c>
      <c r="S19" s="1" t="s">
        <v>8742</v>
      </c>
      <c r="T19" s="521">
        <v>0.1</v>
      </c>
      <c r="Y19" s="520" t="s">
        <v>8756</v>
      </c>
      <c r="Z19" s="1">
        <v>8</v>
      </c>
    </row>
    <row r="20" spans="1:26">
      <c r="A20" s="1">
        <v>3</v>
      </c>
      <c r="B20" s="1">
        <v>1</v>
      </c>
      <c r="C20" s="1">
        <v>2</v>
      </c>
      <c r="H20" s="1">
        <v>1</v>
      </c>
      <c r="I20" s="1" t="str" cm="1">
        <f t="array" aca="1" ref="I20" ca="1">INDEX(Таблиця143[FIELD],RANDBETWEEN(1,10))</f>
        <v>Secular World</v>
      </c>
      <c r="J20" s="1" t="str">
        <f ca="1">INDEX(I27:I44,MATCH(Таблиця148[[#This Row],[FIELD]],H27:H44,0),1)</f>
        <v>Physics</v>
      </c>
      <c r="L20" s="1">
        <v>1</v>
      </c>
      <c r="M20" s="1" t="str" cm="1">
        <f t="array" aca="1" ref="M20" ca="1">INDEX(Таблиця143[FIELD],RANDBETWEEN(1,10),1)</f>
        <v>Humans/Demihumans</v>
      </c>
      <c r="N20" s="1" t="str">
        <f ca="1">INDEX(E40:E69,MATCH(Таблиця149[[#This Row],[FIELD]],D40:D69,0),1)</f>
        <v>Languages</v>
      </c>
      <c r="P20" s="533" t="s">
        <v>8742</v>
      </c>
      <c r="Q20" s="533" t="s">
        <v>7580</v>
      </c>
      <c r="Y20" s="520" t="s">
        <v>8757</v>
      </c>
      <c r="Z20" s="1">
        <v>8</v>
      </c>
    </row>
    <row r="21" spans="1:26">
      <c r="A21" s="1">
        <v>4</v>
      </c>
      <c r="B21" s="1">
        <v>1</v>
      </c>
      <c r="C21" s="1">
        <v>3</v>
      </c>
      <c r="H21" s="1">
        <v>2</v>
      </c>
      <c r="I21" s="1" t="str" cm="1">
        <f t="array" aca="1" ref="I21" ca="1">INDEX(Таблиця143[FIELD],RANDBETWEEN(1,10))</f>
        <v>Secular World</v>
      </c>
      <c r="J21" s="1" t="str">
        <f ca="1">INDEX(I28:I45,MATCH(Таблиця148[[#This Row],[FIELD]],H28:H45,0),1)</f>
        <v>Physics</v>
      </c>
      <c r="L21" s="1">
        <v>2</v>
      </c>
      <c r="M21" s="1" t="str" cm="1">
        <f t="array" aca="1" ref="M21" ca="1">INDEX(Таблиця143[FIELD],RANDBETWEEN(1,10),1)</f>
        <v>Humans/Demihumans</v>
      </c>
      <c r="N21" s="1" t="str">
        <f ca="1">INDEX(E41:E70,MATCH(Таблиця149[[#This Row],[FIELD]],D41:D70,0),1)</f>
        <v>Biology</v>
      </c>
      <c r="P21" s="533" t="s">
        <v>8742</v>
      </c>
      <c r="Q21" s="533" t="s">
        <v>7591</v>
      </c>
      <c r="Y21" s="520" t="s">
        <v>8758</v>
      </c>
      <c r="Z21" s="1">
        <v>8</v>
      </c>
    </row>
    <row r="22" spans="1:26">
      <c r="A22" s="1">
        <v>5</v>
      </c>
      <c r="B22" s="1">
        <v>1</v>
      </c>
      <c r="C22" s="1">
        <v>4</v>
      </c>
      <c r="E22" s="1" t="s">
        <v>8759</v>
      </c>
      <c r="F22" s="1" t="s">
        <v>8713</v>
      </c>
      <c r="H22" s="1">
        <v>3</v>
      </c>
      <c r="I22" s="1" t="str" cm="1">
        <f t="array" aca="1" ref="I22" ca="1">INDEX(Таблиця143[FIELD],RANDBETWEEN(1,10))</f>
        <v>Supernatural</v>
      </c>
      <c r="J22" s="1" t="str">
        <f ca="1">INDEX(I29:I46,MATCH(Таблиця148[[#This Row],[FIELD]],H29:H46,0),1)</f>
        <v>Heraldry, Signs &amp; Sigils</v>
      </c>
      <c r="L22" s="1">
        <v>3</v>
      </c>
      <c r="M22" s="1" t="str" cm="1">
        <f t="array" aca="1" ref="M22" ca="1">INDEX(Таблиця143[FIELD],RANDBETWEEN(1,10),1)</f>
        <v>Supernatural</v>
      </c>
      <c r="N22" s="1" t="str">
        <f ca="1">INDEX(E42:E71,MATCH(Таблиця149[[#This Row],[FIELD]],D42:D71,0),1)</f>
        <v>Dweomercraft</v>
      </c>
      <c r="P22" s="533" t="s">
        <v>8742</v>
      </c>
      <c r="Q22" s="533" t="s">
        <v>7584</v>
      </c>
      <c r="Y22" s="520" t="s">
        <v>8760</v>
      </c>
      <c r="Z22" s="1">
        <v>8</v>
      </c>
    </row>
    <row r="23" spans="1:26">
      <c r="A23" s="1">
        <v>6</v>
      </c>
      <c r="B23" s="1">
        <v>2</v>
      </c>
      <c r="C23" s="1">
        <v>2</v>
      </c>
      <c r="E23" s="1">
        <v>1</v>
      </c>
      <c r="F23" s="1" t="s">
        <v>8761</v>
      </c>
      <c r="L23" s="1">
        <v>4</v>
      </c>
      <c r="M23" s="1" t="str" cm="1">
        <f t="array" aca="1" ref="M23" ca="1">INDEX(Таблиця143[FIELD],RANDBETWEEN(1,10),1)</f>
        <v>Fauna</v>
      </c>
      <c r="N23" s="1" t="str">
        <f ca="1">INDEX(E43:E72,MATCH(Таблиця149[[#This Row],[FIELD]],D43:D72,0),1)</f>
        <v>Crustaceans &amp; Mollusks</v>
      </c>
      <c r="P23" s="533" t="s">
        <v>8742</v>
      </c>
      <c r="Q23" s="533" t="s">
        <v>7622</v>
      </c>
      <c r="Y23" s="520" t="s">
        <v>8762</v>
      </c>
      <c r="Z23" s="1">
        <v>5</v>
      </c>
    </row>
    <row r="24" spans="1:26">
      <c r="A24" s="1">
        <v>7</v>
      </c>
      <c r="B24" s="1">
        <v>2</v>
      </c>
      <c r="C24" s="1">
        <v>3</v>
      </c>
      <c r="E24" s="1">
        <v>2</v>
      </c>
      <c r="F24" s="1" t="s">
        <v>8761</v>
      </c>
      <c r="L24" s="1">
        <v>5</v>
      </c>
      <c r="M24" s="1" t="str" cm="1">
        <f t="array" aca="1" ref="M24" ca="1">INDEX(Таблиця143[FIELD],RANDBETWEEN(1,10),1)</f>
        <v>Flora</v>
      </c>
      <c r="N24" s="1" t="str">
        <f ca="1">INDEX(E44:E73,MATCH(Таблиця149[[#This Row],[FIELD]],D44:D73,0),1)</f>
        <v>Trees</v>
      </c>
      <c r="P24" s="533" t="s">
        <v>8744</v>
      </c>
      <c r="Q24" s="533" t="s">
        <v>8763</v>
      </c>
      <c r="Y24" s="520" t="s">
        <v>8764</v>
      </c>
      <c r="Z24" s="1">
        <v>8</v>
      </c>
    </row>
    <row r="25" spans="1:26" ht="15" thickBot="1">
      <c r="A25" s="1">
        <v>8</v>
      </c>
      <c r="B25" s="1">
        <v>2</v>
      </c>
      <c r="C25" s="1">
        <v>4</v>
      </c>
      <c r="E25" s="1">
        <v>3</v>
      </c>
      <c r="F25" s="1" t="s">
        <v>8761</v>
      </c>
      <c r="P25" s="533" t="s">
        <v>8744</v>
      </c>
      <c r="Q25" s="533" t="s">
        <v>8765</v>
      </c>
      <c r="Y25" s="520" t="s">
        <v>7478</v>
      </c>
      <c r="Z25" s="1">
        <v>9</v>
      </c>
    </row>
    <row r="26" spans="1:26" ht="15" thickBot="1">
      <c r="A26" s="1">
        <v>9</v>
      </c>
      <c r="B26" s="1">
        <v>3</v>
      </c>
      <c r="C26" s="1">
        <v>2</v>
      </c>
      <c r="E26" s="538">
        <v>4</v>
      </c>
      <c r="F26" s="538" t="s">
        <v>7619</v>
      </c>
      <c r="P26" s="533" t="s">
        <v>8744</v>
      </c>
      <c r="Q26" s="533" t="s">
        <v>8766</v>
      </c>
      <c r="Y26" s="520" t="s">
        <v>8767</v>
      </c>
      <c r="Z26" s="1">
        <v>10</v>
      </c>
    </row>
    <row r="27" spans="1:26" ht="15" thickBot="1">
      <c r="A27" s="1">
        <v>10</v>
      </c>
      <c r="B27" s="1">
        <v>3</v>
      </c>
      <c r="C27" s="1">
        <v>3</v>
      </c>
      <c r="E27" s="538">
        <v>5</v>
      </c>
      <c r="F27" s="538" t="s">
        <v>7612</v>
      </c>
      <c r="H27" s="539" t="s">
        <v>8761</v>
      </c>
      <c r="I27" s="1" t="str" cm="1">
        <f t="array" aca="1" ref="I27" ca="1">INDEX(Таблиця147[FIELD],RANDBETWEEN(1,20),1)</f>
        <v>Languages</v>
      </c>
      <c r="P27" s="533" t="s">
        <v>8744</v>
      </c>
      <c r="Q27" s="533" t="s">
        <v>8768</v>
      </c>
      <c r="Y27" s="520" t="s">
        <v>8769</v>
      </c>
      <c r="Z27" s="1">
        <v>10</v>
      </c>
    </row>
    <row r="28" spans="1:26" ht="15" thickBot="1">
      <c r="A28" s="1">
        <v>11</v>
      </c>
      <c r="B28" s="1">
        <v>3</v>
      </c>
      <c r="C28" s="1">
        <v>4</v>
      </c>
      <c r="E28" s="538">
        <v>6</v>
      </c>
      <c r="F28" s="538" t="s">
        <v>7606</v>
      </c>
      <c r="H28" s="539" t="s">
        <v>8761</v>
      </c>
      <c r="I28" s="1" t="str" cm="1">
        <f t="array" aca="1" ref="I28" ca="1">INDEX(Таблиця147[FIELD],RANDBETWEEN(1,20),1)</f>
        <v>Legends &amp; Folklore</v>
      </c>
      <c r="P28" s="533" t="s">
        <v>8744</v>
      </c>
      <c r="Q28" s="533" t="s">
        <v>8770</v>
      </c>
      <c r="Y28" s="520" t="s">
        <v>8746</v>
      </c>
      <c r="Z28" s="1">
        <v>11</v>
      </c>
    </row>
    <row r="29" spans="1:26" ht="15" thickBot="1">
      <c r="A29" s="1">
        <v>12</v>
      </c>
      <c r="B29" s="1">
        <v>3</v>
      </c>
      <c r="C29" s="1">
        <v>5</v>
      </c>
      <c r="E29" s="538">
        <v>7</v>
      </c>
      <c r="F29" s="538" t="s">
        <v>7595</v>
      </c>
      <c r="H29" s="539" t="s">
        <v>8761</v>
      </c>
      <c r="I29" s="1" t="str" cm="1">
        <f t="array" aca="1" ref="I29" ca="1">INDEX(Таблиця147[FIELD],RANDBETWEEN(1,20),1)</f>
        <v>Theology, Religion, and Myth</v>
      </c>
      <c r="P29" s="533" t="s">
        <v>8744</v>
      </c>
      <c r="Q29" s="533" t="s">
        <v>8771</v>
      </c>
      <c r="Y29" s="520" t="s">
        <v>8772</v>
      </c>
      <c r="Z29" s="1">
        <v>11</v>
      </c>
    </row>
    <row r="30" spans="1:26" ht="15" thickBot="1">
      <c r="E30" s="540">
        <v>8</v>
      </c>
      <c r="F30" s="538" t="s">
        <v>7595</v>
      </c>
      <c r="H30" s="538" t="s">
        <v>7619</v>
      </c>
      <c r="I30" s="1" t="str" cm="1">
        <f t="array" aca="1" ref="I30" ca="1">INDEX(Таблиця147[FIELD],RANDBETWEEN(1,20),1)</f>
        <v>Theology, Religion, and Myth</v>
      </c>
      <c r="P30" s="533" t="s">
        <v>8744</v>
      </c>
      <c r="Q30" s="533" t="s">
        <v>8773</v>
      </c>
      <c r="Y30" s="520" t="s">
        <v>8774</v>
      </c>
      <c r="Z30" s="1">
        <v>11</v>
      </c>
    </row>
    <row r="31" spans="1:26" ht="15" thickBot="1">
      <c r="E31" s="538">
        <v>9</v>
      </c>
      <c r="F31" s="538" t="s">
        <v>7586</v>
      </c>
      <c r="H31" s="538" t="s">
        <v>7619</v>
      </c>
      <c r="I31" s="1" t="str" cm="1">
        <f t="array" aca="1" ref="I31" ca="1">INDEX(Таблиця147[FIELD],RANDBETWEEN(1,20),1)</f>
        <v>History</v>
      </c>
      <c r="P31" s="533" t="s">
        <v>8775</v>
      </c>
      <c r="Q31" s="533" t="s">
        <v>8776</v>
      </c>
      <c r="Y31" s="520" t="s">
        <v>5673</v>
      </c>
      <c r="Z31" s="1">
        <v>12</v>
      </c>
    </row>
    <row r="32" spans="1:26" ht="15" thickBot="1">
      <c r="A32" s="1" t="s">
        <v>8761</v>
      </c>
      <c r="E32" s="540">
        <v>10</v>
      </c>
      <c r="F32" s="538" t="s">
        <v>7586</v>
      </c>
      <c r="H32" s="538" t="s">
        <v>7619</v>
      </c>
      <c r="I32" s="1" t="str" cm="1">
        <f t="array" aca="1" ref="I32" ca="1">INDEX(Таблиця147[FIELD],RANDBETWEEN(1,20),1)</f>
        <v>Art &amp; Music</v>
      </c>
      <c r="P32" s="533" t="s">
        <v>8775</v>
      </c>
      <c r="Q32" s="533" t="s">
        <v>5831</v>
      </c>
      <c r="Y32" s="520" t="s">
        <v>8777</v>
      </c>
      <c r="Z32" s="1">
        <v>12</v>
      </c>
    </row>
    <row r="33" spans="1:17" ht="15" thickBot="1">
      <c r="A33" s="1" t="s">
        <v>8778</v>
      </c>
      <c r="B33" s="1" t="s">
        <v>8713</v>
      </c>
      <c r="H33" s="541" t="s">
        <v>7612</v>
      </c>
      <c r="I33" s="1" t="str" cm="1">
        <f t="array" aca="1" ref="I33" ca="1">INDEX(Таблиця146[FIELD],RANDBETWEEN(1,8),1)</f>
        <v>Bushes &amp; Shrubs</v>
      </c>
      <c r="P33" s="533" t="s">
        <v>8775</v>
      </c>
      <c r="Q33" s="533" t="s">
        <v>8779</v>
      </c>
    </row>
    <row r="34" spans="1:17" ht="15" thickBot="1">
      <c r="A34" s="1">
        <v>1</v>
      </c>
      <c r="B34" s="1" t="s">
        <v>8773</v>
      </c>
      <c r="H34" s="541" t="s">
        <v>7612</v>
      </c>
      <c r="I34" s="1" t="str" cm="1">
        <f t="array" aca="1" ref="I34" ca="1">INDEX(Таблиця146[FIELD],RANDBETWEEN(1,8),1)</f>
        <v>Herbs</v>
      </c>
      <c r="P34" s="533" t="s">
        <v>8775</v>
      </c>
      <c r="Q34" s="533" t="s">
        <v>8780</v>
      </c>
    </row>
    <row r="35" spans="1:17" ht="15" thickBot="1">
      <c r="A35" s="1">
        <v>2</v>
      </c>
      <c r="B35" s="1" t="s">
        <v>8773</v>
      </c>
      <c r="H35" s="541" t="s">
        <v>7612</v>
      </c>
      <c r="I35" s="1" t="str" cm="1">
        <f t="array" aca="1" ref="I35" ca="1">INDEX(Таблиця146[FIELD],RANDBETWEEN(1,8),1)</f>
        <v>Grasses and Grains</v>
      </c>
      <c r="P35" s="533"/>
      <c r="Q35" s="533" t="s">
        <v>8763</v>
      </c>
    </row>
    <row r="36" spans="1:17" ht="15" thickBot="1">
      <c r="A36" s="1">
        <v>3</v>
      </c>
      <c r="B36" s="1" t="s">
        <v>8773</v>
      </c>
      <c r="H36" s="538" t="s">
        <v>7606</v>
      </c>
      <c r="I36" s="1" t="str" cm="1">
        <f t="array" aca="1" ref="I36" ca="1">INDEX(Таблиця145[FIELD],RANDBETWEEN(1,10),1)</f>
        <v>Crustaceans &amp; Mollusks</v>
      </c>
      <c r="P36" s="533"/>
      <c r="Q36" s="533" t="s">
        <v>8765</v>
      </c>
    </row>
    <row r="37" spans="1:17" ht="15" thickBot="1">
      <c r="A37" s="1">
        <v>4</v>
      </c>
      <c r="B37" s="1" t="s">
        <v>8781</v>
      </c>
      <c r="H37" s="538" t="s">
        <v>7606</v>
      </c>
      <c r="I37" s="1" t="str" cm="1">
        <f t="array" aca="1" ref="I37" ca="1">INDEX(Таблиця145[FIELD],RANDBETWEEN(1,10),1)</f>
        <v>Ichthyoids</v>
      </c>
      <c r="P37" s="533"/>
      <c r="Q37" s="533" t="s">
        <v>8766</v>
      </c>
    </row>
    <row r="38" spans="1:17" ht="15" thickBot="1">
      <c r="A38" s="1">
        <v>5</v>
      </c>
      <c r="B38" s="1" t="s">
        <v>8781</v>
      </c>
      <c r="H38" s="538" t="s">
        <v>7606</v>
      </c>
      <c r="I38" s="1" t="str" cm="1">
        <f t="array" aca="1" ref="I38" ca="1">INDEX(Таблиця145[FIELD],RANDBETWEEN(1,10),1)</f>
        <v>Mammals</v>
      </c>
      <c r="P38" s="533"/>
      <c r="Q38" s="533" t="s">
        <v>8768</v>
      </c>
    </row>
    <row r="39" spans="1:17" ht="15" thickBot="1">
      <c r="A39" s="1">
        <v>6</v>
      </c>
      <c r="B39" s="1" t="s">
        <v>5831</v>
      </c>
      <c r="H39" s="541" t="s">
        <v>7595</v>
      </c>
      <c r="I39" s="1" t="str" cm="1">
        <f t="array" aca="1" ref="I39" ca="1">INDEX(Таблиця144[FIELD],RANDBETWEEN(1,8))</f>
        <v>Heraldry, Signs &amp; Sigils</v>
      </c>
      <c r="P39" s="533"/>
      <c r="Q39" s="533" t="s">
        <v>8770</v>
      </c>
    </row>
    <row r="40" spans="1:17" ht="15" thickBot="1">
      <c r="A40" s="1">
        <v>7</v>
      </c>
      <c r="B40" s="1" t="s">
        <v>5831</v>
      </c>
      <c r="D40" s="1" t="s">
        <v>8761</v>
      </c>
      <c r="E40" s="1" t="str" cm="1">
        <f t="array" aca="1" ref="E40" ca="1">INDEX(Таблиця147[FIELD],RANDBETWEEN(1,20),1)</f>
        <v>Languages</v>
      </c>
      <c r="H40" s="538" t="s">
        <v>7595</v>
      </c>
      <c r="I40" s="1" t="str" cm="1">
        <f t="array" aca="1" ref="I40" ca="1">INDEX(Таблиця144[FIELD],RANDBETWEEN(1,8))</f>
        <v>Alchemy</v>
      </c>
      <c r="P40" s="533"/>
      <c r="Q40" s="533" t="s">
        <v>8771</v>
      </c>
    </row>
    <row r="41" spans="1:17" ht="15" thickBot="1">
      <c r="A41" s="1">
        <v>8</v>
      </c>
      <c r="B41" s="1" t="s">
        <v>8782</v>
      </c>
      <c r="D41" s="1" t="s">
        <v>8761</v>
      </c>
      <c r="E41" s="1" t="str" cm="1">
        <f t="array" aca="1" ref="E41" ca="1">INDEX(Таблиця147[FIELD],RANDBETWEEN(1,20),1)</f>
        <v>Biology</v>
      </c>
      <c r="H41" s="538" t="s">
        <v>7595</v>
      </c>
      <c r="I41" s="1" t="str" cm="1">
        <f t="array" aca="1" ref="I41" ca="1">INDEX(Таблиця144[FIELD],RANDBETWEEN(1,8))</f>
        <v>Heraldry, Signs &amp; Sigils</v>
      </c>
      <c r="P41" s="533"/>
      <c r="Q41" s="533" t="s">
        <v>7601</v>
      </c>
    </row>
    <row r="42" spans="1:17" ht="15" thickBot="1">
      <c r="A42" s="1">
        <v>9</v>
      </c>
      <c r="B42" s="1" t="s">
        <v>8782</v>
      </c>
      <c r="D42" s="1" t="s">
        <v>8761</v>
      </c>
      <c r="E42" s="1" t="str" cm="1">
        <f t="array" aca="1" ref="E42" ca="1">INDEX(Таблиця147[FIELD],RANDBETWEEN(1,20),1)</f>
        <v>Politics &amp; Genealogy</v>
      </c>
      <c r="H42" s="541" t="s">
        <v>7586</v>
      </c>
      <c r="I42" s="1" t="str" cm="1">
        <f t="array" aca="1" ref="I42" ca="1">INDEX(Таблиця150[FIELD],RANDBETWEEN(1,12),1)</f>
        <v>Physics</v>
      </c>
      <c r="P42" s="533"/>
      <c r="Q42" s="533" t="s">
        <v>7594</v>
      </c>
    </row>
    <row r="43" spans="1:17" ht="15" thickBot="1">
      <c r="A43" s="1">
        <v>10</v>
      </c>
      <c r="B43" s="1" t="s">
        <v>8782</v>
      </c>
      <c r="D43" s="1" t="s">
        <v>8761</v>
      </c>
      <c r="E43" s="1" t="str" cm="1">
        <f t="array" aca="1" ref="E43" ca="1">INDEX(Таблиця147[FIELD],RANDBETWEEN(1,20),1)</f>
        <v>Languages</v>
      </c>
      <c r="H43" s="538" t="s">
        <v>7586</v>
      </c>
      <c r="I43" s="1" t="str" cm="1">
        <f t="array" aca="1" ref="I43" ca="1">INDEX(Таблиця150[FIELD],RANDBETWEEN(1,12),1)</f>
        <v>Mathematics</v>
      </c>
      <c r="P43" s="533"/>
      <c r="Q43" s="533"/>
    </row>
    <row r="44" spans="1:17" ht="15" thickBot="1">
      <c r="A44" s="1">
        <v>11</v>
      </c>
      <c r="B44" s="1" t="s">
        <v>8783</v>
      </c>
      <c r="D44" s="1" t="s">
        <v>8761</v>
      </c>
      <c r="E44" s="1" t="str" cm="1">
        <f t="array" aca="1" ref="E44" ca="1">INDEX(Таблиця147[FIELD],RANDBETWEEN(1,20),1)</f>
        <v>History</v>
      </c>
      <c r="H44" s="538" t="s">
        <v>7586</v>
      </c>
      <c r="I44" s="1" t="str" cm="1">
        <f t="array" aca="1" ref="I44" ca="1">INDEX(Таблиця150[FIELD],RANDBETWEEN(1,12),1)</f>
        <v>Meteorology &amp; Climatology</v>
      </c>
    </row>
    <row r="45" spans="1:17">
      <c r="A45" s="1">
        <v>12</v>
      </c>
      <c r="B45" s="1" t="s">
        <v>8763</v>
      </c>
      <c r="D45" s="1" t="s">
        <v>7586</v>
      </c>
      <c r="E45" s="1" t="str" cm="1">
        <f t="array" aca="1" ref="E45" ca="1">INDEX(Таблиця150[FIELD],RANDBETWEEN(1,12),1)</f>
        <v>Topography &amp; Cartography</v>
      </c>
    </row>
    <row r="46" spans="1:17">
      <c r="A46" s="1">
        <v>13</v>
      </c>
      <c r="B46" s="1" t="s">
        <v>8765</v>
      </c>
      <c r="D46" s="1" t="s">
        <v>7586</v>
      </c>
      <c r="E46" s="1" t="str" cm="1">
        <f t="array" aca="1" ref="E46" ca="1">INDEX(Таблиця150[FIELD],RANDBETWEEN(1,12),1)</f>
        <v>Engineering &amp; Architecture</v>
      </c>
    </row>
    <row r="47" spans="1:17">
      <c r="A47" s="1">
        <v>14</v>
      </c>
      <c r="B47" s="1" t="s">
        <v>8766</v>
      </c>
      <c r="D47" s="1" t="s">
        <v>7586</v>
      </c>
      <c r="E47" s="1" t="str" cm="1">
        <f t="array" aca="1" ref="E47" ca="1">INDEX(Таблиця150[FIELD],RANDBETWEEN(1,12),1)</f>
        <v>Chemistry</v>
      </c>
    </row>
    <row r="48" spans="1:17">
      <c r="A48" s="1">
        <v>15</v>
      </c>
      <c r="B48" s="1" t="s">
        <v>8766</v>
      </c>
      <c r="D48" s="1" t="s">
        <v>7586</v>
      </c>
      <c r="E48" s="1" t="str" cm="1">
        <f t="array" aca="1" ref="E48" ca="1">INDEX(Таблиця150[FIELD],RANDBETWEEN(1,12),1)</f>
        <v>Physics</v>
      </c>
    </row>
    <row r="49" spans="1:5">
      <c r="A49" s="1">
        <v>16</v>
      </c>
      <c r="B49" s="1" t="s">
        <v>8768</v>
      </c>
      <c r="D49" s="1" t="s">
        <v>7586</v>
      </c>
      <c r="E49" s="1" t="str" cm="1">
        <f t="array" aca="1" ref="E49" ca="1">INDEX(Таблиця150[FIELD],RANDBETWEEN(1,12),1)</f>
        <v>Geology &amp; Mineralogy</v>
      </c>
    </row>
    <row r="50" spans="1:5">
      <c r="A50" s="1">
        <v>17</v>
      </c>
      <c r="B50" s="1" t="s">
        <v>8770</v>
      </c>
      <c r="D50" s="1" t="s">
        <v>7595</v>
      </c>
      <c r="E50" s="1" t="str" cm="1">
        <f t="array" aca="1" ref="E50" ca="1">INDEX(Таблиця144[FIELD],RANDBETWEEN(1,8))</f>
        <v>Dweomercraft</v>
      </c>
    </row>
    <row r="51" spans="1:5">
      <c r="A51" s="1">
        <v>18</v>
      </c>
      <c r="B51" s="1" t="s">
        <v>8784</v>
      </c>
      <c r="D51" s="1" t="s">
        <v>7595</v>
      </c>
      <c r="E51" s="1" t="str" cm="1">
        <f t="array" aca="1" ref="E51" ca="1">INDEX(Таблиця144[FIELD],RANDBETWEEN(1,8))</f>
        <v>Planes (Inner)</v>
      </c>
    </row>
    <row r="52" spans="1:5">
      <c r="A52" s="1">
        <v>19</v>
      </c>
      <c r="B52" s="1" t="s">
        <v>8784</v>
      </c>
      <c r="D52" s="1" t="s">
        <v>7595</v>
      </c>
      <c r="E52" s="1" t="str" cm="1">
        <f t="array" aca="1" ref="E52" ca="1">INDEX(Таблиця144[FIELD],RANDBETWEEN(1,8))</f>
        <v>Dweomercraft</v>
      </c>
    </row>
    <row r="53" spans="1:5">
      <c r="A53" s="1">
        <v>20</v>
      </c>
      <c r="B53" s="1" t="s">
        <v>8784</v>
      </c>
      <c r="D53" s="1" t="s">
        <v>7595</v>
      </c>
      <c r="E53" s="1" t="str" cm="1">
        <f t="array" aca="1" ref="E53" ca="1">INDEX(Таблиця144[FIELD],RANDBETWEEN(1,8))</f>
        <v>Dweomercraft</v>
      </c>
    </row>
    <row r="54" spans="1:5">
      <c r="D54" s="1" t="s">
        <v>7595</v>
      </c>
      <c r="E54" s="1" t="str" cm="1">
        <f t="array" aca="1" ref="E54" ca="1">INDEX(Таблиця144[FIELD],RANDBETWEEN(1,8))</f>
        <v>Medicine</v>
      </c>
    </row>
    <row r="55" spans="1:5">
      <c r="A55" s="1" t="s">
        <v>7586</v>
      </c>
      <c r="D55" s="1" t="s">
        <v>7606</v>
      </c>
      <c r="E55" s="1" t="str" cm="1">
        <f t="array" aca="1" ref="E55" ca="1">INDEX(Таблиця145[FIELD],RANDBETWEEN(1,10),1)</f>
        <v>Crustaceans &amp; Mollusks</v>
      </c>
    </row>
    <row r="56" spans="1:5">
      <c r="A56" s="1" t="s">
        <v>7639</v>
      </c>
      <c r="B56" s="1" t="s">
        <v>8713</v>
      </c>
      <c r="D56" s="1" t="s">
        <v>7606</v>
      </c>
      <c r="E56" s="1" t="str" cm="1">
        <f t="array" aca="1" ref="E56" ca="1">INDEX(Таблиця145[FIELD],RANDBETWEEN(1,10),1)</f>
        <v>Marsupials</v>
      </c>
    </row>
    <row r="57" spans="1:5">
      <c r="A57" s="1">
        <v>1</v>
      </c>
      <c r="B57" s="1" t="s">
        <v>7628</v>
      </c>
      <c r="D57" s="1" t="s">
        <v>7606</v>
      </c>
      <c r="E57" s="1" t="str" cm="1">
        <f t="array" aca="1" ref="E57" ca="1">INDEX(Таблиця145[FIELD],RANDBETWEEN(1,10),1)</f>
        <v>Reptiles</v>
      </c>
    </row>
    <row r="58" spans="1:5">
      <c r="A58" s="1">
        <v>2</v>
      </c>
      <c r="B58" s="1" t="s">
        <v>7628</v>
      </c>
      <c r="D58" s="1" t="s">
        <v>7606</v>
      </c>
      <c r="E58" s="1" t="str" cm="1">
        <f t="array" aca="1" ref="E58" ca="1">INDEX(Таблиця145[FIELD],RANDBETWEEN(1,10),1)</f>
        <v>Amphibians</v>
      </c>
    </row>
    <row r="59" spans="1:5">
      <c r="A59" s="1">
        <v>3</v>
      </c>
      <c r="B59" s="1" t="s">
        <v>7622</v>
      </c>
      <c r="D59" s="1" t="s">
        <v>7606</v>
      </c>
      <c r="E59" s="1" t="str" cm="1">
        <f t="array" aca="1" ref="E59" ca="1">INDEX(Таблиця145[FIELD],RANDBETWEEN(1,10),1)</f>
        <v>Avians</v>
      </c>
    </row>
    <row r="60" spans="1:5">
      <c r="A60" s="1">
        <v>4</v>
      </c>
      <c r="B60" s="1" t="s">
        <v>7615</v>
      </c>
      <c r="D60" s="1" t="s">
        <v>7612</v>
      </c>
      <c r="E60" s="1" t="str" cm="1">
        <f t="array" aca="1" ref="E60" ca="1">INDEX(Таблиця146[FIELD],RANDBETWEEN(1,8),1)</f>
        <v>Trees</v>
      </c>
    </row>
    <row r="61" spans="1:5">
      <c r="A61" s="1">
        <v>5</v>
      </c>
      <c r="B61" s="1" t="s">
        <v>7608</v>
      </c>
      <c r="D61" s="1" t="s">
        <v>7612</v>
      </c>
      <c r="E61" s="1" t="str" cm="1">
        <f t="array" aca="1" ref="E61" ca="1">INDEX(Таблиця146[FIELD],RANDBETWEEN(1,8),1)</f>
        <v>Trees</v>
      </c>
    </row>
    <row r="62" spans="1:5">
      <c r="A62" s="1">
        <v>6</v>
      </c>
      <c r="B62" s="1" t="s">
        <v>7603</v>
      </c>
      <c r="D62" s="1" t="s">
        <v>7612</v>
      </c>
      <c r="E62" s="1" t="str" cm="1">
        <f t="array" aca="1" ref="E62" ca="1">INDEX(Таблиця146[FIELD],RANDBETWEEN(1,8),1)</f>
        <v>Bushes &amp; Shrubs</v>
      </c>
    </row>
    <row r="63" spans="1:5">
      <c r="A63" s="1">
        <v>7</v>
      </c>
      <c r="B63" s="1" t="s">
        <v>7598</v>
      </c>
      <c r="D63" s="1" t="s">
        <v>7612</v>
      </c>
      <c r="E63" s="1" t="str" cm="1">
        <f t="array" aca="1" ref="E63" ca="1">INDEX(Таблиця146[FIELD],RANDBETWEEN(1,8),1)</f>
        <v>Herbs</v>
      </c>
    </row>
    <row r="64" spans="1:5" ht="15" thickBot="1">
      <c r="A64" s="1">
        <v>8</v>
      </c>
      <c r="B64" s="1" t="s">
        <v>7591</v>
      </c>
      <c r="D64" s="1" t="s">
        <v>7612</v>
      </c>
      <c r="E64" s="1" t="str" cm="1">
        <f t="array" aca="1" ref="E64" ca="1">INDEX(Таблиця146[FIELD],RANDBETWEEN(1,8),1)</f>
        <v>Bushes &amp; Shrubs</v>
      </c>
    </row>
    <row r="65" spans="1:5" ht="15" thickBot="1">
      <c r="A65" s="1">
        <v>9</v>
      </c>
      <c r="B65" s="1" t="s">
        <v>7588</v>
      </c>
      <c r="D65" s="538" t="s">
        <v>7619</v>
      </c>
      <c r="E65" s="1" t="str" cm="1">
        <f t="array" aca="1" ref="E65" ca="1">INDEX(Таблиця147[FIELD],RANDBETWEEN(1,20),1)</f>
        <v>History</v>
      </c>
    </row>
    <row r="66" spans="1:5" ht="15" thickBot="1">
      <c r="A66" s="1">
        <v>10</v>
      </c>
      <c r="B66" s="1" t="s">
        <v>7584</v>
      </c>
      <c r="D66" s="538" t="s">
        <v>7619</v>
      </c>
      <c r="E66" s="1" t="str" cm="1">
        <f t="array" aca="1" ref="E66" ca="1">INDEX(Таблиця147[FIELD],RANDBETWEEN(1,20),1)</f>
        <v>Art &amp; Music</v>
      </c>
    </row>
    <row r="67" spans="1:5" ht="15" thickBot="1">
      <c r="A67" s="1">
        <v>11</v>
      </c>
      <c r="B67" s="1" t="s">
        <v>7582</v>
      </c>
      <c r="D67" s="538" t="s">
        <v>7619</v>
      </c>
      <c r="E67" s="1" t="str" cm="1">
        <f t="array" aca="1" ref="E67" ca="1">INDEX(Таблиця147[FIELD],RANDBETWEEN(1,20),1)</f>
        <v>Languages</v>
      </c>
    </row>
    <row r="68" spans="1:5" ht="15" thickBot="1">
      <c r="A68" s="1">
        <v>12</v>
      </c>
      <c r="B68" s="1" t="s">
        <v>7580</v>
      </c>
      <c r="D68" s="538" t="s">
        <v>7619</v>
      </c>
      <c r="E68" s="1" t="str" cm="1">
        <f t="array" aca="1" ref="E68" ca="1">INDEX(Таблиця147[FIELD],RANDBETWEEN(1,20),1)</f>
        <v>Languages</v>
      </c>
    </row>
    <row r="69" spans="1:5" ht="15" thickBot="1">
      <c r="D69" s="538" t="s">
        <v>7619</v>
      </c>
      <c r="E69" s="1" t="str" cm="1">
        <f t="array" aca="1" ref="E69" ca="1">INDEX(Таблиця147[FIELD],RANDBETWEEN(1,20),1)</f>
        <v>Biology</v>
      </c>
    </row>
    <row r="70" spans="1:5">
      <c r="A70" s="1" t="s">
        <v>7595</v>
      </c>
    </row>
    <row r="71" spans="1:5">
      <c r="A71" s="1" t="s">
        <v>8785</v>
      </c>
      <c r="B71" s="1" t="s">
        <v>8713</v>
      </c>
    </row>
    <row r="72" spans="1:5">
      <c r="A72" s="1">
        <v>1</v>
      </c>
      <c r="B72" s="1" t="s">
        <v>7634</v>
      </c>
    </row>
    <row r="73" spans="1:5">
      <c r="A73" s="1">
        <v>2</v>
      </c>
      <c r="B73" s="1" t="s">
        <v>5825</v>
      </c>
    </row>
    <row r="74" spans="1:5">
      <c r="A74" s="1">
        <v>3</v>
      </c>
      <c r="B74" s="1" t="s">
        <v>7616</v>
      </c>
    </row>
    <row r="75" spans="1:5">
      <c r="A75" s="1">
        <v>4</v>
      </c>
      <c r="B75" s="1" t="s">
        <v>7616</v>
      </c>
    </row>
    <row r="76" spans="1:5">
      <c r="A76" s="1">
        <v>5</v>
      </c>
      <c r="B76" s="1" t="s">
        <v>7609</v>
      </c>
    </row>
    <row r="77" spans="1:5">
      <c r="A77" s="1">
        <v>6</v>
      </c>
      <c r="B77" s="1" t="s">
        <v>5835</v>
      </c>
    </row>
    <row r="78" spans="1:5">
      <c r="A78" s="1">
        <v>7</v>
      </c>
      <c r="B78" s="1" t="s">
        <v>7599</v>
      </c>
    </row>
    <row r="79" spans="1:5">
      <c r="A79" s="1">
        <v>8</v>
      </c>
      <c r="B79" s="1" t="s">
        <v>7592</v>
      </c>
    </row>
    <row r="81" spans="1:2">
      <c r="A81" s="1" t="s">
        <v>7606</v>
      </c>
    </row>
    <row r="82" spans="1:2">
      <c r="A82" s="1" t="s">
        <v>8759</v>
      </c>
      <c r="B82" s="514" t="s">
        <v>8713</v>
      </c>
    </row>
    <row r="83" spans="1:2">
      <c r="A83" s="1">
        <v>1</v>
      </c>
      <c r="B83" s="1" t="s">
        <v>7635</v>
      </c>
    </row>
    <row r="84" spans="1:2">
      <c r="A84" s="1">
        <v>2</v>
      </c>
      <c r="B84" s="1" t="s">
        <v>7629</v>
      </c>
    </row>
    <row r="85" spans="1:2">
      <c r="A85" s="1">
        <v>3</v>
      </c>
      <c r="B85" s="1" t="s">
        <v>7623</v>
      </c>
    </row>
    <row r="86" spans="1:2">
      <c r="A86" s="1">
        <v>4</v>
      </c>
      <c r="B86" s="1" t="s">
        <v>7617</v>
      </c>
    </row>
    <row r="87" spans="1:2">
      <c r="A87" s="1">
        <v>5</v>
      </c>
      <c r="B87" s="1" t="s">
        <v>7610</v>
      </c>
    </row>
    <row r="88" spans="1:2">
      <c r="A88" s="1">
        <v>6</v>
      </c>
      <c r="B88" s="1" t="s">
        <v>7604</v>
      </c>
    </row>
    <row r="89" spans="1:2">
      <c r="A89" s="1">
        <v>7</v>
      </c>
      <c r="B89" s="1" t="s">
        <v>7600</v>
      </c>
    </row>
    <row r="90" spans="1:2">
      <c r="A90" s="1">
        <v>8</v>
      </c>
      <c r="B90" s="1" t="s">
        <v>7593</v>
      </c>
    </row>
    <row r="91" spans="1:2">
      <c r="A91" s="1">
        <v>9</v>
      </c>
      <c r="B91" s="1" t="s">
        <v>7589</v>
      </c>
    </row>
    <row r="92" spans="1:2">
      <c r="A92" s="1">
        <v>10</v>
      </c>
      <c r="B92" s="1" t="s">
        <v>7585</v>
      </c>
    </row>
    <row r="94" spans="1:2">
      <c r="A94" s="1" t="s">
        <v>7612</v>
      </c>
    </row>
    <row r="95" spans="1:2">
      <c r="A95" s="1" t="s">
        <v>8785</v>
      </c>
      <c r="B95" s="514" t="s">
        <v>8713</v>
      </c>
    </row>
    <row r="96" spans="1:2">
      <c r="A96" s="1">
        <v>1</v>
      </c>
      <c r="B96" s="1" t="s">
        <v>7636</v>
      </c>
    </row>
    <row r="97" spans="1:2">
      <c r="A97" s="1">
        <v>2</v>
      </c>
      <c r="B97" s="1" t="s">
        <v>7630</v>
      </c>
    </row>
    <row r="98" spans="1:2">
      <c r="A98" s="1">
        <v>3</v>
      </c>
      <c r="B98" s="1" t="s">
        <v>7624</v>
      </c>
    </row>
    <row r="99" spans="1:2">
      <c r="A99" s="1">
        <v>4</v>
      </c>
      <c r="B99" s="1" t="s">
        <v>7618</v>
      </c>
    </row>
    <row r="100" spans="1:2">
      <c r="A100" s="1">
        <v>5</v>
      </c>
      <c r="B100" s="1" t="s">
        <v>7611</v>
      </c>
    </row>
    <row r="101" spans="1:2">
      <c r="A101" s="1">
        <v>6</v>
      </c>
      <c r="B101" s="1" t="s">
        <v>7605</v>
      </c>
    </row>
    <row r="102" spans="1:2">
      <c r="A102" s="1">
        <v>7</v>
      </c>
      <c r="B102" s="1" t="s">
        <v>7601</v>
      </c>
    </row>
    <row r="103" spans="1:2">
      <c r="A103" s="1">
        <v>8</v>
      </c>
      <c r="B103" s="1" t="s">
        <v>7594</v>
      </c>
    </row>
  </sheetData>
  <mergeCells count="3">
    <mergeCell ref="AJ2:AK2"/>
    <mergeCell ref="AN2:AO2"/>
    <mergeCell ref="P4:R4"/>
  </mergeCells>
  <pageMargins left="0.7" right="0.7" top="0.75" bottom="0.75" header="0.3" footer="0.3"/>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E070-BF86-4C09-8927-DAD598A4CBD1}">
  <sheetPr codeName="Аркуш7">
    <tabColor rgb="FF1D1DEB"/>
  </sheetPr>
  <dimension ref="A1:U9"/>
  <sheetViews>
    <sheetView zoomScale="70" zoomScaleNormal="70" workbookViewId="0">
      <selection activeCell="A15" sqref="A15:U29"/>
    </sheetView>
  </sheetViews>
  <sheetFormatPr defaultRowHeight="14.25"/>
  <cols>
    <col min="1" max="1" width="12" customWidth="1"/>
    <col min="2" max="2" width="13.109375" bestFit="1" customWidth="1"/>
    <col min="5" max="5" width="21.33203125" customWidth="1"/>
  </cols>
  <sheetData>
    <row r="1" spans="1:21">
      <c r="A1" t="s">
        <v>7936</v>
      </c>
      <c r="B1" t="s">
        <v>7935</v>
      </c>
      <c r="C1" t="s">
        <v>7934</v>
      </c>
      <c r="D1" t="s">
        <v>1644</v>
      </c>
      <c r="E1" t="s">
        <v>7933</v>
      </c>
      <c r="F1" t="s">
        <v>6891</v>
      </c>
      <c r="G1" t="s">
        <v>7932</v>
      </c>
      <c r="H1" t="s">
        <v>7931</v>
      </c>
      <c r="J1" t="s">
        <v>7930</v>
      </c>
      <c r="K1" t="s">
        <v>5648</v>
      </c>
      <c r="L1" t="s">
        <v>7929</v>
      </c>
      <c r="M1" t="s">
        <v>7928</v>
      </c>
      <c r="N1" t="s">
        <v>5642</v>
      </c>
      <c r="O1" t="s">
        <v>5641</v>
      </c>
      <c r="P1" t="s">
        <v>1881</v>
      </c>
      <c r="Q1" t="s">
        <v>7927</v>
      </c>
      <c r="R1" t="s">
        <v>7926</v>
      </c>
      <c r="S1" t="s">
        <v>7364</v>
      </c>
      <c r="T1" t="s">
        <v>5679</v>
      </c>
      <c r="U1" t="s">
        <v>7925</v>
      </c>
    </row>
    <row r="2" spans="1:21">
      <c r="A2" t="s">
        <v>7917</v>
      </c>
      <c r="B2" t="s">
        <v>7916</v>
      </c>
      <c r="C2">
        <v>1</v>
      </c>
      <c r="D2" t="s">
        <v>7915</v>
      </c>
      <c r="E2" t="s">
        <v>7914</v>
      </c>
      <c r="F2" t="s">
        <v>7913</v>
      </c>
      <c r="G2" t="s">
        <v>7912</v>
      </c>
      <c r="H2" t="s">
        <v>7911</v>
      </c>
      <c r="J2" t="s">
        <v>7910</v>
      </c>
      <c r="K2" t="s">
        <v>7909</v>
      </c>
      <c r="L2" t="s">
        <v>7908</v>
      </c>
      <c r="M2" t="s">
        <v>7907</v>
      </c>
      <c r="N2">
        <v>10</v>
      </c>
      <c r="O2" t="s">
        <v>7906</v>
      </c>
      <c r="P2">
        <v>30</v>
      </c>
      <c r="Q2" t="s">
        <v>7905</v>
      </c>
      <c r="S2" t="s">
        <v>7866</v>
      </c>
      <c r="T2" t="s">
        <v>7802</v>
      </c>
      <c r="U2" t="s">
        <v>7904</v>
      </c>
    </row>
    <row r="3" spans="1:21">
      <c r="A3" t="s">
        <v>7899</v>
      </c>
      <c r="B3" t="s">
        <v>7898</v>
      </c>
      <c r="C3">
        <v>2</v>
      </c>
      <c r="D3" t="s">
        <v>7897</v>
      </c>
      <c r="E3" t="s">
        <v>7896</v>
      </c>
      <c r="F3" t="s">
        <v>7895</v>
      </c>
      <c r="G3" t="s">
        <v>7894</v>
      </c>
      <c r="H3" t="s">
        <v>7893</v>
      </c>
      <c r="J3" t="s">
        <v>7892</v>
      </c>
      <c r="K3" t="s">
        <v>7850</v>
      </c>
      <c r="L3" t="s">
        <v>7891</v>
      </c>
      <c r="M3" t="s">
        <v>7890</v>
      </c>
      <c r="N3">
        <v>13</v>
      </c>
      <c r="O3" t="s">
        <v>7889</v>
      </c>
      <c r="P3">
        <v>30</v>
      </c>
      <c r="Q3" t="s">
        <v>7888</v>
      </c>
      <c r="R3" t="s">
        <v>7887</v>
      </c>
      <c r="S3" t="s">
        <v>7886</v>
      </c>
      <c r="T3" t="s">
        <v>7885</v>
      </c>
      <c r="U3" t="s">
        <v>7884</v>
      </c>
    </row>
    <row r="4" spans="1:21">
      <c r="A4" t="s">
        <v>7878</v>
      </c>
      <c r="B4" t="s">
        <v>7877</v>
      </c>
      <c r="C4">
        <v>3</v>
      </c>
      <c r="D4" t="s">
        <v>7876</v>
      </c>
      <c r="E4" t="s">
        <v>7875</v>
      </c>
      <c r="F4" t="s">
        <v>7874</v>
      </c>
      <c r="G4" t="s">
        <v>7873</v>
      </c>
      <c r="H4" t="s">
        <v>7872</v>
      </c>
      <c r="J4" t="s">
        <v>7871</v>
      </c>
      <c r="K4" t="s">
        <v>7850</v>
      </c>
      <c r="L4" t="s">
        <v>7870</v>
      </c>
      <c r="M4">
        <v>1</v>
      </c>
      <c r="N4">
        <v>15</v>
      </c>
      <c r="O4" t="s">
        <v>7869</v>
      </c>
      <c r="P4">
        <v>30</v>
      </c>
      <c r="Q4" t="s">
        <v>7868</v>
      </c>
      <c r="R4" t="s">
        <v>7867</v>
      </c>
      <c r="S4" t="s">
        <v>7866</v>
      </c>
      <c r="T4" t="s">
        <v>7786</v>
      </c>
      <c r="U4" t="s">
        <v>7865</v>
      </c>
    </row>
    <row r="5" spans="1:21">
      <c r="A5" t="s">
        <v>7858</v>
      </c>
      <c r="B5" t="s">
        <v>7857</v>
      </c>
      <c r="C5">
        <v>4</v>
      </c>
      <c r="D5" t="s">
        <v>7856</v>
      </c>
      <c r="E5" t="s">
        <v>7855</v>
      </c>
      <c r="F5" t="s">
        <v>7854</v>
      </c>
      <c r="G5" t="s">
        <v>7853</v>
      </c>
      <c r="H5" t="s">
        <v>7852</v>
      </c>
      <c r="J5" t="s">
        <v>7851</v>
      </c>
      <c r="K5" t="s">
        <v>7850</v>
      </c>
      <c r="L5" t="s">
        <v>7849</v>
      </c>
      <c r="M5" t="s">
        <v>7848</v>
      </c>
      <c r="N5">
        <v>13</v>
      </c>
      <c r="O5" t="s">
        <v>7847</v>
      </c>
      <c r="P5">
        <v>30</v>
      </c>
      <c r="Q5" t="s">
        <v>7846</v>
      </c>
      <c r="R5" t="s">
        <v>7845</v>
      </c>
      <c r="S5" t="s">
        <v>7844</v>
      </c>
      <c r="T5" t="s">
        <v>7820</v>
      </c>
      <c r="U5" t="s">
        <v>7843</v>
      </c>
    </row>
    <row r="6" spans="1:21">
      <c r="A6" t="s">
        <v>7835</v>
      </c>
      <c r="B6" t="s">
        <v>7834</v>
      </c>
      <c r="C6">
        <v>5</v>
      </c>
      <c r="D6" t="s">
        <v>7833</v>
      </c>
      <c r="E6" t="s">
        <v>7832</v>
      </c>
      <c r="F6" t="s">
        <v>7831</v>
      </c>
      <c r="G6" t="s">
        <v>7830</v>
      </c>
      <c r="H6" t="s">
        <v>7829</v>
      </c>
      <c r="J6" t="s">
        <v>7828</v>
      </c>
      <c r="K6" t="s">
        <v>7827</v>
      </c>
      <c r="L6" t="s">
        <v>7826</v>
      </c>
      <c r="M6" t="s">
        <v>7825</v>
      </c>
      <c r="N6">
        <v>10</v>
      </c>
      <c r="O6" t="s">
        <v>7824</v>
      </c>
      <c r="P6">
        <v>15</v>
      </c>
      <c r="Q6" t="s">
        <v>7823</v>
      </c>
      <c r="R6" t="s">
        <v>7822</v>
      </c>
      <c r="S6" t="s">
        <v>7821</v>
      </c>
      <c r="T6" t="s">
        <v>7820</v>
      </c>
      <c r="U6" t="s">
        <v>7819</v>
      </c>
    </row>
    <row r="7" spans="1:21">
      <c r="A7" t="s">
        <v>7812</v>
      </c>
      <c r="B7" t="s">
        <v>7811</v>
      </c>
      <c r="C7">
        <v>6</v>
      </c>
      <c r="D7" t="s">
        <v>7810</v>
      </c>
      <c r="J7" t="s">
        <v>7809</v>
      </c>
      <c r="K7" t="s">
        <v>7808</v>
      </c>
      <c r="L7" t="s">
        <v>7807</v>
      </c>
      <c r="M7" t="s">
        <v>7806</v>
      </c>
      <c r="N7">
        <v>9</v>
      </c>
      <c r="O7" t="s">
        <v>7805</v>
      </c>
      <c r="P7">
        <v>20</v>
      </c>
      <c r="Q7" t="s">
        <v>7804</v>
      </c>
      <c r="R7" t="s">
        <v>7803</v>
      </c>
      <c r="S7" t="s">
        <v>7787</v>
      </c>
      <c r="T7" t="s">
        <v>7802</v>
      </c>
      <c r="U7" t="s">
        <v>7801</v>
      </c>
    </row>
    <row r="8" spans="1:21">
      <c r="A8" t="s">
        <v>7796</v>
      </c>
      <c r="B8" t="s">
        <v>7795</v>
      </c>
      <c r="J8" t="s">
        <v>7794</v>
      </c>
      <c r="K8" t="s">
        <v>7793</v>
      </c>
      <c r="L8" t="s">
        <v>7792</v>
      </c>
      <c r="M8" t="s">
        <v>7791</v>
      </c>
      <c r="N8">
        <v>13</v>
      </c>
      <c r="O8" t="s">
        <v>7790</v>
      </c>
      <c r="P8">
        <v>20</v>
      </c>
      <c r="Q8" t="s">
        <v>7789</v>
      </c>
      <c r="R8" t="s">
        <v>7788</v>
      </c>
      <c r="S8" t="s">
        <v>7787</v>
      </c>
      <c r="T8" t="s">
        <v>7786</v>
      </c>
      <c r="U8" t="s">
        <v>7785</v>
      </c>
    </row>
    <row r="9" spans="1:21">
      <c r="J9" t="s">
        <v>7778</v>
      </c>
      <c r="K9" t="s">
        <v>7777</v>
      </c>
      <c r="L9" t="s">
        <v>7776</v>
      </c>
      <c r="M9" t="s">
        <v>7775</v>
      </c>
      <c r="N9">
        <v>12</v>
      </c>
      <c r="O9" t="s">
        <v>7774</v>
      </c>
      <c r="P9">
        <v>20</v>
      </c>
      <c r="Q9" t="s">
        <v>7773</v>
      </c>
      <c r="R9" t="s">
        <v>7772</v>
      </c>
      <c r="S9" t="s">
        <v>7771</v>
      </c>
      <c r="T9" t="s">
        <v>7770</v>
      </c>
      <c r="U9" t="s">
        <v>7769</v>
      </c>
    </row>
  </sheetData>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614D-9D5F-4AAB-81AE-EFF91B7A5C99}">
  <sheetPr>
    <tabColor rgb="FF7030A0"/>
    <pageSetUpPr fitToPage="1"/>
  </sheetPr>
  <dimension ref="A1:GC263"/>
  <sheetViews>
    <sheetView showGridLines="0" zoomScaleNormal="100" workbookViewId="0">
      <selection activeCell="C1108" sqref="C1079:C1108"/>
    </sheetView>
  </sheetViews>
  <sheetFormatPr defaultColWidth="0" defaultRowHeight="16.5" customHeight="1" zeroHeight="1"/>
  <cols>
    <col min="1" max="64" width="2.88671875" customWidth="1"/>
    <col min="65" max="185" width="2.88671875" hidden="1" customWidth="1"/>
    <col min="186" max="16384" width="8.88671875" hidden="1"/>
  </cols>
  <sheetData>
    <row r="1" spans="1:60" ht="16.5" customHeight="1">
      <c r="A1" s="810"/>
    </row>
    <row r="2" spans="1:60" ht="16.5" customHeight="1">
      <c r="A2" s="811"/>
    </row>
    <row r="3" spans="1:60" ht="16.5" customHeight="1">
      <c r="A3" s="811"/>
    </row>
    <row r="4" spans="1:60" ht="16.5" customHeight="1">
      <c r="A4" s="811"/>
    </row>
    <row r="5" spans="1:60" ht="16.5" customHeight="1">
      <c r="A5" s="811"/>
    </row>
    <row r="6" spans="1:60" ht="16.5" customHeight="1">
      <c r="A6" s="811"/>
    </row>
    <row r="7" spans="1:60" ht="16.5" customHeight="1">
      <c r="A7" s="811"/>
    </row>
    <row r="8" spans="1:60" ht="16.5" customHeight="1">
      <c r="A8" s="811"/>
    </row>
    <row r="9" spans="1:60" ht="16.5" customHeight="1">
      <c r="A9" s="811"/>
    </row>
    <row r="10" spans="1:60" ht="16.5" customHeight="1">
      <c r="A10" s="811"/>
    </row>
    <row r="11" spans="1:60" ht="16.5" customHeight="1">
      <c r="A11" s="811"/>
    </row>
    <row r="12" spans="1:60" ht="16.5" customHeight="1">
      <c r="A12" s="811"/>
    </row>
    <row r="13" spans="1:60" ht="16.5" customHeight="1">
      <c r="A13" s="811"/>
    </row>
    <row r="14" spans="1:60" ht="16.5" customHeight="1">
      <c r="A14" s="811"/>
    </row>
    <row r="15" spans="1:60" ht="16.5" customHeight="1">
      <c r="A15" s="811"/>
    </row>
    <row r="16" spans="1:60" ht="16.5" customHeight="1">
      <c r="A16" s="811"/>
    </row>
    <row r="17" spans="1:35" ht="16.5" customHeight="1">
      <c r="A17" s="811"/>
    </row>
    <row r="18" spans="1:35" ht="16.5" customHeight="1">
      <c r="A18" s="811"/>
    </row>
    <row r="19" spans="1:35" ht="16.5" customHeight="1">
      <c r="A19" s="811"/>
    </row>
    <row r="20" spans="1:35" ht="16.5" customHeight="1">
      <c r="A20" s="811"/>
    </row>
    <row r="21" spans="1:35" ht="16.5" customHeight="1">
      <c r="A21" s="811"/>
    </row>
    <row r="22" spans="1:35" ht="16.5" customHeight="1">
      <c r="A22" s="811"/>
    </row>
    <row r="23" spans="1:35" ht="16.5" customHeight="1">
      <c r="A23" s="811"/>
    </row>
    <row r="24" spans="1:35" ht="16.5" customHeight="1">
      <c r="A24" s="811"/>
    </row>
    <row r="25" spans="1:35" ht="16.5" customHeight="1">
      <c r="A25" s="811"/>
    </row>
    <row r="26" spans="1:35" ht="16.5" customHeight="1">
      <c r="A26" s="811"/>
    </row>
    <row r="27" spans="1:35" ht="16.5" customHeight="1">
      <c r="A27" s="811"/>
    </row>
    <row r="28" spans="1:35" ht="16.5" customHeight="1">
      <c r="A28" s="811"/>
    </row>
    <row r="29" spans="1:35" ht="16.5" customHeight="1">
      <c r="A29" s="811"/>
    </row>
    <row r="30" spans="1:35" ht="16.5" customHeight="1">
      <c r="A30" s="811"/>
    </row>
    <row r="31" spans="1:35" ht="16.5" customHeight="1">
      <c r="A31" s="811"/>
    </row>
    <row r="32" spans="1:35" ht="16.5" customHeight="1">
      <c r="A32" s="811"/>
    </row>
    <row r="33" spans="1:52" ht="16.5" customHeight="1">
      <c r="A33" s="811"/>
    </row>
    <row r="34" spans="1:52" ht="16.5" customHeight="1">
      <c r="A34" s="811"/>
    </row>
    <row r="35" spans="1:52" ht="16.5" customHeight="1">
      <c r="A35" s="811"/>
    </row>
    <row r="36" spans="1:52" ht="16.5" customHeight="1">
      <c r="A36" s="811"/>
    </row>
    <row r="37" spans="1:52" ht="16.5" customHeight="1">
      <c r="A37" s="811"/>
    </row>
    <row r="38" spans="1:52" ht="16.5" customHeight="1">
      <c r="A38" s="811"/>
    </row>
    <row r="39" spans="1:52" ht="16.5" customHeight="1">
      <c r="A39" s="811"/>
    </row>
    <row r="40" spans="1:52" ht="16.5" customHeight="1">
      <c r="A40" s="811"/>
    </row>
    <row r="41" spans="1:52" ht="16.5" customHeight="1">
      <c r="A41" s="811"/>
    </row>
    <row r="42" spans="1:52" ht="16.5" customHeight="1">
      <c r="A42" s="811"/>
    </row>
    <row r="43" spans="1:52" ht="16.5" customHeight="1">
      <c r="A43" s="811"/>
    </row>
    <row r="44" spans="1:52" ht="16.5" customHeight="1">
      <c r="A44" s="811"/>
    </row>
    <row r="45" spans="1:52" ht="16.5" customHeight="1">
      <c r="A45" s="811"/>
    </row>
    <row r="46" spans="1:52" ht="16.5" customHeight="1">
      <c r="A46" s="811"/>
    </row>
    <row r="47" spans="1:52" ht="16.5" customHeight="1"/>
    <row r="48" spans="1:52" ht="16.5" customHeight="1"/>
    <row r="49" ht="16.5" customHeight="1"/>
    <row r="50" ht="16.5" customHeight="1"/>
    <row r="51" ht="16.5" customHeight="1"/>
    <row r="93" spans="50:50" ht="16.5" hidden="1" customHeight="1"/>
    <row r="140" spans="168:171" ht="16.5" hidden="1" customHeight="1">
      <c r="FL140" s="1332"/>
      <c r="FM140" s="1332"/>
      <c r="FN140" s="1332"/>
      <c r="FO140" s="1332"/>
    </row>
    <row r="141" spans="168:171" ht="16.5" hidden="1" customHeight="1">
      <c r="FL141" s="1332"/>
      <c r="FM141" s="1332"/>
      <c r="FN141" s="1332"/>
      <c r="FO141" s="1332"/>
    </row>
    <row r="142" spans="168:171" ht="16.5" hidden="1" customHeight="1">
      <c r="FL142" s="1332"/>
      <c r="FM142" s="1332"/>
      <c r="FN142" s="1332"/>
      <c r="FO142" s="1332"/>
    </row>
    <row r="143" spans="168:171" ht="16.5" hidden="1" customHeight="1">
      <c r="FL143" s="1332"/>
      <c r="FM143" s="1332"/>
      <c r="FN143" s="1332"/>
      <c r="FO143" s="1332"/>
    </row>
    <row r="216" spans="125:127" ht="16.5" hidden="1" customHeight="1" thickBot="1"/>
    <row r="217" spans="125:127" ht="16.5" hidden="1" customHeight="1">
      <c r="DU217" s="1333"/>
      <c r="DV217" s="1331"/>
      <c r="DW217" s="1334"/>
    </row>
    <row r="218" spans="125:127" ht="16.5" hidden="1" customHeight="1">
      <c r="DU218" s="1335"/>
      <c r="DV218" s="1336"/>
      <c r="DW218" s="1337"/>
    </row>
    <row r="219" spans="125:127" ht="16.5" hidden="1" customHeight="1" thickBot="1">
      <c r="DU219" s="1338"/>
      <c r="DV219" s="1339"/>
      <c r="DW219" s="1340"/>
    </row>
    <row r="260" spans="112:114" ht="16.5" hidden="1" customHeight="1" thickBot="1"/>
    <row r="261" spans="112:114" ht="16.5" hidden="1" customHeight="1">
      <c r="DH261" s="818"/>
      <c r="DI261" s="812"/>
      <c r="DJ261" s="813"/>
    </row>
    <row r="262" spans="112:114" ht="16.5" hidden="1" customHeight="1">
      <c r="DH262" s="819"/>
      <c r="DI262" s="814"/>
      <c r="DJ262" s="815"/>
    </row>
    <row r="263" spans="112:114" ht="16.5" hidden="1" customHeight="1" thickBot="1">
      <c r="DH263" s="820"/>
      <c r="DI263" s="816"/>
      <c r="DJ263" s="817"/>
    </row>
  </sheetData>
  <mergeCells count="2">
    <mergeCell ref="FL140:FO143"/>
    <mergeCell ref="DU217:DW219"/>
  </mergeCells>
  <pageMargins left="0.25" right="0.25" top="0.75" bottom="0.75" header="0.3" footer="0.3"/>
  <pageSetup paperSize="9" scale="55" orientation="portrait" r:id="rId1"/>
  <drawing r:id="rId2"/>
  <legacyDrawing r:id="rId3"/>
  <pictur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037C8-A7CD-408C-AC63-192A8E22E058}">
  <sheetPr codeName="Аркуш49">
    <tabColor rgb="FFFFC000"/>
  </sheetPr>
  <dimension ref="B1:AI229"/>
  <sheetViews>
    <sheetView topLeftCell="A61" workbookViewId="0">
      <selection activeCell="BB9" sqref="AT1:BB9"/>
    </sheetView>
  </sheetViews>
  <sheetFormatPr defaultRowHeight="14.25"/>
  <cols>
    <col min="1" max="2" width="8.88671875" style="473"/>
    <col min="3" max="6" width="13.77734375" style="473" customWidth="1"/>
    <col min="7" max="8" width="8.88671875" style="473"/>
    <col min="9" max="9" width="9" style="473" customWidth="1"/>
    <col min="10" max="10" width="10.5546875" style="473" bestFit="1" customWidth="1"/>
    <col min="11" max="11" width="18.44140625" style="473" customWidth="1"/>
    <col min="12" max="16384" width="8.88671875" style="473"/>
  </cols>
  <sheetData>
    <row r="1" spans="2:34" ht="15" thickBot="1"/>
    <row r="2" spans="2:34" ht="16.5" thickTop="1" thickBot="1">
      <c r="B2" s="1341" t="str">
        <f ca="1">C4&amp;" "&amp;D4&amp;" "&amp;E4&amp;" "&amp;F4</f>
        <v>Order of the Once Broken Hammer(s)</v>
      </c>
      <c r="C2" s="1341"/>
      <c r="D2" s="1341"/>
      <c r="E2" s="1341"/>
      <c r="F2" s="1341"/>
    </row>
    <row r="3" spans="2:34" ht="15" thickTop="1"/>
    <row r="4" spans="2:34">
      <c r="C4" s="473" t="str">
        <f ca="1">INDEX(C6:C25,RANDBETWEEN(1,20),1)</f>
        <v>Order of the</v>
      </c>
      <c r="D4" s="473" t="str">
        <f ca="1">INDEX(D6:D25,RANDBETWEEN(1,20),1)</f>
        <v>Once</v>
      </c>
      <c r="E4" s="473" t="str">
        <f ca="1">INDEX(E6:E25,RANDBETWEEN(1,20),1)</f>
        <v>Broken</v>
      </c>
      <c r="F4" s="473" t="str">
        <f ca="1">INDEX(F6:F25,RANDBETWEEN(1,20),1)</f>
        <v>Hammer(s)</v>
      </c>
      <c r="I4" s="473" t="str">
        <f ca="1">INDEX(I6:I25,RANDBETWEEN(1,20),1)</f>
        <v>Furious</v>
      </c>
      <c r="J4" s="473" t="str">
        <f ca="1">INDEX(J6:J25,RANDBETWEEN(1,20),1)</f>
        <v>Leaping</v>
      </c>
      <c r="K4" s="473" t="str">
        <f ca="1">INDEX(K6:K25,RANDBETWEEN(1,20),1)</f>
        <v>Dodge</v>
      </c>
    </row>
    <row r="5" spans="2:34" ht="15" thickBot="1">
      <c r="B5" s="487" t="s">
        <v>7952</v>
      </c>
      <c r="C5" s="486" t="s">
        <v>7956</v>
      </c>
      <c r="D5" s="486" t="s">
        <v>7955</v>
      </c>
      <c r="E5" s="486" t="s">
        <v>7954</v>
      </c>
      <c r="F5" s="485" t="s">
        <v>7953</v>
      </c>
      <c r="H5" s="487" t="s">
        <v>7952</v>
      </c>
      <c r="I5" s="486" t="s">
        <v>7951</v>
      </c>
      <c r="J5" s="486" t="s">
        <v>7950</v>
      </c>
      <c r="K5" s="485" t="s">
        <v>7949</v>
      </c>
      <c r="N5" s="473" t="s">
        <v>7948</v>
      </c>
      <c r="W5" s="484" t="s">
        <v>7947</v>
      </c>
    </row>
    <row r="6" spans="2:34" ht="15" thickBot="1">
      <c r="B6" s="483">
        <v>1</v>
      </c>
      <c r="C6" s="482" t="s">
        <v>7725</v>
      </c>
      <c r="D6" s="482" t="s">
        <v>7946</v>
      </c>
      <c r="E6" s="482" t="s">
        <v>7945</v>
      </c>
      <c r="F6" s="481" t="s">
        <v>7944</v>
      </c>
      <c r="H6" s="483">
        <v>1</v>
      </c>
      <c r="I6" s="482" t="s">
        <v>7943</v>
      </c>
      <c r="J6" s="482" t="s">
        <v>7942</v>
      </c>
      <c r="K6" s="481" t="s">
        <v>7918</v>
      </c>
    </row>
    <row r="7" spans="2:34" ht="15" thickBot="1">
      <c r="B7" s="483">
        <v>2</v>
      </c>
      <c r="C7" s="482" t="s">
        <v>7731</v>
      </c>
      <c r="D7" s="482" t="s">
        <v>7941</v>
      </c>
      <c r="E7" s="482" t="s">
        <v>7940</v>
      </c>
      <c r="F7" s="481" t="s">
        <v>7939</v>
      </c>
      <c r="H7" s="483">
        <v>2</v>
      </c>
      <c r="I7" s="482" t="s">
        <v>7938</v>
      </c>
      <c r="J7" s="482" t="s">
        <v>7937</v>
      </c>
      <c r="K7" s="481" t="s">
        <v>7918</v>
      </c>
      <c r="N7" s="473" t="s">
        <v>7936</v>
      </c>
      <c r="O7" s="473" t="s">
        <v>7935</v>
      </c>
      <c r="P7" s="473" t="s">
        <v>7934</v>
      </c>
      <c r="Q7" s="473" t="s">
        <v>1644</v>
      </c>
      <c r="R7" s="473" t="s">
        <v>7933</v>
      </c>
      <c r="S7" s="473" t="s">
        <v>6891</v>
      </c>
      <c r="T7" s="473" t="s">
        <v>7932</v>
      </c>
      <c r="U7" s="473" t="s">
        <v>7931</v>
      </c>
      <c r="W7" s="473" t="s">
        <v>7930</v>
      </c>
      <c r="X7" s="473" t="s">
        <v>5648</v>
      </c>
      <c r="Y7" s="473" t="s">
        <v>7929</v>
      </c>
      <c r="Z7" s="473" t="s">
        <v>7928</v>
      </c>
      <c r="AA7" s="473" t="s">
        <v>5642</v>
      </c>
      <c r="AB7" s="473" t="s">
        <v>5641</v>
      </c>
      <c r="AC7" s="473" t="s">
        <v>1881</v>
      </c>
      <c r="AD7" s="473" t="s">
        <v>7927</v>
      </c>
      <c r="AE7" s="473" t="s">
        <v>7926</v>
      </c>
      <c r="AF7" s="473" t="s">
        <v>7364</v>
      </c>
      <c r="AG7" s="473" t="s">
        <v>5679</v>
      </c>
      <c r="AH7" s="473" t="s">
        <v>7925</v>
      </c>
    </row>
    <row r="8" spans="2:34" ht="15" thickBot="1">
      <c r="B8" s="483">
        <v>3</v>
      </c>
      <c r="C8" s="482" t="s">
        <v>7924</v>
      </c>
      <c r="D8" s="482" t="s">
        <v>7923</v>
      </c>
      <c r="E8" s="482" t="s">
        <v>7922</v>
      </c>
      <c r="F8" s="481" t="s">
        <v>7921</v>
      </c>
      <c r="H8" s="483">
        <v>3</v>
      </c>
      <c r="I8" s="482" t="s">
        <v>7920</v>
      </c>
      <c r="J8" s="482" t="s">
        <v>7919</v>
      </c>
      <c r="K8" s="481" t="s">
        <v>7918</v>
      </c>
      <c r="N8" s="473" t="s">
        <v>7917</v>
      </c>
      <c r="O8" s="473" t="s">
        <v>7916</v>
      </c>
      <c r="P8" s="473">
        <v>1</v>
      </c>
      <c r="Q8" s="473" t="s">
        <v>7915</v>
      </c>
      <c r="R8" s="473" t="s">
        <v>7914</v>
      </c>
      <c r="S8" s="473" t="s">
        <v>7913</v>
      </c>
      <c r="T8" s="473" t="s">
        <v>7912</v>
      </c>
      <c r="U8" s="473" t="s">
        <v>7911</v>
      </c>
      <c r="W8" s="473" t="s">
        <v>7910</v>
      </c>
      <c r="X8" s="473" t="s">
        <v>7909</v>
      </c>
      <c r="Y8" s="473" t="s">
        <v>7908</v>
      </c>
      <c r="Z8" s="473" t="s">
        <v>7907</v>
      </c>
      <c r="AA8" s="473">
        <v>10</v>
      </c>
      <c r="AB8" s="473" t="s">
        <v>7906</v>
      </c>
      <c r="AC8" s="473">
        <v>30</v>
      </c>
      <c r="AD8" s="473" t="s">
        <v>7905</v>
      </c>
      <c r="AF8" s="473" t="s">
        <v>7866</v>
      </c>
      <c r="AG8" s="473" t="s">
        <v>7802</v>
      </c>
      <c r="AH8" s="473" t="s">
        <v>7904</v>
      </c>
    </row>
    <row r="9" spans="2:34" ht="15" thickBot="1">
      <c r="B9" s="483">
        <v>4</v>
      </c>
      <c r="C9" s="482" t="s">
        <v>7719</v>
      </c>
      <c r="D9" s="482" t="s">
        <v>7903</v>
      </c>
      <c r="E9" s="482" t="s">
        <v>703</v>
      </c>
      <c r="F9" s="481" t="s">
        <v>7902</v>
      </c>
      <c r="H9" s="483">
        <v>4</v>
      </c>
      <c r="I9" s="482" t="s">
        <v>7901</v>
      </c>
      <c r="J9" s="482" t="s">
        <v>7900</v>
      </c>
      <c r="K9" s="481" t="s">
        <v>5832</v>
      </c>
      <c r="N9" s="473" t="s">
        <v>7899</v>
      </c>
      <c r="O9" s="473" t="s">
        <v>7898</v>
      </c>
      <c r="P9" s="473">
        <v>2</v>
      </c>
      <c r="Q9" s="473" t="s">
        <v>7897</v>
      </c>
      <c r="R9" s="473" t="s">
        <v>7896</v>
      </c>
      <c r="S9" s="473" t="s">
        <v>7895</v>
      </c>
      <c r="T9" s="473" t="s">
        <v>7894</v>
      </c>
      <c r="U9" s="473" t="s">
        <v>7893</v>
      </c>
      <c r="W9" s="473" t="s">
        <v>7892</v>
      </c>
      <c r="X9" s="473" t="s">
        <v>7850</v>
      </c>
      <c r="Y9" s="473" t="s">
        <v>7891</v>
      </c>
      <c r="Z9" s="473" t="s">
        <v>7890</v>
      </c>
      <c r="AA9" s="473">
        <v>13</v>
      </c>
      <c r="AB9" s="473" t="s">
        <v>7889</v>
      </c>
      <c r="AC9" s="473">
        <v>30</v>
      </c>
      <c r="AD9" s="473" t="s">
        <v>7888</v>
      </c>
      <c r="AE9" s="473" t="s">
        <v>7887</v>
      </c>
      <c r="AF9" s="473" t="s">
        <v>7886</v>
      </c>
      <c r="AG9" s="473" t="s">
        <v>7885</v>
      </c>
      <c r="AH9" s="473" t="s">
        <v>7884</v>
      </c>
    </row>
    <row r="10" spans="2:34" ht="15" thickBot="1">
      <c r="B10" s="483">
        <v>5</v>
      </c>
      <c r="C10" s="482" t="s">
        <v>7883</v>
      </c>
      <c r="D10" s="482" t="s">
        <v>7882</v>
      </c>
      <c r="E10" s="482" t="s">
        <v>7881</v>
      </c>
      <c r="F10" s="481" t="s">
        <v>7880</v>
      </c>
      <c r="H10" s="483">
        <v>5</v>
      </c>
      <c r="I10" s="482" t="s">
        <v>3737</v>
      </c>
      <c r="J10" s="482" t="s">
        <v>7879</v>
      </c>
      <c r="K10" s="481" t="s">
        <v>7836</v>
      </c>
      <c r="N10" s="473" t="s">
        <v>7878</v>
      </c>
      <c r="O10" s="473" t="s">
        <v>7877</v>
      </c>
      <c r="P10" s="473">
        <v>3</v>
      </c>
      <c r="Q10" s="473" t="s">
        <v>7876</v>
      </c>
      <c r="R10" s="473" t="s">
        <v>7875</v>
      </c>
      <c r="S10" s="473" t="s">
        <v>7874</v>
      </c>
      <c r="T10" s="473" t="s">
        <v>7873</v>
      </c>
      <c r="U10" s="473" t="s">
        <v>7872</v>
      </c>
      <c r="W10" s="473" t="s">
        <v>7871</v>
      </c>
      <c r="X10" s="473" t="s">
        <v>7850</v>
      </c>
      <c r="Y10" s="473" t="s">
        <v>7870</v>
      </c>
      <c r="Z10" s="473">
        <v>1</v>
      </c>
      <c r="AA10" s="473">
        <v>15</v>
      </c>
      <c r="AB10" s="473" t="s">
        <v>7869</v>
      </c>
      <c r="AC10" s="473">
        <v>30</v>
      </c>
      <c r="AD10" s="473" t="s">
        <v>7868</v>
      </c>
      <c r="AE10" s="473" t="s">
        <v>7867</v>
      </c>
      <c r="AF10" s="473" t="s">
        <v>7866</v>
      </c>
      <c r="AG10" s="473" t="s">
        <v>7786</v>
      </c>
      <c r="AH10" s="473" t="s">
        <v>7865</v>
      </c>
    </row>
    <row r="11" spans="2:34" ht="15" thickBot="1">
      <c r="B11" s="483">
        <v>6</v>
      </c>
      <c r="C11" s="482" t="s">
        <v>7864</v>
      </c>
      <c r="D11" s="482" t="s">
        <v>7863</v>
      </c>
      <c r="E11" s="482" t="s">
        <v>7862</v>
      </c>
      <c r="F11" s="481" t="s">
        <v>7861</v>
      </c>
      <c r="H11" s="483">
        <v>6</v>
      </c>
      <c r="I11" s="482" t="s">
        <v>7860</v>
      </c>
      <c r="J11" s="482" t="s">
        <v>7859</v>
      </c>
      <c r="K11" s="481" t="s">
        <v>7836</v>
      </c>
      <c r="N11" s="473" t="s">
        <v>7858</v>
      </c>
      <c r="O11" s="473" t="s">
        <v>7857</v>
      </c>
      <c r="P11" s="473">
        <v>4</v>
      </c>
      <c r="Q11" s="473" t="s">
        <v>7856</v>
      </c>
      <c r="R11" s="473" t="s">
        <v>7855</v>
      </c>
      <c r="S11" s="473" t="s">
        <v>7854</v>
      </c>
      <c r="T11" s="473" t="s">
        <v>7853</v>
      </c>
      <c r="U11" s="473" t="s">
        <v>7852</v>
      </c>
      <c r="W11" s="473" t="s">
        <v>7851</v>
      </c>
      <c r="X11" s="473" t="s">
        <v>7850</v>
      </c>
      <c r="Y11" s="473" t="s">
        <v>7849</v>
      </c>
      <c r="Z11" s="473" t="s">
        <v>7848</v>
      </c>
      <c r="AA11" s="473">
        <v>13</v>
      </c>
      <c r="AB11" s="473" t="s">
        <v>7847</v>
      </c>
      <c r="AC11" s="473">
        <v>30</v>
      </c>
      <c r="AD11" s="473" t="s">
        <v>7846</v>
      </c>
      <c r="AE11" s="473" t="s">
        <v>7845</v>
      </c>
      <c r="AF11" s="473" t="s">
        <v>7844</v>
      </c>
      <c r="AG11" s="473" t="s">
        <v>7820</v>
      </c>
      <c r="AH11" s="473" t="s">
        <v>7843</v>
      </c>
    </row>
    <row r="12" spans="2:34" ht="15" thickBot="1">
      <c r="B12" s="483">
        <v>7</v>
      </c>
      <c r="C12" s="482" t="s">
        <v>7842</v>
      </c>
      <c r="D12" s="482" t="s">
        <v>7841</v>
      </c>
      <c r="E12" s="482" t="s">
        <v>7840</v>
      </c>
      <c r="F12" s="481" t="s">
        <v>7839</v>
      </c>
      <c r="H12" s="483">
        <v>7</v>
      </c>
      <c r="I12" s="482" t="s">
        <v>7838</v>
      </c>
      <c r="J12" s="482" t="s">
        <v>7837</v>
      </c>
      <c r="K12" s="481" t="s">
        <v>7836</v>
      </c>
      <c r="N12" s="473" t="s">
        <v>7835</v>
      </c>
      <c r="O12" s="473" t="s">
        <v>7834</v>
      </c>
      <c r="P12" s="473">
        <v>5</v>
      </c>
      <c r="Q12" s="473" t="s">
        <v>7833</v>
      </c>
      <c r="R12" s="473" t="s">
        <v>7832</v>
      </c>
      <c r="S12" s="473" t="s">
        <v>7831</v>
      </c>
      <c r="T12" s="473" t="s">
        <v>7830</v>
      </c>
      <c r="U12" s="473" t="s">
        <v>7829</v>
      </c>
      <c r="W12" s="473" t="s">
        <v>7828</v>
      </c>
      <c r="X12" s="473" t="s">
        <v>7827</v>
      </c>
      <c r="Y12" s="473" t="s">
        <v>7826</v>
      </c>
      <c r="Z12" s="473" t="s">
        <v>7825</v>
      </c>
      <c r="AA12" s="473">
        <v>10</v>
      </c>
      <c r="AB12" s="473" t="s">
        <v>7824</v>
      </c>
      <c r="AC12" s="473">
        <v>15</v>
      </c>
      <c r="AD12" s="473" t="s">
        <v>7823</v>
      </c>
      <c r="AE12" s="473" t="s">
        <v>7822</v>
      </c>
      <c r="AF12" s="473" t="s">
        <v>7821</v>
      </c>
      <c r="AG12" s="473" t="s">
        <v>7820</v>
      </c>
      <c r="AH12" s="473" t="s">
        <v>7819</v>
      </c>
    </row>
    <row r="13" spans="2:34" ht="15" thickBot="1">
      <c r="B13" s="483">
        <v>8</v>
      </c>
      <c r="C13" s="482" t="s">
        <v>7818</v>
      </c>
      <c r="D13" s="482" t="s">
        <v>7817</v>
      </c>
      <c r="E13" s="482" t="s">
        <v>7816</v>
      </c>
      <c r="F13" s="481" t="s">
        <v>7815</v>
      </c>
      <c r="H13" s="483">
        <v>8</v>
      </c>
      <c r="I13" s="482" t="s">
        <v>7814</v>
      </c>
      <c r="J13" s="482" t="s">
        <v>7813</v>
      </c>
      <c r="K13" s="481" t="s">
        <v>5833</v>
      </c>
      <c r="N13" s="473" t="s">
        <v>7812</v>
      </c>
      <c r="O13" s="473" t="s">
        <v>7811</v>
      </c>
      <c r="P13" s="473">
        <v>6</v>
      </c>
      <c r="Q13" s="473" t="s">
        <v>7810</v>
      </c>
      <c r="W13" s="473" t="s">
        <v>7809</v>
      </c>
      <c r="X13" s="473" t="s">
        <v>7808</v>
      </c>
      <c r="Y13" s="473" t="s">
        <v>7807</v>
      </c>
      <c r="Z13" s="473" t="s">
        <v>7806</v>
      </c>
      <c r="AA13" s="473">
        <v>9</v>
      </c>
      <c r="AB13" s="473" t="s">
        <v>7805</v>
      </c>
      <c r="AC13" s="473">
        <v>20</v>
      </c>
      <c r="AD13" s="473" t="s">
        <v>7804</v>
      </c>
      <c r="AE13" s="473" t="s">
        <v>7803</v>
      </c>
      <c r="AF13" s="473" t="s">
        <v>7787</v>
      </c>
      <c r="AG13" s="473" t="s">
        <v>7802</v>
      </c>
      <c r="AH13" s="473" t="s">
        <v>7801</v>
      </c>
    </row>
    <row r="14" spans="2:34" ht="15" thickBot="1">
      <c r="B14" s="483">
        <v>9</v>
      </c>
      <c r="C14" s="482" t="s">
        <v>7800</v>
      </c>
      <c r="D14" s="482" t="s">
        <v>7799</v>
      </c>
      <c r="E14" s="482" t="s">
        <v>7798</v>
      </c>
      <c r="F14" s="481" t="s">
        <v>7797</v>
      </c>
      <c r="H14" s="483">
        <v>9</v>
      </c>
      <c r="I14" s="482" t="s">
        <v>5812</v>
      </c>
      <c r="J14" s="482" t="s">
        <v>6561</v>
      </c>
      <c r="K14" s="481" t="s">
        <v>7762</v>
      </c>
      <c r="N14" s="473" t="s">
        <v>7796</v>
      </c>
      <c r="O14" s="473" t="s">
        <v>7795</v>
      </c>
      <c r="W14" s="473" t="s">
        <v>7794</v>
      </c>
      <c r="X14" s="473" t="s">
        <v>7793</v>
      </c>
      <c r="Y14" s="473" t="s">
        <v>7792</v>
      </c>
      <c r="Z14" s="473" t="s">
        <v>7791</v>
      </c>
      <c r="AA14" s="473">
        <v>13</v>
      </c>
      <c r="AB14" s="473" t="s">
        <v>7790</v>
      </c>
      <c r="AC14" s="473">
        <v>20</v>
      </c>
      <c r="AD14" s="473" t="s">
        <v>7789</v>
      </c>
      <c r="AE14" s="473" t="s">
        <v>7788</v>
      </c>
      <c r="AF14" s="473" t="s">
        <v>7787</v>
      </c>
      <c r="AG14" s="473" t="s">
        <v>7786</v>
      </c>
      <c r="AH14" s="473" t="s">
        <v>7785</v>
      </c>
    </row>
    <row r="15" spans="2:34" ht="15" thickBot="1">
      <c r="B15" s="483">
        <v>10</v>
      </c>
      <c r="C15" s="482" t="s">
        <v>7784</v>
      </c>
      <c r="D15" s="482" t="s">
        <v>7783</v>
      </c>
      <c r="E15" s="482" t="s">
        <v>7782</v>
      </c>
      <c r="F15" s="481" t="s">
        <v>7781</v>
      </c>
      <c r="H15" s="483">
        <v>10</v>
      </c>
      <c r="I15" s="482" t="s">
        <v>7780</v>
      </c>
      <c r="J15" s="482" t="s">
        <v>7779</v>
      </c>
      <c r="K15" s="481" t="s">
        <v>7762</v>
      </c>
      <c r="W15" s="473" t="s">
        <v>7778</v>
      </c>
      <c r="X15" s="473" t="s">
        <v>7777</v>
      </c>
      <c r="Y15" s="473" t="s">
        <v>7776</v>
      </c>
      <c r="Z15" s="473" t="s">
        <v>7775</v>
      </c>
      <c r="AA15" s="473">
        <v>12</v>
      </c>
      <c r="AB15" s="473" t="s">
        <v>7774</v>
      </c>
      <c r="AC15" s="473">
        <v>20</v>
      </c>
      <c r="AD15" s="473" t="s">
        <v>7773</v>
      </c>
      <c r="AE15" s="473" t="s">
        <v>7772</v>
      </c>
      <c r="AF15" s="473" t="s">
        <v>7771</v>
      </c>
      <c r="AG15" s="473" t="s">
        <v>7770</v>
      </c>
      <c r="AH15" s="473" t="s">
        <v>7769</v>
      </c>
    </row>
    <row r="16" spans="2:34" ht="15" thickBot="1">
      <c r="B16" s="483">
        <v>11</v>
      </c>
      <c r="C16" s="482" t="s">
        <v>7768</v>
      </c>
      <c r="D16" s="482" t="s">
        <v>7767</v>
      </c>
      <c r="E16" s="482" t="s">
        <v>7766</v>
      </c>
      <c r="F16" s="481" t="s">
        <v>7765</v>
      </c>
      <c r="H16" s="483">
        <v>11</v>
      </c>
      <c r="I16" s="482" t="s">
        <v>7764</v>
      </c>
      <c r="J16" s="482" t="s">
        <v>7763</v>
      </c>
      <c r="K16" s="481" t="s">
        <v>7762</v>
      </c>
    </row>
    <row r="17" spans="2:11" ht="15" thickBot="1">
      <c r="B17" s="483">
        <v>12</v>
      </c>
      <c r="C17" s="482" t="s">
        <v>7761</v>
      </c>
      <c r="D17" s="482" t="s">
        <v>7760</v>
      </c>
      <c r="E17" s="482" t="s">
        <v>7759</v>
      </c>
      <c r="F17" s="481" t="s">
        <v>7758</v>
      </c>
      <c r="H17" s="483">
        <v>12</v>
      </c>
      <c r="I17" s="482" t="s">
        <v>7757</v>
      </c>
      <c r="J17" s="482" t="s">
        <v>7756</v>
      </c>
      <c r="K17" s="481" t="s">
        <v>7755</v>
      </c>
    </row>
    <row r="18" spans="2:11" ht="15" thickBot="1">
      <c r="B18" s="483">
        <v>13</v>
      </c>
      <c r="C18" s="482" t="s">
        <v>7754</v>
      </c>
      <c r="D18" s="482" t="s">
        <v>7753</v>
      </c>
      <c r="E18" s="482" t="s">
        <v>5807</v>
      </c>
      <c r="F18" s="481" t="s">
        <v>7752</v>
      </c>
      <c r="H18" s="483">
        <v>13</v>
      </c>
      <c r="I18" s="482" t="s">
        <v>7751</v>
      </c>
      <c r="J18" s="482" t="s">
        <v>7750</v>
      </c>
      <c r="K18" s="481" t="s">
        <v>7739</v>
      </c>
    </row>
    <row r="19" spans="2:11" ht="15" thickBot="1">
      <c r="B19" s="483">
        <v>14</v>
      </c>
      <c r="C19" s="482" t="s">
        <v>7713</v>
      </c>
      <c r="D19" s="482" t="s">
        <v>7749</v>
      </c>
      <c r="E19" s="482" t="s">
        <v>7748</v>
      </c>
      <c r="F19" s="481" t="s">
        <v>7747</v>
      </c>
      <c r="H19" s="483">
        <v>14</v>
      </c>
      <c r="I19" s="482" t="s">
        <v>7746</v>
      </c>
      <c r="J19" s="482" t="s">
        <v>7745</v>
      </c>
      <c r="K19" s="481" t="s">
        <v>7739</v>
      </c>
    </row>
    <row r="20" spans="2:11" ht="15" thickBot="1">
      <c r="B20" s="483">
        <v>15</v>
      </c>
      <c r="C20" s="482" t="s">
        <v>7744</v>
      </c>
      <c r="D20" s="482" t="s">
        <v>7743</v>
      </c>
      <c r="E20" s="482" t="s">
        <v>7742</v>
      </c>
      <c r="F20" s="481" t="s">
        <v>7741</v>
      </c>
      <c r="H20" s="483">
        <v>15</v>
      </c>
      <c r="I20" s="482" t="s">
        <v>7740</v>
      </c>
      <c r="J20" s="482" t="s">
        <v>3576</v>
      </c>
      <c r="K20" s="481" t="s">
        <v>7739</v>
      </c>
    </row>
    <row r="21" spans="2:11" ht="15" thickBot="1">
      <c r="B21" s="483">
        <v>16</v>
      </c>
      <c r="C21" s="482" t="s">
        <v>7738</v>
      </c>
      <c r="D21" s="482" t="s">
        <v>7737</v>
      </c>
      <c r="E21" s="482" t="s">
        <v>7736</v>
      </c>
      <c r="F21" s="481" t="s">
        <v>7735</v>
      </c>
      <c r="H21" s="483">
        <v>16</v>
      </c>
      <c r="I21" s="482" t="s">
        <v>7734</v>
      </c>
      <c r="J21" s="482" t="s">
        <v>7733</v>
      </c>
      <c r="K21" s="481" t="s">
        <v>7732</v>
      </c>
    </row>
    <row r="22" spans="2:11" ht="15" thickBot="1">
      <c r="B22" s="483">
        <v>17</v>
      </c>
      <c r="C22" s="482" t="s">
        <v>7731</v>
      </c>
      <c r="D22" s="482" t="s">
        <v>7730</v>
      </c>
      <c r="E22" s="482" t="s">
        <v>7729</v>
      </c>
      <c r="F22" s="481" t="s">
        <v>7728</v>
      </c>
      <c r="H22" s="483">
        <v>17</v>
      </c>
      <c r="I22" s="482" t="s">
        <v>7727</v>
      </c>
      <c r="J22" s="482" t="s">
        <v>7726</v>
      </c>
      <c r="K22" s="481" t="s">
        <v>7714</v>
      </c>
    </row>
    <row r="23" spans="2:11" ht="15" thickBot="1">
      <c r="B23" s="483">
        <v>18</v>
      </c>
      <c r="C23" s="482" t="s">
        <v>7725</v>
      </c>
      <c r="D23" s="482" t="s">
        <v>7724</v>
      </c>
      <c r="E23" s="482" t="s">
        <v>7723</v>
      </c>
      <c r="F23" s="481" t="s">
        <v>7722</v>
      </c>
      <c r="H23" s="483">
        <v>18</v>
      </c>
      <c r="I23" s="482" t="s">
        <v>7721</v>
      </c>
      <c r="J23" s="482" t="s">
        <v>7720</v>
      </c>
      <c r="K23" s="481" t="s">
        <v>7714</v>
      </c>
    </row>
    <row r="24" spans="2:11" ht="15" thickBot="1">
      <c r="B24" s="483">
        <v>19</v>
      </c>
      <c r="C24" s="482" t="s">
        <v>7719</v>
      </c>
      <c r="D24" s="482" t="s">
        <v>7718</v>
      </c>
      <c r="E24" s="482" t="s">
        <v>7717</v>
      </c>
      <c r="F24" s="481" t="s">
        <v>7716</v>
      </c>
      <c r="H24" s="483">
        <v>19</v>
      </c>
      <c r="I24" s="482" t="s">
        <v>7715</v>
      </c>
      <c r="J24" s="482" t="s">
        <v>5809</v>
      </c>
      <c r="K24" s="481" t="s">
        <v>7714</v>
      </c>
    </row>
    <row r="25" spans="2:11">
      <c r="B25" s="480">
        <v>20</v>
      </c>
      <c r="C25" s="479" t="s">
        <v>7713</v>
      </c>
      <c r="D25" s="479" t="s">
        <v>7712</v>
      </c>
      <c r="E25" s="479" t="s">
        <v>7711</v>
      </c>
      <c r="F25" s="478" t="s">
        <v>7710</v>
      </c>
      <c r="H25" s="480">
        <v>20</v>
      </c>
      <c r="I25" s="479" t="s">
        <v>7709</v>
      </c>
      <c r="J25" s="479" t="s">
        <v>7708</v>
      </c>
      <c r="K25" s="478" t="s">
        <v>6129</v>
      </c>
    </row>
    <row r="33" spans="3:30" ht="16.5">
      <c r="C33" s="474"/>
      <c r="D33" s="474" t="s">
        <v>7707</v>
      </c>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row>
    <row r="34" spans="3:30" ht="16.5">
      <c r="C34" s="474"/>
      <c r="D34" s="474" t="s">
        <v>7574</v>
      </c>
      <c r="E34" s="474" t="s">
        <v>7573</v>
      </c>
      <c r="F34" s="474"/>
      <c r="G34" s="474"/>
      <c r="H34" s="474" t="s">
        <v>551</v>
      </c>
      <c r="I34" s="474" t="s">
        <v>7706</v>
      </c>
      <c r="J34" s="474" t="s">
        <v>7705</v>
      </c>
      <c r="K34" s="474"/>
      <c r="L34" s="474" t="s">
        <v>7704</v>
      </c>
      <c r="M34" s="474" t="s">
        <v>5652</v>
      </c>
      <c r="N34" s="474" t="s">
        <v>7703</v>
      </c>
      <c r="O34" s="474"/>
      <c r="P34" s="474" t="s">
        <v>551</v>
      </c>
      <c r="Q34" s="474" t="s">
        <v>7702</v>
      </c>
      <c r="R34" s="474" t="s">
        <v>7701</v>
      </c>
      <c r="S34" s="474" t="s">
        <v>7700</v>
      </c>
      <c r="T34" s="474"/>
      <c r="U34" s="474"/>
      <c r="V34" s="474"/>
      <c r="W34" s="474"/>
      <c r="X34" s="474"/>
      <c r="Y34" s="474"/>
      <c r="Z34" s="474"/>
      <c r="AA34" s="474"/>
      <c r="AB34" s="474"/>
      <c r="AC34" s="474"/>
      <c r="AD34" s="474"/>
    </row>
    <row r="35" spans="3:30" ht="16.5">
      <c r="C35" s="474"/>
      <c r="D35" s="474" t="s">
        <v>7699</v>
      </c>
      <c r="E35" s="474" t="s">
        <v>7698</v>
      </c>
      <c r="F35" s="474"/>
      <c r="G35" s="474"/>
      <c r="H35" s="474" t="s">
        <v>7371</v>
      </c>
      <c r="I35" s="474" t="s">
        <v>2315</v>
      </c>
      <c r="J35" s="474">
        <v>1000</v>
      </c>
      <c r="K35" s="474"/>
      <c r="L35" s="474" t="s">
        <v>7697</v>
      </c>
      <c r="M35" s="474" t="s">
        <v>7696</v>
      </c>
      <c r="N35" s="474">
        <v>0.5</v>
      </c>
      <c r="O35" s="474"/>
      <c r="P35" s="474" t="s">
        <v>7695</v>
      </c>
      <c r="Q35" s="474">
        <v>0.5</v>
      </c>
      <c r="R35" s="474">
        <v>0.1</v>
      </c>
      <c r="S35" s="474">
        <v>0</v>
      </c>
      <c r="T35" s="474"/>
      <c r="U35" s="474"/>
      <c r="V35" s="474"/>
      <c r="W35" s="474"/>
      <c r="X35" s="474"/>
      <c r="Y35" s="474"/>
      <c r="Z35" s="474"/>
      <c r="AA35" s="474"/>
      <c r="AB35" s="474"/>
      <c r="AC35" s="474"/>
      <c r="AD35" s="474"/>
    </row>
    <row r="36" spans="3:30" ht="18">
      <c r="C36" s="474"/>
      <c r="D36" s="476" t="s">
        <v>7694</v>
      </c>
      <c r="E36" s="476" t="s">
        <v>7693</v>
      </c>
      <c r="F36" s="474"/>
      <c r="G36" s="474"/>
      <c r="H36" s="474" t="s">
        <v>7692</v>
      </c>
      <c r="I36" s="474" t="s">
        <v>2315</v>
      </c>
      <c r="J36" s="474">
        <v>100</v>
      </c>
      <c r="K36" s="474"/>
      <c r="L36" s="477" t="s">
        <v>7691</v>
      </c>
      <c r="M36" s="474" t="s">
        <v>7690</v>
      </c>
      <c r="N36" s="474">
        <v>0.2</v>
      </c>
      <c r="O36" s="474"/>
      <c r="P36" s="474" t="s">
        <v>7689</v>
      </c>
      <c r="Q36" s="474">
        <v>0.75</v>
      </c>
      <c r="R36" s="474">
        <v>0.5</v>
      </c>
      <c r="S36" s="474">
        <v>0.25</v>
      </c>
      <c r="T36" s="474"/>
      <c r="U36" s="474"/>
      <c r="V36" s="474"/>
      <c r="W36" s="474"/>
      <c r="X36" s="474"/>
      <c r="Y36" s="474"/>
      <c r="Z36" s="474"/>
      <c r="AA36" s="474"/>
      <c r="AB36" s="474"/>
      <c r="AC36" s="474"/>
      <c r="AD36" s="474"/>
    </row>
    <row r="37" spans="3:30" ht="18">
      <c r="C37" s="474"/>
      <c r="D37" s="476" t="s">
        <v>7688</v>
      </c>
      <c r="E37" s="476" t="s">
        <v>7682</v>
      </c>
      <c r="F37" s="474"/>
      <c r="G37" s="474"/>
      <c r="H37" s="474" t="s">
        <v>7687</v>
      </c>
      <c r="I37" s="474" t="s">
        <v>2315</v>
      </c>
      <c r="J37" s="474">
        <v>500</v>
      </c>
      <c r="K37" s="474"/>
      <c r="L37" s="477" t="s">
        <v>7686</v>
      </c>
      <c r="M37" s="474" t="s">
        <v>6247</v>
      </c>
      <c r="N37" s="474" t="s">
        <v>7685</v>
      </c>
      <c r="O37" s="474"/>
      <c r="P37" s="474" t="s">
        <v>7684</v>
      </c>
      <c r="Q37" s="474">
        <v>0.9</v>
      </c>
      <c r="R37" s="474">
        <v>0.75</v>
      </c>
      <c r="S37" s="474">
        <v>0.5</v>
      </c>
      <c r="T37" s="474"/>
      <c r="U37" s="474"/>
      <c r="V37" s="474"/>
      <c r="W37" s="474"/>
      <c r="X37" s="474"/>
      <c r="Y37" s="474"/>
      <c r="Z37" s="474"/>
      <c r="AA37" s="474"/>
      <c r="AB37" s="474"/>
      <c r="AC37" s="474"/>
      <c r="AD37" s="474"/>
    </row>
    <row r="38" spans="3:30" ht="18">
      <c r="C38" s="474"/>
      <c r="D38" s="476" t="s">
        <v>7683</v>
      </c>
      <c r="E38" s="476" t="s">
        <v>7682</v>
      </c>
      <c r="F38" s="474"/>
      <c r="G38" s="474"/>
      <c r="H38" s="474" t="s">
        <v>7681</v>
      </c>
      <c r="I38" s="474" t="s">
        <v>2315</v>
      </c>
      <c r="J38" s="474">
        <v>750</v>
      </c>
      <c r="K38" s="474"/>
      <c r="L38" s="474" t="s">
        <v>7680</v>
      </c>
      <c r="M38" s="474" t="s">
        <v>7679</v>
      </c>
      <c r="N38" s="474">
        <v>-0.1</v>
      </c>
      <c r="O38" s="474"/>
      <c r="P38" s="474" t="s">
        <v>7678</v>
      </c>
      <c r="Q38" s="474">
        <v>1</v>
      </c>
      <c r="R38" s="474">
        <v>0.9</v>
      </c>
      <c r="S38" s="474">
        <v>0.75</v>
      </c>
      <c r="T38" s="474"/>
      <c r="U38" s="474"/>
      <c r="V38" s="474"/>
      <c r="W38" s="474"/>
      <c r="X38" s="474"/>
      <c r="Y38" s="474"/>
      <c r="Z38" s="474"/>
      <c r="AA38" s="474"/>
      <c r="AB38" s="474"/>
      <c r="AC38" s="474"/>
      <c r="AD38" s="474"/>
    </row>
    <row r="39" spans="3:30" ht="16.5">
      <c r="C39" s="474"/>
      <c r="D39" s="474" t="s">
        <v>7677</v>
      </c>
      <c r="E39" s="474">
        <v>2</v>
      </c>
      <c r="F39" s="474"/>
      <c r="G39" s="474"/>
      <c r="H39" s="474" t="s">
        <v>7676</v>
      </c>
      <c r="I39" s="474" t="s">
        <v>2315</v>
      </c>
      <c r="J39" s="474">
        <v>150</v>
      </c>
      <c r="K39" s="474"/>
      <c r="L39" s="474" t="s">
        <v>7675</v>
      </c>
      <c r="M39" s="474" t="s">
        <v>7674</v>
      </c>
      <c r="N39" s="474">
        <v>-0.2</v>
      </c>
      <c r="O39" s="474"/>
      <c r="P39" s="474"/>
      <c r="Q39" s="474"/>
      <c r="R39" s="474"/>
      <c r="S39" s="474"/>
      <c r="T39" s="474"/>
      <c r="U39" s="474"/>
      <c r="V39" s="474"/>
      <c r="W39" s="474"/>
      <c r="X39" s="474"/>
      <c r="Y39" s="474"/>
      <c r="Z39" s="474"/>
      <c r="AA39" s="474"/>
      <c r="AB39" s="474"/>
      <c r="AC39" s="474"/>
      <c r="AD39" s="474"/>
    </row>
    <row r="40" spans="3:30" ht="16.5">
      <c r="C40" s="474"/>
      <c r="D40" s="474" t="s">
        <v>7673</v>
      </c>
      <c r="E40" s="474">
        <v>3</v>
      </c>
      <c r="F40" s="474"/>
      <c r="G40" s="474"/>
      <c r="H40" s="474" t="s">
        <v>7667</v>
      </c>
      <c r="I40" s="474" t="s">
        <v>7672</v>
      </c>
      <c r="J40" s="474">
        <v>80</v>
      </c>
      <c r="K40" s="474"/>
      <c r="L40" s="474"/>
      <c r="M40" s="474"/>
      <c r="N40" s="474"/>
      <c r="O40" s="474"/>
      <c r="P40" s="474" t="s">
        <v>7669</v>
      </c>
      <c r="Q40" s="474" t="s">
        <v>7665</v>
      </c>
      <c r="R40" s="474" t="s">
        <v>7663</v>
      </c>
      <c r="S40" s="474"/>
      <c r="T40" s="474"/>
      <c r="U40" s="474"/>
      <c r="V40" s="474"/>
      <c r="W40" s="474"/>
      <c r="X40" s="474"/>
      <c r="Y40" s="474"/>
      <c r="Z40" s="474"/>
      <c r="AA40" s="474"/>
      <c r="AB40" s="474"/>
      <c r="AC40" s="474"/>
      <c r="AD40" s="474"/>
    </row>
    <row r="41" spans="3:30" ht="16.5">
      <c r="C41" s="474"/>
      <c r="D41" s="474" t="s">
        <v>7671</v>
      </c>
      <c r="E41" s="474">
        <v>5</v>
      </c>
      <c r="F41" s="474"/>
      <c r="G41" s="474"/>
      <c r="H41" s="474" t="s">
        <v>7667</v>
      </c>
      <c r="I41" s="474" t="s">
        <v>7670</v>
      </c>
      <c r="J41" s="474">
        <v>20</v>
      </c>
      <c r="K41" s="474"/>
      <c r="L41" s="474"/>
      <c r="M41" s="474"/>
      <c r="N41" s="474"/>
      <c r="O41" s="474"/>
      <c r="P41" s="474">
        <v>2</v>
      </c>
      <c r="Q41" s="474">
        <v>1</v>
      </c>
      <c r="R41" s="474">
        <v>1</v>
      </c>
      <c r="S41" s="474"/>
      <c r="T41" s="474" t="s">
        <v>7669</v>
      </c>
      <c r="U41" s="474" t="s">
        <v>8374</v>
      </c>
      <c r="V41" s="474"/>
      <c r="W41" s="474"/>
      <c r="X41" s="474"/>
      <c r="Y41" s="474"/>
      <c r="Z41" s="474"/>
      <c r="AA41" s="474"/>
      <c r="AB41" s="474"/>
      <c r="AC41" s="474"/>
      <c r="AD41" s="474"/>
    </row>
    <row r="42" spans="3:30" ht="16.5">
      <c r="C42" s="474"/>
      <c r="D42" s="474" t="s">
        <v>7668</v>
      </c>
      <c r="E42" s="474">
        <v>4</v>
      </c>
      <c r="F42" s="474"/>
      <c r="G42" s="474"/>
      <c r="H42" s="474" t="s">
        <v>7667</v>
      </c>
      <c r="I42" s="474" t="s">
        <v>7666</v>
      </c>
      <c r="J42" s="474">
        <v>8</v>
      </c>
      <c r="K42" s="474"/>
      <c r="L42" s="474"/>
      <c r="M42" s="474"/>
      <c r="N42" s="474"/>
      <c r="O42" s="474"/>
      <c r="P42" s="474">
        <v>3</v>
      </c>
      <c r="Q42" s="474">
        <v>1</v>
      </c>
      <c r="R42" s="474">
        <v>2</v>
      </c>
      <c r="S42" s="474"/>
      <c r="T42" s="474" t="s">
        <v>7665</v>
      </c>
      <c r="U42" s="474" t="e">
        <f>INDEX(Q41:Q51,MATCH(U41,P41:P51,0),1)</f>
        <v>#N/A</v>
      </c>
      <c r="V42" s="474"/>
      <c r="W42" s="474"/>
      <c r="X42" s="474"/>
      <c r="Y42" s="474"/>
      <c r="Z42" s="474"/>
      <c r="AA42" s="474"/>
      <c r="AB42" s="474"/>
      <c r="AC42" s="474"/>
      <c r="AD42" s="474"/>
    </row>
    <row r="43" spans="3:30" ht="16.5">
      <c r="C43" s="474"/>
      <c r="D43" s="474" t="s">
        <v>7664</v>
      </c>
      <c r="E43" s="474">
        <v>10</v>
      </c>
      <c r="F43" s="474"/>
      <c r="G43" s="474"/>
      <c r="H43" s="474" t="s">
        <v>7347</v>
      </c>
      <c r="I43" s="474" t="s">
        <v>2315</v>
      </c>
      <c r="J43" s="474">
        <v>2000</v>
      </c>
      <c r="K43" s="474"/>
      <c r="L43" s="474"/>
      <c r="M43" s="474"/>
      <c r="N43" s="474"/>
      <c r="O43" s="474"/>
      <c r="P43" s="474">
        <v>4</v>
      </c>
      <c r="Q43" s="474">
        <v>1</v>
      </c>
      <c r="R43" s="474">
        <v>3</v>
      </c>
      <c r="S43" s="474"/>
      <c r="T43" s="474" t="s">
        <v>7663</v>
      </c>
      <c r="U43" s="474" t="e">
        <f>INDEX(R41:R51,MATCH(U41,P41:P51,0),1)</f>
        <v>#N/A</v>
      </c>
      <c r="V43" s="474"/>
      <c r="W43" s="474"/>
      <c r="X43" s="474"/>
      <c r="Y43" s="474"/>
      <c r="Z43" s="474"/>
      <c r="AA43" s="474"/>
      <c r="AB43" s="474"/>
      <c r="AC43" s="474"/>
      <c r="AD43" s="474"/>
    </row>
    <row r="44" spans="3:30" ht="16.5">
      <c r="C44" s="474"/>
      <c r="D44" s="474" t="s">
        <v>7662</v>
      </c>
      <c r="E44" s="474">
        <v>10</v>
      </c>
      <c r="F44" s="474"/>
      <c r="G44" s="474"/>
      <c r="H44" s="474" t="s">
        <v>7657</v>
      </c>
      <c r="I44" s="474" t="s">
        <v>7661</v>
      </c>
      <c r="J44" s="474">
        <v>2</v>
      </c>
      <c r="K44" s="474"/>
      <c r="L44" s="474"/>
      <c r="M44" s="474"/>
      <c r="N44" s="474"/>
      <c r="O44" s="474"/>
      <c r="P44" s="474">
        <v>5</v>
      </c>
      <c r="Q44" s="474">
        <v>1</v>
      </c>
      <c r="R44" s="474">
        <v>4</v>
      </c>
      <c r="S44" s="474"/>
      <c r="T44" s="474"/>
      <c r="U44" s="474"/>
      <c r="V44" s="474"/>
      <c r="W44" s="474"/>
      <c r="X44" s="474"/>
      <c r="Y44" s="474"/>
      <c r="Z44" s="474"/>
      <c r="AA44" s="474"/>
      <c r="AB44" s="474"/>
      <c r="AC44" s="474"/>
      <c r="AD44" s="474"/>
    </row>
    <row r="45" spans="3:30" ht="16.5">
      <c r="C45" s="474"/>
      <c r="D45" s="474" t="s">
        <v>7660</v>
      </c>
      <c r="E45" s="474">
        <v>15</v>
      </c>
      <c r="F45" s="474"/>
      <c r="G45" s="474"/>
      <c r="H45" s="474" t="s">
        <v>7657</v>
      </c>
      <c r="I45" s="474" t="s">
        <v>7368</v>
      </c>
      <c r="J45" s="474">
        <v>10</v>
      </c>
      <c r="K45" s="474"/>
      <c r="L45" s="474"/>
      <c r="M45" s="474"/>
      <c r="N45" s="474"/>
      <c r="O45" s="474"/>
      <c r="P45" s="474">
        <v>6</v>
      </c>
      <c r="Q45" s="474">
        <v>2</v>
      </c>
      <c r="R45" s="474">
        <v>2</v>
      </c>
      <c r="S45" s="474"/>
      <c r="T45" s="474"/>
      <c r="U45" s="474"/>
      <c r="V45" s="474"/>
      <c r="W45" s="474"/>
      <c r="X45" s="474"/>
      <c r="Y45" s="474"/>
      <c r="Z45" s="474"/>
      <c r="AA45" s="474"/>
      <c r="AB45" s="474"/>
      <c r="AC45" s="474"/>
      <c r="AD45" s="474"/>
    </row>
    <row r="46" spans="3:30" ht="16.5">
      <c r="C46" s="474"/>
      <c r="D46" s="474" t="s">
        <v>7659</v>
      </c>
      <c r="E46" s="474">
        <v>20</v>
      </c>
      <c r="F46" s="474"/>
      <c r="G46" s="474"/>
      <c r="H46" s="474" t="s">
        <v>7657</v>
      </c>
      <c r="I46" s="474" t="s">
        <v>699</v>
      </c>
      <c r="J46" s="474">
        <v>250</v>
      </c>
      <c r="K46" s="474"/>
      <c r="L46" s="474"/>
      <c r="M46" s="474"/>
      <c r="N46" s="474"/>
      <c r="O46" s="474"/>
      <c r="P46" s="474">
        <v>7</v>
      </c>
      <c r="Q46" s="474">
        <v>2</v>
      </c>
      <c r="R46" s="474">
        <v>3</v>
      </c>
      <c r="S46" s="474"/>
      <c r="T46" s="474"/>
      <c r="U46" s="474"/>
      <c r="V46" s="474"/>
      <c r="W46" s="474"/>
      <c r="X46" s="474"/>
      <c r="Y46" s="474"/>
      <c r="Z46" s="474"/>
      <c r="AA46" s="474"/>
      <c r="AB46" s="474"/>
      <c r="AC46" s="474"/>
      <c r="AD46" s="474"/>
    </row>
    <row r="47" spans="3:30" ht="16.5">
      <c r="C47" s="474"/>
      <c r="D47" s="474" t="s">
        <v>7658</v>
      </c>
      <c r="E47" s="474">
        <v>15</v>
      </c>
      <c r="F47" s="474"/>
      <c r="G47" s="474"/>
      <c r="H47" s="474" t="s">
        <v>7657</v>
      </c>
      <c r="I47" s="474" t="s">
        <v>7656</v>
      </c>
      <c r="J47" s="474">
        <v>150</v>
      </c>
      <c r="K47" s="474"/>
      <c r="L47" s="474"/>
      <c r="M47" s="474"/>
      <c r="N47" s="474"/>
      <c r="O47" s="474"/>
      <c r="P47" s="474">
        <v>8</v>
      </c>
      <c r="Q47" s="474">
        <v>2</v>
      </c>
      <c r="R47" s="474">
        <v>4</v>
      </c>
      <c r="S47" s="474"/>
      <c r="T47" s="474"/>
      <c r="U47" s="474"/>
      <c r="V47" s="474"/>
      <c r="W47" s="474"/>
      <c r="X47" s="474"/>
      <c r="Y47" s="474"/>
      <c r="Z47" s="474"/>
      <c r="AA47" s="474"/>
      <c r="AB47" s="474"/>
      <c r="AC47" s="474"/>
      <c r="AD47" s="474"/>
    </row>
    <row r="48" spans="3:30" ht="16.5">
      <c r="C48" s="474"/>
      <c r="D48" s="474" t="s">
        <v>7655</v>
      </c>
      <c r="E48" s="474">
        <v>5</v>
      </c>
      <c r="F48" s="474"/>
      <c r="G48" s="474"/>
      <c r="H48" s="474" t="s">
        <v>7654</v>
      </c>
      <c r="I48" s="474" t="s">
        <v>2315</v>
      </c>
      <c r="J48" s="474">
        <v>2000</v>
      </c>
      <c r="K48" s="474"/>
      <c r="L48" s="474"/>
      <c r="M48" s="474"/>
      <c r="N48" s="474"/>
      <c r="O48" s="474"/>
      <c r="P48" s="474">
        <v>9</v>
      </c>
      <c r="Q48" s="474">
        <v>3</v>
      </c>
      <c r="R48" s="474">
        <v>2</v>
      </c>
      <c r="S48" s="474"/>
      <c r="T48" s="474"/>
      <c r="U48" s="474"/>
      <c r="V48" s="474"/>
      <c r="W48" s="474"/>
      <c r="X48" s="474"/>
      <c r="Y48" s="474"/>
      <c r="Z48" s="474"/>
      <c r="AA48" s="474"/>
      <c r="AB48" s="474"/>
      <c r="AC48" s="474"/>
      <c r="AD48" s="474"/>
    </row>
    <row r="49" spans="3:30" ht="16.5">
      <c r="C49" s="474"/>
      <c r="D49" s="474" t="s">
        <v>7653</v>
      </c>
      <c r="E49" s="474">
        <v>7</v>
      </c>
      <c r="F49" s="474"/>
      <c r="G49" s="474"/>
      <c r="H49" s="474" t="s">
        <v>7652</v>
      </c>
      <c r="I49" s="474" t="s">
        <v>2315</v>
      </c>
      <c r="J49" s="474">
        <v>8</v>
      </c>
      <c r="K49" s="474"/>
      <c r="L49" s="474"/>
      <c r="M49" s="474"/>
      <c r="N49" s="474"/>
      <c r="O49" s="474"/>
      <c r="P49" s="474">
        <v>10</v>
      </c>
      <c r="Q49" s="474">
        <v>3</v>
      </c>
      <c r="R49" s="474">
        <v>3</v>
      </c>
      <c r="S49" s="474"/>
      <c r="T49" s="474"/>
      <c r="U49" s="474"/>
      <c r="V49" s="474"/>
      <c r="W49" s="474"/>
      <c r="X49" s="474"/>
      <c r="Y49" s="474"/>
      <c r="Z49" s="474"/>
      <c r="AA49" s="474"/>
      <c r="AB49" s="474"/>
      <c r="AC49" s="474"/>
      <c r="AD49" s="474"/>
    </row>
    <row r="50" spans="3:30" ht="16.5">
      <c r="C50" s="474"/>
      <c r="D50" s="474" t="s">
        <v>7651</v>
      </c>
      <c r="E50" s="474">
        <v>4</v>
      </c>
      <c r="F50" s="474"/>
      <c r="G50" s="474"/>
      <c r="H50" s="474" t="s">
        <v>7650</v>
      </c>
      <c r="I50" s="474" t="s">
        <v>7649</v>
      </c>
      <c r="J50" s="474">
        <v>500</v>
      </c>
      <c r="K50" s="474"/>
      <c r="L50" s="474"/>
      <c r="M50" s="474"/>
      <c r="N50" s="474"/>
      <c r="O50" s="474"/>
      <c r="P50" s="474">
        <v>11</v>
      </c>
      <c r="Q50" s="474">
        <v>3</v>
      </c>
      <c r="R50" s="474">
        <v>4</v>
      </c>
      <c r="S50" s="474"/>
      <c r="T50" s="474"/>
      <c r="U50" s="474"/>
      <c r="V50" s="474"/>
      <c r="W50" s="474"/>
      <c r="X50" s="474"/>
      <c r="Y50" s="474"/>
      <c r="Z50" s="474"/>
      <c r="AA50" s="474"/>
      <c r="AB50" s="474"/>
      <c r="AC50" s="474"/>
      <c r="AD50" s="474"/>
    </row>
    <row r="51" spans="3:30" ht="16.5">
      <c r="C51" s="474"/>
      <c r="D51" s="474" t="s">
        <v>7648</v>
      </c>
      <c r="E51" s="474">
        <v>6</v>
      </c>
      <c r="F51" s="474"/>
      <c r="G51" s="474"/>
      <c r="H51" s="474"/>
      <c r="I51" s="474"/>
      <c r="J51" s="474"/>
      <c r="K51" s="474"/>
      <c r="L51" s="474"/>
      <c r="M51" s="474"/>
      <c r="N51" s="474"/>
      <c r="O51" s="474"/>
      <c r="P51" s="474">
        <v>12</v>
      </c>
      <c r="Q51" s="474">
        <v>3</v>
      </c>
      <c r="R51" s="474">
        <v>5</v>
      </c>
      <c r="S51" s="474"/>
      <c r="T51" s="474"/>
      <c r="U51" s="474"/>
      <c r="V51" s="474"/>
      <c r="W51" s="474"/>
      <c r="X51" s="474"/>
      <c r="Y51" s="474"/>
      <c r="Z51" s="474"/>
      <c r="AA51" s="474"/>
      <c r="AB51" s="474"/>
      <c r="AC51" s="474"/>
      <c r="AD51" s="474"/>
    </row>
    <row r="52" spans="3:30" ht="16.5">
      <c r="C52" s="474"/>
      <c r="D52" s="474" t="s">
        <v>7647</v>
      </c>
      <c r="E52" s="474">
        <v>10</v>
      </c>
      <c r="F52" s="474"/>
      <c r="G52" s="474"/>
      <c r="H52" s="474"/>
      <c r="I52" s="474"/>
      <c r="J52" s="474"/>
      <c r="K52" s="474"/>
      <c r="L52" s="474"/>
      <c r="M52" s="474"/>
      <c r="N52" s="474"/>
      <c r="O52" s="474"/>
      <c r="P52" s="474"/>
      <c r="Q52" s="474"/>
      <c r="R52" s="474"/>
      <c r="S52" s="474"/>
      <c r="T52" s="474"/>
      <c r="U52" s="474"/>
      <c r="V52" s="474"/>
      <c r="W52" s="474"/>
      <c r="X52" s="474"/>
      <c r="Y52" s="474"/>
      <c r="Z52" s="474"/>
      <c r="AA52" s="474"/>
      <c r="AB52" s="474"/>
      <c r="AC52" s="474"/>
      <c r="AD52" s="474"/>
    </row>
    <row r="53" spans="3:30" ht="16.5">
      <c r="C53" s="474"/>
      <c r="D53" s="474" t="s">
        <v>7646</v>
      </c>
      <c r="E53" s="474">
        <v>20</v>
      </c>
      <c r="F53" s="474"/>
      <c r="G53" s="474"/>
      <c r="H53" s="474"/>
      <c r="I53" s="474"/>
      <c r="J53" s="474"/>
      <c r="K53" s="474"/>
      <c r="L53" s="474"/>
      <c r="M53" s="474"/>
      <c r="N53" s="474"/>
      <c r="O53" s="474"/>
      <c r="P53" s="474" t="s">
        <v>7642</v>
      </c>
      <c r="Q53" s="474" t="str" cm="1">
        <f t="array" aca="1" ref="Q53" ca="1">INDEX(W55:W64,RANDBETWEEN(1,10))</f>
        <v>Insects</v>
      </c>
      <c r="R53" s="474"/>
      <c r="S53" s="474" t="s">
        <v>7612</v>
      </c>
      <c r="T53" s="474" t="str" cm="1">
        <f t="array" aca="1" ref="T53" ca="1">INDEX(T55:T62,RANDBETWEEN(1,8))</f>
        <v>Fungi</v>
      </c>
      <c r="U53" s="474"/>
      <c r="V53" s="474" t="s">
        <v>7606</v>
      </c>
      <c r="W53" s="474" t="str" cm="1">
        <f t="array" aca="1" ref="W53" ca="1">INDEX(W55:W64,RANDBETWEEN(1,10))</f>
        <v>Amphibians</v>
      </c>
      <c r="X53" s="474"/>
      <c r="Y53" s="474" t="s">
        <v>7595</v>
      </c>
      <c r="Z53" s="474" t="str" cm="1">
        <f t="array" aca="1" ref="Z53" ca="1">INDEX(Z55:Z62,RANDBETWEEN(1,8))</f>
        <v>Planes (Outer)</v>
      </c>
      <c r="AA53" s="474"/>
      <c r="AB53" s="474" t="s">
        <v>7586</v>
      </c>
      <c r="AC53" s="474" t="str" cm="1">
        <f t="array" aca="1" ref="AC53" ca="1">INDEX(AC55:AC66,RANDBETWEEN(1,12))</f>
        <v>Geography</v>
      </c>
      <c r="AD53" s="474"/>
    </row>
    <row r="54" spans="3:30" ht="16.5">
      <c r="C54" s="474"/>
      <c r="D54" s="474" t="s">
        <v>7645</v>
      </c>
      <c r="E54" s="474">
        <v>30</v>
      </c>
      <c r="F54" s="474"/>
      <c r="G54" s="474"/>
      <c r="H54" s="474" t="s">
        <v>7644</v>
      </c>
      <c r="I54" s="474" t="s">
        <v>7643</v>
      </c>
      <c r="J54" s="474" t="s">
        <v>7573</v>
      </c>
      <c r="K54" s="474" t="s">
        <v>551</v>
      </c>
      <c r="L54" s="474"/>
      <c r="M54" s="474"/>
      <c r="N54" s="474"/>
      <c r="O54" s="474"/>
      <c r="P54" s="474" t="s">
        <v>7641</v>
      </c>
      <c r="Q54" s="474" t="s">
        <v>7642</v>
      </c>
      <c r="R54" s="474"/>
      <c r="S54" s="474" t="s">
        <v>7640</v>
      </c>
      <c r="T54" s="474" t="s">
        <v>7612</v>
      </c>
      <c r="U54" s="474"/>
      <c r="V54" s="474" t="s">
        <v>7641</v>
      </c>
      <c r="W54" s="474" t="s">
        <v>7606</v>
      </c>
      <c r="X54" s="474"/>
      <c r="Y54" s="474" t="s">
        <v>7640</v>
      </c>
      <c r="Z54" s="474" t="s">
        <v>7595</v>
      </c>
      <c r="AA54" s="474"/>
      <c r="AB54" s="474" t="s">
        <v>7639</v>
      </c>
      <c r="AC54" s="474" t="s">
        <v>7586</v>
      </c>
      <c r="AD54" s="474"/>
    </row>
    <row r="55" spans="3:30" ht="16.5">
      <c r="C55" s="474"/>
      <c r="D55" s="474" t="s">
        <v>7638</v>
      </c>
      <c r="E55" s="474">
        <v>5</v>
      </c>
      <c r="F55" s="474"/>
      <c r="G55" s="474"/>
      <c r="H55" s="474">
        <f>1/8</f>
        <v>0.125</v>
      </c>
      <c r="I55" s="474">
        <v>1</v>
      </c>
      <c r="J55" s="474">
        <f>Таблиця2167[[#This Row],[GP / DAY]]*30</f>
        <v>30</v>
      </c>
      <c r="K55" s="474" t="s">
        <v>7637</v>
      </c>
      <c r="L55" s="474"/>
      <c r="M55" s="474"/>
      <c r="N55" s="474"/>
      <c r="O55" s="474"/>
      <c r="P55" s="474">
        <v>1</v>
      </c>
      <c r="Q55" s="474" t="s">
        <v>7625</v>
      </c>
      <c r="R55" s="474"/>
      <c r="S55" s="474">
        <v>1</v>
      </c>
      <c r="T55" s="474" t="s">
        <v>7636</v>
      </c>
      <c r="U55" s="474"/>
      <c r="V55" s="474">
        <v>1</v>
      </c>
      <c r="W55" s="474" t="s">
        <v>7635</v>
      </c>
      <c r="X55" s="474"/>
      <c r="Y55" s="474">
        <v>1</v>
      </c>
      <c r="Z55" s="474" t="s">
        <v>7634</v>
      </c>
      <c r="AA55" s="474"/>
      <c r="AB55" s="474">
        <v>1</v>
      </c>
      <c r="AC55" s="474" t="s">
        <v>7628</v>
      </c>
      <c r="AD55" s="474"/>
    </row>
    <row r="56" spans="3:30" ht="16.5">
      <c r="C56" s="474"/>
      <c r="D56" s="474" t="s">
        <v>7633</v>
      </c>
      <c r="E56" s="474">
        <v>6</v>
      </c>
      <c r="F56" s="474"/>
      <c r="G56" s="474"/>
      <c r="H56" s="474" t="s">
        <v>7632</v>
      </c>
      <c r="I56" s="474">
        <v>1.5</v>
      </c>
      <c r="J56" s="474">
        <f>Таблиця2167[[#This Row],[GP / DAY]]*30</f>
        <v>45</v>
      </c>
      <c r="K56" s="474" t="s">
        <v>7631</v>
      </c>
      <c r="L56" s="474"/>
      <c r="M56" s="474"/>
      <c r="N56" s="474"/>
      <c r="O56" s="474"/>
      <c r="P56" s="474">
        <v>2</v>
      </c>
      <c r="Q56" s="474" t="s">
        <v>7625</v>
      </c>
      <c r="R56" s="474"/>
      <c r="S56" s="474">
        <v>2</v>
      </c>
      <c r="T56" s="474" t="s">
        <v>7630</v>
      </c>
      <c r="U56" s="474"/>
      <c r="V56" s="474">
        <v>2</v>
      </c>
      <c r="W56" s="474" t="s">
        <v>7629</v>
      </c>
      <c r="X56" s="474"/>
      <c r="Y56" s="474">
        <v>2</v>
      </c>
      <c r="Z56" s="474" t="s">
        <v>5825</v>
      </c>
      <c r="AA56" s="474"/>
      <c r="AB56" s="474">
        <v>2</v>
      </c>
      <c r="AC56" s="474" t="s">
        <v>7628</v>
      </c>
      <c r="AD56" s="474"/>
    </row>
    <row r="57" spans="3:30" ht="16.5">
      <c r="C57" s="474"/>
      <c r="D57" s="474" t="s">
        <v>7627</v>
      </c>
      <c r="E57" s="474">
        <v>15</v>
      </c>
      <c r="F57" s="474"/>
      <c r="G57" s="474"/>
      <c r="H57" s="474">
        <v>1</v>
      </c>
      <c r="I57" s="474">
        <v>2</v>
      </c>
      <c r="J57" s="474">
        <f>Таблиця2167[[#This Row],[GP / DAY]]*30</f>
        <v>60</v>
      </c>
      <c r="K57" s="474" t="s">
        <v>7626</v>
      </c>
      <c r="L57" s="474"/>
      <c r="M57" s="474"/>
      <c r="N57" s="474"/>
      <c r="O57" s="474"/>
      <c r="P57" s="474">
        <v>3</v>
      </c>
      <c r="Q57" s="474" t="s">
        <v>7625</v>
      </c>
      <c r="R57" s="474"/>
      <c r="S57" s="474">
        <v>3</v>
      </c>
      <c r="T57" s="474" t="s">
        <v>7624</v>
      </c>
      <c r="U57" s="474"/>
      <c r="V57" s="474">
        <v>3</v>
      </c>
      <c r="W57" s="474" t="s">
        <v>7623</v>
      </c>
      <c r="X57" s="474"/>
      <c r="Y57" s="474">
        <v>3</v>
      </c>
      <c r="Z57" s="474" t="s">
        <v>7616</v>
      </c>
      <c r="AA57" s="474"/>
      <c r="AB57" s="474">
        <v>3</v>
      </c>
      <c r="AC57" s="474" t="s">
        <v>7622</v>
      </c>
      <c r="AD57" s="474"/>
    </row>
    <row r="58" spans="3:30" ht="16.5">
      <c r="C58" s="474"/>
      <c r="D58" s="474" t="s">
        <v>7621</v>
      </c>
      <c r="E58" s="474">
        <v>5</v>
      </c>
      <c r="F58" s="474"/>
      <c r="G58" s="474"/>
      <c r="H58" s="474">
        <v>2</v>
      </c>
      <c r="I58" s="474">
        <v>3</v>
      </c>
      <c r="J58" s="474">
        <f>Таблиця2167[[#This Row],[GP / DAY]]*30</f>
        <v>90</v>
      </c>
      <c r="K58" s="474" t="s">
        <v>7620</v>
      </c>
      <c r="L58" s="474"/>
      <c r="M58" s="474"/>
      <c r="N58" s="474"/>
      <c r="O58" s="474"/>
      <c r="P58" s="474">
        <v>4</v>
      </c>
      <c r="Q58" s="474" t="s">
        <v>7619</v>
      </c>
      <c r="R58" s="474"/>
      <c r="S58" s="474">
        <v>4</v>
      </c>
      <c r="T58" s="474" t="s">
        <v>7618</v>
      </c>
      <c r="U58" s="474"/>
      <c r="V58" s="474">
        <v>4</v>
      </c>
      <c r="W58" s="474" t="s">
        <v>7617</v>
      </c>
      <c r="X58" s="474"/>
      <c r="Y58" s="474">
        <v>4</v>
      </c>
      <c r="Z58" s="474" t="s">
        <v>7616</v>
      </c>
      <c r="AA58" s="474"/>
      <c r="AB58" s="474">
        <v>4</v>
      </c>
      <c r="AC58" s="474" t="s">
        <v>7615</v>
      </c>
      <c r="AD58" s="474"/>
    </row>
    <row r="59" spans="3:30" ht="16.5">
      <c r="C59" s="474"/>
      <c r="D59" s="474" t="s">
        <v>7614</v>
      </c>
      <c r="E59" s="474">
        <v>8</v>
      </c>
      <c r="F59" s="474"/>
      <c r="G59" s="474"/>
      <c r="H59" s="474">
        <v>3</v>
      </c>
      <c r="I59" s="474">
        <v>4</v>
      </c>
      <c r="J59" s="474">
        <f>Таблиця2167[[#This Row],[GP / DAY]]*30</f>
        <v>120</v>
      </c>
      <c r="K59" s="474" t="s">
        <v>7613</v>
      </c>
      <c r="L59" s="474"/>
      <c r="M59" s="474"/>
      <c r="N59" s="474"/>
      <c r="O59" s="474"/>
      <c r="P59" s="474">
        <v>5</v>
      </c>
      <c r="Q59" s="474" t="s">
        <v>7612</v>
      </c>
      <c r="R59" s="474"/>
      <c r="S59" s="474">
        <v>5</v>
      </c>
      <c r="T59" s="474" t="s">
        <v>7611</v>
      </c>
      <c r="U59" s="474"/>
      <c r="V59" s="474">
        <v>5</v>
      </c>
      <c r="W59" s="474" t="s">
        <v>7610</v>
      </c>
      <c r="X59" s="474"/>
      <c r="Y59" s="474">
        <v>5</v>
      </c>
      <c r="Z59" s="474" t="s">
        <v>7609</v>
      </c>
      <c r="AA59" s="474"/>
      <c r="AB59" s="474">
        <v>5</v>
      </c>
      <c r="AC59" s="474" t="s">
        <v>7608</v>
      </c>
      <c r="AD59" s="474"/>
    </row>
    <row r="60" spans="3:30" ht="16.5">
      <c r="C60" s="474"/>
      <c r="D60" s="474" t="s">
        <v>7607</v>
      </c>
      <c r="E60" s="474">
        <v>5</v>
      </c>
      <c r="F60" s="474"/>
      <c r="G60" s="474"/>
      <c r="H60" s="474">
        <v>4</v>
      </c>
      <c r="I60" s="474">
        <v>5</v>
      </c>
      <c r="J60" s="474">
        <f>Таблиця2167[[#This Row],[GP / DAY]]*30</f>
        <v>150</v>
      </c>
      <c r="K60" s="474"/>
      <c r="L60" s="474"/>
      <c r="M60" s="474"/>
      <c r="N60" s="474"/>
      <c r="O60" s="474"/>
      <c r="P60" s="474">
        <v>6</v>
      </c>
      <c r="Q60" s="474" t="s">
        <v>7606</v>
      </c>
      <c r="R60" s="474"/>
      <c r="S60" s="474">
        <v>6</v>
      </c>
      <c r="T60" s="474" t="s">
        <v>7605</v>
      </c>
      <c r="U60" s="474"/>
      <c r="V60" s="474">
        <v>6</v>
      </c>
      <c r="W60" s="474" t="s">
        <v>7604</v>
      </c>
      <c r="X60" s="474"/>
      <c r="Y60" s="474">
        <v>6</v>
      </c>
      <c r="Z60" s="474" t="s">
        <v>5835</v>
      </c>
      <c r="AA60" s="474"/>
      <c r="AB60" s="474">
        <v>6</v>
      </c>
      <c r="AC60" s="474" t="s">
        <v>7603</v>
      </c>
      <c r="AD60" s="474"/>
    </row>
    <row r="61" spans="3:30" ht="16.5">
      <c r="C61" s="474"/>
      <c r="D61" s="474" t="s">
        <v>7602</v>
      </c>
      <c r="E61" s="474">
        <v>2</v>
      </c>
      <c r="F61" s="474"/>
      <c r="G61" s="474"/>
      <c r="H61" s="474">
        <v>5</v>
      </c>
      <c r="I61" s="474">
        <v>10</v>
      </c>
      <c r="J61" s="474">
        <f>Таблиця2167[[#This Row],[GP / DAY]]*30</f>
        <v>300</v>
      </c>
      <c r="K61" s="474"/>
      <c r="L61" s="474"/>
      <c r="M61" s="474"/>
      <c r="N61" s="474"/>
      <c r="O61" s="474"/>
      <c r="P61" s="474">
        <v>7</v>
      </c>
      <c r="Q61" s="474" t="s">
        <v>7595</v>
      </c>
      <c r="R61" s="474"/>
      <c r="S61" s="474">
        <v>7</v>
      </c>
      <c r="T61" s="474" t="s">
        <v>7601</v>
      </c>
      <c r="U61" s="474"/>
      <c r="V61" s="474">
        <v>7</v>
      </c>
      <c r="W61" s="474" t="s">
        <v>7600</v>
      </c>
      <c r="X61" s="474"/>
      <c r="Y61" s="474">
        <v>7</v>
      </c>
      <c r="Z61" s="474" t="s">
        <v>7599</v>
      </c>
      <c r="AA61" s="474"/>
      <c r="AB61" s="474">
        <v>7</v>
      </c>
      <c r="AC61" s="474" t="s">
        <v>7598</v>
      </c>
      <c r="AD61" s="474"/>
    </row>
    <row r="62" spans="3:30" ht="16.5">
      <c r="C62" s="474"/>
      <c r="D62" s="474" t="s">
        <v>7597</v>
      </c>
      <c r="E62" s="474">
        <v>5</v>
      </c>
      <c r="F62" s="474"/>
      <c r="G62" s="474"/>
      <c r="H62" s="474">
        <v>6</v>
      </c>
      <c r="I62" s="474">
        <v>15</v>
      </c>
      <c r="J62" s="474">
        <f>Таблиця2167[[#This Row],[GP / DAY]]*30</f>
        <v>450</v>
      </c>
      <c r="K62" s="474" t="s">
        <v>7596</v>
      </c>
      <c r="L62" s="474"/>
      <c r="M62" s="474"/>
      <c r="N62" s="474"/>
      <c r="O62" s="474"/>
      <c r="P62" s="474">
        <v>8</v>
      </c>
      <c r="Q62" s="474" t="s">
        <v>7595</v>
      </c>
      <c r="R62" s="474"/>
      <c r="S62" s="474">
        <v>8</v>
      </c>
      <c r="T62" s="474" t="s">
        <v>7594</v>
      </c>
      <c r="U62" s="474"/>
      <c r="V62" s="474">
        <v>8</v>
      </c>
      <c r="W62" s="474" t="s">
        <v>7593</v>
      </c>
      <c r="X62" s="474"/>
      <c r="Y62" s="474">
        <v>8</v>
      </c>
      <c r="Z62" s="474" t="s">
        <v>7592</v>
      </c>
      <c r="AA62" s="474"/>
      <c r="AB62" s="474">
        <v>8</v>
      </c>
      <c r="AC62" s="474" t="s">
        <v>7591</v>
      </c>
      <c r="AD62" s="474"/>
    </row>
    <row r="63" spans="3:30" ht="16.5">
      <c r="C63" s="474"/>
      <c r="D63" s="474" t="s">
        <v>7590</v>
      </c>
      <c r="E63" s="474">
        <v>1</v>
      </c>
      <c r="F63" s="474"/>
      <c r="G63" s="474"/>
      <c r="H63" s="474">
        <v>7</v>
      </c>
      <c r="I63" s="474">
        <v>20</v>
      </c>
      <c r="J63" s="474">
        <f>Таблиця2167[[#This Row],[GP / DAY]]*30</f>
        <v>600</v>
      </c>
      <c r="K63" s="474"/>
      <c r="L63" s="474"/>
      <c r="M63" s="474"/>
      <c r="N63" s="474"/>
      <c r="O63" s="474"/>
      <c r="P63" s="474">
        <v>9</v>
      </c>
      <c r="Q63" s="474" t="s">
        <v>7586</v>
      </c>
      <c r="R63" s="474"/>
      <c r="S63" s="474"/>
      <c r="T63" s="474"/>
      <c r="U63" s="474"/>
      <c r="V63" s="474">
        <v>9</v>
      </c>
      <c r="W63" s="474" t="s">
        <v>7589</v>
      </c>
      <c r="X63" s="474"/>
      <c r="Y63" s="474"/>
      <c r="Z63" s="474"/>
      <c r="AA63" s="474"/>
      <c r="AB63" s="474">
        <v>9</v>
      </c>
      <c r="AC63" s="474" t="s">
        <v>7588</v>
      </c>
      <c r="AD63" s="474"/>
    </row>
    <row r="64" spans="3:30" ht="16.5">
      <c r="C64" s="474"/>
      <c r="D64" s="474" t="s">
        <v>7587</v>
      </c>
      <c r="E64" s="474">
        <v>1.5</v>
      </c>
      <c r="F64" s="474"/>
      <c r="G64" s="474"/>
      <c r="H64" s="474">
        <v>8</v>
      </c>
      <c r="I64" s="474">
        <v>25</v>
      </c>
      <c r="J64" s="474">
        <f>Таблиця2167[[#This Row],[GP / DAY]]*30</f>
        <v>750</v>
      </c>
      <c r="K64" s="474"/>
      <c r="L64" s="474"/>
      <c r="M64" s="474"/>
      <c r="N64" s="474"/>
      <c r="O64" s="474"/>
      <c r="P64" s="474">
        <v>10</v>
      </c>
      <c r="Q64" s="474" t="s">
        <v>7586</v>
      </c>
      <c r="R64" s="474"/>
      <c r="S64" s="474"/>
      <c r="T64" s="474"/>
      <c r="U64" s="474"/>
      <c r="V64" s="474">
        <v>10</v>
      </c>
      <c r="W64" s="474" t="s">
        <v>7585</v>
      </c>
      <c r="X64" s="474"/>
      <c r="Y64" s="474"/>
      <c r="Z64" s="474"/>
      <c r="AA64" s="474"/>
      <c r="AB64" s="474">
        <v>10</v>
      </c>
      <c r="AC64" s="474" t="s">
        <v>7584</v>
      </c>
      <c r="AD64" s="474"/>
    </row>
    <row r="65" spans="3:30" ht="16.5">
      <c r="C65" s="474"/>
      <c r="D65" s="474" t="s">
        <v>7583</v>
      </c>
      <c r="E65" s="474">
        <v>3</v>
      </c>
      <c r="F65" s="474"/>
      <c r="G65" s="474"/>
      <c r="H65" s="474">
        <v>9</v>
      </c>
      <c r="I65" s="474">
        <v>50</v>
      </c>
      <c r="J65" s="474">
        <f>Таблиця2167[[#This Row],[GP / DAY]]*30</f>
        <v>1500</v>
      </c>
      <c r="K65" s="474"/>
      <c r="L65" s="474"/>
      <c r="M65" s="474"/>
      <c r="N65" s="474"/>
      <c r="O65" s="474"/>
      <c r="P65" s="474"/>
      <c r="Q65" s="474"/>
      <c r="R65" s="474"/>
      <c r="S65" s="474"/>
      <c r="T65" s="474"/>
      <c r="U65" s="474"/>
      <c r="V65" s="474"/>
      <c r="W65" s="474"/>
      <c r="X65" s="474"/>
      <c r="Y65" s="474"/>
      <c r="Z65" s="474"/>
      <c r="AA65" s="474"/>
      <c r="AB65" s="474">
        <v>11</v>
      </c>
      <c r="AC65" s="474" t="s">
        <v>7582</v>
      </c>
      <c r="AD65" s="474"/>
    </row>
    <row r="66" spans="3:30" ht="16.5">
      <c r="C66" s="474"/>
      <c r="D66" s="474" t="s">
        <v>7581</v>
      </c>
      <c r="E66" s="474">
        <v>2</v>
      </c>
      <c r="F66" s="474"/>
      <c r="G66" s="474"/>
      <c r="H66" s="474">
        <v>10</v>
      </c>
      <c r="I66" s="474">
        <v>75</v>
      </c>
      <c r="J66" s="474">
        <f>Таблиця2167[[#This Row],[GP / DAY]]*30</f>
        <v>2250</v>
      </c>
      <c r="K66" s="474"/>
      <c r="L66" s="474"/>
      <c r="M66" s="474"/>
      <c r="N66" s="474"/>
      <c r="O66" s="474"/>
      <c r="P66" s="474"/>
      <c r="Q66" s="474"/>
      <c r="R66" s="474"/>
      <c r="S66" s="474"/>
      <c r="T66" s="474"/>
      <c r="U66" s="474"/>
      <c r="V66" s="474"/>
      <c r="W66" s="474"/>
      <c r="X66" s="474"/>
      <c r="Y66" s="474"/>
      <c r="Z66" s="474"/>
      <c r="AA66" s="474"/>
      <c r="AB66" s="474">
        <v>12</v>
      </c>
      <c r="AC66" s="474" t="s">
        <v>7580</v>
      </c>
      <c r="AD66" s="474"/>
    </row>
    <row r="67" spans="3:30" ht="16.5">
      <c r="C67" s="474"/>
      <c r="D67" s="474" t="s">
        <v>7579</v>
      </c>
      <c r="E67" s="474">
        <v>8</v>
      </c>
      <c r="F67" s="474"/>
      <c r="G67" s="474"/>
      <c r="H67" s="474">
        <v>11</v>
      </c>
      <c r="I67" s="474">
        <v>100</v>
      </c>
      <c r="J67" s="474">
        <f>Таблиця2167[[#This Row],[GP / DAY]]*30</f>
        <v>3000</v>
      </c>
      <c r="K67" s="474"/>
      <c r="L67" s="474"/>
      <c r="M67" s="474"/>
      <c r="N67" s="474"/>
      <c r="O67" s="474"/>
      <c r="P67" s="474"/>
      <c r="Q67" s="474"/>
      <c r="R67" s="474"/>
      <c r="S67" s="474"/>
      <c r="T67" s="474"/>
      <c r="U67" s="474"/>
      <c r="V67" s="474"/>
      <c r="W67" s="474"/>
      <c r="X67" s="474"/>
      <c r="Y67" s="474"/>
      <c r="Z67" s="474"/>
      <c r="AA67" s="474"/>
      <c r="AB67" s="474"/>
      <c r="AC67" s="474"/>
      <c r="AD67" s="474"/>
    </row>
    <row r="68" spans="3:30" ht="16.5">
      <c r="C68" s="474"/>
      <c r="D68" s="474" t="s">
        <v>7578</v>
      </c>
      <c r="E68" s="474">
        <v>14</v>
      </c>
      <c r="F68" s="474"/>
      <c r="G68" s="474"/>
      <c r="H68" s="474">
        <v>12</v>
      </c>
      <c r="I68" s="474">
        <v>200</v>
      </c>
      <c r="J68" s="474">
        <f>Таблиця2167[[#This Row],[GP / DAY]]*30</f>
        <v>6000</v>
      </c>
      <c r="K68" s="474" t="s">
        <v>7577</v>
      </c>
      <c r="L68" s="474"/>
      <c r="M68" s="474"/>
      <c r="N68" s="474"/>
      <c r="O68" s="474"/>
      <c r="P68" s="474"/>
      <c r="Q68" s="474"/>
      <c r="R68" s="474"/>
      <c r="S68" s="474"/>
      <c r="T68" s="474"/>
      <c r="U68" s="474"/>
      <c r="V68" s="474"/>
      <c r="W68" s="474"/>
      <c r="X68" s="474"/>
      <c r="Y68" s="474"/>
      <c r="Z68" s="474"/>
      <c r="AA68" s="474"/>
      <c r="AB68" s="474"/>
      <c r="AC68" s="474"/>
      <c r="AD68" s="474"/>
    </row>
    <row r="69" spans="3:30" ht="16.5">
      <c r="C69" s="474"/>
      <c r="D69" s="474" t="s">
        <v>7576</v>
      </c>
      <c r="E69" s="474">
        <v>4</v>
      </c>
      <c r="F69" s="474"/>
      <c r="G69" s="474"/>
      <c r="H69" s="475">
        <v>13</v>
      </c>
      <c r="I69" s="475">
        <v>500</v>
      </c>
      <c r="J69" s="475">
        <f>Таблиця2167[[#This Row],[GP / DAY]]*30</f>
        <v>15000</v>
      </c>
      <c r="K69" s="474"/>
      <c r="L69" s="474"/>
      <c r="M69" s="474"/>
      <c r="N69" s="474"/>
      <c r="O69" s="474"/>
      <c r="P69" s="474"/>
      <c r="Q69" s="474"/>
      <c r="R69" s="474"/>
      <c r="S69" s="474"/>
      <c r="T69" s="474"/>
      <c r="U69" s="474"/>
      <c r="V69" s="474"/>
      <c r="W69" s="474"/>
      <c r="X69" s="474"/>
      <c r="Y69" s="474"/>
      <c r="Z69" s="474"/>
      <c r="AA69" s="474"/>
      <c r="AB69" s="474"/>
      <c r="AC69" s="474"/>
      <c r="AD69" s="474"/>
    </row>
    <row r="70" spans="3:30" ht="16.5">
      <c r="C70" s="474"/>
      <c r="D70" s="474" t="s">
        <v>7575</v>
      </c>
      <c r="E70" s="474"/>
      <c r="F70" s="474"/>
      <c r="G70" s="474"/>
      <c r="H70" s="475">
        <v>14</v>
      </c>
      <c r="I70" s="475">
        <v>800</v>
      </c>
      <c r="J70" s="475">
        <f>Таблиця2167[[#This Row],[GP / DAY]]*30</f>
        <v>24000</v>
      </c>
      <c r="K70" s="474"/>
      <c r="L70" s="474"/>
      <c r="M70" s="474"/>
      <c r="N70" s="474"/>
      <c r="O70" s="474"/>
      <c r="P70" s="474"/>
      <c r="Q70" s="474"/>
      <c r="R70" s="474"/>
      <c r="S70" s="474"/>
      <c r="T70" s="474"/>
      <c r="U70" s="474"/>
      <c r="V70" s="474"/>
      <c r="W70" s="474"/>
      <c r="X70" s="474"/>
      <c r="Y70" s="474"/>
      <c r="Z70" s="474"/>
      <c r="AA70" s="474"/>
      <c r="AB70" s="474"/>
      <c r="AC70" s="474"/>
      <c r="AD70" s="474"/>
    </row>
    <row r="71" spans="3:30" ht="16.5">
      <c r="C71" s="474"/>
      <c r="D71" s="474" t="s">
        <v>7574</v>
      </c>
      <c r="E71" s="474" t="s">
        <v>7573</v>
      </c>
      <c r="F71" s="474"/>
      <c r="G71" s="474"/>
      <c r="H71" s="475">
        <v>15</v>
      </c>
      <c r="I71" s="475">
        <v>1000</v>
      </c>
      <c r="J71" s="475">
        <f>Таблиця2167[[#This Row],[GP / DAY]]*30</f>
        <v>30000</v>
      </c>
      <c r="K71" s="474"/>
      <c r="L71" s="474"/>
      <c r="M71" s="474"/>
      <c r="N71" s="474"/>
      <c r="O71" s="474"/>
      <c r="P71" s="474"/>
      <c r="Q71" s="474"/>
      <c r="R71" s="474"/>
      <c r="S71" s="474"/>
      <c r="T71" s="474"/>
      <c r="U71" s="474"/>
      <c r="V71" s="474"/>
      <c r="W71" s="474"/>
      <c r="X71" s="474"/>
      <c r="Y71" s="474"/>
      <c r="Z71" s="474"/>
      <c r="AA71" s="474"/>
      <c r="AB71" s="474"/>
      <c r="AC71" s="474"/>
      <c r="AD71" s="474"/>
    </row>
    <row r="72" spans="3:30" ht="16.5">
      <c r="C72" s="474"/>
      <c r="D72" s="474" t="s">
        <v>7572</v>
      </c>
      <c r="E72" s="474">
        <v>12</v>
      </c>
      <c r="F72" s="474"/>
      <c r="G72" s="474"/>
      <c r="H72" s="475">
        <v>16</v>
      </c>
      <c r="I72" s="475">
        <v>1200</v>
      </c>
      <c r="J72" s="475">
        <f>Таблиця2167[[#This Row],[GP / DAY]]*30</f>
        <v>36000</v>
      </c>
      <c r="K72" s="474"/>
      <c r="L72" s="474"/>
      <c r="M72" s="474"/>
      <c r="N72" s="474"/>
      <c r="O72" s="474"/>
      <c r="P72" s="474"/>
      <c r="Q72" s="474"/>
      <c r="R72" s="474"/>
      <c r="S72" s="474"/>
      <c r="T72" s="474"/>
      <c r="U72" s="474"/>
      <c r="V72" s="474"/>
      <c r="W72" s="474"/>
      <c r="X72" s="474"/>
      <c r="Y72" s="474"/>
      <c r="Z72" s="474"/>
      <c r="AA72" s="474"/>
      <c r="AB72" s="474"/>
      <c r="AC72" s="474"/>
      <c r="AD72" s="474"/>
    </row>
    <row r="73" spans="3:30" ht="16.5">
      <c r="C73" s="474"/>
      <c r="D73" s="474" t="s">
        <v>7571</v>
      </c>
      <c r="E73" s="474">
        <v>40</v>
      </c>
      <c r="F73" s="474"/>
      <c r="G73" s="474"/>
      <c r="H73" s="475">
        <v>17</v>
      </c>
      <c r="I73" s="475">
        <v>1500</v>
      </c>
      <c r="J73" s="475">
        <f>Таблиця2167[[#This Row],[GP / DAY]]*30</f>
        <v>45000</v>
      </c>
      <c r="K73" s="474"/>
      <c r="L73" s="474"/>
      <c r="M73" s="474"/>
      <c r="N73" s="474"/>
      <c r="O73" s="474"/>
      <c r="P73" s="474"/>
      <c r="Q73" s="474"/>
      <c r="R73" s="474"/>
      <c r="S73" s="474"/>
      <c r="T73" s="474"/>
      <c r="U73" s="474"/>
      <c r="V73" s="474"/>
      <c r="W73" s="474"/>
      <c r="X73" s="474"/>
      <c r="Y73" s="474"/>
      <c r="Z73" s="474"/>
      <c r="AA73" s="474"/>
      <c r="AB73" s="474"/>
      <c r="AC73" s="474"/>
      <c r="AD73" s="474"/>
    </row>
    <row r="74" spans="3:30" ht="16.5">
      <c r="C74" s="474"/>
      <c r="D74" s="474" t="s">
        <v>7570</v>
      </c>
      <c r="E74" s="474">
        <v>16</v>
      </c>
      <c r="F74" s="474"/>
      <c r="G74" s="474"/>
      <c r="H74" s="475">
        <v>18</v>
      </c>
      <c r="I74" s="475">
        <v>2000</v>
      </c>
      <c r="J74" s="475">
        <f>Таблиця2167[[#This Row],[GP / DAY]]*30</f>
        <v>60000</v>
      </c>
      <c r="K74" s="474"/>
      <c r="L74" s="474"/>
      <c r="M74" s="474"/>
      <c r="N74" s="474"/>
      <c r="O74" s="474"/>
      <c r="P74" s="474"/>
      <c r="Q74" s="474"/>
      <c r="R74" s="474"/>
      <c r="S74" s="474"/>
      <c r="T74" s="474"/>
      <c r="U74" s="474"/>
      <c r="V74" s="474"/>
      <c r="W74" s="474"/>
      <c r="X74" s="474"/>
      <c r="Y74" s="474"/>
      <c r="Z74" s="474"/>
      <c r="AA74" s="474"/>
      <c r="AB74" s="474"/>
      <c r="AC74" s="474"/>
      <c r="AD74" s="474"/>
    </row>
    <row r="75" spans="3:30" ht="16.5">
      <c r="C75" s="474"/>
      <c r="D75" s="474" t="s">
        <v>7569</v>
      </c>
      <c r="E75" s="474">
        <v>20</v>
      </c>
      <c r="F75" s="474"/>
      <c r="G75" s="474"/>
      <c r="H75" s="475">
        <v>19</v>
      </c>
      <c r="I75" s="475">
        <v>3500</v>
      </c>
      <c r="J75" s="475">
        <f>Таблиця2167[[#This Row],[GP / DAY]]*30</f>
        <v>105000</v>
      </c>
      <c r="K75" s="474"/>
      <c r="L75" s="474"/>
      <c r="M75" s="474"/>
      <c r="N75" s="474"/>
      <c r="O75" s="474"/>
      <c r="P75" s="474"/>
      <c r="Q75" s="474"/>
      <c r="R75" s="474"/>
      <c r="S75" s="474"/>
      <c r="T75" s="474"/>
      <c r="U75" s="474"/>
      <c r="V75" s="474"/>
      <c r="W75" s="474"/>
      <c r="X75" s="474"/>
      <c r="Y75" s="474"/>
      <c r="Z75" s="474"/>
      <c r="AA75" s="474"/>
      <c r="AB75" s="474"/>
      <c r="AC75" s="474"/>
      <c r="AD75" s="474"/>
    </row>
    <row r="76" spans="3:30" ht="16.5">
      <c r="C76" s="474"/>
      <c r="D76" s="474" t="s">
        <v>7568</v>
      </c>
      <c r="E76" s="474">
        <v>90</v>
      </c>
      <c r="F76" s="474"/>
      <c r="G76" s="474"/>
      <c r="H76" s="475">
        <v>20</v>
      </c>
      <c r="I76" s="475">
        <v>5000</v>
      </c>
      <c r="J76" s="475">
        <f>Таблиця2167[[#This Row],[GP / DAY]]*30</f>
        <v>150000</v>
      </c>
      <c r="K76" s="474"/>
      <c r="L76" s="474"/>
      <c r="M76" s="474"/>
      <c r="N76" s="474"/>
      <c r="O76" s="474"/>
      <c r="P76" s="474"/>
      <c r="Q76" s="474"/>
      <c r="R76" s="474"/>
      <c r="S76" s="474"/>
      <c r="T76" s="474"/>
      <c r="U76" s="474"/>
      <c r="V76" s="474"/>
      <c r="W76" s="474"/>
      <c r="X76" s="474"/>
      <c r="Y76" s="474"/>
      <c r="Z76" s="474"/>
      <c r="AA76" s="474"/>
      <c r="AB76" s="474"/>
      <c r="AC76" s="474"/>
      <c r="AD76" s="474"/>
    </row>
    <row r="77" spans="3:30" ht="16.5">
      <c r="C77" s="474"/>
      <c r="D77" s="474" t="s">
        <v>7567</v>
      </c>
      <c r="E77" s="474">
        <v>160</v>
      </c>
      <c r="F77" s="474"/>
      <c r="G77" s="474"/>
      <c r="H77" s="474"/>
      <c r="I77" s="474"/>
      <c r="J77" s="474"/>
      <c r="K77" s="474"/>
      <c r="L77" s="474"/>
      <c r="M77" s="474"/>
      <c r="N77" s="474"/>
      <c r="O77" s="474"/>
      <c r="P77" s="474"/>
      <c r="Q77" s="474"/>
      <c r="R77" s="474"/>
      <c r="S77" s="474"/>
      <c r="T77" s="474"/>
      <c r="U77" s="474"/>
      <c r="V77" s="474"/>
      <c r="W77" s="474"/>
      <c r="X77" s="474"/>
      <c r="Y77" s="474"/>
      <c r="Z77" s="474"/>
      <c r="AA77" s="474"/>
      <c r="AB77" s="474"/>
      <c r="AC77" s="474"/>
      <c r="AD77" s="474"/>
    </row>
    <row r="78" spans="3:30" ht="16.5">
      <c r="C78" s="474"/>
      <c r="D78" s="474" t="s">
        <v>7566</v>
      </c>
      <c r="E78" s="474">
        <v>50</v>
      </c>
      <c r="F78" s="474"/>
      <c r="G78" s="474"/>
      <c r="H78" s="474"/>
      <c r="I78" s="474"/>
      <c r="J78" s="474"/>
      <c r="K78" s="474"/>
      <c r="L78" s="474"/>
      <c r="M78" s="474"/>
      <c r="N78" s="474"/>
      <c r="O78" s="474"/>
      <c r="P78" s="474"/>
      <c r="Q78" s="474"/>
      <c r="R78" s="474"/>
      <c r="S78" s="474"/>
      <c r="T78" s="474"/>
      <c r="U78" s="474"/>
      <c r="V78" s="474"/>
      <c r="W78" s="474"/>
      <c r="X78" s="474"/>
      <c r="Y78" s="474"/>
      <c r="Z78" s="474"/>
      <c r="AA78" s="474"/>
      <c r="AB78" s="474"/>
      <c r="AC78" s="474"/>
      <c r="AD78" s="474"/>
    </row>
    <row r="79" spans="3:30" ht="16.5">
      <c r="C79" s="474"/>
      <c r="D79" s="474" t="s">
        <v>7565</v>
      </c>
      <c r="E79" s="474">
        <v>55</v>
      </c>
      <c r="F79" s="474"/>
      <c r="G79" s="474"/>
      <c r="H79" s="474"/>
      <c r="I79" s="474"/>
      <c r="J79" s="474"/>
      <c r="K79" s="474"/>
      <c r="L79" s="474"/>
      <c r="M79" s="474"/>
      <c r="N79" s="474"/>
      <c r="O79" s="474"/>
      <c r="P79" s="474"/>
      <c r="Q79" s="474"/>
      <c r="R79" s="474"/>
      <c r="S79" s="474"/>
      <c r="T79" s="474"/>
      <c r="U79" s="474"/>
      <c r="V79" s="474"/>
      <c r="W79" s="474"/>
      <c r="X79" s="474"/>
      <c r="Y79" s="474"/>
      <c r="Z79" s="474"/>
      <c r="AA79" s="474"/>
      <c r="AB79" s="474"/>
      <c r="AC79" s="474"/>
      <c r="AD79" s="474"/>
    </row>
    <row r="80" spans="3:30" ht="16.5">
      <c r="C80" s="474"/>
      <c r="D80" s="474" t="s">
        <v>7564</v>
      </c>
      <c r="E80" s="474">
        <v>20</v>
      </c>
      <c r="F80" s="474"/>
      <c r="G80" s="474"/>
      <c r="H80" s="474"/>
      <c r="I80" s="474"/>
      <c r="J80" s="474"/>
      <c r="K80" s="474"/>
      <c r="L80" s="474"/>
      <c r="M80" s="474"/>
      <c r="N80" s="474"/>
      <c r="O80" s="474"/>
      <c r="P80" s="474"/>
      <c r="Q80" s="474"/>
      <c r="R80" s="474"/>
      <c r="S80" s="474"/>
      <c r="T80" s="474"/>
      <c r="U80" s="474"/>
      <c r="V80" s="474"/>
      <c r="W80" s="474"/>
      <c r="X80" s="474"/>
      <c r="Y80" s="474"/>
      <c r="Z80" s="474"/>
      <c r="AA80" s="474"/>
      <c r="AB80" s="474"/>
      <c r="AC80" s="474"/>
      <c r="AD80" s="474"/>
    </row>
    <row r="81" spans="3:30" ht="16.5">
      <c r="C81" s="474"/>
      <c r="D81" s="474" t="s">
        <v>7563</v>
      </c>
      <c r="E81" s="474">
        <v>18</v>
      </c>
      <c r="F81" s="474"/>
      <c r="G81" s="474"/>
      <c r="H81" s="474"/>
      <c r="I81" s="474"/>
      <c r="J81" s="474"/>
      <c r="K81" s="474"/>
      <c r="L81" s="474"/>
      <c r="M81" s="474"/>
      <c r="N81" s="474"/>
      <c r="O81" s="474"/>
      <c r="P81" s="474"/>
      <c r="Q81" s="474"/>
      <c r="R81" s="474"/>
      <c r="S81" s="474"/>
      <c r="T81" s="474"/>
      <c r="U81" s="474"/>
      <c r="V81" s="474"/>
      <c r="W81" s="474"/>
      <c r="X81" s="474"/>
      <c r="Y81" s="474"/>
      <c r="Z81" s="474"/>
      <c r="AA81" s="474"/>
      <c r="AB81" s="474"/>
      <c r="AC81" s="474"/>
      <c r="AD81" s="474"/>
    </row>
    <row r="82" spans="3:30" ht="16.5">
      <c r="C82" s="474"/>
      <c r="D82" s="474" t="s">
        <v>7562</v>
      </c>
      <c r="E82" s="474">
        <v>75</v>
      </c>
      <c r="F82" s="474"/>
      <c r="G82" s="474"/>
      <c r="H82" s="474"/>
      <c r="I82" s="474"/>
      <c r="J82" s="474"/>
      <c r="K82" s="474"/>
      <c r="L82" s="474"/>
      <c r="M82" s="474"/>
      <c r="N82" s="474"/>
      <c r="O82" s="474"/>
      <c r="P82" s="474"/>
      <c r="Q82" s="474"/>
      <c r="R82" s="474"/>
      <c r="S82" s="474"/>
      <c r="T82" s="474"/>
      <c r="U82" s="474"/>
      <c r="V82" s="474"/>
      <c r="W82" s="474"/>
      <c r="X82" s="474"/>
      <c r="Y82" s="474"/>
      <c r="Z82" s="474"/>
      <c r="AA82" s="474"/>
      <c r="AB82" s="474"/>
      <c r="AC82" s="474"/>
      <c r="AD82" s="474"/>
    </row>
    <row r="83" spans="3:30" ht="16.5">
      <c r="C83" s="474"/>
      <c r="D83" s="474" t="s">
        <v>7561</v>
      </c>
      <c r="E83" s="474">
        <v>80</v>
      </c>
      <c r="F83" s="474"/>
      <c r="G83" s="474"/>
      <c r="H83" s="474"/>
      <c r="I83" s="474"/>
      <c r="J83" s="474"/>
      <c r="K83" s="474"/>
      <c r="L83" s="474"/>
      <c r="M83" s="474"/>
      <c r="N83" s="474"/>
      <c r="O83" s="474"/>
      <c r="P83" s="474"/>
      <c r="Q83" s="474"/>
      <c r="R83" s="474"/>
      <c r="S83" s="474"/>
      <c r="T83" s="474"/>
      <c r="U83" s="474"/>
      <c r="V83" s="474"/>
      <c r="W83" s="474"/>
      <c r="X83" s="474"/>
      <c r="Y83" s="474"/>
      <c r="Z83" s="474"/>
      <c r="AA83" s="474"/>
      <c r="AB83" s="474"/>
      <c r="AC83" s="474"/>
      <c r="AD83" s="474"/>
    </row>
    <row r="84" spans="3:30" ht="16.5">
      <c r="C84" s="474"/>
      <c r="D84" s="474" t="s">
        <v>7560</v>
      </c>
      <c r="E84" s="474">
        <v>140</v>
      </c>
      <c r="F84" s="474"/>
      <c r="G84" s="474"/>
      <c r="H84" s="474"/>
      <c r="I84" s="474"/>
      <c r="J84" s="474"/>
      <c r="K84" s="474"/>
      <c r="L84" s="474"/>
      <c r="M84" s="474"/>
      <c r="N84" s="474"/>
      <c r="O84" s="474"/>
      <c r="P84" s="474"/>
      <c r="Q84" s="474"/>
      <c r="R84" s="474"/>
      <c r="S84" s="474"/>
      <c r="T84" s="474"/>
      <c r="U84" s="474"/>
      <c r="V84" s="474"/>
      <c r="W84" s="474"/>
      <c r="X84" s="474"/>
      <c r="Y84" s="474"/>
      <c r="Z84" s="474"/>
      <c r="AA84" s="474"/>
      <c r="AB84" s="474"/>
      <c r="AC84" s="474"/>
      <c r="AD84" s="474"/>
    </row>
    <row r="98" spans="5:35" ht="15" thickBot="1"/>
    <row r="99" spans="5:35" ht="16.5">
      <c r="E99" s="474"/>
      <c r="F99" s="474"/>
      <c r="G99" s="474"/>
      <c r="J99" s="495" t="s">
        <v>8166</v>
      </c>
      <c r="K99" s="495" t="s">
        <v>8169</v>
      </c>
      <c r="L99" s="474"/>
      <c r="M99" s="474"/>
      <c r="N99" s="495" t="s">
        <v>8166</v>
      </c>
      <c r="O99" s="495" t="s">
        <v>8168</v>
      </c>
      <c r="P99" s="474"/>
      <c r="Q99" s="474"/>
      <c r="R99" s="496" t="s">
        <v>8167</v>
      </c>
      <c r="S99" s="474"/>
      <c r="T99" s="474"/>
      <c r="U99" s="474"/>
      <c r="V99" s="495" t="s">
        <v>8166</v>
      </c>
      <c r="W99" s="495" t="s">
        <v>8165</v>
      </c>
      <c r="X99" s="474"/>
      <c r="Y99" s="474"/>
      <c r="Z99" s="474"/>
      <c r="AA99" s="474"/>
      <c r="AB99" s="474"/>
      <c r="AC99" s="474"/>
      <c r="AD99" s="474"/>
      <c r="AE99" s="474"/>
      <c r="AF99" s="474"/>
      <c r="AG99" s="474"/>
      <c r="AH99" s="474"/>
      <c r="AI99" s="474"/>
    </row>
    <row r="100" spans="5:35" ht="17.25" thickBot="1">
      <c r="E100" s="474" t="s">
        <v>8159</v>
      </c>
      <c r="F100" s="474" t="s">
        <v>2088</v>
      </c>
      <c r="G100" s="474" t="s">
        <v>551</v>
      </c>
      <c r="J100" s="492">
        <v>44044</v>
      </c>
      <c r="K100" s="491" t="s">
        <v>8158</v>
      </c>
      <c r="L100" s="474"/>
      <c r="M100" s="474"/>
      <c r="N100" s="494">
        <v>43466</v>
      </c>
      <c r="O100" s="491" t="s">
        <v>8157</v>
      </c>
      <c r="P100" s="474"/>
      <c r="Q100" s="474"/>
      <c r="R100" s="493" t="s">
        <v>8156</v>
      </c>
      <c r="S100" s="474"/>
      <c r="T100" s="474"/>
      <c r="U100" s="474"/>
      <c r="V100" s="492">
        <v>44105</v>
      </c>
      <c r="W100" s="491" t="s">
        <v>8155</v>
      </c>
      <c r="X100" s="474"/>
      <c r="Y100" s="474"/>
      <c r="Z100" s="474"/>
      <c r="AA100" s="474"/>
      <c r="AB100" s="474"/>
      <c r="AC100" s="474"/>
      <c r="AD100" s="474"/>
      <c r="AE100" s="474"/>
      <c r="AF100" s="474"/>
      <c r="AG100" s="474"/>
      <c r="AH100" s="474"/>
      <c r="AI100" s="474"/>
    </row>
    <row r="101" spans="5:35" ht="17.25" thickBot="1">
      <c r="E101" s="474" t="s">
        <v>8150</v>
      </c>
      <c r="F101" s="474" t="s">
        <v>8149</v>
      </c>
      <c r="G101" s="474"/>
      <c r="J101" s="490">
        <v>42614</v>
      </c>
      <c r="K101" s="488" t="s">
        <v>8148</v>
      </c>
      <c r="L101" s="474"/>
      <c r="M101" s="474"/>
      <c r="N101" s="490">
        <v>44136</v>
      </c>
      <c r="O101" s="488" t="s">
        <v>8147</v>
      </c>
      <c r="P101" s="474"/>
      <c r="Q101" s="474"/>
      <c r="R101" s="490">
        <v>42614</v>
      </c>
      <c r="S101" s="488" t="s">
        <v>8146</v>
      </c>
      <c r="T101" s="474"/>
      <c r="U101" s="474"/>
      <c r="V101" s="490">
        <v>44136</v>
      </c>
      <c r="W101" s="488" t="s">
        <v>8145</v>
      </c>
      <c r="X101" s="474"/>
      <c r="Y101" s="474"/>
      <c r="Z101" s="474"/>
      <c r="AA101" s="474"/>
      <c r="AB101" s="474"/>
      <c r="AC101" s="474"/>
      <c r="AD101" s="474"/>
      <c r="AE101" s="474"/>
      <c r="AF101" s="474"/>
      <c r="AG101" s="474"/>
      <c r="AH101" s="474"/>
      <c r="AI101" s="474"/>
    </row>
    <row r="102" spans="5:35" ht="17.25" thickBot="1">
      <c r="E102" s="474" t="s">
        <v>8140</v>
      </c>
      <c r="F102" s="474" t="s">
        <v>8139</v>
      </c>
      <c r="G102" s="474" t="s">
        <v>8138</v>
      </c>
      <c r="J102" s="489" t="s">
        <v>8137</v>
      </c>
      <c r="K102" s="489" t="s">
        <v>8134</v>
      </c>
      <c r="L102" s="474"/>
      <c r="M102" s="474"/>
      <c r="N102" s="489" t="s">
        <v>8133</v>
      </c>
      <c r="O102" s="489" t="s">
        <v>8136</v>
      </c>
      <c r="P102" s="474"/>
      <c r="Q102" s="474"/>
      <c r="R102" s="489" t="s">
        <v>8135</v>
      </c>
      <c r="S102" s="489" t="s">
        <v>8134</v>
      </c>
      <c r="T102" s="474"/>
      <c r="U102" s="474"/>
      <c r="V102" s="489" t="s">
        <v>8133</v>
      </c>
      <c r="W102" s="489" t="s">
        <v>8132</v>
      </c>
      <c r="X102" s="474"/>
      <c r="Y102" s="474"/>
      <c r="Z102" s="474"/>
      <c r="AA102" s="474"/>
      <c r="AB102" s="474"/>
      <c r="AC102" s="474"/>
      <c r="AD102" s="474"/>
      <c r="AE102" s="474"/>
      <c r="AF102" s="474"/>
      <c r="AG102" s="474"/>
      <c r="AH102" s="474"/>
      <c r="AI102" s="474"/>
    </row>
    <row r="103" spans="5:35" ht="17.25" thickBot="1">
      <c r="E103" s="474" t="s">
        <v>8128</v>
      </c>
      <c r="F103" s="474" t="s">
        <v>8127</v>
      </c>
      <c r="G103" s="474" t="s">
        <v>8126</v>
      </c>
      <c r="J103" s="488" t="s">
        <v>8125</v>
      </c>
      <c r="K103" s="488" t="s">
        <v>8122</v>
      </c>
      <c r="L103" s="474"/>
      <c r="M103" s="474"/>
      <c r="N103" s="488" t="s">
        <v>8121</v>
      </c>
      <c r="O103" s="488" t="s">
        <v>8124</v>
      </c>
      <c r="P103" s="474"/>
      <c r="Q103" s="474"/>
      <c r="R103" s="488" t="s">
        <v>8123</v>
      </c>
      <c r="S103" s="488" t="s">
        <v>8122</v>
      </c>
      <c r="T103" s="474"/>
      <c r="U103" s="474"/>
      <c r="V103" s="488" t="s">
        <v>8121</v>
      </c>
      <c r="W103" s="488" t="s">
        <v>8120</v>
      </c>
      <c r="X103" s="474"/>
      <c r="Y103" s="474"/>
      <c r="Z103" s="474"/>
      <c r="AA103" s="474"/>
      <c r="AB103" s="474"/>
      <c r="AC103" s="474"/>
      <c r="AD103" s="474"/>
      <c r="AE103" s="474"/>
      <c r="AF103" s="474"/>
      <c r="AG103" s="474"/>
      <c r="AH103" s="474"/>
      <c r="AI103" s="474"/>
    </row>
    <row r="104" spans="5:35" ht="17.25" thickBot="1">
      <c r="E104" s="474" t="s">
        <v>8115</v>
      </c>
      <c r="F104" s="474" t="s">
        <v>8114</v>
      </c>
      <c r="G104" s="474" t="s">
        <v>8113</v>
      </c>
      <c r="J104" s="489" t="s">
        <v>8112</v>
      </c>
      <c r="K104" s="489" t="s">
        <v>8111</v>
      </c>
      <c r="L104" s="474"/>
      <c r="M104" s="474"/>
      <c r="N104" s="489" t="s">
        <v>8110</v>
      </c>
      <c r="O104" s="489" t="s">
        <v>8109</v>
      </c>
      <c r="P104" s="474"/>
      <c r="Q104" s="474"/>
      <c r="R104" s="489" t="s">
        <v>8108</v>
      </c>
      <c r="S104" s="489" t="s">
        <v>8107</v>
      </c>
      <c r="T104" s="474"/>
      <c r="U104" s="474"/>
      <c r="V104" s="489" t="s">
        <v>8106</v>
      </c>
      <c r="W104" s="489" t="s">
        <v>8105</v>
      </c>
      <c r="X104" s="474"/>
      <c r="Y104" s="474"/>
      <c r="Z104" s="474"/>
      <c r="AA104" s="474"/>
      <c r="AB104" s="474"/>
      <c r="AC104" s="474"/>
      <c r="AD104" s="474"/>
      <c r="AE104" s="474"/>
      <c r="AF104" s="474"/>
      <c r="AG104" s="474"/>
      <c r="AH104" s="474"/>
      <c r="AI104" s="474"/>
    </row>
    <row r="105" spans="5:35" ht="17.25" thickBot="1">
      <c r="E105" s="474" t="s">
        <v>8101</v>
      </c>
      <c r="F105" s="474" t="s">
        <v>8068</v>
      </c>
      <c r="G105" s="474"/>
      <c r="J105" s="488" t="s">
        <v>8100</v>
      </c>
      <c r="K105" s="488" t="s">
        <v>8099</v>
      </c>
      <c r="L105" s="474"/>
      <c r="M105" s="474"/>
      <c r="N105" s="488" t="s">
        <v>8098</v>
      </c>
      <c r="O105" s="488" t="s">
        <v>8097</v>
      </c>
      <c r="P105" s="474"/>
      <c r="Q105" s="474"/>
      <c r="R105" s="488" t="s">
        <v>8096</v>
      </c>
      <c r="S105" s="488" t="s">
        <v>8095</v>
      </c>
      <c r="T105" s="474"/>
      <c r="U105" s="474"/>
      <c r="V105" s="488" t="s">
        <v>8094</v>
      </c>
      <c r="W105" s="488" t="s">
        <v>8093</v>
      </c>
      <c r="X105" s="474"/>
      <c r="Y105" s="474"/>
      <c r="Z105" s="474"/>
      <c r="AA105" s="474"/>
      <c r="AB105" s="474"/>
      <c r="AC105" s="474"/>
      <c r="AD105" s="474"/>
      <c r="AE105" s="474"/>
      <c r="AF105" s="474"/>
      <c r="AG105" s="474"/>
      <c r="AH105" s="474"/>
      <c r="AI105" s="474"/>
    </row>
    <row r="106" spans="5:35" ht="17.25" thickBot="1">
      <c r="E106" s="474" t="s">
        <v>8092</v>
      </c>
      <c r="F106" s="474" t="s">
        <v>8091</v>
      </c>
      <c r="G106" s="474"/>
      <c r="J106" s="489" t="s">
        <v>8090</v>
      </c>
      <c r="K106" s="489" t="s">
        <v>8089</v>
      </c>
      <c r="L106" s="474"/>
      <c r="M106" s="474"/>
      <c r="N106" s="489" t="s">
        <v>8088</v>
      </c>
      <c r="O106" s="489" t="s">
        <v>8087</v>
      </c>
      <c r="P106" s="474"/>
      <c r="Q106" s="474"/>
      <c r="R106" s="489" t="s">
        <v>8086</v>
      </c>
      <c r="S106" s="489" t="s">
        <v>8085</v>
      </c>
      <c r="T106" s="474"/>
      <c r="U106" s="474"/>
      <c r="V106" s="489" t="s">
        <v>8084</v>
      </c>
      <c r="W106" s="489" t="s">
        <v>8083</v>
      </c>
      <c r="X106" s="474"/>
      <c r="Y106" s="474"/>
      <c r="Z106" s="474"/>
      <c r="AA106" s="474"/>
      <c r="AB106" s="474"/>
      <c r="AC106" s="474"/>
      <c r="AD106" s="474"/>
      <c r="AE106" s="474"/>
      <c r="AF106" s="474"/>
      <c r="AG106" s="474"/>
      <c r="AH106" s="474"/>
      <c r="AI106" s="474"/>
    </row>
    <row r="107" spans="5:35" ht="18.75" thickBot="1">
      <c r="E107" s="474" t="s">
        <v>8078</v>
      </c>
      <c r="F107" s="474" t="s">
        <v>8029</v>
      </c>
      <c r="G107" s="474" t="s">
        <v>8077</v>
      </c>
      <c r="J107" s="488" t="s">
        <v>8076</v>
      </c>
      <c r="K107" s="488" t="s">
        <v>8075</v>
      </c>
      <c r="L107" s="474"/>
      <c r="M107" s="474"/>
      <c r="N107" s="488" t="s">
        <v>5762</v>
      </c>
      <c r="O107" s="488" t="s">
        <v>8074</v>
      </c>
      <c r="P107" s="474"/>
      <c r="Q107" s="474"/>
      <c r="R107" s="488" t="s">
        <v>8073</v>
      </c>
      <c r="S107" s="488" t="s">
        <v>8072</v>
      </c>
      <c r="T107" s="474"/>
      <c r="U107" s="474"/>
      <c r="V107" s="488" t="s">
        <v>8071</v>
      </c>
      <c r="W107" s="488" t="s">
        <v>8070</v>
      </c>
      <c r="X107" s="474"/>
      <c r="Y107" s="474"/>
      <c r="Z107" s="474"/>
      <c r="AA107" s="474"/>
      <c r="AB107" s="474"/>
      <c r="AC107" s="474"/>
      <c r="AD107" s="474"/>
      <c r="AE107" s="474"/>
      <c r="AF107" s="474"/>
      <c r="AG107" s="474"/>
      <c r="AH107" s="474"/>
      <c r="AI107" s="474"/>
    </row>
    <row r="108" spans="5:35" ht="17.25" thickBot="1">
      <c r="E108" s="474" t="s">
        <v>8064</v>
      </c>
      <c r="F108" s="474" t="s">
        <v>8031</v>
      </c>
      <c r="G108" s="474" t="s">
        <v>8063</v>
      </c>
      <c r="J108" s="489" t="s">
        <v>8036</v>
      </c>
      <c r="K108" s="489" t="s">
        <v>8062</v>
      </c>
      <c r="L108" s="474"/>
      <c r="M108" s="474"/>
      <c r="N108" s="489" t="s">
        <v>5756</v>
      </c>
      <c r="O108" s="489" t="s">
        <v>8061</v>
      </c>
      <c r="P108" s="474"/>
      <c r="Q108" s="474"/>
      <c r="R108" s="489" t="s">
        <v>8060</v>
      </c>
      <c r="S108" s="489" t="s">
        <v>8059</v>
      </c>
      <c r="T108" s="474"/>
      <c r="U108" s="474"/>
      <c r="V108" s="489" t="s">
        <v>8058</v>
      </c>
      <c r="W108" s="489" t="s">
        <v>8057</v>
      </c>
      <c r="X108" s="474"/>
      <c r="Y108" s="474"/>
      <c r="Z108" s="474"/>
      <c r="AA108" s="474"/>
      <c r="AB108" s="474"/>
      <c r="AC108" s="474"/>
      <c r="AD108" s="474"/>
      <c r="AE108" s="474"/>
      <c r="AF108" s="474"/>
      <c r="AG108" s="474"/>
      <c r="AH108" s="474"/>
      <c r="AI108" s="474"/>
    </row>
    <row r="109" spans="5:35" ht="18.75" thickBot="1">
      <c r="E109" s="474" t="s">
        <v>8054</v>
      </c>
      <c r="F109" s="474" t="s">
        <v>8023</v>
      </c>
      <c r="G109" s="474" t="s">
        <v>8053</v>
      </c>
      <c r="J109" s="488" t="s">
        <v>8026</v>
      </c>
      <c r="K109" s="488" t="s">
        <v>8052</v>
      </c>
      <c r="L109" s="474"/>
      <c r="M109" s="474"/>
      <c r="N109" s="488" t="s">
        <v>8051</v>
      </c>
      <c r="O109" s="488" t="s">
        <v>8050</v>
      </c>
      <c r="P109" s="474"/>
      <c r="Q109" s="474"/>
      <c r="R109" s="488" t="s">
        <v>8049</v>
      </c>
      <c r="S109" s="488" t="s">
        <v>8048</v>
      </c>
      <c r="T109" s="474"/>
      <c r="U109" s="474"/>
      <c r="V109" s="489" t="s">
        <v>8047</v>
      </c>
      <c r="W109" s="489" t="s">
        <v>8046</v>
      </c>
      <c r="X109" s="474"/>
      <c r="Y109" s="474"/>
      <c r="Z109" s="474"/>
      <c r="AA109" s="474"/>
      <c r="AB109" s="474"/>
      <c r="AC109" s="474"/>
      <c r="AD109" s="474"/>
      <c r="AE109" s="474"/>
      <c r="AF109" s="474"/>
      <c r="AG109" s="474"/>
      <c r="AH109" s="474"/>
      <c r="AI109" s="474"/>
    </row>
    <row r="110" spans="5:35" ht="17.25" thickBot="1">
      <c r="E110" s="474" t="s">
        <v>8040</v>
      </c>
      <c r="F110" s="474" t="s">
        <v>7979</v>
      </c>
      <c r="G110" s="474" t="s">
        <v>8028</v>
      </c>
      <c r="J110" s="489" t="s">
        <v>8039</v>
      </c>
      <c r="K110" s="489" t="s">
        <v>8000</v>
      </c>
      <c r="L110" s="474"/>
      <c r="M110" s="474"/>
      <c r="N110" s="489" t="s">
        <v>8038</v>
      </c>
      <c r="O110" s="489" t="s">
        <v>8037</v>
      </c>
      <c r="P110" s="474"/>
      <c r="Q110" s="474"/>
      <c r="R110" s="489" t="s">
        <v>8036</v>
      </c>
      <c r="S110" s="489" t="s">
        <v>8035</v>
      </c>
      <c r="T110" s="474"/>
      <c r="U110" s="474"/>
      <c r="V110" s="474"/>
      <c r="W110" s="474"/>
      <c r="X110" s="474"/>
      <c r="Y110" s="474"/>
      <c r="Z110" s="474"/>
      <c r="AA110" s="474"/>
      <c r="AB110" s="474"/>
      <c r="AC110" s="474"/>
      <c r="AD110" s="474"/>
      <c r="AE110" s="474"/>
      <c r="AF110" s="474"/>
      <c r="AG110" s="474"/>
      <c r="AH110" s="474"/>
      <c r="AI110" s="474"/>
    </row>
    <row r="111" spans="5:35" ht="17.25" thickBot="1">
      <c r="E111" s="474" t="s">
        <v>8030</v>
      </c>
      <c r="F111" s="474" t="s">
        <v>8029</v>
      </c>
      <c r="G111" s="474" t="s">
        <v>8028</v>
      </c>
      <c r="J111" s="488" t="s">
        <v>8027</v>
      </c>
      <c r="K111" s="488" t="s">
        <v>7990</v>
      </c>
      <c r="L111" s="474"/>
      <c r="M111" s="474"/>
      <c r="N111" s="474"/>
      <c r="O111" s="474"/>
      <c r="P111" s="474"/>
      <c r="Q111" s="474"/>
      <c r="R111" s="488" t="s">
        <v>8026</v>
      </c>
      <c r="S111" s="488" t="s">
        <v>8025</v>
      </c>
      <c r="T111" s="474"/>
      <c r="U111" s="474"/>
      <c r="V111" s="474"/>
      <c r="W111" s="474"/>
      <c r="X111" s="474"/>
      <c r="Y111" s="474"/>
      <c r="Z111" s="474"/>
      <c r="AA111" s="474"/>
      <c r="AB111" s="474"/>
      <c r="AC111" s="474"/>
      <c r="AD111" s="474"/>
      <c r="AE111" s="474"/>
      <c r="AF111" s="474"/>
      <c r="AG111" s="474"/>
      <c r="AH111" s="474"/>
      <c r="AI111" s="474"/>
    </row>
    <row r="112" spans="5:35" ht="17.25" thickBot="1">
      <c r="J112" s="489" t="s">
        <v>8020</v>
      </c>
      <c r="K112" s="489" t="s">
        <v>8019</v>
      </c>
      <c r="L112" s="474"/>
      <c r="M112" s="474"/>
      <c r="N112" s="474"/>
      <c r="O112" s="474"/>
      <c r="P112" s="474"/>
      <c r="Q112" s="474"/>
      <c r="R112" s="489" t="s">
        <v>8018</v>
      </c>
      <c r="S112" s="489" t="s">
        <v>8017</v>
      </c>
      <c r="T112" s="474"/>
      <c r="U112" s="474"/>
      <c r="V112" s="474"/>
      <c r="W112" s="474"/>
      <c r="X112" s="474"/>
      <c r="Y112" s="474"/>
      <c r="Z112" s="474"/>
      <c r="AA112" s="474"/>
      <c r="AB112" s="474"/>
      <c r="AC112" s="474"/>
      <c r="AD112" s="474"/>
      <c r="AE112" s="474"/>
      <c r="AF112" s="474"/>
      <c r="AG112" s="474"/>
      <c r="AH112" s="474"/>
      <c r="AI112" s="474"/>
    </row>
    <row r="113" spans="10:35" ht="17.25" thickBot="1">
      <c r="J113" s="488" t="s">
        <v>7985</v>
      </c>
      <c r="K113" s="488" t="s">
        <v>8011</v>
      </c>
      <c r="L113" s="474"/>
      <c r="M113" s="474"/>
      <c r="N113" s="474"/>
      <c r="O113" s="474"/>
      <c r="P113" s="474"/>
      <c r="Q113" s="474"/>
      <c r="R113" s="488" t="s">
        <v>8010</v>
      </c>
      <c r="S113" s="488" t="s">
        <v>8009</v>
      </c>
      <c r="T113" s="474"/>
      <c r="U113" s="474"/>
      <c r="V113" s="474"/>
      <c r="W113" s="474"/>
      <c r="X113" s="474"/>
      <c r="Y113" s="474"/>
      <c r="Z113" s="474"/>
      <c r="AA113" s="474"/>
      <c r="AB113" s="474"/>
      <c r="AC113" s="474"/>
      <c r="AD113" s="474"/>
      <c r="AE113" s="474"/>
      <c r="AF113" s="474"/>
      <c r="AG113" s="474"/>
      <c r="AH113" s="474"/>
      <c r="AI113" s="474"/>
    </row>
    <row r="114" spans="10:35" ht="17.25" thickBot="1">
      <c r="J114" s="489" t="s">
        <v>7977</v>
      </c>
      <c r="K114" s="489" t="s">
        <v>8002</v>
      </c>
      <c r="L114" s="474"/>
      <c r="M114" s="474"/>
      <c r="N114" s="474"/>
      <c r="O114" s="474"/>
      <c r="P114" s="474"/>
      <c r="Q114" s="474"/>
      <c r="R114" s="489" t="s">
        <v>8001</v>
      </c>
      <c r="S114" s="489" t="s">
        <v>8000</v>
      </c>
      <c r="T114" s="474"/>
      <c r="U114" s="474"/>
      <c r="V114" s="474"/>
      <c r="W114" s="474"/>
      <c r="X114" s="474"/>
      <c r="Y114" s="474"/>
      <c r="Z114" s="474"/>
      <c r="AA114" s="474"/>
      <c r="AB114" s="474"/>
      <c r="AC114" s="474"/>
      <c r="AD114" s="474"/>
      <c r="AE114" s="474"/>
      <c r="AF114" s="474"/>
      <c r="AG114" s="474"/>
      <c r="AH114" s="474"/>
      <c r="AI114" s="474"/>
    </row>
    <row r="115" spans="10:35" ht="17.25" thickBot="1">
      <c r="J115" s="488" t="s">
        <v>7993</v>
      </c>
      <c r="K115" s="488" t="s">
        <v>7992</v>
      </c>
      <c r="L115" s="474"/>
      <c r="M115" s="474"/>
      <c r="N115" s="474"/>
      <c r="O115" s="474"/>
      <c r="P115" s="474"/>
      <c r="Q115" s="474"/>
      <c r="R115" s="488" t="s">
        <v>7991</v>
      </c>
      <c r="S115" s="488" t="s">
        <v>7990</v>
      </c>
      <c r="T115" s="474"/>
      <c r="U115" s="474"/>
      <c r="V115" s="474"/>
      <c r="W115" s="474"/>
      <c r="X115" s="474"/>
      <c r="Y115" s="474"/>
      <c r="Z115" s="474"/>
      <c r="AA115" s="474"/>
      <c r="AB115" s="474"/>
      <c r="AC115" s="474"/>
      <c r="AD115" s="474"/>
      <c r="AE115" s="474"/>
      <c r="AF115" s="474"/>
      <c r="AG115" s="474"/>
      <c r="AH115" s="474"/>
      <c r="AI115" s="474"/>
    </row>
    <row r="116" spans="10:35" ht="17.25" thickBot="1">
      <c r="J116" s="474"/>
      <c r="K116" s="474"/>
      <c r="L116" s="474"/>
      <c r="M116" s="474"/>
      <c r="N116" s="474"/>
      <c r="O116" s="474"/>
      <c r="P116" s="474"/>
      <c r="Q116" s="474"/>
      <c r="R116" s="489" t="s">
        <v>7985</v>
      </c>
      <c r="S116" s="489" t="s">
        <v>7984</v>
      </c>
      <c r="T116" s="474"/>
      <c r="U116" s="474"/>
      <c r="V116" s="474"/>
      <c r="W116" s="474"/>
      <c r="X116" s="474"/>
      <c r="Y116" s="474"/>
      <c r="Z116" s="474"/>
      <c r="AA116" s="474"/>
      <c r="AB116" s="474"/>
      <c r="AC116" s="474"/>
      <c r="AD116" s="474"/>
      <c r="AE116" s="474"/>
      <c r="AF116" s="474"/>
      <c r="AG116" s="474"/>
      <c r="AH116" s="474"/>
      <c r="AI116" s="474"/>
    </row>
    <row r="117" spans="10:35" ht="17.25" thickBot="1">
      <c r="J117" s="474"/>
      <c r="K117" s="474"/>
      <c r="L117" s="474"/>
      <c r="M117" s="474"/>
      <c r="N117" s="474"/>
      <c r="O117" s="474"/>
      <c r="P117" s="474"/>
      <c r="Q117" s="474"/>
      <c r="R117" s="488" t="s">
        <v>7977</v>
      </c>
      <c r="S117" s="488" t="s">
        <v>7976</v>
      </c>
      <c r="T117" s="474"/>
      <c r="U117" s="474"/>
      <c r="V117" s="474"/>
      <c r="W117" s="474"/>
      <c r="X117" s="474"/>
      <c r="Y117" s="474"/>
      <c r="Z117" s="474"/>
      <c r="AA117" s="474"/>
      <c r="AB117" s="474"/>
      <c r="AC117" s="474"/>
      <c r="AD117" s="474"/>
      <c r="AE117" s="474"/>
      <c r="AF117" s="474"/>
      <c r="AG117" s="474"/>
      <c r="AH117" s="474"/>
      <c r="AI117" s="474"/>
    </row>
    <row r="118" spans="10:35" ht="17.25" thickBot="1">
      <c r="J118" s="474"/>
      <c r="K118" s="474"/>
      <c r="L118" s="474"/>
      <c r="M118" s="474"/>
      <c r="N118" s="474"/>
      <c r="O118" s="474"/>
      <c r="P118" s="474"/>
      <c r="Q118" s="474"/>
      <c r="R118" s="489" t="s">
        <v>7971</v>
      </c>
      <c r="S118" s="489" t="s">
        <v>7970</v>
      </c>
      <c r="T118" s="474"/>
      <c r="U118" s="474"/>
      <c r="V118" s="474"/>
      <c r="W118" s="474"/>
      <c r="X118" s="474"/>
      <c r="Y118" s="474"/>
      <c r="Z118" s="474"/>
      <c r="AA118" s="474"/>
      <c r="AB118" s="474"/>
      <c r="AC118" s="474"/>
      <c r="AD118" s="474"/>
      <c r="AE118" s="474"/>
      <c r="AF118" s="474"/>
      <c r="AG118" s="474"/>
      <c r="AH118" s="474"/>
      <c r="AI118" s="474"/>
    </row>
    <row r="119" spans="10:35" ht="17.25" thickBot="1">
      <c r="J119" s="474"/>
      <c r="K119" s="474"/>
      <c r="L119" s="474"/>
      <c r="M119" s="474"/>
      <c r="N119" s="474"/>
      <c r="O119" s="474"/>
      <c r="P119" s="474"/>
      <c r="Q119" s="474"/>
      <c r="R119" s="488" t="s">
        <v>7966</v>
      </c>
      <c r="S119" s="488" t="s">
        <v>7965</v>
      </c>
      <c r="T119" s="474"/>
      <c r="U119" s="474"/>
      <c r="V119" s="474"/>
      <c r="W119" s="474"/>
      <c r="X119" s="474"/>
      <c r="Y119" s="474"/>
      <c r="Z119" s="474"/>
      <c r="AA119" s="474"/>
      <c r="AB119" s="474"/>
      <c r="AC119" s="474"/>
      <c r="AD119" s="474"/>
      <c r="AE119" s="474"/>
      <c r="AF119" s="474"/>
      <c r="AG119" s="474"/>
      <c r="AH119" s="474"/>
      <c r="AI119" s="474"/>
    </row>
    <row r="120" spans="10:35" ht="16.5">
      <c r="J120" s="474"/>
      <c r="K120" s="474"/>
      <c r="L120" s="474"/>
      <c r="M120" s="474"/>
      <c r="N120" s="474"/>
      <c r="O120" s="474"/>
      <c r="P120" s="474"/>
      <c r="Q120" s="474"/>
      <c r="R120" s="474"/>
      <c r="S120" s="474"/>
      <c r="T120" s="474"/>
      <c r="U120" s="474"/>
      <c r="V120" s="474"/>
      <c r="W120" s="474"/>
      <c r="X120" s="474"/>
      <c r="Y120" s="474"/>
      <c r="Z120" s="474"/>
      <c r="AA120" s="474"/>
      <c r="AB120" s="474"/>
      <c r="AC120" s="474"/>
      <c r="AD120" s="474"/>
      <c r="AE120" s="474"/>
      <c r="AF120" s="474"/>
      <c r="AG120" s="474"/>
      <c r="AH120" s="474"/>
      <c r="AI120" s="474"/>
    </row>
    <row r="121" spans="10:35" ht="16.5">
      <c r="J121" s="474"/>
      <c r="K121" s="474"/>
      <c r="L121" s="474"/>
      <c r="M121" s="474"/>
      <c r="N121" s="474"/>
      <c r="O121" s="474"/>
      <c r="P121" s="474"/>
      <c r="Q121" s="474"/>
      <c r="R121" s="474"/>
      <c r="S121" s="474"/>
      <c r="T121" s="474"/>
      <c r="U121" s="474"/>
      <c r="V121" s="474"/>
      <c r="W121" s="474"/>
      <c r="X121" s="474"/>
      <c r="Y121" s="474"/>
      <c r="Z121" s="474"/>
      <c r="AA121" s="474"/>
      <c r="AB121" s="474"/>
      <c r="AC121" s="474"/>
      <c r="AD121" s="474"/>
      <c r="AE121" s="474"/>
      <c r="AF121" s="474"/>
      <c r="AG121" s="474"/>
      <c r="AH121" s="474"/>
      <c r="AI121" s="474"/>
    </row>
    <row r="138" spans="5:23" ht="16.5">
      <c r="E138" s="474" t="s">
        <v>8176</v>
      </c>
      <c r="F138" s="474" t="s">
        <v>2088</v>
      </c>
      <c r="G138" s="474" t="s">
        <v>8175</v>
      </c>
      <c r="H138" s="474"/>
      <c r="I138" s="474"/>
      <c r="J138" s="474"/>
      <c r="K138" s="474"/>
      <c r="L138" s="474"/>
      <c r="M138" s="474"/>
      <c r="N138" s="474"/>
      <c r="O138" s="474"/>
      <c r="P138" s="474"/>
      <c r="Q138" s="474"/>
    </row>
    <row r="139" spans="5:23" ht="16.5">
      <c r="E139" s="474" t="s">
        <v>8174</v>
      </c>
      <c r="F139" s="474" t="s">
        <v>6264</v>
      </c>
      <c r="G139" s="474"/>
      <c r="H139" s="474"/>
      <c r="I139" s="474"/>
      <c r="J139" s="474"/>
      <c r="K139" s="474"/>
      <c r="L139" s="474"/>
      <c r="M139" s="474"/>
      <c r="N139" s="474"/>
      <c r="O139" s="474"/>
      <c r="P139" s="474"/>
      <c r="Q139" s="474"/>
    </row>
    <row r="140" spans="5:23" ht="18">
      <c r="E140" s="474" t="s">
        <v>8173</v>
      </c>
      <c r="F140" s="474" t="s">
        <v>8023</v>
      </c>
      <c r="G140" s="474" t="s">
        <v>8172</v>
      </c>
      <c r="H140" s="474"/>
      <c r="I140" s="474" t="s">
        <v>8171</v>
      </c>
      <c r="J140" s="474" t="s">
        <v>2088</v>
      </c>
      <c r="K140" s="474" t="s">
        <v>8170</v>
      </c>
      <c r="L140" s="474"/>
      <c r="M140" s="474"/>
      <c r="N140" s="474"/>
      <c r="T140" s="473" t="s">
        <v>8343</v>
      </c>
    </row>
    <row r="141" spans="5:23" ht="18">
      <c r="E141" s="474" t="s">
        <v>8164</v>
      </c>
      <c r="F141" s="474" t="s">
        <v>8163</v>
      </c>
      <c r="G141" s="474" t="s">
        <v>8162</v>
      </c>
      <c r="H141" s="474"/>
      <c r="I141" s="474" t="s">
        <v>8161</v>
      </c>
      <c r="J141" s="474" t="s">
        <v>7960</v>
      </c>
      <c r="K141" s="474" t="s">
        <v>8160</v>
      </c>
      <c r="L141" s="474"/>
      <c r="M141" s="474"/>
      <c r="N141" s="474"/>
      <c r="P141" s="473" t="s">
        <v>551</v>
      </c>
      <c r="Q141" s="473" t="s">
        <v>7706</v>
      </c>
      <c r="R141" s="473" t="s">
        <v>7705</v>
      </c>
      <c r="T141" s="473" t="s">
        <v>5816</v>
      </c>
      <c r="U141" s="473" t="s">
        <v>8198</v>
      </c>
      <c r="V141" s="473" t="s">
        <v>5816</v>
      </c>
      <c r="W141" s="473" t="s">
        <v>8197</v>
      </c>
    </row>
    <row r="142" spans="5:23" ht="16.5">
      <c r="E142" s="474" t="s">
        <v>8154</v>
      </c>
      <c r="F142" s="474" t="s">
        <v>8012</v>
      </c>
      <c r="G142" s="474" t="s">
        <v>8153</v>
      </c>
      <c r="H142" s="474"/>
      <c r="I142" s="474" t="s">
        <v>8152</v>
      </c>
      <c r="J142" s="474" t="s">
        <v>7986</v>
      </c>
      <c r="K142" s="474" t="s">
        <v>8151</v>
      </c>
      <c r="L142" s="474"/>
      <c r="M142" s="474"/>
      <c r="N142" s="474"/>
      <c r="P142" s="473" t="s">
        <v>7952</v>
      </c>
      <c r="T142" s="473">
        <v>1</v>
      </c>
      <c r="U142" s="473" t="s">
        <v>8342</v>
      </c>
      <c r="V142" s="473">
        <v>1</v>
      </c>
      <c r="W142" s="473" t="s">
        <v>8341</v>
      </c>
    </row>
    <row r="143" spans="5:23" ht="16.5">
      <c r="E143" s="474" t="s">
        <v>8144</v>
      </c>
      <c r="F143" s="474" t="s">
        <v>7979</v>
      </c>
      <c r="G143" s="474" t="s">
        <v>8143</v>
      </c>
      <c r="H143" s="474"/>
      <c r="I143" s="474" t="s">
        <v>8142</v>
      </c>
      <c r="J143" s="474" t="s">
        <v>8031</v>
      </c>
      <c r="K143" s="474" t="s">
        <v>8141</v>
      </c>
      <c r="L143" s="474"/>
      <c r="M143" s="474"/>
      <c r="N143" s="474"/>
      <c r="P143" s="473">
        <v>1</v>
      </c>
      <c r="Q143" s="473" t="s">
        <v>8340</v>
      </c>
      <c r="R143" s="497">
        <v>44044</v>
      </c>
      <c r="T143" s="473">
        <v>2</v>
      </c>
      <c r="U143" s="473" t="s">
        <v>8339</v>
      </c>
      <c r="V143" s="473">
        <v>2</v>
      </c>
      <c r="W143" s="473" t="s">
        <v>8338</v>
      </c>
    </row>
    <row r="144" spans="5:23" ht="16.5">
      <c r="E144" s="474" t="s">
        <v>8131</v>
      </c>
      <c r="F144" s="474" t="s">
        <v>8029</v>
      </c>
      <c r="G144" s="474" t="s">
        <v>8130</v>
      </c>
      <c r="H144" s="474"/>
      <c r="I144" s="474" t="s">
        <v>8129</v>
      </c>
      <c r="J144" s="474" t="s">
        <v>8012</v>
      </c>
      <c r="K144" s="474" t="s">
        <v>8116</v>
      </c>
      <c r="L144" s="474"/>
      <c r="M144" s="474"/>
      <c r="N144" s="474"/>
      <c r="P144" s="473">
        <v>2</v>
      </c>
      <c r="Q144" s="473" t="s">
        <v>8337</v>
      </c>
      <c r="R144" s="497">
        <v>44044</v>
      </c>
      <c r="T144" s="473">
        <v>3</v>
      </c>
      <c r="U144" s="473" t="s">
        <v>8336</v>
      </c>
      <c r="V144" s="473">
        <v>3</v>
      </c>
      <c r="W144" s="473" t="s">
        <v>8335</v>
      </c>
    </row>
    <row r="145" spans="5:23" ht="16.5">
      <c r="E145" s="474" t="s">
        <v>8119</v>
      </c>
      <c r="F145" s="474" t="s">
        <v>8068</v>
      </c>
      <c r="G145" s="474" t="s">
        <v>7967</v>
      </c>
      <c r="H145" s="474"/>
      <c r="I145" s="474" t="s">
        <v>8118</v>
      </c>
      <c r="J145" s="474" t="s">
        <v>8117</v>
      </c>
      <c r="K145" s="474" t="s">
        <v>8116</v>
      </c>
      <c r="L145" s="474"/>
      <c r="M145" s="474"/>
      <c r="N145" s="474"/>
      <c r="P145" s="473">
        <v>3</v>
      </c>
      <c r="Q145" s="473" t="s">
        <v>8334</v>
      </c>
      <c r="R145" s="497">
        <v>43922</v>
      </c>
      <c r="T145" s="473">
        <v>4</v>
      </c>
      <c r="U145" s="473" t="s">
        <v>8333</v>
      </c>
      <c r="V145" s="473">
        <v>4</v>
      </c>
      <c r="W145" s="473" t="s">
        <v>8332</v>
      </c>
    </row>
    <row r="146" spans="5:23" ht="18">
      <c r="E146" s="474" t="s">
        <v>8104</v>
      </c>
      <c r="F146" s="474" t="s">
        <v>8103</v>
      </c>
      <c r="G146" s="474" t="s">
        <v>8102</v>
      </c>
      <c r="H146" s="474"/>
      <c r="I146" s="474"/>
      <c r="J146" s="474"/>
      <c r="K146" s="474"/>
      <c r="L146" s="474"/>
      <c r="M146" s="474"/>
      <c r="N146" s="474"/>
      <c r="P146" s="473">
        <v>4</v>
      </c>
      <c r="Q146" s="473" t="s">
        <v>8331</v>
      </c>
      <c r="R146" s="497">
        <v>43862</v>
      </c>
      <c r="T146" s="473">
        <v>5</v>
      </c>
      <c r="U146" s="473" t="s">
        <v>8330</v>
      </c>
      <c r="V146" s="473">
        <v>5</v>
      </c>
      <c r="W146" s="473" t="s">
        <v>8329</v>
      </c>
    </row>
    <row r="147" spans="5:23" ht="16.5">
      <c r="E147" s="474"/>
      <c r="F147" s="474"/>
      <c r="G147" s="474"/>
      <c r="H147" s="474"/>
      <c r="I147" s="474"/>
      <c r="J147" s="474"/>
      <c r="K147" s="474"/>
      <c r="L147" s="474"/>
      <c r="M147" s="474"/>
      <c r="N147" s="474"/>
      <c r="P147" s="473">
        <v>5</v>
      </c>
      <c r="Q147" s="473" t="s">
        <v>8328</v>
      </c>
      <c r="R147" s="497">
        <v>43862</v>
      </c>
      <c r="T147" s="473">
        <v>6</v>
      </c>
      <c r="U147" s="473" t="s">
        <v>8327</v>
      </c>
      <c r="V147" s="473">
        <v>6</v>
      </c>
      <c r="W147" s="473" t="s">
        <v>8326</v>
      </c>
    </row>
    <row r="148" spans="5:23" ht="16.5">
      <c r="E148" s="474" t="s">
        <v>8082</v>
      </c>
      <c r="F148" s="474" t="s">
        <v>2088</v>
      </c>
      <c r="G148" s="474" t="s">
        <v>8081</v>
      </c>
      <c r="H148" s="474"/>
      <c r="I148" s="474" t="s">
        <v>8080</v>
      </c>
      <c r="J148" s="474" t="s">
        <v>2088</v>
      </c>
      <c r="K148" s="474" t="s">
        <v>8079</v>
      </c>
      <c r="L148" s="474"/>
      <c r="M148" s="474"/>
      <c r="N148" s="474"/>
      <c r="P148" s="473">
        <v>6</v>
      </c>
      <c r="Q148" s="473" t="s">
        <v>8325</v>
      </c>
      <c r="R148" s="473">
        <v>1</v>
      </c>
      <c r="T148" s="473">
        <v>7</v>
      </c>
      <c r="U148" s="473" t="s">
        <v>8324</v>
      </c>
      <c r="V148" s="473">
        <v>7</v>
      </c>
      <c r="W148" s="473" t="s">
        <v>8323</v>
      </c>
    </row>
    <row r="149" spans="5:23" ht="16.5">
      <c r="E149" s="474" t="s">
        <v>8069</v>
      </c>
      <c r="F149" s="474" t="s">
        <v>8068</v>
      </c>
      <c r="G149" s="474" t="s">
        <v>8067</v>
      </c>
      <c r="H149" s="474"/>
      <c r="I149" s="474" t="s">
        <v>8066</v>
      </c>
      <c r="J149" s="474" t="s">
        <v>8029</v>
      </c>
      <c r="K149" s="474" t="s">
        <v>8065</v>
      </c>
      <c r="L149" s="474"/>
      <c r="M149" s="474"/>
      <c r="N149" s="474"/>
      <c r="P149" s="473">
        <v>7</v>
      </c>
      <c r="Q149" s="473" t="s">
        <v>8322</v>
      </c>
      <c r="R149" s="473">
        <v>2</v>
      </c>
      <c r="T149" s="473">
        <v>8</v>
      </c>
      <c r="U149" s="473" t="s">
        <v>8321</v>
      </c>
      <c r="V149" s="473">
        <v>8</v>
      </c>
      <c r="W149" s="473" t="s">
        <v>8320</v>
      </c>
    </row>
    <row r="150" spans="5:23" ht="16.5">
      <c r="E150" s="474" t="s">
        <v>8056</v>
      </c>
      <c r="F150" s="474" t="s">
        <v>8007</v>
      </c>
      <c r="G150" s="474" t="s">
        <v>8014</v>
      </c>
      <c r="H150" s="474"/>
      <c r="I150" s="474" t="s">
        <v>8055</v>
      </c>
      <c r="J150" s="474" t="s">
        <v>7960</v>
      </c>
      <c r="K150" s="474" t="s">
        <v>8041</v>
      </c>
      <c r="L150" s="474"/>
      <c r="M150" s="474"/>
      <c r="N150" s="474"/>
      <c r="P150" s="473">
        <v>8</v>
      </c>
      <c r="Q150" s="473" t="s">
        <v>8319</v>
      </c>
      <c r="R150" s="473">
        <v>2</v>
      </c>
      <c r="T150" s="473">
        <v>9</v>
      </c>
      <c r="U150" s="473" t="s">
        <v>8318</v>
      </c>
      <c r="V150" s="473">
        <v>9</v>
      </c>
      <c r="W150" s="473" t="s">
        <v>8317</v>
      </c>
    </row>
    <row r="151" spans="5:23" ht="16.5">
      <c r="E151" s="474" t="s">
        <v>8045</v>
      </c>
      <c r="F151" s="474" t="s">
        <v>8044</v>
      </c>
      <c r="G151" s="474" t="s">
        <v>8006</v>
      </c>
      <c r="H151" s="474"/>
      <c r="I151" s="474" t="s">
        <v>8043</v>
      </c>
      <c r="J151" s="474" t="s">
        <v>8042</v>
      </c>
      <c r="K151" s="474" t="s">
        <v>8041</v>
      </c>
      <c r="L151" s="474"/>
      <c r="M151" s="474"/>
      <c r="N151" s="474"/>
      <c r="P151" s="473">
        <v>9</v>
      </c>
      <c r="Q151" s="473" t="s">
        <v>8316</v>
      </c>
      <c r="R151" s="473">
        <v>2</v>
      </c>
      <c r="T151" s="473">
        <v>10</v>
      </c>
      <c r="U151" s="473" t="s">
        <v>8315</v>
      </c>
      <c r="V151" s="473">
        <v>10</v>
      </c>
      <c r="W151" s="473" t="s">
        <v>8314</v>
      </c>
    </row>
    <row r="152" spans="5:23" ht="16.5">
      <c r="E152" s="474" t="s">
        <v>8034</v>
      </c>
      <c r="F152" s="474" t="s">
        <v>8033</v>
      </c>
      <c r="G152" s="474" t="s">
        <v>7997</v>
      </c>
      <c r="H152" s="474"/>
      <c r="I152" s="474" t="s">
        <v>8032</v>
      </c>
      <c r="J152" s="474" t="s">
        <v>8031</v>
      </c>
      <c r="K152" s="474" t="s">
        <v>8003</v>
      </c>
      <c r="L152" s="474"/>
      <c r="M152" s="474"/>
      <c r="N152" s="474"/>
      <c r="P152" s="473">
        <v>10</v>
      </c>
      <c r="Q152" s="473" t="s">
        <v>8313</v>
      </c>
      <c r="R152" s="473">
        <v>2</v>
      </c>
    </row>
    <row r="153" spans="5:23" ht="16.5">
      <c r="E153" s="474" t="s">
        <v>8024</v>
      </c>
      <c r="F153" s="474" t="s">
        <v>8023</v>
      </c>
      <c r="G153" s="474" t="s">
        <v>8022</v>
      </c>
      <c r="H153" s="474"/>
      <c r="I153" s="474" t="s">
        <v>8021</v>
      </c>
      <c r="J153" s="474" t="s">
        <v>7960</v>
      </c>
      <c r="K153" s="474" t="s">
        <v>8003</v>
      </c>
      <c r="L153" s="474"/>
      <c r="M153" s="474"/>
      <c r="N153" s="474"/>
      <c r="P153" s="473">
        <v>11</v>
      </c>
      <c r="Q153" s="473" t="s">
        <v>3824</v>
      </c>
      <c r="R153" s="473">
        <v>3</v>
      </c>
      <c r="T153" s="473" t="s">
        <v>8312</v>
      </c>
    </row>
    <row r="154" spans="5:23" ht="16.5">
      <c r="E154" s="474" t="s">
        <v>8016</v>
      </c>
      <c r="F154" s="474" t="s">
        <v>8015</v>
      </c>
      <c r="G154" s="474" t="s">
        <v>8014</v>
      </c>
      <c r="H154" s="474"/>
      <c r="I154" s="474" t="s">
        <v>8013</v>
      </c>
      <c r="J154" s="474" t="s">
        <v>8012</v>
      </c>
      <c r="K154" s="474" t="s">
        <v>8003</v>
      </c>
      <c r="L154" s="474"/>
      <c r="M154" s="474"/>
      <c r="N154" s="474"/>
      <c r="P154" s="473">
        <v>12</v>
      </c>
      <c r="Q154" s="473" t="s">
        <v>8311</v>
      </c>
      <c r="R154" s="473">
        <v>3</v>
      </c>
      <c r="T154" s="473" t="s">
        <v>5816</v>
      </c>
      <c r="U154" s="473" t="s">
        <v>8310</v>
      </c>
      <c r="V154" s="473" t="s">
        <v>8309</v>
      </c>
      <c r="W154" s="473" t="s">
        <v>8197</v>
      </c>
    </row>
    <row r="155" spans="5:23" ht="16.5">
      <c r="E155" s="474" t="s">
        <v>8008</v>
      </c>
      <c r="F155" s="474" t="s">
        <v>8007</v>
      </c>
      <c r="G155" s="474" t="s">
        <v>8006</v>
      </c>
      <c r="H155" s="474"/>
      <c r="I155" s="474" t="s">
        <v>8005</v>
      </c>
      <c r="J155" s="474" t="s">
        <v>8004</v>
      </c>
      <c r="K155" s="474" t="s">
        <v>8003</v>
      </c>
      <c r="L155" s="474"/>
      <c r="M155" s="474"/>
      <c r="N155" s="474"/>
      <c r="P155" s="473">
        <v>13</v>
      </c>
      <c r="Q155" s="473" t="s">
        <v>8308</v>
      </c>
      <c r="R155" s="473">
        <v>3</v>
      </c>
      <c r="T155" s="473">
        <v>1</v>
      </c>
      <c r="U155" s="473" t="s">
        <v>8307</v>
      </c>
      <c r="V155" s="473">
        <v>1</v>
      </c>
      <c r="W155" s="473" t="s">
        <v>8306</v>
      </c>
    </row>
    <row r="156" spans="5:23" ht="18">
      <c r="E156" s="474" t="s">
        <v>7999</v>
      </c>
      <c r="F156" s="474" t="s">
        <v>7998</v>
      </c>
      <c r="G156" s="474" t="s">
        <v>7997</v>
      </c>
      <c r="H156" s="474"/>
      <c r="I156" s="474" t="s">
        <v>7996</v>
      </c>
      <c r="J156" s="474" t="s">
        <v>7995</v>
      </c>
      <c r="K156" s="474" t="s">
        <v>7994</v>
      </c>
      <c r="L156" s="474"/>
      <c r="M156" s="474"/>
      <c r="N156" s="474"/>
      <c r="P156" s="473">
        <v>14</v>
      </c>
      <c r="Q156" s="473" t="s">
        <v>8305</v>
      </c>
      <c r="R156" s="473">
        <v>5</v>
      </c>
      <c r="T156" s="473">
        <v>2</v>
      </c>
      <c r="U156" s="473" t="s">
        <v>8304</v>
      </c>
      <c r="V156" s="473">
        <v>2</v>
      </c>
      <c r="W156" s="473" t="s">
        <v>8303</v>
      </c>
    </row>
    <row r="157" spans="5:23" ht="16.5">
      <c r="E157" s="474" t="s">
        <v>7983</v>
      </c>
      <c r="F157" s="474" t="s">
        <v>7989</v>
      </c>
      <c r="G157" s="474" t="s">
        <v>7988</v>
      </c>
      <c r="H157" s="474"/>
      <c r="I157" s="474" t="s">
        <v>7987</v>
      </c>
      <c r="J157" s="474" t="s">
        <v>7986</v>
      </c>
      <c r="K157" s="474" t="s">
        <v>7978</v>
      </c>
      <c r="L157" s="474"/>
      <c r="M157" s="474"/>
      <c r="N157" s="474"/>
      <c r="P157" s="473">
        <v>15</v>
      </c>
      <c r="Q157" s="473" t="s">
        <v>8302</v>
      </c>
      <c r="R157" s="473">
        <v>5</v>
      </c>
      <c r="T157" s="473">
        <v>3</v>
      </c>
      <c r="U157" s="473" t="s">
        <v>8301</v>
      </c>
      <c r="V157" s="473">
        <v>3</v>
      </c>
      <c r="W157" s="473" t="s">
        <v>8300</v>
      </c>
    </row>
    <row r="158" spans="5:23" ht="16.5">
      <c r="E158" s="474" t="s">
        <v>7983</v>
      </c>
      <c r="F158" s="474" t="s">
        <v>7982</v>
      </c>
      <c r="G158" s="474" t="s">
        <v>7981</v>
      </c>
      <c r="H158" s="474"/>
      <c r="I158" s="474" t="s">
        <v>7980</v>
      </c>
      <c r="J158" s="474" t="s">
        <v>7979</v>
      </c>
      <c r="K158" s="474" t="s">
        <v>7978</v>
      </c>
      <c r="L158" s="474"/>
      <c r="M158" s="474"/>
      <c r="N158" s="474"/>
      <c r="P158" s="473">
        <v>16</v>
      </c>
      <c r="Q158" s="473" t="s">
        <v>8299</v>
      </c>
      <c r="R158" s="473">
        <v>6</v>
      </c>
      <c r="T158" s="473">
        <v>4</v>
      </c>
      <c r="U158" s="473" t="s">
        <v>8298</v>
      </c>
      <c r="V158" s="473">
        <v>4</v>
      </c>
      <c r="W158" s="473" t="s">
        <v>8297</v>
      </c>
    </row>
    <row r="159" spans="5:23" ht="16.5">
      <c r="E159" s="474" t="s">
        <v>7975</v>
      </c>
      <c r="F159" s="474" t="s">
        <v>7974</v>
      </c>
      <c r="G159" s="474" t="s">
        <v>7973</v>
      </c>
      <c r="H159" s="474"/>
      <c r="I159" s="474" t="s">
        <v>7972</v>
      </c>
      <c r="J159" s="474"/>
      <c r="K159" s="474"/>
      <c r="L159" s="474"/>
      <c r="M159" s="474"/>
      <c r="N159" s="474"/>
      <c r="P159" s="473">
        <v>17</v>
      </c>
      <c r="Q159" s="473" t="s">
        <v>8296</v>
      </c>
      <c r="R159" s="473">
        <v>8</v>
      </c>
      <c r="T159" s="473">
        <v>5</v>
      </c>
      <c r="U159" s="473" t="s">
        <v>8295</v>
      </c>
      <c r="V159" s="473">
        <v>5</v>
      </c>
      <c r="W159" s="473" t="s">
        <v>8294</v>
      </c>
    </row>
    <row r="160" spans="5:23" ht="16.5">
      <c r="E160" s="474"/>
      <c r="F160" s="474"/>
      <c r="G160" s="474"/>
      <c r="H160" s="474"/>
      <c r="I160" s="474" t="s">
        <v>7969</v>
      </c>
      <c r="J160" s="474" t="s">
        <v>7968</v>
      </c>
      <c r="K160" s="474" t="s">
        <v>7967</v>
      </c>
      <c r="L160" s="474"/>
      <c r="M160" s="474"/>
      <c r="N160" s="474"/>
      <c r="P160" s="473">
        <v>18</v>
      </c>
      <c r="Q160" s="473" t="s">
        <v>8293</v>
      </c>
      <c r="R160" s="473">
        <v>11</v>
      </c>
      <c r="T160" s="473">
        <v>6</v>
      </c>
      <c r="U160" s="473" t="s">
        <v>8292</v>
      </c>
      <c r="V160" s="473">
        <v>6</v>
      </c>
      <c r="W160" s="473" t="s">
        <v>8291</v>
      </c>
    </row>
    <row r="161" spans="5:23" ht="16.5">
      <c r="E161" s="474"/>
      <c r="F161" s="474"/>
      <c r="G161" s="474"/>
      <c r="H161" s="474"/>
      <c r="I161" s="474" t="s">
        <v>7964</v>
      </c>
      <c r="J161" s="474" t="s">
        <v>6264</v>
      </c>
      <c r="K161" s="474" t="s">
        <v>7957</v>
      </c>
      <c r="L161" s="474"/>
      <c r="M161" s="474"/>
      <c r="N161" s="474"/>
      <c r="P161" s="473">
        <v>19</v>
      </c>
      <c r="Q161" s="473" t="s">
        <v>3364</v>
      </c>
      <c r="R161" s="473">
        <v>11</v>
      </c>
      <c r="T161" s="473">
        <v>7</v>
      </c>
      <c r="U161" s="473" t="s">
        <v>8290</v>
      </c>
      <c r="V161" s="473">
        <v>7</v>
      </c>
      <c r="W161" s="473" t="s">
        <v>8289</v>
      </c>
    </row>
    <row r="162" spans="5:23" ht="16.5">
      <c r="E162" s="474"/>
      <c r="F162" s="474"/>
      <c r="G162" s="474"/>
      <c r="H162" s="474"/>
      <c r="I162" s="474" t="s">
        <v>7963</v>
      </c>
      <c r="J162" s="474" t="s">
        <v>7962</v>
      </c>
      <c r="K162" s="474" t="s">
        <v>7957</v>
      </c>
      <c r="L162" s="474"/>
      <c r="M162" s="474"/>
      <c r="N162" s="474"/>
      <c r="P162" s="473">
        <v>20</v>
      </c>
      <c r="Q162" s="473" t="s">
        <v>8288</v>
      </c>
      <c r="T162" s="473">
        <v>8</v>
      </c>
      <c r="U162" s="473" t="s">
        <v>8287</v>
      </c>
      <c r="V162" s="473">
        <v>8</v>
      </c>
      <c r="W162" s="473" t="s">
        <v>8286</v>
      </c>
    </row>
    <row r="163" spans="5:23" ht="16.5">
      <c r="E163" s="474"/>
      <c r="F163" s="474"/>
      <c r="G163" s="474"/>
      <c r="H163" s="474"/>
      <c r="I163" s="474" t="s">
        <v>7961</v>
      </c>
      <c r="J163" s="474" t="s">
        <v>7960</v>
      </c>
      <c r="K163" s="474" t="s">
        <v>7957</v>
      </c>
      <c r="L163" s="474"/>
      <c r="M163" s="474"/>
      <c r="N163" s="474"/>
      <c r="T163" s="473">
        <v>9</v>
      </c>
      <c r="U163" s="473" t="s">
        <v>8285</v>
      </c>
      <c r="V163" s="473">
        <v>9</v>
      </c>
      <c r="W163" s="473" t="s">
        <v>8284</v>
      </c>
    </row>
    <row r="164" spans="5:23" ht="16.5">
      <c r="E164" s="474"/>
      <c r="F164" s="474"/>
      <c r="G164" s="474"/>
      <c r="H164" s="474"/>
      <c r="I164" s="474" t="s">
        <v>7959</v>
      </c>
      <c r="J164" s="474" t="s">
        <v>7958</v>
      </c>
      <c r="K164" s="474" t="s">
        <v>7957</v>
      </c>
      <c r="L164" s="474"/>
      <c r="M164" s="474"/>
      <c r="N164" s="474"/>
      <c r="T164" s="473">
        <v>10</v>
      </c>
      <c r="U164" s="473" t="s">
        <v>8283</v>
      </c>
      <c r="V164" s="473">
        <v>10</v>
      </c>
      <c r="W164" s="473" t="s">
        <v>8282</v>
      </c>
    </row>
    <row r="165" spans="5:23" ht="16.5">
      <c r="E165" s="474"/>
      <c r="F165" s="474"/>
      <c r="G165" s="474"/>
      <c r="H165" s="474"/>
      <c r="I165" s="474"/>
      <c r="J165" s="474"/>
      <c r="K165" s="474"/>
      <c r="L165" s="474"/>
      <c r="M165" s="474"/>
      <c r="N165" s="474"/>
    </row>
    <row r="166" spans="5:23" ht="16.5">
      <c r="E166" s="474"/>
      <c r="F166" s="474"/>
      <c r="G166" s="474"/>
      <c r="H166" s="474"/>
      <c r="I166" s="474"/>
      <c r="J166" s="474"/>
      <c r="K166" s="474"/>
      <c r="L166" s="474"/>
      <c r="M166" s="474"/>
      <c r="N166" s="474"/>
    </row>
    <row r="167" spans="5:23" ht="16.5">
      <c r="E167" s="474"/>
      <c r="F167" s="474"/>
      <c r="G167" s="474"/>
      <c r="H167" s="474"/>
      <c r="I167" s="474"/>
      <c r="J167" s="474"/>
      <c r="K167" s="474"/>
      <c r="L167" s="474"/>
      <c r="M167" s="474"/>
      <c r="N167" s="474"/>
      <c r="T167" s="473" t="s">
        <v>5816</v>
      </c>
      <c r="U167" s="473" t="s">
        <v>8198</v>
      </c>
      <c r="V167" s="473" t="s">
        <v>5816</v>
      </c>
      <c r="W167" s="473" t="s">
        <v>8197</v>
      </c>
    </row>
    <row r="168" spans="5:23" ht="16.5">
      <c r="E168" s="474"/>
      <c r="F168" s="474"/>
      <c r="G168" s="474"/>
      <c r="H168" s="474"/>
      <c r="I168" s="474"/>
      <c r="J168" s="474"/>
      <c r="K168" s="474"/>
      <c r="L168" s="474"/>
      <c r="M168" s="474"/>
      <c r="N168" s="474"/>
      <c r="T168" s="473">
        <v>1</v>
      </c>
      <c r="U168" s="473" t="s">
        <v>8281</v>
      </c>
      <c r="V168" s="473">
        <v>1</v>
      </c>
      <c r="W168" s="473" t="s">
        <v>8280</v>
      </c>
    </row>
    <row r="169" spans="5:23" ht="16.5">
      <c r="E169" s="474"/>
      <c r="F169" s="474"/>
      <c r="G169" s="474"/>
      <c r="H169" s="474"/>
      <c r="I169" s="474"/>
      <c r="J169" s="474"/>
      <c r="K169" s="474"/>
      <c r="L169" s="474"/>
      <c r="M169" s="474"/>
      <c r="N169" s="474"/>
      <c r="T169" s="473">
        <v>2</v>
      </c>
      <c r="U169" s="473" t="s">
        <v>8279</v>
      </c>
      <c r="V169" s="473">
        <v>2</v>
      </c>
      <c r="W169" s="473" t="s">
        <v>8278</v>
      </c>
    </row>
    <row r="170" spans="5:23" ht="16.5">
      <c r="E170" s="474"/>
      <c r="F170" s="474"/>
      <c r="G170" s="474"/>
      <c r="H170" s="474"/>
      <c r="I170" s="474"/>
      <c r="J170" s="474"/>
      <c r="K170" s="474"/>
      <c r="L170" s="474"/>
      <c r="M170" s="474"/>
      <c r="N170" s="474"/>
      <c r="T170" s="473">
        <v>3</v>
      </c>
      <c r="U170" s="473" t="s">
        <v>8277</v>
      </c>
      <c r="V170" s="473">
        <v>3</v>
      </c>
      <c r="W170" s="473" t="s">
        <v>8276</v>
      </c>
    </row>
    <row r="171" spans="5:23" ht="16.5">
      <c r="E171" s="474"/>
      <c r="F171" s="474"/>
      <c r="G171" s="474"/>
      <c r="H171" s="474"/>
      <c r="I171" s="474"/>
      <c r="J171" s="474"/>
      <c r="K171" s="474"/>
      <c r="L171" s="474"/>
      <c r="M171" s="474"/>
      <c r="N171" s="474"/>
      <c r="T171" s="473">
        <v>4</v>
      </c>
      <c r="U171" s="473" t="s">
        <v>8275</v>
      </c>
      <c r="V171" s="473">
        <v>4</v>
      </c>
      <c r="W171" s="473" t="s">
        <v>8274</v>
      </c>
    </row>
    <row r="172" spans="5:23" ht="16.5">
      <c r="E172" s="474"/>
      <c r="F172" s="474"/>
      <c r="G172" s="474"/>
      <c r="H172" s="474"/>
      <c r="I172" s="474"/>
      <c r="J172" s="474"/>
      <c r="K172" s="474"/>
      <c r="L172" s="474"/>
      <c r="M172" s="474"/>
      <c r="N172" s="474"/>
      <c r="T172" s="473">
        <v>5</v>
      </c>
      <c r="U172" s="473" t="s">
        <v>8273</v>
      </c>
      <c r="V172" s="473">
        <v>5</v>
      </c>
      <c r="W172" s="473" t="s">
        <v>8272</v>
      </c>
    </row>
    <row r="173" spans="5:23" ht="16.5">
      <c r="E173" s="474"/>
      <c r="F173" s="474"/>
      <c r="G173" s="474"/>
      <c r="H173" s="474"/>
      <c r="I173" s="474"/>
      <c r="J173" s="474"/>
      <c r="K173" s="474"/>
      <c r="L173" s="474"/>
      <c r="M173" s="474"/>
      <c r="N173" s="474"/>
      <c r="T173" s="473">
        <v>6</v>
      </c>
      <c r="U173" s="473" t="s">
        <v>8271</v>
      </c>
      <c r="V173" s="473">
        <v>6</v>
      </c>
      <c r="W173" s="473" t="s">
        <v>8270</v>
      </c>
    </row>
    <row r="174" spans="5:23" ht="16.5">
      <c r="E174" s="474"/>
      <c r="F174" s="474"/>
      <c r="G174" s="474"/>
      <c r="H174" s="474"/>
      <c r="I174" s="474"/>
      <c r="J174" s="474"/>
      <c r="K174" s="474"/>
      <c r="L174" s="474"/>
      <c r="M174" s="474"/>
      <c r="N174" s="474"/>
      <c r="T174" s="473">
        <v>7</v>
      </c>
      <c r="U174" s="473" t="s">
        <v>8269</v>
      </c>
      <c r="V174" s="473">
        <v>7</v>
      </c>
      <c r="W174" s="473" t="s">
        <v>8268</v>
      </c>
    </row>
    <row r="175" spans="5:23" ht="16.5">
      <c r="E175" s="474"/>
      <c r="F175" s="474"/>
      <c r="G175" s="474"/>
      <c r="H175" s="474"/>
      <c r="I175" s="474"/>
      <c r="J175" s="474"/>
      <c r="K175" s="474"/>
      <c r="L175" s="474"/>
      <c r="M175" s="474"/>
      <c r="N175" s="474"/>
      <c r="T175" s="473">
        <v>8</v>
      </c>
      <c r="U175" s="473" t="s">
        <v>8267</v>
      </c>
      <c r="V175" s="473">
        <v>8</v>
      </c>
      <c r="W175" s="473" t="s">
        <v>8266</v>
      </c>
    </row>
    <row r="176" spans="5:23" ht="16.5">
      <c r="E176" s="474"/>
      <c r="F176" s="474"/>
      <c r="G176" s="474"/>
      <c r="H176" s="474"/>
      <c r="I176" s="474"/>
      <c r="J176" s="474"/>
      <c r="K176" s="474"/>
      <c r="L176" s="474"/>
      <c r="M176" s="474"/>
      <c r="N176" s="474"/>
      <c r="T176" s="473">
        <v>9</v>
      </c>
      <c r="U176" s="473" t="s">
        <v>8265</v>
      </c>
      <c r="V176" s="473">
        <v>9</v>
      </c>
      <c r="W176" s="473" t="s">
        <v>8264</v>
      </c>
    </row>
    <row r="177" spans="5:23" ht="16.5">
      <c r="E177" s="474"/>
      <c r="F177" s="474"/>
      <c r="G177" s="474"/>
      <c r="H177" s="474"/>
      <c r="I177" s="474"/>
      <c r="J177" s="474"/>
      <c r="K177" s="474"/>
      <c r="L177" s="474"/>
      <c r="M177" s="474"/>
      <c r="N177" s="474"/>
      <c r="T177" s="473">
        <v>10</v>
      </c>
      <c r="U177" s="473" t="s">
        <v>8263</v>
      </c>
      <c r="V177" s="473">
        <v>10</v>
      </c>
      <c r="W177" s="473" t="s">
        <v>8262</v>
      </c>
    </row>
    <row r="178" spans="5:23" ht="16.5">
      <c r="E178" s="474"/>
      <c r="F178" s="474"/>
      <c r="G178" s="474"/>
      <c r="H178" s="474"/>
      <c r="I178" s="474"/>
      <c r="J178" s="474"/>
      <c r="K178" s="474"/>
      <c r="L178" s="474"/>
      <c r="M178" s="474"/>
      <c r="N178" s="474"/>
    </row>
    <row r="179" spans="5:23" ht="16.5">
      <c r="E179" s="474"/>
      <c r="F179" s="474"/>
      <c r="G179" s="474"/>
      <c r="H179" s="474"/>
      <c r="I179" s="474"/>
      <c r="J179" s="474"/>
      <c r="K179" s="474"/>
      <c r="L179" s="474"/>
      <c r="M179" s="474"/>
      <c r="N179" s="474"/>
      <c r="T179" s="473" t="s">
        <v>5816</v>
      </c>
      <c r="U179" s="473" t="s">
        <v>8198</v>
      </c>
      <c r="V179" s="473" t="s">
        <v>5816</v>
      </c>
      <c r="W179" s="473" t="s">
        <v>8197</v>
      </c>
    </row>
    <row r="180" spans="5:23" ht="16.5">
      <c r="E180" s="474"/>
      <c r="F180" s="474"/>
      <c r="G180" s="474"/>
      <c r="H180" s="474"/>
      <c r="I180" s="474"/>
      <c r="J180" s="474"/>
      <c r="K180" s="474"/>
      <c r="L180" s="474"/>
      <c r="M180" s="474"/>
      <c r="N180" s="474"/>
      <c r="T180" s="473">
        <v>1</v>
      </c>
      <c r="U180" s="473" t="s">
        <v>8261</v>
      </c>
      <c r="V180" s="473">
        <v>1</v>
      </c>
      <c r="W180" s="473" t="s">
        <v>8260</v>
      </c>
    </row>
    <row r="181" spans="5:23" ht="16.5">
      <c r="E181" s="474"/>
      <c r="F181" s="474"/>
      <c r="G181" s="474"/>
      <c r="H181" s="474"/>
      <c r="I181" s="474"/>
      <c r="J181" s="474"/>
      <c r="K181" s="474"/>
      <c r="L181" s="474"/>
      <c r="M181" s="474"/>
      <c r="N181" s="474"/>
      <c r="T181" s="473">
        <v>2</v>
      </c>
      <c r="U181" s="473" t="s">
        <v>8259</v>
      </c>
      <c r="V181" s="473">
        <v>2</v>
      </c>
      <c r="W181" s="473" t="s">
        <v>8258</v>
      </c>
    </row>
    <row r="182" spans="5:23" ht="16.5">
      <c r="E182" s="474"/>
      <c r="F182" s="474"/>
      <c r="G182" s="474"/>
      <c r="H182" s="474"/>
      <c r="I182" s="474"/>
      <c r="J182" s="474"/>
      <c r="K182" s="474"/>
      <c r="L182" s="474"/>
      <c r="M182" s="474"/>
      <c r="N182" s="474"/>
      <c r="T182" s="473">
        <v>3</v>
      </c>
      <c r="U182" s="473" t="s">
        <v>8257</v>
      </c>
      <c r="V182" s="473">
        <v>3</v>
      </c>
      <c r="W182" s="473" t="s">
        <v>8256</v>
      </c>
    </row>
    <row r="183" spans="5:23" ht="16.5">
      <c r="E183" s="474"/>
      <c r="F183" s="474"/>
      <c r="G183" s="474"/>
      <c r="H183" s="474"/>
      <c r="I183" s="474"/>
      <c r="J183" s="474"/>
      <c r="K183" s="474"/>
      <c r="L183" s="474"/>
      <c r="M183" s="474"/>
      <c r="N183" s="474"/>
      <c r="T183" s="473">
        <v>4</v>
      </c>
      <c r="U183" s="473" t="s">
        <v>8255</v>
      </c>
      <c r="V183" s="473">
        <v>4</v>
      </c>
      <c r="W183" s="473" t="s">
        <v>8254</v>
      </c>
    </row>
    <row r="184" spans="5:23" ht="16.5">
      <c r="E184" s="474"/>
      <c r="F184" s="474"/>
      <c r="G184" s="474"/>
      <c r="H184" s="474"/>
      <c r="I184" s="474"/>
      <c r="J184" s="474"/>
      <c r="K184" s="474"/>
      <c r="L184" s="474"/>
      <c r="M184" s="474"/>
      <c r="N184" s="474"/>
      <c r="T184" s="473">
        <v>5</v>
      </c>
      <c r="U184" s="473" t="s">
        <v>8253</v>
      </c>
      <c r="V184" s="473">
        <v>5</v>
      </c>
      <c r="W184" s="473" t="s">
        <v>8252</v>
      </c>
    </row>
    <row r="185" spans="5:23" ht="16.5">
      <c r="E185" s="474"/>
      <c r="F185" s="474"/>
      <c r="G185" s="474"/>
      <c r="H185" s="474"/>
      <c r="I185" s="474"/>
      <c r="J185" s="474"/>
      <c r="K185" s="474"/>
      <c r="L185" s="474"/>
      <c r="M185" s="474"/>
      <c r="N185" s="474"/>
      <c r="T185" s="473">
        <v>6</v>
      </c>
      <c r="U185" s="473" t="s">
        <v>8251</v>
      </c>
      <c r="V185" s="473">
        <v>6</v>
      </c>
      <c r="W185" s="473" t="s">
        <v>8250</v>
      </c>
    </row>
    <row r="186" spans="5:23" ht="16.5">
      <c r="E186" s="474"/>
      <c r="F186" s="474"/>
      <c r="G186" s="474"/>
      <c r="H186" s="474"/>
      <c r="I186" s="474"/>
      <c r="J186" s="474"/>
      <c r="K186" s="474"/>
      <c r="L186" s="474"/>
      <c r="M186" s="474"/>
      <c r="N186" s="474"/>
      <c r="T186" s="473">
        <v>7</v>
      </c>
      <c r="U186" s="473" t="s">
        <v>8249</v>
      </c>
      <c r="V186" s="473">
        <v>7</v>
      </c>
      <c r="W186" s="473" t="s">
        <v>8248</v>
      </c>
    </row>
    <row r="187" spans="5:23" ht="16.5">
      <c r="E187" s="474"/>
      <c r="F187" s="474"/>
      <c r="G187" s="474"/>
      <c r="H187" s="474"/>
      <c r="I187" s="474"/>
      <c r="J187" s="474"/>
      <c r="K187" s="474"/>
      <c r="L187" s="474"/>
      <c r="M187" s="474"/>
      <c r="N187" s="474"/>
      <c r="T187" s="473">
        <v>8</v>
      </c>
      <c r="U187" s="473" t="s">
        <v>8247</v>
      </c>
      <c r="V187" s="473">
        <v>8</v>
      </c>
      <c r="W187" s="473" t="s">
        <v>8246</v>
      </c>
    </row>
    <row r="188" spans="5:23" ht="16.5">
      <c r="E188" s="474"/>
      <c r="F188" s="474"/>
      <c r="G188" s="474"/>
      <c r="H188" s="474"/>
      <c r="I188" s="474"/>
      <c r="J188" s="474"/>
      <c r="K188" s="474"/>
      <c r="L188" s="474"/>
      <c r="M188" s="474"/>
      <c r="N188" s="474"/>
      <c r="T188" s="473">
        <v>9</v>
      </c>
      <c r="U188" s="473" t="s">
        <v>8245</v>
      </c>
      <c r="V188" s="473">
        <v>9</v>
      </c>
      <c r="W188" s="473" t="s">
        <v>8244</v>
      </c>
    </row>
    <row r="189" spans="5:23" ht="16.5">
      <c r="E189" s="474"/>
      <c r="F189" s="474"/>
      <c r="G189" s="474"/>
      <c r="H189" s="474"/>
      <c r="I189" s="474"/>
      <c r="J189" s="474"/>
      <c r="K189" s="474"/>
      <c r="L189" s="474"/>
      <c r="M189" s="474"/>
      <c r="N189" s="474"/>
      <c r="T189" s="473">
        <v>10</v>
      </c>
      <c r="U189" s="473" t="s">
        <v>8243</v>
      </c>
      <c r="V189" s="473">
        <v>10</v>
      </c>
      <c r="W189" s="473" t="s">
        <v>8242</v>
      </c>
    </row>
    <row r="190" spans="5:23" ht="16.5">
      <c r="E190" s="474"/>
      <c r="F190" s="474"/>
      <c r="G190" s="474"/>
      <c r="H190" s="474"/>
      <c r="I190" s="474"/>
      <c r="J190" s="474"/>
      <c r="K190" s="474"/>
      <c r="L190" s="474"/>
      <c r="M190" s="474"/>
      <c r="N190" s="474"/>
      <c r="T190" s="473" t="s">
        <v>8241</v>
      </c>
      <c r="U190" s="473" t="s">
        <v>8240</v>
      </c>
    </row>
    <row r="192" spans="5:23">
      <c r="T192" s="473" t="s">
        <v>5816</v>
      </c>
      <c r="U192" s="473" t="s">
        <v>8198</v>
      </c>
      <c r="V192" s="473" t="s">
        <v>5816</v>
      </c>
      <c r="W192" s="473" t="s">
        <v>8197</v>
      </c>
    </row>
    <row r="193" spans="20:23">
      <c r="T193" s="473">
        <v>1</v>
      </c>
      <c r="U193" s="473" t="s">
        <v>8239</v>
      </c>
      <c r="V193" s="473">
        <v>1</v>
      </c>
      <c r="W193" s="473" t="s">
        <v>8238</v>
      </c>
    </row>
    <row r="194" spans="20:23">
      <c r="T194" s="473">
        <v>2</v>
      </c>
      <c r="U194" s="473" t="s">
        <v>8237</v>
      </c>
      <c r="V194" s="473">
        <v>2</v>
      </c>
      <c r="W194" s="473" t="s">
        <v>8236</v>
      </c>
    </row>
    <row r="195" spans="20:23">
      <c r="T195" s="473">
        <v>3</v>
      </c>
      <c r="U195" s="473" t="s">
        <v>8235</v>
      </c>
      <c r="V195" s="473">
        <v>3</v>
      </c>
      <c r="W195" s="473" t="s">
        <v>8234</v>
      </c>
    </row>
    <row r="196" spans="20:23">
      <c r="T196" s="473">
        <v>4</v>
      </c>
      <c r="U196" s="473" t="s">
        <v>8233</v>
      </c>
      <c r="V196" s="473">
        <v>4</v>
      </c>
      <c r="W196" s="473" t="s">
        <v>8232</v>
      </c>
    </row>
    <row r="197" spans="20:23">
      <c r="T197" s="473">
        <v>5</v>
      </c>
      <c r="U197" s="473" t="s">
        <v>8231</v>
      </c>
      <c r="V197" s="473">
        <v>5</v>
      </c>
      <c r="W197" s="473" t="s">
        <v>8230</v>
      </c>
    </row>
    <row r="198" spans="20:23">
      <c r="T198" s="473">
        <v>6</v>
      </c>
      <c r="U198" s="473" t="s">
        <v>8229</v>
      </c>
      <c r="V198" s="473">
        <v>6</v>
      </c>
      <c r="W198" s="473" t="s">
        <v>8228</v>
      </c>
    </row>
    <row r="199" spans="20:23">
      <c r="T199" s="473">
        <v>7</v>
      </c>
      <c r="U199" s="473" t="s">
        <v>8227</v>
      </c>
      <c r="V199" s="473">
        <v>7</v>
      </c>
      <c r="W199" s="473" t="s">
        <v>8226</v>
      </c>
    </row>
    <row r="200" spans="20:23">
      <c r="T200" s="473">
        <v>8</v>
      </c>
      <c r="U200" s="473" t="s">
        <v>8225</v>
      </c>
      <c r="V200" s="473">
        <v>8</v>
      </c>
      <c r="W200" s="473" t="s">
        <v>8224</v>
      </c>
    </row>
    <row r="201" spans="20:23">
      <c r="T201" s="473">
        <v>9</v>
      </c>
      <c r="U201" s="473" t="s">
        <v>8223</v>
      </c>
      <c r="V201" s="473">
        <v>9</v>
      </c>
      <c r="W201" s="473" t="s">
        <v>8222</v>
      </c>
    </row>
    <row r="202" spans="20:23">
      <c r="T202" s="473">
        <v>10</v>
      </c>
      <c r="U202" s="473" t="s">
        <v>8221</v>
      </c>
      <c r="V202" s="473">
        <v>10</v>
      </c>
      <c r="W202" s="473" t="s">
        <v>8220</v>
      </c>
    </row>
    <row r="205" spans="20:23">
      <c r="T205" s="473" t="s">
        <v>8219</v>
      </c>
    </row>
    <row r="206" spans="20:23">
      <c r="T206" s="473" t="s">
        <v>5816</v>
      </c>
      <c r="U206" s="473" t="s">
        <v>8198</v>
      </c>
      <c r="V206" s="473" t="s">
        <v>5816</v>
      </c>
      <c r="W206" s="473" t="s">
        <v>8197</v>
      </c>
    </row>
    <row r="207" spans="20:23">
      <c r="T207" s="473">
        <v>1</v>
      </c>
      <c r="U207" s="473" t="s">
        <v>8218</v>
      </c>
      <c r="V207" s="473">
        <v>1</v>
      </c>
      <c r="W207" s="473" t="s">
        <v>8217</v>
      </c>
    </row>
    <row r="208" spans="20:23">
      <c r="T208" s="473">
        <v>2</v>
      </c>
      <c r="U208" s="473" t="s">
        <v>8216</v>
      </c>
      <c r="V208" s="473">
        <v>2</v>
      </c>
      <c r="W208" s="473" t="s">
        <v>8215</v>
      </c>
    </row>
    <row r="209" spans="20:23">
      <c r="T209" s="473">
        <v>3</v>
      </c>
      <c r="U209" s="473" t="s">
        <v>8214</v>
      </c>
      <c r="V209" s="473">
        <v>3</v>
      </c>
      <c r="W209" s="473" t="s">
        <v>8213</v>
      </c>
    </row>
    <row r="210" spans="20:23">
      <c r="T210" s="473">
        <v>4</v>
      </c>
      <c r="U210" s="473" t="s">
        <v>8212</v>
      </c>
      <c r="V210" s="473">
        <v>4</v>
      </c>
      <c r="W210" s="473" t="s">
        <v>8211</v>
      </c>
    </row>
    <row r="211" spans="20:23">
      <c r="T211" s="473">
        <v>5</v>
      </c>
      <c r="U211" s="473" t="s">
        <v>8210</v>
      </c>
      <c r="V211" s="473">
        <v>5</v>
      </c>
      <c r="W211" s="473" t="s">
        <v>8209</v>
      </c>
    </row>
    <row r="212" spans="20:23">
      <c r="T212" s="473">
        <v>6</v>
      </c>
      <c r="U212" s="473" t="s">
        <v>8208</v>
      </c>
      <c r="V212" s="473">
        <v>6</v>
      </c>
      <c r="W212" s="473" t="s">
        <v>8207</v>
      </c>
    </row>
    <row r="213" spans="20:23">
      <c r="T213" s="473">
        <v>7</v>
      </c>
      <c r="U213" s="473" t="s">
        <v>8206</v>
      </c>
      <c r="V213" s="473">
        <v>7</v>
      </c>
      <c r="W213" s="473" t="s">
        <v>8205</v>
      </c>
    </row>
    <row r="214" spans="20:23">
      <c r="T214" s="473">
        <v>8</v>
      </c>
      <c r="U214" s="473" t="s">
        <v>8204</v>
      </c>
      <c r="V214" s="473">
        <v>8</v>
      </c>
      <c r="W214" s="473" t="s">
        <v>8203</v>
      </c>
    </row>
    <row r="215" spans="20:23">
      <c r="T215" s="473">
        <v>9</v>
      </c>
      <c r="U215" s="473" t="s">
        <v>8202</v>
      </c>
      <c r="V215" s="473">
        <v>9</v>
      </c>
      <c r="W215" s="473" t="s">
        <v>8201</v>
      </c>
    </row>
    <row r="216" spans="20:23">
      <c r="T216" s="473">
        <v>10</v>
      </c>
      <c r="U216" s="473" t="s">
        <v>8200</v>
      </c>
      <c r="V216" s="473">
        <v>10</v>
      </c>
      <c r="W216" s="473" t="s">
        <v>8199</v>
      </c>
    </row>
    <row r="218" spans="20:23">
      <c r="T218" s="473" t="s">
        <v>7378</v>
      </c>
    </row>
    <row r="219" spans="20:23">
      <c r="T219" s="473" t="s">
        <v>5816</v>
      </c>
      <c r="U219" s="473" t="s">
        <v>8198</v>
      </c>
      <c r="V219" s="473" t="s">
        <v>5816</v>
      </c>
      <c r="W219" s="473" t="s">
        <v>8197</v>
      </c>
    </row>
    <row r="220" spans="20:23">
      <c r="T220" s="473">
        <v>1</v>
      </c>
      <c r="U220" s="473" t="s">
        <v>8196</v>
      </c>
      <c r="V220" s="473">
        <v>1</v>
      </c>
      <c r="W220" s="473" t="s">
        <v>8195</v>
      </c>
    </row>
    <row r="221" spans="20:23">
      <c r="T221" s="473">
        <v>2</v>
      </c>
      <c r="U221" s="473" t="s">
        <v>8194</v>
      </c>
      <c r="V221" s="473">
        <v>2</v>
      </c>
      <c r="W221" s="473" t="s">
        <v>8193</v>
      </c>
    </row>
    <row r="222" spans="20:23">
      <c r="T222" s="473">
        <v>3</v>
      </c>
      <c r="U222" s="473" t="s">
        <v>8192</v>
      </c>
      <c r="V222" s="473">
        <v>3</v>
      </c>
      <c r="W222" s="473" t="s">
        <v>8191</v>
      </c>
    </row>
    <row r="223" spans="20:23">
      <c r="T223" s="473">
        <v>4</v>
      </c>
      <c r="U223" s="473" t="s">
        <v>8190</v>
      </c>
      <c r="V223" s="473">
        <v>4</v>
      </c>
      <c r="W223" s="473" t="s">
        <v>8189</v>
      </c>
    </row>
    <row r="224" spans="20:23">
      <c r="T224" s="473">
        <v>5</v>
      </c>
      <c r="U224" s="473" t="s">
        <v>8188</v>
      </c>
      <c r="V224" s="473">
        <v>5</v>
      </c>
      <c r="W224" s="473" t="s">
        <v>8187</v>
      </c>
    </row>
    <row r="225" spans="20:23">
      <c r="T225" s="473">
        <v>6</v>
      </c>
      <c r="U225" s="473" t="s">
        <v>8186</v>
      </c>
      <c r="V225" s="473">
        <v>6</v>
      </c>
      <c r="W225" s="473" t="s">
        <v>8185</v>
      </c>
    </row>
    <row r="226" spans="20:23">
      <c r="T226" s="473">
        <v>7</v>
      </c>
      <c r="U226" s="473" t="s">
        <v>8184</v>
      </c>
      <c r="V226" s="473">
        <v>7</v>
      </c>
      <c r="W226" s="473" t="s">
        <v>8183</v>
      </c>
    </row>
    <row r="227" spans="20:23">
      <c r="T227" s="473">
        <v>8</v>
      </c>
      <c r="U227" s="473" t="s">
        <v>8182</v>
      </c>
      <c r="V227" s="473">
        <v>8</v>
      </c>
      <c r="W227" s="473" t="s">
        <v>8181</v>
      </c>
    </row>
    <row r="228" spans="20:23">
      <c r="T228" s="473">
        <v>9</v>
      </c>
      <c r="U228" s="473" t="s">
        <v>8180</v>
      </c>
      <c r="V228" s="473">
        <v>9</v>
      </c>
      <c r="W228" s="473" t="s">
        <v>8179</v>
      </c>
    </row>
    <row r="229" spans="20:23">
      <c r="T229" s="473">
        <v>10</v>
      </c>
      <c r="U229" s="473" t="s">
        <v>8178</v>
      </c>
      <c r="V229" s="473">
        <v>10</v>
      </c>
      <c r="W229" s="473" t="s">
        <v>8177</v>
      </c>
    </row>
  </sheetData>
  <mergeCells count="1">
    <mergeCell ref="B2:F2"/>
  </mergeCells>
  <hyperlinks>
    <hyperlink ref="W5" r:id="rId1" display="http://cauldronsandclerics.blogspot.com/search/label/D%26D5E" xr:uid="{EE8BA6E8-C6C1-4144-AA26-E8997886D260}"/>
    <hyperlink ref="F146" r:id="rId2" location="_ftn1" display="EBERR/on-downtime-and-demesnes-5th-edition-2019.docx - _ftn1" xr:uid="{2515F4D1-3D7C-4917-BF98-265DFE53078F}"/>
    <hyperlink ref="I142" r:id="rId3" location="_ftn2" display="EBERR/on-downtime-and-demesnes-5th-edition-2019.docx - _ftn2" xr:uid="{8B91F31A-55D3-4E65-B333-26B533BA517C}"/>
  </hyperlinks>
  <pageMargins left="0.7" right="0.7" top="0.75" bottom="0.75" header="0.3" footer="0.3"/>
  <tableParts count="3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4E884-CE6E-4856-8B48-986D1430493D}">
  <sheetPr codeName="Аркуш3">
    <tabColor rgb="FF00B050"/>
  </sheetPr>
  <dimension ref="A1:HM110"/>
  <sheetViews>
    <sheetView showGridLines="0" showRowColHeaders="0" showZeros="0" showRuler="0" view="pageBreakPreview" topLeftCell="A11" zoomScale="145" zoomScaleNormal="70" zoomScaleSheetLayoutView="145" zoomScalePageLayoutView="55" workbookViewId="0">
      <selection activeCell="C36" activeCellId="1" sqref="C27:I30 C36:I39"/>
    </sheetView>
  </sheetViews>
  <sheetFormatPr defaultColWidth="1.109375" defaultRowHeight="7.5" customHeight="1"/>
  <cols>
    <col min="1" max="1" width="1" style="408" customWidth="1"/>
    <col min="2" max="22" width="1.109375" style="413"/>
    <col min="23" max="23" width="0.88671875" style="413" customWidth="1"/>
    <col min="24" max="24" width="1.109375" style="413"/>
    <col min="25" max="25" width="0.6640625" style="413" customWidth="1"/>
    <col min="26" max="26" width="0.77734375" style="413" customWidth="1"/>
    <col min="27" max="27" width="1.109375" style="413"/>
    <col min="28" max="28" width="1.6640625" style="413" customWidth="1"/>
    <col min="29" max="29" width="1.109375" style="413"/>
    <col min="30" max="30" width="0.77734375" style="413" customWidth="1"/>
    <col min="31" max="31" width="1" style="413" customWidth="1"/>
    <col min="32" max="40" width="1.109375" style="413"/>
    <col min="41" max="41" width="1.33203125" style="413" customWidth="1"/>
    <col min="42" max="220" width="1.109375" style="413"/>
    <col min="221" max="221" width="1.109375" style="408"/>
    <col min="222" max="16384" width="1.109375" style="466"/>
  </cols>
  <sheetData>
    <row r="1" spans="2:220" s="408" customFormat="1" ht="7.5" customHeight="1" thickBot="1"/>
    <row r="2" spans="2:220" ht="7.5" customHeight="1">
      <c r="B2" s="409"/>
      <c r="C2" s="410"/>
      <c r="D2" s="410"/>
      <c r="E2" s="410"/>
      <c r="F2" s="410"/>
      <c r="G2" s="410"/>
      <c r="H2" s="410"/>
      <c r="I2" s="410"/>
      <c r="J2" s="410"/>
      <c r="K2" s="410"/>
      <c r="L2" s="410"/>
      <c r="M2" s="410"/>
      <c r="N2" s="410"/>
      <c r="O2" s="410"/>
      <c r="P2" s="410"/>
      <c r="Q2" s="410"/>
      <c r="R2" s="410"/>
      <c r="S2" s="410"/>
      <c r="T2" s="410"/>
      <c r="U2" s="410"/>
      <c r="V2" s="410"/>
      <c r="W2" s="410"/>
      <c r="X2" s="410"/>
      <c r="Y2" s="410"/>
      <c r="Z2" s="410"/>
      <c r="AA2" s="410"/>
      <c r="AB2" s="410"/>
      <c r="AC2" s="410"/>
      <c r="AD2" s="410"/>
      <c r="AE2" s="410"/>
      <c r="AF2" s="410"/>
      <c r="AG2" s="410"/>
      <c r="AH2" s="410"/>
      <c r="AI2" s="410"/>
      <c r="AJ2" s="410"/>
      <c r="AK2" s="410"/>
      <c r="AL2" s="410"/>
      <c r="AM2" s="410"/>
      <c r="AN2" s="410"/>
      <c r="AO2" s="410"/>
      <c r="AP2" s="410"/>
      <c r="AQ2" s="410"/>
      <c r="AR2" s="410"/>
      <c r="AS2" s="410"/>
      <c r="AT2" s="410"/>
      <c r="AU2" s="410"/>
      <c r="AV2" s="410"/>
      <c r="AW2" s="410"/>
      <c r="AX2" s="410"/>
      <c r="AY2" s="410"/>
      <c r="AZ2" s="410"/>
      <c r="BA2" s="410"/>
      <c r="BB2" s="410"/>
      <c r="BC2" s="410"/>
      <c r="BD2" s="410"/>
      <c r="BE2" s="410"/>
      <c r="BF2" s="410"/>
      <c r="BG2" s="410"/>
      <c r="BH2" s="410"/>
      <c r="BI2" s="410"/>
      <c r="BJ2" s="410"/>
      <c r="BK2" s="410"/>
      <c r="BL2" s="410"/>
      <c r="BM2" s="410"/>
      <c r="BN2" s="410"/>
      <c r="BO2" s="410"/>
      <c r="BP2" s="410"/>
      <c r="BQ2" s="410"/>
      <c r="BR2" s="410"/>
      <c r="BS2" s="410"/>
      <c r="BT2" s="410"/>
      <c r="BU2" s="410"/>
      <c r="BV2" s="411"/>
      <c r="BW2" s="409"/>
      <c r="BX2" s="410"/>
      <c r="BY2" s="410"/>
      <c r="BZ2" s="410"/>
      <c r="CA2" s="410"/>
      <c r="CB2" s="410"/>
      <c r="CC2" s="410"/>
      <c r="CD2" s="410"/>
      <c r="CE2" s="410"/>
      <c r="CF2" s="410"/>
      <c r="CG2" s="410"/>
      <c r="CH2" s="410"/>
      <c r="CI2" s="410"/>
      <c r="CJ2" s="410"/>
      <c r="CK2" s="410"/>
      <c r="CL2" s="410"/>
      <c r="CM2" s="410"/>
      <c r="CN2" s="410"/>
      <c r="CO2" s="410"/>
      <c r="CP2" s="410"/>
      <c r="CQ2" s="410"/>
      <c r="CR2" s="410"/>
      <c r="CS2" s="410"/>
      <c r="CT2" s="410"/>
      <c r="CU2" s="410"/>
      <c r="CV2" s="410"/>
      <c r="CW2" s="410"/>
      <c r="CX2" s="410"/>
      <c r="CY2" s="410"/>
      <c r="CZ2" s="410"/>
      <c r="DA2" s="410"/>
      <c r="DB2" s="410"/>
      <c r="DC2" s="410"/>
      <c r="DD2" s="410"/>
      <c r="DE2" s="410"/>
      <c r="DF2" s="410"/>
      <c r="DG2" s="410"/>
      <c r="DH2" s="410"/>
      <c r="DI2" s="410"/>
      <c r="DJ2" s="410"/>
      <c r="DK2" s="410"/>
      <c r="DL2" s="410"/>
      <c r="DM2" s="410"/>
      <c r="DN2" s="410"/>
      <c r="DO2" s="410"/>
      <c r="DP2" s="410"/>
      <c r="DQ2" s="410"/>
      <c r="DR2" s="410"/>
      <c r="DS2" s="410"/>
      <c r="DT2" s="410"/>
      <c r="DU2" s="410"/>
      <c r="DV2" s="410"/>
      <c r="DW2" s="410"/>
      <c r="DX2" s="410"/>
      <c r="DY2" s="410"/>
      <c r="DZ2" s="410"/>
      <c r="EA2" s="410"/>
      <c r="EB2" s="410"/>
      <c r="EC2" s="410"/>
      <c r="ED2" s="410"/>
      <c r="EE2" s="410"/>
      <c r="EF2" s="410"/>
      <c r="EG2" s="410"/>
      <c r="EH2" s="410"/>
      <c r="EI2" s="410"/>
      <c r="EJ2" s="410"/>
      <c r="EK2" s="410"/>
      <c r="EL2" s="410"/>
      <c r="EM2" s="410"/>
      <c r="EN2" s="410"/>
      <c r="EO2" s="410"/>
      <c r="EP2" s="410"/>
      <c r="EQ2" s="411"/>
      <c r="ER2" s="409"/>
      <c r="ES2" s="410"/>
      <c r="ET2" s="410"/>
      <c r="EU2" s="410"/>
      <c r="EV2" s="410"/>
      <c r="EW2" s="410"/>
      <c r="EX2" s="410"/>
      <c r="EY2" s="410"/>
      <c r="EZ2" s="410"/>
      <c r="FA2" s="410"/>
      <c r="FB2" s="410"/>
      <c r="FC2" s="410"/>
      <c r="FD2" s="410"/>
      <c r="FE2" s="410"/>
      <c r="FF2" s="410"/>
      <c r="FG2" s="410"/>
      <c r="FH2" s="410"/>
      <c r="FI2" s="410"/>
      <c r="FJ2" s="410"/>
      <c r="FK2" s="410"/>
      <c r="FL2" s="410"/>
      <c r="FM2" s="410"/>
      <c r="FN2" s="410"/>
      <c r="FO2" s="410"/>
      <c r="FP2" s="410"/>
      <c r="FQ2" s="410"/>
      <c r="FR2" s="410"/>
      <c r="FS2" s="410"/>
      <c r="FT2" s="410"/>
      <c r="FU2" s="410"/>
      <c r="FV2" s="410"/>
      <c r="FW2" s="410"/>
      <c r="FX2" s="410"/>
      <c r="FY2" s="410"/>
      <c r="FZ2" s="410"/>
      <c r="GA2" s="410"/>
      <c r="GB2" s="410"/>
      <c r="GC2" s="410"/>
      <c r="GD2" s="410"/>
      <c r="GE2" s="410"/>
      <c r="GF2" s="410"/>
      <c r="GG2" s="410"/>
      <c r="GH2" s="410"/>
      <c r="GI2" s="410"/>
      <c r="GJ2" s="410"/>
      <c r="GK2" s="410"/>
      <c r="GL2" s="410"/>
      <c r="GM2" s="410"/>
      <c r="GN2" s="410"/>
      <c r="GO2" s="410"/>
      <c r="GP2" s="410"/>
      <c r="GQ2" s="410"/>
      <c r="GR2" s="410"/>
      <c r="GS2" s="410"/>
      <c r="GT2" s="410"/>
      <c r="GU2" s="410"/>
      <c r="GV2" s="410"/>
      <c r="GW2" s="410"/>
      <c r="GX2" s="410"/>
      <c r="GY2" s="410"/>
      <c r="GZ2" s="410"/>
      <c r="HA2" s="410"/>
      <c r="HB2" s="410"/>
      <c r="HC2" s="410"/>
      <c r="HD2" s="410"/>
      <c r="HE2" s="410"/>
      <c r="HF2" s="410"/>
      <c r="HG2" s="410"/>
      <c r="HH2" s="410"/>
      <c r="HI2" s="410"/>
      <c r="HJ2" s="410"/>
      <c r="HK2" s="410"/>
      <c r="HL2" s="411"/>
    </row>
    <row r="3" spans="2:220" ht="7.5" customHeight="1">
      <c r="B3" s="412"/>
      <c r="C3" s="1342" t="s">
        <v>7382</v>
      </c>
      <c r="D3" s="1376"/>
      <c r="E3" s="1376"/>
      <c r="F3" s="1376"/>
      <c r="G3" s="1376"/>
      <c r="H3" s="1376"/>
      <c r="I3" s="1376"/>
      <c r="J3" s="1376"/>
      <c r="K3" s="1376"/>
      <c r="L3" s="1376"/>
      <c r="M3" s="1376"/>
      <c r="N3" s="1376"/>
      <c r="O3" s="1376"/>
      <c r="P3" s="1376"/>
      <c r="Q3" s="1376"/>
      <c r="R3" s="1376"/>
      <c r="S3" s="1376"/>
      <c r="T3" s="1376"/>
      <c r="U3" s="1376"/>
      <c r="V3" s="1376"/>
      <c r="W3" s="1352"/>
      <c r="AG3" s="1342" t="s">
        <v>5782</v>
      </c>
      <c r="AH3" s="1354"/>
      <c r="AI3" s="1354"/>
      <c r="AJ3" s="1354"/>
      <c r="AK3" s="1354"/>
      <c r="AL3" s="1354"/>
      <c r="AM3" s="1354"/>
      <c r="AN3" s="1354"/>
      <c r="AO3" s="1354"/>
      <c r="AP3" s="1354"/>
      <c r="AQ3" s="1354"/>
      <c r="AR3" s="1354"/>
      <c r="AS3" s="1354"/>
      <c r="AT3" s="1354"/>
      <c r="AU3" s="1354"/>
      <c r="AW3" s="1344" t="s">
        <v>5826</v>
      </c>
      <c r="AX3" s="1345"/>
      <c r="AY3" s="1345"/>
      <c r="AZ3" s="1345"/>
      <c r="BA3" s="1345"/>
      <c r="BB3" s="1345"/>
      <c r="BC3" s="1345"/>
      <c r="BD3" s="1345"/>
      <c r="BE3" s="1345"/>
      <c r="BF3" s="1345"/>
      <c r="BG3" s="1345"/>
      <c r="BH3" s="1345"/>
      <c r="BI3" s="1345"/>
      <c r="BJ3" s="1346"/>
      <c r="BL3" s="1377" t="s">
        <v>5797</v>
      </c>
      <c r="BM3" s="1378"/>
      <c r="BN3" s="1378"/>
      <c r="BO3" s="1378"/>
      <c r="BP3" s="1378"/>
      <c r="BQ3" s="1378"/>
      <c r="BR3" s="1378"/>
      <c r="BS3" s="1378"/>
      <c r="BT3" s="1379"/>
      <c r="BU3" s="414"/>
      <c r="BV3" s="415"/>
      <c r="BW3" s="412"/>
      <c r="BX3" s="1342" t="s">
        <v>7382</v>
      </c>
      <c r="BY3" s="1376"/>
      <c r="BZ3" s="1376"/>
      <c r="CA3" s="1376"/>
      <c r="CB3" s="1376"/>
      <c r="CC3" s="1376"/>
      <c r="CD3" s="1376"/>
      <c r="CE3" s="1376"/>
      <c r="CF3" s="1376"/>
      <c r="CG3" s="1376"/>
      <c r="CH3" s="1376"/>
      <c r="CI3" s="1376"/>
      <c r="CJ3" s="1376"/>
      <c r="CK3" s="1376"/>
      <c r="CL3" s="1376"/>
      <c r="CM3" s="1376"/>
      <c r="CN3" s="1376"/>
      <c r="CO3" s="1376"/>
      <c r="CP3" s="1376"/>
      <c r="CQ3" s="1376"/>
      <c r="CR3" s="1352"/>
      <c r="DA3" s="1342" t="s">
        <v>7379</v>
      </c>
      <c r="DB3" s="1343"/>
      <c r="DC3" s="1343"/>
      <c r="DD3" s="1343"/>
      <c r="DE3" s="1343"/>
      <c r="DF3" s="1343"/>
      <c r="DG3" s="1343"/>
      <c r="DH3" s="1343"/>
      <c r="DI3" s="1343"/>
      <c r="DJ3" s="1343"/>
      <c r="DK3" s="1343"/>
      <c r="DL3" s="1343"/>
      <c r="DM3" s="1343"/>
      <c r="DN3" s="1343"/>
      <c r="DO3" s="1343"/>
      <c r="DP3" s="1343"/>
      <c r="DQ3" s="1343"/>
      <c r="DR3" s="1343"/>
      <c r="DS3" s="1343"/>
      <c r="DT3" s="1343"/>
      <c r="DU3" s="416"/>
      <c r="DV3" s="1342" t="s">
        <v>7380</v>
      </c>
      <c r="DW3" s="1343"/>
      <c r="DX3" s="1343"/>
      <c r="DY3" s="1343"/>
      <c r="DZ3" s="1343"/>
      <c r="EA3" s="1343"/>
      <c r="EB3" s="1343"/>
      <c r="EC3" s="1343"/>
      <c r="ED3" s="1343"/>
      <c r="EE3" s="1343"/>
      <c r="EF3" s="1343"/>
      <c r="EG3" s="1343"/>
      <c r="EH3" s="1343"/>
      <c r="EI3" s="1343"/>
      <c r="EJ3" s="1343"/>
      <c r="EK3" s="1343"/>
      <c r="EL3" s="1343"/>
      <c r="EM3" s="1343"/>
      <c r="EN3" s="1343"/>
      <c r="EO3" s="1343"/>
      <c r="EQ3" s="415"/>
      <c r="ER3" s="412"/>
      <c r="ES3" s="1344" t="s">
        <v>7382</v>
      </c>
      <c r="ET3" s="1345"/>
      <c r="EU3" s="1345"/>
      <c r="EV3" s="1345"/>
      <c r="EW3" s="1345"/>
      <c r="EX3" s="1345"/>
      <c r="EY3" s="1345"/>
      <c r="EZ3" s="1345"/>
      <c r="FA3" s="1345"/>
      <c r="FB3" s="1345"/>
      <c r="FC3" s="1345"/>
      <c r="FD3" s="1345"/>
      <c r="FE3" s="1345"/>
      <c r="FF3" s="1345"/>
      <c r="FG3" s="1345"/>
      <c r="FH3" s="1345"/>
      <c r="FI3" s="1345"/>
      <c r="FJ3" s="1345"/>
      <c r="FK3" s="1345"/>
      <c r="FL3" s="1346"/>
      <c r="FM3" s="414"/>
      <c r="FX3" s="417"/>
      <c r="FY3" s="416"/>
      <c r="FZ3" s="416"/>
      <c r="GA3" s="416"/>
      <c r="GB3" s="416"/>
      <c r="GC3" s="418"/>
      <c r="GD3" s="418"/>
      <c r="GE3" s="418"/>
      <c r="GF3" s="418"/>
      <c r="GG3" s="418"/>
      <c r="GH3" s="418"/>
      <c r="GI3" s="418"/>
      <c r="GJ3" s="418"/>
      <c r="GK3" s="418"/>
      <c r="GM3" s="419"/>
      <c r="GN3" s="418"/>
      <c r="GO3" s="418"/>
      <c r="GP3" s="418"/>
      <c r="GQ3" s="418"/>
      <c r="GR3" s="418"/>
      <c r="GS3" s="418"/>
      <c r="GT3" s="418"/>
      <c r="GU3" s="418"/>
      <c r="GV3" s="418"/>
      <c r="GW3" s="418"/>
      <c r="GX3" s="418"/>
      <c r="GY3" s="418"/>
      <c r="GZ3" s="418"/>
      <c r="HB3" s="419"/>
      <c r="HC3" s="418"/>
      <c r="HD3" s="418"/>
      <c r="HE3" s="418"/>
      <c r="HF3" s="418"/>
      <c r="HG3" s="418"/>
      <c r="HH3" s="418"/>
      <c r="HI3" s="418"/>
      <c r="HJ3" s="418"/>
      <c r="HK3" s="414"/>
      <c r="HL3" s="415"/>
    </row>
    <row r="4" spans="2:220" ht="7.5" customHeight="1">
      <c r="B4" s="412"/>
      <c r="C4" s="1376"/>
      <c r="D4" s="1376"/>
      <c r="E4" s="1376"/>
      <c r="F4" s="1376"/>
      <c r="G4" s="1376"/>
      <c r="H4" s="1376"/>
      <c r="I4" s="1376"/>
      <c r="J4" s="1376"/>
      <c r="K4" s="1376"/>
      <c r="L4" s="1376"/>
      <c r="M4" s="1376"/>
      <c r="N4" s="1376"/>
      <c r="O4" s="1376"/>
      <c r="P4" s="1376"/>
      <c r="Q4" s="1376"/>
      <c r="R4" s="1376"/>
      <c r="S4" s="1376"/>
      <c r="T4" s="1376"/>
      <c r="U4" s="1376"/>
      <c r="V4" s="1376"/>
      <c r="W4" s="1352"/>
      <c r="AG4" s="1354"/>
      <c r="AH4" s="1354"/>
      <c r="AI4" s="1354"/>
      <c r="AJ4" s="1354"/>
      <c r="AK4" s="1354"/>
      <c r="AL4" s="1354"/>
      <c r="AM4" s="1354"/>
      <c r="AN4" s="1354"/>
      <c r="AO4" s="1354"/>
      <c r="AP4" s="1354"/>
      <c r="AQ4" s="1354"/>
      <c r="AR4" s="1354"/>
      <c r="AS4" s="1354"/>
      <c r="AT4" s="1354"/>
      <c r="AU4" s="1354"/>
      <c r="AW4" s="1347"/>
      <c r="AX4" s="1348"/>
      <c r="AY4" s="1348"/>
      <c r="AZ4" s="1348"/>
      <c r="BA4" s="1348"/>
      <c r="BB4" s="1348"/>
      <c r="BC4" s="1348"/>
      <c r="BD4" s="1348"/>
      <c r="BE4" s="1348"/>
      <c r="BF4" s="1348"/>
      <c r="BG4" s="1348"/>
      <c r="BH4" s="1348"/>
      <c r="BI4" s="1348"/>
      <c r="BJ4" s="1349"/>
      <c r="BL4" s="1380"/>
      <c r="BM4" s="1381"/>
      <c r="BN4" s="1381"/>
      <c r="BO4" s="1381"/>
      <c r="BP4" s="1381"/>
      <c r="BQ4" s="1381"/>
      <c r="BR4" s="1381"/>
      <c r="BS4" s="1381"/>
      <c r="BT4" s="1382"/>
      <c r="BU4" s="414"/>
      <c r="BV4" s="415"/>
      <c r="BW4" s="412"/>
      <c r="BX4" s="1376"/>
      <c r="BY4" s="1376"/>
      <c r="BZ4" s="1376"/>
      <c r="CA4" s="1376"/>
      <c r="CB4" s="1376"/>
      <c r="CC4" s="1376"/>
      <c r="CD4" s="1376"/>
      <c r="CE4" s="1376"/>
      <c r="CF4" s="1376"/>
      <c r="CG4" s="1376"/>
      <c r="CH4" s="1376"/>
      <c r="CI4" s="1376"/>
      <c r="CJ4" s="1376"/>
      <c r="CK4" s="1376"/>
      <c r="CL4" s="1376"/>
      <c r="CM4" s="1376"/>
      <c r="CN4" s="1376"/>
      <c r="CO4" s="1376"/>
      <c r="CP4" s="1376"/>
      <c r="CQ4" s="1376"/>
      <c r="CR4" s="1352"/>
      <c r="DA4" s="1343"/>
      <c r="DB4" s="1343"/>
      <c r="DC4" s="1343"/>
      <c r="DD4" s="1343"/>
      <c r="DE4" s="1343"/>
      <c r="DF4" s="1343"/>
      <c r="DG4" s="1343"/>
      <c r="DH4" s="1343"/>
      <c r="DI4" s="1343"/>
      <c r="DJ4" s="1343"/>
      <c r="DK4" s="1343"/>
      <c r="DL4" s="1343"/>
      <c r="DM4" s="1343"/>
      <c r="DN4" s="1343"/>
      <c r="DO4" s="1343"/>
      <c r="DP4" s="1343"/>
      <c r="DQ4" s="1343"/>
      <c r="DR4" s="1343"/>
      <c r="DS4" s="1343"/>
      <c r="DT4" s="1343"/>
      <c r="DU4" s="416"/>
      <c r="DV4" s="1343"/>
      <c r="DW4" s="1343"/>
      <c r="DX4" s="1343"/>
      <c r="DY4" s="1343"/>
      <c r="DZ4" s="1343"/>
      <c r="EA4" s="1343"/>
      <c r="EB4" s="1343"/>
      <c r="EC4" s="1343"/>
      <c r="ED4" s="1343"/>
      <c r="EE4" s="1343"/>
      <c r="EF4" s="1343"/>
      <c r="EG4" s="1343"/>
      <c r="EH4" s="1343"/>
      <c r="EI4" s="1343"/>
      <c r="EJ4" s="1343"/>
      <c r="EK4" s="1343"/>
      <c r="EL4" s="1343"/>
      <c r="EM4" s="1343"/>
      <c r="EN4" s="1343"/>
      <c r="EO4" s="1343"/>
      <c r="EQ4" s="415"/>
      <c r="ER4" s="412"/>
      <c r="ES4" s="1347"/>
      <c r="ET4" s="1348"/>
      <c r="EU4" s="1348"/>
      <c r="EV4" s="1348"/>
      <c r="EW4" s="1348"/>
      <c r="EX4" s="1348"/>
      <c r="EY4" s="1348"/>
      <c r="EZ4" s="1348"/>
      <c r="FA4" s="1348"/>
      <c r="FB4" s="1348"/>
      <c r="FC4" s="1348"/>
      <c r="FD4" s="1348"/>
      <c r="FE4" s="1348"/>
      <c r="FF4" s="1348"/>
      <c r="FG4" s="1348"/>
      <c r="FH4" s="1348"/>
      <c r="FI4" s="1348"/>
      <c r="FJ4" s="1348"/>
      <c r="FK4" s="1348"/>
      <c r="FL4" s="1349"/>
      <c r="FM4" s="414"/>
      <c r="FX4" s="416"/>
      <c r="FY4" s="416"/>
      <c r="FZ4" s="416"/>
      <c r="GA4" s="416"/>
      <c r="GB4" s="416"/>
      <c r="GC4" s="418"/>
      <c r="GD4" s="418"/>
      <c r="GE4" s="418"/>
      <c r="GF4" s="418"/>
      <c r="GG4" s="418"/>
      <c r="GH4" s="418"/>
      <c r="GI4" s="418"/>
      <c r="GJ4" s="418"/>
      <c r="GK4" s="418"/>
      <c r="GM4" s="418"/>
      <c r="GN4" s="418"/>
      <c r="GO4" s="418"/>
      <c r="GP4" s="418"/>
      <c r="GQ4" s="418"/>
      <c r="GR4" s="418"/>
      <c r="GS4" s="418"/>
      <c r="GT4" s="418"/>
      <c r="GU4" s="418"/>
      <c r="GV4" s="418"/>
      <c r="GW4" s="418"/>
      <c r="GX4" s="418"/>
      <c r="GY4" s="418"/>
      <c r="GZ4" s="418"/>
      <c r="HB4" s="418"/>
      <c r="HC4" s="418"/>
      <c r="HD4" s="418"/>
      <c r="HE4" s="418"/>
      <c r="HF4" s="418"/>
      <c r="HG4" s="418"/>
      <c r="HH4" s="418"/>
      <c r="HI4" s="418"/>
      <c r="HJ4" s="418"/>
      <c r="HK4" s="414"/>
      <c r="HL4" s="415"/>
    </row>
    <row r="5" spans="2:220" ht="7.5" customHeight="1">
      <c r="B5" s="412"/>
      <c r="C5" s="1350"/>
      <c r="D5" s="1351"/>
      <c r="E5" s="1351"/>
      <c r="F5" s="1351"/>
      <c r="G5" s="1351"/>
      <c r="H5" s="1351"/>
      <c r="I5" s="1351"/>
      <c r="J5" s="1351"/>
      <c r="K5" s="1351"/>
      <c r="L5" s="1351"/>
      <c r="M5" s="1351"/>
      <c r="N5" s="1351"/>
      <c r="O5" s="1351"/>
      <c r="P5" s="1351"/>
      <c r="Q5" s="1351"/>
      <c r="R5" s="1351"/>
      <c r="S5" s="1351"/>
      <c r="T5" s="1351"/>
      <c r="U5" s="1351"/>
      <c r="V5" s="1351"/>
      <c r="W5" s="1352"/>
      <c r="AG5" s="1353"/>
      <c r="AH5" s="1354"/>
      <c r="AI5" s="1354"/>
      <c r="AJ5" s="1354"/>
      <c r="AK5" s="1354"/>
      <c r="AL5" s="1354"/>
      <c r="AM5" s="1354"/>
      <c r="AN5" s="1354"/>
      <c r="AO5" s="1354"/>
      <c r="AP5" s="1354"/>
      <c r="AQ5" s="1354"/>
      <c r="AR5" s="1354"/>
      <c r="AS5" s="1354"/>
      <c r="AT5" s="1354"/>
      <c r="AU5" s="1354"/>
      <c r="AW5" s="1350"/>
      <c r="AX5" s="1351"/>
      <c r="AY5" s="1351"/>
      <c r="AZ5" s="1351"/>
      <c r="BA5" s="1351"/>
      <c r="BB5" s="1351"/>
      <c r="BC5" s="1351"/>
      <c r="BD5" s="1351"/>
      <c r="BE5" s="1351"/>
      <c r="BF5" s="1351"/>
      <c r="BG5" s="1351"/>
      <c r="BH5" s="1351"/>
      <c r="BI5" s="1351"/>
      <c r="BJ5" s="1351"/>
      <c r="BL5" s="1355"/>
      <c r="BM5" s="1356"/>
      <c r="BN5" s="1356"/>
      <c r="BO5" s="1356"/>
      <c r="BP5" s="1356"/>
      <c r="BQ5" s="1356"/>
      <c r="BR5" s="1356"/>
      <c r="BS5" s="1356"/>
      <c r="BT5" s="1357"/>
      <c r="BU5" s="414"/>
      <c r="BV5" s="415"/>
      <c r="BW5" s="412"/>
      <c r="BX5" s="1350"/>
      <c r="BY5" s="1351"/>
      <c r="BZ5" s="1351"/>
      <c r="CA5" s="1351"/>
      <c r="CB5" s="1351"/>
      <c r="CC5" s="1351"/>
      <c r="CD5" s="1351"/>
      <c r="CE5" s="1351"/>
      <c r="CF5" s="1351"/>
      <c r="CG5" s="1351"/>
      <c r="CH5" s="1351"/>
      <c r="CI5" s="1351"/>
      <c r="CJ5" s="1351"/>
      <c r="CK5" s="1351"/>
      <c r="CL5" s="1351"/>
      <c r="CM5" s="1351"/>
      <c r="CN5" s="1351"/>
      <c r="CO5" s="1351"/>
      <c r="CP5" s="1351"/>
      <c r="CQ5" s="1351"/>
      <c r="CR5" s="1351"/>
      <c r="DA5" s="1365"/>
      <c r="DB5" s="1366"/>
      <c r="DC5" s="1366"/>
      <c r="DD5" s="1366"/>
      <c r="DE5" s="1366"/>
      <c r="DF5" s="1366"/>
      <c r="DG5" s="1366"/>
      <c r="DH5" s="1366"/>
      <c r="DI5" s="1366"/>
      <c r="DJ5" s="1366"/>
      <c r="DK5" s="1366"/>
      <c r="DL5" s="1366"/>
      <c r="DM5" s="1366"/>
      <c r="DN5" s="1366"/>
      <c r="DO5" s="1366"/>
      <c r="DP5" s="1366"/>
      <c r="DQ5" s="1366"/>
      <c r="DR5" s="1366"/>
      <c r="DS5" s="1366"/>
      <c r="DT5" s="1366"/>
      <c r="DU5" s="237"/>
      <c r="DV5" s="1365"/>
      <c r="DW5" s="1351"/>
      <c r="DX5" s="1351"/>
      <c r="DY5" s="1351"/>
      <c r="DZ5" s="1351"/>
      <c r="EA5" s="1351"/>
      <c r="EB5" s="1351"/>
      <c r="EC5" s="1351"/>
      <c r="ED5" s="1351"/>
      <c r="EE5" s="1351"/>
      <c r="EF5" s="1351"/>
      <c r="EG5" s="1351"/>
      <c r="EH5" s="1351"/>
      <c r="EI5" s="1351"/>
      <c r="EJ5" s="1351"/>
      <c r="EK5" s="1351"/>
      <c r="EL5" s="1351"/>
      <c r="EM5" s="1351"/>
      <c r="EN5" s="1351"/>
      <c r="EO5" s="1351"/>
      <c r="EQ5" s="415"/>
      <c r="ER5" s="412"/>
      <c r="ES5" s="1367"/>
      <c r="ET5" s="1368"/>
      <c r="EU5" s="1368"/>
      <c r="EV5" s="1368"/>
      <c r="EW5" s="1368"/>
      <c r="EX5" s="1368"/>
      <c r="EY5" s="1368"/>
      <c r="EZ5" s="1368"/>
      <c r="FA5" s="1368"/>
      <c r="FB5" s="1368"/>
      <c r="FC5" s="1368"/>
      <c r="FD5" s="1368"/>
      <c r="FE5" s="1368"/>
      <c r="FF5" s="1368"/>
      <c r="FG5" s="1368"/>
      <c r="FH5" s="1368"/>
      <c r="FI5" s="1368"/>
      <c r="FJ5" s="1368"/>
      <c r="FK5" s="1368"/>
      <c r="FL5" s="1369"/>
      <c r="FM5" s="414"/>
      <c r="FX5" s="420"/>
      <c r="FY5" s="237"/>
      <c r="FZ5" s="237"/>
      <c r="GA5" s="237"/>
      <c r="GB5" s="237"/>
      <c r="GC5" s="231"/>
      <c r="GD5" s="231"/>
      <c r="GE5" s="231"/>
      <c r="GF5" s="231"/>
      <c r="GG5" s="231"/>
      <c r="GH5" s="231"/>
      <c r="GI5" s="231"/>
      <c r="GJ5" s="231"/>
      <c r="GK5" s="231"/>
      <c r="GM5" s="421"/>
      <c r="GN5" s="231"/>
      <c r="GO5" s="231"/>
      <c r="GP5" s="231"/>
      <c r="GQ5" s="231"/>
      <c r="GR5" s="231"/>
      <c r="GS5" s="231"/>
      <c r="GT5" s="231"/>
      <c r="GU5" s="231"/>
      <c r="GV5" s="231"/>
      <c r="GW5" s="231"/>
      <c r="GX5" s="231"/>
      <c r="GY5" s="231"/>
      <c r="GZ5" s="231"/>
      <c r="HB5" s="421"/>
      <c r="HC5" s="231"/>
      <c r="HD5" s="231"/>
      <c r="HE5" s="231"/>
      <c r="HF5" s="231"/>
      <c r="HG5" s="231"/>
      <c r="HH5" s="231"/>
      <c r="HI5" s="231"/>
      <c r="HJ5" s="231"/>
      <c r="HK5" s="414"/>
      <c r="HL5" s="415"/>
    </row>
    <row r="6" spans="2:220" ht="7.5" customHeight="1">
      <c r="B6" s="412"/>
      <c r="C6" s="1351"/>
      <c r="D6" s="1351"/>
      <c r="E6" s="1351"/>
      <c r="F6" s="1351"/>
      <c r="G6" s="1351"/>
      <c r="H6" s="1351"/>
      <c r="I6" s="1351"/>
      <c r="J6" s="1351"/>
      <c r="K6" s="1351"/>
      <c r="L6" s="1351"/>
      <c r="M6" s="1351"/>
      <c r="N6" s="1351"/>
      <c r="O6" s="1351"/>
      <c r="P6" s="1351"/>
      <c r="Q6" s="1351"/>
      <c r="R6" s="1351"/>
      <c r="S6" s="1351"/>
      <c r="T6" s="1351"/>
      <c r="U6" s="1351"/>
      <c r="V6" s="1351"/>
      <c r="W6" s="1352"/>
      <c r="AG6" s="1354"/>
      <c r="AH6" s="1354"/>
      <c r="AI6" s="1354"/>
      <c r="AJ6" s="1354"/>
      <c r="AK6" s="1354"/>
      <c r="AL6" s="1354"/>
      <c r="AM6" s="1354"/>
      <c r="AN6" s="1354"/>
      <c r="AO6" s="1354"/>
      <c r="AP6" s="1354"/>
      <c r="AQ6" s="1354"/>
      <c r="AR6" s="1354"/>
      <c r="AS6" s="1354"/>
      <c r="AT6" s="1354"/>
      <c r="AU6" s="1354"/>
      <c r="AW6" s="1351"/>
      <c r="AX6" s="1351"/>
      <c r="AY6" s="1351"/>
      <c r="AZ6" s="1351"/>
      <c r="BA6" s="1351"/>
      <c r="BB6" s="1351"/>
      <c r="BC6" s="1351"/>
      <c r="BD6" s="1351"/>
      <c r="BE6" s="1351"/>
      <c r="BF6" s="1351"/>
      <c r="BG6" s="1351"/>
      <c r="BH6" s="1351"/>
      <c r="BI6" s="1351"/>
      <c r="BJ6" s="1351"/>
      <c r="BL6" s="1358"/>
      <c r="BM6" s="1359"/>
      <c r="BN6" s="1359"/>
      <c r="BO6" s="1359"/>
      <c r="BP6" s="1359"/>
      <c r="BQ6" s="1359"/>
      <c r="BR6" s="1359"/>
      <c r="BS6" s="1359"/>
      <c r="BT6" s="1360"/>
      <c r="BU6" s="414"/>
      <c r="BV6" s="415"/>
      <c r="BW6" s="412"/>
      <c r="BX6" s="1351"/>
      <c r="BY6" s="1351"/>
      <c r="BZ6" s="1351"/>
      <c r="CA6" s="1351"/>
      <c r="CB6" s="1351"/>
      <c r="CC6" s="1351"/>
      <c r="CD6" s="1351"/>
      <c r="CE6" s="1351"/>
      <c r="CF6" s="1351"/>
      <c r="CG6" s="1351"/>
      <c r="CH6" s="1351"/>
      <c r="CI6" s="1351"/>
      <c r="CJ6" s="1351"/>
      <c r="CK6" s="1351"/>
      <c r="CL6" s="1351"/>
      <c r="CM6" s="1351"/>
      <c r="CN6" s="1351"/>
      <c r="CO6" s="1351"/>
      <c r="CP6" s="1351"/>
      <c r="CQ6" s="1351"/>
      <c r="CR6" s="1351"/>
      <c r="DA6" s="1366"/>
      <c r="DB6" s="1366"/>
      <c r="DC6" s="1366"/>
      <c r="DD6" s="1366"/>
      <c r="DE6" s="1366"/>
      <c r="DF6" s="1366"/>
      <c r="DG6" s="1366"/>
      <c r="DH6" s="1366"/>
      <c r="DI6" s="1366"/>
      <c r="DJ6" s="1366"/>
      <c r="DK6" s="1366"/>
      <c r="DL6" s="1366"/>
      <c r="DM6" s="1366"/>
      <c r="DN6" s="1366"/>
      <c r="DO6" s="1366"/>
      <c r="DP6" s="1366"/>
      <c r="DQ6" s="1366"/>
      <c r="DR6" s="1366"/>
      <c r="DS6" s="1366"/>
      <c r="DT6" s="1366"/>
      <c r="DU6" s="237"/>
      <c r="DV6" s="1351"/>
      <c r="DW6" s="1351"/>
      <c r="DX6" s="1351"/>
      <c r="DY6" s="1351"/>
      <c r="DZ6" s="1351"/>
      <c r="EA6" s="1351"/>
      <c r="EB6" s="1351"/>
      <c r="EC6" s="1351"/>
      <c r="ED6" s="1351"/>
      <c r="EE6" s="1351"/>
      <c r="EF6" s="1351"/>
      <c r="EG6" s="1351"/>
      <c r="EH6" s="1351"/>
      <c r="EI6" s="1351"/>
      <c r="EJ6" s="1351"/>
      <c r="EK6" s="1351"/>
      <c r="EL6" s="1351"/>
      <c r="EM6" s="1351"/>
      <c r="EN6" s="1351"/>
      <c r="EO6" s="1351"/>
      <c r="EQ6" s="415"/>
      <c r="ER6" s="412"/>
      <c r="ES6" s="1370"/>
      <c r="ET6" s="1371"/>
      <c r="EU6" s="1371"/>
      <c r="EV6" s="1371"/>
      <c r="EW6" s="1371"/>
      <c r="EX6" s="1371"/>
      <c r="EY6" s="1371"/>
      <c r="EZ6" s="1371"/>
      <c r="FA6" s="1371"/>
      <c r="FB6" s="1371"/>
      <c r="FC6" s="1371"/>
      <c r="FD6" s="1371"/>
      <c r="FE6" s="1371"/>
      <c r="FF6" s="1371"/>
      <c r="FG6" s="1371"/>
      <c r="FH6" s="1371"/>
      <c r="FI6" s="1371"/>
      <c r="FJ6" s="1371"/>
      <c r="FK6" s="1371"/>
      <c r="FL6" s="1372"/>
      <c r="FM6" s="414"/>
      <c r="FX6" s="237"/>
      <c r="FY6" s="237"/>
      <c r="FZ6" s="237"/>
      <c r="GA6" s="237"/>
      <c r="GB6" s="237"/>
      <c r="GC6" s="231"/>
      <c r="GD6" s="231"/>
      <c r="GE6" s="231"/>
      <c r="GF6" s="231"/>
      <c r="GG6" s="231"/>
      <c r="GH6" s="231"/>
      <c r="GI6" s="231"/>
      <c r="GJ6" s="231"/>
      <c r="GK6" s="231"/>
      <c r="GM6" s="231"/>
      <c r="GN6" s="231"/>
      <c r="GO6" s="231"/>
      <c r="GP6" s="231"/>
      <c r="GQ6" s="231"/>
      <c r="GR6" s="231"/>
      <c r="GS6" s="231"/>
      <c r="GT6" s="231"/>
      <c r="GU6" s="231"/>
      <c r="GV6" s="231"/>
      <c r="GW6" s="231"/>
      <c r="GX6" s="231"/>
      <c r="GY6" s="231"/>
      <c r="GZ6" s="231"/>
      <c r="HB6" s="231"/>
      <c r="HC6" s="231"/>
      <c r="HD6" s="231"/>
      <c r="HE6" s="231"/>
      <c r="HF6" s="231"/>
      <c r="HG6" s="231"/>
      <c r="HH6" s="231"/>
      <c r="HI6" s="231"/>
      <c r="HJ6" s="231"/>
      <c r="HK6" s="414"/>
      <c r="HL6" s="415"/>
    </row>
    <row r="7" spans="2:220" ht="7.5" customHeight="1">
      <c r="B7" s="412"/>
      <c r="C7" s="1351"/>
      <c r="D7" s="1351"/>
      <c r="E7" s="1351"/>
      <c r="F7" s="1351"/>
      <c r="G7" s="1351"/>
      <c r="H7" s="1351"/>
      <c r="I7" s="1351"/>
      <c r="J7" s="1351"/>
      <c r="K7" s="1351"/>
      <c r="L7" s="1351"/>
      <c r="M7" s="1351"/>
      <c r="N7" s="1351"/>
      <c r="O7" s="1351"/>
      <c r="P7" s="1351"/>
      <c r="Q7" s="1351"/>
      <c r="R7" s="1351"/>
      <c r="S7" s="1351"/>
      <c r="T7" s="1351"/>
      <c r="U7" s="1351"/>
      <c r="V7" s="1351"/>
      <c r="W7" s="1352"/>
      <c r="AG7" s="1354"/>
      <c r="AH7" s="1354"/>
      <c r="AI7" s="1354"/>
      <c r="AJ7" s="1354"/>
      <c r="AK7" s="1354"/>
      <c r="AL7" s="1354"/>
      <c r="AM7" s="1354"/>
      <c r="AN7" s="1354"/>
      <c r="AO7" s="1354"/>
      <c r="AP7" s="1354"/>
      <c r="AQ7" s="1354"/>
      <c r="AR7" s="1354"/>
      <c r="AS7" s="1354"/>
      <c r="AT7" s="1354"/>
      <c r="AU7" s="1354"/>
      <c r="AW7" s="1351"/>
      <c r="AX7" s="1351"/>
      <c r="AY7" s="1351"/>
      <c r="AZ7" s="1351"/>
      <c r="BA7" s="1351"/>
      <c r="BB7" s="1351"/>
      <c r="BC7" s="1351"/>
      <c r="BD7" s="1351"/>
      <c r="BE7" s="1351"/>
      <c r="BF7" s="1351"/>
      <c r="BG7" s="1351"/>
      <c r="BH7" s="1351"/>
      <c r="BI7" s="1351"/>
      <c r="BJ7" s="1351"/>
      <c r="BL7" s="1361"/>
      <c r="BM7" s="1362"/>
      <c r="BN7" s="1362"/>
      <c r="BO7" s="1362"/>
      <c r="BP7" s="1362"/>
      <c r="BQ7" s="1362"/>
      <c r="BR7" s="1362"/>
      <c r="BS7" s="1362"/>
      <c r="BT7" s="1363"/>
      <c r="BU7" s="414"/>
      <c r="BV7" s="415"/>
      <c r="BW7" s="412"/>
      <c r="BX7" s="1351"/>
      <c r="BY7" s="1351"/>
      <c r="BZ7" s="1351"/>
      <c r="CA7" s="1351"/>
      <c r="CB7" s="1351"/>
      <c r="CC7" s="1351"/>
      <c r="CD7" s="1351"/>
      <c r="CE7" s="1351"/>
      <c r="CF7" s="1351"/>
      <c r="CG7" s="1351"/>
      <c r="CH7" s="1351"/>
      <c r="CI7" s="1351"/>
      <c r="CJ7" s="1351"/>
      <c r="CK7" s="1351"/>
      <c r="CL7" s="1351"/>
      <c r="CM7" s="1351"/>
      <c r="CN7" s="1351"/>
      <c r="CO7" s="1351"/>
      <c r="CP7" s="1351"/>
      <c r="CQ7" s="1351"/>
      <c r="CR7" s="1351"/>
      <c r="DA7" s="1366"/>
      <c r="DB7" s="1366"/>
      <c r="DC7" s="1366"/>
      <c r="DD7" s="1366"/>
      <c r="DE7" s="1366"/>
      <c r="DF7" s="1366"/>
      <c r="DG7" s="1366"/>
      <c r="DH7" s="1366"/>
      <c r="DI7" s="1366"/>
      <c r="DJ7" s="1366"/>
      <c r="DK7" s="1366"/>
      <c r="DL7" s="1366"/>
      <c r="DM7" s="1366"/>
      <c r="DN7" s="1366"/>
      <c r="DO7" s="1366"/>
      <c r="DP7" s="1366"/>
      <c r="DQ7" s="1366"/>
      <c r="DR7" s="1366"/>
      <c r="DS7" s="1366"/>
      <c r="DT7" s="1366"/>
      <c r="DU7" s="237"/>
      <c r="DV7" s="1351"/>
      <c r="DW7" s="1351"/>
      <c r="DX7" s="1351"/>
      <c r="DY7" s="1351"/>
      <c r="DZ7" s="1351"/>
      <c r="EA7" s="1351"/>
      <c r="EB7" s="1351"/>
      <c r="EC7" s="1351"/>
      <c r="ED7" s="1351"/>
      <c r="EE7" s="1351"/>
      <c r="EF7" s="1351"/>
      <c r="EG7" s="1351"/>
      <c r="EH7" s="1351"/>
      <c r="EI7" s="1351"/>
      <c r="EJ7" s="1351"/>
      <c r="EK7" s="1351"/>
      <c r="EL7" s="1351"/>
      <c r="EM7" s="1351"/>
      <c r="EN7" s="1351"/>
      <c r="EO7" s="1351"/>
      <c r="EQ7" s="415"/>
      <c r="ER7" s="412"/>
      <c r="ES7" s="1373"/>
      <c r="ET7" s="1374"/>
      <c r="EU7" s="1374"/>
      <c r="EV7" s="1374"/>
      <c r="EW7" s="1374"/>
      <c r="EX7" s="1374"/>
      <c r="EY7" s="1374"/>
      <c r="EZ7" s="1374"/>
      <c r="FA7" s="1374"/>
      <c r="FB7" s="1374"/>
      <c r="FC7" s="1374"/>
      <c r="FD7" s="1374"/>
      <c r="FE7" s="1374"/>
      <c r="FF7" s="1374"/>
      <c r="FG7" s="1374"/>
      <c r="FH7" s="1374"/>
      <c r="FI7" s="1374"/>
      <c r="FJ7" s="1374"/>
      <c r="FK7" s="1374"/>
      <c r="FL7" s="1375"/>
      <c r="FM7" s="414"/>
      <c r="FX7" s="237"/>
      <c r="FY7" s="237"/>
      <c r="FZ7" s="237"/>
      <c r="GA7" s="237"/>
      <c r="GB7" s="237"/>
      <c r="GC7" s="231"/>
      <c r="GD7" s="231"/>
      <c r="GE7" s="231"/>
      <c r="GF7" s="231"/>
      <c r="GG7" s="231"/>
      <c r="GH7" s="231"/>
      <c r="GI7" s="231"/>
      <c r="GJ7" s="231"/>
      <c r="GK7" s="231"/>
      <c r="GM7" s="231"/>
      <c r="GN7" s="231"/>
      <c r="GO7" s="231"/>
      <c r="GP7" s="231"/>
      <c r="GQ7" s="231"/>
      <c r="GR7" s="231"/>
      <c r="GS7" s="231"/>
      <c r="GT7" s="231"/>
      <c r="GU7" s="231"/>
      <c r="GV7" s="231"/>
      <c r="GW7" s="231"/>
      <c r="GX7" s="231"/>
      <c r="GY7" s="231"/>
      <c r="GZ7" s="231"/>
      <c r="HB7" s="231"/>
      <c r="HC7" s="231"/>
      <c r="HD7" s="231"/>
      <c r="HE7" s="231"/>
      <c r="HF7" s="231"/>
      <c r="HG7" s="231"/>
      <c r="HH7" s="231"/>
      <c r="HI7" s="231"/>
      <c r="HJ7" s="231"/>
      <c r="HK7" s="414"/>
      <c r="HL7" s="415"/>
    </row>
    <row r="8" spans="2:220" ht="7.5" customHeight="1">
      <c r="B8" s="412"/>
      <c r="C8" s="414"/>
      <c r="D8" s="414"/>
      <c r="E8" s="414"/>
      <c r="F8" s="414"/>
      <c r="G8" s="414"/>
      <c r="H8" s="414"/>
      <c r="I8" s="414"/>
      <c r="J8" s="414"/>
      <c r="K8" s="414"/>
      <c r="L8" s="414"/>
      <c r="M8" s="414"/>
      <c r="N8" s="414"/>
      <c r="O8" s="414"/>
      <c r="P8" s="414"/>
      <c r="Q8" s="414"/>
      <c r="R8" s="414"/>
      <c r="S8" s="414"/>
      <c r="T8" s="414"/>
      <c r="U8" s="414"/>
      <c r="V8" s="414"/>
      <c r="W8" s="414"/>
      <c r="X8" s="414"/>
      <c r="Y8" s="414"/>
      <c r="Z8" s="414"/>
      <c r="AA8" s="414"/>
      <c r="AB8" s="414"/>
      <c r="AC8" s="414"/>
      <c r="AD8" s="414"/>
      <c r="AE8" s="414"/>
      <c r="AF8" s="414"/>
      <c r="AG8" s="414"/>
      <c r="AH8" s="414"/>
      <c r="AI8" s="414"/>
      <c r="AJ8" s="414"/>
      <c r="AK8" s="414"/>
      <c r="AL8" s="414"/>
      <c r="AM8" s="414"/>
      <c r="AN8" s="414"/>
      <c r="AO8" s="414"/>
      <c r="AP8" s="414"/>
      <c r="AQ8" s="414"/>
      <c r="AR8" s="414"/>
      <c r="AS8" s="414"/>
      <c r="AT8" s="414"/>
      <c r="AU8" s="414"/>
      <c r="AV8" s="414"/>
      <c r="AW8" s="414"/>
      <c r="AX8" s="414"/>
      <c r="AY8" s="414"/>
      <c r="AZ8" s="414"/>
      <c r="BA8" s="414"/>
      <c r="BB8" s="414"/>
      <c r="BC8" s="414"/>
      <c r="BD8" s="414"/>
      <c r="BE8" s="414"/>
      <c r="BF8" s="414"/>
      <c r="BG8" s="414"/>
      <c r="BH8" s="414"/>
      <c r="BI8" s="414"/>
      <c r="BJ8" s="414"/>
      <c r="BK8" s="414"/>
      <c r="BL8" s="414"/>
      <c r="BM8" s="414"/>
      <c r="BN8" s="414"/>
      <c r="BO8" s="414"/>
      <c r="BP8" s="414"/>
      <c r="BQ8" s="414"/>
      <c r="BR8" s="414"/>
      <c r="BS8" s="414"/>
      <c r="BT8" s="414"/>
      <c r="BU8" s="414"/>
      <c r="BV8" s="415"/>
      <c r="BW8" s="412"/>
      <c r="BX8" s="1364"/>
      <c r="BY8" s="1364"/>
      <c r="BZ8" s="1364"/>
      <c r="CA8" s="1364"/>
      <c r="CB8" s="1364"/>
      <c r="CC8" s="1364"/>
      <c r="CD8" s="1364"/>
      <c r="CE8" s="1364"/>
      <c r="CF8" s="1364"/>
      <c r="CG8" s="1364"/>
      <c r="CH8" s="1364"/>
      <c r="CI8" s="1364"/>
      <c r="CJ8" s="1364"/>
      <c r="CK8" s="1364"/>
      <c r="CL8" s="1364"/>
      <c r="CM8" s="1364"/>
      <c r="CN8" s="1364"/>
      <c r="CO8" s="1364"/>
      <c r="CP8" s="1364"/>
      <c r="CQ8" s="1364"/>
      <c r="CR8" s="1364"/>
      <c r="DA8" s="1364"/>
      <c r="DB8" s="1364"/>
      <c r="DC8" s="1364"/>
      <c r="DD8" s="1364"/>
      <c r="DE8" s="1364"/>
      <c r="DF8" s="1364"/>
      <c r="DG8" s="1364"/>
      <c r="DH8" s="1364"/>
      <c r="DI8" s="1364"/>
      <c r="DJ8" s="1364"/>
      <c r="DK8" s="1364"/>
      <c r="DL8" s="1364"/>
      <c r="DM8" s="1364"/>
      <c r="DN8" s="1364"/>
      <c r="DO8" s="1364"/>
      <c r="DP8" s="1364"/>
      <c r="DQ8" s="1364"/>
      <c r="DR8" s="1364"/>
      <c r="DS8" s="1364"/>
      <c r="DT8" s="1364"/>
      <c r="DV8" s="1364"/>
      <c r="DW8" s="1364"/>
      <c r="DX8" s="1364"/>
      <c r="DY8" s="1364"/>
      <c r="DZ8" s="1364"/>
      <c r="EA8" s="1364"/>
      <c r="EB8" s="1364"/>
      <c r="EC8" s="1364"/>
      <c r="ED8" s="1364"/>
      <c r="EE8" s="1364"/>
      <c r="EF8" s="1364"/>
      <c r="EG8" s="1364"/>
      <c r="EH8" s="1364"/>
      <c r="EI8" s="1364"/>
      <c r="EJ8" s="1364"/>
      <c r="EK8" s="1364"/>
      <c r="EL8" s="1364"/>
      <c r="EM8" s="1364"/>
      <c r="EN8" s="1364"/>
      <c r="EO8" s="1364"/>
      <c r="EQ8" s="415"/>
      <c r="ER8" s="412"/>
      <c r="HL8" s="415"/>
    </row>
    <row r="9" spans="2:220" ht="7.5" customHeight="1">
      <c r="B9" s="412"/>
      <c r="C9" s="1426" t="s">
        <v>7383</v>
      </c>
      <c r="D9" s="1384"/>
      <c r="E9" s="1384"/>
      <c r="F9" s="1384"/>
      <c r="G9" s="1384"/>
      <c r="H9" s="1384"/>
      <c r="I9" s="1384"/>
      <c r="J9" s="1384"/>
      <c r="K9" s="1384"/>
      <c r="M9" s="1426" t="s">
        <v>6246</v>
      </c>
      <c r="N9" s="1384"/>
      <c r="O9" s="1384"/>
      <c r="P9" s="1384"/>
      <c r="Q9" s="1384"/>
      <c r="R9" s="1384"/>
      <c r="S9" s="1384"/>
      <c r="T9" s="422"/>
      <c r="U9" s="1383" t="s">
        <v>7384</v>
      </c>
      <c r="V9" s="1427"/>
      <c r="W9" s="1427"/>
      <c r="X9" s="1427"/>
      <c r="Y9" s="1427"/>
      <c r="Z9" s="1427"/>
      <c r="AA9" s="1427"/>
      <c r="AB9" s="1427"/>
      <c r="AC9" s="1427"/>
      <c r="AD9" s="1427"/>
      <c r="AE9" s="1427"/>
      <c r="AF9" s="1427"/>
      <c r="AG9" s="1427"/>
      <c r="AH9" s="1427"/>
      <c r="AI9" s="1427"/>
      <c r="AJ9" s="1427"/>
      <c r="AK9" s="1427"/>
      <c r="AL9" s="1427"/>
      <c r="AM9" s="1427"/>
      <c r="AN9" s="1427"/>
      <c r="AO9" s="1427"/>
      <c r="AP9" s="1427"/>
      <c r="AQ9" s="1427"/>
      <c r="AR9" s="1427"/>
      <c r="AS9" s="1428"/>
      <c r="AV9" s="1344" t="s">
        <v>7385</v>
      </c>
      <c r="AW9" s="1345"/>
      <c r="AX9" s="1345"/>
      <c r="AY9" s="1345"/>
      <c r="AZ9" s="1345"/>
      <c r="BA9" s="1345"/>
      <c r="BB9" s="1345"/>
      <c r="BC9" s="1345"/>
      <c r="BD9" s="1345"/>
      <c r="BE9" s="1345"/>
      <c r="BF9" s="1345"/>
      <c r="BG9" s="1345"/>
      <c r="BH9" s="1345"/>
      <c r="BI9" s="1346"/>
      <c r="BL9" s="1377" t="s">
        <v>5679</v>
      </c>
      <c r="BM9" s="1378"/>
      <c r="BN9" s="1378"/>
      <c r="BO9" s="1378"/>
      <c r="BP9" s="1378"/>
      <c r="BQ9" s="1378"/>
      <c r="BR9" s="1378"/>
      <c r="BS9" s="1378"/>
      <c r="BT9" s="1379"/>
      <c r="BV9" s="415"/>
      <c r="BW9" s="412"/>
      <c r="EQ9" s="415"/>
      <c r="ER9" s="412"/>
      <c r="ES9" s="1407" t="s">
        <v>7386</v>
      </c>
      <c r="ET9" s="1429"/>
      <c r="EU9" s="1429"/>
      <c r="EV9" s="1429"/>
      <c r="EW9" s="1429"/>
      <c r="EX9" s="1429"/>
      <c r="EY9" s="1429"/>
      <c r="EZ9" s="1429"/>
      <c r="FA9" s="1429"/>
      <c r="FB9" s="1429"/>
      <c r="FC9" s="1429"/>
      <c r="FD9" s="1429"/>
      <c r="FE9" s="1429"/>
      <c r="FF9" s="1429"/>
      <c r="FG9" s="1429"/>
      <c r="FH9" s="1429"/>
      <c r="FI9" s="1429"/>
      <c r="FJ9" s="1429"/>
      <c r="FK9" s="1429"/>
      <c r="FL9" s="1429"/>
      <c r="FM9" s="1429"/>
      <c r="FN9" s="1429"/>
      <c r="FO9" s="1429"/>
      <c r="FP9" s="1429"/>
      <c r="FQ9" s="1429"/>
      <c r="FR9" s="1429"/>
      <c r="FS9" s="1429"/>
      <c r="FT9" s="1429"/>
      <c r="FU9" s="1429"/>
      <c r="FV9" s="1429"/>
      <c r="FW9" s="1429"/>
      <c r="FX9" s="1429"/>
      <c r="FY9" s="1429"/>
      <c r="FZ9" s="1430"/>
      <c r="GA9" s="408"/>
      <c r="GB9" s="408"/>
      <c r="GC9" s="1407" t="s">
        <v>7387</v>
      </c>
      <c r="GD9" s="1395"/>
      <c r="GE9" s="1395"/>
      <c r="GF9" s="1395"/>
      <c r="GG9" s="1395"/>
      <c r="GH9" s="1395"/>
      <c r="GI9" s="1395"/>
      <c r="GJ9" s="1395"/>
      <c r="GK9" s="1395"/>
      <c r="GL9" s="1395"/>
      <c r="GM9" s="1395"/>
      <c r="GN9" s="1395"/>
      <c r="GO9" s="1395"/>
      <c r="GP9" s="1395"/>
      <c r="GQ9" s="1395"/>
      <c r="GR9" s="1395"/>
      <c r="GS9" s="1395"/>
      <c r="GT9" s="1395"/>
      <c r="GU9" s="1395"/>
      <c r="GV9" s="1395"/>
      <c r="GW9" s="1395"/>
      <c r="GX9" s="1395"/>
      <c r="GY9" s="1395"/>
      <c r="GZ9" s="1395"/>
      <c r="HA9" s="1395"/>
      <c r="HB9" s="1395"/>
      <c r="HC9" s="1395"/>
      <c r="HD9" s="1395"/>
      <c r="HE9" s="1395"/>
      <c r="HF9" s="1395"/>
      <c r="HG9" s="1395"/>
      <c r="HH9" s="1395"/>
      <c r="HI9" s="1395"/>
      <c r="HJ9" s="1402"/>
      <c r="HL9" s="415"/>
    </row>
    <row r="10" spans="2:220" ht="7.5" customHeight="1">
      <c r="B10" s="412"/>
      <c r="C10" s="1411"/>
      <c r="D10" s="1384"/>
      <c r="E10" s="1384"/>
      <c r="F10" s="1384"/>
      <c r="G10" s="1384"/>
      <c r="H10" s="1384"/>
      <c r="I10" s="1384"/>
      <c r="J10" s="1384"/>
      <c r="K10" s="1384"/>
      <c r="M10" s="1411"/>
      <c r="N10" s="1384"/>
      <c r="O10" s="1384"/>
      <c r="P10" s="1384"/>
      <c r="Q10" s="1384"/>
      <c r="R10" s="1384"/>
      <c r="S10" s="1384"/>
      <c r="T10" s="422"/>
      <c r="U10" s="1427"/>
      <c r="V10" s="1427"/>
      <c r="W10" s="1427"/>
      <c r="X10" s="1427"/>
      <c r="Y10" s="1427"/>
      <c r="Z10" s="1427"/>
      <c r="AA10" s="1427"/>
      <c r="AB10" s="1427"/>
      <c r="AC10" s="1427"/>
      <c r="AD10" s="1427"/>
      <c r="AE10" s="1427"/>
      <c r="AF10" s="1427"/>
      <c r="AG10" s="1427"/>
      <c r="AH10" s="1427"/>
      <c r="AI10" s="1427"/>
      <c r="AJ10" s="1427"/>
      <c r="AK10" s="1427"/>
      <c r="AL10" s="1427"/>
      <c r="AM10" s="1427"/>
      <c r="AN10" s="1427"/>
      <c r="AO10" s="1427"/>
      <c r="AP10" s="1427"/>
      <c r="AQ10" s="1427"/>
      <c r="AR10" s="1427"/>
      <c r="AS10" s="1428"/>
      <c r="AV10" s="1347"/>
      <c r="AW10" s="1348"/>
      <c r="AX10" s="1348"/>
      <c r="AY10" s="1348"/>
      <c r="AZ10" s="1348"/>
      <c r="BA10" s="1348"/>
      <c r="BB10" s="1348"/>
      <c r="BC10" s="1348"/>
      <c r="BD10" s="1348"/>
      <c r="BE10" s="1348"/>
      <c r="BF10" s="1348"/>
      <c r="BG10" s="1348"/>
      <c r="BH10" s="1348"/>
      <c r="BI10" s="1349"/>
      <c r="BL10" s="1380"/>
      <c r="BM10" s="1381"/>
      <c r="BN10" s="1381"/>
      <c r="BO10" s="1381"/>
      <c r="BP10" s="1381"/>
      <c r="BQ10" s="1381"/>
      <c r="BR10" s="1381"/>
      <c r="BS10" s="1381"/>
      <c r="BT10" s="1382"/>
      <c r="BV10" s="415"/>
      <c r="BW10" s="412"/>
      <c r="BX10" s="1408" t="s">
        <v>7388</v>
      </c>
      <c r="BY10" s="1409"/>
      <c r="BZ10" s="1409"/>
      <c r="CA10" s="1409"/>
      <c r="CB10" s="1409"/>
      <c r="CC10" s="1409"/>
      <c r="CD10" s="1409"/>
      <c r="CE10" s="1409"/>
      <c r="CF10" s="1409"/>
      <c r="CG10" s="1409"/>
      <c r="CH10" s="1409"/>
      <c r="CI10" s="1409"/>
      <c r="CJ10" s="1409"/>
      <c r="CK10" s="1409"/>
      <c r="CL10" s="1409"/>
      <c r="CM10" s="1409"/>
      <c r="CN10" s="1409"/>
      <c r="CO10" s="1409"/>
      <c r="CP10" s="1409"/>
      <c r="CQ10" s="1409"/>
      <c r="CR10" s="1409"/>
      <c r="CS10" s="1409"/>
      <c r="CT10" s="1409"/>
      <c r="CU10" s="1409"/>
      <c r="CV10" s="1409"/>
      <c r="CW10" s="1409"/>
      <c r="CX10" s="1409"/>
      <c r="CY10" s="1409"/>
      <c r="CZ10" s="1409"/>
      <c r="DA10" s="1409"/>
      <c r="DB10" s="1409"/>
      <c r="DC10" s="1409"/>
      <c r="DD10" s="1409"/>
      <c r="DE10" s="1409"/>
      <c r="DF10" s="1409"/>
      <c r="DG10" s="1354"/>
      <c r="DH10" s="1354"/>
      <c r="DI10" s="1354"/>
      <c r="DJ10" s="1354"/>
      <c r="DK10" s="1354"/>
      <c r="DL10" s="1354"/>
      <c r="DM10" s="1354"/>
      <c r="DN10" s="1354"/>
      <c r="DO10" s="1354"/>
      <c r="DP10" s="1354"/>
      <c r="DQ10" s="1354"/>
      <c r="DR10" s="1354"/>
      <c r="DS10" s="1354"/>
      <c r="DT10" s="1354"/>
      <c r="DU10" s="1354"/>
      <c r="DV10" s="1354"/>
      <c r="DW10" s="1354"/>
      <c r="DX10" s="1354"/>
      <c r="DY10" s="1354"/>
      <c r="DZ10" s="1354"/>
      <c r="EA10" s="1354"/>
      <c r="EB10" s="1354"/>
      <c r="EC10" s="1354"/>
      <c r="ED10" s="1354"/>
      <c r="EE10" s="1354"/>
      <c r="EF10" s="1354"/>
      <c r="EG10" s="1354"/>
      <c r="EH10" s="1354"/>
      <c r="EI10" s="1354"/>
      <c r="EJ10" s="1354"/>
      <c r="EK10" s="1354"/>
      <c r="EL10" s="1354"/>
      <c r="EM10" s="1354"/>
      <c r="EN10" s="1354"/>
      <c r="EO10" s="1354"/>
      <c r="EP10" s="1354"/>
      <c r="EQ10" s="415"/>
      <c r="ER10" s="412"/>
      <c r="ES10" s="1431"/>
      <c r="ET10" s="1432"/>
      <c r="EU10" s="1432"/>
      <c r="EV10" s="1432"/>
      <c r="EW10" s="1432"/>
      <c r="EX10" s="1432"/>
      <c r="EY10" s="1432"/>
      <c r="EZ10" s="1432"/>
      <c r="FA10" s="1432"/>
      <c r="FB10" s="1432"/>
      <c r="FC10" s="1432"/>
      <c r="FD10" s="1432"/>
      <c r="FE10" s="1432"/>
      <c r="FF10" s="1432"/>
      <c r="FG10" s="1432"/>
      <c r="FH10" s="1432"/>
      <c r="FI10" s="1432"/>
      <c r="FJ10" s="1432"/>
      <c r="FK10" s="1432"/>
      <c r="FL10" s="1432"/>
      <c r="FM10" s="1432"/>
      <c r="FN10" s="1432"/>
      <c r="FO10" s="1432"/>
      <c r="FP10" s="1432"/>
      <c r="FQ10" s="1432"/>
      <c r="FR10" s="1432"/>
      <c r="FS10" s="1432"/>
      <c r="FT10" s="1432"/>
      <c r="FU10" s="1432"/>
      <c r="FV10" s="1432"/>
      <c r="FW10" s="1432"/>
      <c r="FX10" s="1432"/>
      <c r="FY10" s="1432"/>
      <c r="FZ10" s="1433"/>
      <c r="GA10" s="402"/>
      <c r="GB10" s="402"/>
      <c r="GC10" s="1396"/>
      <c r="GD10" s="1385"/>
      <c r="GE10" s="1385"/>
      <c r="GF10" s="1385"/>
      <c r="GG10" s="1385"/>
      <c r="GH10" s="1385"/>
      <c r="GI10" s="1385"/>
      <c r="GJ10" s="1385"/>
      <c r="GK10" s="1385"/>
      <c r="GL10" s="1385"/>
      <c r="GM10" s="1385"/>
      <c r="GN10" s="1385"/>
      <c r="GO10" s="1385"/>
      <c r="GP10" s="1385"/>
      <c r="GQ10" s="1385"/>
      <c r="GR10" s="1385"/>
      <c r="GS10" s="1385"/>
      <c r="GT10" s="1385"/>
      <c r="GU10" s="1385"/>
      <c r="GV10" s="1385"/>
      <c r="GW10" s="1385"/>
      <c r="GX10" s="1385"/>
      <c r="GY10" s="1385"/>
      <c r="GZ10" s="1385"/>
      <c r="HA10" s="1385"/>
      <c r="HB10" s="1385"/>
      <c r="HC10" s="1385"/>
      <c r="HD10" s="1385"/>
      <c r="HE10" s="1385"/>
      <c r="HF10" s="1385"/>
      <c r="HG10" s="1385"/>
      <c r="HH10" s="1385"/>
      <c r="HI10" s="1385"/>
      <c r="HJ10" s="1403"/>
      <c r="HL10" s="415"/>
    </row>
    <row r="11" spans="2:220" ht="7.5" customHeight="1">
      <c r="B11" s="412"/>
      <c r="C11" s="1410"/>
      <c r="D11" s="1395"/>
      <c r="E11" s="1395"/>
      <c r="F11" s="1395"/>
      <c r="G11" s="1395"/>
      <c r="H11" s="1395"/>
      <c r="I11" s="1395"/>
      <c r="J11" s="1395"/>
      <c r="K11" s="1402"/>
      <c r="M11" s="1410"/>
      <c r="N11" s="1395"/>
      <c r="O11" s="1395"/>
      <c r="P11" s="1395"/>
      <c r="Q11" s="1395"/>
      <c r="R11" s="1395"/>
      <c r="S11" s="1402"/>
      <c r="T11" s="422"/>
      <c r="U11" s="1413"/>
      <c r="V11" s="1414"/>
      <c r="W11" s="1414"/>
      <c r="X11" s="1414"/>
      <c r="Y11" s="1414"/>
      <c r="Z11" s="1414"/>
      <c r="AA11" s="1414"/>
      <c r="AB11" s="1414"/>
      <c r="AC11" s="1414"/>
      <c r="AD11" s="1414"/>
      <c r="AE11" s="1414"/>
      <c r="AF11" s="1414"/>
      <c r="AG11" s="1414"/>
      <c r="AH11" s="1414"/>
      <c r="AI11" s="1414"/>
      <c r="AJ11" s="1414"/>
      <c r="AK11" s="1414"/>
      <c r="AL11" s="1414"/>
      <c r="AM11" s="1414"/>
      <c r="AN11" s="1414"/>
      <c r="AO11" s="1414"/>
      <c r="AP11" s="1414"/>
      <c r="AQ11" s="1414"/>
      <c r="AR11" s="1414"/>
      <c r="AS11" s="1415"/>
      <c r="AV11" s="1350"/>
      <c r="AW11" s="1351"/>
      <c r="AX11" s="1351"/>
      <c r="AY11" s="1351"/>
      <c r="AZ11" s="1351"/>
      <c r="BA11" s="1351"/>
      <c r="BB11" s="1351"/>
      <c r="BC11" s="1351"/>
      <c r="BD11" s="1351"/>
      <c r="BE11" s="1351"/>
      <c r="BF11" s="1351"/>
      <c r="BG11" s="1351"/>
      <c r="BH11" s="1351"/>
      <c r="BI11" s="1351"/>
      <c r="BL11" s="1355"/>
      <c r="BM11" s="1356"/>
      <c r="BN11" s="1356"/>
      <c r="BO11" s="1356"/>
      <c r="BP11" s="1356"/>
      <c r="BQ11" s="1356"/>
      <c r="BR11" s="1356"/>
      <c r="BS11" s="1356"/>
      <c r="BT11" s="1357"/>
      <c r="BV11" s="415"/>
      <c r="BW11" s="412"/>
      <c r="BX11" s="1409"/>
      <c r="BY11" s="1409"/>
      <c r="BZ11" s="1409"/>
      <c r="CA11" s="1409"/>
      <c r="CB11" s="1409"/>
      <c r="CC11" s="1409"/>
      <c r="CD11" s="1409"/>
      <c r="CE11" s="1409"/>
      <c r="CF11" s="1409"/>
      <c r="CG11" s="1409"/>
      <c r="CH11" s="1409"/>
      <c r="CI11" s="1409"/>
      <c r="CJ11" s="1409"/>
      <c r="CK11" s="1409"/>
      <c r="CL11" s="1409"/>
      <c r="CM11" s="1409"/>
      <c r="CN11" s="1409"/>
      <c r="CO11" s="1409"/>
      <c r="CP11" s="1409"/>
      <c r="CQ11" s="1409"/>
      <c r="CR11" s="1409"/>
      <c r="CS11" s="1409"/>
      <c r="CT11" s="1409"/>
      <c r="CU11" s="1409"/>
      <c r="CV11" s="1409"/>
      <c r="CW11" s="1409"/>
      <c r="CX11" s="1409"/>
      <c r="CY11" s="1409"/>
      <c r="CZ11" s="1409"/>
      <c r="DA11" s="1409"/>
      <c r="DB11" s="1409"/>
      <c r="DC11" s="1409"/>
      <c r="DD11" s="1409"/>
      <c r="DE11" s="1409"/>
      <c r="DF11" s="1409"/>
      <c r="DG11" s="1354"/>
      <c r="DH11" s="1354"/>
      <c r="DI11" s="1354"/>
      <c r="DJ11" s="1354"/>
      <c r="DK11" s="1354"/>
      <c r="DL11" s="1354"/>
      <c r="DM11" s="1354"/>
      <c r="DN11" s="1354"/>
      <c r="DO11" s="1354"/>
      <c r="DP11" s="1354"/>
      <c r="DQ11" s="1354"/>
      <c r="DR11" s="1354"/>
      <c r="DS11" s="1354"/>
      <c r="DT11" s="1354"/>
      <c r="DU11" s="1354"/>
      <c r="DV11" s="1354"/>
      <c r="DW11" s="1354"/>
      <c r="DX11" s="1354"/>
      <c r="DY11" s="1354"/>
      <c r="DZ11" s="1354"/>
      <c r="EA11" s="1354"/>
      <c r="EB11" s="1354"/>
      <c r="EC11" s="1354"/>
      <c r="ED11" s="1354"/>
      <c r="EE11" s="1354"/>
      <c r="EF11" s="1354"/>
      <c r="EG11" s="1354"/>
      <c r="EH11" s="1354"/>
      <c r="EI11" s="1354"/>
      <c r="EJ11" s="1354"/>
      <c r="EK11" s="1354"/>
      <c r="EL11" s="1354"/>
      <c r="EM11" s="1354"/>
      <c r="EN11" s="1354"/>
      <c r="EO11" s="1354"/>
      <c r="EP11" s="1354"/>
      <c r="EQ11" s="415"/>
      <c r="ER11" s="412"/>
      <c r="ES11" s="1422"/>
      <c r="ET11" s="1371"/>
      <c r="EU11" s="1371"/>
      <c r="EV11" s="1371"/>
      <c r="EW11" s="1371"/>
      <c r="EX11" s="1371"/>
      <c r="EY11" s="1371"/>
      <c r="EZ11" s="1371"/>
      <c r="FA11" s="1371"/>
      <c r="FB11" s="1371"/>
      <c r="FC11" s="1371"/>
      <c r="FD11" s="1371"/>
      <c r="FE11" s="1371"/>
      <c r="FF11" s="1371"/>
      <c r="FG11" s="1371"/>
      <c r="FH11" s="1371"/>
      <c r="FI11" s="1371"/>
      <c r="FJ11" s="1371"/>
      <c r="FK11" s="1371"/>
      <c r="FL11" s="1371"/>
      <c r="FM11" s="1371"/>
      <c r="FN11" s="1371"/>
      <c r="FO11" s="1371"/>
      <c r="FP11" s="1371"/>
      <c r="FQ11" s="1371"/>
      <c r="FR11" s="1371"/>
      <c r="FS11" s="1371"/>
      <c r="FT11" s="1371"/>
      <c r="FU11" s="1371"/>
      <c r="FV11" s="1371"/>
      <c r="FW11" s="1371"/>
      <c r="FX11" s="1371"/>
      <c r="FY11" s="1371"/>
      <c r="FZ11" s="1372"/>
      <c r="GA11" s="423"/>
      <c r="GB11" s="424"/>
      <c r="GC11" s="1423"/>
      <c r="GD11" s="1368"/>
      <c r="GE11" s="1368"/>
      <c r="GF11" s="1368"/>
      <c r="GG11" s="1368"/>
      <c r="GH11" s="1368"/>
      <c r="GI11" s="1368"/>
      <c r="GJ11" s="1368"/>
      <c r="GK11" s="1368"/>
      <c r="GL11" s="1368"/>
      <c r="GM11" s="1368"/>
      <c r="GN11" s="1368"/>
      <c r="GO11" s="1368"/>
      <c r="GP11" s="1368"/>
      <c r="GQ11" s="1368"/>
      <c r="GR11" s="1368"/>
      <c r="GS11" s="1368"/>
      <c r="GT11" s="1368"/>
      <c r="GU11" s="1368"/>
      <c r="GV11" s="1368"/>
      <c r="GW11" s="1368"/>
      <c r="GX11" s="1368"/>
      <c r="GY11" s="1368"/>
      <c r="GZ11" s="1368"/>
      <c r="HA11" s="1368"/>
      <c r="HB11" s="1368"/>
      <c r="HC11" s="1368"/>
      <c r="HD11" s="1368"/>
      <c r="HE11" s="1368"/>
      <c r="HF11" s="1368"/>
      <c r="HG11" s="1368"/>
      <c r="HH11" s="1368"/>
      <c r="HI11" s="1368"/>
      <c r="HJ11" s="1369"/>
      <c r="HL11" s="415"/>
    </row>
    <row r="12" spans="2:220" ht="7.5" customHeight="1">
      <c r="B12" s="412"/>
      <c r="C12" s="1411"/>
      <c r="D12" s="1384"/>
      <c r="E12" s="1384"/>
      <c r="F12" s="1384"/>
      <c r="G12" s="1384"/>
      <c r="H12" s="1384"/>
      <c r="I12" s="1384"/>
      <c r="J12" s="1384"/>
      <c r="K12" s="1412"/>
      <c r="M12" s="1411"/>
      <c r="N12" s="1384"/>
      <c r="O12" s="1384"/>
      <c r="P12" s="1384"/>
      <c r="Q12" s="1384"/>
      <c r="R12" s="1384"/>
      <c r="S12" s="1412"/>
      <c r="T12" s="422"/>
      <c r="U12" s="1416"/>
      <c r="V12" s="1417"/>
      <c r="W12" s="1417"/>
      <c r="X12" s="1417"/>
      <c r="Y12" s="1417"/>
      <c r="Z12" s="1417"/>
      <c r="AA12" s="1417"/>
      <c r="AB12" s="1417"/>
      <c r="AC12" s="1417"/>
      <c r="AD12" s="1417"/>
      <c r="AE12" s="1417"/>
      <c r="AF12" s="1417"/>
      <c r="AG12" s="1417"/>
      <c r="AH12" s="1417"/>
      <c r="AI12" s="1417"/>
      <c r="AJ12" s="1417"/>
      <c r="AK12" s="1417"/>
      <c r="AL12" s="1417"/>
      <c r="AM12" s="1417"/>
      <c r="AN12" s="1417"/>
      <c r="AO12" s="1417"/>
      <c r="AP12" s="1417"/>
      <c r="AQ12" s="1417"/>
      <c r="AR12" s="1417"/>
      <c r="AS12" s="1418"/>
      <c r="AV12" s="1351"/>
      <c r="AW12" s="1351"/>
      <c r="AX12" s="1351"/>
      <c r="AY12" s="1351"/>
      <c r="AZ12" s="1351"/>
      <c r="BA12" s="1351"/>
      <c r="BB12" s="1351"/>
      <c r="BC12" s="1351"/>
      <c r="BD12" s="1351"/>
      <c r="BE12" s="1351"/>
      <c r="BF12" s="1351"/>
      <c r="BG12" s="1351"/>
      <c r="BH12" s="1351"/>
      <c r="BI12" s="1351"/>
      <c r="BL12" s="1358"/>
      <c r="BM12" s="1359"/>
      <c r="BN12" s="1359"/>
      <c r="BO12" s="1359"/>
      <c r="BP12" s="1359"/>
      <c r="BQ12" s="1359"/>
      <c r="BR12" s="1359"/>
      <c r="BS12" s="1359"/>
      <c r="BT12" s="1360"/>
      <c r="BV12" s="415"/>
      <c r="BW12" s="412"/>
      <c r="BX12" s="1424"/>
      <c r="BY12" s="1425"/>
      <c r="BZ12" s="1425"/>
      <c r="CA12" s="1425"/>
      <c r="CB12" s="1425"/>
      <c r="CC12" s="1425"/>
      <c r="CD12" s="1425"/>
      <c r="CE12" s="1425"/>
      <c r="CF12" s="1425"/>
      <c r="CG12" s="1425"/>
      <c r="CH12" s="1425"/>
      <c r="CI12" s="1425"/>
      <c r="CJ12" s="1425"/>
      <c r="CK12" s="1425"/>
      <c r="CL12" s="1425"/>
      <c r="CM12" s="1425"/>
      <c r="CN12" s="1425"/>
      <c r="CO12" s="1425"/>
      <c r="CP12" s="1425"/>
      <c r="CQ12" s="1425"/>
      <c r="CR12" s="1425"/>
      <c r="CS12" s="1425"/>
      <c r="CT12" s="1425"/>
      <c r="CU12" s="1425"/>
      <c r="CV12" s="1425"/>
      <c r="CW12" s="1425"/>
      <c r="CX12" s="1425"/>
      <c r="CY12" s="1425"/>
      <c r="CZ12" s="1425"/>
      <c r="DA12" s="1425"/>
      <c r="DB12" s="1425"/>
      <c r="DC12" s="1425"/>
      <c r="DD12" s="1425"/>
      <c r="DE12" s="1425"/>
      <c r="DF12" s="1425"/>
      <c r="DG12" s="1354"/>
      <c r="DH12" s="1354"/>
      <c r="DI12" s="1354"/>
      <c r="DJ12" s="1354"/>
      <c r="DK12" s="1354"/>
      <c r="DL12" s="1354"/>
      <c r="DM12" s="1354"/>
      <c r="DN12" s="1354"/>
      <c r="DO12" s="1354"/>
      <c r="DP12" s="1354"/>
      <c r="DQ12" s="1354"/>
      <c r="DR12" s="1354"/>
      <c r="DS12" s="1354"/>
      <c r="DT12" s="1354"/>
      <c r="DU12" s="1354"/>
      <c r="DV12" s="1354"/>
      <c r="DW12" s="1354"/>
      <c r="DX12" s="1354"/>
      <c r="DY12" s="1354"/>
      <c r="DZ12" s="1354"/>
      <c r="EA12" s="1354"/>
      <c r="EB12" s="1354"/>
      <c r="EC12" s="1354"/>
      <c r="ED12" s="1354"/>
      <c r="EE12" s="1354"/>
      <c r="EF12" s="1354"/>
      <c r="EG12" s="1354"/>
      <c r="EH12" s="1354"/>
      <c r="EI12" s="1354"/>
      <c r="EJ12" s="1354"/>
      <c r="EK12" s="1354"/>
      <c r="EL12" s="1354"/>
      <c r="EM12" s="1354"/>
      <c r="EN12" s="1354"/>
      <c r="EO12" s="1354"/>
      <c r="EP12" s="1354"/>
      <c r="EQ12" s="415"/>
      <c r="ER12" s="412"/>
      <c r="ES12" s="1370"/>
      <c r="ET12" s="1371"/>
      <c r="EU12" s="1371"/>
      <c r="EV12" s="1371"/>
      <c r="EW12" s="1371"/>
      <c r="EX12" s="1371"/>
      <c r="EY12" s="1371"/>
      <c r="EZ12" s="1371"/>
      <c r="FA12" s="1371"/>
      <c r="FB12" s="1371"/>
      <c r="FC12" s="1371"/>
      <c r="FD12" s="1371"/>
      <c r="FE12" s="1371"/>
      <c r="FF12" s="1371"/>
      <c r="FG12" s="1371"/>
      <c r="FH12" s="1371"/>
      <c r="FI12" s="1371"/>
      <c r="FJ12" s="1371"/>
      <c r="FK12" s="1371"/>
      <c r="FL12" s="1371"/>
      <c r="FM12" s="1371"/>
      <c r="FN12" s="1371"/>
      <c r="FO12" s="1371"/>
      <c r="FP12" s="1371"/>
      <c r="FQ12" s="1371"/>
      <c r="FR12" s="1371"/>
      <c r="FS12" s="1371"/>
      <c r="FT12" s="1371"/>
      <c r="FU12" s="1371"/>
      <c r="FV12" s="1371"/>
      <c r="FW12" s="1371"/>
      <c r="FX12" s="1371"/>
      <c r="FY12" s="1371"/>
      <c r="FZ12" s="1372"/>
      <c r="GA12" s="424"/>
      <c r="GB12" s="424"/>
      <c r="GC12" s="1370"/>
      <c r="GD12" s="1371"/>
      <c r="GE12" s="1371"/>
      <c r="GF12" s="1371"/>
      <c r="GG12" s="1371"/>
      <c r="GH12" s="1371"/>
      <c r="GI12" s="1371"/>
      <c r="GJ12" s="1371"/>
      <c r="GK12" s="1371"/>
      <c r="GL12" s="1371"/>
      <c r="GM12" s="1371"/>
      <c r="GN12" s="1371"/>
      <c r="GO12" s="1371"/>
      <c r="GP12" s="1371"/>
      <c r="GQ12" s="1371"/>
      <c r="GR12" s="1371"/>
      <c r="GS12" s="1371"/>
      <c r="GT12" s="1371"/>
      <c r="GU12" s="1371"/>
      <c r="GV12" s="1371"/>
      <c r="GW12" s="1371"/>
      <c r="GX12" s="1371"/>
      <c r="GY12" s="1371"/>
      <c r="GZ12" s="1371"/>
      <c r="HA12" s="1371"/>
      <c r="HB12" s="1371"/>
      <c r="HC12" s="1371"/>
      <c r="HD12" s="1371"/>
      <c r="HE12" s="1371"/>
      <c r="HF12" s="1371"/>
      <c r="HG12" s="1371"/>
      <c r="HH12" s="1371"/>
      <c r="HI12" s="1371"/>
      <c r="HJ12" s="1372"/>
      <c r="HL12" s="415"/>
    </row>
    <row r="13" spans="2:220" ht="7.5" customHeight="1">
      <c r="B13" s="412"/>
      <c r="C13" s="1396"/>
      <c r="D13" s="1385"/>
      <c r="E13" s="1385"/>
      <c r="F13" s="1385"/>
      <c r="G13" s="1385"/>
      <c r="H13" s="1385"/>
      <c r="I13" s="1385"/>
      <c r="J13" s="1385"/>
      <c r="K13" s="1403"/>
      <c r="M13" s="1396"/>
      <c r="N13" s="1385"/>
      <c r="O13" s="1385"/>
      <c r="P13" s="1385"/>
      <c r="Q13" s="1385"/>
      <c r="R13" s="1385"/>
      <c r="S13" s="1403"/>
      <c r="T13" s="422"/>
      <c r="U13" s="1419"/>
      <c r="V13" s="1420"/>
      <c r="W13" s="1420"/>
      <c r="X13" s="1420"/>
      <c r="Y13" s="1420"/>
      <c r="Z13" s="1420"/>
      <c r="AA13" s="1420"/>
      <c r="AB13" s="1420"/>
      <c r="AC13" s="1420"/>
      <c r="AD13" s="1420"/>
      <c r="AE13" s="1420"/>
      <c r="AF13" s="1420"/>
      <c r="AG13" s="1420"/>
      <c r="AH13" s="1420"/>
      <c r="AI13" s="1420"/>
      <c r="AJ13" s="1420"/>
      <c r="AK13" s="1420"/>
      <c r="AL13" s="1420"/>
      <c r="AM13" s="1420"/>
      <c r="AN13" s="1420"/>
      <c r="AO13" s="1420"/>
      <c r="AP13" s="1420"/>
      <c r="AQ13" s="1420"/>
      <c r="AR13" s="1420"/>
      <c r="AS13" s="1421"/>
      <c r="AV13" s="1351"/>
      <c r="AW13" s="1351"/>
      <c r="AX13" s="1351"/>
      <c r="AY13" s="1351"/>
      <c r="AZ13" s="1351"/>
      <c r="BA13" s="1351"/>
      <c r="BB13" s="1351"/>
      <c r="BC13" s="1351"/>
      <c r="BD13" s="1351"/>
      <c r="BE13" s="1351"/>
      <c r="BF13" s="1351"/>
      <c r="BG13" s="1351"/>
      <c r="BH13" s="1351"/>
      <c r="BI13" s="1351"/>
      <c r="BL13" s="1361"/>
      <c r="BM13" s="1362"/>
      <c r="BN13" s="1362"/>
      <c r="BO13" s="1362"/>
      <c r="BP13" s="1362"/>
      <c r="BQ13" s="1362"/>
      <c r="BR13" s="1362"/>
      <c r="BS13" s="1362"/>
      <c r="BT13" s="1363"/>
      <c r="BV13" s="415"/>
      <c r="BW13" s="412"/>
      <c r="BX13" s="1425"/>
      <c r="BY13" s="1425"/>
      <c r="BZ13" s="1425"/>
      <c r="CA13" s="1425"/>
      <c r="CB13" s="1425"/>
      <c r="CC13" s="1425"/>
      <c r="CD13" s="1425"/>
      <c r="CE13" s="1425"/>
      <c r="CF13" s="1425"/>
      <c r="CG13" s="1425"/>
      <c r="CH13" s="1425"/>
      <c r="CI13" s="1425"/>
      <c r="CJ13" s="1425"/>
      <c r="CK13" s="1425"/>
      <c r="CL13" s="1425"/>
      <c r="CM13" s="1425"/>
      <c r="CN13" s="1425"/>
      <c r="CO13" s="1425"/>
      <c r="CP13" s="1425"/>
      <c r="CQ13" s="1425"/>
      <c r="CR13" s="1425"/>
      <c r="CS13" s="1425"/>
      <c r="CT13" s="1425"/>
      <c r="CU13" s="1425"/>
      <c r="CV13" s="1425"/>
      <c r="CW13" s="1425"/>
      <c r="CX13" s="1425"/>
      <c r="CY13" s="1425"/>
      <c r="CZ13" s="1425"/>
      <c r="DA13" s="1425"/>
      <c r="DB13" s="1425"/>
      <c r="DC13" s="1425"/>
      <c r="DD13" s="1425"/>
      <c r="DE13" s="1425"/>
      <c r="DF13" s="1425"/>
      <c r="DG13" s="1354"/>
      <c r="DH13" s="1354"/>
      <c r="DI13" s="1354"/>
      <c r="DJ13" s="1354"/>
      <c r="DK13" s="1354"/>
      <c r="DL13" s="1354"/>
      <c r="DM13" s="1354"/>
      <c r="DN13" s="1354"/>
      <c r="DO13" s="1354"/>
      <c r="DP13" s="1354"/>
      <c r="DQ13" s="1354"/>
      <c r="DR13" s="1354"/>
      <c r="DS13" s="1354"/>
      <c r="DT13" s="1354"/>
      <c r="DU13" s="1354"/>
      <c r="DV13" s="1354"/>
      <c r="DW13" s="1354"/>
      <c r="DX13" s="1354"/>
      <c r="DY13" s="1354"/>
      <c r="DZ13" s="1354"/>
      <c r="EA13" s="1354"/>
      <c r="EB13" s="1354"/>
      <c r="EC13" s="1354"/>
      <c r="ED13" s="1354"/>
      <c r="EE13" s="1354"/>
      <c r="EF13" s="1354"/>
      <c r="EG13" s="1354"/>
      <c r="EH13" s="1354"/>
      <c r="EI13" s="1354"/>
      <c r="EJ13" s="1354"/>
      <c r="EK13" s="1354"/>
      <c r="EL13" s="1354"/>
      <c r="EM13" s="1354"/>
      <c r="EN13" s="1354"/>
      <c r="EO13" s="1354"/>
      <c r="EP13" s="1354"/>
      <c r="EQ13" s="415"/>
      <c r="ER13" s="412"/>
      <c r="ES13" s="1370"/>
      <c r="ET13" s="1371"/>
      <c r="EU13" s="1371"/>
      <c r="EV13" s="1371"/>
      <c r="EW13" s="1371"/>
      <c r="EX13" s="1371"/>
      <c r="EY13" s="1371"/>
      <c r="EZ13" s="1371"/>
      <c r="FA13" s="1371"/>
      <c r="FB13" s="1371"/>
      <c r="FC13" s="1371"/>
      <c r="FD13" s="1371"/>
      <c r="FE13" s="1371"/>
      <c r="FF13" s="1371"/>
      <c r="FG13" s="1371"/>
      <c r="FH13" s="1371"/>
      <c r="FI13" s="1371"/>
      <c r="FJ13" s="1371"/>
      <c r="FK13" s="1371"/>
      <c r="FL13" s="1371"/>
      <c r="FM13" s="1371"/>
      <c r="FN13" s="1371"/>
      <c r="FO13" s="1371"/>
      <c r="FP13" s="1371"/>
      <c r="FQ13" s="1371"/>
      <c r="FR13" s="1371"/>
      <c r="FS13" s="1371"/>
      <c r="FT13" s="1371"/>
      <c r="FU13" s="1371"/>
      <c r="FV13" s="1371"/>
      <c r="FW13" s="1371"/>
      <c r="FX13" s="1371"/>
      <c r="FY13" s="1371"/>
      <c r="FZ13" s="1372"/>
      <c r="GA13" s="424"/>
      <c r="GB13" s="424"/>
      <c r="GC13" s="1370"/>
      <c r="GD13" s="1371"/>
      <c r="GE13" s="1371"/>
      <c r="GF13" s="1371"/>
      <c r="GG13" s="1371"/>
      <c r="GH13" s="1371"/>
      <c r="GI13" s="1371"/>
      <c r="GJ13" s="1371"/>
      <c r="GK13" s="1371"/>
      <c r="GL13" s="1371"/>
      <c r="GM13" s="1371"/>
      <c r="GN13" s="1371"/>
      <c r="GO13" s="1371"/>
      <c r="GP13" s="1371"/>
      <c r="GQ13" s="1371"/>
      <c r="GR13" s="1371"/>
      <c r="GS13" s="1371"/>
      <c r="GT13" s="1371"/>
      <c r="GU13" s="1371"/>
      <c r="GV13" s="1371"/>
      <c r="GW13" s="1371"/>
      <c r="GX13" s="1371"/>
      <c r="GY13" s="1371"/>
      <c r="GZ13" s="1371"/>
      <c r="HA13" s="1371"/>
      <c r="HB13" s="1371"/>
      <c r="HC13" s="1371"/>
      <c r="HD13" s="1371"/>
      <c r="HE13" s="1371"/>
      <c r="HF13" s="1371"/>
      <c r="HG13" s="1371"/>
      <c r="HH13" s="1371"/>
      <c r="HI13" s="1371"/>
      <c r="HJ13" s="1372"/>
      <c r="HL13" s="415"/>
    </row>
    <row r="14" spans="2:220" ht="7.5" customHeight="1">
      <c r="B14" s="412"/>
      <c r="C14" s="422"/>
      <c r="D14" s="422"/>
      <c r="E14" s="422"/>
      <c r="F14" s="422"/>
      <c r="H14" s="422"/>
      <c r="I14" s="422"/>
      <c r="J14" s="422"/>
      <c r="K14" s="422"/>
      <c r="L14" s="422"/>
      <c r="M14" s="422"/>
      <c r="N14" s="422"/>
      <c r="O14" s="422"/>
      <c r="P14" s="422"/>
      <c r="Q14" s="422"/>
      <c r="R14" s="422"/>
      <c r="S14" s="422"/>
      <c r="T14" s="422"/>
      <c r="U14" s="422"/>
      <c r="V14" s="422"/>
      <c r="W14" s="422"/>
      <c r="X14" s="422"/>
      <c r="Y14" s="422"/>
      <c r="Z14" s="422"/>
      <c r="AA14" s="422"/>
      <c r="AB14" s="422"/>
      <c r="AC14" s="422"/>
      <c r="AD14" s="422"/>
      <c r="AE14" s="422"/>
      <c r="AF14" s="422"/>
      <c r="BV14" s="415"/>
      <c r="BW14" s="412"/>
      <c r="BX14" s="1425"/>
      <c r="BY14" s="1425"/>
      <c r="BZ14" s="1425"/>
      <c r="CA14" s="1425"/>
      <c r="CB14" s="1425"/>
      <c r="CC14" s="1425"/>
      <c r="CD14" s="1425"/>
      <c r="CE14" s="1425"/>
      <c r="CF14" s="1425"/>
      <c r="CG14" s="1425"/>
      <c r="CH14" s="1425"/>
      <c r="CI14" s="1425"/>
      <c r="CJ14" s="1425"/>
      <c r="CK14" s="1425"/>
      <c r="CL14" s="1425"/>
      <c r="CM14" s="1425"/>
      <c r="CN14" s="1425"/>
      <c r="CO14" s="1425"/>
      <c r="CP14" s="1425"/>
      <c r="CQ14" s="1425"/>
      <c r="CR14" s="1425"/>
      <c r="CS14" s="1425"/>
      <c r="CT14" s="1425"/>
      <c r="CU14" s="1425"/>
      <c r="CV14" s="1425"/>
      <c r="CW14" s="1425"/>
      <c r="CX14" s="1425"/>
      <c r="CY14" s="1425"/>
      <c r="CZ14" s="1425"/>
      <c r="DA14" s="1425"/>
      <c r="DB14" s="1425"/>
      <c r="DC14" s="1425"/>
      <c r="DD14" s="1425"/>
      <c r="DE14" s="1425"/>
      <c r="DF14" s="1425"/>
      <c r="DG14" s="1354"/>
      <c r="DH14" s="1354"/>
      <c r="DI14" s="1354"/>
      <c r="DJ14" s="1354"/>
      <c r="DK14" s="1354"/>
      <c r="DL14" s="1354"/>
      <c r="DM14" s="1354"/>
      <c r="DN14" s="1354"/>
      <c r="DO14" s="1354"/>
      <c r="DP14" s="1354"/>
      <c r="DQ14" s="1354"/>
      <c r="DR14" s="1354"/>
      <c r="DS14" s="1354"/>
      <c r="DT14" s="1354"/>
      <c r="DU14" s="1354"/>
      <c r="DV14" s="1354"/>
      <c r="DW14" s="1354"/>
      <c r="DX14" s="1354"/>
      <c r="DY14" s="1354"/>
      <c r="DZ14" s="1354"/>
      <c r="EA14" s="1354"/>
      <c r="EB14" s="1354"/>
      <c r="EC14" s="1354"/>
      <c r="ED14" s="1354"/>
      <c r="EE14" s="1354"/>
      <c r="EF14" s="1354"/>
      <c r="EG14" s="1354"/>
      <c r="EH14" s="1354"/>
      <c r="EI14" s="1354"/>
      <c r="EJ14" s="1354"/>
      <c r="EK14" s="1354"/>
      <c r="EL14" s="1354"/>
      <c r="EM14" s="1354"/>
      <c r="EN14" s="1354"/>
      <c r="EO14" s="1354"/>
      <c r="EP14" s="1354"/>
      <c r="EQ14" s="415"/>
      <c r="ER14" s="412"/>
      <c r="ES14" s="1370"/>
      <c r="ET14" s="1371"/>
      <c r="EU14" s="1371"/>
      <c r="EV14" s="1371"/>
      <c r="EW14" s="1371"/>
      <c r="EX14" s="1371"/>
      <c r="EY14" s="1371"/>
      <c r="EZ14" s="1371"/>
      <c r="FA14" s="1371"/>
      <c r="FB14" s="1371"/>
      <c r="FC14" s="1371"/>
      <c r="FD14" s="1371"/>
      <c r="FE14" s="1371"/>
      <c r="FF14" s="1371"/>
      <c r="FG14" s="1371"/>
      <c r="FH14" s="1371"/>
      <c r="FI14" s="1371"/>
      <c r="FJ14" s="1371"/>
      <c r="FK14" s="1371"/>
      <c r="FL14" s="1371"/>
      <c r="FM14" s="1371"/>
      <c r="FN14" s="1371"/>
      <c r="FO14" s="1371"/>
      <c r="FP14" s="1371"/>
      <c r="FQ14" s="1371"/>
      <c r="FR14" s="1371"/>
      <c r="FS14" s="1371"/>
      <c r="FT14" s="1371"/>
      <c r="FU14" s="1371"/>
      <c r="FV14" s="1371"/>
      <c r="FW14" s="1371"/>
      <c r="FX14" s="1371"/>
      <c r="FY14" s="1371"/>
      <c r="FZ14" s="1372"/>
      <c r="GA14" s="424"/>
      <c r="GB14" s="424"/>
      <c r="GC14" s="1370"/>
      <c r="GD14" s="1371"/>
      <c r="GE14" s="1371"/>
      <c r="GF14" s="1371"/>
      <c r="GG14" s="1371"/>
      <c r="GH14" s="1371"/>
      <c r="GI14" s="1371"/>
      <c r="GJ14" s="1371"/>
      <c r="GK14" s="1371"/>
      <c r="GL14" s="1371"/>
      <c r="GM14" s="1371"/>
      <c r="GN14" s="1371"/>
      <c r="GO14" s="1371"/>
      <c r="GP14" s="1371"/>
      <c r="GQ14" s="1371"/>
      <c r="GR14" s="1371"/>
      <c r="GS14" s="1371"/>
      <c r="GT14" s="1371"/>
      <c r="GU14" s="1371"/>
      <c r="GV14" s="1371"/>
      <c r="GW14" s="1371"/>
      <c r="GX14" s="1371"/>
      <c r="GY14" s="1371"/>
      <c r="GZ14" s="1371"/>
      <c r="HA14" s="1371"/>
      <c r="HB14" s="1371"/>
      <c r="HC14" s="1371"/>
      <c r="HD14" s="1371"/>
      <c r="HE14" s="1371"/>
      <c r="HF14" s="1371"/>
      <c r="HG14" s="1371"/>
      <c r="HH14" s="1371"/>
      <c r="HI14" s="1371"/>
      <c r="HJ14" s="1372"/>
      <c r="HL14" s="415"/>
    </row>
    <row r="15" spans="2:220" ht="7.5" customHeight="1">
      <c r="B15" s="412"/>
      <c r="Q15" s="422"/>
      <c r="R15" s="422"/>
      <c r="S15" s="422"/>
      <c r="T15" s="422"/>
      <c r="U15" s="422"/>
      <c r="V15" s="422"/>
      <c r="W15" s="422"/>
      <c r="X15" s="422"/>
      <c r="Y15" s="422"/>
      <c r="Z15" s="422"/>
      <c r="AA15" s="422"/>
      <c r="AB15" s="422"/>
      <c r="AC15" s="422"/>
      <c r="AD15" s="422"/>
      <c r="AE15" s="422"/>
      <c r="AF15" s="422"/>
      <c r="BV15" s="415"/>
      <c r="BW15" s="412"/>
      <c r="BX15" s="1425"/>
      <c r="BY15" s="1425"/>
      <c r="BZ15" s="1425"/>
      <c r="CA15" s="1425"/>
      <c r="CB15" s="1425"/>
      <c r="CC15" s="1425"/>
      <c r="CD15" s="1425"/>
      <c r="CE15" s="1425"/>
      <c r="CF15" s="1425"/>
      <c r="CG15" s="1425"/>
      <c r="CH15" s="1425"/>
      <c r="CI15" s="1425"/>
      <c r="CJ15" s="1425"/>
      <c r="CK15" s="1425"/>
      <c r="CL15" s="1425"/>
      <c r="CM15" s="1425"/>
      <c r="CN15" s="1425"/>
      <c r="CO15" s="1425"/>
      <c r="CP15" s="1425"/>
      <c r="CQ15" s="1425"/>
      <c r="CR15" s="1425"/>
      <c r="CS15" s="1425"/>
      <c r="CT15" s="1425"/>
      <c r="CU15" s="1425"/>
      <c r="CV15" s="1425"/>
      <c r="CW15" s="1425"/>
      <c r="CX15" s="1425"/>
      <c r="CY15" s="1425"/>
      <c r="CZ15" s="1425"/>
      <c r="DA15" s="1425"/>
      <c r="DB15" s="1425"/>
      <c r="DC15" s="1425"/>
      <c r="DD15" s="1425"/>
      <c r="DE15" s="1425"/>
      <c r="DF15" s="1425"/>
      <c r="DG15" s="1354"/>
      <c r="DH15" s="1354"/>
      <c r="DI15" s="1354"/>
      <c r="DJ15" s="1354"/>
      <c r="DK15" s="1354"/>
      <c r="DL15" s="1354"/>
      <c r="DM15" s="1354"/>
      <c r="DN15" s="1354"/>
      <c r="DO15" s="1354"/>
      <c r="DP15" s="1354"/>
      <c r="DQ15" s="1354"/>
      <c r="DR15" s="1354"/>
      <c r="DS15" s="1354"/>
      <c r="DT15" s="1354"/>
      <c r="DU15" s="1354"/>
      <c r="DV15" s="1354"/>
      <c r="DW15" s="1354"/>
      <c r="DX15" s="1354"/>
      <c r="DY15" s="1354"/>
      <c r="DZ15" s="1354"/>
      <c r="EA15" s="1354"/>
      <c r="EB15" s="1354"/>
      <c r="EC15" s="1354"/>
      <c r="ED15" s="1354"/>
      <c r="EE15" s="1354"/>
      <c r="EF15" s="1354"/>
      <c r="EG15" s="1354"/>
      <c r="EH15" s="1354"/>
      <c r="EI15" s="1354"/>
      <c r="EJ15" s="1354"/>
      <c r="EK15" s="1354"/>
      <c r="EL15" s="1354"/>
      <c r="EM15" s="1354"/>
      <c r="EN15" s="1354"/>
      <c r="EO15" s="1354"/>
      <c r="EP15" s="1354"/>
      <c r="EQ15" s="415"/>
      <c r="ER15" s="412"/>
      <c r="ES15" s="1370"/>
      <c r="ET15" s="1371"/>
      <c r="EU15" s="1371"/>
      <c r="EV15" s="1371"/>
      <c r="EW15" s="1371"/>
      <c r="EX15" s="1371"/>
      <c r="EY15" s="1371"/>
      <c r="EZ15" s="1371"/>
      <c r="FA15" s="1371"/>
      <c r="FB15" s="1371"/>
      <c r="FC15" s="1371"/>
      <c r="FD15" s="1371"/>
      <c r="FE15" s="1371"/>
      <c r="FF15" s="1371"/>
      <c r="FG15" s="1371"/>
      <c r="FH15" s="1371"/>
      <c r="FI15" s="1371"/>
      <c r="FJ15" s="1371"/>
      <c r="FK15" s="1371"/>
      <c r="FL15" s="1371"/>
      <c r="FM15" s="1371"/>
      <c r="FN15" s="1371"/>
      <c r="FO15" s="1371"/>
      <c r="FP15" s="1371"/>
      <c r="FQ15" s="1371"/>
      <c r="FR15" s="1371"/>
      <c r="FS15" s="1371"/>
      <c r="FT15" s="1371"/>
      <c r="FU15" s="1371"/>
      <c r="FV15" s="1371"/>
      <c r="FW15" s="1371"/>
      <c r="FX15" s="1371"/>
      <c r="FY15" s="1371"/>
      <c r="FZ15" s="1372"/>
      <c r="GA15" s="424"/>
      <c r="GB15" s="424"/>
      <c r="GC15" s="1370"/>
      <c r="GD15" s="1371"/>
      <c r="GE15" s="1371"/>
      <c r="GF15" s="1371"/>
      <c r="GG15" s="1371"/>
      <c r="GH15" s="1371"/>
      <c r="GI15" s="1371"/>
      <c r="GJ15" s="1371"/>
      <c r="GK15" s="1371"/>
      <c r="GL15" s="1371"/>
      <c r="GM15" s="1371"/>
      <c r="GN15" s="1371"/>
      <c r="GO15" s="1371"/>
      <c r="GP15" s="1371"/>
      <c r="GQ15" s="1371"/>
      <c r="GR15" s="1371"/>
      <c r="GS15" s="1371"/>
      <c r="GT15" s="1371"/>
      <c r="GU15" s="1371"/>
      <c r="GV15" s="1371"/>
      <c r="GW15" s="1371"/>
      <c r="GX15" s="1371"/>
      <c r="GY15" s="1371"/>
      <c r="GZ15" s="1371"/>
      <c r="HA15" s="1371"/>
      <c r="HB15" s="1371"/>
      <c r="HC15" s="1371"/>
      <c r="HD15" s="1371"/>
      <c r="HE15" s="1371"/>
      <c r="HF15" s="1371"/>
      <c r="HG15" s="1371"/>
      <c r="HH15" s="1371"/>
      <c r="HI15" s="1371"/>
      <c r="HJ15" s="1372"/>
      <c r="HL15" s="415"/>
    </row>
    <row r="16" spans="2:220" ht="7.5" customHeight="1">
      <c r="B16" s="412"/>
      <c r="C16" s="1383" t="s">
        <v>7389</v>
      </c>
      <c r="D16" s="1384"/>
      <c r="E16" s="1384"/>
      <c r="F16" s="1384"/>
      <c r="G16" s="1384"/>
      <c r="H16" s="1384"/>
      <c r="I16" s="1384"/>
      <c r="K16" s="1386"/>
      <c r="L16" s="1387"/>
      <c r="M16" s="1388"/>
      <c r="N16" s="1392" t="s">
        <v>7390</v>
      </c>
      <c r="O16" s="1393"/>
      <c r="P16" s="1393"/>
      <c r="Q16" s="1393"/>
      <c r="R16" s="1393"/>
      <c r="S16" s="1393"/>
      <c r="T16" s="1393"/>
      <c r="U16" s="1393"/>
      <c r="V16" s="1393"/>
      <c r="W16" s="1393"/>
      <c r="X16" s="422"/>
      <c r="Y16" s="1394" t="s">
        <v>5642</v>
      </c>
      <c r="Z16" s="1395"/>
      <c r="AA16" s="1395"/>
      <c r="AB16" s="1395"/>
      <c r="AC16" s="1397" t="s">
        <v>7391</v>
      </c>
      <c r="AD16" s="1395"/>
      <c r="AE16" s="1395"/>
      <c r="AF16" s="1395"/>
      <c r="AG16" s="1395"/>
      <c r="AH16" s="1395"/>
      <c r="AI16" s="1398"/>
      <c r="AJ16" s="1401" t="s">
        <v>6238</v>
      </c>
      <c r="AK16" s="1395"/>
      <c r="AL16" s="1395"/>
      <c r="AM16" s="1395"/>
      <c r="AN16" s="1402"/>
      <c r="AO16" s="419"/>
      <c r="AP16" s="1426" t="s">
        <v>7392</v>
      </c>
      <c r="AQ16" s="1384"/>
      <c r="AR16" s="1384"/>
      <c r="AS16" s="1384"/>
      <c r="AT16" s="1384"/>
      <c r="AU16" s="1384"/>
      <c r="AV16" s="1384"/>
      <c r="AW16" s="1384"/>
      <c r="AX16" s="1384"/>
      <c r="AY16" s="1384"/>
      <c r="AZ16" s="1384"/>
      <c r="BA16" s="1384"/>
      <c r="BB16" s="1384"/>
      <c r="BC16" s="1384"/>
      <c r="BD16" s="1384"/>
      <c r="BE16" s="1384"/>
      <c r="BF16" s="1384"/>
      <c r="BG16" s="1384"/>
      <c r="BH16" s="1384"/>
      <c r="BI16" s="1384"/>
      <c r="BJ16" s="1384"/>
      <c r="BK16" s="1384"/>
      <c r="BL16" s="1384"/>
      <c r="BM16" s="1384"/>
      <c r="BN16" s="1384"/>
      <c r="BO16" s="1384"/>
      <c r="BP16" s="1384"/>
      <c r="BQ16" s="1384"/>
      <c r="BR16" s="1384"/>
      <c r="BS16" s="1384"/>
      <c r="BT16" s="1384"/>
      <c r="BU16" s="1384"/>
      <c r="BV16" s="415"/>
      <c r="BW16" s="412"/>
      <c r="BX16" s="1425"/>
      <c r="BY16" s="1425"/>
      <c r="BZ16" s="1425"/>
      <c r="CA16" s="1425"/>
      <c r="CB16" s="1425"/>
      <c r="CC16" s="1425"/>
      <c r="CD16" s="1425"/>
      <c r="CE16" s="1425"/>
      <c r="CF16" s="1425"/>
      <c r="CG16" s="1425"/>
      <c r="CH16" s="1425"/>
      <c r="CI16" s="1425"/>
      <c r="CJ16" s="1425"/>
      <c r="CK16" s="1425"/>
      <c r="CL16" s="1425"/>
      <c r="CM16" s="1425"/>
      <c r="CN16" s="1425"/>
      <c r="CO16" s="1425"/>
      <c r="CP16" s="1425"/>
      <c r="CQ16" s="1425"/>
      <c r="CR16" s="1425"/>
      <c r="CS16" s="1425"/>
      <c r="CT16" s="1425"/>
      <c r="CU16" s="1425"/>
      <c r="CV16" s="1425"/>
      <c r="CW16" s="1425"/>
      <c r="CX16" s="1425"/>
      <c r="CY16" s="1425"/>
      <c r="CZ16" s="1425"/>
      <c r="DA16" s="1425"/>
      <c r="DB16" s="1425"/>
      <c r="DC16" s="1425"/>
      <c r="DD16" s="1425"/>
      <c r="DE16" s="1425"/>
      <c r="DF16" s="1425"/>
      <c r="DG16" s="1354"/>
      <c r="DH16" s="1354"/>
      <c r="DI16" s="1354"/>
      <c r="DJ16" s="1354"/>
      <c r="DK16" s="1354"/>
      <c r="DL16" s="1354"/>
      <c r="DM16" s="1354"/>
      <c r="DN16" s="1354"/>
      <c r="DO16" s="1354"/>
      <c r="DP16" s="1354"/>
      <c r="DQ16" s="1354"/>
      <c r="DR16" s="1354"/>
      <c r="DS16" s="1354"/>
      <c r="DT16" s="1354"/>
      <c r="DU16" s="1354"/>
      <c r="DV16" s="1354"/>
      <c r="DW16" s="1354"/>
      <c r="DX16" s="1354"/>
      <c r="DY16" s="1354"/>
      <c r="DZ16" s="1354"/>
      <c r="EA16" s="1354"/>
      <c r="EB16" s="1354"/>
      <c r="EC16" s="1354"/>
      <c r="ED16" s="1354"/>
      <c r="EE16" s="1354"/>
      <c r="EF16" s="1354"/>
      <c r="EG16" s="1354"/>
      <c r="EH16" s="1354"/>
      <c r="EI16" s="1354"/>
      <c r="EJ16" s="1354"/>
      <c r="EK16" s="1354"/>
      <c r="EL16" s="1354"/>
      <c r="EM16" s="1354"/>
      <c r="EN16" s="1354"/>
      <c r="EO16" s="1354"/>
      <c r="EP16" s="1354"/>
      <c r="EQ16" s="415"/>
      <c r="ER16" s="412"/>
      <c r="ES16" s="1373"/>
      <c r="ET16" s="1374"/>
      <c r="EU16" s="1374"/>
      <c r="EV16" s="1374"/>
      <c r="EW16" s="1374"/>
      <c r="EX16" s="1374"/>
      <c r="EY16" s="1374"/>
      <c r="EZ16" s="1374"/>
      <c r="FA16" s="1374"/>
      <c r="FB16" s="1374"/>
      <c r="FC16" s="1374"/>
      <c r="FD16" s="1374"/>
      <c r="FE16" s="1374"/>
      <c r="FF16" s="1374"/>
      <c r="FG16" s="1374"/>
      <c r="FH16" s="1374"/>
      <c r="FI16" s="1374"/>
      <c r="FJ16" s="1374"/>
      <c r="FK16" s="1374"/>
      <c r="FL16" s="1374"/>
      <c r="FM16" s="1374"/>
      <c r="FN16" s="1374"/>
      <c r="FO16" s="1374"/>
      <c r="FP16" s="1374"/>
      <c r="FQ16" s="1374"/>
      <c r="FR16" s="1374"/>
      <c r="FS16" s="1374"/>
      <c r="FT16" s="1374"/>
      <c r="FU16" s="1374"/>
      <c r="FV16" s="1374"/>
      <c r="FW16" s="1374"/>
      <c r="FX16" s="1374"/>
      <c r="FY16" s="1374"/>
      <c r="FZ16" s="1375"/>
      <c r="GA16" s="424"/>
      <c r="GB16" s="424"/>
      <c r="GC16" s="1373"/>
      <c r="GD16" s="1374"/>
      <c r="GE16" s="1374"/>
      <c r="GF16" s="1374"/>
      <c r="GG16" s="1374"/>
      <c r="GH16" s="1374"/>
      <c r="GI16" s="1374"/>
      <c r="GJ16" s="1374"/>
      <c r="GK16" s="1374"/>
      <c r="GL16" s="1374"/>
      <c r="GM16" s="1374"/>
      <c r="GN16" s="1374"/>
      <c r="GO16" s="1374"/>
      <c r="GP16" s="1374"/>
      <c r="GQ16" s="1374"/>
      <c r="GR16" s="1374"/>
      <c r="GS16" s="1374"/>
      <c r="GT16" s="1374"/>
      <c r="GU16" s="1374"/>
      <c r="GV16" s="1374"/>
      <c r="GW16" s="1374"/>
      <c r="GX16" s="1374"/>
      <c r="GY16" s="1374"/>
      <c r="GZ16" s="1374"/>
      <c r="HA16" s="1374"/>
      <c r="HB16" s="1374"/>
      <c r="HC16" s="1374"/>
      <c r="HD16" s="1374"/>
      <c r="HE16" s="1374"/>
      <c r="HF16" s="1374"/>
      <c r="HG16" s="1374"/>
      <c r="HH16" s="1374"/>
      <c r="HI16" s="1374"/>
      <c r="HJ16" s="1375"/>
      <c r="HL16" s="415"/>
    </row>
    <row r="17" spans="2:220" ht="7.5" customHeight="1">
      <c r="B17" s="412"/>
      <c r="C17" s="1385"/>
      <c r="D17" s="1385"/>
      <c r="E17" s="1385"/>
      <c r="F17" s="1385"/>
      <c r="G17" s="1385"/>
      <c r="H17" s="1385"/>
      <c r="I17" s="1385"/>
      <c r="K17" s="1389"/>
      <c r="L17" s="1390"/>
      <c r="M17" s="1391"/>
      <c r="N17" s="1392"/>
      <c r="O17" s="1393"/>
      <c r="P17" s="1393"/>
      <c r="Q17" s="1393"/>
      <c r="R17" s="1393"/>
      <c r="S17" s="1393"/>
      <c r="T17" s="1393"/>
      <c r="U17" s="1393"/>
      <c r="V17" s="1393"/>
      <c r="W17" s="1393"/>
      <c r="X17" s="422"/>
      <c r="Y17" s="1396"/>
      <c r="Z17" s="1385"/>
      <c r="AA17" s="1385"/>
      <c r="AB17" s="1385"/>
      <c r="AC17" s="1399"/>
      <c r="AD17" s="1385"/>
      <c r="AE17" s="1385"/>
      <c r="AF17" s="1385"/>
      <c r="AG17" s="1385"/>
      <c r="AH17" s="1385"/>
      <c r="AI17" s="1400"/>
      <c r="AJ17" s="1385"/>
      <c r="AK17" s="1385"/>
      <c r="AL17" s="1385"/>
      <c r="AM17" s="1385"/>
      <c r="AN17" s="1403"/>
      <c r="AO17" s="419"/>
      <c r="AP17" s="1411"/>
      <c r="AQ17" s="1384"/>
      <c r="AR17" s="1384"/>
      <c r="AS17" s="1384"/>
      <c r="AT17" s="1384"/>
      <c r="AU17" s="1384"/>
      <c r="AV17" s="1384"/>
      <c r="AW17" s="1384"/>
      <c r="AX17" s="1384"/>
      <c r="AY17" s="1384"/>
      <c r="AZ17" s="1384"/>
      <c r="BA17" s="1384"/>
      <c r="BB17" s="1384"/>
      <c r="BC17" s="1384"/>
      <c r="BD17" s="1384"/>
      <c r="BE17" s="1384"/>
      <c r="BF17" s="1384"/>
      <c r="BG17" s="1384"/>
      <c r="BH17" s="1384"/>
      <c r="BI17" s="1384"/>
      <c r="BJ17" s="1384"/>
      <c r="BK17" s="1384"/>
      <c r="BL17" s="1384"/>
      <c r="BM17" s="1384"/>
      <c r="BN17" s="1384"/>
      <c r="BO17" s="1384"/>
      <c r="BP17" s="1384"/>
      <c r="BQ17" s="1384"/>
      <c r="BR17" s="1384"/>
      <c r="BS17" s="1384"/>
      <c r="BT17" s="1384"/>
      <c r="BU17" s="1384"/>
      <c r="BV17" s="415"/>
      <c r="BW17" s="412"/>
      <c r="BX17" s="1425"/>
      <c r="BY17" s="1425"/>
      <c r="BZ17" s="1425"/>
      <c r="CA17" s="1425"/>
      <c r="CB17" s="1425"/>
      <c r="CC17" s="1425"/>
      <c r="CD17" s="1425"/>
      <c r="CE17" s="1425"/>
      <c r="CF17" s="1425"/>
      <c r="CG17" s="1425"/>
      <c r="CH17" s="1425"/>
      <c r="CI17" s="1425"/>
      <c r="CJ17" s="1425"/>
      <c r="CK17" s="1425"/>
      <c r="CL17" s="1425"/>
      <c r="CM17" s="1425"/>
      <c r="CN17" s="1425"/>
      <c r="CO17" s="1425"/>
      <c r="CP17" s="1425"/>
      <c r="CQ17" s="1425"/>
      <c r="CR17" s="1425"/>
      <c r="CS17" s="1425"/>
      <c r="CT17" s="1425"/>
      <c r="CU17" s="1425"/>
      <c r="CV17" s="1425"/>
      <c r="CW17" s="1425"/>
      <c r="CX17" s="1425"/>
      <c r="CY17" s="1425"/>
      <c r="CZ17" s="1425"/>
      <c r="DA17" s="1425"/>
      <c r="DB17" s="1425"/>
      <c r="DC17" s="1425"/>
      <c r="DD17" s="1425"/>
      <c r="DE17" s="1425"/>
      <c r="DF17" s="1425"/>
      <c r="DG17" s="1354"/>
      <c r="DH17" s="1354"/>
      <c r="DI17" s="1354"/>
      <c r="DJ17" s="1354"/>
      <c r="DK17" s="1354"/>
      <c r="DL17" s="1354"/>
      <c r="DM17" s="1354"/>
      <c r="DN17" s="1354"/>
      <c r="DO17" s="1354"/>
      <c r="DP17" s="1354"/>
      <c r="DQ17" s="1354"/>
      <c r="DR17" s="1354"/>
      <c r="DS17" s="1354"/>
      <c r="DT17" s="1354"/>
      <c r="DU17" s="1354"/>
      <c r="DV17" s="1354"/>
      <c r="DW17" s="1354"/>
      <c r="DX17" s="1354"/>
      <c r="DY17" s="1354"/>
      <c r="DZ17" s="1354"/>
      <c r="EA17" s="1354"/>
      <c r="EB17" s="1354"/>
      <c r="EC17" s="1354"/>
      <c r="ED17" s="1354"/>
      <c r="EE17" s="1354"/>
      <c r="EF17" s="1354"/>
      <c r="EG17" s="1354"/>
      <c r="EH17" s="1354"/>
      <c r="EI17" s="1354"/>
      <c r="EJ17" s="1354"/>
      <c r="EK17" s="1354"/>
      <c r="EL17" s="1354"/>
      <c r="EM17" s="1354"/>
      <c r="EN17" s="1354"/>
      <c r="EO17" s="1354"/>
      <c r="EP17" s="1354"/>
      <c r="EQ17" s="415"/>
      <c r="ER17" s="412"/>
      <c r="ES17" s="425"/>
      <c r="ET17" s="425"/>
      <c r="EU17" s="425"/>
      <c r="EV17" s="425"/>
      <c r="EW17" s="425"/>
      <c r="EX17" s="425"/>
      <c r="EY17" s="425"/>
      <c r="EZ17" s="425"/>
      <c r="FA17" s="425"/>
      <c r="FB17" s="425"/>
      <c r="FC17" s="425"/>
      <c r="FD17" s="425"/>
      <c r="FE17" s="425"/>
      <c r="FF17" s="425"/>
      <c r="FG17" s="425"/>
      <c r="FH17" s="425"/>
      <c r="FI17" s="425"/>
      <c r="FJ17" s="425"/>
      <c r="FK17" s="425"/>
      <c r="FL17" s="425"/>
      <c r="FM17" s="425"/>
      <c r="FN17" s="425"/>
      <c r="FO17" s="425"/>
      <c r="FP17" s="425"/>
      <c r="FQ17" s="425"/>
      <c r="FR17" s="425"/>
      <c r="FS17" s="425"/>
      <c r="FT17" s="425"/>
      <c r="FU17" s="425"/>
      <c r="FV17" s="425"/>
      <c r="FW17" s="425"/>
      <c r="FX17" s="425"/>
      <c r="FY17" s="425"/>
      <c r="FZ17" s="425"/>
      <c r="GA17" s="424"/>
      <c r="GB17" s="424"/>
      <c r="GC17" s="424"/>
      <c r="HL17" s="415"/>
    </row>
    <row r="18" spans="2:220" ht="7.5" customHeight="1">
      <c r="B18" s="412"/>
      <c r="C18" s="1473">
        <v>10</v>
      </c>
      <c r="D18" s="1395"/>
      <c r="E18" s="1395"/>
      <c r="F18" s="1395"/>
      <c r="G18" s="1395"/>
      <c r="H18" s="1395"/>
      <c r="I18" s="1402"/>
      <c r="X18" s="422"/>
      <c r="Y18" s="1474"/>
      <c r="Z18" s="1384"/>
      <c r="AA18" s="1384"/>
      <c r="AB18" s="1412"/>
      <c r="AC18" s="1475"/>
      <c r="AD18" s="1384"/>
      <c r="AE18" s="1384"/>
      <c r="AF18" s="1384"/>
      <c r="AG18" s="1384"/>
      <c r="AH18" s="1384"/>
      <c r="AI18" s="1412"/>
      <c r="AJ18" s="1476"/>
      <c r="AK18" s="1384"/>
      <c r="AL18" s="1384"/>
      <c r="AM18" s="1384"/>
      <c r="AN18" s="1412"/>
      <c r="AO18" s="421"/>
      <c r="AP18" s="1477" t="s">
        <v>7393</v>
      </c>
      <c r="AQ18" s="1384"/>
      <c r="AR18" s="1412"/>
      <c r="AS18" s="1478" t="e">
        <f>CONCATENATE(#REF!," Abilities")</f>
        <v>#REF!</v>
      </c>
      <c r="AT18" s="1384"/>
      <c r="AU18" s="1384"/>
      <c r="AV18" s="1384"/>
      <c r="AW18" s="1384"/>
      <c r="AX18" s="1384"/>
      <c r="AY18" s="1384"/>
      <c r="AZ18" s="1384"/>
      <c r="BA18" s="1384"/>
      <c r="BB18" s="1384"/>
      <c r="BC18" s="1384"/>
      <c r="BD18" s="1384"/>
      <c r="BE18" s="1384"/>
      <c r="BF18" s="1384"/>
      <c r="BG18" s="1384"/>
      <c r="BH18" s="1384"/>
      <c r="BI18" s="1384"/>
      <c r="BJ18" s="1384"/>
      <c r="BK18" s="1384"/>
      <c r="BL18" s="1384"/>
      <c r="BM18" s="1384"/>
      <c r="BN18" s="1384"/>
      <c r="BO18" s="1384"/>
      <c r="BP18" s="1384"/>
      <c r="BQ18" s="1384"/>
      <c r="BR18" s="1384"/>
      <c r="BS18" s="1384"/>
      <c r="BT18" s="1384"/>
      <c r="BU18" s="1412"/>
      <c r="BV18" s="415"/>
      <c r="BW18" s="412"/>
      <c r="BX18" s="1425"/>
      <c r="BY18" s="1425"/>
      <c r="BZ18" s="1425"/>
      <c r="CA18" s="1425"/>
      <c r="CB18" s="1425"/>
      <c r="CC18" s="1425"/>
      <c r="CD18" s="1425"/>
      <c r="CE18" s="1425"/>
      <c r="CF18" s="1425"/>
      <c r="CG18" s="1425"/>
      <c r="CH18" s="1425"/>
      <c r="CI18" s="1425"/>
      <c r="CJ18" s="1425"/>
      <c r="CK18" s="1425"/>
      <c r="CL18" s="1425"/>
      <c r="CM18" s="1425"/>
      <c r="CN18" s="1425"/>
      <c r="CO18" s="1425"/>
      <c r="CP18" s="1425"/>
      <c r="CQ18" s="1425"/>
      <c r="CR18" s="1425"/>
      <c r="CS18" s="1425"/>
      <c r="CT18" s="1425"/>
      <c r="CU18" s="1425"/>
      <c r="CV18" s="1425"/>
      <c r="CW18" s="1425"/>
      <c r="CX18" s="1425"/>
      <c r="CY18" s="1425"/>
      <c r="CZ18" s="1425"/>
      <c r="DA18" s="1425"/>
      <c r="DB18" s="1425"/>
      <c r="DC18" s="1425"/>
      <c r="DD18" s="1425"/>
      <c r="DE18" s="1425"/>
      <c r="DF18" s="1425"/>
      <c r="DG18" s="1354"/>
      <c r="DH18" s="1354"/>
      <c r="DI18" s="1354"/>
      <c r="DJ18" s="1354"/>
      <c r="DK18" s="1354"/>
      <c r="DL18" s="1354"/>
      <c r="DM18" s="1354"/>
      <c r="DN18" s="1354"/>
      <c r="DO18" s="1354"/>
      <c r="DP18" s="1354"/>
      <c r="DQ18" s="1354"/>
      <c r="DR18" s="1354"/>
      <c r="DS18" s="1354"/>
      <c r="DT18" s="1354"/>
      <c r="DU18" s="1354"/>
      <c r="DV18" s="1354"/>
      <c r="DW18" s="1354"/>
      <c r="DX18" s="1354"/>
      <c r="DY18" s="1354"/>
      <c r="DZ18" s="1354"/>
      <c r="EA18" s="1354"/>
      <c r="EB18" s="1354"/>
      <c r="EC18" s="1354"/>
      <c r="ED18" s="1354"/>
      <c r="EE18" s="1354"/>
      <c r="EF18" s="1354"/>
      <c r="EG18" s="1354"/>
      <c r="EH18" s="1354"/>
      <c r="EI18" s="1354"/>
      <c r="EJ18" s="1354"/>
      <c r="EK18" s="1354"/>
      <c r="EL18" s="1354"/>
      <c r="EM18" s="1354"/>
      <c r="EN18" s="1354"/>
      <c r="EO18" s="1354"/>
      <c r="EP18" s="1354"/>
      <c r="EQ18" s="415"/>
      <c r="ER18" s="412"/>
      <c r="ES18" s="425"/>
      <c r="ET18" s="425"/>
      <c r="EU18" s="426"/>
      <c r="EV18" s="426"/>
      <c r="EW18" s="426"/>
      <c r="EX18" s="426"/>
      <c r="EY18" s="426"/>
      <c r="EZ18" s="426"/>
      <c r="FA18" s="426"/>
      <c r="FB18" s="426"/>
      <c r="FC18" s="426"/>
      <c r="FD18" s="426"/>
      <c r="FE18" s="426"/>
      <c r="FF18" s="426"/>
      <c r="FG18" s="427"/>
      <c r="FH18" s="427"/>
      <c r="FI18" s="427"/>
      <c r="FJ18" s="427"/>
      <c r="FK18" s="427"/>
      <c r="FL18" s="427"/>
      <c r="FM18" s="427"/>
      <c r="FN18" s="427"/>
      <c r="FO18" s="427"/>
      <c r="FP18" s="427"/>
      <c r="FQ18" s="427"/>
      <c r="FR18" s="427"/>
      <c r="FS18" s="427"/>
      <c r="FT18" s="427"/>
      <c r="FU18" s="427"/>
      <c r="FV18" s="427"/>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L18" s="415"/>
    </row>
    <row r="19" spans="2:220" ht="7.5" customHeight="1">
      <c r="B19" s="412"/>
      <c r="C19" s="1411"/>
      <c r="D19" s="1384"/>
      <c r="E19" s="1384"/>
      <c r="F19" s="1384"/>
      <c r="G19" s="1384"/>
      <c r="H19" s="1384"/>
      <c r="I19" s="1412"/>
      <c r="K19" s="1383" t="s">
        <v>7394</v>
      </c>
      <c r="L19" s="1384"/>
      <c r="M19" s="1384"/>
      <c r="N19" s="1384"/>
      <c r="O19" s="1384"/>
      <c r="P19" s="1384"/>
      <c r="Q19" s="1384"/>
      <c r="R19" s="1384"/>
      <c r="S19" s="1384"/>
      <c r="T19" s="1384"/>
      <c r="U19" s="1384"/>
      <c r="V19" s="1384"/>
      <c r="W19" s="1384"/>
      <c r="X19" s="422"/>
      <c r="Y19" s="1396"/>
      <c r="Z19" s="1385"/>
      <c r="AA19" s="1385"/>
      <c r="AB19" s="1403"/>
      <c r="AC19" s="1396"/>
      <c r="AD19" s="1385"/>
      <c r="AE19" s="1385"/>
      <c r="AF19" s="1385"/>
      <c r="AG19" s="1385"/>
      <c r="AH19" s="1385"/>
      <c r="AI19" s="1403"/>
      <c r="AJ19" s="1396"/>
      <c r="AK19" s="1385"/>
      <c r="AL19" s="1385"/>
      <c r="AM19" s="1385"/>
      <c r="AN19" s="1403"/>
      <c r="AO19" s="421"/>
      <c r="AP19" s="1396"/>
      <c r="AQ19" s="1385"/>
      <c r="AR19" s="1403"/>
      <c r="AS19" s="1396"/>
      <c r="AT19" s="1385"/>
      <c r="AU19" s="1385"/>
      <c r="AV19" s="1385"/>
      <c r="AW19" s="1385"/>
      <c r="AX19" s="1385"/>
      <c r="AY19" s="1385"/>
      <c r="AZ19" s="1385"/>
      <c r="BA19" s="1385"/>
      <c r="BB19" s="1385"/>
      <c r="BC19" s="1385"/>
      <c r="BD19" s="1385"/>
      <c r="BE19" s="1385"/>
      <c r="BF19" s="1385"/>
      <c r="BG19" s="1385"/>
      <c r="BH19" s="1385"/>
      <c r="BI19" s="1385"/>
      <c r="BJ19" s="1385"/>
      <c r="BK19" s="1385"/>
      <c r="BL19" s="1385"/>
      <c r="BM19" s="1385"/>
      <c r="BN19" s="1385"/>
      <c r="BO19" s="1385"/>
      <c r="BP19" s="1385"/>
      <c r="BQ19" s="1385"/>
      <c r="BR19" s="1385"/>
      <c r="BS19" s="1385"/>
      <c r="BT19" s="1385"/>
      <c r="BU19" s="1403"/>
      <c r="BV19" s="415"/>
      <c r="BW19" s="412"/>
      <c r="BX19" s="1425"/>
      <c r="BY19" s="1425"/>
      <c r="BZ19" s="1425"/>
      <c r="CA19" s="1425"/>
      <c r="CB19" s="1425"/>
      <c r="CC19" s="1425"/>
      <c r="CD19" s="1425"/>
      <c r="CE19" s="1425"/>
      <c r="CF19" s="1425"/>
      <c r="CG19" s="1425"/>
      <c r="CH19" s="1425"/>
      <c r="CI19" s="1425"/>
      <c r="CJ19" s="1425"/>
      <c r="CK19" s="1425"/>
      <c r="CL19" s="1425"/>
      <c r="CM19" s="1425"/>
      <c r="CN19" s="1425"/>
      <c r="CO19" s="1425"/>
      <c r="CP19" s="1425"/>
      <c r="CQ19" s="1425"/>
      <c r="CR19" s="1425"/>
      <c r="CS19" s="1425"/>
      <c r="CT19" s="1425"/>
      <c r="CU19" s="1425"/>
      <c r="CV19" s="1425"/>
      <c r="CW19" s="1425"/>
      <c r="CX19" s="1425"/>
      <c r="CY19" s="1425"/>
      <c r="CZ19" s="1425"/>
      <c r="DA19" s="1425"/>
      <c r="DB19" s="1425"/>
      <c r="DC19" s="1425"/>
      <c r="DD19" s="1425"/>
      <c r="DE19" s="1425"/>
      <c r="DF19" s="1425"/>
      <c r="DG19" s="1354"/>
      <c r="DH19" s="1354"/>
      <c r="DI19" s="1354"/>
      <c r="DJ19" s="1354"/>
      <c r="DK19" s="1354"/>
      <c r="DL19" s="1354"/>
      <c r="DM19" s="1354"/>
      <c r="DN19" s="1354"/>
      <c r="DO19" s="1354"/>
      <c r="DP19" s="1354"/>
      <c r="DQ19" s="1354"/>
      <c r="DR19" s="1354"/>
      <c r="DS19" s="1354"/>
      <c r="DT19" s="1354"/>
      <c r="DU19" s="1354"/>
      <c r="DV19" s="1354"/>
      <c r="DW19" s="1354"/>
      <c r="DX19" s="1354"/>
      <c r="DY19" s="1354"/>
      <c r="DZ19" s="1354"/>
      <c r="EA19" s="1354"/>
      <c r="EB19" s="1354"/>
      <c r="EC19" s="1354"/>
      <c r="ED19" s="1354"/>
      <c r="EE19" s="1354"/>
      <c r="EF19" s="1354"/>
      <c r="EG19" s="1354"/>
      <c r="EH19" s="1354"/>
      <c r="EI19" s="1354"/>
      <c r="EJ19" s="1354"/>
      <c r="EK19" s="1354"/>
      <c r="EL19" s="1354"/>
      <c r="EM19" s="1354"/>
      <c r="EN19" s="1354"/>
      <c r="EO19" s="1354"/>
      <c r="EP19" s="1354"/>
      <c r="EQ19" s="415"/>
      <c r="ER19" s="412"/>
      <c r="ES19" s="425"/>
      <c r="ET19" s="237"/>
      <c r="EU19" s="237"/>
      <c r="EV19" s="237"/>
      <c r="EW19" s="237"/>
      <c r="EX19" s="237"/>
      <c r="EY19" s="237"/>
      <c r="EZ19" s="237"/>
      <c r="FA19" s="237"/>
      <c r="FB19" s="237"/>
      <c r="FC19" s="237"/>
      <c r="FD19" s="237"/>
      <c r="FE19" s="237"/>
      <c r="FF19" s="237"/>
      <c r="FG19" s="237"/>
      <c r="FH19" s="237"/>
      <c r="FI19" s="237"/>
      <c r="FJ19" s="237"/>
      <c r="FK19" s="237"/>
      <c r="FL19" s="237"/>
      <c r="FM19" s="237"/>
      <c r="FN19" s="237"/>
      <c r="FO19" s="237"/>
      <c r="FP19" s="237"/>
      <c r="FQ19" s="237"/>
      <c r="FR19" s="237"/>
      <c r="FS19" s="237"/>
      <c r="FT19" s="237"/>
      <c r="FU19" s="237"/>
      <c r="FV19" s="237"/>
      <c r="FW19" s="237"/>
      <c r="FX19" s="237"/>
      <c r="FY19" s="237"/>
      <c r="FZ19" s="237"/>
      <c r="GA19" s="428"/>
      <c r="GB19" s="428"/>
      <c r="GC19" s="428"/>
      <c r="GD19" s="425"/>
      <c r="GE19" s="237"/>
      <c r="GF19" s="237"/>
      <c r="GG19" s="237"/>
      <c r="GH19" s="237"/>
      <c r="GI19" s="237"/>
      <c r="GJ19" s="237"/>
      <c r="GK19" s="237"/>
      <c r="GL19" s="237"/>
      <c r="GM19" s="237"/>
      <c r="GN19" s="237"/>
      <c r="GO19" s="237"/>
      <c r="GP19" s="237"/>
      <c r="GQ19" s="237"/>
      <c r="GR19" s="237"/>
      <c r="GS19" s="237"/>
      <c r="GT19" s="237"/>
      <c r="GU19" s="237"/>
      <c r="GV19" s="237"/>
      <c r="GW19" s="237"/>
      <c r="GX19" s="237"/>
      <c r="GY19" s="237"/>
      <c r="GZ19" s="237"/>
      <c r="HA19" s="237"/>
      <c r="HB19" s="237"/>
      <c r="HC19" s="237"/>
      <c r="HD19" s="237"/>
      <c r="HE19" s="237"/>
      <c r="HF19" s="237"/>
      <c r="HG19" s="237"/>
      <c r="HH19" s="237"/>
      <c r="HI19" s="237"/>
      <c r="HJ19" s="237"/>
      <c r="HK19" s="237"/>
      <c r="HL19" s="415"/>
    </row>
    <row r="20" spans="2:220" ht="7.5" customHeight="1">
      <c r="B20" s="412"/>
      <c r="C20" s="1411"/>
      <c r="D20" s="1384"/>
      <c r="E20" s="1384"/>
      <c r="F20" s="1384"/>
      <c r="G20" s="1384"/>
      <c r="H20" s="1384"/>
      <c r="I20" s="1412"/>
      <c r="J20" s="422"/>
      <c r="K20" s="1385"/>
      <c r="L20" s="1385"/>
      <c r="M20" s="1385"/>
      <c r="N20" s="1385"/>
      <c r="O20" s="1385"/>
      <c r="P20" s="1385"/>
      <c r="Q20" s="1385"/>
      <c r="R20" s="1385"/>
      <c r="S20" s="1385"/>
      <c r="T20" s="1385"/>
      <c r="U20" s="1385"/>
      <c r="V20" s="1385"/>
      <c r="W20" s="1385"/>
      <c r="X20" s="422"/>
      <c r="Y20" s="1472" t="s">
        <v>6243</v>
      </c>
      <c r="Z20" s="1395"/>
      <c r="AA20" s="1395"/>
      <c r="AB20" s="1395"/>
      <c r="AC20" s="1395"/>
      <c r="AD20" s="1395"/>
      <c r="AE20" s="1395"/>
      <c r="AF20" s="1395"/>
      <c r="AG20" s="1395"/>
      <c r="AH20" s="1395"/>
      <c r="AI20" s="1395"/>
      <c r="AJ20" s="1395"/>
      <c r="AK20" s="1395"/>
      <c r="AL20" s="1395"/>
      <c r="AM20" s="1395"/>
      <c r="AN20" s="1395"/>
      <c r="AO20" s="419"/>
      <c r="AP20" s="1468">
        <v>1</v>
      </c>
      <c r="AQ20" s="1395"/>
      <c r="AR20" s="1395"/>
      <c r="AS20" s="1441"/>
      <c r="AT20" s="1442"/>
      <c r="AU20" s="1442"/>
      <c r="AV20" s="1442"/>
      <c r="AW20" s="1442"/>
      <c r="AX20" s="1442"/>
      <c r="AY20" s="1442"/>
      <c r="AZ20" s="1442"/>
      <c r="BA20" s="1442"/>
      <c r="BB20" s="1442"/>
      <c r="BC20" s="1442"/>
      <c r="BD20" s="1442"/>
      <c r="BE20" s="1442"/>
      <c r="BF20" s="1442"/>
      <c r="BG20" s="1442"/>
      <c r="BH20" s="1442"/>
      <c r="BI20" s="1442"/>
      <c r="BJ20" s="1442"/>
      <c r="BK20" s="1442"/>
      <c r="BL20" s="1442"/>
      <c r="BM20" s="1442"/>
      <c r="BN20" s="1442"/>
      <c r="BO20" s="1442"/>
      <c r="BP20" s="1442"/>
      <c r="BQ20" s="1442"/>
      <c r="BR20" s="1442"/>
      <c r="BS20" s="1442"/>
      <c r="BT20" s="1442"/>
      <c r="BU20" s="1443"/>
      <c r="BV20" s="415"/>
      <c r="BW20" s="412"/>
      <c r="BX20" s="1425"/>
      <c r="BY20" s="1425"/>
      <c r="BZ20" s="1425"/>
      <c r="CA20" s="1425"/>
      <c r="CB20" s="1425"/>
      <c r="CC20" s="1425"/>
      <c r="CD20" s="1425"/>
      <c r="CE20" s="1425"/>
      <c r="CF20" s="1425"/>
      <c r="CG20" s="1425"/>
      <c r="CH20" s="1425"/>
      <c r="CI20" s="1425"/>
      <c r="CJ20" s="1425"/>
      <c r="CK20" s="1425"/>
      <c r="CL20" s="1425"/>
      <c r="CM20" s="1425"/>
      <c r="CN20" s="1425"/>
      <c r="CO20" s="1425"/>
      <c r="CP20" s="1425"/>
      <c r="CQ20" s="1425"/>
      <c r="CR20" s="1425"/>
      <c r="CS20" s="1425"/>
      <c r="CT20" s="1425"/>
      <c r="CU20" s="1425"/>
      <c r="CV20" s="1425"/>
      <c r="CW20" s="1425"/>
      <c r="CX20" s="1425"/>
      <c r="CY20" s="1425"/>
      <c r="CZ20" s="1425"/>
      <c r="DA20" s="1425"/>
      <c r="DB20" s="1425"/>
      <c r="DC20" s="1425"/>
      <c r="DD20" s="1425"/>
      <c r="DE20" s="1425"/>
      <c r="DF20" s="1425"/>
      <c r="DG20" s="1354"/>
      <c r="DH20" s="1354"/>
      <c r="DI20" s="1354"/>
      <c r="DJ20" s="1354"/>
      <c r="DK20" s="1354"/>
      <c r="DL20" s="1354"/>
      <c r="DM20" s="1354"/>
      <c r="DN20" s="1354"/>
      <c r="DO20" s="1354"/>
      <c r="DP20" s="1354"/>
      <c r="DQ20" s="1354"/>
      <c r="DR20" s="1354"/>
      <c r="DS20" s="1354"/>
      <c r="DT20" s="1354"/>
      <c r="DU20" s="1354"/>
      <c r="DV20" s="1354"/>
      <c r="DW20" s="1354"/>
      <c r="DX20" s="1354"/>
      <c r="DY20" s="1354"/>
      <c r="DZ20" s="1354"/>
      <c r="EA20" s="1354"/>
      <c r="EB20" s="1354"/>
      <c r="EC20" s="1354"/>
      <c r="ED20" s="1354"/>
      <c r="EE20" s="1354"/>
      <c r="EF20" s="1354"/>
      <c r="EG20" s="1354"/>
      <c r="EH20" s="1354"/>
      <c r="EI20" s="1354"/>
      <c r="EJ20" s="1354"/>
      <c r="EK20" s="1354"/>
      <c r="EL20" s="1354"/>
      <c r="EM20" s="1354"/>
      <c r="EN20" s="1354"/>
      <c r="EO20" s="1354"/>
      <c r="EP20" s="1354"/>
      <c r="EQ20" s="415"/>
      <c r="ER20" s="412"/>
      <c r="ES20" s="1444" t="s">
        <v>7395</v>
      </c>
      <c r="ET20" s="1445"/>
      <c r="EU20" s="1445"/>
      <c r="EV20" s="1445"/>
      <c r="EW20" s="1445"/>
      <c r="EX20" s="1445"/>
      <c r="EY20" s="1445"/>
      <c r="EZ20" s="1445"/>
      <c r="FA20" s="1445"/>
      <c r="FB20" s="1446"/>
      <c r="FC20" s="1446"/>
      <c r="FD20" s="1446"/>
      <c r="FE20" s="1446"/>
      <c r="FF20" s="1446"/>
      <c r="FG20" s="1446"/>
      <c r="FH20" s="1446"/>
      <c r="FI20" s="1446"/>
      <c r="FJ20" s="1446"/>
      <c r="FK20" s="1446"/>
      <c r="FL20" s="1446"/>
      <c r="FM20" s="1446"/>
      <c r="FN20" s="1446"/>
      <c r="FO20" s="1446"/>
      <c r="FP20" s="1446"/>
      <c r="FQ20" s="1446"/>
      <c r="FR20" s="1446"/>
      <c r="FS20" s="1446"/>
      <c r="FT20" s="1446"/>
      <c r="FU20" s="1446"/>
      <c r="FV20" s="1446"/>
      <c r="FW20" s="1446"/>
      <c r="FX20" s="1446"/>
      <c r="FY20" s="1446"/>
      <c r="FZ20" s="1446"/>
      <c r="GA20" s="1446"/>
      <c r="GB20" s="1446"/>
      <c r="GC20" s="1446"/>
      <c r="GD20" s="1446"/>
      <c r="GE20" s="1446"/>
      <c r="GF20" s="1446"/>
      <c r="GG20" s="1446"/>
      <c r="GH20" s="1446"/>
      <c r="GI20" s="1446"/>
      <c r="GJ20" s="1446"/>
      <c r="GK20" s="1446"/>
      <c r="GL20" s="1446"/>
      <c r="GM20" s="1446"/>
      <c r="GN20" s="1446"/>
      <c r="GO20" s="1446"/>
      <c r="GP20" s="1446"/>
      <c r="GQ20" s="1446"/>
      <c r="GR20" s="1446"/>
      <c r="GS20" s="1446"/>
      <c r="GT20" s="1446"/>
      <c r="GU20" s="1446"/>
      <c r="GV20" s="1446"/>
      <c r="GW20" s="1446"/>
      <c r="GX20" s="1446"/>
      <c r="GY20" s="1446"/>
      <c r="GZ20" s="1446"/>
      <c r="HA20" s="1446"/>
      <c r="HB20" s="1446"/>
      <c r="HC20" s="1446"/>
      <c r="HD20" s="1446"/>
      <c r="HE20" s="1446"/>
      <c r="HF20" s="1446"/>
      <c r="HG20" s="1446"/>
      <c r="HH20" s="1446"/>
      <c r="HI20" s="1446"/>
      <c r="HJ20" s="1447"/>
      <c r="HK20" s="237"/>
      <c r="HL20" s="415"/>
    </row>
    <row r="21" spans="2:220" ht="7.5" customHeight="1">
      <c r="B21" s="412"/>
      <c r="C21" s="1396"/>
      <c r="D21" s="1385"/>
      <c r="E21" s="1385"/>
      <c r="F21" s="1385"/>
      <c r="G21" s="1385"/>
      <c r="H21" s="1385"/>
      <c r="I21" s="1403"/>
      <c r="J21" s="422"/>
      <c r="K21" s="1452"/>
      <c r="L21" s="1453"/>
      <c r="M21" s="1453"/>
      <c r="N21" s="1454"/>
      <c r="O21" s="1456" t="s">
        <v>7396</v>
      </c>
      <c r="P21" s="1457"/>
      <c r="Q21" s="1457"/>
      <c r="R21" s="1457"/>
      <c r="S21" s="1457"/>
      <c r="T21" s="1457"/>
      <c r="U21" s="1457"/>
      <c r="V21" s="1457"/>
      <c r="W21" s="1458"/>
      <c r="X21" s="422"/>
      <c r="Y21" s="1411"/>
      <c r="Z21" s="1384"/>
      <c r="AA21" s="1384"/>
      <c r="AB21" s="1384"/>
      <c r="AC21" s="1384"/>
      <c r="AD21" s="1384"/>
      <c r="AE21" s="1384"/>
      <c r="AF21" s="1384"/>
      <c r="AG21" s="1384"/>
      <c r="AH21" s="1384"/>
      <c r="AI21" s="1384"/>
      <c r="AJ21" s="1384"/>
      <c r="AK21" s="1384"/>
      <c r="AL21" s="1384"/>
      <c r="AM21" s="1384"/>
      <c r="AN21" s="1384"/>
      <c r="AO21" s="419"/>
      <c r="AP21" s="1396"/>
      <c r="AQ21" s="1385"/>
      <c r="AR21" s="1385"/>
      <c r="AS21" s="1441"/>
      <c r="AT21" s="1442"/>
      <c r="AU21" s="1442"/>
      <c r="AV21" s="1442"/>
      <c r="AW21" s="1442"/>
      <c r="AX21" s="1442"/>
      <c r="AY21" s="1442"/>
      <c r="AZ21" s="1442"/>
      <c r="BA21" s="1442"/>
      <c r="BB21" s="1442"/>
      <c r="BC21" s="1442"/>
      <c r="BD21" s="1442"/>
      <c r="BE21" s="1442"/>
      <c r="BF21" s="1442"/>
      <c r="BG21" s="1442"/>
      <c r="BH21" s="1442"/>
      <c r="BI21" s="1442"/>
      <c r="BJ21" s="1442"/>
      <c r="BK21" s="1442"/>
      <c r="BL21" s="1442"/>
      <c r="BM21" s="1442"/>
      <c r="BN21" s="1442"/>
      <c r="BO21" s="1442"/>
      <c r="BP21" s="1442"/>
      <c r="BQ21" s="1442"/>
      <c r="BR21" s="1442"/>
      <c r="BS21" s="1442"/>
      <c r="BT21" s="1442"/>
      <c r="BU21" s="1443"/>
      <c r="BV21" s="415"/>
      <c r="BW21" s="412"/>
      <c r="BX21" s="1425"/>
      <c r="BY21" s="1425"/>
      <c r="BZ21" s="1425"/>
      <c r="CA21" s="1425"/>
      <c r="CB21" s="1425"/>
      <c r="CC21" s="1425"/>
      <c r="CD21" s="1425"/>
      <c r="CE21" s="1425"/>
      <c r="CF21" s="1425"/>
      <c r="CG21" s="1425"/>
      <c r="CH21" s="1425"/>
      <c r="CI21" s="1425"/>
      <c r="CJ21" s="1425"/>
      <c r="CK21" s="1425"/>
      <c r="CL21" s="1425"/>
      <c r="CM21" s="1425"/>
      <c r="CN21" s="1425"/>
      <c r="CO21" s="1425"/>
      <c r="CP21" s="1425"/>
      <c r="CQ21" s="1425"/>
      <c r="CR21" s="1425"/>
      <c r="CS21" s="1425"/>
      <c r="CT21" s="1425"/>
      <c r="CU21" s="1425"/>
      <c r="CV21" s="1425"/>
      <c r="CW21" s="1425"/>
      <c r="CX21" s="1425"/>
      <c r="CY21" s="1425"/>
      <c r="CZ21" s="1425"/>
      <c r="DA21" s="1425"/>
      <c r="DB21" s="1425"/>
      <c r="DC21" s="1425"/>
      <c r="DD21" s="1425"/>
      <c r="DE21" s="1425"/>
      <c r="DF21" s="1425"/>
      <c r="DG21" s="1354"/>
      <c r="DH21" s="1354"/>
      <c r="DI21" s="1354"/>
      <c r="DJ21" s="1354"/>
      <c r="DK21" s="1354"/>
      <c r="DL21" s="1354"/>
      <c r="DM21" s="1354"/>
      <c r="DN21" s="1354"/>
      <c r="DO21" s="1354"/>
      <c r="DP21" s="1354"/>
      <c r="DQ21" s="1354"/>
      <c r="DR21" s="1354"/>
      <c r="DS21" s="1354"/>
      <c r="DT21" s="1354"/>
      <c r="DU21" s="1354"/>
      <c r="DV21" s="1354"/>
      <c r="DW21" s="1354"/>
      <c r="DX21" s="1354"/>
      <c r="DY21" s="1354"/>
      <c r="DZ21" s="1354"/>
      <c r="EA21" s="1354"/>
      <c r="EB21" s="1354"/>
      <c r="EC21" s="1354"/>
      <c r="ED21" s="1354"/>
      <c r="EE21" s="1354"/>
      <c r="EF21" s="1354"/>
      <c r="EG21" s="1354"/>
      <c r="EH21" s="1354"/>
      <c r="EI21" s="1354"/>
      <c r="EJ21" s="1354"/>
      <c r="EK21" s="1354"/>
      <c r="EL21" s="1354"/>
      <c r="EM21" s="1354"/>
      <c r="EN21" s="1354"/>
      <c r="EO21" s="1354"/>
      <c r="EP21" s="1354"/>
      <c r="EQ21" s="415"/>
      <c r="ER21" s="412"/>
      <c r="ES21" s="1448"/>
      <c r="ET21" s="1449"/>
      <c r="EU21" s="1449"/>
      <c r="EV21" s="1449"/>
      <c r="EW21" s="1449"/>
      <c r="EX21" s="1449"/>
      <c r="EY21" s="1449"/>
      <c r="EZ21" s="1449"/>
      <c r="FA21" s="1449"/>
      <c r="FB21" s="1450"/>
      <c r="FC21" s="1450"/>
      <c r="FD21" s="1450"/>
      <c r="FE21" s="1450"/>
      <c r="FF21" s="1450"/>
      <c r="FG21" s="1450"/>
      <c r="FH21" s="1450"/>
      <c r="FI21" s="1450"/>
      <c r="FJ21" s="1450"/>
      <c r="FK21" s="1450"/>
      <c r="FL21" s="1450"/>
      <c r="FM21" s="1450"/>
      <c r="FN21" s="1450"/>
      <c r="FO21" s="1450"/>
      <c r="FP21" s="1450"/>
      <c r="FQ21" s="1450"/>
      <c r="FR21" s="1450"/>
      <c r="FS21" s="1450"/>
      <c r="FT21" s="1450"/>
      <c r="FU21" s="1450"/>
      <c r="FV21" s="1450"/>
      <c r="FW21" s="1450"/>
      <c r="FX21" s="1450"/>
      <c r="FY21" s="1450"/>
      <c r="FZ21" s="1450"/>
      <c r="GA21" s="1450"/>
      <c r="GB21" s="1450"/>
      <c r="GC21" s="1450"/>
      <c r="GD21" s="1450"/>
      <c r="GE21" s="1450"/>
      <c r="GF21" s="1450"/>
      <c r="GG21" s="1450"/>
      <c r="GH21" s="1450"/>
      <c r="GI21" s="1450"/>
      <c r="GJ21" s="1450"/>
      <c r="GK21" s="1450"/>
      <c r="GL21" s="1450"/>
      <c r="GM21" s="1450"/>
      <c r="GN21" s="1450"/>
      <c r="GO21" s="1450"/>
      <c r="GP21" s="1450"/>
      <c r="GQ21" s="1450"/>
      <c r="GR21" s="1450"/>
      <c r="GS21" s="1450"/>
      <c r="GT21" s="1450"/>
      <c r="GU21" s="1450"/>
      <c r="GV21" s="1450"/>
      <c r="GW21" s="1450"/>
      <c r="GX21" s="1450"/>
      <c r="GY21" s="1450"/>
      <c r="GZ21" s="1450"/>
      <c r="HA21" s="1450"/>
      <c r="HB21" s="1450"/>
      <c r="HC21" s="1450"/>
      <c r="HD21" s="1450"/>
      <c r="HE21" s="1450"/>
      <c r="HF21" s="1450"/>
      <c r="HG21" s="1450"/>
      <c r="HH21" s="1450"/>
      <c r="HI21" s="1450"/>
      <c r="HJ21" s="1451"/>
      <c r="HK21" s="237"/>
      <c r="HL21" s="415"/>
    </row>
    <row r="22" spans="2:220" ht="7.5" customHeight="1">
      <c r="B22" s="412"/>
      <c r="C22" s="1461">
        <f>VLOOKUP(C18,[4]ABILITIES!$Z$3:$AA$24,2)</f>
        <v>0</v>
      </c>
      <c r="D22" s="1461"/>
      <c r="E22" s="1461"/>
      <c r="F22" s="1461"/>
      <c r="G22" s="1461"/>
      <c r="H22" s="1461"/>
      <c r="I22" s="1461"/>
      <c r="J22" s="422"/>
      <c r="K22" s="1455"/>
      <c r="L22" s="1453"/>
      <c r="M22" s="1453"/>
      <c r="N22" s="1454"/>
      <c r="O22" s="1459"/>
      <c r="P22" s="1459"/>
      <c r="Q22" s="1459"/>
      <c r="R22" s="1459"/>
      <c r="S22" s="1459"/>
      <c r="T22" s="1459"/>
      <c r="U22" s="1459"/>
      <c r="V22" s="1459"/>
      <c r="W22" s="1460"/>
      <c r="X22" s="422"/>
      <c r="Y22" s="1462"/>
      <c r="Z22" s="1463"/>
      <c r="AA22" s="1463"/>
      <c r="AB22" s="1463"/>
      <c r="AC22" s="1463"/>
      <c r="AD22" s="1463"/>
      <c r="AE22" s="1463"/>
      <c r="AF22" s="1463"/>
      <c r="AG22" s="1463"/>
      <c r="AH22" s="1463"/>
      <c r="AI22" s="1463"/>
      <c r="AJ22" s="1463"/>
      <c r="AK22" s="1463"/>
      <c r="AL22" s="1463"/>
      <c r="AM22" s="1463"/>
      <c r="AN22" s="1464"/>
      <c r="AO22" s="429"/>
      <c r="AP22" s="1468">
        <v>2</v>
      </c>
      <c r="AQ22" s="1395"/>
      <c r="AR22" s="1395"/>
      <c r="AS22" s="1441"/>
      <c r="AT22" s="1442"/>
      <c r="AU22" s="1442"/>
      <c r="AV22" s="1442"/>
      <c r="AW22" s="1442"/>
      <c r="AX22" s="1442"/>
      <c r="AY22" s="1442"/>
      <c r="AZ22" s="1442"/>
      <c r="BA22" s="1442"/>
      <c r="BB22" s="1442"/>
      <c r="BC22" s="1442"/>
      <c r="BD22" s="1442"/>
      <c r="BE22" s="1442"/>
      <c r="BF22" s="1442"/>
      <c r="BG22" s="1442"/>
      <c r="BH22" s="1442"/>
      <c r="BI22" s="1442"/>
      <c r="BJ22" s="1442"/>
      <c r="BK22" s="1442"/>
      <c r="BL22" s="1442"/>
      <c r="BM22" s="1442"/>
      <c r="BN22" s="1442"/>
      <c r="BO22" s="1442"/>
      <c r="BP22" s="1442"/>
      <c r="BQ22" s="1442"/>
      <c r="BR22" s="1442"/>
      <c r="BS22" s="1442"/>
      <c r="BT22" s="1442"/>
      <c r="BU22" s="1443"/>
      <c r="BV22" s="415"/>
      <c r="BW22" s="412"/>
      <c r="EQ22" s="415"/>
      <c r="ER22" s="412"/>
      <c r="ES22" s="1469" t="s">
        <v>1353</v>
      </c>
      <c r="ET22" s="1404"/>
      <c r="EU22" s="1404"/>
      <c r="EV22" s="1404"/>
      <c r="EW22" s="1404"/>
      <c r="EX22" s="1404"/>
      <c r="EY22" s="1404"/>
      <c r="EZ22" s="1404"/>
      <c r="FA22" s="1404"/>
      <c r="FB22" s="1404"/>
      <c r="FC22" s="1404"/>
      <c r="FD22" s="1471" t="s">
        <v>5649</v>
      </c>
      <c r="FE22" s="1395"/>
      <c r="FF22" s="1395"/>
      <c r="FG22" s="1402"/>
      <c r="FH22" s="1440" t="s">
        <v>6236</v>
      </c>
      <c r="FI22" s="1395"/>
      <c r="FJ22" s="1395"/>
      <c r="FK22" s="1395"/>
      <c r="FL22" s="1395"/>
      <c r="FM22" s="1395"/>
      <c r="FN22" s="1395"/>
      <c r="FO22" s="1395"/>
      <c r="FP22" s="1395"/>
      <c r="FQ22" s="1395"/>
      <c r="FR22" s="1395"/>
      <c r="FS22" s="1395"/>
      <c r="FT22" s="1395"/>
      <c r="FU22" s="1395"/>
      <c r="FV22" s="1395"/>
      <c r="FW22" s="1395"/>
      <c r="FX22" s="1395"/>
      <c r="FY22" s="1395"/>
      <c r="FZ22" s="1395"/>
      <c r="GA22" s="1395"/>
      <c r="GB22" s="1395"/>
      <c r="GC22" s="1395"/>
      <c r="GD22" s="1402"/>
      <c r="GE22" s="1404" t="s">
        <v>5642</v>
      </c>
      <c r="GF22" s="1405"/>
      <c r="GG22" s="1405"/>
      <c r="GH22" s="1405"/>
      <c r="GI22" s="1404" t="s">
        <v>5641</v>
      </c>
      <c r="GJ22" s="1405"/>
      <c r="GK22" s="1405"/>
      <c r="GL22" s="1405"/>
      <c r="GM22" s="1434" t="s">
        <v>7397</v>
      </c>
      <c r="GN22" s="1435"/>
      <c r="GO22" s="1435"/>
      <c r="GP22" s="1435"/>
      <c r="GQ22" s="1435"/>
      <c r="GR22" s="1436"/>
      <c r="GS22" s="1440" t="s">
        <v>6237</v>
      </c>
      <c r="GT22" s="1395"/>
      <c r="GU22" s="1395"/>
      <c r="GV22" s="1395"/>
      <c r="GW22" s="1395"/>
      <c r="GX22" s="1395"/>
      <c r="GY22" s="1395"/>
      <c r="GZ22" s="1395"/>
      <c r="HA22" s="1395"/>
      <c r="HB22" s="1402"/>
      <c r="HC22" s="1440" t="s">
        <v>6238</v>
      </c>
      <c r="HD22" s="1395"/>
      <c r="HE22" s="1395"/>
      <c r="HF22" s="1395"/>
      <c r="HG22" s="1395"/>
      <c r="HH22" s="1395"/>
      <c r="HI22" s="1395"/>
      <c r="HJ22" s="1402"/>
      <c r="HK22" s="237"/>
      <c r="HL22" s="415"/>
    </row>
    <row r="23" spans="2:220" ht="7.5" customHeight="1">
      <c r="B23" s="412"/>
      <c r="C23" s="1461"/>
      <c r="D23" s="1461"/>
      <c r="E23" s="1461"/>
      <c r="F23" s="1461"/>
      <c r="G23" s="1461" t="b">
        <v>0</v>
      </c>
      <c r="H23" s="1461"/>
      <c r="I23" s="1461"/>
      <c r="K23" s="1452"/>
      <c r="L23" s="1453"/>
      <c r="M23" s="1453"/>
      <c r="N23" s="1454"/>
      <c r="O23" s="1456" t="s">
        <v>7398</v>
      </c>
      <c r="P23" s="1457"/>
      <c r="Q23" s="1457"/>
      <c r="R23" s="1457"/>
      <c r="S23" s="1457"/>
      <c r="T23" s="1457"/>
      <c r="U23" s="1457"/>
      <c r="V23" s="1457"/>
      <c r="W23" s="1458"/>
      <c r="Y23" s="1465"/>
      <c r="Z23" s="1466"/>
      <c r="AA23" s="1466"/>
      <c r="AB23" s="1466"/>
      <c r="AC23" s="1466"/>
      <c r="AD23" s="1466"/>
      <c r="AE23" s="1466"/>
      <c r="AF23" s="1466"/>
      <c r="AG23" s="1466"/>
      <c r="AH23" s="1466"/>
      <c r="AI23" s="1466"/>
      <c r="AJ23" s="1466"/>
      <c r="AK23" s="1466"/>
      <c r="AL23" s="1466"/>
      <c r="AM23" s="1466"/>
      <c r="AN23" s="1467"/>
      <c r="AO23" s="429"/>
      <c r="AP23" s="1396"/>
      <c r="AQ23" s="1385"/>
      <c r="AR23" s="1385"/>
      <c r="AS23" s="1441"/>
      <c r="AT23" s="1442"/>
      <c r="AU23" s="1442"/>
      <c r="AV23" s="1442"/>
      <c r="AW23" s="1442"/>
      <c r="AX23" s="1442"/>
      <c r="AY23" s="1442"/>
      <c r="AZ23" s="1442"/>
      <c r="BA23" s="1442"/>
      <c r="BB23" s="1442"/>
      <c r="BC23" s="1442"/>
      <c r="BD23" s="1442"/>
      <c r="BE23" s="1442"/>
      <c r="BF23" s="1442"/>
      <c r="BG23" s="1442"/>
      <c r="BH23" s="1442"/>
      <c r="BI23" s="1442"/>
      <c r="BJ23" s="1442"/>
      <c r="BK23" s="1442"/>
      <c r="BL23" s="1442"/>
      <c r="BM23" s="1442"/>
      <c r="BN23" s="1442"/>
      <c r="BO23" s="1442"/>
      <c r="BP23" s="1442"/>
      <c r="BQ23" s="1442"/>
      <c r="BR23" s="1442"/>
      <c r="BS23" s="1442"/>
      <c r="BT23" s="1442"/>
      <c r="BU23" s="1443"/>
      <c r="BV23" s="415"/>
      <c r="BW23" s="412"/>
      <c r="BY23" s="426"/>
      <c r="BZ23" s="426"/>
      <c r="CA23" s="426"/>
      <c r="CB23" s="426"/>
      <c r="CC23" s="426"/>
      <c r="CD23" s="426"/>
      <c r="CE23" s="426"/>
      <c r="CF23" s="426"/>
      <c r="CG23" s="426"/>
      <c r="CH23" s="426"/>
      <c r="CI23" s="426"/>
      <c r="CJ23" s="426"/>
      <c r="CK23" s="427"/>
      <c r="CL23" s="427"/>
      <c r="CM23" s="427"/>
      <c r="CN23" s="427"/>
      <c r="CO23" s="427"/>
      <c r="CP23" s="427"/>
      <c r="CQ23" s="427"/>
      <c r="CR23" s="427"/>
      <c r="CS23" s="427"/>
      <c r="CT23" s="427"/>
      <c r="CU23" s="427"/>
      <c r="CV23" s="427"/>
      <c r="CW23" s="427"/>
      <c r="CX23" s="427"/>
      <c r="CY23" s="427"/>
      <c r="CZ23" s="427"/>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Q23" s="415"/>
      <c r="ER23" s="412"/>
      <c r="ES23" s="1470"/>
      <c r="ET23" s="1470"/>
      <c r="EU23" s="1470"/>
      <c r="EV23" s="1470"/>
      <c r="EW23" s="1470"/>
      <c r="EX23" s="1470"/>
      <c r="EY23" s="1470"/>
      <c r="EZ23" s="1470"/>
      <c r="FA23" s="1470"/>
      <c r="FB23" s="1470"/>
      <c r="FC23" s="1470"/>
      <c r="FD23" s="1396"/>
      <c r="FE23" s="1385"/>
      <c r="FF23" s="1385"/>
      <c r="FG23" s="1403"/>
      <c r="FH23" s="1396"/>
      <c r="FI23" s="1385"/>
      <c r="FJ23" s="1385"/>
      <c r="FK23" s="1385"/>
      <c r="FL23" s="1385"/>
      <c r="FM23" s="1385"/>
      <c r="FN23" s="1385"/>
      <c r="FO23" s="1385"/>
      <c r="FP23" s="1385"/>
      <c r="FQ23" s="1385"/>
      <c r="FR23" s="1385"/>
      <c r="FS23" s="1385"/>
      <c r="FT23" s="1385"/>
      <c r="FU23" s="1385"/>
      <c r="FV23" s="1385"/>
      <c r="FW23" s="1385"/>
      <c r="FX23" s="1385"/>
      <c r="FY23" s="1385"/>
      <c r="FZ23" s="1385"/>
      <c r="GA23" s="1385"/>
      <c r="GB23" s="1385"/>
      <c r="GC23" s="1385"/>
      <c r="GD23" s="1403"/>
      <c r="GE23" s="1406"/>
      <c r="GF23" s="1406"/>
      <c r="GG23" s="1406"/>
      <c r="GH23" s="1406"/>
      <c r="GI23" s="1406"/>
      <c r="GJ23" s="1406"/>
      <c r="GK23" s="1406"/>
      <c r="GL23" s="1406"/>
      <c r="GM23" s="1437"/>
      <c r="GN23" s="1438"/>
      <c r="GO23" s="1438"/>
      <c r="GP23" s="1438"/>
      <c r="GQ23" s="1438"/>
      <c r="GR23" s="1439"/>
      <c r="GS23" s="1396"/>
      <c r="GT23" s="1385"/>
      <c r="GU23" s="1385"/>
      <c r="GV23" s="1385"/>
      <c r="GW23" s="1385"/>
      <c r="GX23" s="1385"/>
      <c r="GY23" s="1385"/>
      <c r="GZ23" s="1385"/>
      <c r="HA23" s="1385"/>
      <c r="HB23" s="1403"/>
      <c r="HC23" s="1396"/>
      <c r="HD23" s="1385"/>
      <c r="HE23" s="1385"/>
      <c r="HF23" s="1385"/>
      <c r="HG23" s="1385"/>
      <c r="HH23" s="1385"/>
      <c r="HI23" s="1385"/>
      <c r="HJ23" s="1403"/>
      <c r="HK23" s="237"/>
      <c r="HL23" s="415"/>
    </row>
    <row r="24" spans="2:220" ht="7.5" customHeight="1">
      <c r="B24" s="412"/>
      <c r="K24" s="1455"/>
      <c r="L24" s="1453"/>
      <c r="M24" s="1453"/>
      <c r="N24" s="1454"/>
      <c r="O24" s="1459"/>
      <c r="P24" s="1459"/>
      <c r="Q24" s="1459"/>
      <c r="R24" s="1459"/>
      <c r="S24" s="1459"/>
      <c r="T24" s="1459"/>
      <c r="U24" s="1459"/>
      <c r="V24" s="1459"/>
      <c r="W24" s="1460"/>
      <c r="Y24" s="1462"/>
      <c r="Z24" s="1463"/>
      <c r="AA24" s="1463"/>
      <c r="AB24" s="1463"/>
      <c r="AC24" s="1463"/>
      <c r="AD24" s="1463"/>
      <c r="AE24" s="1463"/>
      <c r="AF24" s="1463"/>
      <c r="AG24" s="1463"/>
      <c r="AH24" s="1463"/>
      <c r="AI24" s="1463"/>
      <c r="AJ24" s="1463"/>
      <c r="AK24" s="1463"/>
      <c r="AL24" s="1463"/>
      <c r="AM24" s="1463"/>
      <c r="AN24" s="1464"/>
      <c r="AO24" s="429"/>
      <c r="AP24" s="1468">
        <v>3</v>
      </c>
      <c r="AQ24" s="1395"/>
      <c r="AR24" s="1395"/>
      <c r="AS24" s="1441"/>
      <c r="AT24" s="1442"/>
      <c r="AU24" s="1442"/>
      <c r="AV24" s="1442"/>
      <c r="AW24" s="1442"/>
      <c r="AX24" s="1442"/>
      <c r="AY24" s="1442"/>
      <c r="AZ24" s="1442"/>
      <c r="BA24" s="1442"/>
      <c r="BB24" s="1442"/>
      <c r="BC24" s="1442"/>
      <c r="BD24" s="1442"/>
      <c r="BE24" s="1442"/>
      <c r="BF24" s="1442"/>
      <c r="BG24" s="1442"/>
      <c r="BH24" s="1442"/>
      <c r="BI24" s="1442"/>
      <c r="BJ24" s="1442"/>
      <c r="BK24" s="1442"/>
      <c r="BL24" s="1442"/>
      <c r="BM24" s="1442"/>
      <c r="BN24" s="1442"/>
      <c r="BO24" s="1442"/>
      <c r="BP24" s="1442"/>
      <c r="BQ24" s="1442"/>
      <c r="BR24" s="1442"/>
      <c r="BS24" s="1442"/>
      <c r="BT24" s="1442"/>
      <c r="BU24" s="1443"/>
      <c r="BV24" s="415"/>
      <c r="BW24" s="412"/>
      <c r="EQ24" s="415"/>
      <c r="ER24" s="412"/>
      <c r="ES24" s="1487" t="str">
        <f>'[4]FEATS-PETS'!F4</f>
        <v/>
      </c>
      <c r="ET24" s="1485"/>
      <c r="EU24" s="1485"/>
      <c r="EV24" s="1485"/>
      <c r="EW24" s="1485"/>
      <c r="EX24" s="1485"/>
      <c r="EY24" s="1485"/>
      <c r="EZ24" s="1485"/>
      <c r="FA24" s="1485"/>
      <c r="FB24" s="1485"/>
      <c r="FC24" s="1485"/>
      <c r="FD24" s="1483" t="str">
        <f>'[4]FEATS-PETS'!G4</f>
        <v/>
      </c>
      <c r="FE24" s="1395"/>
      <c r="FF24" s="1395"/>
      <c r="FG24" s="1402"/>
      <c r="FH24" s="1484" t="str">
        <f>'[4]FEATS-PETS'!H4</f>
        <v/>
      </c>
      <c r="FI24" s="1435"/>
      <c r="FJ24" s="1435"/>
      <c r="FK24" s="1435"/>
      <c r="FL24" s="1435"/>
      <c r="FM24" s="1435"/>
      <c r="FN24" s="1435"/>
      <c r="FO24" s="1435"/>
      <c r="FP24" s="1435"/>
      <c r="FQ24" s="1435"/>
      <c r="FR24" s="1435"/>
      <c r="FS24" s="1435"/>
      <c r="FT24" s="1435"/>
      <c r="FU24" s="1435"/>
      <c r="FV24" s="1435"/>
      <c r="FW24" s="1435"/>
      <c r="FX24" s="1435"/>
      <c r="FY24" s="1435"/>
      <c r="FZ24" s="1435"/>
      <c r="GA24" s="1435"/>
      <c r="GB24" s="1435"/>
      <c r="GC24" s="1435"/>
      <c r="GD24" s="1436"/>
      <c r="GE24" s="1485" t="str">
        <f>'[4]FEATS-PETS'!P4</f>
        <v/>
      </c>
      <c r="GF24" s="1485"/>
      <c r="GG24" s="1485"/>
      <c r="GH24" s="1485"/>
      <c r="GI24" s="1468" t="str">
        <f>'[4]FEATS-PETS'!Q4</f>
        <v/>
      </c>
      <c r="GJ24" s="1395"/>
      <c r="GK24" s="1395"/>
      <c r="GL24" s="1402"/>
      <c r="GM24" s="1468" t="str">
        <f>'[4]FEATS-PETS'!R4</f>
        <v/>
      </c>
      <c r="GN24" s="1395"/>
      <c r="GO24" s="1395"/>
      <c r="GP24" s="1395"/>
      <c r="GQ24" s="1395"/>
      <c r="GR24" s="1402"/>
      <c r="GS24" s="1484" t="str">
        <f>'[4]FEATS-PETS'!S4</f>
        <v/>
      </c>
      <c r="GT24" s="1435"/>
      <c r="GU24" s="1435"/>
      <c r="GV24" s="1435"/>
      <c r="GW24" s="1435"/>
      <c r="GX24" s="1435"/>
      <c r="GY24" s="1435"/>
      <c r="GZ24" s="1435"/>
      <c r="HA24" s="1435"/>
      <c r="HB24" s="1436"/>
      <c r="HC24" s="1468" t="str">
        <f>'[4]FEATS-PETS'!Q4</f>
        <v/>
      </c>
      <c r="HD24" s="1395"/>
      <c r="HE24" s="1395"/>
      <c r="HF24" s="1395"/>
      <c r="HG24" s="1395"/>
      <c r="HH24" s="1395"/>
      <c r="HI24" s="1395"/>
      <c r="HJ24" s="1402"/>
      <c r="HK24" s="237"/>
      <c r="HL24" s="415"/>
    </row>
    <row r="25" spans="2:220" ht="7.5" customHeight="1">
      <c r="B25" s="412"/>
      <c r="C25" s="1383" t="s">
        <v>7399</v>
      </c>
      <c r="D25" s="1384"/>
      <c r="E25" s="1384"/>
      <c r="F25" s="1384"/>
      <c r="G25" s="1384"/>
      <c r="H25" s="1384"/>
      <c r="I25" s="1384"/>
      <c r="K25" s="1452"/>
      <c r="L25" s="1453"/>
      <c r="M25" s="1453"/>
      <c r="N25" s="1454"/>
      <c r="O25" s="1456" t="s">
        <v>7400</v>
      </c>
      <c r="P25" s="1457"/>
      <c r="Q25" s="1457"/>
      <c r="R25" s="1457"/>
      <c r="S25" s="1457"/>
      <c r="T25" s="1457"/>
      <c r="U25" s="1457"/>
      <c r="V25" s="1457"/>
      <c r="W25" s="1458"/>
      <c r="Y25" s="1465"/>
      <c r="Z25" s="1466"/>
      <c r="AA25" s="1466"/>
      <c r="AB25" s="1466"/>
      <c r="AC25" s="1466"/>
      <c r="AD25" s="1466"/>
      <c r="AE25" s="1466"/>
      <c r="AF25" s="1466"/>
      <c r="AG25" s="1466"/>
      <c r="AH25" s="1466"/>
      <c r="AI25" s="1466"/>
      <c r="AJ25" s="1466"/>
      <c r="AK25" s="1466"/>
      <c r="AL25" s="1466"/>
      <c r="AM25" s="1466"/>
      <c r="AN25" s="1467"/>
      <c r="AO25" s="429"/>
      <c r="AP25" s="1396"/>
      <c r="AQ25" s="1385"/>
      <c r="AR25" s="1385"/>
      <c r="AS25" s="1441"/>
      <c r="AT25" s="1442"/>
      <c r="AU25" s="1442"/>
      <c r="AV25" s="1442"/>
      <c r="AW25" s="1442"/>
      <c r="AX25" s="1442"/>
      <c r="AY25" s="1442"/>
      <c r="AZ25" s="1442"/>
      <c r="BA25" s="1442"/>
      <c r="BB25" s="1442"/>
      <c r="BC25" s="1442"/>
      <c r="BD25" s="1442"/>
      <c r="BE25" s="1442"/>
      <c r="BF25" s="1442"/>
      <c r="BG25" s="1442"/>
      <c r="BH25" s="1442"/>
      <c r="BI25" s="1442"/>
      <c r="BJ25" s="1442"/>
      <c r="BK25" s="1442"/>
      <c r="BL25" s="1442"/>
      <c r="BM25" s="1442"/>
      <c r="BN25" s="1442"/>
      <c r="BO25" s="1442"/>
      <c r="BP25" s="1442"/>
      <c r="BQ25" s="1442"/>
      <c r="BR25" s="1442"/>
      <c r="BS25" s="1442"/>
      <c r="BT25" s="1442"/>
      <c r="BU25" s="1443"/>
      <c r="BV25" s="415"/>
      <c r="BW25" s="412"/>
      <c r="BX25" s="1479"/>
      <c r="BY25" s="1384"/>
      <c r="BZ25" s="1384"/>
      <c r="CA25" s="1384"/>
      <c r="CB25" s="1384"/>
      <c r="CC25" s="1384"/>
      <c r="CD25" s="1384"/>
      <c r="CE25" s="1384"/>
      <c r="CF25" s="1384"/>
      <c r="CG25" s="1384"/>
      <c r="CH25" s="1384"/>
      <c r="CI25" s="1384"/>
      <c r="CJ25" s="1384"/>
      <c r="CK25" s="1384"/>
      <c r="CL25" s="1384"/>
      <c r="CM25" s="1384"/>
      <c r="CN25" s="1384"/>
      <c r="CO25" s="1384"/>
      <c r="CP25" s="1427"/>
      <c r="CR25" s="1479"/>
      <c r="CS25" s="1384"/>
      <c r="CT25" s="1384"/>
      <c r="CU25" s="1384"/>
      <c r="CV25" s="1384"/>
      <c r="CW25" s="1384"/>
      <c r="CX25" s="1384"/>
      <c r="CY25" s="1384"/>
      <c r="CZ25" s="1384"/>
      <c r="DA25" s="1384"/>
      <c r="DB25" s="1384"/>
      <c r="DC25" s="1384"/>
      <c r="DD25" s="1384"/>
      <c r="DE25" s="1384"/>
      <c r="DF25" s="1384"/>
      <c r="DG25" s="1384"/>
      <c r="DH25" s="1384"/>
      <c r="DI25" s="1384"/>
      <c r="DJ25" s="1384"/>
      <c r="DK25" s="1384"/>
      <c r="DL25" s="1384"/>
      <c r="DM25" s="1384"/>
      <c r="DN25" s="1384"/>
      <c r="DO25" s="1384"/>
      <c r="DP25" s="1384"/>
      <c r="DQ25" s="1384"/>
      <c r="DR25" s="1384"/>
      <c r="DS25" s="1384"/>
      <c r="DT25" s="1384"/>
      <c r="DU25" s="1384"/>
      <c r="DV25" s="1384"/>
      <c r="DW25" s="1384"/>
      <c r="DY25" s="1344"/>
      <c r="DZ25" s="1480"/>
      <c r="EA25" s="1480"/>
      <c r="EB25" s="1480"/>
      <c r="EC25" s="1480"/>
      <c r="ED25" s="1480"/>
      <c r="EE25" s="1480"/>
      <c r="EF25" s="1480"/>
      <c r="EG25" s="1480"/>
      <c r="EH25" s="1480"/>
      <c r="EI25" s="1480"/>
      <c r="EJ25" s="1480"/>
      <c r="EK25" s="1480"/>
      <c r="EL25" s="1480"/>
      <c r="EM25" s="1480"/>
      <c r="EN25" s="1480"/>
      <c r="EO25" s="1480"/>
      <c r="EP25" s="1481"/>
      <c r="EQ25" s="415"/>
      <c r="ER25" s="412"/>
      <c r="ES25" s="1486"/>
      <c r="ET25" s="1486"/>
      <c r="EU25" s="1486"/>
      <c r="EV25" s="1486"/>
      <c r="EW25" s="1486"/>
      <c r="EX25" s="1486"/>
      <c r="EY25" s="1486"/>
      <c r="EZ25" s="1486"/>
      <c r="FA25" s="1486"/>
      <c r="FB25" s="1486"/>
      <c r="FC25" s="1486"/>
      <c r="FD25" s="1396"/>
      <c r="FE25" s="1385"/>
      <c r="FF25" s="1385"/>
      <c r="FG25" s="1403"/>
      <c r="FH25" s="1437"/>
      <c r="FI25" s="1438"/>
      <c r="FJ25" s="1438"/>
      <c r="FK25" s="1438"/>
      <c r="FL25" s="1438"/>
      <c r="FM25" s="1438"/>
      <c r="FN25" s="1438"/>
      <c r="FO25" s="1438"/>
      <c r="FP25" s="1438"/>
      <c r="FQ25" s="1438"/>
      <c r="FR25" s="1438"/>
      <c r="FS25" s="1438"/>
      <c r="FT25" s="1438"/>
      <c r="FU25" s="1438"/>
      <c r="FV25" s="1438"/>
      <c r="FW25" s="1438"/>
      <c r="FX25" s="1438"/>
      <c r="FY25" s="1438"/>
      <c r="FZ25" s="1438"/>
      <c r="GA25" s="1438"/>
      <c r="GB25" s="1438"/>
      <c r="GC25" s="1438"/>
      <c r="GD25" s="1439"/>
      <c r="GE25" s="1486"/>
      <c r="GF25" s="1486"/>
      <c r="GG25" s="1486"/>
      <c r="GH25" s="1486"/>
      <c r="GI25" s="1396"/>
      <c r="GJ25" s="1385"/>
      <c r="GK25" s="1385"/>
      <c r="GL25" s="1403"/>
      <c r="GM25" s="1396"/>
      <c r="GN25" s="1385"/>
      <c r="GO25" s="1385"/>
      <c r="GP25" s="1385"/>
      <c r="GQ25" s="1385"/>
      <c r="GR25" s="1403"/>
      <c r="GS25" s="1437"/>
      <c r="GT25" s="1438"/>
      <c r="GU25" s="1438"/>
      <c r="GV25" s="1438"/>
      <c r="GW25" s="1438"/>
      <c r="GX25" s="1438"/>
      <c r="GY25" s="1438"/>
      <c r="GZ25" s="1438"/>
      <c r="HA25" s="1438"/>
      <c r="HB25" s="1439"/>
      <c r="HC25" s="1396"/>
      <c r="HD25" s="1385"/>
      <c r="HE25" s="1385"/>
      <c r="HF25" s="1385"/>
      <c r="HG25" s="1385"/>
      <c r="HH25" s="1385"/>
      <c r="HI25" s="1385"/>
      <c r="HJ25" s="1403"/>
      <c r="HK25" s="402"/>
      <c r="HL25" s="415"/>
    </row>
    <row r="26" spans="2:220" ht="7.5" customHeight="1">
      <c r="B26" s="412"/>
      <c r="C26" s="1385"/>
      <c r="D26" s="1385"/>
      <c r="E26" s="1385"/>
      <c r="F26" s="1385"/>
      <c r="G26" s="1385"/>
      <c r="H26" s="1385"/>
      <c r="I26" s="1385"/>
      <c r="K26" s="1455"/>
      <c r="L26" s="1453"/>
      <c r="M26" s="1453"/>
      <c r="N26" s="1454"/>
      <c r="O26" s="1459"/>
      <c r="P26" s="1459"/>
      <c r="Q26" s="1459"/>
      <c r="R26" s="1459"/>
      <c r="S26" s="1459"/>
      <c r="T26" s="1459"/>
      <c r="U26" s="1459"/>
      <c r="V26" s="1459"/>
      <c r="W26" s="1460"/>
      <c r="AP26" s="1468">
        <v>4</v>
      </c>
      <c r="AQ26" s="1395"/>
      <c r="AR26" s="1395"/>
      <c r="AS26" s="1441"/>
      <c r="AT26" s="1442"/>
      <c r="AU26" s="1442"/>
      <c r="AV26" s="1442"/>
      <c r="AW26" s="1442"/>
      <c r="AX26" s="1442"/>
      <c r="AY26" s="1442"/>
      <c r="AZ26" s="1442"/>
      <c r="BA26" s="1442"/>
      <c r="BB26" s="1442"/>
      <c r="BC26" s="1442"/>
      <c r="BD26" s="1442"/>
      <c r="BE26" s="1442"/>
      <c r="BF26" s="1442"/>
      <c r="BG26" s="1442"/>
      <c r="BH26" s="1442"/>
      <c r="BI26" s="1442"/>
      <c r="BJ26" s="1442"/>
      <c r="BK26" s="1442"/>
      <c r="BL26" s="1442"/>
      <c r="BM26" s="1442"/>
      <c r="BN26" s="1442"/>
      <c r="BO26" s="1442"/>
      <c r="BP26" s="1442"/>
      <c r="BQ26" s="1442"/>
      <c r="BR26" s="1442"/>
      <c r="BS26" s="1442"/>
      <c r="BT26" s="1442"/>
      <c r="BU26" s="1443"/>
      <c r="BV26" s="415"/>
      <c r="BX26" s="1384"/>
      <c r="BY26" s="1384"/>
      <c r="BZ26" s="1384"/>
      <c r="CA26" s="1384"/>
      <c r="CB26" s="1384"/>
      <c r="CC26" s="1384"/>
      <c r="CD26" s="1384"/>
      <c r="CE26" s="1384"/>
      <c r="CF26" s="1384"/>
      <c r="CG26" s="1384"/>
      <c r="CH26" s="1384"/>
      <c r="CI26" s="1384"/>
      <c r="CJ26" s="1384"/>
      <c r="CK26" s="1384"/>
      <c r="CL26" s="1384"/>
      <c r="CM26" s="1384"/>
      <c r="CN26" s="1384"/>
      <c r="CO26" s="1384"/>
      <c r="CP26" s="1427"/>
      <c r="CR26" s="1385"/>
      <c r="CS26" s="1385"/>
      <c r="CT26" s="1385"/>
      <c r="CU26" s="1385"/>
      <c r="CV26" s="1385"/>
      <c r="CW26" s="1385"/>
      <c r="CX26" s="1385"/>
      <c r="CY26" s="1385"/>
      <c r="CZ26" s="1385"/>
      <c r="DA26" s="1385"/>
      <c r="DB26" s="1385"/>
      <c r="DC26" s="1385"/>
      <c r="DD26" s="1385"/>
      <c r="DE26" s="1385"/>
      <c r="DF26" s="1385"/>
      <c r="DG26" s="1385"/>
      <c r="DH26" s="1385"/>
      <c r="DI26" s="1385"/>
      <c r="DJ26" s="1385"/>
      <c r="DK26" s="1385"/>
      <c r="DL26" s="1385"/>
      <c r="DM26" s="1385"/>
      <c r="DN26" s="1385"/>
      <c r="DO26" s="1385"/>
      <c r="DP26" s="1385"/>
      <c r="DQ26" s="1385"/>
      <c r="DR26" s="1385"/>
      <c r="DS26" s="1385"/>
      <c r="DT26" s="1385"/>
      <c r="DU26" s="1385"/>
      <c r="DV26" s="1385"/>
      <c r="DW26" s="1385"/>
      <c r="DY26" s="1482"/>
      <c r="DZ26" s="1427"/>
      <c r="EA26" s="1427"/>
      <c r="EB26" s="1427"/>
      <c r="EC26" s="1427"/>
      <c r="ED26" s="1427"/>
      <c r="EE26" s="1427"/>
      <c r="EF26" s="1427"/>
      <c r="EG26" s="1427"/>
      <c r="EH26" s="1427"/>
      <c r="EI26" s="1427"/>
      <c r="EJ26" s="1427"/>
      <c r="EK26" s="1427"/>
      <c r="EL26" s="1427"/>
      <c r="EM26" s="1427"/>
      <c r="EN26" s="1427"/>
      <c r="EO26" s="1427"/>
      <c r="EP26" s="1428"/>
      <c r="EQ26" s="415"/>
      <c r="ER26" s="412"/>
      <c r="HK26" s="430"/>
      <c r="HL26" s="415"/>
    </row>
    <row r="27" spans="2:220" ht="7.5" customHeight="1">
      <c r="B27" s="412"/>
      <c r="C27" s="1473">
        <v>10</v>
      </c>
      <c r="D27" s="1395"/>
      <c r="E27" s="1395"/>
      <c r="F27" s="1395"/>
      <c r="G27" s="1395"/>
      <c r="H27" s="1395"/>
      <c r="I27" s="1402"/>
      <c r="K27" s="1452"/>
      <c r="L27" s="1453"/>
      <c r="M27" s="1453"/>
      <c r="N27" s="1454"/>
      <c r="O27" s="1456" t="s">
        <v>7401</v>
      </c>
      <c r="P27" s="1457"/>
      <c r="Q27" s="1457"/>
      <c r="R27" s="1457"/>
      <c r="S27" s="1457"/>
      <c r="T27" s="1457"/>
      <c r="U27" s="1457"/>
      <c r="V27" s="1457"/>
      <c r="W27" s="1458"/>
      <c r="Y27" s="1344" t="s">
        <v>7381</v>
      </c>
      <c r="Z27" s="1395"/>
      <c r="AA27" s="1395"/>
      <c r="AB27" s="1395"/>
      <c r="AC27" s="1395"/>
      <c r="AD27" s="1395"/>
      <c r="AE27" s="1395"/>
      <c r="AF27" s="1395"/>
      <c r="AG27" s="1395"/>
      <c r="AH27" s="1395"/>
      <c r="AI27" s="1395"/>
      <c r="AJ27" s="1395"/>
      <c r="AK27" s="1395"/>
      <c r="AL27" s="1395"/>
      <c r="AM27" s="1395"/>
      <c r="AN27" s="1402"/>
      <c r="AP27" s="1396"/>
      <c r="AQ27" s="1385"/>
      <c r="AR27" s="1385"/>
      <c r="AS27" s="1441"/>
      <c r="AT27" s="1442"/>
      <c r="AU27" s="1442"/>
      <c r="AV27" s="1442"/>
      <c r="AW27" s="1442"/>
      <c r="AX27" s="1442"/>
      <c r="AY27" s="1442"/>
      <c r="AZ27" s="1442"/>
      <c r="BA27" s="1442"/>
      <c r="BB27" s="1442"/>
      <c r="BC27" s="1442"/>
      <c r="BD27" s="1442"/>
      <c r="BE27" s="1442"/>
      <c r="BF27" s="1442"/>
      <c r="BG27" s="1442"/>
      <c r="BH27" s="1442"/>
      <c r="BI27" s="1442"/>
      <c r="BJ27" s="1442"/>
      <c r="BK27" s="1442"/>
      <c r="BL27" s="1442"/>
      <c r="BM27" s="1442"/>
      <c r="BN27" s="1442"/>
      <c r="BO27" s="1442"/>
      <c r="BP27" s="1442"/>
      <c r="BQ27" s="1442"/>
      <c r="BR27" s="1442"/>
      <c r="BS27" s="1442"/>
      <c r="BT27" s="1442"/>
      <c r="BU27" s="1443"/>
      <c r="BV27" s="415"/>
      <c r="BX27" s="1493"/>
      <c r="BY27" s="1494"/>
      <c r="BZ27" s="1494"/>
      <c r="CA27" s="1494"/>
      <c r="CB27" s="1494"/>
      <c r="CC27" s="1494"/>
      <c r="CD27" s="1494"/>
      <c r="CE27" s="1494"/>
      <c r="CF27" s="1494"/>
      <c r="CG27" s="1494"/>
      <c r="CH27" s="1494"/>
      <c r="CI27" s="1494"/>
      <c r="CJ27" s="1494"/>
      <c r="CK27" s="1494"/>
      <c r="CL27" s="1494"/>
      <c r="CM27" s="1494"/>
      <c r="CN27" s="1494"/>
      <c r="CO27" s="1494"/>
      <c r="CP27" s="1364"/>
      <c r="CR27" s="1495"/>
      <c r="CS27" s="1356"/>
      <c r="CT27" s="1356"/>
      <c r="CU27" s="1356"/>
      <c r="CV27" s="1356"/>
      <c r="CW27" s="1356"/>
      <c r="CX27" s="1356"/>
      <c r="CY27" s="1356"/>
      <c r="CZ27" s="1356"/>
      <c r="DA27" s="1356"/>
      <c r="DB27" s="1356"/>
      <c r="DC27" s="1356"/>
      <c r="DD27" s="1356"/>
      <c r="DE27" s="1356"/>
      <c r="DF27" s="1356"/>
      <c r="DG27" s="1356"/>
      <c r="DH27" s="1356"/>
      <c r="DI27" s="1356"/>
      <c r="DJ27" s="1356"/>
      <c r="DK27" s="1356"/>
      <c r="DL27" s="1356"/>
      <c r="DM27" s="1356"/>
      <c r="DN27" s="1356"/>
      <c r="DO27" s="1356"/>
      <c r="DP27" s="1356"/>
      <c r="DQ27" s="1356"/>
      <c r="DR27" s="1356"/>
      <c r="DS27" s="1356"/>
      <c r="DT27" s="1356"/>
      <c r="DU27" s="1356"/>
      <c r="DV27" s="1356"/>
      <c r="DW27" s="1357"/>
      <c r="DY27" s="1506"/>
      <c r="DZ27" s="1417"/>
      <c r="EA27" s="1417"/>
      <c r="EB27" s="1417"/>
      <c r="EC27" s="1417"/>
      <c r="ED27" s="1417"/>
      <c r="EE27" s="1417"/>
      <c r="EF27" s="1417"/>
      <c r="EG27" s="1417"/>
      <c r="EH27" s="1417"/>
      <c r="EI27" s="1417"/>
      <c r="EJ27" s="1417"/>
      <c r="EK27" s="1417"/>
      <c r="EL27" s="1417"/>
      <c r="EM27" s="1417"/>
      <c r="EN27" s="1417"/>
      <c r="EO27" s="1417"/>
      <c r="EP27" s="1418"/>
      <c r="EQ27" s="415"/>
      <c r="ER27" s="412"/>
      <c r="HK27" s="430"/>
      <c r="HL27" s="415"/>
    </row>
    <row r="28" spans="2:220" ht="7.5" customHeight="1">
      <c r="B28" s="412"/>
      <c r="C28" s="1411"/>
      <c r="D28" s="1384"/>
      <c r="E28" s="1384"/>
      <c r="F28" s="1384"/>
      <c r="G28" s="1384"/>
      <c r="H28" s="1384"/>
      <c r="I28" s="1412"/>
      <c r="K28" s="1455"/>
      <c r="L28" s="1453"/>
      <c r="M28" s="1453"/>
      <c r="N28" s="1454"/>
      <c r="O28" s="1459"/>
      <c r="P28" s="1459"/>
      <c r="Q28" s="1459"/>
      <c r="R28" s="1459"/>
      <c r="S28" s="1459"/>
      <c r="T28" s="1459"/>
      <c r="U28" s="1459"/>
      <c r="V28" s="1459"/>
      <c r="W28" s="1460"/>
      <c r="Y28" s="1411"/>
      <c r="Z28" s="1384"/>
      <c r="AA28" s="1384"/>
      <c r="AB28" s="1384"/>
      <c r="AC28" s="1384"/>
      <c r="AD28" s="1384"/>
      <c r="AE28" s="1384"/>
      <c r="AF28" s="1384"/>
      <c r="AG28" s="1384"/>
      <c r="AH28" s="1384"/>
      <c r="AI28" s="1384"/>
      <c r="AJ28" s="1384"/>
      <c r="AK28" s="1384"/>
      <c r="AL28" s="1384"/>
      <c r="AM28" s="1384"/>
      <c r="AN28" s="1412"/>
      <c r="AP28" s="1468">
        <v>5</v>
      </c>
      <c r="AQ28" s="1395"/>
      <c r="AR28" s="1395"/>
      <c r="AS28" s="1441"/>
      <c r="AT28" s="1442"/>
      <c r="AU28" s="1442"/>
      <c r="AV28" s="1442"/>
      <c r="AW28" s="1442"/>
      <c r="AX28" s="1442"/>
      <c r="AY28" s="1442"/>
      <c r="AZ28" s="1442"/>
      <c r="BA28" s="1442"/>
      <c r="BB28" s="1442"/>
      <c r="BC28" s="1442"/>
      <c r="BD28" s="1442"/>
      <c r="BE28" s="1442"/>
      <c r="BF28" s="1442"/>
      <c r="BG28" s="1442"/>
      <c r="BH28" s="1442"/>
      <c r="BI28" s="1442"/>
      <c r="BJ28" s="1442"/>
      <c r="BK28" s="1442"/>
      <c r="BL28" s="1442"/>
      <c r="BM28" s="1442"/>
      <c r="BN28" s="1442"/>
      <c r="BO28" s="1442"/>
      <c r="BP28" s="1442"/>
      <c r="BQ28" s="1442"/>
      <c r="BR28" s="1442"/>
      <c r="BS28" s="1442"/>
      <c r="BT28" s="1442"/>
      <c r="BU28" s="1443"/>
      <c r="BV28" s="415"/>
      <c r="BX28" s="1494"/>
      <c r="BY28" s="1494"/>
      <c r="BZ28" s="1494"/>
      <c r="CA28" s="1494"/>
      <c r="CB28" s="1494"/>
      <c r="CC28" s="1494"/>
      <c r="CD28" s="1494"/>
      <c r="CE28" s="1494"/>
      <c r="CF28" s="1494"/>
      <c r="CG28" s="1494"/>
      <c r="CH28" s="1494"/>
      <c r="CI28" s="1494"/>
      <c r="CJ28" s="1494"/>
      <c r="CK28" s="1494"/>
      <c r="CL28" s="1494"/>
      <c r="CM28" s="1494"/>
      <c r="CN28" s="1494"/>
      <c r="CO28" s="1494"/>
      <c r="CP28" s="1364"/>
      <c r="CR28" s="1358"/>
      <c r="CS28" s="1359"/>
      <c r="CT28" s="1359"/>
      <c r="CU28" s="1359"/>
      <c r="CV28" s="1359"/>
      <c r="CW28" s="1359"/>
      <c r="CX28" s="1359"/>
      <c r="CY28" s="1359"/>
      <c r="CZ28" s="1359"/>
      <c r="DA28" s="1359"/>
      <c r="DB28" s="1359"/>
      <c r="DC28" s="1359"/>
      <c r="DD28" s="1359"/>
      <c r="DE28" s="1359"/>
      <c r="DF28" s="1359"/>
      <c r="DG28" s="1359"/>
      <c r="DH28" s="1359"/>
      <c r="DI28" s="1359"/>
      <c r="DJ28" s="1359"/>
      <c r="DK28" s="1359"/>
      <c r="DL28" s="1359"/>
      <c r="DM28" s="1359"/>
      <c r="DN28" s="1359"/>
      <c r="DO28" s="1359"/>
      <c r="DP28" s="1359"/>
      <c r="DQ28" s="1359"/>
      <c r="DR28" s="1359"/>
      <c r="DS28" s="1359"/>
      <c r="DT28" s="1359"/>
      <c r="DU28" s="1359"/>
      <c r="DV28" s="1359"/>
      <c r="DW28" s="1360"/>
      <c r="DY28" s="1416"/>
      <c r="DZ28" s="1417"/>
      <c r="EA28" s="1417"/>
      <c r="EB28" s="1417"/>
      <c r="EC28" s="1417"/>
      <c r="ED28" s="1417"/>
      <c r="EE28" s="1417"/>
      <c r="EF28" s="1417"/>
      <c r="EG28" s="1417"/>
      <c r="EH28" s="1417"/>
      <c r="EI28" s="1417"/>
      <c r="EJ28" s="1417"/>
      <c r="EK28" s="1417"/>
      <c r="EL28" s="1417"/>
      <c r="EM28" s="1417"/>
      <c r="EN28" s="1417"/>
      <c r="EO28" s="1417"/>
      <c r="EP28" s="1418"/>
      <c r="EQ28" s="415"/>
      <c r="ER28" s="412"/>
      <c r="HK28" s="431"/>
      <c r="HL28" s="415"/>
    </row>
    <row r="29" spans="2:220" ht="7.5" customHeight="1">
      <c r="B29" s="412"/>
      <c r="C29" s="1411"/>
      <c r="D29" s="1384"/>
      <c r="E29" s="1384"/>
      <c r="F29" s="1384"/>
      <c r="G29" s="1384"/>
      <c r="H29" s="1384"/>
      <c r="I29" s="1412"/>
      <c r="K29" s="1452"/>
      <c r="L29" s="1488"/>
      <c r="M29" s="1488"/>
      <c r="N29" s="1489"/>
      <c r="O29" s="1456" t="s">
        <v>7402</v>
      </c>
      <c r="P29" s="1456"/>
      <c r="Q29" s="1456"/>
      <c r="R29" s="1456"/>
      <c r="S29" s="1456"/>
      <c r="T29" s="1456"/>
      <c r="U29" s="1456"/>
      <c r="V29" s="1456"/>
      <c r="W29" s="1490"/>
      <c r="Y29" s="1505"/>
      <c r="Z29" s="1395"/>
      <c r="AA29" s="1395"/>
      <c r="AB29" s="1395"/>
      <c r="AC29" s="1395"/>
      <c r="AD29" s="1395"/>
      <c r="AE29" s="1395"/>
      <c r="AF29" s="1395"/>
      <c r="AG29" s="1395"/>
      <c r="AH29" s="1395"/>
      <c r="AI29" s="1395"/>
      <c r="AJ29" s="1395"/>
      <c r="AK29" s="1395"/>
      <c r="AL29" s="1395"/>
      <c r="AM29" s="1395"/>
      <c r="AN29" s="1402"/>
      <c r="AO29" s="419"/>
      <c r="AP29" s="1396"/>
      <c r="AQ29" s="1385"/>
      <c r="AR29" s="1385"/>
      <c r="AS29" s="1441"/>
      <c r="AT29" s="1442"/>
      <c r="AU29" s="1442"/>
      <c r="AV29" s="1442"/>
      <c r="AW29" s="1442"/>
      <c r="AX29" s="1442"/>
      <c r="AY29" s="1442"/>
      <c r="AZ29" s="1442"/>
      <c r="BA29" s="1442"/>
      <c r="BB29" s="1442"/>
      <c r="BC29" s="1442"/>
      <c r="BD29" s="1442"/>
      <c r="BE29" s="1442"/>
      <c r="BF29" s="1442"/>
      <c r="BG29" s="1442"/>
      <c r="BH29" s="1442"/>
      <c r="BI29" s="1442"/>
      <c r="BJ29" s="1442"/>
      <c r="BK29" s="1442"/>
      <c r="BL29" s="1442"/>
      <c r="BM29" s="1442"/>
      <c r="BN29" s="1442"/>
      <c r="BO29" s="1442"/>
      <c r="BP29" s="1442"/>
      <c r="BQ29" s="1442"/>
      <c r="BR29" s="1442"/>
      <c r="BS29" s="1442"/>
      <c r="BT29" s="1442"/>
      <c r="BU29" s="1443"/>
      <c r="BV29" s="415"/>
      <c r="BX29" s="1493"/>
      <c r="BY29" s="1494"/>
      <c r="BZ29" s="1494"/>
      <c r="CA29" s="1494"/>
      <c r="CB29" s="1494"/>
      <c r="CC29" s="1494"/>
      <c r="CD29" s="1494"/>
      <c r="CE29" s="1494"/>
      <c r="CF29" s="1494"/>
      <c r="CG29" s="1494"/>
      <c r="CH29" s="1494"/>
      <c r="CI29" s="1494"/>
      <c r="CJ29" s="1494"/>
      <c r="CK29" s="1494"/>
      <c r="CL29" s="1494"/>
      <c r="CM29" s="1494"/>
      <c r="CN29" s="1494"/>
      <c r="CO29" s="1494"/>
      <c r="CP29" s="1364"/>
      <c r="CR29" s="1361"/>
      <c r="CS29" s="1362"/>
      <c r="CT29" s="1362"/>
      <c r="CU29" s="1362"/>
      <c r="CV29" s="1362"/>
      <c r="CW29" s="1362"/>
      <c r="CX29" s="1362"/>
      <c r="CY29" s="1362"/>
      <c r="CZ29" s="1362"/>
      <c r="DA29" s="1362"/>
      <c r="DB29" s="1362"/>
      <c r="DC29" s="1362"/>
      <c r="DD29" s="1362"/>
      <c r="DE29" s="1362"/>
      <c r="DF29" s="1362"/>
      <c r="DG29" s="1362"/>
      <c r="DH29" s="1362"/>
      <c r="DI29" s="1362"/>
      <c r="DJ29" s="1362"/>
      <c r="DK29" s="1362"/>
      <c r="DL29" s="1362"/>
      <c r="DM29" s="1362"/>
      <c r="DN29" s="1362"/>
      <c r="DO29" s="1362"/>
      <c r="DP29" s="1362"/>
      <c r="DQ29" s="1362"/>
      <c r="DR29" s="1362"/>
      <c r="DS29" s="1362"/>
      <c r="DT29" s="1362"/>
      <c r="DU29" s="1362"/>
      <c r="DV29" s="1362"/>
      <c r="DW29" s="1363"/>
      <c r="DY29" s="1419"/>
      <c r="DZ29" s="1420"/>
      <c r="EA29" s="1420"/>
      <c r="EB29" s="1420"/>
      <c r="EC29" s="1420"/>
      <c r="ED29" s="1420"/>
      <c r="EE29" s="1420"/>
      <c r="EF29" s="1420"/>
      <c r="EG29" s="1420"/>
      <c r="EH29" s="1420"/>
      <c r="EI29" s="1420"/>
      <c r="EJ29" s="1420"/>
      <c r="EK29" s="1420"/>
      <c r="EL29" s="1420"/>
      <c r="EM29" s="1420"/>
      <c r="EN29" s="1420"/>
      <c r="EO29" s="1420"/>
      <c r="EP29" s="1421"/>
      <c r="EQ29" s="415"/>
      <c r="ER29" s="412"/>
      <c r="HK29" s="431"/>
      <c r="HL29" s="415"/>
    </row>
    <row r="30" spans="2:220" ht="7.5" customHeight="1">
      <c r="B30" s="412"/>
      <c r="C30" s="1396"/>
      <c r="D30" s="1385"/>
      <c r="E30" s="1385"/>
      <c r="F30" s="1385"/>
      <c r="G30" s="1385"/>
      <c r="H30" s="1385"/>
      <c r="I30" s="1403"/>
      <c r="K30" s="1452"/>
      <c r="L30" s="1488"/>
      <c r="M30" s="1488"/>
      <c r="N30" s="1489"/>
      <c r="O30" s="1491"/>
      <c r="P30" s="1491"/>
      <c r="Q30" s="1491"/>
      <c r="R30" s="1491"/>
      <c r="S30" s="1491"/>
      <c r="T30" s="1491"/>
      <c r="U30" s="1491"/>
      <c r="V30" s="1491"/>
      <c r="W30" s="1492"/>
      <c r="Y30" s="1411"/>
      <c r="Z30" s="1384"/>
      <c r="AA30" s="1384"/>
      <c r="AB30" s="1384"/>
      <c r="AC30" s="1384"/>
      <c r="AD30" s="1384"/>
      <c r="AE30" s="1384"/>
      <c r="AF30" s="1384"/>
      <c r="AG30" s="1384"/>
      <c r="AH30" s="1384"/>
      <c r="AI30" s="1384"/>
      <c r="AJ30" s="1384"/>
      <c r="AK30" s="1384"/>
      <c r="AL30" s="1384"/>
      <c r="AM30" s="1384"/>
      <c r="AN30" s="1412"/>
      <c r="AO30" s="419"/>
      <c r="AP30" s="1468">
        <v>6</v>
      </c>
      <c r="AQ30" s="1395"/>
      <c r="AR30" s="1395"/>
      <c r="AS30" s="1441"/>
      <c r="AT30" s="1442"/>
      <c r="AU30" s="1442"/>
      <c r="AV30" s="1442"/>
      <c r="AW30" s="1442"/>
      <c r="AX30" s="1442"/>
      <c r="AY30" s="1442"/>
      <c r="AZ30" s="1442"/>
      <c r="BA30" s="1442"/>
      <c r="BB30" s="1442"/>
      <c r="BC30" s="1442"/>
      <c r="BD30" s="1442"/>
      <c r="BE30" s="1442"/>
      <c r="BF30" s="1442"/>
      <c r="BG30" s="1442"/>
      <c r="BH30" s="1442"/>
      <c r="BI30" s="1442"/>
      <c r="BJ30" s="1442"/>
      <c r="BK30" s="1442"/>
      <c r="BL30" s="1442"/>
      <c r="BM30" s="1442"/>
      <c r="BN30" s="1442"/>
      <c r="BO30" s="1442"/>
      <c r="BP30" s="1442"/>
      <c r="BQ30" s="1442"/>
      <c r="BR30" s="1442"/>
      <c r="BS30" s="1442"/>
      <c r="BT30" s="1442"/>
      <c r="BU30" s="1443"/>
      <c r="BV30" s="415"/>
      <c r="BX30" s="1494"/>
      <c r="BY30" s="1494"/>
      <c r="BZ30" s="1494"/>
      <c r="CA30" s="1494"/>
      <c r="CB30" s="1494"/>
      <c r="CC30" s="1494"/>
      <c r="CD30" s="1494"/>
      <c r="CE30" s="1494"/>
      <c r="CF30" s="1494"/>
      <c r="CG30" s="1494"/>
      <c r="CH30" s="1494"/>
      <c r="CI30" s="1494"/>
      <c r="CJ30" s="1494"/>
      <c r="CK30" s="1494"/>
      <c r="CL30" s="1494"/>
      <c r="CM30" s="1494"/>
      <c r="CN30" s="1494"/>
      <c r="CO30" s="1494"/>
      <c r="CP30" s="1364"/>
      <c r="CR30" s="1495"/>
      <c r="CS30" s="1356"/>
      <c r="CT30" s="1356"/>
      <c r="CU30" s="1356"/>
      <c r="CV30" s="1356"/>
      <c r="CW30" s="1356"/>
      <c r="CX30" s="1356"/>
      <c r="CY30" s="1356"/>
      <c r="CZ30" s="1356"/>
      <c r="DA30" s="1356"/>
      <c r="DB30" s="1356"/>
      <c r="DC30" s="1356"/>
      <c r="DD30" s="1356"/>
      <c r="DE30" s="1356"/>
      <c r="DF30" s="1356"/>
      <c r="DG30" s="1356"/>
      <c r="DH30" s="1356"/>
      <c r="DI30" s="1356"/>
      <c r="DJ30" s="1356"/>
      <c r="DK30" s="1356"/>
      <c r="DL30" s="1356"/>
      <c r="DM30" s="1356"/>
      <c r="DN30" s="1356"/>
      <c r="DO30" s="1356"/>
      <c r="DP30" s="1356"/>
      <c r="DQ30" s="1356"/>
      <c r="DR30" s="1356"/>
      <c r="DS30" s="1356"/>
      <c r="DT30" s="1356"/>
      <c r="DU30" s="1356"/>
      <c r="DV30" s="1356"/>
      <c r="DW30" s="1357"/>
      <c r="EQ30" s="415"/>
      <c r="ER30" s="412"/>
      <c r="HK30" s="431"/>
      <c r="HL30" s="415"/>
    </row>
    <row r="31" spans="2:220" ht="7.5" customHeight="1">
      <c r="B31" s="412"/>
      <c r="C31" s="1461">
        <f>VLOOKUP(C27,[4]ABILITIES!$Z$3:$AA$24,2)</f>
        <v>0</v>
      </c>
      <c r="D31" s="1461"/>
      <c r="E31" s="1461"/>
      <c r="F31" s="1461"/>
      <c r="G31" s="1461"/>
      <c r="H31" s="1461"/>
      <c r="I31" s="1461"/>
      <c r="K31" s="1452"/>
      <c r="L31" s="1488"/>
      <c r="M31" s="1488"/>
      <c r="N31" s="1489"/>
      <c r="O31" s="1456" t="s">
        <v>7403</v>
      </c>
      <c r="P31" s="1456"/>
      <c r="Q31" s="1456"/>
      <c r="R31" s="1456"/>
      <c r="S31" s="1456"/>
      <c r="T31" s="1456"/>
      <c r="U31" s="1456"/>
      <c r="V31" s="1456"/>
      <c r="W31" s="1490"/>
      <c r="Y31" s="1411"/>
      <c r="Z31" s="1384"/>
      <c r="AA31" s="1384"/>
      <c r="AB31" s="1384"/>
      <c r="AC31" s="1384"/>
      <c r="AD31" s="1384"/>
      <c r="AE31" s="1384"/>
      <c r="AF31" s="1384"/>
      <c r="AG31" s="1384"/>
      <c r="AH31" s="1384"/>
      <c r="AI31" s="1384"/>
      <c r="AJ31" s="1384"/>
      <c r="AK31" s="1384"/>
      <c r="AL31" s="1384"/>
      <c r="AM31" s="1384"/>
      <c r="AN31" s="1412"/>
      <c r="AO31" s="432"/>
      <c r="AP31" s="1396"/>
      <c r="AQ31" s="1385"/>
      <c r="AR31" s="1385"/>
      <c r="AS31" s="1441"/>
      <c r="AT31" s="1442"/>
      <c r="AU31" s="1442"/>
      <c r="AV31" s="1442"/>
      <c r="AW31" s="1442"/>
      <c r="AX31" s="1442"/>
      <c r="AY31" s="1442"/>
      <c r="AZ31" s="1442"/>
      <c r="BA31" s="1442"/>
      <c r="BB31" s="1442"/>
      <c r="BC31" s="1442"/>
      <c r="BD31" s="1442"/>
      <c r="BE31" s="1442"/>
      <c r="BF31" s="1442"/>
      <c r="BG31" s="1442"/>
      <c r="BH31" s="1442"/>
      <c r="BI31" s="1442"/>
      <c r="BJ31" s="1442"/>
      <c r="BK31" s="1442"/>
      <c r="BL31" s="1442"/>
      <c r="BM31" s="1442"/>
      <c r="BN31" s="1442"/>
      <c r="BO31" s="1442"/>
      <c r="BP31" s="1442"/>
      <c r="BQ31" s="1442"/>
      <c r="BR31" s="1442"/>
      <c r="BS31" s="1442"/>
      <c r="BT31" s="1442"/>
      <c r="BU31" s="1443"/>
      <c r="BV31" s="415"/>
      <c r="BX31" s="1493"/>
      <c r="BY31" s="1494"/>
      <c r="BZ31" s="1494"/>
      <c r="CA31" s="1494"/>
      <c r="CB31" s="1494"/>
      <c r="CC31" s="1494"/>
      <c r="CD31" s="1494"/>
      <c r="CE31" s="1494"/>
      <c r="CF31" s="1494"/>
      <c r="CG31" s="1494"/>
      <c r="CH31" s="1494"/>
      <c r="CI31" s="1494"/>
      <c r="CJ31" s="1494"/>
      <c r="CK31" s="1494"/>
      <c r="CL31" s="1494"/>
      <c r="CM31" s="1494"/>
      <c r="CN31" s="1494"/>
      <c r="CO31" s="1494"/>
      <c r="CP31" s="1354"/>
      <c r="CQ31" s="422"/>
      <c r="CR31" s="1358"/>
      <c r="CS31" s="1359"/>
      <c r="CT31" s="1359"/>
      <c r="CU31" s="1359"/>
      <c r="CV31" s="1359"/>
      <c r="CW31" s="1359"/>
      <c r="CX31" s="1359"/>
      <c r="CY31" s="1359"/>
      <c r="CZ31" s="1359"/>
      <c r="DA31" s="1359"/>
      <c r="DB31" s="1359"/>
      <c r="DC31" s="1359"/>
      <c r="DD31" s="1359"/>
      <c r="DE31" s="1359"/>
      <c r="DF31" s="1359"/>
      <c r="DG31" s="1359"/>
      <c r="DH31" s="1359"/>
      <c r="DI31" s="1359"/>
      <c r="DJ31" s="1359"/>
      <c r="DK31" s="1359"/>
      <c r="DL31" s="1359"/>
      <c r="DM31" s="1359"/>
      <c r="DN31" s="1359"/>
      <c r="DO31" s="1359"/>
      <c r="DP31" s="1359"/>
      <c r="DQ31" s="1359"/>
      <c r="DR31" s="1359"/>
      <c r="DS31" s="1359"/>
      <c r="DT31" s="1359"/>
      <c r="DU31" s="1359"/>
      <c r="DV31" s="1359"/>
      <c r="DW31" s="1360"/>
      <c r="DY31" s="1479"/>
      <c r="DZ31" s="1384"/>
      <c r="EA31" s="1384"/>
      <c r="EB31" s="1384"/>
      <c r="EC31" s="1384"/>
      <c r="ED31" s="1384"/>
      <c r="EE31" s="1384"/>
      <c r="EF31" s="1384"/>
      <c r="EG31" s="1384"/>
      <c r="EH31" s="1384"/>
      <c r="EI31" s="1384"/>
      <c r="EJ31" s="1384"/>
      <c r="EK31" s="1384"/>
      <c r="EL31" s="1384"/>
      <c r="EM31" s="1384"/>
      <c r="EN31" s="1384"/>
      <c r="EO31" s="1384"/>
      <c r="EP31" s="1384"/>
      <c r="EQ31" s="415"/>
      <c r="ER31" s="412"/>
      <c r="HL31" s="415"/>
    </row>
    <row r="32" spans="2:220" ht="7.5" customHeight="1">
      <c r="B32" s="412"/>
      <c r="C32" s="1461"/>
      <c r="D32" s="1461"/>
      <c r="E32" s="1461"/>
      <c r="F32" s="1461"/>
      <c r="G32" s="1461"/>
      <c r="H32" s="1461"/>
      <c r="I32" s="1461"/>
      <c r="K32" s="1452"/>
      <c r="L32" s="1488"/>
      <c r="M32" s="1488"/>
      <c r="N32" s="1489"/>
      <c r="O32" s="1491"/>
      <c r="P32" s="1491"/>
      <c r="Q32" s="1491"/>
      <c r="R32" s="1491"/>
      <c r="S32" s="1491"/>
      <c r="T32" s="1491"/>
      <c r="U32" s="1491"/>
      <c r="V32" s="1491"/>
      <c r="W32" s="1492"/>
      <c r="Y32" s="1396"/>
      <c r="Z32" s="1385"/>
      <c r="AA32" s="1385"/>
      <c r="AB32" s="1385"/>
      <c r="AC32" s="1385"/>
      <c r="AD32" s="1385"/>
      <c r="AE32" s="1385"/>
      <c r="AF32" s="1385"/>
      <c r="AG32" s="1385"/>
      <c r="AH32" s="1385"/>
      <c r="AI32" s="1385"/>
      <c r="AJ32" s="1385"/>
      <c r="AK32" s="1385"/>
      <c r="AL32" s="1385"/>
      <c r="AM32" s="1385"/>
      <c r="AN32" s="1403"/>
      <c r="AO32" s="432"/>
      <c r="AP32" s="1468">
        <v>7</v>
      </c>
      <c r="AQ32" s="1395"/>
      <c r="AR32" s="1395"/>
      <c r="AS32" s="1441"/>
      <c r="AT32" s="1442"/>
      <c r="AU32" s="1442"/>
      <c r="AV32" s="1442"/>
      <c r="AW32" s="1442"/>
      <c r="AX32" s="1442"/>
      <c r="AY32" s="1442"/>
      <c r="AZ32" s="1442"/>
      <c r="BA32" s="1442"/>
      <c r="BB32" s="1442"/>
      <c r="BC32" s="1442"/>
      <c r="BD32" s="1442"/>
      <c r="BE32" s="1442"/>
      <c r="BF32" s="1442"/>
      <c r="BG32" s="1442"/>
      <c r="BH32" s="1442"/>
      <c r="BI32" s="1442"/>
      <c r="BJ32" s="1442"/>
      <c r="BK32" s="1442"/>
      <c r="BL32" s="1442"/>
      <c r="BM32" s="1442"/>
      <c r="BN32" s="1442"/>
      <c r="BO32" s="1442"/>
      <c r="BP32" s="1442"/>
      <c r="BQ32" s="1442"/>
      <c r="BR32" s="1442"/>
      <c r="BS32" s="1442"/>
      <c r="BT32" s="1442"/>
      <c r="BU32" s="1443"/>
      <c r="BV32" s="415"/>
      <c r="BX32" s="1494"/>
      <c r="BY32" s="1494"/>
      <c r="BZ32" s="1494"/>
      <c r="CA32" s="1494"/>
      <c r="CB32" s="1494"/>
      <c r="CC32" s="1494"/>
      <c r="CD32" s="1494"/>
      <c r="CE32" s="1494"/>
      <c r="CF32" s="1494"/>
      <c r="CG32" s="1494"/>
      <c r="CH32" s="1494"/>
      <c r="CI32" s="1494"/>
      <c r="CJ32" s="1494"/>
      <c r="CK32" s="1494"/>
      <c r="CL32" s="1494"/>
      <c r="CM32" s="1494"/>
      <c r="CN32" s="1494"/>
      <c r="CO32" s="1494"/>
      <c r="CP32" s="1354"/>
      <c r="CR32" s="1361"/>
      <c r="CS32" s="1362"/>
      <c r="CT32" s="1362"/>
      <c r="CU32" s="1362"/>
      <c r="CV32" s="1362"/>
      <c r="CW32" s="1362"/>
      <c r="CX32" s="1362"/>
      <c r="CY32" s="1362"/>
      <c r="CZ32" s="1362"/>
      <c r="DA32" s="1362"/>
      <c r="DB32" s="1362"/>
      <c r="DC32" s="1362"/>
      <c r="DD32" s="1362"/>
      <c r="DE32" s="1362"/>
      <c r="DF32" s="1362"/>
      <c r="DG32" s="1362"/>
      <c r="DH32" s="1362"/>
      <c r="DI32" s="1362"/>
      <c r="DJ32" s="1362"/>
      <c r="DK32" s="1362"/>
      <c r="DL32" s="1362"/>
      <c r="DM32" s="1362"/>
      <c r="DN32" s="1362"/>
      <c r="DO32" s="1362"/>
      <c r="DP32" s="1362"/>
      <c r="DQ32" s="1362"/>
      <c r="DR32" s="1362"/>
      <c r="DS32" s="1362"/>
      <c r="DT32" s="1362"/>
      <c r="DU32" s="1362"/>
      <c r="DV32" s="1362"/>
      <c r="DW32" s="1363"/>
      <c r="DY32" s="1385"/>
      <c r="DZ32" s="1385"/>
      <c r="EA32" s="1385"/>
      <c r="EB32" s="1385"/>
      <c r="EC32" s="1385"/>
      <c r="ED32" s="1385"/>
      <c r="EE32" s="1385"/>
      <c r="EF32" s="1385"/>
      <c r="EG32" s="1385"/>
      <c r="EH32" s="1385"/>
      <c r="EI32" s="1385"/>
      <c r="EJ32" s="1385"/>
      <c r="EK32" s="1385"/>
      <c r="EL32" s="1385"/>
      <c r="EM32" s="1385"/>
      <c r="EN32" s="1385"/>
      <c r="EO32" s="1385"/>
      <c r="EP32" s="1385"/>
      <c r="EQ32" s="415"/>
      <c r="ER32" s="412"/>
      <c r="EU32" s="426"/>
      <c r="EV32" s="426"/>
      <c r="EW32" s="426"/>
      <c r="EX32" s="426"/>
      <c r="EY32" s="426"/>
      <c r="EZ32" s="426"/>
      <c r="FA32" s="426"/>
      <c r="FB32" s="426"/>
      <c r="FC32" s="426"/>
      <c r="FD32" s="426"/>
      <c r="FE32" s="426"/>
      <c r="FF32" s="426"/>
      <c r="FG32" s="427"/>
      <c r="FH32" s="427"/>
      <c r="FI32" s="427"/>
      <c r="FJ32" s="427"/>
      <c r="FK32" s="427"/>
      <c r="FL32" s="427"/>
      <c r="FM32" s="427"/>
      <c r="FN32" s="427"/>
      <c r="FO32" s="427"/>
      <c r="FP32" s="427"/>
      <c r="FQ32" s="427"/>
      <c r="FR32" s="427"/>
      <c r="FS32" s="427"/>
      <c r="FT32" s="427"/>
      <c r="FU32" s="427"/>
      <c r="FV32" s="427"/>
      <c r="FW32" s="426"/>
      <c r="FX32" s="426"/>
      <c r="FY32" s="426"/>
      <c r="FZ32" s="426"/>
      <c r="GA32" s="426"/>
      <c r="GB32" s="426"/>
      <c r="GC32" s="426"/>
      <c r="GD32" s="426"/>
      <c r="GE32" s="426"/>
      <c r="GF32" s="426"/>
      <c r="GG32" s="426"/>
      <c r="GH32" s="426"/>
      <c r="GI32" s="426"/>
      <c r="GJ32" s="426"/>
      <c r="GK32" s="426"/>
      <c r="GL32" s="426"/>
      <c r="GM32" s="426"/>
      <c r="GN32" s="426"/>
      <c r="GO32" s="426"/>
      <c r="GP32" s="426"/>
      <c r="GQ32" s="426"/>
      <c r="GR32" s="426"/>
      <c r="GS32" s="426"/>
      <c r="GT32" s="426"/>
      <c r="GU32" s="426"/>
      <c r="GV32" s="426"/>
      <c r="GW32" s="426"/>
      <c r="GX32" s="426"/>
      <c r="GY32" s="426"/>
      <c r="GZ32" s="426"/>
      <c r="HA32" s="426"/>
      <c r="HB32" s="426"/>
      <c r="HC32" s="426"/>
      <c r="HD32" s="426"/>
      <c r="HE32" s="426"/>
      <c r="HF32" s="426"/>
      <c r="HG32" s="426"/>
      <c r="HH32" s="426"/>
      <c r="HI32" s="426"/>
      <c r="HL32" s="415"/>
    </row>
    <row r="33" spans="2:220" ht="7.5" customHeight="1">
      <c r="B33" s="412"/>
      <c r="Y33" s="1496" t="s">
        <v>7404</v>
      </c>
      <c r="Z33" s="1450"/>
      <c r="AA33" s="1450"/>
      <c r="AB33" s="1450"/>
      <c r="AC33" s="1450"/>
      <c r="AD33" s="1450"/>
      <c r="AE33" s="1450"/>
      <c r="AF33" s="1450"/>
      <c r="AG33" s="1498"/>
      <c r="AH33" s="1395"/>
      <c r="AI33" s="1395"/>
      <c r="AJ33" s="1395"/>
      <c r="AK33" s="1395"/>
      <c r="AL33" s="1395"/>
      <c r="AM33" s="1395"/>
      <c r="AN33" s="1402"/>
      <c r="AO33" s="432"/>
      <c r="AP33" s="1396"/>
      <c r="AQ33" s="1385"/>
      <c r="AR33" s="1385"/>
      <c r="AS33" s="1441"/>
      <c r="AT33" s="1442"/>
      <c r="AU33" s="1442"/>
      <c r="AV33" s="1442"/>
      <c r="AW33" s="1442"/>
      <c r="AX33" s="1442"/>
      <c r="AY33" s="1442"/>
      <c r="AZ33" s="1442"/>
      <c r="BA33" s="1442"/>
      <c r="BB33" s="1442"/>
      <c r="BC33" s="1442"/>
      <c r="BD33" s="1442"/>
      <c r="BE33" s="1442"/>
      <c r="BF33" s="1442"/>
      <c r="BG33" s="1442"/>
      <c r="BH33" s="1442"/>
      <c r="BI33" s="1442"/>
      <c r="BJ33" s="1442"/>
      <c r="BK33" s="1442"/>
      <c r="BL33" s="1442"/>
      <c r="BM33" s="1442"/>
      <c r="BN33" s="1442"/>
      <c r="BO33" s="1442"/>
      <c r="BP33" s="1442"/>
      <c r="BQ33" s="1442"/>
      <c r="BR33" s="1442"/>
      <c r="BS33" s="1442"/>
      <c r="BT33" s="1442"/>
      <c r="BU33" s="1443"/>
      <c r="BV33" s="415"/>
      <c r="BX33" s="1493" t="str">
        <f>IFERROR(#REF!,"")</f>
        <v/>
      </c>
      <c r="BY33" s="1494"/>
      <c r="BZ33" s="1494"/>
      <c r="CA33" s="1494"/>
      <c r="CB33" s="1494"/>
      <c r="CC33" s="1494"/>
      <c r="CD33" s="1494"/>
      <c r="CE33" s="1494"/>
      <c r="CF33" s="1494"/>
      <c r="CG33" s="1494"/>
      <c r="CH33" s="1494"/>
      <c r="CI33" s="1494"/>
      <c r="CJ33" s="1494"/>
      <c r="CK33" s="1494"/>
      <c r="CL33" s="1494"/>
      <c r="CM33" s="1494"/>
      <c r="CN33" s="1494"/>
      <c r="CO33" s="1494"/>
      <c r="CP33" s="1354"/>
      <c r="DK33" s="38"/>
      <c r="DY33" s="1499"/>
      <c r="DZ33" s="1500"/>
      <c r="EA33" s="1500"/>
      <c r="EB33" s="1500"/>
      <c r="EC33" s="1500"/>
      <c r="ED33" s="1500"/>
      <c r="EE33" s="1500"/>
      <c r="EF33" s="1500"/>
      <c r="EG33" s="1500"/>
      <c r="EH33" s="1500"/>
      <c r="EI33" s="1500"/>
      <c r="EJ33" s="1500"/>
      <c r="EK33" s="1500"/>
      <c r="EL33" s="1500"/>
      <c r="EM33" s="1500"/>
      <c r="EN33" s="1500"/>
      <c r="EO33" s="1500"/>
      <c r="EP33" s="1501"/>
      <c r="EQ33" s="236"/>
      <c r="ER33" s="412"/>
      <c r="HL33" s="415"/>
    </row>
    <row r="34" spans="2:220" ht="7.5" customHeight="1">
      <c r="B34" s="412"/>
      <c r="C34" s="1527" t="s">
        <v>7405</v>
      </c>
      <c r="D34" s="1528"/>
      <c r="E34" s="1528"/>
      <c r="F34" s="1528"/>
      <c r="G34" s="1528"/>
      <c r="H34" s="1528"/>
      <c r="I34" s="1528"/>
      <c r="K34" s="1383" t="s">
        <v>5843</v>
      </c>
      <c r="L34" s="1384"/>
      <c r="M34" s="1384"/>
      <c r="N34" s="1384"/>
      <c r="O34" s="1384"/>
      <c r="P34" s="1384"/>
      <c r="Q34" s="1384"/>
      <c r="R34" s="1384"/>
      <c r="S34" s="1384"/>
      <c r="T34" s="1384"/>
      <c r="U34" s="1384"/>
      <c r="V34" s="1384"/>
      <c r="W34" s="1384"/>
      <c r="Y34" s="1497"/>
      <c r="Z34" s="1450"/>
      <c r="AA34" s="1450"/>
      <c r="AB34" s="1450"/>
      <c r="AC34" s="1450"/>
      <c r="AD34" s="1450"/>
      <c r="AE34" s="1450"/>
      <c r="AF34" s="1450"/>
      <c r="AG34" s="1396"/>
      <c r="AH34" s="1385"/>
      <c r="AI34" s="1385"/>
      <c r="AJ34" s="1385"/>
      <c r="AK34" s="1385"/>
      <c r="AL34" s="1385"/>
      <c r="AM34" s="1385"/>
      <c r="AN34" s="1403"/>
      <c r="AO34" s="432"/>
      <c r="AP34" s="1468">
        <v>8</v>
      </c>
      <c r="AQ34" s="1395"/>
      <c r="AR34" s="1395"/>
      <c r="AS34" s="1441"/>
      <c r="AT34" s="1442"/>
      <c r="AU34" s="1442"/>
      <c r="AV34" s="1442"/>
      <c r="AW34" s="1442"/>
      <c r="AX34" s="1442"/>
      <c r="AY34" s="1442"/>
      <c r="AZ34" s="1442"/>
      <c r="BA34" s="1442"/>
      <c r="BB34" s="1442"/>
      <c r="BC34" s="1442"/>
      <c r="BD34" s="1442"/>
      <c r="BE34" s="1442"/>
      <c r="BF34" s="1442"/>
      <c r="BG34" s="1442"/>
      <c r="BH34" s="1442"/>
      <c r="BI34" s="1442"/>
      <c r="BJ34" s="1442"/>
      <c r="BK34" s="1442"/>
      <c r="BL34" s="1442"/>
      <c r="BM34" s="1442"/>
      <c r="BN34" s="1442"/>
      <c r="BO34" s="1442"/>
      <c r="BP34" s="1442"/>
      <c r="BQ34" s="1442"/>
      <c r="BR34" s="1442"/>
      <c r="BS34" s="1442"/>
      <c r="BT34" s="1442"/>
      <c r="BU34" s="1443"/>
      <c r="BV34" s="415"/>
      <c r="BX34" s="1494"/>
      <c r="BY34" s="1494"/>
      <c r="BZ34" s="1494"/>
      <c r="CA34" s="1494"/>
      <c r="CB34" s="1494"/>
      <c r="CC34" s="1494"/>
      <c r="CD34" s="1494"/>
      <c r="CE34" s="1494"/>
      <c r="CF34" s="1494"/>
      <c r="CG34" s="1494"/>
      <c r="CH34" s="1494"/>
      <c r="CI34" s="1494"/>
      <c r="CJ34" s="1494"/>
      <c r="CK34" s="1494"/>
      <c r="CL34" s="1494"/>
      <c r="CM34" s="1494"/>
      <c r="CN34" s="1494"/>
      <c r="CO34" s="1494"/>
      <c r="CP34" s="1354"/>
      <c r="CR34" s="1479" t="s">
        <v>6235</v>
      </c>
      <c r="CS34" s="1530"/>
      <c r="CT34" s="1530"/>
      <c r="CU34" s="1530"/>
      <c r="CV34" s="1530"/>
      <c r="CW34" s="1530"/>
      <c r="CX34" s="1530"/>
      <c r="CY34" s="1530"/>
      <c r="CZ34" s="1530"/>
      <c r="DA34" s="1530"/>
      <c r="DB34" s="1530"/>
      <c r="DC34" s="1530"/>
      <c r="DD34" s="1530"/>
      <c r="DE34" s="1530"/>
      <c r="DF34" s="1530"/>
      <c r="DG34" s="1530"/>
      <c r="DH34" s="1530"/>
      <c r="DI34" s="1530"/>
      <c r="DJ34" s="1530"/>
      <c r="DK34" s="1530"/>
      <c r="DL34" s="1530"/>
      <c r="DM34" s="1530"/>
      <c r="DN34" s="1530"/>
      <c r="DO34" s="1530"/>
      <c r="DP34" s="1530"/>
      <c r="DQ34" s="1530"/>
      <c r="DR34" s="1530"/>
      <c r="DS34" s="1530"/>
      <c r="DT34" s="1530"/>
      <c r="DU34" s="1530"/>
      <c r="DV34" s="1530"/>
      <c r="DW34" s="1530"/>
      <c r="DY34" s="1502"/>
      <c r="DZ34" s="1503"/>
      <c r="EA34" s="1503"/>
      <c r="EB34" s="1503"/>
      <c r="EC34" s="1503"/>
      <c r="ED34" s="1503"/>
      <c r="EE34" s="1503"/>
      <c r="EF34" s="1503"/>
      <c r="EG34" s="1503"/>
      <c r="EH34" s="1503"/>
      <c r="EI34" s="1503"/>
      <c r="EJ34" s="1503"/>
      <c r="EK34" s="1503"/>
      <c r="EL34" s="1503"/>
      <c r="EM34" s="1503"/>
      <c r="EN34" s="1503"/>
      <c r="EO34" s="1503"/>
      <c r="EP34" s="1504"/>
      <c r="EQ34" s="415"/>
      <c r="ER34" s="412"/>
      <c r="ES34" s="1407" t="s">
        <v>7406</v>
      </c>
      <c r="ET34" s="1395"/>
      <c r="EU34" s="1395"/>
      <c r="EV34" s="1395"/>
      <c r="EW34" s="1395"/>
      <c r="EX34" s="1395"/>
      <c r="EY34" s="1395"/>
      <c r="EZ34" s="1395"/>
      <c r="FA34" s="1395"/>
      <c r="FB34" s="1395"/>
      <c r="FC34" s="1395"/>
      <c r="FD34" s="1395"/>
      <c r="FE34" s="1395"/>
      <c r="FF34" s="1395"/>
      <c r="FG34" s="1395"/>
      <c r="FH34" s="1395"/>
      <c r="FI34" s="1395"/>
      <c r="FJ34" s="1395"/>
      <c r="FK34" s="1395"/>
      <c r="FL34" s="1395"/>
      <c r="FM34" s="1395"/>
      <c r="FN34" s="1395"/>
      <c r="FO34" s="1395"/>
      <c r="FP34" s="1395"/>
      <c r="FQ34" s="1395"/>
      <c r="FR34" s="1395"/>
      <c r="FS34" s="1395"/>
      <c r="FT34" s="1395"/>
      <c r="FU34" s="1395"/>
      <c r="FV34" s="1395"/>
      <c r="FW34" s="1395"/>
      <c r="FX34" s="1395"/>
      <c r="FY34" s="1395"/>
      <c r="FZ34" s="1402"/>
      <c r="GC34" s="1407" t="s">
        <v>7407</v>
      </c>
      <c r="GD34" s="1395"/>
      <c r="GE34" s="1395"/>
      <c r="GF34" s="1395"/>
      <c r="GG34" s="1395"/>
      <c r="GH34" s="1395"/>
      <c r="GI34" s="1395"/>
      <c r="GJ34" s="1395"/>
      <c r="GK34" s="1395"/>
      <c r="GL34" s="1395"/>
      <c r="GM34" s="1395"/>
      <c r="GN34" s="1395"/>
      <c r="GO34" s="1395"/>
      <c r="GP34" s="1395"/>
      <c r="GQ34" s="1395"/>
      <c r="GR34" s="1395"/>
      <c r="GS34" s="1395"/>
      <c r="GT34" s="1395"/>
      <c r="GU34" s="1395"/>
      <c r="GV34" s="1395"/>
      <c r="GW34" s="1395"/>
      <c r="GX34" s="1395"/>
      <c r="GY34" s="1395"/>
      <c r="GZ34" s="1395"/>
      <c r="HA34" s="1395"/>
      <c r="HB34" s="1395"/>
      <c r="HC34" s="1395"/>
      <c r="HD34" s="1395"/>
      <c r="HE34" s="1395"/>
      <c r="HF34" s="1395"/>
      <c r="HG34" s="1395"/>
      <c r="HH34" s="1395"/>
      <c r="HI34" s="1395"/>
      <c r="HJ34" s="1402"/>
      <c r="HL34" s="415"/>
    </row>
    <row r="35" spans="2:220" ht="7.5" customHeight="1">
      <c r="B35" s="412"/>
      <c r="C35" s="1529"/>
      <c r="D35" s="1529"/>
      <c r="E35" s="1529"/>
      <c r="F35" s="1529"/>
      <c r="G35" s="1529"/>
      <c r="H35" s="1529"/>
      <c r="I35" s="1529"/>
      <c r="K35" s="1385"/>
      <c r="L35" s="1385"/>
      <c r="M35" s="1385"/>
      <c r="N35" s="1385"/>
      <c r="O35" s="1385"/>
      <c r="P35" s="1385"/>
      <c r="Q35" s="1385"/>
      <c r="R35" s="1385"/>
      <c r="S35" s="1385"/>
      <c r="T35" s="1385"/>
      <c r="U35" s="1385"/>
      <c r="V35" s="1385"/>
      <c r="W35" s="1385"/>
      <c r="Y35" s="421"/>
      <c r="Z35" s="231"/>
      <c r="AA35" s="231"/>
      <c r="AB35" s="231"/>
      <c r="AC35" s="231"/>
      <c r="AD35" s="231"/>
      <c r="AE35" s="231"/>
      <c r="AF35" s="231"/>
      <c r="AG35" s="231"/>
      <c r="AH35" s="231"/>
      <c r="AI35" s="231"/>
      <c r="AJ35" s="231"/>
      <c r="AK35" s="231"/>
      <c r="AL35" s="231"/>
      <c r="AM35" s="231"/>
      <c r="AN35" s="231"/>
      <c r="AO35" s="419"/>
      <c r="AP35" s="1396"/>
      <c r="AQ35" s="1385"/>
      <c r="AR35" s="1385"/>
      <c r="AS35" s="1441"/>
      <c r="AT35" s="1442"/>
      <c r="AU35" s="1442"/>
      <c r="AV35" s="1442"/>
      <c r="AW35" s="1442"/>
      <c r="AX35" s="1442"/>
      <c r="AY35" s="1442"/>
      <c r="AZ35" s="1442"/>
      <c r="BA35" s="1442"/>
      <c r="BB35" s="1442"/>
      <c r="BC35" s="1442"/>
      <c r="BD35" s="1442"/>
      <c r="BE35" s="1442"/>
      <c r="BF35" s="1442"/>
      <c r="BG35" s="1442"/>
      <c r="BH35" s="1442"/>
      <c r="BI35" s="1442"/>
      <c r="BJ35" s="1442"/>
      <c r="BK35" s="1442"/>
      <c r="BL35" s="1442"/>
      <c r="BM35" s="1442"/>
      <c r="BN35" s="1442"/>
      <c r="BO35" s="1442"/>
      <c r="BP35" s="1442"/>
      <c r="BQ35" s="1442"/>
      <c r="BR35" s="1442"/>
      <c r="BS35" s="1442"/>
      <c r="BT35" s="1442"/>
      <c r="BU35" s="1443"/>
      <c r="BV35" s="415"/>
      <c r="BX35" s="1493" t="str">
        <f>IFERROR(#REF!,"")</f>
        <v/>
      </c>
      <c r="BY35" s="1494"/>
      <c r="BZ35" s="1494"/>
      <c r="CA35" s="1494"/>
      <c r="CB35" s="1494"/>
      <c r="CC35" s="1494"/>
      <c r="CD35" s="1494"/>
      <c r="CE35" s="1494"/>
      <c r="CF35" s="1494"/>
      <c r="CG35" s="1494"/>
      <c r="CH35" s="1494"/>
      <c r="CI35" s="1494"/>
      <c r="CJ35" s="1494"/>
      <c r="CK35" s="1494"/>
      <c r="CL35" s="1494"/>
      <c r="CM35" s="1494"/>
      <c r="CN35" s="1494"/>
      <c r="CO35" s="1494"/>
      <c r="CP35" s="1354"/>
      <c r="CR35" s="1531"/>
      <c r="CS35" s="1531"/>
      <c r="CT35" s="1531"/>
      <c r="CU35" s="1531"/>
      <c r="CV35" s="1531"/>
      <c r="CW35" s="1531"/>
      <c r="CX35" s="1531"/>
      <c r="CY35" s="1531"/>
      <c r="CZ35" s="1531"/>
      <c r="DA35" s="1531"/>
      <c r="DB35" s="1531"/>
      <c r="DC35" s="1531"/>
      <c r="DD35" s="1531"/>
      <c r="DE35" s="1531"/>
      <c r="DF35" s="1531"/>
      <c r="DG35" s="1531"/>
      <c r="DH35" s="1531"/>
      <c r="DI35" s="1531"/>
      <c r="DJ35" s="1531"/>
      <c r="DK35" s="1531"/>
      <c r="DL35" s="1531"/>
      <c r="DM35" s="1531"/>
      <c r="DN35" s="1531"/>
      <c r="DO35" s="1531"/>
      <c r="DP35" s="1531"/>
      <c r="DQ35" s="1531"/>
      <c r="DR35" s="1531"/>
      <c r="DS35" s="1531"/>
      <c r="DT35" s="1531"/>
      <c r="DU35" s="1531"/>
      <c r="DV35" s="1531"/>
      <c r="DW35" s="1531"/>
      <c r="DY35" s="1499"/>
      <c r="DZ35" s="1500"/>
      <c r="EA35" s="1500"/>
      <c r="EB35" s="1500"/>
      <c r="EC35" s="1500"/>
      <c r="ED35" s="1500"/>
      <c r="EE35" s="1500"/>
      <c r="EF35" s="1500"/>
      <c r="EG35" s="1500"/>
      <c r="EH35" s="1500"/>
      <c r="EI35" s="1500"/>
      <c r="EJ35" s="1500"/>
      <c r="EK35" s="1500"/>
      <c r="EL35" s="1500"/>
      <c r="EM35" s="1500"/>
      <c r="EN35" s="1500"/>
      <c r="EO35" s="1500"/>
      <c r="EP35" s="1501"/>
      <c r="EQ35" s="415"/>
      <c r="ER35" s="412"/>
      <c r="ES35" s="1396"/>
      <c r="ET35" s="1385"/>
      <c r="EU35" s="1385"/>
      <c r="EV35" s="1385"/>
      <c r="EW35" s="1385"/>
      <c r="EX35" s="1385"/>
      <c r="EY35" s="1385"/>
      <c r="EZ35" s="1385"/>
      <c r="FA35" s="1385"/>
      <c r="FB35" s="1385"/>
      <c r="FC35" s="1385"/>
      <c r="FD35" s="1385"/>
      <c r="FE35" s="1385"/>
      <c r="FF35" s="1385"/>
      <c r="FG35" s="1385"/>
      <c r="FH35" s="1385"/>
      <c r="FI35" s="1385"/>
      <c r="FJ35" s="1385"/>
      <c r="FK35" s="1385"/>
      <c r="FL35" s="1385"/>
      <c r="FM35" s="1385"/>
      <c r="FN35" s="1385"/>
      <c r="FO35" s="1385"/>
      <c r="FP35" s="1385"/>
      <c r="FQ35" s="1385"/>
      <c r="FR35" s="1385"/>
      <c r="FS35" s="1385"/>
      <c r="FT35" s="1385"/>
      <c r="FU35" s="1385"/>
      <c r="FV35" s="1385"/>
      <c r="FW35" s="1385"/>
      <c r="FX35" s="1385"/>
      <c r="FY35" s="1385"/>
      <c r="FZ35" s="1403"/>
      <c r="GC35" s="1396"/>
      <c r="GD35" s="1385"/>
      <c r="GE35" s="1385"/>
      <c r="GF35" s="1385"/>
      <c r="GG35" s="1385"/>
      <c r="GH35" s="1385"/>
      <c r="GI35" s="1385"/>
      <c r="GJ35" s="1385"/>
      <c r="GK35" s="1385"/>
      <c r="GL35" s="1385"/>
      <c r="GM35" s="1385"/>
      <c r="GN35" s="1385"/>
      <c r="GO35" s="1385"/>
      <c r="GP35" s="1385"/>
      <c r="GQ35" s="1385"/>
      <c r="GR35" s="1385"/>
      <c r="GS35" s="1385"/>
      <c r="GT35" s="1385"/>
      <c r="GU35" s="1385"/>
      <c r="GV35" s="1385"/>
      <c r="GW35" s="1385"/>
      <c r="GX35" s="1385"/>
      <c r="GY35" s="1385"/>
      <c r="GZ35" s="1385"/>
      <c r="HA35" s="1385"/>
      <c r="HB35" s="1385"/>
      <c r="HC35" s="1385"/>
      <c r="HD35" s="1385"/>
      <c r="HE35" s="1385"/>
      <c r="HF35" s="1385"/>
      <c r="HG35" s="1385"/>
      <c r="HH35" s="1385"/>
      <c r="HI35" s="1385"/>
      <c r="HJ35" s="1403"/>
      <c r="HL35" s="415"/>
    </row>
    <row r="36" spans="2:220" ht="7.5" customHeight="1">
      <c r="B36" s="412"/>
      <c r="C36" s="1473">
        <v>10</v>
      </c>
      <c r="D36" s="1395"/>
      <c r="E36" s="1395"/>
      <c r="F36" s="1395"/>
      <c r="G36" s="1395"/>
      <c r="H36" s="1395"/>
      <c r="I36" s="1402"/>
      <c r="K36" s="1507"/>
      <c r="L36" s="1508"/>
      <c r="M36" s="1508"/>
      <c r="N36" s="1509"/>
      <c r="O36" s="1513" t="s">
        <v>5827</v>
      </c>
      <c r="P36" s="1457"/>
      <c r="Q36" s="1457"/>
      <c r="R36" s="1457"/>
      <c r="S36" s="1457"/>
      <c r="T36" s="1457"/>
      <c r="U36" s="1457"/>
      <c r="V36" s="1457"/>
      <c r="W36" s="1458"/>
      <c r="Y36" s="1515" t="s">
        <v>6237</v>
      </c>
      <c r="Z36" s="1445"/>
      <c r="AA36" s="1445"/>
      <c r="AB36" s="1445"/>
      <c r="AC36" s="1445"/>
      <c r="AD36" s="1445"/>
      <c r="AE36" s="1445"/>
      <c r="AF36" s="1445"/>
      <c r="AG36" s="1445"/>
      <c r="AH36" s="1445"/>
      <c r="AI36" s="1445"/>
      <c r="AJ36" s="1445"/>
      <c r="AK36" s="1445"/>
      <c r="AL36" s="1445"/>
      <c r="AM36" s="1445"/>
      <c r="AN36" s="1516"/>
      <c r="AO36" s="419"/>
      <c r="AP36" s="1468">
        <v>9</v>
      </c>
      <c r="AQ36" s="1395"/>
      <c r="AR36" s="1395"/>
      <c r="AS36" s="1441"/>
      <c r="AT36" s="1442"/>
      <c r="AU36" s="1442"/>
      <c r="AV36" s="1442"/>
      <c r="AW36" s="1442"/>
      <c r="AX36" s="1442"/>
      <c r="AY36" s="1442"/>
      <c r="AZ36" s="1442"/>
      <c r="BA36" s="1442"/>
      <c r="BB36" s="1442"/>
      <c r="BC36" s="1442"/>
      <c r="BD36" s="1442"/>
      <c r="BE36" s="1442"/>
      <c r="BF36" s="1442"/>
      <c r="BG36" s="1442"/>
      <c r="BH36" s="1442"/>
      <c r="BI36" s="1442"/>
      <c r="BJ36" s="1442"/>
      <c r="BK36" s="1442"/>
      <c r="BL36" s="1442"/>
      <c r="BM36" s="1442"/>
      <c r="BN36" s="1442"/>
      <c r="BO36" s="1442"/>
      <c r="BP36" s="1442"/>
      <c r="BQ36" s="1442"/>
      <c r="BR36" s="1442"/>
      <c r="BS36" s="1442"/>
      <c r="BT36" s="1442"/>
      <c r="BU36" s="1443"/>
      <c r="BV36" s="415"/>
      <c r="BX36" s="1494"/>
      <c r="BY36" s="1494"/>
      <c r="BZ36" s="1494"/>
      <c r="CA36" s="1494"/>
      <c r="CB36" s="1494"/>
      <c r="CC36" s="1494"/>
      <c r="CD36" s="1494"/>
      <c r="CE36" s="1494"/>
      <c r="CF36" s="1494"/>
      <c r="CG36" s="1494"/>
      <c r="CH36" s="1494"/>
      <c r="CI36" s="1494"/>
      <c r="CJ36" s="1494"/>
      <c r="CK36" s="1494"/>
      <c r="CL36" s="1494"/>
      <c r="CM36" s="1494"/>
      <c r="CN36" s="1494"/>
      <c r="CO36" s="1494"/>
      <c r="CP36" s="1354"/>
      <c r="CR36" s="1518"/>
      <c r="CS36" s="1519"/>
      <c r="CT36" s="1519"/>
      <c r="CU36" s="1519"/>
      <c r="CV36" s="1519"/>
      <c r="CW36" s="1519"/>
      <c r="CX36" s="1519"/>
      <c r="CY36" s="1519"/>
      <c r="CZ36" s="1519"/>
      <c r="DA36" s="1519"/>
      <c r="DB36" s="1519"/>
      <c r="DC36" s="1519"/>
      <c r="DD36" s="1519"/>
      <c r="DE36" s="1519"/>
      <c r="DF36" s="1519"/>
      <c r="DG36" s="1519"/>
      <c r="DH36" s="1519"/>
      <c r="DI36" s="1519"/>
      <c r="DJ36" s="1519"/>
      <c r="DK36" s="1519"/>
      <c r="DL36" s="1519"/>
      <c r="DM36" s="1519"/>
      <c r="DN36" s="1519"/>
      <c r="DO36" s="1519"/>
      <c r="DP36" s="1519"/>
      <c r="DQ36" s="1519"/>
      <c r="DR36" s="1519"/>
      <c r="DS36" s="1519"/>
      <c r="DT36" s="1519"/>
      <c r="DU36" s="1519"/>
      <c r="DV36" s="1519"/>
      <c r="DW36" s="1520"/>
      <c r="DY36" s="1502"/>
      <c r="DZ36" s="1503"/>
      <c r="EA36" s="1503"/>
      <c r="EB36" s="1503"/>
      <c r="EC36" s="1503"/>
      <c r="ED36" s="1503"/>
      <c r="EE36" s="1503"/>
      <c r="EF36" s="1503"/>
      <c r="EG36" s="1503"/>
      <c r="EH36" s="1503"/>
      <c r="EI36" s="1503"/>
      <c r="EJ36" s="1503"/>
      <c r="EK36" s="1503"/>
      <c r="EL36" s="1503"/>
      <c r="EM36" s="1503"/>
      <c r="EN36" s="1503"/>
      <c r="EO36" s="1503"/>
      <c r="EP36" s="1504"/>
      <c r="EQ36" s="415"/>
      <c r="ER36" s="412"/>
      <c r="ES36" s="1532"/>
      <c r="ET36" s="1533"/>
      <c r="EU36" s="1533"/>
      <c r="EV36" s="1533"/>
      <c r="EW36" s="1533"/>
      <c r="EX36" s="1533"/>
      <c r="EY36" s="1533"/>
      <c r="EZ36" s="1533"/>
      <c r="FA36" s="1533"/>
      <c r="FB36" s="1533"/>
      <c r="FC36" s="1533"/>
      <c r="FD36" s="1533"/>
      <c r="FE36" s="1533"/>
      <c r="FF36" s="1533"/>
      <c r="FG36" s="1533"/>
      <c r="FH36" s="1533"/>
      <c r="FI36" s="1533"/>
      <c r="FJ36" s="1533"/>
      <c r="FK36" s="1533"/>
      <c r="FL36" s="1533"/>
      <c r="FM36" s="1533"/>
      <c r="FN36" s="1533"/>
      <c r="FO36" s="1533"/>
      <c r="FP36" s="1533"/>
      <c r="FQ36" s="1533"/>
      <c r="FR36" s="1533"/>
      <c r="FS36" s="1533"/>
      <c r="FT36" s="1533"/>
      <c r="FU36" s="1533"/>
      <c r="FV36" s="1533"/>
      <c r="FW36" s="1533"/>
      <c r="FX36" s="1533"/>
      <c r="FY36" s="1533"/>
      <c r="FZ36" s="1534"/>
      <c r="GC36" s="1532"/>
      <c r="GD36" s="1533"/>
      <c r="GE36" s="1533"/>
      <c r="GF36" s="1533"/>
      <c r="GG36" s="1533"/>
      <c r="GH36" s="1533"/>
      <c r="GI36" s="1533"/>
      <c r="GJ36" s="1533"/>
      <c r="GK36" s="1533"/>
      <c r="GL36" s="1533"/>
      <c r="GM36" s="1533"/>
      <c r="GN36" s="1533"/>
      <c r="GO36" s="1533"/>
      <c r="GP36" s="1533"/>
      <c r="GQ36" s="1533"/>
      <c r="GR36" s="1533"/>
      <c r="GS36" s="1533"/>
      <c r="GT36" s="1533"/>
      <c r="GU36" s="1533"/>
      <c r="GV36" s="1533"/>
      <c r="GW36" s="1533"/>
      <c r="GX36" s="1533"/>
      <c r="GY36" s="1533"/>
      <c r="GZ36" s="1533"/>
      <c r="HA36" s="1533"/>
      <c r="HB36" s="1533"/>
      <c r="HC36" s="1533"/>
      <c r="HD36" s="1533"/>
      <c r="HE36" s="1533"/>
      <c r="HF36" s="1533"/>
      <c r="HG36" s="1533"/>
      <c r="HH36" s="1533"/>
      <c r="HI36" s="1533"/>
      <c r="HJ36" s="1534"/>
      <c r="HK36" s="433"/>
      <c r="HL36" s="415"/>
    </row>
    <row r="37" spans="2:220" ht="7.5" customHeight="1">
      <c r="B37" s="412"/>
      <c r="C37" s="1411"/>
      <c r="D37" s="1384"/>
      <c r="E37" s="1384"/>
      <c r="F37" s="1384"/>
      <c r="G37" s="1384"/>
      <c r="H37" s="1384"/>
      <c r="I37" s="1412"/>
      <c r="K37" s="1510"/>
      <c r="L37" s="1511"/>
      <c r="M37" s="1511"/>
      <c r="N37" s="1512"/>
      <c r="O37" s="1514"/>
      <c r="P37" s="1459"/>
      <c r="Q37" s="1459"/>
      <c r="R37" s="1459"/>
      <c r="S37" s="1459"/>
      <c r="T37" s="1459"/>
      <c r="U37" s="1459"/>
      <c r="V37" s="1459"/>
      <c r="W37" s="1460"/>
      <c r="Y37" s="1448"/>
      <c r="Z37" s="1449"/>
      <c r="AA37" s="1449"/>
      <c r="AB37" s="1449"/>
      <c r="AC37" s="1449"/>
      <c r="AD37" s="1449"/>
      <c r="AE37" s="1449"/>
      <c r="AF37" s="1449"/>
      <c r="AG37" s="1449"/>
      <c r="AH37" s="1449"/>
      <c r="AI37" s="1449"/>
      <c r="AJ37" s="1449"/>
      <c r="AK37" s="1449"/>
      <c r="AL37" s="1449"/>
      <c r="AM37" s="1449"/>
      <c r="AN37" s="1517"/>
      <c r="AO37" s="421"/>
      <c r="AP37" s="1396"/>
      <c r="AQ37" s="1385"/>
      <c r="AR37" s="1385"/>
      <c r="AS37" s="1441"/>
      <c r="AT37" s="1442"/>
      <c r="AU37" s="1442"/>
      <c r="AV37" s="1442"/>
      <c r="AW37" s="1442"/>
      <c r="AX37" s="1442"/>
      <c r="AY37" s="1442"/>
      <c r="AZ37" s="1442"/>
      <c r="BA37" s="1442"/>
      <c r="BB37" s="1442"/>
      <c r="BC37" s="1442"/>
      <c r="BD37" s="1442"/>
      <c r="BE37" s="1442"/>
      <c r="BF37" s="1442"/>
      <c r="BG37" s="1442"/>
      <c r="BH37" s="1442"/>
      <c r="BI37" s="1442"/>
      <c r="BJ37" s="1442"/>
      <c r="BK37" s="1442"/>
      <c r="BL37" s="1442"/>
      <c r="BM37" s="1442"/>
      <c r="BN37" s="1442"/>
      <c r="BO37" s="1442"/>
      <c r="BP37" s="1442"/>
      <c r="BQ37" s="1442"/>
      <c r="BR37" s="1442"/>
      <c r="BS37" s="1442"/>
      <c r="BT37" s="1442"/>
      <c r="BU37" s="1443"/>
      <c r="BV37" s="415"/>
      <c r="BX37" s="1493" t="str">
        <f>IFERROR(#REF!,"")</f>
        <v/>
      </c>
      <c r="BY37" s="1494"/>
      <c r="BZ37" s="1494"/>
      <c r="CA37" s="1494"/>
      <c r="CB37" s="1494"/>
      <c r="CC37" s="1494"/>
      <c r="CD37" s="1494"/>
      <c r="CE37" s="1494"/>
      <c r="CF37" s="1494"/>
      <c r="CG37" s="1494"/>
      <c r="CH37" s="1494"/>
      <c r="CI37" s="1494"/>
      <c r="CJ37" s="1494"/>
      <c r="CK37" s="1494"/>
      <c r="CL37" s="1494"/>
      <c r="CM37" s="1494"/>
      <c r="CN37" s="1494"/>
      <c r="CO37" s="1494"/>
      <c r="CP37" s="1354"/>
      <c r="CR37" s="1521"/>
      <c r="CS37" s="1522"/>
      <c r="CT37" s="1522"/>
      <c r="CU37" s="1522"/>
      <c r="CV37" s="1522"/>
      <c r="CW37" s="1522"/>
      <c r="CX37" s="1522"/>
      <c r="CY37" s="1522"/>
      <c r="CZ37" s="1522"/>
      <c r="DA37" s="1522"/>
      <c r="DB37" s="1522"/>
      <c r="DC37" s="1522"/>
      <c r="DD37" s="1522"/>
      <c r="DE37" s="1522"/>
      <c r="DF37" s="1522"/>
      <c r="DG37" s="1522"/>
      <c r="DH37" s="1522"/>
      <c r="DI37" s="1522"/>
      <c r="DJ37" s="1522"/>
      <c r="DK37" s="1522"/>
      <c r="DL37" s="1522"/>
      <c r="DM37" s="1522"/>
      <c r="DN37" s="1522"/>
      <c r="DO37" s="1522"/>
      <c r="DP37" s="1522"/>
      <c r="DQ37" s="1522"/>
      <c r="DR37" s="1522"/>
      <c r="DS37" s="1522"/>
      <c r="DT37" s="1522"/>
      <c r="DU37" s="1522"/>
      <c r="DV37" s="1522"/>
      <c r="DW37" s="1523"/>
      <c r="DY37" s="1499"/>
      <c r="DZ37" s="1500"/>
      <c r="EA37" s="1500"/>
      <c r="EB37" s="1500"/>
      <c r="EC37" s="1500"/>
      <c r="ED37" s="1500"/>
      <c r="EE37" s="1500"/>
      <c r="EF37" s="1500"/>
      <c r="EG37" s="1500"/>
      <c r="EH37" s="1500"/>
      <c r="EI37" s="1500"/>
      <c r="EJ37" s="1500"/>
      <c r="EK37" s="1500"/>
      <c r="EL37" s="1500"/>
      <c r="EM37" s="1500"/>
      <c r="EN37" s="1500"/>
      <c r="EO37" s="1500"/>
      <c r="EP37" s="1501"/>
      <c r="EQ37" s="415"/>
      <c r="ER37" s="412"/>
      <c r="ES37" s="1535"/>
      <c r="ET37" s="1536"/>
      <c r="EU37" s="1536"/>
      <c r="EV37" s="1536"/>
      <c r="EW37" s="1536"/>
      <c r="EX37" s="1536"/>
      <c r="EY37" s="1536"/>
      <c r="EZ37" s="1536"/>
      <c r="FA37" s="1536"/>
      <c r="FB37" s="1536"/>
      <c r="FC37" s="1536"/>
      <c r="FD37" s="1536"/>
      <c r="FE37" s="1536"/>
      <c r="FF37" s="1536"/>
      <c r="FG37" s="1536"/>
      <c r="FH37" s="1536"/>
      <c r="FI37" s="1536"/>
      <c r="FJ37" s="1536"/>
      <c r="FK37" s="1536"/>
      <c r="FL37" s="1536"/>
      <c r="FM37" s="1536"/>
      <c r="FN37" s="1536"/>
      <c r="FO37" s="1536"/>
      <c r="FP37" s="1536"/>
      <c r="FQ37" s="1536"/>
      <c r="FR37" s="1536"/>
      <c r="FS37" s="1536"/>
      <c r="FT37" s="1536"/>
      <c r="FU37" s="1536"/>
      <c r="FV37" s="1536"/>
      <c r="FW37" s="1536"/>
      <c r="FX37" s="1536"/>
      <c r="FY37" s="1536"/>
      <c r="FZ37" s="1537"/>
      <c r="GC37" s="1535"/>
      <c r="GD37" s="1536"/>
      <c r="GE37" s="1536"/>
      <c r="GF37" s="1536"/>
      <c r="GG37" s="1536"/>
      <c r="GH37" s="1536"/>
      <c r="GI37" s="1536"/>
      <c r="GJ37" s="1536"/>
      <c r="GK37" s="1536"/>
      <c r="GL37" s="1536"/>
      <c r="GM37" s="1536"/>
      <c r="GN37" s="1536"/>
      <c r="GO37" s="1536"/>
      <c r="GP37" s="1536"/>
      <c r="GQ37" s="1536"/>
      <c r="GR37" s="1536"/>
      <c r="GS37" s="1536"/>
      <c r="GT37" s="1536"/>
      <c r="GU37" s="1536"/>
      <c r="GV37" s="1536"/>
      <c r="GW37" s="1536"/>
      <c r="GX37" s="1536"/>
      <c r="GY37" s="1536"/>
      <c r="GZ37" s="1536"/>
      <c r="HA37" s="1536"/>
      <c r="HB37" s="1536"/>
      <c r="HC37" s="1536"/>
      <c r="HD37" s="1536"/>
      <c r="HE37" s="1536"/>
      <c r="HF37" s="1536"/>
      <c r="HG37" s="1536"/>
      <c r="HH37" s="1536"/>
      <c r="HI37" s="1536"/>
      <c r="HJ37" s="1537"/>
      <c r="HK37" s="433"/>
      <c r="HL37" s="415"/>
    </row>
    <row r="38" spans="2:220" ht="7.5" customHeight="1">
      <c r="B38" s="412"/>
      <c r="C38" s="1411"/>
      <c r="D38" s="1384"/>
      <c r="E38" s="1384"/>
      <c r="F38" s="1384"/>
      <c r="G38" s="1384"/>
      <c r="H38" s="1384"/>
      <c r="I38" s="1412"/>
      <c r="K38" s="1507"/>
      <c r="L38" s="1508"/>
      <c r="M38" s="1508"/>
      <c r="N38" s="1509"/>
      <c r="O38" s="1538" t="s">
        <v>5828</v>
      </c>
      <c r="P38" s="1539"/>
      <c r="Q38" s="1539"/>
      <c r="R38" s="1539"/>
      <c r="S38" s="1539"/>
      <c r="T38" s="1539"/>
      <c r="U38" s="1539"/>
      <c r="V38" s="1539"/>
      <c r="W38" s="1540"/>
      <c r="Y38" s="1544"/>
      <c r="Z38" s="1427"/>
      <c r="AA38" s="1427"/>
      <c r="AB38" s="1427"/>
      <c r="AC38" s="1427"/>
      <c r="AD38" s="1427"/>
      <c r="AE38" s="1427"/>
      <c r="AF38" s="1427"/>
      <c r="AG38" s="1427"/>
      <c r="AH38" s="1427"/>
      <c r="AI38" s="1427"/>
      <c r="AJ38" s="1427"/>
      <c r="AK38" s="1427"/>
      <c r="AL38" s="1427"/>
      <c r="AM38" s="1427"/>
      <c r="AN38" s="1428"/>
      <c r="AO38" s="421"/>
      <c r="AP38" s="1468">
        <v>10</v>
      </c>
      <c r="AQ38" s="1395"/>
      <c r="AR38" s="1395"/>
      <c r="AS38" s="1441"/>
      <c r="AT38" s="1442"/>
      <c r="AU38" s="1442"/>
      <c r="AV38" s="1442"/>
      <c r="AW38" s="1442"/>
      <c r="AX38" s="1442"/>
      <c r="AY38" s="1442"/>
      <c r="AZ38" s="1442"/>
      <c r="BA38" s="1442"/>
      <c r="BB38" s="1442"/>
      <c r="BC38" s="1442"/>
      <c r="BD38" s="1442"/>
      <c r="BE38" s="1442"/>
      <c r="BF38" s="1442"/>
      <c r="BG38" s="1442"/>
      <c r="BH38" s="1442"/>
      <c r="BI38" s="1442"/>
      <c r="BJ38" s="1442"/>
      <c r="BK38" s="1442"/>
      <c r="BL38" s="1442"/>
      <c r="BM38" s="1442"/>
      <c r="BN38" s="1442"/>
      <c r="BO38" s="1442"/>
      <c r="BP38" s="1442"/>
      <c r="BQ38" s="1442"/>
      <c r="BR38" s="1442"/>
      <c r="BS38" s="1442"/>
      <c r="BT38" s="1442"/>
      <c r="BU38" s="1443"/>
      <c r="BV38" s="415"/>
      <c r="BX38" s="1494"/>
      <c r="BY38" s="1494"/>
      <c r="BZ38" s="1494"/>
      <c r="CA38" s="1494"/>
      <c r="CB38" s="1494"/>
      <c r="CC38" s="1494"/>
      <c r="CD38" s="1494"/>
      <c r="CE38" s="1494"/>
      <c r="CF38" s="1494"/>
      <c r="CG38" s="1494"/>
      <c r="CH38" s="1494"/>
      <c r="CI38" s="1494"/>
      <c r="CJ38" s="1494"/>
      <c r="CK38" s="1494"/>
      <c r="CL38" s="1494"/>
      <c r="CM38" s="1494"/>
      <c r="CN38" s="1494"/>
      <c r="CO38" s="1494"/>
      <c r="CP38" s="1354"/>
      <c r="CR38" s="1521"/>
      <c r="CS38" s="1522"/>
      <c r="CT38" s="1522"/>
      <c r="CU38" s="1522"/>
      <c r="CV38" s="1522"/>
      <c r="CW38" s="1522"/>
      <c r="CX38" s="1522"/>
      <c r="CY38" s="1522"/>
      <c r="CZ38" s="1522"/>
      <c r="DA38" s="1522"/>
      <c r="DB38" s="1522"/>
      <c r="DC38" s="1522"/>
      <c r="DD38" s="1522"/>
      <c r="DE38" s="1522"/>
      <c r="DF38" s="1522"/>
      <c r="DG38" s="1522"/>
      <c r="DH38" s="1522"/>
      <c r="DI38" s="1522"/>
      <c r="DJ38" s="1522"/>
      <c r="DK38" s="1522"/>
      <c r="DL38" s="1522"/>
      <c r="DM38" s="1522"/>
      <c r="DN38" s="1522"/>
      <c r="DO38" s="1522"/>
      <c r="DP38" s="1522"/>
      <c r="DQ38" s="1522"/>
      <c r="DR38" s="1522"/>
      <c r="DS38" s="1522"/>
      <c r="DT38" s="1522"/>
      <c r="DU38" s="1522"/>
      <c r="DV38" s="1522"/>
      <c r="DW38" s="1523"/>
      <c r="DY38" s="1502"/>
      <c r="DZ38" s="1503"/>
      <c r="EA38" s="1503"/>
      <c r="EB38" s="1503"/>
      <c r="EC38" s="1503"/>
      <c r="ED38" s="1503"/>
      <c r="EE38" s="1503"/>
      <c r="EF38" s="1503"/>
      <c r="EG38" s="1503"/>
      <c r="EH38" s="1503"/>
      <c r="EI38" s="1503"/>
      <c r="EJ38" s="1503"/>
      <c r="EK38" s="1503"/>
      <c r="EL38" s="1503"/>
      <c r="EM38" s="1503"/>
      <c r="EN38" s="1503"/>
      <c r="EO38" s="1503"/>
      <c r="EP38" s="1504"/>
      <c r="EQ38" s="415"/>
      <c r="ER38" s="412"/>
      <c r="ES38" s="1532"/>
      <c r="ET38" s="1533"/>
      <c r="EU38" s="1533"/>
      <c r="EV38" s="1533"/>
      <c r="EW38" s="1533"/>
      <c r="EX38" s="1533"/>
      <c r="EY38" s="1533"/>
      <c r="EZ38" s="1533"/>
      <c r="FA38" s="1533"/>
      <c r="FB38" s="1533"/>
      <c r="FC38" s="1533"/>
      <c r="FD38" s="1533"/>
      <c r="FE38" s="1533"/>
      <c r="FF38" s="1533"/>
      <c r="FG38" s="1533"/>
      <c r="FH38" s="1533"/>
      <c r="FI38" s="1533"/>
      <c r="FJ38" s="1533"/>
      <c r="FK38" s="1533"/>
      <c r="FL38" s="1533"/>
      <c r="FM38" s="1533"/>
      <c r="FN38" s="1533"/>
      <c r="FO38" s="1533"/>
      <c r="FP38" s="1533"/>
      <c r="FQ38" s="1533"/>
      <c r="FR38" s="1533"/>
      <c r="FS38" s="1533"/>
      <c r="FT38" s="1533"/>
      <c r="FU38" s="1533"/>
      <c r="FV38" s="1533"/>
      <c r="FW38" s="1533"/>
      <c r="FX38" s="1533"/>
      <c r="FY38" s="1533"/>
      <c r="FZ38" s="1534"/>
      <c r="GC38" s="1532"/>
      <c r="GD38" s="1533"/>
      <c r="GE38" s="1533"/>
      <c r="GF38" s="1533"/>
      <c r="GG38" s="1533"/>
      <c r="GH38" s="1533"/>
      <c r="GI38" s="1533"/>
      <c r="GJ38" s="1533"/>
      <c r="GK38" s="1533"/>
      <c r="GL38" s="1533"/>
      <c r="GM38" s="1533"/>
      <c r="GN38" s="1533"/>
      <c r="GO38" s="1533"/>
      <c r="GP38" s="1533"/>
      <c r="GQ38" s="1533"/>
      <c r="GR38" s="1533"/>
      <c r="GS38" s="1533"/>
      <c r="GT38" s="1533"/>
      <c r="GU38" s="1533"/>
      <c r="GV38" s="1533"/>
      <c r="GW38" s="1533"/>
      <c r="GX38" s="1533"/>
      <c r="GY38" s="1533"/>
      <c r="GZ38" s="1533"/>
      <c r="HA38" s="1533"/>
      <c r="HB38" s="1533"/>
      <c r="HC38" s="1533"/>
      <c r="HD38" s="1533"/>
      <c r="HE38" s="1533"/>
      <c r="HF38" s="1533"/>
      <c r="HG38" s="1533"/>
      <c r="HH38" s="1533"/>
      <c r="HI38" s="1533"/>
      <c r="HJ38" s="1534"/>
      <c r="HK38" s="238"/>
      <c r="HL38" s="415"/>
    </row>
    <row r="39" spans="2:220" ht="7.5" customHeight="1">
      <c r="B39" s="412"/>
      <c r="C39" s="1396"/>
      <c r="D39" s="1385"/>
      <c r="E39" s="1385"/>
      <c r="F39" s="1385"/>
      <c r="G39" s="1385"/>
      <c r="H39" s="1385"/>
      <c r="I39" s="1403"/>
      <c r="K39" s="1510"/>
      <c r="L39" s="1511"/>
      <c r="M39" s="1511"/>
      <c r="N39" s="1512"/>
      <c r="O39" s="1541"/>
      <c r="P39" s="1542"/>
      <c r="Q39" s="1542"/>
      <c r="R39" s="1542"/>
      <c r="S39" s="1542"/>
      <c r="T39" s="1542"/>
      <c r="U39" s="1542"/>
      <c r="V39" s="1542"/>
      <c r="W39" s="1543"/>
      <c r="Y39" s="1482"/>
      <c r="Z39" s="1427"/>
      <c r="AA39" s="1427"/>
      <c r="AB39" s="1427"/>
      <c r="AC39" s="1427"/>
      <c r="AD39" s="1427"/>
      <c r="AE39" s="1427"/>
      <c r="AF39" s="1427"/>
      <c r="AG39" s="1427"/>
      <c r="AH39" s="1427"/>
      <c r="AI39" s="1427"/>
      <c r="AJ39" s="1427"/>
      <c r="AK39" s="1427"/>
      <c r="AL39" s="1427"/>
      <c r="AM39" s="1427"/>
      <c r="AN39" s="1428"/>
      <c r="AO39" s="421"/>
      <c r="AP39" s="1396"/>
      <c r="AQ39" s="1385"/>
      <c r="AR39" s="1385"/>
      <c r="AS39" s="1441"/>
      <c r="AT39" s="1442"/>
      <c r="AU39" s="1442"/>
      <c r="AV39" s="1442"/>
      <c r="AW39" s="1442"/>
      <c r="AX39" s="1442"/>
      <c r="AY39" s="1442"/>
      <c r="AZ39" s="1442"/>
      <c r="BA39" s="1442"/>
      <c r="BB39" s="1442"/>
      <c r="BC39" s="1442"/>
      <c r="BD39" s="1442"/>
      <c r="BE39" s="1442"/>
      <c r="BF39" s="1442"/>
      <c r="BG39" s="1442"/>
      <c r="BH39" s="1442"/>
      <c r="BI39" s="1442"/>
      <c r="BJ39" s="1442"/>
      <c r="BK39" s="1442"/>
      <c r="BL39" s="1442"/>
      <c r="BM39" s="1442"/>
      <c r="BN39" s="1442"/>
      <c r="BO39" s="1442"/>
      <c r="BP39" s="1442"/>
      <c r="BQ39" s="1442"/>
      <c r="BR39" s="1442"/>
      <c r="BS39" s="1442"/>
      <c r="BT39" s="1442"/>
      <c r="BU39" s="1443"/>
      <c r="BV39" s="415"/>
      <c r="BX39" s="1493" t="str">
        <f>IFERROR(#REF!,"")</f>
        <v/>
      </c>
      <c r="BY39" s="1494"/>
      <c r="BZ39" s="1494"/>
      <c r="CA39" s="1494"/>
      <c r="CB39" s="1494"/>
      <c r="CC39" s="1494"/>
      <c r="CD39" s="1494"/>
      <c r="CE39" s="1494"/>
      <c r="CF39" s="1494"/>
      <c r="CG39" s="1494"/>
      <c r="CH39" s="1494"/>
      <c r="CI39" s="1494"/>
      <c r="CJ39" s="1494"/>
      <c r="CK39" s="1494"/>
      <c r="CL39" s="1494"/>
      <c r="CM39" s="1494"/>
      <c r="CN39" s="1494"/>
      <c r="CO39" s="1494"/>
      <c r="CP39" s="1354"/>
      <c r="CR39" s="1521"/>
      <c r="CS39" s="1522"/>
      <c r="CT39" s="1522"/>
      <c r="CU39" s="1522"/>
      <c r="CV39" s="1522"/>
      <c r="CW39" s="1522"/>
      <c r="CX39" s="1522"/>
      <c r="CY39" s="1522"/>
      <c r="CZ39" s="1522"/>
      <c r="DA39" s="1522"/>
      <c r="DB39" s="1522"/>
      <c r="DC39" s="1522"/>
      <c r="DD39" s="1522"/>
      <c r="DE39" s="1522"/>
      <c r="DF39" s="1522"/>
      <c r="DG39" s="1522"/>
      <c r="DH39" s="1522"/>
      <c r="DI39" s="1522"/>
      <c r="DJ39" s="1522"/>
      <c r="DK39" s="1522"/>
      <c r="DL39" s="1522"/>
      <c r="DM39" s="1522"/>
      <c r="DN39" s="1522"/>
      <c r="DO39" s="1522"/>
      <c r="DP39" s="1522"/>
      <c r="DQ39" s="1522"/>
      <c r="DR39" s="1522"/>
      <c r="DS39" s="1522"/>
      <c r="DT39" s="1522"/>
      <c r="DU39" s="1522"/>
      <c r="DV39" s="1522"/>
      <c r="DW39" s="1523"/>
      <c r="DY39" s="1548"/>
      <c r="DZ39" s="1500"/>
      <c r="EA39" s="1500"/>
      <c r="EB39" s="1500"/>
      <c r="EC39" s="1500"/>
      <c r="ED39" s="1500"/>
      <c r="EE39" s="1500"/>
      <c r="EF39" s="1500"/>
      <c r="EG39" s="1500"/>
      <c r="EH39" s="1500"/>
      <c r="EI39" s="1500"/>
      <c r="EJ39" s="1500"/>
      <c r="EK39" s="1500"/>
      <c r="EL39" s="1500"/>
      <c r="EM39" s="1500"/>
      <c r="EN39" s="1500"/>
      <c r="EO39" s="1500"/>
      <c r="EP39" s="1501"/>
      <c r="EQ39" s="415"/>
      <c r="ER39" s="412"/>
      <c r="ES39" s="1535"/>
      <c r="ET39" s="1536"/>
      <c r="EU39" s="1536"/>
      <c r="EV39" s="1536"/>
      <c r="EW39" s="1536"/>
      <c r="EX39" s="1536"/>
      <c r="EY39" s="1536"/>
      <c r="EZ39" s="1536"/>
      <c r="FA39" s="1536"/>
      <c r="FB39" s="1536"/>
      <c r="FC39" s="1536"/>
      <c r="FD39" s="1536"/>
      <c r="FE39" s="1536"/>
      <c r="FF39" s="1536"/>
      <c r="FG39" s="1536"/>
      <c r="FH39" s="1536"/>
      <c r="FI39" s="1536"/>
      <c r="FJ39" s="1536"/>
      <c r="FK39" s="1536"/>
      <c r="FL39" s="1536"/>
      <c r="FM39" s="1536"/>
      <c r="FN39" s="1536"/>
      <c r="FO39" s="1536"/>
      <c r="FP39" s="1536"/>
      <c r="FQ39" s="1536"/>
      <c r="FR39" s="1536"/>
      <c r="FS39" s="1536"/>
      <c r="FT39" s="1536"/>
      <c r="FU39" s="1536"/>
      <c r="FV39" s="1536"/>
      <c r="FW39" s="1536"/>
      <c r="FX39" s="1536"/>
      <c r="FY39" s="1536"/>
      <c r="FZ39" s="1537"/>
      <c r="GC39" s="1535"/>
      <c r="GD39" s="1536"/>
      <c r="GE39" s="1536"/>
      <c r="GF39" s="1536"/>
      <c r="GG39" s="1536"/>
      <c r="GH39" s="1536"/>
      <c r="GI39" s="1536"/>
      <c r="GJ39" s="1536"/>
      <c r="GK39" s="1536"/>
      <c r="GL39" s="1536"/>
      <c r="GM39" s="1536"/>
      <c r="GN39" s="1536"/>
      <c r="GO39" s="1536"/>
      <c r="GP39" s="1536"/>
      <c r="GQ39" s="1536"/>
      <c r="GR39" s="1536"/>
      <c r="GS39" s="1536"/>
      <c r="GT39" s="1536"/>
      <c r="GU39" s="1536"/>
      <c r="GV39" s="1536"/>
      <c r="GW39" s="1536"/>
      <c r="GX39" s="1536"/>
      <c r="GY39" s="1536"/>
      <c r="GZ39" s="1536"/>
      <c r="HA39" s="1536"/>
      <c r="HB39" s="1536"/>
      <c r="HC39" s="1536"/>
      <c r="HD39" s="1536"/>
      <c r="HE39" s="1536"/>
      <c r="HF39" s="1536"/>
      <c r="HG39" s="1536"/>
      <c r="HH39" s="1536"/>
      <c r="HI39" s="1536"/>
      <c r="HJ39" s="1537"/>
      <c r="HK39" s="238"/>
      <c r="HL39" s="415"/>
    </row>
    <row r="40" spans="2:220" ht="7.5" customHeight="1">
      <c r="B40" s="412"/>
      <c r="C40" s="1461">
        <f>VLOOKUP(C36,[4]ABILITIES!$Z$3:$AA$24,2)</f>
        <v>0</v>
      </c>
      <c r="D40" s="1461"/>
      <c r="E40" s="1461"/>
      <c r="F40" s="1461"/>
      <c r="G40" s="1461"/>
      <c r="H40" s="1461"/>
      <c r="I40" s="1461"/>
      <c r="K40" s="1507"/>
      <c r="L40" s="1508"/>
      <c r="M40" s="1508"/>
      <c r="N40" s="1509"/>
      <c r="O40" s="1513" t="s">
        <v>5811</v>
      </c>
      <c r="P40" s="1457"/>
      <c r="Q40" s="1457"/>
      <c r="R40" s="1457"/>
      <c r="S40" s="1457"/>
      <c r="T40" s="1457"/>
      <c r="U40" s="1457"/>
      <c r="V40" s="1457"/>
      <c r="W40" s="1458"/>
      <c r="Y40" s="1482"/>
      <c r="Z40" s="1427"/>
      <c r="AA40" s="1427"/>
      <c r="AB40" s="1427"/>
      <c r="AC40" s="1427"/>
      <c r="AD40" s="1427"/>
      <c r="AE40" s="1427"/>
      <c r="AF40" s="1427"/>
      <c r="AG40" s="1427"/>
      <c r="AH40" s="1427"/>
      <c r="AI40" s="1427"/>
      <c r="AJ40" s="1427"/>
      <c r="AK40" s="1427"/>
      <c r="AL40" s="1427"/>
      <c r="AM40" s="1427"/>
      <c r="AN40" s="1428"/>
      <c r="AO40" s="421"/>
      <c r="AP40" s="1468">
        <v>11</v>
      </c>
      <c r="AQ40" s="1395"/>
      <c r="AR40" s="1395"/>
      <c r="AS40" s="1441"/>
      <c r="AT40" s="1442"/>
      <c r="AU40" s="1442"/>
      <c r="AV40" s="1442"/>
      <c r="AW40" s="1442"/>
      <c r="AX40" s="1442"/>
      <c r="AY40" s="1442"/>
      <c r="AZ40" s="1442"/>
      <c r="BA40" s="1442"/>
      <c r="BB40" s="1442"/>
      <c r="BC40" s="1442"/>
      <c r="BD40" s="1442"/>
      <c r="BE40" s="1442"/>
      <c r="BF40" s="1442"/>
      <c r="BG40" s="1442"/>
      <c r="BH40" s="1442"/>
      <c r="BI40" s="1442"/>
      <c r="BJ40" s="1442"/>
      <c r="BK40" s="1442"/>
      <c r="BL40" s="1442"/>
      <c r="BM40" s="1442"/>
      <c r="BN40" s="1442"/>
      <c r="BO40" s="1442"/>
      <c r="BP40" s="1442"/>
      <c r="BQ40" s="1442"/>
      <c r="BR40" s="1442"/>
      <c r="BS40" s="1442"/>
      <c r="BT40" s="1442"/>
      <c r="BU40" s="1443"/>
      <c r="BV40" s="415"/>
      <c r="BX40" s="1494"/>
      <c r="BY40" s="1494"/>
      <c r="BZ40" s="1494"/>
      <c r="CA40" s="1494"/>
      <c r="CB40" s="1494"/>
      <c r="CC40" s="1494"/>
      <c r="CD40" s="1494"/>
      <c r="CE40" s="1494"/>
      <c r="CF40" s="1494"/>
      <c r="CG40" s="1494"/>
      <c r="CH40" s="1494"/>
      <c r="CI40" s="1494"/>
      <c r="CJ40" s="1494"/>
      <c r="CK40" s="1494"/>
      <c r="CL40" s="1494"/>
      <c r="CM40" s="1494"/>
      <c r="CN40" s="1494"/>
      <c r="CO40" s="1494"/>
      <c r="CP40" s="1354"/>
      <c r="CR40" s="1521"/>
      <c r="CS40" s="1522"/>
      <c r="CT40" s="1522"/>
      <c r="CU40" s="1522"/>
      <c r="CV40" s="1522"/>
      <c r="CW40" s="1522"/>
      <c r="CX40" s="1522"/>
      <c r="CY40" s="1522"/>
      <c r="CZ40" s="1522"/>
      <c r="DA40" s="1522"/>
      <c r="DB40" s="1522"/>
      <c r="DC40" s="1522"/>
      <c r="DD40" s="1522"/>
      <c r="DE40" s="1522"/>
      <c r="DF40" s="1522"/>
      <c r="DG40" s="1522"/>
      <c r="DH40" s="1522"/>
      <c r="DI40" s="1522"/>
      <c r="DJ40" s="1522"/>
      <c r="DK40" s="1522"/>
      <c r="DL40" s="1522"/>
      <c r="DM40" s="1522"/>
      <c r="DN40" s="1522"/>
      <c r="DO40" s="1522"/>
      <c r="DP40" s="1522"/>
      <c r="DQ40" s="1522"/>
      <c r="DR40" s="1522"/>
      <c r="DS40" s="1522"/>
      <c r="DT40" s="1522"/>
      <c r="DU40" s="1522"/>
      <c r="DV40" s="1522"/>
      <c r="DW40" s="1523"/>
      <c r="DY40" s="1502"/>
      <c r="DZ40" s="1503"/>
      <c r="EA40" s="1503"/>
      <c r="EB40" s="1503"/>
      <c r="EC40" s="1503"/>
      <c r="ED40" s="1503"/>
      <c r="EE40" s="1503"/>
      <c r="EF40" s="1503"/>
      <c r="EG40" s="1503"/>
      <c r="EH40" s="1503"/>
      <c r="EI40" s="1503"/>
      <c r="EJ40" s="1503"/>
      <c r="EK40" s="1503"/>
      <c r="EL40" s="1503"/>
      <c r="EM40" s="1503"/>
      <c r="EN40" s="1503"/>
      <c r="EO40" s="1503"/>
      <c r="EP40" s="1504"/>
      <c r="EQ40" s="415"/>
      <c r="ER40" s="412"/>
      <c r="ES40" s="1532"/>
      <c r="ET40" s="1533"/>
      <c r="EU40" s="1533"/>
      <c r="EV40" s="1533"/>
      <c r="EW40" s="1533"/>
      <c r="EX40" s="1533"/>
      <c r="EY40" s="1533"/>
      <c r="EZ40" s="1533"/>
      <c r="FA40" s="1533"/>
      <c r="FB40" s="1533"/>
      <c r="FC40" s="1533"/>
      <c r="FD40" s="1533"/>
      <c r="FE40" s="1533"/>
      <c r="FF40" s="1533"/>
      <c r="FG40" s="1533"/>
      <c r="FH40" s="1533"/>
      <c r="FI40" s="1533"/>
      <c r="FJ40" s="1533"/>
      <c r="FK40" s="1533"/>
      <c r="FL40" s="1533"/>
      <c r="FM40" s="1533"/>
      <c r="FN40" s="1533"/>
      <c r="FO40" s="1533"/>
      <c r="FP40" s="1533"/>
      <c r="FQ40" s="1533"/>
      <c r="FR40" s="1533"/>
      <c r="FS40" s="1533"/>
      <c r="FT40" s="1533"/>
      <c r="FU40" s="1533"/>
      <c r="FV40" s="1533"/>
      <c r="FW40" s="1533"/>
      <c r="FX40" s="1533"/>
      <c r="FY40" s="1533"/>
      <c r="FZ40" s="1534"/>
      <c r="GC40" s="1532"/>
      <c r="GD40" s="1533"/>
      <c r="GE40" s="1533"/>
      <c r="GF40" s="1533"/>
      <c r="GG40" s="1533"/>
      <c r="GH40" s="1533"/>
      <c r="GI40" s="1533"/>
      <c r="GJ40" s="1533"/>
      <c r="GK40" s="1533"/>
      <c r="GL40" s="1533"/>
      <c r="GM40" s="1533"/>
      <c r="GN40" s="1533"/>
      <c r="GO40" s="1533"/>
      <c r="GP40" s="1533"/>
      <c r="GQ40" s="1533"/>
      <c r="GR40" s="1533"/>
      <c r="GS40" s="1533"/>
      <c r="GT40" s="1533"/>
      <c r="GU40" s="1533"/>
      <c r="GV40" s="1533"/>
      <c r="GW40" s="1533"/>
      <c r="GX40" s="1533"/>
      <c r="GY40" s="1533"/>
      <c r="GZ40" s="1533"/>
      <c r="HA40" s="1533"/>
      <c r="HB40" s="1533"/>
      <c r="HC40" s="1533"/>
      <c r="HD40" s="1533"/>
      <c r="HE40" s="1533"/>
      <c r="HF40" s="1533"/>
      <c r="HG40" s="1533"/>
      <c r="HH40" s="1533"/>
      <c r="HI40" s="1533"/>
      <c r="HJ40" s="1534"/>
      <c r="HK40" s="238"/>
      <c r="HL40" s="415"/>
    </row>
    <row r="41" spans="2:220" ht="7.5" customHeight="1">
      <c r="B41" s="412"/>
      <c r="C41" s="1461"/>
      <c r="D41" s="1461"/>
      <c r="E41" s="1461"/>
      <c r="F41" s="1461"/>
      <c r="G41" s="1461"/>
      <c r="H41" s="1461"/>
      <c r="I41" s="1461"/>
      <c r="K41" s="1510"/>
      <c r="L41" s="1511"/>
      <c r="M41" s="1511"/>
      <c r="N41" s="1512"/>
      <c r="O41" s="1514"/>
      <c r="P41" s="1459"/>
      <c r="Q41" s="1459"/>
      <c r="R41" s="1459"/>
      <c r="S41" s="1459"/>
      <c r="T41" s="1459"/>
      <c r="U41" s="1459"/>
      <c r="V41" s="1459"/>
      <c r="W41" s="1460"/>
      <c r="Y41" s="1482"/>
      <c r="Z41" s="1427"/>
      <c r="AA41" s="1427"/>
      <c r="AB41" s="1427"/>
      <c r="AC41" s="1427"/>
      <c r="AD41" s="1427"/>
      <c r="AE41" s="1427"/>
      <c r="AF41" s="1427"/>
      <c r="AG41" s="1427"/>
      <c r="AH41" s="1427"/>
      <c r="AI41" s="1427"/>
      <c r="AJ41" s="1427"/>
      <c r="AK41" s="1427"/>
      <c r="AL41" s="1427"/>
      <c r="AM41" s="1427"/>
      <c r="AN41" s="1428"/>
      <c r="AO41" s="234"/>
      <c r="AP41" s="1396"/>
      <c r="AQ41" s="1385"/>
      <c r="AR41" s="1385"/>
      <c r="AS41" s="1441"/>
      <c r="AT41" s="1442"/>
      <c r="AU41" s="1442"/>
      <c r="AV41" s="1442"/>
      <c r="AW41" s="1442"/>
      <c r="AX41" s="1442"/>
      <c r="AY41" s="1442"/>
      <c r="AZ41" s="1442"/>
      <c r="BA41" s="1442"/>
      <c r="BB41" s="1442"/>
      <c r="BC41" s="1442"/>
      <c r="BD41" s="1442"/>
      <c r="BE41" s="1442"/>
      <c r="BF41" s="1442"/>
      <c r="BG41" s="1442"/>
      <c r="BH41" s="1442"/>
      <c r="BI41" s="1442"/>
      <c r="BJ41" s="1442"/>
      <c r="BK41" s="1442"/>
      <c r="BL41" s="1442"/>
      <c r="BM41" s="1442"/>
      <c r="BN41" s="1442"/>
      <c r="BO41" s="1442"/>
      <c r="BP41" s="1442"/>
      <c r="BQ41" s="1442"/>
      <c r="BR41" s="1442"/>
      <c r="BS41" s="1442"/>
      <c r="BT41" s="1442"/>
      <c r="BU41" s="1443"/>
      <c r="BV41" s="415"/>
      <c r="BX41" s="1493" t="str">
        <f>IFERROR(#REF!,"")</f>
        <v/>
      </c>
      <c r="BY41" s="1494"/>
      <c r="BZ41" s="1494"/>
      <c r="CA41" s="1494"/>
      <c r="CB41" s="1494"/>
      <c r="CC41" s="1494"/>
      <c r="CD41" s="1494"/>
      <c r="CE41" s="1494"/>
      <c r="CF41" s="1494"/>
      <c r="CG41" s="1494"/>
      <c r="CH41" s="1494"/>
      <c r="CI41" s="1494"/>
      <c r="CJ41" s="1494"/>
      <c r="CK41" s="1494"/>
      <c r="CL41" s="1494"/>
      <c r="CM41" s="1494"/>
      <c r="CN41" s="1494"/>
      <c r="CO41" s="1494"/>
      <c r="CP41" s="1354"/>
      <c r="CR41" s="1521"/>
      <c r="CS41" s="1522"/>
      <c r="CT41" s="1522"/>
      <c r="CU41" s="1522"/>
      <c r="CV41" s="1522"/>
      <c r="CW41" s="1522"/>
      <c r="CX41" s="1522"/>
      <c r="CY41" s="1522"/>
      <c r="CZ41" s="1522"/>
      <c r="DA41" s="1522"/>
      <c r="DB41" s="1522"/>
      <c r="DC41" s="1522"/>
      <c r="DD41" s="1522"/>
      <c r="DE41" s="1522"/>
      <c r="DF41" s="1522"/>
      <c r="DG41" s="1522"/>
      <c r="DH41" s="1522"/>
      <c r="DI41" s="1522"/>
      <c r="DJ41" s="1522"/>
      <c r="DK41" s="1522"/>
      <c r="DL41" s="1522"/>
      <c r="DM41" s="1522"/>
      <c r="DN41" s="1522"/>
      <c r="DO41" s="1522"/>
      <c r="DP41" s="1522"/>
      <c r="DQ41" s="1522"/>
      <c r="DR41" s="1522"/>
      <c r="DS41" s="1522"/>
      <c r="DT41" s="1522"/>
      <c r="DU41" s="1522"/>
      <c r="DV41" s="1522"/>
      <c r="DW41" s="1523"/>
      <c r="DY41" s="1548"/>
      <c r="DZ41" s="1500"/>
      <c r="EA41" s="1500"/>
      <c r="EB41" s="1500"/>
      <c r="EC41" s="1500"/>
      <c r="ED41" s="1500"/>
      <c r="EE41" s="1500"/>
      <c r="EF41" s="1500"/>
      <c r="EG41" s="1500"/>
      <c r="EH41" s="1500"/>
      <c r="EI41" s="1500"/>
      <c r="EJ41" s="1500"/>
      <c r="EK41" s="1500"/>
      <c r="EL41" s="1500"/>
      <c r="EM41" s="1500"/>
      <c r="EN41" s="1500"/>
      <c r="EO41" s="1500"/>
      <c r="EP41" s="1501"/>
      <c r="EQ41" s="415"/>
      <c r="ER41" s="412"/>
      <c r="ES41" s="1535"/>
      <c r="ET41" s="1536"/>
      <c r="EU41" s="1536"/>
      <c r="EV41" s="1536"/>
      <c r="EW41" s="1536"/>
      <c r="EX41" s="1536"/>
      <c r="EY41" s="1536"/>
      <c r="EZ41" s="1536"/>
      <c r="FA41" s="1536"/>
      <c r="FB41" s="1536"/>
      <c r="FC41" s="1536"/>
      <c r="FD41" s="1536"/>
      <c r="FE41" s="1536"/>
      <c r="FF41" s="1536"/>
      <c r="FG41" s="1536"/>
      <c r="FH41" s="1536"/>
      <c r="FI41" s="1536"/>
      <c r="FJ41" s="1536"/>
      <c r="FK41" s="1536"/>
      <c r="FL41" s="1536"/>
      <c r="FM41" s="1536"/>
      <c r="FN41" s="1536"/>
      <c r="FO41" s="1536"/>
      <c r="FP41" s="1536"/>
      <c r="FQ41" s="1536"/>
      <c r="FR41" s="1536"/>
      <c r="FS41" s="1536"/>
      <c r="FT41" s="1536"/>
      <c r="FU41" s="1536"/>
      <c r="FV41" s="1536"/>
      <c r="FW41" s="1536"/>
      <c r="FX41" s="1536"/>
      <c r="FY41" s="1536"/>
      <c r="FZ41" s="1537"/>
      <c r="GC41" s="1535"/>
      <c r="GD41" s="1536"/>
      <c r="GE41" s="1536"/>
      <c r="GF41" s="1536"/>
      <c r="GG41" s="1536"/>
      <c r="GH41" s="1536"/>
      <c r="GI41" s="1536"/>
      <c r="GJ41" s="1536"/>
      <c r="GK41" s="1536"/>
      <c r="GL41" s="1536"/>
      <c r="GM41" s="1536"/>
      <c r="GN41" s="1536"/>
      <c r="GO41" s="1536"/>
      <c r="GP41" s="1536"/>
      <c r="GQ41" s="1536"/>
      <c r="GR41" s="1536"/>
      <c r="GS41" s="1536"/>
      <c r="GT41" s="1536"/>
      <c r="GU41" s="1536"/>
      <c r="GV41" s="1536"/>
      <c r="GW41" s="1536"/>
      <c r="GX41" s="1536"/>
      <c r="GY41" s="1536"/>
      <c r="GZ41" s="1536"/>
      <c r="HA41" s="1536"/>
      <c r="HB41" s="1536"/>
      <c r="HC41" s="1536"/>
      <c r="HD41" s="1536"/>
      <c r="HE41" s="1536"/>
      <c r="HF41" s="1536"/>
      <c r="HG41" s="1536"/>
      <c r="HH41" s="1536"/>
      <c r="HI41" s="1536"/>
      <c r="HJ41" s="1537"/>
      <c r="HK41" s="238"/>
      <c r="HL41" s="415"/>
    </row>
    <row r="42" spans="2:220" ht="7.5" customHeight="1">
      <c r="B42" s="412"/>
      <c r="K42" s="1507"/>
      <c r="L42" s="1508"/>
      <c r="M42" s="1508"/>
      <c r="N42" s="1509"/>
      <c r="O42" s="1513" t="s">
        <v>5829</v>
      </c>
      <c r="P42" s="1457"/>
      <c r="Q42" s="1457"/>
      <c r="R42" s="1457"/>
      <c r="S42" s="1457"/>
      <c r="T42" s="1457"/>
      <c r="U42" s="1457"/>
      <c r="V42" s="1457"/>
      <c r="W42" s="1458"/>
      <c r="Y42" s="1545"/>
      <c r="Z42" s="1546"/>
      <c r="AA42" s="1546"/>
      <c r="AB42" s="1546"/>
      <c r="AC42" s="1546"/>
      <c r="AD42" s="1546"/>
      <c r="AE42" s="1546"/>
      <c r="AF42" s="1546"/>
      <c r="AG42" s="1546"/>
      <c r="AH42" s="1546"/>
      <c r="AI42" s="1546"/>
      <c r="AJ42" s="1546"/>
      <c r="AK42" s="1546"/>
      <c r="AL42" s="1546"/>
      <c r="AM42" s="1546"/>
      <c r="AN42" s="1547"/>
      <c r="AO42" s="234"/>
      <c r="AP42" s="1468">
        <v>12</v>
      </c>
      <c r="AQ42" s="1395"/>
      <c r="AR42" s="1395"/>
      <c r="AS42" s="1441"/>
      <c r="AT42" s="1442"/>
      <c r="AU42" s="1442"/>
      <c r="AV42" s="1442"/>
      <c r="AW42" s="1442"/>
      <c r="AX42" s="1442"/>
      <c r="AY42" s="1442"/>
      <c r="AZ42" s="1442"/>
      <c r="BA42" s="1442"/>
      <c r="BB42" s="1442"/>
      <c r="BC42" s="1442"/>
      <c r="BD42" s="1442"/>
      <c r="BE42" s="1442"/>
      <c r="BF42" s="1442"/>
      <c r="BG42" s="1442"/>
      <c r="BH42" s="1442"/>
      <c r="BI42" s="1442"/>
      <c r="BJ42" s="1442"/>
      <c r="BK42" s="1442"/>
      <c r="BL42" s="1442"/>
      <c r="BM42" s="1442"/>
      <c r="BN42" s="1442"/>
      <c r="BO42" s="1442"/>
      <c r="BP42" s="1442"/>
      <c r="BQ42" s="1442"/>
      <c r="BR42" s="1442"/>
      <c r="BS42" s="1442"/>
      <c r="BT42" s="1442"/>
      <c r="BU42" s="1443"/>
      <c r="BV42" s="415"/>
      <c r="BX42" s="1494"/>
      <c r="BY42" s="1494"/>
      <c r="BZ42" s="1494"/>
      <c r="CA42" s="1494"/>
      <c r="CB42" s="1494"/>
      <c r="CC42" s="1494"/>
      <c r="CD42" s="1494"/>
      <c r="CE42" s="1494"/>
      <c r="CF42" s="1494"/>
      <c r="CG42" s="1494"/>
      <c r="CH42" s="1494"/>
      <c r="CI42" s="1494"/>
      <c r="CJ42" s="1494"/>
      <c r="CK42" s="1494"/>
      <c r="CL42" s="1494"/>
      <c r="CM42" s="1494"/>
      <c r="CN42" s="1494"/>
      <c r="CO42" s="1494"/>
      <c r="CP42" s="1354"/>
      <c r="CR42" s="1521"/>
      <c r="CS42" s="1522"/>
      <c r="CT42" s="1522"/>
      <c r="CU42" s="1522"/>
      <c r="CV42" s="1522"/>
      <c r="CW42" s="1522"/>
      <c r="CX42" s="1522"/>
      <c r="CY42" s="1522"/>
      <c r="CZ42" s="1522"/>
      <c r="DA42" s="1522"/>
      <c r="DB42" s="1522"/>
      <c r="DC42" s="1522"/>
      <c r="DD42" s="1522"/>
      <c r="DE42" s="1522"/>
      <c r="DF42" s="1522"/>
      <c r="DG42" s="1522"/>
      <c r="DH42" s="1522"/>
      <c r="DI42" s="1522"/>
      <c r="DJ42" s="1522"/>
      <c r="DK42" s="1522"/>
      <c r="DL42" s="1522"/>
      <c r="DM42" s="1522"/>
      <c r="DN42" s="1522"/>
      <c r="DO42" s="1522"/>
      <c r="DP42" s="1522"/>
      <c r="DQ42" s="1522"/>
      <c r="DR42" s="1522"/>
      <c r="DS42" s="1522"/>
      <c r="DT42" s="1522"/>
      <c r="DU42" s="1522"/>
      <c r="DV42" s="1522"/>
      <c r="DW42" s="1523"/>
      <c r="DY42" s="1502"/>
      <c r="DZ42" s="1503"/>
      <c r="EA42" s="1503"/>
      <c r="EB42" s="1503"/>
      <c r="EC42" s="1503"/>
      <c r="ED42" s="1503"/>
      <c r="EE42" s="1503"/>
      <c r="EF42" s="1503"/>
      <c r="EG42" s="1503"/>
      <c r="EH42" s="1503"/>
      <c r="EI42" s="1503"/>
      <c r="EJ42" s="1503"/>
      <c r="EK42" s="1503"/>
      <c r="EL42" s="1503"/>
      <c r="EM42" s="1503"/>
      <c r="EN42" s="1503"/>
      <c r="EO42" s="1503"/>
      <c r="EP42" s="1504"/>
      <c r="EQ42" s="415"/>
      <c r="ER42" s="412"/>
      <c r="ES42" s="1532"/>
      <c r="ET42" s="1533"/>
      <c r="EU42" s="1533"/>
      <c r="EV42" s="1533"/>
      <c r="EW42" s="1533"/>
      <c r="EX42" s="1533"/>
      <c r="EY42" s="1533"/>
      <c r="EZ42" s="1533"/>
      <c r="FA42" s="1533"/>
      <c r="FB42" s="1533"/>
      <c r="FC42" s="1533"/>
      <c r="FD42" s="1533"/>
      <c r="FE42" s="1533"/>
      <c r="FF42" s="1533"/>
      <c r="FG42" s="1533"/>
      <c r="FH42" s="1533"/>
      <c r="FI42" s="1533"/>
      <c r="FJ42" s="1533"/>
      <c r="FK42" s="1533"/>
      <c r="FL42" s="1533"/>
      <c r="FM42" s="1533"/>
      <c r="FN42" s="1533"/>
      <c r="FO42" s="1533"/>
      <c r="FP42" s="1533"/>
      <c r="FQ42" s="1533"/>
      <c r="FR42" s="1533"/>
      <c r="FS42" s="1533"/>
      <c r="FT42" s="1533"/>
      <c r="FU42" s="1533"/>
      <c r="FV42" s="1533"/>
      <c r="FW42" s="1533"/>
      <c r="FX42" s="1533"/>
      <c r="FY42" s="1533"/>
      <c r="FZ42" s="1534"/>
      <c r="GC42" s="1532"/>
      <c r="GD42" s="1533"/>
      <c r="GE42" s="1533"/>
      <c r="GF42" s="1533"/>
      <c r="GG42" s="1533"/>
      <c r="GH42" s="1533"/>
      <c r="GI42" s="1533"/>
      <c r="GJ42" s="1533"/>
      <c r="GK42" s="1533"/>
      <c r="GL42" s="1533"/>
      <c r="GM42" s="1533"/>
      <c r="GN42" s="1533"/>
      <c r="GO42" s="1533"/>
      <c r="GP42" s="1533"/>
      <c r="GQ42" s="1533"/>
      <c r="GR42" s="1533"/>
      <c r="GS42" s="1533"/>
      <c r="GT42" s="1533"/>
      <c r="GU42" s="1533"/>
      <c r="GV42" s="1533"/>
      <c r="GW42" s="1533"/>
      <c r="GX42" s="1533"/>
      <c r="GY42" s="1533"/>
      <c r="GZ42" s="1533"/>
      <c r="HA42" s="1533"/>
      <c r="HB42" s="1533"/>
      <c r="HC42" s="1533"/>
      <c r="HD42" s="1533"/>
      <c r="HE42" s="1533"/>
      <c r="HF42" s="1533"/>
      <c r="HG42" s="1533"/>
      <c r="HH42" s="1533"/>
      <c r="HI42" s="1533"/>
      <c r="HJ42" s="1534"/>
      <c r="HK42" s="238"/>
      <c r="HL42" s="415"/>
    </row>
    <row r="43" spans="2:220" ht="7.5" customHeight="1" thickBot="1">
      <c r="B43" s="412"/>
      <c r="C43" s="1527" t="s">
        <v>7408</v>
      </c>
      <c r="D43" s="1528"/>
      <c r="E43" s="1528"/>
      <c r="F43" s="1528"/>
      <c r="G43" s="1528"/>
      <c r="H43" s="1528"/>
      <c r="I43" s="1528"/>
      <c r="K43" s="1510"/>
      <c r="L43" s="1511"/>
      <c r="M43" s="1511"/>
      <c r="N43" s="1512"/>
      <c r="O43" s="1514"/>
      <c r="P43" s="1459"/>
      <c r="Q43" s="1459"/>
      <c r="R43" s="1459"/>
      <c r="S43" s="1459"/>
      <c r="T43" s="1459"/>
      <c r="U43" s="1459"/>
      <c r="V43" s="1459"/>
      <c r="W43" s="1460"/>
      <c r="Y43" s="417"/>
      <c r="Z43" s="231"/>
      <c r="AA43" s="231"/>
      <c r="AB43" s="231"/>
      <c r="AC43" s="231"/>
      <c r="AD43" s="231"/>
      <c r="AE43" s="231"/>
      <c r="AF43" s="231"/>
      <c r="AG43" s="231"/>
      <c r="AH43" s="231"/>
      <c r="AI43" s="231"/>
      <c r="AJ43" s="231"/>
      <c r="AK43" s="231"/>
      <c r="AL43" s="231"/>
      <c r="AM43" s="231"/>
      <c r="AN43" s="231"/>
      <c r="AO43" s="434"/>
      <c r="AP43" s="1396"/>
      <c r="AQ43" s="1385"/>
      <c r="AR43" s="1385"/>
      <c r="AS43" s="1441"/>
      <c r="AT43" s="1442"/>
      <c r="AU43" s="1442"/>
      <c r="AV43" s="1442"/>
      <c r="AW43" s="1442"/>
      <c r="AX43" s="1442"/>
      <c r="AY43" s="1442"/>
      <c r="AZ43" s="1442"/>
      <c r="BA43" s="1442"/>
      <c r="BB43" s="1442"/>
      <c r="BC43" s="1442"/>
      <c r="BD43" s="1442"/>
      <c r="BE43" s="1442"/>
      <c r="BF43" s="1442"/>
      <c r="BG43" s="1442"/>
      <c r="BH43" s="1442"/>
      <c r="BI43" s="1442"/>
      <c r="BJ43" s="1442"/>
      <c r="BK43" s="1442"/>
      <c r="BL43" s="1442"/>
      <c r="BM43" s="1442"/>
      <c r="BN43" s="1442"/>
      <c r="BO43" s="1442"/>
      <c r="BP43" s="1442"/>
      <c r="BQ43" s="1442"/>
      <c r="BR43" s="1442"/>
      <c r="BS43" s="1442"/>
      <c r="BT43" s="1442"/>
      <c r="BU43" s="1443"/>
      <c r="BV43" s="415"/>
      <c r="BX43" s="1493" t="str">
        <f>IFERROR(#REF!,"")</f>
        <v/>
      </c>
      <c r="BY43" s="1494"/>
      <c r="BZ43" s="1494"/>
      <c r="CA43" s="1494"/>
      <c r="CB43" s="1494"/>
      <c r="CC43" s="1494"/>
      <c r="CD43" s="1494"/>
      <c r="CE43" s="1494"/>
      <c r="CF43" s="1494"/>
      <c r="CG43" s="1494"/>
      <c r="CH43" s="1494"/>
      <c r="CI43" s="1494"/>
      <c r="CJ43" s="1494"/>
      <c r="CK43" s="1494"/>
      <c r="CL43" s="1494"/>
      <c r="CM43" s="1494"/>
      <c r="CN43" s="1494"/>
      <c r="CO43" s="1494"/>
      <c r="CP43" s="1354"/>
      <c r="CR43" s="1521"/>
      <c r="CS43" s="1522"/>
      <c r="CT43" s="1522"/>
      <c r="CU43" s="1522"/>
      <c r="CV43" s="1522"/>
      <c r="CW43" s="1522"/>
      <c r="CX43" s="1522"/>
      <c r="CY43" s="1522"/>
      <c r="CZ43" s="1522"/>
      <c r="DA43" s="1522"/>
      <c r="DB43" s="1522"/>
      <c r="DC43" s="1522"/>
      <c r="DD43" s="1522"/>
      <c r="DE43" s="1522"/>
      <c r="DF43" s="1522"/>
      <c r="DG43" s="1522"/>
      <c r="DH43" s="1522"/>
      <c r="DI43" s="1522"/>
      <c r="DJ43" s="1522"/>
      <c r="DK43" s="1522"/>
      <c r="DL43" s="1522"/>
      <c r="DM43" s="1522"/>
      <c r="DN43" s="1522"/>
      <c r="DO43" s="1522"/>
      <c r="DP43" s="1522"/>
      <c r="DQ43" s="1522"/>
      <c r="DR43" s="1522"/>
      <c r="DS43" s="1522"/>
      <c r="DT43" s="1522"/>
      <c r="DU43" s="1522"/>
      <c r="DV43" s="1522"/>
      <c r="DW43" s="1523"/>
      <c r="DY43" s="1548"/>
      <c r="DZ43" s="1500"/>
      <c r="EA43" s="1500"/>
      <c r="EB43" s="1500"/>
      <c r="EC43" s="1500"/>
      <c r="ED43" s="1500"/>
      <c r="EE43" s="1500"/>
      <c r="EF43" s="1500"/>
      <c r="EG43" s="1500"/>
      <c r="EH43" s="1500"/>
      <c r="EI43" s="1500"/>
      <c r="EJ43" s="1500"/>
      <c r="EK43" s="1500"/>
      <c r="EL43" s="1500"/>
      <c r="EM43" s="1500"/>
      <c r="EN43" s="1500"/>
      <c r="EO43" s="1500"/>
      <c r="EP43" s="1501"/>
      <c r="EQ43" s="415"/>
      <c r="ER43" s="412"/>
      <c r="ES43" s="1535"/>
      <c r="ET43" s="1536"/>
      <c r="EU43" s="1536"/>
      <c r="EV43" s="1536"/>
      <c r="EW43" s="1536"/>
      <c r="EX43" s="1536"/>
      <c r="EY43" s="1536"/>
      <c r="EZ43" s="1536"/>
      <c r="FA43" s="1536"/>
      <c r="FB43" s="1536"/>
      <c r="FC43" s="1536"/>
      <c r="FD43" s="1536"/>
      <c r="FE43" s="1536"/>
      <c r="FF43" s="1536"/>
      <c r="FG43" s="1536"/>
      <c r="FH43" s="1536"/>
      <c r="FI43" s="1536"/>
      <c r="FJ43" s="1536"/>
      <c r="FK43" s="1536"/>
      <c r="FL43" s="1536"/>
      <c r="FM43" s="1536"/>
      <c r="FN43" s="1536"/>
      <c r="FO43" s="1536"/>
      <c r="FP43" s="1536"/>
      <c r="FQ43" s="1536"/>
      <c r="FR43" s="1536"/>
      <c r="FS43" s="1536"/>
      <c r="FT43" s="1536"/>
      <c r="FU43" s="1536"/>
      <c r="FV43" s="1536"/>
      <c r="FW43" s="1536"/>
      <c r="FX43" s="1536"/>
      <c r="FY43" s="1536"/>
      <c r="FZ43" s="1537"/>
      <c r="GC43" s="1535"/>
      <c r="GD43" s="1536"/>
      <c r="GE43" s="1536"/>
      <c r="GF43" s="1536"/>
      <c r="GG43" s="1536"/>
      <c r="GH43" s="1536"/>
      <c r="GI43" s="1536"/>
      <c r="GJ43" s="1536"/>
      <c r="GK43" s="1536"/>
      <c r="GL43" s="1536"/>
      <c r="GM43" s="1536"/>
      <c r="GN43" s="1536"/>
      <c r="GO43" s="1536"/>
      <c r="GP43" s="1536"/>
      <c r="GQ43" s="1536"/>
      <c r="GR43" s="1536"/>
      <c r="GS43" s="1536"/>
      <c r="GT43" s="1536"/>
      <c r="GU43" s="1536"/>
      <c r="GV43" s="1536"/>
      <c r="GW43" s="1536"/>
      <c r="GX43" s="1536"/>
      <c r="GY43" s="1536"/>
      <c r="GZ43" s="1536"/>
      <c r="HA43" s="1536"/>
      <c r="HB43" s="1536"/>
      <c r="HC43" s="1536"/>
      <c r="HD43" s="1536"/>
      <c r="HE43" s="1536"/>
      <c r="HF43" s="1536"/>
      <c r="HG43" s="1536"/>
      <c r="HH43" s="1536"/>
      <c r="HI43" s="1536"/>
      <c r="HJ43" s="1537"/>
      <c r="HK43" s="238"/>
      <c r="HL43" s="415"/>
    </row>
    <row r="44" spans="2:220" ht="7.5" customHeight="1">
      <c r="B44" s="412"/>
      <c r="C44" s="1529"/>
      <c r="D44" s="1529"/>
      <c r="E44" s="1529"/>
      <c r="F44" s="1529"/>
      <c r="G44" s="1529"/>
      <c r="H44" s="1529"/>
      <c r="I44" s="1529"/>
      <c r="K44" s="1507"/>
      <c r="L44" s="1508"/>
      <c r="M44" s="1508"/>
      <c r="N44" s="1509"/>
      <c r="O44" s="1513" t="s">
        <v>5830</v>
      </c>
      <c r="P44" s="1457"/>
      <c r="Q44" s="1457"/>
      <c r="R44" s="1457"/>
      <c r="S44" s="1457"/>
      <c r="T44" s="1457"/>
      <c r="U44" s="1457"/>
      <c r="V44" s="1457"/>
      <c r="W44" s="1458"/>
      <c r="Y44" s="1549" t="s">
        <v>7409</v>
      </c>
      <c r="Z44" s="1550"/>
      <c r="AA44" s="1550"/>
      <c r="AB44" s="1550"/>
      <c r="AC44" s="1550"/>
      <c r="AD44" s="1550"/>
      <c r="AE44" s="1550"/>
      <c r="AF44" s="1550"/>
      <c r="AG44" s="1550"/>
      <c r="AH44" s="1550"/>
      <c r="AI44" s="1550"/>
      <c r="AJ44" s="1550"/>
      <c r="AK44" s="1550"/>
      <c r="AL44" s="1550"/>
      <c r="AM44" s="1550"/>
      <c r="AN44" s="1551"/>
      <c r="AO44" s="434"/>
      <c r="AP44" s="1468">
        <v>13</v>
      </c>
      <c r="AQ44" s="1395"/>
      <c r="AR44" s="1395"/>
      <c r="AS44" s="1441"/>
      <c r="AT44" s="1442"/>
      <c r="AU44" s="1442"/>
      <c r="AV44" s="1442"/>
      <c r="AW44" s="1442"/>
      <c r="AX44" s="1442"/>
      <c r="AY44" s="1442"/>
      <c r="AZ44" s="1442"/>
      <c r="BA44" s="1442"/>
      <c r="BB44" s="1442"/>
      <c r="BC44" s="1442"/>
      <c r="BD44" s="1442"/>
      <c r="BE44" s="1442"/>
      <c r="BF44" s="1442"/>
      <c r="BG44" s="1442"/>
      <c r="BH44" s="1442"/>
      <c r="BI44" s="1442"/>
      <c r="BJ44" s="1442"/>
      <c r="BK44" s="1442"/>
      <c r="BL44" s="1442"/>
      <c r="BM44" s="1442"/>
      <c r="BN44" s="1442"/>
      <c r="BO44" s="1442"/>
      <c r="BP44" s="1442"/>
      <c r="BQ44" s="1442"/>
      <c r="BR44" s="1442"/>
      <c r="BS44" s="1442"/>
      <c r="BT44" s="1442"/>
      <c r="BU44" s="1443"/>
      <c r="BV44" s="415"/>
      <c r="BX44" s="1494"/>
      <c r="BY44" s="1494"/>
      <c r="BZ44" s="1494"/>
      <c r="CA44" s="1494"/>
      <c r="CB44" s="1494"/>
      <c r="CC44" s="1494"/>
      <c r="CD44" s="1494"/>
      <c r="CE44" s="1494"/>
      <c r="CF44" s="1494"/>
      <c r="CG44" s="1494"/>
      <c r="CH44" s="1494"/>
      <c r="CI44" s="1494"/>
      <c r="CJ44" s="1494"/>
      <c r="CK44" s="1494"/>
      <c r="CL44" s="1494"/>
      <c r="CM44" s="1494"/>
      <c r="CN44" s="1494"/>
      <c r="CO44" s="1494"/>
      <c r="CP44" s="1354"/>
      <c r="CR44" s="1524"/>
      <c r="CS44" s="1525"/>
      <c r="CT44" s="1525"/>
      <c r="CU44" s="1525"/>
      <c r="CV44" s="1525"/>
      <c r="CW44" s="1525"/>
      <c r="CX44" s="1525"/>
      <c r="CY44" s="1525"/>
      <c r="CZ44" s="1525"/>
      <c r="DA44" s="1525"/>
      <c r="DB44" s="1525"/>
      <c r="DC44" s="1525"/>
      <c r="DD44" s="1525"/>
      <c r="DE44" s="1525"/>
      <c r="DF44" s="1525"/>
      <c r="DG44" s="1525"/>
      <c r="DH44" s="1525"/>
      <c r="DI44" s="1525"/>
      <c r="DJ44" s="1525"/>
      <c r="DK44" s="1525"/>
      <c r="DL44" s="1525"/>
      <c r="DM44" s="1525"/>
      <c r="DN44" s="1525"/>
      <c r="DO44" s="1525"/>
      <c r="DP44" s="1525"/>
      <c r="DQ44" s="1525"/>
      <c r="DR44" s="1525"/>
      <c r="DS44" s="1525"/>
      <c r="DT44" s="1525"/>
      <c r="DU44" s="1525"/>
      <c r="DV44" s="1525"/>
      <c r="DW44" s="1526"/>
      <c r="DY44" s="1502"/>
      <c r="DZ44" s="1503"/>
      <c r="EA44" s="1503"/>
      <c r="EB44" s="1503"/>
      <c r="EC44" s="1503"/>
      <c r="ED44" s="1503"/>
      <c r="EE44" s="1503"/>
      <c r="EF44" s="1503"/>
      <c r="EG44" s="1503"/>
      <c r="EH44" s="1503"/>
      <c r="EI44" s="1503"/>
      <c r="EJ44" s="1503"/>
      <c r="EK44" s="1503"/>
      <c r="EL44" s="1503"/>
      <c r="EM44" s="1503"/>
      <c r="EN44" s="1503"/>
      <c r="EO44" s="1503"/>
      <c r="EP44" s="1504"/>
      <c r="EQ44" s="415"/>
      <c r="ER44" s="412"/>
      <c r="ES44" s="1532"/>
      <c r="ET44" s="1533"/>
      <c r="EU44" s="1533"/>
      <c r="EV44" s="1533"/>
      <c r="EW44" s="1533"/>
      <c r="EX44" s="1533"/>
      <c r="EY44" s="1533"/>
      <c r="EZ44" s="1533"/>
      <c r="FA44" s="1533"/>
      <c r="FB44" s="1533"/>
      <c r="FC44" s="1533"/>
      <c r="FD44" s="1533"/>
      <c r="FE44" s="1533"/>
      <c r="FF44" s="1533"/>
      <c r="FG44" s="1533"/>
      <c r="FH44" s="1533"/>
      <c r="FI44" s="1533"/>
      <c r="FJ44" s="1533"/>
      <c r="FK44" s="1533"/>
      <c r="FL44" s="1533"/>
      <c r="FM44" s="1533"/>
      <c r="FN44" s="1533"/>
      <c r="FO44" s="1533"/>
      <c r="FP44" s="1533"/>
      <c r="FQ44" s="1533"/>
      <c r="FR44" s="1533"/>
      <c r="FS44" s="1533"/>
      <c r="FT44" s="1533"/>
      <c r="FU44" s="1533"/>
      <c r="FV44" s="1533"/>
      <c r="FW44" s="1533"/>
      <c r="FX44" s="1533"/>
      <c r="FY44" s="1533"/>
      <c r="FZ44" s="1534"/>
      <c r="GC44" s="1532"/>
      <c r="GD44" s="1533"/>
      <c r="GE44" s="1533"/>
      <c r="GF44" s="1533"/>
      <c r="GG44" s="1533"/>
      <c r="GH44" s="1533"/>
      <c r="GI44" s="1533"/>
      <c r="GJ44" s="1533"/>
      <c r="GK44" s="1533"/>
      <c r="GL44" s="1533"/>
      <c r="GM44" s="1533"/>
      <c r="GN44" s="1533"/>
      <c r="GO44" s="1533"/>
      <c r="GP44" s="1533"/>
      <c r="GQ44" s="1533"/>
      <c r="GR44" s="1533"/>
      <c r="GS44" s="1533"/>
      <c r="GT44" s="1533"/>
      <c r="GU44" s="1533"/>
      <c r="GV44" s="1533"/>
      <c r="GW44" s="1533"/>
      <c r="GX44" s="1533"/>
      <c r="GY44" s="1533"/>
      <c r="GZ44" s="1533"/>
      <c r="HA44" s="1533"/>
      <c r="HB44" s="1533"/>
      <c r="HC44" s="1533"/>
      <c r="HD44" s="1533"/>
      <c r="HE44" s="1533"/>
      <c r="HF44" s="1533"/>
      <c r="HG44" s="1533"/>
      <c r="HH44" s="1533"/>
      <c r="HI44" s="1533"/>
      <c r="HJ44" s="1534"/>
      <c r="HK44" s="238"/>
      <c r="HL44" s="415"/>
    </row>
    <row r="45" spans="2:220" ht="7.5" customHeight="1" thickBot="1">
      <c r="B45" s="412"/>
      <c r="C45" s="1473">
        <f>[4]ABILITIES!Q27</f>
        <v>19.019143666433976</v>
      </c>
      <c r="D45" s="1395"/>
      <c r="E45" s="1395"/>
      <c r="F45" s="1395"/>
      <c r="G45" s="1395"/>
      <c r="H45" s="1395"/>
      <c r="I45" s="1402"/>
      <c r="K45" s="1510"/>
      <c r="L45" s="1511"/>
      <c r="M45" s="1511"/>
      <c r="N45" s="1512"/>
      <c r="O45" s="1514"/>
      <c r="P45" s="1459"/>
      <c r="Q45" s="1459"/>
      <c r="R45" s="1459"/>
      <c r="S45" s="1459"/>
      <c r="T45" s="1459"/>
      <c r="U45" s="1459"/>
      <c r="V45" s="1459"/>
      <c r="W45" s="1460"/>
      <c r="Y45" s="1552"/>
      <c r="Z45" s="1553"/>
      <c r="AA45" s="1553"/>
      <c r="AB45" s="1553"/>
      <c r="AC45" s="1553"/>
      <c r="AD45" s="1553"/>
      <c r="AE45" s="1553"/>
      <c r="AF45" s="1553"/>
      <c r="AG45" s="1553"/>
      <c r="AH45" s="1553"/>
      <c r="AI45" s="1553"/>
      <c r="AJ45" s="1553"/>
      <c r="AK45" s="1553"/>
      <c r="AL45" s="1553"/>
      <c r="AM45" s="1553"/>
      <c r="AN45" s="1554"/>
      <c r="AP45" s="1396"/>
      <c r="AQ45" s="1385"/>
      <c r="AR45" s="1385"/>
      <c r="AS45" s="1441"/>
      <c r="AT45" s="1442"/>
      <c r="AU45" s="1442"/>
      <c r="AV45" s="1442"/>
      <c r="AW45" s="1442"/>
      <c r="AX45" s="1442"/>
      <c r="AY45" s="1442"/>
      <c r="AZ45" s="1442"/>
      <c r="BA45" s="1442"/>
      <c r="BB45" s="1442"/>
      <c r="BC45" s="1442"/>
      <c r="BD45" s="1442"/>
      <c r="BE45" s="1442"/>
      <c r="BF45" s="1442"/>
      <c r="BG45" s="1442"/>
      <c r="BH45" s="1442"/>
      <c r="BI45" s="1442"/>
      <c r="BJ45" s="1442"/>
      <c r="BK45" s="1442"/>
      <c r="BL45" s="1442"/>
      <c r="BM45" s="1442"/>
      <c r="BN45" s="1442"/>
      <c r="BO45" s="1442"/>
      <c r="BP45" s="1442"/>
      <c r="BQ45" s="1442"/>
      <c r="BR45" s="1442"/>
      <c r="BS45" s="1442"/>
      <c r="BT45" s="1442"/>
      <c r="BU45" s="1443"/>
      <c r="BV45" s="415"/>
      <c r="EQ45" s="415"/>
      <c r="ER45" s="412"/>
      <c r="ES45" s="1535"/>
      <c r="ET45" s="1536"/>
      <c r="EU45" s="1536"/>
      <c r="EV45" s="1536"/>
      <c r="EW45" s="1536"/>
      <c r="EX45" s="1536"/>
      <c r="EY45" s="1536"/>
      <c r="EZ45" s="1536"/>
      <c r="FA45" s="1536"/>
      <c r="FB45" s="1536"/>
      <c r="FC45" s="1536"/>
      <c r="FD45" s="1536"/>
      <c r="FE45" s="1536"/>
      <c r="FF45" s="1536"/>
      <c r="FG45" s="1536"/>
      <c r="FH45" s="1536"/>
      <c r="FI45" s="1536"/>
      <c r="FJ45" s="1536"/>
      <c r="FK45" s="1536"/>
      <c r="FL45" s="1536"/>
      <c r="FM45" s="1536"/>
      <c r="FN45" s="1536"/>
      <c r="FO45" s="1536"/>
      <c r="FP45" s="1536"/>
      <c r="FQ45" s="1536"/>
      <c r="FR45" s="1536"/>
      <c r="FS45" s="1536"/>
      <c r="FT45" s="1536"/>
      <c r="FU45" s="1536"/>
      <c r="FV45" s="1536"/>
      <c r="FW45" s="1536"/>
      <c r="FX45" s="1536"/>
      <c r="FY45" s="1536"/>
      <c r="FZ45" s="1537"/>
      <c r="GC45" s="1535"/>
      <c r="GD45" s="1536"/>
      <c r="GE45" s="1536"/>
      <c r="GF45" s="1536"/>
      <c r="GG45" s="1536"/>
      <c r="GH45" s="1536"/>
      <c r="GI45" s="1536"/>
      <c r="GJ45" s="1536"/>
      <c r="GK45" s="1536"/>
      <c r="GL45" s="1536"/>
      <c r="GM45" s="1536"/>
      <c r="GN45" s="1536"/>
      <c r="GO45" s="1536"/>
      <c r="GP45" s="1536"/>
      <c r="GQ45" s="1536"/>
      <c r="GR45" s="1536"/>
      <c r="GS45" s="1536"/>
      <c r="GT45" s="1536"/>
      <c r="GU45" s="1536"/>
      <c r="GV45" s="1536"/>
      <c r="GW45" s="1536"/>
      <c r="GX45" s="1536"/>
      <c r="GY45" s="1536"/>
      <c r="GZ45" s="1536"/>
      <c r="HA45" s="1536"/>
      <c r="HB45" s="1536"/>
      <c r="HC45" s="1536"/>
      <c r="HD45" s="1536"/>
      <c r="HE45" s="1536"/>
      <c r="HF45" s="1536"/>
      <c r="HG45" s="1536"/>
      <c r="HH45" s="1536"/>
      <c r="HI45" s="1536"/>
      <c r="HJ45" s="1537"/>
      <c r="HK45" s="238"/>
      <c r="HL45" s="415"/>
    </row>
    <row r="46" spans="2:220" ht="7.5" customHeight="1">
      <c r="B46" s="412"/>
      <c r="C46" s="1411"/>
      <c r="D46" s="1384"/>
      <c r="E46" s="1384"/>
      <c r="F46" s="1384"/>
      <c r="G46" s="1384"/>
      <c r="H46" s="1384"/>
      <c r="I46" s="1412"/>
      <c r="K46" s="1507"/>
      <c r="L46" s="1508"/>
      <c r="M46" s="1508"/>
      <c r="N46" s="1509"/>
      <c r="O46" s="1513" t="s">
        <v>5831</v>
      </c>
      <c r="P46" s="1457"/>
      <c r="Q46" s="1457"/>
      <c r="R46" s="1457"/>
      <c r="S46" s="1457"/>
      <c r="T46" s="1457"/>
      <c r="U46" s="1457"/>
      <c r="V46" s="1457"/>
      <c r="W46" s="1458"/>
      <c r="Y46" s="1555" t="s">
        <v>7410</v>
      </c>
      <c r="Z46" s="1556"/>
      <c r="AA46" s="1556"/>
      <c r="AB46" s="1556"/>
      <c r="AC46" s="1556"/>
      <c r="AD46" s="1556"/>
      <c r="AE46" s="1556"/>
      <c r="AF46" s="1556"/>
      <c r="AG46" s="1556"/>
      <c r="AH46" s="1556"/>
      <c r="AI46" s="1556"/>
      <c r="AJ46" s="1556"/>
      <c r="AK46" s="1556"/>
      <c r="AL46" s="1556"/>
      <c r="AM46" s="1556"/>
      <c r="AN46" s="1557"/>
      <c r="AP46" s="1468">
        <v>14</v>
      </c>
      <c r="AQ46" s="1395"/>
      <c r="AR46" s="1395"/>
      <c r="AS46" s="1441"/>
      <c r="AT46" s="1442"/>
      <c r="AU46" s="1442"/>
      <c r="AV46" s="1442"/>
      <c r="AW46" s="1442"/>
      <c r="AX46" s="1442"/>
      <c r="AY46" s="1442"/>
      <c r="AZ46" s="1442"/>
      <c r="BA46" s="1442"/>
      <c r="BB46" s="1442"/>
      <c r="BC46" s="1442"/>
      <c r="BD46" s="1442"/>
      <c r="BE46" s="1442"/>
      <c r="BF46" s="1442"/>
      <c r="BG46" s="1442"/>
      <c r="BH46" s="1442"/>
      <c r="BI46" s="1442"/>
      <c r="BJ46" s="1442"/>
      <c r="BK46" s="1442"/>
      <c r="BL46" s="1442"/>
      <c r="BM46" s="1442"/>
      <c r="BN46" s="1442"/>
      <c r="BO46" s="1442"/>
      <c r="BP46" s="1442"/>
      <c r="BQ46" s="1442"/>
      <c r="BR46" s="1442"/>
      <c r="BS46" s="1442"/>
      <c r="BT46" s="1442"/>
      <c r="BU46" s="1443"/>
      <c r="BV46" s="415"/>
      <c r="BW46" s="412"/>
      <c r="BX46" s="417"/>
      <c r="BY46" s="1444" t="s">
        <v>7411</v>
      </c>
      <c r="BZ46" s="1560"/>
      <c r="CA46" s="1560"/>
      <c r="CB46" s="1560"/>
      <c r="CC46" s="1560"/>
      <c r="CD46" s="1560"/>
      <c r="CE46" s="1560"/>
      <c r="CF46" s="1560"/>
      <c r="CG46" s="1560"/>
      <c r="CH46" s="1560"/>
      <c r="CI46" s="1560"/>
      <c r="CJ46" s="1560"/>
      <c r="CK46" s="1560"/>
      <c r="CL46" s="1560"/>
      <c r="CM46" s="1560"/>
      <c r="CN46" s="1560"/>
      <c r="CO46" s="1560"/>
      <c r="CP46" s="1561"/>
      <c r="CQ46" s="435"/>
      <c r="CR46" s="1344" t="s">
        <v>7412</v>
      </c>
      <c r="CS46" s="1565"/>
      <c r="CT46" s="1565"/>
      <c r="CU46" s="1565"/>
      <c r="CV46" s="1565"/>
      <c r="CW46" s="1565"/>
      <c r="CX46" s="1565"/>
      <c r="CY46" s="1565"/>
      <c r="CZ46" s="1565"/>
      <c r="DA46" s="1565"/>
      <c r="DB46" s="1565"/>
      <c r="DC46" s="1565"/>
      <c r="DD46" s="1565"/>
      <c r="DE46" s="1565"/>
      <c r="DF46" s="1565"/>
      <c r="DG46" s="1481"/>
      <c r="DI46" s="1344" t="s">
        <v>7413</v>
      </c>
      <c r="DJ46" s="1565"/>
      <c r="DK46" s="1565"/>
      <c r="DL46" s="1565"/>
      <c r="DM46" s="1565"/>
      <c r="DN46" s="1565"/>
      <c r="DO46" s="1565"/>
      <c r="DP46" s="1565"/>
      <c r="DQ46" s="1565"/>
      <c r="DR46" s="1565"/>
      <c r="DS46" s="1565"/>
      <c r="DT46" s="1565"/>
      <c r="DU46" s="1565"/>
      <c r="DV46" s="1565"/>
      <c r="DW46" s="1568"/>
      <c r="DY46" s="1570" t="s">
        <v>7414</v>
      </c>
      <c r="DZ46" s="1571"/>
      <c r="EA46" s="1571"/>
      <c r="EB46" s="1571"/>
      <c r="EC46" s="1571"/>
      <c r="ED46" s="1571"/>
      <c r="EE46" s="1571"/>
      <c r="EF46" s="1571"/>
      <c r="EG46" s="1571"/>
      <c r="EH46" s="1571"/>
      <c r="EI46" s="1571"/>
      <c r="EJ46" s="1571"/>
      <c r="EK46" s="1571"/>
      <c r="EL46" s="1571"/>
      <c r="EM46" s="1571"/>
      <c r="EN46" s="1571"/>
      <c r="EO46" s="1572"/>
      <c r="EQ46" s="415"/>
      <c r="ER46" s="412"/>
      <c r="ES46" s="1532"/>
      <c r="ET46" s="1533"/>
      <c r="EU46" s="1533"/>
      <c r="EV46" s="1533"/>
      <c r="EW46" s="1533"/>
      <c r="EX46" s="1533"/>
      <c r="EY46" s="1533"/>
      <c r="EZ46" s="1533"/>
      <c r="FA46" s="1533"/>
      <c r="FB46" s="1533"/>
      <c r="FC46" s="1533"/>
      <c r="FD46" s="1533"/>
      <c r="FE46" s="1533"/>
      <c r="FF46" s="1533"/>
      <c r="FG46" s="1533"/>
      <c r="FH46" s="1533"/>
      <c r="FI46" s="1533"/>
      <c r="FJ46" s="1533"/>
      <c r="FK46" s="1533"/>
      <c r="FL46" s="1533"/>
      <c r="FM46" s="1533"/>
      <c r="FN46" s="1533"/>
      <c r="FO46" s="1533"/>
      <c r="FP46" s="1533"/>
      <c r="FQ46" s="1533"/>
      <c r="FR46" s="1533"/>
      <c r="FS46" s="1533"/>
      <c r="FT46" s="1533"/>
      <c r="FU46" s="1533"/>
      <c r="FV46" s="1533"/>
      <c r="FW46" s="1533"/>
      <c r="FX46" s="1533"/>
      <c r="FY46" s="1533"/>
      <c r="FZ46" s="1534"/>
      <c r="GC46" s="1532"/>
      <c r="GD46" s="1533"/>
      <c r="GE46" s="1533"/>
      <c r="GF46" s="1533"/>
      <c r="GG46" s="1533"/>
      <c r="GH46" s="1533"/>
      <c r="GI46" s="1533"/>
      <c r="GJ46" s="1533"/>
      <c r="GK46" s="1533"/>
      <c r="GL46" s="1533"/>
      <c r="GM46" s="1533"/>
      <c r="GN46" s="1533"/>
      <c r="GO46" s="1533"/>
      <c r="GP46" s="1533"/>
      <c r="GQ46" s="1533"/>
      <c r="GR46" s="1533"/>
      <c r="GS46" s="1533"/>
      <c r="GT46" s="1533"/>
      <c r="GU46" s="1533"/>
      <c r="GV46" s="1533"/>
      <c r="GW46" s="1533"/>
      <c r="GX46" s="1533"/>
      <c r="GY46" s="1533"/>
      <c r="GZ46" s="1533"/>
      <c r="HA46" s="1533"/>
      <c r="HB46" s="1533"/>
      <c r="HC46" s="1533"/>
      <c r="HD46" s="1533"/>
      <c r="HE46" s="1533"/>
      <c r="HF46" s="1533"/>
      <c r="HG46" s="1533"/>
      <c r="HH46" s="1533"/>
      <c r="HI46" s="1533"/>
      <c r="HJ46" s="1534"/>
      <c r="HK46" s="238"/>
      <c r="HL46" s="415"/>
    </row>
    <row r="47" spans="2:220" ht="7.5" customHeight="1" thickBot="1">
      <c r="B47" s="412"/>
      <c r="C47" s="1411"/>
      <c r="D47" s="1384"/>
      <c r="E47" s="1384"/>
      <c r="F47" s="1384"/>
      <c r="G47" s="1384"/>
      <c r="H47" s="1384"/>
      <c r="I47" s="1412"/>
      <c r="K47" s="1510"/>
      <c r="L47" s="1511"/>
      <c r="M47" s="1511"/>
      <c r="N47" s="1512"/>
      <c r="O47" s="1514"/>
      <c r="P47" s="1459"/>
      <c r="Q47" s="1459"/>
      <c r="R47" s="1459"/>
      <c r="S47" s="1459"/>
      <c r="T47" s="1459"/>
      <c r="U47" s="1459"/>
      <c r="V47" s="1459"/>
      <c r="W47" s="1460"/>
      <c r="Y47" s="1558"/>
      <c r="Z47" s="1479"/>
      <c r="AA47" s="1479"/>
      <c r="AB47" s="1479"/>
      <c r="AC47" s="1479"/>
      <c r="AD47" s="1479"/>
      <c r="AE47" s="1479"/>
      <c r="AF47" s="1479"/>
      <c r="AG47" s="1479"/>
      <c r="AH47" s="1479"/>
      <c r="AI47" s="1479"/>
      <c r="AJ47" s="1479"/>
      <c r="AK47" s="1479"/>
      <c r="AL47" s="1479"/>
      <c r="AM47" s="1479"/>
      <c r="AN47" s="1559"/>
      <c r="AP47" s="1396"/>
      <c r="AQ47" s="1385"/>
      <c r="AR47" s="1385"/>
      <c r="AS47" s="1441"/>
      <c r="AT47" s="1442"/>
      <c r="AU47" s="1442"/>
      <c r="AV47" s="1442"/>
      <c r="AW47" s="1442"/>
      <c r="AX47" s="1442"/>
      <c r="AY47" s="1442"/>
      <c r="AZ47" s="1442"/>
      <c r="BA47" s="1442"/>
      <c r="BB47" s="1442"/>
      <c r="BC47" s="1442"/>
      <c r="BD47" s="1442"/>
      <c r="BE47" s="1442"/>
      <c r="BF47" s="1442"/>
      <c r="BG47" s="1442"/>
      <c r="BH47" s="1442"/>
      <c r="BI47" s="1442"/>
      <c r="BJ47" s="1442"/>
      <c r="BK47" s="1442"/>
      <c r="BL47" s="1442"/>
      <c r="BM47" s="1442"/>
      <c r="BN47" s="1442"/>
      <c r="BO47" s="1442"/>
      <c r="BP47" s="1442"/>
      <c r="BQ47" s="1442"/>
      <c r="BR47" s="1442"/>
      <c r="BS47" s="1442"/>
      <c r="BT47" s="1442"/>
      <c r="BU47" s="1443"/>
      <c r="BV47" s="415"/>
      <c r="BW47" s="412"/>
      <c r="BX47" s="435"/>
      <c r="BY47" s="1562"/>
      <c r="BZ47" s="1563"/>
      <c r="CA47" s="1563"/>
      <c r="CB47" s="1563"/>
      <c r="CC47" s="1563"/>
      <c r="CD47" s="1563"/>
      <c r="CE47" s="1563"/>
      <c r="CF47" s="1563"/>
      <c r="CG47" s="1563"/>
      <c r="CH47" s="1563"/>
      <c r="CI47" s="1563"/>
      <c r="CJ47" s="1563"/>
      <c r="CK47" s="1563"/>
      <c r="CL47" s="1563"/>
      <c r="CM47" s="1563"/>
      <c r="CN47" s="1563"/>
      <c r="CO47" s="1563"/>
      <c r="CP47" s="1564"/>
      <c r="CQ47" s="435"/>
      <c r="CR47" s="1566"/>
      <c r="CS47" s="1567"/>
      <c r="CT47" s="1567"/>
      <c r="CU47" s="1567"/>
      <c r="CV47" s="1567"/>
      <c r="CW47" s="1567"/>
      <c r="CX47" s="1567"/>
      <c r="CY47" s="1567"/>
      <c r="CZ47" s="1567"/>
      <c r="DA47" s="1567"/>
      <c r="DB47" s="1567"/>
      <c r="DC47" s="1567"/>
      <c r="DD47" s="1567"/>
      <c r="DE47" s="1567"/>
      <c r="DF47" s="1567"/>
      <c r="DG47" s="1428"/>
      <c r="DI47" s="1566"/>
      <c r="DJ47" s="1567"/>
      <c r="DK47" s="1567"/>
      <c r="DL47" s="1567"/>
      <c r="DM47" s="1567"/>
      <c r="DN47" s="1567"/>
      <c r="DO47" s="1567"/>
      <c r="DP47" s="1567"/>
      <c r="DQ47" s="1567"/>
      <c r="DR47" s="1567"/>
      <c r="DS47" s="1567"/>
      <c r="DT47" s="1567"/>
      <c r="DU47" s="1567"/>
      <c r="DV47" s="1567"/>
      <c r="DW47" s="1569"/>
      <c r="DY47" s="1573"/>
      <c r="DZ47" s="1383"/>
      <c r="EA47" s="1383"/>
      <c r="EB47" s="1383"/>
      <c r="EC47" s="1383"/>
      <c r="ED47" s="1383"/>
      <c r="EE47" s="1383"/>
      <c r="EF47" s="1383"/>
      <c r="EG47" s="1383"/>
      <c r="EH47" s="1383"/>
      <c r="EI47" s="1383"/>
      <c r="EJ47" s="1383"/>
      <c r="EK47" s="1383"/>
      <c r="EL47" s="1383"/>
      <c r="EM47" s="1383"/>
      <c r="EN47" s="1383"/>
      <c r="EO47" s="1574"/>
      <c r="EQ47" s="415"/>
      <c r="ER47" s="412"/>
      <c r="ES47" s="1535"/>
      <c r="ET47" s="1536"/>
      <c r="EU47" s="1536"/>
      <c r="EV47" s="1536"/>
      <c r="EW47" s="1536"/>
      <c r="EX47" s="1536"/>
      <c r="EY47" s="1536"/>
      <c r="EZ47" s="1536"/>
      <c r="FA47" s="1536"/>
      <c r="FB47" s="1536"/>
      <c r="FC47" s="1536"/>
      <c r="FD47" s="1536"/>
      <c r="FE47" s="1536"/>
      <c r="FF47" s="1536"/>
      <c r="FG47" s="1536"/>
      <c r="FH47" s="1536"/>
      <c r="FI47" s="1536"/>
      <c r="FJ47" s="1536"/>
      <c r="FK47" s="1536"/>
      <c r="FL47" s="1536"/>
      <c r="FM47" s="1536"/>
      <c r="FN47" s="1536"/>
      <c r="FO47" s="1536"/>
      <c r="FP47" s="1536"/>
      <c r="FQ47" s="1536"/>
      <c r="FR47" s="1536"/>
      <c r="FS47" s="1536"/>
      <c r="FT47" s="1536"/>
      <c r="FU47" s="1536"/>
      <c r="FV47" s="1536"/>
      <c r="FW47" s="1536"/>
      <c r="FX47" s="1536"/>
      <c r="FY47" s="1536"/>
      <c r="FZ47" s="1537"/>
      <c r="GC47" s="1535"/>
      <c r="GD47" s="1536"/>
      <c r="GE47" s="1536"/>
      <c r="GF47" s="1536"/>
      <c r="GG47" s="1536"/>
      <c r="GH47" s="1536"/>
      <c r="GI47" s="1536"/>
      <c r="GJ47" s="1536"/>
      <c r="GK47" s="1536"/>
      <c r="GL47" s="1536"/>
      <c r="GM47" s="1536"/>
      <c r="GN47" s="1536"/>
      <c r="GO47" s="1536"/>
      <c r="GP47" s="1536"/>
      <c r="GQ47" s="1536"/>
      <c r="GR47" s="1536"/>
      <c r="GS47" s="1536"/>
      <c r="GT47" s="1536"/>
      <c r="GU47" s="1536"/>
      <c r="GV47" s="1536"/>
      <c r="GW47" s="1536"/>
      <c r="GX47" s="1536"/>
      <c r="GY47" s="1536"/>
      <c r="GZ47" s="1536"/>
      <c r="HA47" s="1536"/>
      <c r="HB47" s="1536"/>
      <c r="HC47" s="1536"/>
      <c r="HD47" s="1536"/>
      <c r="HE47" s="1536"/>
      <c r="HF47" s="1536"/>
      <c r="HG47" s="1536"/>
      <c r="HH47" s="1536"/>
      <c r="HI47" s="1536"/>
      <c r="HJ47" s="1537"/>
      <c r="HK47" s="238"/>
      <c r="HL47" s="415"/>
    </row>
    <row r="48" spans="2:220" ht="7.5" customHeight="1">
      <c r="B48" s="412"/>
      <c r="C48" s="1396"/>
      <c r="D48" s="1385"/>
      <c r="E48" s="1385"/>
      <c r="F48" s="1385"/>
      <c r="G48" s="1385"/>
      <c r="H48" s="1385"/>
      <c r="I48" s="1403"/>
      <c r="K48" s="1507"/>
      <c r="L48" s="1508"/>
      <c r="M48" s="1508"/>
      <c r="N48" s="1509"/>
      <c r="O48" s="1513" t="s">
        <v>5832</v>
      </c>
      <c r="P48" s="1457"/>
      <c r="Q48" s="1457"/>
      <c r="R48" s="1457"/>
      <c r="S48" s="1457"/>
      <c r="T48" s="1457"/>
      <c r="U48" s="1457"/>
      <c r="V48" s="1457"/>
      <c r="W48" s="1458"/>
      <c r="Y48" s="1575" t="s">
        <v>7415</v>
      </c>
      <c r="Z48" s="1576"/>
      <c r="AA48" s="1576"/>
      <c r="AB48" s="1576"/>
      <c r="AC48" s="1576"/>
      <c r="AD48" s="1576"/>
      <c r="AE48" s="1576"/>
      <c r="AF48" s="1576"/>
      <c r="AG48" s="1576"/>
      <c r="AH48" s="1576"/>
      <c r="AI48" s="1576"/>
      <c r="AJ48" s="1576"/>
      <c r="AK48" s="1576"/>
      <c r="AL48" s="1576"/>
      <c r="AM48" s="1576"/>
      <c r="AN48" s="1577"/>
      <c r="AP48" s="1468">
        <v>15</v>
      </c>
      <c r="AQ48" s="1395"/>
      <c r="AR48" s="1395"/>
      <c r="AS48" s="1441"/>
      <c r="AT48" s="1442"/>
      <c r="AU48" s="1442"/>
      <c r="AV48" s="1442"/>
      <c r="AW48" s="1442"/>
      <c r="AX48" s="1442"/>
      <c r="AY48" s="1442"/>
      <c r="AZ48" s="1442"/>
      <c r="BA48" s="1442"/>
      <c r="BB48" s="1442"/>
      <c r="BC48" s="1442"/>
      <c r="BD48" s="1442"/>
      <c r="BE48" s="1442"/>
      <c r="BF48" s="1442"/>
      <c r="BG48" s="1442"/>
      <c r="BH48" s="1442"/>
      <c r="BI48" s="1442"/>
      <c r="BJ48" s="1442"/>
      <c r="BK48" s="1442"/>
      <c r="BL48" s="1442"/>
      <c r="BM48" s="1442"/>
      <c r="BN48" s="1442"/>
      <c r="BO48" s="1442"/>
      <c r="BP48" s="1442"/>
      <c r="BQ48" s="1442"/>
      <c r="BR48" s="1442"/>
      <c r="BS48" s="1442"/>
      <c r="BT48" s="1442"/>
      <c r="BU48" s="1443"/>
      <c r="BV48" s="415"/>
      <c r="BW48" s="412"/>
      <c r="BX48" s="436"/>
      <c r="BY48" s="1581"/>
      <c r="BZ48" s="1582"/>
      <c r="CA48" s="1582"/>
      <c r="CB48" s="1582"/>
      <c r="CC48" s="1582"/>
      <c r="CD48" s="1582"/>
      <c r="CE48" s="1582"/>
      <c r="CF48" s="1582"/>
      <c r="CG48" s="1582"/>
      <c r="CH48" s="1582"/>
      <c r="CI48" s="1582"/>
      <c r="CJ48" s="1582"/>
      <c r="CK48" s="1582"/>
      <c r="CL48" s="1582"/>
      <c r="CM48" s="1582"/>
      <c r="CN48" s="1582"/>
      <c r="CO48" s="1582"/>
      <c r="CP48" s="1583"/>
      <c r="CQ48" s="237"/>
      <c r="CR48" s="1594"/>
      <c r="CS48" s="1595"/>
      <c r="CT48" s="1595"/>
      <c r="CU48" s="1595"/>
      <c r="CV48" s="1595"/>
      <c r="CW48" s="1595"/>
      <c r="CX48" s="1595"/>
      <c r="CY48" s="1595"/>
      <c r="CZ48" s="1595"/>
      <c r="DA48" s="1595"/>
      <c r="DB48" s="1595"/>
      <c r="DC48" s="1595"/>
      <c r="DD48" s="1595"/>
      <c r="DE48" s="1595"/>
      <c r="DF48" s="1595"/>
      <c r="DG48" s="1428"/>
      <c r="DI48" s="1599"/>
      <c r="DJ48" s="1600"/>
      <c r="DK48" s="1600"/>
      <c r="DL48" s="1600"/>
      <c r="DM48" s="1600"/>
      <c r="DN48" s="1600"/>
      <c r="DO48" s="1600"/>
      <c r="DP48" s="1600"/>
      <c r="DQ48" s="1600"/>
      <c r="DR48" s="1600"/>
      <c r="DS48" s="1600"/>
      <c r="DT48" s="1600"/>
      <c r="DU48" s="1600"/>
      <c r="DV48" s="1600"/>
      <c r="DW48" s="1601"/>
      <c r="DY48" s="1604"/>
      <c r="DZ48" s="1605"/>
      <c r="EA48" s="1605"/>
      <c r="EB48" s="1605"/>
      <c r="EC48" s="1605"/>
      <c r="ED48" s="1605"/>
      <c r="EE48" s="1605"/>
      <c r="EF48" s="1605"/>
      <c r="EG48" s="1605"/>
      <c r="EH48" s="1605"/>
      <c r="EI48" s="1605"/>
      <c r="EJ48" s="1605"/>
      <c r="EK48" s="1605"/>
      <c r="EL48" s="1605"/>
      <c r="EM48" s="1605"/>
      <c r="EN48" s="1605"/>
      <c r="EO48" s="1606"/>
      <c r="EQ48" s="415"/>
      <c r="ER48" s="412"/>
      <c r="ES48" s="1532"/>
      <c r="ET48" s="1533"/>
      <c r="EU48" s="1533"/>
      <c r="EV48" s="1533"/>
      <c r="EW48" s="1533"/>
      <c r="EX48" s="1533"/>
      <c r="EY48" s="1533"/>
      <c r="EZ48" s="1533"/>
      <c r="FA48" s="1533"/>
      <c r="FB48" s="1533"/>
      <c r="FC48" s="1533"/>
      <c r="FD48" s="1533"/>
      <c r="FE48" s="1533"/>
      <c r="FF48" s="1533"/>
      <c r="FG48" s="1533"/>
      <c r="FH48" s="1533"/>
      <c r="FI48" s="1533"/>
      <c r="FJ48" s="1533"/>
      <c r="FK48" s="1533"/>
      <c r="FL48" s="1533"/>
      <c r="FM48" s="1533"/>
      <c r="FN48" s="1533"/>
      <c r="FO48" s="1533"/>
      <c r="FP48" s="1533"/>
      <c r="FQ48" s="1533"/>
      <c r="FR48" s="1533"/>
      <c r="FS48" s="1533"/>
      <c r="FT48" s="1533"/>
      <c r="FU48" s="1533"/>
      <c r="FV48" s="1533"/>
      <c r="FW48" s="1533"/>
      <c r="FX48" s="1533"/>
      <c r="FY48" s="1533"/>
      <c r="FZ48" s="1534"/>
      <c r="GC48" s="1532"/>
      <c r="GD48" s="1533"/>
      <c r="GE48" s="1533"/>
      <c r="GF48" s="1533"/>
      <c r="GG48" s="1533"/>
      <c r="GH48" s="1533"/>
      <c r="GI48" s="1533"/>
      <c r="GJ48" s="1533"/>
      <c r="GK48" s="1533"/>
      <c r="GL48" s="1533"/>
      <c r="GM48" s="1533"/>
      <c r="GN48" s="1533"/>
      <c r="GO48" s="1533"/>
      <c r="GP48" s="1533"/>
      <c r="GQ48" s="1533"/>
      <c r="GR48" s="1533"/>
      <c r="GS48" s="1533"/>
      <c r="GT48" s="1533"/>
      <c r="GU48" s="1533"/>
      <c r="GV48" s="1533"/>
      <c r="GW48" s="1533"/>
      <c r="GX48" s="1533"/>
      <c r="GY48" s="1533"/>
      <c r="GZ48" s="1533"/>
      <c r="HA48" s="1533"/>
      <c r="HB48" s="1533"/>
      <c r="HC48" s="1533"/>
      <c r="HD48" s="1533"/>
      <c r="HE48" s="1533"/>
      <c r="HF48" s="1533"/>
      <c r="HG48" s="1533"/>
      <c r="HH48" s="1533"/>
      <c r="HI48" s="1533"/>
      <c r="HJ48" s="1534"/>
      <c r="HK48" s="238"/>
      <c r="HL48" s="415"/>
    </row>
    <row r="49" spans="2:220" ht="7.5" customHeight="1">
      <c r="B49" s="412"/>
      <c r="C49" s="1461">
        <f>VLOOKUP(C45,[4]ABILITIES!$Z$3:$AA$24,2)</f>
        <v>4</v>
      </c>
      <c r="D49" s="1461"/>
      <c r="E49" s="1461"/>
      <c r="F49" s="1461"/>
      <c r="G49" s="1461"/>
      <c r="H49" s="1461"/>
      <c r="I49" s="1461"/>
      <c r="K49" s="1510"/>
      <c r="L49" s="1511"/>
      <c r="M49" s="1511"/>
      <c r="N49" s="1512"/>
      <c r="O49" s="1514"/>
      <c r="P49" s="1459"/>
      <c r="Q49" s="1459"/>
      <c r="R49" s="1459"/>
      <c r="S49" s="1459"/>
      <c r="T49" s="1459"/>
      <c r="U49" s="1459"/>
      <c r="V49" s="1459"/>
      <c r="W49" s="1460"/>
      <c r="Y49" s="1578"/>
      <c r="Z49" s="1579"/>
      <c r="AA49" s="1579"/>
      <c r="AB49" s="1579"/>
      <c r="AC49" s="1579"/>
      <c r="AD49" s="1579"/>
      <c r="AE49" s="1579"/>
      <c r="AF49" s="1579"/>
      <c r="AG49" s="1579"/>
      <c r="AH49" s="1579"/>
      <c r="AI49" s="1579"/>
      <c r="AJ49" s="1579"/>
      <c r="AK49" s="1579"/>
      <c r="AL49" s="1579"/>
      <c r="AM49" s="1579"/>
      <c r="AN49" s="1580"/>
      <c r="AP49" s="1396"/>
      <c r="AQ49" s="1385"/>
      <c r="AR49" s="1385"/>
      <c r="AS49" s="1441"/>
      <c r="AT49" s="1442"/>
      <c r="AU49" s="1442"/>
      <c r="AV49" s="1442"/>
      <c r="AW49" s="1442"/>
      <c r="AX49" s="1442"/>
      <c r="AY49" s="1442"/>
      <c r="AZ49" s="1442"/>
      <c r="BA49" s="1442"/>
      <c r="BB49" s="1442"/>
      <c r="BC49" s="1442"/>
      <c r="BD49" s="1442"/>
      <c r="BE49" s="1442"/>
      <c r="BF49" s="1442"/>
      <c r="BG49" s="1442"/>
      <c r="BH49" s="1442"/>
      <c r="BI49" s="1442"/>
      <c r="BJ49" s="1442"/>
      <c r="BK49" s="1442"/>
      <c r="BL49" s="1442"/>
      <c r="BM49" s="1442"/>
      <c r="BN49" s="1442"/>
      <c r="BO49" s="1442"/>
      <c r="BP49" s="1442"/>
      <c r="BQ49" s="1442"/>
      <c r="BR49" s="1442"/>
      <c r="BS49" s="1442"/>
      <c r="BT49" s="1442"/>
      <c r="BU49" s="1443"/>
      <c r="BV49" s="415"/>
      <c r="BW49" s="412"/>
      <c r="BX49" s="234"/>
      <c r="BY49" s="1584"/>
      <c r="BZ49" s="1585"/>
      <c r="CA49" s="1585"/>
      <c r="CB49" s="1585"/>
      <c r="CC49" s="1585"/>
      <c r="CD49" s="1585"/>
      <c r="CE49" s="1585"/>
      <c r="CF49" s="1585"/>
      <c r="CG49" s="1585"/>
      <c r="CH49" s="1585"/>
      <c r="CI49" s="1585"/>
      <c r="CJ49" s="1585"/>
      <c r="CK49" s="1585"/>
      <c r="CL49" s="1585"/>
      <c r="CM49" s="1585"/>
      <c r="CN49" s="1585"/>
      <c r="CO49" s="1585"/>
      <c r="CP49" s="1586"/>
      <c r="CQ49" s="237"/>
      <c r="CR49" s="1596"/>
      <c r="CS49" s="1595"/>
      <c r="CT49" s="1595"/>
      <c r="CU49" s="1595"/>
      <c r="CV49" s="1595"/>
      <c r="CW49" s="1595"/>
      <c r="CX49" s="1595"/>
      <c r="CY49" s="1595"/>
      <c r="CZ49" s="1595"/>
      <c r="DA49" s="1595"/>
      <c r="DB49" s="1595"/>
      <c r="DC49" s="1595"/>
      <c r="DD49" s="1595"/>
      <c r="DE49" s="1595"/>
      <c r="DF49" s="1595"/>
      <c r="DG49" s="1428"/>
      <c r="DI49" s="1596"/>
      <c r="DJ49" s="1595"/>
      <c r="DK49" s="1595"/>
      <c r="DL49" s="1595"/>
      <c r="DM49" s="1595"/>
      <c r="DN49" s="1595"/>
      <c r="DO49" s="1595"/>
      <c r="DP49" s="1595"/>
      <c r="DQ49" s="1595"/>
      <c r="DR49" s="1595"/>
      <c r="DS49" s="1595"/>
      <c r="DT49" s="1595"/>
      <c r="DU49" s="1595"/>
      <c r="DV49" s="1595"/>
      <c r="DW49" s="1602"/>
      <c r="DY49" s="1604"/>
      <c r="DZ49" s="1605"/>
      <c r="EA49" s="1605"/>
      <c r="EB49" s="1605"/>
      <c r="EC49" s="1605"/>
      <c r="ED49" s="1605"/>
      <c r="EE49" s="1605"/>
      <c r="EF49" s="1605"/>
      <c r="EG49" s="1605"/>
      <c r="EH49" s="1605"/>
      <c r="EI49" s="1605"/>
      <c r="EJ49" s="1605"/>
      <c r="EK49" s="1605"/>
      <c r="EL49" s="1605"/>
      <c r="EM49" s="1605"/>
      <c r="EN49" s="1605"/>
      <c r="EO49" s="1606"/>
      <c r="EQ49" s="415"/>
      <c r="ER49" s="412"/>
      <c r="ES49" s="1535"/>
      <c r="ET49" s="1536"/>
      <c r="EU49" s="1536"/>
      <c r="EV49" s="1536"/>
      <c r="EW49" s="1536"/>
      <c r="EX49" s="1536"/>
      <c r="EY49" s="1536"/>
      <c r="EZ49" s="1536"/>
      <c r="FA49" s="1536"/>
      <c r="FB49" s="1536"/>
      <c r="FC49" s="1536"/>
      <c r="FD49" s="1536"/>
      <c r="FE49" s="1536"/>
      <c r="FF49" s="1536"/>
      <c r="FG49" s="1536"/>
      <c r="FH49" s="1536"/>
      <c r="FI49" s="1536"/>
      <c r="FJ49" s="1536"/>
      <c r="FK49" s="1536"/>
      <c r="FL49" s="1536"/>
      <c r="FM49" s="1536"/>
      <c r="FN49" s="1536"/>
      <c r="FO49" s="1536"/>
      <c r="FP49" s="1536"/>
      <c r="FQ49" s="1536"/>
      <c r="FR49" s="1536"/>
      <c r="FS49" s="1536"/>
      <c r="FT49" s="1536"/>
      <c r="FU49" s="1536"/>
      <c r="FV49" s="1536"/>
      <c r="FW49" s="1536"/>
      <c r="FX49" s="1536"/>
      <c r="FY49" s="1536"/>
      <c r="FZ49" s="1537"/>
      <c r="GC49" s="1535"/>
      <c r="GD49" s="1536"/>
      <c r="GE49" s="1536"/>
      <c r="GF49" s="1536"/>
      <c r="GG49" s="1536"/>
      <c r="GH49" s="1536"/>
      <c r="GI49" s="1536"/>
      <c r="GJ49" s="1536"/>
      <c r="GK49" s="1536"/>
      <c r="GL49" s="1536"/>
      <c r="GM49" s="1536"/>
      <c r="GN49" s="1536"/>
      <c r="GO49" s="1536"/>
      <c r="GP49" s="1536"/>
      <c r="GQ49" s="1536"/>
      <c r="GR49" s="1536"/>
      <c r="GS49" s="1536"/>
      <c r="GT49" s="1536"/>
      <c r="GU49" s="1536"/>
      <c r="GV49" s="1536"/>
      <c r="GW49" s="1536"/>
      <c r="GX49" s="1536"/>
      <c r="GY49" s="1536"/>
      <c r="GZ49" s="1536"/>
      <c r="HA49" s="1536"/>
      <c r="HB49" s="1536"/>
      <c r="HC49" s="1536"/>
      <c r="HD49" s="1536"/>
      <c r="HE49" s="1536"/>
      <c r="HF49" s="1536"/>
      <c r="HG49" s="1536"/>
      <c r="HH49" s="1536"/>
      <c r="HI49" s="1536"/>
      <c r="HJ49" s="1537"/>
      <c r="HK49" s="238"/>
      <c r="HL49" s="415"/>
    </row>
    <row r="50" spans="2:220" ht="7.5" customHeight="1" thickBot="1">
      <c r="B50" s="412"/>
      <c r="C50" s="1461"/>
      <c r="D50" s="1461"/>
      <c r="E50" s="1461"/>
      <c r="F50" s="1461"/>
      <c r="G50" s="1461"/>
      <c r="H50" s="1461"/>
      <c r="I50" s="1461"/>
      <c r="K50" s="1507"/>
      <c r="L50" s="1508"/>
      <c r="M50" s="1508"/>
      <c r="N50" s="1509"/>
      <c r="O50" s="1513" t="s">
        <v>5833</v>
      </c>
      <c r="P50" s="1457"/>
      <c r="Q50" s="1457"/>
      <c r="R50" s="1457"/>
      <c r="S50" s="1457"/>
      <c r="T50" s="1457"/>
      <c r="U50" s="1457"/>
      <c r="V50" s="1457"/>
      <c r="W50" s="1458"/>
      <c r="Y50" s="437"/>
      <c r="Z50" s="438"/>
      <c r="AA50" s="438"/>
      <c r="AB50" s="438"/>
      <c r="AC50" s="438"/>
      <c r="AD50" s="438"/>
      <c r="AE50" s="438"/>
      <c r="AF50" s="438"/>
      <c r="AG50" s="438"/>
      <c r="AH50" s="438"/>
      <c r="AI50" s="438"/>
      <c r="AJ50" s="438"/>
      <c r="AK50" s="438"/>
      <c r="AL50" s="438"/>
      <c r="AM50" s="438"/>
      <c r="AN50" s="439"/>
      <c r="AP50" s="1468">
        <v>16</v>
      </c>
      <c r="AQ50" s="1395"/>
      <c r="AR50" s="1395"/>
      <c r="AS50" s="1441"/>
      <c r="AT50" s="1442"/>
      <c r="AU50" s="1442"/>
      <c r="AV50" s="1442"/>
      <c r="AW50" s="1442"/>
      <c r="AX50" s="1442"/>
      <c r="AY50" s="1442"/>
      <c r="AZ50" s="1442"/>
      <c r="BA50" s="1442"/>
      <c r="BB50" s="1442"/>
      <c r="BC50" s="1442"/>
      <c r="BD50" s="1442"/>
      <c r="BE50" s="1442"/>
      <c r="BF50" s="1442"/>
      <c r="BG50" s="1442"/>
      <c r="BH50" s="1442"/>
      <c r="BI50" s="1442"/>
      <c r="BJ50" s="1442"/>
      <c r="BK50" s="1442"/>
      <c r="BL50" s="1442"/>
      <c r="BM50" s="1442"/>
      <c r="BN50" s="1442"/>
      <c r="BO50" s="1442"/>
      <c r="BP50" s="1442"/>
      <c r="BQ50" s="1442"/>
      <c r="BR50" s="1442"/>
      <c r="BS50" s="1442"/>
      <c r="BT50" s="1442"/>
      <c r="BU50" s="1443"/>
      <c r="BV50" s="415"/>
      <c r="BW50" s="412"/>
      <c r="BX50" s="234"/>
      <c r="BY50" s="1587"/>
      <c r="BZ50" s="1588"/>
      <c r="CA50" s="1588"/>
      <c r="CB50" s="1588"/>
      <c r="CC50" s="1588"/>
      <c r="CD50" s="1588"/>
      <c r="CE50" s="1588"/>
      <c r="CF50" s="1588"/>
      <c r="CG50" s="1588"/>
      <c r="CH50" s="1588"/>
      <c r="CI50" s="1588"/>
      <c r="CJ50" s="1588"/>
      <c r="CK50" s="1588"/>
      <c r="CL50" s="1588"/>
      <c r="CM50" s="1588"/>
      <c r="CN50" s="1588"/>
      <c r="CO50" s="1588"/>
      <c r="CP50" s="1589"/>
      <c r="CQ50" s="237"/>
      <c r="CR50" s="1597"/>
      <c r="CS50" s="1598"/>
      <c r="CT50" s="1598"/>
      <c r="CU50" s="1598"/>
      <c r="CV50" s="1598"/>
      <c r="CW50" s="1598"/>
      <c r="CX50" s="1598"/>
      <c r="CY50" s="1598"/>
      <c r="CZ50" s="1598"/>
      <c r="DA50" s="1598"/>
      <c r="DB50" s="1598"/>
      <c r="DC50" s="1598"/>
      <c r="DD50" s="1598"/>
      <c r="DE50" s="1598"/>
      <c r="DF50" s="1598"/>
      <c r="DG50" s="1547"/>
      <c r="DI50" s="1597"/>
      <c r="DJ50" s="1598"/>
      <c r="DK50" s="1598"/>
      <c r="DL50" s="1598"/>
      <c r="DM50" s="1598"/>
      <c r="DN50" s="1598"/>
      <c r="DO50" s="1598"/>
      <c r="DP50" s="1598"/>
      <c r="DQ50" s="1598"/>
      <c r="DR50" s="1598"/>
      <c r="DS50" s="1598"/>
      <c r="DT50" s="1598"/>
      <c r="DU50" s="1598"/>
      <c r="DV50" s="1598"/>
      <c r="DW50" s="1603"/>
      <c r="DY50" s="1607"/>
      <c r="DZ50" s="1608"/>
      <c r="EA50" s="1608"/>
      <c r="EB50" s="1608"/>
      <c r="EC50" s="1608"/>
      <c r="ED50" s="1608"/>
      <c r="EE50" s="1608"/>
      <c r="EF50" s="1608"/>
      <c r="EG50" s="1608"/>
      <c r="EH50" s="1608"/>
      <c r="EI50" s="1608"/>
      <c r="EJ50" s="1608"/>
      <c r="EK50" s="1608"/>
      <c r="EL50" s="1608"/>
      <c r="EM50" s="1608"/>
      <c r="EN50" s="1608"/>
      <c r="EO50" s="1609"/>
      <c r="EQ50" s="415"/>
      <c r="ER50" s="412"/>
      <c r="ES50" s="1532"/>
      <c r="ET50" s="1533"/>
      <c r="EU50" s="1533"/>
      <c r="EV50" s="1533"/>
      <c r="EW50" s="1533"/>
      <c r="EX50" s="1533"/>
      <c r="EY50" s="1533"/>
      <c r="EZ50" s="1533"/>
      <c r="FA50" s="1533"/>
      <c r="FB50" s="1533"/>
      <c r="FC50" s="1533"/>
      <c r="FD50" s="1533"/>
      <c r="FE50" s="1533"/>
      <c r="FF50" s="1533"/>
      <c r="FG50" s="1533"/>
      <c r="FH50" s="1533"/>
      <c r="FI50" s="1533"/>
      <c r="FJ50" s="1533"/>
      <c r="FK50" s="1533"/>
      <c r="FL50" s="1533"/>
      <c r="FM50" s="1533"/>
      <c r="FN50" s="1533"/>
      <c r="FO50" s="1533"/>
      <c r="FP50" s="1533"/>
      <c r="FQ50" s="1533"/>
      <c r="FR50" s="1533"/>
      <c r="FS50" s="1533"/>
      <c r="FT50" s="1533"/>
      <c r="FU50" s="1533"/>
      <c r="FV50" s="1533"/>
      <c r="FW50" s="1533"/>
      <c r="FX50" s="1533"/>
      <c r="FY50" s="1533"/>
      <c r="FZ50" s="1534"/>
      <c r="GC50" s="1532"/>
      <c r="GD50" s="1533"/>
      <c r="GE50" s="1533"/>
      <c r="GF50" s="1533"/>
      <c r="GG50" s="1533"/>
      <c r="GH50" s="1533"/>
      <c r="GI50" s="1533"/>
      <c r="GJ50" s="1533"/>
      <c r="GK50" s="1533"/>
      <c r="GL50" s="1533"/>
      <c r="GM50" s="1533"/>
      <c r="GN50" s="1533"/>
      <c r="GO50" s="1533"/>
      <c r="GP50" s="1533"/>
      <c r="GQ50" s="1533"/>
      <c r="GR50" s="1533"/>
      <c r="GS50" s="1533"/>
      <c r="GT50" s="1533"/>
      <c r="GU50" s="1533"/>
      <c r="GV50" s="1533"/>
      <c r="GW50" s="1533"/>
      <c r="GX50" s="1533"/>
      <c r="GY50" s="1533"/>
      <c r="GZ50" s="1533"/>
      <c r="HA50" s="1533"/>
      <c r="HB50" s="1533"/>
      <c r="HC50" s="1533"/>
      <c r="HD50" s="1533"/>
      <c r="HE50" s="1533"/>
      <c r="HF50" s="1533"/>
      <c r="HG50" s="1533"/>
      <c r="HH50" s="1533"/>
      <c r="HI50" s="1533"/>
      <c r="HJ50" s="1534"/>
      <c r="HK50" s="238"/>
      <c r="HL50" s="415"/>
    </row>
    <row r="51" spans="2:220" ht="7.5" customHeight="1">
      <c r="B51" s="412"/>
      <c r="K51" s="1510"/>
      <c r="L51" s="1511"/>
      <c r="M51" s="1511"/>
      <c r="N51" s="1512"/>
      <c r="O51" s="1514"/>
      <c r="P51" s="1459"/>
      <c r="Q51" s="1459"/>
      <c r="R51" s="1459"/>
      <c r="S51" s="1459"/>
      <c r="T51" s="1459"/>
      <c r="U51" s="1459"/>
      <c r="V51" s="1459"/>
      <c r="W51" s="1460"/>
      <c r="Y51" s="1590" t="s">
        <v>7416</v>
      </c>
      <c r="Z51" s="1591"/>
      <c r="AA51" s="1591"/>
      <c r="AB51" s="1591"/>
      <c r="AC51" s="1591"/>
      <c r="AD51" s="1591"/>
      <c r="AE51" s="1591"/>
      <c r="AF51" s="1591"/>
      <c r="AG51" s="1591"/>
      <c r="AH51" s="1591"/>
      <c r="AI51" s="1591"/>
      <c r="AJ51" s="1591"/>
      <c r="AK51" s="1591"/>
      <c r="AL51" s="1591"/>
      <c r="AM51" s="1591"/>
      <c r="AN51" s="1592"/>
      <c r="AP51" s="1396"/>
      <c r="AQ51" s="1385"/>
      <c r="AR51" s="1385"/>
      <c r="AS51" s="1441"/>
      <c r="AT51" s="1442"/>
      <c r="AU51" s="1442"/>
      <c r="AV51" s="1442"/>
      <c r="AW51" s="1442"/>
      <c r="AX51" s="1442"/>
      <c r="AY51" s="1442"/>
      <c r="AZ51" s="1442"/>
      <c r="BA51" s="1442"/>
      <c r="BB51" s="1442"/>
      <c r="BC51" s="1442"/>
      <c r="BD51" s="1442"/>
      <c r="BE51" s="1442"/>
      <c r="BF51" s="1442"/>
      <c r="BG51" s="1442"/>
      <c r="BH51" s="1442"/>
      <c r="BI51" s="1442"/>
      <c r="BJ51" s="1442"/>
      <c r="BK51" s="1442"/>
      <c r="BL51" s="1442"/>
      <c r="BM51" s="1442"/>
      <c r="BN51" s="1442"/>
      <c r="BO51" s="1442"/>
      <c r="BP51" s="1442"/>
      <c r="BQ51" s="1442"/>
      <c r="BR51" s="1442"/>
      <c r="BS51" s="1442"/>
      <c r="BT51" s="1442"/>
      <c r="BU51" s="1443"/>
      <c r="BV51" s="415"/>
      <c r="BW51" s="412"/>
      <c r="EQ51" s="415"/>
      <c r="ER51" s="412"/>
      <c r="ES51" s="1535"/>
      <c r="ET51" s="1536"/>
      <c r="EU51" s="1536"/>
      <c r="EV51" s="1536"/>
      <c r="EW51" s="1536"/>
      <c r="EX51" s="1536"/>
      <c r="EY51" s="1536"/>
      <c r="EZ51" s="1536"/>
      <c r="FA51" s="1536"/>
      <c r="FB51" s="1536"/>
      <c r="FC51" s="1536"/>
      <c r="FD51" s="1536"/>
      <c r="FE51" s="1536"/>
      <c r="FF51" s="1536"/>
      <c r="FG51" s="1536"/>
      <c r="FH51" s="1536"/>
      <c r="FI51" s="1536"/>
      <c r="FJ51" s="1536"/>
      <c r="FK51" s="1536"/>
      <c r="FL51" s="1536"/>
      <c r="FM51" s="1536"/>
      <c r="FN51" s="1536"/>
      <c r="FO51" s="1536"/>
      <c r="FP51" s="1536"/>
      <c r="FQ51" s="1536"/>
      <c r="FR51" s="1536"/>
      <c r="FS51" s="1536"/>
      <c r="FT51" s="1536"/>
      <c r="FU51" s="1536"/>
      <c r="FV51" s="1536"/>
      <c r="FW51" s="1536"/>
      <c r="FX51" s="1536"/>
      <c r="FY51" s="1536"/>
      <c r="FZ51" s="1537"/>
      <c r="GC51" s="1535"/>
      <c r="GD51" s="1536"/>
      <c r="GE51" s="1536"/>
      <c r="GF51" s="1536"/>
      <c r="GG51" s="1536"/>
      <c r="GH51" s="1536"/>
      <c r="GI51" s="1536"/>
      <c r="GJ51" s="1536"/>
      <c r="GK51" s="1536"/>
      <c r="GL51" s="1536"/>
      <c r="GM51" s="1536"/>
      <c r="GN51" s="1536"/>
      <c r="GO51" s="1536"/>
      <c r="GP51" s="1536"/>
      <c r="GQ51" s="1536"/>
      <c r="GR51" s="1536"/>
      <c r="GS51" s="1536"/>
      <c r="GT51" s="1536"/>
      <c r="GU51" s="1536"/>
      <c r="GV51" s="1536"/>
      <c r="GW51" s="1536"/>
      <c r="GX51" s="1536"/>
      <c r="GY51" s="1536"/>
      <c r="GZ51" s="1536"/>
      <c r="HA51" s="1536"/>
      <c r="HB51" s="1536"/>
      <c r="HC51" s="1536"/>
      <c r="HD51" s="1536"/>
      <c r="HE51" s="1536"/>
      <c r="HF51" s="1536"/>
      <c r="HG51" s="1536"/>
      <c r="HH51" s="1536"/>
      <c r="HI51" s="1536"/>
      <c r="HJ51" s="1537"/>
      <c r="HK51" s="238"/>
      <c r="HL51" s="415"/>
    </row>
    <row r="52" spans="2:220" ht="7.5" customHeight="1">
      <c r="B52" s="412"/>
      <c r="C52" s="1383" t="s">
        <v>7417</v>
      </c>
      <c r="D52" s="1384"/>
      <c r="E52" s="1384"/>
      <c r="F52" s="1384"/>
      <c r="G52" s="1384"/>
      <c r="H52" s="1384"/>
      <c r="I52" s="1384"/>
      <c r="K52" s="1507"/>
      <c r="L52" s="1508"/>
      <c r="M52" s="1508"/>
      <c r="N52" s="1509"/>
      <c r="O52" s="1513" t="s">
        <v>5834</v>
      </c>
      <c r="P52" s="1457"/>
      <c r="Q52" s="1457"/>
      <c r="R52" s="1457"/>
      <c r="S52" s="1457"/>
      <c r="T52" s="1457"/>
      <c r="U52" s="1457"/>
      <c r="V52" s="1457"/>
      <c r="W52" s="1458"/>
      <c r="Y52" s="1558"/>
      <c r="Z52" s="1479"/>
      <c r="AA52" s="1479"/>
      <c r="AB52" s="1479"/>
      <c r="AC52" s="1479"/>
      <c r="AD52" s="1479"/>
      <c r="AE52" s="1479"/>
      <c r="AF52" s="1479"/>
      <c r="AG52" s="1479"/>
      <c r="AH52" s="1479"/>
      <c r="AI52" s="1479"/>
      <c r="AJ52" s="1479"/>
      <c r="AK52" s="1479"/>
      <c r="AL52" s="1479"/>
      <c r="AM52" s="1479"/>
      <c r="AN52" s="1559"/>
      <c r="AP52" s="1468">
        <v>17</v>
      </c>
      <c r="AQ52" s="1395"/>
      <c r="AR52" s="1395"/>
      <c r="AS52" s="1441"/>
      <c r="AT52" s="1442"/>
      <c r="AU52" s="1442"/>
      <c r="AV52" s="1442"/>
      <c r="AW52" s="1442"/>
      <c r="AX52" s="1442"/>
      <c r="AY52" s="1442"/>
      <c r="AZ52" s="1442"/>
      <c r="BA52" s="1442"/>
      <c r="BB52" s="1442"/>
      <c r="BC52" s="1442"/>
      <c r="BD52" s="1442"/>
      <c r="BE52" s="1442"/>
      <c r="BF52" s="1442"/>
      <c r="BG52" s="1442"/>
      <c r="BH52" s="1442"/>
      <c r="BI52" s="1442"/>
      <c r="BJ52" s="1442"/>
      <c r="BK52" s="1442"/>
      <c r="BL52" s="1442"/>
      <c r="BM52" s="1442"/>
      <c r="BN52" s="1442"/>
      <c r="BO52" s="1442"/>
      <c r="BP52" s="1442"/>
      <c r="BQ52" s="1442"/>
      <c r="BR52" s="1442"/>
      <c r="BS52" s="1442"/>
      <c r="BT52" s="1442"/>
      <c r="BU52" s="1443"/>
      <c r="BV52" s="415"/>
      <c r="BW52" s="412"/>
      <c r="BX52" s="1593"/>
      <c r="BY52" s="1450"/>
      <c r="BZ52" s="1450"/>
      <c r="CA52" s="1450"/>
      <c r="CB52" s="1450"/>
      <c r="CC52" s="1450"/>
      <c r="CD52" s="1450"/>
      <c r="CE52" s="1450"/>
      <c r="CF52" s="1450"/>
      <c r="CG52" s="1450"/>
      <c r="CH52" s="1450"/>
      <c r="CI52" s="1450"/>
      <c r="CJ52" s="1450"/>
      <c r="CK52" s="1450"/>
      <c r="CL52" s="1450"/>
      <c r="CM52" s="1450"/>
      <c r="CN52" s="1450"/>
      <c r="CO52" s="1450"/>
      <c r="CP52" s="1450"/>
      <c r="CQ52" s="1450"/>
      <c r="CR52" s="1450"/>
      <c r="CS52" s="1450"/>
      <c r="CT52" s="1450"/>
      <c r="CU52" s="1450"/>
      <c r="CV52" s="1450"/>
      <c r="CW52" s="1450"/>
      <c r="CX52" s="1450"/>
      <c r="CY52" s="1450"/>
      <c r="CZ52" s="1450"/>
      <c r="DA52" s="1450"/>
      <c r="DB52" s="1450"/>
      <c r="DC52" s="1450"/>
      <c r="DD52" s="1450"/>
      <c r="DE52" s="1450"/>
      <c r="DF52" s="1450"/>
      <c r="DG52" s="1450"/>
      <c r="DH52" s="1450"/>
      <c r="DI52" s="1450"/>
      <c r="DJ52" s="1450"/>
      <c r="DK52" s="1450"/>
      <c r="DL52" s="1450"/>
      <c r="DM52" s="1450"/>
      <c r="DN52" s="1450"/>
      <c r="DO52" s="1450"/>
      <c r="DP52" s="1450"/>
      <c r="DQ52" s="1450"/>
      <c r="DR52" s="1450"/>
      <c r="DS52" s="1450"/>
      <c r="DT52" s="1450"/>
      <c r="DU52" s="1450"/>
      <c r="DV52" s="1450"/>
      <c r="DW52" s="1450"/>
      <c r="DX52" s="1450"/>
      <c r="DY52" s="1450"/>
      <c r="DZ52" s="1450"/>
      <c r="EA52" s="1450"/>
      <c r="EB52" s="1450"/>
      <c r="EC52" s="1450"/>
      <c r="ED52" s="1450"/>
      <c r="EE52" s="1450"/>
      <c r="EF52" s="1450"/>
      <c r="EG52" s="1450"/>
      <c r="EH52" s="1450"/>
      <c r="EI52" s="1450"/>
      <c r="EJ52" s="1450"/>
      <c r="EK52" s="1450"/>
      <c r="EL52" s="1450"/>
      <c r="EM52" s="1450"/>
      <c r="EN52" s="1450"/>
      <c r="EO52" s="1450"/>
      <c r="EP52" s="1450"/>
      <c r="EQ52" s="415"/>
      <c r="ER52" s="412"/>
      <c r="ES52" s="1532"/>
      <c r="ET52" s="1533"/>
      <c r="EU52" s="1533"/>
      <c r="EV52" s="1533"/>
      <c r="EW52" s="1533"/>
      <c r="EX52" s="1533"/>
      <c r="EY52" s="1533"/>
      <c r="EZ52" s="1533"/>
      <c r="FA52" s="1533"/>
      <c r="FB52" s="1533"/>
      <c r="FC52" s="1533"/>
      <c r="FD52" s="1533"/>
      <c r="FE52" s="1533"/>
      <c r="FF52" s="1533"/>
      <c r="FG52" s="1533"/>
      <c r="FH52" s="1533"/>
      <c r="FI52" s="1533"/>
      <c r="FJ52" s="1533"/>
      <c r="FK52" s="1533"/>
      <c r="FL52" s="1533"/>
      <c r="FM52" s="1533"/>
      <c r="FN52" s="1533"/>
      <c r="FO52" s="1533"/>
      <c r="FP52" s="1533"/>
      <c r="FQ52" s="1533"/>
      <c r="FR52" s="1533"/>
      <c r="FS52" s="1533"/>
      <c r="FT52" s="1533"/>
      <c r="FU52" s="1533"/>
      <c r="FV52" s="1533"/>
      <c r="FW52" s="1533"/>
      <c r="FX52" s="1533"/>
      <c r="FY52" s="1533"/>
      <c r="FZ52" s="1534"/>
      <c r="GC52" s="1532"/>
      <c r="GD52" s="1533"/>
      <c r="GE52" s="1533"/>
      <c r="GF52" s="1533"/>
      <c r="GG52" s="1533"/>
      <c r="GH52" s="1533"/>
      <c r="GI52" s="1533"/>
      <c r="GJ52" s="1533"/>
      <c r="GK52" s="1533"/>
      <c r="GL52" s="1533"/>
      <c r="GM52" s="1533"/>
      <c r="GN52" s="1533"/>
      <c r="GO52" s="1533"/>
      <c r="GP52" s="1533"/>
      <c r="GQ52" s="1533"/>
      <c r="GR52" s="1533"/>
      <c r="GS52" s="1533"/>
      <c r="GT52" s="1533"/>
      <c r="GU52" s="1533"/>
      <c r="GV52" s="1533"/>
      <c r="GW52" s="1533"/>
      <c r="GX52" s="1533"/>
      <c r="GY52" s="1533"/>
      <c r="GZ52" s="1533"/>
      <c r="HA52" s="1533"/>
      <c r="HB52" s="1533"/>
      <c r="HC52" s="1533"/>
      <c r="HD52" s="1533"/>
      <c r="HE52" s="1533"/>
      <c r="HF52" s="1533"/>
      <c r="HG52" s="1533"/>
      <c r="HH52" s="1533"/>
      <c r="HI52" s="1533"/>
      <c r="HJ52" s="1534"/>
      <c r="HK52" s="238"/>
      <c r="HL52" s="415"/>
    </row>
    <row r="53" spans="2:220" ht="7.5" customHeight="1">
      <c r="B53" s="412"/>
      <c r="C53" s="1385"/>
      <c r="D53" s="1385"/>
      <c r="E53" s="1385"/>
      <c r="F53" s="1385"/>
      <c r="G53" s="1385"/>
      <c r="H53" s="1385"/>
      <c r="I53" s="1385"/>
      <c r="K53" s="1510"/>
      <c r="L53" s="1511"/>
      <c r="M53" s="1511"/>
      <c r="N53" s="1512"/>
      <c r="O53" s="1514"/>
      <c r="P53" s="1459"/>
      <c r="Q53" s="1459"/>
      <c r="R53" s="1459"/>
      <c r="S53" s="1459"/>
      <c r="T53" s="1459"/>
      <c r="U53" s="1459"/>
      <c r="V53" s="1459"/>
      <c r="W53" s="1460"/>
      <c r="Y53" s="1575" t="s">
        <v>7415</v>
      </c>
      <c r="Z53" s="1576"/>
      <c r="AA53" s="1576"/>
      <c r="AB53" s="1576"/>
      <c r="AC53" s="1576"/>
      <c r="AD53" s="1576"/>
      <c r="AE53" s="1576"/>
      <c r="AF53" s="1576"/>
      <c r="AG53" s="1576"/>
      <c r="AH53" s="1576"/>
      <c r="AI53" s="1576"/>
      <c r="AJ53" s="1576"/>
      <c r="AK53" s="1576"/>
      <c r="AL53" s="1576"/>
      <c r="AM53" s="1576"/>
      <c r="AN53" s="1577"/>
      <c r="AP53" s="1396"/>
      <c r="AQ53" s="1385"/>
      <c r="AR53" s="1385"/>
      <c r="AS53" s="1441"/>
      <c r="AT53" s="1442"/>
      <c r="AU53" s="1442"/>
      <c r="AV53" s="1442"/>
      <c r="AW53" s="1442"/>
      <c r="AX53" s="1442"/>
      <c r="AY53" s="1442"/>
      <c r="AZ53" s="1442"/>
      <c r="BA53" s="1442"/>
      <c r="BB53" s="1442"/>
      <c r="BC53" s="1442"/>
      <c r="BD53" s="1442"/>
      <c r="BE53" s="1442"/>
      <c r="BF53" s="1442"/>
      <c r="BG53" s="1442"/>
      <c r="BH53" s="1442"/>
      <c r="BI53" s="1442"/>
      <c r="BJ53" s="1442"/>
      <c r="BK53" s="1442"/>
      <c r="BL53" s="1442"/>
      <c r="BM53" s="1442"/>
      <c r="BN53" s="1442"/>
      <c r="BO53" s="1442"/>
      <c r="BP53" s="1442"/>
      <c r="BQ53" s="1442"/>
      <c r="BR53" s="1442"/>
      <c r="BS53" s="1442"/>
      <c r="BT53" s="1442"/>
      <c r="BU53" s="1443"/>
      <c r="BV53" s="415"/>
      <c r="BW53" s="412"/>
      <c r="BX53" s="1450"/>
      <c r="BY53" s="1450"/>
      <c r="BZ53" s="1450"/>
      <c r="CA53" s="1450"/>
      <c r="CB53" s="1450"/>
      <c r="CC53" s="1450"/>
      <c r="CD53" s="1450"/>
      <c r="CE53" s="1450"/>
      <c r="CF53" s="1450"/>
      <c r="CG53" s="1450"/>
      <c r="CH53" s="1450"/>
      <c r="CI53" s="1450"/>
      <c r="CJ53" s="1450"/>
      <c r="CK53" s="1450"/>
      <c r="CL53" s="1450"/>
      <c r="CM53" s="1450"/>
      <c r="CN53" s="1450"/>
      <c r="CO53" s="1450"/>
      <c r="CP53" s="1450"/>
      <c r="CQ53" s="1450"/>
      <c r="CR53" s="1450"/>
      <c r="CS53" s="1450"/>
      <c r="CT53" s="1450"/>
      <c r="CU53" s="1450"/>
      <c r="CV53" s="1450"/>
      <c r="CW53" s="1450"/>
      <c r="CX53" s="1450"/>
      <c r="CY53" s="1450"/>
      <c r="CZ53" s="1450"/>
      <c r="DA53" s="1450"/>
      <c r="DB53" s="1450"/>
      <c r="DC53" s="1450"/>
      <c r="DD53" s="1450"/>
      <c r="DE53" s="1450"/>
      <c r="DF53" s="1450"/>
      <c r="DG53" s="1450"/>
      <c r="DH53" s="1450"/>
      <c r="DI53" s="1450"/>
      <c r="DJ53" s="1450"/>
      <c r="DK53" s="1450"/>
      <c r="DL53" s="1450"/>
      <c r="DM53" s="1450"/>
      <c r="DN53" s="1450"/>
      <c r="DO53" s="1450"/>
      <c r="DP53" s="1450"/>
      <c r="DQ53" s="1450"/>
      <c r="DR53" s="1450"/>
      <c r="DS53" s="1450"/>
      <c r="DT53" s="1450"/>
      <c r="DU53" s="1450"/>
      <c r="DV53" s="1450"/>
      <c r="DW53" s="1450"/>
      <c r="DX53" s="1450"/>
      <c r="DY53" s="1450"/>
      <c r="DZ53" s="1450"/>
      <c r="EA53" s="1450"/>
      <c r="EB53" s="1450"/>
      <c r="EC53" s="1450"/>
      <c r="ED53" s="1450"/>
      <c r="EE53" s="1450"/>
      <c r="EF53" s="1450"/>
      <c r="EG53" s="1450"/>
      <c r="EH53" s="1450"/>
      <c r="EI53" s="1450"/>
      <c r="EJ53" s="1450"/>
      <c r="EK53" s="1450"/>
      <c r="EL53" s="1450"/>
      <c r="EM53" s="1450"/>
      <c r="EN53" s="1450"/>
      <c r="EO53" s="1450"/>
      <c r="EP53" s="1450"/>
      <c r="EQ53" s="415"/>
      <c r="ER53" s="412"/>
      <c r="ES53" s="1535"/>
      <c r="ET53" s="1536"/>
      <c r="EU53" s="1536"/>
      <c r="EV53" s="1536"/>
      <c r="EW53" s="1536"/>
      <c r="EX53" s="1536"/>
      <c r="EY53" s="1536"/>
      <c r="EZ53" s="1536"/>
      <c r="FA53" s="1536"/>
      <c r="FB53" s="1536"/>
      <c r="FC53" s="1536"/>
      <c r="FD53" s="1536"/>
      <c r="FE53" s="1536"/>
      <c r="FF53" s="1536"/>
      <c r="FG53" s="1536"/>
      <c r="FH53" s="1536"/>
      <c r="FI53" s="1536"/>
      <c r="FJ53" s="1536"/>
      <c r="FK53" s="1536"/>
      <c r="FL53" s="1536"/>
      <c r="FM53" s="1536"/>
      <c r="FN53" s="1536"/>
      <c r="FO53" s="1536"/>
      <c r="FP53" s="1536"/>
      <c r="FQ53" s="1536"/>
      <c r="FR53" s="1536"/>
      <c r="FS53" s="1536"/>
      <c r="FT53" s="1536"/>
      <c r="FU53" s="1536"/>
      <c r="FV53" s="1536"/>
      <c r="FW53" s="1536"/>
      <c r="FX53" s="1536"/>
      <c r="FY53" s="1536"/>
      <c r="FZ53" s="1537"/>
      <c r="GC53" s="1535"/>
      <c r="GD53" s="1536"/>
      <c r="GE53" s="1536"/>
      <c r="GF53" s="1536"/>
      <c r="GG53" s="1536"/>
      <c r="GH53" s="1536"/>
      <c r="GI53" s="1536"/>
      <c r="GJ53" s="1536"/>
      <c r="GK53" s="1536"/>
      <c r="GL53" s="1536"/>
      <c r="GM53" s="1536"/>
      <c r="GN53" s="1536"/>
      <c r="GO53" s="1536"/>
      <c r="GP53" s="1536"/>
      <c r="GQ53" s="1536"/>
      <c r="GR53" s="1536"/>
      <c r="GS53" s="1536"/>
      <c r="GT53" s="1536"/>
      <c r="GU53" s="1536"/>
      <c r="GV53" s="1536"/>
      <c r="GW53" s="1536"/>
      <c r="GX53" s="1536"/>
      <c r="GY53" s="1536"/>
      <c r="GZ53" s="1536"/>
      <c r="HA53" s="1536"/>
      <c r="HB53" s="1536"/>
      <c r="HC53" s="1536"/>
      <c r="HD53" s="1536"/>
      <c r="HE53" s="1536"/>
      <c r="HF53" s="1536"/>
      <c r="HG53" s="1536"/>
      <c r="HH53" s="1536"/>
      <c r="HI53" s="1536"/>
      <c r="HJ53" s="1537"/>
      <c r="HK53" s="238"/>
      <c r="HL53" s="415"/>
    </row>
    <row r="54" spans="2:220" ht="7.5" customHeight="1" thickBot="1">
      <c r="B54" s="412"/>
      <c r="C54" s="1473">
        <f>[4]ABILITIES!Q28</f>
        <v>10.013455674536051</v>
      </c>
      <c r="D54" s="1395"/>
      <c r="E54" s="1395"/>
      <c r="F54" s="1395"/>
      <c r="G54" s="1395"/>
      <c r="H54" s="1395"/>
      <c r="I54" s="1402"/>
      <c r="K54" s="1507"/>
      <c r="L54" s="1508"/>
      <c r="M54" s="1508"/>
      <c r="N54" s="1509"/>
      <c r="O54" s="1513" t="s">
        <v>5835</v>
      </c>
      <c r="P54" s="1457"/>
      <c r="Q54" s="1457"/>
      <c r="R54" s="1457"/>
      <c r="S54" s="1457"/>
      <c r="T54" s="1457"/>
      <c r="U54" s="1457"/>
      <c r="V54" s="1457"/>
      <c r="W54" s="1458"/>
      <c r="Y54" s="1610"/>
      <c r="Z54" s="1611"/>
      <c r="AA54" s="1611"/>
      <c r="AB54" s="1611"/>
      <c r="AC54" s="1611"/>
      <c r="AD54" s="1611"/>
      <c r="AE54" s="1611"/>
      <c r="AF54" s="1611"/>
      <c r="AG54" s="1611"/>
      <c r="AH54" s="1611"/>
      <c r="AI54" s="1611"/>
      <c r="AJ54" s="1611"/>
      <c r="AK54" s="1611"/>
      <c r="AL54" s="1611"/>
      <c r="AM54" s="1611"/>
      <c r="AN54" s="1612"/>
      <c r="AP54" s="1468">
        <v>18</v>
      </c>
      <c r="AQ54" s="1395"/>
      <c r="AR54" s="1395"/>
      <c r="AS54" s="1441"/>
      <c r="AT54" s="1442"/>
      <c r="AU54" s="1442"/>
      <c r="AV54" s="1442"/>
      <c r="AW54" s="1442"/>
      <c r="AX54" s="1442"/>
      <c r="AY54" s="1442"/>
      <c r="AZ54" s="1442"/>
      <c r="BA54" s="1442"/>
      <c r="BB54" s="1442"/>
      <c r="BC54" s="1442"/>
      <c r="BD54" s="1442"/>
      <c r="BE54" s="1442"/>
      <c r="BF54" s="1442"/>
      <c r="BG54" s="1442"/>
      <c r="BH54" s="1442"/>
      <c r="BI54" s="1442"/>
      <c r="BJ54" s="1442"/>
      <c r="BK54" s="1442"/>
      <c r="BL54" s="1442"/>
      <c r="BM54" s="1442"/>
      <c r="BN54" s="1442"/>
      <c r="BO54" s="1442"/>
      <c r="BP54" s="1442"/>
      <c r="BQ54" s="1442"/>
      <c r="BR54" s="1442"/>
      <c r="BS54" s="1442"/>
      <c r="BT54" s="1442"/>
      <c r="BU54" s="1443"/>
      <c r="BV54" s="415"/>
      <c r="BW54" s="412"/>
      <c r="BX54" s="1613" t="s">
        <v>5854</v>
      </c>
      <c r="BY54" s="1395"/>
      <c r="BZ54" s="1395"/>
      <c r="CA54" s="1395"/>
      <c r="CB54" s="1395"/>
      <c r="CC54" s="1395"/>
      <c r="CD54" s="1395"/>
      <c r="CE54" s="1402"/>
      <c r="CF54" s="1613">
        <v>1</v>
      </c>
      <c r="CG54" s="1395"/>
      <c r="CH54" s="1395"/>
      <c r="CI54" s="1395"/>
      <c r="CJ54" s="1395"/>
      <c r="CK54" s="1402"/>
      <c r="CL54" s="1613">
        <v>2</v>
      </c>
      <c r="CM54" s="1395"/>
      <c r="CN54" s="1395"/>
      <c r="CO54" s="1395"/>
      <c r="CP54" s="1395"/>
      <c r="CQ54" s="1402"/>
      <c r="CR54" s="1613">
        <v>3</v>
      </c>
      <c r="CS54" s="1395"/>
      <c r="CT54" s="1395"/>
      <c r="CU54" s="1395"/>
      <c r="CV54" s="1395"/>
      <c r="CW54" s="1402"/>
      <c r="CX54" s="1613">
        <v>4</v>
      </c>
      <c r="CY54" s="1395"/>
      <c r="CZ54" s="1395"/>
      <c r="DA54" s="1395"/>
      <c r="DB54" s="1395"/>
      <c r="DC54" s="1402"/>
      <c r="DD54" s="1613">
        <v>5</v>
      </c>
      <c r="DE54" s="1395"/>
      <c r="DF54" s="1395"/>
      <c r="DG54" s="1395"/>
      <c r="DH54" s="1395"/>
      <c r="DI54" s="1402"/>
      <c r="DJ54" s="1613">
        <v>6</v>
      </c>
      <c r="DK54" s="1395"/>
      <c r="DL54" s="1395"/>
      <c r="DM54" s="1395"/>
      <c r="DN54" s="1395"/>
      <c r="DO54" s="1402"/>
      <c r="DP54" s="1613">
        <v>7</v>
      </c>
      <c r="DQ54" s="1395"/>
      <c r="DR54" s="1395"/>
      <c r="DS54" s="1395"/>
      <c r="DT54" s="1395"/>
      <c r="DU54" s="1402"/>
      <c r="DV54" s="1613">
        <v>8</v>
      </c>
      <c r="DW54" s="1395"/>
      <c r="DX54" s="1395"/>
      <c r="DY54" s="1395"/>
      <c r="DZ54" s="1395"/>
      <c r="EA54" s="1402"/>
      <c r="EB54" s="1613">
        <v>9</v>
      </c>
      <c r="EC54" s="1395"/>
      <c r="ED54" s="1395"/>
      <c r="EE54" s="1395"/>
      <c r="EF54" s="1395"/>
      <c r="EG54" s="1402"/>
      <c r="EH54" s="1434"/>
      <c r="EI54" s="1435"/>
      <c r="EJ54" s="1435"/>
      <c r="EK54" s="1435"/>
      <c r="EL54" s="1435"/>
      <c r="EM54" s="1435"/>
      <c r="EN54" s="1435"/>
      <c r="EO54" s="1435"/>
      <c r="EP54" s="1436"/>
      <c r="EQ54" s="415"/>
      <c r="ER54" s="412"/>
      <c r="ES54" s="1532"/>
      <c r="ET54" s="1533"/>
      <c r="EU54" s="1533"/>
      <c r="EV54" s="1533"/>
      <c r="EW54" s="1533"/>
      <c r="EX54" s="1533"/>
      <c r="EY54" s="1533"/>
      <c r="EZ54" s="1533"/>
      <c r="FA54" s="1533"/>
      <c r="FB54" s="1533"/>
      <c r="FC54" s="1533"/>
      <c r="FD54" s="1533"/>
      <c r="FE54" s="1533"/>
      <c r="FF54" s="1533"/>
      <c r="FG54" s="1533"/>
      <c r="FH54" s="1533"/>
      <c r="FI54" s="1533"/>
      <c r="FJ54" s="1533"/>
      <c r="FK54" s="1533"/>
      <c r="FL54" s="1533"/>
      <c r="FM54" s="1533"/>
      <c r="FN54" s="1533"/>
      <c r="FO54" s="1533"/>
      <c r="FP54" s="1533"/>
      <c r="FQ54" s="1533"/>
      <c r="FR54" s="1533"/>
      <c r="FS54" s="1533"/>
      <c r="FT54" s="1533"/>
      <c r="FU54" s="1533"/>
      <c r="FV54" s="1533"/>
      <c r="FW54" s="1533"/>
      <c r="FX54" s="1533"/>
      <c r="FY54" s="1533"/>
      <c r="FZ54" s="1534"/>
      <c r="GC54" s="1532"/>
      <c r="GD54" s="1533"/>
      <c r="GE54" s="1533"/>
      <c r="GF54" s="1533"/>
      <c r="GG54" s="1533"/>
      <c r="GH54" s="1533"/>
      <c r="GI54" s="1533"/>
      <c r="GJ54" s="1533"/>
      <c r="GK54" s="1533"/>
      <c r="GL54" s="1533"/>
      <c r="GM54" s="1533"/>
      <c r="GN54" s="1533"/>
      <c r="GO54" s="1533"/>
      <c r="GP54" s="1533"/>
      <c r="GQ54" s="1533"/>
      <c r="GR54" s="1533"/>
      <c r="GS54" s="1533"/>
      <c r="GT54" s="1533"/>
      <c r="GU54" s="1533"/>
      <c r="GV54" s="1533"/>
      <c r="GW54" s="1533"/>
      <c r="GX54" s="1533"/>
      <c r="GY54" s="1533"/>
      <c r="GZ54" s="1533"/>
      <c r="HA54" s="1533"/>
      <c r="HB54" s="1533"/>
      <c r="HC54" s="1533"/>
      <c r="HD54" s="1533"/>
      <c r="HE54" s="1533"/>
      <c r="HF54" s="1533"/>
      <c r="HG54" s="1533"/>
      <c r="HH54" s="1533"/>
      <c r="HI54" s="1533"/>
      <c r="HJ54" s="1534"/>
      <c r="HK54" s="238"/>
      <c r="HL54" s="415"/>
    </row>
    <row r="55" spans="2:220" ht="7.5" customHeight="1">
      <c r="B55" s="412"/>
      <c r="C55" s="1411"/>
      <c r="D55" s="1384"/>
      <c r="E55" s="1384"/>
      <c r="F55" s="1384"/>
      <c r="G55" s="1384"/>
      <c r="H55" s="1384"/>
      <c r="I55" s="1412"/>
      <c r="K55" s="1510"/>
      <c r="L55" s="1511"/>
      <c r="M55" s="1511"/>
      <c r="N55" s="1512"/>
      <c r="O55" s="1514"/>
      <c r="P55" s="1459"/>
      <c r="Q55" s="1459"/>
      <c r="R55" s="1459"/>
      <c r="S55" s="1459"/>
      <c r="T55" s="1459"/>
      <c r="U55" s="1459"/>
      <c r="V55" s="1459"/>
      <c r="W55" s="1460"/>
      <c r="Y55" s="438"/>
      <c r="Z55" s="438"/>
      <c r="AA55" s="438"/>
      <c r="AB55" s="438"/>
      <c r="AC55" s="438"/>
      <c r="AD55" s="438"/>
      <c r="AE55" s="438"/>
      <c r="AF55" s="438"/>
      <c r="AG55" s="438"/>
      <c r="AH55" s="438"/>
      <c r="AI55" s="438"/>
      <c r="AJ55" s="438"/>
      <c r="AK55" s="438"/>
      <c r="AL55" s="438"/>
      <c r="AM55" s="438"/>
      <c r="AN55" s="438"/>
      <c r="AP55" s="1396"/>
      <c r="AQ55" s="1385"/>
      <c r="AR55" s="1385"/>
      <c r="AS55" s="1441"/>
      <c r="AT55" s="1442"/>
      <c r="AU55" s="1442"/>
      <c r="AV55" s="1442"/>
      <c r="AW55" s="1442"/>
      <c r="AX55" s="1442"/>
      <c r="AY55" s="1442"/>
      <c r="AZ55" s="1442"/>
      <c r="BA55" s="1442"/>
      <c r="BB55" s="1442"/>
      <c r="BC55" s="1442"/>
      <c r="BD55" s="1442"/>
      <c r="BE55" s="1442"/>
      <c r="BF55" s="1442"/>
      <c r="BG55" s="1442"/>
      <c r="BH55" s="1442"/>
      <c r="BI55" s="1442"/>
      <c r="BJ55" s="1442"/>
      <c r="BK55" s="1442"/>
      <c r="BL55" s="1442"/>
      <c r="BM55" s="1442"/>
      <c r="BN55" s="1442"/>
      <c r="BO55" s="1442"/>
      <c r="BP55" s="1442"/>
      <c r="BQ55" s="1442"/>
      <c r="BR55" s="1442"/>
      <c r="BS55" s="1442"/>
      <c r="BT55" s="1442"/>
      <c r="BU55" s="1443"/>
      <c r="BV55" s="415"/>
      <c r="BW55" s="412"/>
      <c r="BX55" s="1396"/>
      <c r="BY55" s="1385"/>
      <c r="BZ55" s="1385"/>
      <c r="CA55" s="1385"/>
      <c r="CB55" s="1385"/>
      <c r="CC55" s="1385"/>
      <c r="CD55" s="1385"/>
      <c r="CE55" s="1403"/>
      <c r="CF55" s="1396"/>
      <c r="CG55" s="1385"/>
      <c r="CH55" s="1385"/>
      <c r="CI55" s="1385"/>
      <c r="CJ55" s="1385"/>
      <c r="CK55" s="1403"/>
      <c r="CL55" s="1396"/>
      <c r="CM55" s="1385"/>
      <c r="CN55" s="1385"/>
      <c r="CO55" s="1385"/>
      <c r="CP55" s="1385"/>
      <c r="CQ55" s="1403"/>
      <c r="CR55" s="1396"/>
      <c r="CS55" s="1385"/>
      <c r="CT55" s="1385"/>
      <c r="CU55" s="1385"/>
      <c r="CV55" s="1385"/>
      <c r="CW55" s="1403"/>
      <c r="CX55" s="1396"/>
      <c r="CY55" s="1385"/>
      <c r="CZ55" s="1385"/>
      <c r="DA55" s="1385"/>
      <c r="DB55" s="1385"/>
      <c r="DC55" s="1403"/>
      <c r="DD55" s="1396"/>
      <c r="DE55" s="1385"/>
      <c r="DF55" s="1385"/>
      <c r="DG55" s="1385"/>
      <c r="DH55" s="1385"/>
      <c r="DI55" s="1403"/>
      <c r="DJ55" s="1396"/>
      <c r="DK55" s="1385"/>
      <c r="DL55" s="1385"/>
      <c r="DM55" s="1385"/>
      <c r="DN55" s="1385"/>
      <c r="DO55" s="1403"/>
      <c r="DP55" s="1396"/>
      <c r="DQ55" s="1385"/>
      <c r="DR55" s="1385"/>
      <c r="DS55" s="1385"/>
      <c r="DT55" s="1385"/>
      <c r="DU55" s="1403"/>
      <c r="DV55" s="1396"/>
      <c r="DW55" s="1385"/>
      <c r="DX55" s="1385"/>
      <c r="DY55" s="1385"/>
      <c r="DZ55" s="1385"/>
      <c r="EA55" s="1403"/>
      <c r="EB55" s="1396"/>
      <c r="EC55" s="1385"/>
      <c r="ED55" s="1385"/>
      <c r="EE55" s="1385"/>
      <c r="EF55" s="1385"/>
      <c r="EG55" s="1403"/>
      <c r="EH55" s="1437"/>
      <c r="EI55" s="1438"/>
      <c r="EJ55" s="1438"/>
      <c r="EK55" s="1438"/>
      <c r="EL55" s="1438"/>
      <c r="EM55" s="1438"/>
      <c r="EN55" s="1438"/>
      <c r="EO55" s="1438"/>
      <c r="EP55" s="1439"/>
      <c r="EQ55" s="415"/>
      <c r="ER55" s="412"/>
      <c r="ES55" s="1535"/>
      <c r="ET55" s="1536"/>
      <c r="EU55" s="1536"/>
      <c r="EV55" s="1536"/>
      <c r="EW55" s="1536"/>
      <c r="EX55" s="1536"/>
      <c r="EY55" s="1536"/>
      <c r="EZ55" s="1536"/>
      <c r="FA55" s="1536"/>
      <c r="FB55" s="1536"/>
      <c r="FC55" s="1536"/>
      <c r="FD55" s="1536"/>
      <c r="FE55" s="1536"/>
      <c r="FF55" s="1536"/>
      <c r="FG55" s="1536"/>
      <c r="FH55" s="1536"/>
      <c r="FI55" s="1536"/>
      <c r="FJ55" s="1536"/>
      <c r="FK55" s="1536"/>
      <c r="FL55" s="1536"/>
      <c r="FM55" s="1536"/>
      <c r="FN55" s="1536"/>
      <c r="FO55" s="1536"/>
      <c r="FP55" s="1536"/>
      <c r="FQ55" s="1536"/>
      <c r="FR55" s="1536"/>
      <c r="FS55" s="1536"/>
      <c r="FT55" s="1536"/>
      <c r="FU55" s="1536"/>
      <c r="FV55" s="1536"/>
      <c r="FW55" s="1536"/>
      <c r="FX55" s="1536"/>
      <c r="FY55" s="1536"/>
      <c r="FZ55" s="1537"/>
      <c r="GC55" s="1535"/>
      <c r="GD55" s="1536"/>
      <c r="GE55" s="1536"/>
      <c r="GF55" s="1536"/>
      <c r="GG55" s="1536"/>
      <c r="GH55" s="1536"/>
      <c r="GI55" s="1536"/>
      <c r="GJ55" s="1536"/>
      <c r="GK55" s="1536"/>
      <c r="GL55" s="1536"/>
      <c r="GM55" s="1536"/>
      <c r="GN55" s="1536"/>
      <c r="GO55" s="1536"/>
      <c r="GP55" s="1536"/>
      <c r="GQ55" s="1536"/>
      <c r="GR55" s="1536"/>
      <c r="GS55" s="1536"/>
      <c r="GT55" s="1536"/>
      <c r="GU55" s="1536"/>
      <c r="GV55" s="1536"/>
      <c r="GW55" s="1536"/>
      <c r="GX55" s="1536"/>
      <c r="GY55" s="1536"/>
      <c r="GZ55" s="1536"/>
      <c r="HA55" s="1536"/>
      <c r="HB55" s="1536"/>
      <c r="HC55" s="1536"/>
      <c r="HD55" s="1536"/>
      <c r="HE55" s="1536"/>
      <c r="HF55" s="1536"/>
      <c r="HG55" s="1536"/>
      <c r="HH55" s="1536"/>
      <c r="HI55" s="1536"/>
      <c r="HJ55" s="1537"/>
      <c r="HK55" s="238"/>
      <c r="HL55" s="415"/>
    </row>
    <row r="56" spans="2:220" ht="7.5" customHeight="1">
      <c r="B56" s="412"/>
      <c r="C56" s="1411"/>
      <c r="D56" s="1384"/>
      <c r="E56" s="1384"/>
      <c r="F56" s="1384"/>
      <c r="G56" s="1384"/>
      <c r="H56" s="1384"/>
      <c r="I56" s="1412"/>
      <c r="K56" s="1507"/>
      <c r="L56" s="1508"/>
      <c r="M56" s="1508"/>
      <c r="N56" s="1509"/>
      <c r="O56" s="1513" t="s">
        <v>5810</v>
      </c>
      <c r="P56" s="1457"/>
      <c r="Q56" s="1457"/>
      <c r="R56" s="1457"/>
      <c r="S56" s="1457"/>
      <c r="T56" s="1457"/>
      <c r="U56" s="1457"/>
      <c r="V56" s="1457"/>
      <c r="W56" s="1458"/>
      <c r="Y56" s="1344" t="s">
        <v>7418</v>
      </c>
      <c r="Z56" s="1614"/>
      <c r="AA56" s="1614"/>
      <c r="AB56" s="1614"/>
      <c r="AC56" s="1614"/>
      <c r="AD56" s="1614"/>
      <c r="AE56" s="1614"/>
      <c r="AF56" s="1614"/>
      <c r="AG56" s="1614"/>
      <c r="AH56" s="1614"/>
      <c r="AI56" s="1614"/>
      <c r="AJ56" s="1614"/>
      <c r="AK56" s="1614"/>
      <c r="AL56" s="1614"/>
      <c r="AM56" s="1614"/>
      <c r="AN56" s="1615"/>
      <c r="AP56" s="1468">
        <v>19</v>
      </c>
      <c r="AQ56" s="1395"/>
      <c r="AR56" s="1395"/>
      <c r="AS56" s="1441"/>
      <c r="AT56" s="1442"/>
      <c r="AU56" s="1442"/>
      <c r="AV56" s="1442"/>
      <c r="AW56" s="1442"/>
      <c r="AX56" s="1442"/>
      <c r="AY56" s="1442"/>
      <c r="AZ56" s="1442"/>
      <c r="BA56" s="1442"/>
      <c r="BB56" s="1442"/>
      <c r="BC56" s="1442"/>
      <c r="BD56" s="1442"/>
      <c r="BE56" s="1442"/>
      <c r="BF56" s="1442"/>
      <c r="BG56" s="1442"/>
      <c r="BH56" s="1442"/>
      <c r="BI56" s="1442"/>
      <c r="BJ56" s="1442"/>
      <c r="BK56" s="1442"/>
      <c r="BL56" s="1442"/>
      <c r="BM56" s="1442"/>
      <c r="BN56" s="1442"/>
      <c r="BO56" s="1442"/>
      <c r="BP56" s="1442"/>
      <c r="BQ56" s="1442"/>
      <c r="BR56" s="1442"/>
      <c r="BS56" s="1442"/>
      <c r="BT56" s="1442"/>
      <c r="BU56" s="1443"/>
      <c r="BV56" s="415"/>
      <c r="BW56" s="412"/>
      <c r="BX56" s="1619"/>
      <c r="BY56" s="1395"/>
      <c r="BZ56" s="1395"/>
      <c r="CA56" s="1395"/>
      <c r="CB56" s="1395"/>
      <c r="CC56" s="1395"/>
      <c r="CD56" s="1395"/>
      <c r="CE56" s="1402"/>
      <c r="CF56" s="1619"/>
      <c r="CG56" s="1395"/>
      <c r="CH56" s="1395"/>
      <c r="CI56" s="1395"/>
      <c r="CJ56" s="1395"/>
      <c r="CK56" s="1402"/>
      <c r="CL56" s="1619"/>
      <c r="CM56" s="1395"/>
      <c r="CN56" s="1395"/>
      <c r="CO56" s="1395"/>
      <c r="CP56" s="1395"/>
      <c r="CQ56" s="1402"/>
      <c r="CR56" s="1619"/>
      <c r="CS56" s="1395"/>
      <c r="CT56" s="1395"/>
      <c r="CU56" s="1395"/>
      <c r="CV56" s="1395"/>
      <c r="CW56" s="1402"/>
      <c r="CX56" s="1619"/>
      <c r="CY56" s="1395"/>
      <c r="CZ56" s="1395"/>
      <c r="DA56" s="1395"/>
      <c r="DB56" s="1395"/>
      <c r="DC56" s="1402"/>
      <c r="DD56" s="1619">
        <f>[4]SPELLS!AA10</f>
        <v>0</v>
      </c>
      <c r="DE56" s="1395"/>
      <c r="DF56" s="1395"/>
      <c r="DG56" s="1395"/>
      <c r="DH56" s="1395"/>
      <c r="DI56" s="1402"/>
      <c r="DJ56" s="1619">
        <f>[4]SPELLS!AA11</f>
        <v>0</v>
      </c>
      <c r="DK56" s="1395"/>
      <c r="DL56" s="1395"/>
      <c r="DM56" s="1395"/>
      <c r="DN56" s="1395"/>
      <c r="DO56" s="1402"/>
      <c r="DP56" s="1619">
        <f>[4]SPELLS!AA12</f>
        <v>0</v>
      </c>
      <c r="DQ56" s="1395"/>
      <c r="DR56" s="1395"/>
      <c r="DS56" s="1395"/>
      <c r="DT56" s="1395"/>
      <c r="DU56" s="1402"/>
      <c r="DV56" s="1619">
        <f>[4]SPELLS!AA13</f>
        <v>0</v>
      </c>
      <c r="DW56" s="1395"/>
      <c r="DX56" s="1395"/>
      <c r="DY56" s="1395"/>
      <c r="DZ56" s="1395"/>
      <c r="EA56" s="1402"/>
      <c r="EB56" s="1619">
        <f>[4]SPELLS!AA14</f>
        <v>0</v>
      </c>
      <c r="EC56" s="1395"/>
      <c r="ED56" s="1395"/>
      <c r="EE56" s="1395"/>
      <c r="EF56" s="1395"/>
      <c r="EG56" s="1402"/>
      <c r="EH56" s="1620"/>
      <c r="EI56" s="1395"/>
      <c r="EJ56" s="1395"/>
      <c r="EK56" s="1395"/>
      <c r="EL56" s="1395"/>
      <c r="EM56" s="1395"/>
      <c r="EN56" s="1395"/>
      <c r="EO56" s="1395"/>
      <c r="EP56" s="1402"/>
      <c r="EQ56" s="415"/>
      <c r="ER56" s="412"/>
      <c r="ES56" s="1532"/>
      <c r="ET56" s="1533"/>
      <c r="EU56" s="1533"/>
      <c r="EV56" s="1533"/>
      <c r="EW56" s="1533"/>
      <c r="EX56" s="1533"/>
      <c r="EY56" s="1533"/>
      <c r="EZ56" s="1533"/>
      <c r="FA56" s="1533"/>
      <c r="FB56" s="1533"/>
      <c r="FC56" s="1533"/>
      <c r="FD56" s="1533"/>
      <c r="FE56" s="1533"/>
      <c r="FF56" s="1533"/>
      <c r="FG56" s="1533"/>
      <c r="FH56" s="1533"/>
      <c r="FI56" s="1533"/>
      <c r="FJ56" s="1533"/>
      <c r="FK56" s="1533"/>
      <c r="FL56" s="1533"/>
      <c r="FM56" s="1533"/>
      <c r="FN56" s="1533"/>
      <c r="FO56" s="1533"/>
      <c r="FP56" s="1533"/>
      <c r="FQ56" s="1533"/>
      <c r="FR56" s="1533"/>
      <c r="FS56" s="1533"/>
      <c r="FT56" s="1533"/>
      <c r="FU56" s="1533"/>
      <c r="FV56" s="1533"/>
      <c r="FW56" s="1533"/>
      <c r="FX56" s="1533"/>
      <c r="FY56" s="1533"/>
      <c r="FZ56" s="1534"/>
      <c r="GC56" s="1532"/>
      <c r="GD56" s="1533"/>
      <c r="GE56" s="1533"/>
      <c r="GF56" s="1533"/>
      <c r="GG56" s="1533"/>
      <c r="GH56" s="1533"/>
      <c r="GI56" s="1533"/>
      <c r="GJ56" s="1533"/>
      <c r="GK56" s="1533"/>
      <c r="GL56" s="1533"/>
      <c r="GM56" s="1533"/>
      <c r="GN56" s="1533"/>
      <c r="GO56" s="1533"/>
      <c r="GP56" s="1533"/>
      <c r="GQ56" s="1533"/>
      <c r="GR56" s="1533"/>
      <c r="GS56" s="1533"/>
      <c r="GT56" s="1533"/>
      <c r="GU56" s="1533"/>
      <c r="GV56" s="1533"/>
      <c r="GW56" s="1533"/>
      <c r="GX56" s="1533"/>
      <c r="GY56" s="1533"/>
      <c r="GZ56" s="1533"/>
      <c r="HA56" s="1533"/>
      <c r="HB56" s="1533"/>
      <c r="HC56" s="1533"/>
      <c r="HD56" s="1533"/>
      <c r="HE56" s="1533"/>
      <c r="HF56" s="1533"/>
      <c r="HG56" s="1533"/>
      <c r="HH56" s="1533"/>
      <c r="HI56" s="1533"/>
      <c r="HJ56" s="1534"/>
      <c r="HK56" s="238"/>
      <c r="HL56" s="415"/>
    </row>
    <row r="57" spans="2:220" ht="7.5" customHeight="1">
      <c r="B57" s="412"/>
      <c r="C57" s="1396"/>
      <c r="D57" s="1385"/>
      <c r="E57" s="1385"/>
      <c r="F57" s="1385"/>
      <c r="G57" s="1385"/>
      <c r="H57" s="1385"/>
      <c r="I57" s="1403"/>
      <c r="K57" s="1510"/>
      <c r="L57" s="1511"/>
      <c r="M57" s="1511"/>
      <c r="N57" s="1512"/>
      <c r="O57" s="1514"/>
      <c r="P57" s="1459"/>
      <c r="Q57" s="1459"/>
      <c r="R57" s="1459"/>
      <c r="S57" s="1459"/>
      <c r="T57" s="1459"/>
      <c r="U57" s="1459"/>
      <c r="V57" s="1459"/>
      <c r="W57" s="1460"/>
      <c r="Y57" s="1616"/>
      <c r="Z57" s="1617"/>
      <c r="AA57" s="1617"/>
      <c r="AB57" s="1617"/>
      <c r="AC57" s="1617"/>
      <c r="AD57" s="1617"/>
      <c r="AE57" s="1617"/>
      <c r="AF57" s="1617"/>
      <c r="AG57" s="1617"/>
      <c r="AH57" s="1617"/>
      <c r="AI57" s="1617"/>
      <c r="AJ57" s="1617"/>
      <c r="AK57" s="1617"/>
      <c r="AL57" s="1617"/>
      <c r="AM57" s="1617"/>
      <c r="AN57" s="1618"/>
      <c r="AP57" s="1396"/>
      <c r="AQ57" s="1385"/>
      <c r="AR57" s="1385"/>
      <c r="AS57" s="1441"/>
      <c r="AT57" s="1442"/>
      <c r="AU57" s="1442"/>
      <c r="AV57" s="1442"/>
      <c r="AW57" s="1442"/>
      <c r="AX57" s="1442"/>
      <c r="AY57" s="1442"/>
      <c r="AZ57" s="1442"/>
      <c r="BA57" s="1442"/>
      <c r="BB57" s="1442"/>
      <c r="BC57" s="1442"/>
      <c r="BD57" s="1442"/>
      <c r="BE57" s="1442"/>
      <c r="BF57" s="1442"/>
      <c r="BG57" s="1442"/>
      <c r="BH57" s="1442"/>
      <c r="BI57" s="1442"/>
      <c r="BJ57" s="1442"/>
      <c r="BK57" s="1442"/>
      <c r="BL57" s="1442"/>
      <c r="BM57" s="1442"/>
      <c r="BN57" s="1442"/>
      <c r="BO57" s="1442"/>
      <c r="BP57" s="1442"/>
      <c r="BQ57" s="1442"/>
      <c r="BR57" s="1442"/>
      <c r="BS57" s="1442"/>
      <c r="BT57" s="1442"/>
      <c r="BU57" s="1443"/>
      <c r="BV57" s="415"/>
      <c r="BW57" s="412"/>
      <c r="BX57" s="1396"/>
      <c r="BY57" s="1385"/>
      <c r="BZ57" s="1385"/>
      <c r="CA57" s="1385"/>
      <c r="CB57" s="1385"/>
      <c r="CC57" s="1385"/>
      <c r="CD57" s="1385"/>
      <c r="CE57" s="1403"/>
      <c r="CF57" s="1396"/>
      <c r="CG57" s="1385"/>
      <c r="CH57" s="1385"/>
      <c r="CI57" s="1385"/>
      <c r="CJ57" s="1385"/>
      <c r="CK57" s="1403"/>
      <c r="CL57" s="1396"/>
      <c r="CM57" s="1385"/>
      <c r="CN57" s="1385"/>
      <c r="CO57" s="1385"/>
      <c r="CP57" s="1385"/>
      <c r="CQ57" s="1403"/>
      <c r="CR57" s="1396"/>
      <c r="CS57" s="1385"/>
      <c r="CT57" s="1385"/>
      <c r="CU57" s="1385"/>
      <c r="CV57" s="1385"/>
      <c r="CW57" s="1403"/>
      <c r="CX57" s="1396"/>
      <c r="CY57" s="1385"/>
      <c r="CZ57" s="1385"/>
      <c r="DA57" s="1385"/>
      <c r="DB57" s="1385"/>
      <c r="DC57" s="1403"/>
      <c r="DD57" s="1396"/>
      <c r="DE57" s="1385"/>
      <c r="DF57" s="1385"/>
      <c r="DG57" s="1385"/>
      <c r="DH57" s="1385"/>
      <c r="DI57" s="1403"/>
      <c r="DJ57" s="1396"/>
      <c r="DK57" s="1385"/>
      <c r="DL57" s="1385"/>
      <c r="DM57" s="1385"/>
      <c r="DN57" s="1385"/>
      <c r="DO57" s="1403"/>
      <c r="DP57" s="1396"/>
      <c r="DQ57" s="1385"/>
      <c r="DR57" s="1385"/>
      <c r="DS57" s="1385"/>
      <c r="DT57" s="1385"/>
      <c r="DU57" s="1403"/>
      <c r="DV57" s="1396"/>
      <c r="DW57" s="1385"/>
      <c r="DX57" s="1385"/>
      <c r="DY57" s="1385"/>
      <c r="DZ57" s="1385"/>
      <c r="EA57" s="1403"/>
      <c r="EB57" s="1396"/>
      <c r="EC57" s="1385"/>
      <c r="ED57" s="1385"/>
      <c r="EE57" s="1385"/>
      <c r="EF57" s="1385"/>
      <c r="EG57" s="1403"/>
      <c r="EH57" s="1396"/>
      <c r="EI57" s="1385"/>
      <c r="EJ57" s="1385"/>
      <c r="EK57" s="1385"/>
      <c r="EL57" s="1385"/>
      <c r="EM57" s="1385"/>
      <c r="EN57" s="1385"/>
      <c r="EO57" s="1385"/>
      <c r="EP57" s="1403"/>
      <c r="EQ57" s="415"/>
      <c r="ER57" s="412"/>
      <c r="ES57" s="1535"/>
      <c r="ET57" s="1536"/>
      <c r="EU57" s="1536"/>
      <c r="EV57" s="1536"/>
      <c r="EW57" s="1536"/>
      <c r="EX57" s="1536"/>
      <c r="EY57" s="1536"/>
      <c r="EZ57" s="1536"/>
      <c r="FA57" s="1536"/>
      <c r="FB57" s="1536"/>
      <c r="FC57" s="1536"/>
      <c r="FD57" s="1536"/>
      <c r="FE57" s="1536"/>
      <c r="FF57" s="1536"/>
      <c r="FG57" s="1536"/>
      <c r="FH57" s="1536"/>
      <c r="FI57" s="1536"/>
      <c r="FJ57" s="1536"/>
      <c r="FK57" s="1536"/>
      <c r="FL57" s="1536"/>
      <c r="FM57" s="1536"/>
      <c r="FN57" s="1536"/>
      <c r="FO57" s="1536"/>
      <c r="FP57" s="1536"/>
      <c r="FQ57" s="1536"/>
      <c r="FR57" s="1536"/>
      <c r="FS57" s="1536"/>
      <c r="FT57" s="1536"/>
      <c r="FU57" s="1536"/>
      <c r="FV57" s="1536"/>
      <c r="FW57" s="1536"/>
      <c r="FX57" s="1536"/>
      <c r="FY57" s="1536"/>
      <c r="FZ57" s="1537"/>
      <c r="GC57" s="1535"/>
      <c r="GD57" s="1536"/>
      <c r="GE57" s="1536"/>
      <c r="GF57" s="1536"/>
      <c r="GG57" s="1536"/>
      <c r="GH57" s="1536"/>
      <c r="GI57" s="1536"/>
      <c r="GJ57" s="1536"/>
      <c r="GK57" s="1536"/>
      <c r="GL57" s="1536"/>
      <c r="GM57" s="1536"/>
      <c r="GN57" s="1536"/>
      <c r="GO57" s="1536"/>
      <c r="GP57" s="1536"/>
      <c r="GQ57" s="1536"/>
      <c r="GR57" s="1536"/>
      <c r="GS57" s="1536"/>
      <c r="GT57" s="1536"/>
      <c r="GU57" s="1536"/>
      <c r="GV57" s="1536"/>
      <c r="GW57" s="1536"/>
      <c r="GX57" s="1536"/>
      <c r="GY57" s="1536"/>
      <c r="GZ57" s="1536"/>
      <c r="HA57" s="1536"/>
      <c r="HB57" s="1536"/>
      <c r="HC57" s="1536"/>
      <c r="HD57" s="1536"/>
      <c r="HE57" s="1536"/>
      <c r="HF57" s="1536"/>
      <c r="HG57" s="1536"/>
      <c r="HH57" s="1536"/>
      <c r="HI57" s="1536"/>
      <c r="HJ57" s="1537"/>
      <c r="HK57" s="238"/>
      <c r="HL57" s="415"/>
    </row>
    <row r="58" spans="2:220" ht="7.5" customHeight="1">
      <c r="B58" s="412"/>
      <c r="C58" s="1621">
        <f>VLOOKUP(C54,[4]ABILITIES!$Z$3:$AA$24,2)</f>
        <v>0</v>
      </c>
      <c r="D58" s="1395"/>
      <c r="E58" s="1395"/>
      <c r="F58" s="1395"/>
      <c r="G58" s="1395"/>
      <c r="H58" s="1395"/>
      <c r="I58" s="1402"/>
      <c r="K58" s="1507"/>
      <c r="L58" s="1508"/>
      <c r="M58" s="1508"/>
      <c r="N58" s="1509"/>
      <c r="O58" s="1513" t="s">
        <v>5836</v>
      </c>
      <c r="P58" s="1457"/>
      <c r="Q58" s="1457"/>
      <c r="R58" s="1457"/>
      <c r="S58" s="1457"/>
      <c r="T58" s="1457"/>
      <c r="U58" s="1457"/>
      <c r="V58" s="1457"/>
      <c r="W58" s="1458"/>
      <c r="Y58" s="1622" t="s">
        <v>7415</v>
      </c>
      <c r="Z58" s="1576"/>
      <c r="AA58" s="1576"/>
      <c r="AB58" s="1576"/>
      <c r="AC58" s="1576"/>
      <c r="AD58" s="1576"/>
      <c r="AE58" s="1576"/>
      <c r="AF58" s="1576"/>
      <c r="AG58" s="1576"/>
      <c r="AH58" s="1576"/>
      <c r="AI58" s="1576"/>
      <c r="AJ58" s="1576"/>
      <c r="AK58" s="1576"/>
      <c r="AL58" s="1576"/>
      <c r="AM58" s="1576"/>
      <c r="AN58" s="1623"/>
      <c r="AP58" s="1468">
        <v>20</v>
      </c>
      <c r="AQ58" s="1395"/>
      <c r="AR58" s="1395"/>
      <c r="AS58" s="1441"/>
      <c r="AT58" s="1442"/>
      <c r="AU58" s="1442"/>
      <c r="AV58" s="1442"/>
      <c r="AW58" s="1442"/>
      <c r="AX58" s="1442"/>
      <c r="AY58" s="1442"/>
      <c r="AZ58" s="1442"/>
      <c r="BA58" s="1442"/>
      <c r="BB58" s="1442"/>
      <c r="BC58" s="1442"/>
      <c r="BD58" s="1442"/>
      <c r="BE58" s="1442"/>
      <c r="BF58" s="1442"/>
      <c r="BG58" s="1442"/>
      <c r="BH58" s="1442"/>
      <c r="BI58" s="1442"/>
      <c r="BJ58" s="1442"/>
      <c r="BK58" s="1442"/>
      <c r="BL58" s="1442"/>
      <c r="BM58" s="1442"/>
      <c r="BN58" s="1442"/>
      <c r="BO58" s="1442"/>
      <c r="BP58" s="1442"/>
      <c r="BQ58" s="1442"/>
      <c r="BR58" s="1442"/>
      <c r="BS58" s="1442"/>
      <c r="BT58" s="1442"/>
      <c r="BU58" s="1443"/>
      <c r="BV58" s="415"/>
      <c r="BW58" s="412"/>
      <c r="CF58" s="440"/>
      <c r="CG58" s="440"/>
      <c r="CH58" s="441"/>
      <c r="CI58" s="441"/>
      <c r="CJ58" s="441"/>
      <c r="CK58" s="441"/>
      <c r="CL58" s="441"/>
      <c r="CM58" s="441"/>
      <c r="CN58" s="441"/>
      <c r="CO58" s="441"/>
      <c r="CP58" s="441"/>
      <c r="CQ58" s="441"/>
      <c r="CR58" s="441"/>
      <c r="CS58" s="441"/>
      <c r="CT58" s="441"/>
      <c r="CU58" s="441"/>
      <c r="CV58" s="441"/>
      <c r="CW58" s="441"/>
      <c r="CX58" s="441"/>
      <c r="CY58" s="441"/>
      <c r="CZ58" s="441"/>
      <c r="DA58" s="441"/>
      <c r="DB58" s="441"/>
      <c r="EQ58" s="415"/>
      <c r="ER58" s="412"/>
      <c r="ES58" s="1532"/>
      <c r="ET58" s="1533"/>
      <c r="EU58" s="1533"/>
      <c r="EV58" s="1533"/>
      <c r="EW58" s="1533"/>
      <c r="EX58" s="1533"/>
      <c r="EY58" s="1533"/>
      <c r="EZ58" s="1533"/>
      <c r="FA58" s="1533"/>
      <c r="FB58" s="1533"/>
      <c r="FC58" s="1533"/>
      <c r="FD58" s="1533"/>
      <c r="FE58" s="1533"/>
      <c r="FF58" s="1533"/>
      <c r="FG58" s="1533"/>
      <c r="FH58" s="1533"/>
      <c r="FI58" s="1533"/>
      <c r="FJ58" s="1533"/>
      <c r="FK58" s="1533"/>
      <c r="FL58" s="1533"/>
      <c r="FM58" s="1533"/>
      <c r="FN58" s="1533"/>
      <c r="FO58" s="1533"/>
      <c r="FP58" s="1533"/>
      <c r="FQ58" s="1533"/>
      <c r="FR58" s="1533"/>
      <c r="FS58" s="1533"/>
      <c r="FT58" s="1533"/>
      <c r="FU58" s="1533"/>
      <c r="FV58" s="1533"/>
      <c r="FW58" s="1533"/>
      <c r="FX58" s="1533"/>
      <c r="FY58" s="1533"/>
      <c r="FZ58" s="1534"/>
      <c r="GC58" s="1532"/>
      <c r="GD58" s="1533"/>
      <c r="GE58" s="1533"/>
      <c r="GF58" s="1533"/>
      <c r="GG58" s="1533"/>
      <c r="GH58" s="1533"/>
      <c r="GI58" s="1533"/>
      <c r="GJ58" s="1533"/>
      <c r="GK58" s="1533"/>
      <c r="GL58" s="1533"/>
      <c r="GM58" s="1533"/>
      <c r="GN58" s="1533"/>
      <c r="GO58" s="1533"/>
      <c r="GP58" s="1533"/>
      <c r="GQ58" s="1533"/>
      <c r="GR58" s="1533"/>
      <c r="GS58" s="1533"/>
      <c r="GT58" s="1533"/>
      <c r="GU58" s="1533"/>
      <c r="GV58" s="1533"/>
      <c r="GW58" s="1533"/>
      <c r="GX58" s="1533"/>
      <c r="GY58" s="1533"/>
      <c r="GZ58" s="1533"/>
      <c r="HA58" s="1533"/>
      <c r="HB58" s="1533"/>
      <c r="HC58" s="1533"/>
      <c r="HD58" s="1533"/>
      <c r="HE58" s="1533"/>
      <c r="HF58" s="1533"/>
      <c r="HG58" s="1533"/>
      <c r="HH58" s="1533"/>
      <c r="HI58" s="1533"/>
      <c r="HJ58" s="1534"/>
      <c r="HK58" s="238"/>
      <c r="HL58" s="415"/>
    </row>
    <row r="59" spans="2:220" ht="7.5" customHeight="1">
      <c r="B59" s="412"/>
      <c r="C59" s="1396"/>
      <c r="D59" s="1385"/>
      <c r="E59" s="1385"/>
      <c r="F59" s="1385"/>
      <c r="G59" s="1385"/>
      <c r="H59" s="1385"/>
      <c r="I59" s="1403"/>
      <c r="K59" s="1510"/>
      <c r="L59" s="1511"/>
      <c r="M59" s="1511"/>
      <c r="N59" s="1512"/>
      <c r="O59" s="1514"/>
      <c r="P59" s="1459"/>
      <c r="Q59" s="1459"/>
      <c r="R59" s="1459"/>
      <c r="S59" s="1459"/>
      <c r="T59" s="1459"/>
      <c r="U59" s="1459"/>
      <c r="V59" s="1459"/>
      <c r="W59" s="1460"/>
      <c r="Y59" s="1624"/>
      <c r="Z59" s="1579"/>
      <c r="AA59" s="1579"/>
      <c r="AB59" s="1579"/>
      <c r="AC59" s="1579"/>
      <c r="AD59" s="1579"/>
      <c r="AE59" s="1579"/>
      <c r="AF59" s="1579"/>
      <c r="AG59" s="1579"/>
      <c r="AH59" s="1579"/>
      <c r="AI59" s="1579"/>
      <c r="AJ59" s="1579"/>
      <c r="AK59" s="1579"/>
      <c r="AL59" s="1579"/>
      <c r="AM59" s="1579"/>
      <c r="AN59" s="1625"/>
      <c r="AP59" s="1396"/>
      <c r="AQ59" s="1385"/>
      <c r="AR59" s="1385"/>
      <c r="AS59" s="1441"/>
      <c r="AT59" s="1442"/>
      <c r="AU59" s="1442"/>
      <c r="AV59" s="1442"/>
      <c r="AW59" s="1442"/>
      <c r="AX59" s="1442"/>
      <c r="AY59" s="1442"/>
      <c r="AZ59" s="1442"/>
      <c r="BA59" s="1442"/>
      <c r="BB59" s="1442"/>
      <c r="BC59" s="1442"/>
      <c r="BD59" s="1442"/>
      <c r="BE59" s="1442"/>
      <c r="BF59" s="1442"/>
      <c r="BG59" s="1442"/>
      <c r="BH59" s="1442"/>
      <c r="BI59" s="1442"/>
      <c r="BJ59" s="1442"/>
      <c r="BK59" s="1442"/>
      <c r="BL59" s="1442"/>
      <c r="BM59" s="1442"/>
      <c r="BN59" s="1442"/>
      <c r="BO59" s="1442"/>
      <c r="BP59" s="1442"/>
      <c r="BQ59" s="1442"/>
      <c r="BR59" s="1442"/>
      <c r="BS59" s="1442"/>
      <c r="BT59" s="1442"/>
      <c r="BU59" s="1443"/>
      <c r="BV59" s="415"/>
      <c r="BW59" s="412"/>
      <c r="BX59" s="1479" t="s">
        <v>7419</v>
      </c>
      <c r="BY59" s="1626"/>
      <c r="BZ59" s="1626"/>
      <c r="CA59" s="1626"/>
      <c r="CB59" s="1626"/>
      <c r="CC59" s="1626"/>
      <c r="CD59" s="1626"/>
      <c r="CE59" s="1626"/>
      <c r="CF59" s="1626"/>
      <c r="CG59" s="1626"/>
      <c r="CH59" s="1627"/>
      <c r="CI59" s="1627"/>
      <c r="CJ59" s="1627"/>
      <c r="CK59" s="1627"/>
      <c r="CL59" s="1627"/>
      <c r="CM59" s="1627"/>
      <c r="CN59" s="1627"/>
      <c r="CO59" s="1627"/>
      <c r="CP59" s="1627"/>
      <c r="CQ59" s="1627"/>
      <c r="CR59" s="1627"/>
      <c r="CS59" s="1627"/>
      <c r="CT59" s="1627"/>
      <c r="CU59" s="1627"/>
      <c r="CV59" s="1627"/>
      <c r="CW59" s="1627"/>
      <c r="CX59" s="1627"/>
      <c r="CY59" s="1627"/>
      <c r="CZ59" s="1627"/>
      <c r="DA59" s="1627"/>
      <c r="DB59" s="1628"/>
      <c r="DC59" s="442"/>
      <c r="DJ59" s="1629" t="s">
        <v>7420</v>
      </c>
      <c r="DK59" s="1630"/>
      <c r="DL59" s="1630"/>
      <c r="DM59" s="1630"/>
      <c r="DN59" s="1630"/>
      <c r="DO59" s="1630"/>
      <c r="DP59" s="1630"/>
      <c r="DQ59" s="1630"/>
      <c r="DR59" s="1630"/>
      <c r="DS59" s="1630"/>
      <c r="DT59" s="1630"/>
      <c r="DU59" s="1631"/>
      <c r="DV59" s="1635"/>
      <c r="DW59" s="1636"/>
      <c r="DX59" s="1636"/>
      <c r="DY59" s="1636"/>
      <c r="DZ59" s="1636"/>
      <c r="EA59" s="1636"/>
      <c r="EB59" s="1636"/>
      <c r="EC59" s="1636"/>
      <c r="ED59" s="1636"/>
      <c r="EE59" s="1636"/>
      <c r="EF59" s="1636"/>
      <c r="EG59" s="1636"/>
      <c r="EH59" s="1636"/>
      <c r="EI59" s="1636"/>
      <c r="EJ59" s="1636"/>
      <c r="EK59" s="1636"/>
      <c r="EL59" s="1636"/>
      <c r="EM59" s="1636"/>
      <c r="EN59" s="1636"/>
      <c r="EO59" s="1636"/>
      <c r="EP59" s="1637"/>
      <c r="EQ59" s="415"/>
      <c r="ER59" s="412"/>
      <c r="ES59" s="1535"/>
      <c r="ET59" s="1536"/>
      <c r="EU59" s="1536"/>
      <c r="EV59" s="1536"/>
      <c r="EW59" s="1536"/>
      <c r="EX59" s="1536"/>
      <c r="EY59" s="1536"/>
      <c r="EZ59" s="1536"/>
      <c r="FA59" s="1536"/>
      <c r="FB59" s="1536"/>
      <c r="FC59" s="1536"/>
      <c r="FD59" s="1536"/>
      <c r="FE59" s="1536"/>
      <c r="FF59" s="1536"/>
      <c r="FG59" s="1536"/>
      <c r="FH59" s="1536"/>
      <c r="FI59" s="1536"/>
      <c r="FJ59" s="1536"/>
      <c r="FK59" s="1536"/>
      <c r="FL59" s="1536"/>
      <c r="FM59" s="1536"/>
      <c r="FN59" s="1536"/>
      <c r="FO59" s="1536"/>
      <c r="FP59" s="1536"/>
      <c r="FQ59" s="1536"/>
      <c r="FR59" s="1536"/>
      <c r="FS59" s="1536"/>
      <c r="FT59" s="1536"/>
      <c r="FU59" s="1536"/>
      <c r="FV59" s="1536"/>
      <c r="FW59" s="1536"/>
      <c r="FX59" s="1536"/>
      <c r="FY59" s="1536"/>
      <c r="FZ59" s="1537"/>
      <c r="GC59" s="1535"/>
      <c r="GD59" s="1536"/>
      <c r="GE59" s="1536"/>
      <c r="GF59" s="1536"/>
      <c r="GG59" s="1536"/>
      <c r="GH59" s="1536"/>
      <c r="GI59" s="1536"/>
      <c r="GJ59" s="1536"/>
      <c r="GK59" s="1536"/>
      <c r="GL59" s="1536"/>
      <c r="GM59" s="1536"/>
      <c r="GN59" s="1536"/>
      <c r="GO59" s="1536"/>
      <c r="GP59" s="1536"/>
      <c r="GQ59" s="1536"/>
      <c r="GR59" s="1536"/>
      <c r="GS59" s="1536"/>
      <c r="GT59" s="1536"/>
      <c r="GU59" s="1536"/>
      <c r="GV59" s="1536"/>
      <c r="GW59" s="1536"/>
      <c r="GX59" s="1536"/>
      <c r="GY59" s="1536"/>
      <c r="GZ59" s="1536"/>
      <c r="HA59" s="1536"/>
      <c r="HB59" s="1536"/>
      <c r="HC59" s="1536"/>
      <c r="HD59" s="1536"/>
      <c r="HE59" s="1536"/>
      <c r="HF59" s="1536"/>
      <c r="HG59" s="1536"/>
      <c r="HH59" s="1536"/>
      <c r="HI59" s="1536"/>
      <c r="HJ59" s="1537"/>
      <c r="HK59" s="238"/>
      <c r="HL59" s="415"/>
    </row>
    <row r="60" spans="2:220" ht="7.5" customHeight="1">
      <c r="B60" s="412"/>
      <c r="K60" s="1507"/>
      <c r="L60" s="1508"/>
      <c r="M60" s="1508"/>
      <c r="N60" s="1509"/>
      <c r="O60" s="1513" t="s">
        <v>5837</v>
      </c>
      <c r="P60" s="1457"/>
      <c r="Q60" s="1457"/>
      <c r="R60" s="1457"/>
      <c r="S60" s="1457"/>
      <c r="T60" s="1457"/>
      <c r="U60" s="1457"/>
      <c r="V60" s="1457"/>
      <c r="W60" s="1458"/>
      <c r="BV60" s="415"/>
      <c r="BW60" s="412"/>
      <c r="BX60" s="1626"/>
      <c r="BY60" s="1626"/>
      <c r="BZ60" s="1626"/>
      <c r="CA60" s="1626"/>
      <c r="CB60" s="1626"/>
      <c r="CC60" s="1626"/>
      <c r="CD60" s="1626"/>
      <c r="CE60" s="1626"/>
      <c r="CF60" s="1626"/>
      <c r="CG60" s="1626"/>
      <c r="CH60" s="1627"/>
      <c r="CI60" s="1627"/>
      <c r="CJ60" s="1627"/>
      <c r="CK60" s="1627"/>
      <c r="CL60" s="1627"/>
      <c r="CM60" s="1627"/>
      <c r="CN60" s="1627"/>
      <c r="CO60" s="1627"/>
      <c r="CP60" s="1627"/>
      <c r="CQ60" s="1627"/>
      <c r="CR60" s="1627"/>
      <c r="CS60" s="1627"/>
      <c r="CT60" s="1627"/>
      <c r="CU60" s="1627"/>
      <c r="CV60" s="1627"/>
      <c r="CW60" s="1627"/>
      <c r="CX60" s="1627"/>
      <c r="CY60" s="1627"/>
      <c r="CZ60" s="1627"/>
      <c r="DA60" s="1627"/>
      <c r="DB60" s="1628"/>
      <c r="DJ60" s="1632"/>
      <c r="DK60" s="1633"/>
      <c r="DL60" s="1633"/>
      <c r="DM60" s="1633"/>
      <c r="DN60" s="1633"/>
      <c r="DO60" s="1633"/>
      <c r="DP60" s="1633"/>
      <c r="DQ60" s="1633"/>
      <c r="DR60" s="1633"/>
      <c r="DS60" s="1633"/>
      <c r="DT60" s="1633"/>
      <c r="DU60" s="1634"/>
      <c r="DV60" s="1638"/>
      <c r="DW60" s="1639"/>
      <c r="DX60" s="1639"/>
      <c r="DY60" s="1639"/>
      <c r="DZ60" s="1639"/>
      <c r="EA60" s="1639"/>
      <c r="EB60" s="1639"/>
      <c r="EC60" s="1639"/>
      <c r="ED60" s="1639"/>
      <c r="EE60" s="1639"/>
      <c r="EF60" s="1639"/>
      <c r="EG60" s="1639"/>
      <c r="EH60" s="1639"/>
      <c r="EI60" s="1639"/>
      <c r="EJ60" s="1639"/>
      <c r="EK60" s="1639"/>
      <c r="EL60" s="1639"/>
      <c r="EM60" s="1639"/>
      <c r="EN60" s="1639"/>
      <c r="EO60" s="1639"/>
      <c r="EP60" s="1640"/>
      <c r="EQ60" s="415"/>
      <c r="ER60" s="412"/>
      <c r="ES60" s="1532"/>
      <c r="ET60" s="1533"/>
      <c r="EU60" s="1533"/>
      <c r="EV60" s="1533"/>
      <c r="EW60" s="1533"/>
      <c r="EX60" s="1533"/>
      <c r="EY60" s="1533"/>
      <c r="EZ60" s="1533"/>
      <c r="FA60" s="1533"/>
      <c r="FB60" s="1533"/>
      <c r="FC60" s="1533"/>
      <c r="FD60" s="1533"/>
      <c r="FE60" s="1533"/>
      <c r="FF60" s="1533"/>
      <c r="FG60" s="1533"/>
      <c r="FH60" s="1533"/>
      <c r="FI60" s="1533"/>
      <c r="FJ60" s="1533"/>
      <c r="FK60" s="1533"/>
      <c r="FL60" s="1533"/>
      <c r="FM60" s="1533"/>
      <c r="FN60" s="1533"/>
      <c r="FO60" s="1533"/>
      <c r="FP60" s="1533"/>
      <c r="FQ60" s="1533"/>
      <c r="FR60" s="1533"/>
      <c r="FS60" s="1533"/>
      <c r="FT60" s="1533"/>
      <c r="FU60" s="1533"/>
      <c r="FV60" s="1533"/>
      <c r="FW60" s="1533"/>
      <c r="FX60" s="1533"/>
      <c r="FY60" s="1533"/>
      <c r="FZ60" s="1534"/>
      <c r="GC60" s="1532"/>
      <c r="GD60" s="1533"/>
      <c r="GE60" s="1533"/>
      <c r="GF60" s="1533"/>
      <c r="GG60" s="1533"/>
      <c r="GH60" s="1533"/>
      <c r="GI60" s="1533"/>
      <c r="GJ60" s="1533"/>
      <c r="GK60" s="1533"/>
      <c r="GL60" s="1533"/>
      <c r="GM60" s="1533"/>
      <c r="GN60" s="1533"/>
      <c r="GO60" s="1533"/>
      <c r="GP60" s="1533"/>
      <c r="GQ60" s="1533"/>
      <c r="GR60" s="1533"/>
      <c r="GS60" s="1533"/>
      <c r="GT60" s="1533"/>
      <c r="GU60" s="1533"/>
      <c r="GV60" s="1533"/>
      <c r="GW60" s="1533"/>
      <c r="GX60" s="1533"/>
      <c r="GY60" s="1533"/>
      <c r="GZ60" s="1533"/>
      <c r="HA60" s="1533"/>
      <c r="HB60" s="1533"/>
      <c r="HC60" s="1533"/>
      <c r="HD60" s="1533"/>
      <c r="HE60" s="1533"/>
      <c r="HF60" s="1533"/>
      <c r="HG60" s="1533"/>
      <c r="HH60" s="1533"/>
      <c r="HI60" s="1533"/>
      <c r="HJ60" s="1534"/>
      <c r="HK60" s="238"/>
      <c r="HL60" s="415"/>
    </row>
    <row r="61" spans="2:220" ht="7.5" customHeight="1">
      <c r="B61" s="412"/>
      <c r="C61" s="1383" t="s">
        <v>7421</v>
      </c>
      <c r="D61" s="1384"/>
      <c r="E61" s="1384"/>
      <c r="F61" s="1384"/>
      <c r="G61" s="1384"/>
      <c r="H61" s="1384"/>
      <c r="I61" s="1384"/>
      <c r="K61" s="1510"/>
      <c r="L61" s="1511"/>
      <c r="M61" s="1511"/>
      <c r="N61" s="1512"/>
      <c r="O61" s="1514"/>
      <c r="P61" s="1459"/>
      <c r="Q61" s="1459"/>
      <c r="R61" s="1459"/>
      <c r="S61" s="1459"/>
      <c r="T61" s="1459"/>
      <c r="U61" s="1459"/>
      <c r="V61" s="1459"/>
      <c r="W61" s="1460"/>
      <c r="Y61" s="1383" t="s">
        <v>7422</v>
      </c>
      <c r="Z61" s="1383"/>
      <c r="AA61" s="1383"/>
      <c r="AB61" s="1383"/>
      <c r="AC61" s="1383"/>
      <c r="AD61" s="1383"/>
      <c r="AE61" s="1383"/>
      <c r="AF61" s="1383"/>
      <c r="AG61" s="1383"/>
      <c r="AH61" s="1383"/>
      <c r="AI61" s="1383"/>
      <c r="AJ61" s="1383"/>
      <c r="AK61" s="1383"/>
      <c r="AL61" s="1383"/>
      <c r="AM61" s="1383"/>
      <c r="AN61" s="1383"/>
      <c r="AO61" s="1383"/>
      <c r="AP61" s="1383"/>
      <c r="AQ61" s="1383"/>
      <c r="AR61" s="1383"/>
      <c r="AS61" s="1656"/>
      <c r="AT61" s="1656"/>
      <c r="AU61" s="1656"/>
      <c r="AV61" s="1656"/>
      <c r="AX61" s="1383" t="s">
        <v>7423</v>
      </c>
      <c r="AY61" s="1383"/>
      <c r="AZ61" s="1383"/>
      <c r="BA61" s="1383"/>
      <c r="BB61" s="1383"/>
      <c r="BC61" s="1383"/>
      <c r="BD61" s="1383"/>
      <c r="BE61" s="1383"/>
      <c r="BF61" s="1383"/>
      <c r="BG61" s="1383"/>
      <c r="BH61" s="1383"/>
      <c r="BI61" s="1383"/>
      <c r="BJ61" s="1383"/>
      <c r="BK61" s="1383"/>
      <c r="BL61" s="1383"/>
      <c r="BM61" s="1383"/>
      <c r="BN61" s="1383"/>
      <c r="BO61" s="1383"/>
      <c r="BP61" s="1383"/>
      <c r="BQ61" s="1383"/>
      <c r="BR61" s="1656"/>
      <c r="BS61" s="1656"/>
      <c r="BT61" s="1656"/>
      <c r="BU61" s="1656"/>
      <c r="BV61" s="415"/>
      <c r="BW61" s="412"/>
      <c r="BX61" s="1657" t="s">
        <v>5854</v>
      </c>
      <c r="BY61" s="1658"/>
      <c r="BZ61" s="1658"/>
      <c r="CA61" s="1658"/>
      <c r="CB61" s="1658"/>
      <c r="CC61" s="1658"/>
      <c r="CD61" s="1658"/>
      <c r="CE61" s="1658"/>
      <c r="CF61" s="1658"/>
      <c r="CG61" s="1659"/>
      <c r="CH61" s="1660"/>
      <c r="CI61" s="1644"/>
      <c r="CJ61" s="1644"/>
      <c r="CK61" s="1644"/>
      <c r="CL61" s="1644"/>
      <c r="CM61" s="1644"/>
      <c r="CN61" s="1644"/>
      <c r="CO61" s="1644"/>
      <c r="CP61" s="1644"/>
      <c r="CQ61" s="1644"/>
      <c r="CR61" s="1644"/>
      <c r="CS61" s="1644"/>
      <c r="CT61" s="1644"/>
      <c r="CU61" s="1644"/>
      <c r="CV61" s="1644"/>
      <c r="CW61" s="1644"/>
      <c r="CX61" s="1644"/>
      <c r="CY61" s="1644"/>
      <c r="CZ61" s="1644"/>
      <c r="DA61" s="1644"/>
      <c r="DB61" s="1644"/>
      <c r="DC61" s="1644"/>
      <c r="DD61" s="1644"/>
      <c r="DE61" s="1644"/>
      <c r="DF61" s="1644"/>
      <c r="DG61" s="1644"/>
      <c r="DH61" s="1644"/>
      <c r="DI61" s="1644"/>
      <c r="DJ61" s="1644"/>
      <c r="DK61" s="1644"/>
      <c r="DL61" s="1644"/>
      <c r="DM61" s="1644"/>
      <c r="DN61" s="1644"/>
      <c r="DO61" s="1644"/>
      <c r="DP61" s="1644"/>
      <c r="DQ61" s="1644"/>
      <c r="DR61" s="1644"/>
      <c r="DS61" s="1644"/>
      <c r="DT61" s="1644"/>
      <c r="DU61" s="1644"/>
      <c r="DV61" s="1644"/>
      <c r="DW61" s="1644"/>
      <c r="DX61" s="1644"/>
      <c r="DY61" s="1644"/>
      <c r="DZ61" s="1644"/>
      <c r="EA61" s="1644"/>
      <c r="EB61" s="1644"/>
      <c r="EC61" s="1644"/>
      <c r="ED61" s="1644"/>
      <c r="EE61" s="1644"/>
      <c r="EF61" s="1644"/>
      <c r="EG61" s="1644"/>
      <c r="EH61" s="1644"/>
      <c r="EI61" s="1644"/>
      <c r="EJ61" s="1644"/>
      <c r="EK61" s="1644"/>
      <c r="EL61" s="1644"/>
      <c r="EM61" s="1644"/>
      <c r="EN61" s="1644"/>
      <c r="EO61" s="1644"/>
      <c r="EP61" s="443"/>
      <c r="EQ61" s="415"/>
      <c r="ER61" s="412"/>
      <c r="ES61" s="1535"/>
      <c r="ET61" s="1536"/>
      <c r="EU61" s="1536"/>
      <c r="EV61" s="1536"/>
      <c r="EW61" s="1536"/>
      <c r="EX61" s="1536"/>
      <c r="EY61" s="1536"/>
      <c r="EZ61" s="1536"/>
      <c r="FA61" s="1536"/>
      <c r="FB61" s="1536"/>
      <c r="FC61" s="1536"/>
      <c r="FD61" s="1536"/>
      <c r="FE61" s="1536"/>
      <c r="FF61" s="1536"/>
      <c r="FG61" s="1536"/>
      <c r="FH61" s="1536"/>
      <c r="FI61" s="1536"/>
      <c r="FJ61" s="1536"/>
      <c r="FK61" s="1536"/>
      <c r="FL61" s="1536"/>
      <c r="FM61" s="1536"/>
      <c r="FN61" s="1536"/>
      <c r="FO61" s="1536"/>
      <c r="FP61" s="1536"/>
      <c r="FQ61" s="1536"/>
      <c r="FR61" s="1536"/>
      <c r="FS61" s="1536"/>
      <c r="FT61" s="1536"/>
      <c r="FU61" s="1536"/>
      <c r="FV61" s="1536"/>
      <c r="FW61" s="1536"/>
      <c r="FX61" s="1536"/>
      <c r="FY61" s="1536"/>
      <c r="FZ61" s="1537"/>
      <c r="GC61" s="1535"/>
      <c r="GD61" s="1536"/>
      <c r="GE61" s="1536"/>
      <c r="GF61" s="1536"/>
      <c r="GG61" s="1536"/>
      <c r="GH61" s="1536"/>
      <c r="GI61" s="1536"/>
      <c r="GJ61" s="1536"/>
      <c r="GK61" s="1536"/>
      <c r="GL61" s="1536"/>
      <c r="GM61" s="1536"/>
      <c r="GN61" s="1536"/>
      <c r="GO61" s="1536"/>
      <c r="GP61" s="1536"/>
      <c r="GQ61" s="1536"/>
      <c r="GR61" s="1536"/>
      <c r="GS61" s="1536"/>
      <c r="GT61" s="1536"/>
      <c r="GU61" s="1536"/>
      <c r="GV61" s="1536"/>
      <c r="GW61" s="1536"/>
      <c r="GX61" s="1536"/>
      <c r="GY61" s="1536"/>
      <c r="GZ61" s="1536"/>
      <c r="HA61" s="1536"/>
      <c r="HB61" s="1536"/>
      <c r="HC61" s="1536"/>
      <c r="HD61" s="1536"/>
      <c r="HE61" s="1536"/>
      <c r="HF61" s="1536"/>
      <c r="HG61" s="1536"/>
      <c r="HH61" s="1536"/>
      <c r="HI61" s="1536"/>
      <c r="HJ61" s="1537"/>
      <c r="HK61" s="238"/>
      <c r="HL61" s="415"/>
    </row>
    <row r="62" spans="2:220" ht="7.5" customHeight="1">
      <c r="B62" s="412"/>
      <c r="C62" s="1385"/>
      <c r="D62" s="1385"/>
      <c r="E62" s="1385"/>
      <c r="F62" s="1385"/>
      <c r="G62" s="1385"/>
      <c r="H62" s="1385"/>
      <c r="I62" s="1385"/>
      <c r="K62" s="1507"/>
      <c r="L62" s="1508"/>
      <c r="M62" s="1508"/>
      <c r="N62" s="1509"/>
      <c r="O62" s="1513" t="s">
        <v>5838</v>
      </c>
      <c r="P62" s="1457"/>
      <c r="Q62" s="1457"/>
      <c r="R62" s="1457"/>
      <c r="S62" s="1457"/>
      <c r="T62" s="1457"/>
      <c r="U62" s="1457"/>
      <c r="V62" s="1457"/>
      <c r="W62" s="1458"/>
      <c r="Y62" s="1383"/>
      <c r="Z62" s="1383"/>
      <c r="AA62" s="1383"/>
      <c r="AB62" s="1383"/>
      <c r="AC62" s="1383"/>
      <c r="AD62" s="1383"/>
      <c r="AE62" s="1383"/>
      <c r="AF62" s="1383"/>
      <c r="AG62" s="1383"/>
      <c r="AH62" s="1383"/>
      <c r="AI62" s="1383"/>
      <c r="AJ62" s="1383"/>
      <c r="AK62" s="1383"/>
      <c r="AL62" s="1383"/>
      <c r="AM62" s="1383"/>
      <c r="AN62" s="1383"/>
      <c r="AO62" s="1383"/>
      <c r="AP62" s="1383"/>
      <c r="AQ62" s="1383"/>
      <c r="AR62" s="1383"/>
      <c r="AS62" s="1656"/>
      <c r="AT62" s="1656"/>
      <c r="AU62" s="1656"/>
      <c r="AV62" s="1656"/>
      <c r="AX62" s="1383"/>
      <c r="AY62" s="1383"/>
      <c r="AZ62" s="1383"/>
      <c r="BA62" s="1383"/>
      <c r="BB62" s="1383"/>
      <c r="BC62" s="1383"/>
      <c r="BD62" s="1383"/>
      <c r="BE62" s="1383"/>
      <c r="BF62" s="1383"/>
      <c r="BG62" s="1383"/>
      <c r="BH62" s="1383"/>
      <c r="BI62" s="1383"/>
      <c r="BJ62" s="1383"/>
      <c r="BK62" s="1383"/>
      <c r="BL62" s="1383"/>
      <c r="BM62" s="1383"/>
      <c r="BN62" s="1383"/>
      <c r="BO62" s="1383"/>
      <c r="BP62" s="1383"/>
      <c r="BQ62" s="1383"/>
      <c r="BR62" s="1656"/>
      <c r="BS62" s="1656"/>
      <c r="BT62" s="1656"/>
      <c r="BU62" s="1656"/>
      <c r="BV62" s="415"/>
      <c r="BW62" s="412"/>
      <c r="BX62" s="1411"/>
      <c r="BY62" s="1384"/>
      <c r="BZ62" s="1384"/>
      <c r="CA62" s="1384"/>
      <c r="CB62" s="1384"/>
      <c r="CC62" s="1384"/>
      <c r="CD62" s="1384"/>
      <c r="CE62" s="1384"/>
      <c r="CF62" s="1384"/>
      <c r="CG62" s="1412"/>
      <c r="CH62" s="1643"/>
      <c r="CI62" s="1644"/>
      <c r="CJ62" s="1644"/>
      <c r="CK62" s="1644"/>
      <c r="CL62" s="1644"/>
      <c r="CM62" s="1644"/>
      <c r="CN62" s="1644"/>
      <c r="CO62" s="1644"/>
      <c r="CP62" s="1644"/>
      <c r="CQ62" s="1644"/>
      <c r="CR62" s="1644"/>
      <c r="CS62" s="1644"/>
      <c r="CT62" s="1644"/>
      <c r="CU62" s="1644"/>
      <c r="CV62" s="1644"/>
      <c r="CW62" s="1644"/>
      <c r="CX62" s="1644"/>
      <c r="CY62" s="1644"/>
      <c r="CZ62" s="1644"/>
      <c r="DA62" s="1644"/>
      <c r="DB62" s="1644"/>
      <c r="DC62" s="1644"/>
      <c r="DD62" s="1644"/>
      <c r="DE62" s="1644"/>
      <c r="DF62" s="1644"/>
      <c r="DG62" s="1644"/>
      <c r="DH62" s="1644"/>
      <c r="DI62" s="1644"/>
      <c r="DJ62" s="1644"/>
      <c r="DK62" s="1644"/>
      <c r="DL62" s="1644"/>
      <c r="DM62" s="1644"/>
      <c r="DN62" s="1644"/>
      <c r="DO62" s="1644"/>
      <c r="DP62" s="1644"/>
      <c r="DQ62" s="1644"/>
      <c r="DR62" s="1644"/>
      <c r="DS62" s="1644"/>
      <c r="DT62" s="1644"/>
      <c r="DU62" s="1644"/>
      <c r="DV62" s="1644"/>
      <c r="DW62" s="1644"/>
      <c r="DX62" s="1644"/>
      <c r="DY62" s="1644"/>
      <c r="DZ62" s="1644"/>
      <c r="EA62" s="1644"/>
      <c r="EB62" s="1644"/>
      <c r="EC62" s="1644"/>
      <c r="ED62" s="1644"/>
      <c r="EE62" s="1644"/>
      <c r="EF62" s="1644"/>
      <c r="EG62" s="1644"/>
      <c r="EH62" s="1644"/>
      <c r="EI62" s="1644"/>
      <c r="EJ62" s="1644"/>
      <c r="EK62" s="1644"/>
      <c r="EL62" s="1644"/>
      <c r="EM62" s="1644"/>
      <c r="EN62" s="1644"/>
      <c r="EO62" s="1644"/>
      <c r="EP62" s="443"/>
      <c r="EQ62" s="415"/>
      <c r="ER62" s="412"/>
      <c r="ES62" s="1532"/>
      <c r="ET62" s="1533"/>
      <c r="EU62" s="1533"/>
      <c r="EV62" s="1533"/>
      <c r="EW62" s="1533"/>
      <c r="EX62" s="1533"/>
      <c r="EY62" s="1533"/>
      <c r="EZ62" s="1533"/>
      <c r="FA62" s="1533"/>
      <c r="FB62" s="1533"/>
      <c r="FC62" s="1533"/>
      <c r="FD62" s="1533"/>
      <c r="FE62" s="1533"/>
      <c r="FF62" s="1533"/>
      <c r="FG62" s="1533"/>
      <c r="FH62" s="1533"/>
      <c r="FI62" s="1533"/>
      <c r="FJ62" s="1533"/>
      <c r="FK62" s="1533"/>
      <c r="FL62" s="1533"/>
      <c r="FM62" s="1533"/>
      <c r="FN62" s="1533"/>
      <c r="FO62" s="1533"/>
      <c r="FP62" s="1533"/>
      <c r="FQ62" s="1533"/>
      <c r="FR62" s="1533"/>
      <c r="FS62" s="1533"/>
      <c r="FT62" s="1533"/>
      <c r="FU62" s="1533"/>
      <c r="FV62" s="1533"/>
      <c r="FW62" s="1533"/>
      <c r="FX62" s="1533"/>
      <c r="FY62" s="1533"/>
      <c r="FZ62" s="1534"/>
      <c r="GC62" s="1532"/>
      <c r="GD62" s="1533"/>
      <c r="GE62" s="1533"/>
      <c r="GF62" s="1533"/>
      <c r="GG62" s="1533"/>
      <c r="GH62" s="1533"/>
      <c r="GI62" s="1533"/>
      <c r="GJ62" s="1533"/>
      <c r="GK62" s="1533"/>
      <c r="GL62" s="1533"/>
      <c r="GM62" s="1533"/>
      <c r="GN62" s="1533"/>
      <c r="GO62" s="1533"/>
      <c r="GP62" s="1533"/>
      <c r="GQ62" s="1533"/>
      <c r="GR62" s="1533"/>
      <c r="GS62" s="1533"/>
      <c r="GT62" s="1533"/>
      <c r="GU62" s="1533"/>
      <c r="GV62" s="1533"/>
      <c r="GW62" s="1533"/>
      <c r="GX62" s="1533"/>
      <c r="GY62" s="1533"/>
      <c r="GZ62" s="1533"/>
      <c r="HA62" s="1533"/>
      <c r="HB62" s="1533"/>
      <c r="HC62" s="1533"/>
      <c r="HD62" s="1533"/>
      <c r="HE62" s="1533"/>
      <c r="HF62" s="1533"/>
      <c r="HG62" s="1533"/>
      <c r="HH62" s="1533"/>
      <c r="HI62" s="1533"/>
      <c r="HJ62" s="1534"/>
      <c r="HK62" s="238"/>
      <c r="HL62" s="415"/>
    </row>
    <row r="63" spans="2:220" ht="7.5" customHeight="1">
      <c r="B63" s="412"/>
      <c r="C63" s="1473">
        <f>[4]ABILITIES!Q29</f>
        <v>14.022116237486282</v>
      </c>
      <c r="D63" s="1395"/>
      <c r="E63" s="1395"/>
      <c r="F63" s="1395"/>
      <c r="G63" s="1395"/>
      <c r="H63" s="1395"/>
      <c r="I63" s="1402"/>
      <c r="K63" s="1510"/>
      <c r="L63" s="1511"/>
      <c r="M63" s="1511"/>
      <c r="N63" s="1512"/>
      <c r="O63" s="1514"/>
      <c r="P63" s="1459"/>
      <c r="Q63" s="1459"/>
      <c r="R63" s="1459"/>
      <c r="S63" s="1459"/>
      <c r="T63" s="1459"/>
      <c r="U63" s="1459"/>
      <c r="V63" s="1459"/>
      <c r="W63" s="1460"/>
      <c r="Y63" s="1655"/>
      <c r="Z63" s="1414"/>
      <c r="AA63" s="1414"/>
      <c r="AB63" s="1414"/>
      <c r="AC63" s="1414"/>
      <c r="AD63" s="1414"/>
      <c r="AE63" s="1414"/>
      <c r="AF63" s="1414"/>
      <c r="AG63" s="1414"/>
      <c r="AH63" s="1414"/>
      <c r="AI63" s="1414"/>
      <c r="AJ63" s="1414"/>
      <c r="AK63" s="1414"/>
      <c r="AL63" s="1414"/>
      <c r="AM63" s="1414"/>
      <c r="AN63" s="1414"/>
      <c r="AO63" s="1414"/>
      <c r="AP63" s="1414"/>
      <c r="AQ63" s="1414"/>
      <c r="AR63" s="1414"/>
      <c r="AS63" s="1414"/>
      <c r="AT63" s="1414"/>
      <c r="AU63" s="1414"/>
      <c r="AV63" s="1415"/>
      <c r="AX63" s="1655" t="e">
        <f>#REF!</f>
        <v>#REF!</v>
      </c>
      <c r="AY63" s="1414"/>
      <c r="AZ63" s="1414"/>
      <c r="BA63" s="1414"/>
      <c r="BB63" s="1414"/>
      <c r="BC63" s="1414"/>
      <c r="BD63" s="1414"/>
      <c r="BE63" s="1414"/>
      <c r="BF63" s="1414"/>
      <c r="BG63" s="1414"/>
      <c r="BH63" s="1414"/>
      <c r="BI63" s="1414"/>
      <c r="BJ63" s="1414"/>
      <c r="BK63" s="1414"/>
      <c r="BL63" s="1414"/>
      <c r="BM63" s="1414"/>
      <c r="BN63" s="1414"/>
      <c r="BO63" s="1414"/>
      <c r="BP63" s="1414"/>
      <c r="BQ63" s="1414"/>
      <c r="BR63" s="1414"/>
      <c r="BS63" s="1414"/>
      <c r="BT63" s="1414"/>
      <c r="BU63" s="1415"/>
      <c r="BV63" s="415"/>
      <c r="BW63" s="412"/>
      <c r="BX63" s="1411"/>
      <c r="BY63" s="1384"/>
      <c r="BZ63" s="1384"/>
      <c r="CA63" s="1384"/>
      <c r="CB63" s="1384"/>
      <c r="CC63" s="1384"/>
      <c r="CD63" s="1384"/>
      <c r="CE63" s="1384"/>
      <c r="CF63" s="1384"/>
      <c r="CG63" s="1412"/>
      <c r="CH63" s="1643"/>
      <c r="CI63" s="1644"/>
      <c r="CJ63" s="1644"/>
      <c r="CK63" s="1644"/>
      <c r="CL63" s="1644"/>
      <c r="CM63" s="1644"/>
      <c r="CN63" s="1644"/>
      <c r="CO63" s="1644"/>
      <c r="CP63" s="1644"/>
      <c r="CQ63" s="1644"/>
      <c r="CR63" s="1644"/>
      <c r="CS63" s="1644"/>
      <c r="CT63" s="1644"/>
      <c r="CU63" s="1644"/>
      <c r="CV63" s="1644"/>
      <c r="CW63" s="1644"/>
      <c r="CX63" s="1644"/>
      <c r="CY63" s="1644"/>
      <c r="CZ63" s="1644"/>
      <c r="DA63" s="1644"/>
      <c r="DB63" s="1644"/>
      <c r="DC63" s="1644"/>
      <c r="DD63" s="1644"/>
      <c r="DE63" s="1644"/>
      <c r="DF63" s="1644"/>
      <c r="DG63" s="1644"/>
      <c r="DH63" s="1644"/>
      <c r="DI63" s="1644"/>
      <c r="DJ63" s="1644"/>
      <c r="DK63" s="1644"/>
      <c r="DL63" s="1644"/>
      <c r="DM63" s="1644"/>
      <c r="DN63" s="1644"/>
      <c r="DO63" s="1644"/>
      <c r="DP63" s="1644"/>
      <c r="DQ63" s="1644"/>
      <c r="DR63" s="1644"/>
      <c r="DS63" s="1644"/>
      <c r="DT63" s="1644"/>
      <c r="DU63" s="1644"/>
      <c r="DV63" s="1644"/>
      <c r="DW63" s="1644"/>
      <c r="DX63" s="1644"/>
      <c r="DY63" s="1644"/>
      <c r="DZ63" s="1644"/>
      <c r="EA63" s="1644"/>
      <c r="EB63" s="1644"/>
      <c r="EC63" s="1644"/>
      <c r="ED63" s="1644"/>
      <c r="EE63" s="1644"/>
      <c r="EF63" s="1644"/>
      <c r="EG63" s="1644"/>
      <c r="EH63" s="1644"/>
      <c r="EI63" s="1644"/>
      <c r="EJ63" s="1644"/>
      <c r="EK63" s="1644"/>
      <c r="EL63" s="1644"/>
      <c r="EM63" s="1644"/>
      <c r="EN63" s="1644"/>
      <c r="EO63" s="1644"/>
      <c r="EP63" s="443"/>
      <c r="EQ63" s="415"/>
      <c r="ER63" s="412"/>
      <c r="ES63" s="1535"/>
      <c r="ET63" s="1536"/>
      <c r="EU63" s="1536"/>
      <c r="EV63" s="1536"/>
      <c r="EW63" s="1536"/>
      <c r="EX63" s="1536"/>
      <c r="EY63" s="1536"/>
      <c r="EZ63" s="1536"/>
      <c r="FA63" s="1536"/>
      <c r="FB63" s="1536"/>
      <c r="FC63" s="1536"/>
      <c r="FD63" s="1536"/>
      <c r="FE63" s="1536"/>
      <c r="FF63" s="1536"/>
      <c r="FG63" s="1536"/>
      <c r="FH63" s="1536"/>
      <c r="FI63" s="1536"/>
      <c r="FJ63" s="1536"/>
      <c r="FK63" s="1536"/>
      <c r="FL63" s="1536"/>
      <c r="FM63" s="1536"/>
      <c r="FN63" s="1536"/>
      <c r="FO63" s="1536"/>
      <c r="FP63" s="1536"/>
      <c r="FQ63" s="1536"/>
      <c r="FR63" s="1536"/>
      <c r="FS63" s="1536"/>
      <c r="FT63" s="1536"/>
      <c r="FU63" s="1536"/>
      <c r="FV63" s="1536"/>
      <c r="FW63" s="1536"/>
      <c r="FX63" s="1536"/>
      <c r="FY63" s="1536"/>
      <c r="FZ63" s="1537"/>
      <c r="GC63" s="1535"/>
      <c r="GD63" s="1536"/>
      <c r="GE63" s="1536"/>
      <c r="GF63" s="1536"/>
      <c r="GG63" s="1536"/>
      <c r="GH63" s="1536"/>
      <c r="GI63" s="1536"/>
      <c r="GJ63" s="1536"/>
      <c r="GK63" s="1536"/>
      <c r="GL63" s="1536"/>
      <c r="GM63" s="1536"/>
      <c r="GN63" s="1536"/>
      <c r="GO63" s="1536"/>
      <c r="GP63" s="1536"/>
      <c r="GQ63" s="1536"/>
      <c r="GR63" s="1536"/>
      <c r="GS63" s="1536"/>
      <c r="GT63" s="1536"/>
      <c r="GU63" s="1536"/>
      <c r="GV63" s="1536"/>
      <c r="GW63" s="1536"/>
      <c r="GX63" s="1536"/>
      <c r="GY63" s="1536"/>
      <c r="GZ63" s="1536"/>
      <c r="HA63" s="1536"/>
      <c r="HB63" s="1536"/>
      <c r="HC63" s="1536"/>
      <c r="HD63" s="1536"/>
      <c r="HE63" s="1536"/>
      <c r="HF63" s="1536"/>
      <c r="HG63" s="1536"/>
      <c r="HH63" s="1536"/>
      <c r="HI63" s="1536"/>
      <c r="HJ63" s="1537"/>
      <c r="HK63" s="238"/>
      <c r="HL63" s="415"/>
    </row>
    <row r="64" spans="2:220" ht="7.5" customHeight="1">
      <c r="B64" s="412"/>
      <c r="C64" s="1411"/>
      <c r="D64" s="1384"/>
      <c r="E64" s="1384"/>
      <c r="F64" s="1384"/>
      <c r="G64" s="1384"/>
      <c r="H64" s="1384"/>
      <c r="I64" s="1412"/>
      <c r="K64" s="1507"/>
      <c r="L64" s="1508"/>
      <c r="M64" s="1508"/>
      <c r="N64" s="1509"/>
      <c r="O64" s="1513" t="s">
        <v>5839</v>
      </c>
      <c r="P64" s="1457"/>
      <c r="Q64" s="1457"/>
      <c r="R64" s="1457"/>
      <c r="S64" s="1457"/>
      <c r="T64" s="1457"/>
      <c r="U64" s="1457"/>
      <c r="V64" s="1457"/>
      <c r="W64" s="1458"/>
      <c r="Y64" s="1416"/>
      <c r="Z64" s="1417"/>
      <c r="AA64" s="1417"/>
      <c r="AB64" s="1417"/>
      <c r="AC64" s="1417"/>
      <c r="AD64" s="1417"/>
      <c r="AE64" s="1417"/>
      <c r="AF64" s="1417"/>
      <c r="AG64" s="1417"/>
      <c r="AH64" s="1417"/>
      <c r="AI64" s="1417"/>
      <c r="AJ64" s="1417"/>
      <c r="AK64" s="1417"/>
      <c r="AL64" s="1417"/>
      <c r="AM64" s="1417"/>
      <c r="AN64" s="1417"/>
      <c r="AO64" s="1417"/>
      <c r="AP64" s="1417"/>
      <c r="AQ64" s="1417"/>
      <c r="AR64" s="1417"/>
      <c r="AS64" s="1417"/>
      <c r="AT64" s="1417"/>
      <c r="AU64" s="1417"/>
      <c r="AV64" s="1418"/>
      <c r="AX64" s="1416"/>
      <c r="AY64" s="1417"/>
      <c r="AZ64" s="1417"/>
      <c r="BA64" s="1417"/>
      <c r="BB64" s="1417"/>
      <c r="BC64" s="1417"/>
      <c r="BD64" s="1417"/>
      <c r="BE64" s="1417"/>
      <c r="BF64" s="1417"/>
      <c r="BG64" s="1417"/>
      <c r="BH64" s="1417"/>
      <c r="BI64" s="1417"/>
      <c r="BJ64" s="1417"/>
      <c r="BK64" s="1417"/>
      <c r="BL64" s="1417"/>
      <c r="BM64" s="1417"/>
      <c r="BN64" s="1417"/>
      <c r="BO64" s="1417"/>
      <c r="BP64" s="1417"/>
      <c r="BQ64" s="1417"/>
      <c r="BR64" s="1417"/>
      <c r="BS64" s="1417"/>
      <c r="BT64" s="1417"/>
      <c r="BU64" s="1418"/>
      <c r="BV64" s="415"/>
      <c r="BW64" s="412"/>
      <c r="BX64" s="1396"/>
      <c r="BY64" s="1385"/>
      <c r="BZ64" s="1385"/>
      <c r="CA64" s="1385"/>
      <c r="CB64" s="1385"/>
      <c r="CC64" s="1385"/>
      <c r="CD64" s="1385"/>
      <c r="CE64" s="1385"/>
      <c r="CF64" s="1385"/>
      <c r="CG64" s="1403"/>
      <c r="CH64" s="1535"/>
      <c r="CI64" s="1536"/>
      <c r="CJ64" s="1536"/>
      <c r="CK64" s="1536"/>
      <c r="CL64" s="1536"/>
      <c r="CM64" s="1536"/>
      <c r="CN64" s="1536"/>
      <c r="CO64" s="1536"/>
      <c r="CP64" s="1536"/>
      <c r="CQ64" s="1536"/>
      <c r="CR64" s="1536"/>
      <c r="CS64" s="1536"/>
      <c r="CT64" s="1536"/>
      <c r="CU64" s="1536"/>
      <c r="CV64" s="1536"/>
      <c r="CW64" s="1536"/>
      <c r="CX64" s="1536"/>
      <c r="CY64" s="1536"/>
      <c r="CZ64" s="1536"/>
      <c r="DA64" s="1536"/>
      <c r="DB64" s="1536"/>
      <c r="DC64" s="1536"/>
      <c r="DD64" s="1536"/>
      <c r="DE64" s="1536"/>
      <c r="DF64" s="1536"/>
      <c r="DG64" s="1536"/>
      <c r="DH64" s="1536"/>
      <c r="DI64" s="1536"/>
      <c r="DJ64" s="1536"/>
      <c r="DK64" s="1536"/>
      <c r="DL64" s="1536"/>
      <c r="DM64" s="1536"/>
      <c r="DN64" s="1536"/>
      <c r="DO64" s="1536"/>
      <c r="DP64" s="1536"/>
      <c r="DQ64" s="1536"/>
      <c r="DR64" s="1536"/>
      <c r="DS64" s="1536"/>
      <c r="DT64" s="1536"/>
      <c r="DU64" s="1536"/>
      <c r="DV64" s="1536"/>
      <c r="DW64" s="1536"/>
      <c r="DX64" s="1536"/>
      <c r="DY64" s="1536"/>
      <c r="DZ64" s="1536"/>
      <c r="EA64" s="1536"/>
      <c r="EB64" s="1536"/>
      <c r="EC64" s="1536"/>
      <c r="ED64" s="1536"/>
      <c r="EE64" s="1536"/>
      <c r="EF64" s="1536"/>
      <c r="EG64" s="1536"/>
      <c r="EH64" s="1536"/>
      <c r="EI64" s="1536"/>
      <c r="EJ64" s="1536"/>
      <c r="EK64" s="1536"/>
      <c r="EL64" s="1536"/>
      <c r="EM64" s="1536"/>
      <c r="EN64" s="1536"/>
      <c r="EO64" s="1536"/>
      <c r="EP64" s="444"/>
      <c r="EQ64" s="415"/>
      <c r="ER64" s="412"/>
      <c r="ES64" s="1532"/>
      <c r="ET64" s="1533"/>
      <c r="EU64" s="1533"/>
      <c r="EV64" s="1533"/>
      <c r="EW64" s="1533"/>
      <c r="EX64" s="1533"/>
      <c r="EY64" s="1533"/>
      <c r="EZ64" s="1533"/>
      <c r="FA64" s="1533"/>
      <c r="FB64" s="1533"/>
      <c r="FC64" s="1533"/>
      <c r="FD64" s="1533"/>
      <c r="FE64" s="1533"/>
      <c r="FF64" s="1533"/>
      <c r="FG64" s="1533"/>
      <c r="FH64" s="1533"/>
      <c r="FI64" s="1533"/>
      <c r="FJ64" s="1533"/>
      <c r="FK64" s="1533"/>
      <c r="FL64" s="1533"/>
      <c r="FM64" s="1533"/>
      <c r="FN64" s="1533"/>
      <c r="FO64" s="1533"/>
      <c r="FP64" s="1533"/>
      <c r="FQ64" s="1533"/>
      <c r="FR64" s="1533"/>
      <c r="FS64" s="1533"/>
      <c r="FT64" s="1533"/>
      <c r="FU64" s="1533"/>
      <c r="FV64" s="1533"/>
      <c r="FW64" s="1533"/>
      <c r="FX64" s="1533"/>
      <c r="FY64" s="1533"/>
      <c r="FZ64" s="1534"/>
      <c r="GC64" s="1532"/>
      <c r="GD64" s="1533"/>
      <c r="GE64" s="1533"/>
      <c r="GF64" s="1533"/>
      <c r="GG64" s="1533"/>
      <c r="GH64" s="1533"/>
      <c r="GI64" s="1533"/>
      <c r="GJ64" s="1533"/>
      <c r="GK64" s="1533"/>
      <c r="GL64" s="1533"/>
      <c r="GM64" s="1533"/>
      <c r="GN64" s="1533"/>
      <c r="GO64" s="1533"/>
      <c r="GP64" s="1533"/>
      <c r="GQ64" s="1533"/>
      <c r="GR64" s="1533"/>
      <c r="GS64" s="1533"/>
      <c r="GT64" s="1533"/>
      <c r="GU64" s="1533"/>
      <c r="GV64" s="1533"/>
      <c r="GW64" s="1533"/>
      <c r="GX64" s="1533"/>
      <c r="GY64" s="1533"/>
      <c r="GZ64" s="1533"/>
      <c r="HA64" s="1533"/>
      <c r="HB64" s="1533"/>
      <c r="HC64" s="1533"/>
      <c r="HD64" s="1533"/>
      <c r="HE64" s="1533"/>
      <c r="HF64" s="1533"/>
      <c r="HG64" s="1533"/>
      <c r="HH64" s="1533"/>
      <c r="HI64" s="1533"/>
      <c r="HJ64" s="1534"/>
      <c r="HK64" s="238"/>
      <c r="HL64" s="415"/>
    </row>
    <row r="65" spans="2:220" ht="7.5" customHeight="1">
      <c r="B65" s="412"/>
      <c r="C65" s="1411"/>
      <c r="D65" s="1384"/>
      <c r="E65" s="1384"/>
      <c r="F65" s="1384"/>
      <c r="G65" s="1384"/>
      <c r="H65" s="1384"/>
      <c r="I65" s="1412"/>
      <c r="K65" s="1510"/>
      <c r="L65" s="1511"/>
      <c r="M65" s="1511"/>
      <c r="N65" s="1512"/>
      <c r="O65" s="1514"/>
      <c r="P65" s="1459"/>
      <c r="Q65" s="1459"/>
      <c r="R65" s="1459"/>
      <c r="S65" s="1459"/>
      <c r="T65" s="1459"/>
      <c r="U65" s="1459"/>
      <c r="V65" s="1459"/>
      <c r="W65" s="1460"/>
      <c r="Y65" s="1416"/>
      <c r="Z65" s="1417"/>
      <c r="AA65" s="1417"/>
      <c r="AB65" s="1417"/>
      <c r="AC65" s="1417"/>
      <c r="AD65" s="1417"/>
      <c r="AE65" s="1417"/>
      <c r="AF65" s="1417"/>
      <c r="AG65" s="1417"/>
      <c r="AH65" s="1417"/>
      <c r="AI65" s="1417"/>
      <c r="AJ65" s="1417"/>
      <c r="AK65" s="1417"/>
      <c r="AL65" s="1417"/>
      <c r="AM65" s="1417"/>
      <c r="AN65" s="1417"/>
      <c r="AO65" s="1417"/>
      <c r="AP65" s="1417"/>
      <c r="AQ65" s="1417"/>
      <c r="AR65" s="1417"/>
      <c r="AS65" s="1417"/>
      <c r="AT65" s="1417"/>
      <c r="AU65" s="1417"/>
      <c r="AV65" s="1418"/>
      <c r="AX65" s="1416"/>
      <c r="AY65" s="1417"/>
      <c r="AZ65" s="1417"/>
      <c r="BA65" s="1417"/>
      <c r="BB65" s="1417"/>
      <c r="BC65" s="1417"/>
      <c r="BD65" s="1417"/>
      <c r="BE65" s="1417"/>
      <c r="BF65" s="1417"/>
      <c r="BG65" s="1417"/>
      <c r="BH65" s="1417"/>
      <c r="BI65" s="1417"/>
      <c r="BJ65" s="1417"/>
      <c r="BK65" s="1417"/>
      <c r="BL65" s="1417"/>
      <c r="BM65" s="1417"/>
      <c r="BN65" s="1417"/>
      <c r="BO65" s="1417"/>
      <c r="BP65" s="1417"/>
      <c r="BQ65" s="1417"/>
      <c r="BR65" s="1417"/>
      <c r="BS65" s="1417"/>
      <c r="BT65" s="1417"/>
      <c r="BU65" s="1418"/>
      <c r="BV65" s="415"/>
      <c r="BW65" s="412"/>
      <c r="EQ65" s="415"/>
      <c r="ER65" s="412"/>
      <c r="ES65" s="1535"/>
      <c r="ET65" s="1536"/>
      <c r="EU65" s="1536"/>
      <c r="EV65" s="1536"/>
      <c r="EW65" s="1536"/>
      <c r="EX65" s="1536"/>
      <c r="EY65" s="1536"/>
      <c r="EZ65" s="1536"/>
      <c r="FA65" s="1536"/>
      <c r="FB65" s="1536"/>
      <c r="FC65" s="1536"/>
      <c r="FD65" s="1536"/>
      <c r="FE65" s="1536"/>
      <c r="FF65" s="1536"/>
      <c r="FG65" s="1536"/>
      <c r="FH65" s="1536"/>
      <c r="FI65" s="1536"/>
      <c r="FJ65" s="1536"/>
      <c r="FK65" s="1536"/>
      <c r="FL65" s="1536"/>
      <c r="FM65" s="1536"/>
      <c r="FN65" s="1536"/>
      <c r="FO65" s="1536"/>
      <c r="FP65" s="1536"/>
      <c r="FQ65" s="1536"/>
      <c r="FR65" s="1536"/>
      <c r="FS65" s="1536"/>
      <c r="FT65" s="1536"/>
      <c r="FU65" s="1536"/>
      <c r="FV65" s="1536"/>
      <c r="FW65" s="1536"/>
      <c r="FX65" s="1536"/>
      <c r="FY65" s="1536"/>
      <c r="FZ65" s="1537"/>
      <c r="GC65" s="1535"/>
      <c r="GD65" s="1536"/>
      <c r="GE65" s="1536"/>
      <c r="GF65" s="1536"/>
      <c r="GG65" s="1536"/>
      <c r="GH65" s="1536"/>
      <c r="GI65" s="1536"/>
      <c r="GJ65" s="1536"/>
      <c r="GK65" s="1536"/>
      <c r="GL65" s="1536"/>
      <c r="GM65" s="1536"/>
      <c r="GN65" s="1536"/>
      <c r="GO65" s="1536"/>
      <c r="GP65" s="1536"/>
      <c r="GQ65" s="1536"/>
      <c r="GR65" s="1536"/>
      <c r="GS65" s="1536"/>
      <c r="GT65" s="1536"/>
      <c r="GU65" s="1536"/>
      <c r="GV65" s="1536"/>
      <c r="GW65" s="1536"/>
      <c r="GX65" s="1536"/>
      <c r="GY65" s="1536"/>
      <c r="GZ65" s="1536"/>
      <c r="HA65" s="1536"/>
      <c r="HB65" s="1536"/>
      <c r="HC65" s="1536"/>
      <c r="HD65" s="1536"/>
      <c r="HE65" s="1536"/>
      <c r="HF65" s="1536"/>
      <c r="HG65" s="1536"/>
      <c r="HH65" s="1536"/>
      <c r="HI65" s="1536"/>
      <c r="HJ65" s="1537"/>
      <c r="HK65" s="238"/>
      <c r="HL65" s="415"/>
    </row>
    <row r="66" spans="2:220" ht="7.5" customHeight="1">
      <c r="B66" s="412"/>
      <c r="C66" s="1396"/>
      <c r="D66" s="1385"/>
      <c r="E66" s="1385"/>
      <c r="F66" s="1385"/>
      <c r="G66" s="1385"/>
      <c r="H66" s="1385"/>
      <c r="I66" s="1403"/>
      <c r="K66" s="1507"/>
      <c r="L66" s="1508"/>
      <c r="M66" s="1508"/>
      <c r="N66" s="1509"/>
      <c r="O66" s="1513" t="s">
        <v>5840</v>
      </c>
      <c r="P66" s="1457"/>
      <c r="Q66" s="1457"/>
      <c r="R66" s="1457"/>
      <c r="S66" s="1457"/>
      <c r="T66" s="1457"/>
      <c r="U66" s="1457"/>
      <c r="V66" s="1457"/>
      <c r="W66" s="1458"/>
      <c r="Y66" s="1416"/>
      <c r="Z66" s="1417"/>
      <c r="AA66" s="1417"/>
      <c r="AB66" s="1417"/>
      <c r="AC66" s="1417"/>
      <c r="AD66" s="1417"/>
      <c r="AE66" s="1417"/>
      <c r="AF66" s="1417"/>
      <c r="AG66" s="1417"/>
      <c r="AH66" s="1417"/>
      <c r="AI66" s="1417"/>
      <c r="AJ66" s="1417"/>
      <c r="AK66" s="1417"/>
      <c r="AL66" s="1417"/>
      <c r="AM66" s="1417"/>
      <c r="AN66" s="1417"/>
      <c r="AO66" s="1417"/>
      <c r="AP66" s="1417"/>
      <c r="AQ66" s="1417"/>
      <c r="AR66" s="1417"/>
      <c r="AS66" s="1417"/>
      <c r="AT66" s="1417"/>
      <c r="AU66" s="1417"/>
      <c r="AV66" s="1418"/>
      <c r="AX66" s="1416"/>
      <c r="AY66" s="1417"/>
      <c r="AZ66" s="1417"/>
      <c r="BA66" s="1417"/>
      <c r="BB66" s="1417"/>
      <c r="BC66" s="1417"/>
      <c r="BD66" s="1417"/>
      <c r="BE66" s="1417"/>
      <c r="BF66" s="1417"/>
      <c r="BG66" s="1417"/>
      <c r="BH66" s="1417"/>
      <c r="BI66" s="1417"/>
      <c r="BJ66" s="1417"/>
      <c r="BK66" s="1417"/>
      <c r="BL66" s="1417"/>
      <c r="BM66" s="1417"/>
      <c r="BN66" s="1417"/>
      <c r="BO66" s="1417"/>
      <c r="BP66" s="1417"/>
      <c r="BQ66" s="1417"/>
      <c r="BR66" s="1417"/>
      <c r="BS66" s="1417"/>
      <c r="BT66" s="1417"/>
      <c r="BU66" s="1418"/>
      <c r="BV66" s="415"/>
      <c r="BW66" s="412"/>
      <c r="BX66" s="1641" t="s">
        <v>6587</v>
      </c>
      <c r="BY66" s="1395"/>
      <c r="BZ66" s="1395"/>
      <c r="CA66" s="1395"/>
      <c r="CB66" s="1395"/>
      <c r="CC66" s="1395"/>
      <c r="CD66" s="1395"/>
      <c r="CE66" s="1395"/>
      <c r="CF66" s="1395"/>
      <c r="CG66" s="1402"/>
      <c r="CH66" s="1642"/>
      <c r="CI66" s="1533"/>
      <c r="CJ66" s="1533"/>
      <c r="CK66" s="1533"/>
      <c r="CL66" s="1533"/>
      <c r="CM66" s="1533"/>
      <c r="CN66" s="1533"/>
      <c r="CO66" s="1533"/>
      <c r="CP66" s="1533"/>
      <c r="CQ66" s="1533"/>
      <c r="CR66" s="1533"/>
      <c r="CS66" s="1533"/>
      <c r="CT66" s="1533"/>
      <c r="CU66" s="1533"/>
      <c r="CV66" s="1533"/>
      <c r="CW66" s="1533"/>
      <c r="CX66" s="1533"/>
      <c r="CY66" s="1533"/>
      <c r="CZ66" s="1533"/>
      <c r="DA66" s="1533"/>
      <c r="DB66" s="1533"/>
      <c r="DC66" s="1533"/>
      <c r="DD66" s="1533"/>
      <c r="DE66" s="1533"/>
      <c r="DF66" s="1533"/>
      <c r="DG66" s="1533"/>
      <c r="DH66" s="1533"/>
      <c r="DI66" s="1533"/>
      <c r="DJ66" s="1533"/>
      <c r="DK66" s="1533"/>
      <c r="DL66" s="1533"/>
      <c r="DM66" s="1533"/>
      <c r="DN66" s="1533"/>
      <c r="DO66" s="1533"/>
      <c r="DP66" s="1533"/>
      <c r="DQ66" s="1533"/>
      <c r="DR66" s="1533"/>
      <c r="DS66" s="1533"/>
      <c r="DT66" s="1533"/>
      <c r="DU66" s="1533"/>
      <c r="DV66" s="1533"/>
      <c r="DW66" s="1533"/>
      <c r="DX66" s="1533"/>
      <c r="DY66" s="1533"/>
      <c r="DZ66" s="1533"/>
      <c r="EA66" s="1533"/>
      <c r="EB66" s="1533"/>
      <c r="EC66" s="1533"/>
      <c r="ED66" s="1533"/>
      <c r="EE66" s="1533"/>
      <c r="EF66" s="1533"/>
      <c r="EG66" s="1533"/>
      <c r="EH66" s="1533"/>
      <c r="EI66" s="1533"/>
      <c r="EJ66" s="1533"/>
      <c r="EK66" s="1533"/>
      <c r="EL66" s="1533"/>
      <c r="EM66" s="1533"/>
      <c r="EN66" s="1533"/>
      <c r="EO66" s="1533"/>
      <c r="EP66" s="1534"/>
      <c r="EQ66" s="415"/>
      <c r="ER66" s="412"/>
      <c r="GD66" s="238"/>
      <c r="GE66" s="238"/>
      <c r="GF66" s="238"/>
      <c r="GG66" s="238"/>
      <c r="GH66" s="238"/>
      <c r="GI66" s="238"/>
      <c r="GJ66" s="238"/>
      <c r="GK66" s="238"/>
      <c r="GL66" s="238"/>
      <c r="GM66" s="238"/>
      <c r="GN66" s="238"/>
      <c r="GO66" s="238"/>
      <c r="GP66" s="238"/>
      <c r="GQ66" s="238"/>
      <c r="GR66" s="238"/>
      <c r="GS66" s="238"/>
      <c r="GT66" s="238"/>
      <c r="GU66" s="238"/>
      <c r="GV66" s="238"/>
      <c r="GW66" s="238"/>
      <c r="GX66" s="238"/>
      <c r="GY66" s="238"/>
      <c r="GZ66" s="238"/>
      <c r="HA66" s="238"/>
      <c r="HB66" s="238"/>
      <c r="HC66" s="238"/>
      <c r="HD66" s="238"/>
      <c r="HE66" s="238"/>
      <c r="HF66" s="238"/>
      <c r="HG66" s="238"/>
      <c r="HH66" s="238"/>
      <c r="HI66" s="238"/>
      <c r="HJ66" s="238"/>
      <c r="HK66" s="238"/>
      <c r="HL66" s="415"/>
    </row>
    <row r="67" spans="2:220" ht="7.5" customHeight="1">
      <c r="B67" s="412"/>
      <c r="C67" s="1461">
        <f>VLOOKUP(C63,[4]ABILITIES!$Z$3:$AA$24,2)</f>
        <v>2</v>
      </c>
      <c r="D67" s="1461"/>
      <c r="E67" s="1461"/>
      <c r="F67" s="1461"/>
      <c r="G67" s="1461"/>
      <c r="H67" s="1461"/>
      <c r="I67" s="1461"/>
      <c r="K67" s="1510"/>
      <c r="L67" s="1511"/>
      <c r="M67" s="1511"/>
      <c r="N67" s="1512"/>
      <c r="O67" s="1514"/>
      <c r="P67" s="1459"/>
      <c r="Q67" s="1459"/>
      <c r="R67" s="1459"/>
      <c r="S67" s="1459"/>
      <c r="T67" s="1459"/>
      <c r="U67" s="1459"/>
      <c r="V67" s="1459"/>
      <c r="W67" s="1460"/>
      <c r="Y67" s="1419"/>
      <c r="Z67" s="1420"/>
      <c r="AA67" s="1420"/>
      <c r="AB67" s="1420"/>
      <c r="AC67" s="1420"/>
      <c r="AD67" s="1420"/>
      <c r="AE67" s="1420"/>
      <c r="AF67" s="1420"/>
      <c r="AG67" s="1420"/>
      <c r="AH67" s="1420"/>
      <c r="AI67" s="1420"/>
      <c r="AJ67" s="1420"/>
      <c r="AK67" s="1420"/>
      <c r="AL67" s="1420"/>
      <c r="AM67" s="1420"/>
      <c r="AN67" s="1420"/>
      <c r="AO67" s="1420"/>
      <c r="AP67" s="1420"/>
      <c r="AQ67" s="1420"/>
      <c r="AR67" s="1420"/>
      <c r="AS67" s="1420"/>
      <c r="AT67" s="1420"/>
      <c r="AU67" s="1420"/>
      <c r="AV67" s="1421"/>
      <c r="AX67" s="1419"/>
      <c r="AY67" s="1420"/>
      <c r="AZ67" s="1420"/>
      <c r="BA67" s="1420"/>
      <c r="BB67" s="1420"/>
      <c r="BC67" s="1420"/>
      <c r="BD67" s="1420"/>
      <c r="BE67" s="1420"/>
      <c r="BF67" s="1420"/>
      <c r="BG67" s="1420"/>
      <c r="BH67" s="1420"/>
      <c r="BI67" s="1420"/>
      <c r="BJ67" s="1420"/>
      <c r="BK67" s="1420"/>
      <c r="BL67" s="1420"/>
      <c r="BM67" s="1420"/>
      <c r="BN67" s="1420"/>
      <c r="BO67" s="1420"/>
      <c r="BP67" s="1420"/>
      <c r="BQ67" s="1420"/>
      <c r="BR67" s="1420"/>
      <c r="BS67" s="1420"/>
      <c r="BT67" s="1420"/>
      <c r="BU67" s="1421"/>
      <c r="BV67" s="415"/>
      <c r="BW67" s="412"/>
      <c r="BX67" s="1411"/>
      <c r="BY67" s="1384"/>
      <c r="BZ67" s="1384"/>
      <c r="CA67" s="1384"/>
      <c r="CB67" s="1384"/>
      <c r="CC67" s="1384"/>
      <c r="CD67" s="1384"/>
      <c r="CE67" s="1384"/>
      <c r="CF67" s="1384"/>
      <c r="CG67" s="1412"/>
      <c r="CH67" s="1643"/>
      <c r="CI67" s="1644"/>
      <c r="CJ67" s="1644"/>
      <c r="CK67" s="1644"/>
      <c r="CL67" s="1644"/>
      <c r="CM67" s="1644"/>
      <c r="CN67" s="1644"/>
      <c r="CO67" s="1644"/>
      <c r="CP67" s="1644"/>
      <c r="CQ67" s="1644"/>
      <c r="CR67" s="1644"/>
      <c r="CS67" s="1644"/>
      <c r="CT67" s="1644"/>
      <c r="CU67" s="1644"/>
      <c r="CV67" s="1644"/>
      <c r="CW67" s="1644"/>
      <c r="CX67" s="1644"/>
      <c r="CY67" s="1644"/>
      <c r="CZ67" s="1644"/>
      <c r="DA67" s="1644"/>
      <c r="DB67" s="1644"/>
      <c r="DC67" s="1644"/>
      <c r="DD67" s="1644"/>
      <c r="DE67" s="1644"/>
      <c r="DF67" s="1644"/>
      <c r="DG67" s="1644"/>
      <c r="DH67" s="1644"/>
      <c r="DI67" s="1644"/>
      <c r="DJ67" s="1644"/>
      <c r="DK67" s="1644"/>
      <c r="DL67" s="1644"/>
      <c r="DM67" s="1644"/>
      <c r="DN67" s="1644"/>
      <c r="DO67" s="1644"/>
      <c r="DP67" s="1644"/>
      <c r="DQ67" s="1644"/>
      <c r="DR67" s="1644"/>
      <c r="DS67" s="1644"/>
      <c r="DT67" s="1644"/>
      <c r="DU67" s="1644"/>
      <c r="DV67" s="1644"/>
      <c r="DW67" s="1644"/>
      <c r="DX67" s="1644"/>
      <c r="DY67" s="1644"/>
      <c r="DZ67" s="1644"/>
      <c r="EA67" s="1644"/>
      <c r="EB67" s="1644"/>
      <c r="EC67" s="1644"/>
      <c r="ED67" s="1644"/>
      <c r="EE67" s="1644"/>
      <c r="EF67" s="1644"/>
      <c r="EG67" s="1644"/>
      <c r="EH67" s="1644"/>
      <c r="EI67" s="1644"/>
      <c r="EJ67" s="1644"/>
      <c r="EK67" s="1644"/>
      <c r="EL67" s="1644"/>
      <c r="EM67" s="1644"/>
      <c r="EN67" s="1644"/>
      <c r="EO67" s="1644"/>
      <c r="EP67" s="1645"/>
      <c r="EQ67" s="415"/>
      <c r="ER67" s="412"/>
      <c r="GD67" s="238"/>
      <c r="GE67" s="238"/>
      <c r="GF67" s="238"/>
      <c r="GG67" s="238"/>
      <c r="GH67" s="238"/>
      <c r="GI67" s="238"/>
      <c r="GJ67" s="238"/>
      <c r="GK67" s="238"/>
      <c r="GL67" s="238"/>
      <c r="GM67" s="238"/>
      <c r="GN67" s="238"/>
      <c r="GO67" s="238"/>
      <c r="GP67" s="238"/>
      <c r="GQ67" s="238"/>
      <c r="GR67" s="238"/>
      <c r="GS67" s="238"/>
      <c r="GT67" s="238"/>
      <c r="GU67" s="238"/>
      <c r="GV67" s="238"/>
      <c r="GW67" s="238"/>
      <c r="GX67" s="238"/>
      <c r="GY67" s="238"/>
      <c r="GZ67" s="238"/>
      <c r="HA67" s="238"/>
      <c r="HB67" s="238"/>
      <c r="HC67" s="238"/>
      <c r="HD67" s="238"/>
      <c r="HE67" s="238"/>
      <c r="HF67" s="238"/>
      <c r="HG67" s="238"/>
      <c r="HH67" s="238"/>
      <c r="HI67" s="238"/>
      <c r="HJ67" s="238"/>
      <c r="HK67" s="238"/>
      <c r="HL67" s="415"/>
    </row>
    <row r="68" spans="2:220" ht="7.5" customHeight="1">
      <c r="B68" s="412"/>
      <c r="C68" s="1461"/>
      <c r="D68" s="1461"/>
      <c r="E68" s="1461"/>
      <c r="F68" s="1461"/>
      <c r="G68" s="1461"/>
      <c r="H68" s="1461"/>
      <c r="I68" s="1461"/>
      <c r="K68" s="1507"/>
      <c r="L68" s="1646"/>
      <c r="M68" s="1646"/>
      <c r="N68" s="1647"/>
      <c r="O68" s="1651" t="s">
        <v>5841</v>
      </c>
      <c r="P68" s="1651"/>
      <c r="Q68" s="1651"/>
      <c r="R68" s="1651"/>
      <c r="S68" s="1651"/>
      <c r="T68" s="1651"/>
      <c r="U68" s="1651"/>
      <c r="V68" s="1651"/>
      <c r="W68" s="1652"/>
      <c r="Y68" s="1383" t="s">
        <v>7369</v>
      </c>
      <c r="Z68" s="1384"/>
      <c r="AA68" s="1384"/>
      <c r="AB68" s="1384"/>
      <c r="AC68" s="1384"/>
      <c r="AD68" s="1384"/>
      <c r="AE68" s="1384"/>
      <c r="AF68" s="1384"/>
      <c r="AG68" s="1384"/>
      <c r="AH68" s="1384"/>
      <c r="AI68" s="1384"/>
      <c r="AJ68" s="1384"/>
      <c r="AK68" s="1384"/>
      <c r="AL68" s="1384"/>
      <c r="AM68" s="1384"/>
      <c r="AN68" s="1384"/>
      <c r="AO68" s="1384"/>
      <c r="AP68" s="1384"/>
      <c r="AQ68" s="1384"/>
      <c r="AR68" s="1384"/>
      <c r="AS68" s="1384"/>
      <c r="AT68" s="1384"/>
      <c r="AU68" s="1384"/>
      <c r="AV68" s="1384"/>
      <c r="AW68" s="1384"/>
      <c r="AX68" s="1384"/>
      <c r="AY68" s="1384"/>
      <c r="AZ68" s="1384"/>
      <c r="BA68" s="1384"/>
      <c r="BB68" s="1384"/>
      <c r="BC68" s="1384"/>
      <c r="BD68" s="1384"/>
      <c r="BE68" s="1384"/>
      <c r="BF68" s="1384"/>
      <c r="BG68" s="1384"/>
      <c r="BH68" s="1384"/>
      <c r="BI68" s="1384"/>
      <c r="BJ68" s="1384"/>
      <c r="BK68" s="1384"/>
      <c r="BL68" s="1384"/>
      <c r="BM68" s="1384"/>
      <c r="BN68" s="1384"/>
      <c r="BO68" s="1384"/>
      <c r="BP68" s="1384"/>
      <c r="BQ68" s="1384"/>
      <c r="BR68" s="1384"/>
      <c r="BS68" s="1384"/>
      <c r="BT68" s="1384"/>
      <c r="BU68" s="1384"/>
      <c r="BV68" s="415"/>
      <c r="BW68" s="412"/>
      <c r="BX68" s="1411"/>
      <c r="BY68" s="1384"/>
      <c r="BZ68" s="1384"/>
      <c r="CA68" s="1384"/>
      <c r="CB68" s="1384"/>
      <c r="CC68" s="1384"/>
      <c r="CD68" s="1384"/>
      <c r="CE68" s="1384"/>
      <c r="CF68" s="1384"/>
      <c r="CG68" s="1412"/>
      <c r="CH68" s="1643"/>
      <c r="CI68" s="1644"/>
      <c r="CJ68" s="1644"/>
      <c r="CK68" s="1644"/>
      <c r="CL68" s="1644"/>
      <c r="CM68" s="1644"/>
      <c r="CN68" s="1644"/>
      <c r="CO68" s="1644"/>
      <c r="CP68" s="1644"/>
      <c r="CQ68" s="1644"/>
      <c r="CR68" s="1644"/>
      <c r="CS68" s="1644"/>
      <c r="CT68" s="1644"/>
      <c r="CU68" s="1644"/>
      <c r="CV68" s="1644"/>
      <c r="CW68" s="1644"/>
      <c r="CX68" s="1644"/>
      <c r="CY68" s="1644"/>
      <c r="CZ68" s="1644"/>
      <c r="DA68" s="1644"/>
      <c r="DB68" s="1644"/>
      <c r="DC68" s="1644"/>
      <c r="DD68" s="1644"/>
      <c r="DE68" s="1644"/>
      <c r="DF68" s="1644"/>
      <c r="DG68" s="1644"/>
      <c r="DH68" s="1644"/>
      <c r="DI68" s="1644"/>
      <c r="DJ68" s="1644"/>
      <c r="DK68" s="1644"/>
      <c r="DL68" s="1644"/>
      <c r="DM68" s="1644"/>
      <c r="DN68" s="1644"/>
      <c r="DO68" s="1644"/>
      <c r="DP68" s="1644"/>
      <c r="DQ68" s="1644"/>
      <c r="DR68" s="1644"/>
      <c r="DS68" s="1644"/>
      <c r="DT68" s="1644"/>
      <c r="DU68" s="1644"/>
      <c r="DV68" s="1644"/>
      <c r="DW68" s="1644"/>
      <c r="DX68" s="1644"/>
      <c r="DY68" s="1644"/>
      <c r="DZ68" s="1644"/>
      <c r="EA68" s="1644"/>
      <c r="EB68" s="1644"/>
      <c r="EC68" s="1644"/>
      <c r="ED68" s="1644"/>
      <c r="EE68" s="1644"/>
      <c r="EF68" s="1644"/>
      <c r="EG68" s="1644"/>
      <c r="EH68" s="1644"/>
      <c r="EI68" s="1644"/>
      <c r="EJ68" s="1644"/>
      <c r="EK68" s="1644"/>
      <c r="EL68" s="1644"/>
      <c r="EM68" s="1644"/>
      <c r="EN68" s="1644"/>
      <c r="EO68" s="1644"/>
      <c r="EP68" s="1645"/>
      <c r="EQ68" s="415"/>
      <c r="ER68" s="412"/>
      <c r="ES68" s="1407" t="s">
        <v>6284</v>
      </c>
      <c r="ET68" s="1395"/>
      <c r="EU68" s="1395"/>
      <c r="EV68" s="1395"/>
      <c r="EW68" s="1395"/>
      <c r="EX68" s="1395"/>
      <c r="EY68" s="1395"/>
      <c r="EZ68" s="1395"/>
      <c r="FA68" s="1395"/>
      <c r="FB68" s="1395"/>
      <c r="FC68" s="1395"/>
      <c r="FD68" s="1395"/>
      <c r="FE68" s="1395"/>
      <c r="FF68" s="1395"/>
      <c r="FG68" s="1395"/>
      <c r="FH68" s="1395"/>
      <c r="FI68" s="1395"/>
      <c r="FJ68" s="1395"/>
      <c r="FK68" s="1395"/>
      <c r="FL68" s="1395"/>
      <c r="FM68" s="1395"/>
      <c r="FN68" s="1395"/>
      <c r="FO68" s="1395"/>
      <c r="FP68" s="1395"/>
      <c r="FQ68" s="1395"/>
      <c r="FR68" s="1395"/>
      <c r="FS68" s="1395"/>
      <c r="FT68" s="1395"/>
      <c r="FU68" s="1395"/>
      <c r="FV68" s="1395"/>
      <c r="FW68" s="1395"/>
      <c r="FX68" s="1395"/>
      <c r="FY68" s="1395"/>
      <c r="FZ68" s="1402"/>
      <c r="GC68" s="1407" t="s">
        <v>7424</v>
      </c>
      <c r="GD68" s="1395"/>
      <c r="GE68" s="1395"/>
      <c r="GF68" s="1395"/>
      <c r="GG68" s="1395"/>
      <c r="GH68" s="1395"/>
      <c r="GI68" s="1395"/>
      <c r="GJ68" s="1395"/>
      <c r="GK68" s="1395"/>
      <c r="GL68" s="1395"/>
      <c r="GM68" s="1395"/>
      <c r="GN68" s="1395"/>
      <c r="GO68" s="1395"/>
      <c r="GP68" s="1395"/>
      <c r="GQ68" s="1395"/>
      <c r="GR68" s="1395"/>
      <c r="GS68" s="1395"/>
      <c r="GT68" s="1395"/>
      <c r="GU68" s="1395"/>
      <c r="GV68" s="1395"/>
      <c r="GW68" s="1395"/>
      <c r="GX68" s="1395"/>
      <c r="GY68" s="1395"/>
      <c r="GZ68" s="1395"/>
      <c r="HA68" s="1395"/>
      <c r="HB68" s="1395"/>
      <c r="HC68" s="1395"/>
      <c r="HD68" s="1395"/>
      <c r="HE68" s="1395"/>
      <c r="HF68" s="1395"/>
      <c r="HG68" s="1395"/>
      <c r="HH68" s="1395"/>
      <c r="HI68" s="1395"/>
      <c r="HJ68" s="1402"/>
      <c r="HK68" s="238"/>
      <c r="HL68" s="415"/>
    </row>
    <row r="69" spans="2:220" ht="7.5" customHeight="1">
      <c r="B69" s="412"/>
      <c r="K69" s="1648"/>
      <c r="L69" s="1649"/>
      <c r="M69" s="1649"/>
      <c r="N69" s="1650"/>
      <c r="O69" s="1653"/>
      <c r="P69" s="1653"/>
      <c r="Q69" s="1653"/>
      <c r="R69" s="1653"/>
      <c r="S69" s="1653"/>
      <c r="T69" s="1653"/>
      <c r="U69" s="1653"/>
      <c r="V69" s="1653"/>
      <c r="W69" s="1654"/>
      <c r="Y69" s="1385"/>
      <c r="Z69" s="1385"/>
      <c r="AA69" s="1385"/>
      <c r="AB69" s="1385"/>
      <c r="AC69" s="1385"/>
      <c r="AD69" s="1385"/>
      <c r="AE69" s="1385"/>
      <c r="AF69" s="1385"/>
      <c r="AG69" s="1385"/>
      <c r="AH69" s="1385"/>
      <c r="AI69" s="1385"/>
      <c r="AJ69" s="1385"/>
      <c r="AK69" s="1385"/>
      <c r="AL69" s="1385"/>
      <c r="AM69" s="1385"/>
      <c r="AN69" s="1385"/>
      <c r="AO69" s="1385"/>
      <c r="AP69" s="1385"/>
      <c r="AQ69" s="1385"/>
      <c r="AR69" s="1385"/>
      <c r="AS69" s="1385"/>
      <c r="AT69" s="1385"/>
      <c r="AU69" s="1385"/>
      <c r="AV69" s="1385"/>
      <c r="AW69" s="1385"/>
      <c r="AX69" s="1385"/>
      <c r="AY69" s="1385"/>
      <c r="AZ69" s="1385"/>
      <c r="BA69" s="1385"/>
      <c r="BB69" s="1385"/>
      <c r="BC69" s="1385"/>
      <c r="BD69" s="1385"/>
      <c r="BE69" s="1385"/>
      <c r="BF69" s="1385"/>
      <c r="BG69" s="1385"/>
      <c r="BH69" s="1385"/>
      <c r="BI69" s="1385"/>
      <c r="BJ69" s="1385"/>
      <c r="BK69" s="1385"/>
      <c r="BL69" s="1385"/>
      <c r="BM69" s="1385"/>
      <c r="BN69" s="1385"/>
      <c r="BO69" s="1385"/>
      <c r="BP69" s="1385"/>
      <c r="BQ69" s="1385"/>
      <c r="BR69" s="1385"/>
      <c r="BS69" s="1385"/>
      <c r="BT69" s="1385"/>
      <c r="BU69" s="1385"/>
      <c r="BV69" s="415"/>
      <c r="BW69" s="412"/>
      <c r="BX69" s="1396"/>
      <c r="BY69" s="1385"/>
      <c r="BZ69" s="1385"/>
      <c r="CA69" s="1385"/>
      <c r="CB69" s="1385"/>
      <c r="CC69" s="1385"/>
      <c r="CD69" s="1385"/>
      <c r="CE69" s="1385"/>
      <c r="CF69" s="1385"/>
      <c r="CG69" s="1403"/>
      <c r="CH69" s="1535"/>
      <c r="CI69" s="1536"/>
      <c r="CJ69" s="1536"/>
      <c r="CK69" s="1536"/>
      <c r="CL69" s="1536"/>
      <c r="CM69" s="1536"/>
      <c r="CN69" s="1536"/>
      <c r="CO69" s="1536"/>
      <c r="CP69" s="1536"/>
      <c r="CQ69" s="1536"/>
      <c r="CR69" s="1536"/>
      <c r="CS69" s="1536"/>
      <c r="CT69" s="1536"/>
      <c r="CU69" s="1536"/>
      <c r="CV69" s="1536"/>
      <c r="CW69" s="1536"/>
      <c r="CX69" s="1536"/>
      <c r="CY69" s="1536"/>
      <c r="CZ69" s="1536"/>
      <c r="DA69" s="1536"/>
      <c r="DB69" s="1536"/>
      <c r="DC69" s="1536"/>
      <c r="DD69" s="1536"/>
      <c r="DE69" s="1536"/>
      <c r="DF69" s="1536"/>
      <c r="DG69" s="1536"/>
      <c r="DH69" s="1536"/>
      <c r="DI69" s="1536"/>
      <c r="DJ69" s="1536"/>
      <c r="DK69" s="1536"/>
      <c r="DL69" s="1536"/>
      <c r="DM69" s="1536"/>
      <c r="DN69" s="1536"/>
      <c r="DO69" s="1536"/>
      <c r="DP69" s="1536"/>
      <c r="DQ69" s="1536"/>
      <c r="DR69" s="1536"/>
      <c r="DS69" s="1536"/>
      <c r="DT69" s="1536"/>
      <c r="DU69" s="1536"/>
      <c r="DV69" s="1536"/>
      <c r="DW69" s="1536"/>
      <c r="DX69" s="1536"/>
      <c r="DY69" s="1536"/>
      <c r="DZ69" s="1536"/>
      <c r="EA69" s="1536"/>
      <c r="EB69" s="1536"/>
      <c r="EC69" s="1536"/>
      <c r="ED69" s="1536"/>
      <c r="EE69" s="1536"/>
      <c r="EF69" s="1536"/>
      <c r="EG69" s="1536"/>
      <c r="EH69" s="1536"/>
      <c r="EI69" s="1536"/>
      <c r="EJ69" s="1536"/>
      <c r="EK69" s="1536"/>
      <c r="EL69" s="1536"/>
      <c r="EM69" s="1536"/>
      <c r="EN69" s="1536"/>
      <c r="EO69" s="1536"/>
      <c r="EP69" s="1537"/>
      <c r="EQ69" s="415"/>
      <c r="ER69" s="412"/>
      <c r="ES69" s="1396"/>
      <c r="ET69" s="1385"/>
      <c r="EU69" s="1385"/>
      <c r="EV69" s="1385"/>
      <c r="EW69" s="1385"/>
      <c r="EX69" s="1385"/>
      <c r="EY69" s="1385"/>
      <c r="EZ69" s="1385"/>
      <c r="FA69" s="1385"/>
      <c r="FB69" s="1385"/>
      <c r="FC69" s="1385"/>
      <c r="FD69" s="1385"/>
      <c r="FE69" s="1385"/>
      <c r="FF69" s="1385"/>
      <c r="FG69" s="1385"/>
      <c r="FH69" s="1385"/>
      <c r="FI69" s="1385"/>
      <c r="FJ69" s="1385"/>
      <c r="FK69" s="1385"/>
      <c r="FL69" s="1385"/>
      <c r="FM69" s="1385"/>
      <c r="FN69" s="1385"/>
      <c r="FO69" s="1385"/>
      <c r="FP69" s="1385"/>
      <c r="FQ69" s="1385"/>
      <c r="FR69" s="1385"/>
      <c r="FS69" s="1385"/>
      <c r="FT69" s="1385"/>
      <c r="FU69" s="1385"/>
      <c r="FV69" s="1385"/>
      <c r="FW69" s="1385"/>
      <c r="FX69" s="1385"/>
      <c r="FY69" s="1385"/>
      <c r="FZ69" s="1403"/>
      <c r="GC69" s="1396"/>
      <c r="GD69" s="1385"/>
      <c r="GE69" s="1385"/>
      <c r="GF69" s="1385"/>
      <c r="GG69" s="1385"/>
      <c r="GH69" s="1385"/>
      <c r="GI69" s="1385"/>
      <c r="GJ69" s="1385"/>
      <c r="GK69" s="1385"/>
      <c r="GL69" s="1385"/>
      <c r="GM69" s="1385"/>
      <c r="GN69" s="1385"/>
      <c r="GO69" s="1385"/>
      <c r="GP69" s="1385"/>
      <c r="GQ69" s="1385"/>
      <c r="GR69" s="1385"/>
      <c r="GS69" s="1385"/>
      <c r="GT69" s="1385"/>
      <c r="GU69" s="1385"/>
      <c r="GV69" s="1385"/>
      <c r="GW69" s="1385"/>
      <c r="GX69" s="1385"/>
      <c r="GY69" s="1385"/>
      <c r="GZ69" s="1385"/>
      <c r="HA69" s="1385"/>
      <c r="HB69" s="1385"/>
      <c r="HC69" s="1385"/>
      <c r="HD69" s="1385"/>
      <c r="HE69" s="1385"/>
      <c r="HF69" s="1385"/>
      <c r="HG69" s="1385"/>
      <c r="HH69" s="1385"/>
      <c r="HI69" s="1385"/>
      <c r="HJ69" s="1403"/>
      <c r="HK69" s="238"/>
      <c r="HL69" s="415"/>
    </row>
    <row r="70" spans="2:220" ht="7.5" customHeight="1">
      <c r="B70" s="412"/>
      <c r="K70" s="1507"/>
      <c r="L70" s="1646"/>
      <c r="M70" s="1646"/>
      <c r="N70" s="1647"/>
      <c r="O70" s="1651" t="s">
        <v>5842</v>
      </c>
      <c r="P70" s="1651"/>
      <c r="Q70" s="1651"/>
      <c r="R70" s="1651"/>
      <c r="S70" s="1651"/>
      <c r="T70" s="1651"/>
      <c r="U70" s="1651"/>
      <c r="V70" s="1651"/>
      <c r="W70" s="1652"/>
      <c r="Y70" s="1670"/>
      <c r="Z70" s="1519"/>
      <c r="AA70" s="1519"/>
      <c r="AB70" s="1519"/>
      <c r="AC70" s="1519"/>
      <c r="AD70" s="1519"/>
      <c r="AE70" s="1519"/>
      <c r="AF70" s="1519"/>
      <c r="AG70" s="1519"/>
      <c r="AH70" s="1519"/>
      <c r="AI70" s="1519"/>
      <c r="AJ70" s="1519"/>
      <c r="AK70" s="1519"/>
      <c r="AL70" s="1519"/>
      <c r="AM70" s="1519"/>
      <c r="AN70" s="1519"/>
      <c r="AO70" s="1519"/>
      <c r="AP70" s="1519"/>
      <c r="AQ70" s="1519"/>
      <c r="AR70" s="1519"/>
      <c r="AS70" s="1519"/>
      <c r="AT70" s="1519"/>
      <c r="AU70" s="1519"/>
      <c r="AV70" s="1519"/>
      <c r="AW70" s="1519"/>
      <c r="AX70" s="1519"/>
      <c r="AY70" s="1519"/>
      <c r="AZ70" s="1519"/>
      <c r="BA70" s="1519"/>
      <c r="BB70" s="1519"/>
      <c r="BC70" s="1519"/>
      <c r="BD70" s="1519"/>
      <c r="BE70" s="1519"/>
      <c r="BF70" s="1519"/>
      <c r="BG70" s="1519"/>
      <c r="BH70" s="1519"/>
      <c r="BI70" s="1519"/>
      <c r="BJ70" s="1519"/>
      <c r="BK70" s="1519"/>
      <c r="BL70" s="1519"/>
      <c r="BM70" s="1519"/>
      <c r="BN70" s="1519"/>
      <c r="BO70" s="1519"/>
      <c r="BP70" s="1519"/>
      <c r="BQ70" s="1519"/>
      <c r="BR70" s="1519"/>
      <c r="BS70" s="1519"/>
      <c r="BT70" s="1519"/>
      <c r="BU70" s="1520"/>
      <c r="BV70" s="415"/>
      <c r="BW70" s="412"/>
      <c r="EQ70" s="415"/>
      <c r="ER70" s="412"/>
      <c r="ES70" s="1671"/>
      <c r="ET70" s="1672"/>
      <c r="EU70" s="1672"/>
      <c r="EV70" s="1672"/>
      <c r="EW70" s="1672"/>
      <c r="EX70" s="1672"/>
      <c r="EY70" s="1672"/>
      <c r="EZ70" s="1672"/>
      <c r="FA70" s="1672"/>
      <c r="FB70" s="1672"/>
      <c r="FC70" s="1672"/>
      <c r="FD70" s="1672"/>
      <c r="FE70" s="1672"/>
      <c r="FF70" s="1672"/>
      <c r="FG70" s="1672"/>
      <c r="FH70" s="1672"/>
      <c r="FI70" s="1672"/>
      <c r="FJ70" s="1672"/>
      <c r="FK70" s="1672"/>
      <c r="FL70" s="1672"/>
      <c r="FM70" s="1672"/>
      <c r="FN70" s="1672"/>
      <c r="FO70" s="1672"/>
      <c r="FP70" s="1672"/>
      <c r="FQ70" s="1672"/>
      <c r="FR70" s="1672"/>
      <c r="FS70" s="1672"/>
      <c r="FT70" s="1672"/>
      <c r="FU70" s="1672"/>
      <c r="FV70" s="1672"/>
      <c r="FW70" s="1672"/>
      <c r="FX70" s="1672"/>
      <c r="FY70" s="1672"/>
      <c r="FZ70" s="1673"/>
      <c r="GC70" s="1680"/>
      <c r="GD70" s="1681"/>
      <c r="GE70" s="1681"/>
      <c r="GF70" s="1681"/>
      <c r="GG70" s="1681"/>
      <c r="GH70" s="1681"/>
      <c r="GI70" s="1681"/>
      <c r="GJ70" s="1681"/>
      <c r="GK70" s="1681"/>
      <c r="GL70" s="1681"/>
      <c r="GM70" s="1681"/>
      <c r="GN70" s="1681"/>
      <c r="GO70" s="1681"/>
      <c r="GP70" s="1681"/>
      <c r="GQ70" s="1681"/>
      <c r="GR70" s="1681"/>
      <c r="GS70" s="1681"/>
      <c r="GT70" s="1681"/>
      <c r="GU70" s="1681"/>
      <c r="GV70" s="1681"/>
      <c r="GW70" s="1681"/>
      <c r="GX70" s="1681"/>
      <c r="GY70" s="1681"/>
      <c r="GZ70" s="1681"/>
      <c r="HA70" s="1681"/>
      <c r="HB70" s="1681"/>
      <c r="HC70" s="1681"/>
      <c r="HD70" s="1681"/>
      <c r="HE70" s="1681"/>
      <c r="HF70" s="1681"/>
      <c r="HG70" s="1681"/>
      <c r="HH70" s="1681"/>
      <c r="HI70" s="1681"/>
      <c r="HJ70" s="1682"/>
      <c r="HK70" s="238"/>
      <c r="HL70" s="415"/>
    </row>
    <row r="71" spans="2:220" ht="7.5" customHeight="1">
      <c r="B71" s="412"/>
      <c r="K71" s="1648"/>
      <c r="L71" s="1649"/>
      <c r="M71" s="1649"/>
      <c r="N71" s="1650"/>
      <c r="O71" s="1653"/>
      <c r="P71" s="1653"/>
      <c r="Q71" s="1653"/>
      <c r="R71" s="1653"/>
      <c r="S71" s="1653"/>
      <c r="T71" s="1653"/>
      <c r="U71" s="1653"/>
      <c r="V71" s="1653"/>
      <c r="W71" s="1654"/>
      <c r="Y71" s="1521"/>
      <c r="Z71" s="1522"/>
      <c r="AA71" s="1522"/>
      <c r="AB71" s="1522"/>
      <c r="AC71" s="1522"/>
      <c r="AD71" s="1522"/>
      <c r="AE71" s="1522"/>
      <c r="AF71" s="1522"/>
      <c r="AG71" s="1522"/>
      <c r="AH71" s="1522"/>
      <c r="AI71" s="1522"/>
      <c r="AJ71" s="1522"/>
      <c r="AK71" s="1522"/>
      <c r="AL71" s="1522"/>
      <c r="AM71" s="1522"/>
      <c r="AN71" s="1522"/>
      <c r="AO71" s="1522"/>
      <c r="AP71" s="1522"/>
      <c r="AQ71" s="1522"/>
      <c r="AR71" s="1522"/>
      <c r="AS71" s="1522"/>
      <c r="AT71" s="1522"/>
      <c r="AU71" s="1522"/>
      <c r="AV71" s="1522"/>
      <c r="AW71" s="1522"/>
      <c r="AX71" s="1522"/>
      <c r="AY71" s="1522"/>
      <c r="AZ71" s="1522"/>
      <c r="BA71" s="1522"/>
      <c r="BB71" s="1522"/>
      <c r="BC71" s="1522"/>
      <c r="BD71" s="1522"/>
      <c r="BE71" s="1522"/>
      <c r="BF71" s="1522"/>
      <c r="BG71" s="1522"/>
      <c r="BH71" s="1522"/>
      <c r="BI71" s="1522"/>
      <c r="BJ71" s="1522"/>
      <c r="BK71" s="1522"/>
      <c r="BL71" s="1522"/>
      <c r="BM71" s="1522"/>
      <c r="BN71" s="1522"/>
      <c r="BO71" s="1522"/>
      <c r="BP71" s="1522"/>
      <c r="BQ71" s="1522"/>
      <c r="BR71" s="1522"/>
      <c r="BS71" s="1522"/>
      <c r="BT71" s="1522"/>
      <c r="BU71" s="1523"/>
      <c r="BV71" s="415"/>
      <c r="BW71" s="412"/>
      <c r="BX71" s="1641" t="s">
        <v>6593</v>
      </c>
      <c r="BY71" s="1689"/>
      <c r="BZ71" s="1689"/>
      <c r="CA71" s="1689"/>
      <c r="CB71" s="1689"/>
      <c r="CC71" s="1689"/>
      <c r="CD71" s="1689"/>
      <c r="CE71" s="1689"/>
      <c r="CF71" s="1689"/>
      <c r="CG71" s="1690"/>
      <c r="CH71" s="1642"/>
      <c r="CI71" s="1533"/>
      <c r="CJ71" s="1533"/>
      <c r="CK71" s="1533"/>
      <c r="CL71" s="1533"/>
      <c r="CM71" s="1533"/>
      <c r="CN71" s="1533"/>
      <c r="CO71" s="1533"/>
      <c r="CP71" s="1533"/>
      <c r="CQ71" s="1533"/>
      <c r="CR71" s="1533"/>
      <c r="CS71" s="1533"/>
      <c r="CT71" s="1533"/>
      <c r="CU71" s="1533"/>
      <c r="CV71" s="1533"/>
      <c r="CW71" s="1533"/>
      <c r="CX71" s="1533"/>
      <c r="CY71" s="1533"/>
      <c r="CZ71" s="1533"/>
      <c r="DA71" s="1533"/>
      <c r="DB71" s="1533"/>
      <c r="DC71" s="1533"/>
      <c r="DD71" s="1533"/>
      <c r="DE71" s="1533"/>
      <c r="DF71" s="1533"/>
      <c r="DG71" s="1533"/>
      <c r="DH71" s="1533"/>
      <c r="DI71" s="1533"/>
      <c r="DJ71" s="1533"/>
      <c r="DK71" s="1533"/>
      <c r="DL71" s="1533"/>
      <c r="DM71" s="1533"/>
      <c r="DN71" s="1533"/>
      <c r="DO71" s="1533"/>
      <c r="DP71" s="1533"/>
      <c r="DQ71" s="1533"/>
      <c r="DR71" s="1533"/>
      <c r="DS71" s="1533"/>
      <c r="DT71" s="1533"/>
      <c r="DU71" s="1533"/>
      <c r="DV71" s="1533"/>
      <c r="DW71" s="1533"/>
      <c r="DX71" s="1533"/>
      <c r="DY71" s="1533"/>
      <c r="DZ71" s="1533"/>
      <c r="EA71" s="1533"/>
      <c r="EB71" s="1533"/>
      <c r="EC71" s="1533"/>
      <c r="ED71" s="1533"/>
      <c r="EE71" s="1533"/>
      <c r="EF71" s="1533"/>
      <c r="EG71" s="1533"/>
      <c r="EH71" s="1533"/>
      <c r="EI71" s="1533"/>
      <c r="EJ71" s="1533"/>
      <c r="EK71" s="1533"/>
      <c r="EL71" s="1533"/>
      <c r="EM71" s="1533"/>
      <c r="EN71" s="1533"/>
      <c r="EO71" s="1533"/>
      <c r="EP71" s="1534"/>
      <c r="EQ71" s="415"/>
      <c r="ER71" s="412"/>
      <c r="ES71" s="1674"/>
      <c r="ET71" s="1675"/>
      <c r="EU71" s="1675"/>
      <c r="EV71" s="1675"/>
      <c r="EW71" s="1675"/>
      <c r="EX71" s="1675"/>
      <c r="EY71" s="1675"/>
      <c r="EZ71" s="1675"/>
      <c r="FA71" s="1675"/>
      <c r="FB71" s="1675"/>
      <c r="FC71" s="1675"/>
      <c r="FD71" s="1675"/>
      <c r="FE71" s="1675"/>
      <c r="FF71" s="1675"/>
      <c r="FG71" s="1675"/>
      <c r="FH71" s="1675"/>
      <c r="FI71" s="1675"/>
      <c r="FJ71" s="1675"/>
      <c r="FK71" s="1675"/>
      <c r="FL71" s="1675"/>
      <c r="FM71" s="1675"/>
      <c r="FN71" s="1675"/>
      <c r="FO71" s="1675"/>
      <c r="FP71" s="1675"/>
      <c r="FQ71" s="1675"/>
      <c r="FR71" s="1675"/>
      <c r="FS71" s="1675"/>
      <c r="FT71" s="1675"/>
      <c r="FU71" s="1675"/>
      <c r="FV71" s="1675"/>
      <c r="FW71" s="1675"/>
      <c r="FX71" s="1675"/>
      <c r="FY71" s="1675"/>
      <c r="FZ71" s="1676"/>
      <c r="GC71" s="1683"/>
      <c r="GD71" s="1684"/>
      <c r="GE71" s="1684"/>
      <c r="GF71" s="1684"/>
      <c r="GG71" s="1684"/>
      <c r="GH71" s="1684"/>
      <c r="GI71" s="1684"/>
      <c r="GJ71" s="1684"/>
      <c r="GK71" s="1684"/>
      <c r="GL71" s="1684"/>
      <c r="GM71" s="1684"/>
      <c r="GN71" s="1684"/>
      <c r="GO71" s="1684"/>
      <c r="GP71" s="1684"/>
      <c r="GQ71" s="1684"/>
      <c r="GR71" s="1684"/>
      <c r="GS71" s="1684"/>
      <c r="GT71" s="1684"/>
      <c r="GU71" s="1684"/>
      <c r="GV71" s="1684"/>
      <c r="GW71" s="1684"/>
      <c r="GX71" s="1684"/>
      <c r="GY71" s="1684"/>
      <c r="GZ71" s="1684"/>
      <c r="HA71" s="1684"/>
      <c r="HB71" s="1684"/>
      <c r="HC71" s="1684"/>
      <c r="HD71" s="1684"/>
      <c r="HE71" s="1684"/>
      <c r="HF71" s="1684"/>
      <c r="HG71" s="1684"/>
      <c r="HH71" s="1684"/>
      <c r="HI71" s="1684"/>
      <c r="HJ71" s="1685"/>
      <c r="HK71" s="238"/>
      <c r="HL71" s="415"/>
    </row>
    <row r="72" spans="2:220" ht="7.5" customHeight="1">
      <c r="B72" s="412"/>
      <c r="Y72" s="1521"/>
      <c r="Z72" s="1522"/>
      <c r="AA72" s="1522"/>
      <c r="AB72" s="1522"/>
      <c r="AC72" s="1522"/>
      <c r="AD72" s="1522"/>
      <c r="AE72" s="1522"/>
      <c r="AF72" s="1522"/>
      <c r="AG72" s="1522"/>
      <c r="AH72" s="1522"/>
      <c r="AI72" s="1522"/>
      <c r="AJ72" s="1522"/>
      <c r="AK72" s="1522"/>
      <c r="AL72" s="1522"/>
      <c r="AM72" s="1522"/>
      <c r="AN72" s="1522"/>
      <c r="AO72" s="1522"/>
      <c r="AP72" s="1522"/>
      <c r="AQ72" s="1522"/>
      <c r="AR72" s="1522"/>
      <c r="AS72" s="1522"/>
      <c r="AT72" s="1522"/>
      <c r="AU72" s="1522"/>
      <c r="AV72" s="1522"/>
      <c r="AW72" s="1522"/>
      <c r="AX72" s="1522"/>
      <c r="AY72" s="1522"/>
      <c r="AZ72" s="1522"/>
      <c r="BA72" s="1522"/>
      <c r="BB72" s="1522"/>
      <c r="BC72" s="1522"/>
      <c r="BD72" s="1522"/>
      <c r="BE72" s="1522"/>
      <c r="BF72" s="1522"/>
      <c r="BG72" s="1522"/>
      <c r="BH72" s="1522"/>
      <c r="BI72" s="1522"/>
      <c r="BJ72" s="1522"/>
      <c r="BK72" s="1522"/>
      <c r="BL72" s="1522"/>
      <c r="BM72" s="1522"/>
      <c r="BN72" s="1522"/>
      <c r="BO72" s="1522"/>
      <c r="BP72" s="1522"/>
      <c r="BQ72" s="1522"/>
      <c r="BR72" s="1522"/>
      <c r="BS72" s="1522"/>
      <c r="BT72" s="1522"/>
      <c r="BU72" s="1523"/>
      <c r="BV72" s="415"/>
      <c r="BW72" s="412"/>
      <c r="BX72" s="1691"/>
      <c r="BY72" s="1593"/>
      <c r="BZ72" s="1593"/>
      <c r="CA72" s="1593"/>
      <c r="CB72" s="1593"/>
      <c r="CC72" s="1593"/>
      <c r="CD72" s="1593"/>
      <c r="CE72" s="1593"/>
      <c r="CF72" s="1593"/>
      <c r="CG72" s="1692"/>
      <c r="CH72" s="1643"/>
      <c r="CI72" s="1644"/>
      <c r="CJ72" s="1644"/>
      <c r="CK72" s="1644"/>
      <c r="CL72" s="1644"/>
      <c r="CM72" s="1644"/>
      <c r="CN72" s="1644"/>
      <c r="CO72" s="1644"/>
      <c r="CP72" s="1644"/>
      <c r="CQ72" s="1644"/>
      <c r="CR72" s="1644"/>
      <c r="CS72" s="1644"/>
      <c r="CT72" s="1644"/>
      <c r="CU72" s="1644"/>
      <c r="CV72" s="1644"/>
      <c r="CW72" s="1644"/>
      <c r="CX72" s="1644"/>
      <c r="CY72" s="1644"/>
      <c r="CZ72" s="1644"/>
      <c r="DA72" s="1644"/>
      <c r="DB72" s="1644"/>
      <c r="DC72" s="1644"/>
      <c r="DD72" s="1644"/>
      <c r="DE72" s="1644"/>
      <c r="DF72" s="1644"/>
      <c r="DG72" s="1644"/>
      <c r="DH72" s="1644"/>
      <c r="DI72" s="1644"/>
      <c r="DJ72" s="1644"/>
      <c r="DK72" s="1644"/>
      <c r="DL72" s="1644"/>
      <c r="DM72" s="1644"/>
      <c r="DN72" s="1644"/>
      <c r="DO72" s="1644"/>
      <c r="DP72" s="1644"/>
      <c r="DQ72" s="1644"/>
      <c r="DR72" s="1644"/>
      <c r="DS72" s="1644"/>
      <c r="DT72" s="1644"/>
      <c r="DU72" s="1644"/>
      <c r="DV72" s="1644"/>
      <c r="DW72" s="1644"/>
      <c r="DX72" s="1644"/>
      <c r="DY72" s="1644"/>
      <c r="DZ72" s="1644"/>
      <c r="EA72" s="1644"/>
      <c r="EB72" s="1644"/>
      <c r="EC72" s="1644"/>
      <c r="ED72" s="1644"/>
      <c r="EE72" s="1644"/>
      <c r="EF72" s="1644"/>
      <c r="EG72" s="1644"/>
      <c r="EH72" s="1644"/>
      <c r="EI72" s="1644"/>
      <c r="EJ72" s="1644"/>
      <c r="EK72" s="1644"/>
      <c r="EL72" s="1644"/>
      <c r="EM72" s="1644"/>
      <c r="EN72" s="1644"/>
      <c r="EO72" s="1644"/>
      <c r="EP72" s="1645"/>
      <c r="EQ72" s="415"/>
      <c r="ER72" s="412"/>
      <c r="ES72" s="1674"/>
      <c r="ET72" s="1675"/>
      <c r="EU72" s="1675"/>
      <c r="EV72" s="1675"/>
      <c r="EW72" s="1675"/>
      <c r="EX72" s="1675"/>
      <c r="EY72" s="1675"/>
      <c r="EZ72" s="1675"/>
      <c r="FA72" s="1675"/>
      <c r="FB72" s="1675"/>
      <c r="FC72" s="1675"/>
      <c r="FD72" s="1675"/>
      <c r="FE72" s="1675"/>
      <c r="FF72" s="1675"/>
      <c r="FG72" s="1675"/>
      <c r="FH72" s="1675"/>
      <c r="FI72" s="1675"/>
      <c r="FJ72" s="1675"/>
      <c r="FK72" s="1675"/>
      <c r="FL72" s="1675"/>
      <c r="FM72" s="1675"/>
      <c r="FN72" s="1675"/>
      <c r="FO72" s="1675"/>
      <c r="FP72" s="1675"/>
      <c r="FQ72" s="1675"/>
      <c r="FR72" s="1675"/>
      <c r="FS72" s="1675"/>
      <c r="FT72" s="1675"/>
      <c r="FU72" s="1675"/>
      <c r="FV72" s="1675"/>
      <c r="FW72" s="1675"/>
      <c r="FX72" s="1675"/>
      <c r="FY72" s="1675"/>
      <c r="FZ72" s="1676"/>
      <c r="GC72" s="1686"/>
      <c r="GD72" s="1687"/>
      <c r="GE72" s="1687"/>
      <c r="GF72" s="1687"/>
      <c r="GG72" s="1687"/>
      <c r="GH72" s="1687"/>
      <c r="GI72" s="1687"/>
      <c r="GJ72" s="1687"/>
      <c r="GK72" s="1687"/>
      <c r="GL72" s="1687"/>
      <c r="GM72" s="1687"/>
      <c r="GN72" s="1687"/>
      <c r="GO72" s="1687"/>
      <c r="GP72" s="1687"/>
      <c r="GQ72" s="1687"/>
      <c r="GR72" s="1687"/>
      <c r="GS72" s="1687"/>
      <c r="GT72" s="1687"/>
      <c r="GU72" s="1687"/>
      <c r="GV72" s="1687"/>
      <c r="GW72" s="1687"/>
      <c r="GX72" s="1687"/>
      <c r="GY72" s="1687"/>
      <c r="GZ72" s="1687"/>
      <c r="HA72" s="1687"/>
      <c r="HB72" s="1687"/>
      <c r="HC72" s="1687"/>
      <c r="HD72" s="1687"/>
      <c r="HE72" s="1687"/>
      <c r="HF72" s="1687"/>
      <c r="HG72" s="1687"/>
      <c r="HH72" s="1687"/>
      <c r="HI72" s="1687"/>
      <c r="HJ72" s="1688"/>
      <c r="HK72" s="238"/>
      <c r="HL72" s="415"/>
    </row>
    <row r="73" spans="2:220" ht="7.5" customHeight="1">
      <c r="B73" s="412"/>
      <c r="D73" s="1696" t="s">
        <v>7425</v>
      </c>
      <c r="E73" s="1359"/>
      <c r="F73" s="1359"/>
      <c r="G73" s="1359"/>
      <c r="H73" s="1359"/>
      <c r="I73" s="1359"/>
      <c r="J73" s="1359"/>
      <c r="K73" s="1359"/>
      <c r="L73" s="1359"/>
      <c r="M73" s="1360"/>
      <c r="N73" s="1661"/>
      <c r="O73" s="1395"/>
      <c r="P73" s="1395"/>
      <c r="Q73" s="1395"/>
      <c r="R73" s="1395"/>
      <c r="S73" s="1395"/>
      <c r="T73" s="1402"/>
      <c r="Y73" s="1524"/>
      <c r="Z73" s="1525"/>
      <c r="AA73" s="1525"/>
      <c r="AB73" s="1525"/>
      <c r="AC73" s="1525"/>
      <c r="AD73" s="1525"/>
      <c r="AE73" s="1525"/>
      <c r="AF73" s="1525"/>
      <c r="AG73" s="1525"/>
      <c r="AH73" s="1525"/>
      <c r="AI73" s="1525"/>
      <c r="AJ73" s="1525"/>
      <c r="AK73" s="1525"/>
      <c r="AL73" s="1525"/>
      <c r="AM73" s="1525"/>
      <c r="AN73" s="1525"/>
      <c r="AO73" s="1525"/>
      <c r="AP73" s="1525"/>
      <c r="AQ73" s="1525"/>
      <c r="AR73" s="1525"/>
      <c r="AS73" s="1525"/>
      <c r="AT73" s="1525"/>
      <c r="AU73" s="1525"/>
      <c r="AV73" s="1525"/>
      <c r="AW73" s="1525"/>
      <c r="AX73" s="1525"/>
      <c r="AY73" s="1525"/>
      <c r="AZ73" s="1525"/>
      <c r="BA73" s="1525"/>
      <c r="BB73" s="1525"/>
      <c r="BC73" s="1525"/>
      <c r="BD73" s="1525"/>
      <c r="BE73" s="1525"/>
      <c r="BF73" s="1525"/>
      <c r="BG73" s="1525"/>
      <c r="BH73" s="1525"/>
      <c r="BI73" s="1525"/>
      <c r="BJ73" s="1525"/>
      <c r="BK73" s="1525"/>
      <c r="BL73" s="1525"/>
      <c r="BM73" s="1525"/>
      <c r="BN73" s="1525"/>
      <c r="BO73" s="1525"/>
      <c r="BP73" s="1525"/>
      <c r="BQ73" s="1525"/>
      <c r="BR73" s="1525"/>
      <c r="BS73" s="1525"/>
      <c r="BT73" s="1525"/>
      <c r="BU73" s="1526"/>
      <c r="BV73" s="415"/>
      <c r="BW73" s="412"/>
      <c r="BX73" s="1691"/>
      <c r="BY73" s="1593"/>
      <c r="BZ73" s="1593"/>
      <c r="CA73" s="1593"/>
      <c r="CB73" s="1593"/>
      <c r="CC73" s="1593"/>
      <c r="CD73" s="1593"/>
      <c r="CE73" s="1593"/>
      <c r="CF73" s="1593"/>
      <c r="CG73" s="1692"/>
      <c r="CH73" s="1643"/>
      <c r="CI73" s="1644"/>
      <c r="CJ73" s="1644"/>
      <c r="CK73" s="1644"/>
      <c r="CL73" s="1644"/>
      <c r="CM73" s="1644"/>
      <c r="CN73" s="1644"/>
      <c r="CO73" s="1644"/>
      <c r="CP73" s="1644"/>
      <c r="CQ73" s="1644"/>
      <c r="CR73" s="1644"/>
      <c r="CS73" s="1644"/>
      <c r="CT73" s="1644"/>
      <c r="CU73" s="1644"/>
      <c r="CV73" s="1644"/>
      <c r="CW73" s="1644"/>
      <c r="CX73" s="1644"/>
      <c r="CY73" s="1644"/>
      <c r="CZ73" s="1644"/>
      <c r="DA73" s="1644"/>
      <c r="DB73" s="1644"/>
      <c r="DC73" s="1644"/>
      <c r="DD73" s="1644"/>
      <c r="DE73" s="1644"/>
      <c r="DF73" s="1644"/>
      <c r="DG73" s="1644"/>
      <c r="DH73" s="1644"/>
      <c r="DI73" s="1644"/>
      <c r="DJ73" s="1644"/>
      <c r="DK73" s="1644"/>
      <c r="DL73" s="1644"/>
      <c r="DM73" s="1644"/>
      <c r="DN73" s="1644"/>
      <c r="DO73" s="1644"/>
      <c r="DP73" s="1644"/>
      <c r="DQ73" s="1644"/>
      <c r="DR73" s="1644"/>
      <c r="DS73" s="1644"/>
      <c r="DT73" s="1644"/>
      <c r="DU73" s="1644"/>
      <c r="DV73" s="1644"/>
      <c r="DW73" s="1644"/>
      <c r="DX73" s="1644"/>
      <c r="DY73" s="1644"/>
      <c r="DZ73" s="1644"/>
      <c r="EA73" s="1644"/>
      <c r="EB73" s="1644"/>
      <c r="EC73" s="1644"/>
      <c r="ED73" s="1644"/>
      <c r="EE73" s="1644"/>
      <c r="EF73" s="1644"/>
      <c r="EG73" s="1644"/>
      <c r="EH73" s="1644"/>
      <c r="EI73" s="1644"/>
      <c r="EJ73" s="1644"/>
      <c r="EK73" s="1644"/>
      <c r="EL73" s="1644"/>
      <c r="EM73" s="1644"/>
      <c r="EN73" s="1644"/>
      <c r="EO73" s="1644"/>
      <c r="EP73" s="1645"/>
      <c r="EQ73" s="415"/>
      <c r="ER73" s="412"/>
      <c r="ES73" s="1677"/>
      <c r="ET73" s="1678"/>
      <c r="EU73" s="1678"/>
      <c r="EV73" s="1678"/>
      <c r="EW73" s="1678"/>
      <c r="EX73" s="1678"/>
      <c r="EY73" s="1678"/>
      <c r="EZ73" s="1678"/>
      <c r="FA73" s="1678"/>
      <c r="FB73" s="1678"/>
      <c r="FC73" s="1678"/>
      <c r="FD73" s="1678"/>
      <c r="FE73" s="1678"/>
      <c r="FF73" s="1678"/>
      <c r="FG73" s="1678"/>
      <c r="FH73" s="1678"/>
      <c r="FI73" s="1678"/>
      <c r="FJ73" s="1678"/>
      <c r="FK73" s="1678"/>
      <c r="FL73" s="1678"/>
      <c r="FM73" s="1678"/>
      <c r="FN73" s="1678"/>
      <c r="FO73" s="1678"/>
      <c r="FP73" s="1678"/>
      <c r="FQ73" s="1678"/>
      <c r="FR73" s="1678"/>
      <c r="FS73" s="1678"/>
      <c r="FT73" s="1678"/>
      <c r="FU73" s="1678"/>
      <c r="FV73" s="1678"/>
      <c r="FW73" s="1678"/>
      <c r="FX73" s="1678"/>
      <c r="FY73" s="1678"/>
      <c r="FZ73" s="1679"/>
      <c r="GD73" s="238"/>
      <c r="GE73" s="238"/>
      <c r="GF73" s="238"/>
      <c r="GG73" s="238"/>
      <c r="GH73" s="238"/>
      <c r="GI73" s="238"/>
      <c r="GJ73" s="238"/>
      <c r="GK73" s="238"/>
      <c r="GL73" s="238"/>
      <c r="GM73" s="238"/>
      <c r="GN73" s="238"/>
      <c r="GO73" s="238"/>
      <c r="GP73" s="238"/>
      <c r="GQ73" s="238"/>
      <c r="GR73" s="238"/>
      <c r="GS73" s="238"/>
      <c r="GT73" s="238"/>
      <c r="GU73" s="238"/>
      <c r="GV73" s="238"/>
      <c r="GW73" s="238"/>
      <c r="GX73" s="238"/>
      <c r="GY73" s="238"/>
      <c r="GZ73" s="238"/>
      <c r="HA73" s="238"/>
      <c r="HB73" s="238"/>
      <c r="HC73" s="238"/>
      <c r="HD73" s="238"/>
      <c r="HE73" s="238"/>
      <c r="HF73" s="238"/>
      <c r="HG73" s="238"/>
      <c r="HH73" s="238"/>
      <c r="HI73" s="238"/>
      <c r="HJ73" s="238"/>
      <c r="HK73" s="238"/>
      <c r="HL73" s="415"/>
    </row>
    <row r="74" spans="2:220" ht="7.5" customHeight="1">
      <c r="B74" s="412"/>
      <c r="D74" s="1359"/>
      <c r="E74" s="1359"/>
      <c r="F74" s="1359"/>
      <c r="G74" s="1359"/>
      <c r="H74" s="1359"/>
      <c r="I74" s="1359"/>
      <c r="J74" s="1359"/>
      <c r="K74" s="1359"/>
      <c r="L74" s="1359"/>
      <c r="M74" s="1360"/>
      <c r="N74" s="1411"/>
      <c r="O74" s="1384"/>
      <c r="P74" s="1384"/>
      <c r="Q74" s="1384"/>
      <c r="R74" s="1384"/>
      <c r="S74" s="1384"/>
      <c r="T74" s="1412"/>
      <c r="Y74" s="1383" t="s">
        <v>7426</v>
      </c>
      <c r="Z74" s="1384"/>
      <c r="AA74" s="1384"/>
      <c r="AB74" s="1384"/>
      <c r="AC74" s="1384"/>
      <c r="AD74" s="1384"/>
      <c r="AE74" s="1384"/>
      <c r="AF74" s="1384"/>
      <c r="AG74" s="1384"/>
      <c r="AH74" s="1384"/>
      <c r="AI74" s="1384"/>
      <c r="AJ74" s="1384"/>
      <c r="AK74" s="1384"/>
      <c r="AL74" s="1384"/>
      <c r="AM74" s="1384"/>
      <c r="AN74" s="1384"/>
      <c r="AO74" s="1384"/>
      <c r="AP74" s="1384"/>
      <c r="AQ74" s="1384"/>
      <c r="AR74" s="1384"/>
      <c r="AS74" s="1384"/>
      <c r="AT74" s="1384"/>
      <c r="AU74" s="1384"/>
      <c r="AV74" s="1384"/>
      <c r="AW74" s="1384"/>
      <c r="AX74" s="1384"/>
      <c r="AY74" s="1384"/>
      <c r="AZ74" s="1384"/>
      <c r="BA74" s="1384"/>
      <c r="BB74" s="1384"/>
      <c r="BC74" s="1384"/>
      <c r="BD74" s="1384"/>
      <c r="BE74" s="1384"/>
      <c r="BF74" s="1384"/>
      <c r="BG74" s="1384"/>
      <c r="BH74" s="1384"/>
      <c r="BI74" s="1384"/>
      <c r="BJ74" s="1384"/>
      <c r="BK74" s="1384"/>
      <c r="BL74" s="1384"/>
      <c r="BM74" s="1384"/>
      <c r="BN74" s="1384"/>
      <c r="BO74" s="1384"/>
      <c r="BP74" s="1384"/>
      <c r="BQ74" s="1384"/>
      <c r="BR74" s="1384"/>
      <c r="BS74" s="1384"/>
      <c r="BT74" s="1384"/>
      <c r="BU74" s="1384"/>
      <c r="BV74" s="415"/>
      <c r="BW74" s="412"/>
      <c r="BX74" s="1693"/>
      <c r="BY74" s="1694"/>
      <c r="BZ74" s="1694"/>
      <c r="CA74" s="1694"/>
      <c r="CB74" s="1694"/>
      <c r="CC74" s="1694"/>
      <c r="CD74" s="1694"/>
      <c r="CE74" s="1694"/>
      <c r="CF74" s="1694"/>
      <c r="CG74" s="1695"/>
      <c r="CH74" s="1535"/>
      <c r="CI74" s="1536"/>
      <c r="CJ74" s="1536"/>
      <c r="CK74" s="1536"/>
      <c r="CL74" s="1536"/>
      <c r="CM74" s="1536"/>
      <c r="CN74" s="1536"/>
      <c r="CO74" s="1536"/>
      <c r="CP74" s="1536"/>
      <c r="CQ74" s="1536"/>
      <c r="CR74" s="1536"/>
      <c r="CS74" s="1536"/>
      <c r="CT74" s="1536"/>
      <c r="CU74" s="1536"/>
      <c r="CV74" s="1536"/>
      <c r="CW74" s="1536"/>
      <c r="CX74" s="1536"/>
      <c r="CY74" s="1536"/>
      <c r="CZ74" s="1536"/>
      <c r="DA74" s="1536"/>
      <c r="DB74" s="1536"/>
      <c r="DC74" s="1536"/>
      <c r="DD74" s="1536"/>
      <c r="DE74" s="1536"/>
      <c r="DF74" s="1536"/>
      <c r="DG74" s="1536"/>
      <c r="DH74" s="1536"/>
      <c r="DI74" s="1536"/>
      <c r="DJ74" s="1536"/>
      <c r="DK74" s="1536"/>
      <c r="DL74" s="1536"/>
      <c r="DM74" s="1536"/>
      <c r="DN74" s="1536"/>
      <c r="DO74" s="1536"/>
      <c r="DP74" s="1536"/>
      <c r="DQ74" s="1536"/>
      <c r="DR74" s="1536"/>
      <c r="DS74" s="1536"/>
      <c r="DT74" s="1536"/>
      <c r="DU74" s="1536"/>
      <c r="DV74" s="1536"/>
      <c r="DW74" s="1536"/>
      <c r="DX74" s="1536"/>
      <c r="DY74" s="1536"/>
      <c r="DZ74" s="1536"/>
      <c r="EA74" s="1536"/>
      <c r="EB74" s="1536"/>
      <c r="EC74" s="1536"/>
      <c r="ED74" s="1536"/>
      <c r="EE74" s="1536"/>
      <c r="EF74" s="1536"/>
      <c r="EG74" s="1536"/>
      <c r="EH74" s="1536"/>
      <c r="EI74" s="1536"/>
      <c r="EJ74" s="1536"/>
      <c r="EK74" s="1536"/>
      <c r="EL74" s="1536"/>
      <c r="EM74" s="1536"/>
      <c r="EN74" s="1536"/>
      <c r="EO74" s="1536"/>
      <c r="EP74" s="1537"/>
      <c r="EQ74" s="415"/>
      <c r="ER74" s="412"/>
      <c r="GD74" s="238"/>
      <c r="GE74" s="238"/>
      <c r="GF74" s="238"/>
      <c r="GG74" s="238"/>
      <c r="GH74" s="238"/>
      <c r="GI74" s="238"/>
      <c r="GJ74" s="238"/>
      <c r="GK74" s="238"/>
      <c r="GL74" s="238"/>
      <c r="GM74" s="238"/>
      <c r="GN74" s="238"/>
      <c r="GO74" s="238"/>
      <c r="GP74" s="238"/>
      <c r="GQ74" s="238"/>
      <c r="GR74" s="238"/>
      <c r="GS74" s="238"/>
      <c r="GT74" s="238"/>
      <c r="GU74" s="238"/>
      <c r="GV74" s="238"/>
      <c r="GW74" s="238"/>
      <c r="GX74" s="238"/>
      <c r="GY74" s="238"/>
      <c r="GZ74" s="238"/>
      <c r="HA74" s="238"/>
      <c r="HB74" s="238"/>
      <c r="HC74" s="238"/>
      <c r="HD74" s="238"/>
      <c r="HE74" s="238"/>
      <c r="HF74" s="238"/>
      <c r="HG74" s="238"/>
      <c r="HH74" s="238"/>
      <c r="HI74" s="238"/>
      <c r="HJ74" s="238"/>
      <c r="HK74" s="238"/>
      <c r="HL74" s="415"/>
    </row>
    <row r="75" spans="2:220" ht="7.5" customHeight="1" thickBot="1">
      <c r="B75" s="412"/>
      <c r="D75" s="1359"/>
      <c r="E75" s="1359"/>
      <c r="F75" s="1359"/>
      <c r="G75" s="1359"/>
      <c r="H75" s="1359"/>
      <c r="I75" s="1359"/>
      <c r="J75" s="1359"/>
      <c r="K75" s="1359"/>
      <c r="L75" s="1359"/>
      <c r="M75" s="1360"/>
      <c r="N75" s="1396"/>
      <c r="O75" s="1385"/>
      <c r="P75" s="1385"/>
      <c r="Q75" s="1385"/>
      <c r="R75" s="1385"/>
      <c r="S75" s="1385"/>
      <c r="T75" s="1403"/>
      <c r="Y75" s="1385"/>
      <c r="Z75" s="1385"/>
      <c r="AA75" s="1385"/>
      <c r="AB75" s="1385"/>
      <c r="AC75" s="1385"/>
      <c r="AD75" s="1385"/>
      <c r="AE75" s="1385"/>
      <c r="AF75" s="1385"/>
      <c r="AG75" s="1385"/>
      <c r="AH75" s="1385"/>
      <c r="AI75" s="1385"/>
      <c r="AJ75" s="1385"/>
      <c r="AK75" s="1385"/>
      <c r="AL75" s="1385"/>
      <c r="AM75" s="1385"/>
      <c r="AN75" s="1385"/>
      <c r="AO75" s="1385"/>
      <c r="AP75" s="1385"/>
      <c r="AQ75" s="1385"/>
      <c r="AR75" s="1385"/>
      <c r="AS75" s="1385"/>
      <c r="AT75" s="1385"/>
      <c r="AU75" s="1385"/>
      <c r="AV75" s="1385"/>
      <c r="AW75" s="1385"/>
      <c r="AX75" s="1385"/>
      <c r="AY75" s="1385"/>
      <c r="AZ75" s="1385"/>
      <c r="BA75" s="1385"/>
      <c r="BB75" s="1385"/>
      <c r="BC75" s="1385"/>
      <c r="BD75" s="1385"/>
      <c r="BE75" s="1385"/>
      <c r="BF75" s="1385"/>
      <c r="BG75" s="1385"/>
      <c r="BH75" s="1385"/>
      <c r="BI75" s="1385"/>
      <c r="BJ75" s="1385"/>
      <c r="BK75" s="1385"/>
      <c r="BL75" s="1385"/>
      <c r="BM75" s="1385"/>
      <c r="BN75" s="1385"/>
      <c r="BO75" s="1385"/>
      <c r="BP75" s="1385"/>
      <c r="BQ75" s="1385"/>
      <c r="BR75" s="1385"/>
      <c r="BS75" s="1385"/>
      <c r="BT75" s="1385"/>
      <c r="BU75" s="1385"/>
      <c r="BV75" s="415"/>
      <c r="BW75" s="412"/>
      <c r="EQ75" s="415"/>
      <c r="ER75" s="412"/>
      <c r="GD75" s="238"/>
      <c r="GE75" s="238"/>
      <c r="GF75" s="238"/>
      <c r="GG75" s="238"/>
      <c r="GH75" s="238"/>
      <c r="GI75" s="238"/>
      <c r="GJ75" s="238"/>
      <c r="GK75" s="238"/>
      <c r="GL75" s="238"/>
      <c r="GM75" s="238"/>
      <c r="GN75" s="238"/>
      <c r="GO75" s="238"/>
      <c r="GP75" s="238"/>
      <c r="GQ75" s="238"/>
      <c r="GR75" s="238"/>
      <c r="GS75" s="238"/>
      <c r="GT75" s="238"/>
      <c r="GU75" s="238"/>
      <c r="GV75" s="238"/>
      <c r="GW75" s="238"/>
      <c r="GX75" s="238"/>
      <c r="GY75" s="238"/>
      <c r="GZ75" s="238"/>
      <c r="HA75" s="238"/>
      <c r="HB75" s="238"/>
      <c r="HC75" s="238"/>
      <c r="HD75" s="238"/>
      <c r="HE75" s="238"/>
      <c r="HF75" s="238"/>
      <c r="HG75" s="238"/>
      <c r="HH75" s="238"/>
      <c r="HI75" s="238"/>
      <c r="HJ75" s="238"/>
      <c r="HK75" s="238"/>
      <c r="HL75" s="415"/>
    </row>
    <row r="76" spans="2:220" ht="7.5" customHeight="1">
      <c r="B76" s="412"/>
      <c r="D76" s="31"/>
      <c r="E76" s="31"/>
      <c r="F76" s="31"/>
      <c r="G76" s="31"/>
      <c r="H76" s="31"/>
      <c r="I76" s="31"/>
      <c r="J76" s="31"/>
      <c r="K76" s="31"/>
      <c r="L76" s="31"/>
      <c r="M76" s="31"/>
      <c r="N76" s="445"/>
      <c r="O76" s="445"/>
      <c r="P76" s="445"/>
      <c r="Q76" s="445"/>
      <c r="R76" s="445"/>
      <c r="S76" s="445"/>
      <c r="T76" s="445"/>
      <c r="Y76" s="1655"/>
      <c r="Z76" s="1662"/>
      <c r="AA76" s="1662"/>
      <c r="AB76" s="1662"/>
      <c r="AC76" s="1662"/>
      <c r="AD76" s="1662"/>
      <c r="AE76" s="1662"/>
      <c r="AF76" s="1662"/>
      <c r="AG76" s="1662"/>
      <c r="AH76" s="1662"/>
      <c r="AI76" s="1662"/>
      <c r="AJ76" s="1662"/>
      <c r="AK76" s="1662"/>
      <c r="AL76" s="1662"/>
      <c r="AM76" s="1662"/>
      <c r="AN76" s="1662"/>
      <c r="AO76" s="1662"/>
      <c r="AP76" s="1662"/>
      <c r="AQ76" s="1662"/>
      <c r="AR76" s="1662"/>
      <c r="AS76" s="1662"/>
      <c r="AT76" s="1662"/>
      <c r="AU76" s="1662"/>
      <c r="AV76" s="1662"/>
      <c r="AW76" s="1662"/>
      <c r="AX76" s="1662"/>
      <c r="AY76" s="1662"/>
      <c r="AZ76" s="1662"/>
      <c r="BA76" s="1662"/>
      <c r="BB76" s="1662"/>
      <c r="BC76" s="1662"/>
      <c r="BD76" s="1662"/>
      <c r="BE76" s="1662"/>
      <c r="BF76" s="1662"/>
      <c r="BG76" s="1662"/>
      <c r="BH76" s="1662"/>
      <c r="BI76" s="1662"/>
      <c r="BJ76" s="1662"/>
      <c r="BK76" s="1662"/>
      <c r="BL76" s="1662"/>
      <c r="BM76" s="1662"/>
      <c r="BN76" s="1662"/>
      <c r="BO76" s="1662"/>
      <c r="BP76" s="1662"/>
      <c r="BQ76" s="1662"/>
      <c r="BR76" s="1662"/>
      <c r="BS76" s="1662"/>
      <c r="BT76" s="1662"/>
      <c r="BU76" s="1663"/>
      <c r="BV76" s="415"/>
      <c r="BW76" s="412"/>
      <c r="BX76" s="1641" t="s">
        <v>6599</v>
      </c>
      <c r="BY76" s="1395"/>
      <c r="BZ76" s="1395"/>
      <c r="CA76" s="1395"/>
      <c r="CB76" s="1395"/>
      <c r="CC76" s="1395"/>
      <c r="CD76" s="1395"/>
      <c r="CE76" s="1395"/>
      <c r="CF76" s="1395"/>
      <c r="CG76" s="1402"/>
      <c r="CH76" s="1642"/>
      <c r="CI76" s="1533"/>
      <c r="CJ76" s="1533"/>
      <c r="CK76" s="1533"/>
      <c r="CL76" s="1533"/>
      <c r="CM76" s="1533"/>
      <c r="CN76" s="1533"/>
      <c r="CO76" s="1533"/>
      <c r="CP76" s="1533"/>
      <c r="CQ76" s="1533"/>
      <c r="CR76" s="1533"/>
      <c r="CS76" s="1533"/>
      <c r="CT76" s="1533"/>
      <c r="CU76" s="1533"/>
      <c r="CV76" s="1533"/>
      <c r="CW76" s="1533"/>
      <c r="CX76" s="1533"/>
      <c r="CY76" s="1533"/>
      <c r="CZ76" s="1533"/>
      <c r="DA76" s="1533"/>
      <c r="DB76" s="1533"/>
      <c r="DC76" s="1533"/>
      <c r="DD76" s="1533"/>
      <c r="DE76" s="1533"/>
      <c r="DF76" s="1533"/>
      <c r="DG76" s="1533"/>
      <c r="DH76" s="1533"/>
      <c r="DI76" s="1533"/>
      <c r="DJ76" s="1533"/>
      <c r="DK76" s="1533"/>
      <c r="DL76" s="1533"/>
      <c r="DM76" s="1533"/>
      <c r="DN76" s="1533"/>
      <c r="DO76" s="1533"/>
      <c r="DP76" s="1533"/>
      <c r="DQ76" s="1533"/>
      <c r="DR76" s="1533"/>
      <c r="DS76" s="1533"/>
      <c r="DT76" s="1533"/>
      <c r="DU76" s="1533"/>
      <c r="DV76" s="1533"/>
      <c r="DW76" s="1533"/>
      <c r="DX76" s="1533"/>
      <c r="DY76" s="1533"/>
      <c r="DZ76" s="1533"/>
      <c r="EA76" s="1533"/>
      <c r="EB76" s="1533"/>
      <c r="EC76" s="1533"/>
      <c r="ED76" s="1533"/>
      <c r="EE76" s="1533"/>
      <c r="EF76" s="1533"/>
      <c r="EG76" s="1533"/>
      <c r="EH76" s="1533"/>
      <c r="EI76" s="1533"/>
      <c r="EJ76" s="1533"/>
      <c r="EK76" s="1533"/>
      <c r="EL76" s="1533"/>
      <c r="EM76" s="1533"/>
      <c r="EN76" s="1533"/>
      <c r="EO76" s="1533"/>
      <c r="EP76" s="1534"/>
      <c r="EQ76" s="415"/>
      <c r="ER76" s="412"/>
      <c r="ES76" s="1407" t="s">
        <v>6709</v>
      </c>
      <c r="ET76" s="1395"/>
      <c r="EU76" s="1395"/>
      <c r="EV76" s="1395"/>
      <c r="EW76" s="1395"/>
      <c r="EX76" s="1395"/>
      <c r="EY76" s="1395"/>
      <c r="EZ76" s="1395"/>
      <c r="FA76" s="1395"/>
      <c r="FB76" s="1395"/>
      <c r="FC76" s="1395"/>
      <c r="FD76" s="1395"/>
      <c r="FE76" s="1395"/>
      <c r="FF76" s="1395"/>
      <c r="FG76" s="1395"/>
      <c r="FH76" s="1395"/>
      <c r="FI76" s="1395"/>
      <c r="FJ76" s="1395"/>
      <c r="FK76" s="1395"/>
      <c r="FL76" s="1395"/>
      <c r="FM76" s="1395"/>
      <c r="FN76" s="1395"/>
      <c r="FO76" s="1395"/>
      <c r="FP76" s="1395"/>
      <c r="FQ76" s="1395"/>
      <c r="FR76" s="1395"/>
      <c r="FS76" s="1395"/>
      <c r="FT76" s="1395"/>
      <c r="FU76" s="1395"/>
      <c r="FV76" s="1395"/>
      <c r="FW76" s="1395"/>
      <c r="FX76" s="1395"/>
      <c r="FY76" s="1395"/>
      <c r="FZ76" s="1402"/>
      <c r="GA76" s="231"/>
      <c r="GB76" s="231"/>
      <c r="GC76" s="1697" t="s">
        <v>7427</v>
      </c>
      <c r="GD76" s="1698"/>
      <c r="GE76" s="1698"/>
      <c r="GF76" s="1698"/>
      <c r="GG76" s="1698"/>
      <c r="GH76" s="1698"/>
      <c r="GI76" s="1698"/>
      <c r="GJ76" s="1698"/>
      <c r="GK76" s="1698"/>
      <c r="GL76" s="1698"/>
      <c r="GM76" s="1698"/>
      <c r="GN76" s="1698"/>
      <c r="GO76" s="1698"/>
      <c r="GP76" s="1698"/>
      <c r="GQ76" s="1698"/>
      <c r="GR76" s="1698"/>
      <c r="GS76" s="1698"/>
      <c r="GT76" s="1698"/>
      <c r="GU76" s="1698"/>
      <c r="GV76" s="1698"/>
      <c r="GW76" s="1698"/>
      <c r="GX76" s="1698"/>
      <c r="GY76" s="1698"/>
      <c r="GZ76" s="1698"/>
      <c r="HA76" s="1698"/>
      <c r="HB76" s="1698"/>
      <c r="HC76" s="1698"/>
      <c r="HD76" s="1698"/>
      <c r="HE76" s="1698"/>
      <c r="HF76" s="1698"/>
      <c r="HG76" s="1698"/>
      <c r="HH76" s="1698"/>
      <c r="HI76" s="1698"/>
      <c r="HJ76" s="1699"/>
      <c r="HL76" s="415"/>
    </row>
    <row r="77" spans="2:220" ht="7.5" customHeight="1" thickBot="1">
      <c r="B77" s="412"/>
      <c r="C77" s="1383" t="s">
        <v>7428</v>
      </c>
      <c r="D77" s="1384"/>
      <c r="E77" s="1384"/>
      <c r="F77" s="1384"/>
      <c r="G77" s="1384"/>
      <c r="H77" s="1384"/>
      <c r="I77" s="1384"/>
      <c r="J77" s="1384"/>
      <c r="K77" s="1384"/>
      <c r="L77" s="1384"/>
      <c r="M77" s="1384"/>
      <c r="N77" s="1384"/>
      <c r="O77" s="1384"/>
      <c r="P77" s="1384"/>
      <c r="Q77" s="1384"/>
      <c r="R77" s="1384"/>
      <c r="S77" s="1384"/>
      <c r="T77" s="1384"/>
      <c r="U77" s="1384"/>
      <c r="V77" s="1384"/>
      <c r="W77" s="1384"/>
      <c r="Y77" s="1664"/>
      <c r="Z77" s="1665"/>
      <c r="AA77" s="1665"/>
      <c r="AB77" s="1665"/>
      <c r="AC77" s="1665"/>
      <c r="AD77" s="1665"/>
      <c r="AE77" s="1665"/>
      <c r="AF77" s="1665"/>
      <c r="AG77" s="1665"/>
      <c r="AH77" s="1665"/>
      <c r="AI77" s="1665"/>
      <c r="AJ77" s="1665"/>
      <c r="AK77" s="1665"/>
      <c r="AL77" s="1665"/>
      <c r="AM77" s="1665"/>
      <c r="AN77" s="1665"/>
      <c r="AO77" s="1665"/>
      <c r="AP77" s="1665"/>
      <c r="AQ77" s="1665"/>
      <c r="AR77" s="1665"/>
      <c r="AS77" s="1665"/>
      <c r="AT77" s="1665"/>
      <c r="AU77" s="1665"/>
      <c r="AV77" s="1665"/>
      <c r="AW77" s="1665"/>
      <c r="AX77" s="1665"/>
      <c r="AY77" s="1665"/>
      <c r="AZ77" s="1665"/>
      <c r="BA77" s="1665"/>
      <c r="BB77" s="1665"/>
      <c r="BC77" s="1665"/>
      <c r="BD77" s="1665"/>
      <c r="BE77" s="1665"/>
      <c r="BF77" s="1665"/>
      <c r="BG77" s="1665"/>
      <c r="BH77" s="1665"/>
      <c r="BI77" s="1665"/>
      <c r="BJ77" s="1665"/>
      <c r="BK77" s="1665"/>
      <c r="BL77" s="1665"/>
      <c r="BM77" s="1665"/>
      <c r="BN77" s="1665"/>
      <c r="BO77" s="1665"/>
      <c r="BP77" s="1665"/>
      <c r="BQ77" s="1665"/>
      <c r="BR77" s="1665"/>
      <c r="BS77" s="1665"/>
      <c r="BT77" s="1665"/>
      <c r="BU77" s="1666"/>
      <c r="BV77" s="415"/>
      <c r="BW77" s="412"/>
      <c r="BX77" s="1411"/>
      <c r="BY77" s="1384"/>
      <c r="BZ77" s="1384"/>
      <c r="CA77" s="1384"/>
      <c r="CB77" s="1384"/>
      <c r="CC77" s="1384"/>
      <c r="CD77" s="1384"/>
      <c r="CE77" s="1384"/>
      <c r="CF77" s="1384"/>
      <c r="CG77" s="1412"/>
      <c r="CH77" s="1643"/>
      <c r="CI77" s="1644"/>
      <c r="CJ77" s="1644"/>
      <c r="CK77" s="1644"/>
      <c r="CL77" s="1644"/>
      <c r="CM77" s="1644"/>
      <c r="CN77" s="1644"/>
      <c r="CO77" s="1644"/>
      <c r="CP77" s="1644"/>
      <c r="CQ77" s="1644"/>
      <c r="CR77" s="1644"/>
      <c r="CS77" s="1644"/>
      <c r="CT77" s="1644"/>
      <c r="CU77" s="1644"/>
      <c r="CV77" s="1644"/>
      <c r="CW77" s="1644"/>
      <c r="CX77" s="1644"/>
      <c r="CY77" s="1644"/>
      <c r="CZ77" s="1644"/>
      <c r="DA77" s="1644"/>
      <c r="DB77" s="1644"/>
      <c r="DC77" s="1644"/>
      <c r="DD77" s="1644"/>
      <c r="DE77" s="1644"/>
      <c r="DF77" s="1644"/>
      <c r="DG77" s="1644"/>
      <c r="DH77" s="1644"/>
      <c r="DI77" s="1644"/>
      <c r="DJ77" s="1644"/>
      <c r="DK77" s="1644"/>
      <c r="DL77" s="1644"/>
      <c r="DM77" s="1644"/>
      <c r="DN77" s="1644"/>
      <c r="DO77" s="1644"/>
      <c r="DP77" s="1644"/>
      <c r="DQ77" s="1644"/>
      <c r="DR77" s="1644"/>
      <c r="DS77" s="1644"/>
      <c r="DT77" s="1644"/>
      <c r="DU77" s="1644"/>
      <c r="DV77" s="1644"/>
      <c r="DW77" s="1644"/>
      <c r="DX77" s="1644"/>
      <c r="DY77" s="1644"/>
      <c r="DZ77" s="1644"/>
      <c r="EA77" s="1644"/>
      <c r="EB77" s="1644"/>
      <c r="EC77" s="1644"/>
      <c r="ED77" s="1644"/>
      <c r="EE77" s="1644"/>
      <c r="EF77" s="1644"/>
      <c r="EG77" s="1644"/>
      <c r="EH77" s="1644"/>
      <c r="EI77" s="1644"/>
      <c r="EJ77" s="1644"/>
      <c r="EK77" s="1644"/>
      <c r="EL77" s="1644"/>
      <c r="EM77" s="1644"/>
      <c r="EN77" s="1644"/>
      <c r="EO77" s="1644"/>
      <c r="EP77" s="1645"/>
      <c r="EQ77" s="415"/>
      <c r="ER77" s="412"/>
      <c r="ES77" s="1411"/>
      <c r="ET77" s="1384"/>
      <c r="EU77" s="1384"/>
      <c r="EV77" s="1384"/>
      <c r="EW77" s="1384"/>
      <c r="EX77" s="1384"/>
      <c r="EY77" s="1384"/>
      <c r="EZ77" s="1384"/>
      <c r="FA77" s="1384"/>
      <c r="FB77" s="1384"/>
      <c r="FC77" s="1384"/>
      <c r="FD77" s="1384"/>
      <c r="FE77" s="1384"/>
      <c r="FF77" s="1384"/>
      <c r="FG77" s="1384"/>
      <c r="FH77" s="1384"/>
      <c r="FI77" s="1384"/>
      <c r="FJ77" s="1384"/>
      <c r="FK77" s="1384"/>
      <c r="FL77" s="1384"/>
      <c r="FM77" s="1384"/>
      <c r="FN77" s="1384"/>
      <c r="FO77" s="1384"/>
      <c r="FP77" s="1384"/>
      <c r="FQ77" s="1384"/>
      <c r="FR77" s="1384"/>
      <c r="FS77" s="1384"/>
      <c r="FT77" s="1384"/>
      <c r="FU77" s="1384"/>
      <c r="FV77" s="1384"/>
      <c r="FW77" s="1384"/>
      <c r="FX77" s="1384"/>
      <c r="FY77" s="1384"/>
      <c r="FZ77" s="1412"/>
      <c r="GA77" s="231"/>
      <c r="GB77" s="231"/>
      <c r="GC77" s="1700"/>
      <c r="GD77" s="1701"/>
      <c r="GE77" s="1701"/>
      <c r="GF77" s="1701"/>
      <c r="GG77" s="1701"/>
      <c r="GH77" s="1701"/>
      <c r="GI77" s="1701"/>
      <c r="GJ77" s="1701"/>
      <c r="GK77" s="1701"/>
      <c r="GL77" s="1701"/>
      <c r="GM77" s="1701"/>
      <c r="GN77" s="1701"/>
      <c r="GO77" s="1701"/>
      <c r="GP77" s="1701"/>
      <c r="GQ77" s="1701"/>
      <c r="GR77" s="1701"/>
      <c r="GS77" s="1701"/>
      <c r="GT77" s="1701"/>
      <c r="GU77" s="1701"/>
      <c r="GV77" s="1701"/>
      <c r="GW77" s="1701"/>
      <c r="GX77" s="1701"/>
      <c r="GY77" s="1701"/>
      <c r="GZ77" s="1701"/>
      <c r="HA77" s="1701"/>
      <c r="HB77" s="1701"/>
      <c r="HC77" s="1701"/>
      <c r="HD77" s="1701"/>
      <c r="HE77" s="1701"/>
      <c r="HF77" s="1701"/>
      <c r="HG77" s="1701"/>
      <c r="HH77" s="1701"/>
      <c r="HI77" s="1701"/>
      <c r="HJ77" s="1702"/>
      <c r="HL77" s="415"/>
    </row>
    <row r="78" spans="2:220" ht="7.5" customHeight="1" thickBot="1">
      <c r="B78" s="412"/>
      <c r="C78" s="1384"/>
      <c r="D78" s="1384"/>
      <c r="E78" s="1384"/>
      <c r="F78" s="1384"/>
      <c r="G78" s="1384"/>
      <c r="H78" s="1384"/>
      <c r="I78" s="1384"/>
      <c r="J78" s="1384"/>
      <c r="K78" s="1384"/>
      <c r="L78" s="1384"/>
      <c r="M78" s="1384"/>
      <c r="N78" s="1384"/>
      <c r="O78" s="1384"/>
      <c r="P78" s="1384"/>
      <c r="Q78" s="1384"/>
      <c r="R78" s="1384"/>
      <c r="S78" s="1384"/>
      <c r="T78" s="1384"/>
      <c r="U78" s="1384"/>
      <c r="V78" s="1384"/>
      <c r="W78" s="1384"/>
      <c r="Y78" s="1664"/>
      <c r="Z78" s="1665"/>
      <c r="AA78" s="1665"/>
      <c r="AB78" s="1665"/>
      <c r="AC78" s="1665"/>
      <c r="AD78" s="1665"/>
      <c r="AE78" s="1665"/>
      <c r="AF78" s="1665"/>
      <c r="AG78" s="1665"/>
      <c r="AH78" s="1665"/>
      <c r="AI78" s="1665"/>
      <c r="AJ78" s="1665"/>
      <c r="AK78" s="1665"/>
      <c r="AL78" s="1665"/>
      <c r="AM78" s="1665"/>
      <c r="AN78" s="1665"/>
      <c r="AO78" s="1665"/>
      <c r="AP78" s="1665"/>
      <c r="AQ78" s="1665"/>
      <c r="AR78" s="1665"/>
      <c r="AS78" s="1665"/>
      <c r="AT78" s="1665"/>
      <c r="AU78" s="1665"/>
      <c r="AV78" s="1665"/>
      <c r="AW78" s="1665"/>
      <c r="AX78" s="1665"/>
      <c r="AY78" s="1665"/>
      <c r="AZ78" s="1665"/>
      <c r="BA78" s="1665"/>
      <c r="BB78" s="1665"/>
      <c r="BC78" s="1665"/>
      <c r="BD78" s="1665"/>
      <c r="BE78" s="1665"/>
      <c r="BF78" s="1665"/>
      <c r="BG78" s="1665"/>
      <c r="BH78" s="1665"/>
      <c r="BI78" s="1665"/>
      <c r="BJ78" s="1665"/>
      <c r="BK78" s="1665"/>
      <c r="BL78" s="1665"/>
      <c r="BM78" s="1665"/>
      <c r="BN78" s="1665"/>
      <c r="BO78" s="1665"/>
      <c r="BP78" s="1665"/>
      <c r="BQ78" s="1665"/>
      <c r="BR78" s="1665"/>
      <c r="BS78" s="1665"/>
      <c r="BT78" s="1665"/>
      <c r="BU78" s="1666"/>
      <c r="BV78" s="415"/>
      <c r="BW78" s="412"/>
      <c r="BX78" s="1411"/>
      <c r="BY78" s="1384"/>
      <c r="BZ78" s="1384"/>
      <c r="CA78" s="1384"/>
      <c r="CB78" s="1384"/>
      <c r="CC78" s="1384"/>
      <c r="CD78" s="1384"/>
      <c r="CE78" s="1384"/>
      <c r="CF78" s="1384"/>
      <c r="CG78" s="1412"/>
      <c r="CH78" s="1643"/>
      <c r="CI78" s="1644"/>
      <c r="CJ78" s="1644"/>
      <c r="CK78" s="1644"/>
      <c r="CL78" s="1644"/>
      <c r="CM78" s="1644"/>
      <c r="CN78" s="1644"/>
      <c r="CO78" s="1644"/>
      <c r="CP78" s="1644"/>
      <c r="CQ78" s="1644"/>
      <c r="CR78" s="1644"/>
      <c r="CS78" s="1644"/>
      <c r="CT78" s="1644"/>
      <c r="CU78" s="1644"/>
      <c r="CV78" s="1644"/>
      <c r="CW78" s="1644"/>
      <c r="CX78" s="1644"/>
      <c r="CY78" s="1644"/>
      <c r="CZ78" s="1644"/>
      <c r="DA78" s="1644"/>
      <c r="DB78" s="1644"/>
      <c r="DC78" s="1644"/>
      <c r="DD78" s="1644"/>
      <c r="DE78" s="1644"/>
      <c r="DF78" s="1644"/>
      <c r="DG78" s="1644"/>
      <c r="DH78" s="1644"/>
      <c r="DI78" s="1644"/>
      <c r="DJ78" s="1644"/>
      <c r="DK78" s="1644"/>
      <c r="DL78" s="1644"/>
      <c r="DM78" s="1644"/>
      <c r="DN78" s="1644"/>
      <c r="DO78" s="1644"/>
      <c r="DP78" s="1644"/>
      <c r="DQ78" s="1644"/>
      <c r="DR78" s="1644"/>
      <c r="DS78" s="1644"/>
      <c r="DT78" s="1644"/>
      <c r="DU78" s="1644"/>
      <c r="DV78" s="1644"/>
      <c r="DW78" s="1644"/>
      <c r="DX78" s="1644"/>
      <c r="DY78" s="1644"/>
      <c r="DZ78" s="1644"/>
      <c r="EA78" s="1644"/>
      <c r="EB78" s="1644"/>
      <c r="EC78" s="1644"/>
      <c r="ED78" s="1644"/>
      <c r="EE78" s="1644"/>
      <c r="EF78" s="1644"/>
      <c r="EG78" s="1644"/>
      <c r="EH78" s="1644"/>
      <c r="EI78" s="1644"/>
      <c r="EJ78" s="1644"/>
      <c r="EK78" s="1644"/>
      <c r="EL78" s="1644"/>
      <c r="EM78" s="1644"/>
      <c r="EN78" s="1644"/>
      <c r="EO78" s="1644"/>
      <c r="EP78" s="1645"/>
      <c r="EQ78" s="415"/>
      <c r="ER78" s="412"/>
      <c r="ES78" s="1703"/>
      <c r="ET78" s="1704"/>
      <c r="EU78" s="1704"/>
      <c r="EV78" s="1704"/>
      <c r="EW78" s="1704"/>
      <c r="EX78" s="1704"/>
      <c r="EY78" s="1704"/>
      <c r="EZ78" s="1704"/>
      <c r="FA78" s="1704"/>
      <c r="FB78" s="1704"/>
      <c r="FC78" s="1704"/>
      <c r="FD78" s="1704"/>
      <c r="FE78" s="1704"/>
      <c r="FF78" s="1704"/>
      <c r="FG78" s="1704"/>
      <c r="FH78" s="1704"/>
      <c r="FI78" s="1704"/>
      <c r="FJ78" s="1704"/>
      <c r="FK78" s="1704"/>
      <c r="FL78" s="1704"/>
      <c r="FM78" s="1704"/>
      <c r="FN78" s="1704"/>
      <c r="FO78" s="1704"/>
      <c r="FP78" s="1704"/>
      <c r="FQ78" s="1704"/>
      <c r="FR78" s="1704"/>
      <c r="FS78" s="1704"/>
      <c r="FT78" s="1705"/>
      <c r="FU78" s="1705"/>
      <c r="FV78" s="1705"/>
      <c r="FW78" s="1705"/>
      <c r="FX78" s="1705"/>
      <c r="FY78" s="1705"/>
      <c r="FZ78" s="1706"/>
      <c r="GA78" s="446"/>
      <c r="GB78" s="446"/>
      <c r="GC78" s="447"/>
      <c r="GD78" s="448"/>
      <c r="GE78" s="448"/>
      <c r="GF78" s="448"/>
      <c r="GG78" s="448"/>
      <c r="GH78" s="448"/>
      <c r="GI78" s="448"/>
      <c r="GJ78" s="448"/>
      <c r="GK78" s="448"/>
      <c r="GL78" s="448"/>
      <c r="GM78" s="448"/>
      <c r="GN78" s="448"/>
      <c r="GO78" s="448"/>
      <c r="GP78" s="448"/>
      <c r="GQ78" s="448"/>
      <c r="GR78" s="448"/>
      <c r="GS78" s="448"/>
      <c r="GT78" s="448"/>
      <c r="GU78" s="448"/>
      <c r="GV78" s="448"/>
      <c r="GW78" s="448"/>
      <c r="GX78" s="448"/>
      <c r="GY78" s="448"/>
      <c r="GZ78" s="448"/>
      <c r="HA78" s="448"/>
      <c r="HB78" s="448"/>
      <c r="HC78" s="448"/>
      <c r="HD78" s="448"/>
      <c r="HE78" s="448"/>
      <c r="HF78" s="448"/>
      <c r="HG78" s="449"/>
      <c r="HH78" s="449"/>
      <c r="HI78" s="449"/>
      <c r="HJ78" s="450"/>
      <c r="HL78" s="415"/>
    </row>
    <row r="79" spans="2:220" ht="7.5" customHeight="1">
      <c r="B79" s="412"/>
      <c r="C79" s="1709"/>
      <c r="D79" s="1710"/>
      <c r="E79" s="1710"/>
      <c r="F79" s="1710"/>
      <c r="G79" s="1710"/>
      <c r="H79" s="1710"/>
      <c r="I79" s="1710"/>
      <c r="J79" s="1710"/>
      <c r="K79" s="1710"/>
      <c r="L79" s="1710"/>
      <c r="M79" s="1710"/>
      <c r="N79" s="1710"/>
      <c r="O79" s="1710"/>
      <c r="P79" s="1710"/>
      <c r="Q79" s="1710"/>
      <c r="R79" s="1710"/>
      <c r="S79" s="1710"/>
      <c r="T79" s="1711"/>
      <c r="U79" s="1712"/>
      <c r="V79" s="1395"/>
      <c r="W79" s="1402"/>
      <c r="Y79" s="1667"/>
      <c r="Z79" s="1668"/>
      <c r="AA79" s="1668"/>
      <c r="AB79" s="1668"/>
      <c r="AC79" s="1668"/>
      <c r="AD79" s="1668"/>
      <c r="AE79" s="1668"/>
      <c r="AF79" s="1668"/>
      <c r="AG79" s="1668"/>
      <c r="AH79" s="1668"/>
      <c r="AI79" s="1668"/>
      <c r="AJ79" s="1668"/>
      <c r="AK79" s="1668"/>
      <c r="AL79" s="1668"/>
      <c r="AM79" s="1668"/>
      <c r="AN79" s="1668"/>
      <c r="AO79" s="1668"/>
      <c r="AP79" s="1668"/>
      <c r="AQ79" s="1668"/>
      <c r="AR79" s="1668"/>
      <c r="AS79" s="1668"/>
      <c r="AT79" s="1668"/>
      <c r="AU79" s="1668"/>
      <c r="AV79" s="1668"/>
      <c r="AW79" s="1668"/>
      <c r="AX79" s="1668"/>
      <c r="AY79" s="1668"/>
      <c r="AZ79" s="1668"/>
      <c r="BA79" s="1668"/>
      <c r="BB79" s="1668"/>
      <c r="BC79" s="1668"/>
      <c r="BD79" s="1668"/>
      <c r="BE79" s="1668"/>
      <c r="BF79" s="1668"/>
      <c r="BG79" s="1668"/>
      <c r="BH79" s="1668"/>
      <c r="BI79" s="1668"/>
      <c r="BJ79" s="1668"/>
      <c r="BK79" s="1668"/>
      <c r="BL79" s="1668"/>
      <c r="BM79" s="1668"/>
      <c r="BN79" s="1668"/>
      <c r="BO79" s="1668"/>
      <c r="BP79" s="1668"/>
      <c r="BQ79" s="1668"/>
      <c r="BR79" s="1668"/>
      <c r="BS79" s="1668"/>
      <c r="BT79" s="1668"/>
      <c r="BU79" s="1669"/>
      <c r="BV79" s="415"/>
      <c r="BW79" s="412"/>
      <c r="BX79" s="1396"/>
      <c r="BY79" s="1385"/>
      <c r="BZ79" s="1385"/>
      <c r="CA79" s="1385"/>
      <c r="CB79" s="1385"/>
      <c r="CC79" s="1385"/>
      <c r="CD79" s="1385"/>
      <c r="CE79" s="1385"/>
      <c r="CF79" s="1385"/>
      <c r="CG79" s="1403"/>
      <c r="CH79" s="1535"/>
      <c r="CI79" s="1536"/>
      <c r="CJ79" s="1536"/>
      <c r="CK79" s="1536"/>
      <c r="CL79" s="1536"/>
      <c r="CM79" s="1536"/>
      <c r="CN79" s="1536"/>
      <c r="CO79" s="1536"/>
      <c r="CP79" s="1536"/>
      <c r="CQ79" s="1536"/>
      <c r="CR79" s="1536"/>
      <c r="CS79" s="1536"/>
      <c r="CT79" s="1536"/>
      <c r="CU79" s="1536"/>
      <c r="CV79" s="1536"/>
      <c r="CW79" s="1536"/>
      <c r="CX79" s="1536"/>
      <c r="CY79" s="1536"/>
      <c r="CZ79" s="1536"/>
      <c r="DA79" s="1536"/>
      <c r="DB79" s="1536"/>
      <c r="DC79" s="1536"/>
      <c r="DD79" s="1536"/>
      <c r="DE79" s="1536"/>
      <c r="DF79" s="1536"/>
      <c r="DG79" s="1536"/>
      <c r="DH79" s="1536"/>
      <c r="DI79" s="1536"/>
      <c r="DJ79" s="1536"/>
      <c r="DK79" s="1536"/>
      <c r="DL79" s="1536"/>
      <c r="DM79" s="1536"/>
      <c r="DN79" s="1536"/>
      <c r="DO79" s="1536"/>
      <c r="DP79" s="1536"/>
      <c r="DQ79" s="1536"/>
      <c r="DR79" s="1536"/>
      <c r="DS79" s="1536"/>
      <c r="DT79" s="1536"/>
      <c r="DU79" s="1536"/>
      <c r="DV79" s="1536"/>
      <c r="DW79" s="1536"/>
      <c r="DX79" s="1536"/>
      <c r="DY79" s="1536"/>
      <c r="DZ79" s="1536"/>
      <c r="EA79" s="1536"/>
      <c r="EB79" s="1536"/>
      <c r="EC79" s="1536"/>
      <c r="ED79" s="1536"/>
      <c r="EE79" s="1536"/>
      <c r="EF79" s="1536"/>
      <c r="EG79" s="1536"/>
      <c r="EH79" s="1536"/>
      <c r="EI79" s="1536"/>
      <c r="EJ79" s="1536"/>
      <c r="EK79" s="1536"/>
      <c r="EL79" s="1536"/>
      <c r="EM79" s="1536"/>
      <c r="EN79" s="1536"/>
      <c r="EO79" s="1536"/>
      <c r="EP79" s="1537"/>
      <c r="EQ79" s="415"/>
      <c r="ER79" s="412"/>
      <c r="ES79" s="1707"/>
      <c r="ET79" s="1708"/>
      <c r="EU79" s="1708"/>
      <c r="EV79" s="1708"/>
      <c r="EW79" s="1708"/>
      <c r="EX79" s="1708"/>
      <c r="EY79" s="1708"/>
      <c r="EZ79" s="1708"/>
      <c r="FA79" s="1708"/>
      <c r="FB79" s="1708"/>
      <c r="FC79" s="1708"/>
      <c r="FD79" s="1708"/>
      <c r="FE79" s="1708"/>
      <c r="FF79" s="1708"/>
      <c r="FG79" s="1708"/>
      <c r="FH79" s="1708"/>
      <c r="FI79" s="1708"/>
      <c r="FJ79" s="1708"/>
      <c r="FK79" s="1708"/>
      <c r="FL79" s="1708"/>
      <c r="FM79" s="1708"/>
      <c r="FN79" s="1708"/>
      <c r="FO79" s="1708"/>
      <c r="FP79" s="1708"/>
      <c r="FQ79" s="1708"/>
      <c r="FR79" s="1708"/>
      <c r="FS79" s="1708"/>
      <c r="FT79" s="1522"/>
      <c r="FU79" s="1522"/>
      <c r="FV79" s="1522"/>
      <c r="FW79" s="1522"/>
      <c r="FX79" s="1522"/>
      <c r="FY79" s="1522"/>
      <c r="FZ79" s="1523"/>
      <c r="GA79" s="446"/>
      <c r="GB79" s="446"/>
      <c r="GC79" s="451"/>
      <c r="GD79" s="452"/>
      <c r="GE79" s="452"/>
      <c r="GF79" s="452"/>
      <c r="GG79" s="452"/>
      <c r="GH79" s="452"/>
      <c r="GI79" s="452"/>
      <c r="GJ79" s="452"/>
      <c r="GK79" s="452"/>
      <c r="GL79" s="452"/>
      <c r="GM79" s="452"/>
      <c r="GN79" s="452"/>
      <c r="GO79" s="452"/>
      <c r="GP79" s="452"/>
      <c r="GQ79" s="452"/>
      <c r="GR79" s="452"/>
      <c r="GS79" s="452"/>
      <c r="GT79" s="452"/>
      <c r="GU79" s="452"/>
      <c r="GV79" s="452"/>
      <c r="GW79" s="452"/>
      <c r="GX79" s="452"/>
      <c r="GY79" s="452"/>
      <c r="GZ79" s="452"/>
      <c r="HA79" s="452"/>
      <c r="HB79" s="452"/>
      <c r="HC79" s="452"/>
      <c r="HD79" s="452"/>
      <c r="HE79" s="452"/>
      <c r="HF79" s="452"/>
      <c r="HG79" s="453"/>
      <c r="HH79" s="453"/>
      <c r="HI79" s="453"/>
      <c r="HJ79" s="454"/>
      <c r="HL79" s="415"/>
    </row>
    <row r="80" spans="2:220" ht="7.5" customHeight="1">
      <c r="B80" s="412"/>
      <c r="C80" s="1358"/>
      <c r="D80" s="1359"/>
      <c r="E80" s="1359"/>
      <c r="F80" s="1359"/>
      <c r="G80" s="1359"/>
      <c r="H80" s="1359"/>
      <c r="I80" s="1359"/>
      <c r="J80" s="1359"/>
      <c r="K80" s="1359"/>
      <c r="L80" s="1359"/>
      <c r="M80" s="1359"/>
      <c r="N80" s="1359"/>
      <c r="O80" s="1359"/>
      <c r="P80" s="1359"/>
      <c r="Q80" s="1359"/>
      <c r="R80" s="1359"/>
      <c r="S80" s="1359"/>
      <c r="T80" s="1360"/>
      <c r="U80" s="1411"/>
      <c r="V80" s="1384"/>
      <c r="W80" s="1412"/>
      <c r="Y80" s="1655"/>
      <c r="Z80" s="1662"/>
      <c r="AA80" s="1662"/>
      <c r="AB80" s="1662"/>
      <c r="AC80" s="1662"/>
      <c r="AD80" s="1662"/>
      <c r="AE80" s="1662"/>
      <c r="AF80" s="1662"/>
      <c r="AG80" s="1662"/>
      <c r="AH80" s="1662"/>
      <c r="AI80" s="1662"/>
      <c r="AJ80" s="1662"/>
      <c r="AK80" s="1662"/>
      <c r="AL80" s="1662"/>
      <c r="AM80" s="1662"/>
      <c r="AN80" s="1662"/>
      <c r="AO80" s="1662"/>
      <c r="AP80" s="1662"/>
      <c r="AQ80" s="1662"/>
      <c r="AR80" s="1662"/>
      <c r="AS80" s="1662"/>
      <c r="AT80" s="1662"/>
      <c r="AU80" s="1662"/>
      <c r="AV80" s="1662"/>
      <c r="AW80" s="1662"/>
      <c r="AX80" s="1662"/>
      <c r="AY80" s="1662"/>
      <c r="AZ80" s="1662"/>
      <c r="BA80" s="1662"/>
      <c r="BB80" s="1662"/>
      <c r="BC80" s="1662"/>
      <c r="BD80" s="1662"/>
      <c r="BE80" s="1662"/>
      <c r="BF80" s="1662"/>
      <c r="BG80" s="1662"/>
      <c r="BH80" s="1662"/>
      <c r="BI80" s="1662"/>
      <c r="BJ80" s="1662"/>
      <c r="BK80" s="1662"/>
      <c r="BL80" s="1662"/>
      <c r="BM80" s="1662"/>
      <c r="BN80" s="1662"/>
      <c r="BO80" s="1662"/>
      <c r="BP80" s="1662"/>
      <c r="BQ80" s="1662"/>
      <c r="BR80" s="1662"/>
      <c r="BS80" s="1662"/>
      <c r="BT80" s="1662"/>
      <c r="BU80" s="1663"/>
      <c r="BV80" s="415"/>
      <c r="BW80" s="412"/>
      <c r="EQ80" s="415"/>
      <c r="ER80" s="412"/>
      <c r="ES80" s="1521"/>
      <c r="ET80" s="1522"/>
      <c r="EU80" s="1522"/>
      <c r="EV80" s="1522"/>
      <c r="EW80" s="1522"/>
      <c r="EX80" s="1522"/>
      <c r="EY80" s="1522"/>
      <c r="EZ80" s="1522"/>
      <c r="FA80" s="1522"/>
      <c r="FB80" s="1522"/>
      <c r="FC80" s="1522"/>
      <c r="FD80" s="1522"/>
      <c r="FE80" s="1522"/>
      <c r="FF80" s="1522"/>
      <c r="FG80" s="1522"/>
      <c r="FH80" s="1522"/>
      <c r="FI80" s="1522"/>
      <c r="FJ80" s="1522"/>
      <c r="FK80" s="1522"/>
      <c r="FL80" s="1522"/>
      <c r="FM80" s="1522"/>
      <c r="FN80" s="1522"/>
      <c r="FO80" s="1522"/>
      <c r="FP80" s="1522"/>
      <c r="FQ80" s="1522"/>
      <c r="FR80" s="1522"/>
      <c r="FS80" s="1522"/>
      <c r="FT80" s="1522"/>
      <c r="FU80" s="1522"/>
      <c r="FV80" s="1522"/>
      <c r="FW80" s="1522"/>
      <c r="FX80" s="1522"/>
      <c r="FY80" s="1522"/>
      <c r="FZ80" s="1523"/>
      <c r="GA80" s="446"/>
      <c r="GB80" s="446"/>
      <c r="GC80" s="451"/>
      <c r="GD80" s="452"/>
      <c r="GE80" s="452"/>
      <c r="GF80" s="452"/>
      <c r="GG80" s="452"/>
      <c r="GH80" s="452"/>
      <c r="GI80" s="452"/>
      <c r="GJ80" s="452"/>
      <c r="GK80" s="452"/>
      <c r="GL80" s="452"/>
      <c r="GM80" s="452"/>
      <c r="GN80" s="452"/>
      <c r="GO80" s="452"/>
      <c r="GP80" s="452"/>
      <c r="GQ80" s="452"/>
      <c r="GR80" s="452"/>
      <c r="GS80" s="452"/>
      <c r="GT80" s="452"/>
      <c r="GU80" s="452"/>
      <c r="GV80" s="452"/>
      <c r="GW80" s="452"/>
      <c r="GX80" s="452"/>
      <c r="GY80" s="452"/>
      <c r="GZ80" s="452"/>
      <c r="HA80" s="452"/>
      <c r="HB80" s="452"/>
      <c r="HC80" s="452"/>
      <c r="HD80" s="452"/>
      <c r="HE80" s="452"/>
      <c r="HF80" s="452"/>
      <c r="HG80" s="453"/>
      <c r="HH80" s="453"/>
      <c r="HI80" s="453"/>
      <c r="HJ80" s="454"/>
      <c r="HL80" s="415"/>
    </row>
    <row r="81" spans="2:220" ht="7.5" customHeight="1">
      <c r="B81" s="412"/>
      <c r="C81" s="1361"/>
      <c r="D81" s="1362"/>
      <c r="E81" s="1362"/>
      <c r="F81" s="1362"/>
      <c r="G81" s="1362"/>
      <c r="H81" s="1362"/>
      <c r="I81" s="1362"/>
      <c r="J81" s="1362"/>
      <c r="K81" s="1362"/>
      <c r="L81" s="1362"/>
      <c r="M81" s="1362"/>
      <c r="N81" s="1362"/>
      <c r="O81" s="1362"/>
      <c r="P81" s="1362"/>
      <c r="Q81" s="1362"/>
      <c r="R81" s="1362"/>
      <c r="S81" s="1362"/>
      <c r="T81" s="1363"/>
      <c r="U81" s="1411"/>
      <c r="V81" s="1384"/>
      <c r="W81" s="1412"/>
      <c r="Y81" s="1664"/>
      <c r="Z81" s="1665"/>
      <c r="AA81" s="1665"/>
      <c r="AB81" s="1665"/>
      <c r="AC81" s="1665"/>
      <c r="AD81" s="1665"/>
      <c r="AE81" s="1665"/>
      <c r="AF81" s="1665"/>
      <c r="AG81" s="1665"/>
      <c r="AH81" s="1665"/>
      <c r="AI81" s="1665"/>
      <c r="AJ81" s="1665"/>
      <c r="AK81" s="1665"/>
      <c r="AL81" s="1665"/>
      <c r="AM81" s="1665"/>
      <c r="AN81" s="1665"/>
      <c r="AO81" s="1665"/>
      <c r="AP81" s="1665"/>
      <c r="AQ81" s="1665"/>
      <c r="AR81" s="1665"/>
      <c r="AS81" s="1665"/>
      <c r="AT81" s="1665"/>
      <c r="AU81" s="1665"/>
      <c r="AV81" s="1665"/>
      <c r="AW81" s="1665"/>
      <c r="AX81" s="1665"/>
      <c r="AY81" s="1665"/>
      <c r="AZ81" s="1665"/>
      <c r="BA81" s="1665"/>
      <c r="BB81" s="1665"/>
      <c r="BC81" s="1665"/>
      <c r="BD81" s="1665"/>
      <c r="BE81" s="1665"/>
      <c r="BF81" s="1665"/>
      <c r="BG81" s="1665"/>
      <c r="BH81" s="1665"/>
      <c r="BI81" s="1665"/>
      <c r="BJ81" s="1665"/>
      <c r="BK81" s="1665"/>
      <c r="BL81" s="1665"/>
      <c r="BM81" s="1665"/>
      <c r="BN81" s="1665"/>
      <c r="BO81" s="1665"/>
      <c r="BP81" s="1665"/>
      <c r="BQ81" s="1665"/>
      <c r="BR81" s="1665"/>
      <c r="BS81" s="1665"/>
      <c r="BT81" s="1665"/>
      <c r="BU81" s="1666"/>
      <c r="BV81" s="415"/>
      <c r="BW81" s="412"/>
      <c r="BX81" s="1641" t="s">
        <v>7429</v>
      </c>
      <c r="BY81" s="1395"/>
      <c r="BZ81" s="1395"/>
      <c r="CA81" s="1395"/>
      <c r="CB81" s="1395"/>
      <c r="CC81" s="1395"/>
      <c r="CD81" s="1395"/>
      <c r="CE81" s="1395"/>
      <c r="CF81" s="1395"/>
      <c r="CG81" s="1402"/>
      <c r="CH81" s="1713"/>
      <c r="CI81" s="1672"/>
      <c r="CJ81" s="1672"/>
      <c r="CK81" s="1672"/>
      <c r="CL81" s="1672"/>
      <c r="CM81" s="1672"/>
      <c r="CN81" s="1672"/>
      <c r="CO81" s="1672"/>
      <c r="CP81" s="1672"/>
      <c r="CQ81" s="1672"/>
      <c r="CR81" s="1672"/>
      <c r="CS81" s="1672"/>
      <c r="CT81" s="1672"/>
      <c r="CU81" s="1672"/>
      <c r="CV81" s="1672"/>
      <c r="CW81" s="1672"/>
      <c r="CX81" s="1672"/>
      <c r="CY81" s="1672"/>
      <c r="CZ81" s="1672"/>
      <c r="DA81" s="1672"/>
      <c r="DB81" s="1672"/>
      <c r="DC81" s="1672"/>
      <c r="DD81" s="1672"/>
      <c r="DE81" s="1672"/>
      <c r="DF81" s="1672"/>
      <c r="DG81" s="1672"/>
      <c r="DH81" s="1672"/>
      <c r="DI81" s="1672"/>
      <c r="DJ81" s="1672"/>
      <c r="DK81" s="1672"/>
      <c r="DL81" s="1672"/>
      <c r="DM81" s="1672"/>
      <c r="DN81" s="1672"/>
      <c r="DO81" s="1672"/>
      <c r="DP81" s="1672"/>
      <c r="DQ81" s="1672"/>
      <c r="DR81" s="1672"/>
      <c r="DS81" s="1672"/>
      <c r="DT81" s="1672"/>
      <c r="DU81" s="1672"/>
      <c r="DV81" s="1672"/>
      <c r="DW81" s="1672"/>
      <c r="DX81" s="1672"/>
      <c r="DY81" s="1672"/>
      <c r="DZ81" s="1672"/>
      <c r="EA81" s="1672"/>
      <c r="EB81" s="1672"/>
      <c r="EC81" s="1672"/>
      <c r="ED81" s="1672"/>
      <c r="EE81" s="1672"/>
      <c r="EF81" s="1672"/>
      <c r="EG81" s="1672"/>
      <c r="EH81" s="1672"/>
      <c r="EI81" s="1672"/>
      <c r="EJ81" s="1672"/>
      <c r="EK81" s="1672"/>
      <c r="EL81" s="1672"/>
      <c r="EM81" s="1672"/>
      <c r="EN81" s="1672"/>
      <c r="EO81" s="1672"/>
      <c r="EP81" s="1673"/>
      <c r="EQ81" s="415"/>
      <c r="ER81" s="412"/>
      <c r="ES81" s="1521"/>
      <c r="ET81" s="1522"/>
      <c r="EU81" s="1522"/>
      <c r="EV81" s="1522"/>
      <c r="EW81" s="1522"/>
      <c r="EX81" s="1522"/>
      <c r="EY81" s="1522"/>
      <c r="EZ81" s="1522"/>
      <c r="FA81" s="1522"/>
      <c r="FB81" s="1522"/>
      <c r="FC81" s="1522"/>
      <c r="FD81" s="1522"/>
      <c r="FE81" s="1522"/>
      <c r="FF81" s="1522"/>
      <c r="FG81" s="1522"/>
      <c r="FH81" s="1522"/>
      <c r="FI81" s="1522"/>
      <c r="FJ81" s="1522"/>
      <c r="FK81" s="1522"/>
      <c r="FL81" s="1522"/>
      <c r="FM81" s="1522"/>
      <c r="FN81" s="1522"/>
      <c r="FO81" s="1522"/>
      <c r="FP81" s="1522"/>
      <c r="FQ81" s="1522"/>
      <c r="FR81" s="1522"/>
      <c r="FS81" s="1522"/>
      <c r="FT81" s="1522"/>
      <c r="FU81" s="1522"/>
      <c r="FV81" s="1522"/>
      <c r="FW81" s="1522"/>
      <c r="FX81" s="1522"/>
      <c r="FY81" s="1522"/>
      <c r="FZ81" s="1523"/>
      <c r="GA81" s="446"/>
      <c r="GB81" s="446"/>
      <c r="GC81" s="451"/>
      <c r="GD81" s="452"/>
      <c r="GE81" s="452"/>
      <c r="GF81" s="452"/>
      <c r="GG81" s="452"/>
      <c r="GH81" s="452"/>
      <c r="GI81" s="452"/>
      <c r="GJ81" s="452"/>
      <c r="GK81" s="452"/>
      <c r="GL81" s="452"/>
      <c r="GM81" s="452"/>
      <c r="GN81" s="452"/>
      <c r="GO81" s="452"/>
      <c r="GP81" s="452"/>
      <c r="GQ81" s="452"/>
      <c r="GR81" s="452"/>
      <c r="GS81" s="452"/>
      <c r="GT81" s="452"/>
      <c r="GU81" s="452"/>
      <c r="GV81" s="452"/>
      <c r="GW81" s="452"/>
      <c r="GX81" s="452"/>
      <c r="GY81" s="452"/>
      <c r="GZ81" s="452"/>
      <c r="HA81" s="452"/>
      <c r="HB81" s="452"/>
      <c r="HC81" s="452"/>
      <c r="HD81" s="452"/>
      <c r="HE81" s="452"/>
      <c r="HF81" s="452"/>
      <c r="HG81" s="453"/>
      <c r="HH81" s="453"/>
      <c r="HI81" s="453"/>
      <c r="HJ81" s="454"/>
      <c r="HL81" s="415"/>
    </row>
    <row r="82" spans="2:220" ht="7.5" customHeight="1">
      <c r="B82" s="412"/>
      <c r="C82" s="1714"/>
      <c r="D82" s="1356"/>
      <c r="E82" s="1356"/>
      <c r="F82" s="1356"/>
      <c r="G82" s="1356"/>
      <c r="H82" s="1356"/>
      <c r="I82" s="1356"/>
      <c r="J82" s="1356"/>
      <c r="K82" s="1356"/>
      <c r="L82" s="1356"/>
      <c r="M82" s="1356"/>
      <c r="N82" s="1356"/>
      <c r="O82" s="1356"/>
      <c r="P82" s="1356"/>
      <c r="Q82" s="1356"/>
      <c r="R82" s="1356"/>
      <c r="S82" s="1356"/>
      <c r="T82" s="1357"/>
      <c r="U82" s="1411"/>
      <c r="V82" s="1384"/>
      <c r="W82" s="1412"/>
      <c r="Y82" s="1664"/>
      <c r="Z82" s="1665"/>
      <c r="AA82" s="1665"/>
      <c r="AB82" s="1665"/>
      <c r="AC82" s="1665"/>
      <c r="AD82" s="1665"/>
      <c r="AE82" s="1665"/>
      <c r="AF82" s="1665"/>
      <c r="AG82" s="1665"/>
      <c r="AH82" s="1665"/>
      <c r="AI82" s="1665"/>
      <c r="AJ82" s="1665"/>
      <c r="AK82" s="1665"/>
      <c r="AL82" s="1665"/>
      <c r="AM82" s="1665"/>
      <c r="AN82" s="1665"/>
      <c r="AO82" s="1665"/>
      <c r="AP82" s="1665"/>
      <c r="AQ82" s="1665"/>
      <c r="AR82" s="1665"/>
      <c r="AS82" s="1665"/>
      <c r="AT82" s="1665"/>
      <c r="AU82" s="1665"/>
      <c r="AV82" s="1665"/>
      <c r="AW82" s="1665"/>
      <c r="AX82" s="1665"/>
      <c r="AY82" s="1665"/>
      <c r="AZ82" s="1665"/>
      <c r="BA82" s="1665"/>
      <c r="BB82" s="1665"/>
      <c r="BC82" s="1665"/>
      <c r="BD82" s="1665"/>
      <c r="BE82" s="1665"/>
      <c r="BF82" s="1665"/>
      <c r="BG82" s="1665"/>
      <c r="BH82" s="1665"/>
      <c r="BI82" s="1665"/>
      <c r="BJ82" s="1665"/>
      <c r="BK82" s="1665"/>
      <c r="BL82" s="1665"/>
      <c r="BM82" s="1665"/>
      <c r="BN82" s="1665"/>
      <c r="BO82" s="1665"/>
      <c r="BP82" s="1665"/>
      <c r="BQ82" s="1665"/>
      <c r="BR82" s="1665"/>
      <c r="BS82" s="1665"/>
      <c r="BT82" s="1665"/>
      <c r="BU82" s="1666"/>
      <c r="BV82" s="415"/>
      <c r="BW82" s="412"/>
      <c r="BX82" s="1411"/>
      <c r="BY82" s="1384"/>
      <c r="BZ82" s="1384"/>
      <c r="CA82" s="1384"/>
      <c r="CB82" s="1384"/>
      <c r="CC82" s="1384"/>
      <c r="CD82" s="1384"/>
      <c r="CE82" s="1384"/>
      <c r="CF82" s="1384"/>
      <c r="CG82" s="1412"/>
      <c r="CH82" s="1674"/>
      <c r="CI82" s="1675"/>
      <c r="CJ82" s="1675"/>
      <c r="CK82" s="1675"/>
      <c r="CL82" s="1675"/>
      <c r="CM82" s="1675"/>
      <c r="CN82" s="1675"/>
      <c r="CO82" s="1675"/>
      <c r="CP82" s="1675"/>
      <c r="CQ82" s="1675"/>
      <c r="CR82" s="1675"/>
      <c r="CS82" s="1675"/>
      <c r="CT82" s="1675"/>
      <c r="CU82" s="1675"/>
      <c r="CV82" s="1675"/>
      <c r="CW82" s="1675"/>
      <c r="CX82" s="1675"/>
      <c r="CY82" s="1675"/>
      <c r="CZ82" s="1675"/>
      <c r="DA82" s="1675"/>
      <c r="DB82" s="1675"/>
      <c r="DC82" s="1675"/>
      <c r="DD82" s="1675"/>
      <c r="DE82" s="1675"/>
      <c r="DF82" s="1675"/>
      <c r="DG82" s="1675"/>
      <c r="DH82" s="1675"/>
      <c r="DI82" s="1675"/>
      <c r="DJ82" s="1675"/>
      <c r="DK82" s="1675"/>
      <c r="DL82" s="1675"/>
      <c r="DM82" s="1675"/>
      <c r="DN82" s="1675"/>
      <c r="DO82" s="1675"/>
      <c r="DP82" s="1675"/>
      <c r="DQ82" s="1675"/>
      <c r="DR82" s="1675"/>
      <c r="DS82" s="1675"/>
      <c r="DT82" s="1675"/>
      <c r="DU82" s="1675"/>
      <c r="DV82" s="1675"/>
      <c r="DW82" s="1675"/>
      <c r="DX82" s="1675"/>
      <c r="DY82" s="1675"/>
      <c r="DZ82" s="1675"/>
      <c r="EA82" s="1675"/>
      <c r="EB82" s="1675"/>
      <c r="EC82" s="1675"/>
      <c r="ED82" s="1675"/>
      <c r="EE82" s="1675"/>
      <c r="EF82" s="1675"/>
      <c r="EG82" s="1675"/>
      <c r="EH82" s="1675"/>
      <c r="EI82" s="1675"/>
      <c r="EJ82" s="1675"/>
      <c r="EK82" s="1675"/>
      <c r="EL82" s="1675"/>
      <c r="EM82" s="1675"/>
      <c r="EN82" s="1675"/>
      <c r="EO82" s="1675"/>
      <c r="EP82" s="1676"/>
      <c r="EQ82" s="415"/>
      <c r="ER82" s="412"/>
      <c r="ES82" s="1521"/>
      <c r="ET82" s="1522"/>
      <c r="EU82" s="1522"/>
      <c r="EV82" s="1522"/>
      <c r="EW82" s="1522"/>
      <c r="EX82" s="1522"/>
      <c r="EY82" s="1522"/>
      <c r="EZ82" s="1522"/>
      <c r="FA82" s="1522"/>
      <c r="FB82" s="1522"/>
      <c r="FC82" s="1522"/>
      <c r="FD82" s="1522"/>
      <c r="FE82" s="1522"/>
      <c r="FF82" s="1522"/>
      <c r="FG82" s="1522"/>
      <c r="FH82" s="1522"/>
      <c r="FI82" s="1522"/>
      <c r="FJ82" s="1522"/>
      <c r="FK82" s="1522"/>
      <c r="FL82" s="1522"/>
      <c r="FM82" s="1522"/>
      <c r="FN82" s="1522"/>
      <c r="FO82" s="1522"/>
      <c r="FP82" s="1522"/>
      <c r="FQ82" s="1522"/>
      <c r="FR82" s="1522"/>
      <c r="FS82" s="1522"/>
      <c r="FT82" s="1522"/>
      <c r="FU82" s="1522"/>
      <c r="FV82" s="1522"/>
      <c r="FW82" s="1522"/>
      <c r="FX82" s="1522"/>
      <c r="FY82" s="1522"/>
      <c r="FZ82" s="1523"/>
      <c r="GA82" s="446"/>
      <c r="GB82" s="446"/>
      <c r="GC82" s="451"/>
      <c r="GD82" s="452"/>
      <c r="GE82" s="452"/>
      <c r="GF82" s="452"/>
      <c r="GG82" s="452"/>
      <c r="GH82" s="452"/>
      <c r="GI82" s="452"/>
      <c r="GJ82" s="452"/>
      <c r="GK82" s="452"/>
      <c r="GL82" s="452"/>
      <c r="GM82" s="452"/>
      <c r="GN82" s="452"/>
      <c r="GO82" s="452"/>
      <c r="GP82" s="452"/>
      <c r="GQ82" s="452"/>
      <c r="GR82" s="452"/>
      <c r="GS82" s="452"/>
      <c r="GT82" s="452"/>
      <c r="GU82" s="452"/>
      <c r="GV82" s="452"/>
      <c r="GW82" s="452"/>
      <c r="GX82" s="452"/>
      <c r="GY82" s="452"/>
      <c r="GZ82" s="452"/>
      <c r="HA82" s="452"/>
      <c r="HB82" s="452"/>
      <c r="HC82" s="452"/>
      <c r="HD82" s="452"/>
      <c r="HE82" s="452"/>
      <c r="HF82" s="452"/>
      <c r="HG82" s="453"/>
      <c r="HH82" s="453"/>
      <c r="HI82" s="453"/>
      <c r="HJ82" s="454"/>
      <c r="HL82" s="415"/>
    </row>
    <row r="83" spans="2:220" ht="7.5" customHeight="1">
      <c r="B83" s="412"/>
      <c r="C83" s="1358"/>
      <c r="D83" s="1359"/>
      <c r="E83" s="1359"/>
      <c r="F83" s="1359"/>
      <c r="G83" s="1359"/>
      <c r="H83" s="1359"/>
      <c r="I83" s="1359"/>
      <c r="J83" s="1359"/>
      <c r="K83" s="1359"/>
      <c r="L83" s="1359"/>
      <c r="M83" s="1359"/>
      <c r="N83" s="1359"/>
      <c r="O83" s="1359"/>
      <c r="P83" s="1359"/>
      <c r="Q83" s="1359"/>
      <c r="R83" s="1359"/>
      <c r="S83" s="1359"/>
      <c r="T83" s="1360"/>
      <c r="U83" s="1411"/>
      <c r="V83" s="1384"/>
      <c r="W83" s="1412"/>
      <c r="Y83" s="1667"/>
      <c r="Z83" s="1668"/>
      <c r="AA83" s="1668"/>
      <c r="AB83" s="1668"/>
      <c r="AC83" s="1668"/>
      <c r="AD83" s="1668"/>
      <c r="AE83" s="1668"/>
      <c r="AF83" s="1668"/>
      <c r="AG83" s="1668"/>
      <c r="AH83" s="1668"/>
      <c r="AI83" s="1668"/>
      <c r="AJ83" s="1668"/>
      <c r="AK83" s="1668"/>
      <c r="AL83" s="1668"/>
      <c r="AM83" s="1668"/>
      <c r="AN83" s="1668"/>
      <c r="AO83" s="1668"/>
      <c r="AP83" s="1668"/>
      <c r="AQ83" s="1668"/>
      <c r="AR83" s="1668"/>
      <c r="AS83" s="1668"/>
      <c r="AT83" s="1668"/>
      <c r="AU83" s="1668"/>
      <c r="AV83" s="1668"/>
      <c r="AW83" s="1668"/>
      <c r="AX83" s="1668"/>
      <c r="AY83" s="1668"/>
      <c r="AZ83" s="1668"/>
      <c r="BA83" s="1668"/>
      <c r="BB83" s="1668"/>
      <c r="BC83" s="1668"/>
      <c r="BD83" s="1668"/>
      <c r="BE83" s="1668"/>
      <c r="BF83" s="1668"/>
      <c r="BG83" s="1668"/>
      <c r="BH83" s="1668"/>
      <c r="BI83" s="1668"/>
      <c r="BJ83" s="1668"/>
      <c r="BK83" s="1668"/>
      <c r="BL83" s="1668"/>
      <c r="BM83" s="1668"/>
      <c r="BN83" s="1668"/>
      <c r="BO83" s="1668"/>
      <c r="BP83" s="1668"/>
      <c r="BQ83" s="1668"/>
      <c r="BR83" s="1668"/>
      <c r="BS83" s="1668"/>
      <c r="BT83" s="1668"/>
      <c r="BU83" s="1669"/>
      <c r="BV83" s="415"/>
      <c r="BW83" s="412"/>
      <c r="BX83" s="1411"/>
      <c r="BY83" s="1384"/>
      <c r="BZ83" s="1384"/>
      <c r="CA83" s="1384"/>
      <c r="CB83" s="1384"/>
      <c r="CC83" s="1384"/>
      <c r="CD83" s="1384"/>
      <c r="CE83" s="1384"/>
      <c r="CF83" s="1384"/>
      <c r="CG83" s="1412"/>
      <c r="CH83" s="1674"/>
      <c r="CI83" s="1675"/>
      <c r="CJ83" s="1675"/>
      <c r="CK83" s="1675"/>
      <c r="CL83" s="1675"/>
      <c r="CM83" s="1675"/>
      <c r="CN83" s="1675"/>
      <c r="CO83" s="1675"/>
      <c r="CP83" s="1675"/>
      <c r="CQ83" s="1675"/>
      <c r="CR83" s="1675"/>
      <c r="CS83" s="1675"/>
      <c r="CT83" s="1675"/>
      <c r="CU83" s="1675"/>
      <c r="CV83" s="1675"/>
      <c r="CW83" s="1675"/>
      <c r="CX83" s="1675"/>
      <c r="CY83" s="1675"/>
      <c r="CZ83" s="1675"/>
      <c r="DA83" s="1675"/>
      <c r="DB83" s="1675"/>
      <c r="DC83" s="1675"/>
      <c r="DD83" s="1675"/>
      <c r="DE83" s="1675"/>
      <c r="DF83" s="1675"/>
      <c r="DG83" s="1675"/>
      <c r="DH83" s="1675"/>
      <c r="DI83" s="1675"/>
      <c r="DJ83" s="1675"/>
      <c r="DK83" s="1675"/>
      <c r="DL83" s="1675"/>
      <c r="DM83" s="1675"/>
      <c r="DN83" s="1675"/>
      <c r="DO83" s="1675"/>
      <c r="DP83" s="1675"/>
      <c r="DQ83" s="1675"/>
      <c r="DR83" s="1675"/>
      <c r="DS83" s="1675"/>
      <c r="DT83" s="1675"/>
      <c r="DU83" s="1675"/>
      <c r="DV83" s="1675"/>
      <c r="DW83" s="1675"/>
      <c r="DX83" s="1675"/>
      <c r="DY83" s="1675"/>
      <c r="DZ83" s="1675"/>
      <c r="EA83" s="1675"/>
      <c r="EB83" s="1675"/>
      <c r="EC83" s="1675"/>
      <c r="ED83" s="1675"/>
      <c r="EE83" s="1675"/>
      <c r="EF83" s="1675"/>
      <c r="EG83" s="1675"/>
      <c r="EH83" s="1675"/>
      <c r="EI83" s="1675"/>
      <c r="EJ83" s="1675"/>
      <c r="EK83" s="1675"/>
      <c r="EL83" s="1675"/>
      <c r="EM83" s="1675"/>
      <c r="EN83" s="1675"/>
      <c r="EO83" s="1675"/>
      <c r="EP83" s="1676"/>
      <c r="EQ83" s="415"/>
      <c r="ER83" s="412"/>
      <c r="ES83" s="1521"/>
      <c r="ET83" s="1522"/>
      <c r="EU83" s="1522"/>
      <c r="EV83" s="1522"/>
      <c r="EW83" s="1522"/>
      <c r="EX83" s="1522"/>
      <c r="EY83" s="1522"/>
      <c r="EZ83" s="1522"/>
      <c r="FA83" s="1522"/>
      <c r="FB83" s="1522"/>
      <c r="FC83" s="1522"/>
      <c r="FD83" s="1522"/>
      <c r="FE83" s="1522"/>
      <c r="FF83" s="1522"/>
      <c r="FG83" s="1522"/>
      <c r="FH83" s="1522"/>
      <c r="FI83" s="1522"/>
      <c r="FJ83" s="1522"/>
      <c r="FK83" s="1522"/>
      <c r="FL83" s="1522"/>
      <c r="FM83" s="1522"/>
      <c r="FN83" s="1522"/>
      <c r="FO83" s="1522"/>
      <c r="FP83" s="1522"/>
      <c r="FQ83" s="1522"/>
      <c r="FR83" s="1522"/>
      <c r="FS83" s="1522"/>
      <c r="FT83" s="1522"/>
      <c r="FU83" s="1522"/>
      <c r="FV83" s="1522"/>
      <c r="FW83" s="1522"/>
      <c r="FX83" s="1522"/>
      <c r="FY83" s="1522"/>
      <c r="FZ83" s="1523"/>
      <c r="GA83" s="446"/>
      <c r="GB83" s="446"/>
      <c r="GC83" s="451"/>
      <c r="GD83" s="452"/>
      <c r="GE83" s="452"/>
      <c r="GF83" s="452"/>
      <c r="GG83" s="452"/>
      <c r="GH83" s="452"/>
      <c r="GI83" s="452"/>
      <c r="GJ83" s="452"/>
      <c r="GK83" s="452"/>
      <c r="GL83" s="452"/>
      <c r="GM83" s="452"/>
      <c r="GN83" s="452"/>
      <c r="GO83" s="452"/>
      <c r="GP83" s="452"/>
      <c r="GQ83" s="452"/>
      <c r="GR83" s="452"/>
      <c r="GS83" s="452"/>
      <c r="GT83" s="452"/>
      <c r="GU83" s="452"/>
      <c r="GV83" s="452"/>
      <c r="GW83" s="452"/>
      <c r="GX83" s="452"/>
      <c r="GY83" s="452"/>
      <c r="GZ83" s="452"/>
      <c r="HA83" s="452"/>
      <c r="HB83" s="452"/>
      <c r="HC83" s="452"/>
      <c r="HD83" s="452"/>
      <c r="HE83" s="452"/>
      <c r="HF83" s="452"/>
      <c r="HG83" s="453"/>
      <c r="HH83" s="453"/>
      <c r="HI83" s="453"/>
      <c r="HJ83" s="454"/>
      <c r="HL83" s="415"/>
    </row>
    <row r="84" spans="2:220" ht="7.5" customHeight="1">
      <c r="B84" s="412"/>
      <c r="C84" s="1358"/>
      <c r="D84" s="1359"/>
      <c r="E84" s="1359"/>
      <c r="F84" s="1359"/>
      <c r="G84" s="1359"/>
      <c r="H84" s="1359"/>
      <c r="I84" s="1359"/>
      <c r="J84" s="1359"/>
      <c r="K84" s="1359"/>
      <c r="L84" s="1359"/>
      <c r="M84" s="1359"/>
      <c r="N84" s="1359"/>
      <c r="O84" s="1359"/>
      <c r="P84" s="1359"/>
      <c r="Q84" s="1359"/>
      <c r="R84" s="1359"/>
      <c r="S84" s="1359"/>
      <c r="T84" s="1360"/>
      <c r="U84" s="1411"/>
      <c r="V84" s="1384"/>
      <c r="W84" s="1412"/>
      <c r="BV84" s="415"/>
      <c r="BW84" s="412"/>
      <c r="BX84" s="1396"/>
      <c r="BY84" s="1385"/>
      <c r="BZ84" s="1385"/>
      <c r="CA84" s="1385"/>
      <c r="CB84" s="1385"/>
      <c r="CC84" s="1385"/>
      <c r="CD84" s="1385"/>
      <c r="CE84" s="1385"/>
      <c r="CF84" s="1385"/>
      <c r="CG84" s="1403"/>
      <c r="CH84" s="1677"/>
      <c r="CI84" s="1678"/>
      <c r="CJ84" s="1678"/>
      <c r="CK84" s="1678"/>
      <c r="CL84" s="1678"/>
      <c r="CM84" s="1678"/>
      <c r="CN84" s="1678"/>
      <c r="CO84" s="1678"/>
      <c r="CP84" s="1678"/>
      <c r="CQ84" s="1678"/>
      <c r="CR84" s="1678"/>
      <c r="CS84" s="1678"/>
      <c r="CT84" s="1678"/>
      <c r="CU84" s="1678"/>
      <c r="CV84" s="1678"/>
      <c r="CW84" s="1678"/>
      <c r="CX84" s="1678"/>
      <c r="CY84" s="1678"/>
      <c r="CZ84" s="1678"/>
      <c r="DA84" s="1678"/>
      <c r="DB84" s="1678"/>
      <c r="DC84" s="1678"/>
      <c r="DD84" s="1678"/>
      <c r="DE84" s="1678"/>
      <c r="DF84" s="1678"/>
      <c r="DG84" s="1678"/>
      <c r="DH84" s="1678"/>
      <c r="DI84" s="1678"/>
      <c r="DJ84" s="1678"/>
      <c r="DK84" s="1678"/>
      <c r="DL84" s="1678"/>
      <c r="DM84" s="1678"/>
      <c r="DN84" s="1678"/>
      <c r="DO84" s="1678"/>
      <c r="DP84" s="1678"/>
      <c r="DQ84" s="1678"/>
      <c r="DR84" s="1678"/>
      <c r="DS84" s="1678"/>
      <c r="DT84" s="1678"/>
      <c r="DU84" s="1678"/>
      <c r="DV84" s="1678"/>
      <c r="DW84" s="1678"/>
      <c r="DX84" s="1678"/>
      <c r="DY84" s="1678"/>
      <c r="DZ84" s="1678"/>
      <c r="EA84" s="1678"/>
      <c r="EB84" s="1678"/>
      <c r="EC84" s="1678"/>
      <c r="ED84" s="1678"/>
      <c r="EE84" s="1678"/>
      <c r="EF84" s="1678"/>
      <c r="EG84" s="1678"/>
      <c r="EH84" s="1678"/>
      <c r="EI84" s="1678"/>
      <c r="EJ84" s="1678"/>
      <c r="EK84" s="1678"/>
      <c r="EL84" s="1678"/>
      <c r="EM84" s="1678"/>
      <c r="EN84" s="1678"/>
      <c r="EO84" s="1678"/>
      <c r="EP84" s="1679"/>
      <c r="EQ84" s="415"/>
      <c r="ER84" s="412"/>
      <c r="ES84" s="1521"/>
      <c r="ET84" s="1522"/>
      <c r="EU84" s="1522"/>
      <c r="EV84" s="1522"/>
      <c r="EW84" s="1522"/>
      <c r="EX84" s="1522"/>
      <c r="EY84" s="1522"/>
      <c r="EZ84" s="1522"/>
      <c r="FA84" s="1522"/>
      <c r="FB84" s="1522"/>
      <c r="FC84" s="1522"/>
      <c r="FD84" s="1522"/>
      <c r="FE84" s="1522"/>
      <c r="FF84" s="1522"/>
      <c r="FG84" s="1522"/>
      <c r="FH84" s="1522"/>
      <c r="FI84" s="1522"/>
      <c r="FJ84" s="1522"/>
      <c r="FK84" s="1522"/>
      <c r="FL84" s="1522"/>
      <c r="FM84" s="1522"/>
      <c r="FN84" s="1522"/>
      <c r="FO84" s="1522"/>
      <c r="FP84" s="1522"/>
      <c r="FQ84" s="1522"/>
      <c r="FR84" s="1522"/>
      <c r="FS84" s="1522"/>
      <c r="FT84" s="1522"/>
      <c r="FU84" s="1522"/>
      <c r="FV84" s="1522"/>
      <c r="FW84" s="1522"/>
      <c r="FX84" s="1522"/>
      <c r="FY84" s="1522"/>
      <c r="FZ84" s="1523"/>
      <c r="GA84" s="446"/>
      <c r="GB84" s="446"/>
      <c r="GC84" s="451"/>
      <c r="GD84" s="452"/>
      <c r="GE84" s="452"/>
      <c r="GF84" s="452"/>
      <c r="GG84" s="452"/>
      <c r="GH84" s="452"/>
      <c r="GI84" s="452"/>
      <c r="GJ84" s="452"/>
      <c r="GK84" s="452"/>
      <c r="GL84" s="452"/>
      <c r="GM84" s="452"/>
      <c r="GN84" s="452"/>
      <c r="GO84" s="452"/>
      <c r="GP84" s="452"/>
      <c r="GQ84" s="452"/>
      <c r="GR84" s="452"/>
      <c r="GS84" s="452"/>
      <c r="GT84" s="452"/>
      <c r="GU84" s="452"/>
      <c r="GV84" s="452"/>
      <c r="GW84" s="452"/>
      <c r="GX84" s="452"/>
      <c r="GY84" s="452"/>
      <c r="GZ84" s="452"/>
      <c r="HA84" s="452"/>
      <c r="HB84" s="452"/>
      <c r="HC84" s="452"/>
      <c r="HD84" s="452"/>
      <c r="HE84" s="452"/>
      <c r="HF84" s="452"/>
      <c r="HG84" s="453"/>
      <c r="HH84" s="453"/>
      <c r="HI84" s="453"/>
      <c r="HJ84" s="454"/>
      <c r="HL84" s="415"/>
    </row>
    <row r="85" spans="2:220" ht="7.5" customHeight="1">
      <c r="B85" s="412"/>
      <c r="C85" s="1361"/>
      <c r="D85" s="1362"/>
      <c r="E85" s="1362"/>
      <c r="F85" s="1362"/>
      <c r="G85" s="1362"/>
      <c r="H85" s="1362"/>
      <c r="I85" s="1362"/>
      <c r="J85" s="1362"/>
      <c r="K85" s="1362"/>
      <c r="L85" s="1362"/>
      <c r="M85" s="1362"/>
      <c r="N85" s="1362"/>
      <c r="O85" s="1362"/>
      <c r="P85" s="1362"/>
      <c r="Q85" s="1362"/>
      <c r="R85" s="1362"/>
      <c r="S85" s="1362"/>
      <c r="T85" s="1363"/>
      <c r="U85" s="1396"/>
      <c r="V85" s="1385"/>
      <c r="W85" s="1403"/>
      <c r="Y85" s="1715" t="s">
        <v>7430</v>
      </c>
      <c r="Z85" s="1715"/>
      <c r="AA85" s="1715"/>
      <c r="AB85" s="1715"/>
      <c r="AC85" s="1715"/>
      <c r="AD85" s="1715"/>
      <c r="AE85" s="1715"/>
      <c r="AF85" s="1715"/>
      <c r="AG85" s="1715"/>
      <c r="AH85" s="1715"/>
      <c r="AI85" s="1715"/>
      <c r="AJ85" s="1715"/>
      <c r="AK85" s="1715"/>
      <c r="AL85" s="1715"/>
      <c r="AM85" s="1715"/>
      <c r="AN85" s="1715"/>
      <c r="AO85" s="1715"/>
      <c r="AP85" s="1715"/>
      <c r="AQ85" s="1715"/>
      <c r="AR85" s="1715"/>
      <c r="AS85" s="1715"/>
      <c r="AT85" s="1715"/>
      <c r="AU85" s="1715"/>
      <c r="AV85" s="1715"/>
      <c r="AX85" s="1715" t="s">
        <v>7431</v>
      </c>
      <c r="AY85" s="1715"/>
      <c r="AZ85" s="1715"/>
      <c r="BA85" s="1715"/>
      <c r="BB85" s="1715"/>
      <c r="BC85" s="1715"/>
      <c r="BD85" s="1715"/>
      <c r="BE85" s="1715"/>
      <c r="BF85" s="1715"/>
      <c r="BG85" s="1715"/>
      <c r="BH85" s="1715"/>
      <c r="BI85" s="1715"/>
      <c r="BJ85" s="1715"/>
      <c r="BK85" s="1715"/>
      <c r="BL85" s="1715"/>
      <c r="BM85" s="1715"/>
      <c r="BN85" s="1715"/>
      <c r="BO85" s="1715"/>
      <c r="BP85" s="1715"/>
      <c r="BQ85" s="1715"/>
      <c r="BR85" s="1715"/>
      <c r="BS85" s="1715"/>
      <c r="BT85" s="1715"/>
      <c r="BU85" s="1715"/>
      <c r="BV85" s="415"/>
      <c r="BW85" s="412"/>
      <c r="CF85" s="419" t="s">
        <v>1905</v>
      </c>
      <c r="CG85" s="231"/>
      <c r="CH85" s="441"/>
      <c r="CI85" s="441"/>
      <c r="CJ85" s="441"/>
      <c r="CK85" s="441"/>
      <c r="CL85" s="441"/>
      <c r="CM85" s="441"/>
      <c r="CN85" s="441"/>
      <c r="CO85" s="441"/>
      <c r="CP85" s="441"/>
      <c r="CQ85" s="441"/>
      <c r="CR85" s="441"/>
      <c r="CS85" s="441"/>
      <c r="CT85" s="441"/>
      <c r="CU85" s="441"/>
      <c r="CV85" s="441"/>
      <c r="CW85" s="441"/>
      <c r="CX85" s="441"/>
      <c r="CY85" s="441"/>
      <c r="CZ85" s="441"/>
      <c r="DA85" s="441"/>
      <c r="DB85" s="441"/>
      <c r="EQ85" s="415"/>
      <c r="ER85" s="412"/>
      <c r="ES85" s="1521"/>
      <c r="ET85" s="1522"/>
      <c r="EU85" s="1522"/>
      <c r="EV85" s="1522"/>
      <c r="EW85" s="1522"/>
      <c r="EX85" s="1522"/>
      <c r="EY85" s="1522"/>
      <c r="EZ85" s="1522"/>
      <c r="FA85" s="1522"/>
      <c r="FB85" s="1522"/>
      <c r="FC85" s="1522"/>
      <c r="FD85" s="1522"/>
      <c r="FE85" s="1522"/>
      <c r="FF85" s="1522"/>
      <c r="FG85" s="1522"/>
      <c r="FH85" s="1522"/>
      <c r="FI85" s="1522"/>
      <c r="FJ85" s="1522"/>
      <c r="FK85" s="1522"/>
      <c r="FL85" s="1522"/>
      <c r="FM85" s="1522"/>
      <c r="FN85" s="1522"/>
      <c r="FO85" s="1522"/>
      <c r="FP85" s="1522"/>
      <c r="FQ85" s="1522"/>
      <c r="FR85" s="1522"/>
      <c r="FS85" s="1522"/>
      <c r="FT85" s="1522"/>
      <c r="FU85" s="1522"/>
      <c r="FV85" s="1522"/>
      <c r="FW85" s="1522"/>
      <c r="FX85" s="1522"/>
      <c r="FY85" s="1522"/>
      <c r="FZ85" s="1523"/>
      <c r="GA85" s="446"/>
      <c r="GB85" s="446"/>
      <c r="GC85" s="451"/>
      <c r="GD85" s="452"/>
      <c r="GE85" s="452"/>
      <c r="GF85" s="452"/>
      <c r="GG85" s="452"/>
      <c r="GH85" s="452"/>
      <c r="GI85" s="452"/>
      <c r="GJ85" s="452"/>
      <c r="GK85" s="452"/>
      <c r="GL85" s="452"/>
      <c r="GM85" s="452"/>
      <c r="GN85" s="452"/>
      <c r="GO85" s="452"/>
      <c r="GP85" s="452"/>
      <c r="GQ85" s="452"/>
      <c r="GR85" s="452"/>
      <c r="GS85" s="452"/>
      <c r="GT85" s="452"/>
      <c r="GU85" s="452"/>
      <c r="GV85" s="452"/>
      <c r="GW85" s="452"/>
      <c r="GX85" s="452"/>
      <c r="GY85" s="452"/>
      <c r="GZ85" s="452"/>
      <c r="HA85" s="452"/>
      <c r="HB85" s="452"/>
      <c r="HC85" s="452"/>
      <c r="HD85" s="452"/>
      <c r="HE85" s="452"/>
      <c r="HF85" s="452"/>
      <c r="HG85" s="453"/>
      <c r="HH85" s="453"/>
      <c r="HI85" s="453"/>
      <c r="HJ85" s="454"/>
      <c r="HL85" s="415"/>
    </row>
    <row r="86" spans="2:220" ht="7.5" customHeight="1">
      <c r="B86" s="412"/>
      <c r="C86" s="1383" t="s">
        <v>7432</v>
      </c>
      <c r="D86" s="1384"/>
      <c r="E86" s="1384"/>
      <c r="F86" s="1384"/>
      <c r="G86" s="1384"/>
      <c r="H86" s="1384"/>
      <c r="I86" s="1384"/>
      <c r="J86" s="1384"/>
      <c r="K86" s="1384"/>
      <c r="L86" s="1384"/>
      <c r="M86" s="1384"/>
      <c r="N86" s="1384"/>
      <c r="O86" s="1384"/>
      <c r="P86" s="1384"/>
      <c r="Q86" s="1384"/>
      <c r="R86" s="1384"/>
      <c r="S86" s="1384"/>
      <c r="T86" s="1384"/>
      <c r="U86" s="1384"/>
      <c r="V86" s="1384"/>
      <c r="W86" s="1384"/>
      <c r="Y86" s="1715"/>
      <c r="Z86" s="1715"/>
      <c r="AA86" s="1715"/>
      <c r="AB86" s="1715"/>
      <c r="AC86" s="1715"/>
      <c r="AD86" s="1715"/>
      <c r="AE86" s="1715"/>
      <c r="AF86" s="1715"/>
      <c r="AG86" s="1715"/>
      <c r="AH86" s="1715"/>
      <c r="AI86" s="1715"/>
      <c r="AJ86" s="1715"/>
      <c r="AK86" s="1715"/>
      <c r="AL86" s="1715"/>
      <c r="AM86" s="1715"/>
      <c r="AN86" s="1715"/>
      <c r="AO86" s="1715"/>
      <c r="AP86" s="1715"/>
      <c r="AQ86" s="1715"/>
      <c r="AR86" s="1715"/>
      <c r="AS86" s="1715"/>
      <c r="AT86" s="1715"/>
      <c r="AU86" s="1715"/>
      <c r="AV86" s="1715"/>
      <c r="AX86" s="1715"/>
      <c r="AY86" s="1715"/>
      <c r="AZ86" s="1715"/>
      <c r="BA86" s="1715"/>
      <c r="BB86" s="1715"/>
      <c r="BC86" s="1715"/>
      <c r="BD86" s="1715"/>
      <c r="BE86" s="1715"/>
      <c r="BF86" s="1715"/>
      <c r="BG86" s="1715"/>
      <c r="BH86" s="1715"/>
      <c r="BI86" s="1715"/>
      <c r="BJ86" s="1715"/>
      <c r="BK86" s="1715"/>
      <c r="BL86" s="1715"/>
      <c r="BM86" s="1715"/>
      <c r="BN86" s="1715"/>
      <c r="BO86" s="1715"/>
      <c r="BP86" s="1715"/>
      <c r="BQ86" s="1715"/>
      <c r="BR86" s="1715"/>
      <c r="BS86" s="1715"/>
      <c r="BT86" s="1715"/>
      <c r="BU86" s="1715"/>
      <c r="BV86" s="415"/>
      <c r="BW86" s="412"/>
      <c r="BX86" s="1641" t="s">
        <v>7433</v>
      </c>
      <c r="BY86" s="1395"/>
      <c r="BZ86" s="1395"/>
      <c r="CA86" s="1395"/>
      <c r="CB86" s="1395"/>
      <c r="CC86" s="1395"/>
      <c r="CD86" s="1395"/>
      <c r="CE86" s="1395"/>
      <c r="CF86" s="1395"/>
      <c r="CG86" s="1402"/>
      <c r="CH86" s="1713"/>
      <c r="CI86" s="1672"/>
      <c r="CJ86" s="1672"/>
      <c r="CK86" s="1672"/>
      <c r="CL86" s="1672"/>
      <c r="CM86" s="1672"/>
      <c r="CN86" s="1672"/>
      <c r="CO86" s="1672"/>
      <c r="CP86" s="1672"/>
      <c r="CQ86" s="1672"/>
      <c r="CR86" s="1672"/>
      <c r="CS86" s="1672"/>
      <c r="CT86" s="1672"/>
      <c r="CU86" s="1672"/>
      <c r="CV86" s="1672"/>
      <c r="CW86" s="1672"/>
      <c r="CX86" s="1672"/>
      <c r="CY86" s="1672"/>
      <c r="CZ86" s="1672"/>
      <c r="DA86" s="1672"/>
      <c r="DB86" s="1672"/>
      <c r="DC86" s="1672"/>
      <c r="DD86" s="1672"/>
      <c r="DE86" s="1672"/>
      <c r="DF86" s="1672"/>
      <c r="DG86" s="1672"/>
      <c r="DH86" s="1672"/>
      <c r="DI86" s="1672"/>
      <c r="DJ86" s="1672"/>
      <c r="DK86" s="1672"/>
      <c r="DL86" s="1672"/>
      <c r="DM86" s="1672"/>
      <c r="DN86" s="1672"/>
      <c r="DO86" s="1672"/>
      <c r="DP86" s="1672"/>
      <c r="DQ86" s="1672"/>
      <c r="DR86" s="1672"/>
      <c r="DS86" s="1672"/>
      <c r="DT86" s="1672"/>
      <c r="DU86" s="1672"/>
      <c r="DV86" s="1672"/>
      <c r="DW86" s="1672"/>
      <c r="DX86" s="1672"/>
      <c r="DY86" s="1672"/>
      <c r="DZ86" s="1672"/>
      <c r="EA86" s="1672"/>
      <c r="EB86" s="1672"/>
      <c r="EC86" s="1672"/>
      <c r="ED86" s="1672"/>
      <c r="EE86" s="1672"/>
      <c r="EF86" s="1672"/>
      <c r="EG86" s="1672"/>
      <c r="EH86" s="1672"/>
      <c r="EI86" s="1672"/>
      <c r="EJ86" s="1672"/>
      <c r="EK86" s="1672"/>
      <c r="EL86" s="1672"/>
      <c r="EM86" s="1672"/>
      <c r="EN86" s="1672"/>
      <c r="EO86" s="1672"/>
      <c r="EP86" s="1673"/>
      <c r="EQ86" s="415"/>
      <c r="ER86" s="412"/>
      <c r="ES86" s="1521"/>
      <c r="ET86" s="1522"/>
      <c r="EU86" s="1522"/>
      <c r="EV86" s="1522"/>
      <c r="EW86" s="1522"/>
      <c r="EX86" s="1522"/>
      <c r="EY86" s="1522"/>
      <c r="EZ86" s="1522"/>
      <c r="FA86" s="1522"/>
      <c r="FB86" s="1522"/>
      <c r="FC86" s="1522"/>
      <c r="FD86" s="1522"/>
      <c r="FE86" s="1522"/>
      <c r="FF86" s="1522"/>
      <c r="FG86" s="1522"/>
      <c r="FH86" s="1522"/>
      <c r="FI86" s="1522"/>
      <c r="FJ86" s="1522"/>
      <c r="FK86" s="1522"/>
      <c r="FL86" s="1522"/>
      <c r="FM86" s="1522"/>
      <c r="FN86" s="1522"/>
      <c r="FO86" s="1522"/>
      <c r="FP86" s="1522"/>
      <c r="FQ86" s="1522"/>
      <c r="FR86" s="1522"/>
      <c r="FS86" s="1522"/>
      <c r="FT86" s="1522"/>
      <c r="FU86" s="1522"/>
      <c r="FV86" s="1522"/>
      <c r="FW86" s="1522"/>
      <c r="FX86" s="1522"/>
      <c r="FY86" s="1522"/>
      <c r="FZ86" s="1523"/>
      <c r="GA86" s="446"/>
      <c r="GB86" s="446"/>
      <c r="GC86" s="451"/>
      <c r="GD86" s="452"/>
      <c r="GE86" s="452"/>
      <c r="GF86" s="452"/>
      <c r="GG86" s="452"/>
      <c r="GH86" s="452"/>
      <c r="GI86" s="452"/>
      <c r="GJ86" s="452"/>
      <c r="GK86" s="452"/>
      <c r="GL86" s="452"/>
      <c r="GM86" s="452"/>
      <c r="GN86" s="452"/>
      <c r="GO86" s="452"/>
      <c r="GP86" s="452"/>
      <c r="GQ86" s="452"/>
      <c r="GR86" s="452"/>
      <c r="GS86" s="452"/>
      <c r="GT86" s="452"/>
      <c r="GU86" s="452"/>
      <c r="GV86" s="452"/>
      <c r="GW86" s="452"/>
      <c r="GX86" s="452"/>
      <c r="GY86" s="452"/>
      <c r="GZ86" s="452"/>
      <c r="HA86" s="452"/>
      <c r="HB86" s="452"/>
      <c r="HC86" s="452"/>
      <c r="HD86" s="452"/>
      <c r="HE86" s="452"/>
      <c r="HF86" s="452"/>
      <c r="HG86" s="453"/>
      <c r="HH86" s="453"/>
      <c r="HI86" s="453"/>
      <c r="HJ86" s="454"/>
      <c r="HL86" s="415"/>
    </row>
    <row r="87" spans="2:220" ht="7.5" customHeight="1">
      <c r="B87" s="412"/>
      <c r="C87" s="1384"/>
      <c r="D87" s="1384"/>
      <c r="E87" s="1384"/>
      <c r="F87" s="1384"/>
      <c r="G87" s="1384"/>
      <c r="H87" s="1384"/>
      <c r="I87" s="1384"/>
      <c r="J87" s="1384"/>
      <c r="K87" s="1384"/>
      <c r="L87" s="1384"/>
      <c r="M87" s="1384"/>
      <c r="N87" s="1384"/>
      <c r="O87" s="1384"/>
      <c r="P87" s="1384"/>
      <c r="Q87" s="1384"/>
      <c r="R87" s="1384"/>
      <c r="S87" s="1384"/>
      <c r="T87" s="1384"/>
      <c r="U87" s="1384"/>
      <c r="V87" s="1384"/>
      <c r="W87" s="1384"/>
      <c r="Y87" s="1716" t="e">
        <f>#REF!</f>
        <v>#REF!</v>
      </c>
      <c r="Z87" s="1665"/>
      <c r="AA87" s="1665"/>
      <c r="AB87" s="1665"/>
      <c r="AC87" s="1665"/>
      <c r="AD87" s="1665"/>
      <c r="AE87" s="1665"/>
      <c r="AF87" s="1665"/>
      <c r="AG87" s="1665"/>
      <c r="AH87" s="1665"/>
      <c r="AI87" s="1665"/>
      <c r="AJ87" s="1665"/>
      <c r="AK87" s="1665"/>
      <c r="AL87" s="1665"/>
      <c r="AM87" s="1665"/>
      <c r="AN87" s="1665"/>
      <c r="AO87" s="1665"/>
      <c r="AP87" s="1665"/>
      <c r="AQ87" s="1665"/>
      <c r="AR87" s="1665"/>
      <c r="AS87" s="1665"/>
      <c r="AT87" s="1665"/>
      <c r="AU87" s="1665"/>
      <c r="AV87" s="1666"/>
      <c r="AX87" s="1716" t="e">
        <f>#REF!</f>
        <v>#REF!</v>
      </c>
      <c r="AY87" s="1665"/>
      <c r="AZ87" s="1665"/>
      <c r="BA87" s="1665"/>
      <c r="BB87" s="1665"/>
      <c r="BC87" s="1665"/>
      <c r="BD87" s="1665"/>
      <c r="BE87" s="1665"/>
      <c r="BF87" s="1665"/>
      <c r="BG87" s="1665"/>
      <c r="BH87" s="1665"/>
      <c r="BI87" s="1665"/>
      <c r="BJ87" s="1665"/>
      <c r="BK87" s="1665"/>
      <c r="BL87" s="1665"/>
      <c r="BM87" s="1665"/>
      <c r="BN87" s="1665"/>
      <c r="BO87" s="1665"/>
      <c r="BP87" s="1665"/>
      <c r="BQ87" s="1665"/>
      <c r="BR87" s="1665"/>
      <c r="BS87" s="1665"/>
      <c r="BT87" s="1665"/>
      <c r="BU87" s="1666"/>
      <c r="BV87" s="415"/>
      <c r="BW87" s="412"/>
      <c r="BX87" s="1411"/>
      <c r="BY87" s="1384"/>
      <c r="BZ87" s="1384"/>
      <c r="CA87" s="1384"/>
      <c r="CB87" s="1384"/>
      <c r="CC87" s="1384"/>
      <c r="CD87" s="1384"/>
      <c r="CE87" s="1384"/>
      <c r="CF87" s="1384"/>
      <c r="CG87" s="1412"/>
      <c r="CH87" s="1674"/>
      <c r="CI87" s="1675"/>
      <c r="CJ87" s="1675"/>
      <c r="CK87" s="1675"/>
      <c r="CL87" s="1675"/>
      <c r="CM87" s="1675"/>
      <c r="CN87" s="1675"/>
      <c r="CO87" s="1675"/>
      <c r="CP87" s="1675"/>
      <c r="CQ87" s="1675"/>
      <c r="CR87" s="1675"/>
      <c r="CS87" s="1675"/>
      <c r="CT87" s="1675"/>
      <c r="CU87" s="1675"/>
      <c r="CV87" s="1675"/>
      <c r="CW87" s="1675"/>
      <c r="CX87" s="1675"/>
      <c r="CY87" s="1675"/>
      <c r="CZ87" s="1675"/>
      <c r="DA87" s="1675"/>
      <c r="DB87" s="1675"/>
      <c r="DC87" s="1675"/>
      <c r="DD87" s="1675"/>
      <c r="DE87" s="1675"/>
      <c r="DF87" s="1675"/>
      <c r="DG87" s="1675"/>
      <c r="DH87" s="1675"/>
      <c r="DI87" s="1675"/>
      <c r="DJ87" s="1675"/>
      <c r="DK87" s="1675"/>
      <c r="DL87" s="1675"/>
      <c r="DM87" s="1675"/>
      <c r="DN87" s="1675"/>
      <c r="DO87" s="1675"/>
      <c r="DP87" s="1675"/>
      <c r="DQ87" s="1675"/>
      <c r="DR87" s="1675"/>
      <c r="DS87" s="1675"/>
      <c r="DT87" s="1675"/>
      <c r="DU87" s="1675"/>
      <c r="DV87" s="1675"/>
      <c r="DW87" s="1675"/>
      <c r="DX87" s="1675"/>
      <c r="DY87" s="1675"/>
      <c r="DZ87" s="1675"/>
      <c r="EA87" s="1675"/>
      <c r="EB87" s="1675"/>
      <c r="EC87" s="1675"/>
      <c r="ED87" s="1675"/>
      <c r="EE87" s="1675"/>
      <c r="EF87" s="1675"/>
      <c r="EG87" s="1675"/>
      <c r="EH87" s="1675"/>
      <c r="EI87" s="1675"/>
      <c r="EJ87" s="1675"/>
      <c r="EK87" s="1675"/>
      <c r="EL87" s="1675"/>
      <c r="EM87" s="1675"/>
      <c r="EN87" s="1675"/>
      <c r="EO87" s="1675"/>
      <c r="EP87" s="1676"/>
      <c r="EQ87" s="415"/>
      <c r="ER87" s="412"/>
      <c r="ES87" s="1521"/>
      <c r="ET87" s="1522"/>
      <c r="EU87" s="1522"/>
      <c r="EV87" s="1522"/>
      <c r="EW87" s="1522"/>
      <c r="EX87" s="1522"/>
      <c r="EY87" s="1522"/>
      <c r="EZ87" s="1522"/>
      <c r="FA87" s="1522"/>
      <c r="FB87" s="1522"/>
      <c r="FC87" s="1522"/>
      <c r="FD87" s="1522"/>
      <c r="FE87" s="1522"/>
      <c r="FF87" s="1522"/>
      <c r="FG87" s="1522"/>
      <c r="FH87" s="1522"/>
      <c r="FI87" s="1522"/>
      <c r="FJ87" s="1522"/>
      <c r="FK87" s="1522"/>
      <c r="FL87" s="1522"/>
      <c r="FM87" s="1522"/>
      <c r="FN87" s="1522"/>
      <c r="FO87" s="1522"/>
      <c r="FP87" s="1522"/>
      <c r="FQ87" s="1522"/>
      <c r="FR87" s="1522"/>
      <c r="FS87" s="1522"/>
      <c r="FT87" s="1522"/>
      <c r="FU87" s="1522"/>
      <c r="FV87" s="1522"/>
      <c r="FW87" s="1522"/>
      <c r="FX87" s="1522"/>
      <c r="FY87" s="1522"/>
      <c r="FZ87" s="1523"/>
      <c r="GA87" s="446"/>
      <c r="GB87" s="446"/>
      <c r="GC87" s="451"/>
      <c r="GD87" s="452"/>
      <c r="GE87" s="452"/>
      <c r="GF87" s="452"/>
      <c r="GG87" s="452"/>
      <c r="GH87" s="452"/>
      <c r="GI87" s="452"/>
      <c r="GJ87" s="452"/>
      <c r="GK87" s="452"/>
      <c r="GL87" s="452"/>
      <c r="GM87" s="452"/>
      <c r="GN87" s="452"/>
      <c r="GO87" s="452"/>
      <c r="GP87" s="452"/>
      <c r="GQ87" s="452"/>
      <c r="GR87" s="452"/>
      <c r="GS87" s="452"/>
      <c r="GT87" s="452"/>
      <c r="GU87" s="452"/>
      <c r="GV87" s="452"/>
      <c r="GW87" s="452"/>
      <c r="GX87" s="452"/>
      <c r="GY87" s="452"/>
      <c r="GZ87" s="452"/>
      <c r="HA87" s="452"/>
      <c r="HB87" s="452"/>
      <c r="HC87" s="452"/>
      <c r="HD87" s="452"/>
      <c r="HE87" s="452"/>
      <c r="HF87" s="452"/>
      <c r="HG87" s="453"/>
      <c r="HH87" s="453"/>
      <c r="HI87" s="453"/>
      <c r="HJ87" s="454"/>
      <c r="HL87" s="415"/>
    </row>
    <row r="88" spans="2:220" ht="7.5" customHeight="1">
      <c r="B88" s="412"/>
      <c r="C88" s="1717" t="e">
        <f>#REF!</f>
        <v>#REF!</v>
      </c>
      <c r="D88" s="1384"/>
      <c r="E88" s="1384"/>
      <c r="F88" s="1384"/>
      <c r="G88" s="1384"/>
      <c r="H88" s="1384"/>
      <c r="I88" s="1384"/>
      <c r="J88" s="1384"/>
      <c r="K88" s="1384"/>
      <c r="L88" s="1384"/>
      <c r="M88" s="1384"/>
      <c r="N88" s="1384"/>
      <c r="O88" s="1384"/>
      <c r="P88" s="1384"/>
      <c r="Q88" s="1384"/>
      <c r="R88" s="1384"/>
      <c r="S88" s="1384"/>
      <c r="T88" s="1384"/>
      <c r="U88" s="1384"/>
      <c r="V88" s="1384"/>
      <c r="W88" s="1412"/>
      <c r="Y88" s="1664"/>
      <c r="Z88" s="1665"/>
      <c r="AA88" s="1665"/>
      <c r="AB88" s="1665"/>
      <c r="AC88" s="1665"/>
      <c r="AD88" s="1665"/>
      <c r="AE88" s="1665"/>
      <c r="AF88" s="1665"/>
      <c r="AG88" s="1665"/>
      <c r="AH88" s="1665"/>
      <c r="AI88" s="1665"/>
      <c r="AJ88" s="1665"/>
      <c r="AK88" s="1665"/>
      <c r="AL88" s="1665"/>
      <c r="AM88" s="1665"/>
      <c r="AN88" s="1665"/>
      <c r="AO88" s="1665"/>
      <c r="AP88" s="1665"/>
      <c r="AQ88" s="1665"/>
      <c r="AR88" s="1665"/>
      <c r="AS88" s="1665"/>
      <c r="AT88" s="1665"/>
      <c r="AU88" s="1665"/>
      <c r="AV88" s="1666"/>
      <c r="AX88" s="1664"/>
      <c r="AY88" s="1665"/>
      <c r="AZ88" s="1665"/>
      <c r="BA88" s="1665"/>
      <c r="BB88" s="1665"/>
      <c r="BC88" s="1665"/>
      <c r="BD88" s="1665"/>
      <c r="BE88" s="1665"/>
      <c r="BF88" s="1665"/>
      <c r="BG88" s="1665"/>
      <c r="BH88" s="1665"/>
      <c r="BI88" s="1665"/>
      <c r="BJ88" s="1665"/>
      <c r="BK88" s="1665"/>
      <c r="BL88" s="1665"/>
      <c r="BM88" s="1665"/>
      <c r="BN88" s="1665"/>
      <c r="BO88" s="1665"/>
      <c r="BP88" s="1665"/>
      <c r="BQ88" s="1665"/>
      <c r="BR88" s="1665"/>
      <c r="BS88" s="1665"/>
      <c r="BT88" s="1665"/>
      <c r="BU88" s="1666"/>
      <c r="BV88" s="415"/>
      <c r="BW88" s="412"/>
      <c r="BX88" s="1411"/>
      <c r="BY88" s="1384"/>
      <c r="BZ88" s="1384"/>
      <c r="CA88" s="1384"/>
      <c r="CB88" s="1384"/>
      <c r="CC88" s="1384"/>
      <c r="CD88" s="1384"/>
      <c r="CE88" s="1384"/>
      <c r="CF88" s="1384"/>
      <c r="CG88" s="1412"/>
      <c r="CH88" s="1674"/>
      <c r="CI88" s="1675"/>
      <c r="CJ88" s="1675"/>
      <c r="CK88" s="1675"/>
      <c r="CL88" s="1675"/>
      <c r="CM88" s="1675"/>
      <c r="CN88" s="1675"/>
      <c r="CO88" s="1675"/>
      <c r="CP88" s="1675"/>
      <c r="CQ88" s="1675"/>
      <c r="CR88" s="1675"/>
      <c r="CS88" s="1675"/>
      <c r="CT88" s="1675"/>
      <c r="CU88" s="1675"/>
      <c r="CV88" s="1675"/>
      <c r="CW88" s="1675"/>
      <c r="CX88" s="1675"/>
      <c r="CY88" s="1675"/>
      <c r="CZ88" s="1675"/>
      <c r="DA88" s="1675"/>
      <c r="DB88" s="1675"/>
      <c r="DC88" s="1675"/>
      <c r="DD88" s="1675"/>
      <c r="DE88" s="1675"/>
      <c r="DF88" s="1675"/>
      <c r="DG88" s="1675"/>
      <c r="DH88" s="1675"/>
      <c r="DI88" s="1675"/>
      <c r="DJ88" s="1675"/>
      <c r="DK88" s="1675"/>
      <c r="DL88" s="1675"/>
      <c r="DM88" s="1675"/>
      <c r="DN88" s="1675"/>
      <c r="DO88" s="1675"/>
      <c r="DP88" s="1675"/>
      <c r="DQ88" s="1675"/>
      <c r="DR88" s="1675"/>
      <c r="DS88" s="1675"/>
      <c r="DT88" s="1675"/>
      <c r="DU88" s="1675"/>
      <c r="DV88" s="1675"/>
      <c r="DW88" s="1675"/>
      <c r="DX88" s="1675"/>
      <c r="DY88" s="1675"/>
      <c r="DZ88" s="1675"/>
      <c r="EA88" s="1675"/>
      <c r="EB88" s="1675"/>
      <c r="EC88" s="1675"/>
      <c r="ED88" s="1675"/>
      <c r="EE88" s="1675"/>
      <c r="EF88" s="1675"/>
      <c r="EG88" s="1675"/>
      <c r="EH88" s="1675"/>
      <c r="EI88" s="1675"/>
      <c r="EJ88" s="1675"/>
      <c r="EK88" s="1675"/>
      <c r="EL88" s="1675"/>
      <c r="EM88" s="1675"/>
      <c r="EN88" s="1675"/>
      <c r="EO88" s="1675"/>
      <c r="EP88" s="1676"/>
      <c r="EQ88" s="415"/>
      <c r="ER88" s="412"/>
      <c r="ES88" s="1521"/>
      <c r="ET88" s="1522"/>
      <c r="EU88" s="1522"/>
      <c r="EV88" s="1522"/>
      <c r="EW88" s="1522"/>
      <c r="EX88" s="1522"/>
      <c r="EY88" s="1522"/>
      <c r="EZ88" s="1522"/>
      <c r="FA88" s="1522"/>
      <c r="FB88" s="1522"/>
      <c r="FC88" s="1522"/>
      <c r="FD88" s="1522"/>
      <c r="FE88" s="1522"/>
      <c r="FF88" s="1522"/>
      <c r="FG88" s="1522"/>
      <c r="FH88" s="1522"/>
      <c r="FI88" s="1522"/>
      <c r="FJ88" s="1522"/>
      <c r="FK88" s="1522"/>
      <c r="FL88" s="1522"/>
      <c r="FM88" s="1522"/>
      <c r="FN88" s="1522"/>
      <c r="FO88" s="1522"/>
      <c r="FP88" s="1522"/>
      <c r="FQ88" s="1522"/>
      <c r="FR88" s="1522"/>
      <c r="FS88" s="1522"/>
      <c r="FT88" s="1522"/>
      <c r="FU88" s="1522"/>
      <c r="FV88" s="1522"/>
      <c r="FW88" s="1522"/>
      <c r="FX88" s="1522"/>
      <c r="FY88" s="1522"/>
      <c r="FZ88" s="1523"/>
      <c r="GA88" s="446"/>
      <c r="GB88" s="446"/>
      <c r="GC88" s="451"/>
      <c r="GD88" s="452"/>
      <c r="GE88" s="452"/>
      <c r="GF88" s="452"/>
      <c r="GG88" s="452"/>
      <c r="GH88" s="452"/>
      <c r="GI88" s="452"/>
      <c r="GJ88" s="452"/>
      <c r="GK88" s="452"/>
      <c r="GL88" s="452"/>
      <c r="GM88" s="452"/>
      <c r="GN88" s="452"/>
      <c r="GO88" s="452"/>
      <c r="GP88" s="452"/>
      <c r="GQ88" s="452"/>
      <c r="GR88" s="452"/>
      <c r="GS88" s="452"/>
      <c r="GT88" s="452"/>
      <c r="GU88" s="452"/>
      <c r="GV88" s="452"/>
      <c r="GW88" s="452"/>
      <c r="GX88" s="452"/>
      <c r="GY88" s="452"/>
      <c r="GZ88" s="452"/>
      <c r="HA88" s="452"/>
      <c r="HB88" s="452"/>
      <c r="HC88" s="452"/>
      <c r="HD88" s="452"/>
      <c r="HE88" s="452"/>
      <c r="HF88" s="452"/>
      <c r="HG88" s="453"/>
      <c r="HH88" s="453"/>
      <c r="HI88" s="453"/>
      <c r="HJ88" s="454"/>
      <c r="HL88" s="415"/>
    </row>
    <row r="89" spans="2:220" ht="7.5" customHeight="1">
      <c r="B89" s="412"/>
      <c r="C89" s="1411"/>
      <c r="D89" s="1384"/>
      <c r="E89" s="1384"/>
      <c r="F89" s="1384"/>
      <c r="G89" s="1384"/>
      <c r="H89" s="1384"/>
      <c r="I89" s="1384"/>
      <c r="J89" s="1384"/>
      <c r="K89" s="1384"/>
      <c r="L89" s="1384"/>
      <c r="M89" s="1384"/>
      <c r="N89" s="1384"/>
      <c r="O89" s="1384"/>
      <c r="P89" s="1384"/>
      <c r="Q89" s="1384"/>
      <c r="R89" s="1384"/>
      <c r="S89" s="1384"/>
      <c r="T89" s="1384"/>
      <c r="U89" s="1384"/>
      <c r="V89" s="1384"/>
      <c r="W89" s="1412"/>
      <c r="Y89" s="1664"/>
      <c r="Z89" s="1665"/>
      <c r="AA89" s="1665"/>
      <c r="AB89" s="1665"/>
      <c r="AC89" s="1665"/>
      <c r="AD89" s="1665"/>
      <c r="AE89" s="1665"/>
      <c r="AF89" s="1665"/>
      <c r="AG89" s="1665"/>
      <c r="AH89" s="1665"/>
      <c r="AI89" s="1665"/>
      <c r="AJ89" s="1665"/>
      <c r="AK89" s="1665"/>
      <c r="AL89" s="1665"/>
      <c r="AM89" s="1665"/>
      <c r="AN89" s="1665"/>
      <c r="AO89" s="1665"/>
      <c r="AP89" s="1665"/>
      <c r="AQ89" s="1665"/>
      <c r="AR89" s="1665"/>
      <c r="AS89" s="1665"/>
      <c r="AT89" s="1665"/>
      <c r="AU89" s="1665"/>
      <c r="AV89" s="1666"/>
      <c r="AX89" s="1664"/>
      <c r="AY89" s="1665"/>
      <c r="AZ89" s="1665"/>
      <c r="BA89" s="1665"/>
      <c r="BB89" s="1665"/>
      <c r="BC89" s="1665"/>
      <c r="BD89" s="1665"/>
      <c r="BE89" s="1665"/>
      <c r="BF89" s="1665"/>
      <c r="BG89" s="1665"/>
      <c r="BH89" s="1665"/>
      <c r="BI89" s="1665"/>
      <c r="BJ89" s="1665"/>
      <c r="BK89" s="1665"/>
      <c r="BL89" s="1665"/>
      <c r="BM89" s="1665"/>
      <c r="BN89" s="1665"/>
      <c r="BO89" s="1665"/>
      <c r="BP89" s="1665"/>
      <c r="BQ89" s="1665"/>
      <c r="BR89" s="1665"/>
      <c r="BS89" s="1665"/>
      <c r="BT89" s="1665"/>
      <c r="BU89" s="1666"/>
      <c r="BV89" s="415"/>
      <c r="BW89" s="412"/>
      <c r="BX89" s="1396"/>
      <c r="BY89" s="1385"/>
      <c r="BZ89" s="1385"/>
      <c r="CA89" s="1385"/>
      <c r="CB89" s="1385"/>
      <c r="CC89" s="1385"/>
      <c r="CD89" s="1385"/>
      <c r="CE89" s="1385"/>
      <c r="CF89" s="1385"/>
      <c r="CG89" s="1403"/>
      <c r="CH89" s="1677"/>
      <c r="CI89" s="1678"/>
      <c r="CJ89" s="1678"/>
      <c r="CK89" s="1678"/>
      <c r="CL89" s="1678"/>
      <c r="CM89" s="1678"/>
      <c r="CN89" s="1678"/>
      <c r="CO89" s="1678"/>
      <c r="CP89" s="1678"/>
      <c r="CQ89" s="1678"/>
      <c r="CR89" s="1678"/>
      <c r="CS89" s="1678"/>
      <c r="CT89" s="1678"/>
      <c r="CU89" s="1678"/>
      <c r="CV89" s="1678"/>
      <c r="CW89" s="1678"/>
      <c r="CX89" s="1678"/>
      <c r="CY89" s="1678"/>
      <c r="CZ89" s="1678"/>
      <c r="DA89" s="1678"/>
      <c r="DB89" s="1678"/>
      <c r="DC89" s="1678"/>
      <c r="DD89" s="1678"/>
      <c r="DE89" s="1678"/>
      <c r="DF89" s="1678"/>
      <c r="DG89" s="1678"/>
      <c r="DH89" s="1678"/>
      <c r="DI89" s="1678"/>
      <c r="DJ89" s="1678"/>
      <c r="DK89" s="1678"/>
      <c r="DL89" s="1678"/>
      <c r="DM89" s="1678"/>
      <c r="DN89" s="1678"/>
      <c r="DO89" s="1678"/>
      <c r="DP89" s="1678"/>
      <c r="DQ89" s="1678"/>
      <c r="DR89" s="1678"/>
      <c r="DS89" s="1678"/>
      <c r="DT89" s="1678"/>
      <c r="DU89" s="1678"/>
      <c r="DV89" s="1678"/>
      <c r="DW89" s="1678"/>
      <c r="DX89" s="1678"/>
      <c r="DY89" s="1678"/>
      <c r="DZ89" s="1678"/>
      <c r="EA89" s="1678"/>
      <c r="EB89" s="1678"/>
      <c r="EC89" s="1678"/>
      <c r="ED89" s="1678"/>
      <c r="EE89" s="1678"/>
      <c r="EF89" s="1678"/>
      <c r="EG89" s="1678"/>
      <c r="EH89" s="1678"/>
      <c r="EI89" s="1678"/>
      <c r="EJ89" s="1678"/>
      <c r="EK89" s="1678"/>
      <c r="EL89" s="1678"/>
      <c r="EM89" s="1678"/>
      <c r="EN89" s="1678"/>
      <c r="EO89" s="1678"/>
      <c r="EP89" s="1679"/>
      <c r="EQ89" s="415"/>
      <c r="ER89" s="412"/>
      <c r="ES89" s="1521"/>
      <c r="ET89" s="1522"/>
      <c r="EU89" s="1522"/>
      <c r="EV89" s="1522"/>
      <c r="EW89" s="1522"/>
      <c r="EX89" s="1522"/>
      <c r="EY89" s="1522"/>
      <c r="EZ89" s="1522"/>
      <c r="FA89" s="1522"/>
      <c r="FB89" s="1522"/>
      <c r="FC89" s="1522"/>
      <c r="FD89" s="1522"/>
      <c r="FE89" s="1522"/>
      <c r="FF89" s="1522"/>
      <c r="FG89" s="1522"/>
      <c r="FH89" s="1522"/>
      <c r="FI89" s="1522"/>
      <c r="FJ89" s="1522"/>
      <c r="FK89" s="1522"/>
      <c r="FL89" s="1522"/>
      <c r="FM89" s="1522"/>
      <c r="FN89" s="1522"/>
      <c r="FO89" s="1522"/>
      <c r="FP89" s="1522"/>
      <c r="FQ89" s="1522"/>
      <c r="FR89" s="1522"/>
      <c r="FS89" s="1522"/>
      <c r="FT89" s="1522"/>
      <c r="FU89" s="1522"/>
      <c r="FV89" s="1522"/>
      <c r="FW89" s="1522"/>
      <c r="FX89" s="1522"/>
      <c r="FY89" s="1522"/>
      <c r="FZ89" s="1523"/>
      <c r="GA89" s="446"/>
      <c r="GB89" s="446"/>
      <c r="GC89" s="451"/>
      <c r="GD89" s="452"/>
      <c r="GE89" s="452"/>
      <c r="GF89" s="452"/>
      <c r="GG89" s="452"/>
      <c r="GH89" s="452"/>
      <c r="GI89" s="452"/>
      <c r="GJ89" s="452"/>
      <c r="GK89" s="452"/>
      <c r="GL89" s="452"/>
      <c r="GM89" s="452"/>
      <c r="GN89" s="452"/>
      <c r="GO89" s="452"/>
      <c r="GP89" s="452"/>
      <c r="GQ89" s="452"/>
      <c r="GR89" s="452"/>
      <c r="GS89" s="452"/>
      <c r="GT89" s="452"/>
      <c r="GU89" s="452"/>
      <c r="GV89" s="452"/>
      <c r="GW89" s="452"/>
      <c r="GX89" s="452"/>
      <c r="GY89" s="452"/>
      <c r="GZ89" s="452"/>
      <c r="HA89" s="452"/>
      <c r="HB89" s="452"/>
      <c r="HC89" s="452"/>
      <c r="HD89" s="452"/>
      <c r="HE89" s="452"/>
      <c r="HF89" s="452"/>
      <c r="HG89" s="453"/>
      <c r="HH89" s="453"/>
      <c r="HI89" s="453"/>
      <c r="HJ89" s="454"/>
      <c r="HL89" s="415"/>
    </row>
    <row r="90" spans="2:220" ht="7.5" customHeight="1">
      <c r="B90" s="412"/>
      <c r="C90" s="1396"/>
      <c r="D90" s="1385"/>
      <c r="E90" s="1385"/>
      <c r="F90" s="1385"/>
      <c r="G90" s="1385"/>
      <c r="H90" s="1385"/>
      <c r="I90" s="1385"/>
      <c r="J90" s="1385"/>
      <c r="K90" s="1385"/>
      <c r="L90" s="1385"/>
      <c r="M90" s="1385"/>
      <c r="N90" s="1385"/>
      <c r="O90" s="1385"/>
      <c r="P90" s="1385"/>
      <c r="Q90" s="1385"/>
      <c r="R90" s="1385"/>
      <c r="S90" s="1385"/>
      <c r="T90" s="1385"/>
      <c r="U90" s="1385"/>
      <c r="V90" s="1385"/>
      <c r="W90" s="1403"/>
      <c r="Y90" s="1664"/>
      <c r="Z90" s="1665"/>
      <c r="AA90" s="1665"/>
      <c r="AB90" s="1665"/>
      <c r="AC90" s="1665"/>
      <c r="AD90" s="1665"/>
      <c r="AE90" s="1665"/>
      <c r="AF90" s="1665"/>
      <c r="AG90" s="1665"/>
      <c r="AH90" s="1665"/>
      <c r="AI90" s="1665"/>
      <c r="AJ90" s="1665"/>
      <c r="AK90" s="1665"/>
      <c r="AL90" s="1665"/>
      <c r="AM90" s="1665"/>
      <c r="AN90" s="1665"/>
      <c r="AO90" s="1665"/>
      <c r="AP90" s="1665"/>
      <c r="AQ90" s="1665"/>
      <c r="AR90" s="1665"/>
      <c r="AS90" s="1665"/>
      <c r="AT90" s="1665"/>
      <c r="AU90" s="1665"/>
      <c r="AV90" s="1666"/>
      <c r="AX90" s="1664"/>
      <c r="AY90" s="1665"/>
      <c r="AZ90" s="1665"/>
      <c r="BA90" s="1665"/>
      <c r="BB90" s="1665"/>
      <c r="BC90" s="1665"/>
      <c r="BD90" s="1665"/>
      <c r="BE90" s="1665"/>
      <c r="BF90" s="1665"/>
      <c r="BG90" s="1665"/>
      <c r="BH90" s="1665"/>
      <c r="BI90" s="1665"/>
      <c r="BJ90" s="1665"/>
      <c r="BK90" s="1665"/>
      <c r="BL90" s="1665"/>
      <c r="BM90" s="1665"/>
      <c r="BN90" s="1665"/>
      <c r="BO90" s="1665"/>
      <c r="BP90" s="1665"/>
      <c r="BQ90" s="1665"/>
      <c r="BR90" s="1665"/>
      <c r="BS90" s="1665"/>
      <c r="BT90" s="1665"/>
      <c r="BU90" s="1666"/>
      <c r="BV90" s="415"/>
      <c r="BW90" s="412"/>
      <c r="EQ90" s="415"/>
      <c r="ER90" s="412"/>
      <c r="ES90" s="1521"/>
      <c r="ET90" s="1522"/>
      <c r="EU90" s="1522"/>
      <c r="EV90" s="1522"/>
      <c r="EW90" s="1522"/>
      <c r="EX90" s="1522"/>
      <c r="EY90" s="1522"/>
      <c r="EZ90" s="1522"/>
      <c r="FA90" s="1522"/>
      <c r="FB90" s="1522"/>
      <c r="FC90" s="1522"/>
      <c r="FD90" s="1522"/>
      <c r="FE90" s="1522"/>
      <c r="FF90" s="1522"/>
      <c r="FG90" s="1522"/>
      <c r="FH90" s="1522"/>
      <c r="FI90" s="1522"/>
      <c r="FJ90" s="1522"/>
      <c r="FK90" s="1522"/>
      <c r="FL90" s="1522"/>
      <c r="FM90" s="1522"/>
      <c r="FN90" s="1522"/>
      <c r="FO90" s="1522"/>
      <c r="FP90" s="1522"/>
      <c r="FQ90" s="1522"/>
      <c r="FR90" s="1522"/>
      <c r="FS90" s="1522"/>
      <c r="FT90" s="1522"/>
      <c r="FU90" s="1522"/>
      <c r="FV90" s="1522"/>
      <c r="FW90" s="1522"/>
      <c r="FX90" s="1522"/>
      <c r="FY90" s="1522"/>
      <c r="FZ90" s="1523"/>
      <c r="GA90" s="446"/>
      <c r="GB90" s="446"/>
      <c r="GC90" s="451"/>
      <c r="GD90" s="452"/>
      <c r="GE90" s="452"/>
      <c r="GF90" s="452"/>
      <c r="GG90" s="452"/>
      <c r="GH90" s="452"/>
      <c r="GI90" s="452"/>
      <c r="GJ90" s="452"/>
      <c r="GK90" s="452"/>
      <c r="GL90" s="452"/>
      <c r="GM90" s="452"/>
      <c r="GN90" s="452"/>
      <c r="GO90" s="452"/>
      <c r="GP90" s="452"/>
      <c r="GQ90" s="452"/>
      <c r="GR90" s="452"/>
      <c r="GS90" s="452"/>
      <c r="GT90" s="452"/>
      <c r="GU90" s="452"/>
      <c r="GV90" s="452"/>
      <c r="GW90" s="452"/>
      <c r="GX90" s="452"/>
      <c r="GY90" s="452"/>
      <c r="GZ90" s="452"/>
      <c r="HA90" s="452"/>
      <c r="HB90" s="452"/>
      <c r="HC90" s="452"/>
      <c r="HD90" s="452"/>
      <c r="HE90" s="452"/>
      <c r="HF90" s="452"/>
      <c r="HG90" s="453"/>
      <c r="HH90" s="453"/>
      <c r="HI90" s="453"/>
      <c r="HJ90" s="454"/>
      <c r="HL90" s="415"/>
    </row>
    <row r="91" spans="2:220" ht="7.5" customHeight="1">
      <c r="B91" s="412"/>
      <c r="C91" s="1715" t="s">
        <v>7434</v>
      </c>
      <c r="D91" s="1359"/>
      <c r="E91" s="1359"/>
      <c r="F91" s="1359"/>
      <c r="G91" s="1359"/>
      <c r="H91" s="1359"/>
      <c r="I91" s="1359"/>
      <c r="J91" s="1359"/>
      <c r="K91" s="1359"/>
      <c r="L91" s="1359"/>
      <c r="M91" s="1359"/>
      <c r="N91" s="1359"/>
      <c r="O91" s="1359"/>
      <c r="P91" s="1359"/>
      <c r="Q91" s="1359"/>
      <c r="R91" s="1359"/>
      <c r="S91" s="1359"/>
      <c r="T91" s="1359"/>
      <c r="U91" s="1359"/>
      <c r="V91" s="1359"/>
      <c r="W91" s="1359"/>
      <c r="Y91" s="1667"/>
      <c r="Z91" s="1668"/>
      <c r="AA91" s="1668"/>
      <c r="AB91" s="1668"/>
      <c r="AC91" s="1668"/>
      <c r="AD91" s="1668"/>
      <c r="AE91" s="1668"/>
      <c r="AF91" s="1668"/>
      <c r="AG91" s="1668"/>
      <c r="AH91" s="1668"/>
      <c r="AI91" s="1668"/>
      <c r="AJ91" s="1668"/>
      <c r="AK91" s="1668"/>
      <c r="AL91" s="1668"/>
      <c r="AM91" s="1668"/>
      <c r="AN91" s="1668"/>
      <c r="AO91" s="1668"/>
      <c r="AP91" s="1668"/>
      <c r="AQ91" s="1668"/>
      <c r="AR91" s="1668"/>
      <c r="AS91" s="1668"/>
      <c r="AT91" s="1668"/>
      <c r="AU91" s="1668"/>
      <c r="AV91" s="1669"/>
      <c r="AX91" s="1667"/>
      <c r="AY91" s="1668"/>
      <c r="AZ91" s="1668"/>
      <c r="BA91" s="1668"/>
      <c r="BB91" s="1668"/>
      <c r="BC91" s="1668"/>
      <c r="BD91" s="1668"/>
      <c r="BE91" s="1668"/>
      <c r="BF91" s="1668"/>
      <c r="BG91" s="1668"/>
      <c r="BH91" s="1668"/>
      <c r="BI91" s="1668"/>
      <c r="BJ91" s="1668"/>
      <c r="BK91" s="1668"/>
      <c r="BL91" s="1668"/>
      <c r="BM91" s="1668"/>
      <c r="BN91" s="1668"/>
      <c r="BO91" s="1668"/>
      <c r="BP91" s="1668"/>
      <c r="BQ91" s="1668"/>
      <c r="BR91" s="1668"/>
      <c r="BS91" s="1668"/>
      <c r="BT91" s="1668"/>
      <c r="BU91" s="1669"/>
      <c r="BV91" s="415"/>
      <c r="BW91" s="412"/>
      <c r="BX91" s="1641" t="s">
        <v>7435</v>
      </c>
      <c r="BY91" s="1395"/>
      <c r="BZ91" s="1395"/>
      <c r="CA91" s="1395"/>
      <c r="CB91" s="1395"/>
      <c r="CC91" s="1395"/>
      <c r="CD91" s="1395"/>
      <c r="CE91" s="1395"/>
      <c r="CF91" s="1395"/>
      <c r="CG91" s="1402"/>
      <c r="CH91" s="1713"/>
      <c r="CI91" s="1672"/>
      <c r="CJ91" s="1672"/>
      <c r="CK91" s="1672"/>
      <c r="CL91" s="1672"/>
      <c r="CM91" s="1672"/>
      <c r="CN91" s="1672"/>
      <c r="CO91" s="1672"/>
      <c r="CP91" s="1672"/>
      <c r="CQ91" s="1672"/>
      <c r="CR91" s="1672"/>
      <c r="CS91" s="1672"/>
      <c r="CT91" s="1672"/>
      <c r="CU91" s="1672"/>
      <c r="CV91" s="1672"/>
      <c r="CW91" s="1672"/>
      <c r="CX91" s="1672"/>
      <c r="CY91" s="1672"/>
      <c r="CZ91" s="1672"/>
      <c r="DA91" s="1672"/>
      <c r="DB91" s="1672"/>
      <c r="DC91" s="1672"/>
      <c r="DD91" s="1672"/>
      <c r="DE91" s="1672"/>
      <c r="DF91" s="1672"/>
      <c r="DG91" s="1672"/>
      <c r="DH91" s="1672"/>
      <c r="DI91" s="1672"/>
      <c r="DJ91" s="1672"/>
      <c r="DK91" s="1672"/>
      <c r="DL91" s="1672"/>
      <c r="DM91" s="1672"/>
      <c r="DN91" s="1672"/>
      <c r="DO91" s="1672"/>
      <c r="DP91" s="1672"/>
      <c r="DQ91" s="1672"/>
      <c r="DR91" s="1672"/>
      <c r="DS91" s="1672"/>
      <c r="DT91" s="1672"/>
      <c r="DU91" s="1672"/>
      <c r="DV91" s="1672"/>
      <c r="DW91" s="1672"/>
      <c r="DX91" s="1672"/>
      <c r="DY91" s="1672"/>
      <c r="DZ91" s="1672"/>
      <c r="EA91" s="1672"/>
      <c r="EB91" s="1672"/>
      <c r="EC91" s="1672"/>
      <c r="ED91" s="1672"/>
      <c r="EE91" s="1672"/>
      <c r="EF91" s="1672"/>
      <c r="EG91" s="1672"/>
      <c r="EH91" s="1672"/>
      <c r="EI91" s="1672"/>
      <c r="EJ91" s="1672"/>
      <c r="EK91" s="1672"/>
      <c r="EL91" s="1672"/>
      <c r="EM91" s="1672"/>
      <c r="EN91" s="1672"/>
      <c r="EO91" s="1672"/>
      <c r="EP91" s="1673"/>
      <c r="EQ91" s="415"/>
      <c r="ER91" s="412"/>
      <c r="ES91" s="1521"/>
      <c r="ET91" s="1522"/>
      <c r="EU91" s="1522"/>
      <c r="EV91" s="1522"/>
      <c r="EW91" s="1522"/>
      <c r="EX91" s="1522"/>
      <c r="EY91" s="1522"/>
      <c r="EZ91" s="1522"/>
      <c r="FA91" s="1522"/>
      <c r="FB91" s="1522"/>
      <c r="FC91" s="1522"/>
      <c r="FD91" s="1522"/>
      <c r="FE91" s="1522"/>
      <c r="FF91" s="1522"/>
      <c r="FG91" s="1522"/>
      <c r="FH91" s="1522"/>
      <c r="FI91" s="1522"/>
      <c r="FJ91" s="1522"/>
      <c r="FK91" s="1522"/>
      <c r="FL91" s="1522"/>
      <c r="FM91" s="1522"/>
      <c r="FN91" s="1522"/>
      <c r="FO91" s="1522"/>
      <c r="FP91" s="1522"/>
      <c r="FQ91" s="1522"/>
      <c r="FR91" s="1522"/>
      <c r="FS91" s="1522"/>
      <c r="FT91" s="1522"/>
      <c r="FU91" s="1522"/>
      <c r="FV91" s="1522"/>
      <c r="FW91" s="1522"/>
      <c r="FX91" s="1522"/>
      <c r="FY91" s="1522"/>
      <c r="FZ91" s="1523"/>
      <c r="GA91" s="446"/>
      <c r="GB91" s="446"/>
      <c r="GC91" s="451"/>
      <c r="GD91" s="452"/>
      <c r="GE91" s="452"/>
      <c r="GF91" s="452"/>
      <c r="GG91" s="452"/>
      <c r="GH91" s="452"/>
      <c r="GI91" s="452"/>
      <c r="GJ91" s="452"/>
      <c r="GK91" s="452"/>
      <c r="GL91" s="452"/>
      <c r="GM91" s="452"/>
      <c r="GN91" s="452"/>
      <c r="GO91" s="452"/>
      <c r="GP91" s="452"/>
      <c r="GQ91" s="452"/>
      <c r="GR91" s="452"/>
      <c r="GS91" s="452"/>
      <c r="GT91" s="452"/>
      <c r="GU91" s="452"/>
      <c r="GV91" s="452"/>
      <c r="GW91" s="452"/>
      <c r="GX91" s="452"/>
      <c r="GY91" s="452"/>
      <c r="GZ91" s="452"/>
      <c r="HA91" s="452"/>
      <c r="HB91" s="452"/>
      <c r="HC91" s="452"/>
      <c r="HD91" s="452"/>
      <c r="HE91" s="452"/>
      <c r="HF91" s="452"/>
      <c r="HG91" s="453"/>
      <c r="HH91" s="453"/>
      <c r="HI91" s="453"/>
      <c r="HJ91" s="454"/>
      <c r="HL91" s="415"/>
    </row>
    <row r="92" spans="2:220" ht="7.5" customHeight="1" thickBot="1">
      <c r="B92" s="412"/>
      <c r="C92" s="1362"/>
      <c r="D92" s="1362"/>
      <c r="E92" s="1362"/>
      <c r="F92" s="1362"/>
      <c r="G92" s="1362"/>
      <c r="H92" s="1362"/>
      <c r="I92" s="1362"/>
      <c r="J92" s="1362"/>
      <c r="K92" s="1362"/>
      <c r="L92" s="1362"/>
      <c r="M92" s="1362"/>
      <c r="N92" s="1362"/>
      <c r="O92" s="1362"/>
      <c r="P92" s="1362"/>
      <c r="Q92" s="1362"/>
      <c r="R92" s="1362"/>
      <c r="S92" s="1362"/>
      <c r="T92" s="1362"/>
      <c r="U92" s="1362"/>
      <c r="V92" s="1362"/>
      <c r="W92" s="1362"/>
      <c r="BV92" s="415"/>
      <c r="BW92" s="412"/>
      <c r="BX92" s="1411"/>
      <c r="BY92" s="1384"/>
      <c r="BZ92" s="1384"/>
      <c r="CA92" s="1384"/>
      <c r="CB92" s="1384"/>
      <c r="CC92" s="1384"/>
      <c r="CD92" s="1384"/>
      <c r="CE92" s="1384"/>
      <c r="CF92" s="1384"/>
      <c r="CG92" s="1412"/>
      <c r="CH92" s="1674"/>
      <c r="CI92" s="1675"/>
      <c r="CJ92" s="1675"/>
      <c r="CK92" s="1675"/>
      <c r="CL92" s="1675"/>
      <c r="CM92" s="1675"/>
      <c r="CN92" s="1675"/>
      <c r="CO92" s="1675"/>
      <c r="CP92" s="1675"/>
      <c r="CQ92" s="1675"/>
      <c r="CR92" s="1675"/>
      <c r="CS92" s="1675"/>
      <c r="CT92" s="1675"/>
      <c r="CU92" s="1675"/>
      <c r="CV92" s="1675"/>
      <c r="CW92" s="1675"/>
      <c r="CX92" s="1675"/>
      <c r="CY92" s="1675"/>
      <c r="CZ92" s="1675"/>
      <c r="DA92" s="1675"/>
      <c r="DB92" s="1675"/>
      <c r="DC92" s="1675"/>
      <c r="DD92" s="1675"/>
      <c r="DE92" s="1675"/>
      <c r="DF92" s="1675"/>
      <c r="DG92" s="1675"/>
      <c r="DH92" s="1675"/>
      <c r="DI92" s="1675"/>
      <c r="DJ92" s="1675"/>
      <c r="DK92" s="1675"/>
      <c r="DL92" s="1675"/>
      <c r="DM92" s="1675"/>
      <c r="DN92" s="1675"/>
      <c r="DO92" s="1675"/>
      <c r="DP92" s="1675"/>
      <c r="DQ92" s="1675"/>
      <c r="DR92" s="1675"/>
      <c r="DS92" s="1675"/>
      <c r="DT92" s="1675"/>
      <c r="DU92" s="1675"/>
      <c r="DV92" s="1675"/>
      <c r="DW92" s="1675"/>
      <c r="DX92" s="1675"/>
      <c r="DY92" s="1675"/>
      <c r="DZ92" s="1675"/>
      <c r="EA92" s="1675"/>
      <c r="EB92" s="1675"/>
      <c r="EC92" s="1675"/>
      <c r="ED92" s="1675"/>
      <c r="EE92" s="1675"/>
      <c r="EF92" s="1675"/>
      <c r="EG92" s="1675"/>
      <c r="EH92" s="1675"/>
      <c r="EI92" s="1675"/>
      <c r="EJ92" s="1675"/>
      <c r="EK92" s="1675"/>
      <c r="EL92" s="1675"/>
      <c r="EM92" s="1675"/>
      <c r="EN92" s="1675"/>
      <c r="EO92" s="1675"/>
      <c r="EP92" s="1676"/>
      <c r="EQ92" s="415"/>
      <c r="ER92" s="412"/>
      <c r="ES92" s="1521"/>
      <c r="ET92" s="1522"/>
      <c r="EU92" s="1522"/>
      <c r="EV92" s="1522"/>
      <c r="EW92" s="1522"/>
      <c r="EX92" s="1522"/>
      <c r="EY92" s="1522"/>
      <c r="EZ92" s="1522"/>
      <c r="FA92" s="1522"/>
      <c r="FB92" s="1522"/>
      <c r="FC92" s="1522"/>
      <c r="FD92" s="1522"/>
      <c r="FE92" s="1522"/>
      <c r="FF92" s="1522"/>
      <c r="FG92" s="1522"/>
      <c r="FH92" s="1522"/>
      <c r="FI92" s="1522"/>
      <c r="FJ92" s="1522"/>
      <c r="FK92" s="1522"/>
      <c r="FL92" s="1522"/>
      <c r="FM92" s="1522"/>
      <c r="FN92" s="1522"/>
      <c r="FO92" s="1522"/>
      <c r="FP92" s="1522"/>
      <c r="FQ92" s="1522"/>
      <c r="FR92" s="1522"/>
      <c r="FS92" s="1522"/>
      <c r="FT92" s="1522"/>
      <c r="FU92" s="1522"/>
      <c r="FV92" s="1522"/>
      <c r="FW92" s="1522"/>
      <c r="FX92" s="1522"/>
      <c r="FY92" s="1522"/>
      <c r="FZ92" s="1523"/>
      <c r="GA92" s="446"/>
      <c r="GB92" s="446"/>
      <c r="GC92" s="451"/>
      <c r="GD92" s="452"/>
      <c r="GE92" s="452"/>
      <c r="GF92" s="452"/>
      <c r="GG92" s="452"/>
      <c r="GH92" s="452"/>
      <c r="GI92" s="452"/>
      <c r="GJ92" s="452"/>
      <c r="GK92" s="452"/>
      <c r="GL92" s="452"/>
      <c r="GM92" s="452"/>
      <c r="GN92" s="452"/>
      <c r="GO92" s="452"/>
      <c r="GP92" s="452"/>
      <c r="GQ92" s="452"/>
      <c r="GR92" s="452"/>
      <c r="GS92" s="452"/>
      <c r="GT92" s="452"/>
      <c r="GU92" s="452"/>
      <c r="GV92" s="452"/>
      <c r="GW92" s="452"/>
      <c r="GX92" s="452"/>
      <c r="GY92" s="452"/>
      <c r="GZ92" s="452"/>
      <c r="HA92" s="452"/>
      <c r="HB92" s="452"/>
      <c r="HC92" s="452"/>
      <c r="HD92" s="452"/>
      <c r="HE92" s="452"/>
      <c r="HF92" s="452"/>
      <c r="HG92" s="453"/>
      <c r="HH92" s="453"/>
      <c r="HI92" s="453"/>
      <c r="HJ92" s="454"/>
      <c r="HL92" s="415"/>
    </row>
    <row r="93" spans="2:220" ht="7.5" customHeight="1">
      <c r="B93" s="412"/>
      <c r="C93" s="1741"/>
      <c r="D93" s="1519"/>
      <c r="E93" s="1519"/>
      <c r="F93" s="1519"/>
      <c r="G93" s="1519"/>
      <c r="H93" s="1519"/>
      <c r="I93" s="1519"/>
      <c r="J93" s="1519"/>
      <c r="K93" s="1519"/>
      <c r="L93" s="1519"/>
      <c r="M93" s="1519"/>
      <c r="N93" s="1519"/>
      <c r="O93" s="1519"/>
      <c r="P93" s="1519"/>
      <c r="Q93" s="1519"/>
      <c r="R93" s="1519"/>
      <c r="S93" s="1519"/>
      <c r="T93" s="1519"/>
      <c r="U93" s="1519"/>
      <c r="V93" s="1519"/>
      <c r="W93" s="1520"/>
      <c r="Y93" s="1748" t="s">
        <v>7436</v>
      </c>
      <c r="Z93" s="1417"/>
      <c r="AA93" s="1417"/>
      <c r="AB93" s="1417"/>
      <c r="AC93" s="1417"/>
      <c r="AD93" s="1417"/>
      <c r="AE93" s="1417"/>
      <c r="AF93" s="1417"/>
      <c r="AG93" s="1417"/>
      <c r="AH93" s="1417"/>
      <c r="AI93" s="1417"/>
      <c r="AJ93" s="1417"/>
      <c r="AK93" s="1417"/>
      <c r="AL93" s="1417"/>
      <c r="AM93" s="1417"/>
      <c r="AN93" s="1417"/>
      <c r="AO93" s="1417"/>
      <c r="AP93" s="1417"/>
      <c r="AQ93" s="1417"/>
      <c r="AR93" s="1417"/>
      <c r="AS93" s="1417"/>
      <c r="AT93" s="1417"/>
      <c r="AU93" s="1417"/>
      <c r="AV93" s="1417"/>
      <c r="AW93" s="1417"/>
      <c r="AX93" s="1417"/>
      <c r="AY93" s="1417"/>
      <c r="AZ93" s="1417"/>
      <c r="BA93" s="1417"/>
      <c r="BB93" s="1417"/>
      <c r="BC93" s="1417"/>
      <c r="BD93" s="1417"/>
      <c r="BE93" s="1417"/>
      <c r="BF93" s="1417"/>
      <c r="BG93" s="1417"/>
      <c r="BI93" s="1570" t="s">
        <v>6283</v>
      </c>
      <c r="BJ93" s="1698"/>
      <c r="BK93" s="1698"/>
      <c r="BL93" s="1698"/>
      <c r="BM93" s="1698"/>
      <c r="BN93" s="1698"/>
      <c r="BO93" s="1698"/>
      <c r="BP93" s="1698"/>
      <c r="BQ93" s="1698"/>
      <c r="BR93" s="1698"/>
      <c r="BS93" s="1698"/>
      <c r="BT93" s="1698"/>
      <c r="BU93" s="1699"/>
      <c r="BV93" s="415"/>
      <c r="BW93" s="412"/>
      <c r="BX93" s="1411"/>
      <c r="BY93" s="1384"/>
      <c r="BZ93" s="1384"/>
      <c r="CA93" s="1384"/>
      <c r="CB93" s="1384"/>
      <c r="CC93" s="1384"/>
      <c r="CD93" s="1384"/>
      <c r="CE93" s="1384"/>
      <c r="CF93" s="1384"/>
      <c r="CG93" s="1412"/>
      <c r="CH93" s="1674"/>
      <c r="CI93" s="1675"/>
      <c r="CJ93" s="1675"/>
      <c r="CK93" s="1675"/>
      <c r="CL93" s="1675"/>
      <c r="CM93" s="1675"/>
      <c r="CN93" s="1675"/>
      <c r="CO93" s="1675"/>
      <c r="CP93" s="1675"/>
      <c r="CQ93" s="1675"/>
      <c r="CR93" s="1675"/>
      <c r="CS93" s="1675"/>
      <c r="CT93" s="1675"/>
      <c r="CU93" s="1675"/>
      <c r="CV93" s="1675"/>
      <c r="CW93" s="1675"/>
      <c r="CX93" s="1675"/>
      <c r="CY93" s="1675"/>
      <c r="CZ93" s="1675"/>
      <c r="DA93" s="1675"/>
      <c r="DB93" s="1675"/>
      <c r="DC93" s="1675"/>
      <c r="DD93" s="1675"/>
      <c r="DE93" s="1675"/>
      <c r="DF93" s="1675"/>
      <c r="DG93" s="1675"/>
      <c r="DH93" s="1675"/>
      <c r="DI93" s="1675"/>
      <c r="DJ93" s="1675"/>
      <c r="DK93" s="1675"/>
      <c r="DL93" s="1675"/>
      <c r="DM93" s="1675"/>
      <c r="DN93" s="1675"/>
      <c r="DO93" s="1675"/>
      <c r="DP93" s="1675"/>
      <c r="DQ93" s="1675"/>
      <c r="DR93" s="1675"/>
      <c r="DS93" s="1675"/>
      <c r="DT93" s="1675"/>
      <c r="DU93" s="1675"/>
      <c r="DV93" s="1675"/>
      <c r="DW93" s="1675"/>
      <c r="DX93" s="1675"/>
      <c r="DY93" s="1675"/>
      <c r="DZ93" s="1675"/>
      <c r="EA93" s="1675"/>
      <c r="EB93" s="1675"/>
      <c r="EC93" s="1675"/>
      <c r="ED93" s="1675"/>
      <c r="EE93" s="1675"/>
      <c r="EF93" s="1675"/>
      <c r="EG93" s="1675"/>
      <c r="EH93" s="1675"/>
      <c r="EI93" s="1675"/>
      <c r="EJ93" s="1675"/>
      <c r="EK93" s="1675"/>
      <c r="EL93" s="1675"/>
      <c r="EM93" s="1675"/>
      <c r="EN93" s="1675"/>
      <c r="EO93" s="1675"/>
      <c r="EP93" s="1676"/>
      <c r="EQ93" s="415"/>
      <c r="ER93" s="412"/>
      <c r="ES93" s="1521"/>
      <c r="ET93" s="1522"/>
      <c r="EU93" s="1522"/>
      <c r="EV93" s="1522"/>
      <c r="EW93" s="1522"/>
      <c r="EX93" s="1522"/>
      <c r="EY93" s="1522"/>
      <c r="EZ93" s="1522"/>
      <c r="FA93" s="1522"/>
      <c r="FB93" s="1522"/>
      <c r="FC93" s="1522"/>
      <c r="FD93" s="1522"/>
      <c r="FE93" s="1522"/>
      <c r="FF93" s="1522"/>
      <c r="FG93" s="1522"/>
      <c r="FH93" s="1522"/>
      <c r="FI93" s="1522"/>
      <c r="FJ93" s="1522"/>
      <c r="FK93" s="1522"/>
      <c r="FL93" s="1522"/>
      <c r="FM93" s="1522"/>
      <c r="FN93" s="1522"/>
      <c r="FO93" s="1522"/>
      <c r="FP93" s="1522"/>
      <c r="FQ93" s="1522"/>
      <c r="FR93" s="1522"/>
      <c r="FS93" s="1522"/>
      <c r="FT93" s="1522"/>
      <c r="FU93" s="1522"/>
      <c r="FV93" s="1522"/>
      <c r="FW93" s="1522"/>
      <c r="FX93" s="1522"/>
      <c r="FY93" s="1522"/>
      <c r="FZ93" s="1523"/>
      <c r="GA93" s="446"/>
      <c r="GB93" s="446"/>
      <c r="GC93" s="451"/>
      <c r="GD93" s="452"/>
      <c r="GE93" s="452"/>
      <c r="GF93" s="452"/>
      <c r="GG93" s="452"/>
      <c r="GH93" s="452"/>
      <c r="GI93" s="452"/>
      <c r="GJ93" s="452"/>
      <c r="GK93" s="452"/>
      <c r="GL93" s="452"/>
      <c r="GM93" s="452"/>
      <c r="GN93" s="452"/>
      <c r="GO93" s="452"/>
      <c r="GP93" s="452"/>
      <c r="GQ93" s="452"/>
      <c r="GR93" s="452"/>
      <c r="GS93" s="452"/>
      <c r="GT93" s="452"/>
      <c r="GU93" s="452"/>
      <c r="GV93" s="452"/>
      <c r="GW93" s="452"/>
      <c r="GX93" s="452"/>
      <c r="GY93" s="452"/>
      <c r="GZ93" s="452"/>
      <c r="HA93" s="452"/>
      <c r="HB93" s="452"/>
      <c r="HC93" s="452"/>
      <c r="HD93" s="452"/>
      <c r="HE93" s="452"/>
      <c r="HF93" s="452"/>
      <c r="HG93" s="453"/>
      <c r="HH93" s="453"/>
      <c r="HI93" s="453"/>
      <c r="HJ93" s="454"/>
      <c r="HL93" s="415"/>
    </row>
    <row r="94" spans="2:220" ht="7.5" customHeight="1" thickBot="1">
      <c r="B94" s="412"/>
      <c r="C94" s="1521"/>
      <c r="D94" s="1522"/>
      <c r="E94" s="1522"/>
      <c r="F94" s="1522"/>
      <c r="G94" s="1522"/>
      <c r="H94" s="1522"/>
      <c r="I94" s="1522"/>
      <c r="J94" s="1522"/>
      <c r="K94" s="1522"/>
      <c r="L94" s="1522"/>
      <c r="M94" s="1522"/>
      <c r="N94" s="1522"/>
      <c r="O94" s="1522"/>
      <c r="P94" s="1522"/>
      <c r="Q94" s="1522"/>
      <c r="R94" s="1522"/>
      <c r="S94" s="1522"/>
      <c r="T94" s="1522"/>
      <c r="U94" s="1522"/>
      <c r="V94" s="1522"/>
      <c r="W94" s="1523"/>
      <c r="Y94" s="1420"/>
      <c r="Z94" s="1420"/>
      <c r="AA94" s="1420"/>
      <c r="AB94" s="1420"/>
      <c r="AC94" s="1420"/>
      <c r="AD94" s="1420"/>
      <c r="AE94" s="1420"/>
      <c r="AF94" s="1420"/>
      <c r="AG94" s="1420"/>
      <c r="AH94" s="1420"/>
      <c r="AI94" s="1420"/>
      <c r="AJ94" s="1420"/>
      <c r="AK94" s="1420"/>
      <c r="AL94" s="1420"/>
      <c r="AM94" s="1420"/>
      <c r="AN94" s="1420"/>
      <c r="AO94" s="1420"/>
      <c r="AP94" s="1420"/>
      <c r="AQ94" s="1420"/>
      <c r="AR94" s="1420"/>
      <c r="AS94" s="1420"/>
      <c r="AT94" s="1420"/>
      <c r="AU94" s="1420"/>
      <c r="AV94" s="1420"/>
      <c r="AW94" s="1420"/>
      <c r="AX94" s="1420"/>
      <c r="AY94" s="1420"/>
      <c r="AZ94" s="1420"/>
      <c r="BA94" s="1420"/>
      <c r="BB94" s="1420"/>
      <c r="BC94" s="1420"/>
      <c r="BD94" s="1420"/>
      <c r="BE94" s="1420"/>
      <c r="BF94" s="1420"/>
      <c r="BG94" s="1420"/>
      <c r="BI94" s="1749"/>
      <c r="BJ94" s="1384"/>
      <c r="BK94" s="1384"/>
      <c r="BL94" s="1384"/>
      <c r="BM94" s="1384"/>
      <c r="BN94" s="1384"/>
      <c r="BO94" s="1384"/>
      <c r="BP94" s="1384"/>
      <c r="BQ94" s="1384"/>
      <c r="BR94" s="1384"/>
      <c r="BS94" s="1384"/>
      <c r="BT94" s="1384"/>
      <c r="BU94" s="1750"/>
      <c r="BV94" s="415"/>
      <c r="BW94" s="412"/>
      <c r="BX94" s="1396"/>
      <c r="BY94" s="1385"/>
      <c r="BZ94" s="1385"/>
      <c r="CA94" s="1385"/>
      <c r="CB94" s="1385"/>
      <c r="CC94" s="1385"/>
      <c r="CD94" s="1385"/>
      <c r="CE94" s="1385"/>
      <c r="CF94" s="1385"/>
      <c r="CG94" s="1403"/>
      <c r="CH94" s="1677"/>
      <c r="CI94" s="1678"/>
      <c r="CJ94" s="1678"/>
      <c r="CK94" s="1678"/>
      <c r="CL94" s="1678"/>
      <c r="CM94" s="1678"/>
      <c r="CN94" s="1678"/>
      <c r="CO94" s="1678"/>
      <c r="CP94" s="1678"/>
      <c r="CQ94" s="1678"/>
      <c r="CR94" s="1678"/>
      <c r="CS94" s="1678"/>
      <c r="CT94" s="1678"/>
      <c r="CU94" s="1678"/>
      <c r="CV94" s="1678"/>
      <c r="CW94" s="1678"/>
      <c r="CX94" s="1678"/>
      <c r="CY94" s="1678"/>
      <c r="CZ94" s="1678"/>
      <c r="DA94" s="1678"/>
      <c r="DB94" s="1678"/>
      <c r="DC94" s="1678"/>
      <c r="DD94" s="1678"/>
      <c r="DE94" s="1678"/>
      <c r="DF94" s="1678"/>
      <c r="DG94" s="1678"/>
      <c r="DH94" s="1678"/>
      <c r="DI94" s="1678"/>
      <c r="DJ94" s="1678"/>
      <c r="DK94" s="1678"/>
      <c r="DL94" s="1678"/>
      <c r="DM94" s="1678"/>
      <c r="DN94" s="1678"/>
      <c r="DO94" s="1678"/>
      <c r="DP94" s="1678"/>
      <c r="DQ94" s="1678"/>
      <c r="DR94" s="1678"/>
      <c r="DS94" s="1678"/>
      <c r="DT94" s="1678"/>
      <c r="DU94" s="1678"/>
      <c r="DV94" s="1678"/>
      <c r="DW94" s="1678"/>
      <c r="DX94" s="1678"/>
      <c r="DY94" s="1678"/>
      <c r="DZ94" s="1678"/>
      <c r="EA94" s="1678"/>
      <c r="EB94" s="1678"/>
      <c r="EC94" s="1678"/>
      <c r="ED94" s="1678"/>
      <c r="EE94" s="1678"/>
      <c r="EF94" s="1678"/>
      <c r="EG94" s="1678"/>
      <c r="EH94" s="1678"/>
      <c r="EI94" s="1678"/>
      <c r="EJ94" s="1678"/>
      <c r="EK94" s="1678"/>
      <c r="EL94" s="1678"/>
      <c r="EM94" s="1678"/>
      <c r="EN94" s="1678"/>
      <c r="EO94" s="1678"/>
      <c r="EP94" s="1679"/>
      <c r="EQ94" s="415"/>
      <c r="ER94" s="412"/>
      <c r="ES94" s="1521"/>
      <c r="ET94" s="1522"/>
      <c r="EU94" s="1522"/>
      <c r="EV94" s="1522"/>
      <c r="EW94" s="1522"/>
      <c r="EX94" s="1522"/>
      <c r="EY94" s="1522"/>
      <c r="EZ94" s="1522"/>
      <c r="FA94" s="1522"/>
      <c r="FB94" s="1522"/>
      <c r="FC94" s="1522"/>
      <c r="FD94" s="1522"/>
      <c r="FE94" s="1522"/>
      <c r="FF94" s="1522"/>
      <c r="FG94" s="1522"/>
      <c r="FH94" s="1522"/>
      <c r="FI94" s="1522"/>
      <c r="FJ94" s="1522"/>
      <c r="FK94" s="1522"/>
      <c r="FL94" s="1522"/>
      <c r="FM94" s="1522"/>
      <c r="FN94" s="1522"/>
      <c r="FO94" s="1522"/>
      <c r="FP94" s="1522"/>
      <c r="FQ94" s="1522"/>
      <c r="FR94" s="1522"/>
      <c r="FS94" s="1522"/>
      <c r="FT94" s="1522"/>
      <c r="FU94" s="1522"/>
      <c r="FV94" s="1522"/>
      <c r="FW94" s="1522"/>
      <c r="FX94" s="1522"/>
      <c r="FY94" s="1522"/>
      <c r="FZ94" s="1523"/>
      <c r="GA94" s="446"/>
      <c r="GB94" s="446"/>
      <c r="GC94" s="451"/>
      <c r="GD94" s="452"/>
      <c r="GE94" s="452"/>
      <c r="GF94" s="452"/>
      <c r="GG94" s="452"/>
      <c r="GH94" s="452"/>
      <c r="GI94" s="452"/>
      <c r="GJ94" s="452"/>
      <c r="GK94" s="452"/>
      <c r="GL94" s="452"/>
      <c r="GM94" s="452"/>
      <c r="GN94" s="452"/>
      <c r="GO94" s="452"/>
      <c r="GP94" s="452"/>
      <c r="GQ94" s="452"/>
      <c r="GR94" s="452"/>
      <c r="GS94" s="452"/>
      <c r="GT94" s="452"/>
      <c r="GU94" s="452"/>
      <c r="GV94" s="452"/>
      <c r="GW94" s="452"/>
      <c r="GX94" s="452"/>
      <c r="GY94" s="452"/>
      <c r="GZ94" s="452"/>
      <c r="HA94" s="452"/>
      <c r="HB94" s="452"/>
      <c r="HC94" s="452"/>
      <c r="HD94" s="452"/>
      <c r="HE94" s="452"/>
      <c r="HF94" s="452"/>
      <c r="HG94" s="453"/>
      <c r="HH94" s="453"/>
      <c r="HI94" s="453"/>
      <c r="HJ94" s="454"/>
      <c r="HL94" s="415"/>
    </row>
    <row r="95" spans="2:220" ht="7.5" customHeight="1">
      <c r="B95" s="412"/>
      <c r="C95" s="1521"/>
      <c r="D95" s="1522"/>
      <c r="E95" s="1522"/>
      <c r="F95" s="1522"/>
      <c r="G95" s="1522"/>
      <c r="H95" s="1522"/>
      <c r="I95" s="1522"/>
      <c r="J95" s="1522"/>
      <c r="K95" s="1522"/>
      <c r="L95" s="1522"/>
      <c r="M95" s="1522"/>
      <c r="N95" s="1522"/>
      <c r="O95" s="1522"/>
      <c r="P95" s="1522"/>
      <c r="Q95" s="1522"/>
      <c r="R95" s="1522"/>
      <c r="S95" s="1522"/>
      <c r="T95" s="1522"/>
      <c r="U95" s="1522"/>
      <c r="V95" s="1522"/>
      <c r="W95" s="1523"/>
      <c r="Y95" s="1751"/>
      <c r="Z95" s="1752"/>
      <c r="AA95" s="1752"/>
      <c r="AB95" s="1752"/>
      <c r="AC95" s="1752"/>
      <c r="AD95" s="1752"/>
      <c r="AE95" s="1752"/>
      <c r="AF95" s="1752"/>
      <c r="AG95" s="1752"/>
      <c r="AH95" s="1752"/>
      <c r="AI95" s="1752"/>
      <c r="AJ95" s="1752"/>
      <c r="AK95" s="1752"/>
      <c r="AL95" s="1752"/>
      <c r="AM95" s="1752"/>
      <c r="AN95" s="1752"/>
      <c r="AO95" s="1752"/>
      <c r="AP95" s="1752"/>
      <c r="AQ95" s="1752"/>
      <c r="AR95" s="1752"/>
      <c r="AS95" s="1752"/>
      <c r="AT95" s="1752"/>
      <c r="AU95" s="1752"/>
      <c r="AV95" s="1752"/>
      <c r="AW95" s="1752"/>
      <c r="AX95" s="1752"/>
      <c r="AY95" s="1752"/>
      <c r="AZ95" s="1752"/>
      <c r="BA95" s="1753"/>
      <c r="BB95" s="1753"/>
      <c r="BC95" s="1753"/>
      <c r="BD95" s="1753"/>
      <c r="BE95" s="1753"/>
      <c r="BF95" s="1753"/>
      <c r="BG95" s="1754"/>
      <c r="BI95" s="1759" t="s">
        <v>2105</v>
      </c>
      <c r="BJ95" s="1698"/>
      <c r="BK95" s="1698"/>
      <c r="BL95" s="1698"/>
      <c r="BM95" s="1698"/>
      <c r="BN95" s="1760"/>
      <c r="BO95" s="230"/>
      <c r="BP95" s="1761" t="s">
        <v>2106</v>
      </c>
      <c r="BQ95" s="1698"/>
      <c r="BR95" s="1698"/>
      <c r="BS95" s="1698"/>
      <c r="BT95" s="1698"/>
      <c r="BU95" s="1699"/>
      <c r="BV95" s="415"/>
      <c r="BW95" s="412"/>
      <c r="EQ95" s="415"/>
      <c r="ER95" s="412"/>
      <c r="ES95" s="1521"/>
      <c r="ET95" s="1522"/>
      <c r="EU95" s="1522"/>
      <c r="EV95" s="1522"/>
      <c r="EW95" s="1522"/>
      <c r="EX95" s="1522"/>
      <c r="EY95" s="1522"/>
      <c r="EZ95" s="1522"/>
      <c r="FA95" s="1522"/>
      <c r="FB95" s="1522"/>
      <c r="FC95" s="1522"/>
      <c r="FD95" s="1522"/>
      <c r="FE95" s="1522"/>
      <c r="FF95" s="1522"/>
      <c r="FG95" s="1522"/>
      <c r="FH95" s="1522"/>
      <c r="FI95" s="1522"/>
      <c r="FJ95" s="1522"/>
      <c r="FK95" s="1522"/>
      <c r="FL95" s="1522"/>
      <c r="FM95" s="1522"/>
      <c r="FN95" s="1522"/>
      <c r="FO95" s="1522"/>
      <c r="FP95" s="1522"/>
      <c r="FQ95" s="1522"/>
      <c r="FR95" s="1522"/>
      <c r="FS95" s="1522"/>
      <c r="FT95" s="1522"/>
      <c r="FU95" s="1522"/>
      <c r="FV95" s="1522"/>
      <c r="FW95" s="1522"/>
      <c r="FX95" s="1522"/>
      <c r="FY95" s="1522"/>
      <c r="FZ95" s="1523"/>
      <c r="GA95" s="446"/>
      <c r="GB95" s="446"/>
      <c r="GC95" s="451"/>
      <c r="GD95" s="452"/>
      <c r="GE95" s="452"/>
      <c r="GF95" s="452"/>
      <c r="GG95" s="452"/>
      <c r="GH95" s="452"/>
      <c r="GI95" s="452"/>
      <c r="GJ95" s="452"/>
      <c r="GK95" s="452"/>
      <c r="GL95" s="452"/>
      <c r="GM95" s="452"/>
      <c r="GN95" s="452"/>
      <c r="GO95" s="452"/>
      <c r="GP95" s="452"/>
      <c r="GQ95" s="452"/>
      <c r="GR95" s="452"/>
      <c r="GS95" s="452"/>
      <c r="GT95" s="452"/>
      <c r="GU95" s="452"/>
      <c r="GV95" s="452"/>
      <c r="GW95" s="452"/>
      <c r="GX95" s="452"/>
      <c r="GY95" s="452"/>
      <c r="GZ95" s="452"/>
      <c r="HA95" s="452"/>
      <c r="HB95" s="452"/>
      <c r="HC95" s="452"/>
      <c r="HD95" s="452"/>
      <c r="HE95" s="452"/>
      <c r="HF95" s="452"/>
      <c r="HG95" s="453"/>
      <c r="HH95" s="453"/>
      <c r="HI95" s="453"/>
      <c r="HJ95" s="454"/>
      <c r="HL95" s="415"/>
    </row>
    <row r="96" spans="2:220" ht="7.5" customHeight="1">
      <c r="B96" s="412"/>
      <c r="C96" s="1524"/>
      <c r="D96" s="1525"/>
      <c r="E96" s="1525"/>
      <c r="F96" s="1525"/>
      <c r="G96" s="1525"/>
      <c r="H96" s="1525"/>
      <c r="I96" s="1525"/>
      <c r="J96" s="1525"/>
      <c r="K96" s="1525"/>
      <c r="L96" s="1525"/>
      <c r="M96" s="1525"/>
      <c r="N96" s="1525"/>
      <c r="O96" s="1525"/>
      <c r="P96" s="1525"/>
      <c r="Q96" s="1525"/>
      <c r="R96" s="1525"/>
      <c r="S96" s="1525"/>
      <c r="T96" s="1525"/>
      <c r="U96" s="1525"/>
      <c r="V96" s="1525"/>
      <c r="W96" s="1526"/>
      <c r="Y96" s="1755"/>
      <c r="Z96" s="1756"/>
      <c r="AA96" s="1756"/>
      <c r="AB96" s="1756"/>
      <c r="AC96" s="1756"/>
      <c r="AD96" s="1756"/>
      <c r="AE96" s="1756"/>
      <c r="AF96" s="1756"/>
      <c r="AG96" s="1756"/>
      <c r="AH96" s="1756"/>
      <c r="AI96" s="1756"/>
      <c r="AJ96" s="1756"/>
      <c r="AK96" s="1756"/>
      <c r="AL96" s="1756"/>
      <c r="AM96" s="1756"/>
      <c r="AN96" s="1756"/>
      <c r="AO96" s="1756"/>
      <c r="AP96" s="1756"/>
      <c r="AQ96" s="1756"/>
      <c r="AR96" s="1756"/>
      <c r="AS96" s="1756"/>
      <c r="AT96" s="1756"/>
      <c r="AU96" s="1756"/>
      <c r="AV96" s="1756"/>
      <c r="AW96" s="1756"/>
      <c r="AX96" s="1756"/>
      <c r="AY96" s="1756"/>
      <c r="AZ96" s="1756"/>
      <c r="BA96" s="1757"/>
      <c r="BB96" s="1757"/>
      <c r="BC96" s="1757"/>
      <c r="BD96" s="1757"/>
      <c r="BE96" s="1757"/>
      <c r="BF96" s="1757"/>
      <c r="BG96" s="1758"/>
      <c r="BI96" s="1742">
        <v>12.8</v>
      </c>
      <c r="BJ96" s="1737"/>
      <c r="BK96" s="1737"/>
      <c r="BL96" s="1737"/>
      <c r="BM96" s="1737"/>
      <c r="BN96" s="1738"/>
      <c r="BO96" s="234"/>
      <c r="BP96" s="1744">
        <v>51.52</v>
      </c>
      <c r="BQ96" s="1737"/>
      <c r="BR96" s="1737"/>
      <c r="BS96" s="1737"/>
      <c r="BT96" s="1737"/>
      <c r="BU96" s="1740"/>
      <c r="BV96" s="415"/>
      <c r="BW96" s="412"/>
      <c r="BX96" s="1641" t="s">
        <v>7437</v>
      </c>
      <c r="BY96" s="1395"/>
      <c r="BZ96" s="1395"/>
      <c r="CA96" s="1395"/>
      <c r="CB96" s="1395"/>
      <c r="CC96" s="1395"/>
      <c r="CD96" s="1395"/>
      <c r="CE96" s="1395"/>
      <c r="CF96" s="1395"/>
      <c r="CG96" s="1402"/>
      <c r="CH96" s="1642"/>
      <c r="CI96" s="1533"/>
      <c r="CJ96" s="1533"/>
      <c r="CK96" s="1533"/>
      <c r="CL96" s="1533"/>
      <c r="CM96" s="1533"/>
      <c r="CN96" s="1533"/>
      <c r="CO96" s="1533"/>
      <c r="CP96" s="1533"/>
      <c r="CQ96" s="1533"/>
      <c r="CR96" s="1533"/>
      <c r="CS96" s="1533"/>
      <c r="CT96" s="1533"/>
      <c r="CU96" s="1533"/>
      <c r="CV96" s="1533"/>
      <c r="CW96" s="1533"/>
      <c r="CX96" s="1533"/>
      <c r="CY96" s="1533"/>
      <c r="CZ96" s="1533"/>
      <c r="DA96" s="1533"/>
      <c r="DB96" s="1533"/>
      <c r="DC96" s="1533"/>
      <c r="DD96" s="1533"/>
      <c r="DE96" s="1533"/>
      <c r="DF96" s="1533"/>
      <c r="DG96" s="1533"/>
      <c r="DH96" s="1533"/>
      <c r="DI96" s="1533"/>
      <c r="DJ96" s="1533"/>
      <c r="DK96" s="1533"/>
      <c r="DL96" s="1533"/>
      <c r="DM96" s="1533"/>
      <c r="DN96" s="1533"/>
      <c r="DO96" s="1533"/>
      <c r="DP96" s="1533"/>
      <c r="DQ96" s="1533"/>
      <c r="DR96" s="1533"/>
      <c r="DS96" s="1533"/>
      <c r="DT96" s="1533"/>
      <c r="DU96" s="1533"/>
      <c r="DV96" s="1533"/>
      <c r="DW96" s="1533"/>
      <c r="DX96" s="1533"/>
      <c r="DY96" s="1533"/>
      <c r="DZ96" s="1533"/>
      <c r="EA96" s="1533"/>
      <c r="EB96" s="1533"/>
      <c r="EC96" s="1533"/>
      <c r="ED96" s="1533"/>
      <c r="EE96" s="1533"/>
      <c r="EF96" s="1533"/>
      <c r="EG96" s="1533"/>
      <c r="EH96" s="1533"/>
      <c r="EI96" s="1533"/>
      <c r="EJ96" s="1533"/>
      <c r="EK96" s="1533"/>
      <c r="EL96" s="1533"/>
      <c r="EM96" s="1533"/>
      <c r="EN96" s="1533"/>
      <c r="EO96" s="1533"/>
      <c r="EP96" s="1534"/>
      <c r="EQ96" s="415"/>
      <c r="ER96" s="412"/>
      <c r="ES96" s="1521"/>
      <c r="ET96" s="1522"/>
      <c r="EU96" s="1522"/>
      <c r="EV96" s="1522"/>
      <c r="EW96" s="1522"/>
      <c r="EX96" s="1522"/>
      <c r="EY96" s="1522"/>
      <c r="EZ96" s="1522"/>
      <c r="FA96" s="1522"/>
      <c r="FB96" s="1522"/>
      <c r="FC96" s="1522"/>
      <c r="FD96" s="1522"/>
      <c r="FE96" s="1522"/>
      <c r="FF96" s="1522"/>
      <c r="FG96" s="1522"/>
      <c r="FH96" s="1522"/>
      <c r="FI96" s="1522"/>
      <c r="FJ96" s="1522"/>
      <c r="FK96" s="1522"/>
      <c r="FL96" s="1522"/>
      <c r="FM96" s="1522"/>
      <c r="FN96" s="1522"/>
      <c r="FO96" s="1522"/>
      <c r="FP96" s="1522"/>
      <c r="FQ96" s="1522"/>
      <c r="FR96" s="1522"/>
      <c r="FS96" s="1522"/>
      <c r="FT96" s="1522"/>
      <c r="FU96" s="1522"/>
      <c r="FV96" s="1522"/>
      <c r="FW96" s="1522"/>
      <c r="FX96" s="1522"/>
      <c r="FY96" s="1522"/>
      <c r="FZ96" s="1523"/>
      <c r="GA96" s="446"/>
      <c r="GB96" s="446"/>
      <c r="GC96" s="451"/>
      <c r="GD96" s="452"/>
      <c r="GE96" s="452"/>
      <c r="GF96" s="452"/>
      <c r="GG96" s="452"/>
      <c r="GH96" s="452"/>
      <c r="GI96" s="452"/>
      <c r="GJ96" s="452"/>
      <c r="GK96" s="452"/>
      <c r="GL96" s="452"/>
      <c r="GM96" s="452"/>
      <c r="GN96" s="452"/>
      <c r="GO96" s="452"/>
      <c r="GP96" s="452"/>
      <c r="GQ96" s="452"/>
      <c r="GR96" s="452"/>
      <c r="GS96" s="452"/>
      <c r="GT96" s="452"/>
      <c r="GU96" s="452"/>
      <c r="GV96" s="452"/>
      <c r="GW96" s="452"/>
      <c r="GX96" s="452"/>
      <c r="GY96" s="452"/>
      <c r="GZ96" s="452"/>
      <c r="HA96" s="452"/>
      <c r="HB96" s="452"/>
      <c r="HC96" s="452"/>
      <c r="HD96" s="452"/>
      <c r="HE96" s="452"/>
      <c r="HF96" s="452"/>
      <c r="HG96" s="453"/>
      <c r="HH96" s="453"/>
      <c r="HI96" s="453"/>
      <c r="HJ96" s="454"/>
      <c r="HL96" s="415"/>
    </row>
    <row r="97" spans="2:220" ht="7.5" customHeight="1">
      <c r="B97" s="412"/>
      <c r="C97" s="1734"/>
      <c r="D97" s="1356"/>
      <c r="E97" s="1356"/>
      <c r="F97" s="1356"/>
      <c r="G97" s="1356"/>
      <c r="H97" s="1356"/>
      <c r="I97" s="1356"/>
      <c r="J97" s="1356"/>
      <c r="K97" s="1356"/>
      <c r="L97" s="1356"/>
      <c r="M97" s="1356"/>
      <c r="N97" s="1356"/>
      <c r="O97" s="1356"/>
      <c r="P97" s="1356"/>
      <c r="Q97" s="1356"/>
      <c r="R97" s="1356"/>
      <c r="S97" s="1356"/>
      <c r="T97" s="1356"/>
      <c r="U97" s="1356"/>
      <c r="V97" s="1356"/>
      <c r="W97" s="1356"/>
      <c r="Y97" s="1735"/>
      <c r="Z97" s="1539"/>
      <c r="AA97" s="1539"/>
      <c r="AB97" s="1539"/>
      <c r="AC97" s="1539"/>
      <c r="AD97" s="1539"/>
      <c r="AE97" s="1539"/>
      <c r="AF97" s="1539"/>
      <c r="AG97" s="1457"/>
      <c r="AH97" s="1457"/>
      <c r="AI97" s="1457"/>
      <c r="AJ97" s="1457"/>
      <c r="AK97" s="1457"/>
      <c r="AL97" s="1457"/>
      <c r="AM97" s="1457"/>
      <c r="AN97" s="1457"/>
      <c r="AO97" s="1457"/>
      <c r="AP97" s="1457"/>
      <c r="AQ97" s="1457"/>
      <c r="AR97" s="1457"/>
      <c r="AS97" s="1457"/>
      <c r="AT97" s="1457"/>
      <c r="AU97" s="1457"/>
      <c r="AV97" s="1457"/>
      <c r="AW97" s="1457"/>
      <c r="AX97" s="1457"/>
      <c r="AY97" s="1457"/>
      <c r="AZ97" s="1457"/>
      <c r="BA97" s="1457"/>
      <c r="BB97" s="1457"/>
      <c r="BC97" s="1457"/>
      <c r="BD97" s="1457"/>
      <c r="BE97" s="1457"/>
      <c r="BF97" s="1457"/>
      <c r="BG97" s="1458"/>
      <c r="BI97" s="1743"/>
      <c r="BJ97" s="1737"/>
      <c r="BK97" s="1737"/>
      <c r="BL97" s="1737"/>
      <c r="BM97" s="1737"/>
      <c r="BN97" s="1738"/>
      <c r="BO97" s="234"/>
      <c r="BP97" s="1762"/>
      <c r="BQ97" s="1737"/>
      <c r="BR97" s="1737"/>
      <c r="BS97" s="1737"/>
      <c r="BT97" s="1737"/>
      <c r="BU97" s="1740"/>
      <c r="BV97" s="415"/>
      <c r="BW97" s="412"/>
      <c r="BX97" s="1411"/>
      <c r="BY97" s="1384"/>
      <c r="BZ97" s="1384"/>
      <c r="CA97" s="1384"/>
      <c r="CB97" s="1384"/>
      <c r="CC97" s="1384"/>
      <c r="CD97" s="1384"/>
      <c r="CE97" s="1384"/>
      <c r="CF97" s="1384"/>
      <c r="CG97" s="1412"/>
      <c r="CH97" s="1643"/>
      <c r="CI97" s="1644"/>
      <c r="CJ97" s="1644"/>
      <c r="CK97" s="1644"/>
      <c r="CL97" s="1644"/>
      <c r="CM97" s="1644"/>
      <c r="CN97" s="1644"/>
      <c r="CO97" s="1644"/>
      <c r="CP97" s="1644"/>
      <c r="CQ97" s="1644"/>
      <c r="CR97" s="1644"/>
      <c r="CS97" s="1644"/>
      <c r="CT97" s="1644"/>
      <c r="CU97" s="1644"/>
      <c r="CV97" s="1644"/>
      <c r="CW97" s="1644"/>
      <c r="CX97" s="1644"/>
      <c r="CY97" s="1644"/>
      <c r="CZ97" s="1644"/>
      <c r="DA97" s="1644"/>
      <c r="DB97" s="1644"/>
      <c r="DC97" s="1644"/>
      <c r="DD97" s="1644"/>
      <c r="DE97" s="1644"/>
      <c r="DF97" s="1644"/>
      <c r="DG97" s="1644"/>
      <c r="DH97" s="1644"/>
      <c r="DI97" s="1644"/>
      <c r="DJ97" s="1644"/>
      <c r="DK97" s="1644"/>
      <c r="DL97" s="1644"/>
      <c r="DM97" s="1644"/>
      <c r="DN97" s="1644"/>
      <c r="DO97" s="1644"/>
      <c r="DP97" s="1644"/>
      <c r="DQ97" s="1644"/>
      <c r="DR97" s="1644"/>
      <c r="DS97" s="1644"/>
      <c r="DT97" s="1644"/>
      <c r="DU97" s="1644"/>
      <c r="DV97" s="1644"/>
      <c r="DW97" s="1644"/>
      <c r="DX97" s="1644"/>
      <c r="DY97" s="1644"/>
      <c r="DZ97" s="1644"/>
      <c r="EA97" s="1644"/>
      <c r="EB97" s="1644"/>
      <c r="EC97" s="1644"/>
      <c r="ED97" s="1644"/>
      <c r="EE97" s="1644"/>
      <c r="EF97" s="1644"/>
      <c r="EG97" s="1644"/>
      <c r="EH97" s="1644"/>
      <c r="EI97" s="1644"/>
      <c r="EJ97" s="1644"/>
      <c r="EK97" s="1644"/>
      <c r="EL97" s="1644"/>
      <c r="EM97" s="1644"/>
      <c r="EN97" s="1644"/>
      <c r="EO97" s="1644"/>
      <c r="EP97" s="1645"/>
      <c r="EQ97" s="415"/>
      <c r="ER97" s="412"/>
      <c r="ES97" s="1521"/>
      <c r="ET97" s="1522"/>
      <c r="EU97" s="1522"/>
      <c r="EV97" s="1522"/>
      <c r="EW97" s="1522"/>
      <c r="EX97" s="1522"/>
      <c r="EY97" s="1522"/>
      <c r="EZ97" s="1522"/>
      <c r="FA97" s="1522"/>
      <c r="FB97" s="1522"/>
      <c r="FC97" s="1522"/>
      <c r="FD97" s="1522"/>
      <c r="FE97" s="1522"/>
      <c r="FF97" s="1522"/>
      <c r="FG97" s="1522"/>
      <c r="FH97" s="1522"/>
      <c r="FI97" s="1522"/>
      <c r="FJ97" s="1522"/>
      <c r="FK97" s="1522"/>
      <c r="FL97" s="1522"/>
      <c r="FM97" s="1522"/>
      <c r="FN97" s="1522"/>
      <c r="FO97" s="1522"/>
      <c r="FP97" s="1522"/>
      <c r="FQ97" s="1522"/>
      <c r="FR97" s="1522"/>
      <c r="FS97" s="1522"/>
      <c r="FT97" s="1522"/>
      <c r="FU97" s="1522"/>
      <c r="FV97" s="1522"/>
      <c r="FW97" s="1522"/>
      <c r="FX97" s="1522"/>
      <c r="FY97" s="1522"/>
      <c r="FZ97" s="1523"/>
      <c r="GA97" s="446"/>
      <c r="GB97" s="446"/>
      <c r="GC97" s="451"/>
      <c r="GD97" s="452"/>
      <c r="GE97" s="452"/>
      <c r="GF97" s="452"/>
      <c r="GG97" s="452"/>
      <c r="GH97" s="452"/>
      <c r="GI97" s="452"/>
      <c r="GJ97" s="452"/>
      <c r="GK97" s="452"/>
      <c r="GL97" s="452"/>
      <c r="GM97" s="452"/>
      <c r="GN97" s="452"/>
      <c r="GO97" s="452"/>
      <c r="GP97" s="452"/>
      <c r="GQ97" s="452"/>
      <c r="GR97" s="452"/>
      <c r="GS97" s="452"/>
      <c r="GT97" s="452"/>
      <c r="GU97" s="452"/>
      <c r="GV97" s="452"/>
      <c r="GW97" s="452"/>
      <c r="GX97" s="452"/>
      <c r="GY97" s="452"/>
      <c r="GZ97" s="452"/>
      <c r="HA97" s="452"/>
      <c r="HB97" s="452"/>
      <c r="HC97" s="452"/>
      <c r="HD97" s="452"/>
      <c r="HE97" s="452"/>
      <c r="HF97" s="452"/>
      <c r="HG97" s="453"/>
      <c r="HH97" s="453"/>
      <c r="HI97" s="453"/>
      <c r="HJ97" s="454"/>
      <c r="HL97" s="415"/>
    </row>
    <row r="98" spans="2:220" ht="7.5" customHeight="1">
      <c r="B98" s="412"/>
      <c r="C98" s="1362"/>
      <c r="D98" s="1362"/>
      <c r="E98" s="1362"/>
      <c r="F98" s="1362"/>
      <c r="G98" s="1362"/>
      <c r="H98" s="1362"/>
      <c r="I98" s="1362"/>
      <c r="J98" s="1362"/>
      <c r="K98" s="1362"/>
      <c r="L98" s="1362"/>
      <c r="M98" s="1362"/>
      <c r="N98" s="1362"/>
      <c r="O98" s="1362"/>
      <c r="P98" s="1362"/>
      <c r="Q98" s="1362"/>
      <c r="R98" s="1362"/>
      <c r="S98" s="1362"/>
      <c r="T98" s="1362"/>
      <c r="U98" s="1362"/>
      <c r="V98" s="1362"/>
      <c r="W98" s="1362"/>
      <c r="Y98" s="1541"/>
      <c r="Z98" s="1542"/>
      <c r="AA98" s="1542"/>
      <c r="AB98" s="1542"/>
      <c r="AC98" s="1542"/>
      <c r="AD98" s="1542"/>
      <c r="AE98" s="1542"/>
      <c r="AF98" s="1542"/>
      <c r="AG98" s="1459"/>
      <c r="AH98" s="1459"/>
      <c r="AI98" s="1459"/>
      <c r="AJ98" s="1459"/>
      <c r="AK98" s="1459"/>
      <c r="AL98" s="1459"/>
      <c r="AM98" s="1459"/>
      <c r="AN98" s="1459"/>
      <c r="AO98" s="1459"/>
      <c r="AP98" s="1459"/>
      <c r="AQ98" s="1459"/>
      <c r="AR98" s="1459"/>
      <c r="AS98" s="1459"/>
      <c r="AT98" s="1459"/>
      <c r="AU98" s="1459"/>
      <c r="AV98" s="1459"/>
      <c r="AW98" s="1459"/>
      <c r="AX98" s="1459"/>
      <c r="AY98" s="1459"/>
      <c r="AZ98" s="1459"/>
      <c r="BA98" s="1459"/>
      <c r="BB98" s="1459"/>
      <c r="BC98" s="1459"/>
      <c r="BD98" s="1459"/>
      <c r="BE98" s="1459"/>
      <c r="BF98" s="1459"/>
      <c r="BG98" s="1460"/>
      <c r="BH98" s="234"/>
      <c r="BI98" s="1736" t="s">
        <v>6349</v>
      </c>
      <c r="BJ98" s="1737"/>
      <c r="BK98" s="1737"/>
      <c r="BL98" s="1737"/>
      <c r="BM98" s="1737"/>
      <c r="BN98" s="1738"/>
      <c r="BO98" s="234"/>
      <c r="BP98" s="1739" t="s">
        <v>2107</v>
      </c>
      <c r="BQ98" s="1737"/>
      <c r="BR98" s="1737"/>
      <c r="BS98" s="1737"/>
      <c r="BT98" s="1737"/>
      <c r="BU98" s="1740"/>
      <c r="BV98" s="415"/>
      <c r="BW98" s="412"/>
      <c r="BX98" s="1411"/>
      <c r="BY98" s="1384"/>
      <c r="BZ98" s="1384"/>
      <c r="CA98" s="1384"/>
      <c r="CB98" s="1384"/>
      <c r="CC98" s="1384"/>
      <c r="CD98" s="1384"/>
      <c r="CE98" s="1384"/>
      <c r="CF98" s="1384"/>
      <c r="CG98" s="1412"/>
      <c r="CH98" s="1643"/>
      <c r="CI98" s="1644"/>
      <c r="CJ98" s="1644"/>
      <c r="CK98" s="1644"/>
      <c r="CL98" s="1644"/>
      <c r="CM98" s="1644"/>
      <c r="CN98" s="1644"/>
      <c r="CO98" s="1644"/>
      <c r="CP98" s="1644"/>
      <c r="CQ98" s="1644"/>
      <c r="CR98" s="1644"/>
      <c r="CS98" s="1644"/>
      <c r="CT98" s="1644"/>
      <c r="CU98" s="1644"/>
      <c r="CV98" s="1644"/>
      <c r="CW98" s="1644"/>
      <c r="CX98" s="1644"/>
      <c r="CY98" s="1644"/>
      <c r="CZ98" s="1644"/>
      <c r="DA98" s="1644"/>
      <c r="DB98" s="1644"/>
      <c r="DC98" s="1644"/>
      <c r="DD98" s="1644"/>
      <c r="DE98" s="1644"/>
      <c r="DF98" s="1644"/>
      <c r="DG98" s="1644"/>
      <c r="DH98" s="1644"/>
      <c r="DI98" s="1644"/>
      <c r="DJ98" s="1644"/>
      <c r="DK98" s="1644"/>
      <c r="DL98" s="1644"/>
      <c r="DM98" s="1644"/>
      <c r="DN98" s="1644"/>
      <c r="DO98" s="1644"/>
      <c r="DP98" s="1644"/>
      <c r="DQ98" s="1644"/>
      <c r="DR98" s="1644"/>
      <c r="DS98" s="1644"/>
      <c r="DT98" s="1644"/>
      <c r="DU98" s="1644"/>
      <c r="DV98" s="1644"/>
      <c r="DW98" s="1644"/>
      <c r="DX98" s="1644"/>
      <c r="DY98" s="1644"/>
      <c r="DZ98" s="1644"/>
      <c r="EA98" s="1644"/>
      <c r="EB98" s="1644"/>
      <c r="EC98" s="1644"/>
      <c r="ED98" s="1644"/>
      <c r="EE98" s="1644"/>
      <c r="EF98" s="1644"/>
      <c r="EG98" s="1644"/>
      <c r="EH98" s="1644"/>
      <c r="EI98" s="1644"/>
      <c r="EJ98" s="1644"/>
      <c r="EK98" s="1644"/>
      <c r="EL98" s="1644"/>
      <c r="EM98" s="1644"/>
      <c r="EN98" s="1644"/>
      <c r="EO98" s="1644"/>
      <c r="EP98" s="1645"/>
      <c r="EQ98" s="415"/>
      <c r="ER98" s="412"/>
      <c r="ES98" s="1521"/>
      <c r="ET98" s="1522"/>
      <c r="EU98" s="1522"/>
      <c r="EV98" s="1522"/>
      <c r="EW98" s="1522"/>
      <c r="EX98" s="1522"/>
      <c r="EY98" s="1522"/>
      <c r="EZ98" s="1522"/>
      <c r="FA98" s="1522"/>
      <c r="FB98" s="1522"/>
      <c r="FC98" s="1522"/>
      <c r="FD98" s="1522"/>
      <c r="FE98" s="1522"/>
      <c r="FF98" s="1522"/>
      <c r="FG98" s="1522"/>
      <c r="FH98" s="1522"/>
      <c r="FI98" s="1522"/>
      <c r="FJ98" s="1522"/>
      <c r="FK98" s="1522"/>
      <c r="FL98" s="1522"/>
      <c r="FM98" s="1522"/>
      <c r="FN98" s="1522"/>
      <c r="FO98" s="1522"/>
      <c r="FP98" s="1522"/>
      <c r="FQ98" s="1522"/>
      <c r="FR98" s="1522"/>
      <c r="FS98" s="1522"/>
      <c r="FT98" s="1522"/>
      <c r="FU98" s="1522"/>
      <c r="FV98" s="1522"/>
      <c r="FW98" s="1522"/>
      <c r="FX98" s="1522"/>
      <c r="FY98" s="1522"/>
      <c r="FZ98" s="1523"/>
      <c r="GA98" s="446"/>
      <c r="GB98" s="446"/>
      <c r="GC98" s="451"/>
      <c r="GD98" s="452"/>
      <c r="GE98" s="452"/>
      <c r="GF98" s="452"/>
      <c r="GG98" s="452"/>
      <c r="GH98" s="452"/>
      <c r="GI98" s="452"/>
      <c r="GJ98" s="452"/>
      <c r="GK98" s="452"/>
      <c r="GL98" s="452"/>
      <c r="GM98" s="452"/>
      <c r="GN98" s="452"/>
      <c r="GO98" s="452"/>
      <c r="GP98" s="452"/>
      <c r="GQ98" s="452"/>
      <c r="GR98" s="452"/>
      <c r="GS98" s="452"/>
      <c r="GT98" s="452"/>
      <c r="GU98" s="452"/>
      <c r="GV98" s="452"/>
      <c r="GW98" s="452"/>
      <c r="GX98" s="452"/>
      <c r="GY98" s="452"/>
      <c r="GZ98" s="452"/>
      <c r="HA98" s="452"/>
      <c r="HB98" s="452"/>
      <c r="HC98" s="452"/>
      <c r="HD98" s="452"/>
      <c r="HE98" s="452"/>
      <c r="HF98" s="452"/>
      <c r="HG98" s="453"/>
      <c r="HH98" s="453"/>
      <c r="HI98" s="453"/>
      <c r="HJ98" s="454"/>
      <c r="HL98" s="415"/>
    </row>
    <row r="99" spans="2:220" ht="7.5" customHeight="1">
      <c r="B99" s="412"/>
      <c r="C99" s="1741" t="e">
        <f>VLOOKUP(#REF!,[4]CLASS!B6:X17,23)&amp;" from class &amp; "&amp;IF(AND(#REF!="Fighter",#REF!="Battle Master",#REF!&gt;=3),'[4]WEAPONS ARMOR'!P26,[4]BACKGROUNDS!$H$4)</f>
        <v>#REF!</v>
      </c>
      <c r="D99" s="1519"/>
      <c r="E99" s="1519"/>
      <c r="F99" s="1519"/>
      <c r="G99" s="1519"/>
      <c r="H99" s="1519"/>
      <c r="I99" s="1519"/>
      <c r="J99" s="1519"/>
      <c r="K99" s="1519"/>
      <c r="L99" s="1519"/>
      <c r="M99" s="1519"/>
      <c r="N99" s="1519"/>
      <c r="O99" s="1519"/>
      <c r="P99" s="1519"/>
      <c r="Q99" s="1519"/>
      <c r="R99" s="1519"/>
      <c r="S99" s="1519"/>
      <c r="T99" s="1519"/>
      <c r="U99" s="1519"/>
      <c r="V99" s="1519"/>
      <c r="W99" s="1520"/>
      <c r="Y99" s="1735"/>
      <c r="Z99" s="1539"/>
      <c r="AA99" s="1539"/>
      <c r="AB99" s="1539"/>
      <c r="AC99" s="1539"/>
      <c r="AD99" s="1539"/>
      <c r="AE99" s="1539"/>
      <c r="AF99" s="1539"/>
      <c r="AG99" s="1457"/>
      <c r="AH99" s="1457"/>
      <c r="AI99" s="1457"/>
      <c r="AJ99" s="1457"/>
      <c r="AK99" s="1457"/>
      <c r="AL99" s="1457"/>
      <c r="AM99" s="1457"/>
      <c r="AN99" s="1457"/>
      <c r="AO99" s="1457"/>
      <c r="AP99" s="1457"/>
      <c r="AQ99" s="1457"/>
      <c r="AR99" s="1457"/>
      <c r="AS99" s="1457"/>
      <c r="AT99" s="1457"/>
      <c r="AU99" s="1457"/>
      <c r="AV99" s="1457"/>
      <c r="AW99" s="1457"/>
      <c r="AX99" s="1457"/>
      <c r="AY99" s="1457"/>
      <c r="AZ99" s="1457"/>
      <c r="BA99" s="1457"/>
      <c r="BB99" s="1457"/>
      <c r="BC99" s="1457"/>
      <c r="BD99" s="1457"/>
      <c r="BE99" s="1457"/>
      <c r="BF99" s="1457"/>
      <c r="BG99" s="1458"/>
      <c r="BH99" s="234"/>
      <c r="BI99" s="1742">
        <v>15.04</v>
      </c>
      <c r="BJ99" s="1737"/>
      <c r="BK99" s="1737"/>
      <c r="BL99" s="1737"/>
      <c r="BM99" s="1737"/>
      <c r="BN99" s="1738"/>
      <c r="BO99" s="234"/>
      <c r="BP99" s="1744">
        <v>108.80000000000001</v>
      </c>
      <c r="BQ99" s="1737"/>
      <c r="BR99" s="1737"/>
      <c r="BS99" s="1737"/>
      <c r="BT99" s="1737"/>
      <c r="BU99" s="1740"/>
      <c r="BV99" s="415"/>
      <c r="BW99" s="412"/>
      <c r="BX99" s="1396"/>
      <c r="BY99" s="1385"/>
      <c r="BZ99" s="1385"/>
      <c r="CA99" s="1385"/>
      <c r="CB99" s="1385"/>
      <c r="CC99" s="1385"/>
      <c r="CD99" s="1385"/>
      <c r="CE99" s="1385"/>
      <c r="CF99" s="1385"/>
      <c r="CG99" s="1403"/>
      <c r="CH99" s="1535"/>
      <c r="CI99" s="1536"/>
      <c r="CJ99" s="1536"/>
      <c r="CK99" s="1536"/>
      <c r="CL99" s="1536"/>
      <c r="CM99" s="1536"/>
      <c r="CN99" s="1536"/>
      <c r="CO99" s="1536"/>
      <c r="CP99" s="1536"/>
      <c r="CQ99" s="1536"/>
      <c r="CR99" s="1536"/>
      <c r="CS99" s="1536"/>
      <c r="CT99" s="1536"/>
      <c r="CU99" s="1536"/>
      <c r="CV99" s="1536"/>
      <c r="CW99" s="1536"/>
      <c r="CX99" s="1536"/>
      <c r="CY99" s="1536"/>
      <c r="CZ99" s="1536"/>
      <c r="DA99" s="1536"/>
      <c r="DB99" s="1536"/>
      <c r="DC99" s="1536"/>
      <c r="DD99" s="1536"/>
      <c r="DE99" s="1536"/>
      <c r="DF99" s="1536"/>
      <c r="DG99" s="1536"/>
      <c r="DH99" s="1536"/>
      <c r="DI99" s="1536"/>
      <c r="DJ99" s="1536"/>
      <c r="DK99" s="1536"/>
      <c r="DL99" s="1536"/>
      <c r="DM99" s="1536"/>
      <c r="DN99" s="1536"/>
      <c r="DO99" s="1536"/>
      <c r="DP99" s="1536"/>
      <c r="DQ99" s="1536"/>
      <c r="DR99" s="1536"/>
      <c r="DS99" s="1536"/>
      <c r="DT99" s="1536"/>
      <c r="DU99" s="1536"/>
      <c r="DV99" s="1536"/>
      <c r="DW99" s="1536"/>
      <c r="DX99" s="1536"/>
      <c r="DY99" s="1536"/>
      <c r="DZ99" s="1536"/>
      <c r="EA99" s="1536"/>
      <c r="EB99" s="1536"/>
      <c r="EC99" s="1536"/>
      <c r="ED99" s="1536"/>
      <c r="EE99" s="1536"/>
      <c r="EF99" s="1536"/>
      <c r="EG99" s="1536"/>
      <c r="EH99" s="1536"/>
      <c r="EI99" s="1536"/>
      <c r="EJ99" s="1536"/>
      <c r="EK99" s="1536"/>
      <c r="EL99" s="1536"/>
      <c r="EM99" s="1536"/>
      <c r="EN99" s="1536"/>
      <c r="EO99" s="1536"/>
      <c r="EP99" s="1537"/>
      <c r="EQ99" s="415"/>
      <c r="ER99" s="412"/>
      <c r="ES99" s="1521"/>
      <c r="ET99" s="1522"/>
      <c r="EU99" s="1522"/>
      <c r="EV99" s="1522"/>
      <c r="EW99" s="1522"/>
      <c r="EX99" s="1522"/>
      <c r="EY99" s="1522"/>
      <c r="EZ99" s="1522"/>
      <c r="FA99" s="1522"/>
      <c r="FB99" s="1522"/>
      <c r="FC99" s="1522"/>
      <c r="FD99" s="1522"/>
      <c r="FE99" s="1522"/>
      <c r="FF99" s="1522"/>
      <c r="FG99" s="1522"/>
      <c r="FH99" s="1522"/>
      <c r="FI99" s="1522"/>
      <c r="FJ99" s="1522"/>
      <c r="FK99" s="1522"/>
      <c r="FL99" s="1522"/>
      <c r="FM99" s="1522"/>
      <c r="FN99" s="1522"/>
      <c r="FO99" s="1522"/>
      <c r="FP99" s="1522"/>
      <c r="FQ99" s="1522"/>
      <c r="FR99" s="1522"/>
      <c r="FS99" s="1522"/>
      <c r="FT99" s="1522"/>
      <c r="FU99" s="1522"/>
      <c r="FV99" s="1522"/>
      <c r="FW99" s="1522"/>
      <c r="FX99" s="1522"/>
      <c r="FY99" s="1522"/>
      <c r="FZ99" s="1523"/>
      <c r="GA99" s="446"/>
      <c r="GB99" s="446"/>
      <c r="GC99" s="451"/>
      <c r="GD99" s="452"/>
      <c r="GE99" s="452"/>
      <c r="GF99" s="452"/>
      <c r="GG99" s="452"/>
      <c r="GH99" s="452"/>
      <c r="GI99" s="452"/>
      <c r="GJ99" s="452"/>
      <c r="GK99" s="452"/>
      <c r="GL99" s="452"/>
      <c r="GM99" s="452"/>
      <c r="GN99" s="452"/>
      <c r="GO99" s="452"/>
      <c r="GP99" s="452"/>
      <c r="GQ99" s="452"/>
      <c r="GR99" s="452"/>
      <c r="GS99" s="452"/>
      <c r="GT99" s="452"/>
      <c r="GU99" s="452"/>
      <c r="GV99" s="452"/>
      <c r="GW99" s="452"/>
      <c r="GX99" s="452"/>
      <c r="GY99" s="452"/>
      <c r="GZ99" s="452"/>
      <c r="HA99" s="452"/>
      <c r="HB99" s="452"/>
      <c r="HC99" s="452"/>
      <c r="HD99" s="452"/>
      <c r="HE99" s="452"/>
      <c r="HF99" s="452"/>
      <c r="HG99" s="453"/>
      <c r="HH99" s="453"/>
      <c r="HI99" s="453"/>
      <c r="HJ99" s="454"/>
      <c r="HL99" s="415"/>
    </row>
    <row r="100" spans="2:220" ht="7.5" customHeight="1">
      <c r="B100" s="412"/>
      <c r="C100" s="1521"/>
      <c r="D100" s="1522"/>
      <c r="E100" s="1522"/>
      <c r="F100" s="1522"/>
      <c r="G100" s="1522"/>
      <c r="H100" s="1522"/>
      <c r="I100" s="1522"/>
      <c r="J100" s="1522"/>
      <c r="K100" s="1522"/>
      <c r="L100" s="1522"/>
      <c r="M100" s="1522"/>
      <c r="N100" s="1522"/>
      <c r="O100" s="1522"/>
      <c r="P100" s="1522"/>
      <c r="Q100" s="1522"/>
      <c r="R100" s="1522"/>
      <c r="S100" s="1522"/>
      <c r="T100" s="1522"/>
      <c r="U100" s="1522"/>
      <c r="V100" s="1522"/>
      <c r="W100" s="1523"/>
      <c r="Y100" s="1541"/>
      <c r="Z100" s="1542"/>
      <c r="AA100" s="1542"/>
      <c r="AB100" s="1542"/>
      <c r="AC100" s="1542"/>
      <c r="AD100" s="1542"/>
      <c r="AE100" s="1542"/>
      <c r="AF100" s="1542"/>
      <c r="AG100" s="1459"/>
      <c r="AH100" s="1459"/>
      <c r="AI100" s="1459"/>
      <c r="AJ100" s="1459"/>
      <c r="AK100" s="1459"/>
      <c r="AL100" s="1459"/>
      <c r="AM100" s="1459"/>
      <c r="AN100" s="1459"/>
      <c r="AO100" s="1459"/>
      <c r="AP100" s="1459"/>
      <c r="AQ100" s="1459"/>
      <c r="AR100" s="1459"/>
      <c r="AS100" s="1459"/>
      <c r="AT100" s="1459"/>
      <c r="AU100" s="1459"/>
      <c r="AV100" s="1459"/>
      <c r="AW100" s="1459"/>
      <c r="AX100" s="1459"/>
      <c r="AY100" s="1459"/>
      <c r="AZ100" s="1459"/>
      <c r="BA100" s="1459"/>
      <c r="BB100" s="1459"/>
      <c r="BC100" s="1459"/>
      <c r="BD100" s="1459"/>
      <c r="BE100" s="1459"/>
      <c r="BF100" s="1459"/>
      <c r="BG100" s="1460"/>
      <c r="BH100" s="234"/>
      <c r="BI100" s="1743"/>
      <c r="BJ100" s="1737"/>
      <c r="BK100" s="1737"/>
      <c r="BL100" s="1737"/>
      <c r="BM100" s="1737"/>
      <c r="BN100" s="1738"/>
      <c r="BO100" s="234"/>
      <c r="BP100" s="1745"/>
      <c r="BQ100" s="1746"/>
      <c r="BR100" s="1746"/>
      <c r="BS100" s="1746"/>
      <c r="BT100" s="1746"/>
      <c r="BU100" s="1747"/>
      <c r="BV100" s="415"/>
      <c r="BW100" s="412"/>
      <c r="CF100" s="231"/>
      <c r="CG100" s="231"/>
      <c r="CH100" s="455"/>
      <c r="CI100" s="455"/>
      <c r="CJ100" s="455"/>
      <c r="CK100" s="455"/>
      <c r="CL100" s="455"/>
      <c r="CM100" s="455"/>
      <c r="CN100" s="455"/>
      <c r="CO100" s="455"/>
      <c r="CP100" s="455"/>
      <c r="CQ100" s="455"/>
      <c r="CR100" s="455"/>
      <c r="CS100" s="455"/>
      <c r="CT100" s="455"/>
      <c r="CU100" s="455"/>
      <c r="CV100" s="455"/>
      <c r="CW100" s="455"/>
      <c r="CX100" s="455"/>
      <c r="CY100" s="455"/>
      <c r="CZ100" s="455"/>
      <c r="DA100" s="455"/>
      <c r="DB100" s="455"/>
      <c r="EQ100" s="415"/>
      <c r="ER100" s="412"/>
      <c r="ES100" s="1521"/>
      <c r="ET100" s="1522"/>
      <c r="EU100" s="1522"/>
      <c r="EV100" s="1522"/>
      <c r="EW100" s="1522"/>
      <c r="EX100" s="1522"/>
      <c r="EY100" s="1522"/>
      <c r="EZ100" s="1522"/>
      <c r="FA100" s="1522"/>
      <c r="FB100" s="1522"/>
      <c r="FC100" s="1522"/>
      <c r="FD100" s="1522"/>
      <c r="FE100" s="1522"/>
      <c r="FF100" s="1522"/>
      <c r="FG100" s="1522"/>
      <c r="FH100" s="1522"/>
      <c r="FI100" s="1522"/>
      <c r="FJ100" s="1522"/>
      <c r="FK100" s="1522"/>
      <c r="FL100" s="1522"/>
      <c r="FM100" s="1522"/>
      <c r="FN100" s="1522"/>
      <c r="FO100" s="1522"/>
      <c r="FP100" s="1522"/>
      <c r="FQ100" s="1522"/>
      <c r="FR100" s="1522"/>
      <c r="FS100" s="1522"/>
      <c r="FT100" s="1522"/>
      <c r="FU100" s="1522"/>
      <c r="FV100" s="1522"/>
      <c r="FW100" s="1522"/>
      <c r="FX100" s="1522"/>
      <c r="FY100" s="1522"/>
      <c r="FZ100" s="1523"/>
      <c r="GA100" s="446"/>
      <c r="GB100" s="446"/>
      <c r="GC100" s="451"/>
      <c r="GD100" s="452"/>
      <c r="GE100" s="452"/>
      <c r="GF100" s="452"/>
      <c r="GG100" s="452"/>
      <c r="GH100" s="452"/>
      <c r="GI100" s="452"/>
      <c r="GJ100" s="452"/>
      <c r="GK100" s="452"/>
      <c r="GL100" s="452"/>
      <c r="GM100" s="452"/>
      <c r="GN100" s="452"/>
      <c r="GO100" s="452"/>
      <c r="GP100" s="452"/>
      <c r="GQ100" s="452"/>
      <c r="GR100" s="452"/>
      <c r="GS100" s="452"/>
      <c r="GT100" s="452"/>
      <c r="GU100" s="452"/>
      <c r="GV100" s="452"/>
      <c r="GW100" s="452"/>
      <c r="GX100" s="452"/>
      <c r="GY100" s="452"/>
      <c r="GZ100" s="452"/>
      <c r="HA100" s="452"/>
      <c r="HB100" s="452"/>
      <c r="HC100" s="452"/>
      <c r="HD100" s="452"/>
      <c r="HE100" s="452"/>
      <c r="HF100" s="452"/>
      <c r="HG100" s="453"/>
      <c r="HH100" s="453"/>
      <c r="HI100" s="453"/>
      <c r="HJ100" s="454"/>
      <c r="HL100" s="415"/>
    </row>
    <row r="101" spans="2:220" ht="7.5" customHeight="1">
      <c r="B101" s="412"/>
      <c r="C101" s="1521"/>
      <c r="D101" s="1522"/>
      <c r="E101" s="1522"/>
      <c r="F101" s="1522"/>
      <c r="G101" s="1522"/>
      <c r="H101" s="1522"/>
      <c r="I101" s="1522"/>
      <c r="J101" s="1522"/>
      <c r="K101" s="1522"/>
      <c r="L101" s="1522"/>
      <c r="M101" s="1522"/>
      <c r="N101" s="1522"/>
      <c r="O101" s="1522"/>
      <c r="P101" s="1522"/>
      <c r="Q101" s="1522"/>
      <c r="R101" s="1522"/>
      <c r="S101" s="1522"/>
      <c r="T101" s="1522"/>
      <c r="U101" s="1522"/>
      <c r="V101" s="1522"/>
      <c r="W101" s="1523"/>
      <c r="Y101" s="1763"/>
      <c r="Z101" s="1764"/>
      <c r="AA101" s="1764"/>
      <c r="AB101" s="1764"/>
      <c r="AC101" s="1764"/>
      <c r="AD101" s="1764"/>
      <c r="AE101" s="1764"/>
      <c r="AF101" s="1764"/>
      <c r="AG101" s="1765"/>
      <c r="AH101" s="1765"/>
      <c r="AI101" s="1765"/>
      <c r="AJ101" s="1765"/>
      <c r="AK101" s="1765"/>
      <c r="AL101" s="1765"/>
      <c r="AM101" s="1765"/>
      <c r="AN101" s="1765"/>
      <c r="AO101" s="1765"/>
      <c r="AP101" s="1765"/>
      <c r="AQ101" s="1765"/>
      <c r="AR101" s="1765"/>
      <c r="AS101" s="1765"/>
      <c r="AT101" s="1765"/>
      <c r="AU101" s="1765"/>
      <c r="AV101" s="1765"/>
      <c r="AW101" s="1765"/>
      <c r="AX101" s="1765"/>
      <c r="AY101" s="1765"/>
      <c r="AZ101" s="1765"/>
      <c r="BA101" s="1765"/>
      <c r="BB101" s="1765"/>
      <c r="BC101" s="1765"/>
      <c r="BD101" s="1765"/>
      <c r="BE101" s="1765"/>
      <c r="BF101" s="1765"/>
      <c r="BG101" s="1766"/>
      <c r="BH101" s="231"/>
      <c r="BI101" s="1736" t="s">
        <v>6370</v>
      </c>
      <c r="BJ101" s="1737"/>
      <c r="BK101" s="1737"/>
      <c r="BL101" s="1737"/>
      <c r="BM101" s="1737"/>
      <c r="BN101" s="1738"/>
      <c r="BO101" s="234"/>
      <c r="BP101" s="1739" t="s">
        <v>7438</v>
      </c>
      <c r="BQ101" s="1737"/>
      <c r="BR101" s="1737"/>
      <c r="BS101" s="1737"/>
      <c r="BT101" s="1737"/>
      <c r="BU101" s="1740"/>
      <c r="BV101" s="415"/>
      <c r="BW101" s="412"/>
      <c r="BX101" s="1641" t="s">
        <v>7439</v>
      </c>
      <c r="BY101" s="1395"/>
      <c r="BZ101" s="1395"/>
      <c r="CA101" s="1395"/>
      <c r="CB101" s="1395"/>
      <c r="CC101" s="1395"/>
      <c r="CD101" s="1395"/>
      <c r="CE101" s="1395"/>
      <c r="CF101" s="1395"/>
      <c r="CG101" s="1402"/>
      <c r="CH101" s="1713"/>
      <c r="CI101" s="1672"/>
      <c r="CJ101" s="1672"/>
      <c r="CK101" s="1672"/>
      <c r="CL101" s="1672"/>
      <c r="CM101" s="1672"/>
      <c r="CN101" s="1672"/>
      <c r="CO101" s="1672"/>
      <c r="CP101" s="1672"/>
      <c r="CQ101" s="1672"/>
      <c r="CR101" s="1672"/>
      <c r="CS101" s="1672"/>
      <c r="CT101" s="1672"/>
      <c r="CU101" s="1672"/>
      <c r="CV101" s="1672"/>
      <c r="CW101" s="1672"/>
      <c r="CX101" s="1672"/>
      <c r="CY101" s="1672"/>
      <c r="CZ101" s="1672"/>
      <c r="DA101" s="1672"/>
      <c r="DB101" s="1672"/>
      <c r="DC101" s="1672"/>
      <c r="DD101" s="1672"/>
      <c r="DE101" s="1672"/>
      <c r="DF101" s="1672"/>
      <c r="DG101" s="1672"/>
      <c r="DH101" s="1672"/>
      <c r="DI101" s="1672"/>
      <c r="DJ101" s="1672"/>
      <c r="DK101" s="1672"/>
      <c r="DL101" s="1672"/>
      <c r="DM101" s="1672"/>
      <c r="DN101" s="1672"/>
      <c r="DO101" s="1672"/>
      <c r="DP101" s="1672"/>
      <c r="DQ101" s="1672"/>
      <c r="DR101" s="1672"/>
      <c r="DS101" s="1672"/>
      <c r="DT101" s="1672"/>
      <c r="DU101" s="1672"/>
      <c r="DV101" s="1672"/>
      <c r="DW101" s="1672"/>
      <c r="DX101" s="1672"/>
      <c r="DY101" s="1672"/>
      <c r="DZ101" s="1672"/>
      <c r="EA101" s="1672"/>
      <c r="EB101" s="1672"/>
      <c r="EC101" s="1672"/>
      <c r="ED101" s="1672"/>
      <c r="EE101" s="1672"/>
      <c r="EF101" s="1672"/>
      <c r="EG101" s="1672"/>
      <c r="EH101" s="1672"/>
      <c r="EI101" s="1672"/>
      <c r="EJ101" s="1672"/>
      <c r="EK101" s="1672"/>
      <c r="EL101" s="1672"/>
      <c r="EM101" s="1672"/>
      <c r="EN101" s="1672"/>
      <c r="EO101" s="1672"/>
      <c r="EP101" s="1673"/>
      <c r="EQ101" s="415"/>
      <c r="ER101" s="412"/>
      <c r="ES101" s="1521"/>
      <c r="ET101" s="1522"/>
      <c r="EU101" s="1522"/>
      <c r="EV101" s="1522"/>
      <c r="EW101" s="1522"/>
      <c r="EX101" s="1522"/>
      <c r="EY101" s="1522"/>
      <c r="EZ101" s="1522"/>
      <c r="FA101" s="1522"/>
      <c r="FB101" s="1522"/>
      <c r="FC101" s="1522"/>
      <c r="FD101" s="1522"/>
      <c r="FE101" s="1522"/>
      <c r="FF101" s="1522"/>
      <c r="FG101" s="1522"/>
      <c r="FH101" s="1522"/>
      <c r="FI101" s="1522"/>
      <c r="FJ101" s="1522"/>
      <c r="FK101" s="1522"/>
      <c r="FL101" s="1522"/>
      <c r="FM101" s="1522"/>
      <c r="FN101" s="1522"/>
      <c r="FO101" s="1522"/>
      <c r="FP101" s="1522"/>
      <c r="FQ101" s="1522"/>
      <c r="FR101" s="1522"/>
      <c r="FS101" s="1522"/>
      <c r="FT101" s="1522"/>
      <c r="FU101" s="1522"/>
      <c r="FV101" s="1522"/>
      <c r="FW101" s="1522"/>
      <c r="FX101" s="1522"/>
      <c r="FY101" s="1522"/>
      <c r="FZ101" s="1523"/>
      <c r="GA101" s="446"/>
      <c r="GB101" s="446"/>
      <c r="GC101" s="451"/>
      <c r="GD101" s="452"/>
      <c r="GE101" s="452"/>
      <c r="GF101" s="452"/>
      <c r="GG101" s="452"/>
      <c r="GH101" s="452"/>
      <c r="GI101" s="452"/>
      <c r="GJ101" s="452"/>
      <c r="GK101" s="452"/>
      <c r="GL101" s="452"/>
      <c r="GM101" s="452"/>
      <c r="GN101" s="452"/>
      <c r="GO101" s="452"/>
      <c r="GP101" s="452"/>
      <c r="GQ101" s="452"/>
      <c r="GR101" s="452"/>
      <c r="GS101" s="452"/>
      <c r="GT101" s="452"/>
      <c r="GU101" s="452"/>
      <c r="GV101" s="452"/>
      <c r="GW101" s="452"/>
      <c r="GX101" s="452"/>
      <c r="GY101" s="452"/>
      <c r="GZ101" s="452"/>
      <c r="HA101" s="452"/>
      <c r="HB101" s="452"/>
      <c r="HC101" s="452"/>
      <c r="HD101" s="452"/>
      <c r="HE101" s="452"/>
      <c r="HF101" s="452"/>
      <c r="HG101" s="453"/>
      <c r="HH101" s="453"/>
      <c r="HI101" s="453"/>
      <c r="HJ101" s="454"/>
      <c r="HL101" s="415"/>
    </row>
    <row r="102" spans="2:220" ht="7.5" customHeight="1">
      <c r="B102" s="412"/>
      <c r="C102" s="1524"/>
      <c r="D102" s="1525"/>
      <c r="E102" s="1525"/>
      <c r="F102" s="1525"/>
      <c r="G102" s="1525"/>
      <c r="H102" s="1525"/>
      <c r="I102" s="1525"/>
      <c r="J102" s="1525"/>
      <c r="K102" s="1525"/>
      <c r="L102" s="1525"/>
      <c r="M102" s="1525"/>
      <c r="N102" s="1525"/>
      <c r="O102" s="1525"/>
      <c r="P102" s="1525"/>
      <c r="Q102" s="1525"/>
      <c r="R102" s="1525"/>
      <c r="S102" s="1525"/>
      <c r="T102" s="1525"/>
      <c r="U102" s="1525"/>
      <c r="V102" s="1525"/>
      <c r="W102" s="1526"/>
      <c r="Y102" s="1767"/>
      <c r="Z102" s="1768"/>
      <c r="AA102" s="1768"/>
      <c r="AB102" s="1768"/>
      <c r="AC102" s="1768"/>
      <c r="AD102" s="1768"/>
      <c r="AE102" s="1768"/>
      <c r="AF102" s="1768"/>
      <c r="AG102" s="1769"/>
      <c r="AH102" s="1769"/>
      <c r="AI102" s="1769"/>
      <c r="AJ102" s="1769"/>
      <c r="AK102" s="1769"/>
      <c r="AL102" s="1769"/>
      <c r="AM102" s="1769"/>
      <c r="AN102" s="1769"/>
      <c r="AO102" s="1769"/>
      <c r="AP102" s="1769"/>
      <c r="AQ102" s="1769"/>
      <c r="AR102" s="1769"/>
      <c r="AS102" s="1769"/>
      <c r="AT102" s="1769"/>
      <c r="AU102" s="1769"/>
      <c r="AV102" s="1769"/>
      <c r="AW102" s="1769"/>
      <c r="AX102" s="1769"/>
      <c r="AY102" s="1769"/>
      <c r="AZ102" s="1769"/>
      <c r="BA102" s="1769"/>
      <c r="BB102" s="1769"/>
      <c r="BC102" s="1769"/>
      <c r="BD102" s="1769"/>
      <c r="BE102" s="1769"/>
      <c r="BF102" s="1769"/>
      <c r="BG102" s="1770"/>
      <c r="BH102" s="231"/>
      <c r="BI102" s="1742">
        <v>0.64</v>
      </c>
      <c r="BJ102" s="1737"/>
      <c r="BK102" s="1737"/>
      <c r="BL102" s="1737"/>
      <c r="BM102" s="1737"/>
      <c r="BN102" s="1738"/>
      <c r="BO102" s="234"/>
      <c r="BP102" s="1744"/>
      <c r="BQ102" s="1737"/>
      <c r="BR102" s="1737"/>
      <c r="BS102" s="1737"/>
      <c r="BT102" s="1737"/>
      <c r="BU102" s="1740"/>
      <c r="BV102" s="415"/>
      <c r="BW102" s="412"/>
      <c r="BX102" s="1411"/>
      <c r="BY102" s="1384"/>
      <c r="BZ102" s="1384"/>
      <c r="CA102" s="1384"/>
      <c r="CB102" s="1384"/>
      <c r="CC102" s="1384"/>
      <c r="CD102" s="1384"/>
      <c r="CE102" s="1384"/>
      <c r="CF102" s="1384"/>
      <c r="CG102" s="1412"/>
      <c r="CH102" s="1674"/>
      <c r="CI102" s="1675"/>
      <c r="CJ102" s="1675"/>
      <c r="CK102" s="1675"/>
      <c r="CL102" s="1675"/>
      <c r="CM102" s="1675"/>
      <c r="CN102" s="1675"/>
      <c r="CO102" s="1675"/>
      <c r="CP102" s="1675"/>
      <c r="CQ102" s="1675"/>
      <c r="CR102" s="1675"/>
      <c r="CS102" s="1675"/>
      <c r="CT102" s="1675"/>
      <c r="CU102" s="1675"/>
      <c r="CV102" s="1675"/>
      <c r="CW102" s="1675"/>
      <c r="CX102" s="1675"/>
      <c r="CY102" s="1675"/>
      <c r="CZ102" s="1675"/>
      <c r="DA102" s="1675"/>
      <c r="DB102" s="1675"/>
      <c r="DC102" s="1675"/>
      <c r="DD102" s="1675"/>
      <c r="DE102" s="1675"/>
      <c r="DF102" s="1675"/>
      <c r="DG102" s="1675"/>
      <c r="DH102" s="1675"/>
      <c r="DI102" s="1675"/>
      <c r="DJ102" s="1675"/>
      <c r="DK102" s="1675"/>
      <c r="DL102" s="1675"/>
      <c r="DM102" s="1675"/>
      <c r="DN102" s="1675"/>
      <c r="DO102" s="1675"/>
      <c r="DP102" s="1675"/>
      <c r="DQ102" s="1675"/>
      <c r="DR102" s="1675"/>
      <c r="DS102" s="1675"/>
      <c r="DT102" s="1675"/>
      <c r="DU102" s="1675"/>
      <c r="DV102" s="1675"/>
      <c r="DW102" s="1675"/>
      <c r="DX102" s="1675"/>
      <c r="DY102" s="1675"/>
      <c r="DZ102" s="1675"/>
      <c r="EA102" s="1675"/>
      <c r="EB102" s="1675"/>
      <c r="EC102" s="1675"/>
      <c r="ED102" s="1675"/>
      <c r="EE102" s="1675"/>
      <c r="EF102" s="1675"/>
      <c r="EG102" s="1675"/>
      <c r="EH102" s="1675"/>
      <c r="EI102" s="1675"/>
      <c r="EJ102" s="1675"/>
      <c r="EK102" s="1675"/>
      <c r="EL102" s="1675"/>
      <c r="EM102" s="1675"/>
      <c r="EN102" s="1675"/>
      <c r="EO102" s="1675"/>
      <c r="EP102" s="1676"/>
      <c r="EQ102" s="415"/>
      <c r="ER102" s="412"/>
      <c r="ES102" s="1521"/>
      <c r="ET102" s="1522"/>
      <c r="EU102" s="1522"/>
      <c r="EV102" s="1522"/>
      <c r="EW102" s="1522"/>
      <c r="EX102" s="1522"/>
      <c r="EY102" s="1522"/>
      <c r="EZ102" s="1522"/>
      <c r="FA102" s="1522"/>
      <c r="FB102" s="1522"/>
      <c r="FC102" s="1522"/>
      <c r="FD102" s="1522"/>
      <c r="FE102" s="1522"/>
      <c r="FF102" s="1522"/>
      <c r="FG102" s="1522"/>
      <c r="FH102" s="1522"/>
      <c r="FI102" s="1522"/>
      <c r="FJ102" s="1522"/>
      <c r="FK102" s="1522"/>
      <c r="FL102" s="1522"/>
      <c r="FM102" s="1522"/>
      <c r="FN102" s="1522"/>
      <c r="FO102" s="1522"/>
      <c r="FP102" s="1522"/>
      <c r="FQ102" s="1522"/>
      <c r="FR102" s="1522"/>
      <c r="FS102" s="1522"/>
      <c r="FT102" s="1522"/>
      <c r="FU102" s="1522"/>
      <c r="FV102" s="1522"/>
      <c r="FW102" s="1522"/>
      <c r="FX102" s="1522"/>
      <c r="FY102" s="1522"/>
      <c r="FZ102" s="1523"/>
      <c r="GA102" s="446"/>
      <c r="GB102" s="446"/>
      <c r="GC102" s="451"/>
      <c r="GD102" s="452"/>
      <c r="GE102" s="452"/>
      <c r="GF102" s="452"/>
      <c r="GG102" s="452"/>
      <c r="GH102" s="452"/>
      <c r="GI102" s="452"/>
      <c r="GJ102" s="452"/>
      <c r="GK102" s="452"/>
      <c r="GL102" s="452"/>
      <c r="GM102" s="452"/>
      <c r="GN102" s="452"/>
      <c r="GO102" s="452"/>
      <c r="GP102" s="452"/>
      <c r="GQ102" s="452"/>
      <c r="GR102" s="452"/>
      <c r="GS102" s="452"/>
      <c r="GT102" s="452"/>
      <c r="GU102" s="452"/>
      <c r="GV102" s="452"/>
      <c r="GW102" s="452"/>
      <c r="GX102" s="452"/>
      <c r="GY102" s="452"/>
      <c r="GZ102" s="452"/>
      <c r="HA102" s="452"/>
      <c r="HB102" s="452"/>
      <c r="HC102" s="452"/>
      <c r="HD102" s="452"/>
      <c r="HE102" s="452"/>
      <c r="HF102" s="452"/>
      <c r="HG102" s="453"/>
      <c r="HH102" s="453"/>
      <c r="HI102" s="453"/>
      <c r="HJ102" s="454"/>
      <c r="HL102" s="415"/>
    </row>
    <row r="103" spans="2:220" ht="7.5" customHeight="1">
      <c r="B103" s="412"/>
      <c r="C103" s="1715" t="s">
        <v>5850</v>
      </c>
      <c r="D103" s="1359"/>
      <c r="E103" s="1359"/>
      <c r="F103" s="1359"/>
      <c r="G103" s="1359"/>
      <c r="H103" s="1359"/>
      <c r="I103" s="1359"/>
      <c r="J103" s="1359"/>
      <c r="K103" s="1359"/>
      <c r="L103" s="1359"/>
      <c r="M103" s="1359"/>
      <c r="N103" s="1359"/>
      <c r="O103" s="1359"/>
      <c r="P103" s="1359"/>
      <c r="Q103" s="1359"/>
      <c r="R103" s="1359"/>
      <c r="S103" s="1359"/>
      <c r="T103" s="1359"/>
      <c r="U103" s="1359"/>
      <c r="V103" s="1359"/>
      <c r="W103" s="1359"/>
      <c r="Y103" s="1751"/>
      <c r="Z103" s="1752"/>
      <c r="AA103" s="1752"/>
      <c r="AB103" s="1752"/>
      <c r="AC103" s="1752"/>
      <c r="AD103" s="1752"/>
      <c r="AE103" s="1752"/>
      <c r="AF103" s="1752"/>
      <c r="AG103" s="1752"/>
      <c r="AH103" s="1752"/>
      <c r="AI103" s="1752"/>
      <c r="AJ103" s="1752"/>
      <c r="AK103" s="1752"/>
      <c r="AL103" s="1752"/>
      <c r="AM103" s="1752"/>
      <c r="AN103" s="1752"/>
      <c r="AO103" s="1752"/>
      <c r="AP103" s="1752"/>
      <c r="AQ103" s="1752"/>
      <c r="AR103" s="1752"/>
      <c r="AS103" s="1752"/>
      <c r="AT103" s="1752"/>
      <c r="AU103" s="1752"/>
      <c r="AV103" s="1752"/>
      <c r="AW103" s="1752"/>
      <c r="AX103" s="1752"/>
      <c r="AY103" s="1752"/>
      <c r="AZ103" s="1752"/>
      <c r="BA103" s="1435"/>
      <c r="BB103" s="1435"/>
      <c r="BC103" s="1435"/>
      <c r="BD103" s="1435"/>
      <c r="BE103" s="1435"/>
      <c r="BF103" s="1435"/>
      <c r="BG103" s="1436"/>
      <c r="BH103" s="456"/>
      <c r="BI103" s="1743"/>
      <c r="BJ103" s="1737"/>
      <c r="BK103" s="1737"/>
      <c r="BL103" s="1737"/>
      <c r="BM103" s="1737"/>
      <c r="BN103" s="1738"/>
      <c r="BO103" s="234"/>
      <c r="BP103" s="1762"/>
      <c r="BQ103" s="1737"/>
      <c r="BR103" s="1737"/>
      <c r="BS103" s="1737"/>
      <c r="BT103" s="1737"/>
      <c r="BU103" s="1740"/>
      <c r="BV103" s="415"/>
      <c r="BW103" s="412"/>
      <c r="BX103" s="1396"/>
      <c r="BY103" s="1385"/>
      <c r="BZ103" s="1385"/>
      <c r="CA103" s="1385"/>
      <c r="CB103" s="1385"/>
      <c r="CC103" s="1385"/>
      <c r="CD103" s="1385"/>
      <c r="CE103" s="1385"/>
      <c r="CF103" s="1385"/>
      <c r="CG103" s="1403"/>
      <c r="CH103" s="1677"/>
      <c r="CI103" s="1678"/>
      <c r="CJ103" s="1678"/>
      <c r="CK103" s="1678"/>
      <c r="CL103" s="1678"/>
      <c r="CM103" s="1678"/>
      <c r="CN103" s="1678"/>
      <c r="CO103" s="1678"/>
      <c r="CP103" s="1678"/>
      <c r="CQ103" s="1678"/>
      <c r="CR103" s="1678"/>
      <c r="CS103" s="1678"/>
      <c r="CT103" s="1678"/>
      <c r="CU103" s="1678"/>
      <c r="CV103" s="1678"/>
      <c r="CW103" s="1678"/>
      <c r="CX103" s="1678"/>
      <c r="CY103" s="1678"/>
      <c r="CZ103" s="1678"/>
      <c r="DA103" s="1678"/>
      <c r="DB103" s="1678"/>
      <c r="DC103" s="1678"/>
      <c r="DD103" s="1678"/>
      <c r="DE103" s="1678"/>
      <c r="DF103" s="1678"/>
      <c r="DG103" s="1678"/>
      <c r="DH103" s="1678"/>
      <c r="DI103" s="1678"/>
      <c r="DJ103" s="1678"/>
      <c r="DK103" s="1678"/>
      <c r="DL103" s="1678"/>
      <c r="DM103" s="1678"/>
      <c r="DN103" s="1678"/>
      <c r="DO103" s="1678"/>
      <c r="DP103" s="1678"/>
      <c r="DQ103" s="1678"/>
      <c r="DR103" s="1678"/>
      <c r="DS103" s="1678"/>
      <c r="DT103" s="1678"/>
      <c r="DU103" s="1678"/>
      <c r="DV103" s="1678"/>
      <c r="DW103" s="1678"/>
      <c r="DX103" s="1678"/>
      <c r="DY103" s="1678"/>
      <c r="DZ103" s="1678"/>
      <c r="EA103" s="1678"/>
      <c r="EB103" s="1678"/>
      <c r="EC103" s="1678"/>
      <c r="ED103" s="1678"/>
      <c r="EE103" s="1678"/>
      <c r="EF103" s="1678"/>
      <c r="EG103" s="1678"/>
      <c r="EH103" s="1678"/>
      <c r="EI103" s="1678"/>
      <c r="EJ103" s="1678"/>
      <c r="EK103" s="1678"/>
      <c r="EL103" s="1678"/>
      <c r="EM103" s="1678"/>
      <c r="EN103" s="1678"/>
      <c r="EO103" s="1678"/>
      <c r="EP103" s="1679"/>
      <c r="EQ103" s="415"/>
      <c r="ER103" s="412"/>
      <c r="ES103" s="1521"/>
      <c r="ET103" s="1522"/>
      <c r="EU103" s="1522"/>
      <c r="EV103" s="1522"/>
      <c r="EW103" s="1522"/>
      <c r="EX103" s="1522"/>
      <c r="EY103" s="1522"/>
      <c r="EZ103" s="1522"/>
      <c r="FA103" s="1522"/>
      <c r="FB103" s="1522"/>
      <c r="FC103" s="1522"/>
      <c r="FD103" s="1522"/>
      <c r="FE103" s="1522"/>
      <c r="FF103" s="1522"/>
      <c r="FG103" s="1522"/>
      <c r="FH103" s="1522"/>
      <c r="FI103" s="1522"/>
      <c r="FJ103" s="1522"/>
      <c r="FK103" s="1522"/>
      <c r="FL103" s="1522"/>
      <c r="FM103" s="1522"/>
      <c r="FN103" s="1522"/>
      <c r="FO103" s="1522"/>
      <c r="FP103" s="1522"/>
      <c r="FQ103" s="1522"/>
      <c r="FR103" s="1522"/>
      <c r="FS103" s="1522"/>
      <c r="FT103" s="1522"/>
      <c r="FU103" s="1522"/>
      <c r="FV103" s="1522"/>
      <c r="FW103" s="1522"/>
      <c r="FX103" s="1522"/>
      <c r="FY103" s="1522"/>
      <c r="FZ103" s="1523"/>
      <c r="GA103" s="446"/>
      <c r="GB103" s="446"/>
      <c r="GC103" s="451"/>
      <c r="GD103" s="452"/>
      <c r="GE103" s="452"/>
      <c r="GF103" s="452"/>
      <c r="GG103" s="452"/>
      <c r="GH103" s="452"/>
      <c r="GI103" s="452"/>
      <c r="GJ103" s="452"/>
      <c r="GK103" s="452"/>
      <c r="GL103" s="452"/>
      <c r="GM103" s="452"/>
      <c r="GN103" s="452"/>
      <c r="GO103" s="452"/>
      <c r="GP103" s="452"/>
      <c r="GQ103" s="452"/>
      <c r="GR103" s="452"/>
      <c r="GS103" s="452"/>
      <c r="GT103" s="452"/>
      <c r="GU103" s="452"/>
      <c r="GV103" s="452"/>
      <c r="GW103" s="452"/>
      <c r="GX103" s="452"/>
      <c r="GY103" s="452"/>
      <c r="GZ103" s="452"/>
      <c r="HA103" s="452"/>
      <c r="HB103" s="452"/>
      <c r="HC103" s="452"/>
      <c r="HD103" s="452"/>
      <c r="HE103" s="452"/>
      <c r="HF103" s="452"/>
      <c r="HG103" s="453"/>
      <c r="HH103" s="453"/>
      <c r="HI103" s="453"/>
      <c r="HJ103" s="454"/>
      <c r="HL103" s="415"/>
    </row>
    <row r="104" spans="2:220" ht="7.5" customHeight="1">
      <c r="B104" s="412"/>
      <c r="C104" s="1362"/>
      <c r="D104" s="1362"/>
      <c r="E104" s="1362"/>
      <c r="F104" s="1362"/>
      <c r="G104" s="1362"/>
      <c r="H104" s="1362"/>
      <c r="I104" s="1362"/>
      <c r="J104" s="1362"/>
      <c r="K104" s="1362"/>
      <c r="L104" s="1362"/>
      <c r="M104" s="1362"/>
      <c r="N104" s="1362"/>
      <c r="O104" s="1362"/>
      <c r="P104" s="1362"/>
      <c r="Q104" s="1362"/>
      <c r="R104" s="1362"/>
      <c r="S104" s="1362"/>
      <c r="T104" s="1362"/>
      <c r="U104" s="1362"/>
      <c r="V104" s="1362"/>
      <c r="W104" s="1362"/>
      <c r="Y104" s="1755"/>
      <c r="Z104" s="1756"/>
      <c r="AA104" s="1756"/>
      <c r="AB104" s="1756"/>
      <c r="AC104" s="1756"/>
      <c r="AD104" s="1756"/>
      <c r="AE104" s="1756"/>
      <c r="AF104" s="1756"/>
      <c r="AG104" s="1756"/>
      <c r="AH104" s="1756"/>
      <c r="AI104" s="1756"/>
      <c r="AJ104" s="1756"/>
      <c r="AK104" s="1756"/>
      <c r="AL104" s="1756"/>
      <c r="AM104" s="1756"/>
      <c r="AN104" s="1756"/>
      <c r="AO104" s="1756"/>
      <c r="AP104" s="1756"/>
      <c r="AQ104" s="1756"/>
      <c r="AR104" s="1756"/>
      <c r="AS104" s="1756"/>
      <c r="AT104" s="1756"/>
      <c r="AU104" s="1756"/>
      <c r="AV104" s="1756"/>
      <c r="AW104" s="1756"/>
      <c r="AX104" s="1756"/>
      <c r="AY104" s="1756"/>
      <c r="AZ104" s="1756"/>
      <c r="BA104" s="1438"/>
      <c r="BB104" s="1438"/>
      <c r="BC104" s="1438"/>
      <c r="BD104" s="1438"/>
      <c r="BE104" s="1438"/>
      <c r="BF104" s="1438"/>
      <c r="BG104" s="1439"/>
      <c r="BH104" s="231"/>
      <c r="BI104" s="1736" t="s">
        <v>6381</v>
      </c>
      <c r="BJ104" s="1771"/>
      <c r="BK104" s="1771"/>
      <c r="BL104" s="1771"/>
      <c r="BM104" s="1771"/>
      <c r="BN104" s="1772"/>
      <c r="BO104" s="234"/>
      <c r="BP104" s="1739" t="s">
        <v>7440</v>
      </c>
      <c r="BQ104" s="1771"/>
      <c r="BR104" s="1771"/>
      <c r="BS104" s="1771"/>
      <c r="BT104" s="1771"/>
      <c r="BU104" s="1774"/>
      <c r="BV104" s="415"/>
      <c r="BW104" s="412"/>
      <c r="EQ104" s="415"/>
      <c r="ER104" s="412"/>
      <c r="ES104" s="1521"/>
      <c r="ET104" s="1522"/>
      <c r="EU104" s="1522"/>
      <c r="EV104" s="1522"/>
      <c r="EW104" s="1522"/>
      <c r="EX104" s="1522"/>
      <c r="EY104" s="1522"/>
      <c r="EZ104" s="1522"/>
      <c r="FA104" s="1522"/>
      <c r="FB104" s="1522"/>
      <c r="FC104" s="1522"/>
      <c r="FD104" s="1522"/>
      <c r="FE104" s="1522"/>
      <c r="FF104" s="1522"/>
      <c r="FG104" s="1522"/>
      <c r="FH104" s="1522"/>
      <c r="FI104" s="1522"/>
      <c r="FJ104" s="1522"/>
      <c r="FK104" s="1522"/>
      <c r="FL104" s="1522"/>
      <c r="FM104" s="1522"/>
      <c r="FN104" s="1522"/>
      <c r="FO104" s="1522"/>
      <c r="FP104" s="1522"/>
      <c r="FQ104" s="1522"/>
      <c r="FR104" s="1522"/>
      <c r="FS104" s="1522"/>
      <c r="FT104" s="1522"/>
      <c r="FU104" s="1522"/>
      <c r="FV104" s="1522"/>
      <c r="FW104" s="1522"/>
      <c r="FX104" s="1522"/>
      <c r="FY104" s="1522"/>
      <c r="FZ104" s="1523"/>
      <c r="GA104" s="446"/>
      <c r="GB104" s="446"/>
      <c r="GC104" s="451"/>
      <c r="GD104" s="452"/>
      <c r="GE104" s="452"/>
      <c r="GF104" s="452"/>
      <c r="GG104" s="452"/>
      <c r="GH104" s="452"/>
      <c r="GI104" s="452"/>
      <c r="GJ104" s="452"/>
      <c r="GK104" s="452"/>
      <c r="GL104" s="452"/>
      <c r="GM104" s="452"/>
      <c r="GN104" s="452"/>
      <c r="GO104" s="452"/>
      <c r="GP104" s="452"/>
      <c r="GQ104" s="452"/>
      <c r="GR104" s="452"/>
      <c r="GS104" s="452"/>
      <c r="GT104" s="452"/>
      <c r="GU104" s="452"/>
      <c r="GV104" s="452"/>
      <c r="GW104" s="452"/>
      <c r="GX104" s="452"/>
      <c r="GY104" s="452"/>
      <c r="GZ104" s="452"/>
      <c r="HA104" s="452"/>
      <c r="HB104" s="452"/>
      <c r="HC104" s="452"/>
      <c r="HD104" s="452"/>
      <c r="HE104" s="452"/>
      <c r="HF104" s="452"/>
      <c r="HG104" s="453"/>
      <c r="HH104" s="453"/>
      <c r="HI104" s="453"/>
      <c r="HJ104" s="454"/>
      <c r="HL104" s="415"/>
    </row>
    <row r="105" spans="2:220" ht="7.5" customHeight="1">
      <c r="B105" s="412"/>
      <c r="C105" s="1776"/>
      <c r="D105" s="1777"/>
      <c r="E105" s="1777"/>
      <c r="F105" s="1777"/>
      <c r="G105" s="1777"/>
      <c r="H105" s="1777"/>
      <c r="I105" s="1777"/>
      <c r="J105" s="1777"/>
      <c r="K105" s="1777"/>
      <c r="L105" s="1777"/>
      <c r="M105" s="1777"/>
      <c r="N105" s="1777"/>
      <c r="O105" s="1777"/>
      <c r="P105" s="1777"/>
      <c r="Q105" s="1777"/>
      <c r="R105" s="1777"/>
      <c r="S105" s="1777"/>
      <c r="T105" s="1777"/>
      <c r="U105" s="1777"/>
      <c r="V105" s="1777"/>
      <c r="W105" s="1778"/>
      <c r="Y105" s="1735"/>
      <c r="Z105" s="1539"/>
      <c r="AA105" s="1539"/>
      <c r="AB105" s="1539"/>
      <c r="AC105" s="1539"/>
      <c r="AD105" s="1539"/>
      <c r="AE105" s="1539"/>
      <c r="AF105" s="1539"/>
      <c r="AG105" s="1457"/>
      <c r="AH105" s="1457"/>
      <c r="AI105" s="1457"/>
      <c r="AJ105" s="1457"/>
      <c r="AK105" s="1457"/>
      <c r="AL105" s="1457"/>
      <c r="AM105" s="1457"/>
      <c r="AN105" s="1457"/>
      <c r="AO105" s="1457"/>
      <c r="AP105" s="1457"/>
      <c r="AQ105" s="1457"/>
      <c r="AR105" s="1457"/>
      <c r="AS105" s="1457"/>
      <c r="AT105" s="1457"/>
      <c r="AU105" s="1457"/>
      <c r="AV105" s="1457"/>
      <c r="AW105" s="1457"/>
      <c r="AX105" s="1457"/>
      <c r="AY105" s="1457"/>
      <c r="AZ105" s="1457"/>
      <c r="BA105" s="1457"/>
      <c r="BB105" s="1457"/>
      <c r="BC105" s="1457"/>
      <c r="BD105" s="1457"/>
      <c r="BE105" s="1457"/>
      <c r="BF105" s="1457"/>
      <c r="BG105" s="1458"/>
      <c r="BH105" s="231"/>
      <c r="BI105" s="1773"/>
      <c r="BJ105" s="1771"/>
      <c r="BK105" s="1771"/>
      <c r="BL105" s="1771"/>
      <c r="BM105" s="1771"/>
      <c r="BN105" s="1772"/>
      <c r="BO105" s="457"/>
      <c r="BP105" s="1775"/>
      <c r="BQ105" s="1771"/>
      <c r="BR105" s="1771"/>
      <c r="BS105" s="1771"/>
      <c r="BT105" s="1771"/>
      <c r="BU105" s="1774"/>
      <c r="BV105" s="415"/>
      <c r="BW105" s="412"/>
      <c r="BX105" s="1691" t="s">
        <v>7441</v>
      </c>
      <c r="BY105" s="1384"/>
      <c r="BZ105" s="1384"/>
      <c r="CA105" s="1384"/>
      <c r="CB105" s="1384"/>
      <c r="CC105" s="1384"/>
      <c r="CD105" s="1384"/>
      <c r="CE105" s="1384"/>
      <c r="CF105" s="1384"/>
      <c r="CG105" s="1412"/>
      <c r="CH105" s="1713"/>
      <c r="CI105" s="1672"/>
      <c r="CJ105" s="1672"/>
      <c r="CK105" s="1672"/>
      <c r="CL105" s="1672"/>
      <c r="CM105" s="1672"/>
      <c r="CN105" s="1672"/>
      <c r="CO105" s="1672"/>
      <c r="CP105" s="1672"/>
      <c r="CQ105" s="1672"/>
      <c r="CR105" s="1672"/>
      <c r="CS105" s="1672"/>
      <c r="CT105" s="1672"/>
      <c r="CU105" s="1672"/>
      <c r="CV105" s="1672"/>
      <c r="CW105" s="1672"/>
      <c r="CX105" s="1672"/>
      <c r="CY105" s="1672"/>
      <c r="CZ105" s="1672"/>
      <c r="DA105" s="1672"/>
      <c r="DB105" s="1672"/>
      <c r="DC105" s="1672"/>
      <c r="DD105" s="1672"/>
      <c r="DE105" s="1672"/>
      <c r="DF105" s="1672"/>
      <c r="DG105" s="1672"/>
      <c r="DH105" s="1672"/>
      <c r="DI105" s="1672"/>
      <c r="DJ105" s="1672"/>
      <c r="DK105" s="1672"/>
      <c r="DL105" s="1672"/>
      <c r="DM105" s="1672"/>
      <c r="DN105" s="1672"/>
      <c r="DO105" s="1672"/>
      <c r="DP105" s="1672"/>
      <c r="DQ105" s="1672"/>
      <c r="DR105" s="1672"/>
      <c r="DS105" s="1672"/>
      <c r="DT105" s="1672"/>
      <c r="DU105" s="1672"/>
      <c r="DV105" s="1672"/>
      <c r="DW105" s="1672"/>
      <c r="DX105" s="1672"/>
      <c r="DY105" s="1672"/>
      <c r="DZ105" s="1672"/>
      <c r="EA105" s="1672"/>
      <c r="EB105" s="1672"/>
      <c r="EC105" s="1672"/>
      <c r="ED105" s="1672"/>
      <c r="EE105" s="1672"/>
      <c r="EF105" s="1672"/>
      <c r="EG105" s="1672"/>
      <c r="EH105" s="1672"/>
      <c r="EI105" s="1672"/>
      <c r="EJ105" s="1672"/>
      <c r="EK105" s="1672"/>
      <c r="EL105" s="1672"/>
      <c r="EM105" s="1672"/>
      <c r="EN105" s="1672"/>
      <c r="EO105" s="1672"/>
      <c r="EP105" s="1673"/>
      <c r="EQ105" s="415"/>
      <c r="ER105" s="412"/>
      <c r="ES105" s="1521"/>
      <c r="ET105" s="1522"/>
      <c r="EU105" s="1522"/>
      <c r="EV105" s="1522"/>
      <c r="EW105" s="1522"/>
      <c r="EX105" s="1522"/>
      <c r="EY105" s="1522"/>
      <c r="EZ105" s="1522"/>
      <c r="FA105" s="1522"/>
      <c r="FB105" s="1522"/>
      <c r="FC105" s="1522"/>
      <c r="FD105" s="1522"/>
      <c r="FE105" s="1522"/>
      <c r="FF105" s="1522"/>
      <c r="FG105" s="1522"/>
      <c r="FH105" s="1522"/>
      <c r="FI105" s="1522"/>
      <c r="FJ105" s="1522"/>
      <c r="FK105" s="1522"/>
      <c r="FL105" s="1522"/>
      <c r="FM105" s="1522"/>
      <c r="FN105" s="1522"/>
      <c r="FO105" s="1522"/>
      <c r="FP105" s="1522"/>
      <c r="FQ105" s="1522"/>
      <c r="FR105" s="1522"/>
      <c r="FS105" s="1522"/>
      <c r="FT105" s="1522"/>
      <c r="FU105" s="1522"/>
      <c r="FV105" s="1522"/>
      <c r="FW105" s="1522"/>
      <c r="FX105" s="1522"/>
      <c r="FY105" s="1522"/>
      <c r="FZ105" s="1523"/>
      <c r="GA105" s="446"/>
      <c r="GB105" s="446"/>
      <c r="GC105" s="451"/>
      <c r="GD105" s="452"/>
      <c r="GE105" s="452"/>
      <c r="GF105" s="452"/>
      <c r="GG105" s="452"/>
      <c r="GH105" s="452"/>
      <c r="GI105" s="452"/>
      <c r="GJ105" s="452"/>
      <c r="GK105" s="452"/>
      <c r="GL105" s="452"/>
      <c r="GM105" s="452"/>
      <c r="GN105" s="452"/>
      <c r="GO105" s="452"/>
      <c r="GP105" s="452"/>
      <c r="GQ105" s="452"/>
      <c r="GR105" s="452"/>
      <c r="GS105" s="452"/>
      <c r="GT105" s="452"/>
      <c r="GU105" s="452"/>
      <c r="GV105" s="452"/>
      <c r="GW105" s="452"/>
      <c r="GX105" s="452"/>
      <c r="GY105" s="452"/>
      <c r="GZ105" s="452"/>
      <c r="HA105" s="452"/>
      <c r="HB105" s="452"/>
      <c r="HC105" s="452"/>
      <c r="HD105" s="452"/>
      <c r="HE105" s="452"/>
      <c r="HF105" s="452"/>
      <c r="HG105" s="453"/>
      <c r="HH105" s="453"/>
      <c r="HI105" s="453"/>
      <c r="HJ105" s="454"/>
      <c r="HL105" s="415"/>
    </row>
    <row r="106" spans="2:220" ht="7.5" customHeight="1">
      <c r="B106" s="412"/>
      <c r="C106" s="1779"/>
      <c r="D106" s="1780"/>
      <c r="E106" s="1780"/>
      <c r="F106" s="1780"/>
      <c r="G106" s="1780"/>
      <c r="H106" s="1780"/>
      <c r="I106" s="1780"/>
      <c r="J106" s="1780"/>
      <c r="K106" s="1780"/>
      <c r="L106" s="1780"/>
      <c r="M106" s="1780"/>
      <c r="N106" s="1780"/>
      <c r="O106" s="1780"/>
      <c r="P106" s="1780"/>
      <c r="Q106" s="1780"/>
      <c r="R106" s="1780"/>
      <c r="S106" s="1780"/>
      <c r="T106" s="1780"/>
      <c r="U106" s="1780"/>
      <c r="V106" s="1780"/>
      <c r="W106" s="1781"/>
      <c r="Y106" s="1541"/>
      <c r="Z106" s="1542"/>
      <c r="AA106" s="1542"/>
      <c r="AB106" s="1542"/>
      <c r="AC106" s="1542"/>
      <c r="AD106" s="1542"/>
      <c r="AE106" s="1542"/>
      <c r="AF106" s="1542"/>
      <c r="AG106" s="1459"/>
      <c r="AH106" s="1459"/>
      <c r="AI106" s="1459"/>
      <c r="AJ106" s="1459"/>
      <c r="AK106" s="1459"/>
      <c r="AL106" s="1459"/>
      <c r="AM106" s="1459"/>
      <c r="AN106" s="1459"/>
      <c r="AO106" s="1459"/>
      <c r="AP106" s="1459"/>
      <c r="AQ106" s="1459"/>
      <c r="AR106" s="1459"/>
      <c r="AS106" s="1459"/>
      <c r="AT106" s="1459"/>
      <c r="AU106" s="1459"/>
      <c r="AV106" s="1459"/>
      <c r="AW106" s="1459"/>
      <c r="AX106" s="1459"/>
      <c r="AY106" s="1459"/>
      <c r="AZ106" s="1459"/>
      <c r="BA106" s="1459"/>
      <c r="BB106" s="1459"/>
      <c r="BC106" s="1459"/>
      <c r="BD106" s="1459"/>
      <c r="BE106" s="1459"/>
      <c r="BF106" s="1459"/>
      <c r="BG106" s="1460"/>
      <c r="BH106" s="231"/>
      <c r="BI106" s="1718" t="s">
        <v>10159</v>
      </c>
      <c r="BJ106" s="1719"/>
      <c r="BK106" s="1719"/>
      <c r="BL106" s="1719"/>
      <c r="BM106" s="1719"/>
      <c r="BN106" s="1720"/>
      <c r="BO106" s="457"/>
      <c r="BP106" s="1725" t="s">
        <v>10441</v>
      </c>
      <c r="BQ106" s="1726"/>
      <c r="BR106" s="1726"/>
      <c r="BS106" s="1726"/>
      <c r="BT106" s="1726"/>
      <c r="BU106" s="1727"/>
      <c r="BV106" s="415"/>
      <c r="BW106" s="412"/>
      <c r="BX106" s="1411"/>
      <c r="BY106" s="1384"/>
      <c r="BZ106" s="1384"/>
      <c r="CA106" s="1384"/>
      <c r="CB106" s="1384"/>
      <c r="CC106" s="1384"/>
      <c r="CD106" s="1384"/>
      <c r="CE106" s="1384"/>
      <c r="CF106" s="1384"/>
      <c r="CG106" s="1412"/>
      <c r="CH106" s="1674"/>
      <c r="CI106" s="1675"/>
      <c r="CJ106" s="1675"/>
      <c r="CK106" s="1675"/>
      <c r="CL106" s="1675"/>
      <c r="CM106" s="1675"/>
      <c r="CN106" s="1675"/>
      <c r="CO106" s="1675"/>
      <c r="CP106" s="1675"/>
      <c r="CQ106" s="1675"/>
      <c r="CR106" s="1675"/>
      <c r="CS106" s="1675"/>
      <c r="CT106" s="1675"/>
      <c r="CU106" s="1675"/>
      <c r="CV106" s="1675"/>
      <c r="CW106" s="1675"/>
      <c r="CX106" s="1675"/>
      <c r="CY106" s="1675"/>
      <c r="CZ106" s="1675"/>
      <c r="DA106" s="1675"/>
      <c r="DB106" s="1675"/>
      <c r="DC106" s="1675"/>
      <c r="DD106" s="1675"/>
      <c r="DE106" s="1675"/>
      <c r="DF106" s="1675"/>
      <c r="DG106" s="1675"/>
      <c r="DH106" s="1675"/>
      <c r="DI106" s="1675"/>
      <c r="DJ106" s="1675"/>
      <c r="DK106" s="1675"/>
      <c r="DL106" s="1675"/>
      <c r="DM106" s="1675"/>
      <c r="DN106" s="1675"/>
      <c r="DO106" s="1675"/>
      <c r="DP106" s="1675"/>
      <c r="DQ106" s="1675"/>
      <c r="DR106" s="1675"/>
      <c r="DS106" s="1675"/>
      <c r="DT106" s="1675"/>
      <c r="DU106" s="1675"/>
      <c r="DV106" s="1675"/>
      <c r="DW106" s="1675"/>
      <c r="DX106" s="1675"/>
      <c r="DY106" s="1675"/>
      <c r="DZ106" s="1675"/>
      <c r="EA106" s="1675"/>
      <c r="EB106" s="1675"/>
      <c r="EC106" s="1675"/>
      <c r="ED106" s="1675"/>
      <c r="EE106" s="1675"/>
      <c r="EF106" s="1675"/>
      <c r="EG106" s="1675"/>
      <c r="EH106" s="1675"/>
      <c r="EI106" s="1675"/>
      <c r="EJ106" s="1675"/>
      <c r="EK106" s="1675"/>
      <c r="EL106" s="1675"/>
      <c r="EM106" s="1675"/>
      <c r="EN106" s="1675"/>
      <c r="EO106" s="1675"/>
      <c r="EP106" s="1676"/>
      <c r="EQ106" s="415"/>
      <c r="ER106" s="412"/>
      <c r="ES106" s="1521"/>
      <c r="ET106" s="1522"/>
      <c r="EU106" s="1522"/>
      <c r="EV106" s="1522"/>
      <c r="EW106" s="1522"/>
      <c r="EX106" s="1522"/>
      <c r="EY106" s="1522"/>
      <c r="EZ106" s="1522"/>
      <c r="FA106" s="1522"/>
      <c r="FB106" s="1522"/>
      <c r="FC106" s="1522"/>
      <c r="FD106" s="1522"/>
      <c r="FE106" s="1522"/>
      <c r="FF106" s="1522"/>
      <c r="FG106" s="1522"/>
      <c r="FH106" s="1522"/>
      <c r="FI106" s="1522"/>
      <c r="FJ106" s="1522"/>
      <c r="FK106" s="1522"/>
      <c r="FL106" s="1522"/>
      <c r="FM106" s="1522"/>
      <c r="FN106" s="1522"/>
      <c r="FO106" s="1522"/>
      <c r="FP106" s="1522"/>
      <c r="FQ106" s="1522"/>
      <c r="FR106" s="1522"/>
      <c r="FS106" s="1522"/>
      <c r="FT106" s="1522"/>
      <c r="FU106" s="1522"/>
      <c r="FV106" s="1522"/>
      <c r="FW106" s="1522"/>
      <c r="FX106" s="1522"/>
      <c r="FY106" s="1522"/>
      <c r="FZ106" s="1523"/>
      <c r="GA106" s="446"/>
      <c r="GB106" s="446"/>
      <c r="GC106" s="451"/>
      <c r="GD106" s="452"/>
      <c r="GE106" s="452"/>
      <c r="GF106" s="452"/>
      <c r="GG106" s="452"/>
      <c r="GH106" s="452"/>
      <c r="GI106" s="452"/>
      <c r="GJ106" s="452"/>
      <c r="GK106" s="452"/>
      <c r="GL106" s="452"/>
      <c r="GM106" s="452"/>
      <c r="GN106" s="452"/>
      <c r="GO106" s="452"/>
      <c r="GP106" s="452"/>
      <c r="GQ106" s="452"/>
      <c r="GR106" s="452"/>
      <c r="GS106" s="452"/>
      <c r="GT106" s="452"/>
      <c r="GU106" s="452"/>
      <c r="GV106" s="452"/>
      <c r="GW106" s="452"/>
      <c r="GX106" s="452"/>
      <c r="GY106" s="452"/>
      <c r="GZ106" s="452"/>
      <c r="HA106" s="452"/>
      <c r="HB106" s="452"/>
      <c r="HC106" s="452"/>
      <c r="HD106" s="452"/>
      <c r="HE106" s="452"/>
      <c r="HF106" s="452"/>
      <c r="HG106" s="453"/>
      <c r="HH106" s="453"/>
      <c r="HI106" s="453"/>
      <c r="HJ106" s="454"/>
      <c r="HL106" s="415"/>
    </row>
    <row r="107" spans="2:220" ht="7.5" customHeight="1">
      <c r="B107" s="412"/>
      <c r="C107" s="1779"/>
      <c r="D107" s="1780"/>
      <c r="E107" s="1780"/>
      <c r="F107" s="1780"/>
      <c r="G107" s="1780"/>
      <c r="H107" s="1780"/>
      <c r="I107" s="1780"/>
      <c r="J107" s="1780"/>
      <c r="K107" s="1780"/>
      <c r="L107" s="1780"/>
      <c r="M107" s="1780"/>
      <c r="N107" s="1780"/>
      <c r="O107" s="1780"/>
      <c r="P107" s="1780"/>
      <c r="Q107" s="1780"/>
      <c r="R107" s="1780"/>
      <c r="S107" s="1780"/>
      <c r="T107" s="1780"/>
      <c r="U107" s="1780"/>
      <c r="V107" s="1780"/>
      <c r="W107" s="1781"/>
      <c r="Y107" s="1735"/>
      <c r="Z107" s="1539"/>
      <c r="AA107" s="1539"/>
      <c r="AB107" s="1539"/>
      <c r="AC107" s="1539"/>
      <c r="AD107" s="1539"/>
      <c r="AE107" s="1539"/>
      <c r="AF107" s="1539"/>
      <c r="AG107" s="1457"/>
      <c r="AH107" s="1457"/>
      <c r="AI107" s="1457"/>
      <c r="AJ107" s="1457"/>
      <c r="AK107" s="1457"/>
      <c r="AL107" s="1457"/>
      <c r="AM107" s="1457"/>
      <c r="AN107" s="1457"/>
      <c r="AO107" s="1457"/>
      <c r="AP107" s="1457"/>
      <c r="AQ107" s="1457"/>
      <c r="AR107" s="1457"/>
      <c r="AS107" s="1457"/>
      <c r="AT107" s="1457"/>
      <c r="AU107" s="1457"/>
      <c r="AV107" s="1457"/>
      <c r="AW107" s="1457"/>
      <c r="AX107" s="1457"/>
      <c r="AY107" s="1457"/>
      <c r="AZ107" s="1457"/>
      <c r="BA107" s="1457"/>
      <c r="BB107" s="1457"/>
      <c r="BC107" s="1457"/>
      <c r="BD107" s="1457"/>
      <c r="BE107" s="1457"/>
      <c r="BF107" s="1457"/>
      <c r="BG107" s="1458"/>
      <c r="BH107" s="231"/>
      <c r="BI107" s="1721"/>
      <c r="BJ107" s="1719"/>
      <c r="BK107" s="1719"/>
      <c r="BL107" s="1719"/>
      <c r="BM107" s="1719"/>
      <c r="BN107" s="1720"/>
      <c r="BO107" s="457"/>
      <c r="BP107" s="1728"/>
      <c r="BQ107" s="1729"/>
      <c r="BR107" s="1729"/>
      <c r="BS107" s="1729"/>
      <c r="BT107" s="1729"/>
      <c r="BU107" s="1730"/>
      <c r="BV107" s="415"/>
      <c r="BW107" s="412"/>
      <c r="BX107" s="1411"/>
      <c r="BY107" s="1384"/>
      <c r="BZ107" s="1384"/>
      <c r="CA107" s="1384"/>
      <c r="CB107" s="1384"/>
      <c r="CC107" s="1384"/>
      <c r="CD107" s="1384"/>
      <c r="CE107" s="1384"/>
      <c r="CF107" s="1384"/>
      <c r="CG107" s="1412"/>
      <c r="CH107" s="1677"/>
      <c r="CI107" s="1678"/>
      <c r="CJ107" s="1678"/>
      <c r="CK107" s="1678"/>
      <c r="CL107" s="1678"/>
      <c r="CM107" s="1678"/>
      <c r="CN107" s="1678"/>
      <c r="CO107" s="1678"/>
      <c r="CP107" s="1678"/>
      <c r="CQ107" s="1678"/>
      <c r="CR107" s="1678"/>
      <c r="CS107" s="1678"/>
      <c r="CT107" s="1678"/>
      <c r="CU107" s="1678"/>
      <c r="CV107" s="1678"/>
      <c r="CW107" s="1678"/>
      <c r="CX107" s="1678"/>
      <c r="CY107" s="1678"/>
      <c r="CZ107" s="1678"/>
      <c r="DA107" s="1678"/>
      <c r="DB107" s="1678"/>
      <c r="DC107" s="1678"/>
      <c r="DD107" s="1678"/>
      <c r="DE107" s="1678"/>
      <c r="DF107" s="1678"/>
      <c r="DG107" s="1678"/>
      <c r="DH107" s="1678"/>
      <c r="DI107" s="1678"/>
      <c r="DJ107" s="1678"/>
      <c r="DK107" s="1678"/>
      <c r="DL107" s="1678"/>
      <c r="DM107" s="1678"/>
      <c r="DN107" s="1678"/>
      <c r="DO107" s="1678"/>
      <c r="DP107" s="1678"/>
      <c r="DQ107" s="1678"/>
      <c r="DR107" s="1678"/>
      <c r="DS107" s="1678"/>
      <c r="DT107" s="1678"/>
      <c r="DU107" s="1678"/>
      <c r="DV107" s="1678"/>
      <c r="DW107" s="1678"/>
      <c r="DX107" s="1678"/>
      <c r="DY107" s="1678"/>
      <c r="DZ107" s="1678"/>
      <c r="EA107" s="1678"/>
      <c r="EB107" s="1678"/>
      <c r="EC107" s="1678"/>
      <c r="ED107" s="1678"/>
      <c r="EE107" s="1678"/>
      <c r="EF107" s="1678"/>
      <c r="EG107" s="1678"/>
      <c r="EH107" s="1678"/>
      <c r="EI107" s="1678"/>
      <c r="EJ107" s="1678"/>
      <c r="EK107" s="1678"/>
      <c r="EL107" s="1678"/>
      <c r="EM107" s="1678"/>
      <c r="EN107" s="1678"/>
      <c r="EO107" s="1678"/>
      <c r="EP107" s="1679"/>
      <c r="EQ107" s="415"/>
      <c r="ER107" s="412"/>
      <c r="ES107" s="1521"/>
      <c r="ET107" s="1522"/>
      <c r="EU107" s="1522"/>
      <c r="EV107" s="1522"/>
      <c r="EW107" s="1522"/>
      <c r="EX107" s="1522"/>
      <c r="EY107" s="1522"/>
      <c r="EZ107" s="1522"/>
      <c r="FA107" s="1522"/>
      <c r="FB107" s="1522"/>
      <c r="FC107" s="1522"/>
      <c r="FD107" s="1522"/>
      <c r="FE107" s="1522"/>
      <c r="FF107" s="1522"/>
      <c r="FG107" s="1522"/>
      <c r="FH107" s="1522"/>
      <c r="FI107" s="1522"/>
      <c r="FJ107" s="1522"/>
      <c r="FK107" s="1522"/>
      <c r="FL107" s="1522"/>
      <c r="FM107" s="1522"/>
      <c r="FN107" s="1522"/>
      <c r="FO107" s="1522"/>
      <c r="FP107" s="1522"/>
      <c r="FQ107" s="1522"/>
      <c r="FR107" s="1522"/>
      <c r="FS107" s="1522"/>
      <c r="FT107" s="1522"/>
      <c r="FU107" s="1522"/>
      <c r="FV107" s="1522"/>
      <c r="FW107" s="1522"/>
      <c r="FX107" s="1522"/>
      <c r="FY107" s="1522"/>
      <c r="FZ107" s="1523"/>
      <c r="GA107" s="446"/>
      <c r="GB107" s="446"/>
      <c r="GC107" s="451"/>
      <c r="GD107" s="452"/>
      <c r="GE107" s="452"/>
      <c r="GF107" s="452"/>
      <c r="GG107" s="452"/>
      <c r="GH107" s="452"/>
      <c r="GI107" s="452"/>
      <c r="GJ107" s="452"/>
      <c r="GK107" s="452"/>
      <c r="GL107" s="452"/>
      <c r="GM107" s="452"/>
      <c r="GN107" s="452"/>
      <c r="GO107" s="452"/>
      <c r="GP107" s="452"/>
      <c r="GQ107" s="452"/>
      <c r="GR107" s="452"/>
      <c r="GS107" s="452"/>
      <c r="GT107" s="452"/>
      <c r="GU107" s="452"/>
      <c r="GV107" s="452"/>
      <c r="GW107" s="452"/>
      <c r="GX107" s="452"/>
      <c r="GY107" s="452"/>
      <c r="GZ107" s="452"/>
      <c r="HA107" s="452"/>
      <c r="HB107" s="452"/>
      <c r="HC107" s="452"/>
      <c r="HD107" s="452"/>
      <c r="HE107" s="452"/>
      <c r="HF107" s="452"/>
      <c r="HG107" s="453"/>
      <c r="HH107" s="453"/>
      <c r="HI107" s="453"/>
      <c r="HJ107" s="454"/>
      <c r="HL107" s="415"/>
    </row>
    <row r="108" spans="2:220" ht="7.5" customHeight="1" thickBot="1">
      <c r="B108" s="412"/>
      <c r="C108" s="1782"/>
      <c r="D108" s="1783"/>
      <c r="E108" s="1783"/>
      <c r="F108" s="1783"/>
      <c r="G108" s="1783"/>
      <c r="H108" s="1783"/>
      <c r="I108" s="1783"/>
      <c r="J108" s="1783"/>
      <c r="K108" s="1783"/>
      <c r="L108" s="1783"/>
      <c r="M108" s="1783"/>
      <c r="N108" s="1783"/>
      <c r="O108" s="1783"/>
      <c r="P108" s="1783"/>
      <c r="Q108" s="1783"/>
      <c r="R108" s="1783"/>
      <c r="S108" s="1783"/>
      <c r="T108" s="1783"/>
      <c r="U108" s="1783"/>
      <c r="V108" s="1783"/>
      <c r="W108" s="1784"/>
      <c r="Y108" s="1541"/>
      <c r="Z108" s="1542"/>
      <c r="AA108" s="1542"/>
      <c r="AB108" s="1542"/>
      <c r="AC108" s="1542"/>
      <c r="AD108" s="1542"/>
      <c r="AE108" s="1542"/>
      <c r="AF108" s="1542"/>
      <c r="AG108" s="1459"/>
      <c r="AH108" s="1459"/>
      <c r="AI108" s="1459"/>
      <c r="AJ108" s="1459"/>
      <c r="AK108" s="1459"/>
      <c r="AL108" s="1459"/>
      <c r="AM108" s="1459"/>
      <c r="AN108" s="1459"/>
      <c r="AO108" s="1459"/>
      <c r="AP108" s="1459"/>
      <c r="AQ108" s="1459"/>
      <c r="AR108" s="1459"/>
      <c r="AS108" s="1459"/>
      <c r="AT108" s="1459"/>
      <c r="AU108" s="1459"/>
      <c r="AV108" s="1459"/>
      <c r="AW108" s="1459"/>
      <c r="AX108" s="1459"/>
      <c r="AY108" s="1459"/>
      <c r="AZ108" s="1459"/>
      <c r="BA108" s="1459"/>
      <c r="BB108" s="1459"/>
      <c r="BC108" s="1459"/>
      <c r="BD108" s="1459"/>
      <c r="BE108" s="1459"/>
      <c r="BF108" s="1459"/>
      <c r="BG108" s="1460"/>
      <c r="BH108" s="231"/>
      <c r="BI108" s="1722"/>
      <c r="BJ108" s="1723"/>
      <c r="BK108" s="1723"/>
      <c r="BL108" s="1723"/>
      <c r="BM108" s="1723"/>
      <c r="BN108" s="1724"/>
      <c r="BO108" s="458"/>
      <c r="BP108" s="1731"/>
      <c r="BQ108" s="1732"/>
      <c r="BR108" s="1732"/>
      <c r="BS108" s="1732"/>
      <c r="BT108" s="1732"/>
      <c r="BU108" s="1733"/>
      <c r="BV108" s="415"/>
      <c r="BW108" s="412"/>
      <c r="EQ108" s="415"/>
      <c r="ER108" s="412"/>
      <c r="ES108" s="1521"/>
      <c r="ET108" s="1522"/>
      <c r="EU108" s="1522"/>
      <c r="EV108" s="1522"/>
      <c r="EW108" s="1522"/>
      <c r="EX108" s="1522"/>
      <c r="EY108" s="1522"/>
      <c r="EZ108" s="1522"/>
      <c r="FA108" s="1522"/>
      <c r="FB108" s="1522"/>
      <c r="FC108" s="1522"/>
      <c r="FD108" s="1522"/>
      <c r="FE108" s="1522"/>
      <c r="FF108" s="1522"/>
      <c r="FG108" s="1522"/>
      <c r="FH108" s="1522"/>
      <c r="FI108" s="1522"/>
      <c r="FJ108" s="1522"/>
      <c r="FK108" s="1522"/>
      <c r="FL108" s="1522"/>
      <c r="FM108" s="1522"/>
      <c r="FN108" s="1522"/>
      <c r="FO108" s="1522"/>
      <c r="FP108" s="1522"/>
      <c r="FQ108" s="1522"/>
      <c r="FR108" s="1522"/>
      <c r="FS108" s="1522"/>
      <c r="FT108" s="1522"/>
      <c r="FU108" s="1522"/>
      <c r="FV108" s="1522"/>
      <c r="FW108" s="1522"/>
      <c r="FX108" s="1522"/>
      <c r="FY108" s="1522"/>
      <c r="FZ108" s="1523"/>
      <c r="GA108" s="446"/>
      <c r="GB108" s="446"/>
      <c r="GC108" s="451"/>
      <c r="GD108" s="452"/>
      <c r="GE108" s="452"/>
      <c r="GF108" s="452"/>
      <c r="GG108" s="452"/>
      <c r="GH108" s="452"/>
      <c r="GI108" s="452"/>
      <c r="GJ108" s="452"/>
      <c r="GK108" s="452"/>
      <c r="GL108" s="452"/>
      <c r="GM108" s="452"/>
      <c r="GN108" s="452"/>
      <c r="GO108" s="452"/>
      <c r="GP108" s="452"/>
      <c r="GQ108" s="452"/>
      <c r="GR108" s="452"/>
      <c r="GS108" s="452"/>
      <c r="GT108" s="452"/>
      <c r="GU108" s="452"/>
      <c r="GV108" s="452"/>
      <c r="GW108" s="452"/>
      <c r="GX108" s="452"/>
      <c r="GY108" s="452"/>
      <c r="GZ108" s="452"/>
      <c r="HA108" s="452"/>
      <c r="HB108" s="452"/>
      <c r="HC108" s="452"/>
      <c r="HD108" s="452"/>
      <c r="HE108" s="452"/>
      <c r="HF108" s="452"/>
      <c r="HG108" s="453"/>
      <c r="HH108" s="453"/>
      <c r="HI108" s="453"/>
      <c r="HJ108" s="454"/>
      <c r="HL108" s="415"/>
    </row>
    <row r="109" spans="2:220" ht="7.5" customHeight="1" thickBot="1">
      <c r="B109" s="412"/>
      <c r="BO109" s="231"/>
      <c r="BP109" s="231"/>
      <c r="BQ109" s="231"/>
      <c r="BR109" s="231"/>
      <c r="BS109" s="231"/>
      <c r="BV109" s="415"/>
      <c r="BW109" s="412"/>
      <c r="EQ109" s="415"/>
      <c r="ER109" s="412"/>
      <c r="ES109" s="1524"/>
      <c r="ET109" s="1525"/>
      <c r="EU109" s="1525"/>
      <c r="EV109" s="1525"/>
      <c r="EW109" s="1525"/>
      <c r="EX109" s="1525"/>
      <c r="EY109" s="1525"/>
      <c r="EZ109" s="1525"/>
      <c r="FA109" s="1525"/>
      <c r="FB109" s="1525"/>
      <c r="FC109" s="1525"/>
      <c r="FD109" s="1525"/>
      <c r="FE109" s="1525"/>
      <c r="FF109" s="1525"/>
      <c r="FG109" s="1525"/>
      <c r="FH109" s="1525"/>
      <c r="FI109" s="1525"/>
      <c r="FJ109" s="1525"/>
      <c r="FK109" s="1525"/>
      <c r="FL109" s="1525"/>
      <c r="FM109" s="1525"/>
      <c r="FN109" s="1525"/>
      <c r="FO109" s="1525"/>
      <c r="FP109" s="1525"/>
      <c r="FQ109" s="1525"/>
      <c r="FR109" s="1525"/>
      <c r="FS109" s="1525"/>
      <c r="FT109" s="1525"/>
      <c r="FU109" s="1525"/>
      <c r="FV109" s="1525"/>
      <c r="FW109" s="1525"/>
      <c r="FX109" s="1525"/>
      <c r="FY109" s="1525"/>
      <c r="FZ109" s="1526"/>
      <c r="GA109" s="446"/>
      <c r="GB109" s="446"/>
      <c r="GC109" s="459"/>
      <c r="GD109" s="460"/>
      <c r="GE109" s="460"/>
      <c r="GF109" s="460"/>
      <c r="GG109" s="460"/>
      <c r="GH109" s="460"/>
      <c r="GI109" s="460"/>
      <c r="GJ109" s="460"/>
      <c r="GK109" s="460"/>
      <c r="GL109" s="460"/>
      <c r="GM109" s="460"/>
      <c r="GN109" s="460"/>
      <c r="GO109" s="460"/>
      <c r="GP109" s="460"/>
      <c r="GQ109" s="460"/>
      <c r="GR109" s="460"/>
      <c r="GS109" s="460"/>
      <c r="GT109" s="460"/>
      <c r="GU109" s="460"/>
      <c r="GV109" s="460"/>
      <c r="GW109" s="460"/>
      <c r="GX109" s="460"/>
      <c r="GY109" s="460"/>
      <c r="GZ109" s="460"/>
      <c r="HA109" s="460"/>
      <c r="HB109" s="460"/>
      <c r="HC109" s="460"/>
      <c r="HD109" s="460"/>
      <c r="HE109" s="460"/>
      <c r="HF109" s="460"/>
      <c r="HG109" s="461"/>
      <c r="HH109" s="461"/>
      <c r="HI109" s="461"/>
      <c r="HJ109" s="462"/>
      <c r="HL109" s="415"/>
    </row>
    <row r="110" spans="2:220" ht="7.5" customHeight="1" thickBot="1">
      <c r="B110" s="463"/>
      <c r="C110" s="464"/>
      <c r="D110" s="464"/>
      <c r="E110" s="464"/>
      <c r="F110" s="464"/>
      <c r="G110" s="464"/>
      <c r="H110" s="464"/>
      <c r="I110" s="464"/>
      <c r="J110" s="464"/>
      <c r="K110" s="464"/>
      <c r="L110" s="464"/>
      <c r="M110" s="464"/>
      <c r="N110" s="464"/>
      <c r="O110" s="464"/>
      <c r="P110" s="464"/>
      <c r="Q110" s="464"/>
      <c r="R110" s="464"/>
      <c r="S110" s="46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464"/>
      <c r="AT110" s="464"/>
      <c r="AU110" s="464"/>
      <c r="AV110" s="464"/>
      <c r="AW110" s="464"/>
      <c r="AX110" s="464"/>
      <c r="AY110" s="464"/>
      <c r="AZ110" s="464"/>
      <c r="BA110" s="464"/>
      <c r="BB110" s="464"/>
      <c r="BC110" s="464"/>
      <c r="BD110" s="464"/>
      <c r="BE110" s="464"/>
      <c r="BF110" s="464"/>
      <c r="BG110" s="464"/>
      <c r="BH110" s="464"/>
      <c r="BI110" s="464"/>
      <c r="BJ110" s="464"/>
      <c r="BK110" s="464"/>
      <c r="BL110" s="464"/>
      <c r="BM110" s="464"/>
      <c r="BN110" s="464"/>
      <c r="BO110" s="464"/>
      <c r="BP110" s="464"/>
      <c r="BQ110" s="464"/>
      <c r="BR110" s="464"/>
      <c r="BS110" s="464"/>
      <c r="BT110" s="464"/>
      <c r="BU110" s="464"/>
      <c r="BV110" s="465"/>
      <c r="BW110" s="463"/>
      <c r="BX110" s="464"/>
      <c r="BY110" s="464"/>
      <c r="BZ110" s="464"/>
      <c r="CA110" s="464"/>
      <c r="CB110" s="464"/>
      <c r="CC110" s="464"/>
      <c r="CD110" s="464"/>
      <c r="CE110" s="464"/>
      <c r="CF110" s="464"/>
      <c r="CG110" s="464"/>
      <c r="CH110" s="464"/>
      <c r="CI110" s="464"/>
      <c r="CJ110" s="464"/>
      <c r="CK110" s="464"/>
      <c r="CL110" s="464"/>
      <c r="CM110" s="464"/>
      <c r="CN110" s="464"/>
      <c r="CO110" s="464"/>
      <c r="CP110" s="464"/>
      <c r="CQ110" s="464"/>
      <c r="CR110" s="464"/>
      <c r="CS110" s="464"/>
      <c r="CT110" s="464"/>
      <c r="CU110" s="464"/>
      <c r="CV110" s="464"/>
      <c r="CW110" s="464"/>
      <c r="CX110" s="464"/>
      <c r="CY110" s="464"/>
      <c r="CZ110" s="464"/>
      <c r="DA110" s="464"/>
      <c r="DB110" s="464"/>
      <c r="DC110" s="464"/>
      <c r="DD110" s="464"/>
      <c r="DE110" s="464"/>
      <c r="DF110" s="464"/>
      <c r="DG110" s="464"/>
      <c r="DH110" s="464"/>
      <c r="DI110" s="464"/>
      <c r="DJ110" s="464"/>
      <c r="DK110" s="464"/>
      <c r="DL110" s="464"/>
      <c r="DM110" s="464"/>
      <c r="DN110" s="464"/>
      <c r="DO110" s="464"/>
      <c r="DP110" s="464"/>
      <c r="DQ110" s="464"/>
      <c r="DR110" s="464"/>
      <c r="DS110" s="464"/>
      <c r="DT110" s="464"/>
      <c r="DU110" s="464"/>
      <c r="DV110" s="464"/>
      <c r="DW110" s="464"/>
      <c r="DX110" s="464"/>
      <c r="DY110" s="464"/>
      <c r="DZ110" s="464"/>
      <c r="EA110" s="464"/>
      <c r="EB110" s="464"/>
      <c r="EC110" s="464"/>
      <c r="ED110" s="464"/>
      <c r="EE110" s="464"/>
      <c r="EF110" s="464"/>
      <c r="EG110" s="464"/>
      <c r="EH110" s="464"/>
      <c r="EI110" s="464"/>
      <c r="EJ110" s="464"/>
      <c r="EK110" s="464"/>
      <c r="EL110" s="464"/>
      <c r="EM110" s="464"/>
      <c r="EN110" s="464"/>
      <c r="EO110" s="464"/>
      <c r="EP110" s="464"/>
      <c r="EQ110" s="465"/>
      <c r="ER110" s="463"/>
      <c r="ES110" s="464"/>
      <c r="ET110" s="464"/>
      <c r="EU110" s="464"/>
      <c r="EV110" s="464"/>
      <c r="EW110" s="464"/>
      <c r="EX110" s="464"/>
      <c r="EY110" s="464"/>
      <c r="EZ110" s="464"/>
      <c r="FA110" s="464"/>
      <c r="FB110" s="464"/>
      <c r="FC110" s="464"/>
      <c r="FD110" s="464"/>
      <c r="FE110" s="464"/>
      <c r="FF110" s="464"/>
      <c r="FG110" s="464"/>
      <c r="FH110" s="464"/>
      <c r="FI110" s="464"/>
      <c r="FJ110" s="464"/>
      <c r="FK110" s="464"/>
      <c r="FL110" s="464"/>
      <c r="FM110" s="464"/>
      <c r="FN110" s="464"/>
      <c r="FO110" s="464"/>
      <c r="FP110" s="464"/>
      <c r="FQ110" s="464"/>
      <c r="FR110" s="464"/>
      <c r="FS110" s="464"/>
      <c r="FT110" s="464"/>
      <c r="FU110" s="464"/>
      <c r="FV110" s="464"/>
      <c r="FW110" s="464"/>
      <c r="FX110" s="464"/>
      <c r="FY110" s="464"/>
      <c r="FZ110" s="464"/>
      <c r="GA110" s="464"/>
      <c r="GB110" s="464"/>
      <c r="GC110" s="463"/>
      <c r="GD110" s="464"/>
      <c r="GE110" s="464"/>
      <c r="GF110" s="464"/>
      <c r="GG110" s="464"/>
      <c r="GH110" s="464"/>
      <c r="GI110" s="464"/>
      <c r="GJ110" s="464"/>
      <c r="GK110" s="464"/>
      <c r="GL110" s="464"/>
      <c r="GM110" s="464"/>
      <c r="GN110" s="464"/>
      <c r="GO110" s="464"/>
      <c r="GP110" s="464"/>
      <c r="GQ110" s="464"/>
      <c r="GR110" s="464"/>
      <c r="GS110" s="464"/>
      <c r="GT110" s="464"/>
      <c r="GU110" s="464"/>
      <c r="GV110" s="464"/>
      <c r="GW110" s="464"/>
      <c r="GX110" s="464"/>
      <c r="GY110" s="464"/>
      <c r="GZ110" s="464"/>
      <c r="HA110" s="464"/>
      <c r="HB110" s="464"/>
      <c r="HC110" s="464"/>
      <c r="HD110" s="464"/>
      <c r="HE110" s="464"/>
      <c r="HF110" s="464"/>
      <c r="HG110" s="464"/>
      <c r="HH110" s="464"/>
      <c r="HI110" s="464"/>
      <c r="HJ110" s="465"/>
      <c r="HK110" s="464"/>
      <c r="HL110" s="465"/>
    </row>
  </sheetData>
  <mergeCells count="353">
    <mergeCell ref="Y107:BG108"/>
    <mergeCell ref="C103:W104"/>
    <mergeCell ref="Y103:BG104"/>
    <mergeCell ref="BI104:BN105"/>
    <mergeCell ref="BP104:BU105"/>
    <mergeCell ref="C105:W108"/>
    <mergeCell ref="Y105:BG106"/>
    <mergeCell ref="BX101:CG103"/>
    <mergeCell ref="CH101:EP103"/>
    <mergeCell ref="BI102:BN103"/>
    <mergeCell ref="BP102:BU103"/>
    <mergeCell ref="BP101:BU101"/>
    <mergeCell ref="BX96:CG99"/>
    <mergeCell ref="CH96:EP99"/>
    <mergeCell ref="BX105:CG107"/>
    <mergeCell ref="CH105:EP107"/>
    <mergeCell ref="BI106:BN108"/>
    <mergeCell ref="BP106:BU108"/>
    <mergeCell ref="C97:W98"/>
    <mergeCell ref="Y97:BG98"/>
    <mergeCell ref="BI98:BN98"/>
    <mergeCell ref="BP98:BU98"/>
    <mergeCell ref="C99:W102"/>
    <mergeCell ref="Y99:BG100"/>
    <mergeCell ref="BI99:BN100"/>
    <mergeCell ref="BP99:BU100"/>
    <mergeCell ref="C93:W96"/>
    <mergeCell ref="Y93:BG94"/>
    <mergeCell ref="BI93:BU94"/>
    <mergeCell ref="Y95:BG96"/>
    <mergeCell ref="BI95:BN95"/>
    <mergeCell ref="BP95:BU95"/>
    <mergeCell ref="BI96:BN97"/>
    <mergeCell ref="BP96:BU97"/>
    <mergeCell ref="Y101:BG102"/>
    <mergeCell ref="BI101:BN101"/>
    <mergeCell ref="C82:T85"/>
    <mergeCell ref="Y85:AV86"/>
    <mergeCell ref="AX85:BU86"/>
    <mergeCell ref="C86:W87"/>
    <mergeCell ref="BX86:CG89"/>
    <mergeCell ref="CH86:EP89"/>
    <mergeCell ref="Y87:AV91"/>
    <mergeCell ref="AX87:BU91"/>
    <mergeCell ref="C88:W90"/>
    <mergeCell ref="C91:W92"/>
    <mergeCell ref="BX91:CG94"/>
    <mergeCell ref="CH91:EP94"/>
    <mergeCell ref="N73:T75"/>
    <mergeCell ref="Y74:BU75"/>
    <mergeCell ref="Y76:BU79"/>
    <mergeCell ref="BX76:CG79"/>
    <mergeCell ref="CH76:EP79"/>
    <mergeCell ref="ES76:FZ77"/>
    <mergeCell ref="ES68:FZ69"/>
    <mergeCell ref="GC68:HJ69"/>
    <mergeCell ref="K70:N71"/>
    <mergeCell ref="O70:W71"/>
    <mergeCell ref="Y70:BU73"/>
    <mergeCell ref="ES70:FZ73"/>
    <mergeCell ref="GC70:HJ72"/>
    <mergeCell ref="BX71:CG74"/>
    <mergeCell ref="CH71:EP74"/>
    <mergeCell ref="D73:M75"/>
    <mergeCell ref="GC76:HJ77"/>
    <mergeCell ref="C77:W78"/>
    <mergeCell ref="ES78:FZ109"/>
    <mergeCell ref="C79:T81"/>
    <mergeCell ref="U79:W85"/>
    <mergeCell ref="Y80:BU83"/>
    <mergeCell ref="BX81:CG84"/>
    <mergeCell ref="CH81:EP84"/>
    <mergeCell ref="O66:W67"/>
    <mergeCell ref="BX66:CG69"/>
    <mergeCell ref="CH66:EP69"/>
    <mergeCell ref="C67:I68"/>
    <mergeCell ref="K68:N69"/>
    <mergeCell ref="O68:W69"/>
    <mergeCell ref="Y68:BU69"/>
    <mergeCell ref="ES62:FZ63"/>
    <mergeCell ref="GC62:HJ63"/>
    <mergeCell ref="C63:I66"/>
    <mergeCell ref="Y63:AV67"/>
    <mergeCell ref="AX63:BU67"/>
    <mergeCell ref="K64:N65"/>
    <mergeCell ref="O64:W65"/>
    <mergeCell ref="ES64:FZ65"/>
    <mergeCell ref="GC64:HJ65"/>
    <mergeCell ref="K66:N67"/>
    <mergeCell ref="C61:I62"/>
    <mergeCell ref="Y61:AV62"/>
    <mergeCell ref="AX61:BU62"/>
    <mergeCell ref="BX61:CG64"/>
    <mergeCell ref="CH61:EO64"/>
    <mergeCell ref="K62:N63"/>
    <mergeCell ref="O62:W63"/>
    <mergeCell ref="ES58:FZ59"/>
    <mergeCell ref="GC58:HJ59"/>
    <mergeCell ref="BX59:DB60"/>
    <mergeCell ref="DJ59:DU60"/>
    <mergeCell ref="DV59:EP60"/>
    <mergeCell ref="K60:N61"/>
    <mergeCell ref="O60:W61"/>
    <mergeCell ref="ES60:FZ61"/>
    <mergeCell ref="GC60:HJ61"/>
    <mergeCell ref="C58:I59"/>
    <mergeCell ref="K58:N59"/>
    <mergeCell ref="O58:W59"/>
    <mergeCell ref="Y58:AN59"/>
    <mergeCell ref="AP58:AR59"/>
    <mergeCell ref="AS58:BU59"/>
    <mergeCell ref="DP56:DU57"/>
    <mergeCell ref="CL54:CQ55"/>
    <mergeCell ref="EB54:EG55"/>
    <mergeCell ref="DV56:EA57"/>
    <mergeCell ref="EB56:EG57"/>
    <mergeCell ref="DD56:DI57"/>
    <mergeCell ref="DJ56:DO57"/>
    <mergeCell ref="EH54:EP55"/>
    <mergeCell ref="ES54:FZ55"/>
    <mergeCell ref="GC54:HJ55"/>
    <mergeCell ref="K56:N57"/>
    <mergeCell ref="O56:W57"/>
    <mergeCell ref="Y56:AN57"/>
    <mergeCell ref="AP56:AR57"/>
    <mergeCell ref="AS56:BU57"/>
    <mergeCell ref="BX56:CE57"/>
    <mergeCell ref="CR54:CW55"/>
    <mergeCell ref="CX54:DC55"/>
    <mergeCell ref="DD54:DI55"/>
    <mergeCell ref="DJ54:DO55"/>
    <mergeCell ref="DP54:DU55"/>
    <mergeCell ref="DV54:EA55"/>
    <mergeCell ref="EH56:EP57"/>
    <mergeCell ref="ES56:FZ57"/>
    <mergeCell ref="GC56:HJ57"/>
    <mergeCell ref="CF56:CK57"/>
    <mergeCell ref="CL56:CQ57"/>
    <mergeCell ref="CR56:CW57"/>
    <mergeCell ref="CX56:DC57"/>
    <mergeCell ref="C52:I53"/>
    <mergeCell ref="K52:N53"/>
    <mergeCell ref="O52:W53"/>
    <mergeCell ref="AP52:AR53"/>
    <mergeCell ref="AS52:BU53"/>
    <mergeCell ref="BX52:EP53"/>
    <mergeCell ref="ES52:FZ53"/>
    <mergeCell ref="CR48:DG50"/>
    <mergeCell ref="DI48:DW50"/>
    <mergeCell ref="DY48:EO50"/>
    <mergeCell ref="ES48:FZ49"/>
    <mergeCell ref="C49:I50"/>
    <mergeCell ref="K50:N51"/>
    <mergeCell ref="O50:W51"/>
    <mergeCell ref="AP50:AR51"/>
    <mergeCell ref="AS50:BU51"/>
    <mergeCell ref="Y53:AN54"/>
    <mergeCell ref="C54:I57"/>
    <mergeCell ref="K54:N55"/>
    <mergeCell ref="O54:W55"/>
    <mergeCell ref="AP54:AR55"/>
    <mergeCell ref="AS54:BU55"/>
    <mergeCell ref="BX54:CE55"/>
    <mergeCell ref="CF54:CK55"/>
    <mergeCell ref="BY46:CP47"/>
    <mergeCell ref="CR46:DG47"/>
    <mergeCell ref="DI46:DW47"/>
    <mergeCell ref="DY46:EO47"/>
    <mergeCell ref="ES46:FZ47"/>
    <mergeCell ref="GC46:HJ47"/>
    <mergeCell ref="K48:N49"/>
    <mergeCell ref="O48:W49"/>
    <mergeCell ref="Y48:AN49"/>
    <mergeCell ref="AP48:AR49"/>
    <mergeCell ref="AS48:BU49"/>
    <mergeCell ref="BY48:CP50"/>
    <mergeCell ref="ES50:FZ51"/>
    <mergeCell ref="GC50:HJ51"/>
    <mergeCell ref="Y51:AN52"/>
    <mergeCell ref="GC48:HJ49"/>
    <mergeCell ref="GC52:HJ53"/>
    <mergeCell ref="ES42:FZ43"/>
    <mergeCell ref="GC42:HJ43"/>
    <mergeCell ref="C43:I44"/>
    <mergeCell ref="BX43:CP44"/>
    <mergeCell ref="DY43:EP44"/>
    <mergeCell ref="K44:N45"/>
    <mergeCell ref="O44:W45"/>
    <mergeCell ref="Y44:AN45"/>
    <mergeCell ref="AP44:AR45"/>
    <mergeCell ref="AS44:BU45"/>
    <mergeCell ref="BX41:CP42"/>
    <mergeCell ref="DY41:EP42"/>
    <mergeCell ref="K42:N43"/>
    <mergeCell ref="O42:W43"/>
    <mergeCell ref="AP42:AR43"/>
    <mergeCell ref="AS42:BU43"/>
    <mergeCell ref="ES44:FZ45"/>
    <mergeCell ref="GC44:HJ45"/>
    <mergeCell ref="C45:I48"/>
    <mergeCell ref="K46:N47"/>
    <mergeCell ref="O46:W47"/>
    <mergeCell ref="Y46:AN47"/>
    <mergeCell ref="AP46:AR47"/>
    <mergeCell ref="AS46:BU47"/>
    <mergeCell ref="AS38:BU39"/>
    <mergeCell ref="ES38:FZ39"/>
    <mergeCell ref="GC38:HJ39"/>
    <mergeCell ref="BX39:CP40"/>
    <mergeCell ref="DY39:EP40"/>
    <mergeCell ref="C40:I41"/>
    <mergeCell ref="K40:N41"/>
    <mergeCell ref="O40:W41"/>
    <mergeCell ref="AP40:AR41"/>
    <mergeCell ref="AS40:BU41"/>
    <mergeCell ref="ES40:FZ41"/>
    <mergeCell ref="GC40:HJ41"/>
    <mergeCell ref="GC34:HJ35"/>
    <mergeCell ref="BX35:CP36"/>
    <mergeCell ref="DY35:EP36"/>
    <mergeCell ref="C36:I39"/>
    <mergeCell ref="K36:N37"/>
    <mergeCell ref="O36:W37"/>
    <mergeCell ref="Y36:AN37"/>
    <mergeCell ref="AP36:AR37"/>
    <mergeCell ref="AS36:BU37"/>
    <mergeCell ref="CR36:DW44"/>
    <mergeCell ref="C34:I35"/>
    <mergeCell ref="K34:W35"/>
    <mergeCell ref="AP34:AR35"/>
    <mergeCell ref="AS34:BU35"/>
    <mergeCell ref="CR34:DW35"/>
    <mergeCell ref="ES34:FZ35"/>
    <mergeCell ref="ES36:FZ37"/>
    <mergeCell ref="GC36:HJ37"/>
    <mergeCell ref="BX37:CP38"/>
    <mergeCell ref="DY37:EP38"/>
    <mergeCell ref="K38:N39"/>
    <mergeCell ref="O38:W39"/>
    <mergeCell ref="Y38:AN42"/>
    <mergeCell ref="AP38:AR39"/>
    <mergeCell ref="DY31:EP32"/>
    <mergeCell ref="AP32:AR33"/>
    <mergeCell ref="AS32:BU33"/>
    <mergeCell ref="Y33:AF34"/>
    <mergeCell ref="AG33:AN34"/>
    <mergeCell ref="BX33:CP34"/>
    <mergeCell ref="DY33:EP34"/>
    <mergeCell ref="Y29:AN32"/>
    <mergeCell ref="BX29:CP30"/>
    <mergeCell ref="AP30:AR31"/>
    <mergeCell ref="AS30:BU31"/>
    <mergeCell ref="CR30:DW32"/>
    <mergeCell ref="DY27:EP29"/>
    <mergeCell ref="C31:I32"/>
    <mergeCell ref="K31:N32"/>
    <mergeCell ref="O31:W32"/>
    <mergeCell ref="BX31:CP32"/>
    <mergeCell ref="K27:N28"/>
    <mergeCell ref="O27:W28"/>
    <mergeCell ref="Y27:AN28"/>
    <mergeCell ref="BX27:CP28"/>
    <mergeCell ref="CR27:DW29"/>
    <mergeCell ref="AP28:AR29"/>
    <mergeCell ref="AS28:BU29"/>
    <mergeCell ref="K29:N30"/>
    <mergeCell ref="O29:W30"/>
    <mergeCell ref="HC24:HJ25"/>
    <mergeCell ref="C25:I26"/>
    <mergeCell ref="K25:N26"/>
    <mergeCell ref="O25:W26"/>
    <mergeCell ref="BX25:CP26"/>
    <mergeCell ref="CR25:DW26"/>
    <mergeCell ref="DY25:EP26"/>
    <mergeCell ref="AP26:AR27"/>
    <mergeCell ref="AS26:BU27"/>
    <mergeCell ref="C27:I30"/>
    <mergeCell ref="FD24:FG25"/>
    <mergeCell ref="FH24:GD25"/>
    <mergeCell ref="GE24:GH25"/>
    <mergeCell ref="GI24:GL25"/>
    <mergeCell ref="GM24:GR25"/>
    <mergeCell ref="GS24:HB25"/>
    <mergeCell ref="K23:N24"/>
    <mergeCell ref="O23:W24"/>
    <mergeCell ref="Y24:AN25"/>
    <mergeCell ref="AP24:AR25"/>
    <mergeCell ref="AS24:BU25"/>
    <mergeCell ref="ES24:FC25"/>
    <mergeCell ref="FH22:GD23"/>
    <mergeCell ref="GE22:GH23"/>
    <mergeCell ref="GM22:GR23"/>
    <mergeCell ref="GS22:HB23"/>
    <mergeCell ref="HC22:HJ23"/>
    <mergeCell ref="AS20:BU21"/>
    <mergeCell ref="ES20:HJ21"/>
    <mergeCell ref="K21:N22"/>
    <mergeCell ref="O21:W22"/>
    <mergeCell ref="C22:I23"/>
    <mergeCell ref="Y22:AN23"/>
    <mergeCell ref="AP22:AR23"/>
    <mergeCell ref="AS22:BU23"/>
    <mergeCell ref="ES22:FC23"/>
    <mergeCell ref="FD22:FG23"/>
    <mergeCell ref="Y20:AN21"/>
    <mergeCell ref="AP20:AR21"/>
    <mergeCell ref="C18:I21"/>
    <mergeCell ref="Y18:AB19"/>
    <mergeCell ref="AC18:AI19"/>
    <mergeCell ref="AJ18:AN19"/>
    <mergeCell ref="AP18:AR19"/>
    <mergeCell ref="AS18:BU19"/>
    <mergeCell ref="K19:W20"/>
    <mergeCell ref="C16:I17"/>
    <mergeCell ref="K16:M17"/>
    <mergeCell ref="N16:W17"/>
    <mergeCell ref="Y16:AB17"/>
    <mergeCell ref="AC16:AI17"/>
    <mergeCell ref="AJ16:AN17"/>
    <mergeCell ref="GI22:GL23"/>
    <mergeCell ref="GC9:HJ10"/>
    <mergeCell ref="BX10:EP11"/>
    <mergeCell ref="C11:K13"/>
    <mergeCell ref="M11:S13"/>
    <mergeCell ref="U11:AS13"/>
    <mergeCell ref="AV11:BI13"/>
    <mergeCell ref="BL11:BT13"/>
    <mergeCell ref="ES11:FZ16"/>
    <mergeCell ref="GC11:HJ16"/>
    <mergeCell ref="BX12:EP21"/>
    <mergeCell ref="C9:K10"/>
    <mergeCell ref="M9:S10"/>
    <mergeCell ref="U9:AS10"/>
    <mergeCell ref="AV9:BI10"/>
    <mergeCell ref="BL9:BT10"/>
    <mergeCell ref="ES9:FZ10"/>
    <mergeCell ref="AP16:BU17"/>
    <mergeCell ref="DV3:EO4"/>
    <mergeCell ref="ES3:FL4"/>
    <mergeCell ref="C5:W7"/>
    <mergeCell ref="AG5:AU7"/>
    <mergeCell ref="AW5:BJ7"/>
    <mergeCell ref="BL5:BT7"/>
    <mergeCell ref="BX5:CR8"/>
    <mergeCell ref="DA5:DT8"/>
    <mergeCell ref="DV5:EO8"/>
    <mergeCell ref="ES5:FL7"/>
    <mergeCell ref="C3:W4"/>
    <mergeCell ref="AG3:AU4"/>
    <mergeCell ref="AW3:BJ4"/>
    <mergeCell ref="BL3:BT4"/>
    <mergeCell ref="BX3:CR4"/>
    <mergeCell ref="DA3:DT4"/>
  </mergeCells>
  <printOptions horizontalCentered="1" verticalCentered="1"/>
  <pageMargins left="0.25" right="0.25" top="0" bottom="0" header="0.3" footer="0.3"/>
  <pageSetup scale="96" fitToWidth="0" fitToHeight="0" orientation="portrait" r:id="rId1"/>
  <colBreaks count="2" manualBreakCount="2">
    <brk id="74" max="1048575" man="1"/>
    <brk id="147" max="1048575" man="1"/>
  </colBreaks>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5DD0-5E60-485A-BBA4-2F8B6D3EDB81}">
  <sheetPr codeName="Аркуш11">
    <tabColor rgb="FFFFC000"/>
  </sheetPr>
  <dimension ref="B1:X334"/>
  <sheetViews>
    <sheetView topLeftCell="H6" workbookViewId="0">
      <selection activeCell="BB9" sqref="AT1:BB9"/>
    </sheetView>
  </sheetViews>
  <sheetFormatPr defaultColWidth="7.109375" defaultRowHeight="14.25"/>
  <cols>
    <col min="1" max="1" width="2.77734375" style="31" customWidth="1"/>
    <col min="2" max="2" width="10.77734375" style="31" customWidth="1"/>
    <col min="3" max="3" width="25.88671875" style="31" bestFit="1" customWidth="1"/>
    <col min="4" max="4" width="8.88671875" style="31" bestFit="1" customWidth="1"/>
    <col min="5" max="5" width="6.77734375" style="31" bestFit="1" customWidth="1"/>
    <col min="6" max="6" width="7.33203125" style="31" customWidth="1"/>
    <col min="7" max="7" width="38.6640625" style="31" customWidth="1"/>
    <col min="8" max="8" width="9.77734375" style="31" customWidth="1"/>
    <col min="9" max="9" width="7.44140625" style="31" customWidth="1"/>
    <col min="10" max="10" width="3.6640625" style="31" customWidth="1"/>
    <col min="11" max="11" width="14.77734375" style="31" customWidth="1"/>
    <col min="12" max="12" width="10.77734375" style="31" customWidth="1"/>
    <col min="13" max="13" width="25.5546875" style="31" customWidth="1"/>
    <col min="14" max="14" width="9.44140625" style="31" customWidth="1"/>
    <col min="15" max="15" width="38.33203125" style="31" customWidth="1"/>
    <col min="16" max="16" width="7.88671875" style="31" customWidth="1"/>
    <col min="17" max="16384" width="7.109375" style="31"/>
  </cols>
  <sheetData>
    <row r="1" spans="2:24" ht="12" customHeight="1" thickBot="1"/>
    <row r="2" spans="2:24" ht="15" thickBot="1">
      <c r="C2" s="1785" t="s">
        <v>6709</v>
      </c>
      <c r="D2" s="1786"/>
      <c r="E2" s="1786"/>
      <c r="F2" s="1786"/>
      <c r="G2" s="1786"/>
      <c r="H2" s="1786"/>
      <c r="I2" s="1787"/>
      <c r="K2" s="1788" t="s">
        <v>6710</v>
      </c>
      <c r="L2" s="1789"/>
      <c r="M2" s="1789"/>
      <c r="N2" s="1789"/>
      <c r="O2" s="1789"/>
      <c r="P2" s="1790"/>
      <c r="Q2" s="229"/>
      <c r="R2" s="229"/>
      <c r="S2" s="229"/>
      <c r="T2" s="229"/>
      <c r="U2" s="229"/>
      <c r="V2" s="229"/>
      <c r="W2" s="229"/>
      <c r="X2" s="229"/>
    </row>
    <row r="3" spans="2:24" ht="15" thickBot="1">
      <c r="B3" t="s">
        <v>551</v>
      </c>
      <c r="C3" t="s">
        <v>721</v>
      </c>
      <c r="D3" t="s">
        <v>1787</v>
      </c>
      <c r="E3" t="s">
        <v>2063</v>
      </c>
      <c r="F3" t="s">
        <v>6711</v>
      </c>
      <c r="G3" t="s">
        <v>1921</v>
      </c>
      <c r="H3" t="s">
        <v>6712</v>
      </c>
      <c r="I3" t="s">
        <v>5608</v>
      </c>
      <c r="K3" s="235" t="s">
        <v>5782</v>
      </c>
      <c r="L3" s="235" t="s">
        <v>6713</v>
      </c>
      <c r="M3" s="235" t="s">
        <v>6714</v>
      </c>
      <c r="N3" s="235" t="s">
        <v>6715</v>
      </c>
      <c r="O3" s="235" t="s">
        <v>6716</v>
      </c>
      <c r="P3" s="235" t="s">
        <v>6717</v>
      </c>
      <c r="Q3" s="213"/>
      <c r="R3" s="213"/>
      <c r="S3" s="213"/>
      <c r="T3" s="213"/>
      <c r="U3" s="213"/>
      <c r="V3" s="213"/>
      <c r="W3" s="213"/>
      <c r="X3" s="213"/>
    </row>
    <row r="4" spans="2:24" ht="12" customHeight="1" thickBot="1">
      <c r="B4">
        <v>1</v>
      </c>
      <c r="C4" t="s">
        <v>6718</v>
      </c>
      <c r="D4" t="s">
        <v>6719</v>
      </c>
      <c r="E4" t="s">
        <v>5851</v>
      </c>
      <c r="F4"/>
      <c r="G4" t="s">
        <v>6720</v>
      </c>
      <c r="H4"/>
      <c r="I4" t="s">
        <v>6721</v>
      </c>
      <c r="K4" s="368" t="str">
        <f>[4]MATH!$D$8</f>
        <v>Wizard</v>
      </c>
      <c r="L4" s="369">
        <f>IF([4]USER!AL6=0,[4]MATH!$D$5,0)</f>
        <v>0</v>
      </c>
      <c r="M4" s="370">
        <f ca="1">IF(L4=0,0,IF(AND(L4&gt;=2,L4&lt;=4),RANDBETWEEN(0,1),IF(AND(L4&gt;=5,L4&lt;=10),RANDBETWEEN(2,3),IF(AND(L4&gt;=11,L4&lt;=16),RANDBETWEEN(4,5),IF(L4&gt;=17,RANDBETWEEN(6,7),"")))))</f>
        <v>0</v>
      </c>
      <c r="N4" s="370">
        <f ca="1">IF(L4=0,0,IF(AND(L4&gt;=2,L4&lt;=4),RANDBETWEEN(0,0),IF(AND(L4&gt;=5,L4&lt;=10),RANDBETWEEN(0,1),IF(AND(L4&gt;=11,L4&lt;=16),RANDBETWEEN(2,3),IF(L4&gt;=17,RANDBETWEEN(4,5),"")))))</f>
        <v>0</v>
      </c>
      <c r="O4" s="371">
        <f ca="1">(IF(L4=0,0,IF(AND(L4&gt;=2,L4&lt;=4),RANDBETWEEN(0,0),IF(AND(L4&gt;=5,L4&lt;=10),RANDBETWEEN(0,0),IF(AND(L4&gt;=11,L4&lt;=16),RANDBETWEEN(0,1),IF(L4&gt;=17,RANDBETWEEN(2,3),""))))))</f>
        <v>0</v>
      </c>
      <c r="P4" s="372" t="str">
        <f ca="1">IF(L4&lt;=4,"",IF(AND(L4&gt;=5,L4&lt;=10),"",IF(AND(L4&gt;=11,L4&lt;=16),"",IF(L4&gt;=17,RANDBETWEEN(0,1),""))))</f>
        <v/>
      </c>
      <c r="Q4" s="213"/>
      <c r="R4" s="213"/>
      <c r="S4" s="213"/>
      <c r="T4" s="213"/>
      <c r="U4" s="213"/>
      <c r="V4" s="213"/>
      <c r="W4" s="213"/>
      <c r="X4" s="213"/>
    </row>
    <row r="5" spans="2:24" ht="12" customHeight="1" thickBot="1">
      <c r="B5">
        <v>2</v>
      </c>
      <c r="C5" t="s">
        <v>6722</v>
      </c>
      <c r="D5" t="s">
        <v>6719</v>
      </c>
      <c r="E5" t="s">
        <v>5851</v>
      </c>
      <c r="F5"/>
      <c r="G5" t="s">
        <v>6723</v>
      </c>
      <c r="H5"/>
      <c r="I5" t="s">
        <v>6721</v>
      </c>
      <c r="K5" s="374"/>
      <c r="L5" s="375"/>
      <c r="M5" s="235" t="s">
        <v>6245</v>
      </c>
      <c r="N5" s="235" t="s">
        <v>1353</v>
      </c>
      <c r="O5" s="235" t="s">
        <v>6724</v>
      </c>
      <c r="P5" s="235" t="s">
        <v>6725</v>
      </c>
      <c r="Q5" s="213"/>
      <c r="R5" s="213"/>
      <c r="S5" s="213"/>
      <c r="T5" s="213"/>
      <c r="U5" s="213"/>
      <c r="V5" s="213"/>
      <c r="W5" s="213"/>
      <c r="X5" s="213"/>
    </row>
    <row r="6" spans="2:24" ht="12" customHeight="1">
      <c r="B6">
        <v>3</v>
      </c>
      <c r="C6" t="s">
        <v>6726</v>
      </c>
      <c r="D6" t="s">
        <v>6727</v>
      </c>
      <c r="E6" t="s">
        <v>5851</v>
      </c>
      <c r="F6"/>
      <c r="G6" t="e">
        <f ca="1">IF([4]MATH!C8=1,VLOOKUP(RANDBETWEEN(1,15),[4]SPELLBOOK!K50:L64,4,0),IF([4]MATH!C8=2,VLOOKUP(RANDBETWEEN(1,30),[4]SPELLBOOK!K146:N148,4,0),IF([4]MATH!C8=3,VLOOKUP(RANDBETWEEN(1,30),[4]SPELLBOOK!#REF!,4,0),IF([4]MATH!C8=4,VLOOKUP(RANDBETWEEN(1,30),[4]SPELLBOOK!K267:N296,4,0),IF([4]MATH!C8=6,VLOOKUP(RANDBETWEEN(1,21),[4]SPELLBOOK!K19:N39,4,0),IF([4]MATH!C8=7,VLOOKUP(RANDBETWEEN(1,16),[4]SPELLBOOK!K106:N121,4,0),IF([4]MATH!C8=9,VLOOKUP(RANDBETWEEN(1,15),[4]SPELLBOOK!C130:F144,4,0),IF([4]MATH!C8=10,VLOOKUP(RANDBETWEEN(1,13),[4]SPELLBOOK!K153:N165,4,0),IF([4]MATH!C8=11,VLOOKUP(RANDBETWEEN(1,20),[4]SPELLBOOK!K223:N240,4,0),IF([4]MATH!C8=12,VLOOKUP(RANDBETWEEN(1,11),[4]SPELLBOOK!H246:J256,4,0),""))))))))))</f>
        <v>#N/A</v>
      </c>
      <c r="H6"/>
      <c r="I6" t="s">
        <v>6728</v>
      </c>
      <c r="K6" s="374" t="s">
        <v>6729</v>
      </c>
      <c r="L6" s="376" t="str">
        <f ca="1">IF($M$4&gt;=1,RANDBETWEEN(1,99),"")</f>
        <v/>
      </c>
      <c r="M6" s="376" t="str">
        <f t="shared" ref="M6:M12" ca="1" si="0">IF(L6="","",VLOOKUP(L6,$B$4:$I$102,2,0))</f>
        <v/>
      </c>
      <c r="N6" s="376" t="str">
        <f t="shared" ref="N6:N12" ca="1" si="1">IF(L6="","",VLOOKUP(L6,$B$4:$I$102,3,0))</f>
        <v/>
      </c>
      <c r="O6" s="376" t="str">
        <f t="shared" ref="O6:O12" ca="1" si="2">IF(L6="","",VLOOKUP(L6,$B$4:$I$102,6,0))</f>
        <v/>
      </c>
      <c r="P6" s="377" t="str">
        <f t="shared" ref="P6:P12" ca="1" si="3">IF(L6="","",VLOOKUP(L6,$B$4:$I$102,8,0))</f>
        <v/>
      </c>
      <c r="Q6" s="214"/>
      <c r="R6" s="214"/>
      <c r="S6" s="214"/>
      <c r="T6" s="214"/>
      <c r="U6" s="214"/>
      <c r="V6" s="214"/>
      <c r="W6" s="214"/>
      <c r="X6" s="214"/>
    </row>
    <row r="7" spans="2:24" ht="12" customHeight="1">
      <c r="B7">
        <v>4</v>
      </c>
      <c r="C7" t="s">
        <v>6730</v>
      </c>
      <c r="D7" t="s">
        <v>6727</v>
      </c>
      <c r="E7" t="s">
        <v>5851</v>
      </c>
      <c r="F7"/>
      <c r="G7" t="e">
        <f ca="1">IF([4]MATH!C8=1,VLOOKUP(RANDBETWEEN(1,6),[4]SPELLBOOK!F50:I56,4,0),IF([4]MATH!C8=2,VLOOKUP(RANDBETWEEN(1,16),[4]SPELLBOOK!F146:I148,4,0),IF([4]MATH!C8=3,VLOOKUP(RANDBETWEEN(1,17),[4]SPELLBOOK!#REF!,4,0),IF([4]MATH!C8=4,VLOOKUP(RANDBETWEEN(1,16),[4]SPELLBOOK!F267:I282,4,0),IF([4]MATH!C8=6,VLOOKUP(RANDBETWEEN(1,11),[4]SPELLBOOK!F19:I29,4,0),IF([4]MATH!C8=7,VLOOKUP(RANDBETWEEN(1,8),[4]SPELLBOOK!F106:I113,4,0),IF([4]MATH!C8=11,VLOOKUP(RANDBETWEEN(1,16),[4]SPELLBOOK!F223:I238,4,0),IF([4]MATH!C8=12,VLOOKUP(RANDBETWEEN(1,16),[4]SPELLBOOK!F223:I238,4,0),""))))))))</f>
        <v>#N/A</v>
      </c>
      <c r="H7"/>
      <c r="I7" t="s">
        <v>6728</v>
      </c>
      <c r="K7" s="374" t="s">
        <v>6731</v>
      </c>
      <c r="L7" s="376" t="str">
        <f ca="1">IF($M$4&gt;=2,RANDBETWEEN(1,99),"")</f>
        <v/>
      </c>
      <c r="M7" s="376" t="str">
        <f t="shared" ca="1" si="0"/>
        <v/>
      </c>
      <c r="N7" s="376" t="str">
        <f t="shared" ca="1" si="1"/>
        <v/>
      </c>
      <c r="O7" s="376" t="str">
        <f t="shared" ca="1" si="2"/>
        <v/>
      </c>
      <c r="P7" s="377" t="str">
        <f t="shared" ca="1" si="3"/>
        <v/>
      </c>
    </row>
    <row r="8" spans="2:24" ht="12" customHeight="1">
      <c r="B8">
        <v>5</v>
      </c>
      <c r="C8" t="s">
        <v>6732</v>
      </c>
      <c r="D8" t="s">
        <v>5784</v>
      </c>
      <c r="E8" t="s">
        <v>6733</v>
      </c>
      <c r="F8"/>
      <c r="G8" t="str">
        <f ca="1">CONCATENATE("Adamantine ",VLOOKUP(M124,K128:L135,2,0)," - Critical hits become normal hits")</f>
        <v>Adamantine Scale Shirt - Critical hits become normal hits</v>
      </c>
      <c r="H8"/>
      <c r="I8" t="s">
        <v>6734</v>
      </c>
      <c r="K8" s="374" t="s">
        <v>6735</v>
      </c>
      <c r="L8" s="376" t="str">
        <f ca="1">IF($M$4&gt;=3,RANDBETWEEN(1,99),"")</f>
        <v/>
      </c>
      <c r="M8" s="376" t="str">
        <f t="shared" ca="1" si="0"/>
        <v/>
      </c>
      <c r="N8" s="376" t="str">
        <f t="shared" ca="1" si="1"/>
        <v/>
      </c>
      <c r="O8" s="376" t="str">
        <f t="shared" ca="1" si="2"/>
        <v/>
      </c>
      <c r="P8" s="377" t="str">
        <f t="shared" ca="1" si="3"/>
        <v/>
      </c>
    </row>
    <row r="9" spans="2:24" ht="12" customHeight="1">
      <c r="B9">
        <v>6</v>
      </c>
      <c r="C9" t="s">
        <v>6736</v>
      </c>
      <c r="D9" t="s">
        <v>5784</v>
      </c>
      <c r="E9" t="s">
        <v>6733</v>
      </c>
      <c r="F9"/>
      <c r="G9" t="str">
        <f ca="1">CONCATENATE("Mariner's ",VLOOKUP(M123,K124:L135,2,0)," Armor"," (Swim speed = Walk speed)")</f>
        <v>Mariner's Chain Mail Armor (Swim speed = Walk speed)</v>
      </c>
      <c r="H9"/>
      <c r="I9" t="s">
        <v>6737</v>
      </c>
      <c r="K9" s="374" t="s">
        <v>6738</v>
      </c>
      <c r="L9" s="376" t="str">
        <f ca="1">IF($M$4&gt;=4,RANDBETWEEN(1,99),"")</f>
        <v/>
      </c>
      <c r="M9" s="376" t="str">
        <f t="shared" ca="1" si="0"/>
        <v/>
      </c>
      <c r="N9" s="376" t="str">
        <f t="shared" ca="1" si="1"/>
        <v/>
      </c>
      <c r="O9" s="376" t="str">
        <f t="shared" ca="1" si="2"/>
        <v/>
      </c>
      <c r="P9" s="377" t="str">
        <f t="shared" ca="1" si="3"/>
        <v/>
      </c>
    </row>
    <row r="10" spans="2:24" ht="12" customHeight="1">
      <c r="B10">
        <v>7</v>
      </c>
      <c r="C10" t="s">
        <v>6739</v>
      </c>
      <c r="D10" t="s">
        <v>5784</v>
      </c>
      <c r="E10" t="s">
        <v>6733</v>
      </c>
      <c r="F10"/>
      <c r="G10" t="str">
        <f ca="1">CONCATENATE("Mithral ",VLOOKUP(M124,K128:L135,2,0)," - Can be worn under clothes")</f>
        <v>Mithral Scale Shirt - Can be worn under clothes</v>
      </c>
      <c r="H10"/>
      <c r="I10" t="s">
        <v>6740</v>
      </c>
      <c r="K10" s="374" t="s">
        <v>6741</v>
      </c>
      <c r="L10" s="376" t="str">
        <f ca="1">IF($M$4&gt;=5,RANDBETWEEN(1,99),"")</f>
        <v/>
      </c>
      <c r="M10" s="376" t="str">
        <f t="shared" ca="1" si="0"/>
        <v/>
      </c>
      <c r="N10" s="376" t="str">
        <f t="shared" ca="1" si="1"/>
        <v/>
      </c>
      <c r="O10" s="376" t="str">
        <f t="shared" ca="1" si="2"/>
        <v/>
      </c>
      <c r="P10" s="377" t="str">
        <f t="shared" ca="1" si="3"/>
        <v/>
      </c>
    </row>
    <row r="11" spans="2:24" ht="12" customHeight="1">
      <c r="B11">
        <v>8</v>
      </c>
      <c r="C11" t="s">
        <v>6742</v>
      </c>
      <c r="D11" t="s">
        <v>5784</v>
      </c>
      <c r="E11" t="s">
        <v>6733</v>
      </c>
      <c r="F11"/>
      <c r="G11" t="s">
        <v>6743</v>
      </c>
      <c r="H11"/>
      <c r="I11" t="s">
        <v>6744</v>
      </c>
      <c r="K11" s="374" t="s">
        <v>6745</v>
      </c>
      <c r="L11" s="376" t="str">
        <f ca="1">IF($M$4&gt;=6,RANDBETWEEN(1,99),"")</f>
        <v/>
      </c>
      <c r="M11" s="376" t="str">
        <f t="shared" ca="1" si="0"/>
        <v/>
      </c>
      <c r="N11" s="376" t="str">
        <f t="shared" ca="1" si="1"/>
        <v/>
      </c>
      <c r="O11" s="376" t="str">
        <f t="shared" ca="1" si="2"/>
        <v/>
      </c>
      <c r="P11" s="377" t="str">
        <f t="shared" ca="1" si="3"/>
        <v/>
      </c>
    </row>
    <row r="12" spans="2:24" ht="12" customHeight="1" thickBot="1">
      <c r="B12">
        <v>9</v>
      </c>
      <c r="C12" t="s">
        <v>6746</v>
      </c>
      <c r="D12" t="s">
        <v>5784</v>
      </c>
      <c r="E12" t="s">
        <v>6733</v>
      </c>
      <c r="F12"/>
      <c r="G12" t="s">
        <v>3171</v>
      </c>
      <c r="H12">
        <v>1</v>
      </c>
      <c r="I12" t="s">
        <v>6728</v>
      </c>
      <c r="K12" s="378" t="s">
        <v>6747</v>
      </c>
      <c r="L12" s="379" t="str">
        <f ca="1">IF($M$4&gt;=7,RANDBETWEEN(1,99),"")</f>
        <v/>
      </c>
      <c r="M12" s="379" t="str">
        <f t="shared" ca="1" si="0"/>
        <v/>
      </c>
      <c r="N12" s="379" t="str">
        <f t="shared" ca="1" si="1"/>
        <v/>
      </c>
      <c r="O12" s="379" t="str">
        <f t="shared" ca="1" si="2"/>
        <v/>
      </c>
      <c r="P12" s="380" t="str">
        <f t="shared" ca="1" si="3"/>
        <v/>
      </c>
    </row>
    <row r="13" spans="2:24" ht="12" customHeight="1">
      <c r="B13">
        <v>10</v>
      </c>
      <c r="C13" t="s">
        <v>6748</v>
      </c>
      <c r="D13" t="s">
        <v>6719</v>
      </c>
      <c r="E13" t="s">
        <v>6733</v>
      </c>
      <c r="F13"/>
      <c r="G13" t="s">
        <v>6749</v>
      </c>
      <c r="H13"/>
      <c r="I13" t="s">
        <v>6750</v>
      </c>
    </row>
    <row r="14" spans="2:24" ht="12" customHeight="1" thickBot="1">
      <c r="B14">
        <v>11</v>
      </c>
      <c r="C14" t="s">
        <v>6751</v>
      </c>
      <c r="D14" t="s">
        <v>6719</v>
      </c>
      <c r="E14" t="s">
        <v>6733</v>
      </c>
      <c r="F14"/>
      <c r="G14" t="s">
        <v>6752</v>
      </c>
      <c r="H14"/>
      <c r="I14" t="s">
        <v>6750</v>
      </c>
    </row>
    <row r="15" spans="2:24" ht="12" customHeight="1" thickBot="1">
      <c r="B15">
        <v>12</v>
      </c>
      <c r="C15" t="s">
        <v>6753</v>
      </c>
      <c r="D15" t="s">
        <v>6719</v>
      </c>
      <c r="E15" t="s">
        <v>6733</v>
      </c>
      <c r="F15"/>
      <c r="G15" t="s">
        <v>6754</v>
      </c>
      <c r="H15"/>
      <c r="I15" t="s">
        <v>6721</v>
      </c>
      <c r="K15" s="1788" t="s">
        <v>6755</v>
      </c>
      <c r="L15" s="1789"/>
      <c r="M15" s="1789"/>
      <c r="N15" s="1789"/>
      <c r="O15" s="1789"/>
      <c r="P15" s="1790"/>
    </row>
    <row r="16" spans="2:24" ht="12" customHeight="1" thickBot="1">
      <c r="B16">
        <v>13</v>
      </c>
      <c r="C16" t="s">
        <v>6756</v>
      </c>
      <c r="D16" t="s">
        <v>6719</v>
      </c>
      <c r="E16" t="s">
        <v>6733</v>
      </c>
      <c r="F16"/>
      <c r="G16" t="s">
        <v>6757</v>
      </c>
      <c r="H16"/>
      <c r="I16" t="s">
        <v>6721</v>
      </c>
      <c r="K16" s="374"/>
      <c r="L16" s="375"/>
      <c r="M16" s="235" t="s">
        <v>6245</v>
      </c>
      <c r="N16" s="235" t="s">
        <v>1353</v>
      </c>
      <c r="O16" s="235" t="s">
        <v>6724</v>
      </c>
      <c r="P16" s="235" t="s">
        <v>6725</v>
      </c>
    </row>
    <row r="17" spans="2:16" ht="12" customHeight="1">
      <c r="B17">
        <v>14</v>
      </c>
      <c r="C17" t="s">
        <v>6758</v>
      </c>
      <c r="D17" t="s">
        <v>6719</v>
      </c>
      <c r="E17" t="s">
        <v>6733</v>
      </c>
      <c r="F17"/>
      <c r="G17" t="s">
        <v>6759</v>
      </c>
      <c r="H17"/>
      <c r="I17" t="s">
        <v>6721</v>
      </c>
      <c r="K17" s="374" t="s">
        <v>6729</v>
      </c>
      <c r="L17" s="376" t="str">
        <f ca="1">IF($N$4&gt;=1,RANDBETWEEN(1,112),"")</f>
        <v/>
      </c>
      <c r="M17" s="376" t="str">
        <f ca="1">IF(L17="","",VLOOKUP(L17,$B$103:$I$214,2,0))</f>
        <v/>
      </c>
      <c r="N17" s="376" t="str">
        <f ca="1">IF(L17="","",VLOOKUP(L17,$B$103:$I$214,3,0))</f>
        <v/>
      </c>
      <c r="O17" s="376" t="str">
        <f ca="1">IF(L17="","",VLOOKUP(L17,$B$103:$I$214,6,0))</f>
        <v/>
      </c>
      <c r="P17" s="381" t="str">
        <f ca="1">IF(L17="","",VLOOKUP(L17,$B$103:$I$214,8,0))</f>
        <v/>
      </c>
    </row>
    <row r="18" spans="2:16" ht="12" customHeight="1">
      <c r="B18">
        <v>15</v>
      </c>
      <c r="C18" t="s">
        <v>6760</v>
      </c>
      <c r="D18" t="s">
        <v>6719</v>
      </c>
      <c r="E18" t="s">
        <v>6733</v>
      </c>
      <c r="F18"/>
      <c r="G18" t="s">
        <v>6761</v>
      </c>
      <c r="H18"/>
      <c r="I18" t="s">
        <v>6721</v>
      </c>
      <c r="K18" s="374" t="s">
        <v>6731</v>
      </c>
      <c r="L18" s="376" t="str">
        <f ca="1">IF($N$4&gt;=2,RANDBETWEEN(1,112),"")</f>
        <v/>
      </c>
      <c r="M18" s="376" t="str">
        <f ca="1">IF(L18="","",VLOOKUP(L18,$B$103:$I$214,2,0))</f>
        <v/>
      </c>
      <c r="N18" s="376" t="str">
        <f ca="1">IF(L18="","",VLOOKUP(L18,$B$103:$I$214,3,0))</f>
        <v/>
      </c>
      <c r="O18" s="376" t="str">
        <f ca="1">IF(L18="","",VLOOKUP(L18,$B$103:$I$214,6,0))</f>
        <v/>
      </c>
      <c r="P18" s="377" t="str">
        <f ca="1">IF(L18="","",VLOOKUP(L18,$B$103:$I$214,8,0))</f>
        <v/>
      </c>
    </row>
    <row r="19" spans="2:16" ht="12" customHeight="1">
      <c r="B19">
        <v>16</v>
      </c>
      <c r="C19" t="s">
        <v>6762</v>
      </c>
      <c r="D19" t="s">
        <v>6719</v>
      </c>
      <c r="E19" t="s">
        <v>6733</v>
      </c>
      <c r="F19"/>
      <c r="G19" t="s">
        <v>6763</v>
      </c>
      <c r="H19"/>
      <c r="I19" t="s">
        <v>6721</v>
      </c>
      <c r="K19" s="374" t="s">
        <v>6735</v>
      </c>
      <c r="L19" s="376" t="str">
        <f ca="1">IF($N$4&gt;=3,RANDBETWEEN(1,112),"")</f>
        <v/>
      </c>
      <c r="M19" s="376" t="str">
        <f ca="1">IF(L19="","",VLOOKUP(L19,$B$103:$I$214,2,0))</f>
        <v/>
      </c>
      <c r="N19" s="376" t="str">
        <f ca="1">IF(L19="","",VLOOKUP(L19,$B$103:$I$214,3,0))</f>
        <v/>
      </c>
      <c r="O19" s="376" t="str">
        <f ca="1">IF(L19="","",VLOOKUP(L19,$B$103:$I$214,6,0))</f>
        <v/>
      </c>
      <c r="P19" s="377" t="str">
        <f ca="1">IF(L19="","",VLOOKUP(L19,$B$103:$I$214,8,0))</f>
        <v/>
      </c>
    </row>
    <row r="20" spans="2:16" ht="12" customHeight="1">
      <c r="B20">
        <v>17</v>
      </c>
      <c r="C20" t="s">
        <v>6764</v>
      </c>
      <c r="D20" t="s">
        <v>6719</v>
      </c>
      <c r="E20" t="s">
        <v>6733</v>
      </c>
      <c r="F20"/>
      <c r="G20" t="s">
        <v>6765</v>
      </c>
      <c r="H20"/>
      <c r="I20" t="s">
        <v>6766</v>
      </c>
      <c r="K20" s="374" t="s">
        <v>6738</v>
      </c>
      <c r="L20" s="376" t="str">
        <f ca="1">IF($N$4&gt;=4,RANDBETWEEN(1,112),"")</f>
        <v/>
      </c>
      <c r="M20" s="376" t="str">
        <f ca="1">IF(L20="","",VLOOKUP(L20,$B$103:$I$214,2,0))</f>
        <v/>
      </c>
      <c r="N20" s="376" t="str">
        <f ca="1">IF(L20="","",VLOOKUP(L20,$B$103:$I$214,3,0))</f>
        <v/>
      </c>
      <c r="O20" s="376" t="str">
        <f ca="1">IF(L20="","",VLOOKUP(L20,$B$103:$I$214,6,0))</f>
        <v/>
      </c>
      <c r="P20" s="377" t="str">
        <f ca="1">IF(L20="","",VLOOKUP(L20,$B$103:$I$214,8,0))</f>
        <v/>
      </c>
    </row>
    <row r="21" spans="2:16" ht="12" customHeight="1" thickBot="1">
      <c r="B21">
        <v>18</v>
      </c>
      <c r="C21" t="s">
        <v>6767</v>
      </c>
      <c r="D21" t="s">
        <v>6719</v>
      </c>
      <c r="E21" t="s">
        <v>6733</v>
      </c>
      <c r="F21"/>
      <c r="G21" t="str">
        <f ca="1">CONCATENATE(VLOOKUP(M35,K36:L45,2,0)," Reistance - 1 hr.")</f>
        <v>Acid Reistance - 1 hr.</v>
      </c>
      <c r="H21"/>
      <c r="I21" t="s">
        <v>6766</v>
      </c>
      <c r="K21" s="378" t="s">
        <v>6741</v>
      </c>
      <c r="L21" s="379" t="str">
        <f ca="1">IF($N$4=5,RANDBETWEEN(1,112),"")</f>
        <v/>
      </c>
      <c r="M21" s="379" t="str">
        <f ca="1">IF(L21="","",VLOOKUP(L21,$B$103:$I$214,2,0))</f>
        <v/>
      </c>
      <c r="N21" s="379" t="str">
        <f ca="1">IF(L21="","",VLOOKUP(L21,$B$103:$I$214,3,0))</f>
        <v/>
      </c>
      <c r="O21" s="379" t="str">
        <f ca="1">IF(L21="","",VLOOKUP(L21,$B$103:$I$214,6,0))</f>
        <v/>
      </c>
      <c r="P21" s="380" t="str">
        <f ca="1">IF(L21="","",VLOOKUP(L21,$B$103:$I$214,8,0))</f>
        <v/>
      </c>
    </row>
    <row r="22" spans="2:16" ht="12" customHeight="1">
      <c r="B22">
        <v>19</v>
      </c>
      <c r="C22" t="s">
        <v>6768</v>
      </c>
      <c r="D22" t="s">
        <v>6719</v>
      </c>
      <c r="E22" t="s">
        <v>6733</v>
      </c>
      <c r="F22"/>
      <c r="G22" t="s">
        <v>6769</v>
      </c>
      <c r="H22"/>
      <c r="I22" t="s">
        <v>6766</v>
      </c>
      <c r="K22" s="214"/>
      <c r="L22" s="223"/>
      <c r="M22" s="223"/>
      <c r="N22" s="223"/>
      <c r="O22" s="223"/>
      <c r="P22" s="223"/>
    </row>
    <row r="23" spans="2:16" ht="12" customHeight="1" thickBot="1">
      <c r="B23">
        <v>20</v>
      </c>
      <c r="C23" t="s">
        <v>6770</v>
      </c>
      <c r="D23" t="s">
        <v>6771</v>
      </c>
      <c r="E23" t="s">
        <v>6733</v>
      </c>
      <c r="F23" t="s">
        <v>6772</v>
      </c>
      <c r="G23" t="s">
        <v>6773</v>
      </c>
      <c r="H23"/>
      <c r="I23" t="s">
        <v>6774</v>
      </c>
      <c r="K23" s="214"/>
      <c r="L23" s="223"/>
      <c r="M23" s="223"/>
      <c r="N23" s="223"/>
      <c r="O23" s="223"/>
      <c r="P23" s="223"/>
    </row>
    <row r="24" spans="2:16" ht="12" customHeight="1" thickBot="1">
      <c r="B24">
        <v>21</v>
      </c>
      <c r="C24" t="s">
        <v>6775</v>
      </c>
      <c r="D24" t="s">
        <v>6771</v>
      </c>
      <c r="E24" t="s">
        <v>6733</v>
      </c>
      <c r="F24" t="s">
        <v>6772</v>
      </c>
      <c r="G24" t="s">
        <v>6776</v>
      </c>
      <c r="H24"/>
      <c r="I24" t="s">
        <v>6774</v>
      </c>
      <c r="K24" s="1788" t="s">
        <v>6777</v>
      </c>
      <c r="L24" s="1791"/>
      <c r="M24" s="1791"/>
      <c r="N24" s="1791"/>
      <c r="O24" s="1791"/>
      <c r="P24" s="1792"/>
    </row>
    <row r="25" spans="2:16" ht="12" customHeight="1" thickBot="1">
      <c r="B25">
        <v>22</v>
      </c>
      <c r="C25" t="s">
        <v>6778</v>
      </c>
      <c r="D25" t="s">
        <v>6771</v>
      </c>
      <c r="E25" t="s">
        <v>6733</v>
      </c>
      <c r="F25"/>
      <c r="G25" t="s">
        <v>6779</v>
      </c>
      <c r="H25"/>
      <c r="I25" t="s">
        <v>6780</v>
      </c>
      <c r="K25" s="374"/>
      <c r="L25" s="375"/>
      <c r="M25" s="235" t="s">
        <v>6245</v>
      </c>
      <c r="N25" s="235" t="s">
        <v>1353</v>
      </c>
      <c r="O25" s="235" t="s">
        <v>6724</v>
      </c>
      <c r="P25" s="235" t="s">
        <v>6725</v>
      </c>
    </row>
    <row r="26" spans="2:16" ht="12" customHeight="1">
      <c r="B26">
        <v>23</v>
      </c>
      <c r="C26" t="s">
        <v>6781</v>
      </c>
      <c r="D26" t="s">
        <v>6771</v>
      </c>
      <c r="E26" t="s">
        <v>6733</v>
      </c>
      <c r="F26" t="s">
        <v>6772</v>
      </c>
      <c r="G26" t="s">
        <v>6782</v>
      </c>
      <c r="H26"/>
      <c r="I26" t="s">
        <v>6780</v>
      </c>
      <c r="K26" s="374" t="s">
        <v>6729</v>
      </c>
      <c r="L26" s="376" t="str">
        <f ca="1">IF($O$4&gt;=1,RANDBETWEEN(1,75),"")</f>
        <v/>
      </c>
      <c r="M26" s="376" t="str">
        <f ca="1">IF(L26="","",VLOOKUP($L$26,$B$215:$I$289,2,0))</f>
        <v/>
      </c>
      <c r="N26" s="376" t="str">
        <f ca="1">IF(L26="","",VLOOKUP($L$26,$B$215:$I$289,3,0))</f>
        <v/>
      </c>
      <c r="O26" s="376" t="str">
        <f ca="1">IF(N26="","",VLOOKUP($L$26,$B$215:$I$289,6,0))</f>
        <v/>
      </c>
      <c r="P26" s="381" t="str">
        <f ca="1">IF(O26="","",VLOOKUP($L$26,$B$215:$I$289,8,0))</f>
        <v/>
      </c>
    </row>
    <row r="27" spans="2:16" ht="12" customHeight="1">
      <c r="B27">
        <v>24</v>
      </c>
      <c r="C27" t="s">
        <v>6783</v>
      </c>
      <c r="D27" t="s">
        <v>6771</v>
      </c>
      <c r="E27" t="s">
        <v>6733</v>
      </c>
      <c r="F27"/>
      <c r="G27" t="s">
        <v>6784</v>
      </c>
      <c r="H27"/>
      <c r="I27" t="s">
        <v>6780</v>
      </c>
      <c r="K27" s="374" t="s">
        <v>6731</v>
      </c>
      <c r="L27" s="376" t="str">
        <f ca="1">IF($O$4&gt;=2,RANDBETWEEN(1,75),"")</f>
        <v/>
      </c>
      <c r="M27" s="376" t="str">
        <f ca="1">IF(L27="","",VLOOKUP($L$27,$B$215:$I$289,2,0))</f>
        <v/>
      </c>
      <c r="N27" s="376" t="str">
        <f ca="1">IF(L27="","",VLOOKUP($L$27,$B$215:$I$289,3,0))</f>
        <v/>
      </c>
      <c r="O27" s="376" t="str">
        <f ca="1">IF(N27="","",VLOOKUP($L$27,$B$215:$I$289,6,0))</f>
        <v/>
      </c>
      <c r="P27" s="377" t="str">
        <f ca="1">IF(O27="","",VLOOKUP($L$27,$B$215:$I$289,8,0))</f>
        <v/>
      </c>
    </row>
    <row r="28" spans="2:16" ht="12" customHeight="1" thickBot="1">
      <c r="B28">
        <v>25</v>
      </c>
      <c r="C28" t="s">
        <v>6785</v>
      </c>
      <c r="D28" t="s">
        <v>6249</v>
      </c>
      <c r="E28" t="s">
        <v>6733</v>
      </c>
      <c r="F28"/>
      <c r="G28" t="s">
        <v>6786</v>
      </c>
      <c r="H28"/>
      <c r="I28" t="s">
        <v>6787</v>
      </c>
      <c r="K28" s="382" t="s">
        <v>6735</v>
      </c>
      <c r="L28" s="376" t="str">
        <f ca="1">IF($O$4=3,RANDBETWEEN(1,75),"")</f>
        <v/>
      </c>
      <c r="M28" s="376" t="str">
        <f ca="1">IF(L28="","",VLOOKUP($L$28,$B$215:$I$289,2,0))</f>
        <v/>
      </c>
      <c r="N28" s="376" t="str">
        <f ca="1">IF(L28="","",VLOOKUP($L$28,$B$215:$I$289,3,0))</f>
        <v/>
      </c>
      <c r="O28" s="376" t="str">
        <f ca="1">IF(N28="","",VLOOKUP($L$28,$B$215:$I$289,2,0))</f>
        <v/>
      </c>
      <c r="P28" s="380" t="str">
        <f ca="1">IF(O28="","",VLOOKUP($L$28,$B$215:$I$289,8,0))</f>
        <v/>
      </c>
    </row>
    <row r="29" spans="2:16" ht="12" customHeight="1">
      <c r="B29">
        <v>26</v>
      </c>
      <c r="C29" t="s">
        <v>6788</v>
      </c>
      <c r="D29" t="s">
        <v>6249</v>
      </c>
      <c r="E29" t="s">
        <v>6733</v>
      </c>
      <c r="F29" t="s">
        <v>6772</v>
      </c>
      <c r="G29" t="s">
        <v>6789</v>
      </c>
      <c r="H29"/>
      <c r="I29" t="s">
        <v>6790</v>
      </c>
      <c r="K29" s="220"/>
      <c r="L29" s="383"/>
      <c r="M29" s="383"/>
      <c r="N29" s="383"/>
      <c r="O29" s="383"/>
      <c r="P29" s="383"/>
    </row>
    <row r="30" spans="2:16" ht="12" customHeight="1" thickBot="1">
      <c r="B30">
        <v>27</v>
      </c>
      <c r="C30" t="s">
        <v>6791</v>
      </c>
      <c r="D30" t="s">
        <v>6727</v>
      </c>
      <c r="E30" t="s">
        <v>6733</v>
      </c>
      <c r="F30"/>
      <c r="G30" t="e">
        <f ca="1">IF([4]MATH!C8=1,VLOOKUP(RANDBETWEEN(1,17),[4]SPELLBOOK!V52:Y68,4,0),IF([4]MATH!C8=2,VLOOKUP(RANDBETWEEN(1,34),[4]SPELLBOOK!V146:Y176,4,0),IF([4]MATH!C8=3,VLOOKUP(RANDBETWEEN(1,34),[4]SPELLBOOK!#REF!,4,0),IF([4]MATH!C8=4,VLOOKUP(RANDBETWEEN(1,34),[4]SPELLBOOK!P267:S300,4,0),IF([4]MATH!C8=6,VLOOKUP(RANDBETWEEN(1,22),[4]SPELLBOOK!P19:S40,4,0),IF([4]MATH!C8=7,VLOOKUP(RANDBETWEEN(1,18),[4]SPELLBOOK!V106:Y123,4,0),IF([4]MATH!C8=9,VLOOKUP(RANDBETWEEN(1,8),[4]SPELLBOOK!N130:Q137,4,0),IF([4]MATH!C8=10,VLOOKUP(RANDBETWEEN(1,13),[4]SPELLBOOK!#REF!,4,0),IF([4]MATH!C8=11,VLOOKUP(RANDBETWEEN(1,24),[4]SPELLBOOK!P223:S240,4,0),IF([4]MATH!C8=12,VLOOKUP(RANDBETWEEN(1,12),[4]SPELLBOOK!J246:L257,4,0),""))))))))))</f>
        <v>#N/A</v>
      </c>
      <c r="H30"/>
      <c r="I30" t="s">
        <v>6728</v>
      </c>
      <c r="K30" s="214"/>
      <c r="L30" s="223"/>
      <c r="M30" s="223"/>
      <c r="N30" s="223"/>
      <c r="O30" s="223"/>
      <c r="P30" s="223"/>
    </row>
    <row r="31" spans="2:16" ht="12" customHeight="1" thickBot="1">
      <c r="B31">
        <v>28</v>
      </c>
      <c r="C31" t="s">
        <v>6792</v>
      </c>
      <c r="D31" t="s">
        <v>6727</v>
      </c>
      <c r="E31" t="s">
        <v>6733</v>
      </c>
      <c r="F31"/>
      <c r="G31" t="e">
        <f ca="1">IF([4]MATH!C8=1,VLOOKUP(RANDBETWEEN(1,20),[4]SPELLBOOK!AD50:AG69,4,0),IF([4]MATH!C8=2,VLOOKUP(RANDBETWEEN(1,29),[4]SPELLBOOK!AD146:AG171,4,0),IF([4]MATH!C8=3,VLOOKUP(RANDBETWEEN(1,29),[4]SPELLBOOK!#REF!,4,0),IF([4]MATH!C8=4,VLOOKUP(RANDBETWEEN(1,29),[4]SPELLBOOK!X267:AA295,4,0),IF([4]MATH!C8=6,VLOOKUP(RANDBETWEEN(1,16),[4]SPELLBOOK!X19:AA34,4,0),IF([4]MATH!C8=7,VLOOKUP(RANDBETWEEN(1,13),[4]SPELLBOOK!AD106:AG118,4,0),IF([4]MATH!C8=9,VLOOKUP(RANDBETWEEN(1,10),[4]SPELLBOOK!V130:Y139,4,0),IF([4]MATH!C8=10,VLOOKUP(RANDBETWEEN(1,11),[4]SPELLBOOK!#REF!,4,0),IF([4]MATH!C8=11,VLOOKUP(RANDBETWEEN(1,20),[4]SPELLBOOK!X223:AA240,4,0),IF([4]MATH!C8=12,VLOOKUP(RANDBETWEEN(1,12),[4]SPELLBOOK!O246:Q257,4,0),""))))))))))</f>
        <v>#N/A</v>
      </c>
      <c r="H31"/>
      <c r="I31" t="s">
        <v>6728</v>
      </c>
      <c r="K31" s="1788" t="s">
        <v>6793</v>
      </c>
      <c r="L31" s="1791"/>
      <c r="M31" s="1791"/>
      <c r="N31" s="1791"/>
      <c r="O31" s="1791"/>
      <c r="P31" s="1792"/>
    </row>
    <row r="32" spans="2:16" ht="12" customHeight="1" thickBot="1">
      <c r="B32">
        <v>29</v>
      </c>
      <c r="C32" t="s">
        <v>6794</v>
      </c>
      <c r="D32" t="s">
        <v>6250</v>
      </c>
      <c r="E32" t="s">
        <v>6733</v>
      </c>
      <c r="F32" t="s">
        <v>6772</v>
      </c>
      <c r="G32" t="str">
        <f>CONCATENATE("Cleric, Druid, or Wizard"," +",[4]MATH!C46," Attack - (1d6 - DC15 - 3d6 posion)")</f>
        <v>Cleric, Druid, or Wizard +3 Attack - (1d6 - DC15 - 3d6 posion)</v>
      </c>
      <c r="H32"/>
      <c r="I32" t="s">
        <v>6795</v>
      </c>
      <c r="K32" s="374"/>
      <c r="L32" s="375"/>
      <c r="M32" s="235" t="s">
        <v>6245</v>
      </c>
      <c r="N32" s="235" t="s">
        <v>1353</v>
      </c>
      <c r="O32" s="235" t="s">
        <v>6724</v>
      </c>
      <c r="P32" s="235" t="s">
        <v>6725</v>
      </c>
    </row>
    <row r="33" spans="2:16" ht="12" customHeight="1" thickBot="1">
      <c r="B33">
        <v>30</v>
      </c>
      <c r="C33" t="s">
        <v>6796</v>
      </c>
      <c r="D33" t="s">
        <v>6250</v>
      </c>
      <c r="E33" t="s">
        <v>6733</v>
      </c>
      <c r="F33" t="s">
        <v>6772</v>
      </c>
      <c r="G33" t="s">
        <v>6797</v>
      </c>
      <c r="H33"/>
      <c r="I33" t="s">
        <v>6798</v>
      </c>
      <c r="K33" s="378" t="s">
        <v>6729</v>
      </c>
      <c r="L33" s="379" t="str">
        <f ca="1">IF($P$4=1,RANDBETWEEN(1,45),"")</f>
        <v/>
      </c>
      <c r="M33" s="379" t="str">
        <f ca="1">IF($L$33="","",VLOOKUP($L$33,$B$290:$I$334,2,0))</f>
        <v/>
      </c>
      <c r="N33" s="379" t="str">
        <f ca="1">IF($L$33="","",VLOOKUP($L$33,$B$290:$I$334,3,0))</f>
        <v/>
      </c>
      <c r="O33" s="379" t="str">
        <f ca="1">IF($L$33="","",VLOOKUP($L$33,$B$290:$I$334,6,0))</f>
        <v/>
      </c>
      <c r="P33" s="384" t="str">
        <f ca="1">IF($L$33="","",VLOOKUP($L$33,$B$290:$I$334,8,0))</f>
        <v/>
      </c>
    </row>
    <row r="34" spans="2:16" ht="12" customHeight="1">
      <c r="B34">
        <v>31</v>
      </c>
      <c r="C34" t="s">
        <v>6799</v>
      </c>
      <c r="D34" t="s">
        <v>6251</v>
      </c>
      <c r="E34" t="s">
        <v>6733</v>
      </c>
      <c r="F34"/>
      <c r="G34" t="s">
        <v>6800</v>
      </c>
      <c r="H34"/>
      <c r="I34" t="s">
        <v>6801</v>
      </c>
    </row>
    <row r="35" spans="2:16" ht="12" customHeight="1">
      <c r="B35">
        <v>32</v>
      </c>
      <c r="C35" t="s">
        <v>6802</v>
      </c>
      <c r="D35" t="s">
        <v>6251</v>
      </c>
      <c r="E35" t="s">
        <v>6733</v>
      </c>
      <c r="F35"/>
      <c r="G35" t="s">
        <v>6803</v>
      </c>
      <c r="H35"/>
      <c r="I35" t="s">
        <v>6801</v>
      </c>
      <c r="K35" s="31" t="s">
        <v>1643</v>
      </c>
      <c r="L35" t="s">
        <v>6804</v>
      </c>
      <c r="M35" s="238">
        <f ca="1">RANDBETWEEN(1,10)</f>
        <v>1</v>
      </c>
    </row>
    <row r="36" spans="2:16" ht="12" customHeight="1">
      <c r="B36">
        <v>33</v>
      </c>
      <c r="C36" t="s">
        <v>6805</v>
      </c>
      <c r="D36" t="s">
        <v>6251</v>
      </c>
      <c r="E36" t="s">
        <v>6733</v>
      </c>
      <c r="F36"/>
      <c r="G36" t="s">
        <v>6806</v>
      </c>
      <c r="H36"/>
      <c r="I36" t="s">
        <v>6801</v>
      </c>
      <c r="K36">
        <v>1</v>
      </c>
      <c r="L36" t="s">
        <v>6807</v>
      </c>
    </row>
    <row r="37" spans="2:16" ht="12" customHeight="1">
      <c r="B37">
        <v>34</v>
      </c>
      <c r="C37" t="s">
        <v>6808</v>
      </c>
      <c r="D37" t="s">
        <v>6251</v>
      </c>
      <c r="E37" t="s">
        <v>6733</v>
      </c>
      <c r="F37" t="s">
        <v>6772</v>
      </c>
      <c r="G37" t="s">
        <v>6809</v>
      </c>
      <c r="H37"/>
      <c r="I37" t="s">
        <v>6810</v>
      </c>
      <c r="K37">
        <v>2</v>
      </c>
      <c r="L37" t="s">
        <v>6811</v>
      </c>
    </row>
    <row r="38" spans="2:16" ht="12" customHeight="1">
      <c r="B38">
        <v>35</v>
      </c>
      <c r="C38" t="s">
        <v>6812</v>
      </c>
      <c r="D38" t="s">
        <v>6251</v>
      </c>
      <c r="E38" t="s">
        <v>6733</v>
      </c>
      <c r="F38" t="s">
        <v>6772</v>
      </c>
      <c r="G38" t="s">
        <v>6813</v>
      </c>
      <c r="H38"/>
      <c r="I38" t="s">
        <v>6810</v>
      </c>
      <c r="K38">
        <v>3</v>
      </c>
      <c r="L38" t="s">
        <v>6814</v>
      </c>
    </row>
    <row r="39" spans="2:16" ht="12" customHeight="1">
      <c r="B39">
        <v>36</v>
      </c>
      <c r="C39" t="str">
        <f>CONCATENATE([4]MATH!C61," +1 ammo - 10 pieces")</f>
        <v>Lgt. X-bow +1 ammo - 10 pieces</v>
      </c>
      <c r="D39" t="s">
        <v>1892</v>
      </c>
      <c r="E39" t="s">
        <v>6733</v>
      </c>
      <c r="F39"/>
      <c r="G39" t="s">
        <v>6815</v>
      </c>
      <c r="H39"/>
      <c r="I39" t="s">
        <v>6734</v>
      </c>
      <c r="K39">
        <v>4</v>
      </c>
      <c r="L39" t="s">
        <v>6816</v>
      </c>
    </row>
    <row r="40" spans="2:16" ht="12" customHeight="1">
      <c r="B40">
        <v>37</v>
      </c>
      <c r="C40" t="s">
        <v>6817</v>
      </c>
      <c r="D40" t="s">
        <v>1892</v>
      </c>
      <c r="E40" t="s">
        <v>6733</v>
      </c>
      <c r="F40"/>
      <c r="G40" t="s">
        <v>6818</v>
      </c>
      <c r="H40"/>
      <c r="I40" t="s">
        <v>6819</v>
      </c>
      <c r="K40">
        <v>5</v>
      </c>
      <c r="L40" t="s">
        <v>6820</v>
      </c>
    </row>
    <row r="41" spans="2:16" ht="12" customHeight="1">
      <c r="B41">
        <v>38</v>
      </c>
      <c r="C41" t="s">
        <v>6821</v>
      </c>
      <c r="D41" t="s">
        <v>1892</v>
      </c>
      <c r="E41" t="s">
        <v>6733</v>
      </c>
      <c r="F41" t="s">
        <v>6772</v>
      </c>
      <c r="G41" t="str">
        <f ca="1">CONCATENATE("Cursed ",VLOOKUP(M47,K48:L52,2,0)," +1 hit/dam.  - see DMG")</f>
        <v>Cursed Greatsword +1 hit/dam.  - see DMG</v>
      </c>
      <c r="H41"/>
      <c r="I41" t="s">
        <v>6822</v>
      </c>
      <c r="K41">
        <v>6</v>
      </c>
      <c r="L41" t="s">
        <v>6823</v>
      </c>
    </row>
    <row r="42" spans="2:16" ht="12" customHeight="1">
      <c r="B42">
        <v>39</v>
      </c>
      <c r="C42" t="s">
        <v>6824</v>
      </c>
      <c r="D42" t="s">
        <v>1892</v>
      </c>
      <c r="E42" t="s">
        <v>6733</v>
      </c>
      <c r="F42" t="s">
        <v>6772</v>
      </c>
      <c r="G42" t="s">
        <v>6825</v>
      </c>
      <c r="H42"/>
      <c r="I42" t="s">
        <v>6826</v>
      </c>
      <c r="K42">
        <v>7</v>
      </c>
      <c r="L42" t="s">
        <v>6827</v>
      </c>
    </row>
    <row r="43" spans="2:16" ht="12" customHeight="1">
      <c r="B43">
        <v>40</v>
      </c>
      <c r="C43" t="s">
        <v>6828</v>
      </c>
      <c r="D43" t="s">
        <v>1892</v>
      </c>
      <c r="E43" t="s">
        <v>6733</v>
      </c>
      <c r="F43" t="s">
        <v>6772</v>
      </c>
      <c r="G43" t="s">
        <v>6829</v>
      </c>
      <c r="H43"/>
      <c r="I43" t="s">
        <v>6830</v>
      </c>
      <c r="K43">
        <v>8</v>
      </c>
      <c r="L43" t="s">
        <v>6831</v>
      </c>
    </row>
    <row r="44" spans="2:16" ht="12" customHeight="1">
      <c r="B44">
        <v>41</v>
      </c>
      <c r="C44" t="str">
        <f>CONCATENATE([4]MATH!C55," +1")</f>
        <v>Quarterstaff +1</v>
      </c>
      <c r="D44" t="s">
        <v>1892</v>
      </c>
      <c r="E44" t="s">
        <v>6733</v>
      </c>
      <c r="F44"/>
      <c r="G44" t="s">
        <v>5999</v>
      </c>
      <c r="H44"/>
      <c r="I44" t="s">
        <v>6830</v>
      </c>
      <c r="K44">
        <v>9</v>
      </c>
      <c r="L44" t="s">
        <v>6832</v>
      </c>
    </row>
    <row r="45" spans="2:16" ht="12" customHeight="1">
      <c r="B45">
        <v>42</v>
      </c>
      <c r="C45" t="s">
        <v>6833</v>
      </c>
      <c r="D45" t="s">
        <v>6834</v>
      </c>
      <c r="E45" t="s">
        <v>6733</v>
      </c>
      <c r="F45"/>
      <c r="G45" t="s">
        <v>6835</v>
      </c>
      <c r="H45"/>
      <c r="I45" t="s">
        <v>6734</v>
      </c>
      <c r="K45">
        <v>10</v>
      </c>
      <c r="L45" t="s">
        <v>6836</v>
      </c>
    </row>
    <row r="46" spans="2:16" ht="12" customHeight="1">
      <c r="B46">
        <v>43</v>
      </c>
      <c r="C46" t="s">
        <v>6837</v>
      </c>
      <c r="D46" t="s">
        <v>6834</v>
      </c>
      <c r="E46" t="s">
        <v>6733</v>
      </c>
      <c r="F46" t="s">
        <v>6772</v>
      </c>
      <c r="G46" t="s">
        <v>6838</v>
      </c>
      <c r="H46"/>
      <c r="I46" t="s">
        <v>6734</v>
      </c>
    </row>
    <row r="47" spans="2:16" ht="12" customHeight="1">
      <c r="B47">
        <v>44</v>
      </c>
      <c r="C47" t="s">
        <v>6839</v>
      </c>
      <c r="D47" t="s">
        <v>6834</v>
      </c>
      <c r="E47" t="s">
        <v>6733</v>
      </c>
      <c r="F47"/>
      <c r="G47" t="s">
        <v>6840</v>
      </c>
      <c r="H47"/>
      <c r="I47" t="s">
        <v>6841</v>
      </c>
      <c r="K47" s="1793" t="s">
        <v>6842</v>
      </c>
      <c r="L47" s="1794"/>
      <c r="M47" s="238">
        <f ca="1">RANDBETWEEN(1,5)</f>
        <v>3</v>
      </c>
    </row>
    <row r="48" spans="2:16" ht="12" customHeight="1">
      <c r="B48">
        <v>45</v>
      </c>
      <c r="C48" t="s">
        <v>6843</v>
      </c>
      <c r="D48" t="s">
        <v>6834</v>
      </c>
      <c r="E48" t="s">
        <v>6733</v>
      </c>
      <c r="F48"/>
      <c r="G48" t="str">
        <f ca="1">CONCATENATE("Empty ",VLOOKUP(M54,K56:L58,2,0),"  -  Friendly Animal - 3/day")</f>
        <v>Empty Tan Bag  -  Friendly Animal - 3/day</v>
      </c>
      <c r="H48"/>
      <c r="I48" t="s">
        <v>6844</v>
      </c>
      <c r="K48" s="385">
        <v>1</v>
      </c>
      <c r="L48" s="386" t="s">
        <v>2580</v>
      </c>
    </row>
    <row r="49" spans="2:16" ht="12" customHeight="1">
      <c r="B49">
        <v>46</v>
      </c>
      <c r="C49" t="s">
        <v>6845</v>
      </c>
      <c r="D49" t="s">
        <v>6834</v>
      </c>
      <c r="E49" t="s">
        <v>6733</v>
      </c>
      <c r="F49"/>
      <c r="G49" t="s">
        <v>6846</v>
      </c>
      <c r="H49"/>
      <c r="I49" t="s">
        <v>6847</v>
      </c>
      <c r="K49" s="387">
        <v>2</v>
      </c>
      <c r="L49" s="388" t="s">
        <v>2751</v>
      </c>
      <c r="M49" s="223"/>
      <c r="N49" s="223"/>
      <c r="O49" s="223"/>
      <c r="P49" s="223"/>
    </row>
    <row r="50" spans="2:16" ht="12" customHeight="1">
      <c r="B50">
        <v>47</v>
      </c>
      <c r="C50" t="s">
        <v>6848</v>
      </c>
      <c r="D50" t="s">
        <v>6834</v>
      </c>
      <c r="E50" t="s">
        <v>6733</v>
      </c>
      <c r="F50" t="s">
        <v>6772</v>
      </c>
      <c r="G50" t="s">
        <v>6849</v>
      </c>
      <c r="H50"/>
      <c r="I50" t="s">
        <v>6850</v>
      </c>
      <c r="K50" s="387">
        <v>3</v>
      </c>
      <c r="L50" s="388" t="s">
        <v>2996</v>
      </c>
      <c r="M50" s="223"/>
      <c r="N50" s="223"/>
      <c r="O50" s="223"/>
      <c r="P50" s="223"/>
    </row>
    <row r="51" spans="2:16" ht="12" customHeight="1">
      <c r="B51">
        <v>48</v>
      </c>
      <c r="C51" t="s">
        <v>6851</v>
      </c>
      <c r="D51" t="s">
        <v>6834</v>
      </c>
      <c r="E51" t="s">
        <v>6733</v>
      </c>
      <c r="F51" t="s">
        <v>6772</v>
      </c>
      <c r="G51" t="s">
        <v>6852</v>
      </c>
      <c r="H51"/>
      <c r="I51" t="s">
        <v>6850</v>
      </c>
      <c r="K51" s="387">
        <v>4</v>
      </c>
      <c r="L51" s="389" t="s">
        <v>6853</v>
      </c>
    </row>
    <row r="52" spans="2:16" ht="12" customHeight="1">
      <c r="B52">
        <v>49</v>
      </c>
      <c r="C52" t="s">
        <v>6854</v>
      </c>
      <c r="D52" t="s">
        <v>6834</v>
      </c>
      <c r="E52" t="s">
        <v>6733</v>
      </c>
      <c r="F52" t="s">
        <v>6772</v>
      </c>
      <c r="G52" t="s">
        <v>6855</v>
      </c>
      <c r="H52"/>
      <c r="I52" t="s">
        <v>6850</v>
      </c>
      <c r="K52" s="387">
        <v>5</v>
      </c>
      <c r="L52" s="389" t="s">
        <v>3637</v>
      </c>
    </row>
    <row r="53" spans="2:16" ht="12" customHeight="1">
      <c r="B53">
        <v>50</v>
      </c>
      <c r="C53" t="s">
        <v>6856</v>
      </c>
      <c r="D53" t="s">
        <v>6834</v>
      </c>
      <c r="E53" t="s">
        <v>6733</v>
      </c>
      <c r="F53" t="s">
        <v>6772</v>
      </c>
      <c r="G53" t="s">
        <v>6857</v>
      </c>
      <c r="H53"/>
      <c r="I53" t="s">
        <v>6850</v>
      </c>
      <c r="K53" s="392"/>
      <c r="L53" s="393"/>
      <c r="N53" s="238"/>
    </row>
    <row r="54" spans="2:16" ht="12" customHeight="1">
      <c r="B54">
        <v>51</v>
      </c>
      <c r="C54" t="s">
        <v>6858</v>
      </c>
      <c r="D54" t="s">
        <v>6834</v>
      </c>
      <c r="E54" t="s">
        <v>6733</v>
      </c>
      <c r="F54"/>
      <c r="G54" t="s">
        <v>6859</v>
      </c>
      <c r="H54"/>
      <c r="I54" t="s">
        <v>6850</v>
      </c>
      <c r="K54" s="1793" t="s">
        <v>6843</v>
      </c>
      <c r="L54" s="1794"/>
      <c r="M54" s="238">
        <f ca="1">RANDBETWEEN(1,3)</f>
        <v>3</v>
      </c>
      <c r="N54" s="238"/>
    </row>
    <row r="55" spans="2:16" ht="12" customHeight="1">
      <c r="B55">
        <v>52</v>
      </c>
      <c r="C55" t="s">
        <v>6860</v>
      </c>
      <c r="D55" t="s">
        <v>6834</v>
      </c>
      <c r="E55" t="s">
        <v>6733</v>
      </c>
      <c r="F55"/>
      <c r="G55" t="s">
        <v>6861</v>
      </c>
      <c r="H55"/>
      <c r="I55" t="s">
        <v>6862</v>
      </c>
      <c r="K55" s="1793" t="s">
        <v>6863</v>
      </c>
      <c r="L55" s="1794"/>
      <c r="M55" s="394"/>
      <c r="N55" s="234"/>
      <c r="P55" s="231"/>
    </row>
    <row r="56" spans="2:16" ht="12" customHeight="1">
      <c r="B56">
        <v>53</v>
      </c>
      <c r="C56" t="s">
        <v>6864</v>
      </c>
      <c r="D56" t="s">
        <v>6834</v>
      </c>
      <c r="E56" t="s">
        <v>6733</v>
      </c>
      <c r="F56"/>
      <c r="G56" t="s">
        <v>6865</v>
      </c>
      <c r="H56"/>
      <c r="I56" t="s">
        <v>6866</v>
      </c>
      <c r="K56" s="387">
        <v>1</v>
      </c>
      <c r="L56" s="388" t="s">
        <v>6863</v>
      </c>
      <c r="M56" s="395"/>
      <c r="N56" s="243"/>
      <c r="O56" s="223"/>
    </row>
    <row r="57" spans="2:16" ht="12" customHeight="1">
      <c r="B57">
        <v>54</v>
      </c>
      <c r="C57" t="s">
        <v>6867</v>
      </c>
      <c r="D57" t="s">
        <v>6834</v>
      </c>
      <c r="E57" t="s">
        <v>6733</v>
      </c>
      <c r="F57" t="s">
        <v>6772</v>
      </c>
      <c r="G57" t="s">
        <v>6868</v>
      </c>
      <c r="H57"/>
      <c r="I57" t="s">
        <v>6866</v>
      </c>
      <c r="K57" s="387">
        <v>2</v>
      </c>
      <c r="L57" s="388" t="s">
        <v>6869</v>
      </c>
      <c r="M57" s="395"/>
      <c r="N57" s="243"/>
      <c r="O57" s="223"/>
    </row>
    <row r="58" spans="2:16" ht="12" customHeight="1">
      <c r="B58">
        <v>55</v>
      </c>
      <c r="C58" t="s">
        <v>6870</v>
      </c>
      <c r="D58" t="s">
        <v>6834</v>
      </c>
      <c r="E58" t="s">
        <v>6733</v>
      </c>
      <c r="F58" t="s">
        <v>6772</v>
      </c>
      <c r="G58" t="s">
        <v>6871</v>
      </c>
      <c r="H58">
        <v>1</v>
      </c>
      <c r="I58" t="s">
        <v>6872</v>
      </c>
      <c r="K58" s="387">
        <v>3</v>
      </c>
      <c r="L58" s="389" t="s">
        <v>6873</v>
      </c>
      <c r="M58" s="396"/>
      <c r="N58" s="214"/>
      <c r="O58" s="223"/>
    </row>
    <row r="59" spans="2:16" ht="12" customHeight="1">
      <c r="B59">
        <v>56</v>
      </c>
      <c r="C59" t="s">
        <v>6874</v>
      </c>
      <c r="D59" t="s">
        <v>6834</v>
      </c>
      <c r="E59" t="s">
        <v>6733</v>
      </c>
      <c r="F59"/>
      <c r="G59" t="s">
        <v>6875</v>
      </c>
      <c r="H59"/>
      <c r="I59" t="s">
        <v>6872</v>
      </c>
      <c r="K59" s="392"/>
      <c r="L59" s="397"/>
      <c r="M59" s="214"/>
      <c r="N59" s="214"/>
      <c r="O59" s="223"/>
    </row>
    <row r="60" spans="2:16" ht="12" customHeight="1">
      <c r="B60">
        <v>57</v>
      </c>
      <c r="C60" t="s">
        <v>6876</v>
      </c>
      <c r="D60" t="s">
        <v>6834</v>
      </c>
      <c r="E60" t="s">
        <v>6733</v>
      </c>
      <c r="F60"/>
      <c r="G60" t="s">
        <v>6877</v>
      </c>
      <c r="H60"/>
      <c r="I60" t="s">
        <v>6878</v>
      </c>
      <c r="K60" s="1793" t="s">
        <v>6879</v>
      </c>
      <c r="L60" s="1794"/>
      <c r="M60" s="238">
        <f ca="1">RANDBETWEEN(1,4)</f>
        <v>4</v>
      </c>
      <c r="N60" s="214"/>
      <c r="O60" s="223"/>
    </row>
    <row r="61" spans="2:16" ht="12" customHeight="1">
      <c r="B61">
        <v>58</v>
      </c>
      <c r="C61" t="s">
        <v>6880</v>
      </c>
      <c r="D61" t="s">
        <v>6834</v>
      </c>
      <c r="E61" t="s">
        <v>6733</v>
      </c>
      <c r="F61"/>
      <c r="G61" t="s">
        <v>6881</v>
      </c>
      <c r="H61"/>
      <c r="I61" t="s">
        <v>6878</v>
      </c>
      <c r="K61" s="387">
        <v>1</v>
      </c>
      <c r="L61" s="388" t="s">
        <v>6882</v>
      </c>
      <c r="M61" s="221"/>
      <c r="N61" s="214"/>
      <c r="O61" s="223"/>
    </row>
    <row r="62" spans="2:16" ht="12" customHeight="1">
      <c r="B62">
        <v>59</v>
      </c>
      <c r="C62" t="s">
        <v>6883</v>
      </c>
      <c r="D62" t="s">
        <v>6834</v>
      </c>
      <c r="E62" t="s">
        <v>6733</v>
      </c>
      <c r="F62"/>
      <c r="G62" t="s">
        <v>6884</v>
      </c>
      <c r="H62"/>
      <c r="I62" t="s">
        <v>6885</v>
      </c>
      <c r="K62" s="387">
        <v>2</v>
      </c>
      <c r="L62" s="388" t="s">
        <v>6886</v>
      </c>
      <c r="M62" s="214"/>
      <c r="N62" s="214"/>
      <c r="O62" s="223"/>
    </row>
    <row r="63" spans="2:16" ht="12" customHeight="1">
      <c r="B63">
        <v>60</v>
      </c>
      <c r="C63" t="s">
        <v>6887</v>
      </c>
      <c r="D63" t="s">
        <v>6834</v>
      </c>
      <c r="E63" t="s">
        <v>6733</v>
      </c>
      <c r="F63"/>
      <c r="G63" t="s">
        <v>6888</v>
      </c>
      <c r="H63"/>
      <c r="I63" t="s">
        <v>6885</v>
      </c>
      <c r="K63" s="387">
        <v>3</v>
      </c>
      <c r="L63" s="389" t="s">
        <v>6814</v>
      </c>
      <c r="M63" s="214"/>
      <c r="N63" s="214"/>
      <c r="O63" s="223"/>
    </row>
    <row r="64" spans="2:16" ht="12" customHeight="1">
      <c r="B64">
        <v>61</v>
      </c>
      <c r="C64" t="s">
        <v>6889</v>
      </c>
      <c r="D64" t="s">
        <v>6834</v>
      </c>
      <c r="E64" t="s">
        <v>6733</v>
      </c>
      <c r="F64"/>
      <c r="G64" t="s">
        <v>6890</v>
      </c>
      <c r="H64"/>
      <c r="I64" t="s">
        <v>6885</v>
      </c>
      <c r="K64" s="390">
        <v>4</v>
      </c>
      <c r="L64" s="398" t="s">
        <v>6891</v>
      </c>
    </row>
    <row r="65" spans="2:9" ht="12" customHeight="1">
      <c r="B65">
        <v>62</v>
      </c>
      <c r="C65" t="s">
        <v>6892</v>
      </c>
      <c r="D65" t="s">
        <v>6834</v>
      </c>
      <c r="E65" t="s">
        <v>6733</v>
      </c>
      <c r="F65"/>
      <c r="G65" t="s">
        <v>6893</v>
      </c>
      <c r="H65"/>
      <c r="I65" t="s">
        <v>6885</v>
      </c>
    </row>
    <row r="66" spans="2:9" ht="12" customHeight="1">
      <c r="B66">
        <v>63</v>
      </c>
      <c r="C66" t="s">
        <v>6879</v>
      </c>
      <c r="D66" t="s">
        <v>6834</v>
      </c>
      <c r="E66" t="s">
        <v>6733</v>
      </c>
      <c r="F66"/>
      <c r="G66" t="str">
        <f ca="1">CONCATENATE("Summon ",VLOOKUP(M60,K61:L64,2,0)," Elemental")</f>
        <v>Summon Water Elemental</v>
      </c>
      <c r="H66"/>
      <c r="I66" t="s">
        <v>6894</v>
      </c>
    </row>
    <row r="67" spans="2:9" ht="12" customHeight="1">
      <c r="B67">
        <v>64</v>
      </c>
      <c r="C67" t="s">
        <v>6895</v>
      </c>
      <c r="D67" t="s">
        <v>6834</v>
      </c>
      <c r="E67" t="s">
        <v>6733</v>
      </c>
      <c r="F67"/>
      <c r="G67" t="s">
        <v>6896</v>
      </c>
      <c r="H67"/>
      <c r="I67" t="s">
        <v>6897</v>
      </c>
    </row>
    <row r="68" spans="2:9" ht="12" customHeight="1">
      <c r="B68">
        <v>65</v>
      </c>
      <c r="C68" t="s">
        <v>6898</v>
      </c>
      <c r="D68" t="s">
        <v>6834</v>
      </c>
      <c r="E68" t="s">
        <v>6733</v>
      </c>
      <c r="F68" t="s">
        <v>6772</v>
      </c>
      <c r="G68" t="s">
        <v>6899</v>
      </c>
      <c r="H68"/>
      <c r="I68" t="s">
        <v>6897</v>
      </c>
    </row>
    <row r="69" spans="2:9" ht="12" customHeight="1">
      <c r="B69">
        <v>66</v>
      </c>
      <c r="C69" t="s">
        <v>6900</v>
      </c>
      <c r="D69" t="s">
        <v>6834</v>
      </c>
      <c r="E69" t="s">
        <v>6733</v>
      </c>
      <c r="F69"/>
      <c r="G69" t="s">
        <v>6901</v>
      </c>
      <c r="H69"/>
      <c r="I69" t="s">
        <v>6897</v>
      </c>
    </row>
    <row r="70" spans="2:9" ht="12" customHeight="1">
      <c r="B70">
        <v>67</v>
      </c>
      <c r="C70" t="s">
        <v>6902</v>
      </c>
      <c r="D70" t="s">
        <v>6834</v>
      </c>
      <c r="E70" t="s">
        <v>6733</v>
      </c>
      <c r="F70" t="s">
        <v>6772</v>
      </c>
      <c r="G70" t="s">
        <v>6903</v>
      </c>
      <c r="H70"/>
      <c r="I70" t="s">
        <v>6897</v>
      </c>
    </row>
    <row r="71" spans="2:9" ht="12" customHeight="1">
      <c r="B71">
        <v>68</v>
      </c>
      <c r="C71" t="s">
        <v>6904</v>
      </c>
      <c r="D71" t="s">
        <v>6834</v>
      </c>
      <c r="E71" t="s">
        <v>6733</v>
      </c>
      <c r="F71"/>
      <c r="G71" t="s">
        <v>6905</v>
      </c>
      <c r="H71"/>
      <c r="I71" t="s">
        <v>6906</v>
      </c>
    </row>
    <row r="72" spans="2:9" ht="12" customHeight="1">
      <c r="B72">
        <v>69</v>
      </c>
      <c r="C72" t="s">
        <v>6907</v>
      </c>
      <c r="D72" t="s">
        <v>6834</v>
      </c>
      <c r="E72" t="s">
        <v>6733</v>
      </c>
      <c r="F72" t="s">
        <v>6772</v>
      </c>
      <c r="G72" t="s">
        <v>6908</v>
      </c>
      <c r="H72"/>
      <c r="I72" t="s">
        <v>6909</v>
      </c>
    </row>
    <row r="73" spans="2:9" ht="12" customHeight="1">
      <c r="B73">
        <v>70</v>
      </c>
      <c r="C73" t="s">
        <v>6910</v>
      </c>
      <c r="D73" t="s">
        <v>6834</v>
      </c>
      <c r="E73" t="s">
        <v>6733</v>
      </c>
      <c r="F73"/>
      <c r="G73" t="s">
        <v>6911</v>
      </c>
      <c r="H73"/>
      <c r="I73" t="s">
        <v>6909</v>
      </c>
    </row>
    <row r="74" spans="2:9" ht="12" customHeight="1">
      <c r="B74">
        <v>71</v>
      </c>
      <c r="C74" t="s">
        <v>6912</v>
      </c>
      <c r="D74" t="s">
        <v>6834</v>
      </c>
      <c r="E74" t="s">
        <v>6733</v>
      </c>
      <c r="F74" t="s">
        <v>6772</v>
      </c>
      <c r="G74" t="str">
        <f>CONCATENATE("Reduce ranged damage ",'[4]TOP SHEET'!C31," +1d10")</f>
        <v>Reduce ranged damage 3 +1d10</v>
      </c>
      <c r="H74"/>
      <c r="I74" t="s">
        <v>6913</v>
      </c>
    </row>
    <row r="75" spans="2:9" ht="12" customHeight="1">
      <c r="B75">
        <v>72</v>
      </c>
      <c r="C75" t="s">
        <v>6914</v>
      </c>
      <c r="D75" t="s">
        <v>6834</v>
      </c>
      <c r="E75" t="s">
        <v>6733</v>
      </c>
      <c r="F75" t="s">
        <v>6772</v>
      </c>
      <c r="G75" t="s">
        <v>6915</v>
      </c>
      <c r="H75"/>
      <c r="I75" t="s">
        <v>6913</v>
      </c>
    </row>
    <row r="76" spans="2:9" ht="12" customHeight="1">
      <c r="B76">
        <v>73</v>
      </c>
      <c r="C76" t="s">
        <v>6916</v>
      </c>
      <c r="D76" t="s">
        <v>6834</v>
      </c>
      <c r="E76" t="s">
        <v>6733</v>
      </c>
      <c r="F76"/>
      <c r="G76" t="s">
        <v>6917</v>
      </c>
      <c r="H76"/>
      <c r="I76" t="s">
        <v>6913</v>
      </c>
    </row>
    <row r="77" spans="2:9" ht="12" customHeight="1">
      <c r="B77">
        <v>74</v>
      </c>
      <c r="C77" t="s">
        <v>6918</v>
      </c>
      <c r="D77" t="s">
        <v>6834</v>
      </c>
      <c r="E77" t="s">
        <v>6733</v>
      </c>
      <c r="F77"/>
      <c r="G77" t="s">
        <v>6919</v>
      </c>
      <c r="H77"/>
      <c r="I77" t="s">
        <v>6913</v>
      </c>
    </row>
    <row r="78" spans="2:9" ht="12" customHeight="1">
      <c r="B78">
        <v>75</v>
      </c>
      <c r="C78" t="s">
        <v>6920</v>
      </c>
      <c r="D78" t="s">
        <v>6834</v>
      </c>
      <c r="E78" t="s">
        <v>6733</v>
      </c>
      <c r="F78" t="s">
        <v>6772</v>
      </c>
      <c r="G78" t="s">
        <v>6921</v>
      </c>
      <c r="H78"/>
      <c r="I78" t="s">
        <v>6922</v>
      </c>
    </row>
    <row r="79" spans="2:9" ht="12" customHeight="1">
      <c r="B79">
        <v>76</v>
      </c>
      <c r="C79" t="s">
        <v>6923</v>
      </c>
      <c r="D79" t="s">
        <v>6834</v>
      </c>
      <c r="E79" t="s">
        <v>6733</v>
      </c>
      <c r="F79" t="s">
        <v>6772</v>
      </c>
      <c r="G79" t="s">
        <v>6924</v>
      </c>
      <c r="H79"/>
      <c r="I79" t="s">
        <v>6922</v>
      </c>
    </row>
    <row r="80" spans="2:9" ht="12" customHeight="1">
      <c r="B80">
        <v>77</v>
      </c>
      <c r="C80" t="s">
        <v>6925</v>
      </c>
      <c r="D80" t="s">
        <v>6834</v>
      </c>
      <c r="E80" t="s">
        <v>6733</v>
      </c>
      <c r="F80"/>
      <c r="G80" t="s">
        <v>6926</v>
      </c>
      <c r="H80"/>
      <c r="I80" t="s">
        <v>6922</v>
      </c>
    </row>
    <row r="81" spans="2:9" ht="12" customHeight="1">
      <c r="B81">
        <v>78</v>
      </c>
      <c r="C81" t="s">
        <v>6927</v>
      </c>
      <c r="D81" t="s">
        <v>6834</v>
      </c>
      <c r="E81" t="s">
        <v>6733</v>
      </c>
      <c r="F81" t="s">
        <v>6772</v>
      </c>
      <c r="G81" t="s">
        <v>6928</v>
      </c>
      <c r="H81"/>
      <c r="I81" t="s">
        <v>6929</v>
      </c>
    </row>
    <row r="82" spans="2:9" ht="12" customHeight="1">
      <c r="B82">
        <v>79</v>
      </c>
      <c r="C82" t="s">
        <v>6930</v>
      </c>
      <c r="D82" t="s">
        <v>6834</v>
      </c>
      <c r="E82" t="s">
        <v>6733</v>
      </c>
      <c r="F82" t="s">
        <v>6772</v>
      </c>
      <c r="G82" t="s">
        <v>6931</v>
      </c>
      <c r="H82"/>
      <c r="I82" t="s">
        <v>6932</v>
      </c>
    </row>
    <row r="83" spans="2:9" ht="12" customHeight="1">
      <c r="B83">
        <v>80</v>
      </c>
      <c r="C83" t="s">
        <v>6933</v>
      </c>
      <c r="D83" t="s">
        <v>6834</v>
      </c>
      <c r="E83" t="s">
        <v>6733</v>
      </c>
      <c r="F83" t="s">
        <v>6772</v>
      </c>
      <c r="G83" t="s">
        <v>6934</v>
      </c>
      <c r="H83"/>
      <c r="I83" t="s">
        <v>6932</v>
      </c>
    </row>
    <row r="84" spans="2:9" ht="12" customHeight="1">
      <c r="B84">
        <v>81</v>
      </c>
      <c r="C84" t="s">
        <v>6935</v>
      </c>
      <c r="D84" t="s">
        <v>6834</v>
      </c>
      <c r="E84" t="s">
        <v>6733</v>
      </c>
      <c r="F84" t="s">
        <v>6772</v>
      </c>
      <c r="G84" t="s">
        <v>6936</v>
      </c>
      <c r="H84"/>
      <c r="I84" t="s">
        <v>6932</v>
      </c>
    </row>
    <row r="85" spans="2:9" ht="12" customHeight="1">
      <c r="B85">
        <v>82</v>
      </c>
      <c r="C85" t="s">
        <v>6937</v>
      </c>
      <c r="D85" t="s">
        <v>6834</v>
      </c>
      <c r="E85" t="s">
        <v>6733</v>
      </c>
      <c r="F85"/>
      <c r="G85" t="s">
        <v>6938</v>
      </c>
      <c r="H85"/>
      <c r="I85" t="s">
        <v>6939</v>
      </c>
    </row>
    <row r="86" spans="2:9" ht="12" customHeight="1">
      <c r="B86">
        <v>83</v>
      </c>
      <c r="C86" t="s">
        <v>6940</v>
      </c>
      <c r="D86" t="s">
        <v>6834</v>
      </c>
      <c r="E86" t="s">
        <v>6733</v>
      </c>
      <c r="F86"/>
      <c r="G86" t="s">
        <v>6941</v>
      </c>
      <c r="H86"/>
      <c r="I86" t="s">
        <v>6939</v>
      </c>
    </row>
    <row r="87" spans="2:9" ht="12" customHeight="1">
      <c r="B87">
        <v>84</v>
      </c>
      <c r="C87" t="s">
        <v>6942</v>
      </c>
      <c r="D87" t="s">
        <v>6834</v>
      </c>
      <c r="E87" t="s">
        <v>6733</v>
      </c>
      <c r="F87" t="s">
        <v>6772</v>
      </c>
      <c r="G87" t="s">
        <v>6943</v>
      </c>
      <c r="H87"/>
      <c r="I87" t="s">
        <v>6737</v>
      </c>
    </row>
    <row r="88" spans="2:9" ht="12" customHeight="1">
      <c r="B88">
        <v>85</v>
      </c>
      <c r="C88" t="s">
        <v>6944</v>
      </c>
      <c r="D88" t="s">
        <v>6834</v>
      </c>
      <c r="E88" t="s">
        <v>6733</v>
      </c>
      <c r="F88" t="s">
        <v>6772</v>
      </c>
      <c r="G88" t="s">
        <v>6945</v>
      </c>
      <c r="H88"/>
      <c r="I88" t="s">
        <v>6740</v>
      </c>
    </row>
    <row r="89" spans="2:9" ht="12" customHeight="1">
      <c r="B89">
        <v>86</v>
      </c>
      <c r="C89" t="s">
        <v>6946</v>
      </c>
      <c r="D89" t="s">
        <v>6834</v>
      </c>
      <c r="E89" t="s">
        <v>6733</v>
      </c>
      <c r="F89" t="s">
        <v>6772</v>
      </c>
      <c r="G89" t="s">
        <v>6947</v>
      </c>
      <c r="H89"/>
      <c r="I89" t="s">
        <v>6750</v>
      </c>
    </row>
    <row r="90" spans="2:9" ht="12" customHeight="1">
      <c r="B90">
        <v>87</v>
      </c>
      <c r="C90" t="s">
        <v>6948</v>
      </c>
      <c r="D90" t="s">
        <v>6834</v>
      </c>
      <c r="E90" t="s">
        <v>6733</v>
      </c>
      <c r="F90"/>
      <c r="G90" t="s">
        <v>6949</v>
      </c>
      <c r="H90"/>
      <c r="I90" t="s">
        <v>6750</v>
      </c>
    </row>
    <row r="91" spans="2:9" ht="12" customHeight="1">
      <c r="B91">
        <v>88</v>
      </c>
      <c r="C91" t="s">
        <v>6950</v>
      </c>
      <c r="D91" t="s">
        <v>6834</v>
      </c>
      <c r="E91" t="s">
        <v>6733</v>
      </c>
      <c r="F91" t="s">
        <v>6772</v>
      </c>
      <c r="G91" t="s">
        <v>6951</v>
      </c>
      <c r="H91"/>
      <c r="I91" t="s">
        <v>6750</v>
      </c>
    </row>
    <row r="92" spans="2:9" ht="12" customHeight="1">
      <c r="B92">
        <v>89</v>
      </c>
      <c r="C92" t="s">
        <v>6952</v>
      </c>
      <c r="D92" t="s">
        <v>6834</v>
      </c>
      <c r="E92" t="s">
        <v>6733</v>
      </c>
      <c r="F92"/>
      <c r="G92" t="s">
        <v>6953</v>
      </c>
      <c r="H92"/>
      <c r="I92" t="s">
        <v>6954</v>
      </c>
    </row>
    <row r="93" spans="2:9" ht="12" customHeight="1">
      <c r="B93">
        <v>90</v>
      </c>
      <c r="C93" t="s">
        <v>6955</v>
      </c>
      <c r="D93" t="s">
        <v>6834</v>
      </c>
      <c r="E93" t="s">
        <v>6733</v>
      </c>
      <c r="F93" t="s">
        <v>6772</v>
      </c>
      <c r="G93" t="s">
        <v>6956</v>
      </c>
      <c r="H93"/>
      <c r="I93" t="s">
        <v>6954</v>
      </c>
    </row>
    <row r="94" spans="2:9" ht="12" customHeight="1">
      <c r="B94">
        <v>91</v>
      </c>
      <c r="C94" t="s">
        <v>6957</v>
      </c>
      <c r="D94" t="s">
        <v>6834</v>
      </c>
      <c r="E94" t="s">
        <v>6733</v>
      </c>
      <c r="F94"/>
      <c r="G94" t="s">
        <v>6958</v>
      </c>
      <c r="H94"/>
      <c r="I94" t="s">
        <v>6959</v>
      </c>
    </row>
    <row r="95" spans="2:9" ht="12" customHeight="1">
      <c r="B95">
        <v>92</v>
      </c>
      <c r="C95" t="s">
        <v>6960</v>
      </c>
      <c r="D95" t="s">
        <v>6834</v>
      </c>
      <c r="E95" t="s">
        <v>6733</v>
      </c>
      <c r="F95"/>
      <c r="G95" t="s">
        <v>6961</v>
      </c>
      <c r="H95"/>
      <c r="I95" t="s">
        <v>6962</v>
      </c>
    </row>
    <row r="96" spans="2:9" ht="12" customHeight="1">
      <c r="B96">
        <v>93</v>
      </c>
      <c r="C96" t="s">
        <v>6963</v>
      </c>
      <c r="D96" t="s">
        <v>6834</v>
      </c>
      <c r="E96" t="s">
        <v>6733</v>
      </c>
      <c r="F96"/>
      <c r="G96" t="s">
        <v>6964</v>
      </c>
      <c r="H96"/>
      <c r="I96" t="s">
        <v>6790</v>
      </c>
    </row>
    <row r="97" spans="2:13" ht="12" customHeight="1">
      <c r="B97">
        <v>94</v>
      </c>
      <c r="C97" t="s">
        <v>6965</v>
      </c>
      <c r="D97" t="s">
        <v>6834</v>
      </c>
      <c r="E97" t="s">
        <v>6733</v>
      </c>
      <c r="F97"/>
      <c r="G97" t="s">
        <v>6966</v>
      </c>
      <c r="H97"/>
      <c r="I97" t="s">
        <v>6744</v>
      </c>
    </row>
    <row r="98" spans="2:13" ht="12" customHeight="1">
      <c r="B98">
        <v>95</v>
      </c>
      <c r="C98" t="s">
        <v>6967</v>
      </c>
      <c r="D98" t="s">
        <v>6834</v>
      </c>
      <c r="E98" t="s">
        <v>6733</v>
      </c>
      <c r="F98"/>
      <c r="G98" t="s">
        <v>6968</v>
      </c>
      <c r="H98"/>
      <c r="I98" t="s">
        <v>6744</v>
      </c>
    </row>
    <row r="99" spans="2:13" ht="12" customHeight="1">
      <c r="B99">
        <v>96</v>
      </c>
      <c r="C99" t="s">
        <v>6969</v>
      </c>
      <c r="D99" t="s">
        <v>6834</v>
      </c>
      <c r="E99" t="s">
        <v>6733</v>
      </c>
      <c r="F99" t="s">
        <v>6772</v>
      </c>
      <c r="G99" t="s">
        <v>6970</v>
      </c>
      <c r="H99"/>
      <c r="I99" t="s">
        <v>6728</v>
      </c>
    </row>
    <row r="100" spans="2:13" ht="12" customHeight="1">
      <c r="B100">
        <v>97</v>
      </c>
      <c r="C100" t="s">
        <v>6971</v>
      </c>
      <c r="D100" t="s">
        <v>6834</v>
      </c>
      <c r="E100" t="s">
        <v>6733</v>
      </c>
      <c r="F100" t="s">
        <v>6772</v>
      </c>
      <c r="G100" t="s">
        <v>6972</v>
      </c>
      <c r="H100"/>
      <c r="I100" t="s">
        <v>6973</v>
      </c>
    </row>
    <row r="101" spans="2:13" ht="12" customHeight="1">
      <c r="B101">
        <v>98</v>
      </c>
      <c r="C101" t="s">
        <v>6974</v>
      </c>
      <c r="D101" t="s">
        <v>6834</v>
      </c>
      <c r="E101" t="s">
        <v>6733</v>
      </c>
      <c r="F101"/>
      <c r="G101" t="s">
        <v>6975</v>
      </c>
      <c r="H101"/>
      <c r="I101" t="s">
        <v>6830</v>
      </c>
    </row>
    <row r="102" spans="2:13" ht="12" customHeight="1">
      <c r="B102">
        <v>99</v>
      </c>
      <c r="C102" t="s">
        <v>6976</v>
      </c>
      <c r="D102" t="s">
        <v>6834</v>
      </c>
      <c r="E102" t="s">
        <v>6733</v>
      </c>
      <c r="F102" t="s">
        <v>6772</v>
      </c>
      <c r="G102" t="s">
        <v>6977</v>
      </c>
      <c r="H102"/>
      <c r="I102" t="s">
        <v>6978</v>
      </c>
    </row>
    <row r="103" spans="2:13" ht="12" customHeight="1">
      <c r="B103">
        <v>1</v>
      </c>
      <c r="C103" t="str">
        <f ca="1">CONCATENATE(VLOOKUP(M103,K104:L113,2,0)," Reistant ",(VLOOKUP(M104,K114:L116,2,0))," Armor")</f>
        <v>Poison Reistant Medium Armor</v>
      </c>
      <c r="D103" t="s">
        <v>5784</v>
      </c>
      <c r="E103" t="s">
        <v>6979</v>
      </c>
      <c r="F103" t="s">
        <v>6772</v>
      </c>
      <c r="G103" t="str">
        <f ca="1">CONCATENATE(VLOOKUP(M103,K104:L113,2,0)," Reistant ",(VLOOKUP(M104,K114:L116,2,0))," Armor")</f>
        <v>Poison Reistant Medium Armor</v>
      </c>
      <c r="H103"/>
      <c r="I103" t="s">
        <v>6980</v>
      </c>
      <c r="K103" s="1793" t="s">
        <v>6981</v>
      </c>
      <c r="L103" s="1794"/>
      <c r="M103" s="399">
        <f ca="1">RANDBETWEEN(1,10)</f>
        <v>7</v>
      </c>
    </row>
    <row r="104" spans="2:13" ht="12" customHeight="1">
      <c r="B104">
        <v>2</v>
      </c>
      <c r="C104" t="s">
        <v>6982</v>
      </c>
      <c r="D104" t="s">
        <v>5784</v>
      </c>
      <c r="E104" t="s">
        <v>6979</v>
      </c>
      <c r="F104" t="s">
        <v>6772</v>
      </c>
      <c r="G104" t="str">
        <f ca="1">CONCATENATE("CURSED Plate Armor of ",M120," - Resistant to ",VLOOKUP(M118,K119:L121,2,0))</f>
        <v>CURSED Plate Armor of Bludgeoning and Piercing - Resistant to Slashing</v>
      </c>
      <c r="H104"/>
      <c r="I104" t="s">
        <v>6980</v>
      </c>
      <c r="K104" s="385">
        <v>1</v>
      </c>
      <c r="L104" s="386" t="s">
        <v>6807</v>
      </c>
      <c r="M104" s="399">
        <f ca="1">RANDBETWEEN(1,3)</f>
        <v>2</v>
      </c>
    </row>
    <row r="105" spans="2:13" ht="12" customHeight="1">
      <c r="B105">
        <v>3</v>
      </c>
      <c r="C105" t="str">
        <f ca="1">CONCATENATE("+1 ",VLOOKUP(M123,K124:L135,2,0), " Armor")</f>
        <v>+1 Chain Mail Armor</v>
      </c>
      <c r="D105" t="s">
        <v>5784</v>
      </c>
      <c r="E105" t="s">
        <v>6979</v>
      </c>
      <c r="F105"/>
      <c r="G105" t="s">
        <v>6983</v>
      </c>
      <c r="H105"/>
      <c r="I105" t="s">
        <v>6980</v>
      </c>
      <c r="K105" s="387">
        <v>2</v>
      </c>
      <c r="L105" s="388" t="s">
        <v>6811</v>
      </c>
      <c r="M105" s="399">
        <f ca="1">RANDBETWEEN(1,10)</f>
        <v>3</v>
      </c>
    </row>
    <row r="106" spans="2:13" ht="12" customHeight="1">
      <c r="B106">
        <v>4</v>
      </c>
      <c r="C106" t="s">
        <v>6984</v>
      </c>
      <c r="D106" t="s">
        <v>5784</v>
      </c>
      <c r="E106" t="s">
        <v>6979</v>
      </c>
      <c r="F106" t="s">
        <v>6772</v>
      </c>
      <c r="G106" t="s">
        <v>6985</v>
      </c>
      <c r="H106"/>
      <c r="I106" t="s">
        <v>6980</v>
      </c>
      <c r="K106" s="387">
        <v>3</v>
      </c>
      <c r="L106" s="388" t="s">
        <v>6814</v>
      </c>
    </row>
    <row r="107" spans="2:13" ht="12" customHeight="1">
      <c r="B107">
        <v>5</v>
      </c>
      <c r="C107" t="s">
        <v>6986</v>
      </c>
      <c r="D107" t="s">
        <v>5784</v>
      </c>
      <c r="E107" t="s">
        <v>6979</v>
      </c>
      <c r="F107"/>
      <c r="G107" t="s">
        <v>6987</v>
      </c>
      <c r="H107"/>
      <c r="I107" t="s">
        <v>6897</v>
      </c>
      <c r="K107" s="387">
        <v>4</v>
      </c>
      <c r="L107" s="389" t="s">
        <v>6816</v>
      </c>
    </row>
    <row r="108" spans="2:13" ht="12" customHeight="1">
      <c r="B108">
        <v>6</v>
      </c>
      <c r="C108" t="s">
        <v>6988</v>
      </c>
      <c r="D108" t="s">
        <v>5784</v>
      </c>
      <c r="E108" t="s">
        <v>6979</v>
      </c>
      <c r="F108"/>
      <c r="G108" t="s">
        <v>6989</v>
      </c>
      <c r="H108"/>
      <c r="I108" t="s">
        <v>6913</v>
      </c>
      <c r="K108" s="387">
        <v>5</v>
      </c>
      <c r="L108" s="389" t="s">
        <v>6820</v>
      </c>
    </row>
    <row r="109" spans="2:13" ht="12" customHeight="1">
      <c r="B109">
        <v>7</v>
      </c>
      <c r="C109" t="s">
        <v>6990</v>
      </c>
      <c r="D109" t="s">
        <v>5784</v>
      </c>
      <c r="E109" t="s">
        <v>6979</v>
      </c>
      <c r="F109" t="s">
        <v>6772</v>
      </c>
      <c r="G109" t="s">
        <v>6991</v>
      </c>
      <c r="H109"/>
      <c r="I109" t="s">
        <v>6728</v>
      </c>
      <c r="K109" s="387">
        <v>6</v>
      </c>
      <c r="L109" s="388" t="s">
        <v>6823</v>
      </c>
    </row>
    <row r="110" spans="2:13" ht="12" customHeight="1">
      <c r="B110">
        <v>8</v>
      </c>
      <c r="C110" t="s">
        <v>6992</v>
      </c>
      <c r="D110" t="s">
        <v>5784</v>
      </c>
      <c r="E110" t="s">
        <v>6979</v>
      </c>
      <c r="F110"/>
      <c r="G110" t="s">
        <v>6993</v>
      </c>
      <c r="H110">
        <v>2</v>
      </c>
      <c r="I110" t="s">
        <v>6728</v>
      </c>
      <c r="K110" s="387">
        <v>7</v>
      </c>
      <c r="L110" s="388" t="s">
        <v>6827</v>
      </c>
    </row>
    <row r="111" spans="2:13" ht="12" customHeight="1">
      <c r="B111">
        <v>9</v>
      </c>
      <c r="C111" t="s">
        <v>6994</v>
      </c>
      <c r="D111" t="s">
        <v>6719</v>
      </c>
      <c r="E111" t="s">
        <v>6979</v>
      </c>
      <c r="F111"/>
      <c r="G111" t="s">
        <v>6995</v>
      </c>
      <c r="H111"/>
      <c r="I111" t="s">
        <v>6897</v>
      </c>
      <c r="K111" s="387">
        <v>8</v>
      </c>
      <c r="L111" s="388" t="s">
        <v>6831</v>
      </c>
    </row>
    <row r="112" spans="2:13" ht="12" customHeight="1">
      <c r="B112">
        <v>10</v>
      </c>
      <c r="C112" t="s">
        <v>6996</v>
      </c>
      <c r="D112" t="s">
        <v>6719</v>
      </c>
      <c r="E112" t="s">
        <v>6979</v>
      </c>
      <c r="F112"/>
      <c r="G112" t="s">
        <v>6997</v>
      </c>
      <c r="H112"/>
      <c r="I112" t="s">
        <v>6998</v>
      </c>
      <c r="K112" s="387">
        <v>9</v>
      </c>
      <c r="L112" s="388" t="s">
        <v>6832</v>
      </c>
    </row>
    <row r="113" spans="2:13" ht="12" customHeight="1">
      <c r="B113">
        <v>11</v>
      </c>
      <c r="C113" t="s">
        <v>6999</v>
      </c>
      <c r="D113" t="s">
        <v>6719</v>
      </c>
      <c r="E113" t="s">
        <v>6979</v>
      </c>
      <c r="F113"/>
      <c r="G113" t="s">
        <v>7000</v>
      </c>
      <c r="H113"/>
      <c r="I113" t="s">
        <v>6721</v>
      </c>
      <c r="K113" s="390">
        <v>10</v>
      </c>
      <c r="L113" s="391" t="s">
        <v>6836</v>
      </c>
    </row>
    <row r="114" spans="2:13" ht="12" customHeight="1">
      <c r="B114">
        <v>12</v>
      </c>
      <c r="C114" t="s">
        <v>7001</v>
      </c>
      <c r="D114" t="s">
        <v>6719</v>
      </c>
      <c r="E114" t="s">
        <v>6979</v>
      </c>
      <c r="F114"/>
      <c r="G114" t="s">
        <v>7002</v>
      </c>
      <c r="H114"/>
      <c r="I114" t="s">
        <v>6721</v>
      </c>
      <c r="K114" s="385">
        <v>1</v>
      </c>
      <c r="L114" s="386" t="s">
        <v>5809</v>
      </c>
    </row>
    <row r="115" spans="2:13" ht="12" customHeight="1">
      <c r="B115">
        <v>13</v>
      </c>
      <c r="C115" t="s">
        <v>7003</v>
      </c>
      <c r="D115" t="s">
        <v>6719</v>
      </c>
      <c r="E115" t="s">
        <v>6979</v>
      </c>
      <c r="F115"/>
      <c r="G115" t="s">
        <v>7004</v>
      </c>
      <c r="H115"/>
      <c r="I115" t="s">
        <v>6721</v>
      </c>
      <c r="K115" s="387">
        <v>2</v>
      </c>
      <c r="L115" s="386" t="s">
        <v>2320</v>
      </c>
    </row>
    <row r="116" spans="2:13" ht="12" customHeight="1">
      <c r="B116">
        <v>14</v>
      </c>
      <c r="C116" t="s">
        <v>7005</v>
      </c>
      <c r="D116" t="s">
        <v>6719</v>
      </c>
      <c r="E116" t="s">
        <v>6979</v>
      </c>
      <c r="F116"/>
      <c r="G116" t="s">
        <v>7006</v>
      </c>
      <c r="H116"/>
      <c r="I116" t="s">
        <v>6721</v>
      </c>
      <c r="K116" s="400">
        <v>3</v>
      </c>
      <c r="L116" s="401" t="s">
        <v>7007</v>
      </c>
    </row>
    <row r="117" spans="2:13" ht="12" customHeight="1">
      <c r="B117">
        <v>15</v>
      </c>
      <c r="C117" t="s">
        <v>7008</v>
      </c>
      <c r="D117" t="s">
        <v>6719</v>
      </c>
      <c r="E117" t="s">
        <v>6979</v>
      </c>
      <c r="F117"/>
      <c r="G117" t="s">
        <v>7009</v>
      </c>
      <c r="H117"/>
      <c r="I117" t="s">
        <v>6721</v>
      </c>
    </row>
    <row r="118" spans="2:13" ht="12" customHeight="1">
      <c r="B118">
        <v>16</v>
      </c>
      <c r="C118" t="s">
        <v>7010</v>
      </c>
      <c r="D118" t="s">
        <v>6719</v>
      </c>
      <c r="E118" t="s">
        <v>6979</v>
      </c>
      <c r="F118"/>
      <c r="G118" t="s">
        <v>7011</v>
      </c>
      <c r="H118"/>
      <c r="I118" t="s">
        <v>6766</v>
      </c>
      <c r="K118" s="1793" t="s">
        <v>7012</v>
      </c>
      <c r="L118" s="1794"/>
      <c r="M118" s="238">
        <f ca="1">RANDBETWEEN(1,3)</f>
        <v>3</v>
      </c>
    </row>
    <row r="119" spans="2:13" ht="12" customHeight="1">
      <c r="B119">
        <v>17</v>
      </c>
      <c r="C119" t="s">
        <v>7013</v>
      </c>
      <c r="D119" t="s">
        <v>6719</v>
      </c>
      <c r="E119" t="s">
        <v>6979</v>
      </c>
      <c r="F119"/>
      <c r="G119" t="s">
        <v>7014</v>
      </c>
      <c r="H119"/>
      <c r="I119" t="s">
        <v>6766</v>
      </c>
      <c r="K119" s="387">
        <v>1</v>
      </c>
      <c r="L119" s="388" t="s">
        <v>7015</v>
      </c>
    </row>
    <row r="120" spans="2:13" ht="12" customHeight="1">
      <c r="B120">
        <v>18</v>
      </c>
      <c r="C120" t="s">
        <v>7016</v>
      </c>
      <c r="D120" t="s">
        <v>6719</v>
      </c>
      <c r="E120" t="s">
        <v>6979</v>
      </c>
      <c r="F120"/>
      <c r="G120" t="s">
        <v>7017</v>
      </c>
      <c r="H120"/>
      <c r="I120" t="s">
        <v>6766</v>
      </c>
      <c r="K120" s="387">
        <v>2</v>
      </c>
      <c r="L120" s="388" t="s">
        <v>7018</v>
      </c>
      <c r="M120" s="401" t="str">
        <f ca="1">IF(M118=1,"Piercing and Slashing",IF(M118=2,"Bludgeoning and Slashing",IF(M118=3,"Bludgeoning and Piercing")))</f>
        <v>Bludgeoning and Piercing</v>
      </c>
    </row>
    <row r="121" spans="2:13" ht="12" customHeight="1">
      <c r="B121">
        <v>19</v>
      </c>
      <c r="C121" t="s">
        <v>7019</v>
      </c>
      <c r="D121" t="s">
        <v>6719</v>
      </c>
      <c r="E121" t="s">
        <v>6979</v>
      </c>
      <c r="F121"/>
      <c r="G121" t="s">
        <v>7006</v>
      </c>
      <c r="H121"/>
      <c r="I121" t="s">
        <v>6721</v>
      </c>
      <c r="K121" s="390">
        <v>3</v>
      </c>
      <c r="L121" s="398" t="s">
        <v>7020</v>
      </c>
    </row>
    <row r="122" spans="2:13" ht="12" customHeight="1">
      <c r="B122">
        <v>20</v>
      </c>
      <c r="C122" t="s">
        <v>7021</v>
      </c>
      <c r="D122" t="s">
        <v>6719</v>
      </c>
      <c r="E122" t="s">
        <v>6979</v>
      </c>
      <c r="F122"/>
      <c r="G122" t="s">
        <v>7022</v>
      </c>
      <c r="H122"/>
      <c r="I122" t="s">
        <v>6721</v>
      </c>
    </row>
    <row r="123" spans="2:13" ht="12" customHeight="1">
      <c r="B123">
        <v>21</v>
      </c>
      <c r="C123" t="s">
        <v>7023</v>
      </c>
      <c r="D123" t="s">
        <v>6771</v>
      </c>
      <c r="E123" t="s">
        <v>6979</v>
      </c>
      <c r="F123"/>
      <c r="G123" t="s">
        <v>7024</v>
      </c>
      <c r="H123"/>
      <c r="I123" t="s">
        <v>6959</v>
      </c>
      <c r="K123" s="1793" t="s">
        <v>7025</v>
      </c>
      <c r="L123" s="1794"/>
      <c r="M123" s="399">
        <f ca="1">RANDBETWEEN(1,12)</f>
        <v>10</v>
      </c>
    </row>
    <row r="124" spans="2:13" ht="12" customHeight="1">
      <c r="B124">
        <v>22</v>
      </c>
      <c r="C124" t="s">
        <v>7026</v>
      </c>
      <c r="D124" t="s">
        <v>6771</v>
      </c>
      <c r="E124" t="s">
        <v>6979</v>
      </c>
      <c r="F124" t="s">
        <v>6772</v>
      </c>
      <c r="G124" t="s">
        <v>7027</v>
      </c>
      <c r="H124"/>
      <c r="I124" t="s">
        <v>6774</v>
      </c>
      <c r="K124" s="385">
        <v>1</v>
      </c>
      <c r="L124" s="386" t="s">
        <v>6272</v>
      </c>
      <c r="M124" s="399">
        <f ca="1">RANDBETWEEN(5,12)</f>
        <v>6</v>
      </c>
    </row>
    <row r="125" spans="2:13" ht="12" customHeight="1">
      <c r="B125">
        <v>23</v>
      </c>
      <c r="C125" t="s">
        <v>7028</v>
      </c>
      <c r="D125" t="s">
        <v>6771</v>
      </c>
      <c r="E125" t="s">
        <v>6979</v>
      </c>
      <c r="F125" t="s">
        <v>6772</v>
      </c>
      <c r="G125" t="s">
        <v>7029</v>
      </c>
      <c r="H125"/>
      <c r="I125" t="s">
        <v>6774</v>
      </c>
      <c r="K125" s="387">
        <v>2</v>
      </c>
      <c r="L125" s="388" t="s">
        <v>6273</v>
      </c>
    </row>
    <row r="126" spans="2:13" ht="12" customHeight="1">
      <c r="B126">
        <v>24</v>
      </c>
      <c r="C126" t="s">
        <v>7030</v>
      </c>
      <c r="D126" t="s">
        <v>6771</v>
      </c>
      <c r="E126" t="s">
        <v>6979</v>
      </c>
      <c r="F126" t="s">
        <v>6772</v>
      </c>
      <c r="G126" t="s">
        <v>7031</v>
      </c>
      <c r="H126"/>
      <c r="I126" t="s">
        <v>6774</v>
      </c>
      <c r="K126" s="387">
        <v>3</v>
      </c>
      <c r="L126" s="388" t="s">
        <v>7032</v>
      </c>
    </row>
    <row r="127" spans="2:13" ht="12" customHeight="1">
      <c r="B127">
        <v>25</v>
      </c>
      <c r="C127" t="s">
        <v>7033</v>
      </c>
      <c r="D127" t="s">
        <v>6771</v>
      </c>
      <c r="E127" t="s">
        <v>6979</v>
      </c>
      <c r="F127" t="s">
        <v>6772</v>
      </c>
      <c r="G127" t="s">
        <v>7034</v>
      </c>
      <c r="H127">
        <v>1</v>
      </c>
      <c r="I127" t="s">
        <v>6774</v>
      </c>
      <c r="K127" s="387">
        <v>4</v>
      </c>
      <c r="L127" s="389" t="s">
        <v>6244</v>
      </c>
    </row>
    <row r="128" spans="2:13" ht="12" customHeight="1">
      <c r="B128">
        <v>26</v>
      </c>
      <c r="C128" t="s">
        <v>7035</v>
      </c>
      <c r="D128" t="s">
        <v>6771</v>
      </c>
      <c r="E128" t="s">
        <v>6979</v>
      </c>
      <c r="F128" t="s">
        <v>6772</v>
      </c>
      <c r="G128" t="str">
        <f ca="1">CONCATENATE(VLOOKUP(M105,K104:L113,2,0)," Reistant Ring")</f>
        <v>Fire Reistant Ring</v>
      </c>
      <c r="H128"/>
      <c r="I128" t="s">
        <v>7036</v>
      </c>
      <c r="K128" s="387">
        <v>5</v>
      </c>
      <c r="L128" s="389" t="s">
        <v>7037</v>
      </c>
    </row>
    <row r="129" spans="2:13" ht="12" customHeight="1">
      <c r="B129">
        <v>27</v>
      </c>
      <c r="C129" t="s">
        <v>7038</v>
      </c>
      <c r="D129" t="s">
        <v>6771</v>
      </c>
      <c r="E129" t="s">
        <v>6979</v>
      </c>
      <c r="F129" t="s">
        <v>6772</v>
      </c>
      <c r="G129"/>
      <c r="H129"/>
      <c r="I129" t="s">
        <v>7036</v>
      </c>
      <c r="K129" s="387">
        <v>6</v>
      </c>
      <c r="L129" s="388" t="s">
        <v>7039</v>
      </c>
    </row>
    <row r="130" spans="2:13" ht="12" customHeight="1">
      <c r="B130">
        <v>28</v>
      </c>
      <c r="C130" t="s">
        <v>7040</v>
      </c>
      <c r="D130" t="s">
        <v>6771</v>
      </c>
      <c r="E130" t="s">
        <v>6979</v>
      </c>
      <c r="F130" t="s">
        <v>6772</v>
      </c>
      <c r="G130" t="s">
        <v>7041</v>
      </c>
      <c r="H130"/>
      <c r="I130" t="s">
        <v>6780</v>
      </c>
      <c r="K130" s="387">
        <v>7</v>
      </c>
      <c r="L130" s="388" t="s">
        <v>6277</v>
      </c>
    </row>
    <row r="131" spans="2:13" ht="12" customHeight="1">
      <c r="B131">
        <v>29</v>
      </c>
      <c r="C131" t="s">
        <v>7042</v>
      </c>
      <c r="D131" t="s">
        <v>6771</v>
      </c>
      <c r="E131" t="s">
        <v>6979</v>
      </c>
      <c r="F131" t="s">
        <v>6772</v>
      </c>
      <c r="G131" t="s">
        <v>7043</v>
      </c>
      <c r="H131"/>
      <c r="I131" t="s">
        <v>6780</v>
      </c>
      <c r="K131" s="387">
        <v>8</v>
      </c>
      <c r="L131" s="388" t="s">
        <v>7044</v>
      </c>
    </row>
    <row r="132" spans="2:13" ht="12" customHeight="1">
      <c r="B132">
        <v>30</v>
      </c>
      <c r="C132" t="s">
        <v>7045</v>
      </c>
      <c r="D132" t="s">
        <v>6249</v>
      </c>
      <c r="E132" t="s">
        <v>6979</v>
      </c>
      <c r="F132" t="s">
        <v>6772</v>
      </c>
      <c r="G132" t="s">
        <v>7046</v>
      </c>
      <c r="H132"/>
      <c r="I132" t="s">
        <v>6790</v>
      </c>
      <c r="K132" s="387">
        <v>9</v>
      </c>
      <c r="L132" s="388" t="s">
        <v>7047</v>
      </c>
    </row>
    <row r="133" spans="2:13" ht="12" customHeight="1">
      <c r="B133">
        <v>31</v>
      </c>
      <c r="C133" t="s">
        <v>7048</v>
      </c>
      <c r="D133" t="s">
        <v>6249</v>
      </c>
      <c r="E133" t="s">
        <v>6979</v>
      </c>
      <c r="F133" t="s">
        <v>6772</v>
      </c>
      <c r="G133" t="s">
        <v>7049</v>
      </c>
      <c r="H133"/>
      <c r="I133" t="s">
        <v>6790</v>
      </c>
      <c r="K133" s="373">
        <v>10</v>
      </c>
      <c r="L133" s="388" t="s">
        <v>7050</v>
      </c>
    </row>
    <row r="134" spans="2:13" ht="12" customHeight="1">
      <c r="B134">
        <v>32</v>
      </c>
      <c r="C134" t="s">
        <v>7051</v>
      </c>
      <c r="D134" t="s">
        <v>6249</v>
      </c>
      <c r="E134" t="s">
        <v>6979</v>
      </c>
      <c r="F134" t="s">
        <v>6772</v>
      </c>
      <c r="G134" t="s">
        <v>7052</v>
      </c>
      <c r="H134"/>
      <c r="I134" t="s">
        <v>7053</v>
      </c>
      <c r="K134" s="373">
        <v>11</v>
      </c>
      <c r="L134" s="388" t="s">
        <v>6278</v>
      </c>
    </row>
    <row r="135" spans="2:13" ht="12" customHeight="1">
      <c r="B135">
        <v>33</v>
      </c>
      <c r="C135" t="s">
        <v>7054</v>
      </c>
      <c r="D135" t="s">
        <v>6727</v>
      </c>
      <c r="E135" t="s">
        <v>6979</v>
      </c>
      <c r="F135"/>
      <c r="G135" t="str">
        <f ca="1">CONCATENATE("Protection from ",VLOOKUP(M137,K138:L145,2,0)," - 5' radius, 10' tall cylinder, 5 min., moves w/ you, (DC 15 Cha. To enter)")</f>
        <v>Protection from Fiends - 5' radius, 10' tall cylinder, 5 min., moves w/ you, (DC 15 Cha. To enter)</v>
      </c>
      <c r="H135"/>
      <c r="I135" t="s">
        <v>6744</v>
      </c>
      <c r="K135" s="400">
        <v>12</v>
      </c>
      <c r="L135" s="391" t="s">
        <v>6279</v>
      </c>
    </row>
    <row r="136" spans="2:13" ht="12" customHeight="1">
      <c r="B136">
        <v>34</v>
      </c>
      <c r="C136" t="s">
        <v>7055</v>
      </c>
      <c r="D136" t="s">
        <v>6727</v>
      </c>
      <c r="E136" t="s">
        <v>6979</v>
      </c>
      <c r="F136"/>
      <c r="G136" t="e">
        <f ca="1">IF([4]MATH!C8=1,VLOOKUP(RANDBETWEEN(1,8),[4]SPELLBOOK!AL52:AO59,4,0),IF([4]MATH!C8=2,VLOOKUP(RANDBETWEEN(1,23),[4]SPELLBOOK!AL146:AO164,4,0),IF([4]MATH!C8=3,VLOOKUP(RANDBETWEEN(1,23),[4]SPELLBOOK!#REF!,4,0),IF([4]MATH!C8=4,VLOOKUP(RANDBETWEEN(1,23),[4]SPELLBOOK!AF267:AI289,4,0),IF([4]MATH!C8=6,VLOOKUP(RANDBETWEEN(1,8),[4]SPELLBOOK!AF19:AI26,4,0),IF([4]MATH!C8=7,VLOOKUP(RANDBETWEEN(1,16),[4]SPELLBOOK!AL106:AO121,4,0),IF([4]MATH!C8=9,VLOOKUP(RANDBETWEEN(1,6),[4]SPELLBOOK!AD130:AG135,4,0),IF([4]MATH!C8=10,VLOOKUP(RANDBETWEEN(1,5),[4]SPELLBOOK!#REF!,4,0),IF([4]MATH!C8=11,VLOOKUP(RANDBETWEEN(1,10),[4]SPELLBOOK!AF223:AI232,4,0),IF([4]MATH!C8=12,VLOOKUP(RANDBETWEEN(1,4),[4]SPELLBOOK!T246:V249,4,0),""))))))))))</f>
        <v>#N/A</v>
      </c>
      <c r="H136"/>
      <c r="I136" t="s">
        <v>6728</v>
      </c>
    </row>
    <row r="137" spans="2:13" ht="12" customHeight="1">
      <c r="B137">
        <v>35</v>
      </c>
      <c r="C137" t="s">
        <v>7056</v>
      </c>
      <c r="D137" t="s">
        <v>6727</v>
      </c>
      <c r="E137" t="s">
        <v>6979</v>
      </c>
      <c r="F137"/>
      <c r="G137">
        <f ca="1">IF([4]MATH!C8=1,VLOOKUP(RANDBETWEEN(1,13),[4]SPELLBOOK!AT52:AW63,4,0),IF([4]MATH!C8=4,VLOOKUP(RANDBETWEEN(1,23),[4]SPELLBOOK!AN267:AQ289,4,0),IF([4]MATH!C8=6,VLOOKUP(RANDBETWEEN(1,16),[4]SPELLBOOK!AN19:AQ34,4,0),IF([4]MATH!C8=7,VLOOKUP(RANDBETWEEN(1,14),[4]SPELLBOOK!AT106:AW119,4,0),IF([4]MATH!C8=9,VLOOKUP(RANDBETWEEN(1,5),[4]SPELLBOOK!AL130:AO134,4,0),IF([4]MATH!C8=10,VLOOKUP(RANDBETWEEN(1,4),[4]SPELLBOOK!#REF!,4,0),IF([4]MATH!C8=11,VLOOKUP(RANDBETWEEN(1,11),[4]SPELLBOOK!AN223:AQ233,4,0),IF([4]MATH!C8=12,VLOOKUP(RANDBETWEEN(1,4),[4]SPELLBOOK!Y246:AA249,4,0),""))))))))</f>
        <v>2</v>
      </c>
      <c r="H137"/>
      <c r="I137" t="s">
        <v>6728</v>
      </c>
      <c r="K137" s="1793" t="s">
        <v>7054</v>
      </c>
      <c r="L137" s="1794"/>
      <c r="M137" s="399">
        <f ca="1">RANDBETWEEN(1,8)</f>
        <v>6</v>
      </c>
    </row>
    <row r="138" spans="2:13" ht="12" customHeight="1">
      <c r="B138">
        <v>36</v>
      </c>
      <c r="C138" t="str">
        <f ca="1">IF(OR([4]MATH!C8=1,[4]MATH!C8=4,[4]MATH!C8=6,[4]MATH!C8=7,[4]MATH!C8=11,[4]MATH!C8=12),"Staff of Charming",CONCATENATE("+2 ",VLOOKUP(RANDBETWEEN(1,5),K48:L52,2,0)))</f>
        <v>Staff of Charming</v>
      </c>
      <c r="D138" t="s">
        <v>7057</v>
      </c>
      <c r="E138" t="s">
        <v>6979</v>
      </c>
      <c r="F138" t="s">
        <v>6772</v>
      </c>
      <c r="G138" t="str">
        <f>IF(OR([4]MATH!C8=1,[4]MATH!C8=4,[4]MATH!C8=6,[4]MATH!C8=7,[4]MATH!C8=11,[4]MATH!C8=12),"10 Charges - Charm person, Command, or Comprehend languages","Magic weapon")</f>
        <v>10 Charges - Charm person, Command, or Comprehend languages</v>
      </c>
      <c r="H138"/>
      <c r="I138" t="s">
        <v>7058</v>
      </c>
      <c r="K138" s="385">
        <v>1</v>
      </c>
      <c r="L138" s="386" t="s">
        <v>5817</v>
      </c>
    </row>
    <row r="139" spans="2:13" ht="12" customHeight="1">
      <c r="B139">
        <v>37</v>
      </c>
      <c r="C139" t="str">
        <f ca="1">IF(OR([4]MATH!C8=1,[4]MATH!C8=6,[4]MATH!C8=7),"Staff of Healing",CONCATENATE("+2 ",VLOOKUP(RANDBETWEEN(1,5),K48:L52,2,0)))</f>
        <v>+2 Rapier</v>
      </c>
      <c r="D139" t="s">
        <v>7057</v>
      </c>
      <c r="E139" t="s">
        <v>6979</v>
      </c>
      <c r="F139" t="s">
        <v>6772</v>
      </c>
      <c r="G139" t="str">
        <f>IF(OR([4]MATH!C8=1,[4]MATH!C8=6,[4]MATH!C8=7),"10 Charges - Cure Wounds (1-4 chg.) - Lesser Restoration (2 chg.) - Mass Cure Wounds (5 chg.)","Magic weapon")</f>
        <v>Magic weapon</v>
      </c>
      <c r="H139"/>
      <c r="I139" t="s">
        <v>7059</v>
      </c>
      <c r="K139" s="387">
        <v>2</v>
      </c>
      <c r="L139" s="388" t="s">
        <v>5818</v>
      </c>
    </row>
    <row r="140" spans="2:13" ht="12" customHeight="1">
      <c r="B140">
        <v>38</v>
      </c>
      <c r="C140" t="str">
        <f ca="1">IF(OR([4]MATH!C8=1,[4]MATH!C8=4,[4]MATH!C8=6,[4]MATH!C8=7,[4]MATH!C8=11,[4]MATH!C8=12),"Staff of Swarming Insects",CONCATENATE("+2 ",VLOOKUP(RANDBETWEEN(1,5),K48:L52,2,0)))</f>
        <v>Staff of Swarming Insects</v>
      </c>
      <c r="D140" t="s">
        <v>7057</v>
      </c>
      <c r="E140" t="s">
        <v>6979</v>
      </c>
      <c r="F140" t="s">
        <v>6772</v>
      </c>
      <c r="G140" t="str">
        <f>IF(OR([4]MATH!C8=1,[4]MATH!C8=4,[4]MATH!C8=6,[4]MATH!C8=7,[4]MATH!C8=11,[4]MATH!C8=12),"10 Charges - Giant Insect (4 Chg.) - Insect Plague (5 Chg.) - Insect Cloud (1 Chg.)","Magic weapon")</f>
        <v>10 Charges - Giant Insect (4 Chg.) - Insect Plague (5 Chg.) - Insect Cloud (1 Chg.)</v>
      </c>
      <c r="H140"/>
      <c r="I140" t="s">
        <v>6795</v>
      </c>
      <c r="K140" s="387">
        <v>3</v>
      </c>
      <c r="L140" s="388" t="s">
        <v>5819</v>
      </c>
    </row>
    <row r="141" spans="2:13" ht="12" customHeight="1">
      <c r="B141">
        <v>39</v>
      </c>
      <c r="C141" t="str">
        <f ca="1">IF(OR([4]MATH!C8=1,[4]MATH!C8=7,[4]MATH!C8=12),"Staff of Withering",CONCATENATE("+2 ",VLOOKUP(RANDBETWEEN(1,5),K48:L52,2,0)))</f>
        <v>+2 Greatsword</v>
      </c>
      <c r="D141" t="s">
        <v>7057</v>
      </c>
      <c r="E141" t="s">
        <v>6979</v>
      </c>
      <c r="F141" t="s">
        <v>6772</v>
      </c>
      <c r="G141" t="str">
        <f>IF(OR([4]MATH!C8=1,[4]MATH!C8=7,[4]MATH!C8=12),"3 Charges - 2d10 Necrotic dmg. (1 chg.) - make save or disadvantage 1 hr.","Magic weapon")</f>
        <v>Magic weapon</v>
      </c>
      <c r="H141"/>
      <c r="I141" t="s">
        <v>6973</v>
      </c>
      <c r="K141" s="387">
        <v>4</v>
      </c>
      <c r="L141" s="389" t="s">
        <v>5820</v>
      </c>
    </row>
    <row r="142" spans="2:13" ht="12" customHeight="1">
      <c r="B142">
        <v>40</v>
      </c>
      <c r="C142" t="str">
        <f>IF([4]MATH!C8=7,"Staff of the Woodlands","+2 Quarterstaff")</f>
        <v>+2 Quarterstaff</v>
      </c>
      <c r="D142" t="s">
        <v>6250</v>
      </c>
      <c r="E142" t="s">
        <v>6979</v>
      </c>
      <c r="F142" t="s">
        <v>6772</v>
      </c>
      <c r="G142" t="str">
        <f>IF([4]MATH!C8=7,"+2 to hit, dmg. and spell attacks - 10 chg. - See DMG.","Magic weapon")</f>
        <v>Magic weapon</v>
      </c>
      <c r="H142"/>
      <c r="I142" t="s">
        <v>6798</v>
      </c>
      <c r="K142" s="387">
        <v>5</v>
      </c>
      <c r="L142" s="389" t="s">
        <v>3084</v>
      </c>
    </row>
    <row r="143" spans="2:13" ht="12" customHeight="1">
      <c r="B143">
        <v>41</v>
      </c>
      <c r="C143" t="s">
        <v>7060</v>
      </c>
      <c r="D143" t="s">
        <v>6251</v>
      </c>
      <c r="E143" t="s">
        <v>6979</v>
      </c>
      <c r="F143" t="s">
        <v>6772</v>
      </c>
      <c r="G143" t="s">
        <v>7061</v>
      </c>
      <c r="H143"/>
      <c r="I143" t="s">
        <v>6826</v>
      </c>
      <c r="K143" s="387">
        <v>6</v>
      </c>
      <c r="L143" s="388" t="s">
        <v>5821</v>
      </c>
    </row>
    <row r="144" spans="2:13" ht="12" customHeight="1">
      <c r="B144">
        <v>42</v>
      </c>
      <c r="C144" t="s">
        <v>7062</v>
      </c>
      <c r="D144" t="s">
        <v>6251</v>
      </c>
      <c r="E144" t="s">
        <v>6979</v>
      </c>
      <c r="F144" t="s">
        <v>6772</v>
      </c>
      <c r="G144" t="s">
        <v>7063</v>
      </c>
      <c r="H144"/>
      <c r="I144" t="s">
        <v>7064</v>
      </c>
      <c r="K144" s="387">
        <v>7</v>
      </c>
      <c r="L144" s="388" t="s">
        <v>5823</v>
      </c>
    </row>
    <row r="145" spans="2:13" ht="12" customHeight="1">
      <c r="B145">
        <v>43</v>
      </c>
      <c r="C145" t="s">
        <v>7065</v>
      </c>
      <c r="D145" t="s">
        <v>6251</v>
      </c>
      <c r="E145" t="s">
        <v>6979</v>
      </c>
      <c r="F145" t="s">
        <v>6772</v>
      </c>
      <c r="G145" t="s">
        <v>7066</v>
      </c>
      <c r="H145"/>
      <c r="I145" t="s">
        <v>7064</v>
      </c>
      <c r="K145" s="387">
        <v>8</v>
      </c>
      <c r="L145" s="388" t="s">
        <v>2319</v>
      </c>
    </row>
    <row r="146" spans="2:13" ht="12" customHeight="1">
      <c r="B146">
        <v>44</v>
      </c>
      <c r="C146" t="s">
        <v>7067</v>
      </c>
      <c r="D146" t="s">
        <v>6251</v>
      </c>
      <c r="E146" t="s">
        <v>6979</v>
      </c>
      <c r="F146" t="s">
        <v>6772</v>
      </c>
      <c r="G146" t="s">
        <v>7068</v>
      </c>
      <c r="H146"/>
      <c r="I146" t="s">
        <v>7064</v>
      </c>
      <c r="K146" s="392"/>
      <c r="L146" s="393"/>
    </row>
    <row r="147" spans="2:13" ht="12" customHeight="1">
      <c r="B147">
        <v>45</v>
      </c>
      <c r="C147" t="s">
        <v>7069</v>
      </c>
      <c r="D147" t="s">
        <v>6251</v>
      </c>
      <c r="E147" t="s">
        <v>6979</v>
      </c>
      <c r="F147" t="s">
        <v>6772</v>
      </c>
      <c r="G147" t="s">
        <v>7070</v>
      </c>
      <c r="H147"/>
      <c r="I147" t="s">
        <v>6801</v>
      </c>
      <c r="K147" s="1793" t="s">
        <v>7071</v>
      </c>
      <c r="L147" s="1794"/>
      <c r="M147" s="399">
        <f ca="1">RANDBETWEEN(1,112)</f>
        <v>4</v>
      </c>
    </row>
    <row r="148" spans="2:13" ht="12" customHeight="1">
      <c r="B148">
        <v>46</v>
      </c>
      <c r="C148" t="s">
        <v>7072</v>
      </c>
      <c r="D148" t="s">
        <v>6251</v>
      </c>
      <c r="E148" t="s">
        <v>6979</v>
      </c>
      <c r="F148" t="s">
        <v>6772</v>
      </c>
      <c r="G148" t="s">
        <v>7073</v>
      </c>
      <c r="H148"/>
      <c r="I148" t="s">
        <v>6801</v>
      </c>
    </row>
    <row r="149" spans="2:13" ht="12" customHeight="1">
      <c r="B149">
        <v>47</v>
      </c>
      <c r="C149" t="s">
        <v>7074</v>
      </c>
      <c r="D149" t="s">
        <v>6251</v>
      </c>
      <c r="E149" t="s">
        <v>6979</v>
      </c>
      <c r="F149" t="s">
        <v>6772</v>
      </c>
      <c r="G149" t="s">
        <v>7075</v>
      </c>
      <c r="H149"/>
      <c r="I149" t="s">
        <v>6810</v>
      </c>
      <c r="K149" s="1793" t="s">
        <v>7076</v>
      </c>
      <c r="L149" s="1794"/>
      <c r="M149" s="399">
        <f ca="1">RANDBETWEEN(1,8)</f>
        <v>1</v>
      </c>
    </row>
    <row r="150" spans="2:13" ht="12" customHeight="1">
      <c r="B150">
        <v>48</v>
      </c>
      <c r="C150" t="s">
        <v>7077</v>
      </c>
      <c r="D150" t="s">
        <v>6251</v>
      </c>
      <c r="E150" t="s">
        <v>6979</v>
      </c>
      <c r="F150" t="s">
        <v>6772</v>
      </c>
      <c r="G150" t="s">
        <v>7078</v>
      </c>
      <c r="H150"/>
      <c r="I150" t="s">
        <v>6810</v>
      </c>
      <c r="K150" s="385">
        <v>1</v>
      </c>
      <c r="L150" s="386" t="s">
        <v>2580</v>
      </c>
    </row>
    <row r="151" spans="2:13" ht="12" customHeight="1">
      <c r="B151">
        <v>49</v>
      </c>
      <c r="C151" t="str">
        <f>CONCATENATE([4]MATH!C61," +2 ammo - 10 pieces")</f>
        <v>Lgt. X-bow +2 ammo - 10 pieces</v>
      </c>
      <c r="D151" t="s">
        <v>1892</v>
      </c>
      <c r="E151" t="s">
        <v>6979</v>
      </c>
      <c r="F151"/>
      <c r="G151" t="s">
        <v>7079</v>
      </c>
      <c r="H151"/>
      <c r="I151" t="s">
        <v>6734</v>
      </c>
      <c r="K151" s="387">
        <v>2</v>
      </c>
      <c r="L151" s="388" t="s">
        <v>2751</v>
      </c>
      <c r="M151" s="243"/>
    </row>
    <row r="152" spans="2:13" ht="12" customHeight="1">
      <c r="B152">
        <v>50</v>
      </c>
      <c r="C152" t="str">
        <f ca="1">CONCATENATE("Berserker ",VLOOKUP(RANDBETWEEN(6,8),K155:L157,2,0))</f>
        <v>Berserker Battleaxe</v>
      </c>
      <c r="D152" t="s">
        <v>1892</v>
      </c>
      <c r="E152" t="s">
        <v>6979</v>
      </c>
      <c r="F152" t="s">
        <v>6772</v>
      </c>
      <c r="G152" t="s">
        <v>7080</v>
      </c>
      <c r="H152"/>
      <c r="I152" t="s">
        <v>6847</v>
      </c>
      <c r="K152" s="387">
        <v>3</v>
      </c>
      <c r="L152" s="388" t="s">
        <v>2996</v>
      </c>
    </row>
    <row r="153" spans="2:13" ht="12" customHeight="1">
      <c r="B153">
        <v>51</v>
      </c>
      <c r="C153" t="s">
        <v>7081</v>
      </c>
      <c r="D153" t="s">
        <v>1892</v>
      </c>
      <c r="E153" t="s">
        <v>6979</v>
      </c>
      <c r="F153"/>
      <c r="G153" t="s">
        <v>7082</v>
      </c>
      <c r="H153"/>
      <c r="I153" t="s">
        <v>6878</v>
      </c>
      <c r="K153" s="387">
        <v>4</v>
      </c>
      <c r="L153" s="389" t="s">
        <v>6853</v>
      </c>
    </row>
    <row r="154" spans="2:13" ht="12" customHeight="1">
      <c r="B154">
        <v>52</v>
      </c>
      <c r="C154" t="str">
        <f ca="1" xml:space="preserve"> CONCATENATE("Dragon Slayer - ",VLOOKUP(RANDBETWEEN(1,5),K48:L52,2,0))</f>
        <v>Dragon Slayer - Greatsword</v>
      </c>
      <c r="D154" t="s">
        <v>1892</v>
      </c>
      <c r="E154" t="s">
        <v>6979</v>
      </c>
      <c r="F154"/>
      <c r="G154" t="s">
        <v>7083</v>
      </c>
      <c r="H154"/>
      <c r="I154" t="s">
        <v>6885</v>
      </c>
      <c r="K154" s="387">
        <v>5</v>
      </c>
      <c r="L154" s="389" t="s">
        <v>3637</v>
      </c>
    </row>
    <row r="155" spans="2:13" ht="12" customHeight="1">
      <c r="B155">
        <v>53</v>
      </c>
      <c r="C155" t="str">
        <f ca="1" xml:space="preserve"> CONCATENATE("Flame Tongue - ",VLOOKUP(RANDBETWEEN(1,5),K48:L52,2,0))</f>
        <v>Flame Tongue - Rapier</v>
      </c>
      <c r="D155" t="s">
        <v>1892</v>
      </c>
      <c r="E155" t="s">
        <v>6979</v>
      </c>
      <c r="F155" t="s">
        <v>6772</v>
      </c>
      <c r="G155" t="s">
        <v>7084</v>
      </c>
      <c r="H155"/>
      <c r="I155" t="s">
        <v>6906</v>
      </c>
      <c r="K155" s="387">
        <v>6</v>
      </c>
      <c r="L155" s="389" t="s">
        <v>7085</v>
      </c>
    </row>
    <row r="156" spans="2:13" ht="12" customHeight="1">
      <c r="B156">
        <v>54</v>
      </c>
      <c r="C156" t="str">
        <f ca="1" xml:space="preserve"> CONCATENATE("Giant Slayer - ",VLOOKUP(RANDBETWEEN(1,8),K150:L157,2,0))</f>
        <v>Giant Slayer - Shortsword</v>
      </c>
      <c r="D156" t="s">
        <v>1892</v>
      </c>
      <c r="E156" t="s">
        <v>6979</v>
      </c>
      <c r="F156"/>
      <c r="G156" t="s">
        <v>7086</v>
      </c>
      <c r="H156"/>
      <c r="I156" t="s">
        <v>6913</v>
      </c>
      <c r="K156" s="387">
        <v>7</v>
      </c>
      <c r="L156" s="389" t="s">
        <v>4646</v>
      </c>
    </row>
    <row r="157" spans="2:13" ht="12" customHeight="1">
      <c r="B157">
        <v>55</v>
      </c>
      <c r="C157" t="s">
        <v>7087</v>
      </c>
      <c r="D157" t="s">
        <v>1892</v>
      </c>
      <c r="E157" t="s">
        <v>6979</v>
      </c>
      <c r="F157" t="s">
        <v>6772</v>
      </c>
      <c r="G157" t="s">
        <v>7088</v>
      </c>
      <c r="H157"/>
      <c r="I157" t="s">
        <v>6939</v>
      </c>
      <c r="K157" s="390">
        <v>8</v>
      </c>
      <c r="L157" s="398" t="s">
        <v>7089</v>
      </c>
    </row>
    <row r="158" spans="2:13" ht="12" customHeight="1">
      <c r="B158">
        <v>56</v>
      </c>
      <c r="C158" t="s">
        <v>7090</v>
      </c>
      <c r="D158" t="s">
        <v>1892</v>
      </c>
      <c r="E158" t="s">
        <v>6979</v>
      </c>
      <c r="F158"/>
      <c r="G158" t="s">
        <v>7091</v>
      </c>
      <c r="H158"/>
      <c r="I158" t="s">
        <v>6939</v>
      </c>
    </row>
    <row r="159" spans="2:13" ht="12" customHeight="1">
      <c r="B159">
        <v>57</v>
      </c>
      <c r="C159" t="s">
        <v>7092</v>
      </c>
      <c r="D159" t="s">
        <v>1892</v>
      </c>
      <c r="E159" t="s">
        <v>6979</v>
      </c>
      <c r="F159" t="s">
        <v>6772</v>
      </c>
      <c r="G159" t="s">
        <v>7093</v>
      </c>
      <c r="H159"/>
      <c r="I159" t="s">
        <v>7094</v>
      </c>
    </row>
    <row r="160" spans="2:13" ht="12" customHeight="1">
      <c r="B160">
        <v>58</v>
      </c>
      <c r="C160" t="s">
        <v>7095</v>
      </c>
      <c r="D160" t="s">
        <v>1892</v>
      </c>
      <c r="E160" t="s">
        <v>6979</v>
      </c>
      <c r="F160" t="s">
        <v>6772</v>
      </c>
      <c r="G160" t="s">
        <v>7096</v>
      </c>
      <c r="H160"/>
      <c r="I160" t="s">
        <v>6973</v>
      </c>
    </row>
    <row r="161" spans="2:9" ht="12" customHeight="1">
      <c r="B161">
        <v>59</v>
      </c>
      <c r="C161" t="str">
        <f ca="1" xml:space="preserve"> CONCATENATE(VLOOKUP(RANDBETWEEN(1,5),K48:L52,2,0)," of Life Stealing")</f>
        <v>Longsword of Life Stealing</v>
      </c>
      <c r="D161" t="s">
        <v>1892</v>
      </c>
      <c r="E161" t="s">
        <v>6979</v>
      </c>
      <c r="F161" t="s">
        <v>6772</v>
      </c>
      <c r="G161" t="s">
        <v>7097</v>
      </c>
      <c r="H161"/>
      <c r="I161" t="s">
        <v>6822</v>
      </c>
    </row>
    <row r="162" spans="2:9" ht="12" customHeight="1">
      <c r="B162">
        <v>60</v>
      </c>
      <c r="C162" t="str">
        <f ca="1" xml:space="preserve"> CONCATENATE(VLOOKUP(RANDBETWEEN(1,5),K48:L52,2,0)," of Wounding")</f>
        <v>Rapier of Wounding</v>
      </c>
      <c r="D162" t="s">
        <v>1892</v>
      </c>
      <c r="E162" t="s">
        <v>6979</v>
      </c>
      <c r="F162" t="s">
        <v>6772</v>
      </c>
      <c r="G162" t="s">
        <v>7098</v>
      </c>
      <c r="H162"/>
      <c r="I162" t="s">
        <v>7099</v>
      </c>
    </row>
    <row r="163" spans="2:9" ht="12" customHeight="1">
      <c r="B163">
        <v>61</v>
      </c>
      <c r="C163" t="s">
        <v>7100</v>
      </c>
      <c r="D163" t="s">
        <v>1892</v>
      </c>
      <c r="E163" t="s">
        <v>6979</v>
      </c>
      <c r="F163"/>
      <c r="G163" t="s">
        <v>7101</v>
      </c>
      <c r="H163"/>
      <c r="I163" t="s">
        <v>6826</v>
      </c>
    </row>
    <row r="164" spans="2:9" ht="12" customHeight="1">
      <c r="B164">
        <v>62</v>
      </c>
      <c r="C164" t="str">
        <f>CONCATENATE("+2 ",'[4]TOP SHEET'!Y97)</f>
        <v xml:space="preserve">+2 Dagger  | 1d4 | Finesse, light, thrown (range 20/60) </v>
      </c>
      <c r="D164" t="s">
        <v>1892</v>
      </c>
      <c r="E164" t="s">
        <v>6979</v>
      </c>
      <c r="F164"/>
      <c r="G164" t="s">
        <v>7102</v>
      </c>
      <c r="H164"/>
      <c r="I164" t="s">
        <v>6830</v>
      </c>
    </row>
    <row r="165" spans="2:9" ht="12" customHeight="1">
      <c r="B165">
        <v>63</v>
      </c>
      <c r="C165" t="s">
        <v>7103</v>
      </c>
      <c r="D165" t="s">
        <v>6834</v>
      </c>
      <c r="E165" t="s">
        <v>6979</v>
      </c>
      <c r="F165" t="s">
        <v>6772</v>
      </c>
      <c r="G165" t="s">
        <v>7104</v>
      </c>
      <c r="H165"/>
      <c r="I165" t="s">
        <v>6734</v>
      </c>
    </row>
    <row r="166" spans="2:9" ht="12" customHeight="1">
      <c r="B166">
        <v>64</v>
      </c>
      <c r="C166" t="s">
        <v>7105</v>
      </c>
      <c r="D166" t="s">
        <v>6834</v>
      </c>
      <c r="E166" t="s">
        <v>6979</v>
      </c>
      <c r="F166"/>
      <c r="G166" t="s">
        <v>7106</v>
      </c>
      <c r="H166"/>
      <c r="I166" t="s">
        <v>6980</v>
      </c>
    </row>
    <row r="167" spans="2:9" ht="12" customHeight="1">
      <c r="B167">
        <v>65</v>
      </c>
      <c r="C167" t="s">
        <v>7107</v>
      </c>
      <c r="D167" t="s">
        <v>6834</v>
      </c>
      <c r="E167" t="s">
        <v>6979</v>
      </c>
      <c r="F167"/>
      <c r="G167" t="s">
        <v>7108</v>
      </c>
      <c r="H167"/>
      <c r="I167" t="s">
        <v>6844</v>
      </c>
    </row>
    <row r="168" spans="2:9" ht="12" customHeight="1">
      <c r="B168">
        <v>66</v>
      </c>
      <c r="C168" t="s">
        <v>7109</v>
      </c>
      <c r="D168" t="s">
        <v>6834</v>
      </c>
      <c r="E168" t="s">
        <v>6979</v>
      </c>
      <c r="F168" t="s">
        <v>6772</v>
      </c>
      <c r="G168" t="s">
        <v>7110</v>
      </c>
      <c r="H168"/>
      <c r="I168" t="s">
        <v>6847</v>
      </c>
    </row>
    <row r="169" spans="2:9" ht="12" customHeight="1">
      <c r="B169">
        <v>67</v>
      </c>
      <c r="C169" t="s">
        <v>7111</v>
      </c>
      <c r="D169" t="s">
        <v>6834</v>
      </c>
      <c r="E169" t="s">
        <v>6979</v>
      </c>
      <c r="F169" t="s">
        <v>6772</v>
      </c>
      <c r="G169" t="s">
        <v>7112</v>
      </c>
      <c r="H169"/>
      <c r="I169" t="s">
        <v>6847</v>
      </c>
    </row>
    <row r="170" spans="2:9" ht="12" customHeight="1">
      <c r="B170">
        <v>68</v>
      </c>
      <c r="C170" t="s">
        <v>7113</v>
      </c>
      <c r="D170" t="s">
        <v>6834</v>
      </c>
      <c r="E170" t="s">
        <v>6979</v>
      </c>
      <c r="F170" t="s">
        <v>6772</v>
      </c>
      <c r="G170" t="s">
        <v>7114</v>
      </c>
      <c r="H170"/>
      <c r="I170" t="s">
        <v>6847</v>
      </c>
    </row>
    <row r="171" spans="2:9" ht="12" customHeight="1">
      <c r="B171">
        <v>69</v>
      </c>
      <c r="C171" t="s">
        <v>7115</v>
      </c>
      <c r="D171" t="s">
        <v>6834</v>
      </c>
      <c r="E171" t="s">
        <v>6979</v>
      </c>
      <c r="F171" t="s">
        <v>6772</v>
      </c>
      <c r="G171" t="s">
        <v>7116</v>
      </c>
      <c r="H171"/>
      <c r="I171" t="s">
        <v>6847</v>
      </c>
    </row>
    <row r="172" spans="2:9" ht="12" customHeight="1">
      <c r="B172">
        <v>70</v>
      </c>
      <c r="C172" t="s">
        <v>7117</v>
      </c>
      <c r="D172" t="s">
        <v>6834</v>
      </c>
      <c r="E172" t="s">
        <v>6979</v>
      </c>
      <c r="F172"/>
      <c r="G172" t="s">
        <v>7118</v>
      </c>
      <c r="H172"/>
      <c r="I172" t="s">
        <v>6850</v>
      </c>
    </row>
    <row r="173" spans="2:9" ht="12" customHeight="1">
      <c r="B173">
        <v>71</v>
      </c>
      <c r="C173" t="s">
        <v>7119</v>
      </c>
      <c r="D173" t="s">
        <v>6834</v>
      </c>
      <c r="E173" t="s">
        <v>6979</v>
      </c>
      <c r="F173" t="s">
        <v>6772</v>
      </c>
      <c r="G173" t="s">
        <v>7120</v>
      </c>
      <c r="H173"/>
      <c r="I173" t="s">
        <v>6850</v>
      </c>
    </row>
    <row r="174" spans="2:9" ht="12" customHeight="1">
      <c r="B174">
        <v>72</v>
      </c>
      <c r="C174" t="s">
        <v>7121</v>
      </c>
      <c r="D174" t="s">
        <v>6834</v>
      </c>
      <c r="E174" t="s">
        <v>6979</v>
      </c>
      <c r="F174"/>
      <c r="G174" t="s">
        <v>7122</v>
      </c>
      <c r="H174"/>
      <c r="I174" t="s">
        <v>6850</v>
      </c>
    </row>
    <row r="175" spans="2:9" ht="12" customHeight="1">
      <c r="B175">
        <v>73</v>
      </c>
      <c r="C175" t="s">
        <v>7123</v>
      </c>
      <c r="D175" t="s">
        <v>6834</v>
      </c>
      <c r="E175" t="s">
        <v>6979</v>
      </c>
      <c r="F175"/>
      <c r="G175" t="s">
        <v>7124</v>
      </c>
      <c r="H175"/>
      <c r="I175" t="s">
        <v>6862</v>
      </c>
    </row>
    <row r="176" spans="2:9" ht="12" customHeight="1">
      <c r="B176">
        <v>74</v>
      </c>
      <c r="C176" t="s">
        <v>7125</v>
      </c>
      <c r="D176" t="s">
        <v>6834</v>
      </c>
      <c r="E176" t="s">
        <v>6979</v>
      </c>
      <c r="F176"/>
      <c r="G176" t="s">
        <v>7126</v>
      </c>
      <c r="H176"/>
      <c r="I176" t="s">
        <v>6866</v>
      </c>
    </row>
    <row r="177" spans="2:9" ht="12" customHeight="1">
      <c r="B177">
        <v>75</v>
      </c>
      <c r="C177" t="s">
        <v>7127</v>
      </c>
      <c r="D177" t="s">
        <v>6834</v>
      </c>
      <c r="E177" t="s">
        <v>6979</v>
      </c>
      <c r="F177"/>
      <c r="G177" t="s">
        <v>7128</v>
      </c>
      <c r="H177"/>
      <c r="I177" t="s">
        <v>6866</v>
      </c>
    </row>
    <row r="178" spans="2:9" ht="12" customHeight="1">
      <c r="B178">
        <v>76</v>
      </c>
      <c r="C178" t="s">
        <v>7129</v>
      </c>
      <c r="D178" t="s">
        <v>6834</v>
      </c>
      <c r="E178" t="s">
        <v>6979</v>
      </c>
      <c r="F178" t="s">
        <v>6772</v>
      </c>
      <c r="G178" t="s">
        <v>7130</v>
      </c>
      <c r="H178"/>
      <c r="I178" t="s">
        <v>6866</v>
      </c>
    </row>
    <row r="179" spans="2:9" ht="12" customHeight="1">
      <c r="B179">
        <v>77</v>
      </c>
      <c r="C179" t="s">
        <v>7131</v>
      </c>
      <c r="D179" t="s">
        <v>6834</v>
      </c>
      <c r="E179" t="s">
        <v>6979</v>
      </c>
      <c r="F179" t="s">
        <v>6772</v>
      </c>
      <c r="G179" t="s">
        <v>7132</v>
      </c>
      <c r="H179"/>
      <c r="I179" t="s">
        <v>6872</v>
      </c>
    </row>
    <row r="180" spans="2:9" ht="12" customHeight="1">
      <c r="B180">
        <v>78</v>
      </c>
      <c r="C180" t="s">
        <v>7133</v>
      </c>
      <c r="D180" t="s">
        <v>6834</v>
      </c>
      <c r="E180" t="s">
        <v>6979</v>
      </c>
      <c r="F180" t="s">
        <v>6772</v>
      </c>
      <c r="G180" t="s">
        <v>7134</v>
      </c>
      <c r="H180"/>
      <c r="I180" t="s">
        <v>6872</v>
      </c>
    </row>
    <row r="181" spans="2:9" ht="12" customHeight="1">
      <c r="B181">
        <v>79</v>
      </c>
      <c r="C181" t="s">
        <v>7135</v>
      </c>
      <c r="D181" t="s">
        <v>6834</v>
      </c>
      <c r="E181" t="s">
        <v>6979</v>
      </c>
      <c r="F181"/>
      <c r="G181" t="s">
        <v>7136</v>
      </c>
      <c r="H181"/>
      <c r="I181" t="s">
        <v>7137</v>
      </c>
    </row>
    <row r="182" spans="2:9" ht="12" customHeight="1">
      <c r="B182">
        <v>80</v>
      </c>
      <c r="C182" t="s">
        <v>7138</v>
      </c>
      <c r="D182" t="s">
        <v>6834</v>
      </c>
      <c r="E182" t="s">
        <v>6979</v>
      </c>
      <c r="F182"/>
      <c r="G182" t="s">
        <v>7139</v>
      </c>
      <c r="H182"/>
      <c r="I182" t="s">
        <v>7140</v>
      </c>
    </row>
    <row r="183" spans="2:9" ht="12" customHeight="1">
      <c r="B183">
        <v>81</v>
      </c>
      <c r="C183" t="s">
        <v>7141</v>
      </c>
      <c r="D183" t="s">
        <v>6834</v>
      </c>
      <c r="E183" t="s">
        <v>6979</v>
      </c>
      <c r="F183"/>
      <c r="G183" t="s">
        <v>7142</v>
      </c>
      <c r="H183"/>
      <c r="I183" t="s">
        <v>7143</v>
      </c>
    </row>
    <row r="184" spans="2:9" ht="12" customHeight="1">
      <c r="B184">
        <v>82</v>
      </c>
      <c r="C184" t="s">
        <v>7144</v>
      </c>
      <c r="D184" t="s">
        <v>6834</v>
      </c>
      <c r="E184" t="s">
        <v>6979</v>
      </c>
      <c r="F184"/>
      <c r="G184" t="s">
        <v>7145</v>
      </c>
      <c r="H184"/>
      <c r="I184" t="s">
        <v>7143</v>
      </c>
    </row>
    <row r="185" spans="2:9" ht="12" customHeight="1">
      <c r="B185">
        <v>83</v>
      </c>
      <c r="C185" t="s">
        <v>7146</v>
      </c>
      <c r="D185" t="s">
        <v>6834</v>
      </c>
      <c r="E185" t="s">
        <v>6979</v>
      </c>
      <c r="F185"/>
      <c r="G185" t="s">
        <v>7147</v>
      </c>
      <c r="H185"/>
      <c r="I185" t="s">
        <v>7143</v>
      </c>
    </row>
    <row r="186" spans="2:9" ht="12" customHeight="1">
      <c r="B186">
        <v>84</v>
      </c>
      <c r="C186" t="s">
        <v>7148</v>
      </c>
      <c r="D186" t="s">
        <v>6834</v>
      </c>
      <c r="E186" t="s">
        <v>6979</v>
      </c>
      <c r="F186"/>
      <c r="G186" t="s">
        <v>7149</v>
      </c>
      <c r="H186"/>
      <c r="I186" t="s">
        <v>7143</v>
      </c>
    </row>
    <row r="187" spans="2:9" ht="12" customHeight="1">
      <c r="B187">
        <v>85</v>
      </c>
      <c r="C187" t="s">
        <v>7150</v>
      </c>
      <c r="D187" t="s">
        <v>6834</v>
      </c>
      <c r="E187" t="s">
        <v>6979</v>
      </c>
      <c r="F187"/>
      <c r="G187" t="s">
        <v>7151</v>
      </c>
      <c r="H187"/>
      <c r="I187" t="s">
        <v>6906</v>
      </c>
    </row>
    <row r="188" spans="2:9" ht="12" customHeight="1">
      <c r="B188">
        <v>86</v>
      </c>
      <c r="C188" t="s">
        <v>7152</v>
      </c>
      <c r="D188" t="s">
        <v>6834</v>
      </c>
      <c r="E188" t="s">
        <v>6979</v>
      </c>
      <c r="F188"/>
      <c r="G188" t="s">
        <v>7153</v>
      </c>
      <c r="H188"/>
      <c r="I188" t="s">
        <v>6906</v>
      </c>
    </row>
    <row r="189" spans="2:9" ht="12" customHeight="1">
      <c r="B189">
        <v>87</v>
      </c>
      <c r="C189" t="s">
        <v>7154</v>
      </c>
      <c r="D189" t="s">
        <v>6834</v>
      </c>
      <c r="E189" t="s">
        <v>6979</v>
      </c>
      <c r="F189"/>
      <c r="G189"/>
      <c r="H189"/>
      <c r="I189" t="s">
        <v>6906</v>
      </c>
    </row>
    <row r="190" spans="2:9" ht="12" customHeight="1">
      <c r="B190">
        <v>88</v>
      </c>
      <c r="C190" t="s">
        <v>7155</v>
      </c>
      <c r="D190" t="s">
        <v>6834</v>
      </c>
      <c r="E190" t="s">
        <v>6979</v>
      </c>
      <c r="F190"/>
      <c r="G190"/>
      <c r="H190"/>
      <c r="I190" t="s">
        <v>6906</v>
      </c>
    </row>
    <row r="191" spans="2:9" ht="12" customHeight="1">
      <c r="B191">
        <v>89</v>
      </c>
      <c r="C191" t="s">
        <v>7156</v>
      </c>
      <c r="D191" t="s">
        <v>6834</v>
      </c>
      <c r="E191" t="s">
        <v>6979</v>
      </c>
      <c r="F191" t="s">
        <v>6772</v>
      </c>
      <c r="G191"/>
      <c r="H191"/>
      <c r="I191" t="s">
        <v>6913</v>
      </c>
    </row>
    <row r="192" spans="2:9" ht="12" customHeight="1">
      <c r="B192">
        <v>90</v>
      </c>
      <c r="C192" t="s">
        <v>7157</v>
      </c>
      <c r="D192" t="s">
        <v>6834</v>
      </c>
      <c r="E192" t="s">
        <v>6979</v>
      </c>
      <c r="F192" t="s">
        <v>6772</v>
      </c>
      <c r="G192"/>
      <c r="H192"/>
      <c r="I192" t="s">
        <v>6929</v>
      </c>
    </row>
    <row r="193" spans="2:9" ht="12" customHeight="1">
      <c r="B193">
        <v>91</v>
      </c>
      <c r="C193" t="s">
        <v>7158</v>
      </c>
      <c r="D193" t="s">
        <v>6834</v>
      </c>
      <c r="E193" t="s">
        <v>6979</v>
      </c>
      <c r="F193"/>
      <c r="G193"/>
      <c r="H193"/>
      <c r="I193" t="s">
        <v>6929</v>
      </c>
    </row>
    <row r="194" spans="2:9" ht="12" customHeight="1">
      <c r="B194">
        <v>92</v>
      </c>
      <c r="C194" t="s">
        <v>7159</v>
      </c>
      <c r="D194" t="s">
        <v>6834</v>
      </c>
      <c r="E194" t="s">
        <v>6979</v>
      </c>
      <c r="F194"/>
      <c r="G194"/>
      <c r="H194"/>
      <c r="I194" t="s">
        <v>6929</v>
      </c>
    </row>
    <row r="195" spans="2:9" ht="12" customHeight="1">
      <c r="B195">
        <v>93</v>
      </c>
      <c r="C195" t="s">
        <v>7160</v>
      </c>
      <c r="D195" t="s">
        <v>6834</v>
      </c>
      <c r="E195" t="s">
        <v>6979</v>
      </c>
      <c r="F195"/>
      <c r="G195"/>
      <c r="H195"/>
      <c r="I195" t="s">
        <v>6787</v>
      </c>
    </row>
    <row r="196" spans="2:9" ht="12" customHeight="1">
      <c r="B196">
        <v>94</v>
      </c>
      <c r="C196" t="s">
        <v>7161</v>
      </c>
      <c r="D196" t="s">
        <v>6834</v>
      </c>
      <c r="E196" t="s">
        <v>6979</v>
      </c>
      <c r="F196"/>
      <c r="G196"/>
      <c r="H196"/>
      <c r="I196" t="s">
        <v>6787</v>
      </c>
    </row>
    <row r="197" spans="2:9" ht="12" customHeight="1">
      <c r="B197">
        <v>95</v>
      </c>
      <c r="C197" t="s">
        <v>7162</v>
      </c>
      <c r="D197" t="s">
        <v>6834</v>
      </c>
      <c r="E197" t="s">
        <v>6979</v>
      </c>
      <c r="F197"/>
      <c r="G197"/>
      <c r="H197"/>
      <c r="I197" t="s">
        <v>6787</v>
      </c>
    </row>
    <row r="198" spans="2:9" ht="12" customHeight="1">
      <c r="B198">
        <v>96</v>
      </c>
      <c r="C198" t="s">
        <v>7163</v>
      </c>
      <c r="D198" t="s">
        <v>6834</v>
      </c>
      <c r="E198" t="s">
        <v>6979</v>
      </c>
      <c r="F198" t="s">
        <v>6772</v>
      </c>
      <c r="G198" t="s">
        <v>7164</v>
      </c>
      <c r="H198"/>
      <c r="I198" t="s">
        <v>6932</v>
      </c>
    </row>
    <row r="199" spans="2:9" ht="12" customHeight="1">
      <c r="B199">
        <v>97</v>
      </c>
      <c r="C199" t="s">
        <v>7165</v>
      </c>
      <c r="D199" t="s">
        <v>6834</v>
      </c>
      <c r="E199" t="s">
        <v>6979</v>
      </c>
      <c r="F199" t="s">
        <v>6772</v>
      </c>
      <c r="G199" t="s">
        <v>7164</v>
      </c>
      <c r="H199"/>
      <c r="I199" t="s">
        <v>6932</v>
      </c>
    </row>
    <row r="200" spans="2:9" ht="12" customHeight="1">
      <c r="B200">
        <v>98</v>
      </c>
      <c r="C200" t="s">
        <v>7166</v>
      </c>
      <c r="D200" t="s">
        <v>6834</v>
      </c>
      <c r="E200" t="s">
        <v>6979</v>
      </c>
      <c r="F200" t="s">
        <v>6772</v>
      </c>
      <c r="G200"/>
      <c r="H200"/>
      <c r="I200" t="s">
        <v>6932</v>
      </c>
    </row>
    <row r="201" spans="2:9" ht="12" customHeight="1">
      <c r="B201">
        <v>99</v>
      </c>
      <c r="C201" t="s">
        <v>7167</v>
      </c>
      <c r="D201" t="s">
        <v>6834</v>
      </c>
      <c r="E201" t="s">
        <v>6979</v>
      </c>
      <c r="F201" t="s">
        <v>6772</v>
      </c>
      <c r="G201"/>
      <c r="H201"/>
      <c r="I201" t="s">
        <v>6932</v>
      </c>
    </row>
    <row r="202" spans="2:9" ht="12" customHeight="1">
      <c r="B202">
        <v>100</v>
      </c>
      <c r="C202" t="s">
        <v>7168</v>
      </c>
      <c r="D202" t="s">
        <v>6834</v>
      </c>
      <c r="E202" t="s">
        <v>6979</v>
      </c>
      <c r="F202" t="s">
        <v>6772</v>
      </c>
      <c r="G202"/>
      <c r="H202"/>
      <c r="I202" t="s">
        <v>6932</v>
      </c>
    </row>
    <row r="203" spans="2:9" ht="12" customHeight="1">
      <c r="B203">
        <v>101</v>
      </c>
      <c r="C203" t="s">
        <v>7169</v>
      </c>
      <c r="D203" t="s">
        <v>6834</v>
      </c>
      <c r="E203" t="s">
        <v>6979</v>
      </c>
      <c r="F203" t="s">
        <v>6772</v>
      </c>
      <c r="G203"/>
      <c r="H203"/>
      <c r="I203" t="s">
        <v>6932</v>
      </c>
    </row>
    <row r="204" spans="2:9" ht="12" customHeight="1">
      <c r="B204">
        <v>102</v>
      </c>
      <c r="C204" t="s">
        <v>7170</v>
      </c>
      <c r="D204" t="s">
        <v>6834</v>
      </c>
      <c r="E204" t="s">
        <v>6979</v>
      </c>
      <c r="F204"/>
      <c r="G204"/>
      <c r="H204"/>
      <c r="I204" t="s">
        <v>7171</v>
      </c>
    </row>
    <row r="205" spans="2:9" ht="12" customHeight="1">
      <c r="B205">
        <v>103</v>
      </c>
      <c r="C205" t="s">
        <v>7172</v>
      </c>
      <c r="D205" t="s">
        <v>6834</v>
      </c>
      <c r="E205" t="s">
        <v>6979</v>
      </c>
      <c r="F205" t="s">
        <v>6772</v>
      </c>
      <c r="G205"/>
      <c r="H205"/>
      <c r="I205" t="s">
        <v>7094</v>
      </c>
    </row>
    <row r="206" spans="2:9" ht="12" customHeight="1">
      <c r="B206">
        <v>104</v>
      </c>
      <c r="C206" t="s">
        <v>7173</v>
      </c>
      <c r="D206" t="s">
        <v>6834</v>
      </c>
      <c r="E206" t="s">
        <v>6979</v>
      </c>
      <c r="F206"/>
      <c r="G206"/>
      <c r="H206"/>
      <c r="I206" t="s">
        <v>6740</v>
      </c>
    </row>
    <row r="207" spans="2:9" ht="12" customHeight="1">
      <c r="B207">
        <v>105</v>
      </c>
      <c r="C207" t="s">
        <v>7174</v>
      </c>
      <c r="D207" t="s">
        <v>6834</v>
      </c>
      <c r="E207" t="s">
        <v>6979</v>
      </c>
      <c r="F207" t="s">
        <v>6772</v>
      </c>
      <c r="G207" t="s">
        <v>7175</v>
      </c>
      <c r="H207"/>
      <c r="I207" t="s">
        <v>6740</v>
      </c>
    </row>
    <row r="208" spans="2:9" ht="12" customHeight="1">
      <c r="B208">
        <v>106</v>
      </c>
      <c r="C208" t="s">
        <v>7176</v>
      </c>
      <c r="D208" t="s">
        <v>6834</v>
      </c>
      <c r="E208" t="s">
        <v>6979</v>
      </c>
      <c r="F208"/>
      <c r="G208"/>
      <c r="H208"/>
      <c r="I208" t="s">
        <v>6750</v>
      </c>
    </row>
    <row r="209" spans="2:9" ht="12" customHeight="1">
      <c r="B209">
        <v>107</v>
      </c>
      <c r="C209" t="s">
        <v>7177</v>
      </c>
      <c r="D209" t="s">
        <v>6834</v>
      </c>
      <c r="E209" t="s">
        <v>6979</v>
      </c>
      <c r="F209"/>
      <c r="G209"/>
      <c r="H209"/>
      <c r="I209" t="s">
        <v>6954</v>
      </c>
    </row>
    <row r="210" spans="2:9" ht="12" customHeight="1">
      <c r="B210">
        <v>108</v>
      </c>
      <c r="C210" t="s">
        <v>7178</v>
      </c>
      <c r="D210" t="s">
        <v>6834</v>
      </c>
      <c r="E210" t="s">
        <v>6979</v>
      </c>
      <c r="F210"/>
      <c r="G210"/>
      <c r="H210"/>
      <c r="I210" t="s">
        <v>6766</v>
      </c>
    </row>
    <row r="211" spans="2:9" ht="12" customHeight="1">
      <c r="B211">
        <v>109</v>
      </c>
      <c r="C211" t="s">
        <v>7179</v>
      </c>
      <c r="D211" t="s">
        <v>6834</v>
      </c>
      <c r="E211" t="s">
        <v>6979</v>
      </c>
      <c r="F211" t="s">
        <v>6772</v>
      </c>
      <c r="G211"/>
      <c r="H211"/>
      <c r="I211" t="s">
        <v>6780</v>
      </c>
    </row>
    <row r="212" spans="2:9" ht="12" customHeight="1">
      <c r="B212">
        <v>110</v>
      </c>
      <c r="C212" t="s">
        <v>7180</v>
      </c>
      <c r="D212" t="s">
        <v>6834</v>
      </c>
      <c r="E212" t="s">
        <v>6979</v>
      </c>
      <c r="F212"/>
      <c r="G212"/>
      <c r="H212"/>
      <c r="I212" t="s">
        <v>6790</v>
      </c>
    </row>
    <row r="213" spans="2:9" ht="12" customHeight="1">
      <c r="B213">
        <v>111</v>
      </c>
      <c r="C213" t="s">
        <v>7181</v>
      </c>
      <c r="D213" t="s">
        <v>6834</v>
      </c>
      <c r="E213" t="s">
        <v>6979</v>
      </c>
      <c r="F213"/>
      <c r="G213"/>
      <c r="H213"/>
      <c r="I213" t="s">
        <v>6973</v>
      </c>
    </row>
    <row r="214" spans="2:9" ht="12" customHeight="1">
      <c r="B214">
        <v>112</v>
      </c>
      <c r="C214" t="s">
        <v>7182</v>
      </c>
      <c r="D214" t="s">
        <v>6834</v>
      </c>
      <c r="E214" t="s">
        <v>6979</v>
      </c>
      <c r="F214" t="s">
        <v>6772</v>
      </c>
      <c r="G214"/>
      <c r="H214"/>
      <c r="I214" t="s">
        <v>6978</v>
      </c>
    </row>
    <row r="215" spans="2:9" ht="12" customHeight="1">
      <c r="B215">
        <v>1</v>
      </c>
      <c r="C215" t="s">
        <v>7183</v>
      </c>
      <c r="D215" t="s">
        <v>6771</v>
      </c>
      <c r="E215" t="s">
        <v>7184</v>
      </c>
      <c r="F215" t="s">
        <v>6772</v>
      </c>
      <c r="G215"/>
      <c r="H215"/>
      <c r="I215" t="s">
        <v>6774</v>
      </c>
    </row>
    <row r="216" spans="2:9" ht="12" customHeight="1">
      <c r="B216">
        <v>2</v>
      </c>
      <c r="C216" t="s">
        <v>7185</v>
      </c>
      <c r="D216" t="s">
        <v>6771</v>
      </c>
      <c r="E216" t="s">
        <v>7184</v>
      </c>
      <c r="F216" t="s">
        <v>6772</v>
      </c>
      <c r="G216"/>
      <c r="H216"/>
      <c r="I216" t="s">
        <v>7036</v>
      </c>
    </row>
    <row r="217" spans="2:9" ht="12" customHeight="1">
      <c r="B217">
        <v>3</v>
      </c>
      <c r="C217" t="s">
        <v>7186</v>
      </c>
      <c r="D217" t="s">
        <v>6771</v>
      </c>
      <c r="E217" t="s">
        <v>7184</v>
      </c>
      <c r="F217" t="s">
        <v>6772</v>
      </c>
      <c r="G217"/>
      <c r="H217"/>
      <c r="I217" t="s">
        <v>6780</v>
      </c>
    </row>
    <row r="218" spans="2:9" ht="12" customHeight="1">
      <c r="B218">
        <v>4</v>
      </c>
      <c r="C218" t="s">
        <v>7187</v>
      </c>
      <c r="D218" t="s">
        <v>6719</v>
      </c>
      <c r="E218" t="s">
        <v>7184</v>
      </c>
      <c r="F218"/>
      <c r="G218"/>
      <c r="H218"/>
      <c r="I218" t="s">
        <v>6750</v>
      </c>
    </row>
    <row r="219" spans="2:9" ht="12" customHeight="1">
      <c r="B219">
        <v>5</v>
      </c>
      <c r="C219" t="s">
        <v>7188</v>
      </c>
      <c r="D219" t="s">
        <v>6719</v>
      </c>
      <c r="E219" t="s">
        <v>7184</v>
      </c>
      <c r="F219"/>
      <c r="G219"/>
      <c r="H219"/>
      <c r="I219" t="s">
        <v>6721</v>
      </c>
    </row>
    <row r="220" spans="2:9" ht="12" customHeight="1">
      <c r="B220">
        <v>6</v>
      </c>
      <c r="C220" t="s">
        <v>7189</v>
      </c>
      <c r="D220" t="s">
        <v>6719</v>
      </c>
      <c r="E220" t="s">
        <v>7184</v>
      </c>
      <c r="F220"/>
      <c r="G220"/>
      <c r="H220"/>
      <c r="I220" t="s">
        <v>6721</v>
      </c>
    </row>
    <row r="221" spans="2:9" ht="12" customHeight="1">
      <c r="B221">
        <v>7</v>
      </c>
      <c r="C221" t="s">
        <v>7190</v>
      </c>
      <c r="D221" t="s">
        <v>6719</v>
      </c>
      <c r="E221" t="s">
        <v>7184</v>
      </c>
      <c r="F221"/>
      <c r="G221"/>
      <c r="H221"/>
      <c r="I221" t="s">
        <v>6766</v>
      </c>
    </row>
    <row r="222" spans="2:9" ht="12" customHeight="1">
      <c r="B222">
        <v>8</v>
      </c>
      <c r="C222" t="s">
        <v>7191</v>
      </c>
      <c r="D222" t="s">
        <v>6719</v>
      </c>
      <c r="E222" t="s">
        <v>7184</v>
      </c>
      <c r="F222"/>
      <c r="G222" t="s">
        <v>7192</v>
      </c>
      <c r="H222"/>
      <c r="I222" t="s">
        <v>6766</v>
      </c>
    </row>
    <row r="223" spans="2:9" ht="12" customHeight="1">
      <c r="B223">
        <v>9</v>
      </c>
      <c r="C223" t="s">
        <v>7193</v>
      </c>
      <c r="D223" t="s">
        <v>6719</v>
      </c>
      <c r="E223" t="s">
        <v>7184</v>
      </c>
      <c r="F223"/>
      <c r="G223" t="s">
        <v>7194</v>
      </c>
      <c r="H223"/>
      <c r="I223" t="s">
        <v>6766</v>
      </c>
    </row>
    <row r="224" spans="2:9" ht="12" customHeight="1">
      <c r="B224">
        <v>10</v>
      </c>
      <c r="C224" t="s">
        <v>7195</v>
      </c>
      <c r="D224" t="s">
        <v>6719</v>
      </c>
      <c r="E224" t="s">
        <v>7184</v>
      </c>
      <c r="F224"/>
      <c r="G224" t="s">
        <v>7196</v>
      </c>
      <c r="H224"/>
      <c r="I224" t="s">
        <v>6721</v>
      </c>
    </row>
    <row r="225" spans="2:9" ht="12" customHeight="1">
      <c r="B225">
        <v>11</v>
      </c>
      <c r="C225" t="s">
        <v>7197</v>
      </c>
      <c r="D225" t="s">
        <v>6719</v>
      </c>
      <c r="E225" t="s">
        <v>7184</v>
      </c>
      <c r="F225"/>
      <c r="G225" t="s">
        <v>7198</v>
      </c>
      <c r="H225"/>
      <c r="I225" t="s">
        <v>6766</v>
      </c>
    </row>
    <row r="226" spans="2:9" ht="12" customHeight="1">
      <c r="B226">
        <v>12</v>
      </c>
      <c r="C226" t="s">
        <v>7199</v>
      </c>
      <c r="D226" t="s">
        <v>6249</v>
      </c>
      <c r="E226" t="s">
        <v>7184</v>
      </c>
      <c r="F226" t="s">
        <v>6772</v>
      </c>
      <c r="G226"/>
      <c r="H226"/>
      <c r="I226" t="s">
        <v>6962</v>
      </c>
    </row>
    <row r="227" spans="2:9" ht="12" customHeight="1">
      <c r="B227">
        <v>13</v>
      </c>
      <c r="C227" t="s">
        <v>7200</v>
      </c>
      <c r="D227" t="s">
        <v>6249</v>
      </c>
      <c r="E227" t="s">
        <v>7184</v>
      </c>
      <c r="F227" t="s">
        <v>6772</v>
      </c>
      <c r="G227"/>
      <c r="H227"/>
      <c r="I227" t="s">
        <v>7201</v>
      </c>
    </row>
    <row r="228" spans="2:9" ht="12" customHeight="1">
      <c r="B228">
        <v>14</v>
      </c>
      <c r="C228" t="s">
        <v>7202</v>
      </c>
      <c r="D228" t="s">
        <v>6249</v>
      </c>
      <c r="E228" t="s">
        <v>7184</v>
      </c>
      <c r="F228"/>
      <c r="G228"/>
      <c r="H228"/>
      <c r="I228" t="s">
        <v>6790</v>
      </c>
    </row>
    <row r="229" spans="2:9" ht="12" customHeight="1">
      <c r="B229">
        <v>15</v>
      </c>
      <c r="C229" t="s">
        <v>7203</v>
      </c>
      <c r="D229" t="s">
        <v>6249</v>
      </c>
      <c r="E229" t="s">
        <v>7184</v>
      </c>
      <c r="F229" t="s">
        <v>6772</v>
      </c>
      <c r="G229" t="s">
        <v>1707</v>
      </c>
      <c r="H229"/>
      <c r="I229" t="s">
        <v>6790</v>
      </c>
    </row>
    <row r="230" spans="2:9" ht="12" customHeight="1">
      <c r="B230">
        <v>16</v>
      </c>
      <c r="C230" t="s">
        <v>7204</v>
      </c>
      <c r="D230" t="s">
        <v>6727</v>
      </c>
      <c r="E230" t="s">
        <v>7184</v>
      </c>
      <c r="F230"/>
      <c r="G230"/>
      <c r="H230"/>
      <c r="I230" t="s">
        <v>6728</v>
      </c>
    </row>
    <row r="231" spans="2:9" ht="12" customHeight="1">
      <c r="B231">
        <v>17</v>
      </c>
      <c r="C231" t="s">
        <v>7205</v>
      </c>
      <c r="D231" t="s">
        <v>6727</v>
      </c>
      <c r="E231" t="s">
        <v>7184</v>
      </c>
      <c r="F231"/>
      <c r="G231"/>
      <c r="H231"/>
      <c r="I231" t="s">
        <v>6728</v>
      </c>
    </row>
    <row r="232" spans="2:9" ht="12" customHeight="1">
      <c r="B232">
        <v>18</v>
      </c>
      <c r="C232" t="s">
        <v>7206</v>
      </c>
      <c r="D232" t="s">
        <v>6727</v>
      </c>
      <c r="E232" t="s">
        <v>7184</v>
      </c>
      <c r="F232"/>
      <c r="G232"/>
      <c r="H232"/>
      <c r="I232" t="s">
        <v>6728</v>
      </c>
    </row>
    <row r="233" spans="2:9" ht="12" customHeight="1">
      <c r="B233">
        <v>19</v>
      </c>
      <c r="C233" t="s">
        <v>7207</v>
      </c>
      <c r="D233" t="s">
        <v>6250</v>
      </c>
      <c r="E233" t="s">
        <v>7184</v>
      </c>
      <c r="F233" t="s">
        <v>6772</v>
      </c>
      <c r="G233" t="s">
        <v>7208</v>
      </c>
      <c r="H233"/>
      <c r="I233" t="s">
        <v>7058</v>
      </c>
    </row>
    <row r="234" spans="2:9" ht="12" customHeight="1">
      <c r="B234">
        <v>20</v>
      </c>
      <c r="C234" t="s">
        <v>7209</v>
      </c>
      <c r="D234" t="s">
        <v>6250</v>
      </c>
      <c r="E234" t="s">
        <v>7184</v>
      </c>
      <c r="F234" t="s">
        <v>6772</v>
      </c>
      <c r="G234" t="s">
        <v>7208</v>
      </c>
      <c r="H234"/>
      <c r="I234" t="s">
        <v>7059</v>
      </c>
    </row>
    <row r="235" spans="2:9" ht="12" customHeight="1">
      <c r="B235">
        <v>21</v>
      </c>
      <c r="C235" t="s">
        <v>7210</v>
      </c>
      <c r="D235" t="s">
        <v>6250</v>
      </c>
      <c r="E235" t="s">
        <v>7184</v>
      </c>
      <c r="F235" t="s">
        <v>6772</v>
      </c>
      <c r="G235" t="s">
        <v>7211</v>
      </c>
      <c r="H235"/>
      <c r="I235" t="s">
        <v>7059</v>
      </c>
    </row>
    <row r="236" spans="2:9" ht="12" customHeight="1">
      <c r="B236">
        <v>22</v>
      </c>
      <c r="C236" t="s">
        <v>7212</v>
      </c>
      <c r="D236" t="s">
        <v>6250</v>
      </c>
      <c r="E236" t="s">
        <v>7184</v>
      </c>
      <c r="F236" t="s">
        <v>6772</v>
      </c>
      <c r="G236"/>
      <c r="H236"/>
      <c r="I236" t="s">
        <v>6795</v>
      </c>
    </row>
    <row r="237" spans="2:9" ht="12" customHeight="1">
      <c r="B237">
        <v>23</v>
      </c>
      <c r="C237" t="s">
        <v>7213</v>
      </c>
      <c r="D237" t="s">
        <v>6250</v>
      </c>
      <c r="E237" t="s">
        <v>7184</v>
      </c>
      <c r="F237" t="s">
        <v>6772</v>
      </c>
      <c r="G237"/>
      <c r="H237"/>
      <c r="I237" t="s">
        <v>6798</v>
      </c>
    </row>
    <row r="238" spans="2:9" ht="12" customHeight="1">
      <c r="B238">
        <v>24</v>
      </c>
      <c r="C238" t="s">
        <v>7214</v>
      </c>
      <c r="D238" t="s">
        <v>6251</v>
      </c>
      <c r="E238" t="s">
        <v>7184</v>
      </c>
      <c r="F238" t="s">
        <v>6772</v>
      </c>
      <c r="G238" t="s">
        <v>7215</v>
      </c>
      <c r="H238"/>
      <c r="I238" t="s">
        <v>6801</v>
      </c>
    </row>
    <row r="239" spans="2:9" ht="12" customHeight="1">
      <c r="B239">
        <v>25</v>
      </c>
      <c r="C239" t="s">
        <v>7216</v>
      </c>
      <c r="D239" t="s">
        <v>6251</v>
      </c>
      <c r="E239" t="s">
        <v>7184</v>
      </c>
      <c r="F239" t="s">
        <v>6772</v>
      </c>
      <c r="G239" t="s">
        <v>7215</v>
      </c>
      <c r="H239"/>
      <c r="I239" t="s">
        <v>6810</v>
      </c>
    </row>
    <row r="240" spans="2:9" ht="12" customHeight="1">
      <c r="B240">
        <v>26</v>
      </c>
      <c r="C240" t="s">
        <v>7217</v>
      </c>
      <c r="D240" t="s">
        <v>1892</v>
      </c>
      <c r="E240" t="s">
        <v>7184</v>
      </c>
      <c r="F240"/>
      <c r="G240" t="s">
        <v>7218</v>
      </c>
      <c r="H240"/>
      <c r="I240" t="s">
        <v>6734</v>
      </c>
    </row>
    <row r="241" spans="2:9" ht="12" customHeight="1">
      <c r="B241">
        <v>27</v>
      </c>
      <c r="C241" t="s">
        <v>7219</v>
      </c>
      <c r="D241" t="s">
        <v>1892</v>
      </c>
      <c r="E241" t="s">
        <v>7184</v>
      </c>
      <c r="F241"/>
      <c r="G241" t="s">
        <v>7220</v>
      </c>
      <c r="H241"/>
      <c r="I241" t="s">
        <v>6980</v>
      </c>
    </row>
    <row r="242" spans="2:9" ht="12" customHeight="1">
      <c r="B242">
        <v>28</v>
      </c>
      <c r="C242" t="s">
        <v>7221</v>
      </c>
      <c r="D242" t="s">
        <v>1892</v>
      </c>
      <c r="E242" t="s">
        <v>7184</v>
      </c>
      <c r="F242" t="s">
        <v>6772</v>
      </c>
      <c r="G242" t="s">
        <v>7222</v>
      </c>
      <c r="H242"/>
      <c r="I242" t="s">
        <v>6878</v>
      </c>
    </row>
    <row r="243" spans="2:9" ht="12" customHeight="1">
      <c r="B243">
        <v>29</v>
      </c>
      <c r="C243" t="s">
        <v>7223</v>
      </c>
      <c r="D243" t="s">
        <v>1892</v>
      </c>
      <c r="E243" t="s">
        <v>7184</v>
      </c>
      <c r="F243" t="s">
        <v>6772</v>
      </c>
      <c r="G243" t="s">
        <v>7224</v>
      </c>
      <c r="H243"/>
      <c r="I243" t="s">
        <v>6894</v>
      </c>
    </row>
    <row r="244" spans="2:9" ht="12" customHeight="1">
      <c r="B244">
        <v>30</v>
      </c>
      <c r="C244" t="s">
        <v>7225</v>
      </c>
      <c r="D244" t="s">
        <v>1892</v>
      </c>
      <c r="E244" t="s">
        <v>7184</v>
      </c>
      <c r="F244" t="s">
        <v>6772</v>
      </c>
      <c r="G244" t="s">
        <v>7222</v>
      </c>
      <c r="H244"/>
      <c r="I244" t="s">
        <v>6909</v>
      </c>
    </row>
    <row r="245" spans="2:9" ht="12" customHeight="1">
      <c r="B245">
        <v>31</v>
      </c>
      <c r="C245" t="s">
        <v>7226</v>
      </c>
      <c r="D245" t="s">
        <v>1892</v>
      </c>
      <c r="E245" t="s">
        <v>7184</v>
      </c>
      <c r="F245" t="s">
        <v>6772</v>
      </c>
      <c r="G245" t="s">
        <v>7222</v>
      </c>
      <c r="H245"/>
      <c r="I245" t="s">
        <v>6998</v>
      </c>
    </row>
    <row r="246" spans="2:9" ht="12" customHeight="1">
      <c r="B246">
        <v>32</v>
      </c>
      <c r="C246" t="s">
        <v>7227</v>
      </c>
      <c r="D246" t="s">
        <v>1892</v>
      </c>
      <c r="E246" t="s">
        <v>7184</v>
      </c>
      <c r="F246" t="s">
        <v>6772</v>
      </c>
      <c r="G246" t="s">
        <v>1847</v>
      </c>
      <c r="H246"/>
      <c r="I246" t="s">
        <v>6998</v>
      </c>
    </row>
    <row r="247" spans="2:9" ht="12" customHeight="1">
      <c r="B247">
        <v>33</v>
      </c>
      <c r="C247" t="s">
        <v>7228</v>
      </c>
      <c r="D247" t="s">
        <v>1892</v>
      </c>
      <c r="E247" t="s">
        <v>7184</v>
      </c>
      <c r="F247" t="s">
        <v>6772</v>
      </c>
      <c r="G247" t="s">
        <v>7229</v>
      </c>
      <c r="H247"/>
      <c r="I247" t="s">
        <v>6744</v>
      </c>
    </row>
    <row r="248" spans="2:9" ht="12" customHeight="1">
      <c r="B248">
        <v>34</v>
      </c>
      <c r="C248" t="s">
        <v>7230</v>
      </c>
      <c r="D248" t="s">
        <v>1892</v>
      </c>
      <c r="E248" t="s">
        <v>7184</v>
      </c>
      <c r="F248" t="s">
        <v>6772</v>
      </c>
      <c r="G248" t="s">
        <v>7231</v>
      </c>
      <c r="H248"/>
      <c r="I248" t="s">
        <v>6822</v>
      </c>
    </row>
    <row r="249" spans="2:9" ht="12" customHeight="1">
      <c r="B249">
        <v>35</v>
      </c>
      <c r="C249" t="s">
        <v>7232</v>
      </c>
      <c r="D249" t="s">
        <v>1892</v>
      </c>
      <c r="E249" t="s">
        <v>7184</v>
      </c>
      <c r="F249"/>
      <c r="G249"/>
      <c r="H249"/>
      <c r="I249" t="s">
        <v>6830</v>
      </c>
    </row>
    <row r="250" spans="2:9" ht="12" customHeight="1">
      <c r="B250">
        <v>36</v>
      </c>
      <c r="C250" t="s">
        <v>7233</v>
      </c>
      <c r="D250" t="s">
        <v>5784</v>
      </c>
      <c r="E250" t="s">
        <v>7184</v>
      </c>
      <c r="F250" t="s">
        <v>6772</v>
      </c>
      <c r="G250" t="s">
        <v>1794</v>
      </c>
      <c r="H250"/>
      <c r="I250" t="s">
        <v>7234</v>
      </c>
    </row>
    <row r="251" spans="2:9" ht="12" customHeight="1">
      <c r="B251">
        <v>37</v>
      </c>
      <c r="C251" t="s">
        <v>7235</v>
      </c>
      <c r="D251" t="s">
        <v>5784</v>
      </c>
      <c r="E251" t="s">
        <v>7184</v>
      </c>
      <c r="F251"/>
      <c r="G251"/>
      <c r="H251"/>
      <c r="I251" t="s">
        <v>6980</v>
      </c>
    </row>
    <row r="252" spans="2:9" ht="12" customHeight="1">
      <c r="B252">
        <v>38</v>
      </c>
      <c r="C252" t="s">
        <v>7236</v>
      </c>
      <c r="D252" t="s">
        <v>5784</v>
      </c>
      <c r="E252" t="s">
        <v>7184</v>
      </c>
      <c r="F252" t="s">
        <v>6772</v>
      </c>
      <c r="G252" t="s">
        <v>7237</v>
      </c>
      <c r="H252"/>
      <c r="I252" t="s">
        <v>7140</v>
      </c>
    </row>
    <row r="253" spans="2:9" ht="12" customHeight="1">
      <c r="B253">
        <v>39</v>
      </c>
      <c r="C253" t="s">
        <v>7238</v>
      </c>
      <c r="D253" t="s">
        <v>5784</v>
      </c>
      <c r="E253" t="s">
        <v>7184</v>
      </c>
      <c r="F253" t="s">
        <v>6772</v>
      </c>
      <c r="G253" t="s">
        <v>1916</v>
      </c>
      <c r="H253"/>
      <c r="I253" t="s">
        <v>7140</v>
      </c>
    </row>
    <row r="254" spans="2:9" ht="12" customHeight="1">
      <c r="B254">
        <v>40</v>
      </c>
      <c r="C254" t="s">
        <v>7239</v>
      </c>
      <c r="D254" t="s">
        <v>5784</v>
      </c>
      <c r="E254" t="s">
        <v>7184</v>
      </c>
      <c r="F254"/>
      <c r="G254" t="s">
        <v>7237</v>
      </c>
      <c r="H254"/>
      <c r="I254" t="s">
        <v>6894</v>
      </c>
    </row>
    <row r="255" spans="2:9" ht="12" customHeight="1">
      <c r="B255">
        <v>41</v>
      </c>
      <c r="C255" t="s">
        <v>7240</v>
      </c>
      <c r="D255" t="s">
        <v>5784</v>
      </c>
      <c r="E255" t="s">
        <v>7184</v>
      </c>
      <c r="F255"/>
      <c r="G255" t="s">
        <v>1794</v>
      </c>
      <c r="H255"/>
      <c r="I255" t="s">
        <v>6728</v>
      </c>
    </row>
    <row r="256" spans="2:9" ht="12" customHeight="1">
      <c r="B256">
        <v>42</v>
      </c>
      <c r="C256" t="s">
        <v>7241</v>
      </c>
      <c r="D256" t="s">
        <v>5784</v>
      </c>
      <c r="E256" t="s">
        <v>7184</v>
      </c>
      <c r="F256" t="s">
        <v>6772</v>
      </c>
      <c r="G256" t="s">
        <v>1794</v>
      </c>
      <c r="H256"/>
      <c r="I256" t="s">
        <v>7058</v>
      </c>
    </row>
    <row r="257" spans="2:9" ht="12" customHeight="1">
      <c r="B257">
        <v>43</v>
      </c>
      <c r="C257" t="s">
        <v>7242</v>
      </c>
      <c r="D257" t="s">
        <v>6834</v>
      </c>
      <c r="E257" t="s">
        <v>7184</v>
      </c>
      <c r="F257" t="s">
        <v>6772</v>
      </c>
      <c r="G257"/>
      <c r="H257"/>
      <c r="I257" t="s">
        <v>6734</v>
      </c>
    </row>
    <row r="258" spans="2:9" ht="12" customHeight="1">
      <c r="B258">
        <v>44</v>
      </c>
      <c r="C258" t="s">
        <v>7243</v>
      </c>
      <c r="D258" t="s">
        <v>6834</v>
      </c>
      <c r="E258" t="s">
        <v>7184</v>
      </c>
      <c r="F258"/>
      <c r="G258"/>
      <c r="H258"/>
      <c r="I258" t="s">
        <v>6841</v>
      </c>
    </row>
    <row r="259" spans="2:9" ht="12" customHeight="1">
      <c r="B259">
        <v>45</v>
      </c>
      <c r="C259" t="s">
        <v>7244</v>
      </c>
      <c r="D259" t="s">
        <v>6834</v>
      </c>
      <c r="E259" t="s">
        <v>7184</v>
      </c>
      <c r="F259" t="s">
        <v>6772</v>
      </c>
      <c r="G259"/>
      <c r="H259"/>
      <c r="I259" t="s">
        <v>6847</v>
      </c>
    </row>
    <row r="260" spans="2:9" ht="12" customHeight="1">
      <c r="B260">
        <v>46</v>
      </c>
      <c r="C260" t="s">
        <v>7245</v>
      </c>
      <c r="D260" t="s">
        <v>6834</v>
      </c>
      <c r="E260" t="s">
        <v>7184</v>
      </c>
      <c r="F260" t="s">
        <v>6772</v>
      </c>
      <c r="G260"/>
      <c r="H260"/>
      <c r="I260" t="s">
        <v>6847</v>
      </c>
    </row>
    <row r="261" spans="2:9" ht="12" customHeight="1">
      <c r="B261">
        <v>47</v>
      </c>
      <c r="C261" t="s">
        <v>7246</v>
      </c>
      <c r="D261" t="s">
        <v>6834</v>
      </c>
      <c r="E261" t="s">
        <v>7184</v>
      </c>
      <c r="F261" t="s">
        <v>6772</v>
      </c>
      <c r="G261"/>
      <c r="H261"/>
      <c r="I261" t="s">
        <v>6847</v>
      </c>
    </row>
    <row r="262" spans="2:9" ht="12" customHeight="1">
      <c r="B262">
        <v>48</v>
      </c>
      <c r="C262" t="s">
        <v>7247</v>
      </c>
      <c r="D262" t="s">
        <v>6834</v>
      </c>
      <c r="E262" t="s">
        <v>7184</v>
      </c>
      <c r="F262" t="s">
        <v>6772</v>
      </c>
      <c r="G262"/>
      <c r="H262"/>
      <c r="I262" t="s">
        <v>6862</v>
      </c>
    </row>
    <row r="263" spans="2:9" ht="12" customHeight="1">
      <c r="B263">
        <v>49</v>
      </c>
      <c r="C263" t="s">
        <v>7248</v>
      </c>
      <c r="D263" t="s">
        <v>6834</v>
      </c>
      <c r="E263" t="s">
        <v>7184</v>
      </c>
      <c r="F263"/>
      <c r="G263"/>
      <c r="H263"/>
      <c r="I263" t="s">
        <v>6862</v>
      </c>
    </row>
    <row r="264" spans="2:9" ht="12" customHeight="1">
      <c r="B264">
        <v>50</v>
      </c>
      <c r="C264" t="s">
        <v>7249</v>
      </c>
      <c r="D264" t="s">
        <v>6834</v>
      </c>
      <c r="E264" t="s">
        <v>7184</v>
      </c>
      <c r="F264" t="s">
        <v>6772</v>
      </c>
      <c r="G264"/>
      <c r="H264"/>
      <c r="I264" t="s">
        <v>6866</v>
      </c>
    </row>
    <row r="265" spans="2:9" ht="12" customHeight="1">
      <c r="B265">
        <v>51</v>
      </c>
      <c r="C265" t="s">
        <v>7250</v>
      </c>
      <c r="D265" t="s">
        <v>6834</v>
      </c>
      <c r="E265" t="s">
        <v>7184</v>
      </c>
      <c r="F265" t="s">
        <v>6772</v>
      </c>
      <c r="G265"/>
      <c r="H265"/>
      <c r="I265" t="s">
        <v>6872</v>
      </c>
    </row>
    <row r="266" spans="2:9" ht="12" customHeight="1">
      <c r="B266">
        <v>52</v>
      </c>
      <c r="C266" t="s">
        <v>7251</v>
      </c>
      <c r="D266" t="s">
        <v>6834</v>
      </c>
      <c r="E266" t="s">
        <v>7184</v>
      </c>
      <c r="F266"/>
      <c r="G266"/>
      <c r="H266"/>
      <c r="I266" t="s">
        <v>6894</v>
      </c>
    </row>
    <row r="267" spans="2:9" ht="12" customHeight="1">
      <c r="B267">
        <v>53</v>
      </c>
      <c r="C267" t="s">
        <v>7252</v>
      </c>
      <c r="D267" t="s">
        <v>6834</v>
      </c>
      <c r="E267" t="s">
        <v>7184</v>
      </c>
      <c r="F267"/>
      <c r="G267"/>
      <c r="H267"/>
      <c r="I267" t="s">
        <v>6906</v>
      </c>
    </row>
    <row r="268" spans="2:9" ht="12" customHeight="1">
      <c r="B268">
        <v>54</v>
      </c>
      <c r="C268" t="s">
        <v>7253</v>
      </c>
      <c r="D268" t="s">
        <v>6834</v>
      </c>
      <c r="E268" t="s">
        <v>7184</v>
      </c>
      <c r="F268" t="s">
        <v>6772</v>
      </c>
      <c r="G268"/>
      <c r="H268"/>
      <c r="I268" t="s">
        <v>6922</v>
      </c>
    </row>
    <row r="269" spans="2:9" ht="12" customHeight="1">
      <c r="B269">
        <v>55</v>
      </c>
      <c r="C269" t="s">
        <v>7254</v>
      </c>
      <c r="D269" t="s">
        <v>6834</v>
      </c>
      <c r="E269" t="s">
        <v>7184</v>
      </c>
      <c r="F269"/>
      <c r="G269"/>
      <c r="H269"/>
      <c r="I269" t="s">
        <v>6787</v>
      </c>
    </row>
    <row r="270" spans="2:9" ht="12" customHeight="1">
      <c r="B270">
        <v>56</v>
      </c>
      <c r="C270" t="s">
        <v>7255</v>
      </c>
      <c r="D270" t="s">
        <v>6834</v>
      </c>
      <c r="E270" t="s">
        <v>7184</v>
      </c>
      <c r="F270"/>
      <c r="G270"/>
      <c r="H270"/>
      <c r="I270" t="s">
        <v>6787</v>
      </c>
    </row>
    <row r="271" spans="2:9" ht="12" customHeight="1">
      <c r="B271">
        <v>57</v>
      </c>
      <c r="C271" t="s">
        <v>7256</v>
      </c>
      <c r="D271" t="s">
        <v>6834</v>
      </c>
      <c r="E271" t="s">
        <v>7184</v>
      </c>
      <c r="F271" t="s">
        <v>6772</v>
      </c>
      <c r="G271" t="s">
        <v>7164</v>
      </c>
      <c r="H271"/>
      <c r="I271" t="s">
        <v>6932</v>
      </c>
    </row>
    <row r="272" spans="2:9" ht="12" customHeight="1">
      <c r="B272">
        <v>58</v>
      </c>
      <c r="C272" t="s">
        <v>7257</v>
      </c>
      <c r="D272" t="s">
        <v>6834</v>
      </c>
      <c r="E272" t="s">
        <v>7184</v>
      </c>
      <c r="F272" t="s">
        <v>6772</v>
      </c>
      <c r="G272"/>
      <c r="H272"/>
      <c r="I272" t="s">
        <v>6932</v>
      </c>
    </row>
    <row r="273" spans="2:9" ht="12" customHeight="1">
      <c r="B273">
        <v>59</v>
      </c>
      <c r="C273" t="s">
        <v>7258</v>
      </c>
      <c r="D273" t="s">
        <v>6834</v>
      </c>
      <c r="E273" t="s">
        <v>7184</v>
      </c>
      <c r="F273" t="s">
        <v>6772</v>
      </c>
      <c r="G273"/>
      <c r="H273"/>
      <c r="I273" t="s">
        <v>6932</v>
      </c>
    </row>
    <row r="274" spans="2:9" ht="12" customHeight="1">
      <c r="B274">
        <v>60</v>
      </c>
      <c r="C274" t="s">
        <v>7259</v>
      </c>
      <c r="D274" t="s">
        <v>6834</v>
      </c>
      <c r="E274" t="s">
        <v>7184</v>
      </c>
      <c r="F274" t="s">
        <v>6772</v>
      </c>
      <c r="G274"/>
      <c r="H274"/>
      <c r="I274" t="s">
        <v>6932</v>
      </c>
    </row>
    <row r="275" spans="2:9" ht="12" customHeight="1">
      <c r="B275">
        <v>61</v>
      </c>
      <c r="C275" t="s">
        <v>7260</v>
      </c>
      <c r="D275" t="s">
        <v>6834</v>
      </c>
      <c r="E275" t="s">
        <v>7184</v>
      </c>
      <c r="F275" t="s">
        <v>6772</v>
      </c>
      <c r="G275"/>
      <c r="H275"/>
      <c r="I275" t="s">
        <v>6932</v>
      </c>
    </row>
    <row r="276" spans="2:9" ht="12" customHeight="1">
      <c r="B276">
        <v>62</v>
      </c>
      <c r="C276" t="s">
        <v>7261</v>
      </c>
      <c r="D276" t="s">
        <v>6834</v>
      </c>
      <c r="E276" t="s">
        <v>7184</v>
      </c>
      <c r="F276" t="s">
        <v>6772</v>
      </c>
      <c r="G276"/>
      <c r="H276"/>
      <c r="I276" t="s">
        <v>6932</v>
      </c>
    </row>
    <row r="277" spans="2:9" ht="12" customHeight="1">
      <c r="B277">
        <v>63</v>
      </c>
      <c r="C277" t="s">
        <v>7262</v>
      </c>
      <c r="D277" t="s">
        <v>6834</v>
      </c>
      <c r="E277" t="s">
        <v>7184</v>
      </c>
      <c r="F277" t="s">
        <v>6772</v>
      </c>
      <c r="G277"/>
      <c r="H277"/>
      <c r="I277" t="s">
        <v>6932</v>
      </c>
    </row>
    <row r="278" spans="2:9" ht="12" customHeight="1">
      <c r="B278">
        <v>64</v>
      </c>
      <c r="C278" t="s">
        <v>7263</v>
      </c>
      <c r="D278" t="s">
        <v>6834</v>
      </c>
      <c r="E278" t="s">
        <v>7184</v>
      </c>
      <c r="F278" t="s">
        <v>6772</v>
      </c>
      <c r="G278"/>
      <c r="H278"/>
      <c r="I278" t="s">
        <v>6932</v>
      </c>
    </row>
    <row r="279" spans="2:9" ht="12" customHeight="1">
      <c r="B279">
        <v>65</v>
      </c>
      <c r="C279" t="s">
        <v>7264</v>
      </c>
      <c r="D279" t="s">
        <v>6834</v>
      </c>
      <c r="E279" t="s">
        <v>7184</v>
      </c>
      <c r="F279"/>
      <c r="G279"/>
      <c r="H279"/>
      <c r="I279" t="s">
        <v>7094</v>
      </c>
    </row>
    <row r="280" spans="2:9" ht="12" customHeight="1">
      <c r="B280">
        <v>66</v>
      </c>
      <c r="C280" t="s">
        <v>7265</v>
      </c>
      <c r="D280" t="s">
        <v>6834</v>
      </c>
      <c r="E280" t="s">
        <v>7184</v>
      </c>
      <c r="F280"/>
      <c r="G280"/>
      <c r="H280"/>
      <c r="I280" t="s">
        <v>7094</v>
      </c>
    </row>
    <row r="281" spans="2:9" ht="12" customHeight="1">
      <c r="B281">
        <v>67</v>
      </c>
      <c r="C281" t="s">
        <v>7266</v>
      </c>
      <c r="D281" t="s">
        <v>6834</v>
      </c>
      <c r="E281" t="s">
        <v>7184</v>
      </c>
      <c r="F281"/>
      <c r="G281"/>
      <c r="H281"/>
      <c r="I281" t="s">
        <v>7094</v>
      </c>
    </row>
    <row r="282" spans="2:9" ht="12" customHeight="1">
      <c r="B282">
        <v>68</v>
      </c>
      <c r="C282" t="s">
        <v>7267</v>
      </c>
      <c r="D282" t="s">
        <v>6834</v>
      </c>
      <c r="E282" t="s">
        <v>7184</v>
      </c>
      <c r="F282"/>
      <c r="G282"/>
      <c r="H282"/>
      <c r="I282" t="s">
        <v>6737</v>
      </c>
    </row>
    <row r="283" spans="2:9" ht="12" customHeight="1">
      <c r="B283">
        <v>69</v>
      </c>
      <c r="C283" t="s">
        <v>7268</v>
      </c>
      <c r="D283" t="s">
        <v>6834</v>
      </c>
      <c r="E283" t="s">
        <v>7184</v>
      </c>
      <c r="F283"/>
      <c r="G283"/>
      <c r="H283"/>
      <c r="I283" t="s">
        <v>6737</v>
      </c>
    </row>
    <row r="284" spans="2:9" ht="12" customHeight="1">
      <c r="B284">
        <v>70</v>
      </c>
      <c r="C284" t="s">
        <v>7269</v>
      </c>
      <c r="D284" t="s">
        <v>6834</v>
      </c>
      <c r="E284" t="s">
        <v>7184</v>
      </c>
      <c r="F284"/>
      <c r="G284"/>
      <c r="H284"/>
      <c r="I284" t="s">
        <v>6998</v>
      </c>
    </row>
    <row r="285" spans="2:9" ht="12" customHeight="1">
      <c r="B285">
        <v>71</v>
      </c>
      <c r="C285" t="s">
        <v>7270</v>
      </c>
      <c r="D285" t="s">
        <v>6834</v>
      </c>
      <c r="E285" t="s">
        <v>7184</v>
      </c>
      <c r="F285" t="s">
        <v>6772</v>
      </c>
      <c r="G285"/>
      <c r="H285"/>
      <c r="I285" t="s">
        <v>7271</v>
      </c>
    </row>
    <row r="286" spans="2:9" ht="12" customHeight="1">
      <c r="B286">
        <v>72</v>
      </c>
      <c r="C286" t="s">
        <v>7272</v>
      </c>
      <c r="D286" t="s">
        <v>6834</v>
      </c>
      <c r="E286" t="s">
        <v>7184</v>
      </c>
      <c r="F286" t="s">
        <v>6772</v>
      </c>
      <c r="G286"/>
      <c r="H286"/>
      <c r="I286" t="s">
        <v>7271</v>
      </c>
    </row>
    <row r="287" spans="2:9" ht="12" customHeight="1">
      <c r="B287">
        <v>73</v>
      </c>
      <c r="C287" t="s">
        <v>7273</v>
      </c>
      <c r="D287" t="s">
        <v>6834</v>
      </c>
      <c r="E287" t="s">
        <v>7184</v>
      </c>
      <c r="F287"/>
      <c r="G287"/>
      <c r="H287"/>
      <c r="I287" t="s">
        <v>7053</v>
      </c>
    </row>
    <row r="288" spans="2:9" ht="12" customHeight="1">
      <c r="B288">
        <v>74</v>
      </c>
      <c r="C288" t="s">
        <v>7274</v>
      </c>
      <c r="D288" t="s">
        <v>6834</v>
      </c>
      <c r="E288" t="s">
        <v>7184</v>
      </c>
      <c r="F288"/>
      <c r="G288"/>
      <c r="H288"/>
      <c r="I288" t="s">
        <v>7053</v>
      </c>
    </row>
    <row r="289" spans="2:9" ht="12" customHeight="1">
      <c r="B289">
        <v>75</v>
      </c>
      <c r="C289" t="s">
        <v>7275</v>
      </c>
      <c r="D289" t="s">
        <v>6834</v>
      </c>
      <c r="E289" t="s">
        <v>7184</v>
      </c>
      <c r="F289"/>
      <c r="G289"/>
      <c r="H289"/>
      <c r="I289" t="s">
        <v>6826</v>
      </c>
    </row>
    <row r="290" spans="2:9" ht="12" customHeight="1">
      <c r="B290">
        <v>1</v>
      </c>
      <c r="C290" t="s">
        <v>7276</v>
      </c>
      <c r="D290" t="s">
        <v>5784</v>
      </c>
      <c r="E290" t="s">
        <v>2070</v>
      </c>
      <c r="F290" t="s">
        <v>6772</v>
      </c>
      <c r="G290" t="s">
        <v>7237</v>
      </c>
      <c r="H290"/>
      <c r="I290" t="s">
        <v>6980</v>
      </c>
    </row>
    <row r="291" spans="2:9" ht="12" customHeight="1">
      <c r="B291">
        <v>2</v>
      </c>
      <c r="C291" t="s">
        <v>7277</v>
      </c>
      <c r="D291" t="s">
        <v>5784</v>
      </c>
      <c r="E291" t="s">
        <v>2070</v>
      </c>
      <c r="F291"/>
      <c r="G291"/>
      <c r="H291"/>
      <c r="I291" t="s">
        <v>6980</v>
      </c>
    </row>
    <row r="292" spans="2:9" ht="12" customHeight="1">
      <c r="B292">
        <v>3</v>
      </c>
      <c r="C292" t="s">
        <v>7278</v>
      </c>
      <c r="D292" t="s">
        <v>5784</v>
      </c>
      <c r="E292" t="s">
        <v>2070</v>
      </c>
      <c r="F292" t="s">
        <v>6772</v>
      </c>
      <c r="G292" t="s">
        <v>7279</v>
      </c>
      <c r="H292"/>
      <c r="I292" t="s">
        <v>6894</v>
      </c>
    </row>
    <row r="293" spans="2:9" ht="12" customHeight="1">
      <c r="B293">
        <v>4</v>
      </c>
      <c r="C293" t="s">
        <v>7280</v>
      </c>
      <c r="D293" t="s">
        <v>5784</v>
      </c>
      <c r="E293" t="s">
        <v>2070</v>
      </c>
      <c r="F293" t="s">
        <v>6772</v>
      </c>
      <c r="G293" t="s">
        <v>7237</v>
      </c>
      <c r="H293"/>
      <c r="I293" t="s">
        <v>6954</v>
      </c>
    </row>
    <row r="294" spans="2:9" ht="12" customHeight="1">
      <c r="B294">
        <v>5</v>
      </c>
      <c r="C294" t="s">
        <v>7281</v>
      </c>
      <c r="D294" t="s">
        <v>6719</v>
      </c>
      <c r="E294" t="s">
        <v>2070</v>
      </c>
      <c r="F294"/>
      <c r="G294"/>
      <c r="H294"/>
      <c r="I294" t="s">
        <v>6721</v>
      </c>
    </row>
    <row r="295" spans="2:9" ht="12" customHeight="1">
      <c r="B295">
        <v>6</v>
      </c>
      <c r="C295" t="s">
        <v>7282</v>
      </c>
      <c r="D295" t="s">
        <v>6771</v>
      </c>
      <c r="E295" t="s">
        <v>2070</v>
      </c>
      <c r="F295" t="s">
        <v>6772</v>
      </c>
      <c r="G295"/>
      <c r="H295"/>
      <c r="I295" t="s">
        <v>7283</v>
      </c>
    </row>
    <row r="296" spans="2:9" ht="12" customHeight="1">
      <c r="B296">
        <v>7</v>
      </c>
      <c r="C296" t="s">
        <v>7284</v>
      </c>
      <c r="D296" t="s">
        <v>6771</v>
      </c>
      <c r="E296" t="s">
        <v>2070</v>
      </c>
      <c r="F296" t="s">
        <v>6772</v>
      </c>
      <c r="G296"/>
      <c r="H296"/>
      <c r="I296" t="s">
        <v>7283</v>
      </c>
    </row>
    <row r="297" spans="2:9" ht="12" customHeight="1">
      <c r="B297">
        <v>8</v>
      </c>
      <c r="C297" t="s">
        <v>7285</v>
      </c>
      <c r="D297" t="s">
        <v>6771</v>
      </c>
      <c r="E297" t="s">
        <v>2070</v>
      </c>
      <c r="F297" t="s">
        <v>6772</v>
      </c>
      <c r="G297"/>
      <c r="H297"/>
      <c r="I297" t="s">
        <v>6774</v>
      </c>
    </row>
    <row r="298" spans="2:9" ht="12" customHeight="1">
      <c r="B298">
        <v>9</v>
      </c>
      <c r="C298" t="s">
        <v>7286</v>
      </c>
      <c r="D298" t="s">
        <v>6771</v>
      </c>
      <c r="E298" t="s">
        <v>2070</v>
      </c>
      <c r="F298" t="s">
        <v>6772</v>
      </c>
      <c r="G298"/>
      <c r="H298"/>
      <c r="I298" t="s">
        <v>6780</v>
      </c>
    </row>
    <row r="299" spans="2:9" ht="12" customHeight="1">
      <c r="B299">
        <v>10</v>
      </c>
      <c r="C299" t="s">
        <v>7287</v>
      </c>
      <c r="D299" t="s">
        <v>6771</v>
      </c>
      <c r="E299" t="s">
        <v>2070</v>
      </c>
      <c r="F299"/>
      <c r="G299"/>
      <c r="H299"/>
      <c r="I299" t="s">
        <v>6780</v>
      </c>
    </row>
    <row r="300" spans="2:9" ht="12" customHeight="1">
      <c r="B300">
        <v>11</v>
      </c>
      <c r="C300" t="s">
        <v>7288</v>
      </c>
      <c r="D300" t="s">
        <v>6249</v>
      </c>
      <c r="E300" t="s">
        <v>2070</v>
      </c>
      <c r="F300" t="s">
        <v>6772</v>
      </c>
      <c r="G300"/>
      <c r="H300"/>
      <c r="I300" t="s">
        <v>7201</v>
      </c>
    </row>
    <row r="301" spans="2:9" ht="12" customHeight="1">
      <c r="B301">
        <v>12</v>
      </c>
      <c r="C301" t="s">
        <v>7289</v>
      </c>
      <c r="D301" t="s">
        <v>6249</v>
      </c>
      <c r="E301" t="s">
        <v>2070</v>
      </c>
      <c r="F301" t="s">
        <v>6772</v>
      </c>
      <c r="G301" t="s">
        <v>7175</v>
      </c>
      <c r="H301"/>
      <c r="I301" t="s">
        <v>6790</v>
      </c>
    </row>
    <row r="302" spans="2:9" ht="12" customHeight="1">
      <c r="B302">
        <v>13</v>
      </c>
      <c r="C302" t="s">
        <v>7290</v>
      </c>
      <c r="D302" t="s">
        <v>6727</v>
      </c>
      <c r="E302" t="s">
        <v>2070</v>
      </c>
      <c r="F302"/>
      <c r="G302"/>
      <c r="H302"/>
      <c r="I302" t="s">
        <v>6728</v>
      </c>
    </row>
    <row r="303" spans="2:9" ht="12" customHeight="1">
      <c r="B303">
        <v>14</v>
      </c>
      <c r="C303" t="s">
        <v>7291</v>
      </c>
      <c r="D303" t="s">
        <v>6250</v>
      </c>
      <c r="E303" t="s">
        <v>2070</v>
      </c>
      <c r="F303" t="s">
        <v>6772</v>
      </c>
      <c r="G303" t="s">
        <v>7211</v>
      </c>
      <c r="H303"/>
      <c r="I303" t="s">
        <v>6795</v>
      </c>
    </row>
    <row r="304" spans="2:9" ht="12" customHeight="1">
      <c r="B304">
        <v>15</v>
      </c>
      <c r="C304" t="s">
        <v>7292</v>
      </c>
      <c r="D304" t="s">
        <v>1892</v>
      </c>
      <c r="E304" t="s">
        <v>2070</v>
      </c>
      <c r="F304" t="s">
        <v>6772</v>
      </c>
      <c r="G304" t="s">
        <v>7222</v>
      </c>
      <c r="H304"/>
      <c r="I304" t="s">
        <v>7293</v>
      </c>
    </row>
    <row r="305" spans="2:9" ht="12" customHeight="1">
      <c r="B305">
        <v>16</v>
      </c>
      <c r="C305" t="s">
        <v>7294</v>
      </c>
      <c r="D305" t="s">
        <v>1892</v>
      </c>
      <c r="E305" t="s">
        <v>2070</v>
      </c>
      <c r="F305"/>
      <c r="G305" t="s">
        <v>1799</v>
      </c>
      <c r="H305"/>
      <c r="I305" t="s">
        <v>6922</v>
      </c>
    </row>
    <row r="306" spans="2:9" ht="12" customHeight="1">
      <c r="B306">
        <v>17</v>
      </c>
      <c r="C306" t="s">
        <v>7295</v>
      </c>
      <c r="D306" t="s">
        <v>1892</v>
      </c>
      <c r="E306" t="s">
        <v>2070</v>
      </c>
      <c r="F306" t="s">
        <v>6772</v>
      </c>
      <c r="G306" t="s">
        <v>7296</v>
      </c>
      <c r="H306"/>
      <c r="I306" t="s">
        <v>6929</v>
      </c>
    </row>
    <row r="307" spans="2:9" ht="12" customHeight="1">
      <c r="B307">
        <v>18</v>
      </c>
      <c r="C307" t="s">
        <v>7297</v>
      </c>
      <c r="D307" t="s">
        <v>1892</v>
      </c>
      <c r="E307" t="s">
        <v>2070</v>
      </c>
      <c r="F307" t="s">
        <v>6772</v>
      </c>
      <c r="G307" t="s">
        <v>7222</v>
      </c>
      <c r="H307"/>
      <c r="I307" t="s">
        <v>6939</v>
      </c>
    </row>
    <row r="308" spans="2:9" ht="12" customHeight="1">
      <c r="B308">
        <v>19</v>
      </c>
      <c r="C308" t="s">
        <v>7298</v>
      </c>
      <c r="D308" t="s">
        <v>1892</v>
      </c>
      <c r="E308" t="s">
        <v>2070</v>
      </c>
      <c r="F308" t="s">
        <v>6772</v>
      </c>
      <c r="G308" t="s">
        <v>7299</v>
      </c>
      <c r="H308"/>
      <c r="I308" t="s">
        <v>6822</v>
      </c>
    </row>
    <row r="309" spans="2:9" ht="12" customHeight="1">
      <c r="B309">
        <v>20</v>
      </c>
      <c r="C309" t="s">
        <v>7300</v>
      </c>
      <c r="D309" t="s">
        <v>1892</v>
      </c>
      <c r="E309" t="s">
        <v>2070</v>
      </c>
      <c r="F309" t="s">
        <v>6772</v>
      </c>
      <c r="G309" t="s">
        <v>7231</v>
      </c>
      <c r="H309"/>
      <c r="I309" t="s">
        <v>6826</v>
      </c>
    </row>
    <row r="310" spans="2:9" ht="12" customHeight="1">
      <c r="B310">
        <v>21</v>
      </c>
      <c r="C310" t="s">
        <v>7301</v>
      </c>
      <c r="D310" t="s">
        <v>6834</v>
      </c>
      <c r="E310" t="s">
        <v>2070</v>
      </c>
      <c r="F310"/>
      <c r="G310"/>
      <c r="H310"/>
      <c r="I310" t="s">
        <v>7234</v>
      </c>
    </row>
    <row r="311" spans="2:9" ht="12" customHeight="1">
      <c r="B311">
        <v>22</v>
      </c>
      <c r="C311" t="s">
        <v>7302</v>
      </c>
      <c r="D311" t="s">
        <v>6834</v>
      </c>
      <c r="E311" t="s">
        <v>2070</v>
      </c>
      <c r="F311" t="s">
        <v>6772</v>
      </c>
      <c r="G311"/>
      <c r="H311"/>
      <c r="I311" t="s">
        <v>6847</v>
      </c>
    </row>
    <row r="312" spans="2:9" ht="12" customHeight="1">
      <c r="B312">
        <v>23</v>
      </c>
      <c r="C312" t="s">
        <v>7303</v>
      </c>
      <c r="D312" t="s">
        <v>6834</v>
      </c>
      <c r="E312" t="s">
        <v>2070</v>
      </c>
      <c r="F312" t="s">
        <v>6772</v>
      </c>
      <c r="G312"/>
      <c r="H312"/>
      <c r="I312" t="s">
        <v>6847</v>
      </c>
    </row>
    <row r="313" spans="2:9" ht="12" customHeight="1">
      <c r="B313">
        <v>24</v>
      </c>
      <c r="C313" t="s">
        <v>7304</v>
      </c>
      <c r="D313" t="s">
        <v>6834</v>
      </c>
      <c r="E313" t="s">
        <v>2070</v>
      </c>
      <c r="F313" t="s">
        <v>6772</v>
      </c>
      <c r="G313"/>
      <c r="H313"/>
      <c r="I313" t="s">
        <v>6866</v>
      </c>
    </row>
    <row r="314" spans="2:9" ht="12" customHeight="1">
      <c r="B314">
        <v>25</v>
      </c>
      <c r="C314" t="s">
        <v>7305</v>
      </c>
      <c r="D314" t="s">
        <v>6834</v>
      </c>
      <c r="E314" t="s">
        <v>2070</v>
      </c>
      <c r="F314" t="s">
        <v>6772</v>
      </c>
      <c r="G314"/>
      <c r="H314"/>
      <c r="I314" t="s">
        <v>6872</v>
      </c>
    </row>
    <row r="315" spans="2:9" ht="12" customHeight="1">
      <c r="B315">
        <v>26</v>
      </c>
      <c r="C315" t="s">
        <v>7306</v>
      </c>
      <c r="D315" t="s">
        <v>6834</v>
      </c>
      <c r="E315" t="s">
        <v>2070</v>
      </c>
      <c r="F315" t="s">
        <v>6772</v>
      </c>
      <c r="G315"/>
      <c r="H315"/>
      <c r="I315" t="s">
        <v>6872</v>
      </c>
    </row>
    <row r="316" spans="2:9" ht="12" customHeight="1">
      <c r="B316">
        <v>27</v>
      </c>
      <c r="C316" t="s">
        <v>7307</v>
      </c>
      <c r="D316" t="s">
        <v>6834</v>
      </c>
      <c r="E316" t="s">
        <v>2070</v>
      </c>
      <c r="F316" t="s">
        <v>6772</v>
      </c>
      <c r="G316"/>
      <c r="H316"/>
      <c r="I316" t="s">
        <v>6872</v>
      </c>
    </row>
    <row r="317" spans="2:9" ht="12" customHeight="1">
      <c r="B317">
        <v>28</v>
      </c>
      <c r="C317" t="s">
        <v>7308</v>
      </c>
      <c r="D317" t="s">
        <v>6834</v>
      </c>
      <c r="E317" t="s">
        <v>2070</v>
      </c>
      <c r="F317"/>
      <c r="G317"/>
      <c r="H317"/>
      <c r="I317" t="s">
        <v>7137</v>
      </c>
    </row>
    <row r="318" spans="2:9" ht="12" customHeight="1">
      <c r="B318">
        <v>29</v>
      </c>
      <c r="C318" t="s">
        <v>7309</v>
      </c>
      <c r="D318" t="s">
        <v>6834</v>
      </c>
      <c r="E318" t="s">
        <v>2070</v>
      </c>
      <c r="F318"/>
      <c r="G318"/>
      <c r="H318"/>
      <c r="I318" t="s">
        <v>7310</v>
      </c>
    </row>
    <row r="319" spans="2:9" ht="12" customHeight="1">
      <c r="B319">
        <v>30</v>
      </c>
      <c r="C319" t="s">
        <v>7311</v>
      </c>
      <c r="D319" t="s">
        <v>6834</v>
      </c>
      <c r="E319" t="s">
        <v>2070</v>
      </c>
      <c r="F319"/>
      <c r="G319"/>
      <c r="H319"/>
      <c r="I319" t="s">
        <v>6787</v>
      </c>
    </row>
    <row r="320" spans="2:9" ht="12" customHeight="1">
      <c r="B320">
        <v>31</v>
      </c>
      <c r="C320" t="s">
        <v>7312</v>
      </c>
      <c r="D320" t="s">
        <v>6834</v>
      </c>
      <c r="E320" t="s">
        <v>2070</v>
      </c>
      <c r="F320" t="s">
        <v>6772</v>
      </c>
      <c r="G320" t="s">
        <v>7164</v>
      </c>
      <c r="H320"/>
      <c r="I320" t="s">
        <v>6932</v>
      </c>
    </row>
    <row r="321" spans="2:9" ht="12" customHeight="1">
      <c r="B321">
        <v>32</v>
      </c>
      <c r="C321" t="s">
        <v>7313</v>
      </c>
      <c r="D321" t="s">
        <v>6834</v>
      </c>
      <c r="E321" t="s">
        <v>2070</v>
      </c>
      <c r="F321" t="s">
        <v>6772</v>
      </c>
      <c r="G321"/>
      <c r="H321"/>
      <c r="I321" t="s">
        <v>6932</v>
      </c>
    </row>
    <row r="322" spans="2:9" ht="12" customHeight="1">
      <c r="B322">
        <v>33</v>
      </c>
      <c r="C322" t="s">
        <v>7314</v>
      </c>
      <c r="D322" t="s">
        <v>6834</v>
      </c>
      <c r="E322" t="s">
        <v>2070</v>
      </c>
      <c r="F322" t="s">
        <v>6772</v>
      </c>
      <c r="G322"/>
      <c r="H322"/>
      <c r="I322" t="s">
        <v>6932</v>
      </c>
    </row>
    <row r="323" spans="2:9" ht="12" customHeight="1">
      <c r="B323">
        <v>34</v>
      </c>
      <c r="C323" t="s">
        <v>7315</v>
      </c>
      <c r="D323" t="s">
        <v>6834</v>
      </c>
      <c r="E323" t="s">
        <v>2070</v>
      </c>
      <c r="F323" t="s">
        <v>6772</v>
      </c>
      <c r="G323"/>
      <c r="H323"/>
      <c r="I323" t="s">
        <v>6932</v>
      </c>
    </row>
    <row r="324" spans="2:9" ht="12" customHeight="1">
      <c r="B324">
        <v>35</v>
      </c>
      <c r="C324" t="s">
        <v>7316</v>
      </c>
      <c r="D324" t="s">
        <v>6834</v>
      </c>
      <c r="E324" t="s">
        <v>2070</v>
      </c>
      <c r="F324"/>
      <c r="G324"/>
      <c r="H324"/>
      <c r="I324" t="s">
        <v>6819</v>
      </c>
    </row>
    <row r="325" spans="2:9" ht="12" customHeight="1">
      <c r="B325">
        <v>36</v>
      </c>
      <c r="C325" t="s">
        <v>7317</v>
      </c>
      <c r="D325" t="s">
        <v>6834</v>
      </c>
      <c r="E325" t="s">
        <v>2070</v>
      </c>
      <c r="F325" t="s">
        <v>6772</v>
      </c>
      <c r="G325" t="s">
        <v>7211</v>
      </c>
      <c r="H325"/>
      <c r="I325" t="s">
        <v>7271</v>
      </c>
    </row>
    <row r="326" spans="2:9" ht="12" customHeight="1">
      <c r="B326">
        <v>37</v>
      </c>
      <c r="C326" t="s">
        <v>7318</v>
      </c>
      <c r="D326" t="s">
        <v>6834</v>
      </c>
      <c r="E326" t="s">
        <v>2070</v>
      </c>
      <c r="F326" t="s">
        <v>6772</v>
      </c>
      <c r="G326"/>
      <c r="H326"/>
      <c r="I326" t="s">
        <v>6744</v>
      </c>
    </row>
    <row r="327" spans="2:9" ht="12" customHeight="1">
      <c r="B327">
        <v>38</v>
      </c>
      <c r="C327" t="s">
        <v>7319</v>
      </c>
      <c r="D327" t="s">
        <v>6834</v>
      </c>
      <c r="E327" t="s">
        <v>2070</v>
      </c>
      <c r="F327"/>
      <c r="G327"/>
      <c r="H327"/>
      <c r="I327" t="s">
        <v>6728</v>
      </c>
    </row>
    <row r="328" spans="2:9" ht="12" customHeight="1">
      <c r="B328">
        <v>39</v>
      </c>
      <c r="C328" t="s">
        <v>7320</v>
      </c>
      <c r="D328" t="s">
        <v>6834</v>
      </c>
      <c r="E328" t="s">
        <v>2070</v>
      </c>
      <c r="F328"/>
      <c r="G328"/>
      <c r="H328"/>
      <c r="I328" t="s">
        <v>7058</v>
      </c>
    </row>
    <row r="329" spans="2:9" ht="12" customHeight="1">
      <c r="B329">
        <v>40</v>
      </c>
      <c r="C329" t="s">
        <v>7321</v>
      </c>
      <c r="D329" t="s">
        <v>6834</v>
      </c>
      <c r="E329" t="s">
        <v>2070</v>
      </c>
      <c r="F329" t="s">
        <v>6772</v>
      </c>
      <c r="G329" t="s">
        <v>7322</v>
      </c>
      <c r="H329"/>
      <c r="I329" t="s">
        <v>7099</v>
      </c>
    </row>
    <row r="330" spans="2:9" ht="12" customHeight="1">
      <c r="B330">
        <v>41</v>
      </c>
      <c r="C330" t="s">
        <v>7323</v>
      </c>
      <c r="D330" t="s">
        <v>6834</v>
      </c>
      <c r="E330" t="s">
        <v>2070</v>
      </c>
      <c r="F330" t="s">
        <v>6772</v>
      </c>
      <c r="G330" t="s">
        <v>7324</v>
      </c>
      <c r="H330"/>
      <c r="I330" t="s">
        <v>7099</v>
      </c>
    </row>
    <row r="331" spans="2:9" ht="12" customHeight="1">
      <c r="B331">
        <v>42</v>
      </c>
      <c r="C331" t="s">
        <v>7325</v>
      </c>
      <c r="D331" t="s">
        <v>6834</v>
      </c>
      <c r="E331" t="s">
        <v>2070</v>
      </c>
      <c r="F331" t="s">
        <v>6772</v>
      </c>
      <c r="G331"/>
      <c r="H331"/>
      <c r="I331" t="s">
        <v>7099</v>
      </c>
    </row>
    <row r="332" spans="2:9" ht="12" customHeight="1">
      <c r="B332">
        <v>43</v>
      </c>
      <c r="C332" t="s">
        <v>7326</v>
      </c>
      <c r="D332" t="s">
        <v>6834</v>
      </c>
      <c r="E332" t="s">
        <v>2070</v>
      </c>
      <c r="F332" t="s">
        <v>6772</v>
      </c>
      <c r="G332" t="s">
        <v>7327</v>
      </c>
      <c r="H332"/>
      <c r="I332" t="s">
        <v>7053</v>
      </c>
    </row>
    <row r="333" spans="2:9" ht="12" customHeight="1">
      <c r="B333">
        <v>44</v>
      </c>
      <c r="C333" t="s">
        <v>7328</v>
      </c>
      <c r="D333" t="s">
        <v>6834</v>
      </c>
      <c r="E333" t="s">
        <v>2070</v>
      </c>
      <c r="F333"/>
      <c r="G333"/>
      <c r="H333"/>
      <c r="I333" t="s">
        <v>6826</v>
      </c>
    </row>
    <row r="334" spans="2:9" ht="12" customHeight="1">
      <c r="B334">
        <v>45</v>
      </c>
      <c r="C334" t="s">
        <v>7329</v>
      </c>
      <c r="D334" t="s">
        <v>6834</v>
      </c>
      <c r="E334" t="s">
        <v>2070</v>
      </c>
      <c r="F334"/>
      <c r="G334"/>
      <c r="H334"/>
      <c r="I334" t="s">
        <v>6830</v>
      </c>
    </row>
  </sheetData>
  <mergeCells count="15">
    <mergeCell ref="K123:L123"/>
    <mergeCell ref="K137:L137"/>
    <mergeCell ref="K147:L147"/>
    <mergeCell ref="K149:L149"/>
    <mergeCell ref="K47:L47"/>
    <mergeCell ref="K54:L54"/>
    <mergeCell ref="K55:L55"/>
    <mergeCell ref="K60:L60"/>
    <mergeCell ref="K103:L103"/>
    <mergeCell ref="K118:L118"/>
    <mergeCell ref="C2:I2"/>
    <mergeCell ref="K2:P2"/>
    <mergeCell ref="K15:P15"/>
    <mergeCell ref="K24:P24"/>
    <mergeCell ref="K31:P31"/>
  </mergeCells>
  <pageMargins left="0.7" right="0.7" top="0.75" bottom="0.75" header="0.3" footer="0.3"/>
  <pageSetup orientation="portrait" r:id="rId1"/>
  <legacyDrawing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C8AE1-69C9-4A0C-8658-04220D4C526B}">
  <sheetPr codeName="Аркуш12">
    <tabColor rgb="FFFFC000"/>
  </sheetPr>
  <dimension ref="B1:AL285"/>
  <sheetViews>
    <sheetView topLeftCell="U1" zoomScaleNormal="100" workbookViewId="0">
      <selection activeCell="BB9" sqref="AT1:BB9"/>
    </sheetView>
  </sheetViews>
  <sheetFormatPr defaultColWidth="7.109375" defaultRowHeight="10.5"/>
  <cols>
    <col min="1" max="1" width="2.6640625" style="214" customWidth="1"/>
    <col min="2" max="2" width="4.21875" style="214" customWidth="1"/>
    <col min="3" max="7" width="8.33203125" style="214" customWidth="1"/>
    <col min="8" max="8" width="2.6640625" style="214" customWidth="1"/>
    <col min="9" max="9" width="4.77734375" style="214" customWidth="1"/>
    <col min="10" max="10" width="33.109375" style="214" customWidth="1"/>
    <col min="11" max="11" width="1.77734375" style="214" customWidth="1"/>
    <col min="12" max="12" width="3.5546875" style="214" customWidth="1"/>
    <col min="13" max="13" width="19.44140625" style="215" customWidth="1"/>
    <col min="14" max="14" width="6.77734375" style="214" customWidth="1"/>
    <col min="15" max="15" width="3.109375" style="214" customWidth="1"/>
    <col min="16" max="16" width="2.109375" style="245" bestFit="1" customWidth="1"/>
    <col min="17" max="17" width="11.109375" style="245" customWidth="1"/>
    <col min="18" max="18" width="2.77734375" style="245" bestFit="1" customWidth="1"/>
    <col min="19" max="19" width="8.33203125" style="245" customWidth="1"/>
    <col min="20" max="20" width="2.77734375" style="245" bestFit="1" customWidth="1"/>
    <col min="21" max="21" width="8.44140625" style="245" customWidth="1"/>
    <col min="22" max="22" width="2.77734375" style="245" bestFit="1" customWidth="1"/>
    <col min="23" max="23" width="8" style="245" customWidth="1"/>
    <col min="24" max="24" width="5.109375" style="245" customWidth="1"/>
    <col min="25" max="25" width="10.33203125" style="245" customWidth="1"/>
    <col min="26" max="26" width="2.109375" style="245" bestFit="1" customWidth="1"/>
    <col min="27" max="27" width="9.88671875" style="245" customWidth="1"/>
    <col min="28" max="28" width="2.77734375" style="244" bestFit="1" customWidth="1"/>
    <col min="29" max="29" width="10.44140625" style="245" customWidth="1"/>
    <col min="30" max="30" width="6.21875" style="245" bestFit="1" customWidth="1"/>
    <col min="31" max="31" width="2.109375" style="244" bestFit="1" customWidth="1"/>
    <col min="32" max="32" width="10.21875" style="245" customWidth="1"/>
    <col min="33" max="33" width="6.21875" style="245" bestFit="1" customWidth="1"/>
    <col min="34" max="34" width="7.109375" style="245"/>
    <col min="35" max="35" width="7.109375" style="214"/>
    <col min="36" max="36" width="11.88671875" style="245" customWidth="1"/>
    <col min="37" max="37" width="75.44140625" style="245" bestFit="1" customWidth="1"/>
    <col min="38" max="38" width="7" style="245" customWidth="1"/>
    <col min="39" max="16384" width="7.109375" style="214"/>
  </cols>
  <sheetData>
    <row r="1" spans="3:38" ht="11.25" thickBot="1">
      <c r="P1" s="244"/>
      <c r="R1" s="244"/>
      <c r="T1" s="244"/>
      <c r="V1" s="244"/>
      <c r="X1" s="244"/>
      <c r="Z1" s="244"/>
    </row>
    <row r="2" spans="3:38" ht="11.25" thickBot="1">
      <c r="C2" s="216" t="s">
        <v>6283</v>
      </c>
      <c r="D2" s="241"/>
      <c r="E2" s="241"/>
      <c r="I2" s="216" t="s">
        <v>6284</v>
      </c>
      <c r="J2" s="241"/>
      <c r="L2" s="246" t="s">
        <v>6285</v>
      </c>
      <c r="M2" s="247"/>
      <c r="N2" s="248"/>
      <c r="P2" s="249"/>
      <c r="Q2" s="250"/>
      <c r="R2" s="251"/>
      <c r="S2" s="250"/>
      <c r="T2" s="251"/>
      <c r="U2" s="250"/>
      <c r="V2" s="251"/>
      <c r="W2" s="250"/>
      <c r="X2" s="251"/>
      <c r="Y2" s="250"/>
      <c r="Z2" s="251"/>
      <c r="AA2" s="250"/>
      <c r="AB2" s="251"/>
      <c r="AC2" s="252"/>
      <c r="AD2" s="252"/>
      <c r="AE2" s="253"/>
      <c r="AF2" s="252"/>
      <c r="AG2" s="254"/>
      <c r="AL2" s="255"/>
    </row>
    <row r="3" spans="3:38" ht="11.25" thickBot="1">
      <c r="C3" s="256" t="s">
        <v>6286</v>
      </c>
      <c r="D3" s="257" t="str">
        <f>[4]MATH!D8</f>
        <v>Wizard</v>
      </c>
      <c r="E3" s="258"/>
      <c r="I3" s="259" t="s">
        <v>6280</v>
      </c>
      <c r="J3" s="260" t="str">
        <f ca="1">VLOOKUP(RANDBETWEEN(1,I103),I4:J103,2)</f>
        <v>A rabbit’s foot a stylish cap</v>
      </c>
      <c r="L3" s="261">
        <f ca="1">RANDBETWEEN(1,L103)</f>
        <v>33</v>
      </c>
      <c r="M3" s="262" t="str">
        <f ca="1">VLOOKUP(L3,L4:N103,2)</f>
        <v>Silver ring set with a triquerta-etched lapis lazuli</v>
      </c>
      <c r="N3" s="263">
        <f ca="1">VLOOKUP(L3,L4:N103,3)</f>
        <v>0</v>
      </c>
      <c r="P3" s="264"/>
      <c r="Q3" s="265" t="s">
        <v>6287</v>
      </c>
      <c r="R3" s="266"/>
      <c r="S3" s="266" t="s">
        <v>6288</v>
      </c>
      <c r="T3" s="266"/>
      <c r="U3" s="266" t="s">
        <v>6289</v>
      </c>
      <c r="V3" s="266"/>
      <c r="W3" s="266" t="s">
        <v>6290</v>
      </c>
      <c r="X3" s="266"/>
      <c r="Y3" s="266" t="s">
        <v>6291</v>
      </c>
      <c r="Z3" s="266"/>
      <c r="AA3" s="267" t="s">
        <v>6292</v>
      </c>
      <c r="AB3" s="268"/>
      <c r="AC3" s="269" t="s">
        <v>6293</v>
      </c>
      <c r="AD3" s="269" t="s">
        <v>2097</v>
      </c>
      <c r="AE3" s="269"/>
      <c r="AF3" s="269" t="s">
        <v>6294</v>
      </c>
      <c r="AG3" s="270" t="s">
        <v>2097</v>
      </c>
    </row>
    <row r="4" spans="3:38" ht="11.25" thickTop="1">
      <c r="C4" s="271" t="s">
        <v>6295</v>
      </c>
      <c r="D4" s="233">
        <f>[4]MATH!D5</f>
        <v>7</v>
      </c>
      <c r="E4" s="272"/>
      <c r="I4" s="273">
        <v>1</v>
      </c>
      <c r="J4" s="274" t="s">
        <v>6296</v>
      </c>
      <c r="L4" s="225">
        <v>1</v>
      </c>
      <c r="M4" s="275" t="s">
        <v>6297</v>
      </c>
      <c r="N4" s="276">
        <v>10</v>
      </c>
      <c r="P4" s="277">
        <v>1</v>
      </c>
      <c r="Q4" s="278" t="s">
        <v>6298</v>
      </c>
      <c r="R4" s="279">
        <v>1</v>
      </c>
      <c r="S4" s="278" t="s">
        <v>6299</v>
      </c>
      <c r="T4" s="279">
        <v>1</v>
      </c>
      <c r="U4" s="278" t="s">
        <v>6300</v>
      </c>
      <c r="V4" s="280">
        <v>1</v>
      </c>
      <c r="W4" s="278" t="s">
        <v>6301</v>
      </c>
      <c r="X4" s="280">
        <v>1</v>
      </c>
      <c r="Y4" s="278" t="s">
        <v>6302</v>
      </c>
      <c r="Z4" s="280">
        <v>1</v>
      </c>
      <c r="AA4" s="281" t="s">
        <v>6303</v>
      </c>
      <c r="AB4" s="279">
        <v>1</v>
      </c>
      <c r="AC4" s="278" t="s">
        <v>6304</v>
      </c>
      <c r="AD4" s="282">
        <v>1</v>
      </c>
      <c r="AE4" s="280">
        <v>1</v>
      </c>
      <c r="AF4" s="278" t="s">
        <v>6305</v>
      </c>
      <c r="AG4" s="283">
        <v>10</v>
      </c>
    </row>
    <row r="5" spans="3:38">
      <c r="C5" s="284" t="s">
        <v>6306</v>
      </c>
      <c r="D5" s="285">
        <f>IF([4]USER!AL6=0,VLOOKUP([4]MATH!$D$5,B42:G61,6),VLOOKUP(1,B42:G61,6))</f>
        <v>160</v>
      </c>
      <c r="E5" s="272"/>
      <c r="I5" s="226">
        <v>2</v>
      </c>
      <c r="J5" s="286" t="s">
        <v>6307</v>
      </c>
      <c r="L5" s="226">
        <v>2</v>
      </c>
      <c r="M5" s="232" t="s">
        <v>6308</v>
      </c>
      <c r="N5" s="287"/>
      <c r="P5" s="288">
        <v>3</v>
      </c>
      <c r="Q5" s="289" t="s">
        <v>6309</v>
      </c>
      <c r="R5" s="290">
        <v>3.2</v>
      </c>
      <c r="S5" s="289" t="s">
        <v>6310</v>
      </c>
      <c r="T5" s="290">
        <v>3.25</v>
      </c>
      <c r="U5" s="289" t="s">
        <v>6311</v>
      </c>
      <c r="V5" s="291">
        <v>8</v>
      </c>
      <c r="W5" s="289" t="s">
        <v>6312</v>
      </c>
      <c r="X5" s="291">
        <v>6</v>
      </c>
      <c r="Y5" s="289" t="s">
        <v>6313</v>
      </c>
      <c r="Z5" s="291">
        <v>7</v>
      </c>
      <c r="AA5" s="292" t="s">
        <v>6314</v>
      </c>
      <c r="AB5" s="290">
        <v>6.8235294117647101</v>
      </c>
      <c r="AC5" s="289" t="s">
        <v>6315</v>
      </c>
      <c r="AD5" s="293">
        <v>2</v>
      </c>
      <c r="AE5" s="291">
        <v>6</v>
      </c>
      <c r="AF5" s="289" t="s">
        <v>6316</v>
      </c>
      <c r="AG5" s="294">
        <v>25</v>
      </c>
    </row>
    <row r="6" spans="3:38">
      <c r="C6" s="222" t="s">
        <v>1353</v>
      </c>
      <c r="D6" s="295" t="s">
        <v>6317</v>
      </c>
      <c r="E6" s="296" t="s">
        <v>6318</v>
      </c>
      <c r="I6" s="226">
        <v>3</v>
      </c>
      <c r="J6" s="286" t="s">
        <v>6319</v>
      </c>
      <c r="L6" s="226">
        <v>3</v>
      </c>
      <c r="M6" s="232" t="s">
        <v>6320</v>
      </c>
      <c r="N6" s="287"/>
      <c r="P6" s="288">
        <v>5</v>
      </c>
      <c r="Q6" s="289" t="s">
        <v>6321</v>
      </c>
      <c r="R6" s="290">
        <v>5.4</v>
      </c>
      <c r="S6" s="289" t="s">
        <v>6322</v>
      </c>
      <c r="T6" s="290">
        <v>5.5</v>
      </c>
      <c r="U6" s="289" t="s">
        <v>6323</v>
      </c>
      <c r="V6" s="291">
        <v>15</v>
      </c>
      <c r="W6" s="289" t="s">
        <v>6324</v>
      </c>
      <c r="X6" s="291">
        <v>12</v>
      </c>
      <c r="Y6" s="289" t="s">
        <v>6325</v>
      </c>
      <c r="Z6" s="291">
        <v>18</v>
      </c>
      <c r="AA6" s="292" t="s">
        <v>6326</v>
      </c>
      <c r="AB6" s="290">
        <v>12.64705882352942</v>
      </c>
      <c r="AC6" s="289" t="s">
        <v>6327</v>
      </c>
      <c r="AD6" s="293">
        <v>1</v>
      </c>
      <c r="AE6" s="291">
        <v>8</v>
      </c>
      <c r="AF6" s="289" t="s">
        <v>6328</v>
      </c>
      <c r="AG6" s="294">
        <v>45</v>
      </c>
    </row>
    <row r="7" spans="3:38">
      <c r="C7" s="297" t="s">
        <v>2105</v>
      </c>
      <c r="D7" s="298">
        <f>($D$5*E7)*100</f>
        <v>12.8</v>
      </c>
      <c r="E7" s="299">
        <v>8.0000000000000004E-4</v>
      </c>
      <c r="I7" s="226">
        <v>4</v>
      </c>
      <c r="J7" s="286" t="s">
        <v>6329</v>
      </c>
      <c r="L7" s="226">
        <v>4</v>
      </c>
      <c r="M7" s="232" t="s">
        <v>6330</v>
      </c>
      <c r="N7" s="287"/>
      <c r="P7" s="288">
        <v>7</v>
      </c>
      <c r="Q7" s="289" t="s">
        <v>6331</v>
      </c>
      <c r="R7" s="290">
        <v>7.6</v>
      </c>
      <c r="S7" s="289" t="s">
        <v>6332</v>
      </c>
      <c r="T7" s="290">
        <v>7.75</v>
      </c>
      <c r="U7" s="289" t="s">
        <v>6333</v>
      </c>
      <c r="V7" s="291">
        <v>22</v>
      </c>
      <c r="W7" s="289" t="s">
        <v>6334</v>
      </c>
      <c r="X7" s="291">
        <v>17</v>
      </c>
      <c r="Y7" s="289" t="s">
        <v>6335</v>
      </c>
      <c r="Z7" s="291">
        <v>26</v>
      </c>
      <c r="AA7" s="292" t="s">
        <v>6336</v>
      </c>
      <c r="AB7" s="290">
        <v>18.47058823529413</v>
      </c>
      <c r="AC7" s="289" t="s">
        <v>6337</v>
      </c>
      <c r="AD7" s="293">
        <v>2</v>
      </c>
      <c r="AE7" s="291">
        <v>15</v>
      </c>
      <c r="AF7" s="289" t="s">
        <v>6338</v>
      </c>
      <c r="AG7" s="294">
        <v>10</v>
      </c>
    </row>
    <row r="8" spans="3:38">
      <c r="C8" s="300" t="s">
        <v>2106</v>
      </c>
      <c r="D8" s="301">
        <f>($D$5*E8)*10</f>
        <v>51.52</v>
      </c>
      <c r="E8" s="302">
        <v>3.2199999999999999E-2</v>
      </c>
      <c r="I8" s="226">
        <v>5</v>
      </c>
      <c r="J8" s="286" t="s">
        <v>6339</v>
      </c>
      <c r="L8" s="226">
        <v>5</v>
      </c>
      <c r="M8" s="232" t="s">
        <v>6340</v>
      </c>
      <c r="N8" s="287"/>
      <c r="P8" s="288">
        <v>9</v>
      </c>
      <c r="Q8" s="289" t="s">
        <v>6341</v>
      </c>
      <c r="R8" s="290">
        <v>9.8000000000000007</v>
      </c>
      <c r="S8" s="289" t="s">
        <v>6342</v>
      </c>
      <c r="T8" s="290">
        <v>10</v>
      </c>
      <c r="U8" s="289" t="s">
        <v>6343</v>
      </c>
      <c r="V8" s="291">
        <v>30</v>
      </c>
      <c r="W8" s="289" t="s">
        <v>6344</v>
      </c>
      <c r="X8" s="291">
        <v>22</v>
      </c>
      <c r="Y8" s="289" t="s">
        <v>6345</v>
      </c>
      <c r="Z8" s="291">
        <v>37</v>
      </c>
      <c r="AA8" s="292" t="s">
        <v>6346</v>
      </c>
      <c r="AB8" s="290">
        <v>24.29411764705884</v>
      </c>
      <c r="AC8" s="289" t="s">
        <v>6347</v>
      </c>
      <c r="AD8" s="293">
        <v>3</v>
      </c>
      <c r="AE8" s="291">
        <v>21</v>
      </c>
      <c r="AF8" s="289" t="s">
        <v>6348</v>
      </c>
      <c r="AG8" s="294">
        <v>10</v>
      </c>
    </row>
    <row r="9" spans="3:38">
      <c r="C9" s="300" t="s">
        <v>6349</v>
      </c>
      <c r="D9" s="301">
        <f>($D$5*E9)*2</f>
        <v>15.04</v>
      </c>
      <c r="E9" s="302">
        <v>4.7E-2</v>
      </c>
      <c r="I9" s="226">
        <v>6</v>
      </c>
      <c r="J9" s="286" t="s">
        <v>6350</v>
      </c>
      <c r="L9" s="226">
        <v>6</v>
      </c>
      <c r="M9" s="232" t="s">
        <v>6351</v>
      </c>
      <c r="N9" s="287"/>
      <c r="P9" s="288">
        <v>11</v>
      </c>
      <c r="Q9" s="289" t="s">
        <v>6352</v>
      </c>
      <c r="R9" s="290">
        <v>12</v>
      </c>
      <c r="S9" s="289" t="s">
        <v>6353</v>
      </c>
      <c r="T9" s="290">
        <v>12.25</v>
      </c>
      <c r="U9" s="289" t="s">
        <v>6354</v>
      </c>
      <c r="V9" s="291">
        <v>38</v>
      </c>
      <c r="W9" s="289" t="s">
        <v>6355</v>
      </c>
      <c r="X9" s="291">
        <v>27</v>
      </c>
      <c r="Y9" s="289" t="s">
        <v>6356</v>
      </c>
      <c r="Z9" s="291">
        <v>48</v>
      </c>
      <c r="AA9" s="292" t="s">
        <v>6357</v>
      </c>
      <c r="AB9" s="290">
        <v>30.11764705882355</v>
      </c>
      <c r="AC9" s="289" t="s">
        <v>6358</v>
      </c>
      <c r="AD9" s="293">
        <v>2</v>
      </c>
      <c r="AE9" s="291">
        <v>29</v>
      </c>
      <c r="AF9" s="289" t="s">
        <v>6359</v>
      </c>
      <c r="AG9" s="294">
        <v>20</v>
      </c>
    </row>
    <row r="10" spans="3:38">
      <c r="C10" s="300" t="s">
        <v>2107</v>
      </c>
      <c r="D10" s="301">
        <f>$D$5*E10+D16+D19</f>
        <v>108.80000000000001</v>
      </c>
      <c r="E10" s="302">
        <v>0.68</v>
      </c>
      <c r="I10" s="226">
        <v>7</v>
      </c>
      <c r="J10" s="286" t="s">
        <v>6360</v>
      </c>
      <c r="L10" s="226">
        <v>7</v>
      </c>
      <c r="M10" s="232" t="s">
        <v>6361</v>
      </c>
      <c r="N10" s="287"/>
      <c r="P10" s="288">
        <v>13</v>
      </c>
      <c r="Q10" s="289" t="s">
        <v>6362</v>
      </c>
      <c r="R10" s="290">
        <v>14.2</v>
      </c>
      <c r="S10" s="289" t="s">
        <v>6363</v>
      </c>
      <c r="T10" s="290">
        <v>14.5</v>
      </c>
      <c r="U10" s="289" t="s">
        <v>6364</v>
      </c>
      <c r="V10" s="291">
        <v>45</v>
      </c>
      <c r="W10" s="289" t="s">
        <v>6365</v>
      </c>
      <c r="X10" s="291">
        <v>33</v>
      </c>
      <c r="Y10" s="289" t="s">
        <v>6366</v>
      </c>
      <c r="Z10" s="291">
        <v>59</v>
      </c>
      <c r="AA10" s="292" t="s">
        <v>6367</v>
      </c>
      <c r="AB10" s="290">
        <v>35.94117647058826</v>
      </c>
      <c r="AC10" s="289" t="s">
        <v>6368</v>
      </c>
      <c r="AD10" s="293">
        <v>3</v>
      </c>
      <c r="AE10" s="291">
        <v>34</v>
      </c>
      <c r="AF10" s="289" t="s">
        <v>6369</v>
      </c>
      <c r="AG10" s="294">
        <v>100</v>
      </c>
    </row>
    <row r="11" spans="3:38">
      <c r="C11" s="300" t="s">
        <v>6370</v>
      </c>
      <c r="D11" s="301">
        <f>($D$5*E11)/10</f>
        <v>0.64</v>
      </c>
      <c r="E11" s="302">
        <v>0.04</v>
      </c>
      <c r="I11" s="226">
        <v>8</v>
      </c>
      <c r="J11" s="286" t="s">
        <v>6371</v>
      </c>
      <c r="L11" s="226">
        <v>8</v>
      </c>
      <c r="M11" s="232" t="s">
        <v>6372</v>
      </c>
      <c r="N11" s="287"/>
      <c r="P11" s="288">
        <v>15</v>
      </c>
      <c r="Q11" s="289" t="s">
        <v>6373</v>
      </c>
      <c r="R11" s="290">
        <v>16.399999999999999</v>
      </c>
      <c r="S11" s="289" t="s">
        <v>6374</v>
      </c>
      <c r="T11" s="290">
        <v>16.75</v>
      </c>
      <c r="U11" s="289" t="s">
        <v>6375</v>
      </c>
      <c r="V11" s="291">
        <v>52</v>
      </c>
      <c r="W11" s="289" t="s">
        <v>6376</v>
      </c>
      <c r="X11" s="291">
        <v>38</v>
      </c>
      <c r="Y11" s="289" t="s">
        <v>6377</v>
      </c>
      <c r="Z11" s="291">
        <v>70</v>
      </c>
      <c r="AA11" s="292" t="s">
        <v>6378</v>
      </c>
      <c r="AB11" s="290">
        <v>41.76470588235297</v>
      </c>
      <c r="AC11" s="289" t="s">
        <v>6379</v>
      </c>
      <c r="AD11" s="293">
        <v>3</v>
      </c>
      <c r="AE11" s="291">
        <v>37</v>
      </c>
      <c r="AF11" s="289" t="s">
        <v>6380</v>
      </c>
      <c r="AG11" s="294">
        <v>4000</v>
      </c>
    </row>
    <row r="12" spans="3:38">
      <c r="C12" s="300" t="s">
        <v>6381</v>
      </c>
      <c r="D12" s="303">
        <f>$D$5*E12</f>
        <v>8</v>
      </c>
      <c r="E12" s="302">
        <v>0.05</v>
      </c>
      <c r="I12" s="226">
        <v>9</v>
      </c>
      <c r="J12" s="286" t="s">
        <v>6382</v>
      </c>
      <c r="L12" s="226">
        <v>9</v>
      </c>
      <c r="M12" s="232" t="s">
        <v>6383</v>
      </c>
      <c r="N12" s="287"/>
      <c r="P12" s="288">
        <v>17</v>
      </c>
      <c r="Q12" s="289" t="s">
        <v>6384</v>
      </c>
      <c r="R12" s="290">
        <v>18.600000000000001</v>
      </c>
      <c r="S12" s="289" t="s">
        <v>6385</v>
      </c>
      <c r="T12" s="290">
        <v>19</v>
      </c>
      <c r="U12" s="289" t="s">
        <v>6386</v>
      </c>
      <c r="V12" s="291">
        <v>60</v>
      </c>
      <c r="W12" s="289" t="s">
        <v>6387</v>
      </c>
      <c r="X12" s="291">
        <v>43</v>
      </c>
      <c r="Y12" s="289" t="s">
        <v>6388</v>
      </c>
      <c r="Z12" s="291">
        <v>72</v>
      </c>
      <c r="AA12" s="292" t="s">
        <v>6389</v>
      </c>
      <c r="AB12" s="290">
        <v>47.58823529411768</v>
      </c>
      <c r="AC12" s="289" t="s">
        <v>6390</v>
      </c>
      <c r="AD12" s="293">
        <v>2</v>
      </c>
      <c r="AE12" s="291">
        <v>38</v>
      </c>
      <c r="AF12" s="289" t="s">
        <v>6391</v>
      </c>
      <c r="AG12" s="294">
        <v>50</v>
      </c>
    </row>
    <row r="13" spans="3:38" ht="11.25" thickBot="1">
      <c r="C13" s="304" t="s">
        <v>6285</v>
      </c>
      <c r="D13" s="305">
        <f>$D$5*E13</f>
        <v>24</v>
      </c>
      <c r="E13" s="306">
        <v>0.15</v>
      </c>
      <c r="I13" s="226">
        <v>10</v>
      </c>
      <c r="J13" s="286" t="s">
        <v>6392</v>
      </c>
      <c r="L13" s="226">
        <v>10</v>
      </c>
      <c r="M13" s="232" t="s">
        <v>6393</v>
      </c>
      <c r="N13" s="287"/>
      <c r="P13" s="288">
        <v>19</v>
      </c>
      <c r="Q13" s="289" t="s">
        <v>6394</v>
      </c>
      <c r="R13" s="290">
        <v>20.8</v>
      </c>
      <c r="S13" s="289" t="s">
        <v>6395</v>
      </c>
      <c r="T13" s="290">
        <v>21.25</v>
      </c>
      <c r="U13" s="289" t="s">
        <v>6396</v>
      </c>
      <c r="V13" s="291">
        <v>68</v>
      </c>
      <c r="W13" s="289" t="s">
        <v>6397</v>
      </c>
      <c r="X13" s="291">
        <v>48</v>
      </c>
      <c r="Y13" s="289" t="s">
        <v>6398</v>
      </c>
      <c r="Z13" s="291">
        <v>83</v>
      </c>
      <c r="AA13" s="292" t="s">
        <v>6399</v>
      </c>
      <c r="AB13" s="290">
        <v>53.411764705882391</v>
      </c>
      <c r="AC13" s="289" t="s">
        <v>6400</v>
      </c>
      <c r="AD13" s="293">
        <v>1</v>
      </c>
      <c r="AE13" s="291">
        <v>45</v>
      </c>
      <c r="AF13" s="289" t="s">
        <v>6401</v>
      </c>
      <c r="AG13" s="294">
        <v>50</v>
      </c>
    </row>
    <row r="14" spans="3:38" ht="11.25" thickBot="1">
      <c r="C14" s="307"/>
      <c r="D14" s="239">
        <f>(D7/100)+(D8/10)+(D9/2)+D10+(D11*10)+D15</f>
        <v>136</v>
      </c>
      <c r="E14" s="308">
        <f>SUM(E7:E13)</f>
        <v>1</v>
      </c>
      <c r="I14" s="226">
        <v>11</v>
      </c>
      <c r="J14" s="286" t="s">
        <v>6402</v>
      </c>
      <c r="L14" s="226">
        <v>11</v>
      </c>
      <c r="M14" s="232" t="s">
        <v>6403</v>
      </c>
      <c r="N14" s="287"/>
      <c r="P14" s="288">
        <v>21</v>
      </c>
      <c r="Q14" s="289" t="s">
        <v>6404</v>
      </c>
      <c r="R14" s="290">
        <v>23</v>
      </c>
      <c r="S14" s="289" t="s">
        <v>6405</v>
      </c>
      <c r="T14" s="290">
        <v>23.5</v>
      </c>
      <c r="U14" s="289" t="s">
        <v>6406</v>
      </c>
      <c r="V14" s="291">
        <v>76</v>
      </c>
      <c r="W14" s="289" t="s">
        <v>6407</v>
      </c>
      <c r="X14" s="291">
        <v>54</v>
      </c>
      <c r="Y14" s="289" t="s">
        <v>6408</v>
      </c>
      <c r="Z14" s="291">
        <v>85</v>
      </c>
      <c r="AA14" s="292" t="s">
        <v>6409</v>
      </c>
      <c r="AB14" s="290">
        <v>59.235294117647101</v>
      </c>
      <c r="AC14" s="289" t="s">
        <v>6410</v>
      </c>
      <c r="AD14" s="293">
        <v>1</v>
      </c>
      <c r="AE14" s="291">
        <v>52</v>
      </c>
      <c r="AF14" s="289" t="s">
        <v>6411</v>
      </c>
      <c r="AG14" s="294">
        <v>1</v>
      </c>
    </row>
    <row r="15" spans="3:38">
      <c r="C15" s="309" t="s">
        <v>6412</v>
      </c>
      <c r="D15" s="310">
        <f>D12</f>
        <v>8</v>
      </c>
      <c r="E15" s="311"/>
      <c r="I15" s="226">
        <v>12</v>
      </c>
      <c r="J15" s="286" t="s">
        <v>6413</v>
      </c>
      <c r="L15" s="226">
        <v>12</v>
      </c>
      <c r="M15" s="232" t="s">
        <v>6414</v>
      </c>
      <c r="N15" s="287"/>
      <c r="P15" s="288">
        <v>23</v>
      </c>
      <c r="Q15" s="289" t="s">
        <v>6415</v>
      </c>
      <c r="R15" s="290">
        <v>25.2</v>
      </c>
      <c r="S15" s="289" t="s">
        <v>6416</v>
      </c>
      <c r="T15" s="290">
        <v>25.75</v>
      </c>
      <c r="U15" s="289" t="s">
        <v>6417</v>
      </c>
      <c r="V15" s="291">
        <v>82</v>
      </c>
      <c r="W15" s="289" t="s">
        <v>6418</v>
      </c>
      <c r="X15" s="291">
        <v>59</v>
      </c>
      <c r="Y15" s="289" t="s">
        <v>6419</v>
      </c>
      <c r="Z15" s="291">
        <v>94</v>
      </c>
      <c r="AA15" s="292" t="s">
        <v>6420</v>
      </c>
      <c r="AB15" s="290">
        <v>65.058823529411811</v>
      </c>
      <c r="AC15" s="289" t="s">
        <v>6421</v>
      </c>
      <c r="AD15" s="293">
        <v>3</v>
      </c>
      <c r="AE15" s="291">
        <v>59</v>
      </c>
      <c r="AF15" s="289" t="s">
        <v>6422</v>
      </c>
      <c r="AG15" s="294">
        <v>1</v>
      </c>
    </row>
    <row r="16" spans="3:38" ht="11.25" thickBot="1">
      <c r="C16" s="304" t="s">
        <v>6423</v>
      </c>
      <c r="D16" s="312">
        <f>D12-D15</f>
        <v>0</v>
      </c>
      <c r="E16" s="219" t="s">
        <v>6424</v>
      </c>
      <c r="I16" s="226">
        <v>13</v>
      </c>
      <c r="J16" s="286" t="s">
        <v>6425</v>
      </c>
      <c r="L16" s="226">
        <v>13</v>
      </c>
      <c r="M16" s="232" t="s">
        <v>6426</v>
      </c>
      <c r="N16" s="287"/>
      <c r="P16" s="288">
        <v>25</v>
      </c>
      <c r="Q16" s="289" t="s">
        <v>6427</v>
      </c>
      <c r="R16" s="290">
        <v>27.4</v>
      </c>
      <c r="S16" s="289" t="s">
        <v>6428</v>
      </c>
      <c r="T16" s="290">
        <v>28</v>
      </c>
      <c r="U16" s="289" t="s">
        <v>6429</v>
      </c>
      <c r="V16" s="291">
        <v>89</v>
      </c>
      <c r="W16" s="289" t="s">
        <v>6430</v>
      </c>
      <c r="X16" s="291">
        <v>64</v>
      </c>
      <c r="Y16" s="289" t="s">
        <v>6431</v>
      </c>
      <c r="Z16" s="291"/>
      <c r="AA16" s="292"/>
      <c r="AB16" s="290">
        <v>70.882352941176521</v>
      </c>
      <c r="AC16" s="289" t="s">
        <v>6432</v>
      </c>
      <c r="AD16" s="293">
        <v>1</v>
      </c>
      <c r="AE16" s="291">
        <v>66</v>
      </c>
      <c r="AF16" s="289" t="s">
        <v>6433</v>
      </c>
      <c r="AG16" s="294">
        <v>5</v>
      </c>
    </row>
    <row r="17" spans="3:33" ht="11.25" thickBot="1">
      <c r="C17" s="313"/>
      <c r="D17" s="314"/>
      <c r="E17" s="315"/>
      <c r="I17" s="226">
        <v>14</v>
      </c>
      <c r="J17" s="286" t="s">
        <v>6434</v>
      </c>
      <c r="L17" s="226">
        <v>14</v>
      </c>
      <c r="M17" s="232" t="s">
        <v>6435</v>
      </c>
      <c r="N17" s="287"/>
      <c r="P17" s="288">
        <v>27</v>
      </c>
      <c r="Q17" s="289" t="s">
        <v>6436</v>
      </c>
      <c r="R17" s="290">
        <v>29.6</v>
      </c>
      <c r="S17" s="289" t="s">
        <v>6437</v>
      </c>
      <c r="T17" s="290">
        <v>30.25</v>
      </c>
      <c r="U17" s="289" t="s">
        <v>6438</v>
      </c>
      <c r="V17" s="291">
        <v>96</v>
      </c>
      <c r="W17" s="289" t="s">
        <v>6439</v>
      </c>
      <c r="X17" s="291">
        <v>69</v>
      </c>
      <c r="Y17" s="289" t="s">
        <v>6440</v>
      </c>
      <c r="Z17" s="291"/>
      <c r="AA17" s="292"/>
      <c r="AB17" s="290">
        <v>76.705882352941231</v>
      </c>
      <c r="AC17" s="289" t="s">
        <v>6441</v>
      </c>
      <c r="AD17" s="293">
        <v>1</v>
      </c>
      <c r="AE17" s="291">
        <v>73</v>
      </c>
      <c r="AF17" s="289" t="s">
        <v>6442</v>
      </c>
      <c r="AG17" s="294">
        <v>20</v>
      </c>
    </row>
    <row r="18" spans="3:33">
      <c r="C18" s="309" t="s">
        <v>6443</v>
      </c>
      <c r="D18" s="316">
        <f>D13</f>
        <v>24</v>
      </c>
      <c r="E18" s="311"/>
      <c r="I18" s="226">
        <v>15</v>
      </c>
      <c r="J18" s="286" t="s">
        <v>6444</v>
      </c>
      <c r="L18" s="226">
        <v>15</v>
      </c>
      <c r="M18" s="232" t="s">
        <v>6445</v>
      </c>
      <c r="N18" s="287"/>
      <c r="P18" s="288">
        <v>29</v>
      </c>
      <c r="Q18" s="289" t="s">
        <v>6446</v>
      </c>
      <c r="R18" s="290">
        <v>31.8</v>
      </c>
      <c r="S18" s="289" t="s">
        <v>6447</v>
      </c>
      <c r="T18" s="290">
        <v>32.5</v>
      </c>
      <c r="U18" s="289" t="s">
        <v>6448</v>
      </c>
      <c r="V18" s="291">
        <v>100</v>
      </c>
      <c r="W18" s="289" t="s">
        <v>6449</v>
      </c>
      <c r="X18" s="291">
        <v>75</v>
      </c>
      <c r="Y18" s="289" t="s">
        <v>6450</v>
      </c>
      <c r="Z18" s="291"/>
      <c r="AA18" s="292"/>
      <c r="AB18" s="290">
        <v>82.529411764705941</v>
      </c>
      <c r="AC18" s="289" t="s">
        <v>6451</v>
      </c>
      <c r="AD18" s="293">
        <v>1</v>
      </c>
      <c r="AE18" s="291">
        <v>80</v>
      </c>
      <c r="AF18" s="289" t="s">
        <v>6452</v>
      </c>
      <c r="AG18" s="294">
        <v>40</v>
      </c>
    </row>
    <row r="19" spans="3:33" ht="11.25" thickBot="1">
      <c r="C19" s="304" t="s">
        <v>6423</v>
      </c>
      <c r="D19" s="312">
        <f>D13-D18</f>
        <v>0</v>
      </c>
      <c r="E19" s="219" t="s">
        <v>6424</v>
      </c>
      <c r="I19" s="226">
        <v>16</v>
      </c>
      <c r="J19" s="286" t="s">
        <v>6453</v>
      </c>
      <c r="L19" s="226">
        <v>16</v>
      </c>
      <c r="M19" s="232" t="s">
        <v>6454</v>
      </c>
      <c r="N19" s="287"/>
      <c r="P19" s="288">
        <v>31</v>
      </c>
      <c r="Q19" s="289" t="s">
        <v>6455</v>
      </c>
      <c r="R19" s="290">
        <v>34</v>
      </c>
      <c r="S19" s="289" t="s">
        <v>6456</v>
      </c>
      <c r="T19" s="290">
        <v>34.75</v>
      </c>
      <c r="U19" s="289" t="s">
        <v>6457</v>
      </c>
      <c r="V19" s="291"/>
      <c r="W19" s="289"/>
      <c r="X19" s="291">
        <v>80</v>
      </c>
      <c r="Y19" s="289" t="s">
        <v>6458</v>
      </c>
      <c r="Z19" s="291"/>
      <c r="AA19" s="292"/>
      <c r="AB19" s="290">
        <v>88.352941176470651</v>
      </c>
      <c r="AC19" s="289" t="s">
        <v>6459</v>
      </c>
      <c r="AD19" s="293">
        <v>1</v>
      </c>
      <c r="AE19" s="291">
        <v>86</v>
      </c>
      <c r="AF19" s="289" t="s">
        <v>6460</v>
      </c>
      <c r="AG19" s="294">
        <v>3</v>
      </c>
    </row>
    <row r="20" spans="3:33" ht="11.25" thickBot="1">
      <c r="D20" s="213"/>
      <c r="I20" s="226">
        <v>17</v>
      </c>
      <c r="J20" s="286" t="s">
        <v>6461</v>
      </c>
      <c r="L20" s="226">
        <v>17</v>
      </c>
      <c r="M20" s="232" t="s">
        <v>6462</v>
      </c>
      <c r="N20" s="287"/>
      <c r="P20" s="288">
        <v>33</v>
      </c>
      <c r="Q20" s="289" t="s">
        <v>6463</v>
      </c>
      <c r="R20" s="290">
        <v>36.200000000000003</v>
      </c>
      <c r="S20" s="289" t="s">
        <v>6464</v>
      </c>
      <c r="T20" s="290">
        <v>37</v>
      </c>
      <c r="U20" s="289" t="s">
        <v>6465</v>
      </c>
      <c r="V20" s="291"/>
      <c r="W20" s="289"/>
      <c r="X20" s="291">
        <v>85</v>
      </c>
      <c r="Y20" s="289" t="s">
        <v>6466</v>
      </c>
      <c r="Z20" s="291"/>
      <c r="AA20" s="292"/>
      <c r="AB20" s="290">
        <v>94.176470588235361</v>
      </c>
      <c r="AC20" s="289" t="s">
        <v>6467</v>
      </c>
      <c r="AD20" s="293">
        <v>2</v>
      </c>
      <c r="AE20" s="291">
        <v>91</v>
      </c>
      <c r="AF20" s="289" t="s">
        <v>6468</v>
      </c>
      <c r="AG20" s="294">
        <v>4</v>
      </c>
    </row>
    <row r="21" spans="3:33" ht="12" customHeight="1" thickBot="1">
      <c r="C21" s="317" t="s">
        <v>6469</v>
      </c>
      <c r="D21" s="318" t="str">
        <f>VLOOKUP([4]USER!AL6,[4]USER!AK9:AL11,2)</f>
        <v>No-just Max Starting Wealth</v>
      </c>
      <c r="E21" s="319"/>
      <c r="I21" s="226">
        <v>18</v>
      </c>
      <c r="J21" s="286" t="s">
        <v>6470</v>
      </c>
      <c r="L21" s="226">
        <v>18</v>
      </c>
      <c r="M21" s="232" t="s">
        <v>6471</v>
      </c>
      <c r="N21" s="287"/>
      <c r="P21" s="288">
        <v>35</v>
      </c>
      <c r="Q21" s="289" t="s">
        <v>6472</v>
      </c>
      <c r="R21" s="290">
        <v>38.4</v>
      </c>
      <c r="S21" s="289" t="s">
        <v>6473</v>
      </c>
      <c r="T21" s="290">
        <v>39.25</v>
      </c>
      <c r="U21" s="289" t="s">
        <v>6474</v>
      </c>
      <c r="V21" s="291"/>
      <c r="W21" s="289"/>
      <c r="X21" s="291">
        <v>90</v>
      </c>
      <c r="Y21" s="289" t="s">
        <v>6475</v>
      </c>
      <c r="Z21" s="291"/>
      <c r="AA21" s="292"/>
      <c r="AB21" s="290">
        <v>100</v>
      </c>
      <c r="AC21" s="289" t="s">
        <v>6476</v>
      </c>
      <c r="AD21" s="293">
        <v>10000</v>
      </c>
      <c r="AE21" s="291">
        <v>95</v>
      </c>
      <c r="AF21" s="289" t="s">
        <v>6477</v>
      </c>
      <c r="AG21" s="294">
        <v>2</v>
      </c>
    </row>
    <row r="22" spans="3:33" ht="12" customHeight="1">
      <c r="I22" s="226">
        <v>19</v>
      </c>
      <c r="J22" s="286" t="s">
        <v>6478</v>
      </c>
      <c r="L22" s="226">
        <v>19</v>
      </c>
      <c r="M22" s="232" t="s">
        <v>6479</v>
      </c>
      <c r="N22" s="287"/>
      <c r="P22" s="288">
        <v>37</v>
      </c>
      <c r="Q22" s="289" t="s">
        <v>6480</v>
      </c>
      <c r="R22" s="290">
        <v>40.6</v>
      </c>
      <c r="S22" s="289" t="s">
        <v>6481</v>
      </c>
      <c r="T22" s="290">
        <v>41.5</v>
      </c>
      <c r="U22" s="289" t="s">
        <v>6482</v>
      </c>
      <c r="V22" s="291"/>
      <c r="W22" s="289"/>
      <c r="X22" s="291">
        <v>96</v>
      </c>
      <c r="Y22" s="289" t="s">
        <v>6483</v>
      </c>
      <c r="Z22" s="291"/>
      <c r="AA22" s="292"/>
      <c r="AB22" s="291"/>
      <c r="AC22" s="289"/>
      <c r="AD22" s="289"/>
      <c r="AE22" s="291">
        <v>99</v>
      </c>
      <c r="AF22" s="289" t="s">
        <v>6484</v>
      </c>
      <c r="AG22" s="294">
        <v>1</v>
      </c>
    </row>
    <row r="23" spans="3:33" ht="11.25" thickBot="1">
      <c r="I23" s="226">
        <v>20</v>
      </c>
      <c r="J23" s="286" t="s">
        <v>6485</v>
      </c>
      <c r="L23" s="226">
        <v>20</v>
      </c>
      <c r="M23" s="232" t="s">
        <v>6486</v>
      </c>
      <c r="N23" s="287"/>
      <c r="P23" s="288">
        <v>39</v>
      </c>
      <c r="Q23" s="289" t="s">
        <v>6487</v>
      </c>
      <c r="R23" s="290">
        <v>42.8</v>
      </c>
      <c r="S23" s="289" t="s">
        <v>6488</v>
      </c>
      <c r="T23" s="290">
        <v>43.75</v>
      </c>
      <c r="U23" s="289" t="s">
        <v>6489</v>
      </c>
      <c r="V23" s="291"/>
      <c r="W23" s="289"/>
      <c r="X23" s="291"/>
      <c r="Y23" s="289"/>
      <c r="Z23" s="291"/>
      <c r="AA23" s="292"/>
      <c r="AB23" s="291"/>
      <c r="AC23" s="289"/>
      <c r="AD23" s="289"/>
      <c r="AE23" s="291"/>
      <c r="AF23" s="289"/>
      <c r="AG23" s="320"/>
    </row>
    <row r="24" spans="3:33" ht="11.25" customHeight="1" thickBot="1">
      <c r="C24" s="242" t="s">
        <v>6490</v>
      </c>
      <c r="D24" s="321"/>
      <c r="E24" s="322" t="s">
        <v>5814</v>
      </c>
      <c r="F24" s="323" t="s">
        <v>6491</v>
      </c>
      <c r="I24" s="226">
        <v>21</v>
      </c>
      <c r="J24" s="286" t="s">
        <v>6492</v>
      </c>
      <c r="L24" s="226">
        <v>21</v>
      </c>
      <c r="M24" s="232" t="s">
        <v>6493</v>
      </c>
      <c r="N24" s="287"/>
      <c r="P24" s="288">
        <v>41</v>
      </c>
      <c r="Q24" s="289" t="s">
        <v>6494</v>
      </c>
      <c r="R24" s="290">
        <v>45</v>
      </c>
      <c r="S24" s="289" t="s">
        <v>6495</v>
      </c>
      <c r="T24" s="290">
        <v>46</v>
      </c>
      <c r="U24" s="289" t="s">
        <v>6496</v>
      </c>
      <c r="V24" s="291"/>
      <c r="W24" s="289"/>
      <c r="X24" s="291"/>
      <c r="Y24" s="289"/>
      <c r="Z24" s="291"/>
      <c r="AA24" s="292"/>
      <c r="AB24" s="291"/>
      <c r="AC24" s="289"/>
      <c r="AD24" s="289"/>
      <c r="AE24" s="291"/>
      <c r="AF24" s="289"/>
      <c r="AG24" s="320"/>
    </row>
    <row r="25" spans="3:33" ht="11.25" customHeight="1" thickBot="1">
      <c r="C25" s="324"/>
      <c r="D25" s="224" t="s">
        <v>5808</v>
      </c>
      <c r="E25" s="325" t="s">
        <v>6497</v>
      </c>
      <c r="F25" s="326" t="s">
        <v>6497</v>
      </c>
      <c r="I25" s="226">
        <v>22</v>
      </c>
      <c r="J25" s="286" t="s">
        <v>6498</v>
      </c>
      <c r="L25" s="226">
        <v>22</v>
      </c>
      <c r="M25" s="232" t="s">
        <v>6499</v>
      </c>
      <c r="N25" s="287"/>
      <c r="P25" s="288">
        <v>43</v>
      </c>
      <c r="Q25" s="289" t="s">
        <v>6500</v>
      </c>
      <c r="R25" s="290">
        <v>47.2</v>
      </c>
      <c r="S25" s="289" t="s">
        <v>6501</v>
      </c>
      <c r="T25" s="290">
        <v>48.25</v>
      </c>
      <c r="U25" s="289" t="s">
        <v>6502</v>
      </c>
      <c r="V25" s="291"/>
      <c r="W25" s="289"/>
      <c r="X25" s="291"/>
      <c r="Y25" s="289"/>
      <c r="Z25" s="291"/>
      <c r="AA25" s="292"/>
      <c r="AB25" s="291"/>
      <c r="AC25" s="289"/>
      <c r="AD25" s="289"/>
      <c r="AE25" s="291"/>
      <c r="AF25" s="289"/>
      <c r="AG25" s="320"/>
    </row>
    <row r="26" spans="3:33">
      <c r="C26" s="327">
        <v>1</v>
      </c>
      <c r="D26" s="328" t="s">
        <v>5786</v>
      </c>
      <c r="E26" s="329">
        <f ca="1">(RANDBETWEEN(1,4)+RANDBETWEEN(1,4)+RANDBETWEEN(1,4)+RANDBETWEEN(1,4)+RANDBETWEEN(1,4))*10</f>
        <v>90</v>
      </c>
      <c r="F26" s="330">
        <v>200</v>
      </c>
      <c r="I26" s="226">
        <v>23</v>
      </c>
      <c r="J26" s="286" t="s">
        <v>6503</v>
      </c>
      <c r="L26" s="226">
        <v>23</v>
      </c>
      <c r="M26" s="232" t="s">
        <v>6504</v>
      </c>
      <c r="N26" s="287"/>
      <c r="P26" s="288">
        <v>45</v>
      </c>
      <c r="Q26" s="289" t="s">
        <v>6505</v>
      </c>
      <c r="R26" s="290">
        <v>49.4</v>
      </c>
      <c r="S26" s="289" t="s">
        <v>6506</v>
      </c>
      <c r="T26" s="290">
        <v>50.5</v>
      </c>
      <c r="U26" s="289" t="s">
        <v>6507</v>
      </c>
      <c r="V26" s="291"/>
      <c r="W26" s="289"/>
      <c r="X26" s="291"/>
      <c r="Y26" s="289"/>
      <c r="Z26" s="291"/>
      <c r="AA26" s="292"/>
      <c r="AB26" s="291"/>
      <c r="AC26" s="289"/>
      <c r="AD26" s="289"/>
      <c r="AE26" s="291"/>
      <c r="AF26" s="289"/>
      <c r="AG26" s="320"/>
    </row>
    <row r="27" spans="3:33" ht="11.25" customHeight="1">
      <c r="C27" s="217">
        <v>2</v>
      </c>
      <c r="D27" s="331" t="s">
        <v>5788</v>
      </c>
      <c r="E27" s="332">
        <f ca="1">(RANDBETWEEN(1,4)+RANDBETWEEN(1,4)+RANDBETWEEN(1,4)+RANDBETWEEN(1,4)+RANDBETWEEN(1,4))*10</f>
        <v>120</v>
      </c>
      <c r="F27" s="333">
        <v>200</v>
      </c>
      <c r="I27" s="226">
        <v>24</v>
      </c>
      <c r="J27" s="286" t="s">
        <v>6508</v>
      </c>
      <c r="L27" s="226">
        <v>24</v>
      </c>
      <c r="M27" s="232" t="s">
        <v>6509</v>
      </c>
      <c r="N27" s="287"/>
      <c r="P27" s="288">
        <v>47</v>
      </c>
      <c r="Q27" s="289" t="s">
        <v>6510</v>
      </c>
      <c r="R27" s="290">
        <v>51.6</v>
      </c>
      <c r="S27" s="289" t="s">
        <v>6511</v>
      </c>
      <c r="T27" s="290">
        <v>52.75</v>
      </c>
      <c r="U27" s="289" t="s">
        <v>6512</v>
      </c>
      <c r="V27" s="291"/>
      <c r="W27" s="289"/>
      <c r="X27" s="291"/>
      <c r="Y27" s="289"/>
      <c r="Z27" s="291"/>
      <c r="AA27" s="292"/>
      <c r="AB27" s="291"/>
      <c r="AC27" s="289"/>
      <c r="AD27" s="289"/>
      <c r="AE27" s="291"/>
      <c r="AF27" s="289"/>
      <c r="AG27" s="320"/>
    </row>
    <row r="28" spans="3:33" ht="11.25" customHeight="1">
      <c r="C28" s="217">
        <v>3</v>
      </c>
      <c r="D28" s="331" t="s">
        <v>5789</v>
      </c>
      <c r="E28" s="332">
        <f ca="1">(RANDBETWEEN(1,4)+RANDBETWEEN(1,4)+RANDBETWEEN(1,4)+RANDBETWEEN(1,4))*10</f>
        <v>80</v>
      </c>
      <c r="F28" s="333">
        <v>160</v>
      </c>
      <c r="I28" s="226">
        <v>25</v>
      </c>
      <c r="J28" s="286" t="s">
        <v>6513</v>
      </c>
      <c r="L28" s="226">
        <v>25</v>
      </c>
      <c r="M28" s="232" t="s">
        <v>6514</v>
      </c>
      <c r="N28" s="287"/>
      <c r="P28" s="288">
        <v>49</v>
      </c>
      <c r="Q28" s="289" t="s">
        <v>6515</v>
      </c>
      <c r="R28" s="290">
        <v>53.8</v>
      </c>
      <c r="S28" s="289" t="s">
        <v>6516</v>
      </c>
      <c r="T28" s="290">
        <v>55</v>
      </c>
      <c r="U28" s="289" t="s">
        <v>6517</v>
      </c>
      <c r="V28" s="291"/>
      <c r="W28" s="289"/>
      <c r="X28" s="291"/>
      <c r="Y28" s="289"/>
      <c r="Z28" s="291"/>
      <c r="AA28" s="292"/>
      <c r="AB28" s="291"/>
      <c r="AC28" s="289"/>
      <c r="AD28" s="289"/>
      <c r="AE28" s="291"/>
      <c r="AF28" s="289"/>
      <c r="AG28" s="320"/>
    </row>
    <row r="29" spans="3:33" ht="12" customHeight="1">
      <c r="C29" s="217">
        <v>4</v>
      </c>
      <c r="D29" s="331" t="s">
        <v>951</v>
      </c>
      <c r="E29" s="332">
        <f ca="1">(RANDBETWEEN(1,4)+RANDBETWEEN(1,4)+RANDBETWEEN(1,4)+RANDBETWEEN(1,4))*10</f>
        <v>90</v>
      </c>
      <c r="F29" s="333">
        <v>160</v>
      </c>
      <c r="I29" s="226">
        <v>26</v>
      </c>
      <c r="J29" s="286" t="s">
        <v>6518</v>
      </c>
      <c r="L29" s="226">
        <v>26</v>
      </c>
      <c r="M29" s="232" t="s">
        <v>6519</v>
      </c>
      <c r="N29" s="287"/>
      <c r="P29" s="288">
        <v>51</v>
      </c>
      <c r="Q29" s="289" t="s">
        <v>6520</v>
      </c>
      <c r="R29" s="290">
        <v>56</v>
      </c>
      <c r="S29" s="289" t="s">
        <v>6521</v>
      </c>
      <c r="T29" s="290">
        <v>57.25</v>
      </c>
      <c r="U29" s="289" t="s">
        <v>6522</v>
      </c>
      <c r="V29" s="291"/>
      <c r="W29" s="289"/>
      <c r="X29" s="291"/>
      <c r="Y29" s="289"/>
      <c r="Z29" s="291"/>
      <c r="AA29" s="292"/>
      <c r="AB29" s="291"/>
      <c r="AC29" s="289"/>
      <c r="AD29" s="289"/>
      <c r="AE29" s="291"/>
      <c r="AF29" s="289"/>
      <c r="AG29" s="320"/>
    </row>
    <row r="30" spans="3:33" ht="11.25" customHeight="1">
      <c r="C30" s="217">
        <v>5</v>
      </c>
      <c r="D30" s="331" t="s">
        <v>5790</v>
      </c>
      <c r="E30" s="332">
        <f ca="1">(RANDBETWEEN(1,4)+RANDBETWEEN(1,4))*10</f>
        <v>50</v>
      </c>
      <c r="F30" s="333">
        <v>80</v>
      </c>
      <c r="I30" s="226">
        <v>27</v>
      </c>
      <c r="J30" s="286" t="s">
        <v>6523</v>
      </c>
      <c r="L30" s="226">
        <v>27</v>
      </c>
      <c r="M30" s="232" t="s">
        <v>6524</v>
      </c>
      <c r="N30" s="287"/>
      <c r="P30" s="288">
        <v>53</v>
      </c>
      <c r="Q30" s="289" t="s">
        <v>6525</v>
      </c>
      <c r="R30" s="290">
        <v>58.2</v>
      </c>
      <c r="S30" s="289" t="s">
        <v>6526</v>
      </c>
      <c r="T30" s="290">
        <v>59.5</v>
      </c>
      <c r="U30" s="289" t="s">
        <v>6527</v>
      </c>
      <c r="V30" s="291"/>
      <c r="W30" s="289"/>
      <c r="X30" s="291"/>
      <c r="Y30" s="289"/>
      <c r="Z30" s="291"/>
      <c r="AA30" s="292"/>
      <c r="AB30" s="291"/>
      <c r="AC30" s="289"/>
      <c r="AD30" s="289"/>
      <c r="AE30" s="291"/>
      <c r="AF30" s="289"/>
      <c r="AG30" s="320"/>
    </row>
    <row r="31" spans="3:33" ht="11.25" customHeight="1">
      <c r="C31" s="217">
        <v>6</v>
      </c>
      <c r="D31" s="331" t="s">
        <v>5791</v>
      </c>
      <c r="E31" s="332">
        <f ca="1">(RANDBETWEEN(1,4)+RANDBETWEEN(1,4)+RANDBETWEEN(1,4)+RANDBETWEEN(1,4)+RANDBETWEEN(1,4))*10</f>
        <v>150</v>
      </c>
      <c r="F31" s="333">
        <v>200</v>
      </c>
      <c r="I31" s="226">
        <v>28</v>
      </c>
      <c r="J31" s="286" t="s">
        <v>6528</v>
      </c>
      <c r="L31" s="226">
        <v>28</v>
      </c>
      <c r="M31" s="232" t="s">
        <v>6529</v>
      </c>
      <c r="N31" s="287"/>
      <c r="P31" s="288">
        <v>55</v>
      </c>
      <c r="Q31" s="289" t="s">
        <v>6530</v>
      </c>
      <c r="R31" s="290">
        <v>60.4</v>
      </c>
      <c r="S31" s="289" t="s">
        <v>6531</v>
      </c>
      <c r="T31" s="290">
        <v>61.75</v>
      </c>
      <c r="U31" s="289" t="s">
        <v>6532</v>
      </c>
      <c r="V31" s="291"/>
      <c r="W31" s="289"/>
      <c r="X31" s="291"/>
      <c r="Y31" s="289"/>
      <c r="Z31" s="291"/>
      <c r="AA31" s="292"/>
      <c r="AB31" s="291"/>
      <c r="AC31" s="289"/>
      <c r="AD31" s="289"/>
      <c r="AE31" s="291"/>
      <c r="AF31" s="289"/>
      <c r="AG31" s="320"/>
    </row>
    <row r="32" spans="3:33" ht="12" customHeight="1">
      <c r="C32" s="217">
        <v>7</v>
      </c>
      <c r="D32" s="331" t="s">
        <v>4781</v>
      </c>
      <c r="E32" s="332">
        <f ca="1">(RANDBETWEEN(1,4)+RANDBETWEEN(1,4))*10</f>
        <v>60</v>
      </c>
      <c r="F32" s="333">
        <v>80</v>
      </c>
      <c r="I32" s="226">
        <v>29</v>
      </c>
      <c r="J32" s="286" t="s">
        <v>6533</v>
      </c>
      <c r="L32" s="226">
        <v>29</v>
      </c>
      <c r="M32" s="232" t="s">
        <v>6534</v>
      </c>
      <c r="N32" s="287"/>
      <c r="P32" s="288">
        <v>57</v>
      </c>
      <c r="Q32" s="289" t="s">
        <v>6535</v>
      </c>
      <c r="R32" s="290">
        <v>62.6</v>
      </c>
      <c r="S32" s="289" t="s">
        <v>6536</v>
      </c>
      <c r="T32" s="290">
        <v>64</v>
      </c>
      <c r="U32" s="289" t="s">
        <v>6537</v>
      </c>
      <c r="V32" s="291"/>
      <c r="W32" s="289"/>
      <c r="X32" s="291"/>
      <c r="Y32" s="289"/>
      <c r="Z32" s="291"/>
      <c r="AA32" s="292"/>
      <c r="AB32" s="291"/>
      <c r="AC32" s="289"/>
      <c r="AD32" s="289"/>
      <c r="AE32" s="291"/>
      <c r="AF32" s="289"/>
      <c r="AG32" s="320"/>
    </row>
    <row r="33" spans="2:37" ht="11.25" customHeight="1">
      <c r="C33" s="217">
        <v>8</v>
      </c>
      <c r="D33" s="331" t="s">
        <v>5792</v>
      </c>
      <c r="E33" s="332">
        <f ca="1">(RANDBETWEEN(1,4)+RANDBETWEEN(1,4)+RANDBETWEEN(1,4)+RANDBETWEEN(1,4)+RANDBETWEEN(1,4))</f>
        <v>9</v>
      </c>
      <c r="F33" s="333">
        <v>20</v>
      </c>
      <c r="I33" s="226">
        <v>30</v>
      </c>
      <c r="J33" s="286" t="s">
        <v>6538</v>
      </c>
      <c r="L33" s="226">
        <v>30</v>
      </c>
      <c r="M33" s="232" t="s">
        <v>6539</v>
      </c>
      <c r="N33" s="287"/>
      <c r="P33" s="288">
        <v>59</v>
      </c>
      <c r="Q33" s="289" t="s">
        <v>6540</v>
      </c>
      <c r="R33" s="290">
        <v>64.8</v>
      </c>
      <c r="S33" s="289" t="s">
        <v>6541</v>
      </c>
      <c r="T33" s="290">
        <v>66.25</v>
      </c>
      <c r="U33" s="289" t="s">
        <v>6542</v>
      </c>
      <c r="V33" s="291"/>
      <c r="W33" s="289"/>
      <c r="X33" s="291"/>
      <c r="Y33" s="289"/>
      <c r="Z33" s="291"/>
      <c r="AA33" s="292"/>
      <c r="AB33" s="291"/>
      <c r="AC33" s="289"/>
      <c r="AD33" s="289"/>
      <c r="AE33" s="291"/>
      <c r="AF33" s="289"/>
      <c r="AG33" s="320"/>
    </row>
    <row r="34" spans="2:37" ht="11.25" customHeight="1">
      <c r="C34" s="217">
        <v>9</v>
      </c>
      <c r="D34" s="331" t="s">
        <v>5793</v>
      </c>
      <c r="E34" s="332">
        <f ca="1">(RANDBETWEEN(1,4)+RANDBETWEEN(1,4)+RANDBETWEEN(1,4)+RANDBETWEEN(1,4)+RANDBETWEEN(1,4))*10</f>
        <v>80</v>
      </c>
      <c r="F34" s="333">
        <v>200</v>
      </c>
      <c r="I34" s="226">
        <v>31</v>
      </c>
      <c r="J34" s="286" t="s">
        <v>6543</v>
      </c>
      <c r="L34" s="226">
        <v>31</v>
      </c>
      <c r="M34" s="232" t="s">
        <v>6544</v>
      </c>
      <c r="N34" s="287"/>
      <c r="P34" s="288">
        <v>61</v>
      </c>
      <c r="Q34" s="289" t="s">
        <v>6545</v>
      </c>
      <c r="R34" s="290">
        <v>67</v>
      </c>
      <c r="S34" s="289" t="s">
        <v>6546</v>
      </c>
      <c r="T34" s="290">
        <v>68.5</v>
      </c>
      <c r="U34" s="289" t="s">
        <v>6547</v>
      </c>
      <c r="V34" s="291"/>
      <c r="W34" s="289"/>
      <c r="X34" s="291"/>
      <c r="Y34" s="289"/>
      <c r="Z34" s="291"/>
      <c r="AA34" s="292"/>
      <c r="AB34" s="291"/>
      <c r="AC34" s="289"/>
      <c r="AD34" s="289"/>
      <c r="AE34" s="291"/>
      <c r="AF34" s="289"/>
      <c r="AG34" s="320"/>
    </row>
    <row r="35" spans="2:37" ht="11.25" customHeight="1">
      <c r="C35" s="217">
        <v>10</v>
      </c>
      <c r="D35" s="331" t="s">
        <v>5794</v>
      </c>
      <c r="E35" s="332">
        <f ca="1">(RANDBETWEEN(1,4)+RANDBETWEEN(1,4)+RANDBETWEEN(1,4)+RANDBETWEEN(1,4)+RANDBETWEEN(1,4))*10</f>
        <v>130</v>
      </c>
      <c r="F35" s="333">
        <v>200</v>
      </c>
      <c r="I35" s="226">
        <v>32</v>
      </c>
      <c r="J35" s="286" t="s">
        <v>6548</v>
      </c>
      <c r="L35" s="226">
        <v>32</v>
      </c>
      <c r="M35" s="232" t="s">
        <v>6549</v>
      </c>
      <c r="N35" s="287"/>
      <c r="P35" s="288">
        <v>63</v>
      </c>
      <c r="Q35" s="289" t="s">
        <v>6550</v>
      </c>
      <c r="R35" s="290">
        <v>69.2</v>
      </c>
      <c r="S35" s="289" t="s">
        <v>6551</v>
      </c>
      <c r="T35" s="290">
        <v>70.75</v>
      </c>
      <c r="U35" s="289" t="s">
        <v>6552</v>
      </c>
      <c r="V35" s="291"/>
      <c r="W35" s="289"/>
      <c r="X35" s="291"/>
      <c r="Y35" s="289"/>
      <c r="Z35" s="291"/>
      <c r="AA35" s="292"/>
      <c r="AB35" s="291"/>
      <c r="AC35" s="289"/>
      <c r="AD35" s="289"/>
      <c r="AE35" s="291"/>
      <c r="AF35" s="289"/>
      <c r="AG35" s="320"/>
    </row>
    <row r="36" spans="2:37" ht="11.25" customHeight="1">
      <c r="C36" s="217">
        <v>11</v>
      </c>
      <c r="D36" s="331" t="s">
        <v>5795</v>
      </c>
      <c r="E36" s="332">
        <f ca="1">(RANDBETWEEN(1,4)+RANDBETWEEN(1,4)+RANDBETWEEN(1,4))*10</f>
        <v>80</v>
      </c>
      <c r="F36" s="333">
        <v>120</v>
      </c>
      <c r="I36" s="226">
        <v>33</v>
      </c>
      <c r="J36" s="286" t="s">
        <v>6553</v>
      </c>
      <c r="L36" s="226">
        <v>33</v>
      </c>
      <c r="M36" s="232" t="s">
        <v>6554</v>
      </c>
      <c r="N36" s="287"/>
      <c r="P36" s="288">
        <v>65</v>
      </c>
      <c r="Q36" s="289" t="s">
        <v>6555</v>
      </c>
      <c r="R36" s="290">
        <v>71.400000000000006</v>
      </c>
      <c r="S36" s="289" t="s">
        <v>6556</v>
      </c>
      <c r="T36" s="290">
        <v>73</v>
      </c>
      <c r="U36" s="289" t="s">
        <v>6557</v>
      </c>
      <c r="V36" s="291"/>
      <c r="W36" s="289"/>
      <c r="X36" s="291"/>
      <c r="Y36" s="289"/>
      <c r="Z36" s="291"/>
      <c r="AA36" s="292"/>
      <c r="AB36" s="291"/>
      <c r="AC36" s="289"/>
      <c r="AD36" s="289"/>
      <c r="AE36" s="291"/>
      <c r="AF36" s="289"/>
      <c r="AG36" s="320"/>
      <c r="AJ36" s="214"/>
      <c r="AK36" s="214"/>
    </row>
    <row r="37" spans="2:37" ht="11.25" customHeight="1" thickBot="1">
      <c r="C37" s="218">
        <v>12</v>
      </c>
      <c r="D37" s="334" t="s">
        <v>5796</v>
      </c>
      <c r="E37" s="335">
        <f ca="1">(RANDBETWEEN(1,4)+RANDBETWEEN(1,4)+RANDBETWEEN(1,4)+RANDBETWEEN(1,4))*10</f>
        <v>100</v>
      </c>
      <c r="F37" s="336">
        <v>160</v>
      </c>
      <c r="I37" s="226">
        <v>34</v>
      </c>
      <c r="J37" s="286" t="s">
        <v>6558</v>
      </c>
      <c r="L37" s="226">
        <v>34</v>
      </c>
      <c r="M37" s="232" t="s">
        <v>6559</v>
      </c>
      <c r="N37" s="287"/>
      <c r="P37" s="288">
        <v>67</v>
      </c>
      <c r="Q37" s="289" t="s">
        <v>6560</v>
      </c>
      <c r="R37" s="290">
        <v>73.599999999999994</v>
      </c>
      <c r="S37" s="289" t="s">
        <v>6561</v>
      </c>
      <c r="T37" s="290">
        <v>75.25</v>
      </c>
      <c r="U37" s="289" t="s">
        <v>6562</v>
      </c>
      <c r="V37" s="291"/>
      <c r="W37" s="289"/>
      <c r="X37" s="291"/>
      <c r="Y37" s="289"/>
      <c r="Z37" s="291"/>
      <c r="AA37" s="292"/>
      <c r="AB37" s="291"/>
      <c r="AC37" s="289"/>
      <c r="AD37" s="289"/>
      <c r="AE37" s="291"/>
      <c r="AF37" s="289"/>
      <c r="AG37" s="320"/>
      <c r="AJ37" s="214"/>
      <c r="AK37" s="214"/>
    </row>
    <row r="38" spans="2:37" ht="11.25" customHeight="1">
      <c r="I38" s="226">
        <v>35</v>
      </c>
      <c r="J38" s="286" t="s">
        <v>6563</v>
      </c>
      <c r="L38" s="226">
        <v>35</v>
      </c>
      <c r="M38" s="232" t="s">
        <v>6564</v>
      </c>
      <c r="N38" s="287"/>
      <c r="P38" s="288">
        <v>69</v>
      </c>
      <c r="Q38" s="289" t="s">
        <v>6565</v>
      </c>
      <c r="R38" s="290">
        <v>75.8</v>
      </c>
      <c r="S38" s="289" t="s">
        <v>6566</v>
      </c>
      <c r="T38" s="290">
        <v>77.5</v>
      </c>
      <c r="U38" s="289" t="s">
        <v>6567</v>
      </c>
      <c r="V38" s="291"/>
      <c r="W38" s="289"/>
      <c r="X38" s="291"/>
      <c r="Y38" s="289"/>
      <c r="Z38" s="291"/>
      <c r="AA38" s="292"/>
      <c r="AB38" s="291"/>
      <c r="AC38" s="289"/>
      <c r="AD38" s="289"/>
      <c r="AE38" s="291"/>
      <c r="AF38" s="289"/>
      <c r="AG38" s="320"/>
      <c r="AJ38" s="214"/>
      <c r="AK38" s="214"/>
    </row>
    <row r="39" spans="2:37" ht="11.25" customHeight="1" thickBot="1">
      <c r="I39" s="226">
        <v>36</v>
      </c>
      <c r="J39" s="286" t="s">
        <v>6568</v>
      </c>
      <c r="L39" s="226">
        <v>36</v>
      </c>
      <c r="M39" s="232" t="s">
        <v>6569</v>
      </c>
      <c r="N39" s="287"/>
      <c r="P39" s="288">
        <v>71</v>
      </c>
      <c r="Q39" s="289" t="s">
        <v>6570</v>
      </c>
      <c r="R39" s="290">
        <v>78</v>
      </c>
      <c r="S39" s="289" t="s">
        <v>6571</v>
      </c>
      <c r="T39" s="290">
        <v>79.75</v>
      </c>
      <c r="U39" s="289" t="s">
        <v>6572</v>
      </c>
      <c r="V39" s="291"/>
      <c r="W39" s="289"/>
      <c r="X39" s="291"/>
      <c r="Y39" s="289"/>
      <c r="Z39" s="291"/>
      <c r="AA39" s="292"/>
      <c r="AB39" s="291"/>
      <c r="AC39" s="289"/>
      <c r="AD39" s="289"/>
      <c r="AE39" s="291"/>
      <c r="AF39" s="289"/>
      <c r="AG39" s="320"/>
      <c r="AJ39" s="214"/>
      <c r="AK39" s="214"/>
    </row>
    <row r="40" spans="2:37" ht="11.25" customHeight="1" thickBot="1">
      <c r="B40" s="216" t="s">
        <v>6573</v>
      </c>
      <c r="C40" s="240"/>
      <c r="D40" s="240"/>
      <c r="E40" s="240"/>
      <c r="F40" s="240"/>
      <c r="G40" s="241"/>
      <c r="I40" s="226">
        <v>37</v>
      </c>
      <c r="J40" s="286" t="s">
        <v>6574</v>
      </c>
      <c r="L40" s="226">
        <v>37</v>
      </c>
      <c r="M40" s="232" t="s">
        <v>6575</v>
      </c>
      <c r="N40" s="287"/>
      <c r="P40" s="288">
        <v>73</v>
      </c>
      <c r="Q40" s="289" t="s">
        <v>6576</v>
      </c>
      <c r="R40" s="290">
        <v>80.2</v>
      </c>
      <c r="S40" s="289" t="s">
        <v>6577</v>
      </c>
      <c r="T40" s="290">
        <v>82</v>
      </c>
      <c r="U40" s="289" t="s">
        <v>6578</v>
      </c>
      <c r="V40" s="291"/>
      <c r="W40" s="289"/>
      <c r="X40" s="291"/>
      <c r="Y40" s="289"/>
      <c r="Z40" s="291"/>
      <c r="AA40" s="292"/>
      <c r="AB40" s="291"/>
      <c r="AC40" s="289"/>
      <c r="AD40" s="289"/>
      <c r="AE40" s="291"/>
      <c r="AF40" s="289"/>
      <c r="AG40" s="320"/>
      <c r="AJ40" s="214"/>
      <c r="AK40" s="214"/>
    </row>
    <row r="41" spans="2:37" ht="11.25" customHeight="1" thickBot="1">
      <c r="B41" s="337" t="s">
        <v>5797</v>
      </c>
      <c r="C41" s="338" t="s">
        <v>5808</v>
      </c>
      <c r="D41" s="338" t="s">
        <v>6497</v>
      </c>
      <c r="E41" s="339" t="s">
        <v>6579</v>
      </c>
      <c r="F41" s="339" t="s">
        <v>6580</v>
      </c>
      <c r="G41" s="340" t="s">
        <v>6581</v>
      </c>
      <c r="I41" s="226">
        <v>38</v>
      </c>
      <c r="J41" s="286" t="s">
        <v>6582</v>
      </c>
      <c r="L41" s="226">
        <v>38</v>
      </c>
      <c r="M41" s="232" t="s">
        <v>6583</v>
      </c>
      <c r="N41" s="287"/>
      <c r="P41" s="288">
        <v>75</v>
      </c>
      <c r="Q41" s="289" t="s">
        <v>6584</v>
      </c>
      <c r="R41" s="290">
        <v>82.4</v>
      </c>
      <c r="S41" s="289" t="s">
        <v>6585</v>
      </c>
      <c r="T41" s="290">
        <v>84.25</v>
      </c>
      <c r="U41" s="289" t="s">
        <v>6586</v>
      </c>
      <c r="V41" s="291"/>
      <c r="W41" s="289"/>
      <c r="X41" s="291"/>
      <c r="Y41" s="289"/>
      <c r="Z41" s="291"/>
      <c r="AA41" s="292"/>
      <c r="AB41" s="291"/>
      <c r="AC41" s="289"/>
      <c r="AD41" s="289"/>
      <c r="AE41" s="291"/>
      <c r="AF41" s="289"/>
      <c r="AG41" s="320"/>
      <c r="AJ41" s="214"/>
      <c r="AK41" s="214"/>
    </row>
    <row r="42" spans="2:37" ht="12" customHeight="1">
      <c r="B42" s="228">
        <v>1</v>
      </c>
      <c r="C42" s="341" t="s">
        <v>6587</v>
      </c>
      <c r="D42" s="342">
        <f>IF([4]USER!AL6&lt;=1,VLOOKUP([4]MATH!C8,$C$26:$F$37,3),VLOOKUP([4]MATH!C8,$C$26:$F$37,4))</f>
        <v>160</v>
      </c>
      <c r="E42" s="343"/>
      <c r="F42" s="343"/>
      <c r="G42" s="344">
        <f t="shared" ref="G42:G61" si="0">D42-E42</f>
        <v>160</v>
      </c>
      <c r="I42" s="226">
        <v>39</v>
      </c>
      <c r="J42" s="286" t="s">
        <v>6588</v>
      </c>
      <c r="L42" s="226">
        <v>39</v>
      </c>
      <c r="M42" s="232" t="s">
        <v>6589</v>
      </c>
      <c r="N42" s="287"/>
      <c r="P42" s="288">
        <v>77</v>
      </c>
      <c r="Q42" s="289" t="s">
        <v>6590</v>
      </c>
      <c r="R42" s="290">
        <v>84.6</v>
      </c>
      <c r="S42" s="289" t="s">
        <v>6591</v>
      </c>
      <c r="T42" s="290">
        <v>86.5</v>
      </c>
      <c r="U42" s="289" t="s">
        <v>6592</v>
      </c>
      <c r="V42" s="291"/>
      <c r="W42" s="289"/>
      <c r="X42" s="291"/>
      <c r="Y42" s="289"/>
      <c r="Z42" s="291"/>
      <c r="AA42" s="292"/>
      <c r="AB42" s="291"/>
      <c r="AC42" s="289"/>
      <c r="AD42" s="289"/>
      <c r="AE42" s="291"/>
      <c r="AF42" s="289"/>
      <c r="AG42" s="320"/>
      <c r="AJ42" s="214"/>
      <c r="AK42" s="214"/>
    </row>
    <row r="43" spans="2:37" ht="11.25" customHeight="1">
      <c r="B43" s="225">
        <v>2</v>
      </c>
      <c r="C43" s="345" t="s">
        <v>6593</v>
      </c>
      <c r="D43" s="346">
        <f ca="1">VLOOKUP([4]MATH!$C$8,$C$26:$F$37,3)</f>
        <v>90</v>
      </c>
      <c r="E43" s="347"/>
      <c r="F43" s="347"/>
      <c r="G43" s="348">
        <f t="shared" ca="1" si="0"/>
        <v>90</v>
      </c>
      <c r="I43" s="226">
        <v>40</v>
      </c>
      <c r="J43" s="286" t="s">
        <v>6594</v>
      </c>
      <c r="L43" s="226">
        <v>40</v>
      </c>
      <c r="M43" s="232" t="s">
        <v>6595</v>
      </c>
      <c r="N43" s="287"/>
      <c r="P43" s="288">
        <v>79</v>
      </c>
      <c r="Q43" s="289" t="s">
        <v>6596</v>
      </c>
      <c r="R43" s="290">
        <v>86.8</v>
      </c>
      <c r="S43" s="289" t="s">
        <v>6597</v>
      </c>
      <c r="T43" s="290">
        <v>88.75</v>
      </c>
      <c r="U43" s="289" t="s">
        <v>6598</v>
      </c>
      <c r="V43" s="291"/>
      <c r="W43" s="289"/>
      <c r="X43" s="291"/>
      <c r="Y43" s="289"/>
      <c r="Z43" s="291"/>
      <c r="AA43" s="292"/>
      <c r="AB43" s="291"/>
      <c r="AC43" s="289"/>
      <c r="AD43" s="289"/>
      <c r="AE43" s="291"/>
      <c r="AF43" s="289"/>
      <c r="AG43" s="320"/>
      <c r="AJ43" s="214"/>
      <c r="AK43" s="214"/>
    </row>
    <row r="44" spans="2:37" ht="11.25" customHeight="1">
      <c r="B44" s="225">
        <v>3</v>
      </c>
      <c r="C44" s="345" t="s">
        <v>6599</v>
      </c>
      <c r="D44" s="346">
        <f ca="1">VLOOKUP([4]MATH!$C$8,$C$26:$F$37,3)</f>
        <v>90</v>
      </c>
      <c r="E44" s="347"/>
      <c r="F44" s="347"/>
      <c r="G44" s="348">
        <f t="shared" ca="1" si="0"/>
        <v>90</v>
      </c>
      <c r="I44" s="226">
        <v>41</v>
      </c>
      <c r="J44" s="286" t="s">
        <v>6600</v>
      </c>
      <c r="L44" s="226">
        <v>41</v>
      </c>
      <c r="M44" s="232" t="s">
        <v>6601</v>
      </c>
      <c r="N44" s="287"/>
      <c r="P44" s="288">
        <v>81</v>
      </c>
      <c r="Q44" s="289" t="s">
        <v>6602</v>
      </c>
      <c r="R44" s="290">
        <v>89</v>
      </c>
      <c r="S44" s="289" t="s">
        <v>6603</v>
      </c>
      <c r="T44" s="290">
        <v>91</v>
      </c>
      <c r="U44" s="289" t="s">
        <v>6604</v>
      </c>
      <c r="V44" s="291"/>
      <c r="W44" s="289"/>
      <c r="X44" s="291"/>
      <c r="Y44" s="289"/>
      <c r="Z44" s="291"/>
      <c r="AA44" s="292"/>
      <c r="AB44" s="291"/>
      <c r="AC44" s="289"/>
      <c r="AD44" s="289"/>
      <c r="AE44" s="291"/>
      <c r="AF44" s="289"/>
      <c r="AG44" s="320"/>
      <c r="AJ44" s="214"/>
      <c r="AK44" s="214"/>
    </row>
    <row r="45" spans="2:37" ht="11.25" customHeight="1">
      <c r="B45" s="225">
        <v>4</v>
      </c>
      <c r="C45" s="345" t="s">
        <v>6605</v>
      </c>
      <c r="D45" s="346">
        <f ca="1">VLOOKUP([4]MATH!$C$8,$C$26:$F$37,3)</f>
        <v>90</v>
      </c>
      <c r="E45" s="347"/>
      <c r="F45" s="347"/>
      <c r="G45" s="348">
        <f t="shared" ca="1" si="0"/>
        <v>90</v>
      </c>
      <c r="I45" s="226">
        <v>42</v>
      </c>
      <c r="J45" s="286" t="s">
        <v>6606</v>
      </c>
      <c r="L45" s="226">
        <v>42</v>
      </c>
      <c r="M45" s="232" t="s">
        <v>6607</v>
      </c>
      <c r="N45" s="287"/>
      <c r="P45" s="288">
        <v>83</v>
      </c>
      <c r="Q45" s="289" t="s">
        <v>6608</v>
      </c>
      <c r="R45" s="290">
        <v>91.2</v>
      </c>
      <c r="S45" s="289" t="s">
        <v>6609</v>
      </c>
      <c r="T45" s="290">
        <v>93.25</v>
      </c>
      <c r="U45" s="289" t="s">
        <v>6610</v>
      </c>
      <c r="V45" s="291"/>
      <c r="W45" s="289"/>
      <c r="X45" s="291"/>
      <c r="Y45" s="289"/>
      <c r="Z45" s="291"/>
      <c r="AA45" s="292"/>
      <c r="AB45" s="291"/>
      <c r="AC45" s="289"/>
      <c r="AD45" s="289"/>
      <c r="AE45" s="291"/>
      <c r="AF45" s="289"/>
      <c r="AG45" s="320"/>
      <c r="AJ45" s="214"/>
      <c r="AK45" s="214"/>
    </row>
    <row r="46" spans="2:37" ht="12" customHeight="1">
      <c r="B46" s="225">
        <v>5</v>
      </c>
      <c r="C46" s="345" t="s">
        <v>6611</v>
      </c>
      <c r="D46" s="349">
        <f t="shared" ref="D46:D51" ca="1" si="1">500+((RANDBETWEEN(1,10)*25))</f>
        <v>625</v>
      </c>
      <c r="E46" s="347"/>
      <c r="F46" s="347"/>
      <c r="G46" s="348">
        <f t="shared" ca="1" si="0"/>
        <v>625</v>
      </c>
      <c r="I46" s="226">
        <v>43</v>
      </c>
      <c r="J46" s="286" t="s">
        <v>6612</v>
      </c>
      <c r="L46" s="226">
        <v>43</v>
      </c>
      <c r="M46" s="232" t="s">
        <v>6613</v>
      </c>
      <c r="N46" s="287"/>
      <c r="P46" s="288">
        <v>85</v>
      </c>
      <c r="Q46" s="289" t="s">
        <v>6614</v>
      </c>
      <c r="R46" s="290">
        <v>93.4</v>
      </c>
      <c r="S46" s="289" t="s">
        <v>6615</v>
      </c>
      <c r="T46" s="290">
        <v>95.5</v>
      </c>
      <c r="U46" s="289" t="s">
        <v>6616</v>
      </c>
      <c r="V46" s="291"/>
      <c r="W46" s="289"/>
      <c r="X46" s="291"/>
      <c r="Y46" s="289"/>
      <c r="Z46" s="291"/>
      <c r="AA46" s="292"/>
      <c r="AB46" s="291"/>
      <c r="AC46" s="289"/>
      <c r="AD46" s="289"/>
      <c r="AE46" s="291"/>
      <c r="AF46" s="289"/>
      <c r="AG46" s="320"/>
      <c r="AJ46" s="214"/>
      <c r="AK46" s="214"/>
    </row>
    <row r="47" spans="2:37" ht="11.25" customHeight="1">
      <c r="B47" s="225">
        <v>6</v>
      </c>
      <c r="C47" s="345" t="s">
        <v>6617</v>
      </c>
      <c r="D47" s="349">
        <f t="shared" ca="1" si="1"/>
        <v>750</v>
      </c>
      <c r="E47" s="347"/>
      <c r="F47" s="347"/>
      <c r="G47" s="348">
        <f t="shared" ca="1" si="0"/>
        <v>750</v>
      </c>
      <c r="I47" s="226">
        <v>44</v>
      </c>
      <c r="J47" s="286" t="s">
        <v>6618</v>
      </c>
      <c r="L47" s="226">
        <v>44</v>
      </c>
      <c r="M47" s="232" t="s">
        <v>6619</v>
      </c>
      <c r="N47" s="287"/>
      <c r="P47" s="288">
        <v>87</v>
      </c>
      <c r="Q47" s="289" t="s">
        <v>6620</v>
      </c>
      <c r="R47" s="290">
        <v>95.6</v>
      </c>
      <c r="S47" s="289" t="s">
        <v>6621</v>
      </c>
      <c r="T47" s="290">
        <v>97.75</v>
      </c>
      <c r="U47" s="289" t="s">
        <v>6622</v>
      </c>
      <c r="V47" s="291"/>
      <c r="W47" s="289"/>
      <c r="X47" s="291"/>
      <c r="Y47" s="289"/>
      <c r="Z47" s="291"/>
      <c r="AA47" s="292"/>
      <c r="AB47" s="291"/>
      <c r="AC47" s="289"/>
      <c r="AD47" s="289"/>
      <c r="AE47" s="291"/>
      <c r="AF47" s="289"/>
      <c r="AG47" s="320"/>
      <c r="AJ47" s="214"/>
      <c r="AK47" s="214"/>
    </row>
    <row r="48" spans="2:37" ht="11.25" customHeight="1">
      <c r="B48" s="225">
        <v>7</v>
      </c>
      <c r="C48" s="345" t="s">
        <v>6623</v>
      </c>
      <c r="D48" s="349">
        <f t="shared" ca="1" si="1"/>
        <v>600</v>
      </c>
      <c r="E48" s="347"/>
      <c r="F48" s="347"/>
      <c r="G48" s="348">
        <f t="shared" ca="1" si="0"/>
        <v>600</v>
      </c>
      <c r="I48" s="226">
        <v>45</v>
      </c>
      <c r="J48" s="286" t="s">
        <v>6624</v>
      </c>
      <c r="L48" s="226">
        <v>45</v>
      </c>
      <c r="M48" s="232" t="s">
        <v>6625</v>
      </c>
      <c r="N48" s="287"/>
      <c r="P48" s="288">
        <v>89</v>
      </c>
      <c r="Q48" s="289" t="s">
        <v>6626</v>
      </c>
      <c r="R48" s="290">
        <v>97.8</v>
      </c>
      <c r="S48" s="289" t="s">
        <v>6627</v>
      </c>
      <c r="T48" s="290">
        <v>100</v>
      </c>
      <c r="U48" s="289" t="s">
        <v>6628</v>
      </c>
      <c r="V48" s="291"/>
      <c r="W48" s="289"/>
      <c r="X48" s="291"/>
      <c r="Y48" s="289"/>
      <c r="Z48" s="291"/>
      <c r="AA48" s="292"/>
      <c r="AB48" s="291"/>
      <c r="AC48" s="289"/>
      <c r="AD48" s="289"/>
      <c r="AE48" s="291"/>
      <c r="AF48" s="289"/>
      <c r="AG48" s="320"/>
      <c r="AJ48" s="214"/>
      <c r="AK48" s="214"/>
    </row>
    <row r="49" spans="2:37" ht="12" customHeight="1">
      <c r="B49" s="225">
        <v>8</v>
      </c>
      <c r="C49" s="345" t="s">
        <v>6629</v>
      </c>
      <c r="D49" s="349">
        <f t="shared" ca="1" si="1"/>
        <v>750</v>
      </c>
      <c r="E49" s="347"/>
      <c r="F49" s="347"/>
      <c r="G49" s="348">
        <f t="shared" ca="1" si="0"/>
        <v>750</v>
      </c>
      <c r="I49" s="226">
        <v>46</v>
      </c>
      <c r="J49" s="286" t="s">
        <v>6630</v>
      </c>
      <c r="L49" s="226">
        <v>46</v>
      </c>
      <c r="M49" s="232" t="s">
        <v>6631</v>
      </c>
      <c r="N49" s="287"/>
      <c r="P49" s="288">
        <v>91</v>
      </c>
      <c r="Q49" s="289" t="s">
        <v>6632</v>
      </c>
      <c r="R49" s="290">
        <v>100</v>
      </c>
      <c r="S49" s="289" t="s">
        <v>6633</v>
      </c>
      <c r="T49" s="291"/>
      <c r="U49" s="289"/>
      <c r="V49" s="291"/>
      <c r="W49" s="289"/>
      <c r="X49" s="291"/>
      <c r="Y49" s="289"/>
      <c r="Z49" s="291"/>
      <c r="AA49" s="292"/>
      <c r="AB49" s="291"/>
      <c r="AC49" s="289"/>
      <c r="AD49" s="289"/>
      <c r="AE49" s="291"/>
      <c r="AF49" s="289"/>
      <c r="AG49" s="320"/>
      <c r="AJ49" s="214"/>
      <c r="AK49" s="214"/>
    </row>
    <row r="50" spans="2:37">
      <c r="B50" s="225">
        <v>9</v>
      </c>
      <c r="C50" s="345" t="s">
        <v>6634</v>
      </c>
      <c r="D50" s="349">
        <f t="shared" ca="1" si="1"/>
        <v>725</v>
      </c>
      <c r="E50" s="347"/>
      <c r="F50" s="347"/>
      <c r="G50" s="348">
        <f t="shared" ca="1" si="0"/>
        <v>725</v>
      </c>
      <c r="I50" s="226">
        <v>47</v>
      </c>
      <c r="J50" s="286" t="s">
        <v>6635</v>
      </c>
      <c r="L50" s="226">
        <v>47</v>
      </c>
      <c r="M50" s="232" t="s">
        <v>6636</v>
      </c>
      <c r="N50" s="287"/>
      <c r="P50" s="288">
        <v>93</v>
      </c>
      <c r="Q50" s="289" t="s">
        <v>6637</v>
      </c>
      <c r="R50" s="291"/>
      <c r="S50" s="289"/>
      <c r="T50" s="291"/>
      <c r="U50" s="289"/>
      <c r="V50" s="291"/>
      <c r="W50" s="289"/>
      <c r="X50" s="291"/>
      <c r="Y50" s="289"/>
      <c r="Z50" s="291"/>
      <c r="AA50" s="292"/>
      <c r="AB50" s="291"/>
      <c r="AC50" s="289"/>
      <c r="AD50" s="289"/>
      <c r="AE50" s="291"/>
      <c r="AF50" s="289"/>
      <c r="AG50" s="320"/>
      <c r="AJ50" s="214"/>
      <c r="AK50" s="214"/>
    </row>
    <row r="51" spans="2:37">
      <c r="B51" s="225">
        <v>10</v>
      </c>
      <c r="C51" s="345" t="s">
        <v>6638</v>
      </c>
      <c r="D51" s="349">
        <f t="shared" ca="1" si="1"/>
        <v>525</v>
      </c>
      <c r="E51" s="347"/>
      <c r="F51" s="347"/>
      <c r="G51" s="348">
        <f t="shared" ca="1" si="0"/>
        <v>525</v>
      </c>
      <c r="I51" s="226">
        <v>48</v>
      </c>
      <c r="J51" s="286" t="s">
        <v>6639</v>
      </c>
      <c r="L51" s="226">
        <v>48</v>
      </c>
      <c r="M51" s="232" t="s">
        <v>6640</v>
      </c>
      <c r="N51" s="287"/>
      <c r="P51" s="288">
        <v>95</v>
      </c>
      <c r="Q51" s="289" t="s">
        <v>6641</v>
      </c>
      <c r="R51" s="291"/>
      <c r="S51" s="289"/>
      <c r="T51" s="291"/>
      <c r="U51" s="289"/>
      <c r="V51" s="291"/>
      <c r="W51" s="289"/>
      <c r="X51" s="291"/>
      <c r="Y51" s="289"/>
      <c r="Z51" s="291"/>
      <c r="AA51" s="292"/>
      <c r="AB51" s="291"/>
      <c r="AC51" s="289"/>
      <c r="AD51" s="289"/>
      <c r="AE51" s="291"/>
      <c r="AF51" s="289"/>
      <c r="AG51" s="320"/>
      <c r="AJ51" s="214"/>
      <c r="AK51" s="214"/>
    </row>
    <row r="52" spans="2:37">
      <c r="B52" s="225">
        <v>11</v>
      </c>
      <c r="C52" s="350" t="s">
        <v>6642</v>
      </c>
      <c r="D52" s="346">
        <f t="shared" ref="D52:D57" ca="1" si="2">5000+((RANDBETWEEN(1,10)*250))</f>
        <v>6500</v>
      </c>
      <c r="E52" s="347"/>
      <c r="F52" s="347"/>
      <c r="G52" s="348">
        <f t="shared" ca="1" si="0"/>
        <v>6500</v>
      </c>
      <c r="I52" s="226">
        <v>49</v>
      </c>
      <c r="J52" s="286" t="s">
        <v>6643</v>
      </c>
      <c r="L52" s="226">
        <v>49</v>
      </c>
      <c r="M52" s="232" t="s">
        <v>6644</v>
      </c>
      <c r="N52" s="287"/>
      <c r="P52" s="288">
        <v>97</v>
      </c>
      <c r="Q52" s="289" t="s">
        <v>6645</v>
      </c>
      <c r="R52" s="291"/>
      <c r="S52" s="289"/>
      <c r="T52" s="291"/>
      <c r="U52" s="289"/>
      <c r="V52" s="291"/>
      <c r="W52" s="289"/>
      <c r="X52" s="291"/>
      <c r="Y52" s="289"/>
      <c r="Z52" s="291"/>
      <c r="AA52" s="292"/>
      <c r="AB52" s="291"/>
      <c r="AC52" s="289"/>
      <c r="AD52" s="289"/>
      <c r="AE52" s="291"/>
      <c r="AF52" s="289"/>
      <c r="AG52" s="320"/>
      <c r="AJ52" s="214"/>
      <c r="AK52" s="214"/>
    </row>
    <row r="53" spans="2:37">
      <c r="B53" s="225">
        <v>12</v>
      </c>
      <c r="C53" s="345" t="s">
        <v>6646</v>
      </c>
      <c r="D53" s="351">
        <f t="shared" ca="1" si="2"/>
        <v>7500</v>
      </c>
      <c r="E53" s="347"/>
      <c r="F53" s="347"/>
      <c r="G53" s="348">
        <f t="shared" ca="1" si="0"/>
        <v>7500</v>
      </c>
      <c r="I53" s="226">
        <v>50</v>
      </c>
      <c r="J53" s="286" t="s">
        <v>6647</v>
      </c>
      <c r="L53" s="226">
        <v>50</v>
      </c>
      <c r="M53" s="232" t="s">
        <v>6648</v>
      </c>
      <c r="N53" s="287"/>
      <c r="P53" s="352">
        <v>99</v>
      </c>
      <c r="Q53" s="353" t="s">
        <v>6649</v>
      </c>
      <c r="R53" s="354"/>
      <c r="S53" s="353"/>
      <c r="T53" s="354"/>
      <c r="U53" s="353"/>
      <c r="V53" s="354"/>
      <c r="W53" s="353"/>
      <c r="X53" s="354"/>
      <c r="Y53" s="353"/>
      <c r="Z53" s="354"/>
      <c r="AA53" s="355"/>
      <c r="AB53" s="354"/>
      <c r="AC53" s="353"/>
      <c r="AD53" s="353"/>
      <c r="AE53" s="354"/>
      <c r="AF53" s="353"/>
      <c r="AG53" s="356"/>
      <c r="AJ53" s="214"/>
      <c r="AK53" s="214"/>
    </row>
    <row r="54" spans="2:37">
      <c r="B54" s="225">
        <v>13</v>
      </c>
      <c r="C54" s="350" t="s">
        <v>6650</v>
      </c>
      <c r="D54" s="351">
        <f t="shared" ca="1" si="2"/>
        <v>6750</v>
      </c>
      <c r="E54" s="347"/>
      <c r="F54" s="347"/>
      <c r="G54" s="348">
        <f t="shared" ca="1" si="0"/>
        <v>6750</v>
      </c>
      <c r="I54" s="226">
        <v>51</v>
      </c>
      <c r="J54" s="286" t="s">
        <v>6651</v>
      </c>
      <c r="L54" s="226">
        <v>51</v>
      </c>
      <c r="M54" s="232" t="s">
        <v>6652</v>
      </c>
      <c r="N54" s="287"/>
      <c r="P54" s="288"/>
      <c r="Q54" s="289"/>
      <c r="R54" s="291"/>
      <c r="S54" s="289"/>
      <c r="T54" s="291"/>
      <c r="U54" s="289"/>
      <c r="V54" s="291"/>
      <c r="W54" s="289"/>
      <c r="X54" s="291"/>
      <c r="Y54" s="289"/>
      <c r="Z54" s="291"/>
      <c r="AA54" s="289"/>
      <c r="AB54" s="291"/>
      <c r="AC54" s="289"/>
      <c r="AD54" s="289"/>
      <c r="AE54" s="291"/>
      <c r="AF54" s="289"/>
      <c r="AG54" s="320"/>
      <c r="AJ54" s="214"/>
      <c r="AK54" s="214"/>
    </row>
    <row r="55" spans="2:37" ht="11.25" thickBot="1">
      <c r="B55" s="225">
        <v>14</v>
      </c>
      <c r="C55" s="345" t="s">
        <v>6653</v>
      </c>
      <c r="D55" s="351">
        <f t="shared" ca="1" si="2"/>
        <v>6750</v>
      </c>
      <c r="E55" s="347"/>
      <c r="F55" s="347"/>
      <c r="G55" s="348">
        <f t="shared" ca="1" si="0"/>
        <v>6750</v>
      </c>
      <c r="I55" s="226">
        <v>52</v>
      </c>
      <c r="J55" s="286" t="s">
        <v>6654</v>
      </c>
      <c r="L55" s="226">
        <v>52</v>
      </c>
      <c r="M55" s="232"/>
      <c r="N55" s="287"/>
      <c r="P55" s="357"/>
      <c r="Q55" s="358"/>
      <c r="R55" s="359"/>
      <c r="S55" s="358"/>
      <c r="T55" s="359"/>
      <c r="U55" s="358"/>
      <c r="V55" s="359"/>
      <c r="W55" s="358"/>
      <c r="X55" s="359"/>
      <c r="Y55" s="358"/>
      <c r="Z55" s="359"/>
      <c r="AA55" s="358"/>
      <c r="AB55" s="359"/>
      <c r="AC55" s="358"/>
      <c r="AD55" s="358"/>
      <c r="AE55" s="359"/>
      <c r="AF55" s="358"/>
      <c r="AG55" s="360"/>
    </row>
    <row r="56" spans="2:37">
      <c r="B56" s="225">
        <v>15</v>
      </c>
      <c r="C56" s="350" t="s">
        <v>6655</v>
      </c>
      <c r="D56" s="351">
        <f t="shared" ca="1" si="2"/>
        <v>7500</v>
      </c>
      <c r="E56" s="347"/>
      <c r="F56" s="347"/>
      <c r="G56" s="348">
        <f t="shared" ca="1" si="0"/>
        <v>7500</v>
      </c>
      <c r="I56" s="226">
        <v>53</v>
      </c>
      <c r="J56" s="286" t="s">
        <v>6656</v>
      </c>
      <c r="L56" s="226">
        <v>53</v>
      </c>
      <c r="M56" s="232"/>
      <c r="N56" s="287"/>
      <c r="P56" s="244"/>
      <c r="R56" s="244"/>
      <c r="T56" s="244"/>
      <c r="V56" s="244"/>
      <c r="X56" s="244"/>
      <c r="Z56" s="244"/>
    </row>
    <row r="57" spans="2:37">
      <c r="B57" s="225">
        <v>16</v>
      </c>
      <c r="C57" s="345" t="s">
        <v>6657</v>
      </c>
      <c r="D57" s="351">
        <f t="shared" ca="1" si="2"/>
        <v>6000</v>
      </c>
      <c r="E57" s="347"/>
      <c r="F57" s="347"/>
      <c r="G57" s="348">
        <f t="shared" ca="1" si="0"/>
        <v>6000</v>
      </c>
      <c r="I57" s="226">
        <v>54</v>
      </c>
      <c r="J57" s="286" t="s">
        <v>6658</v>
      </c>
      <c r="L57" s="226">
        <v>54</v>
      </c>
      <c r="M57" s="232"/>
      <c r="N57" s="287"/>
      <c r="P57" s="244"/>
      <c r="R57" s="244"/>
      <c r="T57" s="244"/>
      <c r="V57" s="244"/>
      <c r="X57" s="244"/>
      <c r="Z57" s="244"/>
    </row>
    <row r="58" spans="2:37">
      <c r="B58" s="225">
        <v>17</v>
      </c>
      <c r="C58" s="350" t="s">
        <v>6659</v>
      </c>
      <c r="D58" s="351">
        <f ca="1">20000+((RANDBETWEEN(1,10)*250))</f>
        <v>22500</v>
      </c>
      <c r="E58" s="347"/>
      <c r="F58" s="347"/>
      <c r="G58" s="348">
        <f t="shared" ca="1" si="0"/>
        <v>22500</v>
      </c>
      <c r="I58" s="226">
        <v>55</v>
      </c>
      <c r="J58" s="286" t="s">
        <v>6660</v>
      </c>
      <c r="L58" s="226">
        <v>55</v>
      </c>
      <c r="M58" s="232"/>
      <c r="N58" s="287"/>
      <c r="P58" s="244"/>
      <c r="R58" s="244"/>
      <c r="T58" s="244"/>
      <c r="V58" s="244"/>
      <c r="X58" s="244"/>
      <c r="Z58" s="244"/>
    </row>
    <row r="59" spans="2:37">
      <c r="B59" s="225">
        <v>18</v>
      </c>
      <c r="C59" s="345" t="s">
        <v>6661</v>
      </c>
      <c r="D59" s="351">
        <f ca="1">20000+((RANDBETWEEN(1,10)*250))</f>
        <v>22000</v>
      </c>
      <c r="E59" s="347"/>
      <c r="F59" s="347"/>
      <c r="G59" s="348">
        <f t="shared" ca="1" si="0"/>
        <v>22000</v>
      </c>
      <c r="I59" s="226">
        <v>56</v>
      </c>
      <c r="J59" s="286" t="s">
        <v>6662</v>
      </c>
      <c r="L59" s="226">
        <v>56</v>
      </c>
      <c r="M59" s="232"/>
      <c r="N59" s="287"/>
      <c r="P59" s="244"/>
      <c r="R59" s="244"/>
      <c r="T59" s="244"/>
      <c r="V59" s="244"/>
      <c r="X59" s="244"/>
      <c r="Z59" s="244"/>
    </row>
    <row r="60" spans="2:37">
      <c r="B60" s="225">
        <v>19</v>
      </c>
      <c r="C60" s="350" t="s">
        <v>6663</v>
      </c>
      <c r="D60" s="351">
        <f ca="1">20000+((RANDBETWEEN(1,10)*250))</f>
        <v>21000</v>
      </c>
      <c r="E60" s="347"/>
      <c r="F60" s="347"/>
      <c r="G60" s="348">
        <f t="shared" ca="1" si="0"/>
        <v>21000</v>
      </c>
      <c r="I60" s="226">
        <v>57</v>
      </c>
      <c r="J60" s="286" t="s">
        <v>6664</v>
      </c>
      <c r="L60" s="226">
        <v>57</v>
      </c>
      <c r="M60" s="232"/>
      <c r="N60" s="287"/>
      <c r="P60" s="244"/>
      <c r="R60" s="244"/>
      <c r="T60" s="244"/>
      <c r="V60" s="244"/>
      <c r="X60" s="244"/>
      <c r="Z60" s="244"/>
    </row>
    <row r="61" spans="2:37" ht="11.25" thickBot="1">
      <c r="B61" s="227">
        <v>20</v>
      </c>
      <c r="C61" s="361" t="s">
        <v>6665</v>
      </c>
      <c r="D61" s="362">
        <f ca="1">20000+((RANDBETWEEN(1,10)*250))</f>
        <v>20750</v>
      </c>
      <c r="E61" s="363"/>
      <c r="F61" s="363"/>
      <c r="G61" s="364">
        <f t="shared" ca="1" si="0"/>
        <v>20750</v>
      </c>
      <c r="I61" s="226">
        <v>58</v>
      </c>
      <c r="J61" s="286" t="s">
        <v>6666</v>
      </c>
      <c r="L61" s="226">
        <v>58</v>
      </c>
      <c r="M61" s="232"/>
      <c r="N61" s="287"/>
      <c r="P61" s="244"/>
      <c r="R61" s="244"/>
      <c r="T61" s="244"/>
      <c r="V61" s="244"/>
      <c r="X61" s="244"/>
      <c r="Z61" s="244"/>
    </row>
    <row r="62" spans="2:37">
      <c r="I62" s="226">
        <v>59</v>
      </c>
      <c r="J62" s="286" t="s">
        <v>6667</v>
      </c>
      <c r="L62" s="226">
        <v>59</v>
      </c>
      <c r="M62" s="232"/>
      <c r="N62" s="287"/>
      <c r="P62" s="244"/>
      <c r="R62" s="244"/>
      <c r="T62" s="244"/>
      <c r="V62" s="244"/>
      <c r="X62" s="244"/>
      <c r="Z62" s="244"/>
    </row>
    <row r="63" spans="2:37">
      <c r="I63" s="226">
        <v>60</v>
      </c>
      <c r="J63" s="286" t="s">
        <v>6668</v>
      </c>
      <c r="L63" s="226">
        <v>60</v>
      </c>
      <c r="M63" s="232"/>
      <c r="N63" s="287"/>
      <c r="P63" s="244"/>
      <c r="R63" s="244"/>
      <c r="T63" s="244"/>
      <c r="V63" s="244"/>
      <c r="X63" s="244"/>
      <c r="Z63" s="244"/>
    </row>
    <row r="64" spans="2:37">
      <c r="I64" s="226">
        <v>61</v>
      </c>
      <c r="J64" s="286" t="s">
        <v>6669</v>
      </c>
      <c r="L64" s="226">
        <v>61</v>
      </c>
      <c r="M64" s="232"/>
      <c r="N64" s="287"/>
      <c r="P64" s="244"/>
      <c r="R64" s="244"/>
      <c r="T64" s="244"/>
      <c r="V64" s="244"/>
      <c r="X64" s="244"/>
      <c r="Z64" s="244"/>
    </row>
    <row r="65" spans="9:26">
      <c r="I65" s="226">
        <v>62</v>
      </c>
      <c r="J65" s="286" t="s">
        <v>6670</v>
      </c>
      <c r="L65" s="226">
        <v>62</v>
      </c>
      <c r="M65" s="232"/>
      <c r="N65" s="287"/>
      <c r="P65" s="244"/>
      <c r="R65" s="244"/>
      <c r="T65" s="244"/>
      <c r="V65" s="244"/>
      <c r="X65" s="244"/>
      <c r="Z65" s="244"/>
    </row>
    <row r="66" spans="9:26">
      <c r="I66" s="226">
        <v>63</v>
      </c>
      <c r="J66" s="286" t="s">
        <v>6671</v>
      </c>
      <c r="L66" s="226">
        <v>63</v>
      </c>
      <c r="M66" s="232"/>
      <c r="N66" s="287"/>
      <c r="P66" s="244"/>
      <c r="R66" s="244"/>
      <c r="T66" s="244"/>
      <c r="V66" s="244"/>
      <c r="X66" s="244"/>
      <c r="Z66" s="244"/>
    </row>
    <row r="67" spans="9:26">
      <c r="I67" s="226">
        <v>64</v>
      </c>
      <c r="J67" s="286" t="s">
        <v>6672</v>
      </c>
      <c r="L67" s="226">
        <v>64</v>
      </c>
      <c r="M67" s="232"/>
      <c r="N67" s="287"/>
      <c r="P67" s="244"/>
      <c r="R67" s="244"/>
      <c r="T67" s="244"/>
      <c r="V67" s="244"/>
      <c r="X67" s="244"/>
      <c r="Z67" s="244"/>
    </row>
    <row r="68" spans="9:26">
      <c r="I68" s="226">
        <v>65</v>
      </c>
      <c r="J68" s="286" t="s">
        <v>6673</v>
      </c>
      <c r="L68" s="226">
        <v>65</v>
      </c>
      <c r="M68" s="232"/>
      <c r="N68" s="287"/>
      <c r="P68" s="244"/>
      <c r="R68" s="244"/>
      <c r="T68" s="244"/>
      <c r="V68" s="244"/>
      <c r="X68" s="244"/>
      <c r="Z68" s="244"/>
    </row>
    <row r="69" spans="9:26">
      <c r="I69" s="226">
        <v>66</v>
      </c>
      <c r="J69" s="286" t="s">
        <v>6674</v>
      </c>
      <c r="L69" s="226">
        <v>66</v>
      </c>
      <c r="M69" s="232"/>
      <c r="N69" s="287"/>
      <c r="P69" s="244"/>
      <c r="R69" s="244"/>
      <c r="T69" s="244"/>
      <c r="V69" s="244"/>
      <c r="X69" s="244"/>
      <c r="Z69" s="244"/>
    </row>
    <row r="70" spans="9:26">
      <c r="I70" s="226">
        <v>67</v>
      </c>
      <c r="J70" s="286" t="s">
        <v>6675</v>
      </c>
      <c r="L70" s="226">
        <v>67</v>
      </c>
      <c r="M70" s="232"/>
      <c r="N70" s="287"/>
      <c r="P70" s="244"/>
      <c r="R70" s="244"/>
      <c r="T70" s="244"/>
      <c r="V70" s="244"/>
      <c r="X70" s="244"/>
      <c r="Z70" s="244"/>
    </row>
    <row r="71" spans="9:26">
      <c r="I71" s="226">
        <v>68</v>
      </c>
      <c r="J71" s="286" t="s">
        <v>6676</v>
      </c>
      <c r="L71" s="226">
        <v>68</v>
      </c>
      <c r="M71" s="232"/>
      <c r="N71" s="287"/>
      <c r="P71" s="244"/>
      <c r="R71" s="244"/>
      <c r="T71" s="244"/>
      <c r="V71" s="244"/>
      <c r="X71" s="244"/>
      <c r="Z71" s="244"/>
    </row>
    <row r="72" spans="9:26">
      <c r="I72" s="226">
        <v>69</v>
      </c>
      <c r="J72" s="286" t="s">
        <v>6677</v>
      </c>
      <c r="L72" s="226">
        <v>69</v>
      </c>
      <c r="M72" s="232"/>
      <c r="N72" s="287"/>
      <c r="P72" s="244"/>
      <c r="R72" s="244"/>
      <c r="T72" s="244"/>
      <c r="V72" s="244"/>
      <c r="X72" s="244"/>
      <c r="Z72" s="244"/>
    </row>
    <row r="73" spans="9:26">
      <c r="I73" s="226">
        <v>70</v>
      </c>
      <c r="J73" s="286" t="s">
        <v>6678</v>
      </c>
      <c r="L73" s="226">
        <v>70</v>
      </c>
      <c r="M73" s="232"/>
      <c r="N73" s="287"/>
      <c r="P73" s="244"/>
      <c r="R73" s="244"/>
      <c r="T73" s="244"/>
      <c r="V73" s="244"/>
      <c r="X73" s="244"/>
      <c r="Z73" s="244"/>
    </row>
    <row r="74" spans="9:26">
      <c r="I74" s="226">
        <v>71</v>
      </c>
      <c r="J74" s="286" t="s">
        <v>6679</v>
      </c>
      <c r="L74" s="226">
        <v>71</v>
      </c>
      <c r="M74" s="232"/>
      <c r="N74" s="287"/>
      <c r="P74" s="244"/>
      <c r="R74" s="244"/>
      <c r="T74" s="244"/>
      <c r="V74" s="244"/>
      <c r="X74" s="244"/>
      <c r="Z74" s="244"/>
    </row>
    <row r="75" spans="9:26">
      <c r="I75" s="226">
        <v>72</v>
      </c>
      <c r="J75" s="286" t="s">
        <v>6680</v>
      </c>
      <c r="L75" s="226">
        <v>72</v>
      </c>
      <c r="M75" s="232"/>
      <c r="N75" s="287"/>
      <c r="P75" s="244"/>
      <c r="R75" s="244"/>
      <c r="T75" s="244"/>
      <c r="V75" s="244"/>
      <c r="X75" s="244"/>
      <c r="Z75" s="244"/>
    </row>
    <row r="76" spans="9:26">
      <c r="I76" s="226">
        <v>73</v>
      </c>
      <c r="J76" s="286" t="s">
        <v>6681</v>
      </c>
      <c r="L76" s="226">
        <v>73</v>
      </c>
      <c r="M76" s="232"/>
      <c r="N76" s="287"/>
      <c r="P76" s="244"/>
      <c r="R76" s="244"/>
      <c r="T76" s="244"/>
      <c r="V76" s="244"/>
      <c r="X76" s="244"/>
      <c r="Z76" s="244"/>
    </row>
    <row r="77" spans="9:26">
      <c r="I77" s="226">
        <v>74</v>
      </c>
      <c r="J77" s="286" t="s">
        <v>6682</v>
      </c>
      <c r="L77" s="226">
        <v>74</v>
      </c>
      <c r="M77" s="232"/>
      <c r="N77" s="287"/>
      <c r="P77" s="244"/>
      <c r="R77" s="244"/>
      <c r="T77" s="244"/>
      <c r="V77" s="244"/>
      <c r="X77" s="244"/>
      <c r="Z77" s="244"/>
    </row>
    <row r="78" spans="9:26">
      <c r="I78" s="226">
        <v>75</v>
      </c>
      <c r="J78" s="286" t="s">
        <v>6683</v>
      </c>
      <c r="L78" s="226">
        <v>75</v>
      </c>
      <c r="M78" s="232"/>
      <c r="N78" s="287"/>
      <c r="P78" s="244"/>
      <c r="R78" s="244"/>
      <c r="T78" s="244"/>
      <c r="V78" s="244"/>
      <c r="X78" s="244"/>
      <c r="Z78" s="244"/>
    </row>
    <row r="79" spans="9:26">
      <c r="I79" s="226">
        <v>76</v>
      </c>
      <c r="J79" s="286" t="s">
        <v>6684</v>
      </c>
      <c r="L79" s="226">
        <v>76</v>
      </c>
      <c r="M79" s="232"/>
      <c r="N79" s="287"/>
      <c r="P79" s="244"/>
      <c r="R79" s="244"/>
      <c r="T79" s="244"/>
      <c r="V79" s="244"/>
      <c r="X79" s="244"/>
      <c r="Z79" s="244"/>
    </row>
    <row r="80" spans="9:26">
      <c r="I80" s="226">
        <v>77</v>
      </c>
      <c r="J80" s="286" t="s">
        <v>6685</v>
      </c>
      <c r="L80" s="226">
        <v>77</v>
      </c>
      <c r="M80" s="232"/>
      <c r="N80" s="287"/>
      <c r="P80" s="244"/>
      <c r="R80" s="244"/>
      <c r="T80" s="244"/>
      <c r="V80" s="244"/>
      <c r="X80" s="244"/>
      <c r="Z80" s="244"/>
    </row>
    <row r="81" spans="9:26">
      <c r="I81" s="226">
        <v>78</v>
      </c>
      <c r="J81" s="286" t="s">
        <v>6686</v>
      </c>
      <c r="L81" s="226">
        <v>78</v>
      </c>
      <c r="M81" s="232"/>
      <c r="N81" s="287"/>
      <c r="P81" s="244"/>
      <c r="R81" s="244"/>
      <c r="T81" s="244"/>
      <c r="V81" s="244"/>
      <c r="X81" s="244"/>
      <c r="Z81" s="244"/>
    </row>
    <row r="82" spans="9:26">
      <c r="I82" s="226">
        <v>79</v>
      </c>
      <c r="J82" s="286" t="s">
        <v>6687</v>
      </c>
      <c r="L82" s="226">
        <v>79</v>
      </c>
      <c r="M82" s="232"/>
      <c r="N82" s="287"/>
      <c r="P82" s="244"/>
      <c r="R82" s="244"/>
      <c r="T82" s="244"/>
      <c r="V82" s="244"/>
      <c r="X82" s="244"/>
      <c r="Z82" s="244"/>
    </row>
    <row r="83" spans="9:26">
      <c r="I83" s="226">
        <v>80</v>
      </c>
      <c r="J83" s="286" t="s">
        <v>6688</v>
      </c>
      <c r="L83" s="226">
        <v>80</v>
      </c>
      <c r="M83" s="232"/>
      <c r="N83" s="287"/>
      <c r="P83" s="244"/>
      <c r="R83" s="244"/>
      <c r="T83" s="244"/>
      <c r="V83" s="244"/>
      <c r="X83" s="244"/>
      <c r="Z83" s="244"/>
    </row>
    <row r="84" spans="9:26">
      <c r="I84" s="226">
        <v>81</v>
      </c>
      <c r="J84" s="286" t="s">
        <v>6689</v>
      </c>
      <c r="L84" s="226">
        <v>81</v>
      </c>
      <c r="M84" s="232"/>
      <c r="N84" s="287"/>
      <c r="P84" s="244"/>
      <c r="R84" s="244"/>
      <c r="T84" s="244"/>
      <c r="V84" s="244"/>
      <c r="X84" s="244"/>
      <c r="Z84" s="244"/>
    </row>
    <row r="85" spans="9:26">
      <c r="I85" s="226">
        <v>82</v>
      </c>
      <c r="J85" s="286" t="s">
        <v>6690</v>
      </c>
      <c r="L85" s="226">
        <v>82</v>
      </c>
      <c r="M85" s="232"/>
      <c r="N85" s="287"/>
      <c r="P85" s="244"/>
      <c r="R85" s="244"/>
      <c r="T85" s="244"/>
      <c r="V85" s="244"/>
      <c r="X85" s="244"/>
      <c r="Z85" s="244"/>
    </row>
    <row r="86" spans="9:26">
      <c r="I86" s="226">
        <v>83</v>
      </c>
      <c r="J86" s="286" t="s">
        <v>6691</v>
      </c>
      <c r="L86" s="226">
        <v>83</v>
      </c>
      <c r="M86" s="232"/>
      <c r="N86" s="287"/>
      <c r="P86" s="244"/>
      <c r="R86" s="244"/>
      <c r="T86" s="244"/>
      <c r="V86" s="244"/>
      <c r="X86" s="244"/>
      <c r="Z86" s="244"/>
    </row>
    <row r="87" spans="9:26">
      <c r="I87" s="226">
        <v>84</v>
      </c>
      <c r="J87" s="286" t="s">
        <v>6692</v>
      </c>
      <c r="L87" s="226">
        <v>84</v>
      </c>
      <c r="M87" s="232"/>
      <c r="N87" s="287"/>
      <c r="P87" s="244"/>
      <c r="R87" s="244"/>
      <c r="T87" s="244"/>
      <c r="V87" s="244"/>
      <c r="X87" s="244"/>
      <c r="Z87" s="244"/>
    </row>
    <row r="88" spans="9:26">
      <c r="I88" s="226">
        <v>85</v>
      </c>
      <c r="J88" s="286" t="s">
        <v>6693</v>
      </c>
      <c r="L88" s="226">
        <v>85</v>
      </c>
      <c r="M88" s="232"/>
      <c r="N88" s="287"/>
      <c r="P88" s="244"/>
      <c r="R88" s="244"/>
      <c r="T88" s="244"/>
      <c r="V88" s="244"/>
      <c r="X88" s="244"/>
      <c r="Z88" s="244"/>
    </row>
    <row r="89" spans="9:26">
      <c r="I89" s="226">
        <v>86</v>
      </c>
      <c r="J89" s="286" t="s">
        <v>6694</v>
      </c>
      <c r="L89" s="226">
        <v>86</v>
      </c>
      <c r="M89" s="232"/>
      <c r="N89" s="287"/>
      <c r="P89" s="244"/>
      <c r="R89" s="244"/>
      <c r="T89" s="244"/>
      <c r="V89" s="244"/>
      <c r="X89" s="244"/>
      <c r="Z89" s="244"/>
    </row>
    <row r="90" spans="9:26">
      <c r="I90" s="226">
        <v>87</v>
      </c>
      <c r="J90" s="286" t="s">
        <v>6695</v>
      </c>
      <c r="L90" s="226">
        <v>87</v>
      </c>
      <c r="M90" s="232"/>
      <c r="N90" s="287"/>
      <c r="P90" s="244"/>
      <c r="R90" s="244"/>
      <c r="T90" s="244"/>
      <c r="V90" s="244"/>
      <c r="X90" s="244"/>
      <c r="Z90" s="244"/>
    </row>
    <row r="91" spans="9:26">
      <c r="I91" s="226">
        <v>88</v>
      </c>
      <c r="J91" s="286" t="s">
        <v>6696</v>
      </c>
      <c r="L91" s="226">
        <v>88</v>
      </c>
      <c r="M91" s="232"/>
      <c r="N91" s="287"/>
      <c r="P91" s="244"/>
      <c r="R91" s="244"/>
      <c r="T91" s="244"/>
      <c r="V91" s="244"/>
      <c r="X91" s="244"/>
      <c r="Z91" s="244"/>
    </row>
    <row r="92" spans="9:26">
      <c r="I92" s="226">
        <v>89</v>
      </c>
      <c r="J92" s="286" t="s">
        <v>6697</v>
      </c>
      <c r="L92" s="226">
        <v>89</v>
      </c>
      <c r="M92" s="232"/>
      <c r="N92" s="287"/>
      <c r="P92" s="244"/>
      <c r="R92" s="244"/>
      <c r="T92" s="244"/>
      <c r="V92" s="244"/>
      <c r="X92" s="244"/>
      <c r="Z92" s="244"/>
    </row>
    <row r="93" spans="9:26">
      <c r="I93" s="226">
        <v>90</v>
      </c>
      <c r="J93" s="286" t="s">
        <v>6698</v>
      </c>
      <c r="L93" s="226">
        <v>90</v>
      </c>
      <c r="M93" s="232"/>
      <c r="N93" s="287"/>
      <c r="P93" s="244"/>
      <c r="R93" s="244"/>
      <c r="T93" s="244"/>
      <c r="V93" s="244"/>
      <c r="X93" s="244"/>
      <c r="Z93" s="244"/>
    </row>
    <row r="94" spans="9:26">
      <c r="I94" s="226">
        <v>91</v>
      </c>
      <c r="J94" s="286" t="s">
        <v>6699</v>
      </c>
      <c r="L94" s="226">
        <v>91</v>
      </c>
      <c r="M94" s="232"/>
      <c r="N94" s="287"/>
      <c r="P94" s="244"/>
      <c r="R94" s="244"/>
      <c r="T94" s="244"/>
      <c r="V94" s="244"/>
      <c r="X94" s="244"/>
      <c r="Z94" s="244"/>
    </row>
    <row r="95" spans="9:26">
      <c r="I95" s="226">
        <v>92</v>
      </c>
      <c r="J95" s="286" t="s">
        <v>6700</v>
      </c>
      <c r="L95" s="226">
        <v>92</v>
      </c>
      <c r="M95" s="232"/>
      <c r="N95" s="287"/>
      <c r="P95" s="244"/>
      <c r="R95" s="244"/>
      <c r="T95" s="244"/>
      <c r="V95" s="244"/>
      <c r="X95" s="244"/>
      <c r="Z95" s="244"/>
    </row>
    <row r="96" spans="9:26">
      <c r="I96" s="226">
        <v>93</v>
      </c>
      <c r="J96" s="286" t="s">
        <v>6701</v>
      </c>
      <c r="L96" s="226">
        <v>93</v>
      </c>
      <c r="M96" s="232"/>
      <c r="N96" s="287"/>
      <c r="P96" s="244"/>
      <c r="R96" s="244"/>
      <c r="T96" s="244"/>
      <c r="V96" s="244"/>
      <c r="X96" s="244"/>
      <c r="Z96" s="244"/>
    </row>
    <row r="97" spans="9:26">
      <c r="I97" s="226">
        <v>94</v>
      </c>
      <c r="J97" s="286" t="s">
        <v>6702</v>
      </c>
      <c r="L97" s="226">
        <v>94</v>
      </c>
      <c r="M97" s="232"/>
      <c r="N97" s="287"/>
      <c r="P97" s="244"/>
      <c r="R97" s="244"/>
      <c r="T97" s="244"/>
      <c r="V97" s="244"/>
      <c r="X97" s="244"/>
      <c r="Z97" s="244"/>
    </row>
    <row r="98" spans="9:26">
      <c r="I98" s="226">
        <v>95</v>
      </c>
      <c r="J98" s="286" t="s">
        <v>6703</v>
      </c>
      <c r="L98" s="226">
        <v>95</v>
      </c>
      <c r="M98" s="232"/>
      <c r="N98" s="287"/>
      <c r="P98" s="244"/>
      <c r="R98" s="244"/>
      <c r="T98" s="244"/>
      <c r="V98" s="244"/>
      <c r="X98" s="244"/>
      <c r="Z98" s="244"/>
    </row>
    <row r="99" spans="9:26">
      <c r="I99" s="226">
        <v>96</v>
      </c>
      <c r="J99" s="286" t="s">
        <v>6704</v>
      </c>
      <c r="L99" s="226">
        <v>96</v>
      </c>
      <c r="M99" s="232"/>
      <c r="N99" s="287"/>
      <c r="P99" s="244"/>
      <c r="R99" s="244"/>
      <c r="T99" s="244"/>
      <c r="V99" s="244"/>
      <c r="X99" s="244"/>
      <c r="Z99" s="244"/>
    </row>
    <row r="100" spans="9:26">
      <c r="I100" s="226">
        <v>97</v>
      </c>
      <c r="J100" s="286" t="s">
        <v>6705</v>
      </c>
      <c r="L100" s="226">
        <v>97</v>
      </c>
      <c r="M100" s="232"/>
      <c r="N100" s="287"/>
      <c r="P100" s="244"/>
      <c r="R100" s="244"/>
      <c r="T100" s="244"/>
      <c r="V100" s="244"/>
      <c r="X100" s="244"/>
      <c r="Z100" s="244"/>
    </row>
    <row r="101" spans="9:26">
      <c r="I101" s="226">
        <v>98</v>
      </c>
      <c r="J101" s="286" t="s">
        <v>6706</v>
      </c>
      <c r="L101" s="226">
        <v>98</v>
      </c>
      <c r="M101" s="232"/>
      <c r="N101" s="287"/>
      <c r="P101" s="244"/>
      <c r="R101" s="244"/>
      <c r="T101" s="244"/>
      <c r="V101" s="244"/>
      <c r="X101" s="244"/>
      <c r="Z101" s="244"/>
    </row>
    <row r="102" spans="9:26">
      <c r="I102" s="226">
        <v>99</v>
      </c>
      <c r="J102" s="286" t="s">
        <v>6707</v>
      </c>
      <c r="L102" s="226">
        <v>99</v>
      </c>
      <c r="M102" s="232"/>
      <c r="N102" s="287"/>
      <c r="P102" s="244"/>
      <c r="R102" s="244"/>
      <c r="T102" s="244"/>
      <c r="V102" s="244"/>
      <c r="X102" s="244"/>
      <c r="Z102" s="244"/>
    </row>
    <row r="103" spans="9:26" ht="11.25" thickBot="1">
      <c r="I103" s="227">
        <v>100</v>
      </c>
      <c r="J103" s="365" t="s">
        <v>6708</v>
      </c>
      <c r="L103" s="227">
        <v>100</v>
      </c>
      <c r="M103" s="366"/>
      <c r="N103" s="367"/>
      <c r="P103" s="244"/>
      <c r="R103" s="244"/>
      <c r="T103" s="244"/>
      <c r="V103" s="244"/>
      <c r="X103" s="244"/>
      <c r="Z103" s="244"/>
    </row>
    <row r="104" spans="9:26">
      <c r="I104" s="213"/>
      <c r="J104" s="243"/>
      <c r="P104" s="244"/>
      <c r="R104" s="244"/>
      <c r="T104" s="244"/>
      <c r="V104" s="244"/>
      <c r="X104" s="244"/>
      <c r="Z104" s="244"/>
    </row>
    <row r="105" spans="9:26">
      <c r="I105" s="213"/>
      <c r="P105" s="244"/>
      <c r="R105" s="244"/>
      <c r="T105" s="244"/>
      <c r="V105" s="244"/>
      <c r="X105" s="244"/>
      <c r="Z105" s="244"/>
    </row>
    <row r="106" spans="9:26">
      <c r="I106" s="213"/>
      <c r="P106" s="244"/>
      <c r="R106" s="244"/>
      <c r="T106" s="244"/>
      <c r="V106" s="244"/>
      <c r="X106" s="244"/>
      <c r="Z106" s="244"/>
    </row>
    <row r="107" spans="9:26">
      <c r="I107" s="213"/>
      <c r="P107" s="244"/>
      <c r="R107" s="244"/>
      <c r="T107" s="244"/>
      <c r="V107" s="244"/>
      <c r="X107" s="244"/>
      <c r="Z107" s="244"/>
    </row>
    <row r="108" spans="9:26">
      <c r="J108" s="213"/>
      <c r="P108" s="244"/>
      <c r="R108" s="244"/>
      <c r="T108" s="244"/>
      <c r="V108" s="244"/>
      <c r="X108" s="244"/>
      <c r="Z108" s="244"/>
    </row>
    <row r="109" spans="9:26">
      <c r="J109" s="213"/>
      <c r="P109" s="244"/>
      <c r="R109" s="244"/>
      <c r="T109" s="244"/>
      <c r="V109" s="244"/>
      <c r="X109" s="244"/>
      <c r="Z109" s="244"/>
    </row>
    <row r="110" spans="9:26">
      <c r="J110" s="213"/>
      <c r="P110" s="244"/>
      <c r="R110" s="244"/>
      <c r="T110" s="244"/>
      <c r="V110" s="244"/>
      <c r="X110" s="244"/>
      <c r="Z110" s="244"/>
    </row>
    <row r="111" spans="9:26">
      <c r="J111" s="213"/>
      <c r="P111" s="244"/>
      <c r="R111" s="244"/>
      <c r="T111" s="244"/>
      <c r="V111" s="244"/>
      <c r="X111" s="244"/>
      <c r="Z111" s="244"/>
    </row>
    <row r="112" spans="9:26">
      <c r="J112" s="213"/>
      <c r="P112" s="244"/>
      <c r="R112" s="244"/>
      <c r="T112" s="244"/>
      <c r="V112" s="244"/>
      <c r="X112" s="244"/>
      <c r="Z112" s="244"/>
    </row>
    <row r="113" spans="9:26">
      <c r="J113" s="213"/>
      <c r="P113" s="244"/>
      <c r="R113" s="244"/>
      <c r="T113" s="244"/>
      <c r="V113" s="244"/>
      <c r="X113" s="244"/>
      <c r="Z113" s="244"/>
    </row>
    <row r="114" spans="9:26">
      <c r="J114" s="213"/>
      <c r="P114" s="244"/>
      <c r="R114" s="244"/>
      <c r="T114" s="244"/>
      <c r="V114" s="244"/>
      <c r="X114" s="244"/>
      <c r="Z114" s="244"/>
    </row>
    <row r="115" spans="9:26">
      <c r="J115" s="213"/>
      <c r="P115" s="244"/>
      <c r="R115" s="244"/>
      <c r="T115" s="244"/>
      <c r="V115" s="244"/>
      <c r="X115" s="244"/>
      <c r="Z115" s="244"/>
    </row>
    <row r="116" spans="9:26">
      <c r="J116" s="213"/>
      <c r="P116" s="244"/>
      <c r="R116" s="244"/>
      <c r="T116" s="244"/>
      <c r="V116" s="244"/>
      <c r="X116" s="244"/>
      <c r="Z116" s="244"/>
    </row>
    <row r="117" spans="9:26">
      <c r="J117" s="213"/>
      <c r="P117" s="244"/>
      <c r="R117" s="244"/>
      <c r="T117" s="244"/>
      <c r="V117" s="244"/>
      <c r="X117" s="244"/>
      <c r="Z117" s="244"/>
    </row>
    <row r="118" spans="9:26">
      <c r="J118" s="213"/>
      <c r="P118" s="244"/>
      <c r="R118" s="244"/>
      <c r="T118" s="244"/>
      <c r="V118" s="244"/>
      <c r="X118" s="244"/>
      <c r="Z118" s="244"/>
    </row>
    <row r="119" spans="9:26">
      <c r="J119" s="213"/>
      <c r="P119" s="244"/>
      <c r="R119" s="244"/>
      <c r="T119" s="244"/>
      <c r="V119" s="244"/>
      <c r="X119" s="244"/>
      <c r="Z119" s="244"/>
    </row>
    <row r="120" spans="9:26">
      <c r="J120" s="213"/>
      <c r="P120" s="244"/>
      <c r="R120" s="244"/>
      <c r="T120" s="244"/>
      <c r="V120" s="244"/>
      <c r="X120" s="244"/>
      <c r="Z120" s="244"/>
    </row>
    <row r="121" spans="9:26">
      <c r="J121" s="213"/>
      <c r="P121" s="244"/>
      <c r="R121" s="244"/>
      <c r="T121" s="244"/>
      <c r="V121" s="244"/>
      <c r="X121" s="244"/>
      <c r="Z121" s="244"/>
    </row>
    <row r="122" spans="9:26">
      <c r="P122" s="244"/>
      <c r="R122" s="244"/>
      <c r="T122" s="244"/>
      <c r="V122" s="244"/>
      <c r="X122" s="244"/>
      <c r="Z122" s="244"/>
    </row>
    <row r="123" spans="9:26">
      <c r="P123" s="244"/>
      <c r="R123" s="244"/>
      <c r="T123" s="244"/>
      <c r="V123" s="244"/>
      <c r="X123" s="244"/>
      <c r="Z123" s="244"/>
    </row>
    <row r="124" spans="9:26">
      <c r="I124" s="213"/>
      <c r="P124" s="244"/>
      <c r="R124" s="244"/>
      <c r="T124" s="244"/>
      <c r="V124" s="244"/>
      <c r="X124" s="244"/>
      <c r="Z124" s="244"/>
    </row>
    <row r="125" spans="9:26">
      <c r="I125" s="213"/>
      <c r="P125" s="244"/>
      <c r="R125" s="244"/>
      <c r="T125" s="244"/>
      <c r="V125" s="244"/>
      <c r="X125" s="244"/>
      <c r="Z125" s="244"/>
    </row>
    <row r="126" spans="9:26">
      <c r="P126" s="244"/>
      <c r="R126" s="244"/>
      <c r="T126" s="244"/>
      <c r="V126" s="244"/>
      <c r="X126" s="244"/>
      <c r="Z126" s="244"/>
    </row>
    <row r="127" spans="9:26">
      <c r="I127" s="213"/>
      <c r="P127" s="244"/>
      <c r="R127" s="244"/>
      <c r="T127" s="244"/>
      <c r="V127" s="244"/>
      <c r="X127" s="244"/>
      <c r="Z127" s="244"/>
    </row>
    <row r="128" spans="9:26">
      <c r="I128" s="213"/>
      <c r="P128" s="244"/>
      <c r="R128" s="244"/>
      <c r="T128" s="244"/>
      <c r="V128" s="244"/>
      <c r="X128" s="244"/>
      <c r="Z128" s="244"/>
    </row>
    <row r="129" spans="9:26">
      <c r="I129" s="213"/>
      <c r="P129" s="244"/>
      <c r="R129" s="244"/>
      <c r="T129" s="244"/>
      <c r="V129" s="244"/>
      <c r="X129" s="244"/>
      <c r="Z129" s="244"/>
    </row>
    <row r="130" spans="9:26">
      <c r="I130" s="213"/>
      <c r="P130" s="244"/>
      <c r="R130" s="244"/>
      <c r="T130" s="244"/>
      <c r="V130" s="244"/>
      <c r="X130" s="244"/>
      <c r="Z130" s="244"/>
    </row>
    <row r="131" spans="9:26">
      <c r="I131" s="213"/>
      <c r="P131" s="244"/>
      <c r="R131" s="244"/>
      <c r="T131" s="244"/>
      <c r="V131" s="244"/>
      <c r="X131" s="244"/>
      <c r="Z131" s="244"/>
    </row>
    <row r="132" spans="9:26">
      <c r="I132" s="213"/>
      <c r="P132" s="244"/>
      <c r="R132" s="244"/>
      <c r="T132" s="244"/>
      <c r="V132" s="244"/>
      <c r="X132" s="244"/>
      <c r="Z132" s="244"/>
    </row>
    <row r="133" spans="9:26">
      <c r="I133" s="213"/>
      <c r="P133" s="244"/>
      <c r="R133" s="244"/>
      <c r="T133" s="244"/>
      <c r="V133" s="244"/>
      <c r="X133" s="244"/>
      <c r="Z133" s="244"/>
    </row>
    <row r="134" spans="9:26">
      <c r="I134" s="213"/>
      <c r="P134" s="244"/>
      <c r="R134" s="244"/>
      <c r="T134" s="244"/>
      <c r="V134" s="244"/>
      <c r="X134" s="244"/>
      <c r="Z134" s="244"/>
    </row>
    <row r="135" spans="9:26">
      <c r="I135" s="213"/>
      <c r="P135" s="244"/>
      <c r="R135" s="244"/>
      <c r="T135" s="244"/>
      <c r="V135" s="244"/>
      <c r="X135" s="244"/>
      <c r="Z135" s="244"/>
    </row>
    <row r="136" spans="9:26">
      <c r="I136" s="213"/>
      <c r="P136" s="244"/>
      <c r="R136" s="244"/>
      <c r="T136" s="244"/>
      <c r="V136" s="244"/>
      <c r="X136" s="244"/>
      <c r="Z136" s="244"/>
    </row>
    <row r="137" spans="9:26">
      <c r="I137" s="213"/>
      <c r="P137" s="244"/>
      <c r="R137" s="244"/>
      <c r="T137" s="244"/>
      <c r="V137" s="244"/>
      <c r="X137" s="244"/>
      <c r="Z137" s="244"/>
    </row>
    <row r="138" spans="9:26">
      <c r="I138" s="213"/>
      <c r="P138" s="244"/>
      <c r="R138" s="244"/>
      <c r="T138" s="244"/>
      <c r="V138" s="244"/>
      <c r="X138" s="244"/>
      <c r="Z138" s="244"/>
    </row>
    <row r="139" spans="9:26">
      <c r="P139" s="244"/>
      <c r="R139" s="244"/>
      <c r="T139" s="244"/>
      <c r="V139" s="244"/>
      <c r="X139" s="244"/>
      <c r="Z139" s="244"/>
    </row>
    <row r="140" spans="9:26">
      <c r="I140" s="213"/>
      <c r="P140" s="244"/>
      <c r="R140" s="244"/>
      <c r="T140" s="244"/>
      <c r="V140" s="244"/>
      <c r="X140" s="244"/>
      <c r="Z140" s="244"/>
    </row>
    <row r="141" spans="9:26">
      <c r="I141" s="213"/>
      <c r="P141" s="244"/>
      <c r="R141" s="244"/>
      <c r="T141" s="244"/>
      <c r="V141" s="244"/>
      <c r="X141" s="244"/>
      <c r="Z141" s="244"/>
    </row>
    <row r="142" spans="9:26">
      <c r="I142" s="213"/>
      <c r="P142" s="244"/>
      <c r="R142" s="244"/>
      <c r="T142" s="244"/>
      <c r="V142" s="244"/>
      <c r="X142" s="244"/>
      <c r="Z142" s="244"/>
    </row>
    <row r="143" spans="9:26">
      <c r="I143" s="213"/>
      <c r="P143" s="244"/>
      <c r="R143" s="244"/>
      <c r="T143" s="244"/>
      <c r="V143" s="244"/>
      <c r="X143" s="244"/>
      <c r="Z143" s="244"/>
    </row>
    <row r="144" spans="9:26">
      <c r="I144" s="213"/>
      <c r="P144" s="244"/>
      <c r="R144" s="244"/>
      <c r="T144" s="244"/>
      <c r="V144" s="244"/>
      <c r="X144" s="244"/>
      <c r="Z144" s="244"/>
    </row>
    <row r="145" spans="9:26">
      <c r="I145" s="213"/>
      <c r="P145" s="244"/>
      <c r="R145" s="244"/>
      <c r="T145" s="244"/>
      <c r="V145" s="244"/>
      <c r="X145" s="244"/>
      <c r="Z145" s="244"/>
    </row>
    <row r="146" spans="9:26">
      <c r="I146" s="213"/>
      <c r="P146" s="244"/>
      <c r="R146" s="244"/>
      <c r="T146" s="244"/>
      <c r="V146" s="244"/>
      <c r="X146" s="244"/>
      <c r="Z146" s="244"/>
    </row>
    <row r="147" spans="9:26">
      <c r="I147" s="213"/>
      <c r="P147" s="244"/>
      <c r="R147" s="244"/>
      <c r="T147" s="244"/>
      <c r="V147" s="244"/>
      <c r="X147" s="244"/>
      <c r="Z147" s="244"/>
    </row>
    <row r="148" spans="9:26">
      <c r="I148" s="213"/>
      <c r="P148" s="244"/>
      <c r="R148" s="244"/>
      <c r="T148" s="244"/>
      <c r="V148" s="244"/>
      <c r="X148" s="244"/>
      <c r="Z148" s="244"/>
    </row>
    <row r="149" spans="9:26">
      <c r="I149" s="213"/>
      <c r="P149" s="244"/>
      <c r="R149" s="244"/>
      <c r="T149" s="244"/>
      <c r="V149" s="244"/>
      <c r="X149" s="244"/>
      <c r="Z149" s="244"/>
    </row>
    <row r="150" spans="9:26">
      <c r="I150" s="213"/>
      <c r="P150" s="244"/>
      <c r="R150" s="244"/>
      <c r="T150" s="244"/>
      <c r="V150" s="244"/>
      <c r="X150" s="244"/>
      <c r="Z150" s="244"/>
    </row>
    <row r="151" spans="9:26">
      <c r="P151" s="244"/>
      <c r="R151" s="244"/>
      <c r="T151" s="244"/>
      <c r="V151" s="244"/>
      <c r="X151" s="244"/>
      <c r="Z151" s="244"/>
    </row>
    <row r="152" spans="9:26">
      <c r="P152" s="244"/>
      <c r="R152" s="244"/>
      <c r="T152" s="244"/>
      <c r="V152" s="244"/>
      <c r="X152" s="244"/>
      <c r="Z152" s="244"/>
    </row>
    <row r="153" spans="9:26">
      <c r="I153" s="213"/>
      <c r="P153" s="244"/>
      <c r="R153" s="244"/>
      <c r="T153" s="244"/>
      <c r="V153" s="244"/>
      <c r="X153" s="244"/>
      <c r="Z153" s="244"/>
    </row>
    <row r="154" spans="9:26">
      <c r="I154" s="213"/>
      <c r="P154" s="244"/>
      <c r="R154" s="244"/>
      <c r="T154" s="244"/>
      <c r="V154" s="244"/>
      <c r="X154" s="244"/>
      <c r="Z154" s="244"/>
    </row>
    <row r="155" spans="9:26">
      <c r="I155" s="213"/>
      <c r="P155" s="244"/>
      <c r="R155" s="244"/>
      <c r="T155" s="244"/>
      <c r="V155" s="244"/>
      <c r="X155" s="244"/>
      <c r="Z155" s="244"/>
    </row>
    <row r="156" spans="9:26">
      <c r="I156" s="213"/>
      <c r="P156" s="244"/>
      <c r="R156" s="244"/>
      <c r="T156" s="244"/>
      <c r="V156" s="244"/>
      <c r="X156" s="244"/>
      <c r="Z156" s="244"/>
    </row>
    <row r="157" spans="9:26">
      <c r="I157" s="213"/>
      <c r="P157" s="244"/>
      <c r="R157" s="244"/>
      <c r="T157" s="244"/>
      <c r="V157" s="244"/>
      <c r="X157" s="244"/>
      <c r="Z157" s="244"/>
    </row>
    <row r="158" spans="9:26">
      <c r="I158" s="213"/>
      <c r="P158" s="244"/>
      <c r="R158" s="244"/>
      <c r="T158" s="244"/>
      <c r="V158" s="244"/>
      <c r="X158" s="244"/>
      <c r="Z158" s="244"/>
    </row>
    <row r="159" spans="9:26">
      <c r="I159" s="213"/>
      <c r="P159" s="244"/>
      <c r="R159" s="244"/>
      <c r="T159" s="244"/>
      <c r="V159" s="244"/>
      <c r="X159" s="244"/>
      <c r="Z159" s="244"/>
    </row>
    <row r="160" spans="9:26">
      <c r="I160" s="213"/>
      <c r="P160" s="244"/>
      <c r="R160" s="244"/>
      <c r="T160" s="244"/>
      <c r="V160" s="244"/>
      <c r="X160" s="244"/>
      <c r="Z160" s="244"/>
    </row>
    <row r="161" spans="9:26">
      <c r="I161" s="213"/>
      <c r="P161" s="244"/>
      <c r="R161" s="244"/>
      <c r="T161" s="244"/>
      <c r="V161" s="244"/>
      <c r="X161" s="244"/>
      <c r="Z161" s="244"/>
    </row>
    <row r="162" spans="9:26">
      <c r="I162" s="213"/>
      <c r="P162" s="244"/>
      <c r="R162" s="244"/>
      <c r="T162" s="244"/>
      <c r="V162" s="244"/>
      <c r="X162" s="244"/>
      <c r="Z162" s="244"/>
    </row>
    <row r="163" spans="9:26">
      <c r="I163" s="213"/>
      <c r="P163" s="244"/>
      <c r="R163" s="244"/>
      <c r="T163" s="244"/>
      <c r="V163" s="244"/>
      <c r="X163" s="244"/>
      <c r="Z163" s="244"/>
    </row>
    <row r="164" spans="9:26">
      <c r="I164" s="213"/>
      <c r="P164" s="244"/>
      <c r="R164" s="244"/>
      <c r="T164" s="244"/>
      <c r="V164" s="244"/>
      <c r="X164" s="244"/>
      <c r="Z164" s="244"/>
    </row>
    <row r="165" spans="9:26">
      <c r="I165" s="213"/>
      <c r="P165" s="244"/>
      <c r="R165" s="244"/>
      <c r="T165" s="244"/>
      <c r="V165" s="244"/>
      <c r="X165" s="244"/>
      <c r="Z165" s="244"/>
    </row>
    <row r="166" spans="9:26">
      <c r="I166" s="213"/>
      <c r="P166" s="244"/>
      <c r="R166" s="244"/>
      <c r="T166" s="244"/>
      <c r="V166" s="244"/>
      <c r="X166" s="244"/>
      <c r="Z166" s="244"/>
    </row>
    <row r="167" spans="9:26">
      <c r="I167" s="213"/>
      <c r="P167" s="244"/>
      <c r="R167" s="244"/>
      <c r="T167" s="244"/>
      <c r="V167" s="244"/>
      <c r="X167" s="244"/>
      <c r="Z167" s="244"/>
    </row>
    <row r="168" spans="9:26">
      <c r="I168" s="213"/>
      <c r="P168" s="244"/>
      <c r="R168" s="244"/>
      <c r="T168" s="244"/>
      <c r="V168" s="244"/>
      <c r="X168" s="244"/>
      <c r="Z168" s="244"/>
    </row>
    <row r="169" spans="9:26">
      <c r="I169" s="213"/>
      <c r="P169" s="244"/>
      <c r="R169" s="244"/>
      <c r="T169" s="244"/>
      <c r="V169" s="244"/>
      <c r="X169" s="244"/>
      <c r="Z169" s="244"/>
    </row>
    <row r="170" spans="9:26">
      <c r="I170" s="213"/>
      <c r="P170" s="244"/>
      <c r="R170" s="244"/>
      <c r="T170" s="244"/>
      <c r="V170" s="244"/>
      <c r="X170" s="244"/>
      <c r="Z170" s="244"/>
    </row>
    <row r="171" spans="9:26">
      <c r="I171" s="213"/>
      <c r="P171" s="244"/>
      <c r="R171" s="244"/>
      <c r="T171" s="244"/>
      <c r="V171" s="244"/>
      <c r="X171" s="244"/>
      <c r="Z171" s="244"/>
    </row>
    <row r="172" spans="9:26">
      <c r="P172" s="244"/>
      <c r="R172" s="244"/>
      <c r="T172" s="244"/>
      <c r="V172" s="244"/>
      <c r="X172" s="244"/>
      <c r="Z172" s="244"/>
    </row>
    <row r="173" spans="9:26">
      <c r="P173" s="244"/>
      <c r="R173" s="244"/>
      <c r="T173" s="244"/>
      <c r="V173" s="244"/>
      <c r="X173" s="244"/>
      <c r="Z173" s="244"/>
    </row>
    <row r="174" spans="9:26">
      <c r="P174" s="244"/>
      <c r="R174" s="244"/>
      <c r="T174" s="244"/>
      <c r="V174" s="244"/>
      <c r="X174" s="244"/>
      <c r="Z174" s="244"/>
    </row>
    <row r="175" spans="9:26">
      <c r="P175" s="244"/>
      <c r="R175" s="244"/>
      <c r="T175" s="244"/>
      <c r="V175" s="244"/>
      <c r="X175" s="244"/>
      <c r="Z175" s="244"/>
    </row>
    <row r="176" spans="9:26">
      <c r="P176" s="244"/>
      <c r="R176" s="244"/>
      <c r="T176" s="244"/>
      <c r="V176" s="244"/>
      <c r="X176" s="244"/>
      <c r="Z176" s="244"/>
    </row>
    <row r="177" spans="9:26">
      <c r="P177" s="244"/>
      <c r="R177" s="244"/>
      <c r="T177" s="244"/>
      <c r="V177" s="244"/>
      <c r="X177" s="244"/>
      <c r="Z177" s="244"/>
    </row>
    <row r="178" spans="9:26">
      <c r="P178" s="244"/>
      <c r="R178" s="244"/>
      <c r="T178" s="244"/>
      <c r="V178" s="244"/>
      <c r="X178" s="244"/>
      <c r="Z178" s="244"/>
    </row>
    <row r="179" spans="9:26">
      <c r="P179" s="244"/>
      <c r="R179" s="244"/>
      <c r="T179" s="244"/>
      <c r="V179" s="244"/>
      <c r="X179" s="244"/>
      <c r="Z179" s="244"/>
    </row>
    <row r="180" spans="9:26">
      <c r="P180" s="244"/>
      <c r="R180" s="244"/>
      <c r="T180" s="244"/>
      <c r="V180" s="244"/>
      <c r="X180" s="244"/>
      <c r="Z180" s="244"/>
    </row>
    <row r="181" spans="9:26">
      <c r="I181" s="243"/>
      <c r="P181" s="244"/>
      <c r="R181" s="244"/>
      <c r="T181" s="244"/>
      <c r="V181" s="244"/>
      <c r="X181" s="244"/>
      <c r="Z181" s="244"/>
    </row>
    <row r="182" spans="9:26">
      <c r="P182" s="244"/>
      <c r="R182" s="244"/>
      <c r="T182" s="244"/>
      <c r="V182" s="244"/>
      <c r="X182" s="244"/>
      <c r="Z182" s="244"/>
    </row>
    <row r="183" spans="9:26">
      <c r="P183" s="244"/>
      <c r="R183" s="244"/>
      <c r="T183" s="244"/>
      <c r="V183" s="244"/>
      <c r="X183" s="244"/>
      <c r="Z183" s="244"/>
    </row>
    <row r="184" spans="9:26">
      <c r="P184" s="244"/>
      <c r="R184" s="244"/>
      <c r="T184" s="244"/>
      <c r="V184" s="244"/>
      <c r="X184" s="244"/>
      <c r="Z184" s="244"/>
    </row>
    <row r="185" spans="9:26">
      <c r="P185" s="244"/>
      <c r="R185" s="244"/>
      <c r="T185" s="244"/>
      <c r="V185" s="244"/>
      <c r="X185" s="244"/>
      <c r="Z185" s="244"/>
    </row>
    <row r="186" spans="9:26">
      <c r="P186" s="244"/>
      <c r="R186" s="244"/>
      <c r="T186" s="244"/>
      <c r="V186" s="244"/>
      <c r="X186" s="244"/>
      <c r="Z186" s="244"/>
    </row>
    <row r="187" spans="9:26">
      <c r="P187" s="244"/>
      <c r="R187" s="244"/>
      <c r="T187" s="244"/>
      <c r="V187" s="244"/>
      <c r="X187" s="244"/>
      <c r="Z187" s="244"/>
    </row>
    <row r="188" spans="9:26">
      <c r="P188" s="244"/>
      <c r="R188" s="244"/>
      <c r="T188" s="244"/>
      <c r="V188" s="244"/>
      <c r="X188" s="244"/>
      <c r="Z188" s="244"/>
    </row>
    <row r="189" spans="9:26">
      <c r="P189" s="244"/>
      <c r="R189" s="244"/>
      <c r="T189" s="244"/>
      <c r="V189" s="244"/>
      <c r="X189" s="244"/>
      <c r="Z189" s="244"/>
    </row>
    <row r="190" spans="9:26">
      <c r="P190" s="244"/>
      <c r="R190" s="244"/>
      <c r="T190" s="244"/>
      <c r="V190" s="244"/>
      <c r="X190" s="244"/>
      <c r="Z190" s="244"/>
    </row>
    <row r="191" spans="9:26">
      <c r="P191" s="244"/>
      <c r="R191" s="244"/>
      <c r="T191" s="244"/>
      <c r="V191" s="244"/>
      <c r="X191" s="244"/>
      <c r="Z191" s="244"/>
    </row>
    <row r="192" spans="9:26">
      <c r="P192" s="244"/>
      <c r="R192" s="244"/>
      <c r="T192" s="244"/>
      <c r="V192" s="244"/>
      <c r="X192" s="244"/>
      <c r="Z192" s="244"/>
    </row>
    <row r="193" spans="16:26">
      <c r="P193" s="244"/>
      <c r="R193" s="244"/>
      <c r="T193" s="244"/>
      <c r="V193" s="244"/>
      <c r="X193" s="244"/>
      <c r="Z193" s="244"/>
    </row>
    <row r="194" spans="16:26">
      <c r="P194" s="244"/>
      <c r="R194" s="244"/>
      <c r="T194" s="244"/>
      <c r="V194" s="244"/>
      <c r="X194" s="244"/>
      <c r="Z194" s="244"/>
    </row>
    <row r="195" spans="16:26">
      <c r="P195" s="244"/>
      <c r="R195" s="244"/>
      <c r="T195" s="244"/>
      <c r="V195" s="244"/>
      <c r="X195" s="244"/>
      <c r="Z195" s="244"/>
    </row>
    <row r="196" spans="16:26">
      <c r="P196" s="244"/>
      <c r="R196" s="244"/>
      <c r="T196" s="244"/>
      <c r="V196" s="244"/>
      <c r="X196" s="244"/>
      <c r="Z196" s="244"/>
    </row>
    <row r="197" spans="16:26">
      <c r="P197" s="244"/>
      <c r="R197" s="244"/>
      <c r="T197" s="244"/>
      <c r="V197" s="244"/>
      <c r="X197" s="244"/>
      <c r="Z197" s="244"/>
    </row>
    <row r="198" spans="16:26">
      <c r="P198" s="244"/>
      <c r="R198" s="244"/>
      <c r="T198" s="244"/>
      <c r="V198" s="244"/>
      <c r="X198" s="244"/>
      <c r="Z198" s="244"/>
    </row>
    <row r="199" spans="16:26">
      <c r="P199" s="244"/>
      <c r="R199" s="244"/>
      <c r="T199" s="244"/>
      <c r="V199" s="244"/>
      <c r="X199" s="244"/>
      <c r="Z199" s="244"/>
    </row>
    <row r="200" spans="16:26">
      <c r="P200" s="244"/>
      <c r="R200" s="244"/>
      <c r="T200" s="244"/>
      <c r="V200" s="244"/>
      <c r="X200" s="244"/>
      <c r="Z200" s="244"/>
    </row>
    <row r="201" spans="16:26">
      <c r="P201" s="244"/>
      <c r="R201" s="244"/>
      <c r="T201" s="244"/>
      <c r="V201" s="244"/>
      <c r="X201" s="244"/>
      <c r="Z201" s="244"/>
    </row>
    <row r="202" spans="16:26">
      <c r="P202" s="244"/>
      <c r="R202" s="244"/>
      <c r="T202" s="244"/>
      <c r="V202" s="244"/>
      <c r="X202" s="244"/>
      <c r="Z202" s="244"/>
    </row>
    <row r="203" spans="16:26">
      <c r="P203" s="244"/>
      <c r="R203" s="244"/>
      <c r="T203" s="244"/>
      <c r="V203" s="244"/>
      <c r="X203" s="244"/>
      <c r="Z203" s="244"/>
    </row>
    <row r="204" spans="16:26">
      <c r="P204" s="244"/>
      <c r="R204" s="244"/>
      <c r="T204" s="244"/>
      <c r="V204" s="244"/>
      <c r="X204" s="244"/>
      <c r="Z204" s="244"/>
    </row>
    <row r="205" spans="16:26">
      <c r="P205" s="244"/>
      <c r="R205" s="244"/>
      <c r="T205" s="244"/>
      <c r="V205" s="244"/>
      <c r="X205" s="244"/>
      <c r="Z205" s="244"/>
    </row>
    <row r="206" spans="16:26">
      <c r="P206" s="244"/>
      <c r="R206" s="244"/>
      <c r="T206" s="244"/>
      <c r="V206" s="244"/>
      <c r="X206" s="244"/>
      <c r="Z206" s="244"/>
    </row>
    <row r="207" spans="16:26">
      <c r="P207" s="244"/>
      <c r="R207" s="244"/>
      <c r="T207" s="244"/>
      <c r="V207" s="244"/>
      <c r="X207" s="244"/>
      <c r="Z207" s="244"/>
    </row>
    <row r="208" spans="16:26">
      <c r="P208" s="244"/>
      <c r="R208" s="244"/>
      <c r="T208" s="244"/>
      <c r="V208" s="244"/>
      <c r="X208" s="244"/>
      <c r="Z208" s="244"/>
    </row>
    <row r="209" spans="16:26">
      <c r="P209" s="244"/>
      <c r="R209" s="244"/>
      <c r="T209" s="244"/>
      <c r="V209" s="244"/>
      <c r="X209" s="244"/>
      <c r="Z209" s="244"/>
    </row>
    <row r="210" spans="16:26">
      <c r="P210" s="244"/>
      <c r="R210" s="244"/>
      <c r="T210" s="244"/>
      <c r="V210" s="244"/>
      <c r="X210" s="244"/>
      <c r="Z210" s="244"/>
    </row>
    <row r="211" spans="16:26">
      <c r="P211" s="244"/>
      <c r="R211" s="244"/>
      <c r="T211" s="244"/>
      <c r="V211" s="244"/>
      <c r="X211" s="244"/>
      <c r="Z211" s="244"/>
    </row>
    <row r="212" spans="16:26">
      <c r="P212" s="244"/>
      <c r="R212" s="244"/>
      <c r="T212" s="244"/>
      <c r="V212" s="244"/>
      <c r="X212" s="244"/>
      <c r="Z212" s="244"/>
    </row>
    <row r="213" spans="16:26">
      <c r="P213" s="244"/>
      <c r="R213" s="244"/>
      <c r="T213" s="244"/>
      <c r="V213" s="244"/>
      <c r="X213" s="244"/>
      <c r="Z213" s="244"/>
    </row>
    <row r="214" spans="16:26">
      <c r="P214" s="244"/>
      <c r="R214" s="244"/>
      <c r="T214" s="244"/>
      <c r="V214" s="244"/>
      <c r="X214" s="244"/>
      <c r="Z214" s="244"/>
    </row>
    <row r="215" spans="16:26">
      <c r="P215" s="244"/>
      <c r="R215" s="244"/>
      <c r="T215" s="244"/>
      <c r="V215" s="244"/>
      <c r="X215" s="244"/>
      <c r="Z215" s="244"/>
    </row>
    <row r="216" spans="16:26">
      <c r="P216" s="244"/>
      <c r="R216" s="244"/>
      <c r="T216" s="244"/>
      <c r="V216" s="244"/>
      <c r="X216" s="244"/>
      <c r="Z216" s="244"/>
    </row>
    <row r="217" spans="16:26">
      <c r="P217" s="244"/>
      <c r="R217" s="244"/>
      <c r="T217" s="244"/>
      <c r="V217" s="244"/>
      <c r="X217" s="244"/>
      <c r="Z217" s="244"/>
    </row>
    <row r="218" spans="16:26">
      <c r="P218" s="244"/>
      <c r="R218" s="244"/>
      <c r="T218" s="244"/>
      <c r="V218" s="244"/>
      <c r="X218" s="244"/>
      <c r="Z218" s="244"/>
    </row>
    <row r="219" spans="16:26">
      <c r="P219" s="244"/>
      <c r="R219" s="244"/>
      <c r="T219" s="244"/>
      <c r="V219" s="244"/>
      <c r="X219" s="244"/>
      <c r="Z219" s="244"/>
    </row>
    <row r="220" spans="16:26">
      <c r="P220" s="244"/>
      <c r="R220" s="244"/>
      <c r="T220" s="244"/>
      <c r="V220" s="244"/>
      <c r="X220" s="244"/>
      <c r="Z220" s="244"/>
    </row>
    <row r="221" spans="16:26">
      <c r="P221" s="244"/>
      <c r="R221" s="244"/>
      <c r="T221" s="244"/>
      <c r="V221" s="244"/>
      <c r="X221" s="244"/>
      <c r="Z221" s="244"/>
    </row>
    <row r="222" spans="16:26">
      <c r="P222" s="244"/>
      <c r="R222" s="244"/>
      <c r="T222" s="244"/>
      <c r="V222" s="244"/>
      <c r="X222" s="244"/>
      <c r="Z222" s="244"/>
    </row>
    <row r="283" spans="16:26">
      <c r="P283" s="244"/>
      <c r="R283" s="244"/>
      <c r="T283" s="244"/>
      <c r="V283" s="244"/>
      <c r="X283" s="244"/>
      <c r="Z283" s="244"/>
    </row>
    <row r="284" spans="16:26">
      <c r="P284" s="244"/>
      <c r="R284" s="244"/>
      <c r="T284" s="244"/>
      <c r="V284" s="244"/>
      <c r="X284" s="244"/>
      <c r="Z284" s="244"/>
    </row>
    <row r="285" spans="16:26">
      <c r="P285" s="244"/>
      <c r="R285" s="244"/>
      <c r="T285" s="244"/>
      <c r="V285" s="244"/>
      <c r="X285" s="244"/>
      <c r="Z285" s="244"/>
    </row>
  </sheetData>
  <dataValidations count="2">
    <dataValidation type="list" allowBlank="1" showInputMessage="1" showErrorMessage="1" promptTitle="Carats" prompt="Small=(1/5ct - 1ct)_x000a_Moderate=(1ct - 10ct)_x000a_Large=(10ct +)_x000a_Random (1/5ct - 500ct)" sqref="AK131079 AK196615 AK262151 AK327687 AK393223 AK458759 AK524295 AK589831 AK655367 AK720903 AK786439 AK851975 AK917511 AK983047 AK65543" xr:uid="{2CDF988E-1E8E-48B1-B590-B8C272E06CD5}">
      <formula1>"Small,Moderate,Large,Random"</formula1>
    </dataValidation>
    <dataValidation type="whole" allowBlank="1" showInputMessage="1" showErrorMessage="1" promptTitle="Value" prompt="Enter a value between 1,20" sqref="AK65542 AK131078 AK196614 AK262150 AK327686 AK393222 AK458758 AK524294 AK589830 AK655366 AK720902 AK786438 AK851974 AK917510 AK983046" xr:uid="{22739A31-8013-4B27-A39A-5F6DD5D1F63A}">
      <formula1>1</formula1>
      <formula2>20</formula2>
    </dataValidation>
  </dataValidations>
  <pageMargins left="0.7" right="0.7" top="0.75" bottom="0.75" header="0.3" footer="0.3"/>
  <pageSetup orientation="portrait"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A56E-3071-415A-B024-41259D07A2B8}">
  <sheetPr codeName="Аркуш22">
    <tabColor rgb="FFC00000"/>
    <outlinePr summaryBelow="0" summaryRight="0"/>
  </sheetPr>
  <dimension ref="A1:BY1004"/>
  <sheetViews>
    <sheetView showGridLines="0" zoomScale="70" zoomScaleNormal="70" workbookViewId="0">
      <selection activeCell="BV39" sqref="BV39"/>
    </sheetView>
  </sheetViews>
  <sheetFormatPr defaultColWidth="11.21875" defaultRowHeight="15.75" customHeight="1"/>
  <cols>
    <col min="1" max="11" width="2.21875" style="103" customWidth="1"/>
    <col min="12" max="12" width="2.6640625" style="103" customWidth="1"/>
    <col min="13" max="23" width="2.21875" style="103" customWidth="1"/>
    <col min="24" max="24" width="2.88671875" style="103" customWidth="1"/>
    <col min="25" max="25" width="2" style="103" customWidth="1"/>
    <col min="26" max="26" width="2.44140625" style="103" customWidth="1"/>
    <col min="27" max="27" width="2.88671875" style="103" customWidth="1"/>
    <col min="28" max="31" width="2.21875" style="103" customWidth="1"/>
    <col min="32" max="32" width="2.88671875" style="103" customWidth="1"/>
    <col min="33" max="33" width="2.6640625" style="103" customWidth="1"/>
    <col min="34" max="34" width="2.77734375" style="103" customWidth="1"/>
    <col min="35" max="35" width="2.33203125" style="103" customWidth="1"/>
    <col min="36" max="77" width="2.21875" style="103" customWidth="1"/>
    <col min="78" max="16384" width="11.21875" style="103"/>
  </cols>
  <sheetData>
    <row r="1" spans="1:77" ht="23.25">
      <c r="A1" s="2045" t="str">
        <f>HYPERLINK("https://docs.google.com/spreadsheets/d/1t2dAkngRDsb7tWCTAB42oTOih_5P-m_p2-oAl1EbDRk","DO NOT MODIFY ANYTHING ON THIS TAB. CLICK HERE TO GET TO THE LIVE CHARACTER SHEET")</f>
        <v>DO NOT MODIFY ANYTHING ON THIS TAB. CLICK HERE TO GET TO THE LIVE CHARACTER SHEET</v>
      </c>
      <c r="B1" s="1289"/>
      <c r="C1" s="1289"/>
      <c r="D1" s="1289"/>
      <c r="E1" s="1289"/>
      <c r="F1" s="1289"/>
      <c r="G1" s="1289"/>
      <c r="H1" s="1289"/>
      <c r="I1" s="1289"/>
      <c r="J1" s="1289"/>
      <c r="K1" s="1289"/>
      <c r="L1" s="1289"/>
      <c r="M1" s="1289"/>
      <c r="N1" s="1289"/>
      <c r="O1" s="1289"/>
      <c r="P1" s="1289"/>
      <c r="Q1" s="1289"/>
      <c r="R1" s="1289"/>
      <c r="S1" s="1289"/>
      <c r="T1" s="1289"/>
      <c r="U1" s="1289"/>
      <c r="V1" s="1289"/>
      <c r="W1" s="1289"/>
      <c r="X1" s="1289"/>
      <c r="Y1" s="1289"/>
      <c r="Z1" s="1289"/>
      <c r="AA1" s="1289"/>
      <c r="AB1" s="1289"/>
      <c r="AC1" s="1289"/>
      <c r="AD1" s="1289"/>
      <c r="AE1" s="1289"/>
      <c r="AF1" s="1289"/>
      <c r="AG1" s="1289"/>
      <c r="AH1" s="1289"/>
      <c r="AI1" s="1289"/>
      <c r="AJ1" s="1289"/>
      <c r="AK1" s="1289"/>
      <c r="AL1" s="1289"/>
      <c r="AM1" s="1289"/>
      <c r="AN1" s="1289"/>
      <c r="AO1" s="1289"/>
      <c r="AP1" s="1289"/>
      <c r="AQ1" s="1289"/>
      <c r="AR1" s="1289"/>
      <c r="AS1" s="1289"/>
      <c r="AT1" s="1289"/>
      <c r="AU1" s="1289"/>
      <c r="AV1" s="1289"/>
      <c r="AW1" s="1289"/>
      <c r="AX1" s="1289"/>
      <c r="AY1" s="1289"/>
      <c r="AZ1" s="1289"/>
      <c r="BA1" s="1289"/>
      <c r="BB1" s="1289"/>
      <c r="BC1" s="1289"/>
      <c r="BD1" s="108"/>
      <c r="BE1" s="108"/>
      <c r="BF1" s="108"/>
      <c r="BG1" s="108"/>
      <c r="BH1" s="108"/>
      <c r="BI1" s="108"/>
      <c r="BJ1" s="108"/>
      <c r="BK1" s="108"/>
      <c r="BL1" s="108"/>
      <c r="BM1" s="108"/>
      <c r="BN1" s="108"/>
      <c r="BO1" s="108"/>
      <c r="BP1" s="108"/>
      <c r="BQ1" s="108"/>
      <c r="BR1" s="108"/>
      <c r="BS1" s="108"/>
      <c r="BT1" s="108"/>
      <c r="BU1" s="108"/>
      <c r="BV1" s="108"/>
      <c r="BW1" s="108"/>
      <c r="BX1" s="108"/>
      <c r="BY1" s="108"/>
    </row>
    <row r="2" spans="1:77" ht="16.5" thickBot="1">
      <c r="A2" s="109" t="str">
        <f ca="1">IFERROR(__xludf.DUMMYFUNCTION("IMPORTRANGE(""https://docs.google.com/spreadsheets/d/1XjRtUsFSjBLP1m3zlIoL6BPpPSl_xkuGCBm_r2Xzs-g/edit#gid=1625769391"",""CS!a:zz"")"),"")</f>
        <v/>
      </c>
      <c r="B2" s="109"/>
      <c r="C2" s="109"/>
      <c r="D2" s="109"/>
      <c r="E2" s="109"/>
      <c r="F2" s="109"/>
      <c r="G2" s="109"/>
      <c r="H2" s="109"/>
      <c r="I2" s="109"/>
      <c r="J2" s="109"/>
      <c r="K2" s="109"/>
      <c r="L2" s="109"/>
      <c r="M2" s="109"/>
      <c r="N2" s="109"/>
      <c r="O2" s="109"/>
      <c r="P2" s="109"/>
      <c r="Q2" s="109"/>
      <c r="R2" s="109"/>
      <c r="S2" s="109"/>
      <c r="T2" s="109"/>
      <c r="U2" s="109"/>
      <c r="V2" s="109"/>
      <c r="W2" s="109"/>
      <c r="X2" s="109"/>
      <c r="Y2" s="109"/>
      <c r="Z2" s="109"/>
      <c r="AA2" s="109"/>
      <c r="AB2" s="109"/>
      <c r="AC2" s="109"/>
      <c r="AD2" s="109"/>
      <c r="AE2" s="109"/>
      <c r="AF2" s="109"/>
      <c r="AG2" s="109"/>
      <c r="AH2" s="109"/>
      <c r="AI2" s="109"/>
      <c r="AJ2" s="109"/>
      <c r="AK2" s="109"/>
      <c r="AL2" s="109"/>
      <c r="AM2" s="109"/>
      <c r="AN2" s="109"/>
      <c r="AO2" s="109"/>
      <c r="AP2" s="109"/>
      <c r="AQ2" s="109"/>
      <c r="AR2" s="109"/>
      <c r="AS2" s="109"/>
      <c r="AT2" s="108"/>
      <c r="AU2" s="108"/>
      <c r="AV2" s="108"/>
      <c r="AW2" s="108"/>
      <c r="AX2" s="108"/>
      <c r="AY2" s="108"/>
      <c r="AZ2" s="108"/>
      <c r="BA2" s="108"/>
      <c r="BB2" s="108"/>
      <c r="BC2" s="108"/>
      <c r="BD2" s="108"/>
      <c r="BE2" s="108"/>
      <c r="BF2" s="108"/>
      <c r="BG2" s="108"/>
      <c r="BH2" s="108"/>
      <c r="BI2" s="108"/>
      <c r="BJ2" s="108"/>
      <c r="BK2" s="108"/>
      <c r="BL2" s="108"/>
      <c r="BM2" s="108"/>
      <c r="BN2" s="108"/>
      <c r="BO2" s="108"/>
      <c r="BP2" s="108"/>
      <c r="BQ2" s="108"/>
      <c r="BR2" s="108"/>
      <c r="BS2" s="108"/>
      <c r="BT2" s="108"/>
      <c r="BU2" s="108"/>
      <c r="BV2" s="108"/>
      <c r="BW2" s="108"/>
      <c r="BX2" s="108"/>
      <c r="BY2" s="108"/>
    </row>
    <row r="3" spans="1:77">
      <c r="A3" s="109"/>
      <c r="B3" s="2065" t="str">
        <f ca="1">IFERROR(__xludf.DUMMYFUNCTION("""COMPUTED_VALUE"""),"Character Name")</f>
        <v>Character Name</v>
      </c>
      <c r="C3" s="1801"/>
      <c r="D3" s="1801"/>
      <c r="E3" s="1801"/>
      <c r="F3" s="1801"/>
      <c r="G3" s="1801"/>
      <c r="H3" s="1801"/>
      <c r="I3" s="1801"/>
      <c r="J3" s="2044"/>
      <c r="K3" s="1801"/>
      <c r="L3" s="1801"/>
      <c r="M3" s="1801"/>
      <c r="N3" s="1801"/>
      <c r="O3" s="1801"/>
      <c r="P3" s="1801"/>
      <c r="Q3" s="1801"/>
      <c r="R3" s="1801"/>
      <c r="S3" s="1801"/>
      <c r="T3" s="1801"/>
      <c r="U3" s="1801"/>
      <c r="V3" s="1802"/>
      <c r="W3" s="109"/>
      <c r="X3" s="109"/>
      <c r="Y3" s="109"/>
      <c r="Z3" s="109"/>
      <c r="AA3" s="109"/>
      <c r="AB3" s="109"/>
      <c r="AC3" s="2048" t="str">
        <f ca="1">IFERROR(__xludf.DUMMYFUNCTION("""COMPUTED_VALUE"""),"Player Name")</f>
        <v>Player Name</v>
      </c>
      <c r="AD3" s="1801"/>
      <c r="AE3" s="1801"/>
      <c r="AF3" s="1801"/>
      <c r="AG3" s="1801"/>
      <c r="AH3" s="1801"/>
      <c r="AI3" s="2044"/>
      <c r="AJ3" s="1801"/>
      <c r="AK3" s="1801"/>
      <c r="AL3" s="1801"/>
      <c r="AM3" s="1801"/>
      <c r="AN3" s="1801"/>
      <c r="AO3" s="1801"/>
      <c r="AP3" s="1801"/>
      <c r="AQ3" s="1801"/>
      <c r="AR3" s="1801"/>
      <c r="AS3" s="1801"/>
      <c r="AT3" s="1802"/>
      <c r="AU3" s="202"/>
      <c r="AV3" s="202"/>
      <c r="AW3" s="202"/>
      <c r="AX3" s="109"/>
      <c r="AY3" s="109"/>
      <c r="AZ3" s="109"/>
      <c r="BA3" s="109"/>
      <c r="BB3" s="109"/>
      <c r="BC3" s="109"/>
      <c r="BD3" s="109"/>
      <c r="BE3" s="109"/>
      <c r="BF3" s="109"/>
      <c r="BG3" s="109"/>
      <c r="BH3" s="109"/>
      <c r="BI3" s="109"/>
      <c r="BJ3" s="109"/>
      <c r="BK3" s="109"/>
      <c r="BL3" s="109"/>
      <c r="BM3" s="109"/>
      <c r="BN3" s="109"/>
      <c r="BO3" s="109"/>
      <c r="BP3" s="109"/>
      <c r="BQ3" s="109"/>
      <c r="BR3" s="109"/>
      <c r="BS3" s="109"/>
      <c r="BT3" s="109"/>
      <c r="BU3" s="109"/>
      <c r="BV3" s="109"/>
      <c r="BW3" s="109"/>
      <c r="BX3" s="109"/>
      <c r="BY3" s="109"/>
    </row>
    <row r="4" spans="1:77" ht="16.5" thickBot="1">
      <c r="A4" s="109"/>
      <c r="B4" s="1803"/>
      <c r="C4" s="1804"/>
      <c r="D4" s="1804"/>
      <c r="E4" s="1804"/>
      <c r="F4" s="1804"/>
      <c r="G4" s="1804"/>
      <c r="H4" s="1804"/>
      <c r="I4" s="1804"/>
      <c r="J4" s="1803"/>
      <c r="K4" s="1804"/>
      <c r="L4" s="1804"/>
      <c r="M4" s="1804"/>
      <c r="N4" s="1804"/>
      <c r="O4" s="1804"/>
      <c r="P4" s="1804"/>
      <c r="Q4" s="1804"/>
      <c r="R4" s="1804"/>
      <c r="S4" s="1804"/>
      <c r="T4" s="1804"/>
      <c r="U4" s="1804"/>
      <c r="V4" s="1805"/>
      <c r="W4" s="109"/>
      <c r="X4" s="109"/>
      <c r="Y4" s="109"/>
      <c r="Z4" s="109"/>
      <c r="AA4" s="109"/>
      <c r="AB4" s="109"/>
      <c r="AC4" s="1803"/>
      <c r="AD4" s="1804"/>
      <c r="AE4" s="1804"/>
      <c r="AF4" s="1804"/>
      <c r="AG4" s="1804"/>
      <c r="AH4" s="1804"/>
      <c r="AI4" s="1803"/>
      <c r="AJ4" s="1804"/>
      <c r="AK4" s="1804"/>
      <c r="AL4" s="1804"/>
      <c r="AM4" s="1804"/>
      <c r="AN4" s="1804"/>
      <c r="AO4" s="1804"/>
      <c r="AP4" s="1804"/>
      <c r="AQ4" s="1804"/>
      <c r="AR4" s="1804"/>
      <c r="AS4" s="1804"/>
      <c r="AT4" s="1805"/>
      <c r="AU4" s="202"/>
      <c r="AV4" s="200"/>
      <c r="AW4" s="200"/>
      <c r="AX4" s="109"/>
      <c r="AY4" s="109"/>
      <c r="AZ4" s="109"/>
      <c r="BA4" s="109"/>
      <c r="BB4" s="109"/>
      <c r="BC4" s="109"/>
      <c r="BD4" s="109"/>
      <c r="BE4" s="109"/>
      <c r="BF4" s="109"/>
      <c r="BG4" s="109"/>
      <c r="BH4" s="109"/>
      <c r="BI4" s="109"/>
      <c r="BJ4" s="109"/>
      <c r="BK4" s="109"/>
      <c r="BL4" s="109"/>
      <c r="BM4" s="109"/>
      <c r="BN4" s="109"/>
      <c r="BO4" s="109"/>
      <c r="BP4" s="109"/>
      <c r="BQ4" s="109"/>
      <c r="BR4" s="109"/>
      <c r="BS4" s="109"/>
      <c r="BT4" s="109"/>
      <c r="BU4" s="109"/>
      <c r="BV4" s="109"/>
      <c r="BW4" s="109"/>
      <c r="BX4" s="109"/>
      <c r="BY4" s="109"/>
    </row>
    <row r="5" spans="1:77" ht="16.5" thickBot="1">
      <c r="A5" s="109"/>
      <c r="B5" s="109"/>
      <c r="C5" s="109"/>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46"/>
      <c r="AO5" s="109"/>
      <c r="AP5" s="109"/>
      <c r="AQ5" s="109"/>
      <c r="AR5" s="109"/>
      <c r="AS5" s="109"/>
      <c r="AT5" s="109"/>
      <c r="AU5" s="202"/>
      <c r="AV5" s="200"/>
      <c r="AW5" s="200"/>
      <c r="AX5" s="109"/>
      <c r="AY5" s="109"/>
      <c r="AZ5" s="109"/>
      <c r="BA5" s="109"/>
      <c r="BB5" s="109"/>
      <c r="BC5" s="109"/>
      <c r="BD5" s="109"/>
      <c r="BE5" s="109"/>
      <c r="BF5" s="109"/>
      <c r="BG5" s="109"/>
      <c r="BH5" s="109"/>
      <c r="BI5" s="109"/>
      <c r="BJ5" s="109"/>
      <c r="BK5" s="109"/>
      <c r="BL5" s="109"/>
      <c r="BM5" s="109"/>
      <c r="BN5" s="109"/>
      <c r="BO5" s="109"/>
      <c r="BP5" s="109"/>
      <c r="BQ5" s="109"/>
      <c r="BR5" s="109"/>
      <c r="BS5" s="109"/>
      <c r="BT5" s="109"/>
      <c r="BU5" s="109"/>
      <c r="BV5" s="109"/>
      <c r="BW5" s="109"/>
      <c r="BX5" s="109"/>
      <c r="BY5" s="109"/>
    </row>
    <row r="6" spans="1:77" ht="18.75">
      <c r="A6" s="109"/>
      <c r="B6" s="2047" t="str">
        <f ca="1">IFERROR(__xludf.DUMMYFUNCTION("""COMPUTED_VALUE"""),"Race")</f>
        <v>Race</v>
      </c>
      <c r="C6" s="1801"/>
      <c r="D6" s="1801"/>
      <c r="E6" s="1801"/>
      <c r="F6" s="2046"/>
      <c r="G6" s="1801"/>
      <c r="H6" s="1801"/>
      <c r="I6" s="1801"/>
      <c r="J6" s="1801"/>
      <c r="K6" s="1801"/>
      <c r="L6" s="1802"/>
      <c r="M6" s="108"/>
      <c r="N6" s="2047" t="str">
        <f ca="1">IFERROR(__xludf.DUMMYFUNCTION("""COMPUTED_VALUE"""),"Background")</f>
        <v>Background</v>
      </c>
      <c r="O6" s="1801"/>
      <c r="P6" s="1801"/>
      <c r="Q6" s="1801"/>
      <c r="R6" s="1801"/>
      <c r="S6" s="1802"/>
      <c r="T6" s="2029"/>
      <c r="U6" s="1801"/>
      <c r="V6" s="1801"/>
      <c r="W6" s="1801"/>
      <c r="X6" s="1801"/>
      <c r="Y6" s="1802"/>
      <c r="Z6" s="109"/>
      <c r="AA6" s="2037" t="str">
        <f ca="1">IFERROR(__xludf.DUMMYFUNCTION("""COMPUTED_VALUE"""),"Alignment")</f>
        <v>Alignment</v>
      </c>
      <c r="AB6" s="1801"/>
      <c r="AC6" s="1801"/>
      <c r="AD6" s="1801"/>
      <c r="AE6" s="1801"/>
      <c r="AF6" s="1802"/>
      <c r="AG6" s="2030"/>
      <c r="AH6" s="1801"/>
      <c r="AI6" s="1802"/>
      <c r="AJ6" s="210"/>
      <c r="AK6" s="2037" t="str">
        <f ca="1">IFERROR(__xludf.DUMMYFUNCTION("""COMPUTED_VALUE"""),"Diety")</f>
        <v>Diety</v>
      </c>
      <c r="AL6" s="1801"/>
      <c r="AM6" s="1801"/>
      <c r="AN6" s="1801"/>
      <c r="AO6" s="2036"/>
      <c r="AP6" s="1801"/>
      <c r="AQ6" s="1801"/>
      <c r="AR6" s="1801"/>
      <c r="AS6" s="1801"/>
      <c r="AT6" s="1802"/>
      <c r="AU6" s="202"/>
      <c r="AV6" s="200"/>
      <c r="AW6" s="200"/>
      <c r="AX6" s="109"/>
      <c r="AY6" s="109"/>
      <c r="AZ6" s="109"/>
      <c r="BA6" s="109"/>
      <c r="BB6" s="109"/>
      <c r="BC6" s="109"/>
      <c r="BD6" s="109"/>
      <c r="BE6" s="109"/>
      <c r="BF6" s="109"/>
      <c r="BG6" s="109"/>
      <c r="BH6" s="109"/>
      <c r="BI6" s="109"/>
      <c r="BJ6" s="109"/>
      <c r="BK6" s="109"/>
      <c r="BL6" s="109"/>
      <c r="BM6" s="109"/>
      <c r="BN6" s="109"/>
      <c r="BO6" s="109"/>
      <c r="BP6" s="109"/>
      <c r="BQ6" s="109"/>
      <c r="BR6" s="109"/>
      <c r="BS6" s="109"/>
      <c r="BT6" s="109"/>
      <c r="BU6" s="109"/>
      <c r="BV6" s="109"/>
      <c r="BW6" s="109"/>
      <c r="BX6" s="109"/>
      <c r="BY6" s="109"/>
    </row>
    <row r="7" spans="1:77" ht="19.5" thickBot="1">
      <c r="A7" s="109"/>
      <c r="B7" s="1803"/>
      <c r="C7" s="1804"/>
      <c r="D7" s="1804"/>
      <c r="E7" s="1804"/>
      <c r="F7" s="1803"/>
      <c r="G7" s="1804"/>
      <c r="H7" s="1804"/>
      <c r="I7" s="1804"/>
      <c r="J7" s="1804"/>
      <c r="K7" s="1804"/>
      <c r="L7" s="1805"/>
      <c r="M7" s="108"/>
      <c r="N7" s="1803"/>
      <c r="O7" s="1804"/>
      <c r="P7" s="1804"/>
      <c r="Q7" s="1804"/>
      <c r="R7" s="1804"/>
      <c r="S7" s="1805"/>
      <c r="T7" s="1803"/>
      <c r="U7" s="1804"/>
      <c r="V7" s="1804"/>
      <c r="W7" s="1804"/>
      <c r="X7" s="1804"/>
      <c r="Y7" s="1805"/>
      <c r="Z7" s="109"/>
      <c r="AA7" s="1820"/>
      <c r="AB7" s="1820"/>
      <c r="AC7" s="1820"/>
      <c r="AD7" s="1820"/>
      <c r="AE7" s="1820"/>
      <c r="AF7" s="1821"/>
      <c r="AG7" s="1803"/>
      <c r="AH7" s="1804"/>
      <c r="AI7" s="1805"/>
      <c r="AJ7" s="210"/>
      <c r="AK7" s="1820"/>
      <c r="AL7" s="1820"/>
      <c r="AM7" s="1820"/>
      <c r="AN7" s="1820"/>
      <c r="AO7" s="1803"/>
      <c r="AP7" s="1804"/>
      <c r="AQ7" s="1804"/>
      <c r="AR7" s="1804"/>
      <c r="AS7" s="1804"/>
      <c r="AT7" s="1805"/>
      <c r="AU7" s="202"/>
      <c r="AV7" s="200"/>
      <c r="AW7" s="200"/>
      <c r="AX7" s="109"/>
      <c r="AY7" s="109"/>
      <c r="AZ7" s="109"/>
      <c r="BA7" s="109"/>
      <c r="BB7" s="109"/>
      <c r="BC7" s="109"/>
      <c r="BD7" s="109"/>
      <c r="BE7" s="109"/>
      <c r="BF7" s="109"/>
      <c r="BG7" s="109"/>
      <c r="BH7" s="109"/>
      <c r="BI7" s="109"/>
      <c r="BJ7" s="109"/>
      <c r="BK7" s="109"/>
      <c r="BL7" s="109"/>
      <c r="BM7" s="109"/>
      <c r="BN7" s="109"/>
      <c r="BO7" s="109"/>
      <c r="BP7" s="109"/>
      <c r="BQ7" s="109"/>
      <c r="BR7" s="109"/>
      <c r="BS7" s="109"/>
      <c r="BT7" s="109"/>
      <c r="BU7" s="109"/>
      <c r="BV7" s="109"/>
      <c r="BW7" s="109"/>
      <c r="BX7" s="109"/>
      <c r="BY7" s="109"/>
    </row>
    <row r="8" spans="1:77" ht="16.5" thickBot="1">
      <c r="A8" s="109"/>
      <c r="B8" s="109"/>
      <c r="C8" s="109"/>
      <c r="D8" s="109"/>
      <c r="E8" s="109"/>
      <c r="F8" s="109"/>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202"/>
      <c r="AV8" s="200"/>
      <c r="AW8" s="200"/>
      <c r="AX8" s="109"/>
      <c r="AY8" s="109"/>
      <c r="AZ8" s="109"/>
      <c r="BA8" s="109"/>
      <c r="BB8" s="109"/>
      <c r="BC8" s="109"/>
      <c r="BD8" s="109"/>
      <c r="BE8" s="109"/>
      <c r="BF8" s="109"/>
      <c r="BG8" s="109"/>
      <c r="BH8" s="109"/>
      <c r="BI8" s="109"/>
      <c r="BJ8" s="109"/>
      <c r="BK8" s="109"/>
      <c r="BL8" s="109"/>
      <c r="BM8" s="109"/>
      <c r="BN8" s="109"/>
      <c r="BO8" s="109"/>
      <c r="BP8" s="109"/>
      <c r="BQ8" s="109"/>
      <c r="BR8" s="109"/>
      <c r="BS8" s="109"/>
      <c r="BT8" s="109"/>
      <c r="BU8" s="109"/>
      <c r="BV8" s="109"/>
      <c r="BW8" s="109"/>
      <c r="BX8" s="109"/>
      <c r="BY8" s="109"/>
    </row>
    <row r="9" spans="1:77" ht="16.5" thickBot="1">
      <c r="A9" s="109"/>
      <c r="B9" s="2047" t="str">
        <f ca="1">IFERROR(__xludf.DUMMYFUNCTION("""COMPUTED_VALUE"""),"Character Level")</f>
        <v>Character Level</v>
      </c>
      <c r="C9" s="1801"/>
      <c r="D9" s="1801"/>
      <c r="E9" s="1801"/>
      <c r="F9" s="1801"/>
      <c r="G9" s="1801"/>
      <c r="H9" s="1801"/>
      <c r="I9" s="1801"/>
      <c r="J9" s="1802"/>
      <c r="K9" s="1978"/>
      <c r="L9" s="1979"/>
      <c r="M9" s="1979"/>
      <c r="N9" s="2004" t="str">
        <f ca="1">IFERROR(__xludf.DUMMYFUNCTION("""COMPUTED_VALUE"""),"EXP")</f>
        <v>EXP</v>
      </c>
      <c r="O9" s="1796"/>
      <c r="P9" s="1796"/>
      <c r="Q9" s="1799"/>
      <c r="R9" s="2069" t="str">
        <f ca="1">IFERROR(__xludf.DUMMYFUNCTION("""COMPUTED_VALUE"""),"Next Lvl")</f>
        <v>Next Lvl</v>
      </c>
      <c r="S9" s="1796"/>
      <c r="T9" s="1796"/>
      <c r="U9" s="1799"/>
      <c r="V9" s="109"/>
      <c r="W9" s="1980" t="str">
        <f ca="1">IFERROR(__xludf.DUMMYFUNCTION("""COMPUTED_VALUE"""),"Languages Known")</f>
        <v>Languages Known</v>
      </c>
      <c r="X9" s="1801"/>
      <c r="Y9" s="1801"/>
      <c r="Z9" s="1801"/>
      <c r="AA9" s="1802"/>
      <c r="AB9" s="2059"/>
      <c r="AC9" s="1801"/>
      <c r="AD9" s="1801"/>
      <c r="AE9" s="1801"/>
      <c r="AF9" s="1801"/>
      <c r="AG9" s="1801"/>
      <c r="AH9" s="1801"/>
      <c r="AI9" s="1801"/>
      <c r="AJ9" s="209"/>
      <c r="AK9" s="2060" t="str">
        <f ca="1">IFERROR(__xludf.DUMMYFUNCTION("""COMPUTED_VALUE"""),"Vision and Senses")</f>
        <v>Vision and Senses</v>
      </c>
      <c r="AL9" s="1801"/>
      <c r="AM9" s="1801"/>
      <c r="AN9" s="1801"/>
      <c r="AO9" s="2058"/>
      <c r="AP9" s="1801"/>
      <c r="AQ9" s="1801"/>
      <c r="AR9" s="1801"/>
      <c r="AS9" s="1801"/>
      <c r="AT9" s="1802"/>
      <c r="AU9" s="200"/>
      <c r="AV9" s="200"/>
      <c r="AW9" s="146"/>
      <c r="AX9" s="109"/>
      <c r="AY9" s="109"/>
      <c r="AZ9" s="109"/>
      <c r="BA9" s="109"/>
      <c r="BB9" s="109"/>
      <c r="BC9" s="109"/>
      <c r="BD9" s="109"/>
      <c r="BE9" s="109"/>
      <c r="BF9" s="109"/>
      <c r="BG9" s="109"/>
      <c r="BH9" s="109"/>
      <c r="BI9" s="109"/>
      <c r="BJ9" s="109"/>
      <c r="BK9" s="109"/>
      <c r="BL9" s="109"/>
    </row>
    <row r="10" spans="1:77" ht="16.5" thickBot="1">
      <c r="A10" s="109"/>
      <c r="B10" s="1803"/>
      <c r="C10" s="1804"/>
      <c r="D10" s="1804"/>
      <c r="E10" s="1804"/>
      <c r="F10" s="1804"/>
      <c r="G10" s="1804"/>
      <c r="H10" s="1804"/>
      <c r="I10" s="1804"/>
      <c r="J10" s="1805"/>
      <c r="K10" s="1979"/>
      <c r="L10" s="1979"/>
      <c r="M10" s="1979"/>
      <c r="N10" s="1975"/>
      <c r="O10" s="1796"/>
      <c r="P10" s="1796"/>
      <c r="Q10" s="1799"/>
      <c r="R10" s="1975"/>
      <c r="S10" s="1796"/>
      <c r="T10" s="1796"/>
      <c r="U10" s="1799"/>
      <c r="V10" s="109"/>
      <c r="W10" s="1803"/>
      <c r="X10" s="1804"/>
      <c r="Y10" s="1804"/>
      <c r="Z10" s="1804"/>
      <c r="AA10" s="1805"/>
      <c r="AB10" s="1803"/>
      <c r="AC10" s="1804"/>
      <c r="AD10" s="1804"/>
      <c r="AE10" s="1804"/>
      <c r="AF10" s="1804"/>
      <c r="AG10" s="1804"/>
      <c r="AH10" s="1804"/>
      <c r="AI10" s="1804"/>
      <c r="AJ10" s="209"/>
      <c r="AK10" s="1289"/>
      <c r="AL10" s="1289"/>
      <c r="AM10" s="1289"/>
      <c r="AN10" s="1289"/>
      <c r="AO10" s="1804"/>
      <c r="AP10" s="1804"/>
      <c r="AQ10" s="1804"/>
      <c r="AR10" s="1804"/>
      <c r="AS10" s="1804"/>
      <c r="AT10" s="1805"/>
      <c r="AU10" s="109"/>
      <c r="AV10" s="109"/>
      <c r="AW10" s="109"/>
      <c r="AX10" s="109"/>
      <c r="AY10" s="109"/>
      <c r="AZ10" s="109"/>
      <c r="BA10" s="109"/>
      <c r="BB10" s="109"/>
      <c r="BC10" s="109"/>
      <c r="BD10" s="109"/>
      <c r="BE10" s="109"/>
      <c r="BF10" s="109"/>
      <c r="BG10" s="109"/>
      <c r="BH10" s="109"/>
      <c r="BI10" s="109"/>
      <c r="BJ10" s="109"/>
      <c r="BK10" s="109"/>
      <c r="BL10" s="109"/>
    </row>
    <row r="11" spans="1:77" ht="16.5" thickBot="1">
      <c r="A11" s="109"/>
      <c r="B11" s="109"/>
      <c r="C11" s="109"/>
      <c r="D11" s="109"/>
      <c r="E11" s="109"/>
      <c r="F11" s="109"/>
      <c r="G11" s="109"/>
      <c r="H11" s="109"/>
      <c r="I11" s="109"/>
      <c r="J11" s="109"/>
      <c r="K11" s="109"/>
      <c r="L11" s="109"/>
      <c r="M11" s="109"/>
      <c r="N11" s="109"/>
      <c r="O11" s="109"/>
      <c r="P11" s="109"/>
      <c r="Q11" s="109"/>
      <c r="R11" s="109"/>
      <c r="S11" s="109"/>
      <c r="T11" s="109"/>
      <c r="U11" s="109"/>
      <c r="V11" s="109"/>
      <c r="W11" s="109"/>
      <c r="X11" s="109"/>
      <c r="Y11" s="109"/>
      <c r="Z11" s="109"/>
      <c r="AA11" s="109"/>
      <c r="AB11" s="109"/>
      <c r="AC11" s="109"/>
      <c r="AD11" s="109"/>
      <c r="AE11" s="109"/>
      <c r="AF11" s="109"/>
      <c r="AG11" s="109"/>
      <c r="AH11" s="109"/>
      <c r="AI11" s="109"/>
      <c r="AJ11" s="109"/>
      <c r="AK11" s="109"/>
      <c r="AL11" s="109"/>
      <c r="AM11" s="109"/>
      <c r="AN11" s="109"/>
      <c r="AO11" s="109"/>
      <c r="AP11" s="109"/>
      <c r="AQ11" s="109"/>
      <c r="AR11" s="109"/>
      <c r="AS11" s="109"/>
      <c r="AT11" s="109"/>
      <c r="AU11" s="109"/>
      <c r="AV11" s="109"/>
      <c r="AW11" s="109"/>
      <c r="AX11" s="109"/>
      <c r="AY11" s="109"/>
      <c r="AZ11" s="109"/>
      <c r="BA11" s="109"/>
      <c r="BB11" s="109"/>
      <c r="BC11" s="109"/>
      <c r="BD11" s="109"/>
      <c r="BE11" s="109"/>
      <c r="BF11" s="109"/>
      <c r="BG11" s="109"/>
      <c r="BH11" s="109"/>
      <c r="BI11" s="109"/>
      <c r="BJ11" s="109"/>
      <c r="BK11" s="109"/>
      <c r="BL11" s="109"/>
      <c r="BM11" s="109"/>
      <c r="BN11" s="109"/>
      <c r="BO11" s="109"/>
      <c r="BP11" s="109"/>
      <c r="BQ11" s="109"/>
      <c r="BR11" s="109"/>
      <c r="BS11" s="109"/>
      <c r="BT11" s="109"/>
      <c r="BU11" s="109"/>
      <c r="BV11" s="109"/>
      <c r="BW11" s="109"/>
      <c r="BX11" s="109"/>
      <c r="BY11" s="109"/>
    </row>
    <row r="12" spans="1:77" ht="16.5" thickBot="1">
      <c r="A12" s="109"/>
      <c r="B12" s="2067" t="str">
        <f ca="1">IFERROR(__xludf.DUMMYFUNCTION("""COMPUTED_VALUE"""),"Class")</f>
        <v>Class</v>
      </c>
      <c r="C12" s="1796"/>
      <c r="D12" s="1796"/>
      <c r="E12" s="1796"/>
      <c r="F12" s="1796"/>
      <c r="G12" s="1796"/>
      <c r="H12" s="1796"/>
      <c r="I12" s="1797"/>
      <c r="J12" s="1986" t="str">
        <f ca="1">IFERROR(__xludf.DUMMYFUNCTION("""COMPUTED_VALUE"""),"Specialty")</f>
        <v>Specialty</v>
      </c>
      <c r="K12" s="1796"/>
      <c r="L12" s="1796"/>
      <c r="M12" s="1796"/>
      <c r="N12" s="1796"/>
      <c r="O12" s="1796"/>
      <c r="P12" s="1796"/>
      <c r="Q12" s="1796"/>
      <c r="R12" s="1796"/>
      <c r="S12" s="1989" t="str">
        <f ca="1">IFERROR(__xludf.DUMMYFUNCTION("""COMPUTED_VALUE"""),"Level")</f>
        <v>Level</v>
      </c>
      <c r="T12" s="1796"/>
      <c r="U12" s="1799"/>
      <c r="V12" s="109"/>
      <c r="W12" s="1976" t="str">
        <f ca="1">IFERROR(__xludf.DUMMYFUNCTION("""COMPUTED_VALUE"""),"Hit Dice")</f>
        <v>Hit Dice</v>
      </c>
      <c r="X12" s="1801"/>
      <c r="Y12" s="1801"/>
      <c r="Z12" s="1801"/>
      <c r="AA12" s="1802"/>
      <c r="AB12" s="1982" t="str">
        <f ca="1">IFERROR(__xludf.DUMMYFUNCTION("""COMPUTED_VALUE"""),"D6")</f>
        <v>D6</v>
      </c>
      <c r="AC12" s="1796"/>
      <c r="AD12" s="1962" t="str">
        <f ca="1">IFERROR(__xludf.DUMMYFUNCTION("""COMPUTED_VALUE"""),"D8")</f>
        <v>D8</v>
      </c>
      <c r="AE12" s="1796"/>
      <c r="AF12" s="1982" t="str">
        <f ca="1">IFERROR(__xludf.DUMMYFUNCTION("""COMPUTED_VALUE"""),"D10")</f>
        <v>D10</v>
      </c>
      <c r="AG12" s="1796"/>
      <c r="AH12" s="1962" t="str">
        <f ca="1">IFERROR(__xludf.DUMMYFUNCTION("""COMPUTED_VALUE"""),"D12")</f>
        <v>D12</v>
      </c>
      <c r="AI12" s="1799"/>
      <c r="AJ12" s="109"/>
      <c r="AK12" s="2061" t="str">
        <f ca="1">IFERROR(__xludf.DUMMYFUNCTION("""COMPUTED_VALUE"""),"Class Resource")</f>
        <v>Class Resource</v>
      </c>
      <c r="AL12" s="1848"/>
      <c r="AM12" s="1848"/>
      <c r="AN12" s="1848"/>
      <c r="AO12" s="1848"/>
      <c r="AP12" s="1848"/>
      <c r="AQ12" s="1848"/>
      <c r="AR12" s="1848"/>
      <c r="AS12" s="1848"/>
      <c r="AT12" s="1849"/>
      <c r="AU12" s="109"/>
      <c r="AV12" s="109"/>
      <c r="AW12" s="109"/>
      <c r="AX12" s="109"/>
      <c r="AY12" s="109"/>
      <c r="AZ12" s="109"/>
      <c r="BA12" s="109"/>
      <c r="BB12" s="109"/>
      <c r="BC12" s="109"/>
      <c r="BD12" s="109"/>
      <c r="BE12" s="109"/>
      <c r="BF12" s="109"/>
      <c r="BG12" s="109"/>
      <c r="BH12" s="109"/>
      <c r="BI12" s="109"/>
      <c r="BJ12" s="109"/>
      <c r="BK12" s="109"/>
      <c r="BL12" s="109"/>
      <c r="BM12" s="109"/>
      <c r="BN12" s="109"/>
      <c r="BO12" s="109"/>
      <c r="BP12" s="109"/>
      <c r="BQ12" s="109"/>
      <c r="BR12" s="109"/>
      <c r="BS12" s="109"/>
      <c r="BT12" s="109"/>
      <c r="BU12" s="109"/>
      <c r="BV12" s="109"/>
      <c r="BW12" s="109"/>
      <c r="BX12" s="109"/>
      <c r="BY12" s="109"/>
    </row>
    <row r="13" spans="1:77" ht="19.5" thickBot="1">
      <c r="A13" s="109"/>
      <c r="B13" s="2066"/>
      <c r="C13" s="1813"/>
      <c r="D13" s="1813"/>
      <c r="E13" s="1813"/>
      <c r="F13" s="1813"/>
      <c r="G13" s="1813"/>
      <c r="H13" s="1813"/>
      <c r="I13" s="1817"/>
      <c r="J13" s="1987"/>
      <c r="K13" s="1813"/>
      <c r="L13" s="1813"/>
      <c r="M13" s="1813"/>
      <c r="N13" s="1813"/>
      <c r="O13" s="1813"/>
      <c r="P13" s="1813"/>
      <c r="Q13" s="1813"/>
      <c r="R13" s="1813"/>
      <c r="S13" s="1869"/>
      <c r="T13" s="1813"/>
      <c r="U13" s="1905"/>
      <c r="V13" s="109"/>
      <c r="W13" s="1803"/>
      <c r="X13" s="1804"/>
      <c r="Y13" s="1804"/>
      <c r="Z13" s="1804"/>
      <c r="AA13" s="1805"/>
      <c r="AB13" s="1985">
        <f ca="1">IFERROR(__xludf.DUMMYFUNCTION("""COMPUTED_VALUE"""),0)</f>
        <v>0</v>
      </c>
      <c r="AC13" s="1848"/>
      <c r="AD13" s="1981">
        <f ca="1">IFERROR(__xludf.DUMMYFUNCTION("""COMPUTED_VALUE"""),3)</f>
        <v>3</v>
      </c>
      <c r="AE13" s="1848"/>
      <c r="AF13" s="1981">
        <f ca="1">IFERROR(__xludf.DUMMYFUNCTION("""COMPUTED_VALUE"""),0)</f>
        <v>0</v>
      </c>
      <c r="AG13" s="1848"/>
      <c r="AH13" s="1981">
        <f ca="1">IFERROR(__xludf.DUMMYFUNCTION("""COMPUTED_VALUE"""),0)</f>
        <v>0</v>
      </c>
      <c r="AI13" s="1849"/>
      <c r="AJ13" s="109"/>
      <c r="AK13" s="2012" t="str">
        <f ca="1">IFERROR(__xludf.DUMMYFUNCTION("""COMPUTED_VALUE"""),"Type:")</f>
        <v>Type:</v>
      </c>
      <c r="AL13" s="1902"/>
      <c r="AM13" s="2010"/>
      <c r="AN13" s="2006"/>
      <c r="AO13" s="1902"/>
      <c r="AP13" s="1902"/>
      <c r="AQ13" s="1902"/>
      <c r="AR13" s="1902"/>
      <c r="AS13" s="1902"/>
      <c r="AT13" s="1903"/>
      <c r="AU13" s="109"/>
      <c r="AV13" s="109"/>
      <c r="AW13" s="109"/>
      <c r="AX13" s="109"/>
      <c r="AY13" s="208"/>
      <c r="AZ13" s="109"/>
      <c r="BA13" s="109"/>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row>
    <row r="14" spans="1:77" ht="16.5" thickBot="1">
      <c r="A14" s="109"/>
      <c r="B14" s="2064"/>
      <c r="C14" s="1808"/>
      <c r="D14" s="1808"/>
      <c r="E14" s="1808"/>
      <c r="F14" s="1808"/>
      <c r="G14" s="1808"/>
      <c r="H14" s="1808"/>
      <c r="I14" s="1809"/>
      <c r="J14" s="2068"/>
      <c r="K14" s="1808"/>
      <c r="L14" s="1808"/>
      <c r="M14" s="1808"/>
      <c r="N14" s="1808"/>
      <c r="O14" s="1808"/>
      <c r="P14" s="1808"/>
      <c r="Q14" s="1808"/>
      <c r="R14" s="1808"/>
      <c r="S14" s="1870"/>
      <c r="T14" s="1808"/>
      <c r="U14" s="1940"/>
      <c r="V14" s="109"/>
      <c r="W14" s="1977" t="str">
        <f ca="1">IFERROR(__xludf.DUMMYFUNCTION("""COMPUTED_VALUE"""),"Spent:")</f>
        <v>Spent:</v>
      </c>
      <c r="X14" s="1796"/>
      <c r="Y14" s="1796"/>
      <c r="Z14" s="1796"/>
      <c r="AA14" s="1799"/>
      <c r="AB14" s="1984">
        <f ca="1">IFERROR(__xludf.DUMMYFUNCTION("""COMPUTED_VALUE"""),0)</f>
        <v>0</v>
      </c>
      <c r="AC14" s="1853"/>
      <c r="AD14" s="1983">
        <f ca="1">IFERROR(__xludf.DUMMYFUNCTION("""COMPUTED_VALUE"""),0)</f>
        <v>0</v>
      </c>
      <c r="AE14" s="1853"/>
      <c r="AF14" s="1983">
        <f ca="1">IFERROR(__xludf.DUMMYFUNCTION("""COMPUTED_VALUE"""),0)</f>
        <v>0</v>
      </c>
      <c r="AG14" s="1853"/>
      <c r="AH14" s="1983">
        <f ca="1">IFERROR(__xludf.DUMMYFUNCTION("""COMPUTED_VALUE"""),0)</f>
        <v>0</v>
      </c>
      <c r="AI14" s="1876"/>
      <c r="AJ14" s="109"/>
      <c r="AK14" s="2011" t="str">
        <f ca="1">IFERROR(__xludf.DUMMYFUNCTION("""COMPUTED_VALUE"""),"Pool:")</f>
        <v>Pool:</v>
      </c>
      <c r="AL14" s="1797"/>
      <c r="AM14" s="2005">
        <f ca="1">IFERROR(__xludf.DUMMYFUNCTION("""COMPUTED_VALUE"""),0)</f>
        <v>0</v>
      </c>
      <c r="AN14" s="1799"/>
      <c r="AO14" s="2007" t="str">
        <f ca="1">IFERROR(__xludf.DUMMYFUNCTION("""COMPUTED_VALUE"""),"Spent:")</f>
        <v>Spent:</v>
      </c>
      <c r="AP14" s="1796"/>
      <c r="AQ14" s="1797"/>
      <c r="AR14" s="1860">
        <f ca="1">IFERROR(__xludf.DUMMYFUNCTION("""COMPUTED_VALUE"""),0)</f>
        <v>0</v>
      </c>
      <c r="AS14" s="1796"/>
      <c r="AT14" s="1799"/>
      <c r="AU14" s="109"/>
      <c r="AV14" s="109"/>
      <c r="AW14" s="109"/>
      <c r="AX14" s="109"/>
      <c r="AY14" s="207"/>
      <c r="AZ14" s="109"/>
      <c r="BA14" s="109"/>
      <c r="BB14" s="109"/>
      <c r="BC14" s="109"/>
      <c r="BD14" s="109"/>
      <c r="BE14" s="109"/>
      <c r="BF14" s="109"/>
      <c r="BG14" s="109"/>
      <c r="BH14" s="109"/>
      <c r="BI14" s="109"/>
      <c r="BJ14" s="109"/>
      <c r="BK14" s="109"/>
      <c r="BL14" s="109"/>
      <c r="BM14" s="109"/>
      <c r="BN14" s="109"/>
      <c r="BO14" s="109"/>
      <c r="BP14" s="109"/>
      <c r="BQ14" s="109"/>
      <c r="BR14" s="109"/>
      <c r="BS14" s="109"/>
      <c r="BT14" s="109"/>
      <c r="BU14" s="109"/>
      <c r="BV14" s="109"/>
      <c r="BW14" s="109"/>
      <c r="BX14" s="109"/>
      <c r="BY14" s="109"/>
    </row>
    <row r="15" spans="1:77" ht="16.5" thickBot="1">
      <c r="A15" s="109"/>
      <c r="B15" s="2055"/>
      <c r="C15" s="1853"/>
      <c r="D15" s="1853"/>
      <c r="E15" s="1853"/>
      <c r="F15" s="1853"/>
      <c r="G15" s="1853"/>
      <c r="H15" s="1853"/>
      <c r="I15" s="1854"/>
      <c r="J15" s="1988"/>
      <c r="K15" s="1853"/>
      <c r="L15" s="1853"/>
      <c r="M15" s="1853"/>
      <c r="N15" s="1853"/>
      <c r="O15" s="1853"/>
      <c r="P15" s="1853"/>
      <c r="Q15" s="1853"/>
      <c r="R15" s="1853"/>
      <c r="S15" s="1863"/>
      <c r="T15" s="1853"/>
      <c r="U15" s="1876"/>
      <c r="V15" s="109"/>
      <c r="W15" s="109"/>
      <c r="X15" s="109"/>
      <c r="Y15" s="109"/>
      <c r="Z15" s="109"/>
      <c r="AA15" s="109"/>
      <c r="AB15" s="109"/>
      <c r="AC15" s="109"/>
      <c r="AD15" s="109"/>
      <c r="AE15" s="109"/>
      <c r="AF15" s="109"/>
      <c r="AG15" s="109"/>
      <c r="AH15" s="109"/>
      <c r="AI15" s="109"/>
      <c r="AJ15" s="109"/>
      <c r="AK15" s="109"/>
      <c r="AL15" s="109"/>
      <c r="AM15" s="109"/>
      <c r="AN15" s="109"/>
      <c r="AO15" s="109"/>
      <c r="AP15" s="109"/>
      <c r="AQ15" s="109"/>
      <c r="AR15" s="109"/>
      <c r="AS15" s="109"/>
      <c r="AT15" s="109"/>
      <c r="AU15" s="109"/>
      <c r="AV15" s="109"/>
      <c r="AW15" s="109"/>
      <c r="AX15" s="109"/>
      <c r="AY15" s="109"/>
      <c r="AZ15" s="109"/>
      <c r="BA15" s="109"/>
      <c r="BB15" s="109"/>
      <c r="BC15" s="109"/>
      <c r="BD15" s="109"/>
      <c r="BE15" s="109"/>
      <c r="BF15" s="109"/>
      <c r="BG15" s="109"/>
      <c r="BH15" s="109"/>
      <c r="BI15" s="109"/>
      <c r="BJ15" s="109"/>
      <c r="BK15" s="109"/>
      <c r="BL15" s="109"/>
      <c r="BM15" s="109"/>
      <c r="BN15" s="109"/>
      <c r="BO15" s="109"/>
      <c r="BP15" s="109"/>
      <c r="BQ15" s="109"/>
      <c r="BR15" s="109"/>
      <c r="BS15" s="109"/>
      <c r="BT15" s="109"/>
      <c r="BU15" s="109"/>
      <c r="BV15" s="109"/>
      <c r="BW15" s="109"/>
      <c r="BX15" s="109"/>
      <c r="BY15" s="109"/>
    </row>
    <row r="16" spans="1:77" ht="19.5" thickBot="1">
      <c r="A16" s="109"/>
      <c r="B16" s="206"/>
      <c r="C16" s="206"/>
      <c r="D16" s="206"/>
      <c r="E16" s="206"/>
      <c r="F16" s="206"/>
      <c r="G16" s="206"/>
      <c r="H16" s="206"/>
      <c r="I16" s="206"/>
      <c r="J16" s="206"/>
      <c r="K16" s="206"/>
      <c r="L16" s="197"/>
      <c r="M16" s="197"/>
      <c r="N16" s="146"/>
      <c r="O16" s="205"/>
      <c r="P16" s="146"/>
      <c r="Q16" s="146"/>
      <c r="R16" s="146"/>
      <c r="S16" s="205"/>
      <c r="T16" s="146"/>
      <c r="U16" s="146"/>
      <c r="V16" s="146"/>
      <c r="W16" s="2004" t="str">
        <f ca="1">IFERROR(__xludf.DUMMYFUNCTION("""COMPUTED_VALUE"""),"Proficiencies")</f>
        <v>Proficiencies</v>
      </c>
      <c r="X16" s="1796"/>
      <c r="Y16" s="1796"/>
      <c r="Z16" s="1796"/>
      <c r="AA16" s="1796"/>
      <c r="AB16" s="1796"/>
      <c r="AC16" s="1796"/>
      <c r="AD16" s="1796"/>
      <c r="AE16" s="1796"/>
      <c r="AF16" s="1796"/>
      <c r="AG16" s="1796"/>
      <c r="AH16" s="1799"/>
      <c r="AI16" s="2033" t="str">
        <f ca="1">IFERROR(__xludf.DUMMYFUNCTION("""COMPUTED_VALUE"""),"Proficiency Bonus")</f>
        <v>Proficiency Bonus</v>
      </c>
      <c r="AJ16" s="1796"/>
      <c r="AK16" s="1796"/>
      <c r="AL16" s="1796"/>
      <c r="AM16" s="1796"/>
      <c r="AN16" s="1796"/>
      <c r="AO16" s="1796"/>
      <c r="AP16" s="1796"/>
      <c r="AQ16" s="1799"/>
      <c r="AR16" s="2034">
        <f ca="1">IFERROR(__xludf.DUMMYFUNCTION("""COMPUTED_VALUE"""),2)</f>
        <v>2</v>
      </c>
      <c r="AS16" s="1796"/>
      <c r="AT16" s="1799"/>
      <c r="AU16" s="109"/>
      <c r="AV16" s="109"/>
      <c r="AW16" s="109"/>
      <c r="AX16" s="109"/>
    </row>
    <row r="17" spans="1:77" ht="18.75" thickBot="1">
      <c r="A17" s="109"/>
      <c r="B17" s="1825" t="str">
        <f ca="1">IFERROR(__xludf.DUMMYFUNCTION("""COMPUTED_VALUE"""),"STR")</f>
        <v>STR</v>
      </c>
      <c r="C17" s="1796"/>
      <c r="D17" s="1796"/>
      <c r="E17" s="1799"/>
      <c r="F17" s="179"/>
      <c r="G17" s="2002" t="b">
        <f ca="1">IFERROR(__xludf.DUMMYFUNCTION("""COMPUTED_VALUE"""),FALSE)</f>
        <v>0</v>
      </c>
      <c r="H17" s="1796"/>
      <c r="I17" s="1837"/>
      <c r="J17" s="1964" t="str">
        <f ca="1">IFERROR(__xludf.DUMMYFUNCTION("""COMPUTED_VALUE"""),"Saving Throw")</f>
        <v>Saving Throw</v>
      </c>
      <c r="K17" s="1796"/>
      <c r="L17" s="1796"/>
      <c r="M17" s="1796"/>
      <c r="N17" s="1796"/>
      <c r="O17" s="1796"/>
      <c r="P17" s="1796"/>
      <c r="Q17" s="1796"/>
      <c r="R17" s="1990"/>
      <c r="S17" s="1796"/>
      <c r="T17" s="1799"/>
      <c r="V17" s="109"/>
      <c r="W17" s="2003" t="str">
        <f ca="1">IFERROR(__xludf.DUMMYFUNCTION("""COMPUTED_VALUE"""),"Armor")</f>
        <v>Armor</v>
      </c>
      <c r="X17" s="1813"/>
      <c r="Y17" s="1813"/>
      <c r="Z17" s="1813"/>
      <c r="AA17" s="1813"/>
      <c r="AB17" s="1817"/>
      <c r="AC17" s="2015" t="str">
        <f ca="1">IFERROR(__xludf.DUMMYFUNCTION("""COMPUTED_VALUE"""),"Light Armor, Medium Armor, Heavy Armor")</f>
        <v>Light Armor, Medium Armor, Heavy Armor</v>
      </c>
      <c r="AD17" s="1813"/>
      <c r="AE17" s="1813"/>
      <c r="AF17" s="1813"/>
      <c r="AG17" s="1813"/>
      <c r="AH17" s="1813"/>
      <c r="AI17" s="1813"/>
      <c r="AJ17" s="1813"/>
      <c r="AK17" s="1813"/>
      <c r="AL17" s="1813"/>
      <c r="AM17" s="1813"/>
      <c r="AN17" s="1813"/>
      <c r="AO17" s="1813"/>
      <c r="AP17" s="1813"/>
      <c r="AQ17" s="1813"/>
      <c r="AR17" s="1813"/>
      <c r="AS17" s="1813"/>
      <c r="AT17" s="1905"/>
      <c r="AU17" s="109"/>
      <c r="AV17" s="109"/>
      <c r="AW17" s="109"/>
      <c r="AX17" s="109"/>
    </row>
    <row r="18" spans="1:77" ht="16.5" thickBot="1">
      <c r="A18" s="109"/>
      <c r="B18" s="1818" t="str">
        <f ca="1">IFERROR(__xludf.DUMMYFUNCTION("""COMPUTED_VALUE"""),"Bonus")</f>
        <v>Bonus</v>
      </c>
      <c r="C18" s="1796"/>
      <c r="D18" s="1796"/>
      <c r="E18" s="1799"/>
      <c r="F18" s="1871" t="str">
        <f ca="1">IFERROR(__xludf.DUMMYFUNCTION("""COMPUTED_VALUE"""),"Proficiency")</f>
        <v>Proficiency</v>
      </c>
      <c r="G18" s="1812" t="str">
        <f ca="1">IFERROR(__xludf.DUMMYFUNCTION("""COMPUTED_VALUE"""),"-")</f>
        <v>-</v>
      </c>
      <c r="H18" s="1813"/>
      <c r="I18" s="1832"/>
      <c r="J18" s="1826" t="str">
        <f ca="1">IFERROR(__xludf.DUMMYFUNCTION("""COMPUTED_VALUE"""),"Athletics")</f>
        <v>Athletics</v>
      </c>
      <c r="K18" s="1813"/>
      <c r="L18" s="1813"/>
      <c r="M18" s="1813"/>
      <c r="N18" s="1813"/>
      <c r="O18" s="1813"/>
      <c r="P18" s="1826"/>
      <c r="Q18" s="1813"/>
      <c r="R18" s="1974"/>
      <c r="S18" s="1813"/>
      <c r="T18" s="1905"/>
      <c r="V18" s="109"/>
      <c r="W18" s="2032" t="str">
        <f ca="1">IFERROR(__xludf.DUMMYFUNCTION("""COMPUTED_VALUE"""),"Shields")</f>
        <v>Shields</v>
      </c>
      <c r="X18" s="1808"/>
      <c r="Y18" s="1808"/>
      <c r="Z18" s="1808"/>
      <c r="AA18" s="1808"/>
      <c r="AB18" s="1809"/>
      <c r="AC18" s="2031" t="str">
        <f ca="1">IFERROR(__xludf.DUMMYFUNCTION("""COMPUTED_VALUE"""),"All Shields")</f>
        <v>All Shields</v>
      </c>
      <c r="AD18" s="1808"/>
      <c r="AE18" s="1808"/>
      <c r="AF18" s="1808"/>
      <c r="AG18" s="1808"/>
      <c r="AH18" s="1808"/>
      <c r="AI18" s="1808"/>
      <c r="AJ18" s="1808"/>
      <c r="AK18" s="1808"/>
      <c r="AL18" s="1808"/>
      <c r="AM18" s="1808"/>
      <c r="AN18" s="1808"/>
      <c r="AO18" s="1808"/>
      <c r="AP18" s="1808"/>
      <c r="AQ18" s="1808"/>
      <c r="AR18" s="1808"/>
      <c r="AS18" s="1808"/>
      <c r="AT18" s="1940"/>
      <c r="AU18" s="109"/>
      <c r="AV18" s="109"/>
      <c r="AW18" s="109"/>
      <c r="AX18" s="109"/>
      <c r="AY18" s="109"/>
      <c r="AZ18" s="109"/>
      <c r="BA18" s="109"/>
      <c r="BB18" s="109"/>
      <c r="BC18" s="109"/>
      <c r="BD18" s="109"/>
      <c r="BE18" s="109"/>
      <c r="BF18" s="109"/>
      <c r="BG18" s="109"/>
      <c r="BH18" s="109"/>
      <c r="BI18" s="109"/>
      <c r="BJ18" s="109"/>
      <c r="BK18" s="109"/>
      <c r="BL18" s="109"/>
      <c r="BM18" s="109"/>
      <c r="BN18" s="109"/>
      <c r="BO18" s="109"/>
      <c r="BP18" s="109"/>
      <c r="BQ18" s="109"/>
      <c r="BR18" s="109"/>
      <c r="BS18" s="109"/>
      <c r="BT18" s="109"/>
      <c r="BU18" s="109"/>
      <c r="BV18" s="109"/>
      <c r="BW18" s="109"/>
      <c r="BX18" s="109"/>
      <c r="BY18" s="109"/>
    </row>
    <row r="19" spans="1:77">
      <c r="A19" s="109"/>
      <c r="B19" s="1810"/>
      <c r="C19" s="1801"/>
      <c r="D19" s="1801"/>
      <c r="E19" s="1861"/>
      <c r="F19" s="1811"/>
      <c r="G19" s="187"/>
      <c r="H19" s="186"/>
      <c r="I19" s="1832"/>
      <c r="J19" s="185"/>
      <c r="K19" s="185"/>
      <c r="L19" s="185"/>
      <c r="M19" s="185"/>
      <c r="N19" s="185"/>
      <c r="O19" s="185"/>
      <c r="P19" s="185"/>
      <c r="Q19" s="185"/>
      <c r="R19" s="185"/>
      <c r="S19" s="185"/>
      <c r="T19" s="184"/>
      <c r="V19" s="109"/>
      <c r="W19" s="2009" t="str">
        <f ca="1">IFERROR(__xludf.DUMMYFUNCTION("""COMPUTED_VALUE"""),"Weapons")</f>
        <v>Weapons</v>
      </c>
      <c r="X19" s="1902"/>
      <c r="Y19" s="1902"/>
      <c r="Z19" s="1902"/>
      <c r="AA19" s="1902"/>
      <c r="AB19" s="2010"/>
      <c r="AC19" s="2014" t="str">
        <f ca="1">IFERROR(__xludf.DUMMYFUNCTION("""COMPUTED_VALUE"""),"Simple Weapons, Martial Weapons")</f>
        <v>Simple Weapons, Martial Weapons</v>
      </c>
      <c r="AD19" s="1902"/>
      <c r="AE19" s="1902"/>
      <c r="AF19" s="1902"/>
      <c r="AG19" s="1902"/>
      <c r="AH19" s="1902"/>
      <c r="AI19" s="1902"/>
      <c r="AJ19" s="1902"/>
      <c r="AK19" s="1902"/>
      <c r="AL19" s="1902"/>
      <c r="AM19" s="1902"/>
      <c r="AN19" s="1902"/>
      <c r="AO19" s="1902"/>
      <c r="AP19" s="1902"/>
      <c r="AQ19" s="1902"/>
      <c r="AR19" s="1902"/>
      <c r="AS19" s="1902"/>
      <c r="AT19" s="1903"/>
      <c r="AU19" s="109"/>
      <c r="AV19" s="109"/>
      <c r="AW19" s="109"/>
      <c r="AX19" s="109"/>
    </row>
    <row r="20" spans="1:77" ht="16.5" thickBot="1">
      <c r="A20" s="109"/>
      <c r="B20" s="1811"/>
      <c r="C20" s="1289"/>
      <c r="D20" s="1289"/>
      <c r="E20" s="1805"/>
      <c r="F20" s="1811"/>
      <c r="G20" s="187"/>
      <c r="H20" s="186"/>
      <c r="I20" s="1832"/>
      <c r="J20" s="185"/>
      <c r="K20" s="185"/>
      <c r="L20" s="185"/>
      <c r="M20" s="185"/>
      <c r="N20" s="185"/>
      <c r="O20" s="185"/>
      <c r="P20" s="185"/>
      <c r="Q20" s="185"/>
      <c r="R20" s="185"/>
      <c r="S20" s="185"/>
      <c r="T20" s="184"/>
      <c r="V20" s="109"/>
      <c r="W20" s="1904"/>
      <c r="X20" s="1813"/>
      <c r="Y20" s="1813"/>
      <c r="Z20" s="1813"/>
      <c r="AA20" s="1813"/>
      <c r="AB20" s="1817"/>
      <c r="AC20" s="1844"/>
      <c r="AD20" s="1813"/>
      <c r="AE20" s="1813"/>
      <c r="AF20" s="1813"/>
      <c r="AG20" s="1813"/>
      <c r="AH20" s="1813"/>
      <c r="AI20" s="1813"/>
      <c r="AJ20" s="1813"/>
      <c r="AK20" s="1813"/>
      <c r="AL20" s="1813"/>
      <c r="AM20" s="1813"/>
      <c r="AN20" s="1813"/>
      <c r="AO20" s="1813"/>
      <c r="AP20" s="1813"/>
      <c r="AQ20" s="1813"/>
      <c r="AR20" s="1813"/>
      <c r="AS20" s="1813"/>
      <c r="AT20" s="1905"/>
      <c r="AU20" s="109"/>
      <c r="AV20" s="109"/>
      <c r="AW20" s="109"/>
      <c r="AX20" s="109"/>
    </row>
    <row r="21" spans="1:77" ht="16.5" thickBot="1">
      <c r="A21" s="109"/>
      <c r="B21" s="177"/>
      <c r="C21" s="176"/>
      <c r="D21" s="1800"/>
      <c r="E21" s="1802"/>
      <c r="F21" s="1811"/>
      <c r="G21" s="187"/>
      <c r="H21" s="186"/>
      <c r="I21" s="1832"/>
      <c r="J21" s="185"/>
      <c r="K21" s="185"/>
      <c r="L21" s="185"/>
      <c r="M21" s="185"/>
      <c r="N21" s="185"/>
      <c r="O21" s="185"/>
      <c r="P21" s="185"/>
      <c r="Q21" s="185"/>
      <c r="R21" s="185"/>
      <c r="S21" s="185"/>
      <c r="T21" s="184"/>
      <c r="V21" s="109"/>
      <c r="W21" s="2008" t="str">
        <f ca="1">IFERROR(__xludf.DUMMYFUNCTION("""COMPUTED_VALUE"""),"Tools")</f>
        <v>Tools</v>
      </c>
      <c r="X21" s="1853"/>
      <c r="Y21" s="1853"/>
      <c r="Z21" s="1853"/>
      <c r="AA21" s="1853"/>
      <c r="AB21" s="1854"/>
      <c r="AC21" s="2013"/>
      <c r="AD21" s="1853"/>
      <c r="AE21" s="1853"/>
      <c r="AF21" s="1853"/>
      <c r="AG21" s="1853"/>
      <c r="AH21" s="1853"/>
      <c r="AI21" s="1853"/>
      <c r="AJ21" s="1853"/>
      <c r="AK21" s="1853"/>
      <c r="AL21" s="1853"/>
      <c r="AM21" s="1853"/>
      <c r="AN21" s="1853"/>
      <c r="AO21" s="1853"/>
      <c r="AP21" s="1853"/>
      <c r="AQ21" s="1853"/>
      <c r="AR21" s="1853"/>
      <c r="AS21" s="1853"/>
      <c r="AT21" s="1876"/>
      <c r="AU21" s="109"/>
      <c r="AV21" s="109"/>
      <c r="AW21" s="109"/>
      <c r="AX21" s="109"/>
      <c r="AY21" s="109"/>
      <c r="AZ21" s="109"/>
      <c r="BA21" s="109"/>
      <c r="BB21" s="109"/>
      <c r="BC21" s="109"/>
      <c r="BD21" s="109"/>
      <c r="BE21" s="109"/>
      <c r="BF21" s="109"/>
      <c r="BG21" s="109"/>
      <c r="BH21" s="109"/>
      <c r="BI21" s="109"/>
      <c r="BJ21" s="109"/>
      <c r="BK21" s="109"/>
      <c r="BL21" s="109"/>
      <c r="BM21" s="109"/>
      <c r="BN21" s="109"/>
      <c r="BO21" s="109"/>
      <c r="BP21" s="109"/>
      <c r="BQ21" s="109"/>
      <c r="BR21" s="109"/>
      <c r="BS21" s="109"/>
      <c r="BT21" s="109"/>
      <c r="BU21" s="109"/>
      <c r="BV21" s="109"/>
      <c r="BW21" s="109"/>
      <c r="BX21" s="109"/>
      <c r="BY21" s="109"/>
    </row>
    <row r="22" spans="1:77" ht="16.5" thickBot="1">
      <c r="A22" s="109"/>
      <c r="B22" s="1824" t="str">
        <f ca="1">IFERROR(__xludf.DUMMYFUNCTION("""COMPUTED_VALUE"""),"Score")</f>
        <v>Score</v>
      </c>
      <c r="C22" s="1799"/>
      <c r="D22" s="1803"/>
      <c r="E22" s="1805"/>
      <c r="F22" s="1803"/>
      <c r="G22" s="183"/>
      <c r="H22" s="182"/>
      <c r="I22" s="1833"/>
      <c r="J22" s="181"/>
      <c r="K22" s="181"/>
      <c r="L22" s="181"/>
      <c r="M22" s="181"/>
      <c r="N22" s="181"/>
      <c r="O22" s="181"/>
      <c r="P22" s="181"/>
      <c r="Q22" s="181"/>
      <c r="R22" s="181"/>
      <c r="S22" s="181"/>
      <c r="T22" s="180"/>
      <c r="V22" s="109"/>
      <c r="W22" s="109"/>
      <c r="X22" s="109"/>
      <c r="Y22" s="109"/>
      <c r="Z22" s="109"/>
      <c r="AA22" s="109"/>
      <c r="AB22" s="109"/>
      <c r="AC22" s="109"/>
      <c r="AD22" s="109"/>
      <c r="AE22" s="109"/>
      <c r="AF22" s="109"/>
      <c r="AG22" s="109"/>
      <c r="AH22" s="109"/>
      <c r="AI22" s="109"/>
      <c r="AJ22" s="109"/>
      <c r="AK22" s="109"/>
      <c r="AL22" s="109"/>
      <c r="AM22" s="109"/>
      <c r="AN22" s="109"/>
      <c r="AO22" s="109"/>
      <c r="AP22" s="109"/>
      <c r="AQ22" s="109"/>
      <c r="AR22" s="109"/>
      <c r="AS22" s="109"/>
      <c r="AT22" s="109"/>
      <c r="AU22" s="109"/>
      <c r="AV22" s="109"/>
      <c r="AW22" s="109"/>
      <c r="AX22" s="109"/>
    </row>
    <row r="23" spans="1:77" ht="16.5" thickBot="1">
      <c r="A23" s="109"/>
      <c r="B23" s="109"/>
      <c r="C23" s="109"/>
      <c r="D23" s="109"/>
      <c r="E23" s="109"/>
      <c r="F23" s="109"/>
      <c r="V23" s="109"/>
      <c r="W23" s="2054" t="str">
        <f ca="1">IFERROR(__xludf.DUMMYFUNCTION("""COMPUTED_VALUE"""),"Armor Class")</f>
        <v>Armor Class</v>
      </c>
      <c r="X23" s="1796"/>
      <c r="Y23" s="1796"/>
      <c r="Z23" s="1796"/>
      <c r="AA23" s="1799"/>
      <c r="AB23" s="2049" t="str">
        <f ca="1">IFERROR(__xludf.DUMMYFUNCTION("""COMPUTED_VALUE"""),"Armor Worn")</f>
        <v>Armor Worn</v>
      </c>
      <c r="AC23" s="1796"/>
      <c r="AD23" s="1796"/>
      <c r="AE23" s="1796"/>
      <c r="AF23" s="1796"/>
      <c r="AG23" s="1797"/>
      <c r="AH23" s="2056" t="str">
        <f ca="1">IFERROR(__xludf.DUMMYFUNCTION("""COMPUTED_VALUE"""),"Type")</f>
        <v>Type</v>
      </c>
      <c r="AI23" s="1796"/>
      <c r="AJ23" s="1796"/>
      <c r="AK23" s="2063" t="str">
        <f ca="1">IFERROR(__xludf.DUMMYFUNCTION("""COMPUTED_VALUE"""),"AC")</f>
        <v>AC</v>
      </c>
      <c r="AL23" s="1797"/>
      <c r="AM23" s="2062" t="str">
        <f ca="1">IFERROR(__xludf.DUMMYFUNCTION("""COMPUTED_VALUE"""),"Magic")</f>
        <v>Magic</v>
      </c>
      <c r="AN23" s="1796"/>
      <c r="AO23" s="1797"/>
      <c r="AP23" s="2101" t="str">
        <f ca="1">IFERROR(__xludf.DUMMYFUNCTION("""COMPUTED_VALUE"""),"Wgt")</f>
        <v>Wgt</v>
      </c>
      <c r="AQ23" s="1797"/>
      <c r="AR23" s="2102" t="str">
        <f ca="1">IFERROR(__xludf.DUMMYFUNCTION("""COMPUTED_VALUE"""),"Stealth")</f>
        <v>Stealth</v>
      </c>
      <c r="AS23" s="1796"/>
      <c r="AT23" s="1799"/>
      <c r="AU23" s="108"/>
      <c r="AV23" s="202"/>
      <c r="AW23" s="201"/>
      <c r="AX23" s="200"/>
    </row>
    <row r="24" spans="1:77" ht="18.75" thickBot="1">
      <c r="A24" s="109"/>
      <c r="B24" s="1825" t="str">
        <f ca="1">IFERROR(__xludf.DUMMYFUNCTION("""COMPUTED_VALUE"""),"DEX")</f>
        <v>DEX</v>
      </c>
      <c r="C24" s="1796"/>
      <c r="D24" s="1796"/>
      <c r="E24" s="1799"/>
      <c r="F24" s="179"/>
      <c r="G24" s="2002" t="b">
        <f ca="1">IFERROR(__xludf.DUMMYFUNCTION("""COMPUTED_VALUE"""),FALSE)</f>
        <v>0</v>
      </c>
      <c r="H24" s="1796"/>
      <c r="I24" s="1837"/>
      <c r="J24" s="1964" t="str">
        <f ca="1">IFERROR(__xludf.DUMMYFUNCTION("""COMPUTED_VALUE"""),"Dexterity")</f>
        <v>Dexterity</v>
      </c>
      <c r="K24" s="1796"/>
      <c r="L24" s="1796"/>
      <c r="M24" s="1796"/>
      <c r="N24" s="1796"/>
      <c r="O24" s="1796"/>
      <c r="P24" s="1796"/>
      <c r="Q24" s="1796"/>
      <c r="R24" s="1990"/>
      <c r="S24" s="1796"/>
      <c r="T24" s="1799"/>
      <c r="V24" s="109"/>
      <c r="W24" s="2043"/>
      <c r="X24" s="1289"/>
      <c r="Y24" s="1289"/>
      <c r="Z24" s="1289"/>
      <c r="AA24" s="1289"/>
      <c r="AB24" s="2051"/>
      <c r="AC24" s="1289"/>
      <c r="AD24" s="1289"/>
      <c r="AE24" s="1289"/>
      <c r="AF24" s="1289"/>
      <c r="AG24" s="1289"/>
      <c r="AH24" s="2103"/>
      <c r="AI24" s="1289"/>
      <c r="AJ24" s="1289"/>
      <c r="AK24" s="2103"/>
      <c r="AL24" s="1816"/>
      <c r="AM24" s="2105"/>
      <c r="AN24" s="1289"/>
      <c r="AO24" s="1289"/>
      <c r="AP24" s="2103"/>
      <c r="AQ24" s="1289"/>
      <c r="AR24" s="2041"/>
      <c r="AS24" s="1801"/>
      <c r="AT24" s="1802"/>
      <c r="AU24" s="202"/>
      <c r="AV24" s="202"/>
      <c r="AW24" s="201"/>
      <c r="AX24" s="200"/>
    </row>
    <row r="25" spans="1:77" ht="19.5" thickBot="1">
      <c r="A25" s="109"/>
      <c r="B25" s="1818" t="str">
        <f ca="1">IFERROR(__xludf.DUMMYFUNCTION("""COMPUTED_VALUE"""),"Bonus")</f>
        <v>Bonus</v>
      </c>
      <c r="C25" s="1796"/>
      <c r="D25" s="1796"/>
      <c r="E25" s="1799"/>
      <c r="F25" s="1871" t="str">
        <f ca="1">IFERROR(__xludf.DUMMYFUNCTION("""COMPUTED_VALUE"""),"Proficiency")</f>
        <v>Proficiency</v>
      </c>
      <c r="G25" s="2016" t="str">
        <f ca="1">IFERROR(__xludf.DUMMYFUNCTION("""COMPUTED_VALUE"""),"-")</f>
        <v>-</v>
      </c>
      <c r="H25" s="1848"/>
      <c r="I25" s="1832"/>
      <c r="J25" s="2001" t="str">
        <f ca="1">IFERROR(__xludf.DUMMYFUNCTION("""COMPUTED_VALUE"""),"Acrobatics")</f>
        <v>Acrobatics</v>
      </c>
      <c r="K25" s="1848"/>
      <c r="L25" s="1848"/>
      <c r="M25" s="1848"/>
      <c r="N25" s="1848"/>
      <c r="O25" s="1848"/>
      <c r="P25" s="2001"/>
      <c r="Q25" s="1848"/>
      <c r="R25" s="2021"/>
      <c r="S25" s="1848"/>
      <c r="T25" s="1849"/>
      <c r="V25" s="204"/>
      <c r="W25" s="1811"/>
      <c r="X25" s="1289"/>
      <c r="Y25" s="1289"/>
      <c r="Z25" s="1289"/>
      <c r="AA25" s="1289"/>
      <c r="AB25" s="2050" t="str">
        <f ca="1">IFERROR(__xludf.DUMMYFUNCTION("""COMPUTED_VALUE"""),"Armor Descript.")</f>
        <v>Armor Descript.</v>
      </c>
      <c r="AC25" s="1796"/>
      <c r="AD25" s="1796"/>
      <c r="AE25" s="1796"/>
      <c r="AF25" s="1796"/>
      <c r="AG25" s="1796"/>
      <c r="AH25" s="2104"/>
      <c r="AI25" s="1796"/>
      <c r="AJ25" s="1796"/>
      <c r="AK25" s="1796"/>
      <c r="AL25" s="1796"/>
      <c r="AM25" s="1796"/>
      <c r="AN25" s="1796"/>
      <c r="AO25" s="1796"/>
      <c r="AP25" s="1796"/>
      <c r="AQ25" s="1796"/>
      <c r="AR25" s="1796"/>
      <c r="AS25" s="1796"/>
      <c r="AT25" s="1799"/>
      <c r="AU25" s="109"/>
      <c r="AV25" s="202"/>
      <c r="AW25" s="200"/>
      <c r="AX25" s="200"/>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row>
    <row r="26" spans="1:77" ht="16.5" thickBot="1">
      <c r="A26" s="109"/>
      <c r="B26" s="1810"/>
      <c r="C26" s="1801"/>
      <c r="D26" s="1801"/>
      <c r="E26" s="1861"/>
      <c r="F26" s="1811"/>
      <c r="G26" s="1812" t="str">
        <f ca="1">IFERROR(__xludf.DUMMYFUNCTION("""COMPUTED_VALUE"""),"-")</f>
        <v>-</v>
      </c>
      <c r="H26" s="1813"/>
      <c r="I26" s="1832"/>
      <c r="J26" s="1826" t="str">
        <f ca="1">IFERROR(__xludf.DUMMYFUNCTION("""COMPUTED_VALUE"""),"Sleight of Hand")</f>
        <v>Sleight of Hand</v>
      </c>
      <c r="K26" s="1813"/>
      <c r="L26" s="1813"/>
      <c r="M26" s="1813"/>
      <c r="N26" s="1813"/>
      <c r="O26" s="1813"/>
      <c r="P26" s="1826"/>
      <c r="Q26" s="1813"/>
      <c r="R26" s="1974"/>
      <c r="S26" s="1813"/>
      <c r="T26" s="1905"/>
      <c r="V26" s="203"/>
      <c r="W26" s="1811"/>
      <c r="X26" s="1289"/>
      <c r="Y26" s="1289"/>
      <c r="Z26" s="1289"/>
      <c r="AA26" s="1289"/>
      <c r="AB26" s="2039" t="str">
        <f ca="1">IFERROR(__xludf.DUMMYFUNCTION("""COMPUTED_VALUE"""),"Shield")</f>
        <v>Shield</v>
      </c>
      <c r="AC26" s="1804"/>
      <c r="AD26" s="1857"/>
      <c r="AE26" s="2040"/>
      <c r="AF26" s="1857"/>
      <c r="AG26" s="2038" t="str">
        <f ca="1">IFERROR(__xludf.DUMMYFUNCTION("""COMPUTED_VALUE"""),"Worn?")</f>
        <v>Worn?</v>
      </c>
      <c r="AH26" s="1857"/>
      <c r="AI26" s="2040" t="str">
        <f ca="1">IFERROR(__xludf.DUMMYFUNCTION("""COMPUTED_VALUE"""),"No")</f>
        <v>No</v>
      </c>
      <c r="AJ26" s="1857"/>
      <c r="AK26" s="2114" t="str">
        <f ca="1">IFERROR(__xludf.DUMMYFUNCTION("""COMPUTED_VALUE"""),"AC")</f>
        <v>AC</v>
      </c>
      <c r="AL26" s="1804"/>
      <c r="AM26" s="2113"/>
      <c r="AN26" s="1857"/>
      <c r="AO26" s="2118" t="str">
        <f ca="1">IFERROR(__xludf.DUMMYFUNCTION("""COMPUTED_VALUE"""),"Weight")</f>
        <v>Weight</v>
      </c>
      <c r="AP26" s="1804"/>
      <c r="AQ26" s="1804"/>
      <c r="AR26" s="1857"/>
      <c r="AS26" s="2035"/>
      <c r="AT26" s="1799"/>
      <c r="AU26" s="109"/>
      <c r="AV26" s="202"/>
      <c r="AW26" s="201"/>
      <c r="AX26" s="200"/>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row>
    <row r="27" spans="1:77" ht="16.5" thickBot="1">
      <c r="A27" s="109"/>
      <c r="B27" s="1811"/>
      <c r="C27" s="1289"/>
      <c r="D27" s="1289"/>
      <c r="E27" s="1805"/>
      <c r="F27" s="1811"/>
      <c r="G27" s="1812" t="str">
        <f ca="1">IFERROR(__xludf.DUMMYFUNCTION("""COMPUTED_VALUE"""),"-")</f>
        <v>-</v>
      </c>
      <c r="H27" s="1813"/>
      <c r="I27" s="1832"/>
      <c r="J27" s="1826" t="str">
        <f ca="1">IFERROR(__xludf.DUMMYFUNCTION("""COMPUTED_VALUE"""),"Stealth")</f>
        <v>Stealth</v>
      </c>
      <c r="K27" s="1813"/>
      <c r="L27" s="1813"/>
      <c r="M27" s="1813"/>
      <c r="N27" s="1813"/>
      <c r="O27" s="1813"/>
      <c r="P27" s="1826"/>
      <c r="Q27" s="1813"/>
      <c r="R27" s="1974"/>
      <c r="S27" s="1813"/>
      <c r="T27" s="1905"/>
      <c r="V27" s="109"/>
      <c r="W27" s="1803"/>
      <c r="X27" s="1804"/>
      <c r="Y27" s="1804"/>
      <c r="Z27" s="1804"/>
      <c r="AA27" s="1804"/>
      <c r="AB27" s="2042" t="str">
        <f ca="1">IFERROR(__xludf.DUMMYFUNCTION("""COMPUTED_VALUE"""),"Other Magic Bonus")</f>
        <v>Other Magic Bonus</v>
      </c>
      <c r="AC27" s="1796"/>
      <c r="AD27" s="1796"/>
      <c r="AE27" s="1796"/>
      <c r="AF27" s="1796"/>
      <c r="AG27" s="1797"/>
      <c r="AH27" s="2106"/>
      <c r="AI27" s="1796"/>
      <c r="AJ27" s="1796"/>
      <c r="AK27" s="1797"/>
      <c r="AL27" s="2107" t="str">
        <f ca="1">IFERROR(__xludf.DUMMYFUNCTION("""COMPUTED_VALUE"""),"Misc Bonus:")</f>
        <v>Misc Bonus:</v>
      </c>
      <c r="AM27" s="1796"/>
      <c r="AN27" s="1796"/>
      <c r="AO27" s="1796"/>
      <c r="AP27" s="1797"/>
      <c r="AQ27" s="2106"/>
      <c r="AR27" s="1796"/>
      <c r="AS27" s="1796"/>
      <c r="AT27" s="1799"/>
      <c r="AU27" s="109"/>
      <c r="AV27" s="109"/>
      <c r="AW27" s="109"/>
      <c r="AX27" s="109"/>
    </row>
    <row r="28" spans="1:77" ht="16.5" thickBot="1">
      <c r="A28" s="109"/>
      <c r="B28" s="177"/>
      <c r="C28" s="176"/>
      <c r="D28" s="1800"/>
      <c r="E28" s="1802"/>
      <c r="F28" s="1811"/>
      <c r="G28" s="131"/>
      <c r="H28" s="130"/>
      <c r="I28" s="1832"/>
      <c r="J28" s="199"/>
      <c r="K28" s="199"/>
      <c r="L28" s="199"/>
      <c r="M28" s="199"/>
      <c r="N28" s="199"/>
      <c r="O28" s="199"/>
      <c r="P28" s="199"/>
      <c r="Q28" s="199"/>
      <c r="R28" s="199"/>
      <c r="S28" s="199"/>
      <c r="T28" s="198"/>
      <c r="U28" s="109"/>
      <c r="V28" s="10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09"/>
      <c r="AW28" s="109"/>
      <c r="AX28" s="109"/>
    </row>
    <row r="29" spans="1:77" ht="16.5" thickBot="1">
      <c r="A29" s="109"/>
      <c r="B29" s="1824" t="str">
        <f ca="1">IFERROR(__xludf.DUMMYFUNCTION("""COMPUTED_VALUE"""),"Score")</f>
        <v>Score</v>
      </c>
      <c r="C29" s="1799"/>
      <c r="D29" s="1803"/>
      <c r="E29" s="1805"/>
      <c r="F29" s="1803"/>
      <c r="G29" s="183"/>
      <c r="H29" s="182"/>
      <c r="I29" s="1833"/>
      <c r="J29" s="181"/>
      <c r="K29" s="181"/>
      <c r="L29" s="181"/>
      <c r="M29" s="181"/>
      <c r="N29" s="181"/>
      <c r="O29" s="181"/>
      <c r="P29" s="181"/>
      <c r="Q29" s="181"/>
      <c r="R29" s="181"/>
      <c r="S29" s="181"/>
      <c r="T29" s="180"/>
      <c r="V29" s="109"/>
      <c r="W29" s="2025" t="str">
        <f ca="1">IFERROR(__xludf.DUMMYFUNCTION("""COMPUTED_VALUE"""),"Current HP")</f>
        <v>Current HP</v>
      </c>
      <c r="X29" s="1796"/>
      <c r="Y29" s="1796"/>
      <c r="Z29" s="1796"/>
      <c r="AA29" s="1796"/>
      <c r="AB29" s="1796"/>
      <c r="AC29" s="2053" t="str">
        <f ca="1">IFERROR(__xludf.DUMMYFUNCTION("""COMPUTED_VALUE"""),"Temp HP")</f>
        <v>Temp HP</v>
      </c>
      <c r="AD29" s="1796"/>
      <c r="AE29" s="1796"/>
      <c r="AF29" s="1796"/>
      <c r="AG29" s="1796"/>
      <c r="AH29" s="2057" t="str">
        <f ca="1">IFERROR(__xludf.DUMMYFUNCTION("""COMPUTED_VALUE"""),"Wounds")</f>
        <v>Wounds</v>
      </c>
      <c r="AI29" s="1796"/>
      <c r="AJ29" s="1796"/>
      <c r="AK29" s="1796"/>
      <c r="AL29" s="1796"/>
      <c r="AM29" s="1796"/>
      <c r="AN29" s="1796"/>
      <c r="AO29" s="1799"/>
      <c r="AP29" s="2115" t="str">
        <f ca="1">IFERROR(__xludf.DUMMYFUNCTION("""COMPUTED_VALUE"""),"Death Saves")</f>
        <v>Death Saves</v>
      </c>
      <c r="AQ29" s="1796"/>
      <c r="AR29" s="1796"/>
      <c r="AS29" s="1796"/>
      <c r="AT29" s="1799"/>
      <c r="AU29" s="109"/>
      <c r="AV29" s="109"/>
      <c r="AW29" s="109"/>
      <c r="AX29" s="109"/>
    </row>
    <row r="30" spans="1:77" ht="16.5" thickBot="1">
      <c r="A30" s="109"/>
      <c r="B30" s="109"/>
      <c r="C30" s="109"/>
      <c r="D30" s="109"/>
      <c r="E30" s="109"/>
      <c r="F30" s="109"/>
      <c r="V30" s="109"/>
      <c r="W30" s="2024"/>
      <c r="X30" s="1801"/>
      <c r="Y30" s="1801"/>
      <c r="Z30" s="1801"/>
      <c r="AA30" s="1801"/>
      <c r="AB30" s="1802"/>
      <c r="AC30" s="2052"/>
      <c r="AD30" s="1801"/>
      <c r="AE30" s="1801"/>
      <c r="AF30" s="1801"/>
      <c r="AG30" s="1802"/>
      <c r="AH30" s="2109">
        <f ca="1">IFERROR(__xludf.DUMMYFUNCTION("""COMPUTED_VALUE"""),0)</f>
        <v>0</v>
      </c>
      <c r="AI30" s="1801"/>
      <c r="AJ30" s="1801"/>
      <c r="AK30" s="1801"/>
      <c r="AL30" s="1801"/>
      <c r="AM30" s="1801"/>
      <c r="AN30" s="1801"/>
      <c r="AO30" s="1802"/>
      <c r="AP30" s="2117" t="str">
        <f ca="1">IFERROR(__xludf.DUMMYFUNCTION("""COMPUTED_VALUE"""),"Successes")</f>
        <v>Successes</v>
      </c>
      <c r="AQ30" s="1801"/>
      <c r="AR30" s="1801"/>
      <c r="AS30" s="1801"/>
      <c r="AT30" s="1802"/>
      <c r="AU30" s="197"/>
      <c r="AV30" s="197"/>
      <c r="AW30" s="197"/>
      <c r="AX30" s="197"/>
    </row>
    <row r="31" spans="1:77" ht="18.75" thickBot="1">
      <c r="A31" s="109"/>
      <c r="B31" s="1825" t="str">
        <f ca="1">IFERROR(__xludf.DUMMYFUNCTION("""COMPUTED_VALUE"""),"CON")</f>
        <v>CON</v>
      </c>
      <c r="C31" s="1796"/>
      <c r="D31" s="1796"/>
      <c r="E31" s="1799"/>
      <c r="F31" s="179"/>
      <c r="G31" s="2002" t="b">
        <f ca="1">IFERROR(__xludf.DUMMYFUNCTION("""COMPUTED_VALUE"""),FALSE)</f>
        <v>0</v>
      </c>
      <c r="H31" s="1796"/>
      <c r="I31" s="1837"/>
      <c r="J31" s="1964" t="str">
        <f ca="1">IFERROR(__xludf.DUMMYFUNCTION("""COMPUTED_VALUE"""),"Constitution")</f>
        <v>Constitution</v>
      </c>
      <c r="K31" s="1796"/>
      <c r="L31" s="1796"/>
      <c r="M31" s="1796"/>
      <c r="N31" s="1796"/>
      <c r="O31" s="1796"/>
      <c r="P31" s="1796"/>
      <c r="Q31" s="1796"/>
      <c r="R31" s="1990"/>
      <c r="S31" s="1796"/>
      <c r="T31" s="1799"/>
      <c r="V31" s="109"/>
      <c r="W31" s="1811"/>
      <c r="X31" s="1289"/>
      <c r="Y31" s="1289"/>
      <c r="Z31" s="1289"/>
      <c r="AA31" s="1289"/>
      <c r="AB31" s="1821"/>
      <c r="AC31" s="1811"/>
      <c r="AD31" s="1289"/>
      <c r="AE31" s="1289"/>
      <c r="AF31" s="1289"/>
      <c r="AG31" s="1821"/>
      <c r="AH31" s="1803"/>
      <c r="AI31" s="1804"/>
      <c r="AJ31" s="1804"/>
      <c r="AK31" s="1804"/>
      <c r="AL31" s="1804"/>
      <c r="AM31" s="1804"/>
      <c r="AN31" s="1804"/>
      <c r="AO31" s="1805"/>
      <c r="AP31" s="196"/>
      <c r="AQ31" s="109" t="b">
        <f ca="1">IFERROR(__xludf.DUMMYFUNCTION("""COMPUTED_VALUE"""),FALSE)</f>
        <v>0</v>
      </c>
      <c r="AR31" s="109" t="b">
        <f ca="1">IFERROR(__xludf.DUMMYFUNCTION("""COMPUTED_VALUE"""),FALSE)</f>
        <v>0</v>
      </c>
      <c r="AS31" s="109" t="b">
        <f ca="1">IFERROR(__xludf.DUMMYFUNCTION("""COMPUTED_VALUE"""),FALSE)</f>
        <v>0</v>
      </c>
      <c r="AT31" s="195"/>
      <c r="AU31" s="109"/>
      <c r="AV31" s="109"/>
      <c r="AW31" s="109"/>
      <c r="AX31" s="109"/>
    </row>
    <row r="32" spans="1:77" ht="16.5" thickBot="1">
      <c r="A32" s="109"/>
      <c r="B32" s="1818" t="str">
        <f ca="1">IFERROR(__xludf.DUMMYFUNCTION("""COMPUTED_VALUE"""),"Bonus")</f>
        <v>Bonus</v>
      </c>
      <c r="C32" s="1796"/>
      <c r="D32" s="1796"/>
      <c r="E32" s="1799"/>
      <c r="F32" s="1871" t="str">
        <f ca="1">IFERROR(__xludf.DUMMYFUNCTION("""COMPUTED_VALUE"""),"Proficiency")</f>
        <v>Proficiency</v>
      </c>
      <c r="G32" s="194"/>
      <c r="H32" s="193"/>
      <c r="I32" s="1832"/>
      <c r="J32" s="192"/>
      <c r="K32" s="192"/>
      <c r="L32" s="192"/>
      <c r="M32" s="192"/>
      <c r="N32" s="192"/>
      <c r="O32" s="192"/>
      <c r="P32" s="192"/>
      <c r="Q32" s="192"/>
      <c r="R32" s="192"/>
      <c r="S32" s="192"/>
      <c r="T32" s="191"/>
      <c r="V32" s="109"/>
      <c r="W32" s="1811"/>
      <c r="X32" s="1289"/>
      <c r="Y32" s="1289"/>
      <c r="Z32" s="1289"/>
      <c r="AA32" s="1289"/>
      <c r="AB32" s="1821"/>
      <c r="AC32" s="1811"/>
      <c r="AD32" s="1289"/>
      <c r="AE32" s="1289"/>
      <c r="AF32" s="1289"/>
      <c r="AG32" s="1821"/>
      <c r="AH32" s="2108" t="str">
        <f ca="1">IFERROR(__xludf.DUMMYFUNCTION("""COMPUTED_VALUE"""),"Max Hit Points")</f>
        <v>Max Hit Points</v>
      </c>
      <c r="AI32" s="1796"/>
      <c r="AJ32" s="1796"/>
      <c r="AK32" s="1796"/>
      <c r="AL32" s="1796"/>
      <c r="AM32" s="1796"/>
      <c r="AN32" s="1796"/>
      <c r="AO32" s="1799"/>
      <c r="AP32" s="2116" t="str">
        <f ca="1">IFERROR(__xludf.DUMMYFUNCTION("""COMPUTED_VALUE"""),"Failures")</f>
        <v>Failures</v>
      </c>
      <c r="AQ32" s="1289"/>
      <c r="AR32" s="1289"/>
      <c r="AS32" s="1289"/>
      <c r="AT32" s="1821"/>
      <c r="AU32" s="109"/>
      <c r="AV32" s="109"/>
      <c r="AW32" s="109"/>
      <c r="AX32" s="109"/>
    </row>
    <row r="33" spans="1:50" ht="16.5" thickBot="1">
      <c r="A33" s="109"/>
      <c r="B33" s="1810"/>
      <c r="C33" s="1801"/>
      <c r="D33" s="1801"/>
      <c r="E33" s="1861"/>
      <c r="F33" s="1811"/>
      <c r="G33" s="187"/>
      <c r="H33" s="186"/>
      <c r="I33" s="1832"/>
      <c r="J33" s="185"/>
      <c r="K33" s="185"/>
      <c r="L33" s="185"/>
      <c r="M33" s="185"/>
      <c r="N33" s="185"/>
      <c r="O33" s="185"/>
      <c r="P33" s="185"/>
      <c r="Q33" s="185"/>
      <c r="R33" s="185"/>
      <c r="S33" s="185"/>
      <c r="T33" s="184"/>
      <c r="V33" s="109"/>
      <c r="W33" s="1803"/>
      <c r="X33" s="1804"/>
      <c r="Y33" s="1804"/>
      <c r="Z33" s="1804"/>
      <c r="AA33" s="1804"/>
      <c r="AB33" s="1805"/>
      <c r="AC33" s="1803"/>
      <c r="AD33" s="1804"/>
      <c r="AE33" s="1804"/>
      <c r="AF33" s="1804"/>
      <c r="AG33" s="1805"/>
      <c r="AH33" s="2110"/>
      <c r="AI33" s="1796"/>
      <c r="AJ33" s="1796"/>
      <c r="AK33" s="1796"/>
      <c r="AL33" s="1796"/>
      <c r="AM33" s="1796"/>
      <c r="AN33" s="1796"/>
      <c r="AO33" s="1799"/>
      <c r="AP33" s="190"/>
      <c r="AQ33" s="189" t="b">
        <f ca="1">IFERROR(__xludf.DUMMYFUNCTION("""COMPUTED_VALUE"""),FALSE)</f>
        <v>0</v>
      </c>
      <c r="AR33" s="189" t="b">
        <f ca="1">IFERROR(__xludf.DUMMYFUNCTION("""COMPUTED_VALUE"""),FALSE)</f>
        <v>0</v>
      </c>
      <c r="AS33" s="189" t="b">
        <f ca="1">IFERROR(__xludf.DUMMYFUNCTION("""COMPUTED_VALUE"""),FALSE)</f>
        <v>0</v>
      </c>
      <c r="AT33" s="188"/>
      <c r="AU33" s="109"/>
      <c r="AV33" s="109"/>
      <c r="AW33" s="109"/>
      <c r="AX33" s="109"/>
    </row>
    <row r="34" spans="1:50" ht="16.5" thickBot="1">
      <c r="A34" s="109"/>
      <c r="B34" s="1811"/>
      <c r="C34" s="1289"/>
      <c r="D34" s="1289"/>
      <c r="E34" s="1805"/>
      <c r="F34" s="1811"/>
      <c r="G34" s="187"/>
      <c r="H34" s="186"/>
      <c r="I34" s="1832"/>
      <c r="J34" s="185"/>
      <c r="K34" s="185"/>
      <c r="L34" s="185"/>
      <c r="M34" s="185"/>
      <c r="N34" s="185"/>
      <c r="O34" s="185"/>
      <c r="P34" s="185"/>
      <c r="Q34" s="185"/>
      <c r="R34" s="185"/>
      <c r="S34" s="185"/>
      <c r="T34" s="184"/>
      <c r="V34" s="109"/>
      <c r="W34" s="109"/>
      <c r="X34" s="109"/>
      <c r="Y34" s="109"/>
      <c r="Z34" s="109"/>
      <c r="AA34" s="109"/>
      <c r="AB34" s="109"/>
      <c r="AC34" s="109"/>
      <c r="AD34" s="109"/>
      <c r="AE34" s="109"/>
      <c r="AF34" s="109"/>
      <c r="AG34" s="109"/>
      <c r="AH34" s="109"/>
      <c r="AI34" s="109"/>
      <c r="AJ34" s="109"/>
      <c r="AK34" s="109"/>
      <c r="AL34" s="109"/>
      <c r="AM34" s="109"/>
      <c r="AN34" s="109"/>
      <c r="AO34" s="109"/>
      <c r="AP34" s="109"/>
      <c r="AQ34" s="109"/>
      <c r="AR34" s="109"/>
      <c r="AS34" s="109"/>
      <c r="AT34" s="109"/>
      <c r="AU34" s="109"/>
      <c r="AV34" s="109"/>
      <c r="AW34" s="109"/>
      <c r="AX34" s="109"/>
    </row>
    <row r="35" spans="1:50" ht="16.5" thickBot="1">
      <c r="A35" s="109"/>
      <c r="B35" s="177"/>
      <c r="C35" s="176"/>
      <c r="D35" s="1800"/>
      <c r="E35" s="1802"/>
      <c r="F35" s="1811"/>
      <c r="G35" s="187"/>
      <c r="H35" s="186"/>
      <c r="I35" s="1832"/>
      <c r="J35" s="185"/>
      <c r="K35" s="185"/>
      <c r="L35" s="185"/>
      <c r="M35" s="185"/>
      <c r="N35" s="185"/>
      <c r="O35" s="185"/>
      <c r="P35" s="185"/>
      <c r="Q35" s="185"/>
      <c r="R35" s="185"/>
      <c r="S35" s="185"/>
      <c r="T35" s="184"/>
      <c r="V35" s="109"/>
      <c r="W35" s="2026" t="str">
        <f ca="1">IFERROR(__xludf.DUMMYFUNCTION("""COMPUTED_VALUE"""),"Wealth")</f>
        <v>Wealth</v>
      </c>
      <c r="X35" s="1796"/>
      <c r="Y35" s="1796"/>
      <c r="Z35" s="1796"/>
      <c r="AA35" s="1796"/>
      <c r="AB35" s="1796"/>
      <c r="AC35" s="1796"/>
      <c r="AD35" s="1796"/>
      <c r="AE35" s="1797"/>
      <c r="AF35" s="2023" t="str">
        <f ca="1">IFERROR(__xludf.DUMMYFUNCTION("""COMPUTED_VALUE"""),"CP")</f>
        <v>CP</v>
      </c>
      <c r="AG35" s="1796"/>
      <c r="AH35" s="1797"/>
      <c r="AI35" s="2112" t="str">
        <f ca="1">IFERROR(__xludf.DUMMYFUNCTION("""COMPUTED_VALUE"""),"SP")</f>
        <v>SP</v>
      </c>
      <c r="AJ35" s="1796"/>
      <c r="AK35" s="1797"/>
      <c r="AL35" s="2023" t="str">
        <f ca="1">IFERROR(__xludf.DUMMYFUNCTION("""COMPUTED_VALUE"""),"EP")</f>
        <v>EP</v>
      </c>
      <c r="AM35" s="1796"/>
      <c r="AN35" s="1797"/>
      <c r="AO35" s="2112" t="str">
        <f ca="1">IFERROR(__xludf.DUMMYFUNCTION("""COMPUTED_VALUE"""),"GP")</f>
        <v>GP</v>
      </c>
      <c r="AP35" s="1796"/>
      <c r="AQ35" s="1797"/>
      <c r="AR35" s="2019" t="str">
        <f ca="1">IFERROR(__xludf.DUMMYFUNCTION("""COMPUTED_VALUE"""),"PP")</f>
        <v>PP</v>
      </c>
      <c r="AS35" s="1796"/>
      <c r="AT35" s="1799"/>
      <c r="AU35" s="109"/>
      <c r="AV35" s="109"/>
      <c r="AW35" s="109"/>
      <c r="AX35" s="109"/>
    </row>
    <row r="36" spans="1:50" ht="16.5" thickBot="1">
      <c r="A36" s="109"/>
      <c r="B36" s="1824" t="str">
        <f ca="1">IFERROR(__xludf.DUMMYFUNCTION("""COMPUTED_VALUE"""),"Score")</f>
        <v>Score</v>
      </c>
      <c r="C36" s="1799"/>
      <c r="D36" s="1803"/>
      <c r="E36" s="1805"/>
      <c r="F36" s="1803"/>
      <c r="G36" s="183"/>
      <c r="H36" s="182"/>
      <c r="I36" s="1833"/>
      <c r="J36" s="181"/>
      <c r="K36" s="181"/>
      <c r="L36" s="181"/>
      <c r="M36" s="181"/>
      <c r="N36" s="181"/>
      <c r="O36" s="181"/>
      <c r="P36" s="181"/>
      <c r="Q36" s="181"/>
      <c r="R36" s="181"/>
      <c r="S36" s="181"/>
      <c r="T36" s="180"/>
      <c r="V36" s="109"/>
      <c r="W36" s="2028"/>
      <c r="X36" s="1801"/>
      <c r="Y36" s="1801"/>
      <c r="Z36" s="1801"/>
      <c r="AA36" s="1801"/>
      <c r="AB36" s="2017"/>
      <c r="AC36" s="1801"/>
      <c r="AD36" s="1801"/>
      <c r="AE36" s="1802"/>
      <c r="AF36" s="2022"/>
      <c r="AG36" s="1801"/>
      <c r="AH36" s="1856"/>
      <c r="AI36" s="2111"/>
      <c r="AJ36" s="1289"/>
      <c r="AK36" s="1816"/>
      <c r="AL36" s="2111"/>
      <c r="AM36" s="1289"/>
      <c r="AN36" s="1816"/>
      <c r="AO36" s="2111"/>
      <c r="AP36" s="1289"/>
      <c r="AQ36" s="1816"/>
      <c r="AR36" s="2111"/>
      <c r="AS36" s="1289"/>
      <c r="AT36" s="1821"/>
      <c r="AU36" s="109"/>
      <c r="AV36" s="109"/>
      <c r="AW36" s="109"/>
      <c r="AX36" s="109"/>
    </row>
    <row r="37" spans="1:50" ht="16.5" thickBot="1">
      <c r="A37" s="109"/>
      <c r="B37" s="109"/>
      <c r="C37" s="109"/>
      <c r="D37" s="116"/>
      <c r="E37" s="109"/>
      <c r="F37" s="109"/>
      <c r="V37" s="109"/>
      <c r="W37" s="1803"/>
      <c r="X37" s="1804"/>
      <c r="Y37" s="1804"/>
      <c r="Z37" s="1804"/>
      <c r="AA37" s="1804"/>
      <c r="AB37" s="2018"/>
      <c r="AC37" s="1804"/>
      <c r="AD37" s="1804"/>
      <c r="AE37" s="1805"/>
      <c r="AF37" s="1804"/>
      <c r="AG37" s="1804"/>
      <c r="AH37" s="1857"/>
      <c r="AI37" s="1830"/>
      <c r="AJ37" s="1804"/>
      <c r="AK37" s="1857"/>
      <c r="AL37" s="1830"/>
      <c r="AM37" s="1804"/>
      <c r="AN37" s="1857"/>
      <c r="AO37" s="1830"/>
      <c r="AP37" s="1804"/>
      <c r="AQ37" s="1857"/>
      <c r="AR37" s="1830"/>
      <c r="AS37" s="1804"/>
      <c r="AT37" s="1805"/>
      <c r="AU37" s="109"/>
      <c r="AV37" s="109"/>
      <c r="AW37" s="109"/>
      <c r="AX37" s="109"/>
    </row>
    <row r="38" spans="1:50" ht="14.25" customHeight="1" thickBot="1">
      <c r="A38" s="109"/>
      <c r="B38" s="1825" t="str">
        <f ca="1">IFERROR(__xludf.DUMMYFUNCTION("""COMPUTED_VALUE"""),"INT")</f>
        <v>INT</v>
      </c>
      <c r="C38" s="1796"/>
      <c r="D38" s="1796"/>
      <c r="E38" s="1799"/>
      <c r="F38" s="179"/>
      <c r="G38" s="2002" t="b">
        <f ca="1">IFERROR(__xludf.DUMMYFUNCTION("""COMPUTED_VALUE"""),FALSE)</f>
        <v>0</v>
      </c>
      <c r="H38" s="1796"/>
      <c r="I38" s="1837"/>
      <c r="J38" s="1964" t="str">
        <f ca="1">IFERROR(__xludf.DUMMYFUNCTION("""COMPUTED_VALUE"""),"Intelligence")</f>
        <v>Intelligence</v>
      </c>
      <c r="K38" s="1796"/>
      <c r="L38" s="1796"/>
      <c r="M38" s="1796"/>
      <c r="N38" s="1796"/>
      <c r="O38" s="1796"/>
      <c r="P38" s="1796"/>
      <c r="Q38" s="1796"/>
      <c r="R38" s="1990"/>
      <c r="S38" s="1796"/>
      <c r="T38" s="1799"/>
      <c r="V38" s="109"/>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row>
    <row r="39" spans="1:50" ht="16.5" thickBot="1">
      <c r="A39" s="109"/>
      <c r="B39" s="1818" t="str">
        <f ca="1">IFERROR(__xludf.DUMMYFUNCTION("""COMPUTED_VALUE"""),"Bonus")</f>
        <v>Bonus</v>
      </c>
      <c r="C39" s="1796"/>
      <c r="D39" s="1796"/>
      <c r="E39" s="1799"/>
      <c r="F39" s="1871" t="str">
        <f ca="1">IFERROR(__xludf.DUMMYFUNCTION("""COMPUTED_VALUE"""),"Proficiency")</f>
        <v>Proficiency</v>
      </c>
      <c r="G39" s="1812" t="str">
        <f ca="1">IFERROR(__xludf.DUMMYFUNCTION("""COMPUTED_VALUE"""),"-")</f>
        <v>-</v>
      </c>
      <c r="H39" s="1813"/>
      <c r="I39" s="1832"/>
      <c r="J39" s="1826" t="str">
        <f ca="1">IFERROR(__xludf.DUMMYFUNCTION("""COMPUTED_VALUE"""),"Arcana")</f>
        <v>Arcana</v>
      </c>
      <c r="K39" s="1813"/>
      <c r="L39" s="1813"/>
      <c r="M39" s="1813"/>
      <c r="N39" s="1813"/>
      <c r="O39" s="1813"/>
      <c r="P39" s="1826"/>
      <c r="Q39" s="1813"/>
      <c r="R39" s="1974"/>
      <c r="S39" s="1813"/>
      <c r="T39" s="1905"/>
      <c r="V39" s="2027" t="str">
        <f ca="1">IFERROR(__xludf.DUMMYFUNCTION("""COMPUTED_VALUE"""),"Equipment Carried")</f>
        <v>Equipment Carried</v>
      </c>
      <c r="W39" s="1796"/>
      <c r="X39" s="1796"/>
      <c r="Y39" s="1796"/>
      <c r="Z39" s="1796"/>
      <c r="AA39" s="1796"/>
      <c r="AB39" s="1797"/>
      <c r="AC39" s="1986" t="str">
        <f ca="1">IFERROR(__xludf.DUMMYFUNCTION("""COMPUTED_VALUE"""),"qty")</f>
        <v>qty</v>
      </c>
      <c r="AD39" s="1797"/>
      <c r="AE39" s="2019" t="str">
        <f ca="1">IFERROR(__xludf.DUMMYFUNCTION("""COMPUTED_VALUE"""),"wgt each")</f>
        <v>wgt each</v>
      </c>
      <c r="AF39" s="1796"/>
      <c r="AG39" s="1799"/>
      <c r="AH39" s="116"/>
      <c r="AI39" s="2054" t="str">
        <f ca="1">IFERROR(__xludf.DUMMYFUNCTION("""COMPUTED_VALUE"""),"Equipment Carried")</f>
        <v>Equipment Carried</v>
      </c>
      <c r="AJ39" s="1796"/>
      <c r="AK39" s="1796"/>
      <c r="AL39" s="1796"/>
      <c r="AM39" s="1796"/>
      <c r="AN39" s="1796"/>
      <c r="AO39" s="1797"/>
      <c r="AP39" s="1986" t="str">
        <f ca="1">IFERROR(__xludf.DUMMYFUNCTION("""COMPUTED_VALUE"""),"qty")</f>
        <v>qty</v>
      </c>
      <c r="AQ39" s="1797"/>
      <c r="AR39" s="2019" t="str">
        <f ca="1">IFERROR(__xludf.DUMMYFUNCTION("""COMPUTED_VALUE"""),"wgt")</f>
        <v>wgt</v>
      </c>
      <c r="AS39" s="1796"/>
      <c r="AT39" s="1799"/>
      <c r="AU39" s="109"/>
      <c r="AV39" s="109"/>
      <c r="AW39" s="109"/>
      <c r="AX39" s="109"/>
    </row>
    <row r="40" spans="1:50">
      <c r="A40" s="109"/>
      <c r="B40" s="1810"/>
      <c r="C40" s="1801"/>
      <c r="D40" s="1801"/>
      <c r="E40" s="1861"/>
      <c r="F40" s="1811"/>
      <c r="G40" s="1812" t="str">
        <f ca="1">IFERROR(__xludf.DUMMYFUNCTION("""COMPUTED_VALUE"""),"-")</f>
        <v>-</v>
      </c>
      <c r="H40" s="1813"/>
      <c r="I40" s="1832"/>
      <c r="J40" s="1826" t="str">
        <f ca="1">IFERROR(__xludf.DUMMYFUNCTION("""COMPUTED_VALUE"""),"History")</f>
        <v>History</v>
      </c>
      <c r="K40" s="1813"/>
      <c r="L40" s="1813"/>
      <c r="M40" s="1813"/>
      <c r="N40" s="1813"/>
      <c r="O40" s="1813"/>
      <c r="P40" s="1826"/>
      <c r="Q40" s="1813"/>
      <c r="R40" s="1974"/>
      <c r="S40" s="1813"/>
      <c r="T40" s="1905"/>
      <c r="V40" s="2020"/>
      <c r="W40" s="1813"/>
      <c r="X40" s="1813"/>
      <c r="Y40" s="1813"/>
      <c r="Z40" s="1813"/>
      <c r="AA40" s="1813"/>
      <c r="AB40" s="1817"/>
      <c r="AC40" s="1869"/>
      <c r="AD40" s="1817"/>
      <c r="AE40" s="1869"/>
      <c r="AF40" s="1813"/>
      <c r="AG40" s="1905"/>
      <c r="AH40" s="109"/>
      <c r="AI40" s="2020" t="str">
        <f ca="1">IFERROR(__xludf.DUMMYFUNCTION("""COMPUTED_VALUE"""),"waterproof wax sack")</f>
        <v>waterproof wax sack</v>
      </c>
      <c r="AJ40" s="1813"/>
      <c r="AK40" s="1813"/>
      <c r="AL40" s="1813"/>
      <c r="AM40" s="1813"/>
      <c r="AN40" s="1813"/>
      <c r="AO40" s="1817"/>
      <c r="AP40" s="1971">
        <f ca="1">IFERROR(__xludf.DUMMYFUNCTION("""COMPUTED_VALUE"""),2)</f>
        <v>2</v>
      </c>
      <c r="AQ40" s="1883"/>
      <c r="AR40" s="1971"/>
      <c r="AS40" s="1848"/>
      <c r="AT40" s="1849"/>
      <c r="AU40" s="109"/>
      <c r="AV40" s="109"/>
      <c r="AW40" s="109"/>
      <c r="AX40" s="109"/>
    </row>
    <row r="41" spans="1:50" ht="16.5" thickBot="1">
      <c r="A41" s="109"/>
      <c r="B41" s="1811"/>
      <c r="C41" s="1289"/>
      <c r="D41" s="1289"/>
      <c r="E41" s="1805"/>
      <c r="F41" s="1811"/>
      <c r="G41" s="1812" t="str">
        <f ca="1">IFERROR(__xludf.DUMMYFUNCTION("""COMPUTED_VALUE"""),"-")</f>
        <v>-</v>
      </c>
      <c r="H41" s="1813"/>
      <c r="I41" s="1832"/>
      <c r="J41" s="1826" t="str">
        <f ca="1">IFERROR(__xludf.DUMMYFUNCTION("""COMPUTED_VALUE"""),"Investigation")</f>
        <v>Investigation</v>
      </c>
      <c r="K41" s="1813"/>
      <c r="L41" s="1813"/>
      <c r="M41" s="1813"/>
      <c r="N41" s="1813"/>
      <c r="O41" s="1813"/>
      <c r="P41" s="1826"/>
      <c r="Q41" s="1813"/>
      <c r="R41" s="1974"/>
      <c r="S41" s="1813"/>
      <c r="T41" s="1905"/>
      <c r="V41" s="1995"/>
      <c r="W41" s="1808"/>
      <c r="X41" s="1808"/>
      <c r="Y41" s="1808"/>
      <c r="Z41" s="1808"/>
      <c r="AA41" s="1808"/>
      <c r="AB41" s="1809"/>
      <c r="AC41" s="1870"/>
      <c r="AD41" s="1809"/>
      <c r="AE41" s="1870"/>
      <c r="AF41" s="1808"/>
      <c r="AG41" s="1940"/>
      <c r="AH41" s="109"/>
      <c r="AI41" s="1995" t="str">
        <f ca="1">IFERROR(__xludf.DUMMYFUNCTION("""COMPUTED_VALUE"""),"Plate mail with holes")</f>
        <v>Plate mail with holes</v>
      </c>
      <c r="AJ41" s="1808"/>
      <c r="AK41" s="1808"/>
      <c r="AL41" s="1808"/>
      <c r="AM41" s="1808"/>
      <c r="AN41" s="1808"/>
      <c r="AO41" s="1809"/>
      <c r="AP41" s="1870"/>
      <c r="AQ41" s="1809"/>
      <c r="AR41" s="1870"/>
      <c r="AS41" s="1808"/>
      <c r="AT41" s="1940"/>
      <c r="AU41" s="109"/>
      <c r="AV41" s="109"/>
      <c r="AW41" s="109"/>
      <c r="AX41" s="109"/>
    </row>
    <row r="42" spans="1:50" ht="16.5" thickBot="1">
      <c r="A42" s="109"/>
      <c r="B42" s="177"/>
      <c r="C42" s="176"/>
      <c r="D42" s="1800"/>
      <c r="E42" s="1802"/>
      <c r="F42" s="1811"/>
      <c r="G42" s="1812" t="str">
        <f ca="1">IFERROR(__xludf.DUMMYFUNCTION("""COMPUTED_VALUE"""),"-")</f>
        <v>-</v>
      </c>
      <c r="H42" s="1813"/>
      <c r="I42" s="1832"/>
      <c r="J42" s="1826" t="str">
        <f ca="1">IFERROR(__xludf.DUMMYFUNCTION("""COMPUTED_VALUE"""),"Nature")</f>
        <v>Nature</v>
      </c>
      <c r="K42" s="1813"/>
      <c r="L42" s="1813"/>
      <c r="M42" s="1813"/>
      <c r="N42" s="1813"/>
      <c r="O42" s="1813"/>
      <c r="P42" s="1826"/>
      <c r="Q42" s="1813"/>
      <c r="R42" s="1974"/>
      <c r="S42" s="1813"/>
      <c r="T42" s="1905"/>
      <c r="V42" s="1995"/>
      <c r="W42" s="1808"/>
      <c r="X42" s="1808"/>
      <c r="Y42" s="1808"/>
      <c r="Z42" s="1808"/>
      <c r="AA42" s="1808"/>
      <c r="AB42" s="1809"/>
      <c r="AC42" s="1870"/>
      <c r="AD42" s="1809"/>
      <c r="AE42" s="1870"/>
      <c r="AF42" s="1808"/>
      <c r="AG42" s="1940"/>
      <c r="AH42" s="109"/>
      <c r="AI42" s="1995" t="str">
        <f ca="1">IFERROR(__xludf.DUMMYFUNCTION("""COMPUTED_VALUE"""),"Pick Ax")</f>
        <v>Pick Ax</v>
      </c>
      <c r="AJ42" s="1808"/>
      <c r="AK42" s="1808"/>
      <c r="AL42" s="1808"/>
      <c r="AM42" s="1808"/>
      <c r="AN42" s="1808"/>
      <c r="AO42" s="1809"/>
      <c r="AP42" s="1870">
        <f ca="1">IFERROR(__xludf.DUMMYFUNCTION("""COMPUTED_VALUE"""),1)</f>
        <v>1</v>
      </c>
      <c r="AQ42" s="1809"/>
      <c r="AR42" s="1870"/>
      <c r="AS42" s="1808"/>
      <c r="AT42" s="1940"/>
      <c r="AU42" s="109"/>
      <c r="AV42" s="109"/>
      <c r="AW42" s="109"/>
      <c r="AX42" s="109"/>
    </row>
    <row r="43" spans="1:50" ht="16.5" thickBot="1">
      <c r="A43" s="109"/>
      <c r="B43" s="1824" t="str">
        <f ca="1">IFERROR(__xludf.DUMMYFUNCTION("""COMPUTED_VALUE"""),"Score")</f>
        <v>Score</v>
      </c>
      <c r="C43" s="1799"/>
      <c r="D43" s="1803"/>
      <c r="E43" s="1805"/>
      <c r="F43" s="1803"/>
      <c r="G43" s="1828" t="str">
        <f ca="1">IFERROR(__xludf.DUMMYFUNCTION("""COMPUTED_VALUE"""),"-")</f>
        <v>-</v>
      </c>
      <c r="H43" s="1804"/>
      <c r="I43" s="1833"/>
      <c r="J43" s="1872" t="str">
        <f ca="1">IFERROR(__xludf.DUMMYFUNCTION("""COMPUTED_VALUE"""),"Religion")</f>
        <v>Religion</v>
      </c>
      <c r="K43" s="1804"/>
      <c r="L43" s="1804"/>
      <c r="M43" s="1804"/>
      <c r="N43" s="1804"/>
      <c r="O43" s="1804"/>
      <c r="P43" s="1872"/>
      <c r="Q43" s="1804"/>
      <c r="R43" s="1996"/>
      <c r="S43" s="1804"/>
      <c r="T43" s="1805"/>
      <c r="V43" s="1995"/>
      <c r="W43" s="1808"/>
      <c r="X43" s="1808"/>
      <c r="Y43" s="1808"/>
      <c r="Z43" s="1808"/>
      <c r="AA43" s="1808"/>
      <c r="AB43" s="1809"/>
      <c r="AC43" s="1870"/>
      <c r="AD43" s="1809"/>
      <c r="AE43" s="1870"/>
      <c r="AF43" s="1808"/>
      <c r="AG43" s="1940"/>
      <c r="AH43" s="109"/>
      <c r="AI43" s="1995"/>
      <c r="AJ43" s="1808"/>
      <c r="AK43" s="1808"/>
      <c r="AL43" s="1808"/>
      <c r="AM43" s="1808"/>
      <c r="AN43" s="1808"/>
      <c r="AO43" s="1809"/>
      <c r="AP43" s="1870"/>
      <c r="AQ43" s="1809"/>
      <c r="AR43" s="1870"/>
      <c r="AS43" s="1808"/>
      <c r="AT43" s="1940"/>
      <c r="AU43" s="109"/>
      <c r="AV43" s="109"/>
      <c r="AW43" s="109"/>
      <c r="AX43" s="109"/>
    </row>
    <row r="44" spans="1:50" ht="16.5" thickBot="1">
      <c r="A44" s="109"/>
      <c r="B44" s="109"/>
      <c r="C44" s="109"/>
      <c r="D44" s="109"/>
      <c r="E44" s="109"/>
      <c r="F44" s="109"/>
      <c r="V44" s="1995"/>
      <c r="W44" s="1808"/>
      <c r="X44" s="1808"/>
      <c r="Y44" s="1808"/>
      <c r="Z44" s="1808"/>
      <c r="AA44" s="1808"/>
      <c r="AB44" s="1809"/>
      <c r="AC44" s="1870"/>
      <c r="AD44" s="1809"/>
      <c r="AE44" s="1870"/>
      <c r="AF44" s="1808"/>
      <c r="AG44" s="1940"/>
      <c r="AH44" s="109"/>
      <c r="AI44" s="1995"/>
      <c r="AJ44" s="1808"/>
      <c r="AK44" s="1808"/>
      <c r="AL44" s="1808"/>
      <c r="AM44" s="1808"/>
      <c r="AN44" s="1808"/>
      <c r="AO44" s="1809"/>
      <c r="AP44" s="1870"/>
      <c r="AQ44" s="1809"/>
      <c r="AR44" s="1870"/>
      <c r="AS44" s="1808"/>
      <c r="AT44" s="1940"/>
      <c r="AU44" s="109"/>
      <c r="AV44" s="109"/>
      <c r="AW44" s="109"/>
      <c r="AX44" s="109"/>
    </row>
    <row r="45" spans="1:50" ht="18.75" thickBot="1">
      <c r="A45" s="109"/>
      <c r="B45" s="1825" t="str">
        <f ca="1">IFERROR(__xludf.DUMMYFUNCTION("""COMPUTED_VALUE"""),"WIS")</f>
        <v>WIS</v>
      </c>
      <c r="C45" s="1796"/>
      <c r="D45" s="1796"/>
      <c r="E45" s="1799"/>
      <c r="F45" s="179"/>
      <c r="G45" s="1827" t="b">
        <f ca="1">IFERROR(__xludf.DUMMYFUNCTION("""COMPUTED_VALUE"""),TRUE)</f>
        <v>1</v>
      </c>
      <c r="H45" s="1796"/>
      <c r="I45" s="1837"/>
      <c r="J45" s="1964" t="str">
        <f ca="1">IFERROR(__xludf.DUMMYFUNCTION("""COMPUTED_VALUE"""),"Wisdom")</f>
        <v>Wisdom</v>
      </c>
      <c r="K45" s="1796"/>
      <c r="L45" s="1796"/>
      <c r="M45" s="1796"/>
      <c r="N45" s="1796"/>
      <c r="O45" s="1796"/>
      <c r="P45" s="1796"/>
      <c r="Q45" s="1796"/>
      <c r="R45" s="1990"/>
      <c r="S45" s="1796"/>
      <c r="T45" s="1799"/>
      <c r="V45" s="1995"/>
      <c r="W45" s="1808"/>
      <c r="X45" s="1808"/>
      <c r="Y45" s="1808"/>
      <c r="Z45" s="1808"/>
      <c r="AA45" s="1808"/>
      <c r="AB45" s="1809"/>
      <c r="AC45" s="1870"/>
      <c r="AD45" s="1809"/>
      <c r="AE45" s="1870"/>
      <c r="AF45" s="1808"/>
      <c r="AG45" s="1940"/>
      <c r="AH45" s="109"/>
      <c r="AI45" s="1995"/>
      <c r="AJ45" s="1808"/>
      <c r="AK45" s="1808"/>
      <c r="AL45" s="1808"/>
      <c r="AM45" s="1808"/>
      <c r="AN45" s="1808"/>
      <c r="AO45" s="1809"/>
      <c r="AP45" s="1870"/>
      <c r="AQ45" s="1809"/>
      <c r="AR45" s="1870"/>
      <c r="AS45" s="1808"/>
      <c r="AT45" s="1940"/>
      <c r="AU45" s="109"/>
      <c r="AV45" s="109"/>
      <c r="AW45" s="109"/>
      <c r="AX45" s="109"/>
    </row>
    <row r="46" spans="1:50" ht="16.5" thickBot="1">
      <c r="A46" s="109"/>
      <c r="B46" s="1818" t="str">
        <f ca="1">IFERROR(__xludf.DUMMYFUNCTION("""COMPUTED_VALUE"""),"Bonus")</f>
        <v>Bonus</v>
      </c>
      <c r="C46" s="1796"/>
      <c r="D46" s="1796"/>
      <c r="E46" s="1799"/>
      <c r="F46" s="1871" t="str">
        <f ca="1">IFERROR(__xludf.DUMMYFUNCTION("""COMPUTED_VALUE"""),"Proficiency")</f>
        <v>Proficiency</v>
      </c>
      <c r="G46" s="1812" t="str">
        <f ca="1">IFERROR(__xludf.DUMMYFUNCTION("""COMPUTED_VALUE"""),"-")</f>
        <v>-</v>
      </c>
      <c r="H46" s="1813"/>
      <c r="I46" s="1832"/>
      <c r="J46" s="1994" t="str">
        <f ca="1">IFERROR(__xludf.DUMMYFUNCTION("""COMPUTED_VALUE"""),"Animal Handling")</f>
        <v>Animal Handling</v>
      </c>
      <c r="K46" s="1813"/>
      <c r="L46" s="1813"/>
      <c r="M46" s="1813"/>
      <c r="N46" s="1813"/>
      <c r="O46" s="1813"/>
      <c r="P46" s="1826"/>
      <c r="Q46" s="1813"/>
      <c r="R46" s="1974"/>
      <c r="S46" s="1813"/>
      <c r="T46" s="1905"/>
      <c r="V46" s="1995"/>
      <c r="W46" s="1808"/>
      <c r="X46" s="1808"/>
      <c r="Y46" s="1808"/>
      <c r="Z46" s="1808"/>
      <c r="AA46" s="1808"/>
      <c r="AB46" s="1809"/>
      <c r="AC46" s="1870"/>
      <c r="AD46" s="1809"/>
      <c r="AE46" s="1870"/>
      <c r="AF46" s="1808"/>
      <c r="AG46" s="1940"/>
      <c r="AH46" s="109"/>
      <c r="AI46" s="1995"/>
      <c r="AJ46" s="1808"/>
      <c r="AK46" s="1808"/>
      <c r="AL46" s="1808"/>
      <c r="AM46" s="1808"/>
      <c r="AN46" s="1808"/>
      <c r="AO46" s="1809"/>
      <c r="AP46" s="1870"/>
      <c r="AQ46" s="1809"/>
      <c r="AR46" s="1870"/>
      <c r="AS46" s="1808"/>
      <c r="AT46" s="1940"/>
      <c r="AU46" s="109"/>
      <c r="AV46" s="109"/>
      <c r="AW46" s="109"/>
      <c r="AX46" s="109"/>
    </row>
    <row r="47" spans="1:50">
      <c r="A47" s="109"/>
      <c r="B47" s="1810"/>
      <c r="C47" s="1801"/>
      <c r="D47" s="1801"/>
      <c r="E47" s="1861"/>
      <c r="F47" s="1811"/>
      <c r="G47" s="1812" t="str">
        <f ca="1">IFERROR(__xludf.DUMMYFUNCTION("""COMPUTED_VALUE"""),"P")</f>
        <v>P</v>
      </c>
      <c r="H47" s="1813"/>
      <c r="I47" s="1832"/>
      <c r="J47" s="1826" t="str">
        <f ca="1">IFERROR(__xludf.DUMMYFUNCTION("""COMPUTED_VALUE"""),"Insight")</f>
        <v>Insight</v>
      </c>
      <c r="K47" s="1813"/>
      <c r="L47" s="1813"/>
      <c r="M47" s="1813"/>
      <c r="N47" s="1813"/>
      <c r="O47" s="1813"/>
      <c r="P47" s="1826"/>
      <c r="Q47" s="1813"/>
      <c r="R47" s="1974"/>
      <c r="S47" s="1813"/>
      <c r="T47" s="1905"/>
      <c r="V47" s="1995"/>
      <c r="W47" s="1808"/>
      <c r="X47" s="1808"/>
      <c r="Y47" s="1808"/>
      <c r="Z47" s="1808"/>
      <c r="AA47" s="1808"/>
      <c r="AB47" s="1809"/>
      <c r="AC47" s="1870"/>
      <c r="AD47" s="1809"/>
      <c r="AE47" s="1870"/>
      <c r="AF47" s="1808"/>
      <c r="AG47" s="1940"/>
      <c r="AH47" s="109"/>
      <c r="AI47" s="1995"/>
      <c r="AJ47" s="1808"/>
      <c r="AK47" s="1808"/>
      <c r="AL47" s="1808"/>
      <c r="AM47" s="1808"/>
      <c r="AN47" s="1808"/>
      <c r="AO47" s="1809"/>
      <c r="AP47" s="1870"/>
      <c r="AQ47" s="1809"/>
      <c r="AR47" s="1870"/>
      <c r="AS47" s="1808"/>
      <c r="AT47" s="1940"/>
      <c r="AU47" s="109"/>
      <c r="AV47" s="109"/>
      <c r="AW47" s="109"/>
      <c r="AX47" s="109"/>
    </row>
    <row r="48" spans="1:50" ht="16.5" thickBot="1">
      <c r="A48" s="109"/>
      <c r="B48" s="1811"/>
      <c r="C48" s="1289"/>
      <c r="D48" s="1289"/>
      <c r="E48" s="1805"/>
      <c r="F48" s="1811"/>
      <c r="G48" s="1812" t="str">
        <f ca="1">IFERROR(__xludf.DUMMYFUNCTION("""COMPUTED_VALUE"""),"P")</f>
        <v>P</v>
      </c>
      <c r="H48" s="1813"/>
      <c r="I48" s="1832"/>
      <c r="J48" s="1826" t="str">
        <f ca="1">IFERROR(__xludf.DUMMYFUNCTION("""COMPUTED_VALUE"""),"Medicine")</f>
        <v>Medicine</v>
      </c>
      <c r="K48" s="1813"/>
      <c r="L48" s="1813"/>
      <c r="M48" s="1813"/>
      <c r="N48" s="1813"/>
      <c r="O48" s="1813"/>
      <c r="P48" s="1826"/>
      <c r="Q48" s="1813"/>
      <c r="R48" s="1974"/>
      <c r="S48" s="1813"/>
      <c r="T48" s="1905"/>
      <c r="V48" s="1995"/>
      <c r="W48" s="1808"/>
      <c r="X48" s="1808"/>
      <c r="Y48" s="1808"/>
      <c r="Z48" s="1808"/>
      <c r="AA48" s="1808"/>
      <c r="AB48" s="1809"/>
      <c r="AC48" s="1870"/>
      <c r="AD48" s="1809"/>
      <c r="AE48" s="1870"/>
      <c r="AF48" s="1808"/>
      <c r="AG48" s="1940"/>
      <c r="AH48" s="109"/>
      <c r="AI48" s="1995"/>
      <c r="AJ48" s="1808"/>
      <c r="AK48" s="1808"/>
      <c r="AL48" s="1808"/>
      <c r="AM48" s="1808"/>
      <c r="AN48" s="1808"/>
      <c r="AO48" s="1809"/>
      <c r="AP48" s="1870"/>
      <c r="AQ48" s="1809"/>
      <c r="AR48" s="1870"/>
      <c r="AS48" s="1808"/>
      <c r="AT48" s="1940"/>
      <c r="AU48" s="109"/>
      <c r="AV48" s="109"/>
      <c r="AW48" s="109"/>
      <c r="AX48" s="109"/>
    </row>
    <row r="49" spans="1:77" ht="16.5" thickBot="1">
      <c r="A49" s="109"/>
      <c r="B49" s="177"/>
      <c r="C49" s="176"/>
      <c r="D49" s="1800"/>
      <c r="E49" s="1802"/>
      <c r="F49" s="1811"/>
      <c r="G49" s="1812" t="str">
        <f ca="1">IFERROR(__xludf.DUMMYFUNCTION("""COMPUTED_VALUE"""),"-")</f>
        <v>-</v>
      </c>
      <c r="H49" s="1813"/>
      <c r="I49" s="1832"/>
      <c r="J49" s="1826" t="str">
        <f ca="1">IFERROR(__xludf.DUMMYFUNCTION("""COMPUTED_VALUE"""),"Perception")</f>
        <v>Perception</v>
      </c>
      <c r="K49" s="1813"/>
      <c r="L49" s="1813"/>
      <c r="M49" s="1813"/>
      <c r="N49" s="1813"/>
      <c r="O49" s="1813"/>
      <c r="P49" s="1826"/>
      <c r="Q49" s="1813"/>
      <c r="R49" s="1974"/>
      <c r="S49" s="1813"/>
      <c r="T49" s="1905"/>
      <c r="V49" s="1995"/>
      <c r="W49" s="1808"/>
      <c r="X49" s="1808"/>
      <c r="Y49" s="1808"/>
      <c r="Z49" s="1808"/>
      <c r="AA49" s="1808"/>
      <c r="AB49" s="1809"/>
      <c r="AC49" s="1870"/>
      <c r="AD49" s="1809"/>
      <c r="AE49" s="1870"/>
      <c r="AF49" s="1808"/>
      <c r="AG49" s="1940"/>
      <c r="AH49" s="109"/>
      <c r="AI49" s="1995"/>
      <c r="AJ49" s="1808"/>
      <c r="AK49" s="1808"/>
      <c r="AL49" s="1808"/>
      <c r="AM49" s="1808"/>
      <c r="AN49" s="1808"/>
      <c r="AO49" s="1809"/>
      <c r="AP49" s="1870"/>
      <c r="AQ49" s="1809"/>
      <c r="AR49" s="1870"/>
      <c r="AS49" s="1808"/>
      <c r="AT49" s="1940"/>
      <c r="AU49" s="109"/>
      <c r="AV49" s="109"/>
      <c r="AW49" s="109"/>
      <c r="AX49" s="109"/>
    </row>
    <row r="50" spans="1:77" ht="16.5" thickBot="1">
      <c r="A50" s="109"/>
      <c r="B50" s="1824" t="str">
        <f ca="1">IFERROR(__xludf.DUMMYFUNCTION("""COMPUTED_VALUE"""),"Score")</f>
        <v>Score</v>
      </c>
      <c r="C50" s="1799"/>
      <c r="D50" s="1803"/>
      <c r="E50" s="1805"/>
      <c r="F50" s="1803"/>
      <c r="G50" s="1828" t="str">
        <f ca="1">IFERROR(__xludf.DUMMYFUNCTION("""COMPUTED_VALUE"""),"-")</f>
        <v>-</v>
      </c>
      <c r="H50" s="1804"/>
      <c r="I50" s="1833"/>
      <c r="J50" s="1872" t="str">
        <f ca="1">IFERROR(__xludf.DUMMYFUNCTION("""COMPUTED_VALUE"""),"Survival")</f>
        <v>Survival</v>
      </c>
      <c r="K50" s="1804"/>
      <c r="L50" s="1804"/>
      <c r="M50" s="1804"/>
      <c r="N50" s="1804"/>
      <c r="O50" s="1804"/>
      <c r="P50" s="1872"/>
      <c r="Q50" s="1804"/>
      <c r="R50" s="1996"/>
      <c r="S50" s="1804"/>
      <c r="T50" s="1805"/>
      <c r="V50" s="1995"/>
      <c r="W50" s="1808"/>
      <c r="X50" s="1808"/>
      <c r="Y50" s="1808"/>
      <c r="Z50" s="1808"/>
      <c r="AA50" s="1808"/>
      <c r="AB50" s="1809"/>
      <c r="AC50" s="1870"/>
      <c r="AD50" s="1809"/>
      <c r="AE50" s="1870"/>
      <c r="AF50" s="1808"/>
      <c r="AG50" s="1940"/>
      <c r="AH50" s="109"/>
      <c r="AI50" s="1995"/>
      <c r="AJ50" s="1808"/>
      <c r="AK50" s="1808"/>
      <c r="AL50" s="1808"/>
      <c r="AM50" s="1808"/>
      <c r="AN50" s="1808"/>
      <c r="AO50" s="1809"/>
      <c r="AP50" s="1870"/>
      <c r="AQ50" s="1809"/>
      <c r="AR50" s="1870"/>
      <c r="AS50" s="1808"/>
      <c r="AT50" s="1940"/>
      <c r="AU50" s="109"/>
      <c r="AV50" s="109"/>
      <c r="AW50" s="109"/>
      <c r="AX50" s="109"/>
    </row>
    <row r="51" spans="1:77" ht="16.5" thickBot="1">
      <c r="A51" s="109"/>
      <c r="B51" s="109"/>
      <c r="C51" s="109"/>
      <c r="D51" s="109"/>
      <c r="E51" s="109"/>
      <c r="F51" s="109"/>
      <c r="V51" s="1995"/>
      <c r="W51" s="1808"/>
      <c r="X51" s="1808"/>
      <c r="Y51" s="1808"/>
      <c r="Z51" s="1808"/>
      <c r="AA51" s="1808"/>
      <c r="AB51" s="1809"/>
      <c r="AC51" s="1870"/>
      <c r="AD51" s="1809"/>
      <c r="AE51" s="1870"/>
      <c r="AF51" s="1808"/>
      <c r="AG51" s="1940"/>
      <c r="AH51" s="109"/>
      <c r="AI51" s="1995"/>
      <c r="AJ51" s="1808"/>
      <c r="AK51" s="1808"/>
      <c r="AL51" s="1808"/>
      <c r="AM51" s="1808"/>
      <c r="AN51" s="1808"/>
      <c r="AO51" s="1809"/>
      <c r="AP51" s="1870"/>
      <c r="AQ51" s="1809"/>
      <c r="AR51" s="1870"/>
      <c r="AS51" s="1808"/>
      <c r="AT51" s="1940"/>
      <c r="AU51" s="109"/>
      <c r="AV51" s="109"/>
      <c r="AW51" s="109"/>
      <c r="AX51" s="109"/>
    </row>
    <row r="52" spans="1:77" ht="18.75" thickBot="1">
      <c r="A52" s="109"/>
      <c r="B52" s="1825" t="str">
        <f ca="1">IFERROR(__xludf.DUMMYFUNCTION("""COMPUTED_VALUE"""),"CHA")</f>
        <v>CHA</v>
      </c>
      <c r="C52" s="1796"/>
      <c r="D52" s="1796"/>
      <c r="E52" s="1799"/>
      <c r="F52" s="178"/>
      <c r="G52" s="1827" t="b">
        <f ca="1">IFERROR(__xludf.DUMMYFUNCTION("""COMPUTED_VALUE"""),TRUE)</f>
        <v>1</v>
      </c>
      <c r="H52" s="1796"/>
      <c r="I52" s="1837"/>
      <c r="J52" s="1964" t="str">
        <f ca="1">IFERROR(__xludf.DUMMYFUNCTION("""COMPUTED_VALUE"""),"Charisma")</f>
        <v>Charisma</v>
      </c>
      <c r="K52" s="1796"/>
      <c r="L52" s="1796"/>
      <c r="M52" s="1796"/>
      <c r="N52" s="1796"/>
      <c r="O52" s="1796"/>
      <c r="P52" s="1796"/>
      <c r="Q52" s="1796"/>
      <c r="R52" s="1990"/>
      <c r="S52" s="1796"/>
      <c r="T52" s="1799"/>
      <c r="V52" s="1995"/>
      <c r="W52" s="1808"/>
      <c r="X52" s="1808"/>
      <c r="Y52" s="1808"/>
      <c r="Z52" s="1808"/>
      <c r="AA52" s="1808"/>
      <c r="AB52" s="1809"/>
      <c r="AC52" s="1870"/>
      <c r="AD52" s="1809"/>
      <c r="AE52" s="1870"/>
      <c r="AF52" s="1808"/>
      <c r="AG52" s="1940"/>
      <c r="AH52" s="109"/>
      <c r="AI52" s="1995"/>
      <c r="AJ52" s="1808"/>
      <c r="AK52" s="1808"/>
      <c r="AL52" s="1808"/>
      <c r="AM52" s="1808"/>
      <c r="AN52" s="1808"/>
      <c r="AO52" s="1809"/>
      <c r="AP52" s="1870"/>
      <c r="AQ52" s="1809"/>
      <c r="AR52" s="1870"/>
      <c r="AS52" s="1808"/>
      <c r="AT52" s="1940"/>
      <c r="AU52" s="109"/>
      <c r="AV52" s="109"/>
      <c r="AW52" s="109"/>
      <c r="AX52" s="109"/>
    </row>
    <row r="53" spans="1:77" ht="16.5" thickBot="1">
      <c r="A53" s="109"/>
      <c r="B53" s="1818" t="str">
        <f ca="1">IFERROR(__xludf.DUMMYFUNCTION("""COMPUTED_VALUE"""),"Bonus")</f>
        <v>Bonus</v>
      </c>
      <c r="C53" s="1796"/>
      <c r="D53" s="1796"/>
      <c r="E53" s="1799"/>
      <c r="F53" s="1871" t="str">
        <f ca="1">IFERROR(__xludf.DUMMYFUNCTION("""COMPUTED_VALUE"""),"Proficiency")</f>
        <v>Proficiency</v>
      </c>
      <c r="G53" s="1812" t="str">
        <f ca="1">IFERROR(__xludf.DUMMYFUNCTION("""COMPUTED_VALUE"""),"-")</f>
        <v>-</v>
      </c>
      <c r="H53" s="1813"/>
      <c r="I53" s="1832"/>
      <c r="J53" s="1826" t="str">
        <f ca="1">IFERROR(__xludf.DUMMYFUNCTION("""COMPUTED_VALUE"""),"Deception")</f>
        <v>Deception</v>
      </c>
      <c r="K53" s="1813"/>
      <c r="L53" s="1813"/>
      <c r="M53" s="1813"/>
      <c r="N53" s="1813"/>
      <c r="O53" s="1813"/>
      <c r="P53" s="1826"/>
      <c r="Q53" s="1813"/>
      <c r="R53" s="1974"/>
      <c r="S53" s="1813"/>
      <c r="T53" s="1905"/>
      <c r="V53" s="1995"/>
      <c r="W53" s="1808"/>
      <c r="X53" s="1808"/>
      <c r="Y53" s="1808"/>
      <c r="Z53" s="1808"/>
      <c r="AA53" s="1808"/>
      <c r="AB53" s="1809"/>
      <c r="AC53" s="1870"/>
      <c r="AD53" s="1809"/>
      <c r="AE53" s="1870"/>
      <c r="AF53" s="1808"/>
      <c r="AG53" s="1940"/>
      <c r="AH53" s="109"/>
      <c r="AI53" s="1995"/>
      <c r="AJ53" s="1808"/>
      <c r="AK53" s="1808"/>
      <c r="AL53" s="1808"/>
      <c r="AM53" s="1808"/>
      <c r="AN53" s="1808"/>
      <c r="AO53" s="1809"/>
      <c r="AP53" s="1870"/>
      <c r="AQ53" s="1809"/>
      <c r="AR53" s="1870"/>
      <c r="AS53" s="1808"/>
      <c r="AT53" s="1940"/>
      <c r="AU53" s="109"/>
      <c r="AV53" s="109"/>
      <c r="AW53" s="109"/>
      <c r="AX53" s="109"/>
    </row>
    <row r="54" spans="1:77">
      <c r="A54" s="109"/>
      <c r="B54" s="1810"/>
      <c r="C54" s="1801"/>
      <c r="D54" s="1801"/>
      <c r="E54" s="1861"/>
      <c r="F54" s="1811"/>
      <c r="G54" s="1812" t="str">
        <f ca="1">IFERROR(__xludf.DUMMYFUNCTION("""COMPUTED_VALUE"""),"-")</f>
        <v>-</v>
      </c>
      <c r="H54" s="1813"/>
      <c r="I54" s="1832"/>
      <c r="J54" s="1826" t="str">
        <f ca="1">IFERROR(__xludf.DUMMYFUNCTION("""COMPUTED_VALUE"""),"Intimidation")</f>
        <v>Intimidation</v>
      </c>
      <c r="K54" s="1813"/>
      <c r="L54" s="1813"/>
      <c r="M54" s="1813"/>
      <c r="N54" s="1813"/>
      <c r="O54" s="1813"/>
      <c r="P54" s="1826"/>
      <c r="Q54" s="1813"/>
      <c r="R54" s="1974"/>
      <c r="S54" s="1813"/>
      <c r="T54" s="1905"/>
      <c r="V54" s="1995"/>
      <c r="W54" s="1808"/>
      <c r="X54" s="1808"/>
      <c r="Y54" s="1808"/>
      <c r="Z54" s="1808"/>
      <c r="AA54" s="1808"/>
      <c r="AB54" s="1809"/>
      <c r="AC54" s="1870"/>
      <c r="AD54" s="1809"/>
      <c r="AE54" s="1870"/>
      <c r="AF54" s="1808"/>
      <c r="AG54" s="1940"/>
      <c r="AH54" s="109"/>
      <c r="AI54" s="1995"/>
      <c r="AJ54" s="1808"/>
      <c r="AK54" s="1808"/>
      <c r="AL54" s="1808"/>
      <c r="AM54" s="1808"/>
      <c r="AN54" s="1808"/>
      <c r="AO54" s="1809"/>
      <c r="AP54" s="1870"/>
      <c r="AQ54" s="1809"/>
      <c r="AR54" s="1870"/>
      <c r="AS54" s="1808"/>
      <c r="AT54" s="1940"/>
      <c r="AU54" s="109"/>
      <c r="AV54" s="109"/>
      <c r="AW54" s="109"/>
      <c r="AX54" s="109"/>
    </row>
    <row r="55" spans="1:77" ht="16.5" thickBot="1">
      <c r="A55" s="109"/>
      <c r="B55" s="1811"/>
      <c r="C55" s="1289"/>
      <c r="D55" s="1289"/>
      <c r="E55" s="1805"/>
      <c r="F55" s="1811"/>
      <c r="G55" s="1812" t="str">
        <f ca="1">IFERROR(__xludf.DUMMYFUNCTION("""COMPUTED_VALUE"""),"-")</f>
        <v>-</v>
      </c>
      <c r="H55" s="1813"/>
      <c r="I55" s="1832"/>
      <c r="J55" s="1826" t="str">
        <f ca="1">IFERROR(__xludf.DUMMYFUNCTION("""COMPUTED_VALUE"""),"Performance")</f>
        <v>Performance</v>
      </c>
      <c r="K55" s="1813"/>
      <c r="L55" s="1813"/>
      <c r="M55" s="1813"/>
      <c r="N55" s="1813"/>
      <c r="O55" s="1813"/>
      <c r="P55" s="1826"/>
      <c r="Q55" s="1813"/>
      <c r="R55" s="1974"/>
      <c r="S55" s="1813"/>
      <c r="T55" s="1905"/>
      <c r="V55" s="1995"/>
      <c r="W55" s="1808"/>
      <c r="X55" s="1808"/>
      <c r="Y55" s="1808"/>
      <c r="Z55" s="1808"/>
      <c r="AA55" s="1808"/>
      <c r="AB55" s="1809"/>
      <c r="AC55" s="1870"/>
      <c r="AD55" s="1809"/>
      <c r="AE55" s="1870"/>
      <c r="AF55" s="1808"/>
      <c r="AG55" s="1940"/>
      <c r="AH55" s="109"/>
      <c r="AI55" s="1995"/>
      <c r="AJ55" s="1808"/>
      <c r="AK55" s="1808"/>
      <c r="AL55" s="1808"/>
      <c r="AM55" s="1808"/>
      <c r="AN55" s="1808"/>
      <c r="AO55" s="1809"/>
      <c r="AP55" s="1870"/>
      <c r="AQ55" s="1809"/>
      <c r="AR55" s="1870"/>
      <c r="AS55" s="1808"/>
      <c r="AT55" s="1940"/>
      <c r="AU55" s="109"/>
      <c r="AV55" s="109"/>
      <c r="AW55" s="109"/>
      <c r="AX55" s="109"/>
    </row>
    <row r="56" spans="1:77" ht="16.5" thickBot="1">
      <c r="A56" s="109"/>
      <c r="B56" s="177"/>
      <c r="C56" s="176"/>
      <c r="D56" s="1800"/>
      <c r="E56" s="1802"/>
      <c r="F56" s="1811"/>
      <c r="G56" s="1812" t="str">
        <f ca="1">IFERROR(__xludf.DUMMYFUNCTION("""COMPUTED_VALUE"""),"-")</f>
        <v>-</v>
      </c>
      <c r="H56" s="1813"/>
      <c r="I56" s="1832"/>
      <c r="J56" s="1826" t="str">
        <f ca="1">IFERROR(__xludf.DUMMYFUNCTION("""COMPUTED_VALUE"""),"Persuasion")</f>
        <v>Persuasion</v>
      </c>
      <c r="K56" s="1813"/>
      <c r="L56" s="1813"/>
      <c r="M56" s="1813"/>
      <c r="N56" s="1813"/>
      <c r="O56" s="1813"/>
      <c r="P56" s="1826"/>
      <c r="Q56" s="1813"/>
      <c r="R56" s="1974"/>
      <c r="S56" s="1813"/>
      <c r="T56" s="1905"/>
      <c r="V56" s="1995"/>
      <c r="W56" s="1808"/>
      <c r="X56" s="1808"/>
      <c r="Y56" s="1808"/>
      <c r="Z56" s="1808"/>
      <c r="AA56" s="1808"/>
      <c r="AB56" s="1809"/>
      <c r="AC56" s="1870"/>
      <c r="AD56" s="1809"/>
      <c r="AE56" s="1870"/>
      <c r="AF56" s="1808"/>
      <c r="AG56" s="1940"/>
      <c r="AH56" s="109"/>
      <c r="AI56" s="1995"/>
      <c r="AJ56" s="1808"/>
      <c r="AK56" s="1808"/>
      <c r="AL56" s="1808"/>
      <c r="AM56" s="1808"/>
      <c r="AN56" s="1808"/>
      <c r="AO56" s="1809"/>
      <c r="AP56" s="1870"/>
      <c r="AQ56" s="1809"/>
      <c r="AR56" s="1870"/>
      <c r="AS56" s="1808"/>
      <c r="AT56" s="1940"/>
      <c r="AU56" s="109"/>
      <c r="AV56" s="109"/>
      <c r="AW56" s="109"/>
      <c r="AX56" s="109"/>
    </row>
    <row r="57" spans="1:77" ht="16.5" thickBot="1">
      <c r="A57" s="109"/>
      <c r="B57" s="1824" t="str">
        <f ca="1">IFERROR(__xludf.DUMMYFUNCTION("""COMPUTED_VALUE"""),"Score")</f>
        <v>Score</v>
      </c>
      <c r="C57" s="1799"/>
      <c r="D57" s="1803"/>
      <c r="E57" s="1805"/>
      <c r="F57" s="1803"/>
      <c r="G57" s="128"/>
      <c r="H57" s="127"/>
      <c r="I57" s="1833"/>
      <c r="J57" s="175"/>
      <c r="K57" s="174"/>
      <c r="L57" s="174"/>
      <c r="M57" s="174"/>
      <c r="N57" s="174"/>
      <c r="O57" s="174"/>
      <c r="P57" s="174"/>
      <c r="Q57" s="174"/>
      <c r="R57" s="174"/>
      <c r="S57" s="174"/>
      <c r="T57" s="173"/>
      <c r="U57" s="109"/>
      <c r="V57" s="2098"/>
      <c r="W57" s="1853"/>
      <c r="X57" s="1853"/>
      <c r="Y57" s="1853"/>
      <c r="Z57" s="1853"/>
      <c r="AA57" s="1853"/>
      <c r="AB57" s="1854"/>
      <c r="AC57" s="1863"/>
      <c r="AD57" s="1854"/>
      <c r="AE57" s="1863"/>
      <c r="AF57" s="1853"/>
      <c r="AG57" s="1876"/>
      <c r="AH57" s="109"/>
      <c r="AI57" s="2098"/>
      <c r="AJ57" s="1853"/>
      <c r="AK57" s="1853"/>
      <c r="AL57" s="1853"/>
      <c r="AM57" s="1853"/>
      <c r="AN57" s="1853"/>
      <c r="AO57" s="1854"/>
      <c r="AP57" s="1863"/>
      <c r="AQ57" s="1854"/>
      <c r="AR57" s="1863"/>
      <c r="AS57" s="1853"/>
      <c r="AT57" s="1876"/>
      <c r="AU57" s="109"/>
      <c r="AV57" s="109"/>
      <c r="AW57" s="109"/>
      <c r="AX57" s="109"/>
      <c r="AY57" s="109"/>
      <c r="AZ57" s="109"/>
      <c r="BA57" s="109"/>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row>
    <row r="58" spans="1:77" ht="16.5" thickBot="1">
      <c r="A58" s="109"/>
      <c r="B58" s="172"/>
      <c r="C58" s="171"/>
      <c r="D58" s="170"/>
      <c r="E58" s="170"/>
      <c r="F58" s="109"/>
      <c r="G58" s="109"/>
      <c r="H58" s="109"/>
      <c r="I58" s="109"/>
      <c r="J58" s="109"/>
      <c r="K58" s="109"/>
      <c r="L58" s="109"/>
      <c r="M58" s="109"/>
      <c r="N58" s="109"/>
      <c r="O58" s="109"/>
      <c r="P58" s="109"/>
      <c r="Q58" s="109"/>
      <c r="R58" s="109"/>
      <c r="S58" s="109"/>
      <c r="T58" s="109"/>
      <c r="U58" s="109"/>
      <c r="V58" s="109"/>
      <c r="W58" s="169"/>
      <c r="X58" s="169"/>
      <c r="Y58" s="169"/>
      <c r="Z58" s="169"/>
      <c r="AA58" s="169"/>
      <c r="AB58" s="169"/>
      <c r="AC58" s="146"/>
      <c r="AD58" s="146"/>
      <c r="AE58" s="146"/>
      <c r="AF58" s="146"/>
      <c r="AG58" s="146"/>
      <c r="AH58" s="109"/>
      <c r="AI58" s="169"/>
      <c r="AJ58" s="169"/>
      <c r="AK58" s="169"/>
      <c r="AL58" s="169"/>
      <c r="AM58" s="169"/>
      <c r="AN58" s="169"/>
      <c r="AO58" s="146"/>
      <c r="AP58" s="146"/>
      <c r="AQ58" s="146"/>
      <c r="AR58" s="146"/>
      <c r="AS58" s="146"/>
      <c r="AT58" s="109"/>
      <c r="AU58" s="109"/>
      <c r="AV58" s="109"/>
      <c r="AW58" s="109"/>
      <c r="AX58" s="156"/>
      <c r="AY58" s="156"/>
      <c r="AZ58" s="156"/>
      <c r="BA58" s="156"/>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row>
    <row r="59" spans="1:77" ht="16.5" thickBot="1">
      <c r="A59" s="109"/>
      <c r="B59" s="1855"/>
      <c r="C59" s="1801"/>
      <c r="D59" s="1801"/>
      <c r="E59" s="1856"/>
      <c r="F59" s="1877" t="str">
        <f ca="1">IFERROR(__xludf.DUMMYFUNCTION("""COMPUTED_VALUE"""),"Passive Perception")</f>
        <v>Passive Perception</v>
      </c>
      <c r="G59" s="1801"/>
      <c r="H59" s="1801"/>
      <c r="I59" s="1801"/>
      <c r="J59" s="1801"/>
      <c r="K59" s="1801"/>
      <c r="L59" s="1802"/>
      <c r="M59" s="1847" t="str">
        <f ca="1">IFERROR(__xludf.DUMMYFUNCTION("""COMPUTED_VALUE"""),"Misc Bonus")</f>
        <v>Misc Bonus</v>
      </c>
      <c r="N59" s="1848"/>
      <c r="O59" s="1848"/>
      <c r="P59" s="1849"/>
      <c r="Q59" s="109"/>
      <c r="R59" s="2130"/>
      <c r="S59" s="1801"/>
      <c r="T59" s="1801"/>
      <c r="U59" s="1801"/>
      <c r="V59" s="2131" t="str">
        <f ca="1">IFERROR(__xludf.DUMMYFUNCTION("""COMPUTED_VALUE"""),"Initiative")</f>
        <v>Initiative</v>
      </c>
      <c r="W59" s="1801"/>
      <c r="X59" s="1801"/>
      <c r="Y59" s="1801"/>
      <c r="Z59" s="1801"/>
      <c r="AA59" s="1801"/>
      <c r="AB59" s="1847" t="str">
        <f ca="1">IFERROR(__xludf.DUMMYFUNCTION("""COMPUTED_VALUE"""),"Misc Bonus")</f>
        <v>Misc Bonus</v>
      </c>
      <c r="AC59" s="1848"/>
      <c r="AD59" s="1848"/>
      <c r="AE59" s="1849"/>
      <c r="AF59" s="169"/>
      <c r="AG59" s="2094" t="str">
        <f ca="1">IFERROR(__xludf.DUMMYFUNCTION("""COMPUTED_VALUE"""),"Speed")</f>
        <v>Speed</v>
      </c>
      <c r="AH59" s="1848"/>
      <c r="AI59" s="1848"/>
      <c r="AJ59" s="1848"/>
      <c r="AK59" s="1848"/>
      <c r="AL59" s="1848"/>
      <c r="AM59" s="1848"/>
      <c r="AN59" s="1848"/>
      <c r="AO59" s="1848"/>
      <c r="AP59" s="1848"/>
      <c r="AQ59" s="1848"/>
      <c r="AR59" s="1848"/>
      <c r="AS59" s="1848"/>
      <c r="AT59" s="1849"/>
      <c r="AU59" s="156"/>
      <c r="AV59" s="156"/>
      <c r="AW59" s="156"/>
      <c r="AX59" s="108"/>
      <c r="AY59" s="108"/>
      <c r="AZ59" s="108"/>
      <c r="BA59" s="108"/>
      <c r="BB59" s="108"/>
      <c r="BC59" s="108"/>
      <c r="BD59" s="108"/>
      <c r="BE59" s="108"/>
      <c r="BF59" s="108"/>
      <c r="BG59" s="108"/>
      <c r="BH59" s="108"/>
      <c r="BI59" s="108"/>
    </row>
    <row r="60" spans="1:77" ht="16.5" thickBot="1">
      <c r="A60" s="109"/>
      <c r="B60" s="1803"/>
      <c r="C60" s="1804"/>
      <c r="D60" s="1804"/>
      <c r="E60" s="1857"/>
      <c r="F60" s="1803"/>
      <c r="G60" s="1804"/>
      <c r="H60" s="1804"/>
      <c r="I60" s="1804"/>
      <c r="J60" s="1804"/>
      <c r="K60" s="1804"/>
      <c r="L60" s="1805"/>
      <c r="M60" s="1875"/>
      <c r="N60" s="1853"/>
      <c r="O60" s="1853"/>
      <c r="P60" s="1876"/>
      <c r="Q60" s="109"/>
      <c r="R60" s="1803"/>
      <c r="S60" s="1804"/>
      <c r="T60" s="1804"/>
      <c r="U60" s="1804"/>
      <c r="V60" s="1289"/>
      <c r="W60" s="1289"/>
      <c r="X60" s="1289"/>
      <c r="Y60" s="1289"/>
      <c r="Z60" s="1289"/>
      <c r="AA60" s="1289"/>
      <c r="AB60" s="1875"/>
      <c r="AC60" s="1853"/>
      <c r="AD60" s="1853"/>
      <c r="AE60" s="1876"/>
      <c r="AF60" s="169"/>
      <c r="AG60" s="2119" t="str">
        <f ca="1">IFERROR(__xludf.DUMMYFUNCTION("""COMPUTED_VALUE"""),"Base")</f>
        <v>Base</v>
      </c>
      <c r="AH60" s="1805"/>
      <c r="AI60" s="2093"/>
      <c r="AJ60" s="1804"/>
      <c r="AK60" s="2089" t="str">
        <f ca="1">IFERROR(__xludf.DUMMYFUNCTION("""COMPUTED_VALUE"""),"Climb/Swim")</f>
        <v>Climb/Swim</v>
      </c>
      <c r="AL60" s="1796"/>
      <c r="AM60" s="1796"/>
      <c r="AN60" s="1799"/>
      <c r="AO60" s="2093"/>
      <c r="AP60" s="1804"/>
      <c r="AQ60" s="2125" t="str">
        <f ca="1">IFERROR(__xludf.DUMMYFUNCTION("""COMPUTED_VALUE"""),"Fly")</f>
        <v>Fly</v>
      </c>
      <c r="AR60" s="1799"/>
      <c r="AS60" s="2093"/>
      <c r="AT60" s="1805"/>
      <c r="AU60" s="156"/>
      <c r="AV60" s="156"/>
      <c r="AW60" s="156"/>
      <c r="AX60" s="108"/>
      <c r="AY60" s="108"/>
      <c r="AZ60" s="108"/>
      <c r="BA60" s="108"/>
      <c r="BB60" s="108"/>
      <c r="BC60" s="108"/>
      <c r="BD60" s="108"/>
      <c r="BE60" s="108"/>
      <c r="BF60" s="108"/>
      <c r="BG60" s="108"/>
      <c r="BH60" s="108"/>
      <c r="BI60" s="108"/>
    </row>
    <row r="61" spans="1:77" ht="16.5" thickBot="1">
      <c r="A61" s="109"/>
      <c r="B61" s="172"/>
      <c r="C61" s="171"/>
      <c r="D61" s="170"/>
      <c r="E61" s="170"/>
      <c r="F61" s="109"/>
      <c r="G61" s="109"/>
      <c r="H61" s="109"/>
      <c r="I61" s="109"/>
      <c r="J61" s="109"/>
      <c r="K61" s="109"/>
      <c r="L61" s="109"/>
      <c r="M61" s="109"/>
      <c r="N61" s="109"/>
      <c r="O61" s="109"/>
      <c r="P61" s="109"/>
      <c r="Q61" s="109"/>
      <c r="R61" s="109"/>
      <c r="S61" s="109"/>
      <c r="T61" s="109"/>
      <c r="U61" s="109"/>
      <c r="V61" s="109"/>
      <c r="W61" s="169"/>
      <c r="X61" s="169"/>
      <c r="Y61" s="169"/>
      <c r="Z61" s="169"/>
      <c r="AA61" s="169"/>
      <c r="AB61" s="169"/>
      <c r="AC61" s="146"/>
      <c r="AD61" s="146"/>
      <c r="AE61" s="146"/>
      <c r="AF61" s="146"/>
      <c r="AG61" s="146"/>
      <c r="AH61" s="109"/>
      <c r="AI61" s="169"/>
      <c r="AJ61" s="169"/>
      <c r="AK61" s="169"/>
      <c r="AL61" s="169"/>
      <c r="AM61" s="169"/>
      <c r="AN61" s="169"/>
      <c r="AO61" s="146"/>
      <c r="AP61" s="146"/>
      <c r="AQ61" s="146"/>
      <c r="AR61" s="146"/>
      <c r="AS61" s="146"/>
      <c r="AT61" s="109"/>
      <c r="AU61" s="109"/>
      <c r="AV61" s="109"/>
      <c r="AW61" s="109"/>
      <c r="AX61" s="156"/>
      <c r="AY61" s="156"/>
      <c r="AZ61" s="156"/>
      <c r="BA61" s="156"/>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row>
    <row r="62" spans="1:77" ht="19.5" customHeight="1">
      <c r="A62" s="1880"/>
      <c r="B62" s="1846" t="str">
        <f ca="1">IFERROR(__xludf.DUMMYFUNCTION("""COMPUTED_VALUE"""),"Hand 1")</f>
        <v>Hand 1</v>
      </c>
      <c r="C62" s="1851" t="str">
        <f ca="1">IFERROR(__xludf.DUMMYFUNCTION("""COMPUTED_VALUE"""),"Hand 2")</f>
        <v>Hand 2</v>
      </c>
      <c r="D62" s="1879" t="str">
        <f ca="1">IFERROR(__xludf.DUMMYFUNCTION("""COMPUTED_VALUE"""),"Weapons/Attacks")</f>
        <v>Weapons/Attacks</v>
      </c>
      <c r="E62" s="1801"/>
      <c r="F62" s="1801"/>
      <c r="G62" s="1801"/>
      <c r="H62" s="1801"/>
      <c r="I62" s="1801"/>
      <c r="J62" s="1801"/>
      <c r="K62" s="1801"/>
      <c r="L62" s="1801"/>
      <c r="M62" s="1829" t="str">
        <f ca="1">IFERROR(__xludf.DUMMYFUNCTION("""COMPUTED_VALUE"""),"Magic/Misc Bonus")</f>
        <v>Magic/Misc Bonus</v>
      </c>
      <c r="N62" s="1801"/>
      <c r="O62" s="1801"/>
      <c r="P62" s="1969" t="str">
        <f ca="1">IFERROR(__xludf.DUMMYFUNCTION("""COMPUTED_VALUE"""),"To Hit Bonus")</f>
        <v>To Hit Bonus</v>
      </c>
      <c r="Q62" s="1801"/>
      <c r="R62" s="1801"/>
      <c r="S62" s="2120" t="str">
        <f ca="1">IFERROR(__xludf.DUMMYFUNCTION("""COMPUTED_VALUE"""),"Ability")</f>
        <v>Ability</v>
      </c>
      <c r="T62" s="1801"/>
      <c r="U62" s="1801"/>
      <c r="V62" s="2085" t="str">
        <f ca="1">IFERROR(__xludf.DUMMYFUNCTION("""COMPUTED_VALUE"""),"Dmg")</f>
        <v>Dmg</v>
      </c>
      <c r="W62" s="1801"/>
      <c r="X62" s="1801"/>
      <c r="Y62" s="1801"/>
      <c r="Z62" s="2084" t="str">
        <f ca="1">IFERROR(__xludf.DUMMYFUNCTION("""COMPUTED_VALUE"""),"Damage Bonus")</f>
        <v>Damage Bonus</v>
      </c>
      <c r="AA62" s="1801"/>
      <c r="AB62" s="1856"/>
      <c r="AC62" s="2086" t="str">
        <f ca="1">IFERROR(__xludf.DUMMYFUNCTION("""COMPUTED_VALUE"""),"Dmg Type")</f>
        <v>Dmg Type</v>
      </c>
      <c r="AD62" s="1801"/>
      <c r="AE62" s="1801"/>
      <c r="AF62" s="1801"/>
      <c r="AG62" s="2120" t="str">
        <f ca="1">IFERROR(__xludf.DUMMYFUNCTION("""COMPUTED_VALUE"""),"Range")</f>
        <v>Range</v>
      </c>
      <c r="AH62" s="1801"/>
      <c r="AI62" s="1801"/>
      <c r="AJ62" s="1801"/>
      <c r="AK62" s="2086" t="str">
        <f ca="1">IFERROR(__xludf.DUMMYFUNCTION("""COMPUTED_VALUE"""),"Wgt")</f>
        <v>Wgt</v>
      </c>
      <c r="AL62" s="1801"/>
      <c r="AM62" s="1801"/>
      <c r="AN62" s="2128" t="str">
        <f ca="1">IFERROR(__xludf.DUMMYFUNCTION("""COMPUTED_VALUE"""),"Notes")</f>
        <v>Notes</v>
      </c>
      <c r="AO62" s="1801"/>
      <c r="AP62" s="1801"/>
      <c r="AQ62" s="1801"/>
      <c r="AR62" s="1801"/>
      <c r="AS62" s="1801"/>
      <c r="AT62" s="1802"/>
      <c r="AU62" s="167"/>
      <c r="AV62" s="167"/>
      <c r="AW62" s="167"/>
      <c r="AX62" s="167"/>
      <c r="AY62" s="166"/>
      <c r="AZ62" s="166"/>
      <c r="BA62" s="166"/>
      <c r="BB62" s="165"/>
      <c r="BC62" s="165"/>
      <c r="BD62" s="168"/>
      <c r="BE62" s="165"/>
      <c r="BF62" s="164"/>
      <c r="BG62" s="164"/>
      <c r="BH62" s="164"/>
      <c r="BI62" s="164"/>
      <c r="BJ62" s="164"/>
      <c r="BK62" s="164"/>
      <c r="BL62" s="164"/>
      <c r="BM62" s="164"/>
      <c r="BN62" s="164"/>
      <c r="BO62" s="164"/>
      <c r="BP62" s="164"/>
      <c r="BQ62" s="164"/>
    </row>
    <row r="63" spans="1:77" ht="21.75" customHeight="1" thickBot="1">
      <c r="A63" s="1289"/>
      <c r="B63" s="1803"/>
      <c r="C63" s="1804"/>
      <c r="D63" s="1803"/>
      <c r="E63" s="1804"/>
      <c r="F63" s="1804"/>
      <c r="G63" s="1804"/>
      <c r="H63" s="1804"/>
      <c r="I63" s="1804"/>
      <c r="J63" s="1804"/>
      <c r="K63" s="1804"/>
      <c r="L63" s="1804"/>
      <c r="M63" s="1830"/>
      <c r="N63" s="1804"/>
      <c r="O63" s="1804"/>
      <c r="P63" s="1830"/>
      <c r="Q63" s="1804"/>
      <c r="R63" s="1804"/>
      <c r="S63" s="1830"/>
      <c r="T63" s="1804"/>
      <c r="U63" s="1804"/>
      <c r="V63" s="1830"/>
      <c r="W63" s="1804"/>
      <c r="X63" s="1804"/>
      <c r="Y63" s="1804"/>
      <c r="Z63" s="1830"/>
      <c r="AA63" s="1804"/>
      <c r="AB63" s="1857"/>
      <c r="AC63" s="1830"/>
      <c r="AD63" s="1804"/>
      <c r="AE63" s="1804"/>
      <c r="AF63" s="1804"/>
      <c r="AG63" s="1830"/>
      <c r="AH63" s="1804"/>
      <c r="AI63" s="1804"/>
      <c r="AJ63" s="1804"/>
      <c r="AK63" s="1830"/>
      <c r="AL63" s="1804"/>
      <c r="AM63" s="1804"/>
      <c r="AN63" s="1830"/>
      <c r="AO63" s="1804"/>
      <c r="AP63" s="1804"/>
      <c r="AQ63" s="1804"/>
      <c r="AR63" s="1804"/>
      <c r="AS63" s="1804"/>
      <c r="AT63" s="1805"/>
      <c r="AU63" s="167"/>
      <c r="AV63" s="167"/>
      <c r="AW63" s="167"/>
      <c r="AX63" s="167"/>
      <c r="AY63" s="166"/>
      <c r="AZ63" s="166"/>
      <c r="BA63" s="166"/>
      <c r="BB63" s="165"/>
      <c r="BC63" s="165"/>
      <c r="BD63" s="164"/>
      <c r="BE63" s="164"/>
      <c r="BF63" s="164"/>
      <c r="BG63" s="164"/>
      <c r="BH63" s="164"/>
      <c r="BI63" s="164"/>
      <c r="BJ63" s="164"/>
      <c r="BK63" s="164"/>
      <c r="BL63" s="164"/>
      <c r="BM63" s="164"/>
      <c r="BN63" s="164"/>
      <c r="BO63" s="164"/>
      <c r="BP63" s="164"/>
      <c r="BQ63" s="164"/>
    </row>
    <row r="64" spans="1:77">
      <c r="A64" s="109"/>
      <c r="B64" s="163" t="str">
        <f ca="1">IFERROR(__xludf.DUMMYFUNCTION("""COMPUTED_VALUE"""),"X")</f>
        <v>X</v>
      </c>
      <c r="C64" s="162"/>
      <c r="D64" s="1858"/>
      <c r="E64" s="1813"/>
      <c r="F64" s="1813"/>
      <c r="G64" s="1813"/>
      <c r="H64" s="1813"/>
      <c r="I64" s="1813"/>
      <c r="J64" s="1813"/>
      <c r="K64" s="1813"/>
      <c r="L64" s="1813"/>
      <c r="M64" s="1835"/>
      <c r="N64" s="1813"/>
      <c r="O64" s="1813"/>
      <c r="P64" s="1835"/>
      <c r="Q64" s="1813"/>
      <c r="R64" s="1813"/>
      <c r="S64" s="2091"/>
      <c r="T64" s="1813"/>
      <c r="U64" s="1813"/>
      <c r="V64" s="2091"/>
      <c r="W64" s="1813"/>
      <c r="X64" s="1813"/>
      <c r="Y64" s="1813"/>
      <c r="Z64" s="2126"/>
      <c r="AA64" s="1813"/>
      <c r="AB64" s="1817"/>
      <c r="AC64" s="2081"/>
      <c r="AD64" s="1813"/>
      <c r="AE64" s="1813"/>
      <c r="AF64" s="1813"/>
      <c r="AG64" s="158"/>
      <c r="AH64" s="161"/>
      <c r="AI64" s="2090"/>
      <c r="AJ64" s="1813"/>
      <c r="AK64" s="2091"/>
      <c r="AL64" s="1813"/>
      <c r="AM64" s="1813"/>
      <c r="AN64" s="2127"/>
      <c r="AO64" s="1813"/>
      <c r="AP64" s="1813"/>
      <c r="AQ64" s="1813"/>
      <c r="AR64" s="1813"/>
      <c r="AS64" s="1813"/>
      <c r="AT64" s="1905"/>
      <c r="AU64" s="151"/>
      <c r="AV64" s="151"/>
      <c r="AW64" s="151"/>
      <c r="AX64" s="151"/>
      <c r="AY64" s="109"/>
      <c r="AZ64" s="109"/>
      <c r="BA64" s="109"/>
      <c r="BB64" s="156"/>
      <c r="BC64" s="156"/>
      <c r="BD64" s="108"/>
      <c r="BE64" s="108"/>
      <c r="BF64" s="108"/>
      <c r="BG64" s="108"/>
      <c r="BH64" s="108"/>
      <c r="BI64" s="108"/>
      <c r="BJ64" s="108"/>
      <c r="BK64" s="108"/>
      <c r="BL64" s="108"/>
      <c r="BM64" s="108"/>
      <c r="BN64" s="108"/>
      <c r="BO64" s="108"/>
      <c r="BP64" s="108"/>
      <c r="BQ64" s="108"/>
    </row>
    <row r="65" spans="1:77">
      <c r="A65" s="109"/>
      <c r="B65" s="160"/>
      <c r="C65" s="159"/>
      <c r="D65" s="1868"/>
      <c r="E65" s="1808"/>
      <c r="F65" s="1808"/>
      <c r="G65" s="1808"/>
      <c r="H65" s="1808"/>
      <c r="I65" s="1808"/>
      <c r="J65" s="1808"/>
      <c r="K65" s="1808"/>
      <c r="L65" s="1808"/>
      <c r="M65" s="1838"/>
      <c r="N65" s="1808"/>
      <c r="O65" s="1808"/>
      <c r="P65" s="1838"/>
      <c r="Q65" s="1808"/>
      <c r="R65" s="1808"/>
      <c r="S65" s="2091"/>
      <c r="T65" s="1813"/>
      <c r="U65" s="1813"/>
      <c r="V65" s="2091"/>
      <c r="W65" s="1813"/>
      <c r="X65" s="1813"/>
      <c r="Y65" s="1813"/>
      <c r="Z65" s="2099"/>
      <c r="AA65" s="1808"/>
      <c r="AB65" s="1809"/>
      <c r="AC65" s="2081"/>
      <c r="AD65" s="1813"/>
      <c r="AE65" s="1813"/>
      <c r="AF65" s="1813"/>
      <c r="AG65" s="158"/>
      <c r="AH65" s="157"/>
      <c r="AI65" s="2090"/>
      <c r="AJ65" s="1813"/>
      <c r="AK65" s="2091"/>
      <c r="AL65" s="1813"/>
      <c r="AM65" s="1813"/>
      <c r="AN65" s="2088"/>
      <c r="AO65" s="1808"/>
      <c r="AP65" s="1808"/>
      <c r="AQ65" s="1808"/>
      <c r="AR65" s="1808"/>
      <c r="AS65" s="1808"/>
      <c r="AT65" s="1940"/>
      <c r="AU65" s="151"/>
      <c r="AV65" s="151"/>
      <c r="AW65" s="151"/>
      <c r="AX65" s="151"/>
      <c r="AY65" s="109"/>
      <c r="AZ65" s="109"/>
      <c r="BA65" s="109"/>
      <c r="BB65" s="156"/>
      <c r="BC65" s="156"/>
      <c r="BD65" s="108"/>
      <c r="BE65" s="108"/>
      <c r="BF65" s="108"/>
      <c r="BG65" s="108"/>
      <c r="BH65" s="108"/>
      <c r="BI65" s="108"/>
      <c r="BJ65" s="108"/>
      <c r="BK65" s="108"/>
      <c r="BL65" s="108"/>
      <c r="BM65" s="108"/>
      <c r="BN65" s="108"/>
      <c r="BO65" s="108"/>
      <c r="BP65" s="108"/>
      <c r="BQ65" s="108"/>
    </row>
    <row r="66" spans="1:77">
      <c r="A66" s="109"/>
      <c r="B66" s="160"/>
      <c r="C66" s="159"/>
      <c r="D66" s="1868"/>
      <c r="E66" s="1808"/>
      <c r="F66" s="1808"/>
      <c r="G66" s="1808"/>
      <c r="H66" s="1808"/>
      <c r="I66" s="1808"/>
      <c r="J66" s="1808"/>
      <c r="K66" s="1808"/>
      <c r="L66" s="1808"/>
      <c r="M66" s="1838"/>
      <c r="N66" s="1808"/>
      <c r="O66" s="1808"/>
      <c r="P66" s="1838"/>
      <c r="Q66" s="1808"/>
      <c r="R66" s="1808"/>
      <c r="S66" s="2091"/>
      <c r="T66" s="1813"/>
      <c r="U66" s="1813"/>
      <c r="V66" s="2091"/>
      <c r="W66" s="1813"/>
      <c r="X66" s="1813"/>
      <c r="Y66" s="1813"/>
      <c r="Z66" s="2099"/>
      <c r="AA66" s="1808"/>
      <c r="AB66" s="1809"/>
      <c r="AC66" s="2081"/>
      <c r="AD66" s="1813"/>
      <c r="AE66" s="1813"/>
      <c r="AF66" s="1813"/>
      <c r="AG66" s="158"/>
      <c r="AH66" s="157"/>
      <c r="AI66" s="2090"/>
      <c r="AJ66" s="1813"/>
      <c r="AK66" s="2091"/>
      <c r="AL66" s="1813"/>
      <c r="AM66" s="1813"/>
      <c r="AN66" s="2088"/>
      <c r="AO66" s="1808"/>
      <c r="AP66" s="1808"/>
      <c r="AQ66" s="1808"/>
      <c r="AR66" s="1808"/>
      <c r="AS66" s="1808"/>
      <c r="AT66" s="1940"/>
      <c r="AU66" s="151"/>
      <c r="AV66" s="151"/>
      <c r="AW66" s="151"/>
      <c r="AX66" s="151"/>
      <c r="AY66" s="109"/>
      <c r="AZ66" s="109"/>
      <c r="BA66" s="109"/>
      <c r="BB66" s="156"/>
      <c r="BC66" s="156"/>
      <c r="BD66" s="108"/>
      <c r="BE66" s="108"/>
      <c r="BF66" s="108"/>
      <c r="BG66" s="108"/>
      <c r="BH66" s="108"/>
      <c r="BI66" s="108"/>
      <c r="BJ66" s="108"/>
      <c r="BK66" s="108"/>
      <c r="BL66" s="108"/>
      <c r="BM66" s="108"/>
      <c r="BN66" s="108"/>
      <c r="BO66" s="108"/>
      <c r="BP66" s="108"/>
      <c r="BQ66" s="108"/>
    </row>
    <row r="67" spans="1:77">
      <c r="A67" s="109"/>
      <c r="B67" s="160"/>
      <c r="C67" s="159"/>
      <c r="D67" s="1868"/>
      <c r="E67" s="1808"/>
      <c r="F67" s="1808"/>
      <c r="G67" s="1808"/>
      <c r="H67" s="1808"/>
      <c r="I67" s="1808"/>
      <c r="J67" s="1808"/>
      <c r="K67" s="1808"/>
      <c r="L67" s="1808"/>
      <c r="M67" s="1838"/>
      <c r="N67" s="1808"/>
      <c r="O67" s="1808"/>
      <c r="P67" s="1838"/>
      <c r="Q67" s="1808"/>
      <c r="R67" s="1808"/>
      <c r="S67" s="2091"/>
      <c r="T67" s="1813"/>
      <c r="U67" s="1813"/>
      <c r="V67" s="2091"/>
      <c r="W67" s="1813"/>
      <c r="X67" s="1813"/>
      <c r="Y67" s="1813"/>
      <c r="Z67" s="2099"/>
      <c r="AA67" s="1808"/>
      <c r="AB67" s="1809"/>
      <c r="AC67" s="2081"/>
      <c r="AD67" s="1813"/>
      <c r="AE67" s="1813"/>
      <c r="AF67" s="1813"/>
      <c r="AG67" s="158"/>
      <c r="AH67" s="157"/>
      <c r="AI67" s="2090"/>
      <c r="AJ67" s="1813"/>
      <c r="AK67" s="2091"/>
      <c r="AL67" s="1813"/>
      <c r="AM67" s="1813"/>
      <c r="AN67" s="2088"/>
      <c r="AO67" s="1808"/>
      <c r="AP67" s="1808"/>
      <c r="AQ67" s="1808"/>
      <c r="AR67" s="1808"/>
      <c r="AS67" s="1808"/>
      <c r="AT67" s="1940"/>
      <c r="AU67" s="151"/>
      <c r="AV67" s="151"/>
      <c r="AW67" s="151"/>
      <c r="AX67" s="151"/>
      <c r="AY67" s="109"/>
      <c r="AZ67" s="109"/>
      <c r="BA67" s="109"/>
      <c r="BB67" s="156"/>
      <c r="BC67" s="156"/>
      <c r="BD67" s="108"/>
      <c r="BE67" s="108"/>
      <c r="BF67" s="108"/>
      <c r="BG67" s="108"/>
      <c r="BH67" s="108"/>
      <c r="BI67" s="108"/>
      <c r="BJ67" s="108"/>
      <c r="BK67" s="108"/>
      <c r="BL67" s="108"/>
      <c r="BM67" s="108"/>
      <c r="BN67" s="108"/>
      <c r="BO67" s="108"/>
      <c r="BP67" s="108"/>
      <c r="BQ67" s="108"/>
    </row>
    <row r="68" spans="1:77" ht="16.5" thickBot="1">
      <c r="A68" s="109"/>
      <c r="B68" s="155"/>
      <c r="C68" s="154"/>
      <c r="D68" s="1859"/>
      <c r="E68" s="1853"/>
      <c r="F68" s="1853"/>
      <c r="G68" s="1853"/>
      <c r="H68" s="1853"/>
      <c r="I68" s="1853"/>
      <c r="J68" s="1853"/>
      <c r="K68" s="1853"/>
      <c r="L68" s="1853"/>
      <c r="M68" s="1881"/>
      <c r="N68" s="1853"/>
      <c r="O68" s="1853"/>
      <c r="P68" s="1881"/>
      <c r="Q68" s="1853"/>
      <c r="R68" s="1853"/>
      <c r="S68" s="2000"/>
      <c r="T68" s="1804"/>
      <c r="U68" s="1804"/>
      <c r="V68" s="2000"/>
      <c r="W68" s="1804"/>
      <c r="X68" s="1804"/>
      <c r="Y68" s="1804"/>
      <c r="Z68" s="1963"/>
      <c r="AA68" s="1853"/>
      <c r="AB68" s="1854"/>
      <c r="AC68" s="2143"/>
      <c r="AD68" s="1804"/>
      <c r="AE68" s="1804"/>
      <c r="AF68" s="1804"/>
      <c r="AG68" s="153"/>
      <c r="AH68" s="152"/>
      <c r="AI68" s="2124"/>
      <c r="AJ68" s="1804"/>
      <c r="AK68" s="2000"/>
      <c r="AL68" s="1804"/>
      <c r="AM68" s="1804"/>
      <c r="AN68" s="2134"/>
      <c r="AO68" s="1853"/>
      <c r="AP68" s="1853"/>
      <c r="AQ68" s="1853"/>
      <c r="AR68" s="1853"/>
      <c r="AS68" s="1853"/>
      <c r="AT68" s="1876"/>
      <c r="AU68" s="151"/>
      <c r="AV68" s="151"/>
      <c r="AW68" s="151"/>
      <c r="AX68" s="151"/>
      <c r="AY68" s="109"/>
      <c r="AZ68" s="109"/>
      <c r="BA68" s="109"/>
      <c r="BB68" s="109"/>
      <c r="BC68" s="109"/>
      <c r="BD68" s="108"/>
      <c r="BE68" s="108"/>
      <c r="BF68" s="108"/>
      <c r="BG68" s="108"/>
      <c r="BH68" s="108"/>
      <c r="BI68" s="108"/>
      <c r="BJ68" s="108"/>
      <c r="BK68" s="108"/>
      <c r="BL68" s="108"/>
      <c r="BM68" s="108"/>
      <c r="BN68" s="108"/>
      <c r="BO68" s="108"/>
      <c r="BP68" s="108"/>
      <c r="BQ68" s="108"/>
    </row>
    <row r="69" spans="1:77" ht="16.5" thickBot="1">
      <c r="A69" s="109"/>
      <c r="B69" s="145"/>
      <c r="C69" s="145"/>
      <c r="D69" s="145"/>
      <c r="E69" s="145"/>
      <c r="F69" s="145"/>
      <c r="G69" s="145"/>
      <c r="H69" s="145"/>
      <c r="I69" s="150"/>
      <c r="J69" s="150"/>
      <c r="K69" s="149"/>
      <c r="L69" s="149"/>
      <c r="M69" s="149"/>
      <c r="N69" s="146"/>
      <c r="O69" s="147" t="str">
        <f ca="1">IFERROR(__xludf.DUMMYFUNCTION("""COMPUTED_VALUE"""),"NONE")</f>
        <v>NONE</v>
      </c>
      <c r="P69" s="147"/>
      <c r="Q69" s="149"/>
      <c r="R69" s="149"/>
      <c r="S69" s="149"/>
      <c r="T69" s="146"/>
      <c r="U69" s="146"/>
      <c r="V69" s="146"/>
      <c r="W69" s="146"/>
      <c r="X69" s="148"/>
      <c r="Y69" s="148"/>
      <c r="Z69" s="148"/>
      <c r="AA69" s="146"/>
      <c r="AB69" s="147"/>
      <c r="AC69" s="146"/>
      <c r="AD69" s="146"/>
      <c r="AE69" s="147"/>
      <c r="AF69" s="146"/>
      <c r="AG69" s="146"/>
      <c r="AH69" s="146"/>
      <c r="AI69" s="145"/>
      <c r="AJ69" s="145"/>
      <c r="AK69" s="145"/>
      <c r="AL69" s="145"/>
      <c r="AM69" s="145"/>
      <c r="AN69" s="145"/>
      <c r="AO69" s="145"/>
      <c r="AP69" s="145"/>
      <c r="AQ69" s="145"/>
      <c r="AR69" s="145"/>
      <c r="AS69" s="145"/>
      <c r="AT69" s="145"/>
      <c r="AU69" s="109"/>
      <c r="AV69" s="109"/>
      <c r="AW69" s="109"/>
      <c r="AX69" s="109"/>
      <c r="AY69" s="109"/>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row>
    <row r="70" spans="1:77" ht="16.5" thickBot="1">
      <c r="A70" s="109"/>
      <c r="B70" s="1841" t="str">
        <f ca="1">IFERROR(__xludf.DUMMYFUNCTION("""COMPUTED_VALUE"""),"Ammunition")</f>
        <v>Ammunition</v>
      </c>
      <c r="C70" s="1796"/>
      <c r="D70" s="1796"/>
      <c r="E70" s="1796"/>
      <c r="F70" s="1796"/>
      <c r="G70" s="1796"/>
      <c r="H70" s="1799"/>
      <c r="I70" s="1840" t="str">
        <f ca="1">IFERROR(__xludf.DUMMYFUNCTION("""COMPUTED_VALUE"""),"qty")</f>
        <v>qty</v>
      </c>
      <c r="J70" s="1799"/>
      <c r="K70" s="1850" t="str">
        <f ca="1">IFERROR(__xludf.DUMMYFUNCTION("""COMPUTED_VALUE"""),"wgt")</f>
        <v>wgt</v>
      </c>
      <c r="L70" s="1796"/>
      <c r="M70" s="1799"/>
      <c r="N70" s="1970" t="str">
        <f ca="1">IFERROR(__xludf.DUMMYFUNCTION("""COMPUTED_VALUE"""),"Units")</f>
        <v>Units</v>
      </c>
      <c r="O70" s="1796"/>
      <c r="P70" s="1796"/>
      <c r="Q70" s="1796"/>
      <c r="R70" s="1796"/>
      <c r="S70" s="1796"/>
      <c r="T70" s="1796"/>
      <c r="U70" s="1796"/>
      <c r="V70" s="1796"/>
      <c r="W70" s="1796"/>
      <c r="X70" s="1796"/>
      <c r="Y70" s="1796"/>
      <c r="Z70" s="1796"/>
      <c r="AA70" s="1796"/>
      <c r="AB70" s="1796"/>
      <c r="AC70" s="1796"/>
      <c r="AD70" s="1796"/>
      <c r="AE70" s="1796"/>
      <c r="AF70" s="1796"/>
      <c r="AG70" s="1796"/>
      <c r="AH70" s="1796"/>
      <c r="AI70" s="1796"/>
      <c r="AJ70" s="1796"/>
      <c r="AK70" s="1796"/>
      <c r="AL70" s="1796"/>
      <c r="AM70" s="1796"/>
      <c r="AN70" s="1796"/>
      <c r="AO70" s="1796"/>
      <c r="AP70" s="1796"/>
      <c r="AQ70" s="1796"/>
      <c r="AR70" s="1796"/>
      <c r="AS70" s="1796"/>
      <c r="AT70" s="1799"/>
      <c r="AU70" s="109"/>
      <c r="AV70" s="109"/>
      <c r="AW70" s="109"/>
      <c r="AX70" s="109"/>
      <c r="AY70" s="109"/>
      <c r="AZ70" s="109"/>
      <c r="BA70" s="109"/>
      <c r="BB70" s="109"/>
      <c r="BC70" s="109"/>
      <c r="BD70" s="109"/>
      <c r="BE70" s="109"/>
      <c r="BF70" s="109"/>
      <c r="BG70" s="109"/>
      <c r="BH70" s="109"/>
      <c r="BI70" s="109"/>
      <c r="BJ70" s="109"/>
      <c r="BK70" s="109"/>
      <c r="BL70" s="109"/>
      <c r="BM70" s="109"/>
      <c r="BN70" s="109"/>
      <c r="BO70" s="109"/>
      <c r="BP70" s="109"/>
      <c r="BQ70" s="109"/>
      <c r="BR70" s="109"/>
      <c r="BS70" s="109"/>
      <c r="BT70" s="109"/>
      <c r="BU70" s="109"/>
      <c r="BV70" s="109"/>
      <c r="BW70" s="109"/>
      <c r="BX70" s="109"/>
      <c r="BY70" s="109"/>
    </row>
    <row r="71" spans="1:77">
      <c r="A71" s="109"/>
      <c r="B71" s="1842"/>
      <c r="C71" s="1813"/>
      <c r="D71" s="1813"/>
      <c r="E71" s="1813"/>
      <c r="F71" s="1813"/>
      <c r="G71" s="1813"/>
      <c r="H71" s="1817"/>
      <c r="I71" s="1869">
        <f ca="1">IFERROR(__xludf.DUMMYFUNCTION("""COMPUTED_VALUE"""),0)</f>
        <v>0</v>
      </c>
      <c r="J71" s="1817"/>
      <c r="K71" s="1869"/>
      <c r="L71" s="1813"/>
      <c r="M71" s="1817"/>
      <c r="N71" s="144" t="b">
        <f ca="1">IFERROR(__xludf.DUMMYFUNCTION("""COMPUTED_VALUE"""),FALSE)</f>
        <v>0</v>
      </c>
      <c r="O71" s="142" t="b">
        <f ca="1">IFERROR(__xludf.DUMMYFUNCTION("""COMPUTED_VALUE"""),FALSE)</f>
        <v>0</v>
      </c>
      <c r="P71" s="142" t="b">
        <f ca="1">IFERROR(__xludf.DUMMYFUNCTION("""COMPUTED_VALUE"""),FALSE)</f>
        <v>0</v>
      </c>
      <c r="Q71" s="142" t="b">
        <f ca="1">IFERROR(__xludf.DUMMYFUNCTION("""COMPUTED_VALUE"""),FALSE)</f>
        <v>0</v>
      </c>
      <c r="R71" s="142" t="b">
        <f ca="1">IFERROR(__xludf.DUMMYFUNCTION("""COMPUTED_VALUE"""),FALSE)</f>
        <v>0</v>
      </c>
      <c r="S71" s="142" t="b">
        <f ca="1">IFERROR(__xludf.DUMMYFUNCTION("""COMPUTED_VALUE"""),FALSE)</f>
        <v>0</v>
      </c>
      <c r="T71" s="142" t="b">
        <f ca="1">IFERROR(__xludf.DUMMYFUNCTION("""COMPUTED_VALUE"""),FALSE)</f>
        <v>0</v>
      </c>
      <c r="U71" s="142" t="b">
        <f ca="1">IFERROR(__xludf.DUMMYFUNCTION("""COMPUTED_VALUE"""),FALSE)</f>
        <v>0</v>
      </c>
      <c r="V71" s="142" t="b">
        <f ca="1">IFERROR(__xludf.DUMMYFUNCTION("""COMPUTED_VALUE"""),FALSE)</f>
        <v>0</v>
      </c>
      <c r="W71" s="142" t="b">
        <f ca="1">IFERROR(__xludf.DUMMYFUNCTION("""COMPUTED_VALUE"""),FALSE)</f>
        <v>0</v>
      </c>
      <c r="X71" s="142" t="b">
        <f ca="1">IFERROR(__xludf.DUMMYFUNCTION("""COMPUTED_VALUE"""),FALSE)</f>
        <v>0</v>
      </c>
      <c r="Y71" s="142" t="b">
        <f ca="1">IFERROR(__xludf.DUMMYFUNCTION("""COMPUTED_VALUE"""),FALSE)</f>
        <v>0</v>
      </c>
      <c r="Z71" s="142" t="b">
        <f ca="1">IFERROR(__xludf.DUMMYFUNCTION("""COMPUTED_VALUE"""),FALSE)</f>
        <v>0</v>
      </c>
      <c r="AA71" s="142" t="b">
        <f ca="1">IFERROR(__xludf.DUMMYFUNCTION("""COMPUTED_VALUE"""),FALSE)</f>
        <v>0</v>
      </c>
      <c r="AB71" s="142" t="b">
        <f ca="1">IFERROR(__xludf.DUMMYFUNCTION("""COMPUTED_VALUE"""),FALSE)</f>
        <v>0</v>
      </c>
      <c r="AC71" s="142" t="b">
        <f ca="1">IFERROR(__xludf.DUMMYFUNCTION("""COMPUTED_VALUE"""),FALSE)</f>
        <v>0</v>
      </c>
      <c r="AD71" s="142" t="b">
        <f ca="1">IFERROR(__xludf.DUMMYFUNCTION("""COMPUTED_VALUE"""),FALSE)</f>
        <v>0</v>
      </c>
      <c r="AE71" s="142" t="b">
        <f ca="1">IFERROR(__xludf.DUMMYFUNCTION("""COMPUTED_VALUE"""),FALSE)</f>
        <v>0</v>
      </c>
      <c r="AF71" s="142" t="b">
        <f ca="1">IFERROR(__xludf.DUMMYFUNCTION("""COMPUTED_VALUE"""),FALSE)</f>
        <v>0</v>
      </c>
      <c r="AG71" s="143" t="b">
        <f ca="1">IFERROR(__xludf.DUMMYFUNCTION("""COMPUTED_VALUE"""),FALSE)</f>
        <v>0</v>
      </c>
      <c r="AH71" s="142" t="b">
        <f ca="1">IFERROR(__xludf.DUMMYFUNCTION("""COMPUTED_VALUE"""),FALSE)</f>
        <v>0</v>
      </c>
      <c r="AI71" s="142" t="b">
        <f ca="1">IFERROR(__xludf.DUMMYFUNCTION("""COMPUTED_VALUE"""),FALSE)</f>
        <v>0</v>
      </c>
      <c r="AJ71" s="142" t="b">
        <f ca="1">IFERROR(__xludf.DUMMYFUNCTION("""COMPUTED_VALUE"""),FALSE)</f>
        <v>0</v>
      </c>
      <c r="AK71" s="142" t="b">
        <f ca="1">IFERROR(__xludf.DUMMYFUNCTION("""COMPUTED_VALUE"""),FALSE)</f>
        <v>0</v>
      </c>
      <c r="AL71" s="142" t="b">
        <f ca="1">IFERROR(__xludf.DUMMYFUNCTION("""COMPUTED_VALUE"""),FALSE)</f>
        <v>0</v>
      </c>
      <c r="AM71" s="142" t="b">
        <f ca="1">IFERROR(__xludf.DUMMYFUNCTION("""COMPUTED_VALUE"""),FALSE)</f>
        <v>0</v>
      </c>
      <c r="AN71" s="142" t="b">
        <f ca="1">IFERROR(__xludf.DUMMYFUNCTION("""COMPUTED_VALUE"""),FALSE)</f>
        <v>0</v>
      </c>
      <c r="AO71" s="142" t="b">
        <f ca="1">IFERROR(__xludf.DUMMYFUNCTION("""COMPUTED_VALUE"""),FALSE)</f>
        <v>0</v>
      </c>
      <c r="AP71" s="142" t="b">
        <f ca="1">IFERROR(__xludf.DUMMYFUNCTION("""COMPUTED_VALUE"""),FALSE)</f>
        <v>0</v>
      </c>
      <c r="AQ71" s="142" t="b">
        <f ca="1">IFERROR(__xludf.DUMMYFUNCTION("""COMPUTED_VALUE"""),FALSE)</f>
        <v>0</v>
      </c>
      <c r="AR71" s="142" t="b">
        <f ca="1">IFERROR(__xludf.DUMMYFUNCTION("""COMPUTED_VALUE"""),FALSE)</f>
        <v>0</v>
      </c>
      <c r="AS71" s="142" t="b">
        <f ca="1">IFERROR(__xludf.DUMMYFUNCTION("""COMPUTED_VALUE"""),FALSE)</f>
        <v>0</v>
      </c>
      <c r="AT71" s="141" t="b">
        <f ca="1">IFERROR(__xludf.DUMMYFUNCTION("""COMPUTED_VALUE"""),FALSE)</f>
        <v>0</v>
      </c>
      <c r="AU71" s="109"/>
      <c r="AV71" s="109"/>
      <c r="AW71" s="109"/>
      <c r="AX71" s="109"/>
      <c r="AY71" s="109"/>
      <c r="AZ71" s="109"/>
      <c r="BA71" s="109"/>
      <c r="BB71" s="109"/>
      <c r="BC71" s="109"/>
      <c r="BD71" s="109"/>
      <c r="BE71" s="109"/>
      <c r="BF71" s="109"/>
      <c r="BG71" s="109"/>
      <c r="BH71" s="109"/>
      <c r="BI71" s="109"/>
      <c r="BJ71" s="109"/>
      <c r="BK71" s="109"/>
      <c r="BL71" s="109"/>
      <c r="BM71" s="109"/>
      <c r="BN71" s="109"/>
      <c r="BO71" s="109"/>
      <c r="BP71" s="109"/>
      <c r="BQ71" s="109"/>
      <c r="BR71" s="109"/>
      <c r="BS71" s="109"/>
      <c r="BT71" s="109"/>
      <c r="BU71" s="109"/>
      <c r="BV71" s="109"/>
      <c r="BW71" s="109"/>
      <c r="BX71" s="109"/>
      <c r="BY71" s="109"/>
    </row>
    <row r="72" spans="1:77">
      <c r="A72" s="109"/>
      <c r="B72" s="1874"/>
      <c r="C72" s="1808"/>
      <c r="D72" s="1808"/>
      <c r="E72" s="1808"/>
      <c r="F72" s="1808"/>
      <c r="G72" s="1808"/>
      <c r="H72" s="1809"/>
      <c r="I72" s="1869">
        <f ca="1">IFERROR(__xludf.DUMMYFUNCTION("""COMPUTED_VALUE"""),0)</f>
        <v>0</v>
      </c>
      <c r="J72" s="1817"/>
      <c r="K72" s="1870"/>
      <c r="L72" s="1808"/>
      <c r="M72" s="1809"/>
      <c r="N72" s="140" t="b">
        <f ca="1">IFERROR(__xludf.DUMMYFUNCTION("""COMPUTED_VALUE"""),FALSE)</f>
        <v>0</v>
      </c>
      <c r="O72" s="139" t="b">
        <f ca="1">IFERROR(__xludf.DUMMYFUNCTION("""COMPUTED_VALUE"""),FALSE)</f>
        <v>0</v>
      </c>
      <c r="P72" s="139" t="b">
        <f ca="1">IFERROR(__xludf.DUMMYFUNCTION("""COMPUTED_VALUE"""),FALSE)</f>
        <v>0</v>
      </c>
      <c r="Q72" s="139" t="b">
        <f ca="1">IFERROR(__xludf.DUMMYFUNCTION("""COMPUTED_VALUE"""),FALSE)</f>
        <v>0</v>
      </c>
      <c r="R72" s="139" t="b">
        <f ca="1">IFERROR(__xludf.DUMMYFUNCTION("""COMPUTED_VALUE"""),FALSE)</f>
        <v>0</v>
      </c>
      <c r="S72" s="139" t="b">
        <f ca="1">IFERROR(__xludf.DUMMYFUNCTION("""COMPUTED_VALUE"""),FALSE)</f>
        <v>0</v>
      </c>
      <c r="T72" s="139" t="b">
        <f ca="1">IFERROR(__xludf.DUMMYFUNCTION("""COMPUTED_VALUE"""),FALSE)</f>
        <v>0</v>
      </c>
      <c r="U72" s="139" t="b">
        <f ca="1">IFERROR(__xludf.DUMMYFUNCTION("""COMPUTED_VALUE"""),FALSE)</f>
        <v>0</v>
      </c>
      <c r="V72" s="139" t="b">
        <f ca="1">IFERROR(__xludf.DUMMYFUNCTION("""COMPUTED_VALUE"""),FALSE)</f>
        <v>0</v>
      </c>
      <c r="W72" s="139" t="b">
        <f ca="1">IFERROR(__xludf.DUMMYFUNCTION("""COMPUTED_VALUE"""),FALSE)</f>
        <v>0</v>
      </c>
      <c r="X72" s="139" t="b">
        <f ca="1">IFERROR(__xludf.DUMMYFUNCTION("""COMPUTED_VALUE"""),FALSE)</f>
        <v>0</v>
      </c>
      <c r="Y72" s="139" t="b">
        <f ca="1">IFERROR(__xludf.DUMMYFUNCTION("""COMPUTED_VALUE"""),FALSE)</f>
        <v>0</v>
      </c>
      <c r="Z72" s="139" t="b">
        <f ca="1">IFERROR(__xludf.DUMMYFUNCTION("""COMPUTED_VALUE"""),FALSE)</f>
        <v>0</v>
      </c>
      <c r="AA72" s="139" t="b">
        <f ca="1">IFERROR(__xludf.DUMMYFUNCTION("""COMPUTED_VALUE"""),FALSE)</f>
        <v>0</v>
      </c>
      <c r="AB72" s="139" t="b">
        <f ca="1">IFERROR(__xludf.DUMMYFUNCTION("""COMPUTED_VALUE"""),FALSE)</f>
        <v>0</v>
      </c>
      <c r="AC72" s="139" t="b">
        <f ca="1">IFERROR(__xludf.DUMMYFUNCTION("""COMPUTED_VALUE"""),FALSE)</f>
        <v>0</v>
      </c>
      <c r="AD72" s="139" t="b">
        <f ca="1">IFERROR(__xludf.DUMMYFUNCTION("""COMPUTED_VALUE"""),FALSE)</f>
        <v>0</v>
      </c>
      <c r="AE72" s="139" t="b">
        <f ca="1">IFERROR(__xludf.DUMMYFUNCTION("""COMPUTED_VALUE"""),FALSE)</f>
        <v>0</v>
      </c>
      <c r="AF72" s="139" t="b">
        <f ca="1">IFERROR(__xludf.DUMMYFUNCTION("""COMPUTED_VALUE"""),FALSE)</f>
        <v>0</v>
      </c>
      <c r="AG72" s="139" t="b">
        <f ca="1">IFERROR(__xludf.DUMMYFUNCTION("""COMPUTED_VALUE"""),FALSE)</f>
        <v>0</v>
      </c>
      <c r="AH72" s="139" t="b">
        <f ca="1">IFERROR(__xludf.DUMMYFUNCTION("""COMPUTED_VALUE"""),FALSE)</f>
        <v>0</v>
      </c>
      <c r="AI72" s="139" t="b">
        <f ca="1">IFERROR(__xludf.DUMMYFUNCTION("""COMPUTED_VALUE"""),FALSE)</f>
        <v>0</v>
      </c>
      <c r="AJ72" s="139" t="b">
        <f ca="1">IFERROR(__xludf.DUMMYFUNCTION("""COMPUTED_VALUE"""),FALSE)</f>
        <v>0</v>
      </c>
      <c r="AK72" s="139" t="b">
        <f ca="1">IFERROR(__xludf.DUMMYFUNCTION("""COMPUTED_VALUE"""),FALSE)</f>
        <v>0</v>
      </c>
      <c r="AL72" s="139" t="b">
        <f ca="1">IFERROR(__xludf.DUMMYFUNCTION("""COMPUTED_VALUE"""),FALSE)</f>
        <v>0</v>
      </c>
      <c r="AM72" s="139" t="b">
        <f ca="1">IFERROR(__xludf.DUMMYFUNCTION("""COMPUTED_VALUE"""),FALSE)</f>
        <v>0</v>
      </c>
      <c r="AN72" s="139" t="b">
        <f ca="1">IFERROR(__xludf.DUMMYFUNCTION("""COMPUTED_VALUE"""),FALSE)</f>
        <v>0</v>
      </c>
      <c r="AO72" s="139" t="b">
        <f ca="1">IFERROR(__xludf.DUMMYFUNCTION("""COMPUTED_VALUE"""),FALSE)</f>
        <v>0</v>
      </c>
      <c r="AP72" s="139" t="b">
        <f ca="1">IFERROR(__xludf.DUMMYFUNCTION("""COMPUTED_VALUE"""),FALSE)</f>
        <v>0</v>
      </c>
      <c r="AQ72" s="139" t="b">
        <f ca="1">IFERROR(__xludf.DUMMYFUNCTION("""COMPUTED_VALUE"""),FALSE)</f>
        <v>0</v>
      </c>
      <c r="AR72" s="139" t="b">
        <f ca="1">IFERROR(__xludf.DUMMYFUNCTION("""COMPUTED_VALUE"""),FALSE)</f>
        <v>0</v>
      </c>
      <c r="AS72" s="139" t="b">
        <f ca="1">IFERROR(__xludf.DUMMYFUNCTION("""COMPUTED_VALUE"""),FALSE)</f>
        <v>0</v>
      </c>
      <c r="AT72" s="138" t="b">
        <f ca="1">IFERROR(__xludf.DUMMYFUNCTION("""COMPUTED_VALUE"""),FALSE)</f>
        <v>0</v>
      </c>
      <c r="AU72" s="109"/>
      <c r="AV72" s="109"/>
      <c r="AW72" s="109"/>
      <c r="AX72" s="109"/>
      <c r="AY72" s="109"/>
      <c r="AZ72" s="109"/>
      <c r="BA72" s="109"/>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row>
    <row r="73" spans="1:77">
      <c r="A73" s="109"/>
      <c r="B73" s="1874"/>
      <c r="C73" s="1808"/>
      <c r="D73" s="1808"/>
      <c r="E73" s="1808"/>
      <c r="F73" s="1808"/>
      <c r="G73" s="1808"/>
      <c r="H73" s="1809"/>
      <c r="I73" s="1869">
        <f ca="1">IFERROR(__xludf.DUMMYFUNCTION("""COMPUTED_VALUE"""),0)</f>
        <v>0</v>
      </c>
      <c r="J73" s="1817"/>
      <c r="K73" s="1870"/>
      <c r="L73" s="1808"/>
      <c r="M73" s="1809"/>
      <c r="N73" s="140" t="b">
        <f ca="1">IFERROR(__xludf.DUMMYFUNCTION("""COMPUTED_VALUE"""),FALSE)</f>
        <v>0</v>
      </c>
      <c r="O73" s="139" t="b">
        <f ca="1">IFERROR(__xludf.DUMMYFUNCTION("""COMPUTED_VALUE"""),FALSE)</f>
        <v>0</v>
      </c>
      <c r="P73" s="139" t="b">
        <f ca="1">IFERROR(__xludf.DUMMYFUNCTION("""COMPUTED_VALUE"""),FALSE)</f>
        <v>0</v>
      </c>
      <c r="Q73" s="139" t="b">
        <f ca="1">IFERROR(__xludf.DUMMYFUNCTION("""COMPUTED_VALUE"""),FALSE)</f>
        <v>0</v>
      </c>
      <c r="R73" s="139" t="b">
        <f ca="1">IFERROR(__xludf.DUMMYFUNCTION("""COMPUTED_VALUE"""),FALSE)</f>
        <v>0</v>
      </c>
      <c r="S73" s="139" t="b">
        <f ca="1">IFERROR(__xludf.DUMMYFUNCTION("""COMPUTED_VALUE"""),FALSE)</f>
        <v>0</v>
      </c>
      <c r="T73" s="139" t="b">
        <f ca="1">IFERROR(__xludf.DUMMYFUNCTION("""COMPUTED_VALUE"""),FALSE)</f>
        <v>0</v>
      </c>
      <c r="U73" s="139" t="b">
        <f ca="1">IFERROR(__xludf.DUMMYFUNCTION("""COMPUTED_VALUE"""),FALSE)</f>
        <v>0</v>
      </c>
      <c r="V73" s="139" t="b">
        <f ca="1">IFERROR(__xludf.DUMMYFUNCTION("""COMPUTED_VALUE"""),FALSE)</f>
        <v>0</v>
      </c>
      <c r="W73" s="139" t="b">
        <f ca="1">IFERROR(__xludf.DUMMYFUNCTION("""COMPUTED_VALUE"""),FALSE)</f>
        <v>0</v>
      </c>
      <c r="X73" s="139" t="b">
        <f ca="1">IFERROR(__xludf.DUMMYFUNCTION("""COMPUTED_VALUE"""),FALSE)</f>
        <v>0</v>
      </c>
      <c r="Y73" s="139" t="b">
        <f ca="1">IFERROR(__xludf.DUMMYFUNCTION("""COMPUTED_VALUE"""),FALSE)</f>
        <v>0</v>
      </c>
      <c r="Z73" s="139" t="b">
        <f ca="1">IFERROR(__xludf.DUMMYFUNCTION("""COMPUTED_VALUE"""),FALSE)</f>
        <v>0</v>
      </c>
      <c r="AA73" s="139" t="b">
        <f ca="1">IFERROR(__xludf.DUMMYFUNCTION("""COMPUTED_VALUE"""),FALSE)</f>
        <v>0</v>
      </c>
      <c r="AB73" s="139" t="b">
        <f ca="1">IFERROR(__xludf.DUMMYFUNCTION("""COMPUTED_VALUE"""),FALSE)</f>
        <v>0</v>
      </c>
      <c r="AC73" s="139" t="b">
        <f ca="1">IFERROR(__xludf.DUMMYFUNCTION("""COMPUTED_VALUE"""),FALSE)</f>
        <v>0</v>
      </c>
      <c r="AD73" s="139" t="b">
        <f ca="1">IFERROR(__xludf.DUMMYFUNCTION("""COMPUTED_VALUE"""),FALSE)</f>
        <v>0</v>
      </c>
      <c r="AE73" s="139" t="b">
        <f ca="1">IFERROR(__xludf.DUMMYFUNCTION("""COMPUTED_VALUE"""),FALSE)</f>
        <v>0</v>
      </c>
      <c r="AF73" s="139" t="b">
        <f ca="1">IFERROR(__xludf.DUMMYFUNCTION("""COMPUTED_VALUE"""),FALSE)</f>
        <v>0</v>
      </c>
      <c r="AG73" s="139" t="b">
        <f ca="1">IFERROR(__xludf.DUMMYFUNCTION("""COMPUTED_VALUE"""),FALSE)</f>
        <v>0</v>
      </c>
      <c r="AH73" s="139" t="b">
        <f ca="1">IFERROR(__xludf.DUMMYFUNCTION("""COMPUTED_VALUE"""),FALSE)</f>
        <v>0</v>
      </c>
      <c r="AI73" s="139" t="b">
        <f ca="1">IFERROR(__xludf.DUMMYFUNCTION("""COMPUTED_VALUE"""),FALSE)</f>
        <v>0</v>
      </c>
      <c r="AJ73" s="139" t="b">
        <f ca="1">IFERROR(__xludf.DUMMYFUNCTION("""COMPUTED_VALUE"""),FALSE)</f>
        <v>0</v>
      </c>
      <c r="AK73" s="139" t="b">
        <f ca="1">IFERROR(__xludf.DUMMYFUNCTION("""COMPUTED_VALUE"""),FALSE)</f>
        <v>0</v>
      </c>
      <c r="AL73" s="139" t="b">
        <f ca="1">IFERROR(__xludf.DUMMYFUNCTION("""COMPUTED_VALUE"""),FALSE)</f>
        <v>0</v>
      </c>
      <c r="AM73" s="139" t="b">
        <f ca="1">IFERROR(__xludf.DUMMYFUNCTION("""COMPUTED_VALUE"""),FALSE)</f>
        <v>0</v>
      </c>
      <c r="AN73" s="139" t="b">
        <f ca="1">IFERROR(__xludf.DUMMYFUNCTION("""COMPUTED_VALUE"""),FALSE)</f>
        <v>0</v>
      </c>
      <c r="AO73" s="139" t="b">
        <f ca="1">IFERROR(__xludf.DUMMYFUNCTION("""COMPUTED_VALUE"""),FALSE)</f>
        <v>0</v>
      </c>
      <c r="AP73" s="139" t="b">
        <f ca="1">IFERROR(__xludf.DUMMYFUNCTION("""COMPUTED_VALUE"""),FALSE)</f>
        <v>0</v>
      </c>
      <c r="AQ73" s="139" t="b">
        <f ca="1">IFERROR(__xludf.DUMMYFUNCTION("""COMPUTED_VALUE"""),FALSE)</f>
        <v>0</v>
      </c>
      <c r="AR73" s="139" t="b">
        <f ca="1">IFERROR(__xludf.DUMMYFUNCTION("""COMPUTED_VALUE"""),FALSE)</f>
        <v>0</v>
      </c>
      <c r="AS73" s="139" t="b">
        <f ca="1">IFERROR(__xludf.DUMMYFUNCTION("""COMPUTED_VALUE"""),FALSE)</f>
        <v>0</v>
      </c>
      <c r="AT73" s="138" t="b">
        <f ca="1">IFERROR(__xludf.DUMMYFUNCTION("""COMPUTED_VALUE"""),FALSE)</f>
        <v>0</v>
      </c>
      <c r="AU73" s="109"/>
      <c r="AV73" s="109"/>
      <c r="AW73" s="109"/>
      <c r="AX73" s="109"/>
      <c r="AY73" s="109"/>
      <c r="AZ73" s="109"/>
      <c r="BA73" s="109"/>
      <c r="BB73" s="108"/>
      <c r="BC73" s="109"/>
      <c r="BD73" s="109"/>
      <c r="BE73" s="109"/>
      <c r="BF73" s="109"/>
      <c r="BG73" s="109"/>
      <c r="BH73" s="109"/>
      <c r="BI73" s="109"/>
      <c r="BJ73" s="109"/>
      <c r="BK73" s="109"/>
      <c r="BL73" s="109"/>
      <c r="BM73" s="109"/>
      <c r="BN73" s="109"/>
      <c r="BO73" s="109"/>
      <c r="BP73" s="109"/>
      <c r="BQ73" s="109"/>
      <c r="BR73" s="109"/>
      <c r="BS73" s="109"/>
      <c r="BT73" s="109"/>
      <c r="BU73" s="109"/>
      <c r="BV73" s="109"/>
      <c r="BW73" s="109"/>
      <c r="BX73" s="109"/>
      <c r="BY73" s="109"/>
    </row>
    <row r="74" spans="1:77" ht="16.5" thickBot="1">
      <c r="A74" s="109"/>
      <c r="B74" s="1852"/>
      <c r="C74" s="1853"/>
      <c r="D74" s="1853"/>
      <c r="E74" s="1853"/>
      <c r="F74" s="1853"/>
      <c r="G74" s="1853"/>
      <c r="H74" s="1854"/>
      <c r="I74" s="1862">
        <f ca="1">IFERROR(__xludf.DUMMYFUNCTION("""COMPUTED_VALUE"""),0)</f>
        <v>0</v>
      </c>
      <c r="J74" s="1857"/>
      <c r="K74" s="1863"/>
      <c r="L74" s="1853"/>
      <c r="M74" s="1854"/>
      <c r="N74" s="137" t="b">
        <f ca="1">IFERROR(__xludf.DUMMYFUNCTION("""COMPUTED_VALUE"""),FALSE)</f>
        <v>0</v>
      </c>
      <c r="O74" s="136" t="b">
        <f ca="1">IFERROR(__xludf.DUMMYFUNCTION("""COMPUTED_VALUE"""),FALSE)</f>
        <v>0</v>
      </c>
      <c r="P74" s="136" t="b">
        <f ca="1">IFERROR(__xludf.DUMMYFUNCTION("""COMPUTED_VALUE"""),FALSE)</f>
        <v>0</v>
      </c>
      <c r="Q74" s="136" t="b">
        <f ca="1">IFERROR(__xludf.DUMMYFUNCTION("""COMPUTED_VALUE"""),FALSE)</f>
        <v>0</v>
      </c>
      <c r="R74" s="136" t="b">
        <f ca="1">IFERROR(__xludf.DUMMYFUNCTION("""COMPUTED_VALUE"""),FALSE)</f>
        <v>0</v>
      </c>
      <c r="S74" s="136" t="b">
        <f ca="1">IFERROR(__xludf.DUMMYFUNCTION("""COMPUTED_VALUE"""),FALSE)</f>
        <v>0</v>
      </c>
      <c r="T74" s="136" t="b">
        <f ca="1">IFERROR(__xludf.DUMMYFUNCTION("""COMPUTED_VALUE"""),FALSE)</f>
        <v>0</v>
      </c>
      <c r="U74" s="136" t="b">
        <f ca="1">IFERROR(__xludf.DUMMYFUNCTION("""COMPUTED_VALUE"""),FALSE)</f>
        <v>0</v>
      </c>
      <c r="V74" s="136" t="b">
        <f ca="1">IFERROR(__xludf.DUMMYFUNCTION("""COMPUTED_VALUE"""),FALSE)</f>
        <v>0</v>
      </c>
      <c r="W74" s="136" t="b">
        <f ca="1">IFERROR(__xludf.DUMMYFUNCTION("""COMPUTED_VALUE"""),FALSE)</f>
        <v>0</v>
      </c>
      <c r="X74" s="136" t="b">
        <f ca="1">IFERROR(__xludf.DUMMYFUNCTION("""COMPUTED_VALUE"""),FALSE)</f>
        <v>0</v>
      </c>
      <c r="Y74" s="136" t="b">
        <f ca="1">IFERROR(__xludf.DUMMYFUNCTION("""COMPUTED_VALUE"""),FALSE)</f>
        <v>0</v>
      </c>
      <c r="Z74" s="136" t="b">
        <f ca="1">IFERROR(__xludf.DUMMYFUNCTION("""COMPUTED_VALUE"""),FALSE)</f>
        <v>0</v>
      </c>
      <c r="AA74" s="136" t="b">
        <f ca="1">IFERROR(__xludf.DUMMYFUNCTION("""COMPUTED_VALUE"""),FALSE)</f>
        <v>0</v>
      </c>
      <c r="AB74" s="136" t="b">
        <f ca="1">IFERROR(__xludf.DUMMYFUNCTION("""COMPUTED_VALUE"""),FALSE)</f>
        <v>0</v>
      </c>
      <c r="AC74" s="136" t="b">
        <f ca="1">IFERROR(__xludf.DUMMYFUNCTION("""COMPUTED_VALUE"""),FALSE)</f>
        <v>0</v>
      </c>
      <c r="AD74" s="136" t="b">
        <f ca="1">IFERROR(__xludf.DUMMYFUNCTION("""COMPUTED_VALUE"""),FALSE)</f>
        <v>0</v>
      </c>
      <c r="AE74" s="136" t="b">
        <f ca="1">IFERROR(__xludf.DUMMYFUNCTION("""COMPUTED_VALUE"""),FALSE)</f>
        <v>0</v>
      </c>
      <c r="AF74" s="136" t="b">
        <f ca="1">IFERROR(__xludf.DUMMYFUNCTION("""COMPUTED_VALUE"""),FALSE)</f>
        <v>0</v>
      </c>
      <c r="AG74" s="136" t="b">
        <f ca="1">IFERROR(__xludf.DUMMYFUNCTION("""COMPUTED_VALUE"""),FALSE)</f>
        <v>0</v>
      </c>
      <c r="AH74" s="136" t="b">
        <f ca="1">IFERROR(__xludf.DUMMYFUNCTION("""COMPUTED_VALUE"""),FALSE)</f>
        <v>0</v>
      </c>
      <c r="AI74" s="136" t="b">
        <f ca="1">IFERROR(__xludf.DUMMYFUNCTION("""COMPUTED_VALUE"""),FALSE)</f>
        <v>0</v>
      </c>
      <c r="AJ74" s="136" t="b">
        <f ca="1">IFERROR(__xludf.DUMMYFUNCTION("""COMPUTED_VALUE"""),FALSE)</f>
        <v>0</v>
      </c>
      <c r="AK74" s="136" t="b">
        <f ca="1">IFERROR(__xludf.DUMMYFUNCTION("""COMPUTED_VALUE"""),FALSE)</f>
        <v>0</v>
      </c>
      <c r="AL74" s="136" t="b">
        <f ca="1">IFERROR(__xludf.DUMMYFUNCTION("""COMPUTED_VALUE"""),FALSE)</f>
        <v>0</v>
      </c>
      <c r="AM74" s="136" t="b">
        <f ca="1">IFERROR(__xludf.DUMMYFUNCTION("""COMPUTED_VALUE"""),FALSE)</f>
        <v>0</v>
      </c>
      <c r="AN74" s="136" t="b">
        <f ca="1">IFERROR(__xludf.DUMMYFUNCTION("""COMPUTED_VALUE"""),FALSE)</f>
        <v>0</v>
      </c>
      <c r="AO74" s="136" t="b">
        <f ca="1">IFERROR(__xludf.DUMMYFUNCTION("""COMPUTED_VALUE"""),FALSE)</f>
        <v>0</v>
      </c>
      <c r="AP74" s="136" t="b">
        <f ca="1">IFERROR(__xludf.DUMMYFUNCTION("""COMPUTED_VALUE"""),FALSE)</f>
        <v>0</v>
      </c>
      <c r="AQ74" s="136" t="b">
        <f ca="1">IFERROR(__xludf.DUMMYFUNCTION("""COMPUTED_VALUE"""),FALSE)</f>
        <v>0</v>
      </c>
      <c r="AR74" s="136" t="b">
        <f ca="1">IFERROR(__xludf.DUMMYFUNCTION("""COMPUTED_VALUE"""),FALSE)</f>
        <v>0</v>
      </c>
      <c r="AS74" s="136" t="b">
        <f ca="1">IFERROR(__xludf.DUMMYFUNCTION("""COMPUTED_VALUE"""),FALSE)</f>
        <v>0</v>
      </c>
      <c r="AT74" s="135" t="b">
        <f ca="1">IFERROR(__xludf.DUMMYFUNCTION("""COMPUTED_VALUE"""),FALSE)</f>
        <v>0</v>
      </c>
      <c r="AU74" s="109"/>
      <c r="AV74" s="109"/>
      <c r="AW74" s="109"/>
      <c r="AX74" s="109"/>
      <c r="AY74" s="109"/>
      <c r="AZ74" s="109"/>
      <c r="BA74" s="109"/>
      <c r="BB74" s="108"/>
      <c r="BC74" s="109"/>
      <c r="BD74" s="109"/>
      <c r="BE74" s="109"/>
      <c r="BF74" s="109"/>
      <c r="BG74" s="109"/>
      <c r="BH74" s="109"/>
      <c r="BI74" s="109"/>
      <c r="BJ74" s="109"/>
      <c r="BK74" s="109"/>
      <c r="BL74" s="109"/>
      <c r="BM74" s="109"/>
      <c r="BN74" s="109"/>
      <c r="BO74" s="109"/>
      <c r="BP74" s="109"/>
      <c r="BQ74" s="109"/>
      <c r="BR74" s="109"/>
      <c r="BS74" s="109"/>
      <c r="BT74" s="109"/>
      <c r="BU74" s="109"/>
      <c r="BV74" s="109"/>
      <c r="BW74" s="109"/>
      <c r="BX74" s="109"/>
      <c r="BY74" s="109"/>
    </row>
    <row r="75" spans="1:77" ht="16.5" thickBot="1">
      <c r="A75" s="109"/>
      <c r="B75" s="109"/>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09"/>
      <c r="BO75" s="109"/>
      <c r="BP75" s="109"/>
      <c r="BQ75" s="109"/>
      <c r="BR75" s="109"/>
      <c r="BS75" s="109"/>
      <c r="BT75" s="109"/>
      <c r="BU75" s="109"/>
      <c r="BV75" s="109"/>
      <c r="BW75" s="109"/>
      <c r="BX75" s="109"/>
      <c r="BY75" s="109"/>
    </row>
    <row r="76" spans="1:77">
      <c r="A76" s="109"/>
      <c r="B76" s="1834" t="str">
        <f ca="1">IFERROR(__xludf.DUMMYFUNCTION("""COMPUTED_VALUE"""),"Magic Use")</f>
        <v>Magic Use</v>
      </c>
      <c r="C76" s="1864" t="str">
        <f ca="1">IFERROR(__xludf.DUMMYFUNCTION("""COMPUTED_VALUE"""),"Spellcasting Class")</f>
        <v>Spellcasting Class</v>
      </c>
      <c r="D76" s="1801"/>
      <c r="E76" s="1801"/>
      <c r="F76" s="1801"/>
      <c r="G76" s="1801"/>
      <c r="H76" s="1802"/>
      <c r="I76" s="1998" t="str">
        <f ca="1">IFERROR(__xludf.DUMMYFUNCTION("""COMPUTED_VALUE"""),"Magic Ability")</f>
        <v>Magic Ability</v>
      </c>
      <c r="J76" s="1801"/>
      <c r="K76" s="1801"/>
      <c r="L76" s="1802"/>
      <c r="M76" s="1997" t="str">
        <f ca="1">IFERROR(__xludf.DUMMYFUNCTION("""COMPUTED_VALUE"""),"Spell Attack")</f>
        <v>Spell Attack</v>
      </c>
      <c r="N76" s="1801"/>
      <c r="O76" s="1801"/>
      <c r="P76" s="1802"/>
      <c r="Q76" s="1998" t="str">
        <f ca="1">IFERROR(__xludf.DUMMYFUNCTION("""COMPUTED_VALUE"""),"Spell Save DC")</f>
        <v>Spell Save DC</v>
      </c>
      <c r="R76" s="1801"/>
      <c r="S76" s="1801"/>
      <c r="T76" s="1802"/>
      <c r="U76" s="2123" t="str">
        <f ca="1">IFERROR(__xludf.DUMMYFUNCTION("""COMPUTED_VALUE"""),"Casting Level")</f>
        <v>Casting Level</v>
      </c>
      <c r="V76" s="1801"/>
      <c r="W76" s="1801"/>
      <c r="X76" s="1802"/>
      <c r="Y76" s="1998" t="str">
        <f ca="1">IFERROR(__xludf.DUMMYFUNCTION("""COMPUTED_VALUE"""),"Cantrips Known")</f>
        <v>Cantrips Known</v>
      </c>
      <c r="Z76" s="1801"/>
      <c r="AA76" s="1801"/>
      <c r="AB76" s="1802"/>
      <c r="AC76" s="2123" t="str">
        <f ca="1">IFERROR(__xludf.DUMMYFUNCTION("""COMPUTED_VALUE"""),"Spells Known")</f>
        <v>Spells Known</v>
      </c>
      <c r="AD76" s="1801"/>
      <c r="AE76" s="1801"/>
      <c r="AF76" s="1802"/>
      <c r="AG76" s="1998" t="str">
        <f ca="1">IFERROR(__xludf.DUMMYFUNCTION("""COMPUTED_VALUE"""),"Spells Prepared")</f>
        <v>Spells Prepared</v>
      </c>
      <c r="AH76" s="1801"/>
      <c r="AI76" s="1801"/>
      <c r="AJ76" s="1802"/>
      <c r="AK76" s="109"/>
      <c r="AL76" s="134"/>
      <c r="AM76" s="133"/>
      <c r="AN76" s="133"/>
      <c r="AO76" s="133"/>
      <c r="AP76" s="133"/>
      <c r="AQ76" s="133"/>
      <c r="AR76" s="133"/>
      <c r="AS76" s="133"/>
      <c r="AT76" s="132"/>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row>
    <row r="77" spans="1:77" ht="16.5" thickBot="1">
      <c r="A77" s="109"/>
      <c r="B77" s="1832"/>
      <c r="C77" s="1804"/>
      <c r="D77" s="1804"/>
      <c r="E77" s="1804"/>
      <c r="F77" s="1804"/>
      <c r="G77" s="1804"/>
      <c r="H77" s="1805"/>
      <c r="I77" s="1803"/>
      <c r="J77" s="1804"/>
      <c r="K77" s="1804"/>
      <c r="L77" s="1805"/>
      <c r="M77" s="2141" t="str">
        <f ca="1">IFERROR(__xludf.DUMMYFUNCTION("""COMPUTED_VALUE"""),"Bonus")</f>
        <v>Bonus</v>
      </c>
      <c r="N77" s="1804"/>
      <c r="O77" s="1804"/>
      <c r="P77" s="1805"/>
      <c r="Q77" s="1803"/>
      <c r="R77" s="1804"/>
      <c r="S77" s="1804"/>
      <c r="T77" s="1805"/>
      <c r="U77" s="1803"/>
      <c r="V77" s="1804"/>
      <c r="W77" s="1804"/>
      <c r="X77" s="1805"/>
      <c r="Y77" s="1803"/>
      <c r="Z77" s="1804"/>
      <c r="AA77" s="1804"/>
      <c r="AB77" s="1805"/>
      <c r="AC77" s="1803"/>
      <c r="AD77" s="1804"/>
      <c r="AE77" s="1804"/>
      <c r="AF77" s="1805"/>
      <c r="AG77" s="1803"/>
      <c r="AH77" s="1804"/>
      <c r="AI77" s="1804"/>
      <c r="AJ77" s="1805"/>
      <c r="AK77" s="109"/>
      <c r="AL77" s="131"/>
      <c r="AM77" s="130"/>
      <c r="AN77" s="130"/>
      <c r="AO77" s="130"/>
      <c r="AP77" s="130"/>
      <c r="AQ77" s="130"/>
      <c r="AR77" s="130"/>
      <c r="AS77" s="130"/>
      <c r="AT77" s="129"/>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row>
    <row r="78" spans="1:77" ht="16.5" thickBot="1">
      <c r="A78" s="109"/>
      <c r="B78" s="1832"/>
      <c r="C78" s="1999"/>
      <c r="D78" s="1796"/>
      <c r="E78" s="1796"/>
      <c r="F78" s="1796"/>
      <c r="G78" s="1796"/>
      <c r="H78" s="1797"/>
      <c r="I78" s="1860"/>
      <c r="J78" s="1796"/>
      <c r="K78" s="1796"/>
      <c r="L78" s="1797"/>
      <c r="M78" s="1795"/>
      <c r="N78" s="1796"/>
      <c r="O78" s="1796"/>
      <c r="P78" s="1797"/>
      <c r="Q78" s="2122"/>
      <c r="R78" s="1796"/>
      <c r="S78" s="1796"/>
      <c r="T78" s="1797"/>
      <c r="U78" s="2122"/>
      <c r="V78" s="1796"/>
      <c r="W78" s="1796"/>
      <c r="X78" s="1797"/>
      <c r="Y78" s="2122"/>
      <c r="Z78" s="1796"/>
      <c r="AA78" s="1796"/>
      <c r="AB78" s="1797"/>
      <c r="AC78" s="2122"/>
      <c r="AD78" s="1796"/>
      <c r="AE78" s="1796"/>
      <c r="AF78" s="1797"/>
      <c r="AG78" s="2121"/>
      <c r="AH78" s="1796"/>
      <c r="AI78" s="1796"/>
      <c r="AJ78" s="1799"/>
      <c r="AK78" s="109"/>
      <c r="AL78" s="131"/>
      <c r="AM78" s="130"/>
      <c r="AN78" s="130"/>
      <c r="AO78" s="130"/>
      <c r="AP78" s="130"/>
      <c r="AQ78" s="130"/>
      <c r="AR78" s="130"/>
      <c r="AS78" s="130"/>
      <c r="AT78" s="129"/>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row>
    <row r="79" spans="1:77">
      <c r="A79" s="109"/>
      <c r="B79" s="1832"/>
      <c r="C79" s="1819" t="str">
        <f ca="1">IFERROR(__xludf.DUMMYFUNCTION("""COMPUTED_VALUE"""),"Spell Slots")</f>
        <v>Spell Slots</v>
      </c>
      <c r="D79" s="1802"/>
      <c r="E79" s="1800"/>
      <c r="F79" s="1801"/>
      <c r="G79" s="1802"/>
      <c r="H79" s="1800"/>
      <c r="I79" s="1801"/>
      <c r="J79" s="1802"/>
      <c r="K79" s="1800"/>
      <c r="L79" s="1801"/>
      <c r="M79" s="1802"/>
      <c r="N79" s="1800"/>
      <c r="O79" s="1801"/>
      <c r="P79" s="1802"/>
      <c r="Q79" s="1800"/>
      <c r="R79" s="1801"/>
      <c r="S79" s="1802"/>
      <c r="T79" s="1800"/>
      <c r="U79" s="1801"/>
      <c r="V79" s="1802"/>
      <c r="W79" s="1800"/>
      <c r="X79" s="1801"/>
      <c r="Y79" s="1802"/>
      <c r="Z79" s="1800"/>
      <c r="AA79" s="1801"/>
      <c r="AB79" s="1802"/>
      <c r="AC79" s="1800"/>
      <c r="AD79" s="1801"/>
      <c r="AE79" s="1802"/>
      <c r="AF79" s="2145"/>
      <c r="AG79" s="1801"/>
      <c r="AH79" s="1801"/>
      <c r="AI79" s="1801"/>
      <c r="AJ79" s="1802"/>
      <c r="AK79" s="109"/>
      <c r="AL79" s="131"/>
      <c r="AM79" s="130"/>
      <c r="AN79" s="130"/>
      <c r="AO79" s="130"/>
      <c r="AP79" s="130"/>
      <c r="AQ79" s="130"/>
      <c r="AR79" s="130"/>
      <c r="AS79" s="130"/>
      <c r="AT79" s="129"/>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row>
    <row r="80" spans="1:77" ht="16.5" thickBot="1">
      <c r="A80" s="109"/>
      <c r="B80" s="1832"/>
      <c r="C80" s="1820"/>
      <c r="D80" s="1821"/>
      <c r="E80" s="1803"/>
      <c r="F80" s="1804"/>
      <c r="G80" s="1805"/>
      <c r="H80" s="1803"/>
      <c r="I80" s="1804"/>
      <c r="J80" s="1805"/>
      <c r="K80" s="1803"/>
      <c r="L80" s="1804"/>
      <c r="M80" s="1805"/>
      <c r="N80" s="1803"/>
      <c r="O80" s="1804"/>
      <c r="P80" s="1805"/>
      <c r="Q80" s="1803"/>
      <c r="R80" s="1804"/>
      <c r="S80" s="1805"/>
      <c r="T80" s="1803"/>
      <c r="U80" s="1804"/>
      <c r="V80" s="1805"/>
      <c r="W80" s="1803"/>
      <c r="X80" s="1804"/>
      <c r="Y80" s="1805"/>
      <c r="Z80" s="1803"/>
      <c r="AA80" s="1804"/>
      <c r="AB80" s="1805"/>
      <c r="AC80" s="1803"/>
      <c r="AD80" s="1804"/>
      <c r="AE80" s="1805"/>
      <c r="AF80" s="1811"/>
      <c r="AG80" s="1289"/>
      <c r="AH80" s="1289"/>
      <c r="AI80" s="1289"/>
      <c r="AJ80" s="1821"/>
      <c r="AK80" s="109"/>
      <c r="AL80" s="131"/>
      <c r="AM80" s="130"/>
      <c r="AN80" s="130"/>
      <c r="AO80" s="130"/>
      <c r="AP80" s="130"/>
      <c r="AQ80" s="130"/>
      <c r="AR80" s="130"/>
      <c r="AS80" s="130"/>
      <c r="AT80" s="129"/>
      <c r="AU80" s="109"/>
      <c r="AV80" s="109"/>
      <c r="AW80" s="109"/>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row>
    <row r="81" spans="1:77" ht="16.5" thickBot="1">
      <c r="A81" s="109"/>
      <c r="B81" s="1832"/>
      <c r="C81" s="1804"/>
      <c r="D81" s="1805"/>
      <c r="E81" s="1798" t="str">
        <f ca="1">IFERROR(__xludf.DUMMYFUNCTION("""COMPUTED_VALUE"""),"1st")</f>
        <v>1st</v>
      </c>
      <c r="F81" s="1796"/>
      <c r="G81" s="1799"/>
      <c r="H81" s="1806" t="str">
        <f ca="1">IFERROR(__xludf.DUMMYFUNCTION("""COMPUTED_VALUE"""),"2nd")</f>
        <v>2nd</v>
      </c>
      <c r="I81" s="1796"/>
      <c r="J81" s="1799"/>
      <c r="K81" s="1798" t="str">
        <f ca="1">IFERROR(__xludf.DUMMYFUNCTION("""COMPUTED_VALUE"""),"3rd")</f>
        <v>3rd</v>
      </c>
      <c r="L81" s="1796"/>
      <c r="M81" s="1799"/>
      <c r="N81" s="1806" t="str">
        <f ca="1">IFERROR(__xludf.DUMMYFUNCTION("""COMPUTED_VALUE"""),"4th")</f>
        <v>4th</v>
      </c>
      <c r="O81" s="1796"/>
      <c r="P81" s="1799"/>
      <c r="Q81" s="1798" t="str">
        <f ca="1">IFERROR(__xludf.DUMMYFUNCTION("""COMPUTED_VALUE"""),"5th")</f>
        <v>5th</v>
      </c>
      <c r="R81" s="1796"/>
      <c r="S81" s="1799"/>
      <c r="T81" s="1806" t="str">
        <f ca="1">IFERROR(__xludf.DUMMYFUNCTION("""COMPUTED_VALUE"""),"6th")</f>
        <v>6th</v>
      </c>
      <c r="U81" s="1796"/>
      <c r="V81" s="1799"/>
      <c r="W81" s="2136" t="str">
        <f ca="1">IFERROR(__xludf.DUMMYFUNCTION("""COMPUTED_VALUE"""),"7th")</f>
        <v>7th</v>
      </c>
      <c r="X81" s="1796"/>
      <c r="Y81" s="1799"/>
      <c r="Z81" s="1806" t="str">
        <f ca="1">IFERROR(__xludf.DUMMYFUNCTION("""COMPUTED_VALUE"""),"8th")</f>
        <v>8th</v>
      </c>
      <c r="AA81" s="1796"/>
      <c r="AB81" s="1799"/>
      <c r="AC81" s="1798" t="str">
        <f ca="1">IFERROR(__xludf.DUMMYFUNCTION("""COMPUTED_VALUE"""),"9th")</f>
        <v>9th</v>
      </c>
      <c r="AD81" s="1796"/>
      <c r="AE81" s="1799"/>
      <c r="AF81" s="1811"/>
      <c r="AG81" s="1289"/>
      <c r="AH81" s="1289"/>
      <c r="AI81" s="1289"/>
      <c r="AJ81" s="1821"/>
      <c r="AK81" s="109"/>
      <c r="AL81" s="131"/>
      <c r="AM81" s="130"/>
      <c r="AN81" s="130"/>
      <c r="AO81" s="130"/>
      <c r="AP81" s="130"/>
      <c r="AQ81" s="130"/>
      <c r="AR81" s="130"/>
      <c r="AS81" s="130"/>
      <c r="AT81" s="129"/>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row>
    <row r="82" spans="1:77">
      <c r="A82" s="109"/>
      <c r="B82" s="1832"/>
      <c r="C82" s="1884" t="str">
        <f ca="1">IFERROR(__xludf.DUMMYFUNCTION("""COMPUTED_VALUE"""),"Used:")</f>
        <v>Used:</v>
      </c>
      <c r="D82" s="1802"/>
      <c r="E82" s="1865"/>
      <c r="F82" s="1801"/>
      <c r="G82" s="1802"/>
      <c r="H82" s="1865"/>
      <c r="I82" s="1801"/>
      <c r="J82" s="1802"/>
      <c r="K82" s="1865"/>
      <c r="L82" s="1801"/>
      <c r="M82" s="1802"/>
      <c r="N82" s="1865"/>
      <c r="O82" s="1801"/>
      <c r="P82" s="1802"/>
      <c r="Q82" s="1865"/>
      <c r="R82" s="1801"/>
      <c r="S82" s="1802"/>
      <c r="T82" s="2092"/>
      <c r="U82" s="1289"/>
      <c r="V82" s="1821"/>
      <c r="W82" s="1865"/>
      <c r="X82" s="1801"/>
      <c r="Y82" s="1802"/>
      <c r="Z82" s="1865"/>
      <c r="AA82" s="1801"/>
      <c r="AB82" s="1802"/>
      <c r="AC82" s="1865"/>
      <c r="AD82" s="1801"/>
      <c r="AE82" s="1802"/>
      <c r="AF82" s="1811"/>
      <c r="AG82" s="1289"/>
      <c r="AH82" s="1289"/>
      <c r="AI82" s="1289"/>
      <c r="AJ82" s="1821"/>
      <c r="AK82" s="109"/>
      <c r="AL82" s="131"/>
      <c r="AM82" s="130"/>
      <c r="AN82" s="130"/>
      <c r="AO82" s="130"/>
      <c r="AP82" s="130"/>
      <c r="AQ82" s="130"/>
      <c r="AR82" s="130"/>
      <c r="AS82" s="130"/>
      <c r="AT82" s="129"/>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row>
    <row r="83" spans="1:77" ht="26.25" customHeight="1" thickBot="1">
      <c r="A83" s="109"/>
      <c r="B83" s="1833"/>
      <c r="C83" s="1804"/>
      <c r="D83" s="1805"/>
      <c r="E83" s="1803"/>
      <c r="F83" s="1804"/>
      <c r="G83" s="1805"/>
      <c r="H83" s="1803"/>
      <c r="I83" s="1804"/>
      <c r="J83" s="1805"/>
      <c r="K83" s="1803"/>
      <c r="L83" s="1804"/>
      <c r="M83" s="1805"/>
      <c r="N83" s="1803"/>
      <c r="O83" s="1804"/>
      <c r="P83" s="1805"/>
      <c r="Q83" s="1803"/>
      <c r="R83" s="1804"/>
      <c r="S83" s="1805"/>
      <c r="T83" s="1803"/>
      <c r="U83" s="1804"/>
      <c r="V83" s="1805"/>
      <c r="W83" s="1803"/>
      <c r="X83" s="1804"/>
      <c r="Y83" s="1805"/>
      <c r="Z83" s="1803"/>
      <c r="AA83" s="1804"/>
      <c r="AB83" s="1805"/>
      <c r="AC83" s="1803"/>
      <c r="AD83" s="1804"/>
      <c r="AE83" s="1805"/>
      <c r="AF83" s="1803"/>
      <c r="AG83" s="1804"/>
      <c r="AH83" s="1804"/>
      <c r="AI83" s="1804"/>
      <c r="AJ83" s="1805"/>
      <c r="AK83" s="109"/>
      <c r="AL83" s="128"/>
      <c r="AM83" s="127"/>
      <c r="AN83" s="127"/>
      <c r="AO83" s="127"/>
      <c r="AP83" s="127"/>
      <c r="AQ83" s="127"/>
      <c r="AR83" s="127"/>
      <c r="AS83" s="127"/>
      <c r="AT83" s="126"/>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row>
    <row r="84" spans="1:77" ht="16.5" thickBot="1">
      <c r="A84" s="109"/>
      <c r="B84" s="125"/>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24"/>
      <c r="AG84" s="124"/>
      <c r="AH84" s="124"/>
      <c r="AI84" s="124"/>
      <c r="AJ84" s="124"/>
      <c r="AK84" s="109"/>
      <c r="AL84" s="109"/>
      <c r="AM84" s="109"/>
      <c r="AN84" s="109"/>
      <c r="AO84" s="109"/>
      <c r="AP84" s="109"/>
      <c r="AQ84" s="109"/>
      <c r="AR84" s="109"/>
      <c r="AS84" s="109"/>
      <c r="AT84" s="109"/>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row>
    <row r="85" spans="1:77" ht="16.5" thickBot="1">
      <c r="A85" s="109"/>
      <c r="B85" s="1831" t="str">
        <f ca="1">IFERROR(__xludf.DUMMYFUNCTION("""COMPUTED_VALUE"""),"Animal Companion: ")</f>
        <v xml:space="preserve">Animal Companion: </v>
      </c>
      <c r="C85" s="1894" t="str">
        <f ca="1">IFERROR(__xludf.DUMMYFUNCTION("""COMPUTED_VALUE"""),"TYPE/NAME")</f>
        <v>TYPE/NAME</v>
      </c>
      <c r="D85" s="1796"/>
      <c r="E85" s="1796"/>
      <c r="F85" s="1796"/>
      <c r="G85" s="1796"/>
      <c r="H85" s="1796"/>
      <c r="I85" s="1797"/>
      <c r="J85" s="1814" t="str">
        <f ca="1">IFERROR(__xludf.DUMMYFUNCTION("""COMPUTED_VALUE"""),"AC")</f>
        <v>AC</v>
      </c>
      <c r="K85" s="1797"/>
      <c r="L85" s="2140" t="str">
        <f ca="1">IFERROR(__xludf.DUMMYFUNCTION("""COMPUTED_VALUE"""),"HIT DICE")</f>
        <v>HIT DICE</v>
      </c>
      <c r="M85" s="1796"/>
      <c r="N85" s="1796"/>
      <c r="O85" s="1797"/>
      <c r="P85" s="1814" t="str">
        <f ca="1">IFERROR(__xludf.DUMMYFUNCTION("""COMPUTED_VALUE"""),"HP")</f>
        <v>HP</v>
      </c>
      <c r="Q85" s="1796"/>
      <c r="R85" s="1797"/>
      <c r="S85" s="2087" t="str">
        <f ca="1">IFERROR(__xludf.DUMMYFUNCTION("""COMPUTED_VALUE"""),"Wounds")</f>
        <v>Wounds</v>
      </c>
      <c r="T85" s="1796"/>
      <c r="U85" s="1797"/>
      <c r="V85" s="1991" t="str">
        <f ca="1">IFERROR(__xludf.DUMMYFUNCTION("""COMPUTED_VALUE"""),"Speed")</f>
        <v>Speed</v>
      </c>
      <c r="W85" s="1796"/>
      <c r="X85" s="1797"/>
      <c r="Y85" s="2087" t="str">
        <f ca="1">IFERROR(__xludf.DUMMYFUNCTION("""COMPUTED_VALUE"""),"STR")</f>
        <v>STR</v>
      </c>
      <c r="Z85" s="1797"/>
      <c r="AA85" s="1991" t="str">
        <f ca="1">IFERROR(__xludf.DUMMYFUNCTION("""COMPUTED_VALUE"""),"DEX")</f>
        <v>DEX</v>
      </c>
      <c r="AB85" s="1797"/>
      <c r="AC85" s="2087" t="str">
        <f ca="1">IFERROR(__xludf.DUMMYFUNCTION("""COMPUTED_VALUE"""),"CON")</f>
        <v>CON</v>
      </c>
      <c r="AD85" s="1797"/>
      <c r="AE85" s="1991" t="str">
        <f ca="1">IFERROR(__xludf.DUMMYFUNCTION("""COMPUTED_VALUE"""),"INT")</f>
        <v>INT</v>
      </c>
      <c r="AF85" s="1797"/>
      <c r="AG85" s="2087" t="str">
        <f ca="1">IFERROR(__xludf.DUMMYFUNCTION("""COMPUTED_VALUE"""),"WIS")</f>
        <v>WIS</v>
      </c>
      <c r="AH85" s="1797"/>
      <c r="AI85" s="1991" t="str">
        <f ca="1">IFERROR(__xludf.DUMMYFUNCTION("""COMPUTED_VALUE"""),"CHA")</f>
        <v>CHA</v>
      </c>
      <c r="AJ85" s="1797"/>
      <c r="AK85" s="2087" t="str">
        <f ca="1">IFERROR(__xludf.DUMMYFUNCTION("""COMPUTED_VALUE"""),"Perception")</f>
        <v>Perception</v>
      </c>
      <c r="AL85" s="1796"/>
      <c r="AM85" s="1796"/>
      <c r="AN85" s="1797"/>
      <c r="AO85" s="1991" t="str">
        <f ca="1">IFERROR(__xludf.DUMMYFUNCTION("""COMPUTED_VALUE"""),"Senses")</f>
        <v>Senses</v>
      </c>
      <c r="AP85" s="1796"/>
      <c r="AQ85" s="1796"/>
      <c r="AR85" s="1796"/>
      <c r="AS85" s="1796"/>
      <c r="AT85" s="1799"/>
      <c r="AU85" s="109"/>
      <c r="AV85" s="109"/>
      <c r="AW85" s="109"/>
      <c r="AX85" s="109"/>
      <c r="AY85" s="109"/>
      <c r="AZ85" s="109"/>
      <c r="BA85" s="109"/>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row>
    <row r="86" spans="1:77">
      <c r="A86" s="109"/>
      <c r="B86" s="1832"/>
      <c r="C86" s="1815"/>
      <c r="D86" s="1289"/>
      <c r="E86" s="1289"/>
      <c r="F86" s="1289"/>
      <c r="G86" s="1289"/>
      <c r="H86" s="1289"/>
      <c r="I86" s="1816"/>
      <c r="J86" s="1843"/>
      <c r="K86" s="1816"/>
      <c r="L86" s="2111"/>
      <c r="M86" s="1289"/>
      <c r="N86" s="1289"/>
      <c r="O86" s="1816"/>
      <c r="P86" s="1843"/>
      <c r="Q86" s="1289"/>
      <c r="R86" s="1816"/>
      <c r="S86" s="2138"/>
      <c r="T86" s="1289"/>
      <c r="U86" s="1816"/>
      <c r="V86" s="2138"/>
      <c r="W86" s="1289"/>
      <c r="X86" s="1816"/>
      <c r="Y86" s="2016"/>
      <c r="Z86" s="1883"/>
      <c r="AA86" s="1971"/>
      <c r="AB86" s="1883"/>
      <c r="AC86" s="1971"/>
      <c r="AD86" s="1883"/>
      <c r="AE86" s="1971"/>
      <c r="AF86" s="1883"/>
      <c r="AG86" s="1971"/>
      <c r="AH86" s="1883"/>
      <c r="AI86" s="1971"/>
      <c r="AJ86" s="1849"/>
      <c r="AK86" s="2147"/>
      <c r="AL86" s="1289"/>
      <c r="AM86" s="1289"/>
      <c r="AN86" s="1816"/>
      <c r="AO86" s="1992"/>
      <c r="AP86" s="1289"/>
      <c r="AQ86" s="1289"/>
      <c r="AR86" s="1289"/>
      <c r="AS86" s="1289"/>
      <c r="AT86" s="1821"/>
      <c r="AU86" s="109"/>
      <c r="AV86" s="109"/>
      <c r="AW86" s="109"/>
      <c r="AX86" s="109"/>
      <c r="AY86" s="109"/>
      <c r="AZ86" s="109"/>
      <c r="BA86" s="109"/>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row>
    <row r="87" spans="1:77" ht="22.5" customHeight="1" thickBot="1">
      <c r="A87" s="109"/>
      <c r="B87" s="1832"/>
      <c r="C87" s="1813"/>
      <c r="D87" s="1813"/>
      <c r="E87" s="1813"/>
      <c r="F87" s="1813"/>
      <c r="G87" s="1813"/>
      <c r="H87" s="1813"/>
      <c r="I87" s="1817"/>
      <c r="J87" s="1844"/>
      <c r="K87" s="1817"/>
      <c r="L87" s="1844"/>
      <c r="M87" s="1813"/>
      <c r="N87" s="1813"/>
      <c r="O87" s="1817"/>
      <c r="P87" s="1844"/>
      <c r="Q87" s="1813"/>
      <c r="R87" s="1817"/>
      <c r="S87" s="1844"/>
      <c r="T87" s="1813"/>
      <c r="U87" s="1817"/>
      <c r="V87" s="1844"/>
      <c r="W87" s="1813"/>
      <c r="X87" s="1817"/>
      <c r="Y87" s="2135">
        <f ca="1">IFERROR(__xludf.DUMMYFUNCTION("""COMPUTED_VALUE"""),-5)</f>
        <v>-5</v>
      </c>
      <c r="Z87" s="1854"/>
      <c r="AA87" s="1972">
        <f ca="1">IFERROR(__xludf.DUMMYFUNCTION("""COMPUTED_VALUE"""),-5)</f>
        <v>-5</v>
      </c>
      <c r="AB87" s="1854"/>
      <c r="AC87" s="1972">
        <f ca="1">IFERROR(__xludf.DUMMYFUNCTION("""COMPUTED_VALUE"""),-5)</f>
        <v>-5</v>
      </c>
      <c r="AD87" s="1854"/>
      <c r="AE87" s="1972">
        <f ca="1">IFERROR(__xludf.DUMMYFUNCTION("""COMPUTED_VALUE"""),-5)</f>
        <v>-5</v>
      </c>
      <c r="AF87" s="1854"/>
      <c r="AG87" s="1972">
        <f ca="1">IFERROR(__xludf.DUMMYFUNCTION("""COMPUTED_VALUE"""),-5)</f>
        <v>-5</v>
      </c>
      <c r="AH87" s="1854"/>
      <c r="AI87" s="1972">
        <f ca="1">IFERROR(__xludf.DUMMYFUNCTION("""COMPUTED_VALUE"""),-5)</f>
        <v>-5</v>
      </c>
      <c r="AJ87" s="1876"/>
      <c r="AK87" s="1813"/>
      <c r="AL87" s="1813"/>
      <c r="AM87" s="1813"/>
      <c r="AN87" s="1817"/>
      <c r="AO87" s="1844"/>
      <c r="AP87" s="1813"/>
      <c r="AQ87" s="1813"/>
      <c r="AR87" s="1813"/>
      <c r="AS87" s="1813"/>
      <c r="AT87" s="1905"/>
      <c r="AU87" s="109"/>
      <c r="AV87" s="109"/>
      <c r="AW87" s="109"/>
      <c r="AX87" s="109"/>
      <c r="AY87" s="109"/>
      <c r="AZ87" s="109"/>
      <c r="BA87" s="109"/>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row>
    <row r="88" spans="1:77">
      <c r="A88" s="109"/>
      <c r="B88" s="1832"/>
      <c r="C88" s="1839" t="str">
        <f ca="1">IFERROR(__xludf.DUMMYFUNCTION("""COMPUTED_VALUE"""),"Attack:")</f>
        <v>Attack:</v>
      </c>
      <c r="D88" s="1801"/>
      <c r="E88" s="1801"/>
      <c r="F88" s="1802"/>
      <c r="G88" s="1882"/>
      <c r="H88" s="1848"/>
      <c r="I88" s="1848"/>
      <c r="J88" s="1848"/>
      <c r="K88" s="1883"/>
      <c r="L88" s="1993" t="str">
        <f ca="1">IFERROR(__xludf.DUMMYFUNCTION("""COMPUTED_VALUE"""),"Type:")</f>
        <v>Type:</v>
      </c>
      <c r="M88" s="1801"/>
      <c r="N88" s="1802"/>
      <c r="O88" s="1967"/>
      <c r="P88" s="1848"/>
      <c r="Q88" s="1848"/>
      <c r="R88" s="1883"/>
      <c r="S88" s="1839" t="str">
        <f ca="1">IFERROR(__xludf.DUMMYFUNCTION("""COMPUTED_VALUE"""),"Atk Bonus:")</f>
        <v>Atk Bonus:</v>
      </c>
      <c r="T88" s="1801"/>
      <c r="U88" s="1801"/>
      <c r="V88" s="1802"/>
      <c r="W88" s="2146"/>
      <c r="X88" s="1883"/>
      <c r="Y88" s="1836" t="str">
        <f ca="1">IFERROR(__xludf.DUMMYFUNCTION("""COMPUTED_VALUE"""),"Dmg:")</f>
        <v>Dmg:</v>
      </c>
      <c r="Z88" s="1801"/>
      <c r="AA88" s="1802"/>
      <c r="AB88" s="2082"/>
      <c r="AC88" s="1848"/>
      <c r="AD88" s="1848"/>
      <c r="AE88" s="1848"/>
      <c r="AF88" s="1849"/>
      <c r="AG88" s="1839" t="str">
        <f ca="1">IFERROR(__xludf.DUMMYFUNCTION("""COMPUTED_VALUE"""),"Dmg Type:")</f>
        <v>Dmg Type:</v>
      </c>
      <c r="AH88" s="1801"/>
      <c r="AI88" s="1801"/>
      <c r="AJ88" s="1801"/>
      <c r="AK88" s="2139"/>
      <c r="AL88" s="1848"/>
      <c r="AM88" s="1848"/>
      <c r="AN88" s="1848"/>
      <c r="AO88" s="1883"/>
      <c r="AP88" s="1836" t="str">
        <f ca="1">IFERROR(__xludf.DUMMYFUNCTION("""COMPUTED_VALUE"""),"Reach:")</f>
        <v>Reach:</v>
      </c>
      <c r="AQ88" s="1801"/>
      <c r="AR88" s="1802"/>
      <c r="AS88" s="2139"/>
      <c r="AT88" s="1849"/>
      <c r="AU88" s="109"/>
      <c r="AV88" s="109"/>
      <c r="AW88" s="109"/>
      <c r="AX88" s="108"/>
      <c r="AY88" s="109"/>
      <c r="AZ88" s="109"/>
      <c r="BA88" s="109"/>
      <c r="BB88" s="109"/>
      <c r="BC88" s="109"/>
      <c r="BD88" s="109"/>
      <c r="BE88" s="109"/>
      <c r="BF88" s="109"/>
      <c r="BG88" s="109"/>
      <c r="BH88" s="109"/>
      <c r="BI88" s="109"/>
      <c r="BJ88" s="109"/>
      <c r="BK88" s="109"/>
      <c r="BL88" s="109"/>
      <c r="BM88" s="109"/>
      <c r="BN88" s="109"/>
      <c r="BO88" s="109"/>
      <c r="BP88" s="109"/>
      <c r="BQ88" s="109"/>
      <c r="BR88" s="109"/>
      <c r="BS88" s="109"/>
      <c r="BT88" s="109"/>
      <c r="BU88" s="109"/>
      <c r="BV88" s="109"/>
      <c r="BW88" s="109"/>
      <c r="BX88" s="109"/>
      <c r="BY88" s="109"/>
    </row>
    <row r="89" spans="1:77" ht="16.5" thickBot="1">
      <c r="A89" s="109"/>
      <c r="B89" s="1832"/>
      <c r="C89" s="1803"/>
      <c r="D89" s="1804"/>
      <c r="E89" s="1804"/>
      <c r="F89" s="1805"/>
      <c r="G89" s="1866"/>
      <c r="H89" s="1853"/>
      <c r="I89" s="1853"/>
      <c r="J89" s="1853"/>
      <c r="K89" s="1854"/>
      <c r="L89" s="1803"/>
      <c r="M89" s="1804"/>
      <c r="N89" s="1805"/>
      <c r="O89" s="1968"/>
      <c r="P89" s="1853"/>
      <c r="Q89" s="1853"/>
      <c r="R89" s="1854"/>
      <c r="S89" s="1803"/>
      <c r="T89" s="1804"/>
      <c r="U89" s="1804"/>
      <c r="V89" s="1805"/>
      <c r="W89" s="2129"/>
      <c r="X89" s="1854"/>
      <c r="Y89" s="1803"/>
      <c r="Z89" s="1804"/>
      <c r="AA89" s="1805"/>
      <c r="AB89" s="2083" t="str">
        <f ca="1">IFERROR(__xludf.DUMMYFUNCTION("""COMPUTED_VALUE"""),"NONE")</f>
        <v>NONE</v>
      </c>
      <c r="AC89" s="1853"/>
      <c r="AD89" s="1853"/>
      <c r="AE89" s="1853"/>
      <c r="AF89" s="1876"/>
      <c r="AG89" s="1803"/>
      <c r="AH89" s="1804"/>
      <c r="AI89" s="1804"/>
      <c r="AJ89" s="1804"/>
      <c r="AK89" s="2144"/>
      <c r="AL89" s="1853"/>
      <c r="AM89" s="1853"/>
      <c r="AN89" s="1853"/>
      <c r="AO89" s="1854"/>
      <c r="AP89" s="1803"/>
      <c r="AQ89" s="1804"/>
      <c r="AR89" s="1805"/>
      <c r="AS89" s="2144"/>
      <c r="AT89" s="1876"/>
      <c r="AU89" s="109"/>
      <c r="AV89" s="109"/>
      <c r="AW89" s="108"/>
      <c r="AX89" s="109"/>
      <c r="AY89" s="109"/>
      <c r="AZ89" s="109"/>
      <c r="BA89" s="109"/>
      <c r="BB89" s="109"/>
      <c r="BC89" s="109"/>
      <c r="BD89" s="109"/>
      <c r="BE89" s="109"/>
      <c r="BF89" s="109"/>
      <c r="BG89" s="109"/>
      <c r="BH89" s="109"/>
      <c r="BI89" s="109"/>
      <c r="BJ89" s="109"/>
      <c r="BK89" s="109"/>
      <c r="BL89" s="109"/>
      <c r="BM89" s="109"/>
      <c r="BN89" s="109"/>
      <c r="BO89" s="109"/>
      <c r="BP89" s="109"/>
      <c r="BQ89" s="109"/>
      <c r="BR89" s="109"/>
      <c r="BS89" s="109"/>
      <c r="BT89" s="109"/>
      <c r="BU89" s="109"/>
      <c r="BV89" s="109"/>
      <c r="BW89" s="109"/>
      <c r="BX89" s="109"/>
      <c r="BY89" s="109"/>
    </row>
    <row r="90" spans="1:77">
      <c r="A90" s="109"/>
      <c r="B90" s="1832"/>
      <c r="C90" s="1836" t="str">
        <f ca="1">IFERROR(__xludf.DUMMYFUNCTION("""COMPUTED_VALUE"""),"Notes:")</f>
        <v>Notes:</v>
      </c>
      <c r="D90" s="1801"/>
      <c r="E90" s="1802"/>
      <c r="F90" s="2096"/>
      <c r="G90" s="1848"/>
      <c r="H90" s="1848"/>
      <c r="I90" s="1848"/>
      <c r="J90" s="1848"/>
      <c r="K90" s="1848"/>
      <c r="L90" s="1848"/>
      <c r="M90" s="1848"/>
      <c r="N90" s="1848"/>
      <c r="O90" s="1848"/>
      <c r="P90" s="1848"/>
      <c r="Q90" s="1848"/>
      <c r="R90" s="1848"/>
      <c r="S90" s="1848"/>
      <c r="T90" s="1848"/>
      <c r="U90" s="1848"/>
      <c r="V90" s="1848"/>
      <c r="W90" s="1848"/>
      <c r="X90" s="1848"/>
      <c r="Y90" s="1848"/>
      <c r="Z90" s="1848"/>
      <c r="AA90" s="1848"/>
      <c r="AB90" s="1848"/>
      <c r="AC90" s="1848"/>
      <c r="AD90" s="1848"/>
      <c r="AE90" s="1848"/>
      <c r="AF90" s="1848"/>
      <c r="AG90" s="1848"/>
      <c r="AH90" s="1848"/>
      <c r="AI90" s="1848"/>
      <c r="AJ90" s="1848"/>
      <c r="AK90" s="1848"/>
      <c r="AL90" s="1848"/>
      <c r="AM90" s="1848"/>
      <c r="AN90" s="1848"/>
      <c r="AO90" s="1848"/>
      <c r="AP90" s="1848"/>
      <c r="AQ90" s="1848"/>
      <c r="AR90" s="1848"/>
      <c r="AS90" s="1848"/>
      <c r="AT90" s="1849"/>
      <c r="AU90" s="109"/>
      <c r="AV90" s="109"/>
      <c r="AW90" s="109"/>
      <c r="AX90" s="109"/>
      <c r="AY90" s="109"/>
      <c r="AZ90" s="109"/>
      <c r="BA90" s="109"/>
      <c r="BB90" s="109"/>
      <c r="BC90" s="109"/>
      <c r="BD90" s="109"/>
      <c r="BE90" s="109"/>
      <c r="BF90" s="109"/>
      <c r="BG90" s="109"/>
      <c r="BH90" s="109"/>
      <c r="BI90" s="109"/>
      <c r="BJ90" s="109"/>
      <c r="BK90" s="109"/>
      <c r="BL90" s="109"/>
      <c r="BM90" s="109"/>
      <c r="BN90" s="109"/>
      <c r="BO90" s="109"/>
      <c r="BP90" s="109"/>
      <c r="BQ90" s="109"/>
      <c r="BR90" s="109"/>
      <c r="BS90" s="109"/>
      <c r="BT90" s="109"/>
      <c r="BU90" s="109"/>
      <c r="BV90" s="109"/>
      <c r="BW90" s="109"/>
      <c r="BX90" s="109"/>
      <c r="BY90" s="109"/>
    </row>
    <row r="91" spans="1:77" ht="16.5" thickBot="1">
      <c r="A91" s="109"/>
      <c r="B91" s="1833"/>
      <c r="C91" s="1803"/>
      <c r="D91" s="1804"/>
      <c r="E91" s="1805"/>
      <c r="F91" s="2097"/>
      <c r="G91" s="1853"/>
      <c r="H91" s="1853"/>
      <c r="I91" s="1853"/>
      <c r="J91" s="1853"/>
      <c r="K91" s="1853"/>
      <c r="L91" s="1853"/>
      <c r="M91" s="1853"/>
      <c r="N91" s="1853"/>
      <c r="O91" s="1853"/>
      <c r="P91" s="1853"/>
      <c r="Q91" s="1853"/>
      <c r="R91" s="1853"/>
      <c r="S91" s="1853"/>
      <c r="T91" s="1853"/>
      <c r="U91" s="1853"/>
      <c r="V91" s="1853"/>
      <c r="W91" s="1853"/>
      <c r="X91" s="1853"/>
      <c r="Y91" s="1853"/>
      <c r="Z91" s="1853"/>
      <c r="AA91" s="1853"/>
      <c r="AB91" s="1853"/>
      <c r="AC91" s="1853"/>
      <c r="AD91" s="1853"/>
      <c r="AE91" s="1853"/>
      <c r="AF91" s="1853"/>
      <c r="AG91" s="1853"/>
      <c r="AH91" s="1853"/>
      <c r="AI91" s="1853"/>
      <c r="AJ91" s="1853"/>
      <c r="AK91" s="1853"/>
      <c r="AL91" s="1853"/>
      <c r="AM91" s="1853"/>
      <c r="AN91" s="1853"/>
      <c r="AO91" s="1853"/>
      <c r="AP91" s="1853"/>
      <c r="AQ91" s="1853"/>
      <c r="AR91" s="1853"/>
      <c r="AS91" s="1853"/>
      <c r="AT91" s="1876"/>
      <c r="AU91" s="109"/>
      <c r="AV91" s="109"/>
      <c r="AW91" s="109"/>
      <c r="AX91" s="109"/>
      <c r="AY91" s="109"/>
      <c r="AZ91" s="109"/>
      <c r="BA91" s="109"/>
      <c r="BB91" s="109"/>
      <c r="BC91" s="109"/>
      <c r="BD91" s="109"/>
      <c r="BE91" s="109"/>
      <c r="BF91" s="109"/>
      <c r="BG91" s="109"/>
      <c r="BH91" s="109"/>
      <c r="BI91" s="109"/>
      <c r="BJ91" s="109"/>
      <c r="BK91" s="109"/>
      <c r="BL91" s="109"/>
      <c r="BM91" s="109"/>
      <c r="BN91" s="109"/>
      <c r="BO91" s="109"/>
      <c r="BP91" s="109"/>
      <c r="BQ91" s="109"/>
      <c r="BR91" s="109"/>
      <c r="BS91" s="109"/>
      <c r="BT91" s="109"/>
      <c r="BU91" s="109"/>
      <c r="BV91" s="109"/>
      <c r="BW91" s="109"/>
      <c r="BX91" s="109"/>
      <c r="BY91" s="109"/>
    </row>
    <row r="92" spans="1:77" ht="16.5" thickBot="1">
      <c r="A92" s="109"/>
      <c r="B92" s="10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c r="AX92" s="109"/>
      <c r="AY92" s="109"/>
      <c r="AZ92" s="109"/>
      <c r="BA92" s="109"/>
      <c r="BB92" s="109"/>
      <c r="BC92" s="109"/>
      <c r="BD92" s="109"/>
      <c r="BE92" s="109"/>
      <c r="BF92" s="109"/>
      <c r="BG92" s="109"/>
      <c r="BH92" s="109"/>
      <c r="BI92" s="109"/>
      <c r="BJ92" s="109"/>
      <c r="BK92" s="109"/>
      <c r="BL92" s="109"/>
      <c r="BM92" s="109"/>
      <c r="BN92" s="109"/>
      <c r="BO92" s="109"/>
      <c r="BP92" s="109"/>
      <c r="BQ92" s="109"/>
      <c r="BR92" s="109"/>
      <c r="BS92" s="109"/>
      <c r="BT92" s="109"/>
      <c r="BU92" s="109"/>
      <c r="BV92" s="109"/>
      <c r="BW92" s="109"/>
      <c r="BX92" s="109"/>
      <c r="BY92" s="109"/>
    </row>
    <row r="93" spans="1:77" ht="16.5" thickBot="1">
      <c r="A93" s="109"/>
      <c r="B93" s="1922" t="str">
        <f ca="1">IFERROR(__xludf.DUMMYFUNCTION("""COMPUTED_VALUE"""),"Traits - Features - Feats - Abilities:")</f>
        <v>Traits - Features - Feats - Abilities:</v>
      </c>
      <c r="C93" s="1867" t="str">
        <f ca="1">IFERROR(__xludf.DUMMYFUNCTION("""COMPUTED_VALUE"""),"Name")</f>
        <v>Name</v>
      </c>
      <c r="D93" s="1796"/>
      <c r="E93" s="1796"/>
      <c r="F93" s="1796"/>
      <c r="G93" s="1796"/>
      <c r="H93" s="1796"/>
      <c r="I93" s="1796"/>
      <c r="J93" s="1796"/>
      <c r="K93" s="1799"/>
      <c r="L93" s="1823" t="str">
        <f ca="1">IFERROR(__xludf.DUMMYFUNCTION("""COMPUTED_VALUE"""),"Level")</f>
        <v>Level</v>
      </c>
      <c r="M93" s="1796"/>
      <c r="N93" s="1799"/>
      <c r="O93" s="1850" t="str">
        <f ca="1">IFERROR(__xludf.DUMMYFUNCTION("""COMPUTED_VALUE"""),"Uses")</f>
        <v>Uses</v>
      </c>
      <c r="P93" s="1796"/>
      <c r="Q93" s="1799"/>
      <c r="R93" s="1823" t="str">
        <f ca="1">IFERROR(__xludf.DUMMYFUNCTION("""COMPUTED_VALUE"""),"Recovery")</f>
        <v>Recovery</v>
      </c>
      <c r="S93" s="1796"/>
      <c r="T93" s="1796"/>
      <c r="U93" s="1799"/>
      <c r="V93" s="2142" t="str">
        <f ca="1">IFERROR(__xludf.DUMMYFUNCTION("""COMPUTED_VALUE"""),"Action Type")</f>
        <v>Action Type</v>
      </c>
      <c r="W93" s="1796"/>
      <c r="X93" s="1796"/>
      <c r="Y93" s="1796"/>
      <c r="Z93" s="1796"/>
      <c r="AA93" s="2137" t="str">
        <f ca="1">IFERROR(__xludf.DUMMYFUNCTION("""COMPUTED_VALUE"""),"Notes")</f>
        <v>Notes</v>
      </c>
      <c r="AB93" s="1796"/>
      <c r="AC93" s="1796"/>
      <c r="AD93" s="1796"/>
      <c r="AE93" s="1796"/>
      <c r="AF93" s="1796"/>
      <c r="AG93" s="1796"/>
      <c r="AH93" s="1796"/>
      <c r="AI93" s="1796"/>
      <c r="AJ93" s="1796"/>
      <c r="AK93" s="1796"/>
      <c r="AL93" s="1796"/>
      <c r="AM93" s="1796"/>
      <c r="AN93" s="1796"/>
      <c r="AO93" s="1796"/>
      <c r="AP93" s="1796"/>
      <c r="AQ93" s="1796"/>
      <c r="AR93" s="1796"/>
      <c r="AS93" s="1796"/>
      <c r="AT93" s="1799"/>
      <c r="AU93" s="109"/>
      <c r="AV93" s="109"/>
      <c r="AW93" s="109"/>
      <c r="AX93" s="109"/>
      <c r="AY93" s="109"/>
      <c r="AZ93" s="109"/>
      <c r="BA93" s="109"/>
      <c r="BB93" s="109"/>
      <c r="BC93" s="109"/>
      <c r="BD93" s="109"/>
      <c r="BE93" s="109"/>
      <c r="BF93" s="109"/>
      <c r="BG93" s="109"/>
      <c r="BH93" s="109"/>
      <c r="BI93" s="109"/>
      <c r="BJ93" s="109"/>
      <c r="BK93" s="109"/>
      <c r="BL93" s="109"/>
      <c r="BM93" s="109"/>
      <c r="BN93" s="109"/>
      <c r="BO93" s="109"/>
      <c r="BP93" s="109"/>
      <c r="BQ93" s="109"/>
      <c r="BR93" s="109"/>
      <c r="BS93" s="109"/>
      <c r="BT93" s="109"/>
      <c r="BU93" s="109"/>
      <c r="BV93" s="109"/>
      <c r="BW93" s="109"/>
      <c r="BX93" s="109"/>
      <c r="BY93" s="109"/>
    </row>
    <row r="94" spans="1:77">
      <c r="A94" s="109"/>
      <c r="B94" s="1821"/>
      <c r="C94" s="1873"/>
      <c r="D94" s="1813"/>
      <c r="E94" s="1813"/>
      <c r="F94" s="1813"/>
      <c r="G94" s="1813"/>
      <c r="H94" s="1813"/>
      <c r="I94" s="1813"/>
      <c r="J94" s="1813"/>
      <c r="K94" s="1817"/>
      <c r="L94" s="1822"/>
      <c r="M94" s="1813"/>
      <c r="N94" s="1817"/>
      <c r="O94" s="1807"/>
      <c r="P94" s="1808"/>
      <c r="Q94" s="1809"/>
      <c r="R94" s="1878"/>
      <c r="S94" s="1808"/>
      <c r="T94" s="1808"/>
      <c r="U94" s="1809"/>
      <c r="V94" s="1878"/>
      <c r="W94" s="1808"/>
      <c r="X94" s="1808"/>
      <c r="Y94" s="1808"/>
      <c r="Z94" s="1809"/>
      <c r="AA94" s="2127"/>
      <c r="AB94" s="1813"/>
      <c r="AC94" s="1813"/>
      <c r="AD94" s="1813"/>
      <c r="AE94" s="1813"/>
      <c r="AF94" s="1813"/>
      <c r="AG94" s="1813"/>
      <c r="AH94" s="1813"/>
      <c r="AI94" s="1813"/>
      <c r="AJ94" s="1813"/>
      <c r="AK94" s="1813"/>
      <c r="AL94" s="1813"/>
      <c r="AM94" s="1813"/>
      <c r="AN94" s="1813"/>
      <c r="AO94" s="1813"/>
      <c r="AP94" s="1813"/>
      <c r="AQ94" s="1813"/>
      <c r="AR94" s="1813"/>
      <c r="AS94" s="1813"/>
      <c r="AT94" s="1905"/>
      <c r="AU94" s="109"/>
      <c r="AV94" s="109"/>
      <c r="AW94" s="109"/>
      <c r="AX94" s="109"/>
      <c r="AY94" s="109"/>
      <c r="AZ94" s="109"/>
      <c r="BA94" s="109"/>
      <c r="BB94" s="109"/>
      <c r="BC94" s="109"/>
      <c r="BD94" s="109"/>
      <c r="BE94" s="109"/>
      <c r="BF94" s="109"/>
      <c r="BG94" s="109"/>
      <c r="BH94" s="109"/>
      <c r="BI94" s="109"/>
      <c r="BJ94" s="109"/>
      <c r="BK94" s="109"/>
      <c r="BL94" s="109"/>
      <c r="BM94" s="109"/>
      <c r="BN94" s="109"/>
      <c r="BO94" s="109"/>
      <c r="BP94" s="109"/>
      <c r="BQ94" s="109"/>
      <c r="BR94" s="109"/>
      <c r="BS94" s="109"/>
      <c r="BT94" s="109"/>
      <c r="BU94" s="109"/>
      <c r="BV94" s="109"/>
      <c r="BW94" s="109"/>
      <c r="BX94" s="109"/>
      <c r="BY94" s="109"/>
    </row>
    <row r="95" spans="1:77">
      <c r="A95" s="109"/>
      <c r="B95" s="1821"/>
      <c r="C95" s="1845"/>
      <c r="D95" s="1808"/>
      <c r="E95" s="1808"/>
      <c r="F95" s="1808"/>
      <c r="G95" s="1808"/>
      <c r="H95" s="1808"/>
      <c r="I95" s="1808"/>
      <c r="J95" s="1808"/>
      <c r="K95" s="1809"/>
      <c r="L95" s="1807"/>
      <c r="M95" s="1808"/>
      <c r="N95" s="1809"/>
      <c r="O95" s="1807"/>
      <c r="P95" s="1808"/>
      <c r="Q95" s="1809"/>
      <c r="R95" s="1878"/>
      <c r="S95" s="1808"/>
      <c r="T95" s="1808"/>
      <c r="U95" s="1809"/>
      <c r="V95" s="1878"/>
      <c r="W95" s="1808"/>
      <c r="X95" s="1808"/>
      <c r="Y95" s="1808"/>
      <c r="Z95" s="1809"/>
      <c r="AA95" s="2088"/>
      <c r="AB95" s="1808"/>
      <c r="AC95" s="1808"/>
      <c r="AD95" s="1808"/>
      <c r="AE95" s="1808"/>
      <c r="AF95" s="1808"/>
      <c r="AG95" s="1808"/>
      <c r="AH95" s="1808"/>
      <c r="AI95" s="1808"/>
      <c r="AJ95" s="1808"/>
      <c r="AK95" s="1808"/>
      <c r="AL95" s="1808"/>
      <c r="AM95" s="1808"/>
      <c r="AN95" s="1808"/>
      <c r="AO95" s="1808"/>
      <c r="AP95" s="1808"/>
      <c r="AQ95" s="1808"/>
      <c r="AR95" s="1808"/>
      <c r="AS95" s="1808"/>
      <c r="AT95" s="1940"/>
      <c r="AU95" s="109"/>
      <c r="AV95" s="109"/>
      <c r="AW95" s="109"/>
      <c r="AX95" s="109"/>
      <c r="AY95" s="109"/>
      <c r="AZ95" s="109"/>
      <c r="BA95" s="109"/>
      <c r="BB95" s="109"/>
      <c r="BC95" s="109"/>
      <c r="BD95" s="109"/>
      <c r="BE95" s="109"/>
      <c r="BF95" s="109"/>
      <c r="BG95" s="109"/>
      <c r="BH95" s="109"/>
      <c r="BI95" s="109"/>
      <c r="BJ95" s="109"/>
      <c r="BK95" s="109"/>
      <c r="BL95" s="109"/>
      <c r="BM95" s="109"/>
      <c r="BN95" s="109"/>
      <c r="BO95" s="109"/>
      <c r="BP95" s="109"/>
      <c r="BQ95" s="109"/>
      <c r="BR95" s="109"/>
      <c r="BS95" s="109"/>
      <c r="BT95" s="109"/>
      <c r="BU95" s="109"/>
      <c r="BV95" s="109"/>
      <c r="BW95" s="109"/>
      <c r="BX95" s="109"/>
      <c r="BY95" s="109"/>
    </row>
    <row r="96" spans="1:77">
      <c r="A96" s="109"/>
      <c r="B96" s="1821"/>
      <c r="C96" s="1845"/>
      <c r="D96" s="1808"/>
      <c r="E96" s="1808"/>
      <c r="F96" s="1808"/>
      <c r="G96" s="1808"/>
      <c r="H96" s="1808"/>
      <c r="I96" s="1808"/>
      <c r="J96" s="1808"/>
      <c r="K96" s="1809"/>
      <c r="L96" s="1807"/>
      <c r="M96" s="1808"/>
      <c r="N96" s="1809"/>
      <c r="O96" s="1807"/>
      <c r="P96" s="1808"/>
      <c r="Q96" s="1809"/>
      <c r="R96" s="1878"/>
      <c r="S96" s="1808"/>
      <c r="T96" s="1808"/>
      <c r="U96" s="1809"/>
      <c r="V96" s="1878"/>
      <c r="W96" s="1808"/>
      <c r="X96" s="1808"/>
      <c r="Y96" s="1808"/>
      <c r="Z96" s="1809"/>
      <c r="AA96" s="2088"/>
      <c r="AB96" s="1808"/>
      <c r="AC96" s="1808"/>
      <c r="AD96" s="1808"/>
      <c r="AE96" s="1808"/>
      <c r="AF96" s="1808"/>
      <c r="AG96" s="1808"/>
      <c r="AH96" s="1808"/>
      <c r="AI96" s="1808"/>
      <c r="AJ96" s="1808"/>
      <c r="AK96" s="1808"/>
      <c r="AL96" s="1808"/>
      <c r="AM96" s="1808"/>
      <c r="AN96" s="1808"/>
      <c r="AO96" s="1808"/>
      <c r="AP96" s="1808"/>
      <c r="AQ96" s="1808"/>
      <c r="AR96" s="1808"/>
      <c r="AS96" s="1808"/>
      <c r="AT96" s="1940"/>
      <c r="AU96" s="109"/>
      <c r="AV96" s="109"/>
      <c r="AW96" s="109"/>
      <c r="AX96" s="109"/>
      <c r="AY96" s="109"/>
      <c r="AZ96" s="109"/>
      <c r="BA96" s="109"/>
      <c r="BB96" s="109"/>
      <c r="BC96" s="109"/>
      <c r="BD96" s="109"/>
      <c r="BE96" s="109"/>
      <c r="BF96" s="109"/>
      <c r="BG96" s="109"/>
      <c r="BH96" s="109"/>
      <c r="BI96" s="109"/>
      <c r="BJ96" s="109"/>
      <c r="BK96" s="109"/>
      <c r="BL96" s="109"/>
      <c r="BM96" s="109"/>
      <c r="BN96" s="109"/>
      <c r="BO96" s="109"/>
      <c r="BP96" s="109"/>
      <c r="BQ96" s="109"/>
      <c r="BR96" s="109"/>
      <c r="BS96" s="109"/>
      <c r="BT96" s="109"/>
      <c r="BU96" s="109"/>
      <c r="BV96" s="109"/>
      <c r="BW96" s="109"/>
      <c r="BX96" s="109"/>
      <c r="BY96" s="109"/>
    </row>
    <row r="97" spans="1:77">
      <c r="A97" s="109"/>
      <c r="B97" s="1821"/>
      <c r="C97" s="1845"/>
      <c r="D97" s="1808"/>
      <c r="E97" s="1808"/>
      <c r="F97" s="1808"/>
      <c r="G97" s="1808"/>
      <c r="H97" s="1808"/>
      <c r="I97" s="1808"/>
      <c r="J97" s="1808"/>
      <c r="K97" s="1809"/>
      <c r="L97" s="1807"/>
      <c r="M97" s="1808"/>
      <c r="N97" s="1809"/>
      <c r="O97" s="1807"/>
      <c r="P97" s="1808"/>
      <c r="Q97" s="1809"/>
      <c r="R97" s="1878"/>
      <c r="S97" s="1808"/>
      <c r="T97" s="1808"/>
      <c r="U97" s="1809"/>
      <c r="V97" s="1878"/>
      <c r="W97" s="1808"/>
      <c r="X97" s="1808"/>
      <c r="Y97" s="1808"/>
      <c r="Z97" s="1809"/>
      <c r="AA97" s="2127"/>
      <c r="AB97" s="1813"/>
      <c r="AC97" s="1813"/>
      <c r="AD97" s="1813"/>
      <c r="AE97" s="1813"/>
      <c r="AF97" s="1813"/>
      <c r="AG97" s="1813"/>
      <c r="AH97" s="1813"/>
      <c r="AI97" s="1813"/>
      <c r="AJ97" s="1813"/>
      <c r="AK97" s="1813"/>
      <c r="AL97" s="1813"/>
      <c r="AM97" s="1813"/>
      <c r="AN97" s="1813"/>
      <c r="AO97" s="1813"/>
      <c r="AP97" s="1813"/>
      <c r="AQ97" s="1813"/>
      <c r="AR97" s="1813"/>
      <c r="AS97" s="1813"/>
      <c r="AT97" s="1905"/>
      <c r="AU97" s="109"/>
      <c r="AV97" s="109"/>
      <c r="AW97" s="109"/>
      <c r="AX97" s="109"/>
      <c r="AY97" s="109"/>
      <c r="AZ97" s="109"/>
      <c r="BA97" s="109"/>
      <c r="BB97" s="109"/>
      <c r="BC97" s="109"/>
      <c r="BD97" s="109"/>
      <c r="BE97" s="109"/>
      <c r="BF97" s="109"/>
      <c r="BG97" s="109"/>
      <c r="BH97" s="109"/>
      <c r="BI97" s="109"/>
      <c r="BJ97" s="109"/>
      <c r="BK97" s="109"/>
      <c r="BL97" s="109"/>
      <c r="BM97" s="109"/>
      <c r="BN97" s="109"/>
      <c r="BO97" s="109"/>
      <c r="BP97" s="109"/>
      <c r="BQ97" s="109"/>
      <c r="BR97" s="109"/>
      <c r="BS97" s="109"/>
      <c r="BT97" s="109"/>
      <c r="BU97" s="109"/>
      <c r="BV97" s="109"/>
      <c r="BW97" s="109"/>
      <c r="BX97" s="109"/>
      <c r="BY97" s="109"/>
    </row>
    <row r="98" spans="1:77">
      <c r="A98" s="109"/>
      <c r="B98" s="1821"/>
      <c r="C98" s="1845"/>
      <c r="D98" s="1808"/>
      <c r="E98" s="1808"/>
      <c r="F98" s="1808"/>
      <c r="G98" s="1808"/>
      <c r="H98" s="1808"/>
      <c r="I98" s="1808"/>
      <c r="J98" s="1808"/>
      <c r="K98" s="1809"/>
      <c r="L98" s="1807"/>
      <c r="M98" s="1808"/>
      <c r="N98" s="1809"/>
      <c r="O98" s="1807"/>
      <c r="P98" s="1808"/>
      <c r="Q98" s="1809"/>
      <c r="R98" s="1878"/>
      <c r="S98" s="1808"/>
      <c r="T98" s="1808"/>
      <c r="U98" s="1809"/>
      <c r="V98" s="1878"/>
      <c r="W98" s="1808"/>
      <c r="X98" s="1808"/>
      <c r="Y98" s="1808"/>
      <c r="Z98" s="1809"/>
      <c r="AA98" s="2127"/>
      <c r="AB98" s="1813"/>
      <c r="AC98" s="1813"/>
      <c r="AD98" s="1813"/>
      <c r="AE98" s="1813"/>
      <c r="AF98" s="1813"/>
      <c r="AG98" s="1813"/>
      <c r="AH98" s="1813"/>
      <c r="AI98" s="1813"/>
      <c r="AJ98" s="1813"/>
      <c r="AK98" s="1813"/>
      <c r="AL98" s="1813"/>
      <c r="AM98" s="1813"/>
      <c r="AN98" s="1813"/>
      <c r="AO98" s="1813"/>
      <c r="AP98" s="1813"/>
      <c r="AQ98" s="1813"/>
      <c r="AR98" s="1813"/>
      <c r="AS98" s="1813"/>
      <c r="AT98" s="1905"/>
      <c r="AU98" s="109"/>
      <c r="AV98" s="109"/>
      <c r="AW98" s="109"/>
      <c r="AX98" s="109"/>
      <c r="AY98" s="109"/>
      <c r="AZ98" s="109"/>
      <c r="BA98" s="109"/>
      <c r="BB98" s="109"/>
      <c r="BC98" s="109"/>
      <c r="BD98" s="109"/>
      <c r="BE98" s="109"/>
      <c r="BF98" s="109"/>
      <c r="BG98" s="109"/>
      <c r="BH98" s="109"/>
      <c r="BI98" s="109"/>
      <c r="BJ98" s="109"/>
      <c r="BK98" s="109"/>
      <c r="BL98" s="109"/>
      <c r="BM98" s="109"/>
      <c r="BN98" s="109"/>
      <c r="BO98" s="109"/>
      <c r="BP98" s="109"/>
      <c r="BQ98" s="109"/>
      <c r="BR98" s="109"/>
      <c r="BS98" s="109"/>
      <c r="BT98" s="109"/>
      <c r="BU98" s="109"/>
      <c r="BV98" s="109"/>
      <c r="BW98" s="109"/>
      <c r="BX98" s="109"/>
      <c r="BY98" s="109"/>
    </row>
    <row r="99" spans="1:77">
      <c r="A99" s="109"/>
      <c r="B99" s="1821"/>
      <c r="C99" s="1845"/>
      <c r="D99" s="1808"/>
      <c r="E99" s="1808"/>
      <c r="F99" s="1808"/>
      <c r="G99" s="1808"/>
      <c r="H99" s="1808"/>
      <c r="I99" s="1808"/>
      <c r="J99" s="1808"/>
      <c r="K99" s="1809"/>
      <c r="L99" s="1807"/>
      <c r="M99" s="1808"/>
      <c r="N99" s="1809"/>
      <c r="O99" s="1807"/>
      <c r="P99" s="1808"/>
      <c r="Q99" s="1809"/>
      <c r="R99" s="1878"/>
      <c r="S99" s="1808"/>
      <c r="T99" s="1808"/>
      <c r="U99" s="1809"/>
      <c r="V99" s="1878"/>
      <c r="W99" s="1808"/>
      <c r="X99" s="1808"/>
      <c r="Y99" s="1808"/>
      <c r="Z99" s="1809"/>
      <c r="AA99" s="2088"/>
      <c r="AB99" s="1808"/>
      <c r="AC99" s="1808"/>
      <c r="AD99" s="1808"/>
      <c r="AE99" s="1808"/>
      <c r="AF99" s="1808"/>
      <c r="AG99" s="1808"/>
      <c r="AH99" s="1808"/>
      <c r="AI99" s="1808"/>
      <c r="AJ99" s="1808"/>
      <c r="AK99" s="1808"/>
      <c r="AL99" s="1808"/>
      <c r="AM99" s="1808"/>
      <c r="AN99" s="1808"/>
      <c r="AO99" s="1808"/>
      <c r="AP99" s="1808"/>
      <c r="AQ99" s="1808"/>
      <c r="AR99" s="1808"/>
      <c r="AS99" s="1808"/>
      <c r="AT99" s="1940"/>
      <c r="AU99" s="109"/>
      <c r="AV99" s="109"/>
      <c r="AW99" s="109"/>
      <c r="AX99" s="109"/>
      <c r="AY99" s="109"/>
      <c r="AZ99" s="109"/>
      <c r="BA99" s="109"/>
      <c r="BB99" s="109"/>
      <c r="BC99" s="109"/>
      <c r="BD99" s="109"/>
      <c r="BE99" s="109"/>
      <c r="BF99" s="109"/>
      <c r="BG99" s="109"/>
      <c r="BH99" s="109"/>
      <c r="BI99" s="109"/>
      <c r="BJ99" s="109"/>
      <c r="BK99" s="109"/>
      <c r="BL99" s="109"/>
      <c r="BM99" s="109"/>
      <c r="BN99" s="109"/>
      <c r="BO99" s="109"/>
      <c r="BP99" s="109"/>
      <c r="BQ99" s="109"/>
      <c r="BR99" s="109"/>
      <c r="BS99" s="109"/>
      <c r="BT99" s="109"/>
      <c r="BU99" s="109"/>
      <c r="BV99" s="109"/>
      <c r="BW99" s="109"/>
      <c r="BX99" s="109"/>
      <c r="BY99" s="109"/>
    </row>
    <row r="100" spans="1:77">
      <c r="A100" s="109"/>
      <c r="B100" s="1821"/>
      <c r="C100" s="1845"/>
      <c r="D100" s="1808"/>
      <c r="E100" s="1808"/>
      <c r="F100" s="1808"/>
      <c r="G100" s="1808"/>
      <c r="H100" s="1808"/>
      <c r="I100" s="1808"/>
      <c r="J100" s="1808"/>
      <c r="K100" s="1809"/>
      <c r="L100" s="1807"/>
      <c r="M100" s="1808"/>
      <c r="N100" s="1809"/>
      <c r="O100" s="1807"/>
      <c r="P100" s="1808"/>
      <c r="Q100" s="1809"/>
      <c r="R100" s="1878"/>
      <c r="S100" s="1808"/>
      <c r="T100" s="1808"/>
      <c r="U100" s="1809"/>
      <c r="V100" s="1878"/>
      <c r="W100" s="1808"/>
      <c r="X100" s="1808"/>
      <c r="Y100" s="1808"/>
      <c r="Z100" s="1809"/>
      <c r="AA100" s="2088"/>
      <c r="AB100" s="1808"/>
      <c r="AC100" s="1808"/>
      <c r="AD100" s="1808"/>
      <c r="AE100" s="1808"/>
      <c r="AF100" s="1808"/>
      <c r="AG100" s="1808"/>
      <c r="AH100" s="1808"/>
      <c r="AI100" s="1808"/>
      <c r="AJ100" s="1808"/>
      <c r="AK100" s="1808"/>
      <c r="AL100" s="1808"/>
      <c r="AM100" s="1808"/>
      <c r="AN100" s="1808"/>
      <c r="AO100" s="1808"/>
      <c r="AP100" s="1808"/>
      <c r="AQ100" s="1808"/>
      <c r="AR100" s="1808"/>
      <c r="AS100" s="1808"/>
      <c r="AT100" s="1940"/>
      <c r="AU100" s="109"/>
      <c r="AV100" s="109"/>
      <c r="AW100" s="109"/>
      <c r="AX100" s="109"/>
      <c r="AY100" s="109"/>
      <c r="AZ100" s="109"/>
      <c r="BA100" s="109"/>
      <c r="BB100" s="109"/>
      <c r="BC100" s="109"/>
      <c r="BD100" s="109"/>
      <c r="BE100" s="109"/>
      <c r="BF100" s="109"/>
      <c r="BG100" s="109"/>
      <c r="BH100" s="109"/>
      <c r="BI100" s="109"/>
      <c r="BJ100" s="109"/>
      <c r="BK100" s="109"/>
      <c r="BL100" s="109"/>
      <c r="BM100" s="109"/>
      <c r="BN100" s="109"/>
      <c r="BO100" s="109"/>
      <c r="BP100" s="109"/>
      <c r="BQ100" s="109"/>
      <c r="BR100" s="109"/>
      <c r="BS100" s="109"/>
      <c r="BT100" s="109"/>
      <c r="BU100" s="109"/>
      <c r="BV100" s="109"/>
      <c r="BW100" s="109"/>
      <c r="BX100" s="109"/>
      <c r="BY100" s="109"/>
    </row>
    <row r="101" spans="1:77">
      <c r="A101" s="109"/>
      <c r="B101" s="1821"/>
      <c r="C101" s="1845"/>
      <c r="D101" s="1808"/>
      <c r="E101" s="1808"/>
      <c r="F101" s="1808"/>
      <c r="G101" s="1808"/>
      <c r="H101" s="1808"/>
      <c r="I101" s="1808"/>
      <c r="J101" s="1808"/>
      <c r="K101" s="1809"/>
      <c r="L101" s="1807"/>
      <c r="M101" s="1808"/>
      <c r="N101" s="1809"/>
      <c r="O101" s="1807"/>
      <c r="P101" s="1808"/>
      <c r="Q101" s="1809"/>
      <c r="R101" s="1878"/>
      <c r="S101" s="1808"/>
      <c r="T101" s="1808"/>
      <c r="U101" s="1809"/>
      <c r="V101" s="1878"/>
      <c r="W101" s="1808"/>
      <c r="X101" s="1808"/>
      <c r="Y101" s="1808"/>
      <c r="Z101" s="1809"/>
      <c r="AA101" s="2088"/>
      <c r="AB101" s="1808"/>
      <c r="AC101" s="1808"/>
      <c r="AD101" s="1808"/>
      <c r="AE101" s="1808"/>
      <c r="AF101" s="1808"/>
      <c r="AG101" s="1808"/>
      <c r="AH101" s="1808"/>
      <c r="AI101" s="1808"/>
      <c r="AJ101" s="1808"/>
      <c r="AK101" s="1808"/>
      <c r="AL101" s="1808"/>
      <c r="AM101" s="1808"/>
      <c r="AN101" s="1808"/>
      <c r="AO101" s="1808"/>
      <c r="AP101" s="1808"/>
      <c r="AQ101" s="1808"/>
      <c r="AR101" s="1808"/>
      <c r="AS101" s="1808"/>
      <c r="AT101" s="1940"/>
      <c r="AU101" s="109"/>
      <c r="AV101" s="109"/>
      <c r="AW101" s="109"/>
      <c r="AX101" s="109"/>
      <c r="AY101" s="109"/>
      <c r="AZ101" s="109"/>
      <c r="BA101" s="109"/>
      <c r="BB101" s="109"/>
      <c r="BC101" s="109"/>
      <c r="BD101" s="109"/>
      <c r="BE101" s="109"/>
      <c r="BF101" s="109"/>
      <c r="BG101" s="109"/>
      <c r="BH101" s="109"/>
      <c r="BI101" s="109"/>
      <c r="BJ101" s="109"/>
      <c r="BK101" s="109"/>
      <c r="BL101" s="109"/>
      <c r="BM101" s="109"/>
      <c r="BN101" s="109"/>
      <c r="BO101" s="109"/>
      <c r="BP101" s="109"/>
      <c r="BQ101" s="109"/>
      <c r="BR101" s="109"/>
      <c r="BS101" s="109"/>
      <c r="BT101" s="109"/>
      <c r="BU101" s="109"/>
      <c r="BV101" s="109"/>
      <c r="BW101" s="109"/>
      <c r="BX101" s="109"/>
      <c r="BY101" s="109"/>
    </row>
    <row r="102" spans="1:77">
      <c r="A102" s="109"/>
      <c r="B102" s="1821"/>
      <c r="C102" s="1845"/>
      <c r="D102" s="1808"/>
      <c r="E102" s="1808"/>
      <c r="F102" s="1808"/>
      <c r="G102" s="1808"/>
      <c r="H102" s="1808"/>
      <c r="I102" s="1808"/>
      <c r="J102" s="1808"/>
      <c r="K102" s="1809"/>
      <c r="L102" s="1807"/>
      <c r="M102" s="1808"/>
      <c r="N102" s="1809"/>
      <c r="O102" s="1807"/>
      <c r="P102" s="1808"/>
      <c r="Q102" s="1809"/>
      <c r="R102" s="1878"/>
      <c r="S102" s="1808"/>
      <c r="T102" s="1808"/>
      <c r="U102" s="1809"/>
      <c r="V102" s="1878"/>
      <c r="W102" s="1808"/>
      <c r="X102" s="1808"/>
      <c r="Y102" s="1808"/>
      <c r="Z102" s="1809"/>
      <c r="AA102" s="2088"/>
      <c r="AB102" s="1808"/>
      <c r="AC102" s="1808"/>
      <c r="AD102" s="1808"/>
      <c r="AE102" s="1808"/>
      <c r="AF102" s="1808"/>
      <c r="AG102" s="1808"/>
      <c r="AH102" s="1808"/>
      <c r="AI102" s="1808"/>
      <c r="AJ102" s="1808"/>
      <c r="AK102" s="1808"/>
      <c r="AL102" s="1808"/>
      <c r="AM102" s="1808"/>
      <c r="AN102" s="1808"/>
      <c r="AO102" s="1808"/>
      <c r="AP102" s="1808"/>
      <c r="AQ102" s="1808"/>
      <c r="AR102" s="1808"/>
      <c r="AS102" s="1808"/>
      <c r="AT102" s="1940"/>
      <c r="AU102" s="109"/>
      <c r="AV102" s="109"/>
      <c r="AW102" s="109"/>
      <c r="AX102" s="109"/>
      <c r="AY102" s="109"/>
      <c r="AZ102" s="109"/>
      <c r="BA102" s="109"/>
      <c r="BB102" s="109"/>
      <c r="BC102" s="109"/>
      <c r="BD102" s="109"/>
      <c r="BE102" s="109"/>
      <c r="BF102" s="109"/>
      <c r="BG102" s="109"/>
      <c r="BH102" s="109"/>
      <c r="BI102" s="109"/>
      <c r="BJ102" s="109"/>
      <c r="BK102" s="109"/>
      <c r="BL102" s="109"/>
      <c r="BM102" s="109"/>
      <c r="BN102" s="109"/>
      <c r="BO102" s="109"/>
      <c r="BP102" s="109"/>
      <c r="BQ102" s="109"/>
      <c r="BR102" s="109"/>
      <c r="BS102" s="109"/>
      <c r="BT102" s="109"/>
      <c r="BU102" s="109"/>
      <c r="BV102" s="109"/>
      <c r="BW102" s="109"/>
      <c r="BX102" s="109"/>
      <c r="BY102" s="109"/>
    </row>
    <row r="103" spans="1:77">
      <c r="A103" s="109"/>
      <c r="B103" s="1821"/>
      <c r="C103" s="1845"/>
      <c r="D103" s="1808"/>
      <c r="E103" s="1808"/>
      <c r="F103" s="1808"/>
      <c r="G103" s="1808"/>
      <c r="H103" s="1808"/>
      <c r="I103" s="1808"/>
      <c r="J103" s="1808"/>
      <c r="K103" s="1809"/>
      <c r="L103" s="1807"/>
      <c r="M103" s="1808"/>
      <c r="N103" s="1809"/>
      <c r="O103" s="1807"/>
      <c r="P103" s="1808"/>
      <c r="Q103" s="1809"/>
      <c r="R103" s="1878"/>
      <c r="S103" s="1808"/>
      <c r="T103" s="1808"/>
      <c r="U103" s="1809"/>
      <c r="V103" s="1878"/>
      <c r="W103" s="1808"/>
      <c r="X103" s="1808"/>
      <c r="Y103" s="1808"/>
      <c r="Z103" s="1809"/>
      <c r="AA103" s="2088"/>
      <c r="AB103" s="1808"/>
      <c r="AC103" s="1808"/>
      <c r="AD103" s="1808"/>
      <c r="AE103" s="1808"/>
      <c r="AF103" s="1808"/>
      <c r="AG103" s="1808"/>
      <c r="AH103" s="1808"/>
      <c r="AI103" s="1808"/>
      <c r="AJ103" s="1808"/>
      <c r="AK103" s="1808"/>
      <c r="AL103" s="1808"/>
      <c r="AM103" s="1808"/>
      <c r="AN103" s="1808"/>
      <c r="AO103" s="1808"/>
      <c r="AP103" s="1808"/>
      <c r="AQ103" s="1808"/>
      <c r="AR103" s="1808"/>
      <c r="AS103" s="1808"/>
      <c r="AT103" s="1940"/>
      <c r="AU103" s="109"/>
      <c r="AV103" s="109"/>
      <c r="AW103" s="109"/>
      <c r="AX103" s="109"/>
      <c r="AY103" s="109"/>
      <c r="AZ103" s="109"/>
      <c r="BA103" s="109"/>
      <c r="BB103" s="109"/>
      <c r="BC103" s="109"/>
      <c r="BD103" s="109"/>
      <c r="BE103" s="109"/>
      <c r="BF103" s="109"/>
      <c r="BG103" s="109"/>
      <c r="BH103" s="109"/>
      <c r="BI103" s="109"/>
      <c r="BJ103" s="109"/>
      <c r="BK103" s="109"/>
      <c r="BL103" s="109"/>
      <c r="BM103" s="109"/>
      <c r="BN103" s="109"/>
      <c r="BO103" s="109"/>
      <c r="BP103" s="109"/>
      <c r="BQ103" s="109"/>
      <c r="BR103" s="109"/>
      <c r="BS103" s="109"/>
      <c r="BT103" s="109"/>
      <c r="BU103" s="109"/>
      <c r="BV103" s="109"/>
      <c r="BW103" s="109"/>
      <c r="BX103" s="109"/>
      <c r="BY103" s="109"/>
    </row>
    <row r="104" spans="1:77">
      <c r="A104" s="109"/>
      <c r="B104" s="1821"/>
      <c r="C104" s="1845"/>
      <c r="D104" s="1808"/>
      <c r="E104" s="1808"/>
      <c r="F104" s="1808"/>
      <c r="G104" s="1808"/>
      <c r="H104" s="1808"/>
      <c r="I104" s="1808"/>
      <c r="J104" s="1808"/>
      <c r="K104" s="1809"/>
      <c r="L104" s="1807"/>
      <c r="M104" s="1808"/>
      <c r="N104" s="1809"/>
      <c r="O104" s="1807"/>
      <c r="P104" s="1808"/>
      <c r="Q104" s="1809"/>
      <c r="R104" s="1878"/>
      <c r="S104" s="1808"/>
      <c r="T104" s="1808"/>
      <c r="U104" s="1809"/>
      <c r="V104" s="1878"/>
      <c r="W104" s="1808"/>
      <c r="X104" s="1808"/>
      <c r="Y104" s="1808"/>
      <c r="Z104" s="1809"/>
      <c r="AA104" s="2088"/>
      <c r="AB104" s="1808"/>
      <c r="AC104" s="1808"/>
      <c r="AD104" s="1808"/>
      <c r="AE104" s="1808"/>
      <c r="AF104" s="1808"/>
      <c r="AG104" s="1808"/>
      <c r="AH104" s="1808"/>
      <c r="AI104" s="1808"/>
      <c r="AJ104" s="1808"/>
      <c r="AK104" s="1808"/>
      <c r="AL104" s="1808"/>
      <c r="AM104" s="1808"/>
      <c r="AN104" s="1808"/>
      <c r="AO104" s="1808"/>
      <c r="AP104" s="1808"/>
      <c r="AQ104" s="1808"/>
      <c r="AR104" s="1808"/>
      <c r="AS104" s="1808"/>
      <c r="AT104" s="1940"/>
      <c r="AU104" s="109"/>
      <c r="AV104" s="109"/>
      <c r="AW104" s="109"/>
      <c r="AX104" s="109"/>
      <c r="AY104" s="109"/>
      <c r="AZ104" s="109"/>
      <c r="BA104" s="109"/>
      <c r="BB104" s="109"/>
      <c r="BC104" s="109"/>
      <c r="BD104" s="109"/>
      <c r="BE104" s="109"/>
      <c r="BF104" s="109"/>
      <c r="BG104" s="109"/>
      <c r="BH104" s="109"/>
      <c r="BI104" s="109"/>
      <c r="BJ104" s="109"/>
      <c r="BK104" s="109"/>
      <c r="BL104" s="109"/>
      <c r="BM104" s="109"/>
      <c r="BN104" s="109"/>
      <c r="BO104" s="109"/>
      <c r="BP104" s="109"/>
      <c r="BQ104" s="109"/>
      <c r="BR104" s="109"/>
      <c r="BS104" s="109"/>
      <c r="BT104" s="109"/>
      <c r="BU104" s="109"/>
      <c r="BV104" s="109"/>
      <c r="BW104" s="109"/>
      <c r="BX104" s="109"/>
      <c r="BY104" s="109"/>
    </row>
    <row r="105" spans="1:77">
      <c r="A105" s="109"/>
      <c r="B105" s="1821"/>
      <c r="C105" s="1845"/>
      <c r="D105" s="1808"/>
      <c r="E105" s="1808"/>
      <c r="F105" s="1808"/>
      <c r="G105" s="1808"/>
      <c r="H105" s="1808"/>
      <c r="I105" s="1808"/>
      <c r="J105" s="1808"/>
      <c r="K105" s="1809"/>
      <c r="L105" s="1807"/>
      <c r="M105" s="1808"/>
      <c r="N105" s="1809"/>
      <c r="O105" s="1807"/>
      <c r="P105" s="1808"/>
      <c r="Q105" s="1809"/>
      <c r="R105" s="1878"/>
      <c r="S105" s="1808"/>
      <c r="T105" s="1808"/>
      <c r="U105" s="1809"/>
      <c r="V105" s="1878"/>
      <c r="W105" s="1808"/>
      <c r="X105" s="1808"/>
      <c r="Y105" s="1808"/>
      <c r="Z105" s="1809"/>
      <c r="AA105" s="2088"/>
      <c r="AB105" s="1808"/>
      <c r="AC105" s="1808"/>
      <c r="AD105" s="1808"/>
      <c r="AE105" s="1808"/>
      <c r="AF105" s="1808"/>
      <c r="AG105" s="1808"/>
      <c r="AH105" s="1808"/>
      <c r="AI105" s="1808"/>
      <c r="AJ105" s="1808"/>
      <c r="AK105" s="1808"/>
      <c r="AL105" s="1808"/>
      <c r="AM105" s="1808"/>
      <c r="AN105" s="1808"/>
      <c r="AO105" s="1808"/>
      <c r="AP105" s="1808"/>
      <c r="AQ105" s="1808"/>
      <c r="AR105" s="1808"/>
      <c r="AS105" s="1808"/>
      <c r="AT105" s="1940"/>
      <c r="AU105" s="109"/>
      <c r="AV105" s="109"/>
      <c r="AW105" s="109"/>
      <c r="AX105" s="109"/>
      <c r="AY105" s="109"/>
      <c r="AZ105" s="109"/>
      <c r="BA105" s="109"/>
      <c r="BB105" s="109"/>
      <c r="BC105" s="109"/>
      <c r="BD105" s="109"/>
      <c r="BE105" s="109"/>
      <c r="BF105" s="109"/>
      <c r="BG105" s="109"/>
      <c r="BH105" s="109"/>
      <c r="BI105" s="109"/>
      <c r="BJ105" s="109"/>
      <c r="BK105" s="109"/>
      <c r="BL105" s="109"/>
      <c r="BM105" s="109"/>
      <c r="BN105" s="109"/>
      <c r="BO105" s="109"/>
      <c r="BP105" s="109"/>
      <c r="BQ105" s="109"/>
      <c r="BR105" s="109"/>
      <c r="BS105" s="109"/>
      <c r="BT105" s="109"/>
      <c r="BU105" s="109"/>
      <c r="BV105" s="109"/>
      <c r="BW105" s="109"/>
      <c r="BX105" s="109"/>
      <c r="BY105" s="109"/>
    </row>
    <row r="106" spans="1:77">
      <c r="A106" s="109"/>
      <c r="B106" s="1821"/>
      <c r="C106" s="1845"/>
      <c r="D106" s="1808"/>
      <c r="E106" s="1808"/>
      <c r="F106" s="1808"/>
      <c r="G106" s="1808"/>
      <c r="H106" s="1808"/>
      <c r="I106" s="1808"/>
      <c r="J106" s="1808"/>
      <c r="K106" s="1809"/>
      <c r="L106" s="1807"/>
      <c r="M106" s="1808"/>
      <c r="N106" s="1809"/>
      <c r="O106" s="1807"/>
      <c r="P106" s="1808"/>
      <c r="Q106" s="1809"/>
      <c r="R106" s="1878"/>
      <c r="S106" s="1808"/>
      <c r="T106" s="1808"/>
      <c r="U106" s="1809"/>
      <c r="V106" s="1878"/>
      <c r="W106" s="1808"/>
      <c r="X106" s="1808"/>
      <c r="Y106" s="1808"/>
      <c r="Z106" s="1809"/>
      <c r="AA106" s="2088"/>
      <c r="AB106" s="1808"/>
      <c r="AC106" s="1808"/>
      <c r="AD106" s="1808"/>
      <c r="AE106" s="1808"/>
      <c r="AF106" s="1808"/>
      <c r="AG106" s="1808"/>
      <c r="AH106" s="1808"/>
      <c r="AI106" s="1808"/>
      <c r="AJ106" s="1808"/>
      <c r="AK106" s="1808"/>
      <c r="AL106" s="1808"/>
      <c r="AM106" s="1808"/>
      <c r="AN106" s="1808"/>
      <c r="AO106" s="1808"/>
      <c r="AP106" s="1808"/>
      <c r="AQ106" s="1808"/>
      <c r="AR106" s="1808"/>
      <c r="AS106" s="1808"/>
      <c r="AT106" s="1940"/>
      <c r="AU106" s="109"/>
      <c r="AV106" s="109"/>
      <c r="AW106" s="109"/>
      <c r="AX106" s="109"/>
      <c r="AY106" s="109"/>
      <c r="AZ106" s="109"/>
      <c r="BA106" s="109"/>
      <c r="BB106" s="109"/>
      <c r="BC106" s="109"/>
      <c r="BD106" s="109"/>
      <c r="BE106" s="109"/>
      <c r="BF106" s="109"/>
      <c r="BG106" s="109"/>
      <c r="BH106" s="109"/>
      <c r="BI106" s="109"/>
      <c r="BJ106" s="109"/>
      <c r="BK106" s="109"/>
      <c r="BL106" s="109"/>
      <c r="BM106" s="109"/>
      <c r="BN106" s="109"/>
      <c r="BO106" s="109"/>
      <c r="BP106" s="109"/>
      <c r="BQ106" s="109"/>
      <c r="BR106" s="109"/>
      <c r="BS106" s="109"/>
      <c r="BT106" s="109"/>
      <c r="BU106" s="109"/>
      <c r="BV106" s="109"/>
      <c r="BW106" s="109"/>
      <c r="BX106" s="109"/>
      <c r="BY106" s="109"/>
    </row>
    <row r="107" spans="1:77">
      <c r="A107" s="109"/>
      <c r="B107" s="1821"/>
      <c r="C107" s="1845"/>
      <c r="D107" s="1808"/>
      <c r="E107" s="1808"/>
      <c r="F107" s="1808"/>
      <c r="G107" s="1808"/>
      <c r="H107" s="1808"/>
      <c r="I107" s="1808"/>
      <c r="J107" s="1808"/>
      <c r="K107" s="1809"/>
      <c r="L107" s="1807"/>
      <c r="M107" s="1808"/>
      <c r="N107" s="1809"/>
      <c r="O107" s="1807"/>
      <c r="P107" s="1808"/>
      <c r="Q107" s="1809"/>
      <c r="R107" s="1878"/>
      <c r="S107" s="1808"/>
      <c r="T107" s="1808"/>
      <c r="U107" s="1809"/>
      <c r="V107" s="1878"/>
      <c r="W107" s="1808"/>
      <c r="X107" s="1808"/>
      <c r="Y107" s="1808"/>
      <c r="Z107" s="1809"/>
      <c r="AA107" s="2088"/>
      <c r="AB107" s="1808"/>
      <c r="AC107" s="1808"/>
      <c r="AD107" s="1808"/>
      <c r="AE107" s="1808"/>
      <c r="AF107" s="1808"/>
      <c r="AG107" s="1808"/>
      <c r="AH107" s="1808"/>
      <c r="AI107" s="1808"/>
      <c r="AJ107" s="1808"/>
      <c r="AK107" s="1808"/>
      <c r="AL107" s="1808"/>
      <c r="AM107" s="1808"/>
      <c r="AN107" s="1808"/>
      <c r="AO107" s="1808"/>
      <c r="AP107" s="1808"/>
      <c r="AQ107" s="1808"/>
      <c r="AR107" s="1808"/>
      <c r="AS107" s="1808"/>
      <c r="AT107" s="1940"/>
      <c r="AU107" s="109"/>
      <c r="AV107" s="109"/>
      <c r="AW107" s="109"/>
      <c r="AX107" s="109"/>
      <c r="AY107" s="109"/>
      <c r="AZ107" s="109"/>
      <c r="BA107" s="109"/>
      <c r="BB107" s="109"/>
      <c r="BC107" s="109"/>
      <c r="BD107" s="109"/>
      <c r="BE107" s="109"/>
      <c r="BF107" s="109"/>
      <c r="BG107" s="109"/>
      <c r="BH107" s="109"/>
      <c r="BI107" s="109"/>
      <c r="BJ107" s="109"/>
      <c r="BK107" s="109"/>
      <c r="BL107" s="109"/>
      <c r="BM107" s="109"/>
      <c r="BN107" s="109"/>
      <c r="BO107" s="109"/>
      <c r="BP107" s="109"/>
      <c r="BQ107" s="109"/>
      <c r="BR107" s="109"/>
      <c r="BS107" s="109"/>
      <c r="BT107" s="109"/>
      <c r="BU107" s="109"/>
      <c r="BV107" s="109"/>
      <c r="BW107" s="109"/>
      <c r="BX107" s="109"/>
      <c r="BY107" s="109"/>
    </row>
    <row r="108" spans="1:77">
      <c r="A108" s="109"/>
      <c r="B108" s="1821"/>
      <c r="C108" s="1845"/>
      <c r="D108" s="1808"/>
      <c r="E108" s="1808"/>
      <c r="F108" s="1808"/>
      <c r="G108" s="1808"/>
      <c r="H108" s="1808"/>
      <c r="I108" s="1808"/>
      <c r="J108" s="1808"/>
      <c r="K108" s="1809"/>
      <c r="L108" s="1807"/>
      <c r="M108" s="1808"/>
      <c r="N108" s="1809"/>
      <c r="O108" s="1807"/>
      <c r="P108" s="1808"/>
      <c r="Q108" s="1809"/>
      <c r="R108" s="1878"/>
      <c r="S108" s="1808"/>
      <c r="T108" s="1808"/>
      <c r="U108" s="1809"/>
      <c r="V108" s="1878"/>
      <c r="W108" s="1808"/>
      <c r="X108" s="1808"/>
      <c r="Y108" s="1808"/>
      <c r="Z108" s="1809"/>
      <c r="AA108" s="2088"/>
      <c r="AB108" s="1808"/>
      <c r="AC108" s="1808"/>
      <c r="AD108" s="1808"/>
      <c r="AE108" s="1808"/>
      <c r="AF108" s="1808"/>
      <c r="AG108" s="1808"/>
      <c r="AH108" s="1808"/>
      <c r="AI108" s="1808"/>
      <c r="AJ108" s="1808"/>
      <c r="AK108" s="1808"/>
      <c r="AL108" s="1808"/>
      <c r="AM108" s="1808"/>
      <c r="AN108" s="1808"/>
      <c r="AO108" s="1808"/>
      <c r="AP108" s="1808"/>
      <c r="AQ108" s="1808"/>
      <c r="AR108" s="1808"/>
      <c r="AS108" s="1808"/>
      <c r="AT108" s="1940"/>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row>
    <row r="109" spans="1:77">
      <c r="A109" s="109"/>
      <c r="B109" s="1821"/>
      <c r="C109" s="1845"/>
      <c r="D109" s="1808"/>
      <c r="E109" s="1808"/>
      <c r="F109" s="1808"/>
      <c r="G109" s="1808"/>
      <c r="H109" s="1808"/>
      <c r="I109" s="1808"/>
      <c r="J109" s="1808"/>
      <c r="K109" s="1809"/>
      <c r="L109" s="1807"/>
      <c r="M109" s="1808"/>
      <c r="N109" s="1809"/>
      <c r="O109" s="1807"/>
      <c r="P109" s="1808"/>
      <c r="Q109" s="1809"/>
      <c r="R109" s="1878"/>
      <c r="S109" s="1808"/>
      <c r="T109" s="1808"/>
      <c r="U109" s="1809"/>
      <c r="V109" s="1878"/>
      <c r="W109" s="1808"/>
      <c r="X109" s="1808"/>
      <c r="Y109" s="1808"/>
      <c r="Z109" s="1809"/>
      <c r="AA109" s="2088"/>
      <c r="AB109" s="1808"/>
      <c r="AC109" s="1808"/>
      <c r="AD109" s="1808"/>
      <c r="AE109" s="1808"/>
      <c r="AF109" s="1808"/>
      <c r="AG109" s="1808"/>
      <c r="AH109" s="1808"/>
      <c r="AI109" s="1808"/>
      <c r="AJ109" s="1808"/>
      <c r="AK109" s="1808"/>
      <c r="AL109" s="1808"/>
      <c r="AM109" s="1808"/>
      <c r="AN109" s="1808"/>
      <c r="AO109" s="1808"/>
      <c r="AP109" s="1808"/>
      <c r="AQ109" s="1808"/>
      <c r="AR109" s="1808"/>
      <c r="AS109" s="1808"/>
      <c r="AT109" s="1940"/>
      <c r="AU109" s="109"/>
      <c r="AV109" s="109"/>
      <c r="AW109" s="109"/>
      <c r="AX109" s="109"/>
      <c r="AY109" s="109"/>
      <c r="AZ109" s="109"/>
      <c r="BA109" s="109"/>
      <c r="BB109" s="109"/>
      <c r="BC109" s="109"/>
      <c r="BD109" s="109"/>
      <c r="BE109" s="109"/>
      <c r="BF109" s="109"/>
      <c r="BG109" s="109"/>
      <c r="BH109" s="109"/>
      <c r="BI109" s="109"/>
      <c r="BJ109" s="109"/>
      <c r="BK109" s="109"/>
      <c r="BL109" s="109"/>
      <c r="BM109" s="109"/>
      <c r="BN109" s="109"/>
      <c r="BO109" s="109"/>
      <c r="BP109" s="109"/>
      <c r="BQ109" s="109"/>
      <c r="BR109" s="109"/>
      <c r="BS109" s="109"/>
      <c r="BT109" s="109"/>
      <c r="BU109" s="109"/>
      <c r="BV109" s="109"/>
      <c r="BW109" s="109"/>
      <c r="BX109" s="109"/>
      <c r="BY109" s="109"/>
    </row>
    <row r="110" spans="1:77">
      <c r="A110" s="109"/>
      <c r="B110" s="1821"/>
      <c r="C110" s="1845"/>
      <c r="D110" s="1808"/>
      <c r="E110" s="1808"/>
      <c r="F110" s="1808"/>
      <c r="G110" s="1808"/>
      <c r="H110" s="1808"/>
      <c r="I110" s="1808"/>
      <c r="J110" s="1808"/>
      <c r="K110" s="1809"/>
      <c r="L110" s="1807"/>
      <c r="M110" s="1808"/>
      <c r="N110" s="1809"/>
      <c r="O110" s="1807"/>
      <c r="P110" s="1808"/>
      <c r="Q110" s="1809"/>
      <c r="R110" s="1878"/>
      <c r="S110" s="1808"/>
      <c r="T110" s="1808"/>
      <c r="U110" s="1809"/>
      <c r="V110" s="1878"/>
      <c r="W110" s="1808"/>
      <c r="X110" s="1808"/>
      <c r="Y110" s="1808"/>
      <c r="Z110" s="1809"/>
      <c r="AA110" s="2088"/>
      <c r="AB110" s="1808"/>
      <c r="AC110" s="1808"/>
      <c r="AD110" s="1808"/>
      <c r="AE110" s="1808"/>
      <c r="AF110" s="1808"/>
      <c r="AG110" s="1808"/>
      <c r="AH110" s="1808"/>
      <c r="AI110" s="1808"/>
      <c r="AJ110" s="1808"/>
      <c r="AK110" s="1808"/>
      <c r="AL110" s="1808"/>
      <c r="AM110" s="1808"/>
      <c r="AN110" s="1808"/>
      <c r="AO110" s="1808"/>
      <c r="AP110" s="1808"/>
      <c r="AQ110" s="1808"/>
      <c r="AR110" s="1808"/>
      <c r="AS110" s="1808"/>
      <c r="AT110" s="1940"/>
      <c r="AU110" s="109"/>
      <c r="AV110" s="109"/>
      <c r="AW110" s="109"/>
      <c r="AX110" s="109"/>
      <c r="AY110" s="109"/>
      <c r="AZ110" s="109"/>
      <c r="BA110" s="109"/>
      <c r="BB110" s="109"/>
      <c r="BC110" s="109"/>
      <c r="BD110" s="109"/>
      <c r="BE110" s="109"/>
      <c r="BF110" s="109"/>
      <c r="BG110" s="109"/>
      <c r="BH110" s="109"/>
      <c r="BI110" s="109"/>
      <c r="BJ110" s="109"/>
      <c r="BK110" s="109"/>
      <c r="BL110" s="109"/>
      <c r="BM110" s="109"/>
      <c r="BN110" s="109"/>
      <c r="BO110" s="109"/>
      <c r="BP110" s="109"/>
      <c r="BQ110" s="109"/>
      <c r="BR110" s="109"/>
      <c r="BS110" s="109"/>
      <c r="BT110" s="109"/>
      <c r="BU110" s="109"/>
      <c r="BV110" s="109"/>
      <c r="BW110" s="109"/>
      <c r="BX110" s="109"/>
      <c r="BY110" s="109"/>
    </row>
    <row r="111" spans="1:77">
      <c r="A111" s="109"/>
      <c r="B111" s="1821"/>
      <c r="C111" s="1845"/>
      <c r="D111" s="1808"/>
      <c r="E111" s="1808"/>
      <c r="F111" s="1808"/>
      <c r="G111" s="1808"/>
      <c r="H111" s="1808"/>
      <c r="I111" s="1808"/>
      <c r="J111" s="1808"/>
      <c r="K111" s="1809"/>
      <c r="L111" s="1807"/>
      <c r="M111" s="1808"/>
      <c r="N111" s="1809"/>
      <c r="O111" s="1807"/>
      <c r="P111" s="1808"/>
      <c r="Q111" s="1809"/>
      <c r="R111" s="1878"/>
      <c r="S111" s="1808"/>
      <c r="T111" s="1808"/>
      <c r="U111" s="1809"/>
      <c r="V111" s="1878"/>
      <c r="W111" s="1808"/>
      <c r="X111" s="1808"/>
      <c r="Y111" s="1808"/>
      <c r="Z111" s="1809"/>
      <c r="AA111" s="2088"/>
      <c r="AB111" s="1808"/>
      <c r="AC111" s="1808"/>
      <c r="AD111" s="1808"/>
      <c r="AE111" s="1808"/>
      <c r="AF111" s="1808"/>
      <c r="AG111" s="1808"/>
      <c r="AH111" s="1808"/>
      <c r="AI111" s="1808"/>
      <c r="AJ111" s="1808"/>
      <c r="AK111" s="1808"/>
      <c r="AL111" s="1808"/>
      <c r="AM111" s="1808"/>
      <c r="AN111" s="1808"/>
      <c r="AO111" s="1808"/>
      <c r="AP111" s="1808"/>
      <c r="AQ111" s="1808"/>
      <c r="AR111" s="1808"/>
      <c r="AS111" s="1808"/>
      <c r="AT111" s="1940"/>
      <c r="AU111" s="109"/>
      <c r="AV111" s="109"/>
      <c r="AW111" s="109"/>
      <c r="AX111" s="109"/>
      <c r="AY111" s="109"/>
      <c r="AZ111" s="109"/>
      <c r="BA111" s="109"/>
      <c r="BB111" s="109"/>
      <c r="BC111" s="109"/>
      <c r="BD111" s="109"/>
      <c r="BE111" s="109"/>
      <c r="BF111" s="109"/>
      <c r="BG111" s="109"/>
      <c r="BH111" s="109"/>
      <c r="BI111" s="109"/>
      <c r="BJ111" s="109"/>
      <c r="BK111" s="109"/>
      <c r="BL111" s="109"/>
      <c r="BM111" s="109"/>
      <c r="BN111" s="109"/>
      <c r="BO111" s="109"/>
      <c r="BP111" s="109"/>
      <c r="BQ111" s="109"/>
      <c r="BR111" s="109"/>
      <c r="BS111" s="109"/>
      <c r="BT111" s="109"/>
      <c r="BU111" s="109"/>
      <c r="BV111" s="109"/>
      <c r="BW111" s="109"/>
      <c r="BX111" s="109"/>
      <c r="BY111" s="109"/>
    </row>
    <row r="112" spans="1:77">
      <c r="A112" s="109"/>
      <c r="B112" s="1821"/>
      <c r="C112" s="1845"/>
      <c r="D112" s="1808"/>
      <c r="E112" s="1808"/>
      <c r="F112" s="1808"/>
      <c r="G112" s="1808"/>
      <c r="H112" s="1808"/>
      <c r="I112" s="1808"/>
      <c r="J112" s="1808"/>
      <c r="K112" s="1809"/>
      <c r="L112" s="1807"/>
      <c r="M112" s="1808"/>
      <c r="N112" s="1809"/>
      <c r="O112" s="1807"/>
      <c r="P112" s="1808"/>
      <c r="Q112" s="1809"/>
      <c r="R112" s="1878"/>
      <c r="S112" s="1808"/>
      <c r="T112" s="1808"/>
      <c r="U112" s="1809"/>
      <c r="V112" s="1878"/>
      <c r="W112" s="1808"/>
      <c r="X112" s="1808"/>
      <c r="Y112" s="1808"/>
      <c r="Z112" s="1809"/>
      <c r="AA112" s="2088"/>
      <c r="AB112" s="1808"/>
      <c r="AC112" s="1808"/>
      <c r="AD112" s="1808"/>
      <c r="AE112" s="1808"/>
      <c r="AF112" s="1808"/>
      <c r="AG112" s="1808"/>
      <c r="AH112" s="1808"/>
      <c r="AI112" s="1808"/>
      <c r="AJ112" s="1808"/>
      <c r="AK112" s="1808"/>
      <c r="AL112" s="1808"/>
      <c r="AM112" s="1808"/>
      <c r="AN112" s="1808"/>
      <c r="AO112" s="1808"/>
      <c r="AP112" s="1808"/>
      <c r="AQ112" s="1808"/>
      <c r="AR112" s="1808"/>
      <c r="AS112" s="1808"/>
      <c r="AT112" s="1940"/>
      <c r="AU112" s="109"/>
      <c r="AV112" s="109"/>
      <c r="AW112" s="109"/>
      <c r="AX112" s="109"/>
      <c r="AY112" s="109"/>
      <c r="AZ112" s="109"/>
      <c r="BA112" s="109"/>
      <c r="BB112" s="109"/>
      <c r="BC112" s="109"/>
      <c r="BD112" s="109"/>
      <c r="BE112" s="109"/>
      <c r="BF112" s="109"/>
      <c r="BG112" s="109"/>
      <c r="BH112" s="109"/>
      <c r="BI112" s="109"/>
      <c r="BJ112" s="109"/>
      <c r="BK112" s="109"/>
      <c r="BL112" s="109"/>
      <c r="BM112" s="109"/>
      <c r="BN112" s="109"/>
      <c r="BO112" s="109"/>
      <c r="BP112" s="109"/>
      <c r="BQ112" s="109"/>
      <c r="BR112" s="109"/>
      <c r="BS112" s="109"/>
      <c r="BT112" s="109"/>
      <c r="BU112" s="109"/>
      <c r="BV112" s="109"/>
      <c r="BW112" s="109"/>
      <c r="BX112" s="109"/>
      <c r="BY112" s="109"/>
    </row>
    <row r="113" spans="1:77">
      <c r="A113" s="109"/>
      <c r="B113" s="1821"/>
      <c r="C113" s="1845"/>
      <c r="D113" s="1808"/>
      <c r="E113" s="1808"/>
      <c r="F113" s="1808"/>
      <c r="G113" s="1808"/>
      <c r="H113" s="1808"/>
      <c r="I113" s="1808"/>
      <c r="J113" s="1808"/>
      <c r="K113" s="1809"/>
      <c r="L113" s="1807"/>
      <c r="M113" s="1808"/>
      <c r="N113" s="1809"/>
      <c r="O113" s="1807"/>
      <c r="P113" s="1808"/>
      <c r="Q113" s="1809"/>
      <c r="R113" s="1878"/>
      <c r="S113" s="1808"/>
      <c r="T113" s="1808"/>
      <c r="U113" s="1809"/>
      <c r="V113" s="1878"/>
      <c r="W113" s="1808"/>
      <c r="X113" s="1808"/>
      <c r="Y113" s="1808"/>
      <c r="Z113" s="1809"/>
      <c r="AA113" s="2088"/>
      <c r="AB113" s="1808"/>
      <c r="AC113" s="1808"/>
      <c r="AD113" s="1808"/>
      <c r="AE113" s="1808"/>
      <c r="AF113" s="1808"/>
      <c r="AG113" s="1808"/>
      <c r="AH113" s="1808"/>
      <c r="AI113" s="1808"/>
      <c r="AJ113" s="1808"/>
      <c r="AK113" s="1808"/>
      <c r="AL113" s="1808"/>
      <c r="AM113" s="1808"/>
      <c r="AN113" s="1808"/>
      <c r="AO113" s="1808"/>
      <c r="AP113" s="1808"/>
      <c r="AQ113" s="1808"/>
      <c r="AR113" s="1808"/>
      <c r="AS113" s="1808"/>
      <c r="AT113" s="1940"/>
      <c r="AU113" s="109"/>
      <c r="AV113" s="109"/>
      <c r="AW113" s="109"/>
      <c r="AX113" s="109"/>
      <c r="AY113" s="109"/>
      <c r="AZ113" s="109"/>
      <c r="BA113" s="109"/>
      <c r="BB113" s="109"/>
      <c r="BC113" s="109"/>
      <c r="BD113" s="109"/>
      <c r="BE113" s="109"/>
      <c r="BF113" s="109"/>
      <c r="BG113" s="109"/>
      <c r="BH113" s="109"/>
      <c r="BI113" s="109"/>
      <c r="BJ113" s="109"/>
      <c r="BK113" s="109"/>
      <c r="BL113" s="109"/>
      <c r="BM113" s="109"/>
      <c r="BN113" s="109"/>
      <c r="BO113" s="109"/>
      <c r="BP113" s="109"/>
      <c r="BQ113" s="109"/>
      <c r="BR113" s="109"/>
      <c r="BS113" s="109"/>
      <c r="BT113" s="109"/>
      <c r="BU113" s="109"/>
      <c r="BV113" s="109"/>
      <c r="BW113" s="109"/>
      <c r="BX113" s="109"/>
      <c r="BY113" s="109"/>
    </row>
    <row r="114" spans="1:77">
      <c r="A114" s="109"/>
      <c r="B114" s="1821"/>
      <c r="C114" s="1845"/>
      <c r="D114" s="1808"/>
      <c r="E114" s="1808"/>
      <c r="F114" s="1808"/>
      <c r="G114" s="1808"/>
      <c r="H114" s="1808"/>
      <c r="I114" s="1808"/>
      <c r="J114" s="1808"/>
      <c r="K114" s="1809"/>
      <c r="L114" s="1807"/>
      <c r="M114" s="1808"/>
      <c r="N114" s="1809"/>
      <c r="O114" s="1807"/>
      <c r="P114" s="1808"/>
      <c r="Q114" s="1809"/>
      <c r="R114" s="1878"/>
      <c r="S114" s="1808"/>
      <c r="T114" s="1808"/>
      <c r="U114" s="1809"/>
      <c r="V114" s="1878"/>
      <c r="W114" s="1808"/>
      <c r="X114" s="1808"/>
      <c r="Y114" s="1808"/>
      <c r="Z114" s="1809"/>
      <c r="AA114" s="2088"/>
      <c r="AB114" s="1808"/>
      <c r="AC114" s="1808"/>
      <c r="AD114" s="1808"/>
      <c r="AE114" s="1808"/>
      <c r="AF114" s="1808"/>
      <c r="AG114" s="1808"/>
      <c r="AH114" s="1808"/>
      <c r="AI114" s="1808"/>
      <c r="AJ114" s="1808"/>
      <c r="AK114" s="1808"/>
      <c r="AL114" s="1808"/>
      <c r="AM114" s="1808"/>
      <c r="AN114" s="1808"/>
      <c r="AO114" s="1808"/>
      <c r="AP114" s="1808"/>
      <c r="AQ114" s="1808"/>
      <c r="AR114" s="1808"/>
      <c r="AS114" s="1808"/>
      <c r="AT114" s="1940"/>
      <c r="AU114" s="109"/>
      <c r="AV114" s="109"/>
      <c r="AW114" s="109"/>
      <c r="AX114" s="109"/>
      <c r="AY114" s="109"/>
      <c r="AZ114" s="109"/>
      <c r="BA114" s="109"/>
      <c r="BB114" s="109"/>
      <c r="BC114" s="109"/>
      <c r="BD114" s="109"/>
      <c r="BE114" s="109"/>
      <c r="BF114" s="109"/>
      <c r="BG114" s="109"/>
      <c r="BH114" s="109"/>
      <c r="BI114" s="109"/>
      <c r="BJ114" s="109"/>
      <c r="BK114" s="109"/>
      <c r="BL114" s="109"/>
      <c r="BM114" s="109"/>
      <c r="BN114" s="109"/>
      <c r="BO114" s="109"/>
      <c r="BP114" s="109"/>
      <c r="BQ114" s="109"/>
      <c r="BR114" s="109"/>
      <c r="BS114" s="109"/>
      <c r="BT114" s="109"/>
      <c r="BU114" s="109"/>
      <c r="BV114" s="109"/>
      <c r="BW114" s="109"/>
      <c r="BX114" s="109"/>
      <c r="BY114" s="109"/>
    </row>
    <row r="115" spans="1:77">
      <c r="A115" s="109"/>
      <c r="B115" s="1821"/>
      <c r="C115" s="1845"/>
      <c r="D115" s="1808"/>
      <c r="E115" s="1808"/>
      <c r="F115" s="1808"/>
      <c r="G115" s="1808"/>
      <c r="H115" s="1808"/>
      <c r="I115" s="1808"/>
      <c r="J115" s="1808"/>
      <c r="K115" s="1809"/>
      <c r="L115" s="1807"/>
      <c r="M115" s="1808"/>
      <c r="N115" s="1809"/>
      <c r="O115" s="1807"/>
      <c r="P115" s="1808"/>
      <c r="Q115" s="1809"/>
      <c r="R115" s="1878"/>
      <c r="S115" s="1808"/>
      <c r="T115" s="1808"/>
      <c r="U115" s="1809"/>
      <c r="V115" s="1878"/>
      <c r="W115" s="1808"/>
      <c r="X115" s="1808"/>
      <c r="Y115" s="1808"/>
      <c r="Z115" s="1809"/>
      <c r="AA115" s="2088"/>
      <c r="AB115" s="1808"/>
      <c r="AC115" s="1808"/>
      <c r="AD115" s="1808"/>
      <c r="AE115" s="1808"/>
      <c r="AF115" s="1808"/>
      <c r="AG115" s="1808"/>
      <c r="AH115" s="1808"/>
      <c r="AI115" s="1808"/>
      <c r="AJ115" s="1808"/>
      <c r="AK115" s="1808"/>
      <c r="AL115" s="1808"/>
      <c r="AM115" s="1808"/>
      <c r="AN115" s="1808"/>
      <c r="AO115" s="1808"/>
      <c r="AP115" s="1808"/>
      <c r="AQ115" s="1808"/>
      <c r="AR115" s="1808"/>
      <c r="AS115" s="1808"/>
      <c r="AT115" s="1940"/>
      <c r="AU115" s="109"/>
      <c r="AV115" s="109"/>
      <c r="AW115" s="109"/>
      <c r="AX115" s="109"/>
      <c r="AY115" s="109"/>
      <c r="AZ115" s="109"/>
      <c r="BA115" s="109"/>
      <c r="BB115" s="109"/>
      <c r="BC115" s="109"/>
      <c r="BD115" s="109"/>
      <c r="BE115" s="109"/>
      <c r="BF115" s="109"/>
      <c r="BG115" s="109"/>
      <c r="BH115" s="109"/>
      <c r="BI115" s="109"/>
      <c r="BJ115" s="109"/>
      <c r="BK115" s="109"/>
      <c r="BL115" s="109"/>
      <c r="BM115" s="109"/>
      <c r="BN115" s="109"/>
      <c r="BO115" s="109"/>
      <c r="BP115" s="109"/>
      <c r="BQ115" s="109"/>
      <c r="BR115" s="109"/>
      <c r="BS115" s="109"/>
      <c r="BT115" s="109"/>
      <c r="BU115" s="109"/>
      <c r="BV115" s="109"/>
      <c r="BW115" s="109"/>
      <c r="BX115" s="109"/>
      <c r="BY115" s="109"/>
    </row>
    <row r="116" spans="1:77">
      <c r="A116" s="109"/>
      <c r="B116" s="1821"/>
      <c r="C116" s="1845"/>
      <c r="D116" s="1808"/>
      <c r="E116" s="1808"/>
      <c r="F116" s="1808"/>
      <c r="G116" s="1808"/>
      <c r="H116" s="1808"/>
      <c r="I116" s="1808"/>
      <c r="J116" s="1808"/>
      <c r="K116" s="1809"/>
      <c r="L116" s="1807"/>
      <c r="M116" s="1808"/>
      <c r="N116" s="1809"/>
      <c r="O116" s="1807"/>
      <c r="P116" s="1808"/>
      <c r="Q116" s="1809"/>
      <c r="R116" s="1878"/>
      <c r="S116" s="1808"/>
      <c r="T116" s="1808"/>
      <c r="U116" s="1809"/>
      <c r="V116" s="1878"/>
      <c r="W116" s="1808"/>
      <c r="X116" s="1808"/>
      <c r="Y116" s="1808"/>
      <c r="Z116" s="1809"/>
      <c r="AA116" s="2088"/>
      <c r="AB116" s="1808"/>
      <c r="AC116" s="1808"/>
      <c r="AD116" s="1808"/>
      <c r="AE116" s="1808"/>
      <c r="AF116" s="1808"/>
      <c r="AG116" s="1808"/>
      <c r="AH116" s="1808"/>
      <c r="AI116" s="1808"/>
      <c r="AJ116" s="1808"/>
      <c r="AK116" s="1808"/>
      <c r="AL116" s="1808"/>
      <c r="AM116" s="1808"/>
      <c r="AN116" s="1808"/>
      <c r="AO116" s="1808"/>
      <c r="AP116" s="1808"/>
      <c r="AQ116" s="1808"/>
      <c r="AR116" s="1808"/>
      <c r="AS116" s="1808"/>
      <c r="AT116" s="1940"/>
      <c r="AU116" s="109"/>
      <c r="AV116" s="109"/>
      <c r="AW116" s="109"/>
      <c r="AX116" s="109"/>
      <c r="AY116" s="109"/>
      <c r="AZ116" s="109"/>
      <c r="BA116" s="109"/>
      <c r="BB116" s="109"/>
      <c r="BC116" s="109"/>
      <c r="BD116" s="109"/>
      <c r="BE116" s="109"/>
      <c r="BF116" s="109"/>
      <c r="BG116" s="109"/>
      <c r="BH116" s="109"/>
      <c r="BI116" s="109"/>
      <c r="BJ116" s="109"/>
      <c r="BK116" s="109"/>
      <c r="BL116" s="109"/>
      <c r="BM116" s="109"/>
      <c r="BN116" s="109"/>
      <c r="BO116" s="109"/>
      <c r="BP116" s="109"/>
      <c r="BQ116" s="109"/>
      <c r="BR116" s="109"/>
      <c r="BS116" s="109"/>
      <c r="BT116" s="109"/>
      <c r="BU116" s="109"/>
      <c r="BV116" s="109"/>
      <c r="BW116" s="109"/>
      <c r="BX116" s="109"/>
      <c r="BY116" s="109"/>
    </row>
    <row r="117" spans="1:77">
      <c r="A117" s="109"/>
      <c r="B117" s="1821"/>
      <c r="C117" s="1845"/>
      <c r="D117" s="1808"/>
      <c r="E117" s="1808"/>
      <c r="F117" s="1808"/>
      <c r="G117" s="1808"/>
      <c r="H117" s="1808"/>
      <c r="I117" s="1808"/>
      <c r="J117" s="1808"/>
      <c r="K117" s="1809"/>
      <c r="L117" s="1807"/>
      <c r="M117" s="1808"/>
      <c r="N117" s="1809"/>
      <c r="O117" s="1807"/>
      <c r="P117" s="1808"/>
      <c r="Q117" s="1809"/>
      <c r="R117" s="1878"/>
      <c r="S117" s="1808"/>
      <c r="T117" s="1808"/>
      <c r="U117" s="1809"/>
      <c r="V117" s="1878"/>
      <c r="W117" s="1808"/>
      <c r="X117" s="1808"/>
      <c r="Y117" s="1808"/>
      <c r="Z117" s="1809"/>
      <c r="AA117" s="2088"/>
      <c r="AB117" s="1808"/>
      <c r="AC117" s="1808"/>
      <c r="AD117" s="1808"/>
      <c r="AE117" s="1808"/>
      <c r="AF117" s="1808"/>
      <c r="AG117" s="1808"/>
      <c r="AH117" s="1808"/>
      <c r="AI117" s="1808"/>
      <c r="AJ117" s="1808"/>
      <c r="AK117" s="1808"/>
      <c r="AL117" s="1808"/>
      <c r="AM117" s="1808"/>
      <c r="AN117" s="1808"/>
      <c r="AO117" s="1808"/>
      <c r="AP117" s="1808"/>
      <c r="AQ117" s="1808"/>
      <c r="AR117" s="1808"/>
      <c r="AS117" s="1808"/>
      <c r="AT117" s="1940"/>
      <c r="AU117" s="109"/>
      <c r="AV117" s="109"/>
      <c r="AW117" s="109"/>
      <c r="AX117" s="109"/>
      <c r="AY117" s="109"/>
      <c r="AZ117" s="109"/>
      <c r="BA117" s="109"/>
      <c r="BB117" s="109"/>
      <c r="BC117" s="109"/>
      <c r="BD117" s="109"/>
      <c r="BE117" s="109"/>
      <c r="BF117" s="109"/>
      <c r="BG117" s="109"/>
      <c r="BH117" s="109"/>
      <c r="BI117" s="109"/>
      <c r="BJ117" s="109"/>
      <c r="BK117" s="109"/>
      <c r="BL117" s="109"/>
      <c r="BM117" s="109"/>
      <c r="BN117" s="109"/>
      <c r="BO117" s="109"/>
      <c r="BP117" s="109"/>
      <c r="BQ117" s="109"/>
      <c r="BR117" s="109"/>
      <c r="BS117" s="109"/>
      <c r="BT117" s="109"/>
      <c r="BU117" s="109"/>
      <c r="BV117" s="109"/>
      <c r="BW117" s="109"/>
      <c r="BX117" s="109"/>
      <c r="BY117" s="109"/>
    </row>
    <row r="118" spans="1:77">
      <c r="A118" s="109"/>
      <c r="B118" s="1821"/>
      <c r="C118" s="1845"/>
      <c r="D118" s="1808"/>
      <c r="E118" s="1808"/>
      <c r="F118" s="1808"/>
      <c r="G118" s="1808"/>
      <c r="H118" s="1808"/>
      <c r="I118" s="1808"/>
      <c r="J118" s="1808"/>
      <c r="K118" s="1809"/>
      <c r="L118" s="1807"/>
      <c r="M118" s="1808"/>
      <c r="N118" s="1809"/>
      <c r="O118" s="1807"/>
      <c r="P118" s="1808"/>
      <c r="Q118" s="1809"/>
      <c r="R118" s="1878"/>
      <c r="S118" s="1808"/>
      <c r="T118" s="1808"/>
      <c r="U118" s="1809"/>
      <c r="V118" s="1878"/>
      <c r="W118" s="1808"/>
      <c r="X118" s="1808"/>
      <c r="Y118" s="1808"/>
      <c r="Z118" s="1809"/>
      <c r="AA118" s="2088"/>
      <c r="AB118" s="1808"/>
      <c r="AC118" s="1808"/>
      <c r="AD118" s="1808"/>
      <c r="AE118" s="1808"/>
      <c r="AF118" s="1808"/>
      <c r="AG118" s="1808"/>
      <c r="AH118" s="1808"/>
      <c r="AI118" s="1808"/>
      <c r="AJ118" s="1808"/>
      <c r="AK118" s="1808"/>
      <c r="AL118" s="1808"/>
      <c r="AM118" s="1808"/>
      <c r="AN118" s="1808"/>
      <c r="AO118" s="1808"/>
      <c r="AP118" s="1808"/>
      <c r="AQ118" s="1808"/>
      <c r="AR118" s="1808"/>
      <c r="AS118" s="1808"/>
      <c r="AT118" s="1940"/>
      <c r="AU118" s="109"/>
      <c r="AV118" s="109"/>
      <c r="AW118" s="109"/>
      <c r="AX118" s="109"/>
      <c r="AY118" s="109"/>
      <c r="AZ118" s="109"/>
      <c r="BA118" s="109"/>
      <c r="BB118" s="109"/>
      <c r="BC118" s="109"/>
      <c r="BD118" s="109"/>
      <c r="BE118" s="109"/>
      <c r="BF118" s="109"/>
      <c r="BG118" s="109"/>
      <c r="BH118" s="109"/>
      <c r="BI118" s="109"/>
      <c r="BJ118" s="109"/>
      <c r="BK118" s="109"/>
      <c r="BL118" s="109"/>
      <c r="BM118" s="109"/>
      <c r="BN118" s="109"/>
      <c r="BO118" s="109"/>
      <c r="BP118" s="109"/>
      <c r="BQ118" s="109"/>
      <c r="BR118" s="109"/>
      <c r="BS118" s="109"/>
      <c r="BT118" s="109"/>
      <c r="BU118" s="109"/>
      <c r="BV118" s="109"/>
      <c r="BW118" s="109"/>
      <c r="BX118" s="109"/>
      <c r="BY118" s="109"/>
    </row>
    <row r="119" spans="1:77">
      <c r="A119" s="109"/>
      <c r="B119" s="1821"/>
      <c r="C119" s="1845"/>
      <c r="D119" s="1808"/>
      <c r="E119" s="1808"/>
      <c r="F119" s="1808"/>
      <c r="G119" s="1808"/>
      <c r="H119" s="1808"/>
      <c r="I119" s="1808"/>
      <c r="J119" s="1808"/>
      <c r="K119" s="1809"/>
      <c r="L119" s="1807"/>
      <c r="M119" s="1808"/>
      <c r="N119" s="1809"/>
      <c r="O119" s="1807"/>
      <c r="P119" s="1808"/>
      <c r="Q119" s="1809"/>
      <c r="R119" s="1878"/>
      <c r="S119" s="1808"/>
      <c r="T119" s="1808"/>
      <c r="U119" s="1809"/>
      <c r="V119" s="1878"/>
      <c r="W119" s="1808"/>
      <c r="X119" s="1808"/>
      <c r="Y119" s="1808"/>
      <c r="Z119" s="1809"/>
      <c r="AA119" s="2088"/>
      <c r="AB119" s="1808"/>
      <c r="AC119" s="1808"/>
      <c r="AD119" s="1808"/>
      <c r="AE119" s="1808"/>
      <c r="AF119" s="1808"/>
      <c r="AG119" s="1808"/>
      <c r="AH119" s="1808"/>
      <c r="AI119" s="1808"/>
      <c r="AJ119" s="1808"/>
      <c r="AK119" s="1808"/>
      <c r="AL119" s="1808"/>
      <c r="AM119" s="1808"/>
      <c r="AN119" s="1808"/>
      <c r="AO119" s="1808"/>
      <c r="AP119" s="1808"/>
      <c r="AQ119" s="1808"/>
      <c r="AR119" s="1808"/>
      <c r="AS119" s="1808"/>
      <c r="AT119" s="1940"/>
      <c r="AU119" s="109"/>
      <c r="AV119" s="109"/>
      <c r="AW119" s="109"/>
      <c r="AX119" s="109"/>
      <c r="AY119" s="109"/>
      <c r="AZ119" s="109"/>
      <c r="BA119" s="109"/>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09"/>
      <c r="BX119" s="109"/>
      <c r="BY119" s="109"/>
    </row>
    <row r="120" spans="1:77" ht="16.5" thickBot="1">
      <c r="A120" s="109"/>
      <c r="B120" s="1821"/>
      <c r="C120" s="1895"/>
      <c r="D120" s="1853"/>
      <c r="E120" s="1853"/>
      <c r="F120" s="1853"/>
      <c r="G120" s="1853"/>
      <c r="H120" s="1853"/>
      <c r="I120" s="1853"/>
      <c r="J120" s="1853"/>
      <c r="K120" s="1854"/>
      <c r="L120" s="1919"/>
      <c r="M120" s="1853"/>
      <c r="N120" s="1854"/>
      <c r="O120" s="1919"/>
      <c r="P120" s="1853"/>
      <c r="Q120" s="1854"/>
      <c r="R120" s="1906"/>
      <c r="S120" s="1853"/>
      <c r="T120" s="1853"/>
      <c r="U120" s="1854"/>
      <c r="V120" s="1906"/>
      <c r="W120" s="1853"/>
      <c r="X120" s="1853"/>
      <c r="Y120" s="1853"/>
      <c r="Z120" s="1854"/>
      <c r="AA120" s="2134"/>
      <c r="AB120" s="1853"/>
      <c r="AC120" s="1853"/>
      <c r="AD120" s="1853"/>
      <c r="AE120" s="1853"/>
      <c r="AF120" s="1853"/>
      <c r="AG120" s="1853"/>
      <c r="AH120" s="1853"/>
      <c r="AI120" s="1853"/>
      <c r="AJ120" s="1853"/>
      <c r="AK120" s="1853"/>
      <c r="AL120" s="1853"/>
      <c r="AM120" s="1853"/>
      <c r="AN120" s="1853"/>
      <c r="AO120" s="1853"/>
      <c r="AP120" s="1853"/>
      <c r="AQ120" s="1853"/>
      <c r="AR120" s="1853"/>
      <c r="AS120" s="1853"/>
      <c r="AT120" s="1876"/>
      <c r="AU120" s="109"/>
      <c r="AV120" s="109"/>
      <c r="AW120" s="109"/>
      <c r="AX120" s="109"/>
      <c r="AY120" s="109"/>
      <c r="AZ120" s="109"/>
      <c r="BA120" s="109"/>
      <c r="BB120" s="109"/>
      <c r="BC120" s="109"/>
      <c r="BD120" s="109"/>
      <c r="BE120" s="109"/>
      <c r="BF120" s="109"/>
      <c r="BG120" s="109"/>
      <c r="BH120" s="109"/>
      <c r="BI120" s="109"/>
      <c r="BJ120" s="109"/>
      <c r="BK120" s="109"/>
      <c r="BL120" s="109"/>
      <c r="BM120" s="109"/>
      <c r="BN120" s="109"/>
      <c r="BO120" s="109"/>
      <c r="BP120" s="109"/>
      <c r="BQ120" s="109"/>
      <c r="BR120" s="109"/>
      <c r="BS120" s="109"/>
      <c r="BT120" s="109"/>
      <c r="BU120" s="109"/>
      <c r="BV120" s="109"/>
      <c r="BW120" s="109"/>
      <c r="BX120" s="109"/>
      <c r="BY120" s="109"/>
    </row>
    <row r="121" spans="1:77" ht="16.5" thickBot="1">
      <c r="A121" s="109"/>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c r="BG121" s="109"/>
      <c r="BH121" s="109"/>
      <c r="BI121" s="109"/>
      <c r="BJ121" s="109"/>
      <c r="BK121" s="109"/>
      <c r="BL121" s="109"/>
      <c r="BM121" s="109"/>
      <c r="BN121" s="109"/>
      <c r="BO121" s="109"/>
      <c r="BP121" s="109"/>
      <c r="BQ121" s="109"/>
      <c r="BR121" s="109"/>
      <c r="BS121" s="109"/>
      <c r="BT121" s="109"/>
      <c r="BU121" s="109"/>
      <c r="BV121" s="109"/>
      <c r="BW121" s="109"/>
      <c r="BX121" s="109"/>
      <c r="BY121" s="109"/>
    </row>
    <row r="122" spans="1:77" ht="16.5" thickBot="1">
      <c r="A122" s="109"/>
      <c r="B122" s="1920" t="str">
        <f ca="1">IFERROR(__xludf.DUMMYFUNCTION("""COMPUTED_VALUE"""),"Appearance")</f>
        <v>Appearance</v>
      </c>
      <c r="C122" s="1900" t="str">
        <f ca="1">IFERROR(__xludf.DUMMYFUNCTION("""COMPUTED_VALUE"""),"Gender")</f>
        <v>Gender</v>
      </c>
      <c r="D122" s="1796"/>
      <c r="E122" s="1796"/>
      <c r="F122" s="1799"/>
      <c r="G122" s="2151"/>
      <c r="H122" s="1848"/>
      <c r="I122" s="1848"/>
      <c r="J122" s="1848"/>
      <c r="K122" s="1848"/>
      <c r="L122" s="1849"/>
      <c r="M122" s="116"/>
      <c r="N122" s="1920" t="str">
        <f ca="1">IFERROR(__xludf.DUMMYFUNCTION("""COMPUTED_VALUE"""),"Personality")</f>
        <v>Personality</v>
      </c>
      <c r="O122" s="1923" t="str">
        <f ca="1">IFERROR(__xludf.DUMMYFUNCTION("""COMPUTED_VALUE"""),"Personality Traits")</f>
        <v>Personality Traits</v>
      </c>
      <c r="P122" s="1801"/>
      <c r="Q122" s="1801"/>
      <c r="R122" s="1801"/>
      <c r="S122" s="1801"/>
      <c r="T122" s="1801"/>
      <c r="U122" s="1801"/>
      <c r="V122" s="1802"/>
      <c r="W122" s="2100"/>
      <c r="X122" s="1848"/>
      <c r="Y122" s="1848"/>
      <c r="Z122" s="1848"/>
      <c r="AA122" s="1848"/>
      <c r="AB122" s="1848"/>
      <c r="AC122" s="1848"/>
      <c r="AD122" s="1848"/>
      <c r="AE122" s="1848"/>
      <c r="AF122" s="1848"/>
      <c r="AG122" s="1849"/>
      <c r="AH122" s="123"/>
      <c r="AI122" s="2004" t="str">
        <f ca="1">IFERROR(__xludf.DUMMYFUNCTION("""COMPUTED_VALUE"""),"Encumberance")</f>
        <v>Encumberance</v>
      </c>
      <c r="AJ122" s="1796"/>
      <c r="AK122" s="1796"/>
      <c r="AL122" s="1796"/>
      <c r="AM122" s="1796"/>
      <c r="AN122" s="1796"/>
      <c r="AO122" s="1796"/>
      <c r="AP122" s="1796"/>
      <c r="AQ122" s="1796"/>
      <c r="AR122" s="1796"/>
      <c r="AS122" s="1796"/>
      <c r="AT122" s="1799"/>
      <c r="AU122" s="109"/>
      <c r="AV122" s="109"/>
      <c r="AW122" s="109"/>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row>
    <row r="123" spans="1:77" ht="16.5" thickBot="1">
      <c r="A123" s="109"/>
      <c r="B123" s="1832"/>
      <c r="C123" s="1897" t="str">
        <f ca="1">IFERROR(__xludf.DUMMYFUNCTION("""COMPUTED_VALUE"""),"Age")</f>
        <v>Age</v>
      </c>
      <c r="D123" s="1796"/>
      <c r="E123" s="1796"/>
      <c r="F123" s="1799"/>
      <c r="G123" s="2152"/>
      <c r="H123" s="1808"/>
      <c r="I123" s="1808"/>
      <c r="J123" s="1808"/>
      <c r="K123" s="1808"/>
      <c r="L123" s="1940"/>
      <c r="M123" s="116"/>
      <c r="N123" s="1832"/>
      <c r="O123" s="1803"/>
      <c r="P123" s="1804"/>
      <c r="Q123" s="1804"/>
      <c r="R123" s="1804"/>
      <c r="S123" s="1804"/>
      <c r="T123" s="1804"/>
      <c r="U123" s="1804"/>
      <c r="V123" s="1805"/>
      <c r="W123" s="2076"/>
      <c r="X123" s="1808"/>
      <c r="Y123" s="1808"/>
      <c r="Z123" s="1808"/>
      <c r="AA123" s="1808"/>
      <c r="AB123" s="1808"/>
      <c r="AC123" s="1808"/>
      <c r="AD123" s="1808"/>
      <c r="AE123" s="1808"/>
      <c r="AF123" s="1808"/>
      <c r="AG123" s="1940"/>
      <c r="AH123" s="122"/>
      <c r="AI123" s="2155" t="str">
        <f ca="1">IFERROR(__xludf.DUMMYFUNCTION("""COMPUTED_VALUE"""),"Weight Carried:")</f>
        <v>Weight Carried:</v>
      </c>
      <c r="AJ123" s="1801"/>
      <c r="AK123" s="1801"/>
      <c r="AL123" s="1801"/>
      <c r="AM123" s="1801"/>
      <c r="AN123" s="1802"/>
      <c r="AO123" s="2079"/>
      <c r="AP123" s="1801"/>
      <c r="AQ123" s="1801"/>
      <c r="AR123" s="1801"/>
      <c r="AS123" s="1801"/>
      <c r="AT123" s="1802"/>
      <c r="AU123" s="109"/>
      <c r="AV123" s="109"/>
      <c r="AW123" s="109"/>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row>
    <row r="124" spans="1:77" ht="16.5" thickBot="1">
      <c r="A124" s="109"/>
      <c r="B124" s="1832"/>
      <c r="C124" s="1900" t="str">
        <f ca="1">IFERROR(__xludf.DUMMYFUNCTION("""COMPUTED_VALUE"""),"Height")</f>
        <v>Height</v>
      </c>
      <c r="D124" s="1796"/>
      <c r="E124" s="1796"/>
      <c r="F124" s="1799"/>
      <c r="G124" s="2150"/>
      <c r="H124" s="1808"/>
      <c r="I124" s="1808"/>
      <c r="J124" s="1808"/>
      <c r="K124" s="1808"/>
      <c r="L124" s="1940"/>
      <c r="M124" s="116"/>
      <c r="N124" s="1832"/>
      <c r="O124" s="1907" t="str">
        <f ca="1">IFERROR(__xludf.DUMMYFUNCTION("""COMPUTED_VALUE"""),"Ideal")</f>
        <v>Ideal</v>
      </c>
      <c r="P124" s="1801"/>
      <c r="Q124" s="1802"/>
      <c r="R124" s="2133"/>
      <c r="S124" s="1289"/>
      <c r="T124" s="1289"/>
      <c r="U124" s="1289"/>
      <c r="V124" s="1289"/>
      <c r="W124" s="1289"/>
      <c r="X124" s="1289"/>
      <c r="Y124" s="1289"/>
      <c r="Z124" s="1289"/>
      <c r="AA124" s="1289"/>
      <c r="AB124" s="1289"/>
      <c r="AC124" s="1289"/>
      <c r="AD124" s="1289"/>
      <c r="AE124" s="1289"/>
      <c r="AF124" s="1289"/>
      <c r="AG124" s="1821"/>
      <c r="AH124" s="121"/>
      <c r="AI124" s="1803"/>
      <c r="AJ124" s="1804"/>
      <c r="AK124" s="1804"/>
      <c r="AL124" s="1804"/>
      <c r="AM124" s="1804"/>
      <c r="AN124" s="1805"/>
      <c r="AO124" s="1803"/>
      <c r="AP124" s="1804"/>
      <c r="AQ124" s="1804"/>
      <c r="AR124" s="1804"/>
      <c r="AS124" s="1804"/>
      <c r="AT124" s="1805"/>
      <c r="AU124" s="109"/>
      <c r="AV124" s="109"/>
      <c r="AW124" s="109"/>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row>
    <row r="125" spans="1:77" ht="16.5" thickBot="1">
      <c r="A125" s="109"/>
      <c r="B125" s="1832"/>
      <c r="C125" s="1897" t="str">
        <f ca="1">IFERROR(__xludf.DUMMYFUNCTION("""COMPUTED_VALUE"""),"Weight")</f>
        <v>Weight</v>
      </c>
      <c r="D125" s="1796"/>
      <c r="E125" s="1796"/>
      <c r="F125" s="1799"/>
      <c r="G125" s="2153"/>
      <c r="H125" s="1902"/>
      <c r="I125" s="1902"/>
      <c r="J125" s="1902"/>
      <c r="K125" s="1902"/>
      <c r="L125" s="1903"/>
      <c r="M125" s="116"/>
      <c r="N125" s="1832"/>
      <c r="O125" s="1803"/>
      <c r="P125" s="1804"/>
      <c r="Q125" s="1805"/>
      <c r="R125" s="1904"/>
      <c r="S125" s="1813"/>
      <c r="T125" s="1813"/>
      <c r="U125" s="1813"/>
      <c r="V125" s="1813"/>
      <c r="W125" s="1813"/>
      <c r="X125" s="1813"/>
      <c r="Y125" s="1813"/>
      <c r="Z125" s="1813"/>
      <c r="AA125" s="1813"/>
      <c r="AB125" s="1813"/>
      <c r="AC125" s="1813"/>
      <c r="AD125" s="1813"/>
      <c r="AE125" s="1813"/>
      <c r="AF125" s="1813"/>
      <c r="AG125" s="1905"/>
      <c r="AH125" s="121"/>
      <c r="AI125" s="2095" t="str">
        <f ca="1">IFERROR(__xludf.DUMMYFUNCTION("""COMPUTED_VALUE"""),"Light")</f>
        <v>Light</v>
      </c>
      <c r="AJ125" s="1796"/>
      <c r="AK125" s="1796"/>
      <c r="AL125" s="1796"/>
      <c r="AM125" s="2149" t="str">
        <f ca="1">IFERROR(__xludf.DUMMYFUNCTION("""COMPUTED_VALUE"""),"Medium")</f>
        <v>Medium</v>
      </c>
      <c r="AN125" s="1796"/>
      <c r="AO125" s="1796"/>
      <c r="AP125" s="1796"/>
      <c r="AQ125" s="2095" t="str">
        <f ca="1">IFERROR(__xludf.DUMMYFUNCTION("""COMPUTED_VALUE"""),"Heavy")</f>
        <v>Heavy</v>
      </c>
      <c r="AR125" s="1796"/>
      <c r="AS125" s="1796"/>
      <c r="AT125" s="1799"/>
      <c r="AU125" s="109"/>
      <c r="AV125" s="109"/>
      <c r="AW125" s="109"/>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row>
    <row r="126" spans="1:77" ht="16.5" thickBot="1">
      <c r="A126" s="109"/>
      <c r="B126" s="1832"/>
      <c r="C126" s="1900" t="str">
        <f ca="1">IFERROR(__xludf.DUMMYFUNCTION("""COMPUTED_VALUE"""),"Skin Color")</f>
        <v>Skin Color</v>
      </c>
      <c r="D126" s="1796"/>
      <c r="E126" s="1796"/>
      <c r="F126" s="1796"/>
      <c r="G126" s="1799"/>
      <c r="H126" s="2150"/>
      <c r="I126" s="1808"/>
      <c r="J126" s="1808"/>
      <c r="K126" s="1808"/>
      <c r="L126" s="1940"/>
      <c r="M126" s="116"/>
      <c r="N126" s="1832"/>
      <c r="O126" s="1923" t="str">
        <f ca="1">IFERROR(__xludf.DUMMYFUNCTION("""COMPUTED_VALUE"""),"Bond")</f>
        <v>Bond</v>
      </c>
      <c r="P126" s="1801"/>
      <c r="Q126" s="1802"/>
      <c r="R126" s="2073"/>
      <c r="S126" s="1902"/>
      <c r="T126" s="1902"/>
      <c r="U126" s="1902"/>
      <c r="V126" s="1902"/>
      <c r="W126" s="1902"/>
      <c r="X126" s="1902"/>
      <c r="Y126" s="1902"/>
      <c r="Z126" s="1902"/>
      <c r="AA126" s="1902"/>
      <c r="AB126" s="1902"/>
      <c r="AC126" s="1902"/>
      <c r="AD126" s="1902"/>
      <c r="AE126" s="1902"/>
      <c r="AF126" s="1902"/>
      <c r="AG126" s="1903"/>
      <c r="AH126" s="119"/>
      <c r="AI126" s="1973"/>
      <c r="AJ126" s="1796"/>
      <c r="AK126" s="1796"/>
      <c r="AL126" s="1796"/>
      <c r="AM126" s="1973"/>
      <c r="AN126" s="1796"/>
      <c r="AO126" s="1796"/>
      <c r="AP126" s="1796"/>
      <c r="AQ126" s="1973"/>
      <c r="AR126" s="1796"/>
      <c r="AS126" s="1796"/>
      <c r="AT126" s="1799"/>
      <c r="AU126" s="109"/>
      <c r="AV126" s="109"/>
      <c r="AW126" s="109"/>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row>
    <row r="127" spans="1:77" ht="16.5" thickBot="1">
      <c r="A127" s="109"/>
      <c r="B127" s="1832"/>
      <c r="C127" s="1897" t="str">
        <f ca="1">IFERROR(__xludf.DUMMYFUNCTION("""COMPUTED_VALUE"""),"Hair Color")</f>
        <v>Hair Color</v>
      </c>
      <c r="D127" s="1796"/>
      <c r="E127" s="1796"/>
      <c r="F127" s="1796"/>
      <c r="G127" s="1799"/>
      <c r="H127" s="2150"/>
      <c r="I127" s="1808"/>
      <c r="J127" s="1808"/>
      <c r="K127" s="1808"/>
      <c r="L127" s="1940"/>
      <c r="M127" s="116"/>
      <c r="N127" s="1832"/>
      <c r="O127" s="1803"/>
      <c r="P127" s="1804"/>
      <c r="Q127" s="1805"/>
      <c r="R127" s="1904"/>
      <c r="S127" s="1813"/>
      <c r="T127" s="1813"/>
      <c r="U127" s="1813"/>
      <c r="V127" s="1813"/>
      <c r="W127" s="1813"/>
      <c r="X127" s="1813"/>
      <c r="Y127" s="1813"/>
      <c r="Z127" s="1813"/>
      <c r="AA127" s="1813"/>
      <c r="AB127" s="1813"/>
      <c r="AC127" s="1813"/>
      <c r="AD127" s="1813"/>
      <c r="AE127" s="1813"/>
      <c r="AF127" s="1813"/>
      <c r="AG127" s="1905"/>
      <c r="AH127" s="120"/>
      <c r="AI127" s="119"/>
      <c r="AJ127" s="119"/>
      <c r="AK127" s="119"/>
      <c r="AL127" s="119"/>
      <c r="AM127" s="119"/>
      <c r="AN127" s="119"/>
      <c r="AO127" s="119"/>
      <c r="AP127" s="119"/>
      <c r="AQ127" s="119"/>
      <c r="AR127" s="119"/>
      <c r="AS127" s="119"/>
      <c r="AT127" s="119"/>
      <c r="AU127" s="109"/>
      <c r="AV127" s="109"/>
      <c r="AW127" s="109"/>
      <c r="AX127" s="109"/>
      <c r="AY127" s="109"/>
      <c r="AZ127" s="109"/>
      <c r="BA127" s="109"/>
      <c r="BB127" s="109"/>
      <c r="BC127" s="109"/>
      <c r="BD127" s="109"/>
      <c r="BE127" s="109"/>
      <c r="BF127" s="109"/>
      <c r="BG127" s="109"/>
      <c r="BH127" s="109"/>
      <c r="BI127" s="109"/>
      <c r="BJ127" s="109"/>
      <c r="BK127" s="109"/>
      <c r="BL127" s="109"/>
      <c r="BM127" s="109"/>
      <c r="BN127" s="109"/>
      <c r="BO127" s="109"/>
      <c r="BP127" s="109"/>
      <c r="BQ127" s="109"/>
      <c r="BR127" s="109"/>
      <c r="BS127" s="109"/>
      <c r="BT127" s="109"/>
      <c r="BU127" s="109"/>
      <c r="BV127" s="109"/>
      <c r="BW127" s="109"/>
      <c r="BX127" s="109"/>
      <c r="BY127" s="109"/>
    </row>
    <row r="128" spans="1:77" ht="16.5" thickBot="1">
      <c r="A128" s="109"/>
      <c r="B128" s="1832"/>
      <c r="C128" s="1900" t="str">
        <f ca="1">IFERROR(__xludf.DUMMYFUNCTION("""COMPUTED_VALUE"""),"Eye Color")</f>
        <v>Eye Color</v>
      </c>
      <c r="D128" s="1796"/>
      <c r="E128" s="1796"/>
      <c r="F128" s="1796"/>
      <c r="G128" s="1799"/>
      <c r="H128" s="2154"/>
      <c r="I128" s="1853"/>
      <c r="J128" s="1853"/>
      <c r="K128" s="1853"/>
      <c r="L128" s="1876"/>
      <c r="M128" s="116"/>
      <c r="N128" s="1832"/>
      <c r="O128" s="1907" t="str">
        <f ca="1">IFERROR(__xludf.DUMMYFUNCTION("""COMPUTED_VALUE"""),"Flaw")</f>
        <v>Flaw</v>
      </c>
      <c r="P128" s="1801"/>
      <c r="Q128" s="1802"/>
      <c r="R128" s="2073"/>
      <c r="S128" s="1902"/>
      <c r="T128" s="1902"/>
      <c r="U128" s="1902"/>
      <c r="V128" s="1902"/>
      <c r="W128" s="1902"/>
      <c r="X128" s="1902"/>
      <c r="Y128" s="1902"/>
      <c r="Z128" s="1902"/>
      <c r="AA128" s="1902"/>
      <c r="AB128" s="1902"/>
      <c r="AC128" s="1902"/>
      <c r="AD128" s="1902"/>
      <c r="AE128" s="1902"/>
      <c r="AF128" s="1902"/>
      <c r="AG128" s="1903"/>
      <c r="AH128" s="120"/>
      <c r="AI128" s="119"/>
      <c r="AJ128" s="119"/>
      <c r="AK128" s="119"/>
      <c r="AL128" s="119"/>
      <c r="AM128" s="119"/>
      <c r="AN128" s="119"/>
      <c r="AO128" s="119"/>
      <c r="AP128" s="119"/>
      <c r="AQ128" s="119"/>
      <c r="AR128" s="119"/>
      <c r="AS128" s="119"/>
      <c r="AT128" s="11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c r="BQ128" s="109"/>
      <c r="BR128" s="109"/>
      <c r="BS128" s="109"/>
      <c r="BT128" s="109"/>
      <c r="BU128" s="109"/>
      <c r="BV128" s="109"/>
      <c r="BW128" s="109"/>
      <c r="BX128" s="109"/>
      <c r="BY128" s="109"/>
    </row>
    <row r="129" spans="1:77" ht="16.5" thickBot="1">
      <c r="A129" s="109"/>
      <c r="B129" s="1832"/>
      <c r="C129" s="1896" t="str">
        <f ca="1">IFERROR(__xludf.DUMMYFUNCTION("""COMPUTED_VALUE"""),"Distinguishing Marks")</f>
        <v>Distinguishing Marks</v>
      </c>
      <c r="D129" s="1796"/>
      <c r="E129" s="1796"/>
      <c r="F129" s="1796"/>
      <c r="G129" s="1796"/>
      <c r="H129" s="1796"/>
      <c r="I129" s="1796"/>
      <c r="J129" s="1796"/>
      <c r="K129" s="1796"/>
      <c r="L129" s="1799"/>
      <c r="M129" s="116"/>
      <c r="N129" s="1832"/>
      <c r="O129" s="1811"/>
      <c r="P129" s="1820"/>
      <c r="Q129" s="1821"/>
      <c r="R129" s="1811"/>
      <c r="S129" s="1289"/>
      <c r="T129" s="1289"/>
      <c r="U129" s="1289"/>
      <c r="V129" s="1289"/>
      <c r="W129" s="1289"/>
      <c r="X129" s="1289"/>
      <c r="Y129" s="1289"/>
      <c r="Z129" s="1289"/>
      <c r="AA129" s="1289"/>
      <c r="AB129" s="1289"/>
      <c r="AC129" s="1289"/>
      <c r="AD129" s="1289"/>
      <c r="AE129" s="1289"/>
      <c r="AF129" s="1289"/>
      <c r="AG129" s="1821"/>
      <c r="AH129" s="120"/>
      <c r="AI129" s="119"/>
      <c r="AJ129" s="119"/>
      <c r="AK129" s="119"/>
      <c r="AL129" s="119"/>
      <c r="AM129" s="119"/>
      <c r="AN129" s="119"/>
      <c r="AO129" s="119"/>
      <c r="AP129" s="119"/>
      <c r="AQ129" s="119"/>
      <c r="AR129" s="119"/>
      <c r="AS129" s="119"/>
      <c r="AT129" s="119"/>
      <c r="AU129" s="109"/>
      <c r="AV129" s="109"/>
      <c r="AW129" s="109"/>
      <c r="AX129" s="109"/>
      <c r="AY129" s="109"/>
      <c r="AZ129" s="109"/>
      <c r="BA129" s="109"/>
      <c r="BB129" s="109"/>
      <c r="BC129" s="109"/>
      <c r="BD129" s="109"/>
      <c r="BE129" s="109"/>
      <c r="BF129" s="109"/>
      <c r="BG129" s="109"/>
      <c r="BH129" s="109"/>
      <c r="BI129" s="109"/>
      <c r="BJ129" s="109"/>
      <c r="BK129" s="109"/>
      <c r="BL129" s="109"/>
      <c r="BM129" s="109"/>
      <c r="BN129" s="109"/>
      <c r="BO129" s="109"/>
      <c r="BP129" s="109"/>
      <c r="BQ129" s="109"/>
      <c r="BR129" s="109"/>
      <c r="BS129" s="109"/>
      <c r="BT129" s="109"/>
      <c r="BU129" s="109"/>
      <c r="BV129" s="109"/>
      <c r="BW129" s="109"/>
      <c r="BX129" s="109"/>
      <c r="BY129" s="109"/>
    </row>
    <row r="130" spans="1:77">
      <c r="A130" s="109"/>
      <c r="B130" s="1832"/>
      <c r="C130" s="2078"/>
      <c r="D130" s="1801"/>
      <c r="E130" s="1801"/>
      <c r="F130" s="1801"/>
      <c r="G130" s="1801"/>
      <c r="H130" s="1801"/>
      <c r="I130" s="1801"/>
      <c r="J130" s="1801"/>
      <c r="K130" s="1801"/>
      <c r="L130" s="1802"/>
      <c r="M130" s="116"/>
      <c r="N130" s="1832"/>
      <c r="O130" s="1921" t="str">
        <f ca="1">IFERROR(__xludf.DUMMYFUNCTION("""COMPUTED_VALUE"""),"Background Feature")</f>
        <v>Background Feature</v>
      </c>
      <c r="P130" s="1801"/>
      <c r="Q130" s="1801"/>
      <c r="R130" s="1801"/>
      <c r="S130" s="1801"/>
      <c r="T130" s="1802"/>
      <c r="U130" s="2073"/>
      <c r="V130" s="1902"/>
      <c r="W130" s="1902"/>
      <c r="X130" s="1902"/>
      <c r="Y130" s="1902"/>
      <c r="Z130" s="1902"/>
      <c r="AA130" s="1902"/>
      <c r="AB130" s="1902"/>
      <c r="AC130" s="1902"/>
      <c r="AD130" s="1902"/>
      <c r="AE130" s="1902"/>
      <c r="AF130" s="1902"/>
      <c r="AG130" s="1903"/>
      <c r="AH130" s="120"/>
      <c r="AI130" s="119"/>
      <c r="AJ130" s="119"/>
      <c r="AK130" s="119"/>
      <c r="AL130" s="119"/>
      <c r="AM130" s="119"/>
      <c r="AN130" s="119"/>
      <c r="AO130" s="119"/>
      <c r="AP130" s="119"/>
      <c r="AQ130" s="119"/>
      <c r="AR130" s="119"/>
      <c r="AS130" s="119"/>
      <c r="AT130" s="119"/>
      <c r="AU130" s="109"/>
      <c r="AV130" s="109"/>
      <c r="AW130" s="109"/>
      <c r="AX130" s="109"/>
      <c r="AY130" s="109"/>
      <c r="AZ130" s="109"/>
      <c r="BA130" s="109"/>
      <c r="BB130" s="109"/>
      <c r="BC130" s="109"/>
      <c r="BD130" s="109"/>
      <c r="BE130" s="109"/>
      <c r="BF130" s="109"/>
      <c r="BG130" s="109"/>
      <c r="BH130" s="109"/>
      <c r="BI130" s="109"/>
      <c r="BJ130" s="109"/>
      <c r="BK130" s="109"/>
      <c r="BL130" s="109"/>
      <c r="BM130" s="109"/>
      <c r="BN130" s="109"/>
      <c r="BO130" s="109"/>
      <c r="BP130" s="109"/>
      <c r="BQ130" s="109"/>
      <c r="BR130" s="109"/>
      <c r="BS130" s="109"/>
      <c r="BT130" s="109"/>
      <c r="BU130" s="109"/>
      <c r="BV130" s="109"/>
      <c r="BW130" s="109"/>
      <c r="BX130" s="109"/>
      <c r="BY130" s="109"/>
    </row>
    <row r="131" spans="1:77" ht="16.5" thickBot="1">
      <c r="A131" s="109"/>
      <c r="B131" s="1832"/>
      <c r="C131" s="1811"/>
      <c r="D131" s="1289"/>
      <c r="E131" s="1289"/>
      <c r="F131" s="1289"/>
      <c r="G131" s="1289"/>
      <c r="H131" s="1289"/>
      <c r="I131" s="1289"/>
      <c r="J131" s="1289"/>
      <c r="K131" s="1289"/>
      <c r="L131" s="1821"/>
      <c r="M131" s="116"/>
      <c r="N131" s="1832"/>
      <c r="O131" s="1803"/>
      <c r="P131" s="1804"/>
      <c r="Q131" s="1804"/>
      <c r="R131" s="1804"/>
      <c r="S131" s="1804"/>
      <c r="T131" s="1805"/>
      <c r="U131" s="1904"/>
      <c r="V131" s="1813"/>
      <c r="W131" s="1813"/>
      <c r="X131" s="1813"/>
      <c r="Y131" s="1813"/>
      <c r="Z131" s="1813"/>
      <c r="AA131" s="1813"/>
      <c r="AB131" s="1813"/>
      <c r="AC131" s="1813"/>
      <c r="AD131" s="1813"/>
      <c r="AE131" s="1813"/>
      <c r="AF131" s="1813"/>
      <c r="AG131" s="1905"/>
      <c r="AH131" s="120"/>
      <c r="AI131" s="119"/>
      <c r="AJ131" s="119"/>
      <c r="AK131" s="119"/>
      <c r="AL131" s="119"/>
      <c r="AM131" s="119"/>
      <c r="AN131" s="119"/>
      <c r="AO131" s="119"/>
      <c r="AP131" s="119"/>
      <c r="AQ131" s="119"/>
      <c r="AR131" s="119"/>
      <c r="AS131" s="119"/>
      <c r="AT131" s="119"/>
      <c r="AU131" s="109"/>
      <c r="AV131" s="109"/>
      <c r="AW131" s="109"/>
      <c r="AX131" s="109"/>
      <c r="AY131" s="109"/>
      <c r="AZ131" s="109"/>
      <c r="BA131" s="109"/>
      <c r="BB131" s="109"/>
      <c r="BC131" s="109"/>
      <c r="BD131" s="109"/>
      <c r="BE131" s="109"/>
      <c r="BF131" s="109"/>
      <c r="BG131" s="109"/>
      <c r="BH131" s="109"/>
      <c r="BI131" s="109"/>
      <c r="BJ131" s="109"/>
      <c r="BK131" s="109"/>
      <c r="BL131" s="109"/>
      <c r="BM131" s="109"/>
      <c r="BN131" s="109"/>
      <c r="BO131" s="109"/>
      <c r="BP131" s="109"/>
      <c r="BQ131" s="109"/>
      <c r="BR131" s="109"/>
      <c r="BS131" s="109"/>
      <c r="BT131" s="109"/>
      <c r="BU131" s="109"/>
      <c r="BV131" s="109"/>
      <c r="BW131" s="109"/>
      <c r="BX131" s="109"/>
      <c r="BY131" s="109"/>
    </row>
    <row r="132" spans="1:77" ht="16.5" thickBot="1">
      <c r="A132" s="109"/>
      <c r="B132" s="1833"/>
      <c r="C132" s="1803"/>
      <c r="D132" s="1804"/>
      <c r="E132" s="1804"/>
      <c r="F132" s="1804"/>
      <c r="G132" s="1804"/>
      <c r="H132" s="1804"/>
      <c r="I132" s="1804"/>
      <c r="J132" s="1804"/>
      <c r="K132" s="1804"/>
      <c r="L132" s="1805"/>
      <c r="M132" s="116"/>
      <c r="N132" s="1833"/>
      <c r="O132" s="2080" t="str">
        <f ca="1">IFERROR(__xludf.DUMMYFUNCTION("""COMPUTED_VALUE"""),"Notes")</f>
        <v>Notes</v>
      </c>
      <c r="P132" s="1796"/>
      <c r="Q132" s="1796"/>
      <c r="R132" s="1799"/>
      <c r="S132" s="2077"/>
      <c r="T132" s="1804"/>
      <c r="U132" s="1804"/>
      <c r="V132" s="1804"/>
      <c r="W132" s="1804"/>
      <c r="X132" s="1804"/>
      <c r="Y132" s="1804"/>
      <c r="Z132" s="1804"/>
      <c r="AA132" s="1804"/>
      <c r="AB132" s="1804"/>
      <c r="AC132" s="1804"/>
      <c r="AD132" s="1804"/>
      <c r="AE132" s="1804"/>
      <c r="AF132" s="1804"/>
      <c r="AG132" s="1805"/>
      <c r="AH132" s="118"/>
      <c r="AI132" s="117"/>
      <c r="AJ132" s="117"/>
      <c r="AK132" s="117"/>
      <c r="AL132" s="117"/>
      <c r="AM132" s="117"/>
      <c r="AN132" s="117"/>
      <c r="AO132" s="117"/>
      <c r="AP132" s="117"/>
      <c r="AQ132" s="117"/>
      <c r="AR132" s="117"/>
      <c r="AS132" s="117"/>
      <c r="AT132" s="117"/>
      <c r="AU132" s="109"/>
      <c r="AV132" s="109"/>
      <c r="AW132" s="109"/>
      <c r="AX132" s="109"/>
      <c r="AY132" s="109"/>
      <c r="AZ132" s="109"/>
      <c r="BA132" s="109"/>
      <c r="BB132" s="109"/>
      <c r="BC132" s="109"/>
      <c r="BD132" s="109"/>
      <c r="BE132" s="109"/>
      <c r="BF132" s="109"/>
      <c r="BG132" s="109"/>
      <c r="BH132" s="109"/>
      <c r="BI132" s="109"/>
      <c r="BJ132" s="109"/>
      <c r="BK132" s="109"/>
      <c r="BL132" s="109"/>
      <c r="BM132" s="109"/>
      <c r="BN132" s="109"/>
      <c r="BO132" s="109"/>
      <c r="BP132" s="109"/>
      <c r="BQ132" s="109"/>
      <c r="BR132" s="109"/>
      <c r="BS132" s="109"/>
      <c r="BT132" s="109"/>
      <c r="BU132" s="109"/>
      <c r="BV132" s="109"/>
      <c r="BW132" s="109"/>
      <c r="BX132" s="109"/>
      <c r="BY132" s="109"/>
    </row>
    <row r="133" spans="1:77" ht="16.5" thickBot="1">
      <c r="A133" s="109"/>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09"/>
      <c r="AV133" s="109"/>
      <c r="AW133" s="109"/>
      <c r="AX133" s="109"/>
      <c r="AY133" s="109"/>
      <c r="AZ133" s="109"/>
      <c r="BA133" s="109"/>
      <c r="BB133" s="109"/>
      <c r="BC133" s="109"/>
      <c r="BD133" s="109"/>
      <c r="BE133" s="109"/>
      <c r="BF133" s="109"/>
      <c r="BG133" s="109"/>
      <c r="BH133" s="109"/>
      <c r="BI133" s="109"/>
      <c r="BJ133" s="109"/>
      <c r="BK133" s="109"/>
      <c r="BL133" s="109"/>
      <c r="BM133" s="109"/>
      <c r="BN133" s="109"/>
      <c r="BO133" s="109"/>
      <c r="BP133" s="109"/>
      <c r="BQ133" s="109"/>
      <c r="BR133" s="109"/>
      <c r="BS133" s="109"/>
      <c r="BT133" s="109"/>
      <c r="BU133" s="109"/>
      <c r="BV133" s="109"/>
      <c r="BW133" s="109"/>
      <c r="BX133" s="109"/>
      <c r="BY133" s="109"/>
    </row>
    <row r="134" spans="1:77" ht="16.5" thickBot="1">
      <c r="A134" s="109"/>
      <c r="B134" s="2025" t="str">
        <f ca="1">IFERROR(__xludf.DUMMYFUNCTION("""COMPUTED_VALUE"""),"Notes")</f>
        <v>Notes</v>
      </c>
      <c r="C134" s="1796"/>
      <c r="D134" s="1796"/>
      <c r="E134" s="1796"/>
      <c r="F134" s="1796"/>
      <c r="G134" s="1796"/>
      <c r="H134" s="1796"/>
      <c r="I134" s="1796"/>
      <c r="J134" s="1796"/>
      <c r="K134" s="1796"/>
      <c r="L134" s="1796"/>
      <c r="M134" s="1796"/>
      <c r="N134" s="1796"/>
      <c r="O134" s="1796"/>
      <c r="P134" s="1796"/>
      <c r="Q134" s="1796"/>
      <c r="R134" s="1796"/>
      <c r="S134" s="1796"/>
      <c r="T134" s="1796"/>
      <c r="U134" s="1796"/>
      <c r="V134" s="1799"/>
      <c r="W134" s="116"/>
      <c r="X134" s="1867" t="str">
        <f ca="1">IFERROR(__xludf.DUMMYFUNCTION("""COMPUTED_VALUE"""),"Equipment")</f>
        <v>Equipment</v>
      </c>
      <c r="Y134" s="1796"/>
      <c r="Z134" s="1796"/>
      <c r="AA134" s="1796"/>
      <c r="AB134" s="1796"/>
      <c r="AC134" s="1797"/>
      <c r="AD134" s="1986" t="str">
        <f ca="1">IFERROR(__xludf.DUMMYFUNCTION("""COMPUTED_VALUE"""),"qty")</f>
        <v>qty</v>
      </c>
      <c r="AE134" s="1797"/>
      <c r="AF134" s="2132" t="str">
        <f ca="1">IFERROR(__xludf.DUMMYFUNCTION("""COMPUTED_VALUE"""),"wgt")</f>
        <v>wgt</v>
      </c>
      <c r="AG134" s="1796"/>
      <c r="AH134" s="1799"/>
      <c r="AI134" s="116"/>
      <c r="AJ134" s="1867" t="str">
        <f ca="1">IFERROR(__xludf.DUMMYFUNCTION("""COMPUTED_VALUE"""),"Equipment")</f>
        <v>Equipment</v>
      </c>
      <c r="AK134" s="1796"/>
      <c r="AL134" s="1796"/>
      <c r="AM134" s="1796"/>
      <c r="AN134" s="1796"/>
      <c r="AO134" s="1797"/>
      <c r="AP134" s="1986" t="str">
        <f ca="1">IFERROR(__xludf.DUMMYFUNCTION("""COMPUTED_VALUE"""),"qty")</f>
        <v>qty</v>
      </c>
      <c r="AQ134" s="1797"/>
      <c r="AR134" s="2132" t="str">
        <f ca="1">IFERROR(__xludf.DUMMYFUNCTION("""COMPUTED_VALUE"""),"wgt")</f>
        <v>wgt</v>
      </c>
      <c r="AS134" s="1796"/>
      <c r="AT134" s="1799"/>
      <c r="AU134" s="109"/>
      <c r="AV134" s="109"/>
      <c r="AW134" s="109"/>
      <c r="AX134" s="109"/>
      <c r="AY134" s="109"/>
      <c r="AZ134" s="109"/>
      <c r="BA134" s="109"/>
      <c r="BB134" s="109"/>
      <c r="BC134" s="109"/>
      <c r="BD134" s="109"/>
      <c r="BE134" s="109"/>
      <c r="BF134" s="109"/>
      <c r="BG134" s="109"/>
      <c r="BH134" s="109"/>
      <c r="BI134" s="109"/>
      <c r="BJ134" s="109"/>
      <c r="BK134" s="109"/>
      <c r="BL134" s="109"/>
      <c r="BM134" s="109"/>
      <c r="BN134" s="109"/>
      <c r="BO134" s="109"/>
      <c r="BP134" s="109"/>
      <c r="BQ134" s="109"/>
      <c r="BR134" s="109"/>
      <c r="BS134" s="109"/>
      <c r="BT134" s="109"/>
      <c r="BU134" s="109"/>
      <c r="BV134" s="109"/>
      <c r="BW134" s="109"/>
      <c r="BX134" s="109"/>
      <c r="BY134" s="109"/>
    </row>
    <row r="135" spans="1:77">
      <c r="A135" s="109"/>
      <c r="B135" s="2148"/>
      <c r="C135" s="1801"/>
      <c r="D135" s="1801"/>
      <c r="E135" s="1801"/>
      <c r="F135" s="1801"/>
      <c r="G135" s="1801"/>
      <c r="H135" s="1801"/>
      <c r="I135" s="1801"/>
      <c r="J135" s="1801"/>
      <c r="K135" s="1801"/>
      <c r="L135" s="1801"/>
      <c r="M135" s="1801"/>
      <c r="N135" s="1801"/>
      <c r="O135" s="1801"/>
      <c r="P135" s="1801"/>
      <c r="Q135" s="1801"/>
      <c r="R135" s="1801"/>
      <c r="S135" s="1801"/>
      <c r="T135" s="1801"/>
      <c r="U135" s="1801"/>
      <c r="V135" s="1802"/>
      <c r="W135" s="115"/>
      <c r="X135" s="2075"/>
      <c r="Y135" s="1848"/>
      <c r="Z135" s="1848"/>
      <c r="AA135" s="1848"/>
      <c r="AB135" s="1848"/>
      <c r="AC135" s="1883"/>
      <c r="AD135" s="2074"/>
      <c r="AE135" s="1883"/>
      <c r="AF135" s="2074"/>
      <c r="AG135" s="1848"/>
      <c r="AH135" s="1849"/>
      <c r="AI135" s="115"/>
      <c r="AJ135" s="2075"/>
      <c r="AK135" s="1848"/>
      <c r="AL135" s="1848"/>
      <c r="AM135" s="1848"/>
      <c r="AN135" s="1848"/>
      <c r="AO135" s="1883"/>
      <c r="AP135" s="2074"/>
      <c r="AQ135" s="1883"/>
      <c r="AR135" s="2074"/>
      <c r="AS135" s="1848"/>
      <c r="AT135" s="1849"/>
      <c r="AU135" s="109"/>
      <c r="AV135" s="109"/>
      <c r="AW135" s="109"/>
      <c r="AX135" s="109"/>
      <c r="AY135" s="109"/>
      <c r="AZ135" s="109"/>
      <c r="BA135" s="109"/>
      <c r="BB135" s="109"/>
      <c r="BC135" s="109"/>
      <c r="BD135" s="109"/>
      <c r="BE135" s="109"/>
      <c r="BF135" s="109"/>
      <c r="BG135" s="109"/>
      <c r="BH135" s="109"/>
      <c r="BI135" s="109"/>
      <c r="BJ135" s="109"/>
      <c r="BK135" s="109"/>
      <c r="BL135" s="109"/>
      <c r="BM135" s="109"/>
      <c r="BN135" s="109"/>
      <c r="BO135" s="109"/>
      <c r="BP135" s="109"/>
      <c r="BQ135" s="109"/>
      <c r="BR135" s="109"/>
      <c r="BS135" s="109"/>
      <c r="BT135" s="109"/>
      <c r="BU135" s="109"/>
      <c r="BV135" s="109"/>
      <c r="BW135" s="109"/>
      <c r="BX135" s="109"/>
      <c r="BY135" s="109"/>
    </row>
    <row r="136" spans="1:77">
      <c r="A136" s="109"/>
      <c r="B136" s="1904"/>
      <c r="C136" s="1813"/>
      <c r="D136" s="1813"/>
      <c r="E136" s="1813"/>
      <c r="F136" s="1813"/>
      <c r="G136" s="1813"/>
      <c r="H136" s="1813"/>
      <c r="I136" s="1813"/>
      <c r="J136" s="1813"/>
      <c r="K136" s="1813"/>
      <c r="L136" s="1813"/>
      <c r="M136" s="1813"/>
      <c r="N136" s="1813"/>
      <c r="O136" s="1813"/>
      <c r="P136" s="1813"/>
      <c r="Q136" s="1813"/>
      <c r="R136" s="1813"/>
      <c r="S136" s="1813"/>
      <c r="T136" s="1813"/>
      <c r="U136" s="1813"/>
      <c r="V136" s="1905"/>
      <c r="W136" s="115"/>
      <c r="X136" s="1935"/>
      <c r="Y136" s="1808"/>
      <c r="Z136" s="1808"/>
      <c r="AA136" s="1808"/>
      <c r="AB136" s="1808"/>
      <c r="AC136" s="1809"/>
      <c r="AD136" s="1928"/>
      <c r="AE136" s="1809"/>
      <c r="AF136" s="1928"/>
      <c r="AG136" s="1808"/>
      <c r="AH136" s="1940"/>
      <c r="AI136" s="115"/>
      <c r="AJ136" s="1935"/>
      <c r="AK136" s="1808"/>
      <c r="AL136" s="1808"/>
      <c r="AM136" s="1808"/>
      <c r="AN136" s="1808"/>
      <c r="AO136" s="1809"/>
      <c r="AP136" s="1928"/>
      <c r="AQ136" s="1809"/>
      <c r="AR136" s="1928"/>
      <c r="AS136" s="1808"/>
      <c r="AT136" s="1940"/>
      <c r="AU136" s="109"/>
      <c r="AV136" s="109"/>
      <c r="AW136" s="109"/>
      <c r="AX136" s="109"/>
      <c r="AY136" s="109"/>
      <c r="AZ136" s="109"/>
      <c r="BA136" s="109"/>
      <c r="BB136" s="109"/>
      <c r="BC136" s="109"/>
      <c r="BD136" s="109"/>
      <c r="BE136" s="109"/>
      <c r="BF136" s="109"/>
      <c r="BG136" s="109"/>
      <c r="BH136" s="109"/>
      <c r="BI136" s="109"/>
      <c r="BJ136" s="109"/>
      <c r="BK136" s="109"/>
      <c r="BL136" s="109"/>
      <c r="BM136" s="109"/>
      <c r="BN136" s="109"/>
      <c r="BO136" s="109"/>
      <c r="BP136" s="109"/>
      <c r="BQ136" s="109"/>
      <c r="BR136" s="109"/>
      <c r="BS136" s="109"/>
      <c r="BT136" s="109"/>
      <c r="BU136" s="109"/>
      <c r="BV136" s="109"/>
      <c r="BW136" s="109"/>
      <c r="BX136" s="109"/>
      <c r="BY136" s="109"/>
    </row>
    <row r="137" spans="1:77">
      <c r="A137" s="109"/>
      <c r="B137" s="1901"/>
      <c r="C137" s="1902"/>
      <c r="D137" s="1902"/>
      <c r="E137" s="1902"/>
      <c r="F137" s="1902"/>
      <c r="G137" s="1902"/>
      <c r="H137" s="1902"/>
      <c r="I137" s="1902"/>
      <c r="J137" s="1902"/>
      <c r="K137" s="1902"/>
      <c r="L137" s="1902"/>
      <c r="M137" s="1902"/>
      <c r="N137" s="1902"/>
      <c r="O137" s="1902"/>
      <c r="P137" s="1902"/>
      <c r="Q137" s="1902"/>
      <c r="R137" s="1902"/>
      <c r="S137" s="1902"/>
      <c r="T137" s="1902"/>
      <c r="U137" s="1902"/>
      <c r="V137" s="1903"/>
      <c r="W137" s="115"/>
      <c r="X137" s="1935"/>
      <c r="Y137" s="1808"/>
      <c r="Z137" s="1808"/>
      <c r="AA137" s="1808"/>
      <c r="AB137" s="1808"/>
      <c r="AC137" s="1809"/>
      <c r="AD137" s="1928"/>
      <c r="AE137" s="1809"/>
      <c r="AF137" s="1928"/>
      <c r="AG137" s="1808"/>
      <c r="AH137" s="1940"/>
      <c r="AI137" s="115"/>
      <c r="AJ137" s="1935"/>
      <c r="AK137" s="1808"/>
      <c r="AL137" s="1808"/>
      <c r="AM137" s="1808"/>
      <c r="AN137" s="1808"/>
      <c r="AO137" s="1809"/>
      <c r="AP137" s="1928"/>
      <c r="AQ137" s="1809"/>
      <c r="AR137" s="1928"/>
      <c r="AS137" s="1808"/>
      <c r="AT137" s="1940"/>
      <c r="AU137" s="109"/>
      <c r="AV137" s="109"/>
      <c r="AW137" s="109"/>
      <c r="AX137" s="109"/>
      <c r="AY137" s="109"/>
      <c r="AZ137" s="109"/>
      <c r="BA137" s="109"/>
      <c r="BB137" s="109"/>
      <c r="BC137" s="109"/>
      <c r="BD137" s="109"/>
      <c r="BE137" s="109"/>
      <c r="BF137" s="109"/>
      <c r="BG137" s="109"/>
      <c r="BH137" s="109"/>
      <c r="BI137" s="109"/>
      <c r="BJ137" s="109"/>
      <c r="BK137" s="109"/>
      <c r="BL137" s="109"/>
      <c r="BM137" s="109"/>
      <c r="BN137" s="109"/>
      <c r="BO137" s="109"/>
      <c r="BP137" s="109"/>
      <c r="BQ137" s="109"/>
      <c r="BR137" s="109"/>
      <c r="BS137" s="109"/>
      <c r="BT137" s="109"/>
      <c r="BU137" s="109"/>
      <c r="BV137" s="109"/>
      <c r="BW137" s="109"/>
      <c r="BX137" s="109"/>
      <c r="BY137" s="109"/>
    </row>
    <row r="138" spans="1:77">
      <c r="A138" s="109"/>
      <c r="B138" s="1904"/>
      <c r="C138" s="1813"/>
      <c r="D138" s="1813"/>
      <c r="E138" s="1813"/>
      <c r="F138" s="1813"/>
      <c r="G138" s="1813"/>
      <c r="H138" s="1813"/>
      <c r="I138" s="1813"/>
      <c r="J138" s="1813"/>
      <c r="K138" s="1813"/>
      <c r="L138" s="1813"/>
      <c r="M138" s="1813"/>
      <c r="N138" s="1813"/>
      <c r="O138" s="1813"/>
      <c r="P138" s="1813"/>
      <c r="Q138" s="1813"/>
      <c r="R138" s="1813"/>
      <c r="S138" s="1813"/>
      <c r="T138" s="1813"/>
      <c r="U138" s="1813"/>
      <c r="V138" s="1905"/>
      <c r="W138" s="115"/>
      <c r="X138" s="1935"/>
      <c r="Y138" s="1808"/>
      <c r="Z138" s="1808"/>
      <c r="AA138" s="1808"/>
      <c r="AB138" s="1808"/>
      <c r="AC138" s="1809"/>
      <c r="AD138" s="1928"/>
      <c r="AE138" s="1809"/>
      <c r="AF138" s="1928"/>
      <c r="AG138" s="1808"/>
      <c r="AH138" s="1940"/>
      <c r="AI138" s="115"/>
      <c r="AJ138" s="1935"/>
      <c r="AK138" s="1808"/>
      <c r="AL138" s="1808"/>
      <c r="AM138" s="1808"/>
      <c r="AN138" s="1808"/>
      <c r="AO138" s="1809"/>
      <c r="AP138" s="1928"/>
      <c r="AQ138" s="1809"/>
      <c r="AR138" s="1928"/>
      <c r="AS138" s="1808"/>
      <c r="AT138" s="1940"/>
      <c r="AU138" s="109"/>
      <c r="AV138" s="109"/>
      <c r="AW138" s="109"/>
      <c r="AX138" s="109"/>
      <c r="AY138" s="109"/>
      <c r="AZ138" s="109"/>
      <c r="BA138" s="109"/>
      <c r="BB138" s="109"/>
      <c r="BC138" s="109"/>
      <c r="BD138" s="109"/>
      <c r="BE138" s="109"/>
      <c r="BF138" s="109"/>
      <c r="BG138" s="109"/>
      <c r="BH138" s="109"/>
      <c r="BI138" s="109"/>
      <c r="BJ138" s="109"/>
      <c r="BK138" s="109"/>
      <c r="BL138" s="109"/>
      <c r="BM138" s="109"/>
      <c r="BN138" s="109"/>
      <c r="BO138" s="109"/>
      <c r="BP138" s="109"/>
      <c r="BQ138" s="109"/>
      <c r="BR138" s="109"/>
      <c r="BS138" s="109"/>
      <c r="BT138" s="109"/>
      <c r="BU138" s="109"/>
      <c r="BV138" s="109"/>
      <c r="BW138" s="109"/>
      <c r="BX138" s="109"/>
      <c r="BY138" s="109"/>
    </row>
    <row r="139" spans="1:77">
      <c r="A139" s="109"/>
      <c r="B139" s="1901"/>
      <c r="C139" s="1902"/>
      <c r="D139" s="1902"/>
      <c r="E139" s="1902"/>
      <c r="F139" s="1902"/>
      <c r="G139" s="1902"/>
      <c r="H139" s="1902"/>
      <c r="I139" s="1902"/>
      <c r="J139" s="1902"/>
      <c r="K139" s="1902"/>
      <c r="L139" s="1902"/>
      <c r="M139" s="1902"/>
      <c r="N139" s="1902"/>
      <c r="O139" s="1902"/>
      <c r="P139" s="1902"/>
      <c r="Q139" s="1902"/>
      <c r="R139" s="1902"/>
      <c r="S139" s="1902"/>
      <c r="T139" s="1902"/>
      <c r="U139" s="1902"/>
      <c r="V139" s="1903"/>
      <c r="W139" s="115"/>
      <c r="X139" s="1935"/>
      <c r="Y139" s="1808"/>
      <c r="Z139" s="1808"/>
      <c r="AA139" s="1808"/>
      <c r="AB139" s="1808"/>
      <c r="AC139" s="1809"/>
      <c r="AD139" s="1928"/>
      <c r="AE139" s="1809"/>
      <c r="AF139" s="1928"/>
      <c r="AG139" s="1808"/>
      <c r="AH139" s="1940"/>
      <c r="AI139" s="115"/>
      <c r="AJ139" s="1935"/>
      <c r="AK139" s="1808"/>
      <c r="AL139" s="1808"/>
      <c r="AM139" s="1808"/>
      <c r="AN139" s="1808"/>
      <c r="AO139" s="1809"/>
      <c r="AP139" s="1928"/>
      <c r="AQ139" s="1809"/>
      <c r="AR139" s="1928"/>
      <c r="AS139" s="1808"/>
      <c r="AT139" s="1940"/>
      <c r="AU139" s="109"/>
      <c r="AV139" s="109"/>
      <c r="AW139" s="109"/>
      <c r="AX139" s="109"/>
      <c r="AY139" s="109"/>
      <c r="AZ139" s="109"/>
      <c r="BA139" s="109"/>
      <c r="BB139" s="109"/>
      <c r="BC139" s="109"/>
      <c r="BD139" s="109"/>
      <c r="BE139" s="109"/>
      <c r="BF139" s="109"/>
      <c r="BG139" s="109"/>
      <c r="BH139" s="109"/>
      <c r="BI139" s="109"/>
      <c r="BJ139" s="109"/>
      <c r="BK139" s="109"/>
      <c r="BL139" s="109"/>
      <c r="BM139" s="109"/>
      <c r="BN139" s="109"/>
      <c r="BO139" s="109"/>
      <c r="BP139" s="109"/>
      <c r="BQ139" s="109"/>
      <c r="BR139" s="109"/>
      <c r="BS139" s="109"/>
      <c r="BT139" s="109"/>
      <c r="BU139" s="109"/>
      <c r="BV139" s="109"/>
      <c r="BW139" s="109"/>
      <c r="BX139" s="109"/>
      <c r="BY139" s="109"/>
    </row>
    <row r="140" spans="1:77">
      <c r="A140" s="109"/>
      <c r="B140" s="1904"/>
      <c r="C140" s="1813"/>
      <c r="D140" s="1813"/>
      <c r="E140" s="1813"/>
      <c r="F140" s="1813"/>
      <c r="G140" s="1813"/>
      <c r="H140" s="1813"/>
      <c r="I140" s="1813"/>
      <c r="J140" s="1813"/>
      <c r="K140" s="1813"/>
      <c r="L140" s="1813"/>
      <c r="M140" s="1813"/>
      <c r="N140" s="1813"/>
      <c r="O140" s="1813"/>
      <c r="P140" s="1813"/>
      <c r="Q140" s="1813"/>
      <c r="R140" s="1813"/>
      <c r="S140" s="1813"/>
      <c r="T140" s="1813"/>
      <c r="U140" s="1813"/>
      <c r="V140" s="1905"/>
      <c r="W140" s="115"/>
      <c r="X140" s="1935"/>
      <c r="Y140" s="1808"/>
      <c r="Z140" s="1808"/>
      <c r="AA140" s="1808"/>
      <c r="AB140" s="1808"/>
      <c r="AC140" s="1809"/>
      <c r="AD140" s="1928"/>
      <c r="AE140" s="1809"/>
      <c r="AF140" s="1928"/>
      <c r="AG140" s="1808"/>
      <c r="AH140" s="1940"/>
      <c r="AI140" s="115"/>
      <c r="AJ140" s="1935"/>
      <c r="AK140" s="1808"/>
      <c r="AL140" s="1808"/>
      <c r="AM140" s="1808"/>
      <c r="AN140" s="1808"/>
      <c r="AO140" s="1809"/>
      <c r="AP140" s="1928"/>
      <c r="AQ140" s="1809"/>
      <c r="AR140" s="1928"/>
      <c r="AS140" s="1808"/>
      <c r="AT140" s="1940"/>
      <c r="AU140" s="109"/>
      <c r="AV140" s="109"/>
      <c r="AW140" s="109"/>
      <c r="AX140" s="109"/>
      <c r="AY140" s="109"/>
      <c r="AZ140" s="109"/>
      <c r="BA140" s="109"/>
      <c r="BB140" s="109"/>
      <c r="BC140" s="109"/>
      <c r="BD140" s="109"/>
      <c r="BE140" s="109"/>
      <c r="BF140" s="109"/>
      <c r="BG140" s="109"/>
      <c r="BH140" s="109"/>
      <c r="BI140" s="109"/>
      <c r="BJ140" s="109"/>
      <c r="BK140" s="109"/>
      <c r="BL140" s="109"/>
      <c r="BM140" s="109"/>
      <c r="BN140" s="109"/>
      <c r="BO140" s="109"/>
      <c r="BP140" s="109"/>
      <c r="BQ140" s="109"/>
      <c r="BR140" s="109"/>
      <c r="BS140" s="109"/>
      <c r="BT140" s="109"/>
      <c r="BU140" s="109"/>
      <c r="BV140" s="109"/>
      <c r="BW140" s="109"/>
      <c r="BX140" s="109"/>
      <c r="BY140" s="109"/>
    </row>
    <row r="141" spans="1:77">
      <c r="A141" s="109"/>
      <c r="B141" s="1898"/>
      <c r="C141" s="1289"/>
      <c r="D141" s="1289"/>
      <c r="E141" s="1289"/>
      <c r="F141" s="1289"/>
      <c r="G141" s="1289"/>
      <c r="H141" s="1289"/>
      <c r="I141" s="1289"/>
      <c r="J141" s="1289"/>
      <c r="K141" s="1289"/>
      <c r="L141" s="1289"/>
      <c r="M141" s="1289"/>
      <c r="N141" s="1289"/>
      <c r="O141" s="1289"/>
      <c r="P141" s="1289"/>
      <c r="Q141" s="1289"/>
      <c r="R141" s="1289"/>
      <c r="S141" s="1289"/>
      <c r="T141" s="1289"/>
      <c r="U141" s="1289"/>
      <c r="V141" s="1821"/>
      <c r="W141" s="115"/>
      <c r="X141" s="1935"/>
      <c r="Y141" s="1808"/>
      <c r="Z141" s="1808"/>
      <c r="AA141" s="1808"/>
      <c r="AB141" s="1808"/>
      <c r="AC141" s="1809"/>
      <c r="AD141" s="1928"/>
      <c r="AE141" s="1809"/>
      <c r="AF141" s="1928"/>
      <c r="AG141" s="1808"/>
      <c r="AH141" s="1940"/>
      <c r="AI141" s="115"/>
      <c r="AJ141" s="1935"/>
      <c r="AK141" s="1808"/>
      <c r="AL141" s="1808"/>
      <c r="AM141" s="1808"/>
      <c r="AN141" s="1808"/>
      <c r="AO141" s="1809"/>
      <c r="AP141" s="1928"/>
      <c r="AQ141" s="1809"/>
      <c r="AR141" s="1928"/>
      <c r="AS141" s="1808"/>
      <c r="AT141" s="1940"/>
      <c r="AU141" s="109"/>
      <c r="AV141" s="109"/>
      <c r="AW141" s="109"/>
      <c r="AX141" s="109"/>
      <c r="AY141" s="109"/>
      <c r="AZ141" s="109"/>
      <c r="BA141" s="109"/>
      <c r="BB141" s="109"/>
      <c r="BC141" s="109"/>
      <c r="BD141" s="109"/>
      <c r="BE141" s="109"/>
      <c r="BF141" s="109"/>
      <c r="BG141" s="109"/>
      <c r="BH141" s="109"/>
      <c r="BI141" s="109"/>
      <c r="BJ141" s="109"/>
      <c r="BK141" s="109"/>
      <c r="BL141" s="109"/>
      <c r="BM141" s="109"/>
      <c r="BN141" s="109"/>
      <c r="BO141" s="109"/>
      <c r="BP141" s="109"/>
      <c r="BQ141" s="109"/>
      <c r="BR141" s="109"/>
      <c r="BS141" s="109"/>
      <c r="BT141" s="109"/>
      <c r="BU141" s="109"/>
      <c r="BV141" s="109"/>
      <c r="BW141" s="109"/>
      <c r="BX141" s="109"/>
      <c r="BY141" s="109"/>
    </row>
    <row r="142" spans="1:77">
      <c r="A142" s="109"/>
      <c r="B142" s="1811"/>
      <c r="C142" s="1289"/>
      <c r="D142" s="1289"/>
      <c r="E142" s="1289"/>
      <c r="F142" s="1289"/>
      <c r="G142" s="1289"/>
      <c r="H142" s="1289"/>
      <c r="I142" s="1289"/>
      <c r="J142" s="1289"/>
      <c r="K142" s="1289"/>
      <c r="L142" s="1289"/>
      <c r="M142" s="1289"/>
      <c r="N142" s="1289"/>
      <c r="O142" s="1289"/>
      <c r="P142" s="1289"/>
      <c r="Q142" s="1289"/>
      <c r="R142" s="1289"/>
      <c r="S142" s="1289"/>
      <c r="T142" s="1289"/>
      <c r="U142" s="1289"/>
      <c r="V142" s="1821"/>
      <c r="W142" s="115"/>
      <c r="X142" s="1935"/>
      <c r="Y142" s="1808"/>
      <c r="Z142" s="1808"/>
      <c r="AA142" s="1808"/>
      <c r="AB142" s="1808"/>
      <c r="AC142" s="1809"/>
      <c r="AD142" s="1928"/>
      <c r="AE142" s="1809"/>
      <c r="AF142" s="1928"/>
      <c r="AG142" s="1808"/>
      <c r="AH142" s="1940"/>
      <c r="AI142" s="115"/>
      <c r="AJ142" s="1935"/>
      <c r="AK142" s="1808"/>
      <c r="AL142" s="1808"/>
      <c r="AM142" s="1808"/>
      <c r="AN142" s="1808"/>
      <c r="AO142" s="1809"/>
      <c r="AP142" s="1928"/>
      <c r="AQ142" s="1809"/>
      <c r="AR142" s="1928"/>
      <c r="AS142" s="1808"/>
      <c r="AT142" s="1940"/>
      <c r="AU142" s="109"/>
      <c r="AV142" s="109"/>
      <c r="AW142" s="109"/>
      <c r="AX142" s="109"/>
      <c r="AY142" s="109"/>
      <c r="AZ142" s="109"/>
      <c r="BA142" s="109"/>
      <c r="BB142" s="109"/>
      <c r="BC142" s="109"/>
      <c r="BD142" s="109"/>
      <c r="BE142" s="109"/>
      <c r="BF142" s="109"/>
      <c r="BG142" s="109"/>
      <c r="BH142" s="109"/>
      <c r="BI142" s="109"/>
      <c r="BJ142" s="109"/>
      <c r="BK142" s="109"/>
      <c r="BL142" s="109"/>
      <c r="BM142" s="109"/>
      <c r="BN142" s="109"/>
      <c r="BO142" s="109"/>
      <c r="BP142" s="109"/>
      <c r="BQ142" s="109"/>
      <c r="BR142" s="109"/>
      <c r="BS142" s="109"/>
      <c r="BT142" s="109"/>
      <c r="BU142" s="109"/>
      <c r="BV142" s="109"/>
      <c r="BW142" s="109"/>
      <c r="BX142" s="109"/>
      <c r="BY142" s="109"/>
    </row>
    <row r="143" spans="1:77">
      <c r="A143" s="109"/>
      <c r="B143" s="1901"/>
      <c r="C143" s="1902"/>
      <c r="D143" s="1902"/>
      <c r="E143" s="1902"/>
      <c r="F143" s="1902"/>
      <c r="G143" s="1902"/>
      <c r="H143" s="1902"/>
      <c r="I143" s="1902"/>
      <c r="J143" s="1902"/>
      <c r="K143" s="1902"/>
      <c r="L143" s="1902"/>
      <c r="M143" s="1902"/>
      <c r="N143" s="1902"/>
      <c r="O143" s="1902"/>
      <c r="P143" s="1902"/>
      <c r="Q143" s="1902"/>
      <c r="R143" s="1902"/>
      <c r="S143" s="1902"/>
      <c r="T143" s="1902"/>
      <c r="U143" s="1902"/>
      <c r="V143" s="1903"/>
      <c r="W143" s="115"/>
      <c r="X143" s="1935"/>
      <c r="Y143" s="1808"/>
      <c r="Z143" s="1808"/>
      <c r="AA143" s="1808"/>
      <c r="AB143" s="1808"/>
      <c r="AC143" s="1809"/>
      <c r="AD143" s="1928"/>
      <c r="AE143" s="1809"/>
      <c r="AF143" s="1928"/>
      <c r="AG143" s="1808"/>
      <c r="AH143" s="1940"/>
      <c r="AI143" s="115"/>
      <c r="AJ143" s="1935"/>
      <c r="AK143" s="1808"/>
      <c r="AL143" s="1808"/>
      <c r="AM143" s="1808"/>
      <c r="AN143" s="1808"/>
      <c r="AO143" s="1809"/>
      <c r="AP143" s="1928"/>
      <c r="AQ143" s="1809"/>
      <c r="AR143" s="1928"/>
      <c r="AS143" s="1808"/>
      <c r="AT143" s="1940"/>
      <c r="AU143" s="109"/>
      <c r="AV143" s="109"/>
      <c r="AW143" s="109"/>
      <c r="AX143" s="109"/>
      <c r="AY143" s="109"/>
      <c r="AZ143" s="109"/>
      <c r="BA143" s="109"/>
      <c r="BB143" s="109"/>
      <c r="BC143" s="109"/>
      <c r="BD143" s="109"/>
      <c r="BE143" s="109"/>
      <c r="BF143" s="109"/>
      <c r="BG143" s="109"/>
      <c r="BH143" s="109"/>
      <c r="BI143" s="109"/>
      <c r="BJ143" s="109"/>
      <c r="BK143" s="109"/>
      <c r="BL143" s="109"/>
      <c r="BM143" s="109"/>
      <c r="BN143" s="109"/>
      <c r="BO143" s="109"/>
      <c r="BP143" s="109"/>
      <c r="BQ143" s="109"/>
      <c r="BR143" s="109"/>
      <c r="BS143" s="109"/>
      <c r="BT143" s="109"/>
      <c r="BU143" s="109"/>
      <c r="BV143" s="109"/>
      <c r="BW143" s="109"/>
      <c r="BX143" s="109"/>
      <c r="BY143" s="109"/>
    </row>
    <row r="144" spans="1:77">
      <c r="A144" s="109"/>
      <c r="B144" s="1904"/>
      <c r="C144" s="1813"/>
      <c r="D144" s="1813"/>
      <c r="E144" s="1813"/>
      <c r="F144" s="1813"/>
      <c r="G144" s="1813"/>
      <c r="H144" s="1813"/>
      <c r="I144" s="1813"/>
      <c r="J144" s="1813"/>
      <c r="K144" s="1813"/>
      <c r="L144" s="1813"/>
      <c r="M144" s="1813"/>
      <c r="N144" s="1813"/>
      <c r="O144" s="1813"/>
      <c r="P144" s="1813"/>
      <c r="Q144" s="1813"/>
      <c r="R144" s="1813"/>
      <c r="S144" s="1813"/>
      <c r="T144" s="1813"/>
      <c r="U144" s="1813"/>
      <c r="V144" s="1905"/>
      <c r="W144" s="115"/>
      <c r="X144" s="1935"/>
      <c r="Y144" s="1808"/>
      <c r="Z144" s="1808"/>
      <c r="AA144" s="1808"/>
      <c r="AB144" s="1808"/>
      <c r="AC144" s="1809"/>
      <c r="AD144" s="1928"/>
      <c r="AE144" s="1809"/>
      <c r="AF144" s="1928"/>
      <c r="AG144" s="1808"/>
      <c r="AH144" s="1940"/>
      <c r="AI144" s="115"/>
      <c r="AJ144" s="1935"/>
      <c r="AK144" s="1808"/>
      <c r="AL144" s="1808"/>
      <c r="AM144" s="1808"/>
      <c r="AN144" s="1808"/>
      <c r="AO144" s="1809"/>
      <c r="AP144" s="1928"/>
      <c r="AQ144" s="1809"/>
      <c r="AR144" s="1928"/>
      <c r="AS144" s="1808"/>
      <c r="AT144" s="1940"/>
      <c r="AU144" s="109"/>
      <c r="AV144" s="109"/>
      <c r="AW144" s="109"/>
      <c r="AX144" s="109"/>
      <c r="AY144" s="109"/>
      <c r="AZ144" s="109"/>
      <c r="BA144" s="109"/>
      <c r="BB144" s="109"/>
      <c r="BC144" s="109"/>
      <c r="BD144" s="109"/>
      <c r="BE144" s="109"/>
      <c r="BF144" s="109"/>
      <c r="BG144" s="109"/>
      <c r="BH144" s="109"/>
      <c r="BI144" s="109"/>
      <c r="BJ144" s="109"/>
      <c r="BK144" s="109"/>
      <c r="BL144" s="109"/>
      <c r="BM144" s="109"/>
      <c r="BN144" s="109"/>
      <c r="BO144" s="109"/>
      <c r="BP144" s="109"/>
      <c r="BQ144" s="109"/>
      <c r="BR144" s="109"/>
      <c r="BS144" s="109"/>
      <c r="BT144" s="109"/>
      <c r="BU144" s="109"/>
      <c r="BV144" s="109"/>
      <c r="BW144" s="109"/>
      <c r="BX144" s="109"/>
      <c r="BY144" s="109"/>
    </row>
    <row r="145" spans="1:77">
      <c r="A145" s="109"/>
      <c r="B145" s="1901"/>
      <c r="C145" s="1902"/>
      <c r="D145" s="1902"/>
      <c r="E145" s="1902"/>
      <c r="F145" s="1902"/>
      <c r="G145" s="1902"/>
      <c r="H145" s="1902"/>
      <c r="I145" s="1902"/>
      <c r="J145" s="1902"/>
      <c r="K145" s="1902"/>
      <c r="L145" s="1902"/>
      <c r="M145" s="1902"/>
      <c r="N145" s="1902"/>
      <c r="O145" s="1902"/>
      <c r="P145" s="1902"/>
      <c r="Q145" s="1902"/>
      <c r="R145" s="1902"/>
      <c r="S145" s="1902"/>
      <c r="T145" s="1902"/>
      <c r="U145" s="1902"/>
      <c r="V145" s="1903"/>
      <c r="W145" s="115"/>
      <c r="X145" s="1935"/>
      <c r="Y145" s="1808"/>
      <c r="Z145" s="1808"/>
      <c r="AA145" s="1808"/>
      <c r="AB145" s="1808"/>
      <c r="AC145" s="1809"/>
      <c r="AD145" s="1928"/>
      <c r="AE145" s="1809"/>
      <c r="AF145" s="1928"/>
      <c r="AG145" s="1808"/>
      <c r="AH145" s="1940"/>
      <c r="AI145" s="115"/>
      <c r="AJ145" s="1935"/>
      <c r="AK145" s="1808"/>
      <c r="AL145" s="1808"/>
      <c r="AM145" s="1808"/>
      <c r="AN145" s="1808"/>
      <c r="AO145" s="1809"/>
      <c r="AP145" s="1928"/>
      <c r="AQ145" s="1809"/>
      <c r="AR145" s="1928"/>
      <c r="AS145" s="1808"/>
      <c r="AT145" s="1940"/>
      <c r="AU145" s="109"/>
      <c r="AV145" s="109"/>
      <c r="AW145" s="109"/>
      <c r="AX145" s="109"/>
      <c r="AY145" s="109"/>
      <c r="AZ145" s="109"/>
      <c r="BA145" s="109"/>
      <c r="BB145" s="109"/>
      <c r="BC145" s="109"/>
      <c r="BD145" s="109"/>
      <c r="BE145" s="109"/>
      <c r="BF145" s="109"/>
      <c r="BG145" s="109"/>
      <c r="BH145" s="109"/>
      <c r="BI145" s="109"/>
      <c r="BJ145" s="109"/>
      <c r="BK145" s="109"/>
      <c r="BL145" s="109"/>
      <c r="BM145" s="109"/>
      <c r="BN145" s="109"/>
      <c r="BO145" s="109"/>
      <c r="BP145" s="109"/>
      <c r="BQ145" s="109"/>
      <c r="BR145" s="109"/>
      <c r="BS145" s="109"/>
      <c r="BT145" s="109"/>
      <c r="BU145" s="109"/>
      <c r="BV145" s="109"/>
      <c r="BW145" s="109"/>
      <c r="BX145" s="109"/>
      <c r="BY145" s="109"/>
    </row>
    <row r="146" spans="1:77">
      <c r="A146" s="109"/>
      <c r="B146" s="1904"/>
      <c r="C146" s="1813"/>
      <c r="D146" s="1813"/>
      <c r="E146" s="1813"/>
      <c r="F146" s="1813"/>
      <c r="G146" s="1813"/>
      <c r="H146" s="1813"/>
      <c r="I146" s="1813"/>
      <c r="J146" s="1813"/>
      <c r="K146" s="1813"/>
      <c r="L146" s="1813"/>
      <c r="M146" s="1813"/>
      <c r="N146" s="1813"/>
      <c r="O146" s="1813"/>
      <c r="P146" s="1813"/>
      <c r="Q146" s="1813"/>
      <c r="R146" s="1813"/>
      <c r="S146" s="1813"/>
      <c r="T146" s="1813"/>
      <c r="U146" s="1813"/>
      <c r="V146" s="1905"/>
      <c r="W146" s="115"/>
      <c r="X146" s="1935"/>
      <c r="Y146" s="1808"/>
      <c r="Z146" s="1808"/>
      <c r="AA146" s="1808"/>
      <c r="AB146" s="1808"/>
      <c r="AC146" s="1809"/>
      <c r="AD146" s="1928"/>
      <c r="AE146" s="1809"/>
      <c r="AF146" s="1928"/>
      <c r="AG146" s="1808"/>
      <c r="AH146" s="1940"/>
      <c r="AI146" s="115"/>
      <c r="AJ146" s="1935"/>
      <c r="AK146" s="1808"/>
      <c r="AL146" s="1808"/>
      <c r="AM146" s="1808"/>
      <c r="AN146" s="1808"/>
      <c r="AO146" s="1809"/>
      <c r="AP146" s="1928"/>
      <c r="AQ146" s="1809"/>
      <c r="AR146" s="1928"/>
      <c r="AS146" s="1808"/>
      <c r="AT146" s="1940"/>
      <c r="AU146" s="109"/>
      <c r="AV146" s="109"/>
      <c r="AW146" s="109"/>
      <c r="AX146" s="109"/>
      <c r="AY146" s="109"/>
      <c r="AZ146" s="109"/>
      <c r="BA146" s="109"/>
      <c r="BB146" s="109"/>
      <c r="BC146" s="109"/>
      <c r="BD146" s="109"/>
      <c r="BE146" s="109"/>
      <c r="BF146" s="109"/>
      <c r="BG146" s="109"/>
      <c r="BH146" s="109"/>
      <c r="BI146" s="109"/>
      <c r="BJ146" s="109"/>
      <c r="BK146" s="109"/>
      <c r="BL146" s="109"/>
      <c r="BM146" s="109"/>
      <c r="BN146" s="109"/>
      <c r="BO146" s="109"/>
      <c r="BP146" s="109"/>
      <c r="BQ146" s="109"/>
      <c r="BR146" s="109"/>
      <c r="BS146" s="109"/>
      <c r="BT146" s="109"/>
      <c r="BU146" s="109"/>
      <c r="BV146" s="109"/>
      <c r="BW146" s="109"/>
      <c r="BX146" s="109"/>
      <c r="BY146" s="109"/>
    </row>
    <row r="147" spans="1:77">
      <c r="A147" s="109"/>
      <c r="B147" s="1901"/>
      <c r="C147" s="1902"/>
      <c r="D147" s="1902"/>
      <c r="E147" s="1902"/>
      <c r="F147" s="1902"/>
      <c r="G147" s="1902"/>
      <c r="H147" s="1902"/>
      <c r="I147" s="1902"/>
      <c r="J147" s="1902"/>
      <c r="K147" s="1902"/>
      <c r="L147" s="1902"/>
      <c r="M147" s="1902"/>
      <c r="N147" s="1902"/>
      <c r="O147" s="1902"/>
      <c r="P147" s="1902"/>
      <c r="Q147" s="1902"/>
      <c r="R147" s="1902"/>
      <c r="S147" s="1902"/>
      <c r="T147" s="1902"/>
      <c r="U147" s="1902"/>
      <c r="V147" s="1903"/>
      <c r="W147" s="115"/>
      <c r="X147" s="1935"/>
      <c r="Y147" s="1808"/>
      <c r="Z147" s="1808"/>
      <c r="AA147" s="1808"/>
      <c r="AB147" s="1808"/>
      <c r="AC147" s="1809"/>
      <c r="AD147" s="1928"/>
      <c r="AE147" s="1809"/>
      <c r="AF147" s="1928"/>
      <c r="AG147" s="1808"/>
      <c r="AH147" s="1940"/>
      <c r="AI147" s="115"/>
      <c r="AJ147" s="1935"/>
      <c r="AK147" s="1808"/>
      <c r="AL147" s="1808"/>
      <c r="AM147" s="1808"/>
      <c r="AN147" s="1808"/>
      <c r="AO147" s="1809"/>
      <c r="AP147" s="1928"/>
      <c r="AQ147" s="1809"/>
      <c r="AR147" s="1928"/>
      <c r="AS147" s="1808"/>
      <c r="AT147" s="1940"/>
      <c r="AU147" s="109"/>
      <c r="AV147" s="109"/>
      <c r="AW147" s="109"/>
      <c r="AX147" s="109"/>
      <c r="AY147" s="109"/>
      <c r="AZ147" s="109"/>
      <c r="BA147" s="109"/>
      <c r="BB147" s="109"/>
      <c r="BC147" s="109"/>
      <c r="BD147" s="109"/>
      <c r="BE147" s="109"/>
      <c r="BF147" s="109"/>
      <c r="BG147" s="109"/>
      <c r="BH147" s="109"/>
      <c r="BI147" s="109"/>
      <c r="BJ147" s="109"/>
      <c r="BK147" s="109"/>
      <c r="BL147" s="109"/>
      <c r="BM147" s="109"/>
      <c r="BN147" s="109"/>
      <c r="BO147" s="109"/>
      <c r="BP147" s="109"/>
      <c r="BQ147" s="109"/>
      <c r="BR147" s="109"/>
      <c r="BS147" s="109"/>
      <c r="BT147" s="109"/>
      <c r="BU147" s="109"/>
      <c r="BV147" s="109"/>
      <c r="BW147" s="109"/>
      <c r="BX147" s="109"/>
      <c r="BY147" s="109"/>
    </row>
    <row r="148" spans="1:77">
      <c r="A148" s="109"/>
      <c r="B148" s="1904"/>
      <c r="C148" s="1813"/>
      <c r="D148" s="1813"/>
      <c r="E148" s="1813"/>
      <c r="F148" s="1813"/>
      <c r="G148" s="1813"/>
      <c r="H148" s="1813"/>
      <c r="I148" s="1813"/>
      <c r="J148" s="1813"/>
      <c r="K148" s="1813"/>
      <c r="L148" s="1813"/>
      <c r="M148" s="1813"/>
      <c r="N148" s="1813"/>
      <c r="O148" s="1813"/>
      <c r="P148" s="1813"/>
      <c r="Q148" s="1813"/>
      <c r="R148" s="1813"/>
      <c r="S148" s="1813"/>
      <c r="T148" s="1813"/>
      <c r="U148" s="1813"/>
      <c r="V148" s="1905"/>
      <c r="W148" s="115"/>
      <c r="X148" s="1935"/>
      <c r="Y148" s="1808"/>
      <c r="Z148" s="1808"/>
      <c r="AA148" s="1808"/>
      <c r="AB148" s="1808"/>
      <c r="AC148" s="1809"/>
      <c r="AD148" s="1928"/>
      <c r="AE148" s="1809"/>
      <c r="AF148" s="1928"/>
      <c r="AG148" s="1808"/>
      <c r="AH148" s="1940"/>
      <c r="AI148" s="115"/>
      <c r="AJ148" s="1935"/>
      <c r="AK148" s="1808"/>
      <c r="AL148" s="1808"/>
      <c r="AM148" s="1808"/>
      <c r="AN148" s="1808"/>
      <c r="AO148" s="1809"/>
      <c r="AP148" s="1928"/>
      <c r="AQ148" s="1809"/>
      <c r="AR148" s="1928"/>
      <c r="AS148" s="1808"/>
      <c r="AT148" s="1940"/>
      <c r="AU148" s="109"/>
      <c r="AV148" s="109"/>
      <c r="AW148" s="109"/>
      <c r="AX148" s="109"/>
      <c r="AY148" s="109"/>
      <c r="AZ148" s="109"/>
      <c r="BA148" s="109"/>
      <c r="BB148" s="109"/>
      <c r="BC148" s="109"/>
      <c r="BD148" s="109"/>
      <c r="BE148" s="109"/>
      <c r="BF148" s="109"/>
      <c r="BG148" s="109"/>
      <c r="BH148" s="109"/>
      <c r="BI148" s="109"/>
      <c r="BJ148" s="109"/>
      <c r="BK148" s="109"/>
      <c r="BL148" s="109"/>
      <c r="BM148" s="109"/>
      <c r="BN148" s="109"/>
      <c r="BO148" s="109"/>
      <c r="BP148" s="109"/>
      <c r="BQ148" s="109"/>
      <c r="BR148" s="109"/>
      <c r="BS148" s="109"/>
      <c r="BT148" s="109"/>
      <c r="BU148" s="109"/>
      <c r="BV148" s="109"/>
      <c r="BW148" s="109"/>
      <c r="BX148" s="109"/>
      <c r="BY148" s="109"/>
    </row>
    <row r="149" spans="1:77">
      <c r="A149" s="109"/>
      <c r="B149" s="1901"/>
      <c r="C149" s="1902"/>
      <c r="D149" s="1902"/>
      <c r="E149" s="1902"/>
      <c r="F149" s="1902"/>
      <c r="G149" s="1902"/>
      <c r="H149" s="1902"/>
      <c r="I149" s="1902"/>
      <c r="J149" s="1902"/>
      <c r="K149" s="1902"/>
      <c r="L149" s="1902"/>
      <c r="M149" s="1902"/>
      <c r="N149" s="1902"/>
      <c r="O149" s="1902"/>
      <c r="P149" s="1902"/>
      <c r="Q149" s="1902"/>
      <c r="R149" s="1902"/>
      <c r="S149" s="1902"/>
      <c r="T149" s="1902"/>
      <c r="U149" s="1902"/>
      <c r="V149" s="1903"/>
      <c r="W149" s="115"/>
      <c r="X149" s="1935"/>
      <c r="Y149" s="1808"/>
      <c r="Z149" s="1808"/>
      <c r="AA149" s="1808"/>
      <c r="AB149" s="1808"/>
      <c r="AC149" s="1809"/>
      <c r="AD149" s="1928"/>
      <c r="AE149" s="1809"/>
      <c r="AF149" s="1928"/>
      <c r="AG149" s="1808"/>
      <c r="AH149" s="1940"/>
      <c r="AI149" s="115"/>
      <c r="AJ149" s="1935"/>
      <c r="AK149" s="1808"/>
      <c r="AL149" s="1808"/>
      <c r="AM149" s="1808"/>
      <c r="AN149" s="1808"/>
      <c r="AO149" s="1809"/>
      <c r="AP149" s="1928"/>
      <c r="AQ149" s="1809"/>
      <c r="AR149" s="1928"/>
      <c r="AS149" s="1808"/>
      <c r="AT149" s="1940"/>
      <c r="AU149" s="109"/>
      <c r="AV149" s="109"/>
      <c r="AW149" s="109"/>
      <c r="AX149" s="109"/>
      <c r="AY149" s="109"/>
      <c r="AZ149" s="109"/>
      <c r="BA149" s="109"/>
      <c r="BB149" s="109"/>
      <c r="BC149" s="109"/>
      <c r="BD149" s="109"/>
      <c r="BE149" s="109"/>
      <c r="BF149" s="109"/>
      <c r="BG149" s="109"/>
      <c r="BH149" s="109"/>
      <c r="BI149" s="109"/>
      <c r="BJ149" s="109"/>
      <c r="BK149" s="109"/>
      <c r="BL149" s="109"/>
      <c r="BM149" s="109"/>
      <c r="BN149" s="109"/>
      <c r="BO149" s="109"/>
      <c r="BP149" s="109"/>
      <c r="BQ149" s="109"/>
      <c r="BR149" s="109"/>
      <c r="BS149" s="109"/>
      <c r="BT149" s="109"/>
      <c r="BU149" s="109"/>
      <c r="BV149" s="109"/>
      <c r="BW149" s="109"/>
      <c r="BX149" s="109"/>
      <c r="BY149" s="109"/>
    </row>
    <row r="150" spans="1:77">
      <c r="A150" s="109"/>
      <c r="B150" s="1904"/>
      <c r="C150" s="1813"/>
      <c r="D150" s="1813"/>
      <c r="E150" s="1813"/>
      <c r="F150" s="1813"/>
      <c r="G150" s="1813"/>
      <c r="H150" s="1813"/>
      <c r="I150" s="1813"/>
      <c r="J150" s="1813"/>
      <c r="K150" s="1813"/>
      <c r="L150" s="1813"/>
      <c r="M150" s="1813"/>
      <c r="N150" s="1813"/>
      <c r="O150" s="1813"/>
      <c r="P150" s="1813"/>
      <c r="Q150" s="1813"/>
      <c r="R150" s="1813"/>
      <c r="S150" s="1813"/>
      <c r="T150" s="1813"/>
      <c r="U150" s="1813"/>
      <c r="V150" s="1905"/>
      <c r="W150" s="115"/>
      <c r="X150" s="1935"/>
      <c r="Y150" s="1808"/>
      <c r="Z150" s="1808"/>
      <c r="AA150" s="1808"/>
      <c r="AB150" s="1808"/>
      <c r="AC150" s="1809"/>
      <c r="AD150" s="1928"/>
      <c r="AE150" s="1809"/>
      <c r="AF150" s="1928"/>
      <c r="AG150" s="1808"/>
      <c r="AH150" s="1940"/>
      <c r="AI150" s="115"/>
      <c r="AJ150" s="1935"/>
      <c r="AK150" s="1808"/>
      <c r="AL150" s="1808"/>
      <c r="AM150" s="1808"/>
      <c r="AN150" s="1808"/>
      <c r="AO150" s="1809"/>
      <c r="AP150" s="1928"/>
      <c r="AQ150" s="1809"/>
      <c r="AR150" s="1928"/>
      <c r="AS150" s="1808"/>
      <c r="AT150" s="1940"/>
      <c r="AU150" s="109"/>
      <c r="AV150" s="109"/>
      <c r="AW150" s="109"/>
      <c r="AX150" s="109"/>
      <c r="AY150" s="109"/>
      <c r="AZ150" s="109"/>
      <c r="BA150" s="109"/>
      <c r="BB150" s="109"/>
      <c r="BC150" s="109"/>
      <c r="BD150" s="109"/>
      <c r="BE150" s="109"/>
      <c r="BF150" s="109"/>
      <c r="BG150" s="109"/>
      <c r="BH150" s="109"/>
      <c r="BI150" s="109"/>
      <c r="BJ150" s="109"/>
      <c r="BK150" s="109"/>
      <c r="BL150" s="109"/>
      <c r="BM150" s="109"/>
      <c r="BN150" s="109"/>
      <c r="BO150" s="109"/>
      <c r="BP150" s="109"/>
      <c r="BQ150" s="109"/>
      <c r="BR150" s="109"/>
      <c r="BS150" s="109"/>
      <c r="BT150" s="109"/>
      <c r="BU150" s="109"/>
      <c r="BV150" s="109"/>
      <c r="BW150" s="109"/>
      <c r="BX150" s="109"/>
      <c r="BY150" s="109"/>
    </row>
    <row r="151" spans="1:77">
      <c r="A151" s="109"/>
      <c r="B151" s="1901"/>
      <c r="C151" s="1902"/>
      <c r="D151" s="1902"/>
      <c r="E151" s="1902"/>
      <c r="F151" s="1902"/>
      <c r="G151" s="1902"/>
      <c r="H151" s="1902"/>
      <c r="I151" s="1902"/>
      <c r="J151" s="1902"/>
      <c r="K151" s="1902"/>
      <c r="L151" s="1902"/>
      <c r="M151" s="1902"/>
      <c r="N151" s="1902"/>
      <c r="O151" s="1902"/>
      <c r="P151" s="1902"/>
      <c r="Q151" s="1902"/>
      <c r="R151" s="1902"/>
      <c r="S151" s="1902"/>
      <c r="T151" s="1902"/>
      <c r="U151" s="1902"/>
      <c r="V151" s="1903"/>
      <c r="W151" s="115"/>
      <c r="X151" s="1935"/>
      <c r="Y151" s="1808"/>
      <c r="Z151" s="1808"/>
      <c r="AA151" s="1808"/>
      <c r="AB151" s="1808"/>
      <c r="AC151" s="1809"/>
      <c r="AD151" s="1928"/>
      <c r="AE151" s="1809"/>
      <c r="AF151" s="1928"/>
      <c r="AG151" s="1808"/>
      <c r="AH151" s="1940"/>
      <c r="AI151" s="115"/>
      <c r="AJ151" s="1935"/>
      <c r="AK151" s="1808"/>
      <c r="AL151" s="1808"/>
      <c r="AM151" s="1808"/>
      <c r="AN151" s="1808"/>
      <c r="AO151" s="1809"/>
      <c r="AP151" s="1928"/>
      <c r="AQ151" s="1809"/>
      <c r="AR151" s="1928"/>
      <c r="AS151" s="1808"/>
      <c r="AT151" s="1940"/>
      <c r="AU151" s="109"/>
      <c r="AV151" s="109"/>
      <c r="AW151" s="109"/>
      <c r="AX151" s="109"/>
      <c r="AY151" s="109"/>
      <c r="AZ151" s="109"/>
      <c r="BA151" s="109"/>
      <c r="BB151" s="109"/>
      <c r="BC151" s="109"/>
      <c r="BD151" s="109"/>
      <c r="BE151" s="109"/>
      <c r="BF151" s="109"/>
      <c r="BG151" s="109"/>
      <c r="BH151" s="109"/>
      <c r="BI151" s="109"/>
      <c r="BJ151" s="109"/>
      <c r="BK151" s="109"/>
      <c r="BL151" s="109"/>
      <c r="BM151" s="109"/>
      <c r="BN151" s="109"/>
      <c r="BO151" s="109"/>
      <c r="BP151" s="109"/>
      <c r="BQ151" s="109"/>
      <c r="BR151" s="109"/>
      <c r="BS151" s="109"/>
      <c r="BT151" s="109"/>
      <c r="BU151" s="109"/>
      <c r="BV151" s="109"/>
      <c r="BW151" s="109"/>
      <c r="BX151" s="109"/>
      <c r="BY151" s="109"/>
    </row>
    <row r="152" spans="1:77">
      <c r="A152" s="109"/>
      <c r="B152" s="1904"/>
      <c r="C152" s="1813"/>
      <c r="D152" s="1813"/>
      <c r="E152" s="1813"/>
      <c r="F152" s="1813"/>
      <c r="G152" s="1813"/>
      <c r="H152" s="1813"/>
      <c r="I152" s="1813"/>
      <c r="J152" s="1813"/>
      <c r="K152" s="1813"/>
      <c r="L152" s="1813"/>
      <c r="M152" s="1813"/>
      <c r="N152" s="1813"/>
      <c r="O152" s="1813"/>
      <c r="P152" s="1813"/>
      <c r="Q152" s="1813"/>
      <c r="R152" s="1813"/>
      <c r="S152" s="1813"/>
      <c r="T152" s="1813"/>
      <c r="U152" s="1813"/>
      <c r="V152" s="1905"/>
      <c r="W152" s="115"/>
      <c r="X152" s="1935"/>
      <c r="Y152" s="1808"/>
      <c r="Z152" s="1808"/>
      <c r="AA152" s="1808"/>
      <c r="AB152" s="1808"/>
      <c r="AC152" s="1809"/>
      <c r="AD152" s="1928"/>
      <c r="AE152" s="1809"/>
      <c r="AF152" s="1928"/>
      <c r="AG152" s="1808"/>
      <c r="AH152" s="1940"/>
      <c r="AI152" s="115"/>
      <c r="AJ152" s="1935"/>
      <c r="AK152" s="1808"/>
      <c r="AL152" s="1808"/>
      <c r="AM152" s="1808"/>
      <c r="AN152" s="1808"/>
      <c r="AO152" s="1809"/>
      <c r="AP152" s="1928"/>
      <c r="AQ152" s="1809"/>
      <c r="AR152" s="1928"/>
      <c r="AS152" s="1808"/>
      <c r="AT152" s="1940"/>
      <c r="AU152" s="109"/>
      <c r="AV152" s="109"/>
      <c r="AW152" s="109"/>
      <c r="AX152" s="109"/>
      <c r="AY152" s="109"/>
      <c r="AZ152" s="109"/>
      <c r="BA152" s="109"/>
      <c r="BB152" s="109"/>
      <c r="BC152" s="109"/>
      <c r="BD152" s="109"/>
      <c r="BE152" s="109"/>
      <c r="BF152" s="109"/>
      <c r="BG152" s="109"/>
      <c r="BH152" s="109"/>
      <c r="BI152" s="109"/>
      <c r="BJ152" s="109"/>
      <c r="BK152" s="109"/>
      <c r="BL152" s="109"/>
      <c r="BM152" s="109"/>
      <c r="BN152" s="109"/>
      <c r="BO152" s="109"/>
      <c r="BP152" s="109"/>
      <c r="BQ152" s="109"/>
      <c r="BR152" s="109"/>
      <c r="BS152" s="109"/>
      <c r="BT152" s="109"/>
      <c r="BU152" s="109"/>
      <c r="BV152" s="109"/>
      <c r="BW152" s="109"/>
      <c r="BX152" s="109"/>
      <c r="BY152" s="109"/>
    </row>
    <row r="153" spans="1:77">
      <c r="A153" s="109"/>
      <c r="B153" s="1901"/>
      <c r="C153" s="1902"/>
      <c r="D153" s="1902"/>
      <c r="E153" s="1902"/>
      <c r="F153" s="1902"/>
      <c r="G153" s="1902"/>
      <c r="H153" s="1902"/>
      <c r="I153" s="1902"/>
      <c r="J153" s="1902"/>
      <c r="K153" s="1902"/>
      <c r="L153" s="1902"/>
      <c r="M153" s="1902"/>
      <c r="N153" s="1902"/>
      <c r="O153" s="1902"/>
      <c r="P153" s="1902"/>
      <c r="Q153" s="1902"/>
      <c r="R153" s="1902"/>
      <c r="S153" s="1902"/>
      <c r="T153" s="1902"/>
      <c r="U153" s="1902"/>
      <c r="V153" s="1903"/>
      <c r="W153" s="115"/>
      <c r="X153" s="1935"/>
      <c r="Y153" s="1808"/>
      <c r="Z153" s="1808"/>
      <c r="AA153" s="1808"/>
      <c r="AB153" s="1808"/>
      <c r="AC153" s="1809"/>
      <c r="AD153" s="1928"/>
      <c r="AE153" s="1809"/>
      <c r="AF153" s="1928"/>
      <c r="AG153" s="1808"/>
      <c r="AH153" s="1940"/>
      <c r="AI153" s="115"/>
      <c r="AJ153" s="1935"/>
      <c r="AK153" s="1808"/>
      <c r="AL153" s="1808"/>
      <c r="AM153" s="1808"/>
      <c r="AN153" s="1808"/>
      <c r="AO153" s="1809"/>
      <c r="AP153" s="1928"/>
      <c r="AQ153" s="1809"/>
      <c r="AR153" s="1928"/>
      <c r="AS153" s="1808"/>
      <c r="AT153" s="1940"/>
      <c r="AU153" s="109"/>
      <c r="AV153" s="109"/>
      <c r="AW153" s="109"/>
      <c r="AX153" s="109"/>
      <c r="AY153" s="109"/>
      <c r="AZ153" s="109"/>
      <c r="BA153" s="109"/>
      <c r="BB153" s="109"/>
      <c r="BC153" s="109"/>
      <c r="BD153" s="109"/>
      <c r="BE153" s="109"/>
      <c r="BF153" s="109"/>
      <c r="BG153" s="109"/>
      <c r="BH153" s="109"/>
      <c r="BI153" s="109"/>
      <c r="BJ153" s="109"/>
      <c r="BK153" s="109"/>
      <c r="BL153" s="109"/>
      <c r="BM153" s="109"/>
      <c r="BN153" s="109"/>
      <c r="BO153" s="109"/>
      <c r="BP153" s="109"/>
      <c r="BQ153" s="109"/>
      <c r="BR153" s="109"/>
      <c r="BS153" s="109"/>
      <c r="BT153" s="109"/>
      <c r="BU153" s="109"/>
      <c r="BV153" s="109"/>
      <c r="BW153" s="109"/>
      <c r="BX153" s="109"/>
      <c r="BY153" s="109"/>
    </row>
    <row r="154" spans="1:77" ht="16.5" thickBot="1">
      <c r="A154" s="109"/>
      <c r="B154" s="1803"/>
      <c r="C154" s="1804"/>
      <c r="D154" s="1804"/>
      <c r="E154" s="1804"/>
      <c r="F154" s="1804"/>
      <c r="G154" s="1804"/>
      <c r="H154" s="1804"/>
      <c r="I154" s="1804"/>
      <c r="J154" s="1804"/>
      <c r="K154" s="1804"/>
      <c r="L154" s="1804"/>
      <c r="M154" s="1804"/>
      <c r="N154" s="1804"/>
      <c r="O154" s="1804"/>
      <c r="P154" s="1804"/>
      <c r="Q154" s="1804"/>
      <c r="R154" s="1804"/>
      <c r="S154" s="1804"/>
      <c r="T154" s="1804"/>
      <c r="U154" s="1804"/>
      <c r="V154" s="1805"/>
      <c r="W154" s="115"/>
      <c r="X154" s="1939"/>
      <c r="Y154" s="1853"/>
      <c r="Z154" s="1853"/>
      <c r="AA154" s="1853"/>
      <c r="AB154" s="1853"/>
      <c r="AC154" s="1854"/>
      <c r="AD154" s="1938"/>
      <c r="AE154" s="1854"/>
      <c r="AF154" s="1938"/>
      <c r="AG154" s="1853"/>
      <c r="AH154" s="1876"/>
      <c r="AI154" s="115"/>
      <c r="AJ154" s="1939"/>
      <c r="AK154" s="1853"/>
      <c r="AL154" s="1853"/>
      <c r="AM154" s="1853"/>
      <c r="AN154" s="1853"/>
      <c r="AO154" s="1854"/>
      <c r="AP154" s="1938"/>
      <c r="AQ154" s="1854"/>
      <c r="AR154" s="1938"/>
      <c r="AS154" s="1853"/>
      <c r="AT154" s="1876"/>
      <c r="AU154" s="109"/>
      <c r="AV154" s="109"/>
      <c r="AW154" s="109"/>
      <c r="AX154" s="109"/>
      <c r="AY154" s="109"/>
      <c r="AZ154" s="109"/>
      <c r="BA154" s="109"/>
      <c r="BB154" s="109"/>
      <c r="BC154" s="109"/>
      <c r="BD154" s="109"/>
      <c r="BE154" s="109"/>
      <c r="BF154" s="109"/>
      <c r="BG154" s="109"/>
      <c r="BH154" s="109"/>
      <c r="BI154" s="109"/>
      <c r="BJ154" s="109"/>
      <c r="BK154" s="109"/>
      <c r="BL154" s="109"/>
      <c r="BM154" s="109"/>
      <c r="BN154" s="109"/>
      <c r="BO154" s="109"/>
      <c r="BP154" s="109"/>
      <c r="BQ154" s="109"/>
      <c r="BR154" s="109"/>
      <c r="BS154" s="109"/>
      <c r="BT154" s="109"/>
      <c r="BU154" s="109"/>
      <c r="BV154" s="109"/>
      <c r="BW154" s="109"/>
      <c r="BX154" s="109"/>
      <c r="BY154" s="109"/>
    </row>
    <row r="155" spans="1:77" ht="16.5" thickBot="1">
      <c r="A155" s="109"/>
      <c r="B155" s="1913"/>
      <c r="C155" s="1289"/>
      <c r="D155" s="1289"/>
      <c r="E155" s="1289"/>
      <c r="F155" s="1289"/>
      <c r="G155" s="1289"/>
      <c r="H155" s="1289"/>
      <c r="I155" s="1289"/>
      <c r="J155" s="1289"/>
      <c r="K155" s="1289"/>
      <c r="L155" s="1908"/>
      <c r="M155" s="1289"/>
      <c r="N155" s="1289"/>
      <c r="O155" s="1918"/>
      <c r="P155" s="1289"/>
      <c r="Q155" s="1289"/>
      <c r="R155" s="1918"/>
      <c r="S155" s="1289"/>
      <c r="T155" s="1289"/>
      <c r="U155" s="1289"/>
      <c r="V155" s="1918"/>
      <c r="W155" s="1289"/>
      <c r="X155" s="1289"/>
      <c r="Y155" s="1918"/>
      <c r="Z155" s="1289"/>
      <c r="AA155" s="1289"/>
      <c r="AB155" s="1918"/>
      <c r="AC155" s="1289"/>
      <c r="AD155" s="1289"/>
      <c r="AE155" s="1289"/>
      <c r="AF155" s="1918"/>
      <c r="AG155" s="1289"/>
      <c r="AH155" s="1289"/>
      <c r="AI155" s="1918"/>
      <c r="AJ155" s="1289"/>
      <c r="AK155" s="1289"/>
      <c r="AL155" s="1918"/>
      <c r="AM155" s="1289"/>
      <c r="AN155" s="1289"/>
      <c r="AO155" s="1289"/>
      <c r="AP155" s="1289"/>
      <c r="AQ155" s="1918"/>
      <c r="AR155" s="1289"/>
      <c r="AS155" s="1289"/>
      <c r="AT155" s="1918"/>
      <c r="AU155" s="1289"/>
      <c r="AV155" s="1289"/>
      <c r="AW155" s="1918"/>
      <c r="AX155" s="1289"/>
      <c r="AY155" s="1289"/>
      <c r="AZ155" s="1289"/>
      <c r="BA155" s="1289"/>
      <c r="BB155" s="1946"/>
      <c r="BC155" s="1289"/>
      <c r="BD155" s="114"/>
      <c r="BE155" s="114"/>
      <c r="BF155" s="114"/>
      <c r="BG155" s="114"/>
      <c r="BH155" s="114"/>
      <c r="BI155" s="114"/>
      <c r="BJ155" s="114"/>
      <c r="BK155" s="114"/>
      <c r="BL155" s="114"/>
      <c r="BM155" s="114"/>
      <c r="BN155" s="114"/>
      <c r="BO155" s="114"/>
      <c r="BP155" s="114"/>
      <c r="BQ155" s="114"/>
      <c r="BR155" s="114"/>
      <c r="BS155" s="114"/>
      <c r="BT155" s="114"/>
      <c r="BU155" s="114"/>
      <c r="BV155" s="114"/>
      <c r="BW155" s="114"/>
      <c r="BX155" s="114"/>
      <c r="BY155" s="114"/>
    </row>
    <row r="156" spans="1:77" ht="16.5" thickBot="1">
      <c r="A156" s="113"/>
      <c r="B156" s="1909" t="str">
        <f ca="1">IFERROR(__xludf.DUMMYFUNCTION("""COMPUTED_VALUE"""),"Spell")</f>
        <v>Spell</v>
      </c>
      <c r="C156" s="1910"/>
      <c r="D156" s="1910"/>
      <c r="E156" s="1910"/>
      <c r="F156" s="1910"/>
      <c r="G156" s="1910"/>
      <c r="H156" s="1910"/>
      <c r="I156" s="1910"/>
      <c r="J156" s="1911"/>
      <c r="K156" s="1912" t="str">
        <f ca="1">IFERROR(__xludf.DUMMYFUNCTION("""COMPUTED_VALUE"""),"Level")</f>
        <v>Level</v>
      </c>
      <c r="L156" s="1910"/>
      <c r="M156" s="1936" t="str">
        <f ca="1">IFERROR(__xludf.DUMMYFUNCTION("""COMPUTED_VALUE"""),"Cast. Time")</f>
        <v>Cast. Time</v>
      </c>
      <c r="N156" s="1910"/>
      <c r="O156" s="1910"/>
      <c r="P156" s="1910"/>
      <c r="Q156" s="1936" t="str">
        <f ca="1">IFERROR(__xludf.DUMMYFUNCTION("""COMPUTED_VALUE"""),"Range")</f>
        <v>Range</v>
      </c>
      <c r="R156" s="1910"/>
      <c r="S156" s="1910"/>
      <c r="T156" s="1911"/>
      <c r="U156" s="1965" t="str">
        <f ca="1">IFERROR(__xludf.DUMMYFUNCTION("""COMPUTED_VALUE"""),"Ritual")</f>
        <v>Ritual</v>
      </c>
      <c r="V156" s="1966"/>
      <c r="W156" s="1966"/>
      <c r="X156" s="1936" t="str">
        <f ca="1">IFERROR(__xludf.DUMMYFUNCTION("""COMPUTED_VALUE"""),"Target/Area")</f>
        <v>Target/Area</v>
      </c>
      <c r="Y156" s="1910"/>
      <c r="Z156" s="1910"/>
      <c r="AA156" s="1911"/>
      <c r="AB156" s="1937" t="str">
        <f ca="1">IFERROR(__xludf.DUMMYFUNCTION("""COMPUTED_VALUE"""),"Cons.")</f>
        <v>Cons.</v>
      </c>
      <c r="AC156" s="1910"/>
      <c r="AD156" s="1910"/>
      <c r="AE156" s="1936" t="str">
        <f ca="1">IFERROR(__xludf.DUMMYFUNCTION("""COMPUTED_VALUE"""),"Duration")</f>
        <v>Duration</v>
      </c>
      <c r="AF156" s="1910"/>
      <c r="AG156" s="1911"/>
      <c r="AH156" s="1936" t="str">
        <f ca="1">IFERROR(__xludf.DUMMYFUNCTION("""COMPUTED_VALUE"""),"Atk/Sav")</f>
        <v>Atk/Sav</v>
      </c>
      <c r="AI156" s="1910"/>
      <c r="AJ156" s="1911"/>
      <c r="AK156" s="1936" t="str">
        <f ca="1">IFERROR(__xludf.DUMMYFUNCTION("""COMPUTED_VALUE"""),"Damage Type")</f>
        <v>Damage Type</v>
      </c>
      <c r="AL156" s="1910"/>
      <c r="AM156" s="1910"/>
      <c r="AN156" s="1910"/>
      <c r="AO156" s="1911"/>
      <c r="AP156" s="1937" t="str">
        <f ca="1">IFERROR(__xludf.DUMMYFUNCTION("""COMPUTED_VALUE"""),"Damage/Heal")</f>
        <v>Damage/Heal</v>
      </c>
      <c r="AQ156" s="1910"/>
      <c r="AR156" s="1910"/>
      <c r="AS156" s="1910"/>
      <c r="AT156" s="1910"/>
      <c r="AU156" s="1911"/>
      <c r="AV156" s="1942" t="str">
        <f ca="1">IFERROR(__xludf.DUMMYFUNCTION("""COMPUTED_VALUE"""),"Additional Detail")</f>
        <v>Additional Detail</v>
      </c>
      <c r="AW156" s="1910"/>
      <c r="AX156" s="1910"/>
      <c r="AY156" s="1910"/>
      <c r="AZ156" s="1910"/>
      <c r="BA156" s="1910"/>
      <c r="BB156" s="1910"/>
      <c r="BC156" s="1910"/>
      <c r="BD156" s="1910"/>
      <c r="BE156" s="1910"/>
      <c r="BF156" s="1910"/>
      <c r="BG156" s="1910"/>
      <c r="BH156" s="1910"/>
      <c r="BI156" s="1910"/>
      <c r="BJ156" s="1910"/>
      <c r="BK156" s="1910"/>
      <c r="BL156" s="1943"/>
      <c r="BM156" s="112"/>
      <c r="BN156" s="112"/>
      <c r="BO156" s="112"/>
      <c r="BP156" s="112"/>
      <c r="BQ156" s="112"/>
      <c r="BR156" s="112"/>
      <c r="BS156" s="112"/>
      <c r="BT156" s="112"/>
      <c r="BU156" s="112"/>
      <c r="BV156" s="112"/>
      <c r="BW156" s="112"/>
      <c r="BX156" s="112"/>
      <c r="BY156" s="112"/>
    </row>
    <row r="157" spans="1:77">
      <c r="A157" s="111"/>
      <c r="B157" s="1899"/>
      <c r="C157" s="1289"/>
      <c r="D157" s="1289"/>
      <c r="E157" s="1289"/>
      <c r="F157" s="1289"/>
      <c r="G157" s="1289"/>
      <c r="H157" s="1289"/>
      <c r="I157" s="1289"/>
      <c r="J157" s="1886"/>
      <c r="K157" s="1890"/>
      <c r="L157" s="1289"/>
      <c r="M157" s="1890"/>
      <c r="N157" s="1289"/>
      <c r="O157" s="1289"/>
      <c r="P157" s="1886"/>
      <c r="Q157" s="1890"/>
      <c r="R157" s="1289"/>
      <c r="S157" s="1289"/>
      <c r="T157" s="1886"/>
      <c r="U157" s="1890"/>
      <c r="V157" s="1289"/>
      <c r="W157" s="1886"/>
      <c r="X157" s="1890"/>
      <c r="Y157" s="1289"/>
      <c r="Z157" s="1289"/>
      <c r="AA157" s="1886"/>
      <c r="AB157" s="1941"/>
      <c r="AC157" s="1289"/>
      <c r="AD157" s="1289"/>
      <c r="AE157" s="1890"/>
      <c r="AF157" s="1289"/>
      <c r="AG157" s="1886"/>
      <c r="AH157" s="1890"/>
      <c r="AI157" s="1289"/>
      <c r="AJ157" s="1886"/>
      <c r="AK157" s="1890"/>
      <c r="AL157" s="1289"/>
      <c r="AM157" s="1289"/>
      <c r="AN157" s="1289"/>
      <c r="AO157" s="1886"/>
      <c r="AP157" s="1941"/>
      <c r="AQ157" s="1289"/>
      <c r="AR157" s="1289"/>
      <c r="AS157" s="1289"/>
      <c r="AT157" s="1289"/>
      <c r="AU157" s="1886"/>
      <c r="AV157" s="1947"/>
      <c r="AW157" s="1289"/>
      <c r="AX157" s="1289"/>
      <c r="AY157" s="1289"/>
      <c r="AZ157" s="1289"/>
      <c r="BA157" s="1289"/>
      <c r="BB157" s="1289"/>
      <c r="BC157" s="1289"/>
      <c r="BD157" s="1289"/>
      <c r="BE157" s="1289"/>
      <c r="BF157" s="1289"/>
      <c r="BG157" s="1289"/>
      <c r="BH157" s="1289"/>
      <c r="BI157" s="1289"/>
      <c r="BJ157" s="1289"/>
      <c r="BK157" s="1289"/>
      <c r="BL157" s="1948"/>
    </row>
    <row r="158" spans="1:77">
      <c r="A158" s="111"/>
      <c r="B158" s="1893"/>
      <c r="C158" s="1289"/>
      <c r="D158" s="1289"/>
      <c r="E158" s="1289"/>
      <c r="F158" s="1289"/>
      <c r="G158" s="1289"/>
      <c r="H158" s="1289"/>
      <c r="I158" s="1289"/>
      <c r="J158" s="1888"/>
      <c r="K158" s="1887"/>
      <c r="L158" s="1289"/>
      <c r="M158" s="1887"/>
      <c r="N158" s="1289"/>
      <c r="O158" s="1289"/>
      <c r="P158" s="1888"/>
      <c r="Q158" s="1887"/>
      <c r="R158" s="1289"/>
      <c r="S158" s="1289"/>
      <c r="T158" s="1888"/>
      <c r="U158" s="1887"/>
      <c r="V158" s="1289"/>
      <c r="W158" s="1888"/>
      <c r="X158" s="1887"/>
      <c r="Y158" s="1289"/>
      <c r="Z158" s="1289"/>
      <c r="AA158" s="1888"/>
      <c r="AB158" s="1934"/>
      <c r="AC158" s="1289"/>
      <c r="AD158" s="1289"/>
      <c r="AE158" s="1887"/>
      <c r="AF158" s="1289"/>
      <c r="AG158" s="1888"/>
      <c r="AH158" s="1887"/>
      <c r="AI158" s="1289"/>
      <c r="AJ158" s="1888"/>
      <c r="AK158" s="1887"/>
      <c r="AL158" s="1289"/>
      <c r="AM158" s="1289"/>
      <c r="AN158" s="1289"/>
      <c r="AO158" s="1888"/>
      <c r="AP158" s="1934"/>
      <c r="AQ158" s="1289"/>
      <c r="AR158" s="1289"/>
      <c r="AS158" s="1289"/>
      <c r="AT158" s="1289"/>
      <c r="AU158" s="1888"/>
      <c r="AV158" s="1944"/>
      <c r="AW158" s="1289"/>
      <c r="AX158" s="1289"/>
      <c r="AY158" s="1289"/>
      <c r="AZ158" s="1289"/>
      <c r="BA158" s="1289"/>
      <c r="BB158" s="1289"/>
      <c r="BC158" s="1289"/>
      <c r="BD158" s="1289"/>
      <c r="BE158" s="1289"/>
      <c r="BF158" s="1289"/>
      <c r="BG158" s="1289"/>
      <c r="BH158" s="1289"/>
      <c r="BI158" s="1289"/>
      <c r="BJ158" s="1289"/>
      <c r="BK158" s="1289"/>
      <c r="BL158" s="1945"/>
    </row>
    <row r="159" spans="1:77">
      <c r="A159" s="111"/>
      <c r="B159" s="1899"/>
      <c r="C159" s="1289"/>
      <c r="D159" s="1289"/>
      <c r="E159" s="1289"/>
      <c r="F159" s="1289"/>
      <c r="G159" s="1289"/>
      <c r="H159" s="1289"/>
      <c r="I159" s="1289"/>
      <c r="J159" s="1886"/>
      <c r="K159" s="1890"/>
      <c r="L159" s="1289"/>
      <c r="M159" s="1890"/>
      <c r="N159" s="1289"/>
      <c r="O159" s="1289"/>
      <c r="P159" s="1886"/>
      <c r="Q159" s="1890"/>
      <c r="R159" s="1289"/>
      <c r="S159" s="1289"/>
      <c r="T159" s="1886"/>
      <c r="U159" s="1890"/>
      <c r="V159" s="1289"/>
      <c r="W159" s="1886"/>
      <c r="X159" s="1890"/>
      <c r="Y159" s="1289"/>
      <c r="Z159" s="1289"/>
      <c r="AA159" s="1886"/>
      <c r="AB159" s="1941"/>
      <c r="AC159" s="1289"/>
      <c r="AD159" s="1289"/>
      <c r="AE159" s="1890"/>
      <c r="AF159" s="1289"/>
      <c r="AG159" s="1886"/>
      <c r="AH159" s="1890"/>
      <c r="AI159" s="1289"/>
      <c r="AJ159" s="1886"/>
      <c r="AK159" s="1890"/>
      <c r="AL159" s="1289"/>
      <c r="AM159" s="1289"/>
      <c r="AN159" s="1289"/>
      <c r="AO159" s="1886"/>
      <c r="AP159" s="1941"/>
      <c r="AQ159" s="1289"/>
      <c r="AR159" s="1289"/>
      <c r="AS159" s="1289"/>
      <c r="AT159" s="1289"/>
      <c r="AU159" s="1886"/>
      <c r="AV159" s="1947"/>
      <c r="AW159" s="1289"/>
      <c r="AX159" s="1289"/>
      <c r="AY159" s="1289"/>
      <c r="AZ159" s="1289"/>
      <c r="BA159" s="1289"/>
      <c r="BB159" s="1289"/>
      <c r="BC159" s="1289"/>
      <c r="BD159" s="1289"/>
      <c r="BE159" s="1289"/>
      <c r="BF159" s="1289"/>
      <c r="BG159" s="1289"/>
      <c r="BH159" s="1289"/>
      <c r="BI159" s="1289"/>
      <c r="BJ159" s="1289"/>
      <c r="BK159" s="1289"/>
      <c r="BL159" s="1948"/>
    </row>
    <row r="160" spans="1:77">
      <c r="A160" s="111"/>
      <c r="B160" s="1893"/>
      <c r="C160" s="1289"/>
      <c r="D160" s="1289"/>
      <c r="E160" s="1289"/>
      <c r="F160" s="1289"/>
      <c r="G160" s="1289"/>
      <c r="H160" s="1289"/>
      <c r="I160" s="1289"/>
      <c r="J160" s="1888"/>
      <c r="K160" s="1887"/>
      <c r="L160" s="1289"/>
      <c r="M160" s="1887"/>
      <c r="N160" s="1289"/>
      <c r="O160" s="1289"/>
      <c r="P160" s="1888"/>
      <c r="Q160" s="1887"/>
      <c r="R160" s="1289"/>
      <c r="S160" s="1289"/>
      <c r="T160" s="1888"/>
      <c r="U160" s="1887"/>
      <c r="V160" s="1289"/>
      <c r="W160" s="1888"/>
      <c r="X160" s="1887"/>
      <c r="Y160" s="1289"/>
      <c r="Z160" s="1289"/>
      <c r="AA160" s="1888"/>
      <c r="AB160" s="1934"/>
      <c r="AC160" s="1289"/>
      <c r="AD160" s="1289"/>
      <c r="AE160" s="1887"/>
      <c r="AF160" s="1289"/>
      <c r="AG160" s="1888"/>
      <c r="AH160" s="1887"/>
      <c r="AI160" s="1289"/>
      <c r="AJ160" s="1888"/>
      <c r="AK160" s="1887"/>
      <c r="AL160" s="1289"/>
      <c r="AM160" s="1289"/>
      <c r="AN160" s="1289"/>
      <c r="AO160" s="1888"/>
      <c r="AP160" s="1934"/>
      <c r="AQ160" s="1289"/>
      <c r="AR160" s="1289"/>
      <c r="AS160" s="1289"/>
      <c r="AT160" s="1289"/>
      <c r="AU160" s="1888"/>
      <c r="AV160" s="1944"/>
      <c r="AW160" s="1289"/>
      <c r="AX160" s="1289"/>
      <c r="AY160" s="1289"/>
      <c r="AZ160" s="1289"/>
      <c r="BA160" s="1289"/>
      <c r="BB160" s="1289"/>
      <c r="BC160" s="1289"/>
      <c r="BD160" s="1289"/>
      <c r="BE160" s="1289"/>
      <c r="BF160" s="1289"/>
      <c r="BG160" s="1289"/>
      <c r="BH160" s="1289"/>
      <c r="BI160" s="1289"/>
      <c r="BJ160" s="1289"/>
      <c r="BK160" s="1289"/>
      <c r="BL160" s="1945"/>
    </row>
    <row r="161" spans="1:64">
      <c r="A161" s="111"/>
      <c r="B161" s="1899"/>
      <c r="C161" s="1289"/>
      <c r="D161" s="1289"/>
      <c r="E161" s="1289"/>
      <c r="F161" s="1289"/>
      <c r="G161" s="1289"/>
      <c r="H161" s="1289"/>
      <c r="I161" s="1289"/>
      <c r="J161" s="1886"/>
      <c r="K161" s="1890"/>
      <c r="L161" s="1289"/>
      <c r="M161" s="1890"/>
      <c r="N161" s="1289"/>
      <c r="O161" s="1289"/>
      <c r="P161" s="1886"/>
      <c r="Q161" s="1890"/>
      <c r="R161" s="1289"/>
      <c r="S161" s="1289"/>
      <c r="T161" s="1886"/>
      <c r="U161" s="1890"/>
      <c r="V161" s="1289"/>
      <c r="W161" s="1886"/>
      <c r="X161" s="1890"/>
      <c r="Y161" s="1289"/>
      <c r="Z161" s="1289"/>
      <c r="AA161" s="1886"/>
      <c r="AB161" s="1941"/>
      <c r="AC161" s="1289"/>
      <c r="AD161" s="1289"/>
      <c r="AE161" s="1890"/>
      <c r="AF161" s="1289"/>
      <c r="AG161" s="1886"/>
      <c r="AH161" s="1890"/>
      <c r="AI161" s="1289"/>
      <c r="AJ161" s="1886"/>
      <c r="AK161" s="1890"/>
      <c r="AL161" s="1289"/>
      <c r="AM161" s="1289"/>
      <c r="AN161" s="1289"/>
      <c r="AO161" s="1886"/>
      <c r="AP161" s="1941"/>
      <c r="AQ161" s="1289"/>
      <c r="AR161" s="1289"/>
      <c r="AS161" s="1289"/>
      <c r="AT161" s="1289"/>
      <c r="AU161" s="1886"/>
      <c r="AV161" s="1947"/>
      <c r="AW161" s="1289"/>
      <c r="AX161" s="1289"/>
      <c r="AY161" s="1289"/>
      <c r="AZ161" s="1289"/>
      <c r="BA161" s="1289"/>
      <c r="BB161" s="1289"/>
      <c r="BC161" s="1289"/>
      <c r="BD161" s="1289"/>
      <c r="BE161" s="1289"/>
      <c r="BF161" s="1289"/>
      <c r="BG161" s="1289"/>
      <c r="BH161" s="1289"/>
      <c r="BI161" s="1289"/>
      <c r="BJ161" s="1289"/>
      <c r="BK161" s="1289"/>
      <c r="BL161" s="1948"/>
    </row>
    <row r="162" spans="1:64">
      <c r="A162" s="111"/>
      <c r="B162" s="1893"/>
      <c r="C162" s="1289"/>
      <c r="D162" s="1289"/>
      <c r="E162" s="1289"/>
      <c r="F162" s="1289"/>
      <c r="G162" s="1289"/>
      <c r="H162" s="1289"/>
      <c r="I162" s="1289"/>
      <c r="J162" s="1888"/>
      <c r="K162" s="1887"/>
      <c r="L162" s="1289"/>
      <c r="M162" s="1887"/>
      <c r="N162" s="1289"/>
      <c r="O162" s="1289"/>
      <c r="P162" s="1888"/>
      <c r="Q162" s="1887"/>
      <c r="R162" s="1289"/>
      <c r="S162" s="1289"/>
      <c r="T162" s="1888"/>
      <c r="U162" s="1887"/>
      <c r="V162" s="1289"/>
      <c r="W162" s="1888"/>
      <c r="X162" s="1887"/>
      <c r="Y162" s="1289"/>
      <c r="Z162" s="1289"/>
      <c r="AA162" s="1888"/>
      <c r="AB162" s="1934"/>
      <c r="AC162" s="1289"/>
      <c r="AD162" s="1289"/>
      <c r="AE162" s="1887"/>
      <c r="AF162" s="1289"/>
      <c r="AG162" s="1888"/>
      <c r="AH162" s="1887"/>
      <c r="AI162" s="1289"/>
      <c r="AJ162" s="1888"/>
      <c r="AK162" s="1887"/>
      <c r="AL162" s="1289"/>
      <c r="AM162" s="1289"/>
      <c r="AN162" s="1289"/>
      <c r="AO162" s="1888"/>
      <c r="AP162" s="1934"/>
      <c r="AQ162" s="1289"/>
      <c r="AR162" s="1289"/>
      <c r="AS162" s="1289"/>
      <c r="AT162" s="1289"/>
      <c r="AU162" s="1888"/>
      <c r="AV162" s="1944"/>
      <c r="AW162" s="1289"/>
      <c r="AX162" s="1289"/>
      <c r="AY162" s="1289"/>
      <c r="AZ162" s="1289"/>
      <c r="BA162" s="1289"/>
      <c r="BB162" s="1289"/>
      <c r="BC162" s="1289"/>
      <c r="BD162" s="1289"/>
      <c r="BE162" s="1289"/>
      <c r="BF162" s="1289"/>
      <c r="BG162" s="1289"/>
      <c r="BH162" s="1289"/>
      <c r="BI162" s="1289"/>
      <c r="BJ162" s="1289"/>
      <c r="BK162" s="1289"/>
      <c r="BL162" s="1945"/>
    </row>
    <row r="163" spans="1:64">
      <c r="A163" s="111"/>
      <c r="B163" s="1899"/>
      <c r="C163" s="1289"/>
      <c r="D163" s="1289"/>
      <c r="E163" s="1289"/>
      <c r="F163" s="1289"/>
      <c r="G163" s="1289"/>
      <c r="H163" s="1289"/>
      <c r="I163" s="1289"/>
      <c r="J163" s="1886"/>
      <c r="K163" s="1890"/>
      <c r="L163" s="1289"/>
      <c r="M163" s="1890"/>
      <c r="N163" s="1289"/>
      <c r="O163" s="1289"/>
      <c r="P163" s="1886"/>
      <c r="Q163" s="1890"/>
      <c r="R163" s="1289"/>
      <c r="S163" s="1289"/>
      <c r="T163" s="1886"/>
      <c r="U163" s="1890"/>
      <c r="V163" s="1289"/>
      <c r="W163" s="1886"/>
      <c r="X163" s="1890"/>
      <c r="Y163" s="1289"/>
      <c r="Z163" s="1289"/>
      <c r="AA163" s="1886"/>
      <c r="AB163" s="1941"/>
      <c r="AC163" s="1289"/>
      <c r="AD163" s="1289"/>
      <c r="AE163" s="1890"/>
      <c r="AF163" s="1289"/>
      <c r="AG163" s="1886"/>
      <c r="AH163" s="1890"/>
      <c r="AI163" s="1289"/>
      <c r="AJ163" s="1886"/>
      <c r="AK163" s="1890"/>
      <c r="AL163" s="1289"/>
      <c r="AM163" s="1289"/>
      <c r="AN163" s="1289"/>
      <c r="AO163" s="1886"/>
      <c r="AP163" s="1941"/>
      <c r="AQ163" s="1289"/>
      <c r="AR163" s="1289"/>
      <c r="AS163" s="1289"/>
      <c r="AT163" s="1289"/>
      <c r="AU163" s="1886"/>
      <c r="AV163" s="1947"/>
      <c r="AW163" s="1289"/>
      <c r="AX163" s="1289"/>
      <c r="AY163" s="1289"/>
      <c r="AZ163" s="1289"/>
      <c r="BA163" s="1289"/>
      <c r="BB163" s="1289"/>
      <c r="BC163" s="1289"/>
      <c r="BD163" s="1289"/>
      <c r="BE163" s="1289"/>
      <c r="BF163" s="1289"/>
      <c r="BG163" s="1289"/>
      <c r="BH163" s="1289"/>
      <c r="BI163" s="1289"/>
      <c r="BJ163" s="1289"/>
      <c r="BK163" s="1289"/>
      <c r="BL163" s="1948"/>
    </row>
    <row r="164" spans="1:64">
      <c r="A164" s="111"/>
      <c r="B164" s="1893"/>
      <c r="C164" s="1289"/>
      <c r="D164" s="1289"/>
      <c r="E164" s="1289"/>
      <c r="F164" s="1289"/>
      <c r="G164" s="1289"/>
      <c r="H164" s="1289"/>
      <c r="I164" s="1289"/>
      <c r="J164" s="1888"/>
      <c r="K164" s="1887"/>
      <c r="L164" s="1289"/>
      <c r="M164" s="1887"/>
      <c r="N164" s="1289"/>
      <c r="O164" s="1289"/>
      <c r="P164" s="1888"/>
      <c r="Q164" s="1887"/>
      <c r="R164" s="1289"/>
      <c r="S164" s="1289"/>
      <c r="T164" s="1888"/>
      <c r="U164" s="1887"/>
      <c r="V164" s="1289"/>
      <c r="W164" s="1888"/>
      <c r="X164" s="1887"/>
      <c r="Y164" s="1289"/>
      <c r="Z164" s="1289"/>
      <c r="AA164" s="1888"/>
      <c r="AB164" s="1934"/>
      <c r="AC164" s="1289"/>
      <c r="AD164" s="1289"/>
      <c r="AE164" s="1887"/>
      <c r="AF164" s="1289"/>
      <c r="AG164" s="1888"/>
      <c r="AH164" s="1887"/>
      <c r="AI164" s="1289"/>
      <c r="AJ164" s="1888"/>
      <c r="AK164" s="1887"/>
      <c r="AL164" s="1289"/>
      <c r="AM164" s="1289"/>
      <c r="AN164" s="1289"/>
      <c r="AO164" s="1888"/>
      <c r="AP164" s="1934"/>
      <c r="AQ164" s="1289"/>
      <c r="AR164" s="1289"/>
      <c r="AS164" s="1289"/>
      <c r="AT164" s="1289"/>
      <c r="AU164" s="1888"/>
      <c r="AV164" s="1944"/>
      <c r="AW164" s="1289"/>
      <c r="AX164" s="1289"/>
      <c r="AY164" s="1289"/>
      <c r="AZ164" s="1289"/>
      <c r="BA164" s="1289"/>
      <c r="BB164" s="1289"/>
      <c r="BC164" s="1289"/>
      <c r="BD164" s="1289"/>
      <c r="BE164" s="1289"/>
      <c r="BF164" s="1289"/>
      <c r="BG164" s="1289"/>
      <c r="BH164" s="1289"/>
      <c r="BI164" s="1289"/>
      <c r="BJ164" s="1289"/>
      <c r="BK164" s="1289"/>
      <c r="BL164" s="1945"/>
    </row>
    <row r="165" spans="1:64">
      <c r="A165" s="111"/>
      <c r="B165" s="1899"/>
      <c r="C165" s="1289"/>
      <c r="D165" s="1289"/>
      <c r="E165" s="1289"/>
      <c r="F165" s="1289"/>
      <c r="G165" s="1289"/>
      <c r="H165" s="1289"/>
      <c r="I165" s="1289"/>
      <c r="J165" s="1886"/>
      <c r="K165" s="1890"/>
      <c r="L165" s="1289"/>
      <c r="M165" s="1890"/>
      <c r="N165" s="1289"/>
      <c r="O165" s="1289"/>
      <c r="P165" s="1886"/>
      <c r="Q165" s="1890"/>
      <c r="R165" s="1289"/>
      <c r="S165" s="1289"/>
      <c r="T165" s="1886"/>
      <c r="U165" s="1890"/>
      <c r="V165" s="1289"/>
      <c r="W165" s="1886"/>
      <c r="X165" s="1890"/>
      <c r="Y165" s="1289"/>
      <c r="Z165" s="1289"/>
      <c r="AA165" s="1886"/>
      <c r="AB165" s="1941"/>
      <c r="AC165" s="1289"/>
      <c r="AD165" s="1289"/>
      <c r="AE165" s="1890"/>
      <c r="AF165" s="1289"/>
      <c r="AG165" s="1886"/>
      <c r="AH165" s="1890"/>
      <c r="AI165" s="1289"/>
      <c r="AJ165" s="1886"/>
      <c r="AK165" s="1890"/>
      <c r="AL165" s="1289"/>
      <c r="AM165" s="1289"/>
      <c r="AN165" s="1289"/>
      <c r="AO165" s="1886"/>
      <c r="AP165" s="1941"/>
      <c r="AQ165" s="1289"/>
      <c r="AR165" s="1289"/>
      <c r="AS165" s="1289"/>
      <c r="AT165" s="1289"/>
      <c r="AU165" s="1886"/>
      <c r="AV165" s="1947"/>
      <c r="AW165" s="1289"/>
      <c r="AX165" s="1289"/>
      <c r="AY165" s="1289"/>
      <c r="AZ165" s="1289"/>
      <c r="BA165" s="1289"/>
      <c r="BB165" s="1289"/>
      <c r="BC165" s="1289"/>
      <c r="BD165" s="1289"/>
      <c r="BE165" s="1289"/>
      <c r="BF165" s="1289"/>
      <c r="BG165" s="1289"/>
      <c r="BH165" s="1289"/>
      <c r="BI165" s="1289"/>
      <c r="BJ165" s="1289"/>
      <c r="BK165" s="1289"/>
      <c r="BL165" s="1948"/>
    </row>
    <row r="166" spans="1:64">
      <c r="A166" s="111"/>
      <c r="B166" s="1893"/>
      <c r="C166" s="1289"/>
      <c r="D166" s="1289"/>
      <c r="E166" s="1289"/>
      <c r="F166" s="1289"/>
      <c r="G166" s="1289"/>
      <c r="H166" s="1289"/>
      <c r="I166" s="1289"/>
      <c r="J166" s="1888"/>
      <c r="K166" s="1887"/>
      <c r="L166" s="1289"/>
      <c r="M166" s="1887"/>
      <c r="N166" s="1289"/>
      <c r="O166" s="1289"/>
      <c r="P166" s="1888"/>
      <c r="Q166" s="1887"/>
      <c r="R166" s="1289"/>
      <c r="S166" s="1289"/>
      <c r="T166" s="1888"/>
      <c r="U166" s="1887"/>
      <c r="V166" s="1289"/>
      <c r="W166" s="1888"/>
      <c r="X166" s="1887"/>
      <c r="Y166" s="1289"/>
      <c r="Z166" s="1289"/>
      <c r="AA166" s="1888"/>
      <c r="AB166" s="1934"/>
      <c r="AC166" s="1289"/>
      <c r="AD166" s="1289"/>
      <c r="AE166" s="1887"/>
      <c r="AF166" s="1289"/>
      <c r="AG166" s="1888"/>
      <c r="AH166" s="1887"/>
      <c r="AI166" s="1289"/>
      <c r="AJ166" s="1888"/>
      <c r="AK166" s="1887"/>
      <c r="AL166" s="1289"/>
      <c r="AM166" s="1289"/>
      <c r="AN166" s="1289"/>
      <c r="AO166" s="1888"/>
      <c r="AP166" s="1934"/>
      <c r="AQ166" s="1289"/>
      <c r="AR166" s="1289"/>
      <c r="AS166" s="1289"/>
      <c r="AT166" s="1289"/>
      <c r="AU166" s="1888"/>
      <c r="AV166" s="1944"/>
      <c r="AW166" s="1289"/>
      <c r="AX166" s="1289"/>
      <c r="AY166" s="1289"/>
      <c r="AZ166" s="1289"/>
      <c r="BA166" s="1289"/>
      <c r="BB166" s="1289"/>
      <c r="BC166" s="1289"/>
      <c r="BD166" s="1289"/>
      <c r="BE166" s="1289"/>
      <c r="BF166" s="1289"/>
      <c r="BG166" s="1289"/>
      <c r="BH166" s="1289"/>
      <c r="BI166" s="1289"/>
      <c r="BJ166" s="1289"/>
      <c r="BK166" s="1289"/>
      <c r="BL166" s="1945"/>
    </row>
    <row r="167" spans="1:64">
      <c r="A167" s="111"/>
      <c r="B167" s="1899"/>
      <c r="C167" s="1289"/>
      <c r="D167" s="1289"/>
      <c r="E167" s="1289"/>
      <c r="F167" s="1289"/>
      <c r="G167" s="1289"/>
      <c r="H167" s="1289"/>
      <c r="I167" s="1289"/>
      <c r="J167" s="1886"/>
      <c r="K167" s="1890"/>
      <c r="L167" s="1289"/>
      <c r="M167" s="1890"/>
      <c r="N167" s="1289"/>
      <c r="O167" s="1289"/>
      <c r="P167" s="1886"/>
      <c r="Q167" s="1890"/>
      <c r="R167" s="1289"/>
      <c r="S167" s="1289"/>
      <c r="T167" s="1886"/>
      <c r="U167" s="1890"/>
      <c r="V167" s="1289"/>
      <c r="W167" s="1886"/>
      <c r="X167" s="1890"/>
      <c r="Y167" s="1289"/>
      <c r="Z167" s="1289"/>
      <c r="AA167" s="1886"/>
      <c r="AB167" s="1941"/>
      <c r="AC167" s="1289"/>
      <c r="AD167" s="1289"/>
      <c r="AE167" s="1890"/>
      <c r="AF167" s="1289"/>
      <c r="AG167" s="1886"/>
      <c r="AH167" s="1890"/>
      <c r="AI167" s="1289"/>
      <c r="AJ167" s="1886"/>
      <c r="AK167" s="1890"/>
      <c r="AL167" s="1289"/>
      <c r="AM167" s="1289"/>
      <c r="AN167" s="1289"/>
      <c r="AO167" s="1886"/>
      <c r="AP167" s="1941"/>
      <c r="AQ167" s="1289"/>
      <c r="AR167" s="1289"/>
      <c r="AS167" s="1289"/>
      <c r="AT167" s="1289"/>
      <c r="AU167" s="1886"/>
      <c r="AV167" s="1947"/>
      <c r="AW167" s="1289"/>
      <c r="AX167" s="1289"/>
      <c r="AY167" s="1289"/>
      <c r="AZ167" s="1289"/>
      <c r="BA167" s="1289"/>
      <c r="BB167" s="1289"/>
      <c r="BC167" s="1289"/>
      <c r="BD167" s="1289"/>
      <c r="BE167" s="1289"/>
      <c r="BF167" s="1289"/>
      <c r="BG167" s="1289"/>
      <c r="BH167" s="1289"/>
      <c r="BI167" s="1289"/>
      <c r="BJ167" s="1289"/>
      <c r="BK167" s="1289"/>
      <c r="BL167" s="1948"/>
    </row>
    <row r="168" spans="1:64">
      <c r="A168" s="111"/>
      <c r="B168" s="1893"/>
      <c r="C168" s="1289"/>
      <c r="D168" s="1289"/>
      <c r="E168" s="1289"/>
      <c r="F168" s="1289"/>
      <c r="G168" s="1289"/>
      <c r="H168" s="1289"/>
      <c r="I168" s="1289"/>
      <c r="J168" s="1888"/>
      <c r="K168" s="1887"/>
      <c r="L168" s="1289"/>
      <c r="M168" s="1887"/>
      <c r="N168" s="1289"/>
      <c r="O168" s="1289"/>
      <c r="P168" s="1888"/>
      <c r="Q168" s="1887"/>
      <c r="R168" s="1289"/>
      <c r="S168" s="1289"/>
      <c r="T168" s="1888"/>
      <c r="U168" s="1887"/>
      <c r="V168" s="1289"/>
      <c r="W168" s="1888"/>
      <c r="X168" s="1887"/>
      <c r="Y168" s="1289"/>
      <c r="Z168" s="1289"/>
      <c r="AA168" s="1888"/>
      <c r="AB168" s="1934"/>
      <c r="AC168" s="1289"/>
      <c r="AD168" s="1289"/>
      <c r="AE168" s="1887"/>
      <c r="AF168" s="1289"/>
      <c r="AG168" s="1888"/>
      <c r="AH168" s="1887"/>
      <c r="AI168" s="1289"/>
      <c r="AJ168" s="1888"/>
      <c r="AK168" s="1887"/>
      <c r="AL168" s="1289"/>
      <c r="AM168" s="1289"/>
      <c r="AN168" s="1289"/>
      <c r="AO168" s="1888"/>
      <c r="AP168" s="1934"/>
      <c r="AQ168" s="1289"/>
      <c r="AR168" s="1289"/>
      <c r="AS168" s="1289"/>
      <c r="AT168" s="1289"/>
      <c r="AU168" s="1888"/>
      <c r="AV168" s="1944"/>
      <c r="AW168" s="1289"/>
      <c r="AX168" s="1289"/>
      <c r="AY168" s="1289"/>
      <c r="AZ168" s="1289"/>
      <c r="BA168" s="1289"/>
      <c r="BB168" s="1289"/>
      <c r="BC168" s="1289"/>
      <c r="BD168" s="1289"/>
      <c r="BE168" s="1289"/>
      <c r="BF168" s="1289"/>
      <c r="BG168" s="1289"/>
      <c r="BH168" s="1289"/>
      <c r="BI168" s="1289"/>
      <c r="BJ168" s="1289"/>
      <c r="BK168" s="1289"/>
      <c r="BL168" s="1945"/>
    </row>
    <row r="169" spans="1:64">
      <c r="A169" s="111"/>
      <c r="B169" s="1899"/>
      <c r="C169" s="1289"/>
      <c r="D169" s="1289"/>
      <c r="E169" s="1289"/>
      <c r="F169" s="1289"/>
      <c r="G169" s="1289"/>
      <c r="H169" s="1289"/>
      <c r="I169" s="1289"/>
      <c r="J169" s="1886"/>
      <c r="K169" s="1890"/>
      <c r="L169" s="1289"/>
      <c r="M169" s="1890"/>
      <c r="N169" s="1289"/>
      <c r="O169" s="1289"/>
      <c r="P169" s="1886"/>
      <c r="Q169" s="1890"/>
      <c r="R169" s="1289"/>
      <c r="S169" s="1289"/>
      <c r="T169" s="1886"/>
      <c r="U169" s="1890"/>
      <c r="V169" s="1289"/>
      <c r="W169" s="1886"/>
      <c r="X169" s="1890"/>
      <c r="Y169" s="1289"/>
      <c r="Z169" s="1289"/>
      <c r="AA169" s="1886"/>
      <c r="AB169" s="1941"/>
      <c r="AC169" s="1289"/>
      <c r="AD169" s="1289"/>
      <c r="AE169" s="1890"/>
      <c r="AF169" s="1289"/>
      <c r="AG169" s="1886"/>
      <c r="AH169" s="1890"/>
      <c r="AI169" s="1289"/>
      <c r="AJ169" s="1886"/>
      <c r="AK169" s="1890"/>
      <c r="AL169" s="1289"/>
      <c r="AM169" s="1289"/>
      <c r="AN169" s="1289"/>
      <c r="AO169" s="1886"/>
      <c r="AP169" s="1941"/>
      <c r="AQ169" s="1289"/>
      <c r="AR169" s="1289"/>
      <c r="AS169" s="1289"/>
      <c r="AT169" s="1289"/>
      <c r="AU169" s="1886"/>
      <c r="AV169" s="1947"/>
      <c r="AW169" s="1289"/>
      <c r="AX169" s="1289"/>
      <c r="AY169" s="1289"/>
      <c r="AZ169" s="1289"/>
      <c r="BA169" s="1289"/>
      <c r="BB169" s="1289"/>
      <c r="BC169" s="1289"/>
      <c r="BD169" s="1289"/>
      <c r="BE169" s="1289"/>
      <c r="BF169" s="1289"/>
      <c r="BG169" s="1289"/>
      <c r="BH169" s="1289"/>
      <c r="BI169" s="1289"/>
      <c r="BJ169" s="1289"/>
      <c r="BK169" s="1289"/>
      <c r="BL169" s="1948"/>
    </row>
    <row r="170" spans="1:64">
      <c r="A170" s="111"/>
      <c r="B170" s="1893"/>
      <c r="C170" s="1289"/>
      <c r="D170" s="1289"/>
      <c r="E170" s="1289"/>
      <c r="F170" s="1289"/>
      <c r="G170" s="1289"/>
      <c r="H170" s="1289"/>
      <c r="I170" s="1289"/>
      <c r="J170" s="1888"/>
      <c r="K170" s="1887"/>
      <c r="L170" s="1289"/>
      <c r="M170" s="1887"/>
      <c r="N170" s="1289"/>
      <c r="O170" s="1289"/>
      <c r="P170" s="1888"/>
      <c r="Q170" s="1887"/>
      <c r="R170" s="1289"/>
      <c r="S170" s="1289"/>
      <c r="T170" s="1888"/>
      <c r="U170" s="1887"/>
      <c r="V170" s="1289"/>
      <c r="W170" s="1888"/>
      <c r="X170" s="1887"/>
      <c r="Y170" s="1289"/>
      <c r="Z170" s="1289"/>
      <c r="AA170" s="1888"/>
      <c r="AB170" s="1934"/>
      <c r="AC170" s="1289"/>
      <c r="AD170" s="1289"/>
      <c r="AE170" s="1887"/>
      <c r="AF170" s="1289"/>
      <c r="AG170" s="1888"/>
      <c r="AH170" s="1887"/>
      <c r="AI170" s="1289"/>
      <c r="AJ170" s="1888"/>
      <c r="AK170" s="1887"/>
      <c r="AL170" s="1289"/>
      <c r="AM170" s="1289"/>
      <c r="AN170" s="1289"/>
      <c r="AO170" s="1888"/>
      <c r="AP170" s="1934"/>
      <c r="AQ170" s="1289"/>
      <c r="AR170" s="1289"/>
      <c r="AS170" s="1289"/>
      <c r="AT170" s="1289"/>
      <c r="AU170" s="1888"/>
      <c r="AV170" s="1944"/>
      <c r="AW170" s="1289"/>
      <c r="AX170" s="1289"/>
      <c r="AY170" s="1289"/>
      <c r="AZ170" s="1289"/>
      <c r="BA170" s="1289"/>
      <c r="BB170" s="1289"/>
      <c r="BC170" s="1289"/>
      <c r="BD170" s="1289"/>
      <c r="BE170" s="1289"/>
      <c r="BF170" s="1289"/>
      <c r="BG170" s="1289"/>
      <c r="BH170" s="1289"/>
      <c r="BI170" s="1289"/>
      <c r="BJ170" s="1289"/>
      <c r="BK170" s="1289"/>
      <c r="BL170" s="1945"/>
    </row>
    <row r="171" spans="1:64">
      <c r="A171" s="111"/>
      <c r="B171" s="1899"/>
      <c r="C171" s="1289"/>
      <c r="D171" s="1289"/>
      <c r="E171" s="1289"/>
      <c r="F171" s="1289"/>
      <c r="G171" s="1289"/>
      <c r="H171" s="1289"/>
      <c r="I171" s="1289"/>
      <c r="J171" s="1886"/>
      <c r="K171" s="1890"/>
      <c r="L171" s="1289"/>
      <c r="M171" s="1890"/>
      <c r="N171" s="1289"/>
      <c r="O171" s="1289"/>
      <c r="P171" s="1886"/>
      <c r="Q171" s="1890"/>
      <c r="R171" s="1289"/>
      <c r="S171" s="1289"/>
      <c r="T171" s="1886"/>
      <c r="U171" s="1890"/>
      <c r="V171" s="1289"/>
      <c r="W171" s="1886"/>
      <c r="X171" s="1890"/>
      <c r="Y171" s="1289"/>
      <c r="Z171" s="1289"/>
      <c r="AA171" s="1886"/>
      <c r="AB171" s="1941"/>
      <c r="AC171" s="1289"/>
      <c r="AD171" s="1289"/>
      <c r="AE171" s="1890"/>
      <c r="AF171" s="1289"/>
      <c r="AG171" s="1886"/>
      <c r="AH171" s="1890"/>
      <c r="AI171" s="1289"/>
      <c r="AJ171" s="1886"/>
      <c r="AK171" s="1890"/>
      <c r="AL171" s="1289"/>
      <c r="AM171" s="1289"/>
      <c r="AN171" s="1289"/>
      <c r="AO171" s="1886"/>
      <c r="AP171" s="1941"/>
      <c r="AQ171" s="1289"/>
      <c r="AR171" s="1289"/>
      <c r="AS171" s="1289"/>
      <c r="AT171" s="1289"/>
      <c r="AU171" s="1886"/>
      <c r="AV171" s="1949"/>
      <c r="AW171" s="1289"/>
      <c r="AX171" s="1289"/>
      <c r="AY171" s="1289"/>
      <c r="AZ171" s="1289"/>
      <c r="BA171" s="1289"/>
      <c r="BB171" s="1289"/>
      <c r="BC171" s="1289"/>
      <c r="BD171" s="1289"/>
      <c r="BE171" s="1289"/>
      <c r="BF171" s="1289"/>
      <c r="BG171" s="1289"/>
      <c r="BH171" s="1289"/>
      <c r="BI171" s="1289"/>
      <c r="BJ171" s="1289"/>
      <c r="BK171" s="1289"/>
      <c r="BL171" s="1948"/>
    </row>
    <row r="172" spans="1:64">
      <c r="A172" s="111"/>
      <c r="B172" s="1893"/>
      <c r="C172" s="1289"/>
      <c r="D172" s="1289"/>
      <c r="E172" s="1289"/>
      <c r="F172" s="1289"/>
      <c r="G172" s="1289"/>
      <c r="H172" s="1289"/>
      <c r="I172" s="1289"/>
      <c r="J172" s="1888"/>
      <c r="K172" s="1887"/>
      <c r="L172" s="1289"/>
      <c r="M172" s="1887"/>
      <c r="N172" s="1289"/>
      <c r="O172" s="1289"/>
      <c r="P172" s="1888"/>
      <c r="Q172" s="1887"/>
      <c r="R172" s="1289"/>
      <c r="S172" s="1289"/>
      <c r="T172" s="1888"/>
      <c r="U172" s="1887"/>
      <c r="V172" s="1289"/>
      <c r="W172" s="1888"/>
      <c r="X172" s="1887"/>
      <c r="Y172" s="1289"/>
      <c r="Z172" s="1289"/>
      <c r="AA172" s="1888"/>
      <c r="AB172" s="1934"/>
      <c r="AC172" s="1289"/>
      <c r="AD172" s="1289"/>
      <c r="AE172" s="1887"/>
      <c r="AF172" s="1289"/>
      <c r="AG172" s="1888"/>
      <c r="AH172" s="1887"/>
      <c r="AI172" s="1289"/>
      <c r="AJ172" s="1888"/>
      <c r="AK172" s="1887"/>
      <c r="AL172" s="1289"/>
      <c r="AM172" s="1289"/>
      <c r="AN172" s="1289"/>
      <c r="AO172" s="1888"/>
      <c r="AP172" s="1934"/>
      <c r="AQ172" s="1289"/>
      <c r="AR172" s="1289"/>
      <c r="AS172" s="1289"/>
      <c r="AT172" s="1289"/>
      <c r="AU172" s="1888"/>
      <c r="AV172" s="1944"/>
      <c r="AW172" s="1289"/>
      <c r="AX172" s="1289"/>
      <c r="AY172" s="1289"/>
      <c r="AZ172" s="1289"/>
      <c r="BA172" s="1289"/>
      <c r="BB172" s="1289"/>
      <c r="BC172" s="1289"/>
      <c r="BD172" s="1289"/>
      <c r="BE172" s="1289"/>
      <c r="BF172" s="1289"/>
      <c r="BG172" s="1289"/>
      <c r="BH172" s="1289"/>
      <c r="BI172" s="1289"/>
      <c r="BJ172" s="1289"/>
      <c r="BK172" s="1289"/>
      <c r="BL172" s="1945"/>
    </row>
    <row r="173" spans="1:64">
      <c r="A173" s="111"/>
      <c r="B173" s="1899"/>
      <c r="C173" s="1289"/>
      <c r="D173" s="1289"/>
      <c r="E173" s="1289"/>
      <c r="F173" s="1289"/>
      <c r="G173" s="1289"/>
      <c r="H173" s="1289"/>
      <c r="I173" s="1289"/>
      <c r="J173" s="1886"/>
      <c r="K173" s="1890"/>
      <c r="L173" s="1289"/>
      <c r="M173" s="1890"/>
      <c r="N173" s="1289"/>
      <c r="O173" s="1289"/>
      <c r="P173" s="1886"/>
      <c r="Q173" s="1890"/>
      <c r="R173" s="1289"/>
      <c r="S173" s="1289"/>
      <c r="T173" s="1886"/>
      <c r="U173" s="1890"/>
      <c r="V173" s="1289"/>
      <c r="W173" s="1886"/>
      <c r="X173" s="1890"/>
      <c r="Y173" s="1289"/>
      <c r="Z173" s="1289"/>
      <c r="AA173" s="1886"/>
      <c r="AB173" s="1941"/>
      <c r="AC173" s="1289"/>
      <c r="AD173" s="1289"/>
      <c r="AE173" s="1890"/>
      <c r="AF173" s="1289"/>
      <c r="AG173" s="1886"/>
      <c r="AH173" s="1890"/>
      <c r="AI173" s="1289"/>
      <c r="AJ173" s="1886"/>
      <c r="AK173" s="1890"/>
      <c r="AL173" s="1289"/>
      <c r="AM173" s="1289"/>
      <c r="AN173" s="1289"/>
      <c r="AO173" s="1886"/>
      <c r="AP173" s="1941"/>
      <c r="AQ173" s="1289"/>
      <c r="AR173" s="1289"/>
      <c r="AS173" s="1289"/>
      <c r="AT173" s="1289"/>
      <c r="AU173" s="1886"/>
      <c r="AV173" s="1947"/>
      <c r="AW173" s="1289"/>
      <c r="AX173" s="1289"/>
      <c r="AY173" s="1289"/>
      <c r="AZ173" s="1289"/>
      <c r="BA173" s="1289"/>
      <c r="BB173" s="1289"/>
      <c r="BC173" s="1289"/>
      <c r="BD173" s="1289"/>
      <c r="BE173" s="1289"/>
      <c r="BF173" s="1289"/>
      <c r="BG173" s="1289"/>
      <c r="BH173" s="1289"/>
      <c r="BI173" s="1289"/>
      <c r="BJ173" s="1289"/>
      <c r="BK173" s="1289"/>
      <c r="BL173" s="1948"/>
    </row>
    <row r="174" spans="1:64">
      <c r="A174" s="111"/>
      <c r="B174" s="1893"/>
      <c r="C174" s="1289"/>
      <c r="D174" s="1289"/>
      <c r="E174" s="1289"/>
      <c r="F174" s="1289"/>
      <c r="G174" s="1289"/>
      <c r="H174" s="1289"/>
      <c r="I174" s="1289"/>
      <c r="J174" s="1888"/>
      <c r="K174" s="1887"/>
      <c r="L174" s="1289"/>
      <c r="M174" s="1887"/>
      <c r="N174" s="1289"/>
      <c r="O174" s="1289"/>
      <c r="P174" s="1888"/>
      <c r="Q174" s="1887"/>
      <c r="R174" s="1289"/>
      <c r="S174" s="1289"/>
      <c r="T174" s="1888"/>
      <c r="U174" s="1887"/>
      <c r="V174" s="1289"/>
      <c r="W174" s="1888"/>
      <c r="X174" s="1887"/>
      <c r="Y174" s="1289"/>
      <c r="Z174" s="1289"/>
      <c r="AA174" s="1888"/>
      <c r="AB174" s="1934"/>
      <c r="AC174" s="1289"/>
      <c r="AD174" s="1289"/>
      <c r="AE174" s="1887"/>
      <c r="AF174" s="1289"/>
      <c r="AG174" s="1888"/>
      <c r="AH174" s="1887"/>
      <c r="AI174" s="1289"/>
      <c r="AJ174" s="1888"/>
      <c r="AK174" s="1887"/>
      <c r="AL174" s="1289"/>
      <c r="AM174" s="1289"/>
      <c r="AN174" s="1289"/>
      <c r="AO174" s="1888"/>
      <c r="AP174" s="1934"/>
      <c r="AQ174" s="1289"/>
      <c r="AR174" s="1289"/>
      <c r="AS174" s="1289"/>
      <c r="AT174" s="1289"/>
      <c r="AU174" s="1888"/>
      <c r="AV174" s="1944"/>
      <c r="AW174" s="1289"/>
      <c r="AX174" s="1289"/>
      <c r="AY174" s="1289"/>
      <c r="AZ174" s="1289"/>
      <c r="BA174" s="1289"/>
      <c r="BB174" s="1289"/>
      <c r="BC174" s="1289"/>
      <c r="BD174" s="1289"/>
      <c r="BE174" s="1289"/>
      <c r="BF174" s="1289"/>
      <c r="BG174" s="1289"/>
      <c r="BH174" s="1289"/>
      <c r="BI174" s="1289"/>
      <c r="BJ174" s="1289"/>
      <c r="BK174" s="1289"/>
      <c r="BL174" s="1945"/>
    </row>
    <row r="175" spans="1:64">
      <c r="A175" s="111"/>
      <c r="B175" s="1899"/>
      <c r="C175" s="1289"/>
      <c r="D175" s="1289"/>
      <c r="E175" s="1289"/>
      <c r="F175" s="1289"/>
      <c r="G175" s="1289"/>
      <c r="H175" s="1289"/>
      <c r="I175" s="1289"/>
      <c r="J175" s="1886"/>
      <c r="K175" s="1890"/>
      <c r="L175" s="1289"/>
      <c r="M175" s="1890"/>
      <c r="N175" s="1289"/>
      <c r="O175" s="1289"/>
      <c r="P175" s="1886"/>
      <c r="Q175" s="1890"/>
      <c r="R175" s="1289"/>
      <c r="S175" s="1289"/>
      <c r="T175" s="1886"/>
      <c r="U175" s="1890"/>
      <c r="V175" s="1289"/>
      <c r="W175" s="1886"/>
      <c r="X175" s="1890"/>
      <c r="Y175" s="1289"/>
      <c r="Z175" s="1289"/>
      <c r="AA175" s="1886"/>
      <c r="AB175" s="1941"/>
      <c r="AC175" s="1289"/>
      <c r="AD175" s="1289"/>
      <c r="AE175" s="1890"/>
      <c r="AF175" s="1289"/>
      <c r="AG175" s="1886"/>
      <c r="AH175" s="1890"/>
      <c r="AI175" s="1289"/>
      <c r="AJ175" s="1886"/>
      <c r="AK175" s="1890"/>
      <c r="AL175" s="1289"/>
      <c r="AM175" s="1289"/>
      <c r="AN175" s="1289"/>
      <c r="AO175" s="1886"/>
      <c r="AP175" s="1941"/>
      <c r="AQ175" s="1289"/>
      <c r="AR175" s="1289"/>
      <c r="AS175" s="1289"/>
      <c r="AT175" s="1289"/>
      <c r="AU175" s="1886"/>
      <c r="AV175" s="1947"/>
      <c r="AW175" s="1289"/>
      <c r="AX175" s="1289"/>
      <c r="AY175" s="1289"/>
      <c r="AZ175" s="1289"/>
      <c r="BA175" s="1289"/>
      <c r="BB175" s="1289"/>
      <c r="BC175" s="1289"/>
      <c r="BD175" s="1289"/>
      <c r="BE175" s="1289"/>
      <c r="BF175" s="1289"/>
      <c r="BG175" s="1289"/>
      <c r="BH175" s="1289"/>
      <c r="BI175" s="1289"/>
      <c r="BJ175" s="1289"/>
      <c r="BK175" s="1289"/>
      <c r="BL175" s="1948"/>
    </row>
    <row r="176" spans="1:64">
      <c r="A176" s="111"/>
      <c r="B176" s="1893"/>
      <c r="C176" s="1289"/>
      <c r="D176" s="1289"/>
      <c r="E176" s="1289"/>
      <c r="F176" s="1289"/>
      <c r="G176" s="1289"/>
      <c r="H176" s="1289"/>
      <c r="I176" s="1289"/>
      <c r="J176" s="1888"/>
      <c r="K176" s="1887"/>
      <c r="L176" s="1289"/>
      <c r="M176" s="1887"/>
      <c r="N176" s="1289"/>
      <c r="O176" s="1289"/>
      <c r="P176" s="1888"/>
      <c r="Q176" s="1887"/>
      <c r="R176" s="1289"/>
      <c r="S176" s="1289"/>
      <c r="T176" s="1888"/>
      <c r="U176" s="1887"/>
      <c r="V176" s="1289"/>
      <c r="W176" s="1888"/>
      <c r="X176" s="1887"/>
      <c r="Y176" s="1289"/>
      <c r="Z176" s="1289"/>
      <c r="AA176" s="1888"/>
      <c r="AB176" s="1934"/>
      <c r="AC176" s="1289"/>
      <c r="AD176" s="1289"/>
      <c r="AE176" s="1887"/>
      <c r="AF176" s="1289"/>
      <c r="AG176" s="1888"/>
      <c r="AH176" s="1887"/>
      <c r="AI176" s="1289"/>
      <c r="AJ176" s="1888"/>
      <c r="AK176" s="1887"/>
      <c r="AL176" s="1289"/>
      <c r="AM176" s="1289"/>
      <c r="AN176" s="1289"/>
      <c r="AO176" s="1888"/>
      <c r="AP176" s="1934"/>
      <c r="AQ176" s="1289"/>
      <c r="AR176" s="1289"/>
      <c r="AS176" s="1289"/>
      <c r="AT176" s="1289"/>
      <c r="AU176" s="1888"/>
      <c r="AV176" s="1944"/>
      <c r="AW176" s="1289"/>
      <c r="AX176" s="1289"/>
      <c r="AY176" s="1289"/>
      <c r="AZ176" s="1289"/>
      <c r="BA176" s="1289"/>
      <c r="BB176" s="1289"/>
      <c r="BC176" s="1289"/>
      <c r="BD176" s="1289"/>
      <c r="BE176" s="1289"/>
      <c r="BF176" s="1289"/>
      <c r="BG176" s="1289"/>
      <c r="BH176" s="1289"/>
      <c r="BI176" s="1289"/>
      <c r="BJ176" s="1289"/>
      <c r="BK176" s="1289"/>
      <c r="BL176" s="1945"/>
    </row>
    <row r="177" spans="1:64">
      <c r="A177" s="111"/>
      <c r="B177" s="1899"/>
      <c r="C177" s="1289"/>
      <c r="D177" s="1289"/>
      <c r="E177" s="1289"/>
      <c r="F177" s="1289"/>
      <c r="G177" s="1289"/>
      <c r="H177" s="1289"/>
      <c r="I177" s="1289"/>
      <c r="J177" s="1886"/>
      <c r="K177" s="1890"/>
      <c r="L177" s="1289"/>
      <c r="M177" s="1890"/>
      <c r="N177" s="1289"/>
      <c r="O177" s="1289"/>
      <c r="P177" s="1886"/>
      <c r="Q177" s="1890"/>
      <c r="R177" s="1289"/>
      <c r="S177" s="1289"/>
      <c r="T177" s="1886"/>
      <c r="U177" s="1890"/>
      <c r="V177" s="1289"/>
      <c r="W177" s="1886"/>
      <c r="X177" s="1890"/>
      <c r="Y177" s="1289"/>
      <c r="Z177" s="1289"/>
      <c r="AA177" s="1886"/>
      <c r="AB177" s="1941"/>
      <c r="AC177" s="1289"/>
      <c r="AD177" s="1289"/>
      <c r="AE177" s="1890"/>
      <c r="AF177" s="1289"/>
      <c r="AG177" s="1886"/>
      <c r="AH177" s="1890"/>
      <c r="AI177" s="1289"/>
      <c r="AJ177" s="1886"/>
      <c r="AK177" s="1890"/>
      <c r="AL177" s="1289"/>
      <c r="AM177" s="1289"/>
      <c r="AN177" s="1289"/>
      <c r="AO177" s="1886"/>
      <c r="AP177" s="1941"/>
      <c r="AQ177" s="1289"/>
      <c r="AR177" s="1289"/>
      <c r="AS177" s="1289"/>
      <c r="AT177" s="1289"/>
      <c r="AU177" s="1886"/>
      <c r="AV177" s="1947"/>
      <c r="AW177" s="1289"/>
      <c r="AX177" s="1289"/>
      <c r="AY177" s="1289"/>
      <c r="AZ177" s="1289"/>
      <c r="BA177" s="1289"/>
      <c r="BB177" s="1289"/>
      <c r="BC177" s="1289"/>
      <c r="BD177" s="1289"/>
      <c r="BE177" s="1289"/>
      <c r="BF177" s="1289"/>
      <c r="BG177" s="1289"/>
      <c r="BH177" s="1289"/>
      <c r="BI177" s="1289"/>
      <c r="BJ177" s="1289"/>
      <c r="BK177" s="1289"/>
      <c r="BL177" s="1948"/>
    </row>
    <row r="178" spans="1:64">
      <c r="A178" s="111"/>
      <c r="B178" s="1893"/>
      <c r="C178" s="1289"/>
      <c r="D178" s="1289"/>
      <c r="E178" s="1289"/>
      <c r="F178" s="1289"/>
      <c r="G178" s="1289"/>
      <c r="H178" s="1289"/>
      <c r="I178" s="1289"/>
      <c r="J178" s="1888"/>
      <c r="K178" s="1887"/>
      <c r="L178" s="1289"/>
      <c r="M178" s="1887"/>
      <c r="N178" s="1289"/>
      <c r="O178" s="1289"/>
      <c r="P178" s="1888"/>
      <c r="Q178" s="1887"/>
      <c r="R178" s="1289"/>
      <c r="S178" s="1289"/>
      <c r="T178" s="1888"/>
      <c r="U178" s="1887"/>
      <c r="V178" s="1289"/>
      <c r="W178" s="1888"/>
      <c r="X178" s="1887"/>
      <c r="Y178" s="1289"/>
      <c r="Z178" s="1289"/>
      <c r="AA178" s="1888"/>
      <c r="AB178" s="1934"/>
      <c r="AC178" s="1289"/>
      <c r="AD178" s="1289"/>
      <c r="AE178" s="1887"/>
      <c r="AF178" s="1289"/>
      <c r="AG178" s="1888"/>
      <c r="AH178" s="1887"/>
      <c r="AI178" s="1289"/>
      <c r="AJ178" s="1888"/>
      <c r="AK178" s="1887"/>
      <c r="AL178" s="1289"/>
      <c r="AM178" s="1289"/>
      <c r="AN178" s="1289"/>
      <c r="AO178" s="1888"/>
      <c r="AP178" s="1934"/>
      <c r="AQ178" s="1289"/>
      <c r="AR178" s="1289"/>
      <c r="AS178" s="1289"/>
      <c r="AT178" s="1289"/>
      <c r="AU178" s="1888"/>
      <c r="AV178" s="1944"/>
      <c r="AW178" s="1289"/>
      <c r="AX178" s="1289"/>
      <c r="AY178" s="1289"/>
      <c r="AZ178" s="1289"/>
      <c r="BA178" s="1289"/>
      <c r="BB178" s="1289"/>
      <c r="BC178" s="1289"/>
      <c r="BD178" s="1289"/>
      <c r="BE178" s="1289"/>
      <c r="BF178" s="1289"/>
      <c r="BG178" s="1289"/>
      <c r="BH178" s="1289"/>
      <c r="BI178" s="1289"/>
      <c r="BJ178" s="1289"/>
      <c r="BK178" s="1289"/>
      <c r="BL178" s="1945"/>
    </row>
    <row r="179" spans="1:64">
      <c r="A179" s="111"/>
      <c r="B179" s="1899"/>
      <c r="C179" s="1289"/>
      <c r="D179" s="1289"/>
      <c r="E179" s="1289"/>
      <c r="F179" s="1289"/>
      <c r="G179" s="1289"/>
      <c r="H179" s="1289"/>
      <c r="I179" s="1289"/>
      <c r="J179" s="1886"/>
      <c r="K179" s="1890"/>
      <c r="L179" s="1289"/>
      <c r="M179" s="1890"/>
      <c r="N179" s="1289"/>
      <c r="O179" s="1289"/>
      <c r="P179" s="1886"/>
      <c r="Q179" s="1890"/>
      <c r="R179" s="1289"/>
      <c r="S179" s="1289"/>
      <c r="T179" s="1886"/>
      <c r="U179" s="1890"/>
      <c r="V179" s="1289"/>
      <c r="W179" s="1886"/>
      <c r="X179" s="1890"/>
      <c r="Y179" s="1289"/>
      <c r="Z179" s="1289"/>
      <c r="AA179" s="1886"/>
      <c r="AB179" s="1941"/>
      <c r="AC179" s="1289"/>
      <c r="AD179" s="1289"/>
      <c r="AE179" s="1890"/>
      <c r="AF179" s="1289"/>
      <c r="AG179" s="1886"/>
      <c r="AH179" s="1890"/>
      <c r="AI179" s="1289"/>
      <c r="AJ179" s="1886"/>
      <c r="AK179" s="1890"/>
      <c r="AL179" s="1289"/>
      <c r="AM179" s="1289"/>
      <c r="AN179" s="1289"/>
      <c r="AO179" s="1886"/>
      <c r="AP179" s="1941"/>
      <c r="AQ179" s="1289"/>
      <c r="AR179" s="1289"/>
      <c r="AS179" s="1289"/>
      <c r="AT179" s="1289"/>
      <c r="AU179" s="1886"/>
      <c r="AV179" s="1947"/>
      <c r="AW179" s="1289"/>
      <c r="AX179" s="1289"/>
      <c r="AY179" s="1289"/>
      <c r="AZ179" s="1289"/>
      <c r="BA179" s="1289"/>
      <c r="BB179" s="1289"/>
      <c r="BC179" s="1289"/>
      <c r="BD179" s="1289"/>
      <c r="BE179" s="1289"/>
      <c r="BF179" s="1289"/>
      <c r="BG179" s="1289"/>
      <c r="BH179" s="1289"/>
      <c r="BI179" s="1289"/>
      <c r="BJ179" s="1289"/>
      <c r="BK179" s="1289"/>
      <c r="BL179" s="1948"/>
    </row>
    <row r="180" spans="1:64">
      <c r="A180" s="111"/>
      <c r="B180" s="1893"/>
      <c r="C180" s="1289"/>
      <c r="D180" s="1289"/>
      <c r="E180" s="1289"/>
      <c r="F180" s="1289"/>
      <c r="G180" s="1289"/>
      <c r="H180" s="1289"/>
      <c r="I180" s="1289"/>
      <c r="J180" s="1888"/>
      <c r="K180" s="1887"/>
      <c r="L180" s="1289"/>
      <c r="M180" s="1887"/>
      <c r="N180" s="1289"/>
      <c r="O180" s="1289"/>
      <c r="P180" s="1888"/>
      <c r="Q180" s="1887"/>
      <c r="R180" s="1289"/>
      <c r="S180" s="1289"/>
      <c r="T180" s="1888"/>
      <c r="U180" s="1887"/>
      <c r="V180" s="1289"/>
      <c r="W180" s="1888"/>
      <c r="X180" s="1887"/>
      <c r="Y180" s="1289"/>
      <c r="Z180" s="1289"/>
      <c r="AA180" s="1888"/>
      <c r="AB180" s="1934"/>
      <c r="AC180" s="1289"/>
      <c r="AD180" s="1289"/>
      <c r="AE180" s="1887"/>
      <c r="AF180" s="1289"/>
      <c r="AG180" s="1888"/>
      <c r="AH180" s="1887"/>
      <c r="AI180" s="1289"/>
      <c r="AJ180" s="1888"/>
      <c r="AK180" s="1887"/>
      <c r="AL180" s="1289"/>
      <c r="AM180" s="1289"/>
      <c r="AN180" s="1289"/>
      <c r="AO180" s="1888"/>
      <c r="AP180" s="1934"/>
      <c r="AQ180" s="1289"/>
      <c r="AR180" s="1289"/>
      <c r="AS180" s="1289"/>
      <c r="AT180" s="1289"/>
      <c r="AU180" s="1888"/>
      <c r="AV180" s="1944"/>
      <c r="AW180" s="1289"/>
      <c r="AX180" s="1289"/>
      <c r="AY180" s="1289"/>
      <c r="AZ180" s="1289"/>
      <c r="BA180" s="1289"/>
      <c r="BB180" s="1289"/>
      <c r="BC180" s="1289"/>
      <c r="BD180" s="1289"/>
      <c r="BE180" s="1289"/>
      <c r="BF180" s="1289"/>
      <c r="BG180" s="1289"/>
      <c r="BH180" s="1289"/>
      <c r="BI180" s="1289"/>
      <c r="BJ180" s="1289"/>
      <c r="BK180" s="1289"/>
      <c r="BL180" s="1945"/>
    </row>
    <row r="181" spans="1:64">
      <c r="A181" s="111"/>
      <c r="B181" s="1899"/>
      <c r="C181" s="1289"/>
      <c r="D181" s="1289"/>
      <c r="E181" s="1289"/>
      <c r="F181" s="1289"/>
      <c r="G181" s="1289"/>
      <c r="H181" s="1289"/>
      <c r="I181" s="1289"/>
      <c r="J181" s="1886"/>
      <c r="K181" s="1890"/>
      <c r="L181" s="1289"/>
      <c r="M181" s="1890"/>
      <c r="N181" s="1289"/>
      <c r="O181" s="1289"/>
      <c r="P181" s="1886"/>
      <c r="Q181" s="1890"/>
      <c r="R181" s="1289"/>
      <c r="S181" s="1289"/>
      <c r="T181" s="1886"/>
      <c r="U181" s="1890"/>
      <c r="V181" s="1289"/>
      <c r="W181" s="1886"/>
      <c r="X181" s="1890"/>
      <c r="Y181" s="1289"/>
      <c r="Z181" s="1289"/>
      <c r="AA181" s="1886"/>
      <c r="AB181" s="1941"/>
      <c r="AC181" s="1289"/>
      <c r="AD181" s="1289"/>
      <c r="AE181" s="1890"/>
      <c r="AF181" s="1289"/>
      <c r="AG181" s="1886"/>
      <c r="AH181" s="1890"/>
      <c r="AI181" s="1289"/>
      <c r="AJ181" s="1886"/>
      <c r="AK181" s="1890"/>
      <c r="AL181" s="1289"/>
      <c r="AM181" s="1289"/>
      <c r="AN181" s="1289"/>
      <c r="AO181" s="1886"/>
      <c r="AP181" s="1941"/>
      <c r="AQ181" s="1289"/>
      <c r="AR181" s="1289"/>
      <c r="AS181" s="1289"/>
      <c r="AT181" s="1289"/>
      <c r="AU181" s="1886"/>
      <c r="AV181" s="1947"/>
      <c r="AW181" s="1289"/>
      <c r="AX181" s="1289"/>
      <c r="AY181" s="1289"/>
      <c r="AZ181" s="1289"/>
      <c r="BA181" s="1289"/>
      <c r="BB181" s="1289"/>
      <c r="BC181" s="1289"/>
      <c r="BD181" s="1289"/>
      <c r="BE181" s="1289"/>
      <c r="BF181" s="1289"/>
      <c r="BG181" s="1289"/>
      <c r="BH181" s="1289"/>
      <c r="BI181" s="1289"/>
      <c r="BJ181" s="1289"/>
      <c r="BK181" s="1289"/>
      <c r="BL181" s="1948"/>
    </row>
    <row r="182" spans="1:64">
      <c r="A182" s="111"/>
      <c r="B182" s="1893"/>
      <c r="C182" s="1289"/>
      <c r="D182" s="1289"/>
      <c r="E182" s="1289"/>
      <c r="F182" s="1289"/>
      <c r="G182" s="1289"/>
      <c r="H182" s="1289"/>
      <c r="I182" s="1289"/>
      <c r="J182" s="1888"/>
      <c r="K182" s="1887"/>
      <c r="L182" s="1289"/>
      <c r="M182" s="1887"/>
      <c r="N182" s="1289"/>
      <c r="O182" s="1289"/>
      <c r="P182" s="1888"/>
      <c r="Q182" s="1887"/>
      <c r="R182" s="1289"/>
      <c r="S182" s="1289"/>
      <c r="T182" s="1888"/>
      <c r="U182" s="1887"/>
      <c r="V182" s="1289"/>
      <c r="W182" s="1888"/>
      <c r="X182" s="1887"/>
      <c r="Y182" s="1289"/>
      <c r="Z182" s="1289"/>
      <c r="AA182" s="1888"/>
      <c r="AB182" s="1934"/>
      <c r="AC182" s="1289"/>
      <c r="AD182" s="1289"/>
      <c r="AE182" s="1887"/>
      <c r="AF182" s="1289"/>
      <c r="AG182" s="1888"/>
      <c r="AH182" s="1887"/>
      <c r="AI182" s="1289"/>
      <c r="AJ182" s="1888"/>
      <c r="AK182" s="1887"/>
      <c r="AL182" s="1289"/>
      <c r="AM182" s="1289"/>
      <c r="AN182" s="1289"/>
      <c r="AO182" s="1888"/>
      <c r="AP182" s="1934"/>
      <c r="AQ182" s="1289"/>
      <c r="AR182" s="1289"/>
      <c r="AS182" s="1289"/>
      <c r="AT182" s="1289"/>
      <c r="AU182" s="1888"/>
      <c r="AV182" s="1944"/>
      <c r="AW182" s="1289"/>
      <c r="AX182" s="1289"/>
      <c r="AY182" s="1289"/>
      <c r="AZ182" s="1289"/>
      <c r="BA182" s="1289"/>
      <c r="BB182" s="1289"/>
      <c r="BC182" s="1289"/>
      <c r="BD182" s="1289"/>
      <c r="BE182" s="1289"/>
      <c r="BF182" s="1289"/>
      <c r="BG182" s="1289"/>
      <c r="BH182" s="1289"/>
      <c r="BI182" s="1289"/>
      <c r="BJ182" s="1289"/>
      <c r="BK182" s="1289"/>
      <c r="BL182" s="1945"/>
    </row>
    <row r="183" spans="1:64">
      <c r="A183" s="111"/>
      <c r="B183" s="1899"/>
      <c r="C183" s="1289"/>
      <c r="D183" s="1289"/>
      <c r="E183" s="1289"/>
      <c r="F183" s="1289"/>
      <c r="G183" s="1289"/>
      <c r="H183" s="1289"/>
      <c r="I183" s="1289"/>
      <c r="J183" s="1886"/>
      <c r="K183" s="1890"/>
      <c r="L183" s="1289"/>
      <c r="M183" s="1890"/>
      <c r="N183" s="1289"/>
      <c r="O183" s="1289"/>
      <c r="P183" s="1886"/>
      <c r="Q183" s="1890"/>
      <c r="R183" s="1289"/>
      <c r="S183" s="1289"/>
      <c r="T183" s="1886"/>
      <c r="U183" s="1890"/>
      <c r="V183" s="1289"/>
      <c r="W183" s="1886"/>
      <c r="X183" s="1890"/>
      <c r="Y183" s="1289"/>
      <c r="Z183" s="1289"/>
      <c r="AA183" s="1886"/>
      <c r="AB183" s="1941"/>
      <c r="AC183" s="1289"/>
      <c r="AD183" s="1289"/>
      <c r="AE183" s="1890"/>
      <c r="AF183" s="1289"/>
      <c r="AG183" s="1886"/>
      <c r="AH183" s="1890"/>
      <c r="AI183" s="1289"/>
      <c r="AJ183" s="1886"/>
      <c r="AK183" s="1890"/>
      <c r="AL183" s="1289"/>
      <c r="AM183" s="1289"/>
      <c r="AN183" s="1289"/>
      <c r="AO183" s="1886"/>
      <c r="AP183" s="1941"/>
      <c r="AQ183" s="1289"/>
      <c r="AR183" s="1289"/>
      <c r="AS183" s="1289"/>
      <c r="AT183" s="1289"/>
      <c r="AU183" s="1886"/>
      <c r="AV183" s="1947"/>
      <c r="AW183" s="1289"/>
      <c r="AX183" s="1289"/>
      <c r="AY183" s="1289"/>
      <c r="AZ183" s="1289"/>
      <c r="BA183" s="1289"/>
      <c r="BB183" s="1289"/>
      <c r="BC183" s="1289"/>
      <c r="BD183" s="1289"/>
      <c r="BE183" s="1289"/>
      <c r="BF183" s="1289"/>
      <c r="BG183" s="1289"/>
      <c r="BH183" s="1289"/>
      <c r="BI183" s="1289"/>
      <c r="BJ183" s="1289"/>
      <c r="BK183" s="1289"/>
      <c r="BL183" s="1948"/>
    </row>
    <row r="184" spans="1:64">
      <c r="A184" s="111"/>
      <c r="B184" s="1893"/>
      <c r="C184" s="1289"/>
      <c r="D184" s="1289"/>
      <c r="E184" s="1289"/>
      <c r="F184" s="1289"/>
      <c r="G184" s="1289"/>
      <c r="H184" s="1289"/>
      <c r="I184" s="1289"/>
      <c r="J184" s="1888"/>
      <c r="K184" s="1887"/>
      <c r="L184" s="1289"/>
      <c r="M184" s="1887"/>
      <c r="N184" s="1289"/>
      <c r="O184" s="1289"/>
      <c r="P184" s="1888"/>
      <c r="Q184" s="1887"/>
      <c r="R184" s="1289"/>
      <c r="S184" s="1289"/>
      <c r="T184" s="1888"/>
      <c r="U184" s="1887"/>
      <c r="V184" s="1289"/>
      <c r="W184" s="1888"/>
      <c r="X184" s="1887"/>
      <c r="Y184" s="1289"/>
      <c r="Z184" s="1289"/>
      <c r="AA184" s="1888"/>
      <c r="AB184" s="1934"/>
      <c r="AC184" s="1289"/>
      <c r="AD184" s="1289"/>
      <c r="AE184" s="1887"/>
      <c r="AF184" s="1289"/>
      <c r="AG184" s="1888"/>
      <c r="AH184" s="1887"/>
      <c r="AI184" s="1289"/>
      <c r="AJ184" s="1888"/>
      <c r="AK184" s="1887"/>
      <c r="AL184" s="1289"/>
      <c r="AM184" s="1289"/>
      <c r="AN184" s="1289"/>
      <c r="AO184" s="1888"/>
      <c r="AP184" s="1934"/>
      <c r="AQ184" s="1289"/>
      <c r="AR184" s="1289"/>
      <c r="AS184" s="1289"/>
      <c r="AT184" s="1289"/>
      <c r="AU184" s="1888"/>
      <c r="AV184" s="1944"/>
      <c r="AW184" s="1289"/>
      <c r="AX184" s="1289"/>
      <c r="AY184" s="1289"/>
      <c r="AZ184" s="1289"/>
      <c r="BA184" s="1289"/>
      <c r="BB184" s="1289"/>
      <c r="BC184" s="1289"/>
      <c r="BD184" s="1289"/>
      <c r="BE184" s="1289"/>
      <c r="BF184" s="1289"/>
      <c r="BG184" s="1289"/>
      <c r="BH184" s="1289"/>
      <c r="BI184" s="1289"/>
      <c r="BJ184" s="1289"/>
      <c r="BK184" s="1289"/>
      <c r="BL184" s="1945"/>
    </row>
    <row r="185" spans="1:64">
      <c r="A185" s="111"/>
      <c r="B185" s="1899"/>
      <c r="C185" s="1289"/>
      <c r="D185" s="1289"/>
      <c r="E185" s="1289"/>
      <c r="F185" s="1289"/>
      <c r="G185" s="1289"/>
      <c r="H185" s="1289"/>
      <c r="I185" s="1289"/>
      <c r="J185" s="1886"/>
      <c r="K185" s="1890"/>
      <c r="L185" s="1289"/>
      <c r="M185" s="1890"/>
      <c r="N185" s="1289"/>
      <c r="O185" s="1289"/>
      <c r="P185" s="1886"/>
      <c r="Q185" s="1890"/>
      <c r="R185" s="1289"/>
      <c r="S185" s="1289"/>
      <c r="T185" s="1886"/>
      <c r="U185" s="1890"/>
      <c r="V185" s="1289"/>
      <c r="W185" s="1886"/>
      <c r="X185" s="1890"/>
      <c r="Y185" s="1289"/>
      <c r="Z185" s="1289"/>
      <c r="AA185" s="1886"/>
      <c r="AB185" s="1941"/>
      <c r="AC185" s="1289"/>
      <c r="AD185" s="1289"/>
      <c r="AE185" s="1890"/>
      <c r="AF185" s="1289"/>
      <c r="AG185" s="1886"/>
      <c r="AH185" s="1890"/>
      <c r="AI185" s="1289"/>
      <c r="AJ185" s="1886"/>
      <c r="AK185" s="1890"/>
      <c r="AL185" s="1289"/>
      <c r="AM185" s="1289"/>
      <c r="AN185" s="1289"/>
      <c r="AO185" s="1886"/>
      <c r="AP185" s="1941"/>
      <c r="AQ185" s="1289"/>
      <c r="AR185" s="1289"/>
      <c r="AS185" s="1289"/>
      <c r="AT185" s="1289"/>
      <c r="AU185" s="1886"/>
      <c r="AV185" s="1947"/>
      <c r="AW185" s="1289"/>
      <c r="AX185" s="1289"/>
      <c r="AY185" s="1289"/>
      <c r="AZ185" s="1289"/>
      <c r="BA185" s="1289"/>
      <c r="BB185" s="1289"/>
      <c r="BC185" s="1289"/>
      <c r="BD185" s="1289"/>
      <c r="BE185" s="1289"/>
      <c r="BF185" s="1289"/>
      <c r="BG185" s="1289"/>
      <c r="BH185" s="1289"/>
      <c r="BI185" s="1289"/>
      <c r="BJ185" s="1289"/>
      <c r="BK185" s="1289"/>
      <c r="BL185" s="1948"/>
    </row>
    <row r="186" spans="1:64">
      <c r="A186" s="111"/>
      <c r="B186" s="1893"/>
      <c r="C186" s="1289"/>
      <c r="D186" s="1289"/>
      <c r="E186" s="1289"/>
      <c r="F186" s="1289"/>
      <c r="G186" s="1289"/>
      <c r="H186" s="1289"/>
      <c r="I186" s="1289"/>
      <c r="J186" s="1888"/>
      <c r="K186" s="1887"/>
      <c r="L186" s="1289"/>
      <c r="M186" s="1887"/>
      <c r="N186" s="1289"/>
      <c r="O186" s="1289"/>
      <c r="P186" s="1888"/>
      <c r="Q186" s="1887"/>
      <c r="R186" s="1289"/>
      <c r="S186" s="1289"/>
      <c r="T186" s="1888"/>
      <c r="U186" s="1887"/>
      <c r="V186" s="1289"/>
      <c r="W186" s="1888"/>
      <c r="X186" s="1887"/>
      <c r="Y186" s="1289"/>
      <c r="Z186" s="1289"/>
      <c r="AA186" s="1888"/>
      <c r="AB186" s="1934"/>
      <c r="AC186" s="1289"/>
      <c r="AD186" s="1289"/>
      <c r="AE186" s="1887"/>
      <c r="AF186" s="1289"/>
      <c r="AG186" s="1888"/>
      <c r="AH186" s="1887"/>
      <c r="AI186" s="1289"/>
      <c r="AJ186" s="1888"/>
      <c r="AK186" s="1887"/>
      <c r="AL186" s="1289"/>
      <c r="AM186" s="1289"/>
      <c r="AN186" s="1289"/>
      <c r="AO186" s="1888"/>
      <c r="AP186" s="1934"/>
      <c r="AQ186" s="1289"/>
      <c r="AR186" s="1289"/>
      <c r="AS186" s="1289"/>
      <c r="AT186" s="1289"/>
      <c r="AU186" s="1888"/>
      <c r="AV186" s="1944"/>
      <c r="AW186" s="1289"/>
      <c r="AX186" s="1289"/>
      <c r="AY186" s="1289"/>
      <c r="AZ186" s="1289"/>
      <c r="BA186" s="1289"/>
      <c r="BB186" s="1289"/>
      <c r="BC186" s="1289"/>
      <c r="BD186" s="1289"/>
      <c r="BE186" s="1289"/>
      <c r="BF186" s="1289"/>
      <c r="BG186" s="1289"/>
      <c r="BH186" s="1289"/>
      <c r="BI186" s="1289"/>
      <c r="BJ186" s="1289"/>
      <c r="BK186" s="1289"/>
      <c r="BL186" s="1945"/>
    </row>
    <row r="187" spans="1:64">
      <c r="A187" s="111"/>
      <c r="B187" s="1899"/>
      <c r="C187" s="1289"/>
      <c r="D187" s="1289"/>
      <c r="E187" s="1289"/>
      <c r="F187" s="1289"/>
      <c r="G187" s="1289"/>
      <c r="H187" s="1289"/>
      <c r="I187" s="1289"/>
      <c r="J187" s="1886"/>
      <c r="K187" s="1890"/>
      <c r="L187" s="1289"/>
      <c r="M187" s="1890"/>
      <c r="N187" s="1289"/>
      <c r="O187" s="1289"/>
      <c r="P187" s="1886"/>
      <c r="Q187" s="1890"/>
      <c r="R187" s="1289"/>
      <c r="S187" s="1289"/>
      <c r="T187" s="1886"/>
      <c r="U187" s="1890"/>
      <c r="V187" s="1289"/>
      <c r="W187" s="1886"/>
      <c r="X187" s="1890"/>
      <c r="Y187" s="1289"/>
      <c r="Z187" s="1289"/>
      <c r="AA187" s="1886"/>
      <c r="AB187" s="1941"/>
      <c r="AC187" s="1289"/>
      <c r="AD187" s="1289"/>
      <c r="AE187" s="1890"/>
      <c r="AF187" s="1289"/>
      <c r="AG187" s="1886"/>
      <c r="AH187" s="1890"/>
      <c r="AI187" s="1289"/>
      <c r="AJ187" s="1886"/>
      <c r="AK187" s="1890"/>
      <c r="AL187" s="1289"/>
      <c r="AM187" s="1289"/>
      <c r="AN187" s="1289"/>
      <c r="AO187" s="1886"/>
      <c r="AP187" s="1941"/>
      <c r="AQ187" s="1289"/>
      <c r="AR187" s="1289"/>
      <c r="AS187" s="1289"/>
      <c r="AT187" s="1289"/>
      <c r="AU187" s="1886"/>
      <c r="AV187" s="1947"/>
      <c r="AW187" s="1289"/>
      <c r="AX187" s="1289"/>
      <c r="AY187" s="1289"/>
      <c r="AZ187" s="1289"/>
      <c r="BA187" s="1289"/>
      <c r="BB187" s="1289"/>
      <c r="BC187" s="1289"/>
      <c r="BD187" s="1289"/>
      <c r="BE187" s="1289"/>
      <c r="BF187" s="1289"/>
      <c r="BG187" s="1289"/>
      <c r="BH187" s="1289"/>
      <c r="BI187" s="1289"/>
      <c r="BJ187" s="1289"/>
      <c r="BK187" s="1289"/>
      <c r="BL187" s="1948"/>
    </row>
    <row r="188" spans="1:64">
      <c r="A188" s="111"/>
      <c r="B188" s="1893"/>
      <c r="C188" s="1289"/>
      <c r="D188" s="1289"/>
      <c r="E188" s="1289"/>
      <c r="F188" s="1289"/>
      <c r="G188" s="1289"/>
      <c r="H188" s="1289"/>
      <c r="I188" s="1289"/>
      <c r="J188" s="1888"/>
      <c r="K188" s="1887"/>
      <c r="L188" s="1289"/>
      <c r="M188" s="1887"/>
      <c r="N188" s="1289"/>
      <c r="O188" s="1289"/>
      <c r="P188" s="1888"/>
      <c r="Q188" s="1887"/>
      <c r="R188" s="1289"/>
      <c r="S188" s="1289"/>
      <c r="T188" s="1888"/>
      <c r="U188" s="1887"/>
      <c r="V188" s="1289"/>
      <c r="W188" s="1888"/>
      <c r="X188" s="1887"/>
      <c r="Y188" s="1289"/>
      <c r="Z188" s="1289"/>
      <c r="AA188" s="1888"/>
      <c r="AB188" s="1934"/>
      <c r="AC188" s="1289"/>
      <c r="AD188" s="1289"/>
      <c r="AE188" s="1887"/>
      <c r="AF188" s="1289"/>
      <c r="AG188" s="1888"/>
      <c r="AH188" s="1887"/>
      <c r="AI188" s="1289"/>
      <c r="AJ188" s="1888"/>
      <c r="AK188" s="1887"/>
      <c r="AL188" s="1289"/>
      <c r="AM188" s="1289"/>
      <c r="AN188" s="1289"/>
      <c r="AO188" s="1888"/>
      <c r="AP188" s="1934"/>
      <c r="AQ188" s="1289"/>
      <c r="AR188" s="1289"/>
      <c r="AS188" s="1289"/>
      <c r="AT188" s="1289"/>
      <c r="AU188" s="1888"/>
      <c r="AV188" s="1944"/>
      <c r="AW188" s="1289"/>
      <c r="AX188" s="1289"/>
      <c r="AY188" s="1289"/>
      <c r="AZ188" s="1289"/>
      <c r="BA188" s="1289"/>
      <c r="BB188" s="1289"/>
      <c r="BC188" s="1289"/>
      <c r="BD188" s="1289"/>
      <c r="BE188" s="1289"/>
      <c r="BF188" s="1289"/>
      <c r="BG188" s="1289"/>
      <c r="BH188" s="1289"/>
      <c r="BI188" s="1289"/>
      <c r="BJ188" s="1289"/>
      <c r="BK188" s="1289"/>
      <c r="BL188" s="1945"/>
    </row>
    <row r="189" spans="1:64">
      <c r="A189" s="111"/>
      <c r="B189" s="1899"/>
      <c r="C189" s="1289"/>
      <c r="D189" s="1289"/>
      <c r="E189" s="1289"/>
      <c r="F189" s="1289"/>
      <c r="G189" s="1289"/>
      <c r="H189" s="1289"/>
      <c r="I189" s="1289"/>
      <c r="J189" s="1886"/>
      <c r="K189" s="1890"/>
      <c r="L189" s="1289"/>
      <c r="M189" s="1890"/>
      <c r="N189" s="1289"/>
      <c r="O189" s="1289"/>
      <c r="P189" s="1886"/>
      <c r="Q189" s="1890"/>
      <c r="R189" s="1289"/>
      <c r="S189" s="1289"/>
      <c r="T189" s="1886"/>
      <c r="U189" s="1890"/>
      <c r="V189" s="1289"/>
      <c r="W189" s="1886"/>
      <c r="X189" s="1890"/>
      <c r="Y189" s="1289"/>
      <c r="Z189" s="1289"/>
      <c r="AA189" s="1886"/>
      <c r="AB189" s="1941"/>
      <c r="AC189" s="1289"/>
      <c r="AD189" s="1289"/>
      <c r="AE189" s="1890"/>
      <c r="AF189" s="1289"/>
      <c r="AG189" s="1886"/>
      <c r="AH189" s="1890"/>
      <c r="AI189" s="1289"/>
      <c r="AJ189" s="1886"/>
      <c r="AK189" s="1890"/>
      <c r="AL189" s="1289"/>
      <c r="AM189" s="1289"/>
      <c r="AN189" s="1289"/>
      <c r="AO189" s="1886"/>
      <c r="AP189" s="1941"/>
      <c r="AQ189" s="1289"/>
      <c r="AR189" s="1289"/>
      <c r="AS189" s="1289"/>
      <c r="AT189" s="1289"/>
      <c r="AU189" s="1886"/>
      <c r="AV189" s="1947"/>
      <c r="AW189" s="1289"/>
      <c r="AX189" s="1289"/>
      <c r="AY189" s="1289"/>
      <c r="AZ189" s="1289"/>
      <c r="BA189" s="1289"/>
      <c r="BB189" s="1289"/>
      <c r="BC189" s="1289"/>
      <c r="BD189" s="1289"/>
      <c r="BE189" s="1289"/>
      <c r="BF189" s="1289"/>
      <c r="BG189" s="1289"/>
      <c r="BH189" s="1289"/>
      <c r="BI189" s="1289"/>
      <c r="BJ189" s="1289"/>
      <c r="BK189" s="1289"/>
      <c r="BL189" s="1948"/>
    </row>
    <row r="190" spans="1:64">
      <c r="A190" s="111"/>
      <c r="B190" s="1893"/>
      <c r="C190" s="1289"/>
      <c r="D190" s="1289"/>
      <c r="E190" s="1289"/>
      <c r="F190" s="1289"/>
      <c r="G190" s="1289"/>
      <c r="H190" s="1289"/>
      <c r="I190" s="1289"/>
      <c r="J190" s="1888"/>
      <c r="K190" s="1887"/>
      <c r="L190" s="1289"/>
      <c r="M190" s="1887"/>
      <c r="N190" s="1289"/>
      <c r="O190" s="1289"/>
      <c r="P190" s="1888"/>
      <c r="Q190" s="1887"/>
      <c r="R190" s="1289"/>
      <c r="S190" s="1289"/>
      <c r="T190" s="1888"/>
      <c r="U190" s="1887"/>
      <c r="V190" s="1289"/>
      <c r="W190" s="1888"/>
      <c r="X190" s="1887"/>
      <c r="Y190" s="1289"/>
      <c r="Z190" s="1289"/>
      <c r="AA190" s="1888"/>
      <c r="AB190" s="1934"/>
      <c r="AC190" s="1289"/>
      <c r="AD190" s="1289"/>
      <c r="AE190" s="1887"/>
      <c r="AF190" s="1289"/>
      <c r="AG190" s="1888"/>
      <c r="AH190" s="1887"/>
      <c r="AI190" s="1289"/>
      <c r="AJ190" s="1888"/>
      <c r="AK190" s="1887"/>
      <c r="AL190" s="1289"/>
      <c r="AM190" s="1289"/>
      <c r="AN190" s="1289"/>
      <c r="AO190" s="1888"/>
      <c r="AP190" s="1934"/>
      <c r="AQ190" s="1289"/>
      <c r="AR190" s="1289"/>
      <c r="AS190" s="1289"/>
      <c r="AT190" s="1289"/>
      <c r="AU190" s="1888"/>
      <c r="AV190" s="1944"/>
      <c r="AW190" s="1289"/>
      <c r="AX190" s="1289"/>
      <c r="AY190" s="1289"/>
      <c r="AZ190" s="1289"/>
      <c r="BA190" s="1289"/>
      <c r="BB190" s="1289"/>
      <c r="BC190" s="1289"/>
      <c r="BD190" s="1289"/>
      <c r="BE190" s="1289"/>
      <c r="BF190" s="1289"/>
      <c r="BG190" s="1289"/>
      <c r="BH190" s="1289"/>
      <c r="BI190" s="1289"/>
      <c r="BJ190" s="1289"/>
      <c r="BK190" s="1289"/>
      <c r="BL190" s="1945"/>
    </row>
    <row r="191" spans="1:64">
      <c r="A191" s="111"/>
      <c r="B191" s="1899"/>
      <c r="C191" s="1289"/>
      <c r="D191" s="1289"/>
      <c r="E191" s="1289"/>
      <c r="F191" s="1289"/>
      <c r="G191" s="1289"/>
      <c r="H191" s="1289"/>
      <c r="I191" s="1289"/>
      <c r="J191" s="1886"/>
      <c r="K191" s="1890"/>
      <c r="L191" s="1289"/>
      <c r="M191" s="1890"/>
      <c r="N191" s="1289"/>
      <c r="O191" s="1289"/>
      <c r="P191" s="1886"/>
      <c r="Q191" s="1890"/>
      <c r="R191" s="1289"/>
      <c r="S191" s="1289"/>
      <c r="T191" s="1886"/>
      <c r="U191" s="1890"/>
      <c r="V191" s="1289"/>
      <c r="W191" s="1886"/>
      <c r="X191" s="1890"/>
      <c r="Y191" s="1289"/>
      <c r="Z191" s="1289"/>
      <c r="AA191" s="1886"/>
      <c r="AB191" s="1941"/>
      <c r="AC191" s="1289"/>
      <c r="AD191" s="1289"/>
      <c r="AE191" s="1890"/>
      <c r="AF191" s="1289"/>
      <c r="AG191" s="1886"/>
      <c r="AH191" s="1890"/>
      <c r="AI191" s="1289"/>
      <c r="AJ191" s="1886"/>
      <c r="AK191" s="1890"/>
      <c r="AL191" s="1289"/>
      <c r="AM191" s="1289"/>
      <c r="AN191" s="1289"/>
      <c r="AO191" s="1886"/>
      <c r="AP191" s="1941"/>
      <c r="AQ191" s="1289"/>
      <c r="AR191" s="1289"/>
      <c r="AS191" s="1289"/>
      <c r="AT191" s="1289"/>
      <c r="AU191" s="1886"/>
      <c r="AV191" s="1947"/>
      <c r="AW191" s="1289"/>
      <c r="AX191" s="1289"/>
      <c r="AY191" s="1289"/>
      <c r="AZ191" s="1289"/>
      <c r="BA191" s="1289"/>
      <c r="BB191" s="1289"/>
      <c r="BC191" s="1289"/>
      <c r="BD191" s="1289"/>
      <c r="BE191" s="1289"/>
      <c r="BF191" s="1289"/>
      <c r="BG191" s="1289"/>
      <c r="BH191" s="1289"/>
      <c r="BI191" s="1289"/>
      <c r="BJ191" s="1289"/>
      <c r="BK191" s="1289"/>
      <c r="BL191" s="1948"/>
    </row>
    <row r="192" spans="1:64">
      <c r="A192" s="109"/>
      <c r="B192" s="1926"/>
      <c r="C192" s="1289"/>
      <c r="D192" s="1289"/>
      <c r="E192" s="1289"/>
      <c r="F192" s="1289"/>
      <c r="G192" s="1289"/>
      <c r="H192" s="1289"/>
      <c r="I192" s="1289"/>
      <c r="J192" s="1888"/>
      <c r="K192" s="1891"/>
      <c r="L192" s="1289"/>
      <c r="M192" s="1891"/>
      <c r="N192" s="1289"/>
      <c r="O192" s="1289"/>
      <c r="P192" s="1888"/>
      <c r="Q192" s="1891"/>
      <c r="R192" s="1289"/>
      <c r="S192" s="1289"/>
      <c r="T192" s="1888"/>
      <c r="U192" s="1891"/>
      <c r="V192" s="1289"/>
      <c r="W192" s="1888"/>
      <c r="X192" s="1891"/>
      <c r="Y192" s="1289"/>
      <c r="Z192" s="1289"/>
      <c r="AA192" s="1888"/>
      <c r="AB192" s="1930"/>
      <c r="AC192" s="1289"/>
      <c r="AD192" s="1289"/>
      <c r="AE192" s="1891"/>
      <c r="AF192" s="1289"/>
      <c r="AG192" s="1888"/>
      <c r="AH192" s="1891"/>
      <c r="AI192" s="1289"/>
      <c r="AJ192" s="1888"/>
      <c r="AK192" s="1891"/>
      <c r="AL192" s="1289"/>
      <c r="AM192" s="1289"/>
      <c r="AN192" s="1289"/>
      <c r="AO192" s="1888"/>
      <c r="AP192" s="1930"/>
      <c r="AQ192" s="1289"/>
      <c r="AR192" s="1289"/>
      <c r="AS192" s="1289"/>
      <c r="AT192" s="1289"/>
      <c r="AU192" s="1888"/>
      <c r="AV192" s="1950"/>
      <c r="AW192" s="1289"/>
      <c r="AX192" s="1289"/>
      <c r="AY192" s="1289"/>
      <c r="AZ192" s="1289"/>
      <c r="BA192" s="1289"/>
      <c r="BB192" s="1289"/>
      <c r="BC192" s="1289"/>
      <c r="BD192" s="1289"/>
      <c r="BE192" s="1289"/>
      <c r="BF192" s="1289"/>
      <c r="BG192" s="1289"/>
      <c r="BH192" s="1289"/>
      <c r="BI192" s="1289"/>
      <c r="BJ192" s="1289"/>
      <c r="BK192" s="1289"/>
      <c r="BL192" s="1945"/>
    </row>
    <row r="193" spans="1:64">
      <c r="A193" s="109"/>
      <c r="B193" s="1917"/>
      <c r="C193" s="1289"/>
      <c r="D193" s="1289"/>
      <c r="E193" s="1289"/>
      <c r="F193" s="1289"/>
      <c r="G193" s="1289"/>
      <c r="H193" s="1289"/>
      <c r="I193" s="1289"/>
      <c r="J193" s="1886"/>
      <c r="K193" s="1914"/>
      <c r="L193" s="1289"/>
      <c r="M193" s="1914"/>
      <c r="N193" s="1289"/>
      <c r="O193" s="1289"/>
      <c r="P193" s="1886"/>
      <c r="Q193" s="1914"/>
      <c r="R193" s="1289"/>
      <c r="S193" s="1289"/>
      <c r="T193" s="1886"/>
      <c r="U193" s="1914"/>
      <c r="V193" s="1289"/>
      <c r="W193" s="1886"/>
      <c r="X193" s="1914"/>
      <c r="Y193" s="1289"/>
      <c r="Z193" s="1289"/>
      <c r="AA193" s="1886"/>
      <c r="AB193" s="1929"/>
      <c r="AC193" s="1289"/>
      <c r="AD193" s="1289"/>
      <c r="AE193" s="1914"/>
      <c r="AF193" s="1289"/>
      <c r="AG193" s="1886"/>
      <c r="AH193" s="1914"/>
      <c r="AI193" s="1289"/>
      <c r="AJ193" s="1886"/>
      <c r="AK193" s="1914"/>
      <c r="AL193" s="1289"/>
      <c r="AM193" s="1289"/>
      <c r="AN193" s="1289"/>
      <c r="AO193" s="1886"/>
      <c r="AP193" s="1929"/>
      <c r="AQ193" s="1289"/>
      <c r="AR193" s="1289"/>
      <c r="AS193" s="1289"/>
      <c r="AT193" s="1289"/>
      <c r="AU193" s="1886"/>
      <c r="AV193" s="1952"/>
      <c r="AW193" s="1289"/>
      <c r="AX193" s="1289"/>
      <c r="AY193" s="1289"/>
      <c r="AZ193" s="1289"/>
      <c r="BA193" s="1289"/>
      <c r="BB193" s="1289"/>
      <c r="BC193" s="1289"/>
      <c r="BD193" s="1289"/>
      <c r="BE193" s="1289"/>
      <c r="BF193" s="1289"/>
      <c r="BG193" s="1289"/>
      <c r="BH193" s="1289"/>
      <c r="BI193" s="1289"/>
      <c r="BJ193" s="1289"/>
      <c r="BK193" s="1289"/>
      <c r="BL193" s="1948"/>
    </row>
    <row r="194" spans="1:64">
      <c r="A194" s="109"/>
      <c r="B194" s="1927"/>
      <c r="C194" s="1289"/>
      <c r="D194" s="1289"/>
      <c r="E194" s="1289"/>
      <c r="F194" s="1289"/>
      <c r="G194" s="1289"/>
      <c r="H194" s="1289"/>
      <c r="I194" s="1289"/>
      <c r="J194" s="1888"/>
      <c r="K194" s="1915"/>
      <c r="L194" s="1289"/>
      <c r="M194" s="1915"/>
      <c r="N194" s="1289"/>
      <c r="O194" s="1289"/>
      <c r="P194" s="1888"/>
      <c r="Q194" s="1915"/>
      <c r="R194" s="1289"/>
      <c r="S194" s="1289"/>
      <c r="T194" s="1888"/>
      <c r="U194" s="1915"/>
      <c r="V194" s="1289"/>
      <c r="W194" s="1888"/>
      <c r="X194" s="1915"/>
      <c r="Y194" s="1289"/>
      <c r="Z194" s="1289"/>
      <c r="AA194" s="1888"/>
      <c r="AB194" s="1932"/>
      <c r="AC194" s="1289"/>
      <c r="AD194" s="1289"/>
      <c r="AE194" s="1915"/>
      <c r="AF194" s="1289"/>
      <c r="AG194" s="1888"/>
      <c r="AH194" s="1915"/>
      <c r="AI194" s="1289"/>
      <c r="AJ194" s="1888"/>
      <c r="AK194" s="1915"/>
      <c r="AL194" s="1289"/>
      <c r="AM194" s="1289"/>
      <c r="AN194" s="1289"/>
      <c r="AO194" s="1888"/>
      <c r="AP194" s="1932"/>
      <c r="AQ194" s="1289"/>
      <c r="AR194" s="1289"/>
      <c r="AS194" s="1289"/>
      <c r="AT194" s="1289"/>
      <c r="AU194" s="1888"/>
      <c r="AV194" s="1951"/>
      <c r="AW194" s="1289"/>
      <c r="AX194" s="1289"/>
      <c r="AY194" s="1289"/>
      <c r="AZ194" s="1289"/>
      <c r="BA194" s="1289"/>
      <c r="BB194" s="1289"/>
      <c r="BC194" s="1289"/>
      <c r="BD194" s="1289"/>
      <c r="BE194" s="1289"/>
      <c r="BF194" s="1289"/>
      <c r="BG194" s="1289"/>
      <c r="BH194" s="1289"/>
      <c r="BI194" s="1289"/>
      <c r="BJ194" s="1289"/>
      <c r="BK194" s="1289"/>
      <c r="BL194" s="1945"/>
    </row>
    <row r="195" spans="1:64">
      <c r="A195" s="109"/>
      <c r="B195" s="1925"/>
      <c r="C195" s="1289"/>
      <c r="D195" s="1289"/>
      <c r="E195" s="1289"/>
      <c r="F195" s="1289"/>
      <c r="G195" s="1289"/>
      <c r="H195" s="1289"/>
      <c r="I195" s="1289"/>
      <c r="J195" s="1886"/>
      <c r="K195" s="1916"/>
      <c r="L195" s="1289"/>
      <c r="M195" s="1916"/>
      <c r="N195" s="1289"/>
      <c r="O195" s="1289"/>
      <c r="P195" s="1886"/>
      <c r="Q195" s="1916"/>
      <c r="R195" s="1289"/>
      <c r="S195" s="1289"/>
      <c r="T195" s="1886"/>
      <c r="U195" s="1916"/>
      <c r="V195" s="1289"/>
      <c r="W195" s="1886"/>
      <c r="X195" s="1916"/>
      <c r="Y195" s="1289"/>
      <c r="Z195" s="1289"/>
      <c r="AA195" s="1886"/>
      <c r="AB195" s="1931"/>
      <c r="AC195" s="1289"/>
      <c r="AD195" s="1289"/>
      <c r="AE195" s="1916"/>
      <c r="AF195" s="1289"/>
      <c r="AG195" s="1886"/>
      <c r="AH195" s="1916"/>
      <c r="AI195" s="1289"/>
      <c r="AJ195" s="1886"/>
      <c r="AK195" s="1916"/>
      <c r="AL195" s="1289"/>
      <c r="AM195" s="1289"/>
      <c r="AN195" s="1289"/>
      <c r="AO195" s="1886"/>
      <c r="AP195" s="1931"/>
      <c r="AQ195" s="1289"/>
      <c r="AR195" s="1289"/>
      <c r="AS195" s="1289"/>
      <c r="AT195" s="1289"/>
      <c r="AU195" s="1886"/>
      <c r="AV195" s="1959"/>
      <c r="AW195" s="1289"/>
      <c r="AX195" s="1289"/>
      <c r="AY195" s="1289"/>
      <c r="AZ195" s="1289"/>
      <c r="BA195" s="1289"/>
      <c r="BB195" s="1289"/>
      <c r="BC195" s="1289"/>
      <c r="BD195" s="1289"/>
      <c r="BE195" s="1289"/>
      <c r="BF195" s="1289"/>
      <c r="BG195" s="1289"/>
      <c r="BH195" s="1289"/>
      <c r="BI195" s="1289"/>
      <c r="BJ195" s="1289"/>
      <c r="BK195" s="1289"/>
      <c r="BL195" s="1948"/>
    </row>
    <row r="196" spans="1:64">
      <c r="A196" s="109"/>
      <c r="B196" s="1924"/>
      <c r="C196" s="1289"/>
      <c r="D196" s="1289"/>
      <c r="E196" s="1289"/>
      <c r="F196" s="1289"/>
      <c r="G196" s="1289"/>
      <c r="H196" s="1289"/>
      <c r="I196" s="1289"/>
      <c r="J196" s="1888"/>
      <c r="K196" s="1889"/>
      <c r="L196" s="1289"/>
      <c r="M196" s="1889"/>
      <c r="N196" s="1289"/>
      <c r="O196" s="1289"/>
      <c r="P196" s="1888"/>
      <c r="Q196" s="1933"/>
      <c r="R196" s="1289"/>
      <c r="S196" s="1289"/>
      <c r="T196" s="1888"/>
      <c r="U196" s="1933"/>
      <c r="V196" s="1289"/>
      <c r="W196" s="1888"/>
      <c r="X196" s="1933"/>
      <c r="Y196" s="1289"/>
      <c r="Z196" s="1289"/>
      <c r="AA196" s="1888"/>
      <c r="AB196" s="1957"/>
      <c r="AC196" s="1289"/>
      <c r="AD196" s="1289"/>
      <c r="AE196" s="1933"/>
      <c r="AF196" s="1289"/>
      <c r="AG196" s="1888"/>
      <c r="AH196" s="1933"/>
      <c r="AI196" s="1289"/>
      <c r="AJ196" s="1888"/>
      <c r="AK196" s="1933"/>
      <c r="AL196" s="1289"/>
      <c r="AM196" s="1289"/>
      <c r="AN196" s="1289"/>
      <c r="AO196" s="1888"/>
      <c r="AP196" s="1957"/>
      <c r="AQ196" s="1289"/>
      <c r="AR196" s="1289"/>
      <c r="AS196" s="1289"/>
      <c r="AT196" s="1289"/>
      <c r="AU196" s="1888"/>
      <c r="AV196" s="1958"/>
      <c r="AW196" s="1289"/>
      <c r="AX196" s="1289"/>
      <c r="AY196" s="1289"/>
      <c r="AZ196" s="1289"/>
      <c r="BA196" s="1289"/>
      <c r="BB196" s="1289"/>
      <c r="BC196" s="1289"/>
      <c r="BD196" s="1289"/>
      <c r="BE196" s="1289"/>
      <c r="BF196" s="1289"/>
      <c r="BG196" s="1289"/>
      <c r="BH196" s="1289"/>
      <c r="BI196" s="1289"/>
      <c r="BJ196" s="1289"/>
      <c r="BK196" s="1289"/>
      <c r="BL196" s="1945"/>
    </row>
    <row r="197" spans="1:64">
      <c r="A197" s="109"/>
      <c r="B197" s="1885"/>
      <c r="C197" s="1289"/>
      <c r="D197" s="1289"/>
      <c r="E197" s="1289"/>
      <c r="F197" s="1289"/>
      <c r="G197" s="1289"/>
      <c r="H197" s="1289"/>
      <c r="I197" s="1289"/>
      <c r="J197" s="1886"/>
      <c r="K197" s="1914"/>
      <c r="L197" s="1289"/>
      <c r="M197" s="1914"/>
      <c r="N197" s="1289"/>
      <c r="O197" s="1289"/>
      <c r="P197" s="1886"/>
      <c r="Q197" s="1914"/>
      <c r="R197" s="1289"/>
      <c r="S197" s="1289"/>
      <c r="T197" s="1886"/>
      <c r="U197" s="1914"/>
      <c r="V197" s="1289"/>
      <c r="W197" s="1886"/>
      <c r="X197" s="1914"/>
      <c r="Y197" s="1289"/>
      <c r="Z197" s="1289"/>
      <c r="AA197" s="1886"/>
      <c r="AB197" s="1929"/>
      <c r="AC197" s="1289"/>
      <c r="AD197" s="1289"/>
      <c r="AE197" s="1914"/>
      <c r="AF197" s="1289"/>
      <c r="AG197" s="1886"/>
      <c r="AH197" s="1914"/>
      <c r="AI197" s="1289"/>
      <c r="AJ197" s="1886"/>
      <c r="AK197" s="1914"/>
      <c r="AL197" s="1289"/>
      <c r="AM197" s="1289"/>
      <c r="AN197" s="1289"/>
      <c r="AO197" s="1886"/>
      <c r="AP197" s="1929"/>
      <c r="AQ197" s="1289"/>
      <c r="AR197" s="1289"/>
      <c r="AS197" s="1289"/>
      <c r="AT197" s="1289"/>
      <c r="AU197" s="1886"/>
      <c r="AV197" s="1952"/>
      <c r="AW197" s="1289"/>
      <c r="AX197" s="1289"/>
      <c r="AY197" s="1289"/>
      <c r="AZ197" s="1289"/>
      <c r="BA197" s="1289"/>
      <c r="BB197" s="1289"/>
      <c r="BC197" s="1289"/>
      <c r="BD197" s="1289"/>
      <c r="BE197" s="1289"/>
      <c r="BF197" s="1289"/>
      <c r="BG197" s="1289"/>
      <c r="BH197" s="1289"/>
      <c r="BI197" s="1289"/>
      <c r="BJ197" s="1289"/>
      <c r="BK197" s="1289"/>
      <c r="BL197" s="1948"/>
    </row>
    <row r="198" spans="1:64">
      <c r="A198" s="109"/>
      <c r="B198" s="1892"/>
      <c r="C198" s="1289"/>
      <c r="D198" s="1289"/>
      <c r="E198" s="1289"/>
      <c r="F198" s="1289"/>
      <c r="G198" s="1289"/>
      <c r="H198" s="1289"/>
      <c r="I198" s="1289"/>
      <c r="J198" s="1888"/>
      <c r="K198" s="1891"/>
      <c r="L198" s="1289"/>
      <c r="M198" s="1891"/>
      <c r="N198" s="1289"/>
      <c r="O198" s="1289"/>
      <c r="P198" s="1888"/>
      <c r="Q198" s="1891"/>
      <c r="R198" s="1289"/>
      <c r="S198" s="1289"/>
      <c r="T198" s="1888"/>
      <c r="U198" s="1891"/>
      <c r="V198" s="1289"/>
      <c r="W198" s="1888"/>
      <c r="X198" s="1891"/>
      <c r="Y198" s="1289"/>
      <c r="Z198" s="1289"/>
      <c r="AA198" s="1888"/>
      <c r="AB198" s="1930"/>
      <c r="AC198" s="1289"/>
      <c r="AD198" s="1289"/>
      <c r="AE198" s="1891"/>
      <c r="AF198" s="1289"/>
      <c r="AG198" s="1888"/>
      <c r="AH198" s="1891"/>
      <c r="AI198" s="1289"/>
      <c r="AJ198" s="1888"/>
      <c r="AK198" s="1891"/>
      <c r="AL198" s="1289"/>
      <c r="AM198" s="1289"/>
      <c r="AN198" s="1289"/>
      <c r="AO198" s="1888"/>
      <c r="AP198" s="1930"/>
      <c r="AQ198" s="1289"/>
      <c r="AR198" s="1289"/>
      <c r="AS198" s="1289"/>
      <c r="AT198" s="1289"/>
      <c r="AU198" s="1888"/>
      <c r="AV198" s="1950"/>
      <c r="AW198" s="1289"/>
      <c r="AX198" s="1289"/>
      <c r="AY198" s="1289"/>
      <c r="AZ198" s="1289"/>
      <c r="BA198" s="1289"/>
      <c r="BB198" s="1289"/>
      <c r="BC198" s="1289"/>
      <c r="BD198" s="1289"/>
      <c r="BE198" s="1289"/>
      <c r="BF198" s="1289"/>
      <c r="BG198" s="1289"/>
      <c r="BH198" s="1289"/>
      <c r="BI198" s="1289"/>
      <c r="BJ198" s="1289"/>
      <c r="BK198" s="1289"/>
      <c r="BL198" s="1945"/>
    </row>
    <row r="199" spans="1:64">
      <c r="A199" s="109"/>
      <c r="B199" s="1885"/>
      <c r="C199" s="1289"/>
      <c r="D199" s="1289"/>
      <c r="E199" s="1289"/>
      <c r="F199" s="1289"/>
      <c r="G199" s="1289"/>
      <c r="H199" s="1289"/>
      <c r="I199" s="1289"/>
      <c r="J199" s="1886"/>
      <c r="K199" s="1914"/>
      <c r="L199" s="1289"/>
      <c r="M199" s="1914"/>
      <c r="N199" s="1289"/>
      <c r="O199" s="1289"/>
      <c r="P199" s="1886"/>
      <c r="Q199" s="1914"/>
      <c r="R199" s="1289"/>
      <c r="S199" s="1289"/>
      <c r="T199" s="1886"/>
      <c r="U199" s="1914"/>
      <c r="V199" s="1289"/>
      <c r="W199" s="1886"/>
      <c r="X199" s="1914"/>
      <c r="Y199" s="1289"/>
      <c r="Z199" s="1289"/>
      <c r="AA199" s="1886"/>
      <c r="AB199" s="1929"/>
      <c r="AC199" s="1289"/>
      <c r="AD199" s="1289"/>
      <c r="AE199" s="1914"/>
      <c r="AF199" s="1289"/>
      <c r="AG199" s="1886"/>
      <c r="AH199" s="1914"/>
      <c r="AI199" s="1289"/>
      <c r="AJ199" s="1886"/>
      <c r="AK199" s="1914"/>
      <c r="AL199" s="1289"/>
      <c r="AM199" s="1289"/>
      <c r="AN199" s="1289"/>
      <c r="AO199" s="1886"/>
      <c r="AP199" s="1929"/>
      <c r="AQ199" s="1289"/>
      <c r="AR199" s="1289"/>
      <c r="AS199" s="1289"/>
      <c r="AT199" s="1289"/>
      <c r="AU199" s="1886"/>
      <c r="AV199" s="1952"/>
      <c r="AW199" s="1289"/>
      <c r="AX199" s="1289"/>
      <c r="AY199" s="1289"/>
      <c r="AZ199" s="1289"/>
      <c r="BA199" s="1289"/>
      <c r="BB199" s="1289"/>
      <c r="BC199" s="1289"/>
      <c r="BD199" s="1289"/>
      <c r="BE199" s="1289"/>
      <c r="BF199" s="1289"/>
      <c r="BG199" s="1289"/>
      <c r="BH199" s="1289"/>
      <c r="BI199" s="1289"/>
      <c r="BJ199" s="1289"/>
      <c r="BK199" s="1289"/>
      <c r="BL199" s="1948"/>
    </row>
    <row r="200" spans="1:64">
      <c r="A200" s="109"/>
      <c r="B200" s="1892"/>
      <c r="C200" s="1289"/>
      <c r="D200" s="1289"/>
      <c r="E200" s="1289"/>
      <c r="F200" s="1289"/>
      <c r="G200" s="1289"/>
      <c r="H200" s="1289"/>
      <c r="I200" s="1289"/>
      <c r="J200" s="1888"/>
      <c r="K200" s="1891"/>
      <c r="L200" s="1289"/>
      <c r="M200" s="1891"/>
      <c r="N200" s="1289"/>
      <c r="O200" s="1289"/>
      <c r="P200" s="1888"/>
      <c r="Q200" s="1891"/>
      <c r="R200" s="1289"/>
      <c r="S200" s="1289"/>
      <c r="T200" s="1888"/>
      <c r="U200" s="1891"/>
      <c r="V200" s="1289"/>
      <c r="W200" s="1888"/>
      <c r="X200" s="1891"/>
      <c r="Y200" s="1289"/>
      <c r="Z200" s="1289"/>
      <c r="AA200" s="1888"/>
      <c r="AB200" s="1930"/>
      <c r="AC200" s="1289"/>
      <c r="AD200" s="1289"/>
      <c r="AE200" s="1891"/>
      <c r="AF200" s="1289"/>
      <c r="AG200" s="1888"/>
      <c r="AH200" s="1891"/>
      <c r="AI200" s="1289"/>
      <c r="AJ200" s="1888"/>
      <c r="AK200" s="1891"/>
      <c r="AL200" s="1289"/>
      <c r="AM200" s="1289"/>
      <c r="AN200" s="1289"/>
      <c r="AO200" s="1888"/>
      <c r="AP200" s="1930"/>
      <c r="AQ200" s="1289"/>
      <c r="AR200" s="1289"/>
      <c r="AS200" s="1289"/>
      <c r="AT200" s="1289"/>
      <c r="AU200" s="1888"/>
      <c r="AV200" s="1950"/>
      <c r="AW200" s="1289"/>
      <c r="AX200" s="1289"/>
      <c r="AY200" s="1289"/>
      <c r="AZ200" s="1289"/>
      <c r="BA200" s="1289"/>
      <c r="BB200" s="1289"/>
      <c r="BC200" s="1289"/>
      <c r="BD200" s="1289"/>
      <c r="BE200" s="1289"/>
      <c r="BF200" s="1289"/>
      <c r="BG200" s="1289"/>
      <c r="BH200" s="1289"/>
      <c r="BI200" s="1289"/>
      <c r="BJ200" s="1289"/>
      <c r="BK200" s="1289"/>
      <c r="BL200" s="1945"/>
    </row>
    <row r="201" spans="1:64">
      <c r="A201" s="109"/>
      <c r="B201" s="1885"/>
      <c r="C201" s="1289"/>
      <c r="D201" s="1289"/>
      <c r="E201" s="1289"/>
      <c r="F201" s="1289"/>
      <c r="G201" s="1289"/>
      <c r="H201" s="1289"/>
      <c r="I201" s="1289"/>
      <c r="J201" s="1886"/>
      <c r="K201" s="1914"/>
      <c r="L201" s="1289"/>
      <c r="M201" s="1914"/>
      <c r="N201" s="1289"/>
      <c r="O201" s="1289"/>
      <c r="P201" s="1886"/>
      <c r="Q201" s="1914"/>
      <c r="R201" s="1289"/>
      <c r="S201" s="1289"/>
      <c r="T201" s="1886"/>
      <c r="U201" s="1914"/>
      <c r="V201" s="1289"/>
      <c r="W201" s="1886"/>
      <c r="X201" s="1914"/>
      <c r="Y201" s="1289"/>
      <c r="Z201" s="1289"/>
      <c r="AA201" s="1886"/>
      <c r="AB201" s="1929"/>
      <c r="AC201" s="1289"/>
      <c r="AD201" s="1289"/>
      <c r="AE201" s="1914"/>
      <c r="AF201" s="1289"/>
      <c r="AG201" s="1886"/>
      <c r="AH201" s="1914"/>
      <c r="AI201" s="1289"/>
      <c r="AJ201" s="1886"/>
      <c r="AK201" s="1914"/>
      <c r="AL201" s="1289"/>
      <c r="AM201" s="1289"/>
      <c r="AN201" s="1289"/>
      <c r="AO201" s="1886"/>
      <c r="AP201" s="1929"/>
      <c r="AQ201" s="1289"/>
      <c r="AR201" s="1289"/>
      <c r="AS201" s="1289"/>
      <c r="AT201" s="1289"/>
      <c r="AU201" s="1886"/>
      <c r="AV201" s="1952"/>
      <c r="AW201" s="1289"/>
      <c r="AX201" s="1289"/>
      <c r="AY201" s="1289"/>
      <c r="AZ201" s="1289"/>
      <c r="BA201" s="1289"/>
      <c r="BB201" s="1289"/>
      <c r="BC201" s="1289"/>
      <c r="BD201" s="1289"/>
      <c r="BE201" s="1289"/>
      <c r="BF201" s="1289"/>
      <c r="BG201" s="1289"/>
      <c r="BH201" s="1289"/>
      <c r="BI201" s="1289"/>
      <c r="BJ201" s="1289"/>
      <c r="BK201" s="1289"/>
      <c r="BL201" s="1948"/>
    </row>
    <row r="202" spans="1:64">
      <c r="A202" s="109"/>
      <c r="B202" s="1892"/>
      <c r="C202" s="1289"/>
      <c r="D202" s="1289"/>
      <c r="E202" s="1289"/>
      <c r="F202" s="1289"/>
      <c r="G202" s="1289"/>
      <c r="H202" s="1289"/>
      <c r="I202" s="1289"/>
      <c r="J202" s="1888"/>
      <c r="K202" s="1891"/>
      <c r="L202" s="1289"/>
      <c r="M202" s="1891"/>
      <c r="N202" s="1289"/>
      <c r="O202" s="1289"/>
      <c r="P202" s="1888"/>
      <c r="Q202" s="1891"/>
      <c r="R202" s="1289"/>
      <c r="S202" s="1289"/>
      <c r="T202" s="1888"/>
      <c r="U202" s="1891"/>
      <c r="V202" s="1289"/>
      <c r="W202" s="1888"/>
      <c r="X202" s="1891"/>
      <c r="Y202" s="1289"/>
      <c r="Z202" s="1289"/>
      <c r="AA202" s="1888"/>
      <c r="AB202" s="1930"/>
      <c r="AC202" s="1289"/>
      <c r="AD202" s="1289"/>
      <c r="AE202" s="1891"/>
      <c r="AF202" s="1289"/>
      <c r="AG202" s="1888"/>
      <c r="AH202" s="1891"/>
      <c r="AI202" s="1289"/>
      <c r="AJ202" s="1888"/>
      <c r="AK202" s="1891"/>
      <c r="AL202" s="1289"/>
      <c r="AM202" s="1289"/>
      <c r="AN202" s="1289"/>
      <c r="AO202" s="1888"/>
      <c r="AP202" s="1930"/>
      <c r="AQ202" s="1289"/>
      <c r="AR202" s="1289"/>
      <c r="AS202" s="1289"/>
      <c r="AT202" s="1289"/>
      <c r="AU202" s="1888"/>
      <c r="AV202" s="1950"/>
      <c r="AW202" s="1289"/>
      <c r="AX202" s="1289"/>
      <c r="AY202" s="1289"/>
      <c r="AZ202" s="1289"/>
      <c r="BA202" s="1289"/>
      <c r="BB202" s="1289"/>
      <c r="BC202" s="1289"/>
      <c r="BD202" s="1289"/>
      <c r="BE202" s="1289"/>
      <c r="BF202" s="1289"/>
      <c r="BG202" s="1289"/>
      <c r="BH202" s="1289"/>
      <c r="BI202" s="1289"/>
      <c r="BJ202" s="1289"/>
      <c r="BK202" s="1289"/>
      <c r="BL202" s="1945"/>
    </row>
    <row r="203" spans="1:64">
      <c r="A203" s="109"/>
      <c r="B203" s="1885"/>
      <c r="C203" s="1289"/>
      <c r="D203" s="1289"/>
      <c r="E203" s="1289"/>
      <c r="F203" s="1289"/>
      <c r="G203" s="1289"/>
      <c r="H203" s="1289"/>
      <c r="I203" s="1289"/>
      <c r="J203" s="1886"/>
      <c r="K203" s="1914"/>
      <c r="L203" s="1289"/>
      <c r="M203" s="1914"/>
      <c r="N203" s="1289"/>
      <c r="O203" s="1289"/>
      <c r="P203" s="1886"/>
      <c r="Q203" s="1914"/>
      <c r="R203" s="1289"/>
      <c r="S203" s="1289"/>
      <c r="T203" s="1886"/>
      <c r="U203" s="1914"/>
      <c r="V203" s="1289"/>
      <c r="W203" s="1886"/>
      <c r="X203" s="1914"/>
      <c r="Y203" s="1289"/>
      <c r="Z203" s="1289"/>
      <c r="AA203" s="1886"/>
      <c r="AB203" s="1929"/>
      <c r="AC203" s="1289"/>
      <c r="AD203" s="1289"/>
      <c r="AE203" s="1914"/>
      <c r="AF203" s="1289"/>
      <c r="AG203" s="1886"/>
      <c r="AH203" s="1914"/>
      <c r="AI203" s="1289"/>
      <c r="AJ203" s="1886"/>
      <c r="AK203" s="1914"/>
      <c r="AL203" s="1289"/>
      <c r="AM203" s="1289"/>
      <c r="AN203" s="1289"/>
      <c r="AO203" s="1886"/>
      <c r="AP203" s="1929"/>
      <c r="AQ203" s="1289"/>
      <c r="AR203" s="1289"/>
      <c r="AS203" s="1289"/>
      <c r="AT203" s="1289"/>
      <c r="AU203" s="1886"/>
      <c r="AV203" s="1952"/>
      <c r="AW203" s="1289"/>
      <c r="AX203" s="1289"/>
      <c r="AY203" s="1289"/>
      <c r="AZ203" s="1289"/>
      <c r="BA203" s="1289"/>
      <c r="BB203" s="1289"/>
      <c r="BC203" s="1289"/>
      <c r="BD203" s="1289"/>
      <c r="BE203" s="1289"/>
      <c r="BF203" s="1289"/>
      <c r="BG203" s="1289"/>
      <c r="BH203" s="1289"/>
      <c r="BI203" s="1289"/>
      <c r="BJ203" s="1289"/>
      <c r="BK203" s="1289"/>
      <c r="BL203" s="1948"/>
    </row>
    <row r="204" spans="1:64">
      <c r="A204" s="109"/>
      <c r="B204" s="1892"/>
      <c r="C204" s="1289"/>
      <c r="D204" s="1289"/>
      <c r="E204" s="1289"/>
      <c r="F204" s="1289"/>
      <c r="G204" s="1289"/>
      <c r="H204" s="1289"/>
      <c r="I204" s="1289"/>
      <c r="J204" s="1888"/>
      <c r="K204" s="1891"/>
      <c r="L204" s="1289"/>
      <c r="M204" s="1891"/>
      <c r="N204" s="1289"/>
      <c r="O204" s="1289"/>
      <c r="P204" s="1888"/>
      <c r="Q204" s="1891"/>
      <c r="R204" s="1289"/>
      <c r="S204" s="1289"/>
      <c r="T204" s="1888"/>
      <c r="U204" s="1891"/>
      <c r="V204" s="1289"/>
      <c r="W204" s="1888"/>
      <c r="X204" s="1891"/>
      <c r="Y204" s="1289"/>
      <c r="Z204" s="1289"/>
      <c r="AA204" s="1888"/>
      <c r="AB204" s="1930"/>
      <c r="AC204" s="1289"/>
      <c r="AD204" s="1289"/>
      <c r="AE204" s="1891"/>
      <c r="AF204" s="1289"/>
      <c r="AG204" s="1888"/>
      <c r="AH204" s="1891"/>
      <c r="AI204" s="1289"/>
      <c r="AJ204" s="1888"/>
      <c r="AK204" s="1891"/>
      <c r="AL204" s="1289"/>
      <c r="AM204" s="1289"/>
      <c r="AN204" s="1289"/>
      <c r="AO204" s="1888"/>
      <c r="AP204" s="1930"/>
      <c r="AQ204" s="1289"/>
      <c r="AR204" s="1289"/>
      <c r="AS204" s="1289"/>
      <c r="AT204" s="1289"/>
      <c r="AU204" s="1888"/>
      <c r="AV204" s="1950"/>
      <c r="AW204" s="1289"/>
      <c r="AX204" s="1289"/>
      <c r="AY204" s="1289"/>
      <c r="AZ204" s="1289"/>
      <c r="BA204" s="1289"/>
      <c r="BB204" s="1289"/>
      <c r="BC204" s="1289"/>
      <c r="BD204" s="1289"/>
      <c r="BE204" s="1289"/>
      <c r="BF204" s="1289"/>
      <c r="BG204" s="1289"/>
      <c r="BH204" s="1289"/>
      <c r="BI204" s="1289"/>
      <c r="BJ204" s="1289"/>
      <c r="BK204" s="1289"/>
      <c r="BL204" s="1945"/>
    </row>
    <row r="205" spans="1:64">
      <c r="A205" s="109"/>
      <c r="B205" s="1885"/>
      <c r="C205" s="1289"/>
      <c r="D205" s="1289"/>
      <c r="E205" s="1289"/>
      <c r="F205" s="1289"/>
      <c r="G205" s="1289"/>
      <c r="H205" s="1289"/>
      <c r="I205" s="1289"/>
      <c r="J205" s="1886"/>
      <c r="K205" s="1914"/>
      <c r="L205" s="1289"/>
      <c r="M205" s="1914"/>
      <c r="N205" s="1289"/>
      <c r="O205" s="1289"/>
      <c r="P205" s="1886"/>
      <c r="Q205" s="1914"/>
      <c r="R205" s="1289"/>
      <c r="S205" s="1289"/>
      <c r="T205" s="1886"/>
      <c r="U205" s="1914"/>
      <c r="V205" s="1289"/>
      <c r="W205" s="1886"/>
      <c r="X205" s="1914"/>
      <c r="Y205" s="1289"/>
      <c r="Z205" s="1289"/>
      <c r="AA205" s="1886"/>
      <c r="AB205" s="1929"/>
      <c r="AC205" s="1289"/>
      <c r="AD205" s="1289"/>
      <c r="AE205" s="1914"/>
      <c r="AF205" s="1289"/>
      <c r="AG205" s="1886"/>
      <c r="AH205" s="1914"/>
      <c r="AI205" s="1289"/>
      <c r="AJ205" s="1886"/>
      <c r="AK205" s="1914"/>
      <c r="AL205" s="1289"/>
      <c r="AM205" s="1289"/>
      <c r="AN205" s="1289"/>
      <c r="AO205" s="1886"/>
      <c r="AP205" s="1929"/>
      <c r="AQ205" s="1289"/>
      <c r="AR205" s="1289"/>
      <c r="AS205" s="1289"/>
      <c r="AT205" s="1289"/>
      <c r="AU205" s="1886"/>
      <c r="AV205" s="1952"/>
      <c r="AW205" s="1289"/>
      <c r="AX205" s="1289"/>
      <c r="AY205" s="1289"/>
      <c r="AZ205" s="1289"/>
      <c r="BA205" s="1289"/>
      <c r="BB205" s="1289"/>
      <c r="BC205" s="1289"/>
      <c r="BD205" s="1289"/>
      <c r="BE205" s="1289"/>
      <c r="BF205" s="1289"/>
      <c r="BG205" s="1289"/>
      <c r="BH205" s="1289"/>
      <c r="BI205" s="1289"/>
      <c r="BJ205" s="1289"/>
      <c r="BK205" s="1289"/>
      <c r="BL205" s="1948"/>
    </row>
    <row r="206" spans="1:64">
      <c r="A206" s="109"/>
      <c r="B206" s="1892"/>
      <c r="C206" s="1289"/>
      <c r="D206" s="1289"/>
      <c r="E206" s="1289"/>
      <c r="F206" s="1289"/>
      <c r="G206" s="1289"/>
      <c r="H206" s="1289"/>
      <c r="I206" s="1289"/>
      <c r="J206" s="1888"/>
      <c r="K206" s="1891"/>
      <c r="L206" s="1289"/>
      <c r="M206" s="1891"/>
      <c r="N206" s="1289"/>
      <c r="O206" s="1289"/>
      <c r="P206" s="1888"/>
      <c r="Q206" s="1891"/>
      <c r="R206" s="1289"/>
      <c r="S206" s="1289"/>
      <c r="T206" s="1888"/>
      <c r="U206" s="1891"/>
      <c r="V206" s="1289"/>
      <c r="W206" s="1888"/>
      <c r="X206" s="1891"/>
      <c r="Y206" s="1289"/>
      <c r="Z206" s="1289"/>
      <c r="AA206" s="1888"/>
      <c r="AB206" s="1930"/>
      <c r="AC206" s="1289"/>
      <c r="AD206" s="1289"/>
      <c r="AE206" s="1891"/>
      <c r="AF206" s="1289"/>
      <c r="AG206" s="1888"/>
      <c r="AH206" s="1891"/>
      <c r="AI206" s="1289"/>
      <c r="AJ206" s="1888"/>
      <c r="AK206" s="1891"/>
      <c r="AL206" s="1289"/>
      <c r="AM206" s="1289"/>
      <c r="AN206" s="1289"/>
      <c r="AO206" s="1888"/>
      <c r="AP206" s="1930"/>
      <c r="AQ206" s="1289"/>
      <c r="AR206" s="1289"/>
      <c r="AS206" s="1289"/>
      <c r="AT206" s="1289"/>
      <c r="AU206" s="1888"/>
      <c r="AV206" s="1950"/>
      <c r="AW206" s="1289"/>
      <c r="AX206" s="1289"/>
      <c r="AY206" s="1289"/>
      <c r="AZ206" s="1289"/>
      <c r="BA206" s="1289"/>
      <c r="BB206" s="1289"/>
      <c r="BC206" s="1289"/>
      <c r="BD206" s="1289"/>
      <c r="BE206" s="1289"/>
      <c r="BF206" s="1289"/>
      <c r="BG206" s="1289"/>
      <c r="BH206" s="1289"/>
      <c r="BI206" s="1289"/>
      <c r="BJ206" s="1289"/>
      <c r="BK206" s="1289"/>
      <c r="BL206" s="1945"/>
    </row>
    <row r="207" spans="1:64">
      <c r="A207" s="109"/>
      <c r="B207" s="1885"/>
      <c r="C207" s="1289"/>
      <c r="D207" s="1289"/>
      <c r="E207" s="1289"/>
      <c r="F207" s="1289"/>
      <c r="G207" s="1289"/>
      <c r="H207" s="1289"/>
      <c r="I207" s="1289"/>
      <c r="J207" s="1886"/>
      <c r="K207" s="1914"/>
      <c r="L207" s="1289"/>
      <c r="M207" s="1914"/>
      <c r="N207" s="1289"/>
      <c r="O207" s="1289"/>
      <c r="P207" s="1886"/>
      <c r="Q207" s="1914"/>
      <c r="R207" s="1289"/>
      <c r="S207" s="1289"/>
      <c r="T207" s="1886"/>
      <c r="U207" s="1914"/>
      <c r="V207" s="1289"/>
      <c r="W207" s="1886"/>
      <c r="X207" s="1914"/>
      <c r="Y207" s="1289"/>
      <c r="Z207" s="1289"/>
      <c r="AA207" s="1886"/>
      <c r="AB207" s="1929"/>
      <c r="AC207" s="1289"/>
      <c r="AD207" s="1289"/>
      <c r="AE207" s="1914"/>
      <c r="AF207" s="1289"/>
      <c r="AG207" s="1886"/>
      <c r="AH207" s="1914"/>
      <c r="AI207" s="1289"/>
      <c r="AJ207" s="1886"/>
      <c r="AK207" s="1914"/>
      <c r="AL207" s="1289"/>
      <c r="AM207" s="1289"/>
      <c r="AN207" s="1289"/>
      <c r="AO207" s="1886"/>
      <c r="AP207" s="1929"/>
      <c r="AQ207" s="1289"/>
      <c r="AR207" s="1289"/>
      <c r="AS207" s="1289"/>
      <c r="AT207" s="1289"/>
      <c r="AU207" s="1886"/>
      <c r="AV207" s="1952"/>
      <c r="AW207" s="1289"/>
      <c r="AX207" s="1289"/>
      <c r="AY207" s="1289"/>
      <c r="AZ207" s="1289"/>
      <c r="BA207" s="1289"/>
      <c r="BB207" s="1289"/>
      <c r="BC207" s="1289"/>
      <c r="BD207" s="1289"/>
      <c r="BE207" s="1289"/>
      <c r="BF207" s="1289"/>
      <c r="BG207" s="1289"/>
      <c r="BH207" s="1289"/>
      <c r="BI207" s="1289"/>
      <c r="BJ207" s="1289"/>
      <c r="BK207" s="1289"/>
      <c r="BL207" s="1948"/>
    </row>
    <row r="208" spans="1:64">
      <c r="A208" s="109"/>
      <c r="B208" s="1892"/>
      <c r="C208" s="1289"/>
      <c r="D208" s="1289"/>
      <c r="E208" s="1289"/>
      <c r="F208" s="1289"/>
      <c r="G208" s="1289"/>
      <c r="H208" s="1289"/>
      <c r="I208" s="1289"/>
      <c r="J208" s="1888"/>
      <c r="K208" s="1891"/>
      <c r="L208" s="1289"/>
      <c r="M208" s="1891"/>
      <c r="N208" s="1289"/>
      <c r="O208" s="1289"/>
      <c r="P208" s="1888"/>
      <c r="Q208" s="1891"/>
      <c r="R208" s="1289"/>
      <c r="S208" s="1289"/>
      <c r="T208" s="1888"/>
      <c r="U208" s="1891"/>
      <c r="V208" s="1289"/>
      <c r="W208" s="1888"/>
      <c r="X208" s="1891"/>
      <c r="Y208" s="1289"/>
      <c r="Z208" s="1289"/>
      <c r="AA208" s="1888"/>
      <c r="AB208" s="1930"/>
      <c r="AC208" s="1289"/>
      <c r="AD208" s="1289"/>
      <c r="AE208" s="1891"/>
      <c r="AF208" s="1289"/>
      <c r="AG208" s="1888"/>
      <c r="AH208" s="1891"/>
      <c r="AI208" s="1289"/>
      <c r="AJ208" s="1888"/>
      <c r="AK208" s="1891"/>
      <c r="AL208" s="1289"/>
      <c r="AM208" s="1289"/>
      <c r="AN208" s="1289"/>
      <c r="AO208" s="1888"/>
      <c r="AP208" s="1930"/>
      <c r="AQ208" s="1289"/>
      <c r="AR208" s="1289"/>
      <c r="AS208" s="1289"/>
      <c r="AT208" s="1289"/>
      <c r="AU208" s="1888"/>
      <c r="AV208" s="1950"/>
      <c r="AW208" s="1289"/>
      <c r="AX208" s="1289"/>
      <c r="AY208" s="1289"/>
      <c r="AZ208" s="1289"/>
      <c r="BA208" s="1289"/>
      <c r="BB208" s="1289"/>
      <c r="BC208" s="1289"/>
      <c r="BD208" s="1289"/>
      <c r="BE208" s="1289"/>
      <c r="BF208" s="1289"/>
      <c r="BG208" s="1289"/>
      <c r="BH208" s="1289"/>
      <c r="BI208" s="1289"/>
      <c r="BJ208" s="1289"/>
      <c r="BK208" s="1289"/>
      <c r="BL208" s="1945"/>
    </row>
    <row r="209" spans="1:64">
      <c r="A209" s="109"/>
      <c r="B209" s="1885"/>
      <c r="C209" s="1289"/>
      <c r="D209" s="1289"/>
      <c r="E209" s="1289"/>
      <c r="F209" s="1289"/>
      <c r="G209" s="1289"/>
      <c r="H209" s="1289"/>
      <c r="I209" s="1289"/>
      <c r="J209" s="1886"/>
      <c r="K209" s="1914"/>
      <c r="L209" s="1289"/>
      <c r="M209" s="1914"/>
      <c r="N209" s="1289"/>
      <c r="O209" s="1289"/>
      <c r="P209" s="1886"/>
      <c r="Q209" s="1914"/>
      <c r="R209" s="1289"/>
      <c r="S209" s="1289"/>
      <c r="T209" s="1886"/>
      <c r="U209" s="1914"/>
      <c r="V209" s="1289"/>
      <c r="W209" s="1886"/>
      <c r="X209" s="1914"/>
      <c r="Y209" s="1289"/>
      <c r="Z209" s="1289"/>
      <c r="AA209" s="1886"/>
      <c r="AB209" s="1929"/>
      <c r="AC209" s="1289"/>
      <c r="AD209" s="1289"/>
      <c r="AE209" s="1914"/>
      <c r="AF209" s="1289"/>
      <c r="AG209" s="1886"/>
      <c r="AH209" s="1914"/>
      <c r="AI209" s="1289"/>
      <c r="AJ209" s="1886"/>
      <c r="AK209" s="1914"/>
      <c r="AL209" s="1289"/>
      <c r="AM209" s="1289"/>
      <c r="AN209" s="1289"/>
      <c r="AO209" s="1886"/>
      <c r="AP209" s="1929"/>
      <c r="AQ209" s="1289"/>
      <c r="AR209" s="1289"/>
      <c r="AS209" s="1289"/>
      <c r="AT209" s="1289"/>
      <c r="AU209" s="1886"/>
      <c r="AV209" s="1952"/>
      <c r="AW209" s="1289"/>
      <c r="AX209" s="1289"/>
      <c r="AY209" s="1289"/>
      <c r="AZ209" s="1289"/>
      <c r="BA209" s="1289"/>
      <c r="BB209" s="1289"/>
      <c r="BC209" s="1289"/>
      <c r="BD209" s="1289"/>
      <c r="BE209" s="1289"/>
      <c r="BF209" s="1289"/>
      <c r="BG209" s="1289"/>
      <c r="BH209" s="1289"/>
      <c r="BI209" s="1289"/>
      <c r="BJ209" s="1289"/>
      <c r="BK209" s="1289"/>
      <c r="BL209" s="1948"/>
    </row>
    <row r="210" spans="1:64">
      <c r="A210" s="109"/>
      <c r="B210" s="1892"/>
      <c r="C210" s="1289"/>
      <c r="D210" s="1289"/>
      <c r="E210" s="1289"/>
      <c r="F210" s="1289"/>
      <c r="G210" s="1289"/>
      <c r="H210" s="1289"/>
      <c r="I210" s="1289"/>
      <c r="J210" s="1888"/>
      <c r="K210" s="1891"/>
      <c r="L210" s="1289"/>
      <c r="M210" s="1891"/>
      <c r="N210" s="1289"/>
      <c r="O210" s="1289"/>
      <c r="P210" s="1888"/>
      <c r="Q210" s="1891"/>
      <c r="R210" s="1289"/>
      <c r="S210" s="1289"/>
      <c r="T210" s="1888"/>
      <c r="U210" s="1891"/>
      <c r="V210" s="1289"/>
      <c r="W210" s="1888"/>
      <c r="X210" s="1891"/>
      <c r="Y210" s="1289"/>
      <c r="Z210" s="1289"/>
      <c r="AA210" s="1888"/>
      <c r="AB210" s="1930"/>
      <c r="AC210" s="1289"/>
      <c r="AD210" s="1289"/>
      <c r="AE210" s="1891"/>
      <c r="AF210" s="1289"/>
      <c r="AG210" s="1888"/>
      <c r="AH210" s="1891"/>
      <c r="AI210" s="1289"/>
      <c r="AJ210" s="1888"/>
      <c r="AK210" s="1891"/>
      <c r="AL210" s="1289"/>
      <c r="AM210" s="1289"/>
      <c r="AN210" s="1289"/>
      <c r="AO210" s="1888"/>
      <c r="AP210" s="1930"/>
      <c r="AQ210" s="1289"/>
      <c r="AR210" s="1289"/>
      <c r="AS210" s="1289"/>
      <c r="AT210" s="1289"/>
      <c r="AU210" s="1888"/>
      <c r="AV210" s="1950"/>
      <c r="AW210" s="1289"/>
      <c r="AX210" s="1289"/>
      <c r="AY210" s="1289"/>
      <c r="AZ210" s="1289"/>
      <c r="BA210" s="1289"/>
      <c r="BB210" s="1289"/>
      <c r="BC210" s="1289"/>
      <c r="BD210" s="1289"/>
      <c r="BE210" s="1289"/>
      <c r="BF210" s="1289"/>
      <c r="BG210" s="1289"/>
      <c r="BH210" s="1289"/>
      <c r="BI210" s="1289"/>
      <c r="BJ210" s="1289"/>
      <c r="BK210" s="1289"/>
      <c r="BL210" s="1945"/>
    </row>
    <row r="211" spans="1:64">
      <c r="A211" s="109"/>
      <c r="B211" s="1885"/>
      <c r="C211" s="1289"/>
      <c r="D211" s="1289"/>
      <c r="E211" s="1289"/>
      <c r="F211" s="1289"/>
      <c r="G211" s="1289"/>
      <c r="H211" s="1289"/>
      <c r="I211" s="1289"/>
      <c r="J211" s="1886"/>
      <c r="K211" s="1914"/>
      <c r="L211" s="1289"/>
      <c r="M211" s="1914"/>
      <c r="N211" s="1289"/>
      <c r="O211" s="1289"/>
      <c r="P211" s="1886"/>
      <c r="Q211" s="1914"/>
      <c r="R211" s="1289"/>
      <c r="S211" s="1289"/>
      <c r="T211" s="1886"/>
      <c r="U211" s="1914"/>
      <c r="V211" s="1289"/>
      <c r="W211" s="1886"/>
      <c r="X211" s="1914"/>
      <c r="Y211" s="1289"/>
      <c r="Z211" s="1289"/>
      <c r="AA211" s="1886"/>
      <c r="AB211" s="1929"/>
      <c r="AC211" s="1289"/>
      <c r="AD211" s="1289"/>
      <c r="AE211" s="1914"/>
      <c r="AF211" s="1289"/>
      <c r="AG211" s="1886"/>
      <c r="AH211" s="1914"/>
      <c r="AI211" s="1289"/>
      <c r="AJ211" s="1886"/>
      <c r="AK211" s="1914"/>
      <c r="AL211" s="1289"/>
      <c r="AM211" s="1289"/>
      <c r="AN211" s="1289"/>
      <c r="AO211" s="1886"/>
      <c r="AP211" s="1929"/>
      <c r="AQ211" s="1289"/>
      <c r="AR211" s="1289"/>
      <c r="AS211" s="1289"/>
      <c r="AT211" s="1289"/>
      <c r="AU211" s="1886"/>
      <c r="AV211" s="1952"/>
      <c r="AW211" s="1289"/>
      <c r="AX211" s="1289"/>
      <c r="AY211" s="1289"/>
      <c r="AZ211" s="1289"/>
      <c r="BA211" s="1289"/>
      <c r="BB211" s="1289"/>
      <c r="BC211" s="1289"/>
      <c r="BD211" s="1289"/>
      <c r="BE211" s="1289"/>
      <c r="BF211" s="1289"/>
      <c r="BG211" s="1289"/>
      <c r="BH211" s="1289"/>
      <c r="BI211" s="1289"/>
      <c r="BJ211" s="1289"/>
      <c r="BK211" s="1289"/>
      <c r="BL211" s="1948"/>
    </row>
    <row r="212" spans="1:64">
      <c r="A212" s="109"/>
      <c r="B212" s="1892"/>
      <c r="C212" s="1289"/>
      <c r="D212" s="1289"/>
      <c r="E212" s="1289"/>
      <c r="F212" s="1289"/>
      <c r="G212" s="1289"/>
      <c r="H212" s="1289"/>
      <c r="I212" s="1289"/>
      <c r="J212" s="1888"/>
      <c r="K212" s="1891"/>
      <c r="L212" s="1289"/>
      <c r="M212" s="1891"/>
      <c r="N212" s="1289"/>
      <c r="O212" s="1289"/>
      <c r="P212" s="1888"/>
      <c r="Q212" s="1891"/>
      <c r="R212" s="1289"/>
      <c r="S212" s="1289"/>
      <c r="T212" s="1888"/>
      <c r="U212" s="1891"/>
      <c r="V212" s="1289"/>
      <c r="W212" s="1888"/>
      <c r="X212" s="1891"/>
      <c r="Y212" s="1289"/>
      <c r="Z212" s="1289"/>
      <c r="AA212" s="1888"/>
      <c r="AB212" s="1930"/>
      <c r="AC212" s="1289"/>
      <c r="AD212" s="1289"/>
      <c r="AE212" s="1891"/>
      <c r="AF212" s="1289"/>
      <c r="AG212" s="1888"/>
      <c r="AH212" s="1891"/>
      <c r="AI212" s="1289"/>
      <c r="AJ212" s="1888"/>
      <c r="AK212" s="1891"/>
      <c r="AL212" s="1289"/>
      <c r="AM212" s="1289"/>
      <c r="AN212" s="1289"/>
      <c r="AO212" s="1888"/>
      <c r="AP212" s="1930"/>
      <c r="AQ212" s="1289"/>
      <c r="AR212" s="1289"/>
      <c r="AS212" s="1289"/>
      <c r="AT212" s="1289"/>
      <c r="AU212" s="1888"/>
      <c r="AV212" s="1950"/>
      <c r="AW212" s="1289"/>
      <c r="AX212" s="1289"/>
      <c r="AY212" s="1289"/>
      <c r="AZ212" s="1289"/>
      <c r="BA212" s="1289"/>
      <c r="BB212" s="1289"/>
      <c r="BC212" s="1289"/>
      <c r="BD212" s="1289"/>
      <c r="BE212" s="1289"/>
      <c r="BF212" s="1289"/>
      <c r="BG212" s="1289"/>
      <c r="BH212" s="1289"/>
      <c r="BI212" s="1289"/>
      <c r="BJ212" s="1289"/>
      <c r="BK212" s="1289"/>
      <c r="BL212" s="1945"/>
    </row>
    <row r="213" spans="1:64">
      <c r="A213" s="109"/>
      <c r="B213" s="1885"/>
      <c r="C213" s="1289"/>
      <c r="D213" s="1289"/>
      <c r="E213" s="1289"/>
      <c r="F213" s="1289"/>
      <c r="G213" s="1289"/>
      <c r="H213" s="1289"/>
      <c r="I213" s="1289"/>
      <c r="J213" s="1886"/>
      <c r="K213" s="1914"/>
      <c r="L213" s="1289"/>
      <c r="M213" s="1914"/>
      <c r="N213" s="1289"/>
      <c r="O213" s="1289"/>
      <c r="P213" s="1886"/>
      <c r="Q213" s="1914"/>
      <c r="R213" s="1289"/>
      <c r="S213" s="1289"/>
      <c r="T213" s="1886"/>
      <c r="U213" s="1914"/>
      <c r="V213" s="1289"/>
      <c r="W213" s="1886"/>
      <c r="X213" s="1914"/>
      <c r="Y213" s="1289"/>
      <c r="Z213" s="1289"/>
      <c r="AA213" s="1886"/>
      <c r="AB213" s="1929"/>
      <c r="AC213" s="1289"/>
      <c r="AD213" s="1289"/>
      <c r="AE213" s="1914"/>
      <c r="AF213" s="1289"/>
      <c r="AG213" s="1886"/>
      <c r="AH213" s="1914"/>
      <c r="AI213" s="1289"/>
      <c r="AJ213" s="1886"/>
      <c r="AK213" s="1914"/>
      <c r="AL213" s="1289"/>
      <c r="AM213" s="1289"/>
      <c r="AN213" s="1289"/>
      <c r="AO213" s="1886"/>
      <c r="AP213" s="1929"/>
      <c r="AQ213" s="1289"/>
      <c r="AR213" s="1289"/>
      <c r="AS213" s="1289"/>
      <c r="AT213" s="1289"/>
      <c r="AU213" s="1886"/>
      <c r="AV213" s="1952"/>
      <c r="AW213" s="1289"/>
      <c r="AX213" s="1289"/>
      <c r="AY213" s="1289"/>
      <c r="AZ213" s="1289"/>
      <c r="BA213" s="1289"/>
      <c r="BB213" s="1289"/>
      <c r="BC213" s="1289"/>
      <c r="BD213" s="1289"/>
      <c r="BE213" s="1289"/>
      <c r="BF213" s="1289"/>
      <c r="BG213" s="1289"/>
      <c r="BH213" s="1289"/>
      <c r="BI213" s="1289"/>
      <c r="BJ213" s="1289"/>
      <c r="BK213" s="1289"/>
      <c r="BL213" s="1948"/>
    </row>
    <row r="214" spans="1:64">
      <c r="A214" s="109"/>
      <c r="B214" s="1892"/>
      <c r="C214" s="1289"/>
      <c r="D214" s="1289"/>
      <c r="E214" s="1289"/>
      <c r="F214" s="1289"/>
      <c r="G214" s="1289"/>
      <c r="H214" s="1289"/>
      <c r="I214" s="1289"/>
      <c r="J214" s="1888"/>
      <c r="K214" s="1891"/>
      <c r="L214" s="1289"/>
      <c r="M214" s="1891"/>
      <c r="N214" s="1289"/>
      <c r="O214" s="1289"/>
      <c r="P214" s="1888"/>
      <c r="Q214" s="1891"/>
      <c r="R214" s="1289"/>
      <c r="S214" s="1289"/>
      <c r="T214" s="1888"/>
      <c r="U214" s="1891"/>
      <c r="V214" s="1289"/>
      <c r="W214" s="1888"/>
      <c r="X214" s="1891"/>
      <c r="Y214" s="1289"/>
      <c r="Z214" s="1289"/>
      <c r="AA214" s="1888"/>
      <c r="AB214" s="1930"/>
      <c r="AC214" s="1289"/>
      <c r="AD214" s="1289"/>
      <c r="AE214" s="1891"/>
      <c r="AF214" s="1289"/>
      <c r="AG214" s="1888"/>
      <c r="AH214" s="1891"/>
      <c r="AI214" s="1289"/>
      <c r="AJ214" s="1888"/>
      <c r="AK214" s="1891"/>
      <c r="AL214" s="1289"/>
      <c r="AM214" s="1289"/>
      <c r="AN214" s="1289"/>
      <c r="AO214" s="1888"/>
      <c r="AP214" s="1930"/>
      <c r="AQ214" s="1289"/>
      <c r="AR214" s="1289"/>
      <c r="AS214" s="1289"/>
      <c r="AT214" s="1289"/>
      <c r="AU214" s="1888"/>
      <c r="AV214" s="1950"/>
      <c r="AW214" s="1289"/>
      <c r="AX214" s="1289"/>
      <c r="AY214" s="1289"/>
      <c r="AZ214" s="1289"/>
      <c r="BA214" s="1289"/>
      <c r="BB214" s="1289"/>
      <c r="BC214" s="1289"/>
      <c r="BD214" s="1289"/>
      <c r="BE214" s="1289"/>
      <c r="BF214" s="1289"/>
      <c r="BG214" s="1289"/>
      <c r="BH214" s="1289"/>
      <c r="BI214" s="1289"/>
      <c r="BJ214" s="1289"/>
      <c r="BK214" s="1289"/>
      <c r="BL214" s="1945"/>
    </row>
    <row r="215" spans="1:64">
      <c r="A215" s="109"/>
      <c r="B215" s="1885"/>
      <c r="C215" s="1289"/>
      <c r="D215" s="1289"/>
      <c r="E215" s="1289"/>
      <c r="F215" s="1289"/>
      <c r="G215" s="1289"/>
      <c r="H215" s="1289"/>
      <c r="I215" s="1289"/>
      <c r="J215" s="1886"/>
      <c r="K215" s="1914"/>
      <c r="L215" s="1289"/>
      <c r="M215" s="1914"/>
      <c r="N215" s="1289"/>
      <c r="O215" s="1289"/>
      <c r="P215" s="1886"/>
      <c r="Q215" s="1914"/>
      <c r="R215" s="1289"/>
      <c r="S215" s="1289"/>
      <c r="T215" s="1886"/>
      <c r="U215" s="1914"/>
      <c r="V215" s="1289"/>
      <c r="W215" s="1886"/>
      <c r="X215" s="1914"/>
      <c r="Y215" s="1289"/>
      <c r="Z215" s="1289"/>
      <c r="AA215" s="1886"/>
      <c r="AB215" s="1929"/>
      <c r="AC215" s="1289"/>
      <c r="AD215" s="1289"/>
      <c r="AE215" s="1914"/>
      <c r="AF215" s="1289"/>
      <c r="AG215" s="1886"/>
      <c r="AH215" s="1914"/>
      <c r="AI215" s="1289"/>
      <c r="AJ215" s="1886"/>
      <c r="AK215" s="1914"/>
      <c r="AL215" s="1289"/>
      <c r="AM215" s="1289"/>
      <c r="AN215" s="1289"/>
      <c r="AO215" s="1886"/>
      <c r="AP215" s="1929"/>
      <c r="AQ215" s="1289"/>
      <c r="AR215" s="1289"/>
      <c r="AS215" s="1289"/>
      <c r="AT215" s="1289"/>
      <c r="AU215" s="1886"/>
      <c r="AV215" s="1952"/>
      <c r="AW215" s="1289"/>
      <c r="AX215" s="1289"/>
      <c r="AY215" s="1289"/>
      <c r="AZ215" s="1289"/>
      <c r="BA215" s="1289"/>
      <c r="BB215" s="1289"/>
      <c r="BC215" s="1289"/>
      <c r="BD215" s="1289"/>
      <c r="BE215" s="1289"/>
      <c r="BF215" s="1289"/>
      <c r="BG215" s="1289"/>
      <c r="BH215" s="1289"/>
      <c r="BI215" s="1289"/>
      <c r="BJ215" s="1289"/>
      <c r="BK215" s="1289"/>
      <c r="BL215" s="1948"/>
    </row>
    <row r="216" spans="1:64">
      <c r="A216" s="109"/>
      <c r="B216" s="1892"/>
      <c r="C216" s="1289"/>
      <c r="D216" s="1289"/>
      <c r="E216" s="1289"/>
      <c r="F216" s="1289"/>
      <c r="G216" s="1289"/>
      <c r="H216" s="1289"/>
      <c r="I216" s="1289"/>
      <c r="J216" s="1888"/>
      <c r="K216" s="1891"/>
      <c r="L216" s="1289"/>
      <c r="M216" s="1891"/>
      <c r="N216" s="1289"/>
      <c r="O216" s="1289"/>
      <c r="P216" s="1888"/>
      <c r="Q216" s="1891"/>
      <c r="R216" s="1289"/>
      <c r="S216" s="1289"/>
      <c r="T216" s="1888"/>
      <c r="U216" s="1891"/>
      <c r="V216" s="1289"/>
      <c r="W216" s="1888"/>
      <c r="X216" s="1891"/>
      <c r="Y216" s="1289"/>
      <c r="Z216" s="1289"/>
      <c r="AA216" s="1888"/>
      <c r="AB216" s="1930"/>
      <c r="AC216" s="1289"/>
      <c r="AD216" s="1289"/>
      <c r="AE216" s="1891"/>
      <c r="AF216" s="1289"/>
      <c r="AG216" s="1888"/>
      <c r="AH216" s="1891"/>
      <c r="AI216" s="1289"/>
      <c r="AJ216" s="1888"/>
      <c r="AK216" s="1891"/>
      <c r="AL216" s="1289"/>
      <c r="AM216" s="1289"/>
      <c r="AN216" s="1289"/>
      <c r="AO216" s="1888"/>
      <c r="AP216" s="1930"/>
      <c r="AQ216" s="1289"/>
      <c r="AR216" s="1289"/>
      <c r="AS216" s="1289"/>
      <c r="AT216" s="1289"/>
      <c r="AU216" s="1888"/>
      <c r="AV216" s="1950"/>
      <c r="AW216" s="1289"/>
      <c r="AX216" s="1289"/>
      <c r="AY216" s="1289"/>
      <c r="AZ216" s="1289"/>
      <c r="BA216" s="1289"/>
      <c r="BB216" s="1289"/>
      <c r="BC216" s="1289"/>
      <c r="BD216" s="1289"/>
      <c r="BE216" s="1289"/>
      <c r="BF216" s="1289"/>
      <c r="BG216" s="1289"/>
      <c r="BH216" s="1289"/>
      <c r="BI216" s="1289"/>
      <c r="BJ216" s="1289"/>
      <c r="BK216" s="1289"/>
      <c r="BL216" s="1945"/>
    </row>
    <row r="217" spans="1:64">
      <c r="A217" s="109"/>
      <c r="B217" s="1885"/>
      <c r="C217" s="1289"/>
      <c r="D217" s="1289"/>
      <c r="E217" s="1289"/>
      <c r="F217" s="1289"/>
      <c r="G217" s="1289"/>
      <c r="H217" s="1289"/>
      <c r="I217" s="1289"/>
      <c r="J217" s="1886"/>
      <c r="K217" s="1914"/>
      <c r="L217" s="1289"/>
      <c r="M217" s="1914"/>
      <c r="N217" s="1289"/>
      <c r="O217" s="1289"/>
      <c r="P217" s="1886"/>
      <c r="Q217" s="1914"/>
      <c r="R217" s="1289"/>
      <c r="S217" s="1289"/>
      <c r="T217" s="1886"/>
      <c r="U217" s="1914"/>
      <c r="V217" s="1289"/>
      <c r="W217" s="1886"/>
      <c r="X217" s="1914"/>
      <c r="Y217" s="1289"/>
      <c r="Z217" s="1289"/>
      <c r="AA217" s="1886"/>
      <c r="AB217" s="1929"/>
      <c r="AC217" s="1289"/>
      <c r="AD217" s="1289"/>
      <c r="AE217" s="1914"/>
      <c r="AF217" s="1289"/>
      <c r="AG217" s="1886"/>
      <c r="AH217" s="1914"/>
      <c r="AI217" s="1289"/>
      <c r="AJ217" s="1886"/>
      <c r="AK217" s="1914"/>
      <c r="AL217" s="1289"/>
      <c r="AM217" s="1289"/>
      <c r="AN217" s="1289"/>
      <c r="AO217" s="1886"/>
      <c r="AP217" s="1929"/>
      <c r="AQ217" s="1289"/>
      <c r="AR217" s="1289"/>
      <c r="AS217" s="1289"/>
      <c r="AT217" s="1289"/>
      <c r="AU217" s="1886"/>
      <c r="AV217" s="1952"/>
      <c r="AW217" s="1289"/>
      <c r="AX217" s="1289"/>
      <c r="AY217" s="1289"/>
      <c r="AZ217" s="1289"/>
      <c r="BA217" s="1289"/>
      <c r="BB217" s="1289"/>
      <c r="BC217" s="1289"/>
      <c r="BD217" s="1289"/>
      <c r="BE217" s="1289"/>
      <c r="BF217" s="1289"/>
      <c r="BG217" s="1289"/>
      <c r="BH217" s="1289"/>
      <c r="BI217" s="1289"/>
      <c r="BJ217" s="1289"/>
      <c r="BK217" s="1289"/>
      <c r="BL217" s="1948"/>
    </row>
    <row r="218" spans="1:64">
      <c r="A218" s="109"/>
      <c r="B218" s="1892"/>
      <c r="C218" s="1289"/>
      <c r="D218" s="1289"/>
      <c r="E218" s="1289"/>
      <c r="F218" s="1289"/>
      <c r="G218" s="1289"/>
      <c r="H218" s="1289"/>
      <c r="I218" s="1289"/>
      <c r="J218" s="1888"/>
      <c r="K218" s="1891"/>
      <c r="L218" s="1289"/>
      <c r="M218" s="1891"/>
      <c r="N218" s="1289"/>
      <c r="O218" s="1289"/>
      <c r="P218" s="1888"/>
      <c r="Q218" s="1891"/>
      <c r="R218" s="1289"/>
      <c r="S218" s="1289"/>
      <c r="T218" s="1888"/>
      <c r="U218" s="1891"/>
      <c r="V218" s="1289"/>
      <c r="W218" s="1888"/>
      <c r="X218" s="1891"/>
      <c r="Y218" s="1289"/>
      <c r="Z218" s="1289"/>
      <c r="AA218" s="1888"/>
      <c r="AB218" s="1930"/>
      <c r="AC218" s="1289"/>
      <c r="AD218" s="1289"/>
      <c r="AE218" s="1891"/>
      <c r="AF218" s="1289"/>
      <c r="AG218" s="1888"/>
      <c r="AH218" s="1891"/>
      <c r="AI218" s="1289"/>
      <c r="AJ218" s="1888"/>
      <c r="AK218" s="1891"/>
      <c r="AL218" s="1289"/>
      <c r="AM218" s="1289"/>
      <c r="AN218" s="1289"/>
      <c r="AO218" s="1888"/>
      <c r="AP218" s="1930"/>
      <c r="AQ218" s="1289"/>
      <c r="AR218" s="1289"/>
      <c r="AS218" s="1289"/>
      <c r="AT218" s="1289"/>
      <c r="AU218" s="1888"/>
      <c r="AV218" s="1950"/>
      <c r="AW218" s="1289"/>
      <c r="AX218" s="1289"/>
      <c r="AY218" s="1289"/>
      <c r="AZ218" s="1289"/>
      <c r="BA218" s="1289"/>
      <c r="BB218" s="1289"/>
      <c r="BC218" s="1289"/>
      <c r="BD218" s="1289"/>
      <c r="BE218" s="1289"/>
      <c r="BF218" s="1289"/>
      <c r="BG218" s="1289"/>
      <c r="BH218" s="1289"/>
      <c r="BI218" s="1289"/>
      <c r="BJ218" s="1289"/>
      <c r="BK218" s="1289"/>
      <c r="BL218" s="1945"/>
    </row>
    <row r="219" spans="1:64">
      <c r="A219" s="109"/>
      <c r="B219" s="1885"/>
      <c r="C219" s="1289"/>
      <c r="D219" s="1289"/>
      <c r="E219" s="1289"/>
      <c r="F219" s="1289"/>
      <c r="G219" s="1289"/>
      <c r="H219" s="1289"/>
      <c r="I219" s="1289"/>
      <c r="J219" s="1886"/>
      <c r="K219" s="1914"/>
      <c r="L219" s="1289"/>
      <c r="M219" s="1914"/>
      <c r="N219" s="1289"/>
      <c r="O219" s="1289"/>
      <c r="P219" s="1886"/>
      <c r="Q219" s="1914"/>
      <c r="R219" s="1289"/>
      <c r="S219" s="1289"/>
      <c r="T219" s="1886"/>
      <c r="U219" s="1914"/>
      <c r="V219" s="1289"/>
      <c r="W219" s="1886"/>
      <c r="X219" s="1914"/>
      <c r="Y219" s="1289"/>
      <c r="Z219" s="1289"/>
      <c r="AA219" s="1886"/>
      <c r="AB219" s="1929"/>
      <c r="AC219" s="1289"/>
      <c r="AD219" s="1289"/>
      <c r="AE219" s="1914"/>
      <c r="AF219" s="1289"/>
      <c r="AG219" s="1886"/>
      <c r="AH219" s="1914"/>
      <c r="AI219" s="1289"/>
      <c r="AJ219" s="1886"/>
      <c r="AK219" s="1914"/>
      <c r="AL219" s="1289"/>
      <c r="AM219" s="1289"/>
      <c r="AN219" s="1289"/>
      <c r="AO219" s="1886"/>
      <c r="AP219" s="1929"/>
      <c r="AQ219" s="1289"/>
      <c r="AR219" s="1289"/>
      <c r="AS219" s="1289"/>
      <c r="AT219" s="1289"/>
      <c r="AU219" s="1886"/>
      <c r="AV219" s="1952"/>
      <c r="AW219" s="1289"/>
      <c r="AX219" s="1289"/>
      <c r="AY219" s="1289"/>
      <c r="AZ219" s="1289"/>
      <c r="BA219" s="1289"/>
      <c r="BB219" s="1289"/>
      <c r="BC219" s="1289"/>
      <c r="BD219" s="1289"/>
      <c r="BE219" s="1289"/>
      <c r="BF219" s="1289"/>
      <c r="BG219" s="1289"/>
      <c r="BH219" s="1289"/>
      <c r="BI219" s="1289"/>
      <c r="BJ219" s="1289"/>
      <c r="BK219" s="1289"/>
      <c r="BL219" s="1948"/>
    </row>
    <row r="220" spans="1:64">
      <c r="A220" s="109"/>
      <c r="B220" s="1892"/>
      <c r="C220" s="1289"/>
      <c r="D220" s="1289"/>
      <c r="E220" s="1289"/>
      <c r="F220" s="1289"/>
      <c r="G220" s="1289"/>
      <c r="H220" s="1289"/>
      <c r="I220" s="1289"/>
      <c r="J220" s="1888"/>
      <c r="K220" s="1891"/>
      <c r="L220" s="1289"/>
      <c r="M220" s="1891"/>
      <c r="N220" s="1289"/>
      <c r="O220" s="1289"/>
      <c r="P220" s="1888"/>
      <c r="Q220" s="1891"/>
      <c r="R220" s="1289"/>
      <c r="S220" s="1289"/>
      <c r="T220" s="1888"/>
      <c r="U220" s="1891"/>
      <c r="V220" s="1289"/>
      <c r="W220" s="1888"/>
      <c r="X220" s="1891"/>
      <c r="Y220" s="1289"/>
      <c r="Z220" s="1289"/>
      <c r="AA220" s="1888"/>
      <c r="AB220" s="1930"/>
      <c r="AC220" s="1289"/>
      <c r="AD220" s="1289"/>
      <c r="AE220" s="1891"/>
      <c r="AF220" s="1289"/>
      <c r="AG220" s="1888"/>
      <c r="AH220" s="1891"/>
      <c r="AI220" s="1289"/>
      <c r="AJ220" s="1888"/>
      <c r="AK220" s="1891"/>
      <c r="AL220" s="1289"/>
      <c r="AM220" s="1289"/>
      <c r="AN220" s="1289"/>
      <c r="AO220" s="1888"/>
      <c r="AP220" s="1930"/>
      <c r="AQ220" s="1289"/>
      <c r="AR220" s="1289"/>
      <c r="AS220" s="1289"/>
      <c r="AT220" s="1289"/>
      <c r="AU220" s="1888"/>
      <c r="AV220" s="1950"/>
      <c r="AW220" s="1289"/>
      <c r="AX220" s="1289"/>
      <c r="AY220" s="1289"/>
      <c r="AZ220" s="1289"/>
      <c r="BA220" s="1289"/>
      <c r="BB220" s="1289"/>
      <c r="BC220" s="1289"/>
      <c r="BD220" s="1289"/>
      <c r="BE220" s="1289"/>
      <c r="BF220" s="1289"/>
      <c r="BG220" s="1289"/>
      <c r="BH220" s="1289"/>
      <c r="BI220" s="1289"/>
      <c r="BJ220" s="1289"/>
      <c r="BK220" s="1289"/>
      <c r="BL220" s="1945"/>
    </row>
    <row r="221" spans="1:64">
      <c r="A221" s="109"/>
      <c r="B221" s="1885"/>
      <c r="C221" s="1289"/>
      <c r="D221" s="1289"/>
      <c r="E221" s="1289"/>
      <c r="F221" s="1289"/>
      <c r="G221" s="1289"/>
      <c r="H221" s="1289"/>
      <c r="I221" s="1289"/>
      <c r="J221" s="1886"/>
      <c r="K221" s="1914"/>
      <c r="L221" s="1289"/>
      <c r="M221" s="1914"/>
      <c r="N221" s="1289"/>
      <c r="O221" s="1289"/>
      <c r="P221" s="1886"/>
      <c r="Q221" s="1914"/>
      <c r="R221" s="1289"/>
      <c r="S221" s="1289"/>
      <c r="T221" s="1886"/>
      <c r="U221" s="1914"/>
      <c r="V221" s="1289"/>
      <c r="W221" s="1886"/>
      <c r="X221" s="1914"/>
      <c r="Y221" s="1289"/>
      <c r="Z221" s="1289"/>
      <c r="AA221" s="1886"/>
      <c r="AB221" s="1929"/>
      <c r="AC221" s="1289"/>
      <c r="AD221" s="1289"/>
      <c r="AE221" s="1914"/>
      <c r="AF221" s="1289"/>
      <c r="AG221" s="1886"/>
      <c r="AH221" s="1914"/>
      <c r="AI221" s="1289"/>
      <c r="AJ221" s="1886"/>
      <c r="AK221" s="1914"/>
      <c r="AL221" s="1289"/>
      <c r="AM221" s="1289"/>
      <c r="AN221" s="1289"/>
      <c r="AO221" s="1886"/>
      <c r="AP221" s="1929"/>
      <c r="AQ221" s="1289"/>
      <c r="AR221" s="1289"/>
      <c r="AS221" s="1289"/>
      <c r="AT221" s="1289"/>
      <c r="AU221" s="1886"/>
      <c r="AV221" s="1952"/>
      <c r="AW221" s="1289"/>
      <c r="AX221" s="1289"/>
      <c r="AY221" s="1289"/>
      <c r="AZ221" s="1289"/>
      <c r="BA221" s="1289"/>
      <c r="BB221" s="1289"/>
      <c r="BC221" s="1289"/>
      <c r="BD221" s="1289"/>
      <c r="BE221" s="1289"/>
      <c r="BF221" s="1289"/>
      <c r="BG221" s="1289"/>
      <c r="BH221" s="1289"/>
      <c r="BI221" s="1289"/>
      <c r="BJ221" s="1289"/>
      <c r="BK221" s="1289"/>
      <c r="BL221" s="1948"/>
    </row>
    <row r="222" spans="1:64">
      <c r="A222" s="109"/>
      <c r="B222" s="1892"/>
      <c r="C222" s="1289"/>
      <c r="D222" s="1289"/>
      <c r="E222" s="1289"/>
      <c r="F222" s="1289"/>
      <c r="G222" s="1289"/>
      <c r="H222" s="1289"/>
      <c r="I222" s="1289"/>
      <c r="J222" s="1888"/>
      <c r="K222" s="1891"/>
      <c r="L222" s="1289"/>
      <c r="M222" s="1891"/>
      <c r="N222" s="1289"/>
      <c r="O222" s="1289"/>
      <c r="P222" s="1888"/>
      <c r="Q222" s="1891"/>
      <c r="R222" s="1289"/>
      <c r="S222" s="1289"/>
      <c r="T222" s="1888"/>
      <c r="U222" s="1891"/>
      <c r="V222" s="1289"/>
      <c r="W222" s="1888"/>
      <c r="X222" s="1891"/>
      <c r="Y222" s="1289"/>
      <c r="Z222" s="1289"/>
      <c r="AA222" s="1888"/>
      <c r="AB222" s="1930"/>
      <c r="AC222" s="1289"/>
      <c r="AD222" s="1289"/>
      <c r="AE222" s="1891"/>
      <c r="AF222" s="1289"/>
      <c r="AG222" s="1888"/>
      <c r="AH222" s="1891"/>
      <c r="AI222" s="1289"/>
      <c r="AJ222" s="1888"/>
      <c r="AK222" s="1891"/>
      <c r="AL222" s="1289"/>
      <c r="AM222" s="1289"/>
      <c r="AN222" s="1289"/>
      <c r="AO222" s="1888"/>
      <c r="AP222" s="1930"/>
      <c r="AQ222" s="1289"/>
      <c r="AR222" s="1289"/>
      <c r="AS222" s="1289"/>
      <c r="AT222" s="1289"/>
      <c r="AU222" s="1888"/>
      <c r="AV222" s="1950"/>
      <c r="AW222" s="1289"/>
      <c r="AX222" s="1289"/>
      <c r="AY222" s="1289"/>
      <c r="AZ222" s="1289"/>
      <c r="BA222" s="1289"/>
      <c r="BB222" s="1289"/>
      <c r="BC222" s="1289"/>
      <c r="BD222" s="1289"/>
      <c r="BE222" s="1289"/>
      <c r="BF222" s="1289"/>
      <c r="BG222" s="1289"/>
      <c r="BH222" s="1289"/>
      <c r="BI222" s="1289"/>
      <c r="BJ222" s="1289"/>
      <c r="BK222" s="1289"/>
      <c r="BL222" s="1945"/>
    </row>
    <row r="223" spans="1:64">
      <c r="A223" s="109"/>
      <c r="B223" s="1885"/>
      <c r="C223" s="1289"/>
      <c r="D223" s="1289"/>
      <c r="E223" s="1289"/>
      <c r="F223" s="1289"/>
      <c r="G223" s="1289"/>
      <c r="H223" s="1289"/>
      <c r="I223" s="1289"/>
      <c r="J223" s="1886"/>
      <c r="K223" s="1914"/>
      <c r="L223" s="1289"/>
      <c r="M223" s="1914"/>
      <c r="N223" s="1289"/>
      <c r="O223" s="1289"/>
      <c r="P223" s="1886"/>
      <c r="Q223" s="1914"/>
      <c r="R223" s="1289"/>
      <c r="S223" s="1289"/>
      <c r="T223" s="1886"/>
      <c r="U223" s="1914"/>
      <c r="V223" s="1289"/>
      <c r="W223" s="1886"/>
      <c r="X223" s="1914"/>
      <c r="Y223" s="1289"/>
      <c r="Z223" s="1289"/>
      <c r="AA223" s="1886"/>
      <c r="AB223" s="1929"/>
      <c r="AC223" s="1289"/>
      <c r="AD223" s="1289"/>
      <c r="AE223" s="1914"/>
      <c r="AF223" s="1289"/>
      <c r="AG223" s="1886"/>
      <c r="AH223" s="1914"/>
      <c r="AI223" s="1289"/>
      <c r="AJ223" s="1886"/>
      <c r="AK223" s="1914"/>
      <c r="AL223" s="1289"/>
      <c r="AM223" s="1289"/>
      <c r="AN223" s="1289"/>
      <c r="AO223" s="1886"/>
      <c r="AP223" s="1929"/>
      <c r="AQ223" s="1289"/>
      <c r="AR223" s="1289"/>
      <c r="AS223" s="1289"/>
      <c r="AT223" s="1289"/>
      <c r="AU223" s="1886"/>
      <c r="AV223" s="1952"/>
      <c r="AW223" s="1289"/>
      <c r="AX223" s="1289"/>
      <c r="AY223" s="1289"/>
      <c r="AZ223" s="1289"/>
      <c r="BA223" s="1289"/>
      <c r="BB223" s="1289"/>
      <c r="BC223" s="1289"/>
      <c r="BD223" s="1289"/>
      <c r="BE223" s="1289"/>
      <c r="BF223" s="1289"/>
      <c r="BG223" s="1289"/>
      <c r="BH223" s="1289"/>
      <c r="BI223" s="1289"/>
      <c r="BJ223" s="1289"/>
      <c r="BK223" s="1289"/>
      <c r="BL223" s="1948"/>
    </row>
    <row r="224" spans="1:64">
      <c r="A224" s="109"/>
      <c r="B224" s="1892"/>
      <c r="C224" s="1289"/>
      <c r="D224" s="1289"/>
      <c r="E224" s="1289"/>
      <c r="F224" s="1289"/>
      <c r="G224" s="1289"/>
      <c r="H224" s="1289"/>
      <c r="I224" s="1289"/>
      <c r="J224" s="1888"/>
      <c r="K224" s="1891"/>
      <c r="L224" s="1289"/>
      <c r="M224" s="1891"/>
      <c r="N224" s="1289"/>
      <c r="O224" s="1289"/>
      <c r="P224" s="1888"/>
      <c r="Q224" s="1891"/>
      <c r="R224" s="1289"/>
      <c r="S224" s="1289"/>
      <c r="T224" s="1888"/>
      <c r="U224" s="1891"/>
      <c r="V224" s="1289"/>
      <c r="W224" s="1888"/>
      <c r="X224" s="1891"/>
      <c r="Y224" s="1289"/>
      <c r="Z224" s="1289"/>
      <c r="AA224" s="1888"/>
      <c r="AB224" s="1930"/>
      <c r="AC224" s="1289"/>
      <c r="AD224" s="1289"/>
      <c r="AE224" s="1891"/>
      <c r="AF224" s="1289"/>
      <c r="AG224" s="1888"/>
      <c r="AH224" s="1891"/>
      <c r="AI224" s="1289"/>
      <c r="AJ224" s="1888"/>
      <c r="AK224" s="1891"/>
      <c r="AL224" s="1289"/>
      <c r="AM224" s="1289"/>
      <c r="AN224" s="1289"/>
      <c r="AO224" s="1888"/>
      <c r="AP224" s="1930"/>
      <c r="AQ224" s="1289"/>
      <c r="AR224" s="1289"/>
      <c r="AS224" s="1289"/>
      <c r="AT224" s="1289"/>
      <c r="AU224" s="1888"/>
      <c r="AV224" s="1950"/>
      <c r="AW224" s="1289"/>
      <c r="AX224" s="1289"/>
      <c r="AY224" s="1289"/>
      <c r="AZ224" s="1289"/>
      <c r="BA224" s="1289"/>
      <c r="BB224" s="1289"/>
      <c r="BC224" s="1289"/>
      <c r="BD224" s="1289"/>
      <c r="BE224" s="1289"/>
      <c r="BF224" s="1289"/>
      <c r="BG224" s="1289"/>
      <c r="BH224" s="1289"/>
      <c r="BI224" s="1289"/>
      <c r="BJ224" s="1289"/>
      <c r="BK224" s="1289"/>
      <c r="BL224" s="1945"/>
    </row>
    <row r="225" spans="1:64">
      <c r="A225" s="109"/>
      <c r="B225" s="1885"/>
      <c r="C225" s="1289"/>
      <c r="D225" s="1289"/>
      <c r="E225" s="1289"/>
      <c r="F225" s="1289"/>
      <c r="G225" s="1289"/>
      <c r="H225" s="1289"/>
      <c r="I225" s="1289"/>
      <c r="J225" s="1886"/>
      <c r="K225" s="1914"/>
      <c r="L225" s="1289"/>
      <c r="M225" s="1914"/>
      <c r="N225" s="1289"/>
      <c r="O225" s="1289"/>
      <c r="P225" s="1886"/>
      <c r="Q225" s="1914"/>
      <c r="R225" s="1289"/>
      <c r="S225" s="1289"/>
      <c r="T225" s="1886"/>
      <c r="U225" s="1914"/>
      <c r="V225" s="1289"/>
      <c r="W225" s="1886"/>
      <c r="X225" s="1914"/>
      <c r="Y225" s="1289"/>
      <c r="Z225" s="1289"/>
      <c r="AA225" s="1886"/>
      <c r="AB225" s="1929"/>
      <c r="AC225" s="1289"/>
      <c r="AD225" s="1289"/>
      <c r="AE225" s="1914"/>
      <c r="AF225" s="1289"/>
      <c r="AG225" s="1886"/>
      <c r="AH225" s="1914"/>
      <c r="AI225" s="1289"/>
      <c r="AJ225" s="1886"/>
      <c r="AK225" s="1914"/>
      <c r="AL225" s="1289"/>
      <c r="AM225" s="1289"/>
      <c r="AN225" s="1289"/>
      <c r="AO225" s="1886"/>
      <c r="AP225" s="1929"/>
      <c r="AQ225" s="1289"/>
      <c r="AR225" s="1289"/>
      <c r="AS225" s="1289"/>
      <c r="AT225" s="1289"/>
      <c r="AU225" s="1886"/>
      <c r="AV225" s="1952"/>
      <c r="AW225" s="1289"/>
      <c r="AX225" s="1289"/>
      <c r="AY225" s="1289"/>
      <c r="AZ225" s="1289"/>
      <c r="BA225" s="1289"/>
      <c r="BB225" s="1289"/>
      <c r="BC225" s="1289"/>
      <c r="BD225" s="1289"/>
      <c r="BE225" s="1289"/>
      <c r="BF225" s="1289"/>
      <c r="BG225" s="1289"/>
      <c r="BH225" s="1289"/>
      <c r="BI225" s="1289"/>
      <c r="BJ225" s="1289"/>
      <c r="BK225" s="1289"/>
      <c r="BL225" s="1948"/>
    </row>
    <row r="226" spans="1:64">
      <c r="A226" s="109"/>
      <c r="B226" s="1892"/>
      <c r="C226" s="1289"/>
      <c r="D226" s="1289"/>
      <c r="E226" s="1289"/>
      <c r="F226" s="1289"/>
      <c r="G226" s="1289"/>
      <c r="H226" s="1289"/>
      <c r="I226" s="1289"/>
      <c r="J226" s="1888"/>
      <c r="K226" s="1891"/>
      <c r="L226" s="1289"/>
      <c r="M226" s="1891"/>
      <c r="N226" s="1289"/>
      <c r="O226" s="1289"/>
      <c r="P226" s="1888"/>
      <c r="Q226" s="1891"/>
      <c r="R226" s="1289"/>
      <c r="S226" s="1289"/>
      <c r="T226" s="1888"/>
      <c r="U226" s="1891"/>
      <c r="V226" s="1289"/>
      <c r="W226" s="1888"/>
      <c r="X226" s="1891"/>
      <c r="Y226" s="1289"/>
      <c r="Z226" s="1289"/>
      <c r="AA226" s="1888"/>
      <c r="AB226" s="1930"/>
      <c r="AC226" s="1289"/>
      <c r="AD226" s="1289"/>
      <c r="AE226" s="1891"/>
      <c r="AF226" s="1289"/>
      <c r="AG226" s="1888"/>
      <c r="AH226" s="1891"/>
      <c r="AI226" s="1289"/>
      <c r="AJ226" s="1888"/>
      <c r="AK226" s="1891"/>
      <c r="AL226" s="1289"/>
      <c r="AM226" s="1289"/>
      <c r="AN226" s="1289"/>
      <c r="AO226" s="1888"/>
      <c r="AP226" s="1930"/>
      <c r="AQ226" s="1289"/>
      <c r="AR226" s="1289"/>
      <c r="AS226" s="1289"/>
      <c r="AT226" s="1289"/>
      <c r="AU226" s="1888"/>
      <c r="AV226" s="1950"/>
      <c r="AW226" s="1289"/>
      <c r="AX226" s="1289"/>
      <c r="AY226" s="1289"/>
      <c r="AZ226" s="1289"/>
      <c r="BA226" s="1289"/>
      <c r="BB226" s="1289"/>
      <c r="BC226" s="1289"/>
      <c r="BD226" s="1289"/>
      <c r="BE226" s="1289"/>
      <c r="BF226" s="1289"/>
      <c r="BG226" s="1289"/>
      <c r="BH226" s="1289"/>
      <c r="BI226" s="1289"/>
      <c r="BJ226" s="1289"/>
      <c r="BK226" s="1289"/>
      <c r="BL226" s="1945"/>
    </row>
    <row r="227" spans="1:64">
      <c r="A227" s="109"/>
      <c r="B227" s="1885"/>
      <c r="C227" s="1289"/>
      <c r="D227" s="1289"/>
      <c r="E227" s="1289"/>
      <c r="F227" s="1289"/>
      <c r="G227" s="1289"/>
      <c r="H227" s="1289"/>
      <c r="I227" s="1289"/>
      <c r="J227" s="1886"/>
      <c r="K227" s="1914"/>
      <c r="L227" s="1289"/>
      <c r="M227" s="1914"/>
      <c r="N227" s="1289"/>
      <c r="O227" s="1289"/>
      <c r="P227" s="1886"/>
      <c r="Q227" s="1914"/>
      <c r="R227" s="1289"/>
      <c r="S227" s="1289"/>
      <c r="T227" s="1886"/>
      <c r="U227" s="1914"/>
      <c r="V227" s="1289"/>
      <c r="W227" s="1886"/>
      <c r="X227" s="1914"/>
      <c r="Y227" s="1289"/>
      <c r="Z227" s="1289"/>
      <c r="AA227" s="1886"/>
      <c r="AB227" s="1929"/>
      <c r="AC227" s="1289"/>
      <c r="AD227" s="1289"/>
      <c r="AE227" s="1914"/>
      <c r="AF227" s="1289"/>
      <c r="AG227" s="1886"/>
      <c r="AH227" s="1914"/>
      <c r="AI227" s="1289"/>
      <c r="AJ227" s="1886"/>
      <c r="AK227" s="1914"/>
      <c r="AL227" s="1289"/>
      <c r="AM227" s="1289"/>
      <c r="AN227" s="1289"/>
      <c r="AO227" s="1886"/>
      <c r="AP227" s="1929"/>
      <c r="AQ227" s="1289"/>
      <c r="AR227" s="1289"/>
      <c r="AS227" s="1289"/>
      <c r="AT227" s="1289"/>
      <c r="AU227" s="1886"/>
      <c r="AV227" s="1952"/>
      <c r="AW227" s="1289"/>
      <c r="AX227" s="1289"/>
      <c r="AY227" s="1289"/>
      <c r="AZ227" s="1289"/>
      <c r="BA227" s="1289"/>
      <c r="BB227" s="1289"/>
      <c r="BC227" s="1289"/>
      <c r="BD227" s="1289"/>
      <c r="BE227" s="1289"/>
      <c r="BF227" s="1289"/>
      <c r="BG227" s="1289"/>
      <c r="BH227" s="1289"/>
      <c r="BI227" s="1289"/>
      <c r="BJ227" s="1289"/>
      <c r="BK227" s="1289"/>
      <c r="BL227" s="1948"/>
    </row>
    <row r="228" spans="1:64">
      <c r="A228" s="109"/>
      <c r="B228" s="1892"/>
      <c r="C228" s="1289"/>
      <c r="D228" s="1289"/>
      <c r="E228" s="1289"/>
      <c r="F228" s="1289"/>
      <c r="G228" s="1289"/>
      <c r="H228" s="1289"/>
      <c r="I228" s="1289"/>
      <c r="J228" s="1888"/>
      <c r="K228" s="1891"/>
      <c r="L228" s="1289"/>
      <c r="M228" s="1891"/>
      <c r="N228" s="1289"/>
      <c r="O228" s="1289"/>
      <c r="P228" s="1888"/>
      <c r="Q228" s="1891"/>
      <c r="R228" s="1289"/>
      <c r="S228" s="1289"/>
      <c r="T228" s="1888"/>
      <c r="U228" s="1891"/>
      <c r="V228" s="1289"/>
      <c r="W228" s="1888"/>
      <c r="X228" s="1891"/>
      <c r="Y228" s="1289"/>
      <c r="Z228" s="1289"/>
      <c r="AA228" s="1888"/>
      <c r="AB228" s="1930"/>
      <c r="AC228" s="1289"/>
      <c r="AD228" s="1289"/>
      <c r="AE228" s="1891"/>
      <c r="AF228" s="1289"/>
      <c r="AG228" s="1888"/>
      <c r="AH228" s="1891"/>
      <c r="AI228" s="1289"/>
      <c r="AJ228" s="1888"/>
      <c r="AK228" s="1891"/>
      <c r="AL228" s="1289"/>
      <c r="AM228" s="1289"/>
      <c r="AN228" s="1289"/>
      <c r="AO228" s="1888"/>
      <c r="AP228" s="1930"/>
      <c r="AQ228" s="1289"/>
      <c r="AR228" s="1289"/>
      <c r="AS228" s="1289"/>
      <c r="AT228" s="1289"/>
      <c r="AU228" s="1888"/>
      <c r="AV228" s="1950"/>
      <c r="AW228" s="1289"/>
      <c r="AX228" s="1289"/>
      <c r="AY228" s="1289"/>
      <c r="AZ228" s="1289"/>
      <c r="BA228" s="1289"/>
      <c r="BB228" s="1289"/>
      <c r="BC228" s="1289"/>
      <c r="BD228" s="1289"/>
      <c r="BE228" s="1289"/>
      <c r="BF228" s="1289"/>
      <c r="BG228" s="1289"/>
      <c r="BH228" s="1289"/>
      <c r="BI228" s="1289"/>
      <c r="BJ228" s="1289"/>
      <c r="BK228" s="1289"/>
      <c r="BL228" s="1945"/>
    </row>
    <row r="229" spans="1:64">
      <c r="A229" s="109"/>
      <c r="B229" s="1885"/>
      <c r="C229" s="1289"/>
      <c r="D229" s="1289"/>
      <c r="E229" s="1289"/>
      <c r="F229" s="1289"/>
      <c r="G229" s="1289"/>
      <c r="H229" s="1289"/>
      <c r="I229" s="1289"/>
      <c r="J229" s="1886"/>
      <c r="K229" s="1914"/>
      <c r="L229" s="1289"/>
      <c r="M229" s="1914"/>
      <c r="N229" s="1289"/>
      <c r="O229" s="1289"/>
      <c r="P229" s="1886"/>
      <c r="Q229" s="1914"/>
      <c r="R229" s="1289"/>
      <c r="S229" s="1289"/>
      <c r="T229" s="1886"/>
      <c r="U229" s="1914"/>
      <c r="V229" s="1289"/>
      <c r="W229" s="1886"/>
      <c r="X229" s="1914"/>
      <c r="Y229" s="1289"/>
      <c r="Z229" s="1289"/>
      <c r="AA229" s="1886"/>
      <c r="AB229" s="1929"/>
      <c r="AC229" s="1289"/>
      <c r="AD229" s="1289"/>
      <c r="AE229" s="1914"/>
      <c r="AF229" s="1289"/>
      <c r="AG229" s="1886"/>
      <c r="AH229" s="1914"/>
      <c r="AI229" s="1289"/>
      <c r="AJ229" s="1886"/>
      <c r="AK229" s="1914"/>
      <c r="AL229" s="1289"/>
      <c r="AM229" s="1289"/>
      <c r="AN229" s="1289"/>
      <c r="AO229" s="1886"/>
      <c r="AP229" s="1929"/>
      <c r="AQ229" s="1289"/>
      <c r="AR229" s="1289"/>
      <c r="AS229" s="1289"/>
      <c r="AT229" s="1289"/>
      <c r="AU229" s="1886"/>
      <c r="AV229" s="1952"/>
      <c r="AW229" s="1289"/>
      <c r="AX229" s="1289"/>
      <c r="AY229" s="1289"/>
      <c r="AZ229" s="1289"/>
      <c r="BA229" s="1289"/>
      <c r="BB229" s="1289"/>
      <c r="BC229" s="1289"/>
      <c r="BD229" s="1289"/>
      <c r="BE229" s="1289"/>
      <c r="BF229" s="1289"/>
      <c r="BG229" s="1289"/>
      <c r="BH229" s="1289"/>
      <c r="BI229" s="1289"/>
      <c r="BJ229" s="1289"/>
      <c r="BK229" s="1289"/>
      <c r="BL229" s="1948"/>
    </row>
    <row r="230" spans="1:64">
      <c r="A230" s="109"/>
      <c r="B230" s="1892"/>
      <c r="C230" s="1289"/>
      <c r="D230" s="1289"/>
      <c r="E230" s="1289"/>
      <c r="F230" s="1289"/>
      <c r="G230" s="1289"/>
      <c r="H230" s="1289"/>
      <c r="I230" s="1289"/>
      <c r="J230" s="1888"/>
      <c r="K230" s="1891"/>
      <c r="L230" s="1289"/>
      <c r="M230" s="1891"/>
      <c r="N230" s="1289"/>
      <c r="O230" s="1289"/>
      <c r="P230" s="1888"/>
      <c r="Q230" s="1891"/>
      <c r="R230" s="1289"/>
      <c r="S230" s="1289"/>
      <c r="T230" s="1888"/>
      <c r="U230" s="1891"/>
      <c r="V230" s="1289"/>
      <c r="W230" s="1888"/>
      <c r="X230" s="1891"/>
      <c r="Y230" s="1289"/>
      <c r="Z230" s="1289"/>
      <c r="AA230" s="1888"/>
      <c r="AB230" s="1930"/>
      <c r="AC230" s="1289"/>
      <c r="AD230" s="1289"/>
      <c r="AE230" s="1891"/>
      <c r="AF230" s="1289"/>
      <c r="AG230" s="1888"/>
      <c r="AH230" s="1891"/>
      <c r="AI230" s="1289"/>
      <c r="AJ230" s="1888"/>
      <c r="AK230" s="1891"/>
      <c r="AL230" s="1289"/>
      <c r="AM230" s="1289"/>
      <c r="AN230" s="1289"/>
      <c r="AO230" s="1888"/>
      <c r="AP230" s="1930"/>
      <c r="AQ230" s="1289"/>
      <c r="AR230" s="1289"/>
      <c r="AS230" s="1289"/>
      <c r="AT230" s="1289"/>
      <c r="AU230" s="1888"/>
      <c r="AV230" s="1950"/>
      <c r="AW230" s="1289"/>
      <c r="AX230" s="1289"/>
      <c r="AY230" s="1289"/>
      <c r="AZ230" s="1289"/>
      <c r="BA230" s="1289"/>
      <c r="BB230" s="1289"/>
      <c r="BC230" s="1289"/>
      <c r="BD230" s="1289"/>
      <c r="BE230" s="1289"/>
      <c r="BF230" s="1289"/>
      <c r="BG230" s="1289"/>
      <c r="BH230" s="1289"/>
      <c r="BI230" s="1289"/>
      <c r="BJ230" s="1289"/>
      <c r="BK230" s="1289"/>
      <c r="BL230" s="1945"/>
    </row>
    <row r="231" spans="1:64">
      <c r="A231" s="109"/>
      <c r="B231" s="1885"/>
      <c r="C231" s="1289"/>
      <c r="D231" s="1289"/>
      <c r="E231" s="1289"/>
      <c r="F231" s="1289"/>
      <c r="G231" s="1289"/>
      <c r="H231" s="1289"/>
      <c r="I231" s="1289"/>
      <c r="J231" s="1886"/>
      <c r="K231" s="1914"/>
      <c r="L231" s="1289"/>
      <c r="M231" s="1914"/>
      <c r="N231" s="1289"/>
      <c r="O231" s="1289"/>
      <c r="P231" s="1886"/>
      <c r="Q231" s="1914"/>
      <c r="R231" s="1289"/>
      <c r="S231" s="1289"/>
      <c r="T231" s="1886"/>
      <c r="U231" s="1914"/>
      <c r="V231" s="1289"/>
      <c r="W231" s="1886"/>
      <c r="X231" s="1914"/>
      <c r="Y231" s="1289"/>
      <c r="Z231" s="1289"/>
      <c r="AA231" s="1886"/>
      <c r="AB231" s="1929"/>
      <c r="AC231" s="1289"/>
      <c r="AD231" s="1289"/>
      <c r="AE231" s="1914"/>
      <c r="AF231" s="1289"/>
      <c r="AG231" s="1886"/>
      <c r="AH231" s="1914"/>
      <c r="AI231" s="1289"/>
      <c r="AJ231" s="1886"/>
      <c r="AK231" s="1914"/>
      <c r="AL231" s="1289"/>
      <c r="AM231" s="1289"/>
      <c r="AN231" s="1289"/>
      <c r="AO231" s="1886"/>
      <c r="AP231" s="1929"/>
      <c r="AQ231" s="1289"/>
      <c r="AR231" s="1289"/>
      <c r="AS231" s="1289"/>
      <c r="AT231" s="1289"/>
      <c r="AU231" s="1886"/>
      <c r="AV231" s="1952"/>
      <c r="AW231" s="1289"/>
      <c r="AX231" s="1289"/>
      <c r="AY231" s="1289"/>
      <c r="AZ231" s="1289"/>
      <c r="BA231" s="1289"/>
      <c r="BB231" s="1289"/>
      <c r="BC231" s="1289"/>
      <c r="BD231" s="1289"/>
      <c r="BE231" s="1289"/>
      <c r="BF231" s="1289"/>
      <c r="BG231" s="1289"/>
      <c r="BH231" s="1289"/>
      <c r="BI231" s="1289"/>
      <c r="BJ231" s="1289"/>
      <c r="BK231" s="1289"/>
      <c r="BL231" s="1948"/>
    </row>
    <row r="232" spans="1:64">
      <c r="A232" s="109"/>
      <c r="B232" s="1892"/>
      <c r="C232" s="1289"/>
      <c r="D232" s="1289"/>
      <c r="E232" s="1289"/>
      <c r="F232" s="1289"/>
      <c r="G232" s="1289"/>
      <c r="H232" s="1289"/>
      <c r="I232" s="1289"/>
      <c r="J232" s="1888"/>
      <c r="K232" s="1891"/>
      <c r="L232" s="1289"/>
      <c r="M232" s="1891"/>
      <c r="N232" s="1289"/>
      <c r="O232" s="1289"/>
      <c r="P232" s="1888"/>
      <c r="Q232" s="1891"/>
      <c r="R232" s="1289"/>
      <c r="S232" s="1289"/>
      <c r="T232" s="1888"/>
      <c r="U232" s="1891"/>
      <c r="V232" s="1289"/>
      <c r="W232" s="1888"/>
      <c r="X232" s="1891"/>
      <c r="Y232" s="1289"/>
      <c r="Z232" s="1289"/>
      <c r="AA232" s="1888"/>
      <c r="AB232" s="1930"/>
      <c r="AC232" s="1289"/>
      <c r="AD232" s="1289"/>
      <c r="AE232" s="1891"/>
      <c r="AF232" s="1289"/>
      <c r="AG232" s="1888"/>
      <c r="AH232" s="1891"/>
      <c r="AI232" s="1289"/>
      <c r="AJ232" s="1888"/>
      <c r="AK232" s="1891"/>
      <c r="AL232" s="1289"/>
      <c r="AM232" s="1289"/>
      <c r="AN232" s="1289"/>
      <c r="AO232" s="1888"/>
      <c r="AP232" s="1930"/>
      <c r="AQ232" s="1289"/>
      <c r="AR232" s="1289"/>
      <c r="AS232" s="1289"/>
      <c r="AT232" s="1289"/>
      <c r="AU232" s="1888"/>
      <c r="AV232" s="1950"/>
      <c r="AW232" s="1289"/>
      <c r="AX232" s="1289"/>
      <c r="AY232" s="1289"/>
      <c r="AZ232" s="1289"/>
      <c r="BA232" s="1289"/>
      <c r="BB232" s="1289"/>
      <c r="BC232" s="1289"/>
      <c r="BD232" s="1289"/>
      <c r="BE232" s="1289"/>
      <c r="BF232" s="1289"/>
      <c r="BG232" s="1289"/>
      <c r="BH232" s="1289"/>
      <c r="BI232" s="1289"/>
      <c r="BJ232" s="1289"/>
      <c r="BK232" s="1289"/>
      <c r="BL232" s="1945"/>
    </row>
    <row r="233" spans="1:64">
      <c r="A233" s="109"/>
      <c r="B233" s="1885"/>
      <c r="C233" s="1289"/>
      <c r="D233" s="1289"/>
      <c r="E233" s="1289"/>
      <c r="F233" s="1289"/>
      <c r="G233" s="1289"/>
      <c r="H233" s="1289"/>
      <c r="I233" s="1289"/>
      <c r="J233" s="1886"/>
      <c r="K233" s="1914"/>
      <c r="L233" s="1289"/>
      <c r="M233" s="1914"/>
      <c r="N233" s="1289"/>
      <c r="O233" s="1289"/>
      <c r="P233" s="1886"/>
      <c r="Q233" s="1914"/>
      <c r="R233" s="1289"/>
      <c r="S233" s="1289"/>
      <c r="T233" s="1886"/>
      <c r="U233" s="1914"/>
      <c r="V233" s="1289"/>
      <c r="W233" s="1886"/>
      <c r="X233" s="1914"/>
      <c r="Y233" s="1289"/>
      <c r="Z233" s="1289"/>
      <c r="AA233" s="1886"/>
      <c r="AB233" s="1929"/>
      <c r="AC233" s="1289"/>
      <c r="AD233" s="1289"/>
      <c r="AE233" s="1914"/>
      <c r="AF233" s="1289"/>
      <c r="AG233" s="1886"/>
      <c r="AH233" s="1914"/>
      <c r="AI233" s="1289"/>
      <c r="AJ233" s="1886"/>
      <c r="AK233" s="1914"/>
      <c r="AL233" s="1289"/>
      <c r="AM233" s="1289"/>
      <c r="AN233" s="1289"/>
      <c r="AO233" s="1886"/>
      <c r="AP233" s="1929"/>
      <c r="AQ233" s="1289"/>
      <c r="AR233" s="1289"/>
      <c r="AS233" s="1289"/>
      <c r="AT233" s="1289"/>
      <c r="AU233" s="1886"/>
      <c r="AV233" s="1952"/>
      <c r="AW233" s="1289"/>
      <c r="AX233" s="1289"/>
      <c r="AY233" s="1289"/>
      <c r="AZ233" s="1289"/>
      <c r="BA233" s="1289"/>
      <c r="BB233" s="1289"/>
      <c r="BC233" s="1289"/>
      <c r="BD233" s="1289"/>
      <c r="BE233" s="1289"/>
      <c r="BF233" s="1289"/>
      <c r="BG233" s="1289"/>
      <c r="BH233" s="1289"/>
      <c r="BI233" s="1289"/>
      <c r="BJ233" s="1289"/>
      <c r="BK233" s="1289"/>
      <c r="BL233" s="1948"/>
    </row>
    <row r="234" spans="1:64">
      <c r="A234" s="109"/>
      <c r="B234" s="1927"/>
      <c r="C234" s="1289"/>
      <c r="D234" s="1289"/>
      <c r="E234" s="1289"/>
      <c r="F234" s="1289"/>
      <c r="G234" s="1289"/>
      <c r="H234" s="1289"/>
      <c r="I234" s="1289"/>
      <c r="J234" s="1888"/>
      <c r="K234" s="1915"/>
      <c r="L234" s="1289"/>
      <c r="M234" s="1915"/>
      <c r="N234" s="1289"/>
      <c r="O234" s="1289"/>
      <c r="P234" s="1888"/>
      <c r="Q234" s="1915"/>
      <c r="R234" s="1289"/>
      <c r="S234" s="1289"/>
      <c r="T234" s="1888"/>
      <c r="U234" s="1915"/>
      <c r="V234" s="1289"/>
      <c r="W234" s="1888"/>
      <c r="X234" s="1915"/>
      <c r="Y234" s="1289"/>
      <c r="Z234" s="1289"/>
      <c r="AA234" s="1888"/>
      <c r="AB234" s="1932"/>
      <c r="AC234" s="1289"/>
      <c r="AD234" s="1289"/>
      <c r="AE234" s="1915"/>
      <c r="AF234" s="1289"/>
      <c r="AG234" s="1888"/>
      <c r="AH234" s="1915"/>
      <c r="AI234" s="1289"/>
      <c r="AJ234" s="1888"/>
      <c r="AK234" s="1915"/>
      <c r="AL234" s="1289"/>
      <c r="AM234" s="1289"/>
      <c r="AN234" s="1289"/>
      <c r="AO234" s="1888"/>
      <c r="AP234" s="1932"/>
      <c r="AQ234" s="1289"/>
      <c r="AR234" s="1289"/>
      <c r="AS234" s="1289"/>
      <c r="AT234" s="1289"/>
      <c r="AU234" s="1888"/>
      <c r="AV234" s="1951"/>
      <c r="AW234" s="1289"/>
      <c r="AX234" s="1289"/>
      <c r="AY234" s="1289"/>
      <c r="AZ234" s="1289"/>
      <c r="BA234" s="1289"/>
      <c r="BB234" s="1289"/>
      <c r="BC234" s="1289"/>
      <c r="BD234" s="1289"/>
      <c r="BE234" s="1289"/>
      <c r="BF234" s="1289"/>
      <c r="BG234" s="1289"/>
      <c r="BH234" s="1289"/>
      <c r="BI234" s="1289"/>
      <c r="BJ234" s="1289"/>
      <c r="BK234" s="1289"/>
      <c r="BL234" s="1945"/>
    </row>
    <row r="235" spans="1:64">
      <c r="A235" s="109"/>
      <c r="B235" s="1925"/>
      <c r="C235" s="1289"/>
      <c r="D235" s="1289"/>
      <c r="E235" s="1289"/>
      <c r="F235" s="1289"/>
      <c r="G235" s="1289"/>
      <c r="H235" s="1289"/>
      <c r="I235" s="1289"/>
      <c r="J235" s="1886"/>
      <c r="K235" s="1916"/>
      <c r="L235" s="1289"/>
      <c r="M235" s="1916"/>
      <c r="N235" s="1289"/>
      <c r="O235" s="1289"/>
      <c r="P235" s="1886"/>
      <c r="Q235" s="1916"/>
      <c r="R235" s="1289"/>
      <c r="S235" s="1289"/>
      <c r="T235" s="1886"/>
      <c r="U235" s="1916"/>
      <c r="V235" s="1289"/>
      <c r="W235" s="1886"/>
      <c r="X235" s="1916"/>
      <c r="Y235" s="1289"/>
      <c r="Z235" s="1289"/>
      <c r="AA235" s="1886"/>
      <c r="AB235" s="1931"/>
      <c r="AC235" s="1289"/>
      <c r="AD235" s="1289"/>
      <c r="AE235" s="1916"/>
      <c r="AF235" s="1289"/>
      <c r="AG235" s="1886"/>
      <c r="AH235" s="1916"/>
      <c r="AI235" s="1289"/>
      <c r="AJ235" s="1886"/>
      <c r="AK235" s="1916"/>
      <c r="AL235" s="1289"/>
      <c r="AM235" s="1289"/>
      <c r="AN235" s="1289"/>
      <c r="AO235" s="1886"/>
      <c r="AP235" s="1931"/>
      <c r="AQ235" s="1289"/>
      <c r="AR235" s="1289"/>
      <c r="AS235" s="1289"/>
      <c r="AT235" s="1289"/>
      <c r="AU235" s="1886"/>
      <c r="AV235" s="1959"/>
      <c r="AW235" s="1289"/>
      <c r="AX235" s="1289"/>
      <c r="AY235" s="1289"/>
      <c r="AZ235" s="1289"/>
      <c r="BA235" s="1289"/>
      <c r="BB235" s="1289"/>
      <c r="BC235" s="1289"/>
      <c r="BD235" s="1289"/>
      <c r="BE235" s="1289"/>
      <c r="BF235" s="1289"/>
      <c r="BG235" s="1289"/>
      <c r="BH235" s="1289"/>
      <c r="BI235" s="1289"/>
      <c r="BJ235" s="1289"/>
      <c r="BK235" s="1289"/>
      <c r="BL235" s="1948"/>
    </row>
    <row r="236" spans="1:64">
      <c r="A236" s="109"/>
      <c r="B236" s="1927"/>
      <c r="C236" s="1289"/>
      <c r="D236" s="1289"/>
      <c r="E236" s="1289"/>
      <c r="F236" s="1289"/>
      <c r="G236" s="1289"/>
      <c r="H236" s="1289"/>
      <c r="I236" s="1289"/>
      <c r="J236" s="1888"/>
      <c r="K236" s="1915"/>
      <c r="L236" s="1289"/>
      <c r="M236" s="1915"/>
      <c r="N236" s="1289"/>
      <c r="O236" s="1289"/>
      <c r="P236" s="1888"/>
      <c r="Q236" s="1915"/>
      <c r="R236" s="1289"/>
      <c r="S236" s="1289"/>
      <c r="T236" s="1888"/>
      <c r="U236" s="1915"/>
      <c r="V236" s="1289"/>
      <c r="W236" s="1888"/>
      <c r="X236" s="1915"/>
      <c r="Y236" s="1289"/>
      <c r="Z236" s="1289"/>
      <c r="AA236" s="1888"/>
      <c r="AB236" s="1932"/>
      <c r="AC236" s="1289"/>
      <c r="AD236" s="1289"/>
      <c r="AE236" s="1915"/>
      <c r="AF236" s="1289"/>
      <c r="AG236" s="1888"/>
      <c r="AH236" s="1915"/>
      <c r="AI236" s="1289"/>
      <c r="AJ236" s="1888"/>
      <c r="AK236" s="1915"/>
      <c r="AL236" s="1289"/>
      <c r="AM236" s="1289"/>
      <c r="AN236" s="1289"/>
      <c r="AO236" s="1888"/>
      <c r="AP236" s="1932"/>
      <c r="AQ236" s="1289"/>
      <c r="AR236" s="1289"/>
      <c r="AS236" s="1289"/>
      <c r="AT236" s="1289"/>
      <c r="AU236" s="1888"/>
      <c r="AV236" s="1951"/>
      <c r="AW236" s="1289"/>
      <c r="AX236" s="1289"/>
      <c r="AY236" s="1289"/>
      <c r="AZ236" s="1289"/>
      <c r="BA236" s="1289"/>
      <c r="BB236" s="1289"/>
      <c r="BC236" s="1289"/>
      <c r="BD236" s="1289"/>
      <c r="BE236" s="1289"/>
      <c r="BF236" s="1289"/>
      <c r="BG236" s="1289"/>
      <c r="BH236" s="1289"/>
      <c r="BI236" s="1289"/>
      <c r="BJ236" s="1289"/>
      <c r="BK236" s="1289"/>
      <c r="BL236" s="1945"/>
    </row>
    <row r="237" spans="1:64">
      <c r="A237" s="109"/>
      <c r="B237" s="1925"/>
      <c r="C237" s="1289"/>
      <c r="D237" s="1289"/>
      <c r="E237" s="1289"/>
      <c r="F237" s="1289"/>
      <c r="G237" s="1289"/>
      <c r="H237" s="1289"/>
      <c r="I237" s="1289"/>
      <c r="J237" s="1886"/>
      <c r="K237" s="1916"/>
      <c r="L237" s="1289"/>
      <c r="M237" s="1916"/>
      <c r="N237" s="1289"/>
      <c r="O237" s="1289"/>
      <c r="P237" s="1886"/>
      <c r="Q237" s="1916"/>
      <c r="R237" s="1289"/>
      <c r="S237" s="1289"/>
      <c r="T237" s="1886"/>
      <c r="U237" s="1916"/>
      <c r="V237" s="1289"/>
      <c r="W237" s="1886"/>
      <c r="X237" s="1916"/>
      <c r="Y237" s="1289"/>
      <c r="Z237" s="1289"/>
      <c r="AA237" s="1886"/>
      <c r="AB237" s="1931"/>
      <c r="AC237" s="1289"/>
      <c r="AD237" s="1289"/>
      <c r="AE237" s="1916"/>
      <c r="AF237" s="1289"/>
      <c r="AG237" s="1886"/>
      <c r="AH237" s="1916"/>
      <c r="AI237" s="1289"/>
      <c r="AJ237" s="1886"/>
      <c r="AK237" s="1916"/>
      <c r="AL237" s="1289"/>
      <c r="AM237" s="1289"/>
      <c r="AN237" s="1289"/>
      <c r="AO237" s="1886"/>
      <c r="AP237" s="1931"/>
      <c r="AQ237" s="1289"/>
      <c r="AR237" s="1289"/>
      <c r="AS237" s="1289"/>
      <c r="AT237" s="1289"/>
      <c r="AU237" s="1886"/>
      <c r="AV237" s="1959"/>
      <c r="AW237" s="1289"/>
      <c r="AX237" s="1289"/>
      <c r="AY237" s="1289"/>
      <c r="AZ237" s="1289"/>
      <c r="BA237" s="1289"/>
      <c r="BB237" s="1289"/>
      <c r="BC237" s="1289"/>
      <c r="BD237" s="1289"/>
      <c r="BE237" s="1289"/>
      <c r="BF237" s="1289"/>
      <c r="BG237" s="1289"/>
      <c r="BH237" s="1289"/>
      <c r="BI237" s="1289"/>
      <c r="BJ237" s="1289"/>
      <c r="BK237" s="1289"/>
      <c r="BL237" s="1948"/>
    </row>
    <row r="238" spans="1:64">
      <c r="A238" s="109"/>
      <c r="B238" s="1927"/>
      <c r="C238" s="1289"/>
      <c r="D238" s="1289"/>
      <c r="E238" s="1289"/>
      <c r="F238" s="1289"/>
      <c r="G238" s="1289"/>
      <c r="H238" s="1289"/>
      <c r="I238" s="1289"/>
      <c r="J238" s="1888"/>
      <c r="K238" s="1915"/>
      <c r="L238" s="1289"/>
      <c r="M238" s="1915"/>
      <c r="N238" s="1289"/>
      <c r="O238" s="1289"/>
      <c r="P238" s="1888"/>
      <c r="Q238" s="1915"/>
      <c r="R238" s="1289"/>
      <c r="S238" s="1289"/>
      <c r="T238" s="1888"/>
      <c r="U238" s="1915"/>
      <c r="V238" s="1289"/>
      <c r="W238" s="1888"/>
      <c r="X238" s="1915"/>
      <c r="Y238" s="1289"/>
      <c r="Z238" s="1289"/>
      <c r="AA238" s="1888"/>
      <c r="AB238" s="1932"/>
      <c r="AC238" s="1289"/>
      <c r="AD238" s="1289"/>
      <c r="AE238" s="1915"/>
      <c r="AF238" s="1289"/>
      <c r="AG238" s="1888"/>
      <c r="AH238" s="1915"/>
      <c r="AI238" s="1289"/>
      <c r="AJ238" s="1888"/>
      <c r="AK238" s="1915"/>
      <c r="AL238" s="1289"/>
      <c r="AM238" s="1289"/>
      <c r="AN238" s="1289"/>
      <c r="AO238" s="1888"/>
      <c r="AP238" s="1932"/>
      <c r="AQ238" s="1289"/>
      <c r="AR238" s="1289"/>
      <c r="AS238" s="1289"/>
      <c r="AT238" s="1289"/>
      <c r="AU238" s="1888"/>
      <c r="AV238" s="1951"/>
      <c r="AW238" s="1289"/>
      <c r="AX238" s="1289"/>
      <c r="AY238" s="1289"/>
      <c r="AZ238" s="1289"/>
      <c r="BA238" s="1289"/>
      <c r="BB238" s="1289"/>
      <c r="BC238" s="1289"/>
      <c r="BD238" s="1289"/>
      <c r="BE238" s="1289"/>
      <c r="BF238" s="1289"/>
      <c r="BG238" s="1289"/>
      <c r="BH238" s="1289"/>
      <c r="BI238" s="1289"/>
      <c r="BJ238" s="1289"/>
      <c r="BK238" s="1289"/>
      <c r="BL238" s="1945"/>
    </row>
    <row r="239" spans="1:64">
      <c r="A239" s="109"/>
      <c r="B239" s="1925"/>
      <c r="C239" s="1289"/>
      <c r="D239" s="1289"/>
      <c r="E239" s="1289"/>
      <c r="F239" s="1289"/>
      <c r="G239" s="1289"/>
      <c r="H239" s="1289"/>
      <c r="I239" s="1289"/>
      <c r="J239" s="1886"/>
      <c r="K239" s="1916"/>
      <c r="L239" s="1289"/>
      <c r="M239" s="1916"/>
      <c r="N239" s="1289"/>
      <c r="O239" s="1289"/>
      <c r="P239" s="1886"/>
      <c r="Q239" s="1916"/>
      <c r="R239" s="1289"/>
      <c r="S239" s="1289"/>
      <c r="T239" s="1886"/>
      <c r="U239" s="1916"/>
      <c r="V239" s="1289"/>
      <c r="W239" s="1886"/>
      <c r="X239" s="1916"/>
      <c r="Y239" s="1289"/>
      <c r="Z239" s="1289"/>
      <c r="AA239" s="1886"/>
      <c r="AB239" s="1931"/>
      <c r="AC239" s="1289"/>
      <c r="AD239" s="1289"/>
      <c r="AE239" s="1916"/>
      <c r="AF239" s="1289"/>
      <c r="AG239" s="1886"/>
      <c r="AH239" s="1916"/>
      <c r="AI239" s="1289"/>
      <c r="AJ239" s="1886"/>
      <c r="AK239" s="1916"/>
      <c r="AL239" s="1289"/>
      <c r="AM239" s="1289"/>
      <c r="AN239" s="1289"/>
      <c r="AO239" s="1886"/>
      <c r="AP239" s="1931"/>
      <c r="AQ239" s="1289"/>
      <c r="AR239" s="1289"/>
      <c r="AS239" s="1289"/>
      <c r="AT239" s="1289"/>
      <c r="AU239" s="1886"/>
      <c r="AV239" s="1959"/>
      <c r="AW239" s="1289"/>
      <c r="AX239" s="1289"/>
      <c r="AY239" s="1289"/>
      <c r="AZ239" s="1289"/>
      <c r="BA239" s="1289"/>
      <c r="BB239" s="1289"/>
      <c r="BC239" s="1289"/>
      <c r="BD239" s="1289"/>
      <c r="BE239" s="1289"/>
      <c r="BF239" s="1289"/>
      <c r="BG239" s="1289"/>
      <c r="BH239" s="1289"/>
      <c r="BI239" s="1289"/>
      <c r="BJ239" s="1289"/>
      <c r="BK239" s="1289"/>
      <c r="BL239" s="1948"/>
    </row>
    <row r="240" spans="1:64">
      <c r="A240" s="109"/>
      <c r="B240" s="1927"/>
      <c r="C240" s="1289"/>
      <c r="D240" s="1289"/>
      <c r="E240" s="1289"/>
      <c r="F240" s="1289"/>
      <c r="G240" s="1289"/>
      <c r="H240" s="1289"/>
      <c r="I240" s="1289"/>
      <c r="J240" s="1888"/>
      <c r="K240" s="1915"/>
      <c r="L240" s="1289"/>
      <c r="M240" s="1915"/>
      <c r="N240" s="1289"/>
      <c r="O240" s="1289"/>
      <c r="P240" s="1888"/>
      <c r="Q240" s="1915"/>
      <c r="R240" s="1289"/>
      <c r="S240" s="1289"/>
      <c r="T240" s="1888"/>
      <c r="U240" s="1915"/>
      <c r="V240" s="1289"/>
      <c r="W240" s="1888"/>
      <c r="X240" s="1915"/>
      <c r="Y240" s="1289"/>
      <c r="Z240" s="1289"/>
      <c r="AA240" s="1888"/>
      <c r="AB240" s="1932"/>
      <c r="AC240" s="1289"/>
      <c r="AD240" s="1289"/>
      <c r="AE240" s="1915"/>
      <c r="AF240" s="1289"/>
      <c r="AG240" s="1888"/>
      <c r="AH240" s="1915"/>
      <c r="AI240" s="1289"/>
      <c r="AJ240" s="1888"/>
      <c r="AK240" s="1915"/>
      <c r="AL240" s="1289"/>
      <c r="AM240" s="1289"/>
      <c r="AN240" s="1289"/>
      <c r="AO240" s="1888"/>
      <c r="AP240" s="1932"/>
      <c r="AQ240" s="1289"/>
      <c r="AR240" s="1289"/>
      <c r="AS240" s="1289"/>
      <c r="AT240" s="1289"/>
      <c r="AU240" s="1888"/>
      <c r="AV240" s="1951"/>
      <c r="AW240" s="1289"/>
      <c r="AX240" s="1289"/>
      <c r="AY240" s="1289"/>
      <c r="AZ240" s="1289"/>
      <c r="BA240" s="1289"/>
      <c r="BB240" s="1289"/>
      <c r="BC240" s="1289"/>
      <c r="BD240" s="1289"/>
      <c r="BE240" s="1289"/>
      <c r="BF240" s="1289"/>
      <c r="BG240" s="1289"/>
      <c r="BH240" s="1289"/>
      <c r="BI240" s="1289"/>
      <c r="BJ240" s="1289"/>
      <c r="BK240" s="1289"/>
      <c r="BL240" s="1945"/>
    </row>
    <row r="241" spans="1:77">
      <c r="A241" s="109"/>
      <c r="B241" s="1925"/>
      <c r="C241" s="1289"/>
      <c r="D241" s="1289"/>
      <c r="E241" s="1289"/>
      <c r="F241" s="1289"/>
      <c r="G241" s="1289"/>
      <c r="H241" s="1289"/>
      <c r="I241" s="1289"/>
      <c r="J241" s="1886"/>
      <c r="K241" s="1916"/>
      <c r="L241" s="1289"/>
      <c r="M241" s="1916"/>
      <c r="N241" s="1289"/>
      <c r="O241" s="1289"/>
      <c r="P241" s="1886"/>
      <c r="Q241" s="1916"/>
      <c r="R241" s="1289"/>
      <c r="S241" s="1289"/>
      <c r="T241" s="1886"/>
      <c r="U241" s="1916"/>
      <c r="V241" s="1289"/>
      <c r="W241" s="1886"/>
      <c r="X241" s="1916"/>
      <c r="Y241" s="1289"/>
      <c r="Z241" s="1289"/>
      <c r="AA241" s="1886"/>
      <c r="AB241" s="1931"/>
      <c r="AC241" s="1289"/>
      <c r="AD241" s="1289"/>
      <c r="AE241" s="1916"/>
      <c r="AF241" s="1289"/>
      <c r="AG241" s="1886"/>
      <c r="AH241" s="1916"/>
      <c r="AI241" s="1289"/>
      <c r="AJ241" s="1886"/>
      <c r="AK241" s="1916"/>
      <c r="AL241" s="1289"/>
      <c r="AM241" s="1289"/>
      <c r="AN241" s="1289"/>
      <c r="AO241" s="1886"/>
      <c r="AP241" s="1931"/>
      <c r="AQ241" s="1289"/>
      <c r="AR241" s="1289"/>
      <c r="AS241" s="1289"/>
      <c r="AT241" s="1289"/>
      <c r="AU241" s="1886"/>
      <c r="AV241" s="1959"/>
      <c r="AW241" s="1289"/>
      <c r="AX241" s="1289"/>
      <c r="AY241" s="1289"/>
      <c r="AZ241" s="1289"/>
      <c r="BA241" s="1289"/>
      <c r="BB241" s="1289"/>
      <c r="BC241" s="1289"/>
      <c r="BD241" s="1289"/>
      <c r="BE241" s="1289"/>
      <c r="BF241" s="1289"/>
      <c r="BG241" s="1289"/>
      <c r="BH241" s="1289"/>
      <c r="BI241" s="1289"/>
      <c r="BJ241" s="1289"/>
      <c r="BK241" s="1289"/>
      <c r="BL241" s="1948"/>
    </row>
    <row r="242" spans="1:77">
      <c r="A242" s="109"/>
      <c r="B242" s="1927"/>
      <c r="C242" s="1289"/>
      <c r="D242" s="1289"/>
      <c r="E242" s="1289"/>
      <c r="F242" s="1289"/>
      <c r="G242" s="1289"/>
      <c r="H242" s="1289"/>
      <c r="I242" s="1289"/>
      <c r="J242" s="1888"/>
      <c r="K242" s="1915"/>
      <c r="L242" s="1289"/>
      <c r="M242" s="1915"/>
      <c r="N242" s="1289"/>
      <c r="O242" s="1289"/>
      <c r="P242" s="1888"/>
      <c r="Q242" s="1915"/>
      <c r="R242" s="1289"/>
      <c r="S242" s="1289"/>
      <c r="T242" s="1888"/>
      <c r="U242" s="1915"/>
      <c r="V242" s="1289"/>
      <c r="W242" s="1888"/>
      <c r="X242" s="1915"/>
      <c r="Y242" s="1289"/>
      <c r="Z242" s="1289"/>
      <c r="AA242" s="1888"/>
      <c r="AB242" s="1932"/>
      <c r="AC242" s="1289"/>
      <c r="AD242" s="1289"/>
      <c r="AE242" s="1915"/>
      <c r="AF242" s="1289"/>
      <c r="AG242" s="1888"/>
      <c r="AH242" s="1915"/>
      <c r="AI242" s="1289"/>
      <c r="AJ242" s="1888"/>
      <c r="AK242" s="1915"/>
      <c r="AL242" s="1289"/>
      <c r="AM242" s="1289"/>
      <c r="AN242" s="1289"/>
      <c r="AO242" s="1888"/>
      <c r="AP242" s="1932"/>
      <c r="AQ242" s="1289"/>
      <c r="AR242" s="1289"/>
      <c r="AS242" s="1289"/>
      <c r="AT242" s="1289"/>
      <c r="AU242" s="1888"/>
      <c r="AV242" s="1951"/>
      <c r="AW242" s="1289"/>
      <c r="AX242" s="1289"/>
      <c r="AY242" s="1289"/>
      <c r="AZ242" s="1289"/>
      <c r="BA242" s="1289"/>
      <c r="BB242" s="1289"/>
      <c r="BC242" s="1289"/>
      <c r="BD242" s="1289"/>
      <c r="BE242" s="1289"/>
      <c r="BF242" s="1289"/>
      <c r="BG242" s="1289"/>
      <c r="BH242" s="1289"/>
      <c r="BI242" s="1289"/>
      <c r="BJ242" s="1289"/>
      <c r="BK242" s="1289"/>
      <c r="BL242" s="1945"/>
    </row>
    <row r="243" spans="1:77">
      <c r="A243" s="109"/>
      <c r="B243" s="1925"/>
      <c r="C243" s="1289"/>
      <c r="D243" s="1289"/>
      <c r="E243" s="1289"/>
      <c r="F243" s="1289"/>
      <c r="G243" s="1289"/>
      <c r="H243" s="1289"/>
      <c r="I243" s="1289"/>
      <c r="J243" s="1886"/>
      <c r="K243" s="1916"/>
      <c r="L243" s="1289"/>
      <c r="M243" s="1916"/>
      <c r="N243" s="1289"/>
      <c r="O243" s="1289"/>
      <c r="P243" s="1886"/>
      <c r="Q243" s="1916"/>
      <c r="R243" s="1289"/>
      <c r="S243" s="1289"/>
      <c r="T243" s="1886"/>
      <c r="U243" s="1916"/>
      <c r="V243" s="1289"/>
      <c r="W243" s="1886"/>
      <c r="X243" s="1916"/>
      <c r="Y243" s="1289"/>
      <c r="Z243" s="1289"/>
      <c r="AA243" s="1886"/>
      <c r="AB243" s="1931"/>
      <c r="AC243" s="1289"/>
      <c r="AD243" s="1289"/>
      <c r="AE243" s="1916"/>
      <c r="AF243" s="1289"/>
      <c r="AG243" s="1886"/>
      <c r="AH243" s="1916"/>
      <c r="AI243" s="1289"/>
      <c r="AJ243" s="1886"/>
      <c r="AK243" s="1916"/>
      <c r="AL243" s="1289"/>
      <c r="AM243" s="1289"/>
      <c r="AN243" s="1289"/>
      <c r="AO243" s="1886"/>
      <c r="AP243" s="1931"/>
      <c r="AQ243" s="1289"/>
      <c r="AR243" s="1289"/>
      <c r="AS243" s="1289"/>
      <c r="AT243" s="1289"/>
      <c r="AU243" s="1886"/>
      <c r="AV243" s="1959"/>
      <c r="AW243" s="1289"/>
      <c r="AX243" s="1289"/>
      <c r="AY243" s="1289"/>
      <c r="AZ243" s="1289"/>
      <c r="BA243" s="1289"/>
      <c r="BB243" s="1289"/>
      <c r="BC243" s="1289"/>
      <c r="BD243" s="1289"/>
      <c r="BE243" s="1289"/>
      <c r="BF243" s="1289"/>
      <c r="BG243" s="1289"/>
      <c r="BH243" s="1289"/>
      <c r="BI243" s="1289"/>
      <c r="BJ243" s="1289"/>
      <c r="BK243" s="1289"/>
      <c r="BL243" s="1948"/>
    </row>
    <row r="244" spans="1:77">
      <c r="A244" s="109"/>
      <c r="B244" s="1927"/>
      <c r="C244" s="1289"/>
      <c r="D244" s="1289"/>
      <c r="E244" s="1289"/>
      <c r="F244" s="1289"/>
      <c r="G244" s="1289"/>
      <c r="H244" s="1289"/>
      <c r="I244" s="1289"/>
      <c r="J244" s="1888"/>
      <c r="K244" s="1915"/>
      <c r="L244" s="1289"/>
      <c r="M244" s="1915"/>
      <c r="N244" s="1289"/>
      <c r="O244" s="1289"/>
      <c r="P244" s="1888"/>
      <c r="Q244" s="1915"/>
      <c r="R244" s="1289"/>
      <c r="S244" s="1289"/>
      <c r="T244" s="1888"/>
      <c r="U244" s="1915"/>
      <c r="V244" s="1289"/>
      <c r="W244" s="1888"/>
      <c r="X244" s="1915"/>
      <c r="Y244" s="1289"/>
      <c r="Z244" s="1289"/>
      <c r="AA244" s="1888"/>
      <c r="AB244" s="1932"/>
      <c r="AC244" s="1289"/>
      <c r="AD244" s="1289"/>
      <c r="AE244" s="1915"/>
      <c r="AF244" s="1289"/>
      <c r="AG244" s="1888"/>
      <c r="AH244" s="1915"/>
      <c r="AI244" s="1289"/>
      <c r="AJ244" s="1888"/>
      <c r="AK244" s="1915"/>
      <c r="AL244" s="1289"/>
      <c r="AM244" s="1289"/>
      <c r="AN244" s="1289"/>
      <c r="AO244" s="1888"/>
      <c r="AP244" s="1932"/>
      <c r="AQ244" s="1289"/>
      <c r="AR244" s="1289"/>
      <c r="AS244" s="1289"/>
      <c r="AT244" s="1289"/>
      <c r="AU244" s="1888"/>
      <c r="AV244" s="1951"/>
      <c r="AW244" s="1289"/>
      <c r="AX244" s="1289"/>
      <c r="AY244" s="1289"/>
      <c r="AZ244" s="1289"/>
      <c r="BA244" s="1289"/>
      <c r="BB244" s="1289"/>
      <c r="BC244" s="1289"/>
      <c r="BD244" s="1289"/>
      <c r="BE244" s="1289"/>
      <c r="BF244" s="1289"/>
      <c r="BG244" s="1289"/>
      <c r="BH244" s="1289"/>
      <c r="BI244" s="1289"/>
      <c r="BJ244" s="1289"/>
      <c r="BK244" s="1289"/>
      <c r="BL244" s="1945"/>
    </row>
    <row r="245" spans="1:77">
      <c r="A245" s="109"/>
      <c r="B245" s="1925"/>
      <c r="C245" s="1289"/>
      <c r="D245" s="1289"/>
      <c r="E245" s="1289"/>
      <c r="F245" s="1289"/>
      <c r="G245" s="1289"/>
      <c r="H245" s="1289"/>
      <c r="I245" s="1289"/>
      <c r="J245" s="1886"/>
      <c r="K245" s="1916"/>
      <c r="L245" s="1289"/>
      <c r="M245" s="1916"/>
      <c r="N245" s="1289"/>
      <c r="O245" s="1289"/>
      <c r="P245" s="1886"/>
      <c r="Q245" s="1916"/>
      <c r="R245" s="1289"/>
      <c r="S245" s="1289"/>
      <c r="T245" s="1886"/>
      <c r="U245" s="1916"/>
      <c r="V245" s="1289"/>
      <c r="W245" s="1886"/>
      <c r="X245" s="1916"/>
      <c r="Y245" s="1289"/>
      <c r="Z245" s="1289"/>
      <c r="AA245" s="1886"/>
      <c r="AB245" s="1931"/>
      <c r="AC245" s="1289"/>
      <c r="AD245" s="1289"/>
      <c r="AE245" s="1916"/>
      <c r="AF245" s="1289"/>
      <c r="AG245" s="1886"/>
      <c r="AH245" s="1916"/>
      <c r="AI245" s="1289"/>
      <c r="AJ245" s="1886"/>
      <c r="AK245" s="1916"/>
      <c r="AL245" s="1289"/>
      <c r="AM245" s="1289"/>
      <c r="AN245" s="1289"/>
      <c r="AO245" s="1886"/>
      <c r="AP245" s="1931"/>
      <c r="AQ245" s="1289"/>
      <c r="AR245" s="1289"/>
      <c r="AS245" s="1289"/>
      <c r="AT245" s="1289"/>
      <c r="AU245" s="1886"/>
      <c r="AV245" s="1959"/>
      <c r="AW245" s="1289"/>
      <c r="AX245" s="1289"/>
      <c r="AY245" s="1289"/>
      <c r="AZ245" s="1289"/>
      <c r="BA245" s="1289"/>
      <c r="BB245" s="1289"/>
      <c r="BC245" s="1289"/>
      <c r="BD245" s="1289"/>
      <c r="BE245" s="1289"/>
      <c r="BF245" s="1289"/>
      <c r="BG245" s="1289"/>
      <c r="BH245" s="1289"/>
      <c r="BI245" s="1289"/>
      <c r="BJ245" s="1289"/>
      <c r="BK245" s="1289"/>
      <c r="BL245" s="1948"/>
    </row>
    <row r="246" spans="1:77">
      <c r="A246" s="109"/>
      <c r="B246" s="1927"/>
      <c r="C246" s="1289"/>
      <c r="D246" s="1289"/>
      <c r="E246" s="1289"/>
      <c r="F246" s="1289"/>
      <c r="G246" s="1289"/>
      <c r="H246" s="1289"/>
      <c r="I246" s="1289"/>
      <c r="J246" s="1888"/>
      <c r="K246" s="1915"/>
      <c r="L246" s="1289"/>
      <c r="M246" s="1915"/>
      <c r="N246" s="1289"/>
      <c r="O246" s="1289"/>
      <c r="P246" s="1888"/>
      <c r="Q246" s="1915"/>
      <c r="R246" s="1289"/>
      <c r="S246" s="1289"/>
      <c r="T246" s="1888"/>
      <c r="U246" s="1915"/>
      <c r="V246" s="1289"/>
      <c r="W246" s="1888"/>
      <c r="X246" s="1915"/>
      <c r="Y246" s="1289"/>
      <c r="Z246" s="1289"/>
      <c r="AA246" s="1888"/>
      <c r="AB246" s="1932"/>
      <c r="AC246" s="1289"/>
      <c r="AD246" s="1289"/>
      <c r="AE246" s="1915"/>
      <c r="AF246" s="1289"/>
      <c r="AG246" s="1888"/>
      <c r="AH246" s="1915"/>
      <c r="AI246" s="1289"/>
      <c r="AJ246" s="1888"/>
      <c r="AK246" s="1915"/>
      <c r="AL246" s="1289"/>
      <c r="AM246" s="1289"/>
      <c r="AN246" s="1289"/>
      <c r="AO246" s="1888"/>
      <c r="AP246" s="1932"/>
      <c r="AQ246" s="1289"/>
      <c r="AR246" s="1289"/>
      <c r="AS246" s="1289"/>
      <c r="AT246" s="1289"/>
      <c r="AU246" s="1888"/>
      <c r="AV246" s="1951"/>
      <c r="AW246" s="1289"/>
      <c r="AX246" s="1289"/>
      <c r="AY246" s="1289"/>
      <c r="AZ246" s="1289"/>
      <c r="BA246" s="1289"/>
      <c r="BB246" s="1289"/>
      <c r="BC246" s="1289"/>
      <c r="BD246" s="1289"/>
      <c r="BE246" s="1289"/>
      <c r="BF246" s="1289"/>
      <c r="BG246" s="1289"/>
      <c r="BH246" s="1289"/>
      <c r="BI246" s="1289"/>
      <c r="BJ246" s="1289"/>
      <c r="BK246" s="1289"/>
      <c r="BL246" s="1945"/>
    </row>
    <row r="247" spans="1:77">
      <c r="A247" s="109"/>
      <c r="B247" s="1925"/>
      <c r="C247" s="1289"/>
      <c r="D247" s="1289"/>
      <c r="E247" s="1289"/>
      <c r="F247" s="1289"/>
      <c r="G247" s="1289"/>
      <c r="H247" s="1289"/>
      <c r="I247" s="1289"/>
      <c r="J247" s="1886"/>
      <c r="K247" s="1916"/>
      <c r="L247" s="1289"/>
      <c r="M247" s="1916"/>
      <c r="N247" s="1289"/>
      <c r="O247" s="1289"/>
      <c r="P247" s="1886"/>
      <c r="Q247" s="1916"/>
      <c r="R247" s="1289"/>
      <c r="S247" s="1289"/>
      <c r="T247" s="1886"/>
      <c r="U247" s="1916"/>
      <c r="V247" s="1289"/>
      <c r="W247" s="1886"/>
      <c r="X247" s="1916"/>
      <c r="Y247" s="1289"/>
      <c r="Z247" s="1289"/>
      <c r="AA247" s="1886"/>
      <c r="AB247" s="1931"/>
      <c r="AC247" s="1289"/>
      <c r="AD247" s="1289"/>
      <c r="AE247" s="1916"/>
      <c r="AF247" s="1289"/>
      <c r="AG247" s="1886"/>
      <c r="AH247" s="1916"/>
      <c r="AI247" s="1289"/>
      <c r="AJ247" s="1886"/>
      <c r="AK247" s="1916"/>
      <c r="AL247" s="1289"/>
      <c r="AM247" s="1289"/>
      <c r="AN247" s="1289"/>
      <c r="AO247" s="1886"/>
      <c r="AP247" s="1931"/>
      <c r="AQ247" s="1289"/>
      <c r="AR247" s="1289"/>
      <c r="AS247" s="1289"/>
      <c r="AT247" s="1289"/>
      <c r="AU247" s="1886"/>
      <c r="AV247" s="1959"/>
      <c r="AW247" s="1289"/>
      <c r="AX247" s="1289"/>
      <c r="AY247" s="1289"/>
      <c r="AZ247" s="1289"/>
      <c r="BA247" s="1289"/>
      <c r="BB247" s="1289"/>
      <c r="BC247" s="1289"/>
      <c r="BD247" s="1289"/>
      <c r="BE247" s="1289"/>
      <c r="BF247" s="1289"/>
      <c r="BG247" s="1289"/>
      <c r="BH247" s="1289"/>
      <c r="BI247" s="1289"/>
      <c r="BJ247" s="1289"/>
      <c r="BK247" s="1289"/>
      <c r="BL247" s="1948"/>
    </row>
    <row r="248" spans="1:77" ht="16.5" thickBot="1">
      <c r="A248" s="109"/>
      <c r="B248" s="1961"/>
      <c r="C248" s="1955"/>
      <c r="D248" s="1955"/>
      <c r="E248" s="1955"/>
      <c r="F248" s="1955"/>
      <c r="G248" s="1955"/>
      <c r="H248" s="1955"/>
      <c r="I248" s="1955"/>
      <c r="J248" s="1956"/>
      <c r="K248" s="1954"/>
      <c r="L248" s="1955"/>
      <c r="M248" s="1954"/>
      <c r="N248" s="1955"/>
      <c r="O248" s="1955"/>
      <c r="P248" s="1956"/>
      <c r="Q248" s="1954"/>
      <c r="R248" s="1955"/>
      <c r="S248" s="1955"/>
      <c r="T248" s="1956"/>
      <c r="U248" s="1954"/>
      <c r="V248" s="1955"/>
      <c r="W248" s="1956"/>
      <c r="X248" s="1954"/>
      <c r="Y248" s="1955"/>
      <c r="Z248" s="1955"/>
      <c r="AA248" s="1956"/>
      <c r="AB248" s="1960"/>
      <c r="AC248" s="1955"/>
      <c r="AD248" s="1955"/>
      <c r="AE248" s="1954"/>
      <c r="AF248" s="1955"/>
      <c r="AG248" s="1956"/>
      <c r="AH248" s="1954"/>
      <c r="AI248" s="1955"/>
      <c r="AJ248" s="1956"/>
      <c r="AK248" s="1954"/>
      <c r="AL248" s="1955"/>
      <c r="AM248" s="1955"/>
      <c r="AN248" s="1955"/>
      <c r="AO248" s="1956"/>
      <c r="AP248" s="1960"/>
      <c r="AQ248" s="1955"/>
      <c r="AR248" s="1955"/>
      <c r="AS248" s="1955"/>
      <c r="AT248" s="1955"/>
      <c r="AU248" s="1956"/>
      <c r="AV248" s="2071"/>
      <c r="AW248" s="1955"/>
      <c r="AX248" s="1955"/>
      <c r="AY248" s="1955"/>
      <c r="AZ248" s="1955"/>
      <c r="BA248" s="1955"/>
      <c r="BB248" s="1955"/>
      <c r="BC248" s="1955"/>
      <c r="BD248" s="1955"/>
      <c r="BE248" s="1955"/>
      <c r="BF248" s="1955"/>
      <c r="BG248" s="1955"/>
      <c r="BH248" s="1955"/>
      <c r="BI248" s="1955"/>
      <c r="BJ248" s="1955"/>
      <c r="BK248" s="1955"/>
      <c r="BL248" s="2072"/>
    </row>
    <row r="249" spans="1:77">
      <c r="A249" s="109"/>
      <c r="B249" s="1953"/>
      <c r="C249" s="1289"/>
      <c r="D249" s="1289"/>
      <c r="E249" s="1289"/>
      <c r="F249" s="1289"/>
      <c r="G249" s="1289"/>
      <c r="H249" s="1289"/>
      <c r="I249" s="1289"/>
      <c r="J249" s="1289"/>
      <c r="K249" s="1953"/>
      <c r="L249" s="1289"/>
      <c r="M249" s="1289"/>
      <c r="N249" s="1953"/>
      <c r="O249" s="1289"/>
      <c r="P249" s="1289"/>
      <c r="Q249" s="1953"/>
      <c r="R249" s="1289"/>
      <c r="S249" s="1289"/>
      <c r="T249" s="1289"/>
      <c r="U249" s="1953"/>
      <c r="V249" s="1289"/>
      <c r="W249" s="1289"/>
      <c r="X249" s="1953"/>
      <c r="Y249" s="1289"/>
      <c r="Z249" s="1289"/>
      <c r="AA249" s="1953"/>
      <c r="AB249" s="1289"/>
      <c r="AC249" s="1289"/>
      <c r="AD249" s="1289"/>
      <c r="AE249" s="1953"/>
      <c r="AF249" s="1289"/>
      <c r="AG249" s="1289"/>
      <c r="AH249" s="1953"/>
      <c r="AI249" s="1289"/>
      <c r="AJ249" s="1289"/>
      <c r="AK249" s="1953"/>
      <c r="AL249" s="1289"/>
      <c r="AM249" s="1289"/>
      <c r="AN249" s="1289"/>
      <c r="AO249" s="1289"/>
      <c r="AP249" s="1953"/>
      <c r="AQ249" s="1289"/>
      <c r="AR249" s="1289"/>
      <c r="AS249" s="1289"/>
      <c r="AT249" s="1289"/>
      <c r="AU249" s="1289"/>
      <c r="AV249" s="2070"/>
      <c r="AW249" s="1289"/>
      <c r="AX249" s="1289"/>
      <c r="AY249" s="1289"/>
      <c r="AZ249" s="1289"/>
      <c r="BA249" s="1289"/>
      <c r="BB249" s="1289"/>
      <c r="BC249" s="1289"/>
      <c r="BD249" s="1289"/>
      <c r="BE249" s="1289"/>
      <c r="BF249" s="1289"/>
      <c r="BG249" s="1289"/>
      <c r="BH249" s="1289"/>
      <c r="BI249" s="1289"/>
      <c r="BJ249" s="1289"/>
      <c r="BK249" s="1289"/>
      <c r="BL249" s="1289"/>
    </row>
    <row r="250" spans="1:77">
      <c r="A250" s="109"/>
      <c r="B250" s="1953"/>
      <c r="C250" s="1289"/>
      <c r="D250" s="1289"/>
      <c r="E250" s="1289"/>
      <c r="F250" s="1289"/>
      <c r="G250" s="1289"/>
      <c r="H250" s="1289"/>
      <c r="I250" s="1289"/>
      <c r="J250" s="1289"/>
      <c r="K250" s="1953"/>
      <c r="L250" s="1289"/>
      <c r="M250" s="1289"/>
      <c r="N250" s="1953"/>
      <c r="O250" s="1289"/>
      <c r="P250" s="1289"/>
      <c r="Q250" s="1953"/>
      <c r="R250" s="1289"/>
      <c r="S250" s="1289"/>
      <c r="T250" s="1289"/>
      <c r="U250" s="1953"/>
      <c r="V250" s="1289"/>
      <c r="W250" s="1289"/>
      <c r="X250" s="1953"/>
      <c r="Y250" s="1289"/>
      <c r="Z250" s="1289"/>
      <c r="AA250" s="1953"/>
      <c r="AB250" s="1289"/>
      <c r="AC250" s="1289"/>
      <c r="AD250" s="1289"/>
      <c r="AE250" s="1953"/>
      <c r="AF250" s="1289"/>
      <c r="AG250" s="1289"/>
      <c r="AH250" s="1953"/>
      <c r="AI250" s="1289"/>
      <c r="AJ250" s="1289"/>
      <c r="AK250" s="1953"/>
      <c r="AL250" s="1289"/>
      <c r="AM250" s="1289"/>
      <c r="AN250" s="1289"/>
      <c r="AO250" s="1289"/>
      <c r="AP250" s="1953"/>
      <c r="AQ250" s="1289"/>
      <c r="AR250" s="1289"/>
      <c r="AS250" s="1289"/>
      <c r="AT250" s="1289"/>
      <c r="AU250" s="1289"/>
      <c r="AV250" s="2070"/>
      <c r="AW250" s="1289"/>
      <c r="AX250" s="1289"/>
      <c r="AY250" s="1289"/>
      <c r="AZ250" s="1289"/>
      <c r="BA250" s="1289"/>
      <c r="BB250" s="1289"/>
      <c r="BC250" s="1289"/>
      <c r="BD250" s="1289"/>
      <c r="BE250" s="1289"/>
      <c r="BF250" s="1289"/>
      <c r="BG250" s="1289"/>
      <c r="BH250" s="1289"/>
      <c r="BI250" s="1289"/>
      <c r="BJ250" s="1289"/>
      <c r="BK250" s="1289"/>
      <c r="BL250" s="1289"/>
    </row>
    <row r="251" spans="1:77">
      <c r="A251" s="109"/>
      <c r="B251" s="1953"/>
      <c r="C251" s="1289"/>
      <c r="D251" s="1289"/>
      <c r="E251" s="1289"/>
      <c r="F251" s="1289"/>
      <c r="G251" s="1289"/>
      <c r="H251" s="1289"/>
      <c r="I251" s="1289"/>
      <c r="J251" s="1289"/>
      <c r="K251" s="1953"/>
      <c r="L251" s="1289"/>
      <c r="M251" s="1289"/>
      <c r="N251" s="1953"/>
      <c r="O251" s="1289"/>
      <c r="P251" s="1289"/>
      <c r="Q251" s="1953"/>
      <c r="R251" s="1289"/>
      <c r="S251" s="1289"/>
      <c r="T251" s="1289"/>
      <c r="U251" s="1953"/>
      <c r="V251" s="1289"/>
      <c r="W251" s="1289"/>
      <c r="X251" s="1953"/>
      <c r="Y251" s="1289"/>
      <c r="Z251" s="1289"/>
      <c r="AA251" s="1953"/>
      <c r="AB251" s="1289"/>
      <c r="AC251" s="1289"/>
      <c r="AD251" s="1289"/>
      <c r="AE251" s="1953"/>
      <c r="AF251" s="1289"/>
      <c r="AG251" s="1289"/>
      <c r="AH251" s="1953"/>
      <c r="AI251" s="1289"/>
      <c r="AJ251" s="1289"/>
      <c r="AK251" s="1953"/>
      <c r="AL251" s="1289"/>
      <c r="AM251" s="1289"/>
      <c r="AN251" s="1289"/>
      <c r="AO251" s="1289"/>
      <c r="AP251" s="1953"/>
      <c r="AQ251" s="1289"/>
      <c r="AR251" s="1289"/>
      <c r="AS251" s="1289"/>
      <c r="AT251" s="1289"/>
      <c r="AU251" s="1289"/>
      <c r="AV251" s="2070"/>
      <c r="AW251" s="1289"/>
      <c r="AX251" s="1289"/>
      <c r="AY251" s="1289"/>
      <c r="AZ251" s="1289"/>
      <c r="BA251" s="1289"/>
      <c r="BB251" s="1289"/>
      <c r="BC251" s="1289"/>
      <c r="BD251" s="1289"/>
      <c r="BE251" s="1289"/>
      <c r="BF251" s="1289"/>
      <c r="BG251" s="1289"/>
      <c r="BH251" s="1289"/>
      <c r="BI251" s="1289"/>
      <c r="BJ251" s="1289"/>
      <c r="BK251" s="1289"/>
      <c r="BL251" s="1289"/>
    </row>
    <row r="252" spans="1:77">
      <c r="A252" s="109"/>
      <c r="B252" s="109"/>
      <c r="C252" s="1953"/>
      <c r="D252" s="1289"/>
      <c r="E252" s="1289"/>
      <c r="F252" s="1289"/>
      <c r="G252" s="1289"/>
      <c r="H252" s="1289"/>
      <c r="I252" s="1289"/>
      <c r="J252" s="1289"/>
      <c r="K252" s="1289"/>
      <c r="L252" s="109"/>
      <c r="M252" s="109"/>
      <c r="N252" s="109"/>
      <c r="O252" s="109"/>
      <c r="P252" s="109"/>
      <c r="Q252" s="109"/>
      <c r="R252" s="109"/>
      <c r="S252" s="109"/>
      <c r="T252" s="109"/>
      <c r="U252" s="109"/>
      <c r="V252" s="109"/>
      <c r="W252" s="109"/>
      <c r="X252" s="109"/>
      <c r="Y252" s="109"/>
      <c r="Z252" s="109"/>
      <c r="AA252" s="109"/>
      <c r="AB252" s="109"/>
      <c r="AC252" s="109"/>
      <c r="AD252" s="109"/>
      <c r="AE252" s="109"/>
      <c r="AF252" s="109"/>
      <c r="AG252" s="109"/>
      <c r="AH252" s="109"/>
      <c r="AI252" s="109"/>
      <c r="AJ252" s="109"/>
      <c r="AK252" s="109"/>
      <c r="AL252" s="109"/>
      <c r="AM252" s="109"/>
      <c r="AN252" s="109"/>
      <c r="AO252" s="109"/>
      <c r="AP252" s="109"/>
      <c r="AQ252" s="109"/>
      <c r="AR252" s="109"/>
      <c r="AS252" s="109"/>
      <c r="AT252" s="108"/>
      <c r="AU252" s="108"/>
      <c r="AV252" s="108"/>
      <c r="AW252" s="2070"/>
      <c r="AX252" s="1289"/>
      <c r="AY252" s="1289"/>
      <c r="AZ252" s="1289"/>
      <c r="BA252" s="1289"/>
      <c r="BB252" s="1289"/>
      <c r="BC252" s="1289"/>
      <c r="BD252" s="1289"/>
      <c r="BE252" s="1289"/>
      <c r="BF252" s="1289"/>
      <c r="BG252" s="1289"/>
      <c r="BH252" s="1289"/>
      <c r="BI252" s="1289"/>
      <c r="BJ252" s="1289"/>
      <c r="BK252" s="1289"/>
      <c r="BL252" s="1289"/>
      <c r="BM252" s="1289"/>
      <c r="BN252" s="110"/>
      <c r="BO252" s="110"/>
      <c r="BP252" s="110"/>
      <c r="BQ252" s="110"/>
      <c r="BR252" s="110"/>
      <c r="BS252" s="110"/>
      <c r="BT252" s="110"/>
      <c r="BU252" s="110"/>
      <c r="BV252" s="110"/>
      <c r="BW252" s="110"/>
      <c r="BX252" s="110"/>
      <c r="BY252" s="110"/>
    </row>
    <row r="253" spans="1:77">
      <c r="A253" s="109"/>
      <c r="B253" s="109"/>
      <c r="C253" s="1953"/>
      <c r="D253" s="1289"/>
      <c r="E253" s="1289"/>
      <c r="F253" s="1289"/>
      <c r="G253" s="1289"/>
      <c r="H253" s="1289"/>
      <c r="I253" s="1289"/>
      <c r="J253" s="1289"/>
      <c r="K253" s="1289"/>
      <c r="L253" s="109"/>
      <c r="M253" s="109"/>
      <c r="N253" s="109"/>
      <c r="O253" s="109"/>
      <c r="P253" s="109"/>
      <c r="Q253" s="109"/>
      <c r="R253" s="109"/>
      <c r="S253" s="109"/>
      <c r="T253" s="109"/>
      <c r="U253" s="109"/>
      <c r="V253" s="109"/>
      <c r="W253" s="109"/>
      <c r="X253" s="109"/>
      <c r="Y253" s="109"/>
      <c r="Z253" s="109"/>
      <c r="AA253" s="109"/>
      <c r="AB253" s="109"/>
      <c r="AC253" s="109"/>
      <c r="AD253" s="109"/>
      <c r="AE253" s="109"/>
      <c r="AF253" s="109"/>
      <c r="AG253" s="109"/>
      <c r="AH253" s="109"/>
      <c r="AI253" s="109"/>
      <c r="AJ253" s="109"/>
      <c r="AK253" s="109"/>
      <c r="AL253" s="109"/>
      <c r="AM253" s="109"/>
      <c r="AN253" s="109"/>
      <c r="AO253" s="109"/>
      <c r="AP253" s="109"/>
      <c r="AQ253" s="109"/>
      <c r="AR253" s="109"/>
      <c r="AS253" s="109"/>
      <c r="AT253" s="108"/>
      <c r="AU253" s="108"/>
      <c r="AV253" s="108"/>
      <c r="AW253" s="2070"/>
      <c r="AX253" s="1289"/>
      <c r="AY253" s="1289"/>
      <c r="AZ253" s="1289"/>
      <c r="BA253" s="1289"/>
      <c r="BB253" s="1289"/>
      <c r="BC253" s="1289"/>
      <c r="BD253" s="1289"/>
      <c r="BE253" s="1289"/>
      <c r="BF253" s="1289"/>
      <c r="BG253" s="1289"/>
      <c r="BH253" s="1289"/>
      <c r="BI253" s="1289"/>
      <c r="BJ253" s="1289"/>
      <c r="BK253" s="1289"/>
      <c r="BL253" s="1289"/>
      <c r="BM253" s="1289"/>
      <c r="BN253" s="110"/>
      <c r="BO253" s="110"/>
      <c r="BP253" s="110"/>
      <c r="BQ253" s="110"/>
      <c r="BR253" s="110"/>
      <c r="BS253" s="110"/>
      <c r="BT253" s="110"/>
      <c r="BU253" s="110"/>
      <c r="BV253" s="110"/>
      <c r="BW253" s="110"/>
      <c r="BX253" s="110"/>
      <c r="BY253" s="110"/>
    </row>
    <row r="254" spans="1:77">
      <c r="A254" s="109"/>
      <c r="B254" s="109"/>
      <c r="C254" s="1953"/>
      <c r="D254" s="1289"/>
      <c r="E254" s="1289"/>
      <c r="F254" s="1289"/>
      <c r="G254" s="1289"/>
      <c r="H254" s="1289"/>
      <c r="I254" s="1289"/>
      <c r="J254" s="1289"/>
      <c r="K254" s="1289"/>
      <c r="L254" s="109"/>
      <c r="M254" s="109"/>
      <c r="N254" s="109"/>
      <c r="O254" s="109"/>
      <c r="P254" s="109"/>
      <c r="Q254" s="109"/>
      <c r="R254" s="109"/>
      <c r="S254" s="109"/>
      <c r="T254" s="109"/>
      <c r="U254" s="109"/>
      <c r="V254" s="109"/>
      <c r="W254" s="109"/>
      <c r="X254" s="109"/>
      <c r="Y254" s="109"/>
      <c r="Z254" s="109"/>
      <c r="AA254" s="109"/>
      <c r="AB254" s="109"/>
      <c r="AC254" s="109"/>
      <c r="AD254" s="109"/>
      <c r="AE254" s="109"/>
      <c r="AF254" s="109"/>
      <c r="AG254" s="109"/>
      <c r="AH254" s="109"/>
      <c r="AI254" s="109"/>
      <c r="AJ254" s="109"/>
      <c r="AK254" s="109"/>
      <c r="AL254" s="109"/>
      <c r="AM254" s="109"/>
      <c r="AN254" s="109"/>
      <c r="AO254" s="109"/>
      <c r="AP254" s="109"/>
      <c r="AQ254" s="109"/>
      <c r="AR254" s="109"/>
      <c r="AS254" s="109"/>
      <c r="AT254" s="108"/>
      <c r="AU254" s="108"/>
      <c r="AV254" s="108"/>
      <c r="AW254" s="2070"/>
      <c r="AX254" s="1289"/>
      <c r="AY254" s="1289"/>
      <c r="AZ254" s="1289"/>
      <c r="BA254" s="1289"/>
      <c r="BB254" s="1289"/>
      <c r="BC254" s="1289"/>
      <c r="BD254" s="1289"/>
      <c r="BE254" s="1289"/>
      <c r="BF254" s="1289"/>
      <c r="BG254" s="1289"/>
      <c r="BH254" s="1289"/>
      <c r="BI254" s="1289"/>
      <c r="BJ254" s="1289"/>
      <c r="BK254" s="1289"/>
      <c r="BL254" s="1289"/>
      <c r="BM254" s="1289"/>
      <c r="BN254" s="110"/>
      <c r="BO254" s="110"/>
      <c r="BP254" s="110"/>
      <c r="BQ254" s="110"/>
      <c r="BR254" s="110"/>
      <c r="BS254" s="110"/>
      <c r="BT254" s="110"/>
      <c r="BU254" s="110"/>
      <c r="BV254" s="110"/>
      <c r="BW254" s="110"/>
      <c r="BX254" s="110"/>
      <c r="BY254" s="110"/>
    </row>
    <row r="255" spans="1:77">
      <c r="A255" s="109"/>
      <c r="B255" s="109"/>
      <c r="C255" s="1953"/>
      <c r="D255" s="1289"/>
      <c r="E255" s="1289"/>
      <c r="F255" s="1289"/>
      <c r="G255" s="1289"/>
      <c r="H255" s="1289"/>
      <c r="I255" s="1289"/>
      <c r="J255" s="1289"/>
      <c r="K255" s="1289"/>
      <c r="L255" s="109"/>
      <c r="M255" s="109"/>
      <c r="N255" s="109"/>
      <c r="O255" s="109"/>
      <c r="P255" s="109"/>
      <c r="Q255" s="109"/>
      <c r="R255" s="109"/>
      <c r="S255" s="109"/>
      <c r="T255" s="109"/>
      <c r="U255" s="109"/>
      <c r="V255" s="109"/>
      <c r="W255" s="109"/>
      <c r="X255" s="109"/>
      <c r="Y255" s="109"/>
      <c r="Z255" s="109"/>
      <c r="AA255" s="109"/>
      <c r="AB255" s="109"/>
      <c r="AC255" s="109"/>
      <c r="AD255" s="109"/>
      <c r="AE255" s="109"/>
      <c r="AF255" s="109"/>
      <c r="AG255" s="109"/>
      <c r="AH255" s="109"/>
      <c r="AI255" s="109"/>
      <c r="AJ255" s="109"/>
      <c r="AK255" s="109"/>
      <c r="AL255" s="109"/>
      <c r="AM255" s="109"/>
      <c r="AN255" s="109"/>
      <c r="AO255" s="109"/>
      <c r="AP255" s="109"/>
      <c r="AQ255" s="109"/>
      <c r="AR255" s="109"/>
      <c r="AS255" s="109"/>
      <c r="AT255" s="108"/>
      <c r="AU255" s="108"/>
      <c r="AV255" s="108"/>
      <c r="AW255" s="2070"/>
      <c r="AX255" s="1289"/>
      <c r="AY255" s="1289"/>
      <c r="AZ255" s="1289"/>
      <c r="BA255" s="1289"/>
      <c r="BB255" s="1289"/>
      <c r="BC255" s="1289"/>
      <c r="BD255" s="1289"/>
      <c r="BE255" s="1289"/>
      <c r="BF255" s="1289"/>
      <c r="BG255" s="1289"/>
      <c r="BH255" s="1289"/>
      <c r="BI255" s="1289"/>
      <c r="BJ255" s="1289"/>
      <c r="BK255" s="1289"/>
      <c r="BL255" s="1289"/>
      <c r="BM255" s="1289"/>
      <c r="BN255" s="110"/>
      <c r="BO255" s="110"/>
      <c r="BP255" s="110"/>
      <c r="BQ255" s="110"/>
      <c r="BR255" s="110"/>
      <c r="BS255" s="110"/>
      <c r="BT255" s="110"/>
      <c r="BU255" s="110"/>
      <c r="BV255" s="110"/>
      <c r="BW255" s="110"/>
      <c r="BX255" s="110"/>
      <c r="BY255" s="110"/>
    </row>
    <row r="256" spans="1:77">
      <c r="A256" s="109"/>
      <c r="B256" s="109"/>
      <c r="C256" s="1953"/>
      <c r="D256" s="1289"/>
      <c r="E256" s="1289"/>
      <c r="F256" s="1289"/>
      <c r="G256" s="1289"/>
      <c r="H256" s="1289"/>
      <c r="I256" s="1289"/>
      <c r="J256" s="1289"/>
      <c r="K256" s="1289"/>
      <c r="L256" s="109"/>
      <c r="M256" s="109"/>
      <c r="N256" s="109"/>
      <c r="O256" s="109"/>
      <c r="P256" s="109"/>
      <c r="Q256" s="109"/>
      <c r="R256" s="109"/>
      <c r="S256" s="109"/>
      <c r="T256" s="109"/>
      <c r="U256" s="109"/>
      <c r="V256" s="109"/>
      <c r="W256" s="109"/>
      <c r="X256" s="109"/>
      <c r="Y256" s="109"/>
      <c r="Z256" s="109"/>
      <c r="AA256" s="109"/>
      <c r="AB256" s="109"/>
      <c r="AC256" s="109"/>
      <c r="AD256" s="109"/>
      <c r="AE256" s="109"/>
      <c r="AF256" s="109"/>
      <c r="AG256" s="109"/>
      <c r="AH256" s="109"/>
      <c r="AI256" s="109"/>
      <c r="AJ256" s="109"/>
      <c r="AK256" s="109"/>
      <c r="AL256" s="109"/>
      <c r="AM256" s="109"/>
      <c r="AN256" s="109"/>
      <c r="AO256" s="109"/>
      <c r="AP256" s="109"/>
      <c r="AQ256" s="109"/>
      <c r="AR256" s="109"/>
      <c r="AS256" s="109"/>
      <c r="AT256" s="108"/>
      <c r="AU256" s="108"/>
      <c r="AV256" s="108"/>
      <c r="AW256" s="2070"/>
      <c r="AX256" s="1289"/>
      <c r="AY256" s="1289"/>
      <c r="AZ256" s="1289"/>
      <c r="BA256" s="1289"/>
      <c r="BB256" s="1289"/>
      <c r="BC256" s="1289"/>
      <c r="BD256" s="1289"/>
      <c r="BE256" s="1289"/>
      <c r="BF256" s="1289"/>
      <c r="BG256" s="1289"/>
      <c r="BH256" s="1289"/>
      <c r="BI256" s="1289"/>
      <c r="BJ256" s="1289"/>
      <c r="BK256" s="1289"/>
      <c r="BL256" s="1289"/>
      <c r="BM256" s="1289"/>
      <c r="BN256" s="110"/>
      <c r="BO256" s="110"/>
      <c r="BP256" s="110"/>
      <c r="BQ256" s="110"/>
      <c r="BR256" s="110"/>
      <c r="BS256" s="110"/>
      <c r="BT256" s="110"/>
      <c r="BU256" s="110"/>
      <c r="BV256" s="110"/>
      <c r="BW256" s="110"/>
      <c r="BX256" s="110"/>
      <c r="BY256" s="110"/>
    </row>
    <row r="257" spans="1:77">
      <c r="A257" s="109"/>
      <c r="B257" s="109"/>
      <c r="C257" s="1953"/>
      <c r="D257" s="1289"/>
      <c r="E257" s="1289"/>
      <c r="F257" s="1289"/>
      <c r="G257" s="1289"/>
      <c r="H257" s="1289"/>
      <c r="I257" s="1289"/>
      <c r="J257" s="1289"/>
      <c r="K257" s="1289"/>
      <c r="L257" s="109"/>
      <c r="M257" s="109"/>
      <c r="N257" s="109"/>
      <c r="O257" s="109"/>
      <c r="P257" s="109"/>
      <c r="Q257" s="109"/>
      <c r="R257" s="109"/>
      <c r="S257" s="109"/>
      <c r="T257" s="109"/>
      <c r="U257" s="109"/>
      <c r="V257" s="109"/>
      <c r="W257" s="109"/>
      <c r="X257" s="109"/>
      <c r="Y257" s="109"/>
      <c r="Z257" s="109"/>
      <c r="AA257" s="109"/>
      <c r="AB257" s="109"/>
      <c r="AC257" s="109"/>
      <c r="AD257" s="109"/>
      <c r="AE257" s="109"/>
      <c r="AF257" s="109"/>
      <c r="AG257" s="109"/>
      <c r="AH257" s="109"/>
      <c r="AI257" s="109"/>
      <c r="AJ257" s="109"/>
      <c r="AK257" s="109"/>
      <c r="AL257" s="109"/>
      <c r="AM257" s="109"/>
      <c r="AN257" s="109"/>
      <c r="AO257" s="109"/>
      <c r="AP257" s="109"/>
      <c r="AQ257" s="109"/>
      <c r="AR257" s="109"/>
      <c r="AS257" s="109"/>
      <c r="AT257" s="108"/>
      <c r="AU257" s="108"/>
      <c r="AV257" s="108"/>
      <c r="AW257" s="2070"/>
      <c r="AX257" s="1289"/>
      <c r="AY257" s="1289"/>
      <c r="AZ257" s="1289"/>
      <c r="BA257" s="1289"/>
      <c r="BB257" s="1289"/>
      <c r="BC257" s="1289"/>
      <c r="BD257" s="1289"/>
      <c r="BE257" s="1289"/>
      <c r="BF257" s="1289"/>
      <c r="BG257" s="1289"/>
      <c r="BH257" s="1289"/>
      <c r="BI257" s="1289"/>
      <c r="BJ257" s="1289"/>
      <c r="BK257" s="1289"/>
      <c r="BL257" s="1289"/>
      <c r="BM257" s="1289"/>
      <c r="BN257" s="110"/>
      <c r="BO257" s="110"/>
      <c r="BP257" s="110"/>
      <c r="BQ257" s="110"/>
      <c r="BR257" s="110"/>
      <c r="BS257" s="110"/>
      <c r="BT257" s="110"/>
      <c r="BU257" s="110"/>
      <c r="BV257" s="110"/>
      <c r="BW257" s="110"/>
      <c r="BX257" s="110"/>
      <c r="BY257" s="110"/>
    </row>
    <row r="258" spans="1:77">
      <c r="A258" s="109"/>
      <c r="B258" s="109"/>
      <c r="C258" s="1953"/>
      <c r="D258" s="1289"/>
      <c r="E258" s="1289"/>
      <c r="F258" s="1289"/>
      <c r="G258" s="1289"/>
      <c r="H258" s="1289"/>
      <c r="I258" s="1289"/>
      <c r="J258" s="1289"/>
      <c r="K258" s="1289"/>
      <c r="L258" s="109"/>
      <c r="M258" s="109"/>
      <c r="N258" s="109"/>
      <c r="O258" s="109"/>
      <c r="P258" s="109"/>
      <c r="Q258" s="109"/>
      <c r="R258" s="109"/>
      <c r="S258" s="109"/>
      <c r="T258" s="109"/>
      <c r="U258" s="109"/>
      <c r="V258" s="109"/>
      <c r="W258" s="109"/>
      <c r="X258" s="109"/>
      <c r="Y258" s="109"/>
      <c r="Z258" s="109"/>
      <c r="AA258" s="109"/>
      <c r="AB258" s="109"/>
      <c r="AC258" s="109"/>
      <c r="AD258" s="109"/>
      <c r="AE258" s="109"/>
      <c r="AF258" s="109"/>
      <c r="AG258" s="109"/>
      <c r="AH258" s="109"/>
      <c r="AI258" s="109"/>
      <c r="AJ258" s="109"/>
      <c r="AK258" s="109"/>
      <c r="AL258" s="109"/>
      <c r="AM258" s="109"/>
      <c r="AN258" s="109"/>
      <c r="AO258" s="109"/>
      <c r="AP258" s="109"/>
      <c r="AQ258" s="109"/>
      <c r="AR258" s="109"/>
      <c r="AS258" s="109"/>
      <c r="AT258" s="108"/>
      <c r="AU258" s="108"/>
      <c r="AV258" s="108"/>
      <c r="AW258" s="2070"/>
      <c r="AX258" s="1289"/>
      <c r="AY258" s="1289"/>
      <c r="AZ258" s="1289"/>
      <c r="BA258" s="1289"/>
      <c r="BB258" s="1289"/>
      <c r="BC258" s="1289"/>
      <c r="BD258" s="1289"/>
      <c r="BE258" s="1289"/>
      <c r="BF258" s="1289"/>
      <c r="BG258" s="1289"/>
      <c r="BH258" s="1289"/>
      <c r="BI258" s="1289"/>
      <c r="BJ258" s="1289"/>
      <c r="BK258" s="1289"/>
      <c r="BL258" s="1289"/>
      <c r="BM258" s="1289"/>
      <c r="BN258" s="110"/>
      <c r="BO258" s="110"/>
      <c r="BP258" s="110"/>
      <c r="BQ258" s="110"/>
      <c r="BR258" s="110"/>
      <c r="BS258" s="110"/>
      <c r="BT258" s="110"/>
      <c r="BU258" s="110"/>
      <c r="BV258" s="110"/>
      <c r="BW258" s="110"/>
      <c r="BX258" s="110"/>
      <c r="BY258" s="110"/>
    </row>
    <row r="259" spans="1:77">
      <c r="A259" s="109"/>
      <c r="B259" s="109"/>
      <c r="C259" s="1953"/>
      <c r="D259" s="1289"/>
      <c r="E259" s="1289"/>
      <c r="F259" s="1289"/>
      <c r="G259" s="1289"/>
      <c r="H259" s="1289"/>
      <c r="I259" s="1289"/>
      <c r="J259" s="1289"/>
      <c r="K259" s="1289"/>
      <c r="L259" s="109"/>
      <c r="M259" s="109"/>
      <c r="N259" s="109"/>
      <c r="O259" s="109"/>
      <c r="P259" s="109"/>
      <c r="Q259" s="109"/>
      <c r="R259" s="109"/>
      <c r="S259" s="109"/>
      <c r="T259" s="109"/>
      <c r="U259" s="109"/>
      <c r="V259" s="109"/>
      <c r="W259" s="109"/>
      <c r="X259" s="109"/>
      <c r="Y259" s="109"/>
      <c r="Z259" s="109"/>
      <c r="AA259" s="109"/>
      <c r="AB259" s="109"/>
      <c r="AC259" s="109"/>
      <c r="AD259" s="109"/>
      <c r="AE259" s="109"/>
      <c r="AF259" s="109"/>
      <c r="AG259" s="109"/>
      <c r="AH259" s="109"/>
      <c r="AI259" s="109"/>
      <c r="AJ259" s="109"/>
      <c r="AK259" s="109"/>
      <c r="AL259" s="109"/>
      <c r="AM259" s="109"/>
      <c r="AN259" s="109"/>
      <c r="AO259" s="109"/>
      <c r="AP259" s="109"/>
      <c r="AQ259" s="109"/>
      <c r="AR259" s="109"/>
      <c r="AS259" s="109"/>
      <c r="AT259" s="108"/>
      <c r="AU259" s="108"/>
      <c r="AV259" s="108"/>
      <c r="AW259" s="2070"/>
      <c r="AX259" s="1289"/>
      <c r="AY259" s="1289"/>
      <c r="AZ259" s="1289"/>
      <c r="BA259" s="1289"/>
      <c r="BB259" s="1289"/>
      <c r="BC259" s="1289"/>
      <c r="BD259" s="1289"/>
      <c r="BE259" s="1289"/>
      <c r="BF259" s="1289"/>
      <c r="BG259" s="1289"/>
      <c r="BH259" s="1289"/>
      <c r="BI259" s="1289"/>
      <c r="BJ259" s="1289"/>
      <c r="BK259" s="1289"/>
      <c r="BL259" s="1289"/>
      <c r="BM259" s="1289"/>
      <c r="BN259" s="110"/>
      <c r="BO259" s="110"/>
      <c r="BP259" s="110"/>
      <c r="BQ259" s="110"/>
      <c r="BR259" s="110"/>
      <c r="BS259" s="110"/>
      <c r="BT259" s="110"/>
      <c r="BU259" s="110"/>
      <c r="BV259" s="110"/>
      <c r="BW259" s="110"/>
      <c r="BX259" s="110"/>
      <c r="BY259" s="110"/>
    </row>
    <row r="260" spans="1:77">
      <c r="A260" s="109"/>
      <c r="B260" s="109"/>
      <c r="C260" s="1953"/>
      <c r="D260" s="1289"/>
      <c r="E260" s="1289"/>
      <c r="F260" s="1289"/>
      <c r="G260" s="1289"/>
      <c r="H260" s="1289"/>
      <c r="I260" s="1289"/>
      <c r="J260" s="1289"/>
      <c r="K260" s="1289"/>
      <c r="L260" s="109"/>
      <c r="M260" s="109"/>
      <c r="N260" s="109"/>
      <c r="O260" s="109"/>
      <c r="P260" s="109"/>
      <c r="Q260" s="109"/>
      <c r="R260" s="109"/>
      <c r="S260" s="109"/>
      <c r="T260" s="109"/>
      <c r="U260" s="109"/>
      <c r="V260" s="109"/>
      <c r="W260" s="109"/>
      <c r="X260" s="109"/>
      <c r="Y260" s="109"/>
      <c r="Z260" s="109"/>
      <c r="AA260" s="109"/>
      <c r="AB260" s="109"/>
      <c r="AC260" s="109"/>
      <c r="AD260" s="109"/>
      <c r="AE260" s="109"/>
      <c r="AF260" s="109"/>
      <c r="AG260" s="109"/>
      <c r="AH260" s="109"/>
      <c r="AI260" s="109"/>
      <c r="AJ260" s="109"/>
      <c r="AK260" s="109"/>
      <c r="AL260" s="109"/>
      <c r="AM260" s="109"/>
      <c r="AN260" s="109"/>
      <c r="AO260" s="109"/>
      <c r="AP260" s="109"/>
      <c r="AQ260" s="109"/>
      <c r="AR260" s="109"/>
      <c r="AS260" s="109"/>
      <c r="AT260" s="108"/>
      <c r="AU260" s="108"/>
      <c r="AV260" s="108"/>
      <c r="AW260" s="2070"/>
      <c r="AX260" s="1289"/>
      <c r="AY260" s="1289"/>
      <c r="AZ260" s="1289"/>
      <c r="BA260" s="1289"/>
      <c r="BB260" s="1289"/>
      <c r="BC260" s="1289"/>
      <c r="BD260" s="1289"/>
      <c r="BE260" s="1289"/>
      <c r="BF260" s="1289"/>
      <c r="BG260" s="1289"/>
      <c r="BH260" s="1289"/>
      <c r="BI260" s="1289"/>
      <c r="BJ260" s="1289"/>
      <c r="BK260" s="1289"/>
      <c r="BL260" s="1289"/>
      <c r="BM260" s="1289"/>
      <c r="BN260" s="110"/>
      <c r="BO260" s="110"/>
      <c r="BP260" s="110"/>
      <c r="BQ260" s="110"/>
      <c r="BR260" s="110"/>
      <c r="BS260" s="110"/>
      <c r="BT260" s="110"/>
      <c r="BU260" s="110"/>
      <c r="BV260" s="110"/>
      <c r="BW260" s="110"/>
      <c r="BX260" s="110"/>
      <c r="BY260" s="110"/>
    </row>
    <row r="261" spans="1:77">
      <c r="A261" s="109"/>
      <c r="B261" s="109"/>
      <c r="C261" s="1953"/>
      <c r="D261" s="1289"/>
      <c r="E261" s="1289"/>
      <c r="F261" s="1289"/>
      <c r="G261" s="1289"/>
      <c r="H261" s="1289"/>
      <c r="I261" s="1289"/>
      <c r="J261" s="1289"/>
      <c r="K261" s="1289"/>
      <c r="L261" s="109"/>
      <c r="M261" s="109"/>
      <c r="N261" s="109"/>
      <c r="O261" s="109"/>
      <c r="P261" s="109"/>
      <c r="Q261" s="109"/>
      <c r="R261" s="109"/>
      <c r="S261" s="109"/>
      <c r="T261" s="109"/>
      <c r="U261" s="109"/>
      <c r="V261" s="109"/>
      <c r="W261" s="109"/>
      <c r="X261" s="109"/>
      <c r="Y261" s="109"/>
      <c r="Z261" s="109"/>
      <c r="AA261" s="109"/>
      <c r="AB261" s="109"/>
      <c r="AC261" s="109"/>
      <c r="AD261" s="109"/>
      <c r="AE261" s="109"/>
      <c r="AF261" s="109"/>
      <c r="AG261" s="109"/>
      <c r="AH261" s="109"/>
      <c r="AI261" s="109"/>
      <c r="AJ261" s="109"/>
      <c r="AK261" s="109"/>
      <c r="AL261" s="109"/>
      <c r="AM261" s="109"/>
      <c r="AN261" s="109"/>
      <c r="AO261" s="109"/>
      <c r="AP261" s="109"/>
      <c r="AQ261" s="109"/>
      <c r="AR261" s="109"/>
      <c r="AS261" s="109"/>
      <c r="AT261" s="108"/>
      <c r="AU261" s="108"/>
      <c r="AV261" s="108"/>
      <c r="AW261" s="2070"/>
      <c r="AX261" s="1289"/>
      <c r="AY261" s="1289"/>
      <c r="AZ261" s="1289"/>
      <c r="BA261" s="1289"/>
      <c r="BB261" s="1289"/>
      <c r="BC261" s="1289"/>
      <c r="BD261" s="1289"/>
      <c r="BE261" s="1289"/>
      <c r="BF261" s="1289"/>
      <c r="BG261" s="1289"/>
      <c r="BH261" s="1289"/>
      <c r="BI261" s="1289"/>
      <c r="BJ261" s="1289"/>
      <c r="BK261" s="1289"/>
      <c r="BL261" s="1289"/>
      <c r="BM261" s="1289"/>
      <c r="BN261" s="110"/>
      <c r="BO261" s="110"/>
      <c r="BP261" s="110"/>
      <c r="BQ261" s="110"/>
      <c r="BR261" s="110"/>
      <c r="BS261" s="110"/>
      <c r="BT261" s="110"/>
      <c r="BU261" s="110"/>
      <c r="BV261" s="110"/>
      <c r="BW261" s="110"/>
      <c r="BX261" s="110"/>
      <c r="BY261" s="110"/>
    </row>
    <row r="262" spans="1:77">
      <c r="A262" s="109"/>
      <c r="B262" s="109"/>
      <c r="C262" s="1953"/>
      <c r="D262" s="1289"/>
      <c r="E262" s="1289"/>
      <c r="F262" s="1289"/>
      <c r="G262" s="1289"/>
      <c r="H262" s="1289"/>
      <c r="I262" s="1289"/>
      <c r="J262" s="1289"/>
      <c r="K262" s="1289"/>
      <c r="L262" s="109"/>
      <c r="M262" s="109"/>
      <c r="N262" s="109"/>
      <c r="O262" s="109"/>
      <c r="P262" s="109"/>
      <c r="Q262" s="109"/>
      <c r="R262" s="109"/>
      <c r="S262" s="109"/>
      <c r="T262" s="109"/>
      <c r="U262" s="109"/>
      <c r="V262" s="109"/>
      <c r="W262" s="109"/>
      <c r="X262" s="109"/>
      <c r="Y262" s="109"/>
      <c r="Z262" s="109"/>
      <c r="AA262" s="109"/>
      <c r="AB262" s="109"/>
      <c r="AC262" s="109"/>
      <c r="AD262" s="109"/>
      <c r="AE262" s="109"/>
      <c r="AF262" s="109"/>
      <c r="AG262" s="109"/>
      <c r="AH262" s="109"/>
      <c r="AI262" s="109"/>
      <c r="AJ262" s="109"/>
      <c r="AK262" s="109"/>
      <c r="AL262" s="109"/>
      <c r="AM262" s="109"/>
      <c r="AN262" s="109"/>
      <c r="AO262" s="109"/>
      <c r="AP262" s="109"/>
      <c r="AQ262" s="109"/>
      <c r="AR262" s="109"/>
      <c r="AS262" s="109"/>
      <c r="AT262" s="108"/>
      <c r="AU262" s="108"/>
      <c r="AV262" s="108"/>
      <c r="AW262" s="2070"/>
      <c r="AX262" s="1289"/>
      <c r="AY262" s="1289"/>
      <c r="AZ262" s="1289"/>
      <c r="BA262" s="1289"/>
      <c r="BB262" s="1289"/>
      <c r="BC262" s="1289"/>
      <c r="BD262" s="1289"/>
      <c r="BE262" s="1289"/>
      <c r="BF262" s="1289"/>
      <c r="BG262" s="1289"/>
      <c r="BH262" s="1289"/>
      <c r="BI262" s="1289"/>
      <c r="BJ262" s="1289"/>
      <c r="BK262" s="1289"/>
      <c r="BL262" s="1289"/>
      <c r="BM262" s="1289"/>
      <c r="BN262" s="110"/>
      <c r="BO262" s="110"/>
      <c r="BP262" s="110"/>
      <c r="BQ262" s="110"/>
      <c r="BR262" s="110"/>
      <c r="BS262" s="110"/>
      <c r="BT262" s="110"/>
      <c r="BU262" s="110"/>
      <c r="BV262" s="110"/>
      <c r="BW262" s="110"/>
      <c r="BX262" s="110"/>
      <c r="BY262" s="110"/>
    </row>
    <row r="263" spans="1:77">
      <c r="A263" s="109"/>
      <c r="B263" s="109"/>
      <c r="C263" s="1953"/>
      <c r="D263" s="1289"/>
      <c r="E263" s="1289"/>
      <c r="F263" s="1289"/>
      <c r="G263" s="1289"/>
      <c r="H263" s="1289"/>
      <c r="I263" s="1289"/>
      <c r="J263" s="1289"/>
      <c r="K263" s="1289"/>
      <c r="L263" s="109"/>
      <c r="M263" s="109"/>
      <c r="N263" s="109"/>
      <c r="O263" s="109"/>
      <c r="P263" s="109"/>
      <c r="Q263" s="109"/>
      <c r="R263" s="109"/>
      <c r="S263" s="109"/>
      <c r="T263" s="109"/>
      <c r="U263" s="109"/>
      <c r="V263" s="109"/>
      <c r="W263" s="109"/>
      <c r="X263" s="109"/>
      <c r="Y263" s="109"/>
      <c r="Z263" s="109"/>
      <c r="AA263" s="109"/>
      <c r="AB263" s="109"/>
      <c r="AC263" s="109"/>
      <c r="AD263" s="109"/>
      <c r="AE263" s="109"/>
      <c r="AF263" s="109"/>
      <c r="AG263" s="109"/>
      <c r="AH263" s="109"/>
      <c r="AI263" s="109"/>
      <c r="AJ263" s="109"/>
      <c r="AK263" s="109"/>
      <c r="AL263" s="109"/>
      <c r="AM263" s="109"/>
      <c r="AN263" s="109"/>
      <c r="AO263" s="109"/>
      <c r="AP263" s="109"/>
      <c r="AQ263" s="109"/>
      <c r="AR263" s="109"/>
      <c r="AS263" s="109"/>
      <c r="AT263" s="108"/>
      <c r="AU263" s="108"/>
      <c r="AV263" s="108"/>
      <c r="AW263" s="2070"/>
      <c r="AX263" s="1289"/>
      <c r="AY263" s="1289"/>
      <c r="AZ263" s="1289"/>
      <c r="BA263" s="1289"/>
      <c r="BB263" s="1289"/>
      <c r="BC263" s="1289"/>
      <c r="BD263" s="1289"/>
      <c r="BE263" s="1289"/>
      <c r="BF263" s="1289"/>
      <c r="BG263" s="1289"/>
      <c r="BH263" s="1289"/>
      <c r="BI263" s="1289"/>
      <c r="BJ263" s="1289"/>
      <c r="BK263" s="1289"/>
      <c r="BL263" s="1289"/>
      <c r="BM263" s="1289"/>
      <c r="BN263" s="110"/>
      <c r="BO263" s="110"/>
      <c r="BP263" s="110"/>
      <c r="BQ263" s="110"/>
      <c r="BR263" s="110"/>
      <c r="BS263" s="110"/>
      <c r="BT263" s="110"/>
      <c r="BU263" s="110"/>
      <c r="BV263" s="110"/>
      <c r="BW263" s="110"/>
      <c r="BX263" s="110"/>
      <c r="BY263" s="110"/>
    </row>
    <row r="264" spans="1:77">
      <c r="A264" s="109"/>
      <c r="B264" s="109"/>
      <c r="C264" s="1953"/>
      <c r="D264" s="1289"/>
      <c r="E264" s="1289"/>
      <c r="F264" s="1289"/>
      <c r="G264" s="1289"/>
      <c r="H264" s="1289"/>
      <c r="I264" s="1289"/>
      <c r="J264" s="1289"/>
      <c r="K264" s="1289"/>
      <c r="L264" s="109"/>
      <c r="M264" s="109"/>
      <c r="N264" s="109"/>
      <c r="O264" s="109"/>
      <c r="P264" s="109"/>
      <c r="Q264" s="109"/>
      <c r="R264" s="109"/>
      <c r="S264" s="109"/>
      <c r="T264" s="109"/>
      <c r="U264" s="109"/>
      <c r="V264" s="109"/>
      <c r="W264" s="109"/>
      <c r="X264" s="109"/>
      <c r="Y264" s="109"/>
      <c r="Z264" s="109"/>
      <c r="AA264" s="109"/>
      <c r="AB264" s="109"/>
      <c r="AC264" s="109"/>
      <c r="AD264" s="109"/>
      <c r="AE264" s="109"/>
      <c r="AF264" s="109"/>
      <c r="AG264" s="109"/>
      <c r="AH264" s="109"/>
      <c r="AI264" s="109"/>
      <c r="AJ264" s="109"/>
      <c r="AK264" s="109"/>
      <c r="AL264" s="109"/>
      <c r="AM264" s="109"/>
      <c r="AN264" s="109"/>
      <c r="AO264" s="109"/>
      <c r="AP264" s="109"/>
      <c r="AQ264" s="109"/>
      <c r="AR264" s="109"/>
      <c r="AS264" s="109"/>
      <c r="AT264" s="108"/>
      <c r="AU264" s="108"/>
      <c r="AV264" s="108"/>
      <c r="AW264" s="2070"/>
      <c r="AX264" s="1289"/>
      <c r="AY264" s="1289"/>
      <c r="AZ264" s="1289"/>
      <c r="BA264" s="1289"/>
      <c r="BB264" s="1289"/>
      <c r="BC264" s="1289"/>
      <c r="BD264" s="1289"/>
      <c r="BE264" s="1289"/>
      <c r="BF264" s="1289"/>
      <c r="BG264" s="1289"/>
      <c r="BH264" s="1289"/>
      <c r="BI264" s="1289"/>
      <c r="BJ264" s="1289"/>
      <c r="BK264" s="1289"/>
      <c r="BL264" s="1289"/>
      <c r="BM264" s="1289"/>
      <c r="BN264" s="110"/>
      <c r="BO264" s="110"/>
      <c r="BP264" s="110"/>
      <c r="BQ264" s="110"/>
      <c r="BR264" s="110"/>
      <c r="BS264" s="110"/>
      <c r="BT264" s="110"/>
      <c r="BU264" s="110"/>
      <c r="BV264" s="110"/>
      <c r="BW264" s="110"/>
      <c r="BX264" s="110"/>
      <c r="BY264" s="110"/>
    </row>
    <row r="265" spans="1:77">
      <c r="A265" s="109"/>
      <c r="B265" s="109"/>
      <c r="C265" s="1953"/>
      <c r="D265" s="1289"/>
      <c r="E265" s="1289"/>
      <c r="F265" s="1289"/>
      <c r="G265" s="1289"/>
      <c r="H265" s="1289"/>
      <c r="I265" s="1289"/>
      <c r="J265" s="1289"/>
      <c r="K265" s="1289"/>
      <c r="L265" s="109"/>
      <c r="M265" s="109"/>
      <c r="N265" s="109"/>
      <c r="O265" s="109"/>
      <c r="P265" s="109"/>
      <c r="Q265" s="109"/>
      <c r="R265" s="109"/>
      <c r="S265" s="109"/>
      <c r="T265" s="109"/>
      <c r="U265" s="109"/>
      <c r="V265" s="109"/>
      <c r="W265" s="109"/>
      <c r="X265" s="109"/>
      <c r="Y265" s="109"/>
      <c r="Z265" s="109"/>
      <c r="AA265" s="109"/>
      <c r="AB265" s="109"/>
      <c r="AC265" s="109"/>
      <c r="AD265" s="109"/>
      <c r="AE265" s="109"/>
      <c r="AF265" s="109"/>
      <c r="AG265" s="109"/>
      <c r="AH265" s="109"/>
      <c r="AI265" s="109"/>
      <c r="AJ265" s="109"/>
      <c r="AK265" s="109"/>
      <c r="AL265" s="109"/>
      <c r="AM265" s="109"/>
      <c r="AN265" s="109"/>
      <c r="AO265" s="109"/>
      <c r="AP265" s="109"/>
      <c r="AQ265" s="109"/>
      <c r="AR265" s="109"/>
      <c r="AS265" s="109"/>
      <c r="AT265" s="108"/>
      <c r="AU265" s="108"/>
      <c r="AV265" s="108"/>
      <c r="AW265" s="2070"/>
      <c r="AX265" s="1289"/>
      <c r="AY265" s="1289"/>
      <c r="AZ265" s="1289"/>
      <c r="BA265" s="1289"/>
      <c r="BB265" s="1289"/>
      <c r="BC265" s="1289"/>
      <c r="BD265" s="1289"/>
      <c r="BE265" s="1289"/>
      <c r="BF265" s="1289"/>
      <c r="BG265" s="1289"/>
      <c r="BH265" s="1289"/>
      <c r="BI265" s="1289"/>
      <c r="BJ265" s="1289"/>
      <c r="BK265" s="1289"/>
      <c r="BL265" s="1289"/>
      <c r="BM265" s="1289"/>
      <c r="BN265" s="110"/>
      <c r="BO265" s="110"/>
      <c r="BP265" s="110"/>
      <c r="BQ265" s="110"/>
      <c r="BR265" s="110"/>
      <c r="BS265" s="110"/>
      <c r="BT265" s="110"/>
      <c r="BU265" s="110"/>
      <c r="BV265" s="110"/>
      <c r="BW265" s="110"/>
      <c r="BX265" s="110"/>
      <c r="BY265" s="110"/>
    </row>
    <row r="266" spans="1:77">
      <c r="A266" s="109"/>
      <c r="B266" s="109"/>
      <c r="C266" s="1953"/>
      <c r="D266" s="1289"/>
      <c r="E266" s="1289"/>
      <c r="F266" s="1289"/>
      <c r="G266" s="1289"/>
      <c r="H266" s="1289"/>
      <c r="I266" s="1289"/>
      <c r="J266" s="1289"/>
      <c r="K266" s="1289"/>
      <c r="L266" s="109"/>
      <c r="M266" s="109"/>
      <c r="N266" s="109"/>
      <c r="O266" s="109"/>
      <c r="P266" s="109"/>
      <c r="Q266" s="109"/>
      <c r="R266" s="109"/>
      <c r="S266" s="109"/>
      <c r="T266" s="109"/>
      <c r="U266" s="109"/>
      <c r="V266" s="109"/>
      <c r="W266" s="109"/>
      <c r="X266" s="109"/>
      <c r="Y266" s="109"/>
      <c r="Z266" s="109"/>
      <c r="AA266" s="109"/>
      <c r="AB266" s="109"/>
      <c r="AC266" s="109"/>
      <c r="AD266" s="109"/>
      <c r="AE266" s="109"/>
      <c r="AF266" s="109"/>
      <c r="AG266" s="109"/>
      <c r="AH266" s="109"/>
      <c r="AI266" s="109"/>
      <c r="AJ266" s="109"/>
      <c r="AK266" s="109"/>
      <c r="AL266" s="109"/>
      <c r="AM266" s="109"/>
      <c r="AN266" s="109"/>
      <c r="AO266" s="109"/>
      <c r="AP266" s="109"/>
      <c r="AQ266" s="109"/>
      <c r="AR266" s="109"/>
      <c r="AS266" s="109"/>
      <c r="AT266" s="108"/>
      <c r="AU266" s="108"/>
      <c r="AV266" s="108"/>
      <c r="AW266" s="2070"/>
      <c r="AX266" s="1289"/>
      <c r="AY266" s="1289"/>
      <c r="AZ266" s="1289"/>
      <c r="BA266" s="1289"/>
      <c r="BB266" s="1289"/>
      <c r="BC266" s="1289"/>
      <c r="BD266" s="1289"/>
      <c r="BE266" s="1289"/>
      <c r="BF266" s="1289"/>
      <c r="BG266" s="1289"/>
      <c r="BH266" s="1289"/>
      <c r="BI266" s="1289"/>
      <c r="BJ266" s="1289"/>
      <c r="BK266" s="1289"/>
      <c r="BL266" s="1289"/>
      <c r="BM266" s="1289"/>
      <c r="BN266" s="110"/>
      <c r="BO266" s="110"/>
      <c r="BP266" s="110"/>
      <c r="BQ266" s="110"/>
      <c r="BR266" s="110"/>
      <c r="BS266" s="110"/>
      <c r="BT266" s="110"/>
      <c r="BU266" s="110"/>
      <c r="BV266" s="110"/>
      <c r="BW266" s="110"/>
      <c r="BX266" s="110"/>
      <c r="BY266" s="110"/>
    </row>
    <row r="267" spans="1:77">
      <c r="A267" s="109"/>
      <c r="B267" s="109"/>
      <c r="C267" s="1953"/>
      <c r="D267" s="1289"/>
      <c r="E267" s="1289"/>
      <c r="F267" s="1289"/>
      <c r="G267" s="1289"/>
      <c r="H267" s="1289"/>
      <c r="I267" s="1289"/>
      <c r="J267" s="1289"/>
      <c r="K267" s="1289"/>
      <c r="L267" s="109"/>
      <c r="M267" s="109"/>
      <c r="N267" s="109"/>
      <c r="O267" s="109"/>
      <c r="P267" s="109"/>
      <c r="Q267" s="109"/>
      <c r="R267" s="109"/>
      <c r="S267" s="109"/>
      <c r="T267" s="109"/>
      <c r="U267" s="109"/>
      <c r="V267" s="109"/>
      <c r="W267" s="109"/>
      <c r="X267" s="109"/>
      <c r="Y267" s="109"/>
      <c r="Z267" s="109"/>
      <c r="AA267" s="109"/>
      <c r="AB267" s="109"/>
      <c r="AC267" s="109"/>
      <c r="AD267" s="109"/>
      <c r="AE267" s="109"/>
      <c r="AF267" s="109"/>
      <c r="AG267" s="109"/>
      <c r="AH267" s="109"/>
      <c r="AI267" s="109"/>
      <c r="AJ267" s="109"/>
      <c r="AK267" s="109"/>
      <c r="AL267" s="109"/>
      <c r="AM267" s="109"/>
      <c r="AN267" s="109"/>
      <c r="AO267" s="109"/>
      <c r="AP267" s="109"/>
      <c r="AQ267" s="109"/>
      <c r="AR267" s="109"/>
      <c r="AS267" s="109"/>
      <c r="AT267" s="108"/>
      <c r="AU267" s="108"/>
      <c r="AV267" s="108"/>
      <c r="AW267" s="2070"/>
      <c r="AX267" s="1289"/>
      <c r="AY267" s="1289"/>
      <c r="AZ267" s="1289"/>
      <c r="BA267" s="1289"/>
      <c r="BB267" s="1289"/>
      <c r="BC267" s="1289"/>
      <c r="BD267" s="1289"/>
      <c r="BE267" s="1289"/>
      <c r="BF267" s="1289"/>
      <c r="BG267" s="1289"/>
      <c r="BH267" s="1289"/>
      <c r="BI267" s="1289"/>
      <c r="BJ267" s="1289"/>
      <c r="BK267" s="1289"/>
      <c r="BL267" s="1289"/>
      <c r="BM267" s="1289"/>
      <c r="BN267" s="110"/>
      <c r="BO267" s="110"/>
      <c r="BP267" s="110"/>
      <c r="BQ267" s="110"/>
      <c r="BR267" s="110"/>
      <c r="BS267" s="110"/>
      <c r="BT267" s="110"/>
      <c r="BU267" s="110"/>
      <c r="BV267" s="110"/>
      <c r="BW267" s="110"/>
      <c r="BX267" s="110"/>
      <c r="BY267" s="110"/>
    </row>
    <row r="268" spans="1:77">
      <c r="A268" s="109"/>
      <c r="B268" s="109"/>
      <c r="C268" s="1953"/>
      <c r="D268" s="1289"/>
      <c r="E268" s="1289"/>
      <c r="F268" s="1289"/>
      <c r="G268" s="1289"/>
      <c r="H268" s="1289"/>
      <c r="I268" s="1289"/>
      <c r="J268" s="1289"/>
      <c r="K268" s="1289"/>
      <c r="L268" s="109"/>
      <c r="M268" s="109"/>
      <c r="N268" s="109"/>
      <c r="O268" s="109"/>
      <c r="P268" s="109"/>
      <c r="Q268" s="109"/>
      <c r="R268" s="109"/>
      <c r="S268" s="109"/>
      <c r="T268" s="109"/>
      <c r="U268" s="109"/>
      <c r="V268" s="109"/>
      <c r="W268" s="109"/>
      <c r="X268" s="109"/>
      <c r="Y268" s="109"/>
      <c r="Z268" s="109"/>
      <c r="AA268" s="109"/>
      <c r="AB268" s="109"/>
      <c r="AC268" s="109"/>
      <c r="AD268" s="109"/>
      <c r="AE268" s="109"/>
      <c r="AF268" s="109"/>
      <c r="AG268" s="109"/>
      <c r="AH268" s="109"/>
      <c r="AI268" s="109"/>
      <c r="AJ268" s="109"/>
      <c r="AK268" s="109"/>
      <c r="AL268" s="109"/>
      <c r="AM268" s="109"/>
      <c r="AN268" s="109"/>
      <c r="AO268" s="109"/>
      <c r="AP268" s="109"/>
      <c r="AQ268" s="109"/>
      <c r="AR268" s="109"/>
      <c r="AS268" s="109"/>
      <c r="AT268" s="108"/>
      <c r="AU268" s="108"/>
      <c r="AV268" s="108"/>
      <c r="AW268" s="2070"/>
      <c r="AX268" s="1289"/>
      <c r="AY268" s="1289"/>
      <c r="AZ268" s="1289"/>
      <c r="BA268" s="1289"/>
      <c r="BB268" s="1289"/>
      <c r="BC268" s="1289"/>
      <c r="BD268" s="1289"/>
      <c r="BE268" s="1289"/>
      <c r="BF268" s="1289"/>
      <c r="BG268" s="1289"/>
      <c r="BH268" s="1289"/>
      <c r="BI268" s="1289"/>
      <c r="BJ268" s="1289"/>
      <c r="BK268" s="1289"/>
      <c r="BL268" s="1289"/>
      <c r="BM268" s="1289"/>
      <c r="BN268" s="110"/>
      <c r="BO268" s="110"/>
      <c r="BP268" s="110"/>
      <c r="BQ268" s="110"/>
      <c r="BR268" s="110"/>
      <c r="BS268" s="110"/>
      <c r="BT268" s="110"/>
      <c r="BU268" s="110"/>
      <c r="BV268" s="110"/>
      <c r="BW268" s="110"/>
      <c r="BX268" s="110"/>
      <c r="BY268" s="110"/>
    </row>
    <row r="269" spans="1:77">
      <c r="A269" s="109"/>
      <c r="B269" s="109"/>
      <c r="C269" s="1953"/>
      <c r="D269" s="1289"/>
      <c r="E269" s="1289"/>
      <c r="F269" s="1289"/>
      <c r="G269" s="1289"/>
      <c r="H269" s="1289"/>
      <c r="I269" s="1289"/>
      <c r="J269" s="1289"/>
      <c r="K269" s="1289"/>
      <c r="L269" s="109"/>
      <c r="M269" s="109"/>
      <c r="N269" s="109"/>
      <c r="O269" s="109"/>
      <c r="P269" s="109"/>
      <c r="Q269" s="109"/>
      <c r="R269" s="109"/>
      <c r="S269" s="109"/>
      <c r="T269" s="109"/>
      <c r="U269" s="109"/>
      <c r="V269" s="109"/>
      <c r="W269" s="109"/>
      <c r="X269" s="109"/>
      <c r="Y269" s="109"/>
      <c r="Z269" s="109"/>
      <c r="AA269" s="109"/>
      <c r="AB269" s="109"/>
      <c r="AC269" s="109"/>
      <c r="AD269" s="109"/>
      <c r="AE269" s="109"/>
      <c r="AF269" s="109"/>
      <c r="AG269" s="109"/>
      <c r="AH269" s="109"/>
      <c r="AI269" s="109"/>
      <c r="AJ269" s="109"/>
      <c r="AK269" s="109"/>
      <c r="AL269" s="109"/>
      <c r="AM269" s="109"/>
      <c r="AN269" s="109"/>
      <c r="AO269" s="109"/>
      <c r="AP269" s="109"/>
      <c r="AQ269" s="109"/>
      <c r="AR269" s="109"/>
      <c r="AS269" s="109"/>
      <c r="AT269" s="108"/>
      <c r="AU269" s="108"/>
      <c r="AV269" s="108"/>
      <c r="AW269" s="2070"/>
      <c r="AX269" s="1289"/>
      <c r="AY269" s="1289"/>
      <c r="AZ269" s="1289"/>
      <c r="BA269" s="1289"/>
      <c r="BB269" s="1289"/>
      <c r="BC269" s="1289"/>
      <c r="BD269" s="1289"/>
      <c r="BE269" s="1289"/>
      <c r="BF269" s="1289"/>
      <c r="BG269" s="1289"/>
      <c r="BH269" s="1289"/>
      <c r="BI269" s="1289"/>
      <c r="BJ269" s="1289"/>
      <c r="BK269" s="1289"/>
      <c r="BL269" s="1289"/>
      <c r="BM269" s="1289"/>
      <c r="BN269" s="110"/>
      <c r="BO269" s="110"/>
      <c r="BP269" s="110"/>
      <c r="BQ269" s="110"/>
      <c r="BR269" s="110"/>
      <c r="BS269" s="110"/>
      <c r="BT269" s="110"/>
      <c r="BU269" s="110"/>
      <c r="BV269" s="110"/>
      <c r="BW269" s="110"/>
      <c r="BX269" s="110"/>
      <c r="BY269" s="110"/>
    </row>
    <row r="270" spans="1:77">
      <c r="A270" s="109"/>
      <c r="B270" s="109"/>
      <c r="C270" s="1953"/>
      <c r="D270" s="1289"/>
      <c r="E270" s="1289"/>
      <c r="F270" s="1289"/>
      <c r="G270" s="1289"/>
      <c r="H270" s="1289"/>
      <c r="I270" s="1289"/>
      <c r="J270" s="1289"/>
      <c r="K270" s="1289"/>
      <c r="L270" s="109"/>
      <c r="M270" s="109"/>
      <c r="N270" s="109"/>
      <c r="O270" s="109"/>
      <c r="P270" s="109"/>
      <c r="Q270" s="109"/>
      <c r="R270" s="109"/>
      <c r="S270" s="109"/>
      <c r="T270" s="109"/>
      <c r="U270" s="109"/>
      <c r="V270" s="109"/>
      <c r="W270" s="109"/>
      <c r="X270" s="109"/>
      <c r="Y270" s="109"/>
      <c r="Z270" s="109"/>
      <c r="AA270" s="109"/>
      <c r="AB270" s="109"/>
      <c r="AC270" s="109"/>
      <c r="AD270" s="109"/>
      <c r="AE270" s="109"/>
      <c r="AF270" s="109"/>
      <c r="AG270" s="109"/>
      <c r="AH270" s="109"/>
      <c r="AI270" s="109"/>
      <c r="AJ270" s="109"/>
      <c r="AK270" s="109"/>
      <c r="AL270" s="109"/>
      <c r="AM270" s="109"/>
      <c r="AN270" s="109"/>
      <c r="AO270" s="109"/>
      <c r="AP270" s="109"/>
      <c r="AQ270" s="109"/>
      <c r="AR270" s="109"/>
      <c r="AS270" s="109"/>
      <c r="AT270" s="108"/>
      <c r="AU270" s="108"/>
      <c r="AV270" s="108"/>
      <c r="AW270" s="2070"/>
      <c r="AX270" s="1289"/>
      <c r="AY270" s="1289"/>
      <c r="AZ270" s="1289"/>
      <c r="BA270" s="1289"/>
      <c r="BB270" s="1289"/>
      <c r="BC270" s="1289"/>
      <c r="BD270" s="1289"/>
      <c r="BE270" s="1289"/>
      <c r="BF270" s="1289"/>
      <c r="BG270" s="1289"/>
      <c r="BH270" s="1289"/>
      <c r="BI270" s="1289"/>
      <c r="BJ270" s="1289"/>
      <c r="BK270" s="1289"/>
      <c r="BL270" s="1289"/>
      <c r="BM270" s="1289"/>
      <c r="BN270" s="110"/>
      <c r="BO270" s="110"/>
      <c r="BP270" s="110"/>
      <c r="BQ270" s="110"/>
      <c r="BR270" s="110"/>
      <c r="BS270" s="110"/>
      <c r="BT270" s="110"/>
      <c r="BU270" s="110"/>
      <c r="BV270" s="110"/>
      <c r="BW270" s="110"/>
      <c r="BX270" s="110"/>
      <c r="BY270" s="110"/>
    </row>
    <row r="271" spans="1:77">
      <c r="A271" s="109"/>
      <c r="B271" s="109"/>
      <c r="C271" s="1953"/>
      <c r="D271" s="1289"/>
      <c r="E271" s="1289"/>
      <c r="F271" s="1289"/>
      <c r="G271" s="1289"/>
      <c r="H271" s="1289"/>
      <c r="I271" s="1289"/>
      <c r="J271" s="1289"/>
      <c r="K271" s="1289"/>
      <c r="L271" s="109"/>
      <c r="M271" s="109"/>
      <c r="N271" s="109"/>
      <c r="O271" s="109"/>
      <c r="P271" s="109"/>
      <c r="Q271" s="109"/>
      <c r="R271" s="109"/>
      <c r="S271" s="109"/>
      <c r="T271" s="109"/>
      <c r="U271" s="109"/>
      <c r="V271" s="109"/>
      <c r="W271" s="109"/>
      <c r="X271" s="109"/>
      <c r="Y271" s="109"/>
      <c r="Z271" s="109"/>
      <c r="AA271" s="109"/>
      <c r="AB271" s="109"/>
      <c r="AC271" s="109"/>
      <c r="AD271" s="109"/>
      <c r="AE271" s="109"/>
      <c r="AF271" s="109"/>
      <c r="AG271" s="109"/>
      <c r="AH271" s="109"/>
      <c r="AI271" s="109"/>
      <c r="AJ271" s="109"/>
      <c r="AK271" s="109"/>
      <c r="AL271" s="109"/>
      <c r="AM271" s="109"/>
      <c r="AN271" s="109"/>
      <c r="AO271" s="109"/>
      <c r="AP271" s="109"/>
      <c r="AQ271" s="109"/>
      <c r="AR271" s="109"/>
      <c r="AS271" s="109"/>
      <c r="AT271" s="108"/>
      <c r="AU271" s="108"/>
      <c r="AV271" s="108"/>
      <c r="AW271" s="2070"/>
      <c r="AX271" s="1289"/>
      <c r="AY271" s="1289"/>
      <c r="AZ271" s="1289"/>
      <c r="BA271" s="1289"/>
      <c r="BB271" s="1289"/>
      <c r="BC271" s="1289"/>
      <c r="BD271" s="1289"/>
      <c r="BE271" s="1289"/>
      <c r="BF271" s="1289"/>
      <c r="BG271" s="1289"/>
      <c r="BH271" s="1289"/>
      <c r="BI271" s="1289"/>
      <c r="BJ271" s="1289"/>
      <c r="BK271" s="1289"/>
      <c r="BL271" s="1289"/>
      <c r="BM271" s="1289"/>
      <c r="BN271" s="110"/>
      <c r="BO271" s="110"/>
      <c r="BP271" s="110"/>
      <c r="BQ271" s="110"/>
      <c r="BR271" s="110"/>
      <c r="BS271" s="110"/>
      <c r="BT271" s="110"/>
      <c r="BU271" s="110"/>
      <c r="BV271" s="110"/>
      <c r="BW271" s="110"/>
      <c r="BX271" s="110"/>
      <c r="BY271" s="110"/>
    </row>
    <row r="272" spans="1:77">
      <c r="A272" s="109"/>
      <c r="B272" s="109"/>
      <c r="C272" s="1953"/>
      <c r="D272" s="1289"/>
      <c r="E272" s="1289"/>
      <c r="F272" s="1289"/>
      <c r="G272" s="1289"/>
      <c r="H272" s="1289"/>
      <c r="I272" s="1289"/>
      <c r="J272" s="1289"/>
      <c r="K272" s="1289"/>
      <c r="L272" s="109"/>
      <c r="M272" s="109"/>
      <c r="N272" s="109"/>
      <c r="O272" s="109"/>
      <c r="P272" s="109"/>
      <c r="Q272" s="109"/>
      <c r="R272" s="109"/>
      <c r="S272" s="109"/>
      <c r="T272" s="109"/>
      <c r="U272" s="109"/>
      <c r="V272" s="109"/>
      <c r="W272" s="109"/>
      <c r="X272" s="109"/>
      <c r="Y272" s="109"/>
      <c r="Z272" s="109"/>
      <c r="AA272" s="109"/>
      <c r="AB272" s="109"/>
      <c r="AC272" s="109"/>
      <c r="AD272" s="109"/>
      <c r="AE272" s="109"/>
      <c r="AF272" s="109"/>
      <c r="AG272" s="109"/>
      <c r="AH272" s="109"/>
      <c r="AI272" s="109"/>
      <c r="AJ272" s="109"/>
      <c r="AK272" s="109"/>
      <c r="AL272" s="109"/>
      <c r="AM272" s="109"/>
      <c r="AN272" s="109"/>
      <c r="AO272" s="109"/>
      <c r="AP272" s="109"/>
      <c r="AQ272" s="109"/>
      <c r="AR272" s="109"/>
      <c r="AS272" s="109"/>
      <c r="AT272" s="108"/>
      <c r="AU272" s="108"/>
      <c r="AV272" s="108"/>
      <c r="AW272" s="2070"/>
      <c r="AX272" s="1289"/>
      <c r="AY272" s="1289"/>
      <c r="AZ272" s="1289"/>
      <c r="BA272" s="1289"/>
      <c r="BB272" s="1289"/>
      <c r="BC272" s="1289"/>
      <c r="BD272" s="1289"/>
      <c r="BE272" s="1289"/>
      <c r="BF272" s="1289"/>
      <c r="BG272" s="1289"/>
      <c r="BH272" s="1289"/>
      <c r="BI272" s="1289"/>
      <c r="BJ272" s="1289"/>
      <c r="BK272" s="1289"/>
      <c r="BL272" s="1289"/>
      <c r="BM272" s="1289"/>
      <c r="BN272" s="110"/>
      <c r="BO272" s="110"/>
      <c r="BP272" s="110"/>
      <c r="BQ272" s="110"/>
      <c r="BR272" s="110"/>
      <c r="BS272" s="110"/>
      <c r="BT272" s="110"/>
      <c r="BU272" s="110"/>
      <c r="BV272" s="110"/>
      <c r="BW272" s="110"/>
      <c r="BX272" s="110"/>
      <c r="BY272" s="110"/>
    </row>
    <row r="273" spans="1:77">
      <c r="A273" s="109"/>
      <c r="B273" s="109"/>
      <c r="C273" s="1953"/>
      <c r="D273" s="1289"/>
      <c r="E273" s="1289"/>
      <c r="F273" s="1289"/>
      <c r="G273" s="1289"/>
      <c r="H273" s="1289"/>
      <c r="I273" s="1289"/>
      <c r="J273" s="1289"/>
      <c r="K273" s="1289"/>
      <c r="L273" s="109"/>
      <c r="M273" s="109"/>
      <c r="N273" s="109"/>
      <c r="O273" s="109"/>
      <c r="P273" s="109"/>
      <c r="Q273" s="109"/>
      <c r="R273" s="109"/>
      <c r="S273" s="109"/>
      <c r="T273" s="109"/>
      <c r="U273" s="109"/>
      <c r="V273" s="109"/>
      <c r="W273" s="109"/>
      <c r="X273" s="109"/>
      <c r="Y273" s="109"/>
      <c r="Z273" s="109"/>
      <c r="AA273" s="109"/>
      <c r="AB273" s="109"/>
      <c r="AC273" s="109"/>
      <c r="AD273" s="109"/>
      <c r="AE273" s="109"/>
      <c r="AF273" s="109"/>
      <c r="AG273" s="109"/>
      <c r="AH273" s="109"/>
      <c r="AI273" s="109"/>
      <c r="AJ273" s="109"/>
      <c r="AK273" s="109"/>
      <c r="AL273" s="109"/>
      <c r="AM273" s="109"/>
      <c r="AN273" s="109"/>
      <c r="AO273" s="109"/>
      <c r="AP273" s="109"/>
      <c r="AQ273" s="109"/>
      <c r="AR273" s="109"/>
      <c r="AS273" s="109"/>
      <c r="AT273" s="108"/>
      <c r="AU273" s="108"/>
      <c r="AV273" s="108"/>
      <c r="AW273" s="2070"/>
      <c r="AX273" s="1289"/>
      <c r="AY273" s="1289"/>
      <c r="AZ273" s="1289"/>
      <c r="BA273" s="1289"/>
      <c r="BB273" s="1289"/>
      <c r="BC273" s="1289"/>
      <c r="BD273" s="1289"/>
      <c r="BE273" s="1289"/>
      <c r="BF273" s="1289"/>
      <c r="BG273" s="1289"/>
      <c r="BH273" s="1289"/>
      <c r="BI273" s="1289"/>
      <c r="BJ273" s="1289"/>
      <c r="BK273" s="1289"/>
      <c r="BL273" s="1289"/>
      <c r="BM273" s="1289"/>
      <c r="BN273" s="110"/>
      <c r="BO273" s="110"/>
      <c r="BP273" s="110"/>
      <c r="BQ273" s="110"/>
      <c r="BR273" s="110"/>
      <c r="BS273" s="110"/>
      <c r="BT273" s="110"/>
      <c r="BU273" s="110"/>
      <c r="BV273" s="110"/>
      <c r="BW273" s="110"/>
      <c r="BX273" s="110"/>
      <c r="BY273" s="110"/>
    </row>
    <row r="274" spans="1:77">
      <c r="A274" s="109"/>
      <c r="B274" s="109"/>
      <c r="C274" s="1953"/>
      <c r="D274" s="1289"/>
      <c r="E274" s="1289"/>
      <c r="F274" s="1289"/>
      <c r="G274" s="1289"/>
      <c r="H274" s="1289"/>
      <c r="I274" s="1289"/>
      <c r="J274" s="1289"/>
      <c r="K274" s="1289"/>
      <c r="L274" s="109"/>
      <c r="M274" s="109"/>
      <c r="N274" s="109"/>
      <c r="O274" s="109"/>
      <c r="P274" s="109"/>
      <c r="Q274" s="109"/>
      <c r="R274" s="109"/>
      <c r="S274" s="109"/>
      <c r="T274" s="109"/>
      <c r="U274" s="109"/>
      <c r="V274" s="109"/>
      <c r="W274" s="109"/>
      <c r="X274" s="109"/>
      <c r="Y274" s="109"/>
      <c r="Z274" s="109"/>
      <c r="AA274" s="109"/>
      <c r="AB274" s="109"/>
      <c r="AC274" s="109"/>
      <c r="AD274" s="109"/>
      <c r="AE274" s="109"/>
      <c r="AF274" s="109"/>
      <c r="AG274" s="109"/>
      <c r="AH274" s="109"/>
      <c r="AI274" s="109"/>
      <c r="AJ274" s="109"/>
      <c r="AK274" s="109"/>
      <c r="AL274" s="109"/>
      <c r="AM274" s="109"/>
      <c r="AN274" s="109"/>
      <c r="AO274" s="109"/>
      <c r="AP274" s="109"/>
      <c r="AQ274" s="109"/>
      <c r="AR274" s="109"/>
      <c r="AS274" s="109"/>
      <c r="AT274" s="108"/>
      <c r="AU274" s="108"/>
      <c r="AV274" s="108"/>
      <c r="AW274" s="2070"/>
      <c r="AX274" s="1289"/>
      <c r="AY274" s="1289"/>
      <c r="AZ274" s="1289"/>
      <c r="BA274" s="1289"/>
      <c r="BB274" s="1289"/>
      <c r="BC274" s="1289"/>
      <c r="BD274" s="1289"/>
      <c r="BE274" s="1289"/>
      <c r="BF274" s="1289"/>
      <c r="BG274" s="1289"/>
      <c r="BH274" s="1289"/>
      <c r="BI274" s="1289"/>
      <c r="BJ274" s="1289"/>
      <c r="BK274" s="1289"/>
      <c r="BL274" s="1289"/>
      <c r="BM274" s="1289"/>
      <c r="BN274" s="110"/>
      <c r="BO274" s="110"/>
      <c r="BP274" s="110"/>
      <c r="BQ274" s="110"/>
      <c r="BR274" s="110"/>
      <c r="BS274" s="110"/>
      <c r="BT274" s="110"/>
      <c r="BU274" s="110"/>
      <c r="BV274" s="110"/>
      <c r="BW274" s="110"/>
      <c r="BX274" s="110"/>
      <c r="BY274" s="110"/>
    </row>
    <row r="275" spans="1:77">
      <c r="A275" s="109"/>
      <c r="B275" s="109"/>
      <c r="C275" s="1953"/>
      <c r="D275" s="1289"/>
      <c r="E275" s="1289"/>
      <c r="F275" s="1289"/>
      <c r="G275" s="1289"/>
      <c r="H275" s="1289"/>
      <c r="I275" s="1289"/>
      <c r="J275" s="1289"/>
      <c r="K275" s="1289"/>
      <c r="L275" s="109"/>
      <c r="M275" s="109"/>
      <c r="N275" s="109"/>
      <c r="O275" s="109"/>
      <c r="P275" s="109"/>
      <c r="Q275" s="109"/>
      <c r="R275" s="109"/>
      <c r="S275" s="109"/>
      <c r="T275" s="109"/>
      <c r="U275" s="109"/>
      <c r="V275" s="109"/>
      <c r="W275" s="109"/>
      <c r="X275" s="109"/>
      <c r="Y275" s="109"/>
      <c r="Z275" s="109"/>
      <c r="AA275" s="109"/>
      <c r="AB275" s="109"/>
      <c r="AC275" s="109"/>
      <c r="AD275" s="109"/>
      <c r="AE275" s="109"/>
      <c r="AF275" s="109"/>
      <c r="AG275" s="109"/>
      <c r="AH275" s="109"/>
      <c r="AI275" s="109"/>
      <c r="AJ275" s="109"/>
      <c r="AK275" s="109"/>
      <c r="AL275" s="109"/>
      <c r="AM275" s="109"/>
      <c r="AN275" s="109"/>
      <c r="AO275" s="109"/>
      <c r="AP275" s="109"/>
      <c r="AQ275" s="109"/>
      <c r="AR275" s="109"/>
      <c r="AS275" s="109"/>
      <c r="AT275" s="108"/>
      <c r="AU275" s="108"/>
      <c r="AV275" s="108"/>
      <c r="AW275" s="2070"/>
      <c r="AX275" s="1289"/>
      <c r="AY275" s="1289"/>
      <c r="AZ275" s="1289"/>
      <c r="BA275" s="1289"/>
      <c r="BB275" s="1289"/>
      <c r="BC275" s="1289"/>
      <c r="BD275" s="1289"/>
      <c r="BE275" s="1289"/>
      <c r="BF275" s="1289"/>
      <c r="BG275" s="1289"/>
      <c r="BH275" s="1289"/>
      <c r="BI275" s="1289"/>
      <c r="BJ275" s="1289"/>
      <c r="BK275" s="1289"/>
      <c r="BL275" s="1289"/>
      <c r="BM275" s="1289"/>
      <c r="BN275" s="110"/>
      <c r="BO275" s="110"/>
      <c r="BP275" s="110"/>
      <c r="BQ275" s="110"/>
      <c r="BR275" s="110"/>
      <c r="BS275" s="110"/>
      <c r="BT275" s="110"/>
      <c r="BU275" s="110"/>
      <c r="BV275" s="110"/>
      <c r="BW275" s="110"/>
      <c r="BX275" s="110"/>
      <c r="BY275" s="110"/>
    </row>
    <row r="276" spans="1:77">
      <c r="A276" s="109"/>
      <c r="B276" s="109"/>
      <c r="C276" s="1953"/>
      <c r="D276" s="1289"/>
      <c r="E276" s="1289"/>
      <c r="F276" s="1289"/>
      <c r="G276" s="1289"/>
      <c r="H276" s="1289"/>
      <c r="I276" s="1289"/>
      <c r="J276" s="1289"/>
      <c r="K276" s="1289"/>
      <c r="L276" s="109"/>
      <c r="M276" s="109"/>
      <c r="N276" s="109"/>
      <c r="O276" s="109"/>
      <c r="P276" s="109"/>
      <c r="Q276" s="109"/>
      <c r="R276" s="109"/>
      <c r="S276" s="109"/>
      <c r="T276" s="109"/>
      <c r="U276" s="109"/>
      <c r="V276" s="109"/>
      <c r="W276" s="109"/>
      <c r="X276" s="109"/>
      <c r="Y276" s="109"/>
      <c r="Z276" s="109"/>
      <c r="AA276" s="109"/>
      <c r="AB276" s="109"/>
      <c r="AC276" s="109"/>
      <c r="AD276" s="109"/>
      <c r="AE276" s="109"/>
      <c r="AF276" s="109"/>
      <c r="AG276" s="109"/>
      <c r="AH276" s="109"/>
      <c r="AI276" s="109"/>
      <c r="AJ276" s="109"/>
      <c r="AK276" s="109"/>
      <c r="AL276" s="109"/>
      <c r="AM276" s="109"/>
      <c r="AN276" s="109"/>
      <c r="AO276" s="109"/>
      <c r="AP276" s="109"/>
      <c r="AQ276" s="109"/>
      <c r="AR276" s="109"/>
      <c r="AS276" s="109"/>
      <c r="AT276" s="108"/>
      <c r="AU276" s="108"/>
      <c r="AV276" s="108"/>
      <c r="AW276" s="2070"/>
      <c r="AX276" s="1289"/>
      <c r="AY276" s="1289"/>
      <c r="AZ276" s="1289"/>
      <c r="BA276" s="1289"/>
      <c r="BB276" s="1289"/>
      <c r="BC276" s="1289"/>
      <c r="BD276" s="1289"/>
      <c r="BE276" s="1289"/>
      <c r="BF276" s="1289"/>
      <c r="BG276" s="1289"/>
      <c r="BH276" s="1289"/>
      <c r="BI276" s="1289"/>
      <c r="BJ276" s="1289"/>
      <c r="BK276" s="1289"/>
      <c r="BL276" s="1289"/>
      <c r="BM276" s="1289"/>
      <c r="BN276" s="110"/>
      <c r="BO276" s="110"/>
      <c r="BP276" s="110"/>
      <c r="BQ276" s="110"/>
      <c r="BR276" s="110"/>
      <c r="BS276" s="110"/>
      <c r="BT276" s="110"/>
      <c r="BU276" s="110"/>
      <c r="BV276" s="110"/>
      <c r="BW276" s="110"/>
      <c r="BX276" s="110"/>
      <c r="BY276" s="110"/>
    </row>
    <row r="277" spans="1:77">
      <c r="A277" s="109"/>
      <c r="B277" s="109"/>
      <c r="C277" s="1953"/>
      <c r="D277" s="1289"/>
      <c r="E277" s="1289"/>
      <c r="F277" s="1289"/>
      <c r="G277" s="1289"/>
      <c r="H277" s="1289"/>
      <c r="I277" s="1289"/>
      <c r="J277" s="1289"/>
      <c r="K277" s="1289"/>
      <c r="L277" s="109"/>
      <c r="M277" s="109"/>
      <c r="N277" s="109"/>
      <c r="O277" s="109"/>
      <c r="P277" s="109"/>
      <c r="Q277" s="109"/>
      <c r="R277" s="109"/>
      <c r="S277" s="109"/>
      <c r="T277" s="109"/>
      <c r="U277" s="109"/>
      <c r="V277" s="109"/>
      <c r="W277" s="109"/>
      <c r="X277" s="109"/>
      <c r="Y277" s="109"/>
      <c r="Z277" s="109"/>
      <c r="AA277" s="109"/>
      <c r="AB277" s="109"/>
      <c r="AC277" s="109"/>
      <c r="AD277" s="109"/>
      <c r="AE277" s="109"/>
      <c r="AF277" s="109"/>
      <c r="AG277" s="109"/>
      <c r="AH277" s="109"/>
      <c r="AI277" s="109"/>
      <c r="AJ277" s="109"/>
      <c r="AK277" s="109"/>
      <c r="AL277" s="109"/>
      <c r="AM277" s="109"/>
      <c r="AN277" s="109"/>
      <c r="AO277" s="109"/>
      <c r="AP277" s="109"/>
      <c r="AQ277" s="109"/>
      <c r="AR277" s="109"/>
      <c r="AS277" s="109"/>
      <c r="AT277" s="108"/>
      <c r="AU277" s="108"/>
      <c r="AV277" s="108"/>
      <c r="AW277" s="2070"/>
      <c r="AX277" s="1289"/>
      <c r="AY277" s="1289"/>
      <c r="AZ277" s="1289"/>
      <c r="BA277" s="1289"/>
      <c r="BB277" s="1289"/>
      <c r="BC277" s="1289"/>
      <c r="BD277" s="1289"/>
      <c r="BE277" s="1289"/>
      <c r="BF277" s="1289"/>
      <c r="BG277" s="1289"/>
      <c r="BH277" s="1289"/>
      <c r="BI277" s="1289"/>
      <c r="BJ277" s="1289"/>
      <c r="BK277" s="1289"/>
      <c r="BL277" s="1289"/>
      <c r="BM277" s="1289"/>
      <c r="BN277" s="110"/>
      <c r="BO277" s="110"/>
      <c r="BP277" s="110"/>
      <c r="BQ277" s="110"/>
      <c r="BR277" s="110"/>
      <c r="BS277" s="110"/>
      <c r="BT277" s="110"/>
      <c r="BU277" s="110"/>
      <c r="BV277" s="110"/>
      <c r="BW277" s="110"/>
      <c r="BX277" s="110"/>
      <c r="BY277" s="110"/>
    </row>
    <row r="278" spans="1:77">
      <c r="A278" s="109"/>
      <c r="B278" s="109"/>
      <c r="C278" s="1953"/>
      <c r="D278" s="1289"/>
      <c r="E278" s="1289"/>
      <c r="F278" s="1289"/>
      <c r="G278" s="1289"/>
      <c r="H278" s="1289"/>
      <c r="I278" s="1289"/>
      <c r="J278" s="1289"/>
      <c r="K278" s="1289"/>
      <c r="L278" s="109"/>
      <c r="M278" s="109"/>
      <c r="N278" s="109"/>
      <c r="O278" s="109"/>
      <c r="P278" s="109"/>
      <c r="Q278" s="109"/>
      <c r="R278" s="109"/>
      <c r="S278" s="109"/>
      <c r="T278" s="109"/>
      <c r="U278" s="109"/>
      <c r="V278" s="109"/>
      <c r="W278" s="109"/>
      <c r="X278" s="109"/>
      <c r="Y278" s="109"/>
      <c r="Z278" s="109"/>
      <c r="AA278" s="109"/>
      <c r="AB278" s="109"/>
      <c r="AC278" s="109"/>
      <c r="AD278" s="109"/>
      <c r="AE278" s="109"/>
      <c r="AF278" s="109"/>
      <c r="AG278" s="109"/>
      <c r="AH278" s="109"/>
      <c r="AI278" s="109"/>
      <c r="AJ278" s="109"/>
      <c r="AK278" s="109"/>
      <c r="AL278" s="109"/>
      <c r="AM278" s="109"/>
      <c r="AN278" s="109"/>
      <c r="AO278" s="109"/>
      <c r="AP278" s="109"/>
      <c r="AQ278" s="109"/>
      <c r="AR278" s="109"/>
      <c r="AS278" s="109"/>
      <c r="AT278" s="108"/>
      <c r="AU278" s="108"/>
      <c r="AV278" s="108"/>
      <c r="AW278" s="2070"/>
      <c r="AX278" s="1289"/>
      <c r="AY278" s="1289"/>
      <c r="AZ278" s="1289"/>
      <c r="BA278" s="1289"/>
      <c r="BB278" s="1289"/>
      <c r="BC278" s="1289"/>
      <c r="BD278" s="1289"/>
      <c r="BE278" s="1289"/>
      <c r="BF278" s="1289"/>
      <c r="BG278" s="1289"/>
      <c r="BH278" s="1289"/>
      <c r="BI278" s="1289"/>
      <c r="BJ278" s="1289"/>
      <c r="BK278" s="1289"/>
      <c r="BL278" s="1289"/>
      <c r="BM278" s="1289"/>
      <c r="BN278" s="110"/>
      <c r="BO278" s="110"/>
      <c r="BP278" s="110"/>
      <c r="BQ278" s="110"/>
      <c r="BR278" s="110"/>
      <c r="BS278" s="110"/>
      <c r="BT278" s="110"/>
      <c r="BU278" s="110"/>
      <c r="BV278" s="110"/>
      <c r="BW278" s="110"/>
      <c r="BX278" s="110"/>
      <c r="BY278" s="110"/>
    </row>
    <row r="279" spans="1:77">
      <c r="A279" s="109"/>
      <c r="B279" s="109"/>
      <c r="C279" s="1953"/>
      <c r="D279" s="1289"/>
      <c r="E279" s="1289"/>
      <c r="F279" s="1289"/>
      <c r="G279" s="1289"/>
      <c r="H279" s="1289"/>
      <c r="I279" s="1289"/>
      <c r="J279" s="1289"/>
      <c r="K279" s="1289"/>
      <c r="L279" s="109"/>
      <c r="M279" s="109"/>
      <c r="N279" s="109"/>
      <c r="O279" s="109"/>
      <c r="P279" s="109"/>
      <c r="Q279" s="109"/>
      <c r="R279" s="109"/>
      <c r="S279" s="109"/>
      <c r="T279" s="109"/>
      <c r="U279" s="109"/>
      <c r="V279" s="109"/>
      <c r="W279" s="109"/>
      <c r="X279" s="109"/>
      <c r="Y279" s="109"/>
      <c r="Z279" s="109"/>
      <c r="AA279" s="109"/>
      <c r="AB279" s="109"/>
      <c r="AC279" s="109"/>
      <c r="AD279" s="109"/>
      <c r="AE279" s="109"/>
      <c r="AF279" s="109"/>
      <c r="AG279" s="109"/>
      <c r="AH279" s="109"/>
      <c r="AI279" s="109"/>
      <c r="AJ279" s="109"/>
      <c r="AK279" s="109"/>
      <c r="AL279" s="109"/>
      <c r="AM279" s="109"/>
      <c r="AN279" s="109"/>
      <c r="AO279" s="109"/>
      <c r="AP279" s="109"/>
      <c r="AQ279" s="109"/>
      <c r="AR279" s="109"/>
      <c r="AS279" s="109"/>
      <c r="AT279" s="108"/>
      <c r="AU279" s="108"/>
      <c r="AV279" s="108"/>
      <c r="AW279" s="2070"/>
      <c r="AX279" s="1289"/>
      <c r="AY279" s="1289"/>
      <c r="AZ279" s="1289"/>
      <c r="BA279" s="1289"/>
      <c r="BB279" s="1289"/>
      <c r="BC279" s="1289"/>
      <c r="BD279" s="1289"/>
      <c r="BE279" s="1289"/>
      <c r="BF279" s="1289"/>
      <c r="BG279" s="1289"/>
      <c r="BH279" s="1289"/>
      <c r="BI279" s="1289"/>
      <c r="BJ279" s="1289"/>
      <c r="BK279" s="1289"/>
      <c r="BL279" s="1289"/>
      <c r="BM279" s="1289"/>
      <c r="BN279" s="110"/>
      <c r="BO279" s="110"/>
      <c r="BP279" s="110"/>
      <c r="BQ279" s="110"/>
      <c r="BR279" s="110"/>
      <c r="BS279" s="110"/>
      <c r="BT279" s="110"/>
      <c r="BU279" s="110"/>
      <c r="BV279" s="110"/>
      <c r="BW279" s="110"/>
      <c r="BX279" s="110"/>
      <c r="BY279" s="110"/>
    </row>
    <row r="280" spans="1:77">
      <c r="A280" s="109"/>
      <c r="B280" s="109"/>
      <c r="C280" s="1953"/>
      <c r="D280" s="1289"/>
      <c r="E280" s="1289"/>
      <c r="F280" s="1289"/>
      <c r="G280" s="1289"/>
      <c r="H280" s="1289"/>
      <c r="I280" s="1289"/>
      <c r="J280" s="1289"/>
      <c r="K280" s="1289"/>
      <c r="L280" s="109"/>
      <c r="M280" s="109"/>
      <c r="N280" s="109"/>
      <c r="O280" s="109"/>
      <c r="P280" s="109"/>
      <c r="Q280" s="109"/>
      <c r="R280" s="109"/>
      <c r="S280" s="109"/>
      <c r="T280" s="109"/>
      <c r="U280" s="109"/>
      <c r="V280" s="109"/>
      <c r="W280" s="109"/>
      <c r="X280" s="109"/>
      <c r="Y280" s="109"/>
      <c r="Z280" s="109"/>
      <c r="AA280" s="109"/>
      <c r="AB280" s="109"/>
      <c r="AC280" s="109"/>
      <c r="AD280" s="109"/>
      <c r="AE280" s="109"/>
      <c r="AF280" s="109"/>
      <c r="AG280" s="109"/>
      <c r="AH280" s="109"/>
      <c r="AI280" s="109"/>
      <c r="AJ280" s="109"/>
      <c r="AK280" s="109"/>
      <c r="AL280" s="109"/>
      <c r="AM280" s="109"/>
      <c r="AN280" s="109"/>
      <c r="AO280" s="109"/>
      <c r="AP280" s="109"/>
      <c r="AQ280" s="109"/>
      <c r="AR280" s="109"/>
      <c r="AS280" s="109"/>
      <c r="AT280" s="108"/>
      <c r="AU280" s="108"/>
      <c r="AV280" s="108"/>
      <c r="AW280" s="2070"/>
      <c r="AX280" s="1289"/>
      <c r="AY280" s="1289"/>
      <c r="AZ280" s="1289"/>
      <c r="BA280" s="1289"/>
      <c r="BB280" s="1289"/>
      <c r="BC280" s="1289"/>
      <c r="BD280" s="1289"/>
      <c r="BE280" s="1289"/>
      <c r="BF280" s="1289"/>
      <c r="BG280" s="1289"/>
      <c r="BH280" s="1289"/>
      <c r="BI280" s="1289"/>
      <c r="BJ280" s="1289"/>
      <c r="BK280" s="1289"/>
      <c r="BL280" s="1289"/>
      <c r="BM280" s="1289"/>
      <c r="BN280" s="110"/>
      <c r="BO280" s="110"/>
      <c r="BP280" s="110"/>
      <c r="BQ280" s="110"/>
      <c r="BR280" s="110"/>
      <c r="BS280" s="110"/>
      <c r="BT280" s="110"/>
      <c r="BU280" s="110"/>
      <c r="BV280" s="110"/>
      <c r="BW280" s="110"/>
      <c r="BX280" s="110"/>
      <c r="BY280" s="110"/>
    </row>
    <row r="281" spans="1:77">
      <c r="A281" s="109"/>
      <c r="B281" s="109"/>
      <c r="C281" s="1953"/>
      <c r="D281" s="1289"/>
      <c r="E281" s="1289"/>
      <c r="F281" s="1289"/>
      <c r="G281" s="1289"/>
      <c r="H281" s="1289"/>
      <c r="I281" s="1289"/>
      <c r="J281" s="1289"/>
      <c r="K281" s="1289"/>
      <c r="L281" s="109"/>
      <c r="M281" s="109"/>
      <c r="N281" s="109"/>
      <c r="O281" s="109"/>
      <c r="P281" s="109"/>
      <c r="Q281" s="109"/>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9"/>
      <c r="AP281" s="109"/>
      <c r="AQ281" s="109"/>
      <c r="AR281" s="109"/>
      <c r="AS281" s="109"/>
      <c r="AT281" s="108"/>
      <c r="AU281" s="108"/>
      <c r="AV281" s="108"/>
      <c r="AW281" s="2070"/>
      <c r="AX281" s="1289"/>
      <c r="AY281" s="1289"/>
      <c r="AZ281" s="1289"/>
      <c r="BA281" s="1289"/>
      <c r="BB281" s="1289"/>
      <c r="BC281" s="1289"/>
      <c r="BD281" s="1289"/>
      <c r="BE281" s="1289"/>
      <c r="BF281" s="1289"/>
      <c r="BG281" s="1289"/>
      <c r="BH281" s="1289"/>
      <c r="BI281" s="1289"/>
      <c r="BJ281" s="1289"/>
      <c r="BK281" s="1289"/>
      <c r="BL281" s="1289"/>
      <c r="BM281" s="1289"/>
      <c r="BN281" s="110"/>
      <c r="BO281" s="110"/>
      <c r="BP281" s="110"/>
      <c r="BQ281" s="110"/>
      <c r="BR281" s="110"/>
      <c r="BS281" s="110"/>
      <c r="BT281" s="110"/>
      <c r="BU281" s="110"/>
      <c r="BV281" s="110"/>
      <c r="BW281" s="110"/>
      <c r="BX281" s="110"/>
      <c r="BY281" s="110"/>
    </row>
    <row r="282" spans="1:77">
      <c r="A282" s="109"/>
      <c r="B282" s="109"/>
      <c r="C282" s="1953"/>
      <c r="D282" s="1289"/>
      <c r="E282" s="1289"/>
      <c r="F282" s="1289"/>
      <c r="G282" s="1289"/>
      <c r="H282" s="1289"/>
      <c r="I282" s="1289"/>
      <c r="J282" s="1289"/>
      <c r="K282" s="1289"/>
      <c r="L282" s="109"/>
      <c r="M282" s="109"/>
      <c r="N282" s="109"/>
      <c r="O282" s="109"/>
      <c r="P282" s="109"/>
      <c r="Q282" s="109"/>
      <c r="R282" s="109"/>
      <c r="S282" s="109"/>
      <c r="T282" s="109"/>
      <c r="U282" s="109"/>
      <c r="V282" s="109"/>
      <c r="W282" s="109"/>
      <c r="X282" s="109"/>
      <c r="Y282" s="109"/>
      <c r="Z282" s="109"/>
      <c r="AA282" s="109"/>
      <c r="AB282" s="109"/>
      <c r="AC282" s="109"/>
      <c r="AD282" s="109"/>
      <c r="AE282" s="109"/>
      <c r="AF282" s="109"/>
      <c r="AG282" s="109"/>
      <c r="AH282" s="109"/>
      <c r="AI282" s="109"/>
      <c r="AJ282" s="109"/>
      <c r="AK282" s="109"/>
      <c r="AL282" s="109"/>
      <c r="AM282" s="109"/>
      <c r="AN282" s="109"/>
      <c r="AO282" s="109"/>
      <c r="AP282" s="109"/>
      <c r="AQ282" s="109"/>
      <c r="AR282" s="109"/>
      <c r="AS282" s="109"/>
      <c r="AT282" s="108"/>
      <c r="AU282" s="108"/>
      <c r="AV282" s="108"/>
      <c r="AW282" s="2070"/>
      <c r="AX282" s="1289"/>
      <c r="AY282" s="1289"/>
      <c r="AZ282" s="1289"/>
      <c r="BA282" s="1289"/>
      <c r="BB282" s="1289"/>
      <c r="BC282" s="1289"/>
      <c r="BD282" s="1289"/>
      <c r="BE282" s="1289"/>
      <c r="BF282" s="1289"/>
      <c r="BG282" s="1289"/>
      <c r="BH282" s="1289"/>
      <c r="BI282" s="1289"/>
      <c r="BJ282" s="1289"/>
      <c r="BK282" s="1289"/>
      <c r="BL282" s="1289"/>
      <c r="BM282" s="1289"/>
      <c r="BN282" s="110"/>
      <c r="BO282" s="110"/>
      <c r="BP282" s="110"/>
      <c r="BQ282" s="110"/>
      <c r="BR282" s="110"/>
      <c r="BS282" s="110"/>
      <c r="BT282" s="110"/>
      <c r="BU282" s="110"/>
      <c r="BV282" s="110"/>
      <c r="BW282" s="110"/>
      <c r="BX282" s="110"/>
      <c r="BY282" s="110"/>
    </row>
    <row r="283" spans="1:77">
      <c r="A283" s="109"/>
      <c r="B283" s="109"/>
      <c r="C283" s="1953"/>
      <c r="D283" s="1289"/>
      <c r="E283" s="1289"/>
      <c r="F283" s="1289"/>
      <c r="G283" s="1289"/>
      <c r="H283" s="1289"/>
      <c r="I283" s="1289"/>
      <c r="J283" s="1289"/>
      <c r="K283" s="1289"/>
      <c r="L283" s="109"/>
      <c r="M283" s="109"/>
      <c r="N283" s="109"/>
      <c r="O283" s="109"/>
      <c r="P283" s="109"/>
      <c r="Q283" s="109"/>
      <c r="R283" s="109"/>
      <c r="S283" s="109"/>
      <c r="T283" s="109"/>
      <c r="U283" s="109"/>
      <c r="V283" s="109"/>
      <c r="W283" s="109"/>
      <c r="X283" s="109"/>
      <c r="Y283" s="109"/>
      <c r="Z283" s="109"/>
      <c r="AA283" s="109"/>
      <c r="AB283" s="109"/>
      <c r="AC283" s="109"/>
      <c r="AD283" s="109"/>
      <c r="AE283" s="109"/>
      <c r="AF283" s="109"/>
      <c r="AG283" s="109"/>
      <c r="AH283" s="109"/>
      <c r="AI283" s="109"/>
      <c r="AJ283" s="109"/>
      <c r="AK283" s="109"/>
      <c r="AL283" s="109"/>
      <c r="AM283" s="109"/>
      <c r="AN283" s="109"/>
      <c r="AO283" s="109"/>
      <c r="AP283" s="109"/>
      <c r="AQ283" s="109"/>
      <c r="AR283" s="109"/>
      <c r="AS283" s="109"/>
      <c r="AT283" s="108"/>
      <c r="AU283" s="108"/>
      <c r="AV283" s="108"/>
      <c r="AW283" s="2070"/>
      <c r="AX283" s="1289"/>
      <c r="AY283" s="1289"/>
      <c r="AZ283" s="1289"/>
      <c r="BA283" s="1289"/>
      <c r="BB283" s="1289"/>
      <c r="BC283" s="1289"/>
      <c r="BD283" s="1289"/>
      <c r="BE283" s="1289"/>
      <c r="BF283" s="1289"/>
      <c r="BG283" s="1289"/>
      <c r="BH283" s="1289"/>
      <c r="BI283" s="1289"/>
      <c r="BJ283" s="1289"/>
      <c r="BK283" s="1289"/>
      <c r="BL283" s="1289"/>
      <c r="BM283" s="1289"/>
      <c r="BN283" s="110"/>
      <c r="BO283" s="110"/>
      <c r="BP283" s="110"/>
      <c r="BQ283" s="110"/>
      <c r="BR283" s="110"/>
      <c r="BS283" s="110"/>
      <c r="BT283" s="110"/>
      <c r="BU283" s="110"/>
      <c r="BV283" s="110"/>
      <c r="BW283" s="110"/>
      <c r="BX283" s="110"/>
      <c r="BY283" s="110"/>
    </row>
    <row r="284" spans="1:77">
      <c r="A284" s="109"/>
      <c r="B284" s="109"/>
      <c r="C284" s="1953"/>
      <c r="D284" s="1289"/>
      <c r="E284" s="1289"/>
      <c r="F284" s="1289"/>
      <c r="G284" s="1289"/>
      <c r="H284" s="1289"/>
      <c r="I284" s="1289"/>
      <c r="J284" s="1289"/>
      <c r="K284" s="1289"/>
      <c r="L284" s="109"/>
      <c r="M284" s="109"/>
      <c r="N284" s="109"/>
      <c r="O284" s="109"/>
      <c r="P284" s="109"/>
      <c r="Q284" s="109"/>
      <c r="R284" s="109"/>
      <c r="S284" s="109"/>
      <c r="T284" s="109"/>
      <c r="U284" s="109"/>
      <c r="V284" s="109"/>
      <c r="W284" s="109"/>
      <c r="X284" s="109"/>
      <c r="Y284" s="109"/>
      <c r="Z284" s="109"/>
      <c r="AA284" s="109"/>
      <c r="AB284" s="109"/>
      <c r="AC284" s="109"/>
      <c r="AD284" s="109"/>
      <c r="AE284" s="109"/>
      <c r="AF284" s="109"/>
      <c r="AG284" s="109"/>
      <c r="AH284" s="109"/>
      <c r="AI284" s="109"/>
      <c r="AJ284" s="109"/>
      <c r="AK284" s="109"/>
      <c r="AL284" s="109"/>
      <c r="AM284" s="109"/>
      <c r="AN284" s="109"/>
      <c r="AO284" s="109"/>
      <c r="AP284" s="109"/>
      <c r="AQ284" s="109"/>
      <c r="AR284" s="109"/>
      <c r="AS284" s="109"/>
      <c r="AT284" s="108"/>
      <c r="AU284" s="108"/>
      <c r="AV284" s="108"/>
      <c r="AW284" s="2070"/>
      <c r="AX284" s="1289"/>
      <c r="AY284" s="1289"/>
      <c r="AZ284" s="1289"/>
      <c r="BA284" s="1289"/>
      <c r="BB284" s="1289"/>
      <c r="BC284" s="1289"/>
      <c r="BD284" s="1289"/>
      <c r="BE284" s="1289"/>
      <c r="BF284" s="1289"/>
      <c r="BG284" s="1289"/>
      <c r="BH284" s="1289"/>
      <c r="BI284" s="1289"/>
      <c r="BJ284" s="1289"/>
      <c r="BK284" s="1289"/>
      <c r="BL284" s="1289"/>
      <c r="BM284" s="1289"/>
      <c r="BN284" s="110"/>
      <c r="BO284" s="110"/>
      <c r="BP284" s="110"/>
      <c r="BQ284" s="110"/>
      <c r="BR284" s="110"/>
      <c r="BS284" s="110"/>
      <c r="BT284" s="110"/>
      <c r="BU284" s="110"/>
      <c r="BV284" s="110"/>
      <c r="BW284" s="110"/>
      <c r="BX284" s="110"/>
      <c r="BY284" s="110"/>
    </row>
    <row r="285" spans="1:77">
      <c r="A285" s="109"/>
      <c r="B285" s="109"/>
      <c r="C285" s="1953"/>
      <c r="D285" s="1289"/>
      <c r="E285" s="1289"/>
      <c r="F285" s="1289"/>
      <c r="G285" s="1289"/>
      <c r="H285" s="1289"/>
      <c r="I285" s="1289"/>
      <c r="J285" s="1289"/>
      <c r="K285" s="1289"/>
      <c r="L285" s="109"/>
      <c r="M285" s="109"/>
      <c r="N285" s="109"/>
      <c r="O285" s="109"/>
      <c r="P285" s="109"/>
      <c r="Q285" s="109"/>
      <c r="R285" s="109"/>
      <c r="S285" s="109"/>
      <c r="T285" s="109"/>
      <c r="U285" s="109"/>
      <c r="V285" s="109"/>
      <c r="W285" s="109"/>
      <c r="X285" s="109"/>
      <c r="Y285" s="109"/>
      <c r="Z285" s="109"/>
      <c r="AA285" s="109"/>
      <c r="AB285" s="109"/>
      <c r="AC285" s="109"/>
      <c r="AD285" s="109"/>
      <c r="AE285" s="109"/>
      <c r="AF285" s="109"/>
      <c r="AG285" s="109"/>
      <c r="AH285" s="109"/>
      <c r="AI285" s="109"/>
      <c r="AJ285" s="109"/>
      <c r="AK285" s="109"/>
      <c r="AL285" s="109"/>
      <c r="AM285" s="109"/>
      <c r="AN285" s="109"/>
      <c r="AO285" s="109"/>
      <c r="AP285" s="109"/>
      <c r="AQ285" s="109"/>
      <c r="AR285" s="109"/>
      <c r="AS285" s="109"/>
      <c r="AT285" s="108"/>
      <c r="AU285" s="108"/>
      <c r="AV285" s="108"/>
      <c r="AW285" s="2070"/>
      <c r="AX285" s="1289"/>
      <c r="AY285" s="1289"/>
      <c r="AZ285" s="1289"/>
      <c r="BA285" s="1289"/>
      <c r="BB285" s="1289"/>
      <c r="BC285" s="1289"/>
      <c r="BD285" s="1289"/>
      <c r="BE285" s="1289"/>
      <c r="BF285" s="1289"/>
      <c r="BG285" s="1289"/>
      <c r="BH285" s="1289"/>
      <c r="BI285" s="1289"/>
      <c r="BJ285" s="1289"/>
      <c r="BK285" s="1289"/>
      <c r="BL285" s="1289"/>
      <c r="BM285" s="1289"/>
      <c r="BN285" s="110"/>
      <c r="BO285" s="110"/>
      <c r="BP285" s="110"/>
      <c r="BQ285" s="110"/>
      <c r="BR285" s="110"/>
      <c r="BS285" s="110"/>
      <c r="BT285" s="110"/>
      <c r="BU285" s="110"/>
      <c r="BV285" s="110"/>
      <c r="BW285" s="110"/>
      <c r="BX285" s="110"/>
      <c r="BY285" s="110"/>
    </row>
    <row r="286" spans="1:77">
      <c r="A286" s="109"/>
      <c r="B286" s="109"/>
      <c r="C286" s="1953"/>
      <c r="D286" s="1289"/>
      <c r="E286" s="1289"/>
      <c r="F286" s="1289"/>
      <c r="G286" s="1289"/>
      <c r="H286" s="1289"/>
      <c r="I286" s="1289"/>
      <c r="J286" s="1289"/>
      <c r="K286" s="1289"/>
      <c r="L286" s="109"/>
      <c r="M286" s="109"/>
      <c r="N286" s="109"/>
      <c r="O286" s="109"/>
      <c r="P286" s="109"/>
      <c r="Q286" s="109"/>
      <c r="R286" s="109"/>
      <c r="S286" s="109"/>
      <c r="T286" s="109"/>
      <c r="U286" s="109"/>
      <c r="V286" s="109"/>
      <c r="W286" s="109"/>
      <c r="X286" s="109"/>
      <c r="Y286" s="109"/>
      <c r="Z286" s="109"/>
      <c r="AA286" s="109"/>
      <c r="AB286" s="109"/>
      <c r="AC286" s="109"/>
      <c r="AD286" s="109"/>
      <c r="AE286" s="109"/>
      <c r="AF286" s="109"/>
      <c r="AG286" s="109"/>
      <c r="AH286" s="109"/>
      <c r="AI286" s="109"/>
      <c r="AJ286" s="109"/>
      <c r="AK286" s="109"/>
      <c r="AL286" s="109"/>
      <c r="AM286" s="109"/>
      <c r="AN286" s="109"/>
      <c r="AO286" s="109"/>
      <c r="AP286" s="109"/>
      <c r="AQ286" s="109"/>
      <c r="AR286" s="109"/>
      <c r="AS286" s="109"/>
      <c r="AT286" s="108"/>
      <c r="AU286" s="108"/>
      <c r="AV286" s="108"/>
      <c r="AW286" s="2070"/>
      <c r="AX286" s="1289"/>
      <c r="AY286" s="1289"/>
      <c r="AZ286" s="1289"/>
      <c r="BA286" s="1289"/>
      <c r="BB286" s="1289"/>
      <c r="BC286" s="1289"/>
      <c r="BD286" s="1289"/>
      <c r="BE286" s="1289"/>
      <c r="BF286" s="1289"/>
      <c r="BG286" s="1289"/>
      <c r="BH286" s="1289"/>
      <c r="BI286" s="1289"/>
      <c r="BJ286" s="1289"/>
      <c r="BK286" s="1289"/>
      <c r="BL286" s="1289"/>
      <c r="BM286" s="1289"/>
      <c r="BN286" s="110"/>
      <c r="BO286" s="110"/>
      <c r="BP286" s="110"/>
      <c r="BQ286" s="110"/>
      <c r="BR286" s="110"/>
      <c r="BS286" s="110"/>
      <c r="BT286" s="110"/>
      <c r="BU286" s="110"/>
      <c r="BV286" s="110"/>
      <c r="BW286" s="110"/>
      <c r="BX286" s="110"/>
      <c r="BY286" s="110"/>
    </row>
    <row r="287" spans="1:77">
      <c r="A287" s="109"/>
      <c r="B287" s="109"/>
      <c r="C287" s="1953"/>
      <c r="D287" s="1289"/>
      <c r="E287" s="1289"/>
      <c r="F287" s="1289"/>
      <c r="G287" s="1289"/>
      <c r="H287" s="1289"/>
      <c r="I287" s="1289"/>
      <c r="J287" s="1289"/>
      <c r="K287" s="1289"/>
      <c r="L287" s="109"/>
      <c r="M287" s="109"/>
      <c r="N287" s="109"/>
      <c r="O287" s="109"/>
      <c r="P287" s="109"/>
      <c r="Q287" s="109"/>
      <c r="R287" s="109"/>
      <c r="S287" s="109"/>
      <c r="T287" s="109"/>
      <c r="U287" s="109"/>
      <c r="V287" s="109"/>
      <c r="W287" s="109"/>
      <c r="X287" s="109"/>
      <c r="Y287" s="109"/>
      <c r="Z287" s="109"/>
      <c r="AA287" s="109"/>
      <c r="AB287" s="109"/>
      <c r="AC287" s="109"/>
      <c r="AD287" s="109"/>
      <c r="AE287" s="109"/>
      <c r="AF287" s="109"/>
      <c r="AG287" s="109"/>
      <c r="AH287" s="109"/>
      <c r="AI287" s="109"/>
      <c r="AJ287" s="109"/>
      <c r="AK287" s="109"/>
      <c r="AL287" s="109"/>
      <c r="AM287" s="109"/>
      <c r="AN287" s="109"/>
      <c r="AO287" s="109"/>
      <c r="AP287" s="109"/>
      <c r="AQ287" s="109"/>
      <c r="AR287" s="109"/>
      <c r="AS287" s="109"/>
      <c r="AT287" s="108"/>
      <c r="AU287" s="108"/>
      <c r="AV287" s="108"/>
      <c r="AW287" s="2070"/>
      <c r="AX287" s="1289"/>
      <c r="AY287" s="1289"/>
      <c r="AZ287" s="1289"/>
      <c r="BA287" s="1289"/>
      <c r="BB287" s="1289"/>
      <c r="BC287" s="1289"/>
      <c r="BD287" s="1289"/>
      <c r="BE287" s="1289"/>
      <c r="BF287" s="1289"/>
      <c r="BG287" s="1289"/>
      <c r="BH287" s="1289"/>
      <c r="BI287" s="1289"/>
      <c r="BJ287" s="1289"/>
      <c r="BK287" s="1289"/>
      <c r="BL287" s="1289"/>
      <c r="BM287" s="1289"/>
      <c r="BN287" s="110"/>
      <c r="BO287" s="110"/>
      <c r="BP287" s="110"/>
      <c r="BQ287" s="110"/>
      <c r="BR287" s="110"/>
      <c r="BS287" s="110"/>
      <c r="BT287" s="110"/>
      <c r="BU287" s="110"/>
      <c r="BV287" s="110"/>
      <c r="BW287" s="110"/>
      <c r="BX287" s="110"/>
      <c r="BY287" s="110"/>
    </row>
    <row r="288" spans="1:77">
      <c r="A288" s="109"/>
      <c r="B288" s="109"/>
      <c r="C288" s="1953"/>
      <c r="D288" s="1289"/>
      <c r="E288" s="1289"/>
      <c r="F288" s="1289"/>
      <c r="G288" s="1289"/>
      <c r="H288" s="1289"/>
      <c r="I288" s="1289"/>
      <c r="J288" s="1289"/>
      <c r="K288" s="1289"/>
      <c r="L288" s="109"/>
      <c r="M288" s="109"/>
      <c r="N288" s="109"/>
      <c r="O288" s="109"/>
      <c r="P288" s="109"/>
      <c r="Q288" s="109"/>
      <c r="R288" s="109"/>
      <c r="S288" s="109"/>
      <c r="T288" s="109"/>
      <c r="U288" s="109"/>
      <c r="V288" s="109"/>
      <c r="W288" s="109"/>
      <c r="X288" s="109"/>
      <c r="Y288" s="109"/>
      <c r="Z288" s="109"/>
      <c r="AA288" s="109"/>
      <c r="AB288" s="109"/>
      <c r="AC288" s="109"/>
      <c r="AD288" s="109"/>
      <c r="AE288" s="109"/>
      <c r="AF288" s="109"/>
      <c r="AG288" s="109"/>
      <c r="AH288" s="109"/>
      <c r="AI288" s="109"/>
      <c r="AJ288" s="109"/>
      <c r="AK288" s="109"/>
      <c r="AL288" s="109"/>
      <c r="AM288" s="109"/>
      <c r="AN288" s="109"/>
      <c r="AO288" s="109"/>
      <c r="AP288" s="109"/>
      <c r="AQ288" s="109"/>
      <c r="AR288" s="109"/>
      <c r="AS288" s="109"/>
      <c r="AT288" s="108"/>
      <c r="AU288" s="108"/>
      <c r="AV288" s="108"/>
      <c r="AW288" s="2070"/>
      <c r="AX288" s="1289"/>
      <c r="AY288" s="1289"/>
      <c r="AZ288" s="1289"/>
      <c r="BA288" s="1289"/>
      <c r="BB288" s="1289"/>
      <c r="BC288" s="1289"/>
      <c r="BD288" s="1289"/>
      <c r="BE288" s="1289"/>
      <c r="BF288" s="1289"/>
      <c r="BG288" s="1289"/>
      <c r="BH288" s="1289"/>
      <c r="BI288" s="1289"/>
      <c r="BJ288" s="1289"/>
      <c r="BK288" s="1289"/>
      <c r="BL288" s="1289"/>
      <c r="BM288" s="1289"/>
      <c r="BN288" s="110"/>
      <c r="BO288" s="110"/>
      <c r="BP288" s="110"/>
      <c r="BQ288" s="110"/>
      <c r="BR288" s="110"/>
      <c r="BS288" s="110"/>
      <c r="BT288" s="110"/>
      <c r="BU288" s="110"/>
      <c r="BV288" s="110"/>
      <c r="BW288" s="110"/>
      <c r="BX288" s="110"/>
      <c r="BY288" s="110"/>
    </row>
    <row r="289" spans="1:77">
      <c r="A289" s="109"/>
      <c r="B289" s="109"/>
      <c r="C289" s="1953"/>
      <c r="D289" s="1289"/>
      <c r="E289" s="1289"/>
      <c r="F289" s="1289"/>
      <c r="G289" s="1289"/>
      <c r="H289" s="1289"/>
      <c r="I289" s="1289"/>
      <c r="J289" s="1289"/>
      <c r="K289" s="1289"/>
      <c r="L289" s="109"/>
      <c r="M289" s="109"/>
      <c r="N289" s="109"/>
      <c r="O289" s="109"/>
      <c r="P289" s="109"/>
      <c r="Q289" s="109"/>
      <c r="R289" s="109"/>
      <c r="S289" s="109"/>
      <c r="T289" s="109"/>
      <c r="U289" s="109"/>
      <c r="V289" s="109"/>
      <c r="W289" s="109"/>
      <c r="X289" s="109"/>
      <c r="Y289" s="109"/>
      <c r="Z289" s="109"/>
      <c r="AA289" s="109"/>
      <c r="AB289" s="109"/>
      <c r="AC289" s="109"/>
      <c r="AD289" s="109"/>
      <c r="AE289" s="109"/>
      <c r="AF289" s="109"/>
      <c r="AG289" s="109"/>
      <c r="AH289" s="109"/>
      <c r="AI289" s="109"/>
      <c r="AJ289" s="109"/>
      <c r="AK289" s="109"/>
      <c r="AL289" s="109"/>
      <c r="AM289" s="109"/>
      <c r="AN289" s="109"/>
      <c r="AO289" s="109"/>
      <c r="AP289" s="109"/>
      <c r="AQ289" s="109"/>
      <c r="AR289" s="109"/>
      <c r="AS289" s="109"/>
      <c r="AT289" s="108"/>
      <c r="AU289" s="108"/>
      <c r="AV289" s="108"/>
      <c r="AW289" s="2070"/>
      <c r="AX289" s="1289"/>
      <c r="AY289" s="1289"/>
      <c r="AZ289" s="1289"/>
      <c r="BA289" s="1289"/>
      <c r="BB289" s="1289"/>
      <c r="BC289" s="1289"/>
      <c r="BD289" s="1289"/>
      <c r="BE289" s="1289"/>
      <c r="BF289" s="1289"/>
      <c r="BG289" s="1289"/>
      <c r="BH289" s="1289"/>
      <c r="BI289" s="1289"/>
      <c r="BJ289" s="1289"/>
      <c r="BK289" s="1289"/>
      <c r="BL289" s="1289"/>
      <c r="BM289" s="1289"/>
      <c r="BN289" s="110"/>
      <c r="BO289" s="110"/>
      <c r="BP289" s="110"/>
      <c r="BQ289" s="110"/>
      <c r="BR289" s="110"/>
      <c r="BS289" s="110"/>
      <c r="BT289" s="110"/>
      <c r="BU289" s="110"/>
      <c r="BV289" s="110"/>
      <c r="BW289" s="110"/>
      <c r="BX289" s="110"/>
      <c r="BY289" s="110"/>
    </row>
    <row r="290" spans="1:77">
      <c r="A290" s="109"/>
      <c r="B290" s="109"/>
      <c r="C290" s="1953"/>
      <c r="D290" s="1289"/>
      <c r="E290" s="1289"/>
      <c r="F290" s="1289"/>
      <c r="G290" s="1289"/>
      <c r="H290" s="1289"/>
      <c r="I290" s="1289"/>
      <c r="J290" s="1289"/>
      <c r="K290" s="1289"/>
      <c r="L290" s="109"/>
      <c r="M290" s="109"/>
      <c r="N290" s="109"/>
      <c r="O290" s="109"/>
      <c r="P290" s="109"/>
      <c r="Q290" s="109"/>
      <c r="R290" s="109"/>
      <c r="S290" s="109"/>
      <c r="T290" s="109"/>
      <c r="U290" s="109"/>
      <c r="V290" s="109"/>
      <c r="W290" s="109"/>
      <c r="X290" s="109"/>
      <c r="Y290" s="109"/>
      <c r="Z290" s="109"/>
      <c r="AA290" s="109"/>
      <c r="AB290" s="109"/>
      <c r="AC290" s="109"/>
      <c r="AD290" s="109"/>
      <c r="AE290" s="109"/>
      <c r="AF290" s="109"/>
      <c r="AG290" s="109"/>
      <c r="AH290" s="109"/>
      <c r="AI290" s="109"/>
      <c r="AJ290" s="109"/>
      <c r="AK290" s="109"/>
      <c r="AL290" s="109"/>
      <c r="AM290" s="109"/>
      <c r="AN290" s="109"/>
      <c r="AO290" s="109"/>
      <c r="AP290" s="109"/>
      <c r="AQ290" s="109"/>
      <c r="AR290" s="109"/>
      <c r="AS290" s="109"/>
      <c r="AT290" s="108"/>
      <c r="AU290" s="108"/>
      <c r="AV290" s="108"/>
      <c r="AW290" s="2070"/>
      <c r="AX290" s="1289"/>
      <c r="AY290" s="1289"/>
      <c r="AZ290" s="1289"/>
      <c r="BA290" s="1289"/>
      <c r="BB290" s="1289"/>
      <c r="BC290" s="1289"/>
      <c r="BD290" s="1289"/>
      <c r="BE290" s="1289"/>
      <c r="BF290" s="1289"/>
      <c r="BG290" s="1289"/>
      <c r="BH290" s="1289"/>
      <c r="BI290" s="1289"/>
      <c r="BJ290" s="1289"/>
      <c r="BK290" s="1289"/>
      <c r="BL290" s="1289"/>
      <c r="BM290" s="1289"/>
      <c r="BN290" s="110"/>
      <c r="BO290" s="110"/>
      <c r="BP290" s="110"/>
      <c r="BQ290" s="110"/>
      <c r="BR290" s="110"/>
      <c r="BS290" s="110"/>
      <c r="BT290" s="110"/>
      <c r="BU290" s="110"/>
      <c r="BV290" s="110"/>
      <c r="BW290" s="110"/>
      <c r="BX290" s="110"/>
      <c r="BY290" s="110"/>
    </row>
    <row r="291" spans="1:77">
      <c r="A291" s="109"/>
      <c r="B291" s="109"/>
      <c r="C291" s="1953"/>
      <c r="D291" s="1289"/>
      <c r="E291" s="1289"/>
      <c r="F291" s="1289"/>
      <c r="G291" s="1289"/>
      <c r="H291" s="1289"/>
      <c r="I291" s="1289"/>
      <c r="J291" s="1289"/>
      <c r="K291" s="1289"/>
      <c r="L291" s="109"/>
      <c r="M291" s="109"/>
      <c r="N291" s="109"/>
      <c r="O291" s="109"/>
      <c r="P291" s="109"/>
      <c r="Q291" s="109"/>
      <c r="R291" s="109"/>
      <c r="S291" s="109"/>
      <c r="T291" s="109"/>
      <c r="U291" s="109"/>
      <c r="V291" s="109"/>
      <c r="W291" s="109"/>
      <c r="X291" s="109"/>
      <c r="Y291" s="109"/>
      <c r="Z291" s="109"/>
      <c r="AA291" s="109"/>
      <c r="AB291" s="109"/>
      <c r="AC291" s="109"/>
      <c r="AD291" s="109"/>
      <c r="AE291" s="109"/>
      <c r="AF291" s="109"/>
      <c r="AG291" s="109"/>
      <c r="AH291" s="109"/>
      <c r="AI291" s="109"/>
      <c r="AJ291" s="109"/>
      <c r="AK291" s="109"/>
      <c r="AL291" s="109"/>
      <c r="AM291" s="109"/>
      <c r="AN291" s="109"/>
      <c r="AO291" s="109"/>
      <c r="AP291" s="109"/>
      <c r="AQ291" s="109"/>
      <c r="AR291" s="109"/>
      <c r="AS291" s="109"/>
      <c r="AT291" s="108"/>
      <c r="AU291" s="108"/>
      <c r="AV291" s="108"/>
      <c r="AW291" s="2070"/>
      <c r="AX291" s="1289"/>
      <c r="AY291" s="1289"/>
      <c r="AZ291" s="1289"/>
      <c r="BA291" s="1289"/>
      <c r="BB291" s="1289"/>
      <c r="BC291" s="1289"/>
      <c r="BD291" s="1289"/>
      <c r="BE291" s="1289"/>
      <c r="BF291" s="1289"/>
      <c r="BG291" s="1289"/>
      <c r="BH291" s="1289"/>
      <c r="BI291" s="1289"/>
      <c r="BJ291" s="1289"/>
      <c r="BK291" s="1289"/>
      <c r="BL291" s="1289"/>
      <c r="BM291" s="1289"/>
      <c r="BN291" s="110"/>
      <c r="BO291" s="110"/>
      <c r="BP291" s="110"/>
      <c r="BQ291" s="110"/>
      <c r="BR291" s="110"/>
      <c r="BS291" s="110"/>
      <c r="BT291" s="110"/>
      <c r="BU291" s="110"/>
      <c r="BV291" s="110"/>
      <c r="BW291" s="110"/>
      <c r="BX291" s="110"/>
      <c r="BY291" s="110"/>
    </row>
    <row r="292" spans="1:77">
      <c r="A292" s="109"/>
      <c r="B292" s="109"/>
      <c r="C292" s="1953"/>
      <c r="D292" s="1289"/>
      <c r="E292" s="1289"/>
      <c r="F292" s="1289"/>
      <c r="G292" s="1289"/>
      <c r="H292" s="1289"/>
      <c r="I292" s="1289"/>
      <c r="J292" s="1289"/>
      <c r="K292" s="1289"/>
      <c r="L292" s="109"/>
      <c r="M292" s="109"/>
      <c r="N292" s="109"/>
      <c r="O292" s="109"/>
      <c r="P292" s="109"/>
      <c r="Q292" s="109"/>
      <c r="R292" s="109"/>
      <c r="S292" s="109"/>
      <c r="T292" s="109"/>
      <c r="U292" s="109"/>
      <c r="V292" s="109"/>
      <c r="W292" s="109"/>
      <c r="X292" s="109"/>
      <c r="Y292" s="109"/>
      <c r="Z292" s="109"/>
      <c r="AA292" s="109"/>
      <c r="AB292" s="109"/>
      <c r="AC292" s="109"/>
      <c r="AD292" s="109"/>
      <c r="AE292" s="109"/>
      <c r="AF292" s="109"/>
      <c r="AG292" s="109"/>
      <c r="AH292" s="109"/>
      <c r="AI292" s="109"/>
      <c r="AJ292" s="109"/>
      <c r="AK292" s="109"/>
      <c r="AL292" s="109"/>
      <c r="AM292" s="109"/>
      <c r="AN292" s="109"/>
      <c r="AO292" s="109"/>
      <c r="AP292" s="109"/>
      <c r="AQ292" s="109"/>
      <c r="AR292" s="109"/>
      <c r="AS292" s="109"/>
      <c r="AT292" s="108"/>
      <c r="AU292" s="108"/>
      <c r="AV292" s="108"/>
      <c r="AW292" s="2070"/>
      <c r="AX292" s="1289"/>
      <c r="AY292" s="1289"/>
      <c r="AZ292" s="1289"/>
      <c r="BA292" s="1289"/>
      <c r="BB292" s="1289"/>
      <c r="BC292" s="1289"/>
      <c r="BD292" s="1289"/>
      <c r="BE292" s="1289"/>
      <c r="BF292" s="1289"/>
      <c r="BG292" s="1289"/>
      <c r="BH292" s="1289"/>
      <c r="BI292" s="1289"/>
      <c r="BJ292" s="1289"/>
      <c r="BK292" s="1289"/>
      <c r="BL292" s="1289"/>
      <c r="BM292" s="1289"/>
      <c r="BN292" s="110"/>
      <c r="BO292" s="110"/>
      <c r="BP292" s="110"/>
      <c r="BQ292" s="110"/>
      <c r="BR292" s="110"/>
      <c r="BS292" s="110"/>
      <c r="BT292" s="110"/>
      <c r="BU292" s="110"/>
      <c r="BV292" s="110"/>
      <c r="BW292" s="110"/>
      <c r="BX292" s="110"/>
      <c r="BY292" s="110"/>
    </row>
    <row r="293" spans="1:77">
      <c r="A293" s="109"/>
      <c r="B293" s="109"/>
      <c r="C293" s="1953"/>
      <c r="D293" s="1289"/>
      <c r="E293" s="1289"/>
      <c r="F293" s="1289"/>
      <c r="G293" s="1289"/>
      <c r="H293" s="1289"/>
      <c r="I293" s="1289"/>
      <c r="J293" s="1289"/>
      <c r="K293" s="1289"/>
      <c r="L293" s="109"/>
      <c r="M293" s="109"/>
      <c r="N293" s="109"/>
      <c r="O293" s="109"/>
      <c r="P293" s="109"/>
      <c r="Q293" s="109"/>
      <c r="R293" s="109"/>
      <c r="S293" s="109"/>
      <c r="T293" s="109"/>
      <c r="U293" s="109"/>
      <c r="V293" s="109"/>
      <c r="W293" s="109"/>
      <c r="X293" s="109"/>
      <c r="Y293" s="109"/>
      <c r="Z293" s="109"/>
      <c r="AA293" s="109"/>
      <c r="AB293" s="109"/>
      <c r="AC293" s="109"/>
      <c r="AD293" s="109"/>
      <c r="AE293" s="109"/>
      <c r="AF293" s="109"/>
      <c r="AG293" s="109"/>
      <c r="AH293" s="109"/>
      <c r="AI293" s="109"/>
      <c r="AJ293" s="109"/>
      <c r="AK293" s="109"/>
      <c r="AL293" s="109"/>
      <c r="AM293" s="109"/>
      <c r="AN293" s="109"/>
      <c r="AO293" s="109"/>
      <c r="AP293" s="109"/>
      <c r="AQ293" s="109"/>
      <c r="AR293" s="109"/>
      <c r="AS293" s="109"/>
      <c r="AT293" s="108"/>
      <c r="AU293" s="108"/>
      <c r="AV293" s="108"/>
      <c r="AW293" s="2070"/>
      <c r="AX293" s="1289"/>
      <c r="AY293" s="1289"/>
      <c r="AZ293" s="1289"/>
      <c r="BA293" s="1289"/>
      <c r="BB293" s="1289"/>
      <c r="BC293" s="1289"/>
      <c r="BD293" s="1289"/>
      <c r="BE293" s="1289"/>
      <c r="BF293" s="1289"/>
      <c r="BG293" s="1289"/>
      <c r="BH293" s="1289"/>
      <c r="BI293" s="1289"/>
      <c r="BJ293" s="1289"/>
      <c r="BK293" s="1289"/>
      <c r="BL293" s="1289"/>
      <c r="BM293" s="1289"/>
      <c r="BN293" s="110"/>
      <c r="BO293" s="110"/>
      <c r="BP293" s="110"/>
      <c r="BQ293" s="110"/>
      <c r="BR293" s="110"/>
      <c r="BS293" s="110"/>
      <c r="BT293" s="110"/>
      <c r="BU293" s="110"/>
      <c r="BV293" s="110"/>
      <c r="BW293" s="110"/>
      <c r="BX293" s="110"/>
      <c r="BY293" s="110"/>
    </row>
    <row r="294" spans="1:77">
      <c r="A294" s="109"/>
      <c r="B294" s="109"/>
      <c r="C294" s="1953"/>
      <c r="D294" s="1289"/>
      <c r="E294" s="1289"/>
      <c r="F294" s="1289"/>
      <c r="G294" s="1289"/>
      <c r="H294" s="1289"/>
      <c r="I294" s="1289"/>
      <c r="J294" s="1289"/>
      <c r="K294" s="1289"/>
      <c r="L294" s="109"/>
      <c r="M294" s="109"/>
      <c r="N294" s="109"/>
      <c r="O294" s="109"/>
      <c r="P294" s="109"/>
      <c r="Q294" s="109"/>
      <c r="R294" s="109"/>
      <c r="S294" s="109"/>
      <c r="T294" s="109"/>
      <c r="U294" s="109"/>
      <c r="V294" s="109"/>
      <c r="W294" s="109"/>
      <c r="X294" s="109"/>
      <c r="Y294" s="109"/>
      <c r="Z294" s="109"/>
      <c r="AA294" s="109"/>
      <c r="AB294" s="109"/>
      <c r="AC294" s="109"/>
      <c r="AD294" s="109"/>
      <c r="AE294" s="109"/>
      <c r="AF294" s="109"/>
      <c r="AG294" s="109"/>
      <c r="AH294" s="109"/>
      <c r="AI294" s="109"/>
      <c r="AJ294" s="109"/>
      <c r="AK294" s="109"/>
      <c r="AL294" s="109"/>
      <c r="AM294" s="109"/>
      <c r="AN294" s="109"/>
      <c r="AO294" s="109"/>
      <c r="AP294" s="109"/>
      <c r="AQ294" s="109"/>
      <c r="AR294" s="109"/>
      <c r="AS294" s="109"/>
      <c r="AT294" s="108"/>
      <c r="AU294" s="108"/>
      <c r="AV294" s="108"/>
      <c r="AW294" s="2070"/>
      <c r="AX294" s="1289"/>
      <c r="AY294" s="1289"/>
      <c r="AZ294" s="1289"/>
      <c r="BA294" s="1289"/>
      <c r="BB294" s="1289"/>
      <c r="BC294" s="1289"/>
      <c r="BD294" s="1289"/>
      <c r="BE294" s="1289"/>
      <c r="BF294" s="1289"/>
      <c r="BG294" s="1289"/>
      <c r="BH294" s="1289"/>
      <c r="BI294" s="1289"/>
      <c r="BJ294" s="1289"/>
      <c r="BK294" s="1289"/>
      <c r="BL294" s="1289"/>
      <c r="BM294" s="1289"/>
      <c r="BN294" s="110"/>
      <c r="BO294" s="110"/>
      <c r="BP294" s="110"/>
      <c r="BQ294" s="110"/>
      <c r="BR294" s="110"/>
      <c r="BS294" s="110"/>
      <c r="BT294" s="110"/>
      <c r="BU294" s="110"/>
      <c r="BV294" s="110"/>
      <c r="BW294" s="110"/>
      <c r="BX294" s="110"/>
      <c r="BY294" s="110"/>
    </row>
    <row r="295" spans="1:77">
      <c r="A295" s="109"/>
      <c r="B295" s="109"/>
      <c r="C295" s="1953"/>
      <c r="D295" s="1289"/>
      <c r="E295" s="1289"/>
      <c r="F295" s="1289"/>
      <c r="G295" s="1289"/>
      <c r="H295" s="1289"/>
      <c r="I295" s="1289"/>
      <c r="J295" s="1289"/>
      <c r="K295" s="1289"/>
      <c r="L295" s="109"/>
      <c r="M295" s="109"/>
      <c r="N295" s="109"/>
      <c r="O295" s="109"/>
      <c r="P295" s="109"/>
      <c r="Q295" s="109"/>
      <c r="R295" s="109"/>
      <c r="S295" s="109"/>
      <c r="T295" s="109"/>
      <c r="U295" s="109"/>
      <c r="V295" s="109"/>
      <c r="W295" s="109"/>
      <c r="X295" s="109"/>
      <c r="Y295" s="109"/>
      <c r="Z295" s="109"/>
      <c r="AA295" s="109"/>
      <c r="AB295" s="109"/>
      <c r="AC295" s="109"/>
      <c r="AD295" s="109"/>
      <c r="AE295" s="109"/>
      <c r="AF295" s="109"/>
      <c r="AG295" s="109"/>
      <c r="AH295" s="109"/>
      <c r="AI295" s="109"/>
      <c r="AJ295" s="109"/>
      <c r="AK295" s="109"/>
      <c r="AL295" s="109"/>
      <c r="AM295" s="109"/>
      <c r="AN295" s="109"/>
      <c r="AO295" s="109"/>
      <c r="AP295" s="109"/>
      <c r="AQ295" s="109"/>
      <c r="AR295" s="109"/>
      <c r="AS295" s="109"/>
      <c r="AT295" s="108"/>
      <c r="AU295" s="108"/>
      <c r="AV295" s="108"/>
      <c r="AW295" s="2070"/>
      <c r="AX295" s="1289"/>
      <c r="AY295" s="1289"/>
      <c r="AZ295" s="1289"/>
      <c r="BA295" s="1289"/>
      <c r="BB295" s="1289"/>
      <c r="BC295" s="1289"/>
      <c r="BD295" s="1289"/>
      <c r="BE295" s="1289"/>
      <c r="BF295" s="1289"/>
      <c r="BG295" s="1289"/>
      <c r="BH295" s="1289"/>
      <c r="BI295" s="1289"/>
      <c r="BJ295" s="1289"/>
      <c r="BK295" s="1289"/>
      <c r="BL295" s="1289"/>
      <c r="BM295" s="1289"/>
      <c r="BN295" s="110"/>
      <c r="BO295" s="110"/>
      <c r="BP295" s="110"/>
      <c r="BQ295" s="110"/>
      <c r="BR295" s="110"/>
      <c r="BS295" s="110"/>
      <c r="BT295" s="110"/>
      <c r="BU295" s="110"/>
      <c r="BV295" s="110"/>
      <c r="BW295" s="110"/>
      <c r="BX295" s="110"/>
      <c r="BY295" s="110"/>
    </row>
    <row r="296" spans="1:77">
      <c r="A296" s="109"/>
      <c r="B296" s="109"/>
      <c r="C296" s="1953"/>
      <c r="D296" s="1289"/>
      <c r="E296" s="1289"/>
      <c r="F296" s="1289"/>
      <c r="G296" s="1289"/>
      <c r="H296" s="1289"/>
      <c r="I296" s="1289"/>
      <c r="J296" s="1289"/>
      <c r="K296" s="1289"/>
      <c r="L296" s="109"/>
      <c r="M296" s="109"/>
      <c r="N296" s="109"/>
      <c r="O296" s="109"/>
      <c r="P296" s="109"/>
      <c r="Q296" s="109"/>
      <c r="R296" s="109"/>
      <c r="S296" s="109"/>
      <c r="T296" s="109"/>
      <c r="U296" s="109"/>
      <c r="V296" s="109"/>
      <c r="W296" s="109"/>
      <c r="X296" s="109"/>
      <c r="Y296" s="109"/>
      <c r="Z296" s="109"/>
      <c r="AA296" s="109"/>
      <c r="AB296" s="109"/>
      <c r="AC296" s="109"/>
      <c r="AD296" s="109"/>
      <c r="AE296" s="109"/>
      <c r="AF296" s="109"/>
      <c r="AG296" s="109"/>
      <c r="AH296" s="109"/>
      <c r="AI296" s="109"/>
      <c r="AJ296" s="109"/>
      <c r="AK296" s="109"/>
      <c r="AL296" s="109"/>
      <c r="AM296" s="109"/>
      <c r="AN296" s="109"/>
      <c r="AO296" s="109"/>
      <c r="AP296" s="109"/>
      <c r="AQ296" s="109"/>
      <c r="AR296" s="109"/>
      <c r="AS296" s="109"/>
      <c r="AT296" s="108"/>
      <c r="AU296" s="108"/>
      <c r="AV296" s="108"/>
      <c r="AW296" s="2070"/>
      <c r="AX296" s="1289"/>
      <c r="AY296" s="1289"/>
      <c r="AZ296" s="1289"/>
      <c r="BA296" s="1289"/>
      <c r="BB296" s="1289"/>
      <c r="BC296" s="1289"/>
      <c r="BD296" s="1289"/>
      <c r="BE296" s="1289"/>
      <c r="BF296" s="1289"/>
      <c r="BG296" s="1289"/>
      <c r="BH296" s="1289"/>
      <c r="BI296" s="1289"/>
      <c r="BJ296" s="1289"/>
      <c r="BK296" s="1289"/>
      <c r="BL296" s="1289"/>
      <c r="BM296" s="1289"/>
      <c r="BN296" s="110"/>
      <c r="BO296" s="110"/>
      <c r="BP296" s="110"/>
      <c r="BQ296" s="110"/>
      <c r="BR296" s="110"/>
      <c r="BS296" s="110"/>
      <c r="BT296" s="110"/>
      <c r="BU296" s="110"/>
      <c r="BV296" s="110"/>
      <c r="BW296" s="110"/>
      <c r="BX296" s="110"/>
      <c r="BY296" s="110"/>
    </row>
    <row r="297" spans="1:77">
      <c r="A297" s="109"/>
      <c r="B297" s="109"/>
      <c r="C297" s="1953"/>
      <c r="D297" s="1289"/>
      <c r="E297" s="1289"/>
      <c r="F297" s="1289"/>
      <c r="G297" s="1289"/>
      <c r="H297" s="1289"/>
      <c r="I297" s="1289"/>
      <c r="J297" s="1289"/>
      <c r="K297" s="1289"/>
      <c r="L297" s="109"/>
      <c r="M297" s="109"/>
      <c r="N297" s="109"/>
      <c r="O297" s="109"/>
      <c r="P297" s="109"/>
      <c r="Q297" s="109"/>
      <c r="R297" s="109"/>
      <c r="S297" s="109"/>
      <c r="T297" s="109"/>
      <c r="U297" s="109"/>
      <c r="V297" s="109"/>
      <c r="W297" s="109"/>
      <c r="X297" s="109"/>
      <c r="Y297" s="109"/>
      <c r="Z297" s="109"/>
      <c r="AA297" s="109"/>
      <c r="AB297" s="109"/>
      <c r="AC297" s="109"/>
      <c r="AD297" s="109"/>
      <c r="AE297" s="109"/>
      <c r="AF297" s="109"/>
      <c r="AG297" s="109"/>
      <c r="AH297" s="109"/>
      <c r="AI297" s="109"/>
      <c r="AJ297" s="109"/>
      <c r="AK297" s="109"/>
      <c r="AL297" s="109"/>
      <c r="AM297" s="109"/>
      <c r="AN297" s="109"/>
      <c r="AO297" s="109"/>
      <c r="AP297" s="109"/>
      <c r="AQ297" s="109"/>
      <c r="AR297" s="109"/>
      <c r="AS297" s="109"/>
      <c r="AT297" s="108"/>
      <c r="AU297" s="108"/>
      <c r="AV297" s="108"/>
      <c r="AW297" s="2070"/>
      <c r="AX297" s="1289"/>
      <c r="AY297" s="1289"/>
      <c r="AZ297" s="1289"/>
      <c r="BA297" s="1289"/>
      <c r="BB297" s="1289"/>
      <c r="BC297" s="1289"/>
      <c r="BD297" s="1289"/>
      <c r="BE297" s="1289"/>
      <c r="BF297" s="1289"/>
      <c r="BG297" s="1289"/>
      <c r="BH297" s="1289"/>
      <c r="BI297" s="1289"/>
      <c r="BJ297" s="1289"/>
      <c r="BK297" s="1289"/>
      <c r="BL297" s="1289"/>
      <c r="BM297" s="1289"/>
      <c r="BN297" s="110"/>
      <c r="BO297" s="110"/>
      <c r="BP297" s="110"/>
      <c r="BQ297" s="110"/>
      <c r="BR297" s="110"/>
      <c r="BS297" s="110"/>
      <c r="BT297" s="110"/>
      <c r="BU297" s="110"/>
      <c r="BV297" s="110"/>
      <c r="BW297" s="110"/>
      <c r="BX297" s="110"/>
      <c r="BY297" s="110"/>
    </row>
    <row r="298" spans="1:77">
      <c r="A298" s="109"/>
      <c r="B298" s="109"/>
      <c r="C298" s="1953"/>
      <c r="D298" s="1289"/>
      <c r="E298" s="1289"/>
      <c r="F298" s="1289"/>
      <c r="G298" s="1289"/>
      <c r="H298" s="1289"/>
      <c r="I298" s="1289"/>
      <c r="J298" s="1289"/>
      <c r="K298" s="1289"/>
      <c r="L298" s="109"/>
      <c r="M298" s="109"/>
      <c r="N298" s="109"/>
      <c r="O298" s="109"/>
      <c r="P298" s="109"/>
      <c r="Q298" s="109"/>
      <c r="R298" s="109"/>
      <c r="S298" s="109"/>
      <c r="T298" s="109"/>
      <c r="U298" s="109"/>
      <c r="V298" s="109"/>
      <c r="W298" s="109"/>
      <c r="X298" s="109"/>
      <c r="Y298" s="109"/>
      <c r="Z298" s="109"/>
      <c r="AA298" s="109"/>
      <c r="AB298" s="109"/>
      <c r="AC298" s="109"/>
      <c r="AD298" s="109"/>
      <c r="AE298" s="109"/>
      <c r="AF298" s="109"/>
      <c r="AG298" s="109"/>
      <c r="AH298" s="109"/>
      <c r="AI298" s="109"/>
      <c r="AJ298" s="109"/>
      <c r="AK298" s="109"/>
      <c r="AL298" s="109"/>
      <c r="AM298" s="109"/>
      <c r="AN298" s="109"/>
      <c r="AO298" s="109"/>
      <c r="AP298" s="109"/>
      <c r="AQ298" s="109"/>
      <c r="AR298" s="109"/>
      <c r="AS298" s="109"/>
      <c r="AT298" s="108"/>
      <c r="AU298" s="108"/>
      <c r="AV298" s="108"/>
      <c r="AW298" s="2070"/>
      <c r="AX298" s="1289"/>
      <c r="AY298" s="1289"/>
      <c r="AZ298" s="1289"/>
      <c r="BA298" s="1289"/>
      <c r="BB298" s="1289"/>
      <c r="BC298" s="1289"/>
      <c r="BD298" s="1289"/>
      <c r="BE298" s="1289"/>
      <c r="BF298" s="1289"/>
      <c r="BG298" s="1289"/>
      <c r="BH298" s="1289"/>
      <c r="BI298" s="1289"/>
      <c r="BJ298" s="1289"/>
      <c r="BK298" s="1289"/>
      <c r="BL298" s="1289"/>
      <c r="BM298" s="1289"/>
      <c r="BN298" s="110"/>
      <c r="BO298" s="110"/>
      <c r="BP298" s="110"/>
      <c r="BQ298" s="110"/>
      <c r="BR298" s="110"/>
      <c r="BS298" s="110"/>
      <c r="BT298" s="110"/>
      <c r="BU298" s="110"/>
      <c r="BV298" s="110"/>
      <c r="BW298" s="110"/>
      <c r="BX298" s="110"/>
      <c r="BY298" s="110"/>
    </row>
    <row r="299" spans="1:77">
      <c r="A299" s="109"/>
      <c r="B299" s="109"/>
      <c r="C299" s="1953"/>
      <c r="D299" s="1289"/>
      <c r="E299" s="1289"/>
      <c r="F299" s="1289"/>
      <c r="G299" s="1289"/>
      <c r="H299" s="1289"/>
      <c r="I299" s="1289"/>
      <c r="J299" s="1289"/>
      <c r="K299" s="1289"/>
      <c r="L299" s="109"/>
      <c r="M299" s="109"/>
      <c r="N299" s="109"/>
      <c r="O299" s="109"/>
      <c r="P299" s="109"/>
      <c r="Q299" s="109"/>
      <c r="R299" s="109"/>
      <c r="S299" s="109"/>
      <c r="T299" s="109"/>
      <c r="U299" s="109"/>
      <c r="V299" s="109"/>
      <c r="W299" s="109"/>
      <c r="X299" s="109"/>
      <c r="Y299" s="109"/>
      <c r="Z299" s="109"/>
      <c r="AA299" s="109"/>
      <c r="AB299" s="109"/>
      <c r="AC299" s="109"/>
      <c r="AD299" s="109"/>
      <c r="AE299" s="109"/>
      <c r="AF299" s="109"/>
      <c r="AG299" s="109"/>
      <c r="AH299" s="109"/>
      <c r="AI299" s="109"/>
      <c r="AJ299" s="109"/>
      <c r="AK299" s="109"/>
      <c r="AL299" s="109"/>
      <c r="AM299" s="109"/>
      <c r="AN299" s="109"/>
      <c r="AO299" s="109"/>
      <c r="AP299" s="109"/>
      <c r="AQ299" s="109"/>
      <c r="AR299" s="109"/>
      <c r="AS299" s="109"/>
      <c r="AT299" s="108"/>
      <c r="AU299" s="108"/>
      <c r="AV299" s="108"/>
      <c r="AW299" s="2070"/>
      <c r="AX299" s="1289"/>
      <c r="AY299" s="1289"/>
      <c r="AZ299" s="1289"/>
      <c r="BA299" s="1289"/>
      <c r="BB299" s="1289"/>
      <c r="BC299" s="1289"/>
      <c r="BD299" s="1289"/>
      <c r="BE299" s="1289"/>
      <c r="BF299" s="1289"/>
      <c r="BG299" s="1289"/>
      <c r="BH299" s="1289"/>
      <c r="BI299" s="1289"/>
      <c r="BJ299" s="1289"/>
      <c r="BK299" s="1289"/>
      <c r="BL299" s="1289"/>
      <c r="BM299" s="1289"/>
      <c r="BN299" s="110"/>
      <c r="BO299" s="110"/>
      <c r="BP299" s="110"/>
      <c r="BQ299" s="110"/>
      <c r="BR299" s="110"/>
      <c r="BS299" s="110"/>
      <c r="BT299" s="110"/>
      <c r="BU299" s="110"/>
      <c r="BV299" s="110"/>
      <c r="BW299" s="110"/>
      <c r="BX299" s="110"/>
      <c r="BY299" s="110"/>
    </row>
    <row r="300" spans="1:77">
      <c r="A300" s="109"/>
      <c r="B300" s="109"/>
      <c r="C300" s="1953"/>
      <c r="D300" s="1289"/>
      <c r="E300" s="1289"/>
      <c r="F300" s="1289"/>
      <c r="G300" s="1289"/>
      <c r="H300" s="1289"/>
      <c r="I300" s="1289"/>
      <c r="J300" s="1289"/>
      <c r="K300" s="1289"/>
      <c r="L300" s="109"/>
      <c r="M300" s="109"/>
      <c r="N300" s="109"/>
      <c r="O300" s="109"/>
      <c r="P300" s="109"/>
      <c r="Q300" s="109"/>
      <c r="R300" s="109"/>
      <c r="S300" s="109"/>
      <c r="T300" s="109"/>
      <c r="U300" s="109"/>
      <c r="V300" s="109"/>
      <c r="W300" s="109"/>
      <c r="X300" s="109"/>
      <c r="Y300" s="109"/>
      <c r="Z300" s="109"/>
      <c r="AA300" s="109"/>
      <c r="AB300" s="109"/>
      <c r="AC300" s="109"/>
      <c r="AD300" s="109"/>
      <c r="AE300" s="109"/>
      <c r="AF300" s="109"/>
      <c r="AG300" s="109"/>
      <c r="AH300" s="109"/>
      <c r="AI300" s="109"/>
      <c r="AJ300" s="109"/>
      <c r="AK300" s="109"/>
      <c r="AL300" s="109"/>
      <c r="AM300" s="109"/>
      <c r="AN300" s="109"/>
      <c r="AO300" s="109"/>
      <c r="AP300" s="109"/>
      <c r="AQ300" s="109"/>
      <c r="AR300" s="109"/>
      <c r="AS300" s="109"/>
      <c r="AT300" s="108"/>
      <c r="AU300" s="108"/>
      <c r="AV300" s="108"/>
      <c r="AW300" s="2070"/>
      <c r="AX300" s="1289"/>
      <c r="AY300" s="1289"/>
      <c r="AZ300" s="1289"/>
      <c r="BA300" s="1289"/>
      <c r="BB300" s="1289"/>
      <c r="BC300" s="1289"/>
      <c r="BD300" s="1289"/>
      <c r="BE300" s="1289"/>
      <c r="BF300" s="1289"/>
      <c r="BG300" s="1289"/>
      <c r="BH300" s="1289"/>
      <c r="BI300" s="1289"/>
      <c r="BJ300" s="1289"/>
      <c r="BK300" s="1289"/>
      <c r="BL300" s="1289"/>
      <c r="BM300" s="1289"/>
      <c r="BN300" s="110"/>
      <c r="BO300" s="110"/>
      <c r="BP300" s="110"/>
      <c r="BQ300" s="110"/>
      <c r="BR300" s="110"/>
      <c r="BS300" s="110"/>
      <c r="BT300" s="110"/>
      <c r="BU300" s="110"/>
      <c r="BV300" s="110"/>
      <c r="BW300" s="110"/>
      <c r="BX300" s="110"/>
      <c r="BY300" s="110"/>
    </row>
    <row r="301" spans="1:77">
      <c r="A301" s="109"/>
      <c r="B301" s="109"/>
      <c r="C301" s="1953"/>
      <c r="D301" s="1289"/>
      <c r="E301" s="1289"/>
      <c r="F301" s="1289"/>
      <c r="G301" s="1289"/>
      <c r="H301" s="1289"/>
      <c r="I301" s="1289"/>
      <c r="J301" s="1289"/>
      <c r="K301" s="1289"/>
      <c r="L301" s="109"/>
      <c r="M301" s="109"/>
      <c r="N301" s="109"/>
      <c r="O301" s="109"/>
      <c r="P301" s="109"/>
      <c r="Q301" s="109"/>
      <c r="R301" s="109"/>
      <c r="S301" s="109"/>
      <c r="T301" s="109"/>
      <c r="U301" s="109"/>
      <c r="V301" s="109"/>
      <c r="W301" s="109"/>
      <c r="X301" s="109"/>
      <c r="Y301" s="109"/>
      <c r="Z301" s="109"/>
      <c r="AA301" s="109"/>
      <c r="AB301" s="109"/>
      <c r="AC301" s="109"/>
      <c r="AD301" s="109"/>
      <c r="AE301" s="109"/>
      <c r="AF301" s="109"/>
      <c r="AG301" s="109"/>
      <c r="AH301" s="109"/>
      <c r="AI301" s="109"/>
      <c r="AJ301" s="109"/>
      <c r="AK301" s="109"/>
      <c r="AL301" s="109"/>
      <c r="AM301" s="109"/>
      <c r="AN301" s="109"/>
      <c r="AO301" s="109"/>
      <c r="AP301" s="109"/>
      <c r="AQ301" s="109"/>
      <c r="AR301" s="109"/>
      <c r="AS301" s="109"/>
      <c r="AT301" s="108"/>
      <c r="AU301" s="108"/>
      <c r="AV301" s="108"/>
      <c r="AW301" s="2070"/>
      <c r="AX301" s="1289"/>
      <c r="AY301" s="1289"/>
      <c r="AZ301" s="1289"/>
      <c r="BA301" s="1289"/>
      <c r="BB301" s="1289"/>
      <c r="BC301" s="1289"/>
      <c r="BD301" s="1289"/>
      <c r="BE301" s="1289"/>
      <c r="BF301" s="1289"/>
      <c r="BG301" s="1289"/>
      <c r="BH301" s="1289"/>
      <c r="BI301" s="1289"/>
      <c r="BJ301" s="1289"/>
      <c r="BK301" s="1289"/>
      <c r="BL301" s="1289"/>
      <c r="BM301" s="1289"/>
      <c r="BN301" s="110"/>
      <c r="BO301" s="110"/>
      <c r="BP301" s="110"/>
      <c r="BQ301" s="110"/>
      <c r="BR301" s="110"/>
      <c r="BS301" s="110"/>
      <c r="BT301" s="110"/>
      <c r="BU301" s="110"/>
      <c r="BV301" s="110"/>
      <c r="BW301" s="110"/>
      <c r="BX301" s="110"/>
      <c r="BY301" s="110"/>
    </row>
    <row r="302" spans="1:77">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c r="AA302" s="109"/>
      <c r="AB302" s="109"/>
      <c r="AC302" s="109"/>
      <c r="AD302" s="109"/>
      <c r="AE302" s="109"/>
      <c r="AF302" s="109"/>
      <c r="AG302" s="109"/>
      <c r="AH302" s="109"/>
      <c r="AI302" s="109"/>
      <c r="AJ302" s="109"/>
      <c r="AK302" s="109"/>
      <c r="AL302" s="109"/>
      <c r="AM302" s="109"/>
      <c r="AN302" s="109"/>
      <c r="AO302" s="109"/>
      <c r="AP302" s="109"/>
      <c r="AQ302" s="109"/>
      <c r="AR302" s="109"/>
      <c r="AS302" s="109"/>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row>
    <row r="303" spans="1:77">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c r="AA303" s="109"/>
      <c r="AB303" s="109"/>
      <c r="AC303" s="109"/>
      <c r="AD303" s="109"/>
      <c r="AE303" s="109"/>
      <c r="AF303" s="109"/>
      <c r="AG303" s="109"/>
      <c r="AH303" s="109"/>
      <c r="AI303" s="109"/>
      <c r="AJ303" s="109"/>
      <c r="AK303" s="109"/>
      <c r="AL303" s="109"/>
      <c r="AM303" s="109"/>
      <c r="AN303" s="109"/>
      <c r="AO303" s="109"/>
      <c r="AP303" s="109"/>
      <c r="AQ303" s="109"/>
      <c r="AR303" s="109"/>
      <c r="AS303" s="109"/>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row>
    <row r="304" spans="1:77">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c r="AA304" s="109"/>
      <c r="AB304" s="109"/>
      <c r="AC304" s="109"/>
      <c r="AD304" s="109"/>
      <c r="AE304" s="109"/>
      <c r="AF304" s="109"/>
      <c r="AG304" s="109"/>
      <c r="AH304" s="109"/>
      <c r="AI304" s="109"/>
      <c r="AJ304" s="109"/>
      <c r="AK304" s="109"/>
      <c r="AL304" s="109"/>
      <c r="AM304" s="109"/>
      <c r="AN304" s="109"/>
      <c r="AO304" s="109"/>
      <c r="AP304" s="109"/>
      <c r="AQ304" s="109"/>
      <c r="AR304" s="109"/>
      <c r="AS304" s="109"/>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row>
    <row r="305" spans="1:77">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c r="AA305" s="109"/>
      <c r="AB305" s="109"/>
      <c r="AC305" s="109"/>
      <c r="AD305" s="109"/>
      <c r="AE305" s="109"/>
      <c r="AF305" s="109"/>
      <c r="AG305" s="109"/>
      <c r="AH305" s="109"/>
      <c r="AI305" s="109"/>
      <c r="AJ305" s="109"/>
      <c r="AK305" s="109"/>
      <c r="AL305" s="109"/>
      <c r="AM305" s="109"/>
      <c r="AN305" s="109"/>
      <c r="AO305" s="109"/>
      <c r="AP305" s="109"/>
      <c r="AQ305" s="109"/>
      <c r="AR305" s="109"/>
      <c r="AS305" s="109"/>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row>
    <row r="306" spans="1:77">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c r="AA306" s="109"/>
      <c r="AB306" s="109"/>
      <c r="AC306" s="109"/>
      <c r="AD306" s="109"/>
      <c r="AE306" s="109"/>
      <c r="AF306" s="109"/>
      <c r="AG306" s="109"/>
      <c r="AH306" s="109"/>
      <c r="AI306" s="109"/>
      <c r="AJ306" s="109"/>
      <c r="AK306" s="109"/>
      <c r="AL306" s="109"/>
      <c r="AM306" s="109"/>
      <c r="AN306" s="109"/>
      <c r="AO306" s="109"/>
      <c r="AP306" s="109"/>
      <c r="AQ306" s="109"/>
      <c r="AR306" s="109"/>
      <c r="AS306" s="109"/>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row>
    <row r="307" spans="1:77">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c r="AE307" s="109"/>
      <c r="AF307" s="109"/>
      <c r="AG307" s="109"/>
      <c r="AH307" s="109"/>
      <c r="AI307" s="109"/>
      <c r="AJ307" s="109"/>
      <c r="AK307" s="109"/>
      <c r="AL307" s="109"/>
      <c r="AM307" s="109"/>
      <c r="AN307" s="109"/>
      <c r="AO307" s="109"/>
      <c r="AP307" s="109"/>
      <c r="AQ307" s="109"/>
      <c r="AR307" s="109"/>
      <c r="AS307" s="109"/>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row>
    <row r="308" spans="1:77">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c r="AH308" s="109"/>
      <c r="AI308" s="109"/>
      <c r="AJ308" s="109"/>
      <c r="AK308" s="109"/>
      <c r="AL308" s="109"/>
      <c r="AM308" s="109"/>
      <c r="AN308" s="109"/>
      <c r="AO308" s="109"/>
      <c r="AP308" s="109"/>
      <c r="AQ308" s="109"/>
      <c r="AR308" s="109"/>
      <c r="AS308" s="109"/>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row>
    <row r="309" spans="1:77">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c r="AB309" s="109"/>
      <c r="AC309" s="109"/>
      <c r="AD309" s="109"/>
      <c r="AE309" s="109"/>
      <c r="AF309" s="109"/>
      <c r="AG309" s="109"/>
      <c r="AH309" s="109"/>
      <c r="AI309" s="109"/>
      <c r="AJ309" s="109"/>
      <c r="AK309" s="109"/>
      <c r="AL309" s="109"/>
      <c r="AM309" s="109"/>
      <c r="AN309" s="109"/>
      <c r="AO309" s="109"/>
      <c r="AP309" s="109"/>
      <c r="AQ309" s="109"/>
      <c r="AR309" s="109"/>
      <c r="AS309" s="109"/>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row>
    <row r="310" spans="1:77">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c r="AB310" s="109"/>
      <c r="AC310" s="109"/>
      <c r="AD310" s="109"/>
      <c r="AE310" s="109"/>
      <c r="AF310" s="109"/>
      <c r="AG310" s="109"/>
      <c r="AH310" s="109"/>
      <c r="AI310" s="109"/>
      <c r="AJ310" s="109"/>
      <c r="AK310" s="109"/>
      <c r="AL310" s="109"/>
      <c r="AM310" s="109"/>
      <c r="AN310" s="109"/>
      <c r="AO310" s="109"/>
      <c r="AP310" s="109"/>
      <c r="AQ310" s="109"/>
      <c r="AR310" s="109"/>
      <c r="AS310" s="109"/>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row>
    <row r="311" spans="1:77">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c r="AB311" s="109"/>
      <c r="AC311" s="109"/>
      <c r="AD311" s="109"/>
      <c r="AE311" s="109"/>
      <c r="AF311" s="109"/>
      <c r="AG311" s="109"/>
      <c r="AH311" s="109"/>
      <c r="AI311" s="109"/>
      <c r="AJ311" s="109"/>
      <c r="AK311" s="109"/>
      <c r="AL311" s="109"/>
      <c r="AM311" s="109"/>
      <c r="AN311" s="109"/>
      <c r="AO311" s="109"/>
      <c r="AP311" s="109"/>
      <c r="AQ311" s="109"/>
      <c r="AR311" s="109"/>
      <c r="AS311" s="109"/>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row>
    <row r="312" spans="1:77">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c r="AB312" s="109"/>
      <c r="AC312" s="109"/>
      <c r="AD312" s="109"/>
      <c r="AE312" s="109"/>
      <c r="AF312" s="109"/>
      <c r="AG312" s="109"/>
      <c r="AH312" s="109"/>
      <c r="AI312" s="109"/>
      <c r="AJ312" s="109"/>
      <c r="AK312" s="109"/>
      <c r="AL312" s="109"/>
      <c r="AM312" s="109"/>
      <c r="AN312" s="109"/>
      <c r="AO312" s="109"/>
      <c r="AP312" s="109"/>
      <c r="AQ312" s="109"/>
      <c r="AR312" s="109"/>
      <c r="AS312" s="109"/>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row>
    <row r="313" spans="1:77">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c r="AE313" s="109"/>
      <c r="AF313" s="109"/>
      <c r="AG313" s="109"/>
      <c r="AH313" s="109"/>
      <c r="AI313" s="109"/>
      <c r="AJ313" s="109"/>
      <c r="AK313" s="109"/>
      <c r="AL313" s="109"/>
      <c r="AM313" s="109"/>
      <c r="AN313" s="109"/>
      <c r="AO313" s="109"/>
      <c r="AP313" s="109"/>
      <c r="AQ313" s="109"/>
      <c r="AR313" s="109"/>
      <c r="AS313" s="109"/>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row>
    <row r="314" spans="1:77">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c r="AB314" s="109"/>
      <c r="AC314" s="109"/>
      <c r="AD314" s="109"/>
      <c r="AE314" s="109"/>
      <c r="AF314" s="109"/>
      <c r="AG314" s="109"/>
      <c r="AH314" s="109"/>
      <c r="AI314" s="109"/>
      <c r="AJ314" s="109"/>
      <c r="AK314" s="109"/>
      <c r="AL314" s="109"/>
      <c r="AM314" s="109"/>
      <c r="AN314" s="109"/>
      <c r="AO314" s="109"/>
      <c r="AP314" s="109"/>
      <c r="AQ314" s="109"/>
      <c r="AR314" s="109"/>
      <c r="AS314" s="109"/>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row>
    <row r="315" spans="1:77">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c r="AB315" s="109"/>
      <c r="AC315" s="109"/>
      <c r="AD315" s="109"/>
      <c r="AE315" s="109"/>
      <c r="AF315" s="109"/>
      <c r="AG315" s="109"/>
      <c r="AH315" s="109"/>
      <c r="AI315" s="109"/>
      <c r="AJ315" s="109"/>
      <c r="AK315" s="109"/>
      <c r="AL315" s="109"/>
      <c r="AM315" s="109"/>
      <c r="AN315" s="109"/>
      <c r="AO315" s="109"/>
      <c r="AP315" s="109"/>
      <c r="AQ315" s="109"/>
      <c r="AR315" s="109"/>
      <c r="AS315" s="109"/>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row>
    <row r="316" spans="1:77">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c r="AB316" s="109"/>
      <c r="AC316" s="109"/>
      <c r="AD316" s="109"/>
      <c r="AE316" s="109"/>
      <c r="AF316" s="109"/>
      <c r="AG316" s="109"/>
      <c r="AH316" s="109"/>
      <c r="AI316" s="109"/>
      <c r="AJ316" s="109"/>
      <c r="AK316" s="109"/>
      <c r="AL316" s="109"/>
      <c r="AM316" s="109"/>
      <c r="AN316" s="109"/>
      <c r="AO316" s="109"/>
      <c r="AP316" s="109"/>
      <c r="AQ316" s="109"/>
      <c r="AR316" s="109"/>
      <c r="AS316" s="109"/>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row>
    <row r="317" spans="1:77">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c r="AB317" s="109"/>
      <c r="AC317" s="109"/>
      <c r="AD317" s="109"/>
      <c r="AE317" s="109"/>
      <c r="AF317" s="109"/>
      <c r="AG317" s="109"/>
      <c r="AH317" s="109"/>
      <c r="AI317" s="109"/>
      <c r="AJ317" s="109"/>
      <c r="AK317" s="109"/>
      <c r="AL317" s="109"/>
      <c r="AM317" s="109"/>
      <c r="AN317" s="109"/>
      <c r="AO317" s="109"/>
      <c r="AP317" s="109"/>
      <c r="AQ317" s="109"/>
      <c r="AR317" s="109"/>
      <c r="AS317" s="109"/>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row>
    <row r="318" spans="1:77">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c r="AB318" s="109"/>
      <c r="AC318" s="109"/>
      <c r="AD318" s="109"/>
      <c r="AE318" s="109"/>
      <c r="AF318" s="109"/>
      <c r="AG318" s="109"/>
      <c r="AH318" s="109"/>
      <c r="AI318" s="109"/>
      <c r="AJ318" s="109"/>
      <c r="AK318" s="109"/>
      <c r="AL318" s="109"/>
      <c r="AM318" s="109"/>
      <c r="AN318" s="109"/>
      <c r="AO318" s="109"/>
      <c r="AP318" s="109"/>
      <c r="AQ318" s="109"/>
      <c r="AR318" s="109"/>
      <c r="AS318" s="109"/>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row>
    <row r="319" spans="1:77">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c r="AA319" s="109"/>
      <c r="AB319" s="109"/>
      <c r="AC319" s="109"/>
      <c r="AD319" s="109"/>
      <c r="AE319" s="109"/>
      <c r="AF319" s="109"/>
      <c r="AG319" s="109"/>
      <c r="AH319" s="109"/>
      <c r="AI319" s="109"/>
      <c r="AJ319" s="109"/>
      <c r="AK319" s="109"/>
      <c r="AL319" s="109"/>
      <c r="AM319" s="109"/>
      <c r="AN319" s="109"/>
      <c r="AO319" s="109"/>
      <c r="AP319" s="109"/>
      <c r="AQ319" s="109"/>
      <c r="AR319" s="109"/>
      <c r="AS319" s="109"/>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row>
    <row r="320" spans="1:77">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c r="AA320" s="109"/>
      <c r="AB320" s="109"/>
      <c r="AC320" s="109"/>
      <c r="AD320" s="109"/>
      <c r="AE320" s="109"/>
      <c r="AF320" s="109"/>
      <c r="AG320" s="109"/>
      <c r="AH320" s="109"/>
      <c r="AI320" s="109"/>
      <c r="AJ320" s="109"/>
      <c r="AK320" s="109"/>
      <c r="AL320" s="109"/>
      <c r="AM320" s="109"/>
      <c r="AN320" s="109"/>
      <c r="AO320" s="109"/>
      <c r="AP320" s="109"/>
      <c r="AQ320" s="109"/>
      <c r="AR320" s="109"/>
      <c r="AS320" s="109"/>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row>
    <row r="321" spans="1:77">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c r="AA321" s="109"/>
      <c r="AB321" s="109"/>
      <c r="AC321" s="109"/>
      <c r="AD321" s="109"/>
      <c r="AE321" s="109"/>
      <c r="AF321" s="109"/>
      <c r="AG321" s="109"/>
      <c r="AH321" s="109"/>
      <c r="AI321" s="109"/>
      <c r="AJ321" s="109"/>
      <c r="AK321" s="109"/>
      <c r="AL321" s="109"/>
      <c r="AM321" s="109"/>
      <c r="AN321" s="109"/>
      <c r="AO321" s="109"/>
      <c r="AP321" s="109"/>
      <c r="AQ321" s="109"/>
      <c r="AR321" s="109"/>
      <c r="AS321" s="109"/>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row>
    <row r="322" spans="1:77">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c r="AA322" s="109"/>
      <c r="AB322" s="109"/>
      <c r="AC322" s="109"/>
      <c r="AD322" s="109"/>
      <c r="AE322" s="109"/>
      <c r="AF322" s="109"/>
      <c r="AG322" s="109"/>
      <c r="AH322" s="109"/>
      <c r="AI322" s="109"/>
      <c r="AJ322" s="109"/>
      <c r="AK322" s="109"/>
      <c r="AL322" s="109"/>
      <c r="AM322" s="109"/>
      <c r="AN322" s="109"/>
      <c r="AO322" s="109"/>
      <c r="AP322" s="109"/>
      <c r="AQ322" s="109"/>
      <c r="AR322" s="109"/>
      <c r="AS322" s="109"/>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row>
    <row r="323" spans="1:77">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c r="AA323" s="109"/>
      <c r="AB323" s="109"/>
      <c r="AC323" s="109"/>
      <c r="AD323" s="109"/>
      <c r="AE323" s="109"/>
      <c r="AF323" s="109"/>
      <c r="AG323" s="109"/>
      <c r="AH323" s="109"/>
      <c r="AI323" s="109"/>
      <c r="AJ323" s="109"/>
      <c r="AK323" s="109"/>
      <c r="AL323" s="109"/>
      <c r="AM323" s="109"/>
      <c r="AN323" s="109"/>
      <c r="AO323" s="109"/>
      <c r="AP323" s="109"/>
      <c r="AQ323" s="109"/>
      <c r="AR323" s="109"/>
      <c r="AS323" s="109"/>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row>
    <row r="324" spans="1:77">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c r="AB324" s="109"/>
      <c r="AC324" s="109"/>
      <c r="AD324" s="109"/>
      <c r="AE324" s="109"/>
      <c r="AF324" s="109"/>
      <c r="AG324" s="109"/>
      <c r="AH324" s="109"/>
      <c r="AI324" s="109"/>
      <c r="AJ324" s="109"/>
      <c r="AK324" s="109"/>
      <c r="AL324" s="109"/>
      <c r="AM324" s="109"/>
      <c r="AN324" s="109"/>
      <c r="AO324" s="109"/>
      <c r="AP324" s="109"/>
      <c r="AQ324" s="109"/>
      <c r="AR324" s="109"/>
      <c r="AS324" s="109"/>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row>
    <row r="325" spans="1:77">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c r="AA325" s="109"/>
      <c r="AB325" s="109"/>
      <c r="AC325" s="109"/>
      <c r="AD325" s="109"/>
      <c r="AE325" s="109"/>
      <c r="AF325" s="109"/>
      <c r="AG325" s="109"/>
      <c r="AH325" s="109"/>
      <c r="AI325" s="109"/>
      <c r="AJ325" s="109"/>
      <c r="AK325" s="109"/>
      <c r="AL325" s="109"/>
      <c r="AM325" s="109"/>
      <c r="AN325" s="109"/>
      <c r="AO325" s="109"/>
      <c r="AP325" s="109"/>
      <c r="AQ325" s="109"/>
      <c r="AR325" s="109"/>
      <c r="AS325" s="109"/>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row>
    <row r="326" spans="1:77">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c r="AA326" s="109"/>
      <c r="AB326" s="109"/>
      <c r="AC326" s="109"/>
      <c r="AD326" s="109"/>
      <c r="AE326" s="109"/>
      <c r="AF326" s="109"/>
      <c r="AG326" s="109"/>
      <c r="AH326" s="109"/>
      <c r="AI326" s="109"/>
      <c r="AJ326" s="109"/>
      <c r="AK326" s="109"/>
      <c r="AL326" s="109"/>
      <c r="AM326" s="109"/>
      <c r="AN326" s="109"/>
      <c r="AO326" s="109"/>
      <c r="AP326" s="109"/>
      <c r="AQ326" s="109"/>
      <c r="AR326" s="109"/>
      <c r="AS326" s="109"/>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row>
    <row r="327" spans="1:77">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c r="AA327" s="109"/>
      <c r="AB327" s="109"/>
      <c r="AC327" s="109"/>
      <c r="AD327" s="109"/>
      <c r="AE327" s="109"/>
      <c r="AF327" s="109"/>
      <c r="AG327" s="109"/>
      <c r="AH327" s="109"/>
      <c r="AI327" s="109"/>
      <c r="AJ327" s="109"/>
      <c r="AK327" s="109"/>
      <c r="AL327" s="109"/>
      <c r="AM327" s="109"/>
      <c r="AN327" s="109"/>
      <c r="AO327" s="109"/>
      <c r="AP327" s="109"/>
      <c r="AQ327" s="109"/>
      <c r="AR327" s="109"/>
      <c r="AS327" s="109"/>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row>
    <row r="328" spans="1:77">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c r="AA328" s="109"/>
      <c r="AB328" s="109"/>
      <c r="AC328" s="109"/>
      <c r="AD328" s="109"/>
      <c r="AE328" s="109"/>
      <c r="AF328" s="109"/>
      <c r="AG328" s="109"/>
      <c r="AH328" s="109"/>
      <c r="AI328" s="109"/>
      <c r="AJ328" s="109"/>
      <c r="AK328" s="109"/>
      <c r="AL328" s="109"/>
      <c r="AM328" s="109"/>
      <c r="AN328" s="109"/>
      <c r="AO328" s="109"/>
      <c r="AP328" s="109"/>
      <c r="AQ328" s="109"/>
      <c r="AR328" s="109"/>
      <c r="AS328" s="109"/>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row>
    <row r="329" spans="1:77">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c r="AA329" s="109"/>
      <c r="AB329" s="109"/>
      <c r="AC329" s="109"/>
      <c r="AD329" s="109"/>
      <c r="AE329" s="109"/>
      <c r="AF329" s="109"/>
      <c r="AG329" s="109"/>
      <c r="AH329" s="109"/>
      <c r="AI329" s="109"/>
      <c r="AJ329" s="109"/>
      <c r="AK329" s="109"/>
      <c r="AL329" s="109"/>
      <c r="AM329" s="109"/>
      <c r="AN329" s="109"/>
      <c r="AO329" s="109"/>
      <c r="AP329" s="109"/>
      <c r="AQ329" s="109"/>
      <c r="AR329" s="109"/>
      <c r="AS329" s="109"/>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row>
    <row r="330" spans="1:77">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c r="AA330" s="109"/>
      <c r="AB330" s="109"/>
      <c r="AC330" s="109"/>
      <c r="AD330" s="109"/>
      <c r="AE330" s="109"/>
      <c r="AF330" s="109"/>
      <c r="AG330" s="109"/>
      <c r="AH330" s="109"/>
      <c r="AI330" s="109"/>
      <c r="AJ330" s="109"/>
      <c r="AK330" s="109"/>
      <c r="AL330" s="109"/>
      <c r="AM330" s="109"/>
      <c r="AN330" s="109"/>
      <c r="AO330" s="109"/>
      <c r="AP330" s="109"/>
      <c r="AQ330" s="109"/>
      <c r="AR330" s="109"/>
      <c r="AS330" s="109"/>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row>
    <row r="331" spans="1:77">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c r="AA331" s="109"/>
      <c r="AB331" s="109"/>
      <c r="AC331" s="109"/>
      <c r="AD331" s="109"/>
      <c r="AE331" s="109"/>
      <c r="AF331" s="109"/>
      <c r="AG331" s="109"/>
      <c r="AH331" s="109"/>
      <c r="AI331" s="109"/>
      <c r="AJ331" s="109"/>
      <c r="AK331" s="109"/>
      <c r="AL331" s="109"/>
      <c r="AM331" s="109"/>
      <c r="AN331" s="109"/>
      <c r="AO331" s="109"/>
      <c r="AP331" s="109"/>
      <c r="AQ331" s="109"/>
      <c r="AR331" s="109"/>
      <c r="AS331" s="109"/>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row>
    <row r="332" spans="1:77">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c r="AB332" s="109"/>
      <c r="AC332" s="109"/>
      <c r="AD332" s="109"/>
      <c r="AE332" s="109"/>
      <c r="AF332" s="109"/>
      <c r="AG332" s="109"/>
      <c r="AH332" s="109"/>
      <c r="AI332" s="109"/>
      <c r="AJ332" s="109"/>
      <c r="AK332" s="109"/>
      <c r="AL332" s="109"/>
      <c r="AM332" s="109"/>
      <c r="AN332" s="109"/>
      <c r="AO332" s="109"/>
      <c r="AP332" s="109"/>
      <c r="AQ332" s="109"/>
      <c r="AR332" s="109"/>
      <c r="AS332" s="109"/>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row>
    <row r="333" spans="1:77">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c r="AA333" s="109"/>
      <c r="AB333" s="109"/>
      <c r="AC333" s="109"/>
      <c r="AD333" s="109"/>
      <c r="AE333" s="109"/>
      <c r="AF333" s="109"/>
      <c r="AG333" s="109"/>
      <c r="AH333" s="109"/>
      <c r="AI333" s="109"/>
      <c r="AJ333" s="109"/>
      <c r="AK333" s="109"/>
      <c r="AL333" s="109"/>
      <c r="AM333" s="109"/>
      <c r="AN333" s="109"/>
      <c r="AO333" s="109"/>
      <c r="AP333" s="109"/>
      <c r="AQ333" s="109"/>
      <c r="AR333" s="109"/>
      <c r="AS333" s="109"/>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row>
    <row r="334" spans="1:77">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c r="AA334" s="109"/>
      <c r="AB334" s="109"/>
      <c r="AC334" s="109"/>
      <c r="AD334" s="109"/>
      <c r="AE334" s="109"/>
      <c r="AF334" s="109"/>
      <c r="AG334" s="109"/>
      <c r="AH334" s="109"/>
      <c r="AI334" s="109"/>
      <c r="AJ334" s="109"/>
      <c r="AK334" s="109"/>
      <c r="AL334" s="109"/>
      <c r="AM334" s="109"/>
      <c r="AN334" s="109"/>
      <c r="AO334" s="109"/>
      <c r="AP334" s="109"/>
      <c r="AQ334" s="109"/>
      <c r="AR334" s="109"/>
      <c r="AS334" s="109"/>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row>
    <row r="335" spans="1:77">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c r="AA335" s="109"/>
      <c r="AB335" s="109"/>
      <c r="AC335" s="109"/>
      <c r="AD335" s="109"/>
      <c r="AE335" s="109"/>
      <c r="AF335" s="109"/>
      <c r="AG335" s="109"/>
      <c r="AH335" s="109"/>
      <c r="AI335" s="109"/>
      <c r="AJ335" s="109"/>
      <c r="AK335" s="109"/>
      <c r="AL335" s="109"/>
      <c r="AM335" s="109"/>
      <c r="AN335" s="109"/>
      <c r="AO335" s="109"/>
      <c r="AP335" s="109"/>
      <c r="AQ335" s="109"/>
      <c r="AR335" s="109"/>
      <c r="AS335" s="109"/>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row>
    <row r="336" spans="1:77">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c r="AA336" s="109"/>
      <c r="AB336" s="109"/>
      <c r="AC336" s="109"/>
      <c r="AD336" s="109"/>
      <c r="AE336" s="109"/>
      <c r="AF336" s="109"/>
      <c r="AG336" s="109"/>
      <c r="AH336" s="109"/>
      <c r="AI336" s="109"/>
      <c r="AJ336" s="109"/>
      <c r="AK336" s="109"/>
      <c r="AL336" s="109"/>
      <c r="AM336" s="109"/>
      <c r="AN336" s="109"/>
      <c r="AO336" s="109"/>
      <c r="AP336" s="109"/>
      <c r="AQ336" s="109"/>
      <c r="AR336" s="109"/>
      <c r="AS336" s="109"/>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row>
    <row r="337" spans="1:77">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c r="AA337" s="109"/>
      <c r="AB337" s="109"/>
      <c r="AC337" s="109"/>
      <c r="AD337" s="109"/>
      <c r="AE337" s="109"/>
      <c r="AF337" s="109"/>
      <c r="AG337" s="109"/>
      <c r="AH337" s="109"/>
      <c r="AI337" s="109"/>
      <c r="AJ337" s="109"/>
      <c r="AK337" s="109"/>
      <c r="AL337" s="109"/>
      <c r="AM337" s="109"/>
      <c r="AN337" s="109"/>
      <c r="AO337" s="109"/>
      <c r="AP337" s="109"/>
      <c r="AQ337" s="109"/>
      <c r="AR337" s="109"/>
      <c r="AS337" s="109"/>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row>
    <row r="338" spans="1:77">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c r="AB338" s="109"/>
      <c r="AC338" s="109"/>
      <c r="AD338" s="109"/>
      <c r="AE338" s="109"/>
      <c r="AF338" s="109"/>
      <c r="AG338" s="109"/>
      <c r="AH338" s="109"/>
      <c r="AI338" s="109"/>
      <c r="AJ338" s="109"/>
      <c r="AK338" s="109"/>
      <c r="AL338" s="109"/>
      <c r="AM338" s="109"/>
      <c r="AN338" s="109"/>
      <c r="AO338" s="109"/>
      <c r="AP338" s="109"/>
      <c r="AQ338" s="109"/>
      <c r="AR338" s="109"/>
      <c r="AS338" s="109"/>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row>
    <row r="339" spans="1:77">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c r="AB339" s="109"/>
      <c r="AC339" s="109"/>
      <c r="AD339" s="109"/>
      <c r="AE339" s="109"/>
      <c r="AF339" s="109"/>
      <c r="AG339" s="109"/>
      <c r="AH339" s="109"/>
      <c r="AI339" s="109"/>
      <c r="AJ339" s="109"/>
      <c r="AK339" s="109"/>
      <c r="AL339" s="109"/>
      <c r="AM339" s="109"/>
      <c r="AN339" s="109"/>
      <c r="AO339" s="109"/>
      <c r="AP339" s="109"/>
      <c r="AQ339" s="109"/>
      <c r="AR339" s="109"/>
      <c r="AS339" s="109"/>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row>
    <row r="340" spans="1:77">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c r="AA340" s="109"/>
      <c r="AB340" s="109"/>
      <c r="AC340" s="109"/>
      <c r="AD340" s="109"/>
      <c r="AE340" s="109"/>
      <c r="AF340" s="109"/>
      <c r="AG340" s="109"/>
      <c r="AH340" s="109"/>
      <c r="AI340" s="109"/>
      <c r="AJ340" s="109"/>
      <c r="AK340" s="109"/>
      <c r="AL340" s="109"/>
      <c r="AM340" s="109"/>
      <c r="AN340" s="109"/>
      <c r="AO340" s="109"/>
      <c r="AP340" s="109"/>
      <c r="AQ340" s="109"/>
      <c r="AR340" s="109"/>
      <c r="AS340" s="109"/>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row>
    <row r="341" spans="1:77">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c r="AA341" s="109"/>
      <c r="AB341" s="109"/>
      <c r="AC341" s="109"/>
      <c r="AD341" s="109"/>
      <c r="AE341" s="109"/>
      <c r="AF341" s="109"/>
      <c r="AG341" s="109"/>
      <c r="AH341" s="109"/>
      <c r="AI341" s="109"/>
      <c r="AJ341" s="109"/>
      <c r="AK341" s="109"/>
      <c r="AL341" s="109"/>
      <c r="AM341" s="109"/>
      <c r="AN341" s="109"/>
      <c r="AO341" s="109"/>
      <c r="AP341" s="109"/>
      <c r="AQ341" s="109"/>
      <c r="AR341" s="109"/>
      <c r="AS341" s="109"/>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row>
    <row r="342" spans="1:77">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c r="AA342" s="109"/>
      <c r="AB342" s="109"/>
      <c r="AC342" s="109"/>
      <c r="AD342" s="109"/>
      <c r="AE342" s="109"/>
      <c r="AF342" s="109"/>
      <c r="AG342" s="109"/>
      <c r="AH342" s="109"/>
      <c r="AI342" s="109"/>
      <c r="AJ342" s="109"/>
      <c r="AK342" s="109"/>
      <c r="AL342" s="109"/>
      <c r="AM342" s="109"/>
      <c r="AN342" s="109"/>
      <c r="AO342" s="109"/>
      <c r="AP342" s="109"/>
      <c r="AQ342" s="109"/>
      <c r="AR342" s="109"/>
      <c r="AS342" s="109"/>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row>
    <row r="343" spans="1:77">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c r="AA343" s="109"/>
      <c r="AB343" s="109"/>
      <c r="AC343" s="109"/>
      <c r="AD343" s="109"/>
      <c r="AE343" s="109"/>
      <c r="AF343" s="109"/>
      <c r="AG343" s="109"/>
      <c r="AH343" s="109"/>
      <c r="AI343" s="109"/>
      <c r="AJ343" s="109"/>
      <c r="AK343" s="109"/>
      <c r="AL343" s="109"/>
      <c r="AM343" s="109"/>
      <c r="AN343" s="109"/>
      <c r="AO343" s="109"/>
      <c r="AP343" s="109"/>
      <c r="AQ343" s="109"/>
      <c r="AR343" s="109"/>
      <c r="AS343" s="109"/>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row>
    <row r="344" spans="1:77">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c r="AA344" s="109"/>
      <c r="AB344" s="109"/>
      <c r="AC344" s="109"/>
      <c r="AD344" s="109"/>
      <c r="AE344" s="109"/>
      <c r="AF344" s="109"/>
      <c r="AG344" s="109"/>
      <c r="AH344" s="109"/>
      <c r="AI344" s="109"/>
      <c r="AJ344" s="109"/>
      <c r="AK344" s="109"/>
      <c r="AL344" s="109"/>
      <c r="AM344" s="109"/>
      <c r="AN344" s="109"/>
      <c r="AO344" s="109"/>
      <c r="AP344" s="109"/>
      <c r="AQ344" s="109"/>
      <c r="AR344" s="109"/>
      <c r="AS344" s="109"/>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row>
    <row r="345" spans="1:77">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c r="AE345" s="109"/>
      <c r="AF345" s="109"/>
      <c r="AG345" s="109"/>
      <c r="AH345" s="109"/>
      <c r="AI345" s="109"/>
      <c r="AJ345" s="109"/>
      <c r="AK345" s="109"/>
      <c r="AL345" s="109"/>
      <c r="AM345" s="109"/>
      <c r="AN345" s="109"/>
      <c r="AO345" s="109"/>
      <c r="AP345" s="109"/>
      <c r="AQ345" s="109"/>
      <c r="AR345" s="109"/>
      <c r="AS345" s="109"/>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row>
    <row r="346" spans="1:77">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c r="AB346" s="109"/>
      <c r="AC346" s="109"/>
      <c r="AD346" s="109"/>
      <c r="AE346" s="109"/>
      <c r="AF346" s="109"/>
      <c r="AG346" s="109"/>
      <c r="AH346" s="109"/>
      <c r="AI346" s="109"/>
      <c r="AJ346" s="109"/>
      <c r="AK346" s="109"/>
      <c r="AL346" s="109"/>
      <c r="AM346" s="109"/>
      <c r="AN346" s="109"/>
      <c r="AO346" s="109"/>
      <c r="AP346" s="109"/>
      <c r="AQ346" s="109"/>
      <c r="AR346" s="109"/>
      <c r="AS346" s="109"/>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row>
    <row r="347" spans="1:77">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c r="AA347" s="109"/>
      <c r="AB347" s="109"/>
      <c r="AC347" s="109"/>
      <c r="AD347" s="109"/>
      <c r="AE347" s="109"/>
      <c r="AF347" s="109"/>
      <c r="AG347" s="109"/>
      <c r="AH347" s="109"/>
      <c r="AI347" s="109"/>
      <c r="AJ347" s="109"/>
      <c r="AK347" s="109"/>
      <c r="AL347" s="109"/>
      <c r="AM347" s="109"/>
      <c r="AN347" s="109"/>
      <c r="AO347" s="109"/>
      <c r="AP347" s="109"/>
      <c r="AQ347" s="109"/>
      <c r="AR347" s="109"/>
      <c r="AS347" s="109"/>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row>
    <row r="348" spans="1:77">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c r="AA348" s="109"/>
      <c r="AB348" s="109"/>
      <c r="AC348" s="109"/>
      <c r="AD348" s="109"/>
      <c r="AE348" s="109"/>
      <c r="AF348" s="109"/>
      <c r="AG348" s="109"/>
      <c r="AH348" s="109"/>
      <c r="AI348" s="109"/>
      <c r="AJ348" s="109"/>
      <c r="AK348" s="109"/>
      <c r="AL348" s="109"/>
      <c r="AM348" s="109"/>
      <c r="AN348" s="109"/>
      <c r="AO348" s="109"/>
      <c r="AP348" s="109"/>
      <c r="AQ348" s="109"/>
      <c r="AR348" s="109"/>
      <c r="AS348" s="109"/>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row>
    <row r="349" spans="1:77">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c r="AA349" s="109"/>
      <c r="AB349" s="109"/>
      <c r="AC349" s="109"/>
      <c r="AD349" s="109"/>
      <c r="AE349" s="109"/>
      <c r="AF349" s="109"/>
      <c r="AG349" s="109"/>
      <c r="AH349" s="109"/>
      <c r="AI349" s="109"/>
      <c r="AJ349" s="109"/>
      <c r="AK349" s="109"/>
      <c r="AL349" s="109"/>
      <c r="AM349" s="109"/>
      <c r="AN349" s="109"/>
      <c r="AO349" s="109"/>
      <c r="AP349" s="109"/>
      <c r="AQ349" s="109"/>
      <c r="AR349" s="109"/>
      <c r="AS349" s="109"/>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row>
    <row r="350" spans="1:77">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c r="AB350" s="109"/>
      <c r="AC350" s="109"/>
      <c r="AD350" s="109"/>
      <c r="AE350" s="109"/>
      <c r="AF350" s="109"/>
      <c r="AG350" s="109"/>
      <c r="AH350" s="109"/>
      <c r="AI350" s="109"/>
      <c r="AJ350" s="109"/>
      <c r="AK350" s="109"/>
      <c r="AL350" s="109"/>
      <c r="AM350" s="109"/>
      <c r="AN350" s="109"/>
      <c r="AO350" s="109"/>
      <c r="AP350" s="109"/>
      <c r="AQ350" s="109"/>
      <c r="AR350" s="109"/>
      <c r="AS350" s="109"/>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row>
    <row r="351" spans="1:77">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c r="AA351" s="109"/>
      <c r="AB351" s="109"/>
      <c r="AC351" s="109"/>
      <c r="AD351" s="109"/>
      <c r="AE351" s="109"/>
      <c r="AF351" s="109"/>
      <c r="AG351" s="109"/>
      <c r="AH351" s="109"/>
      <c r="AI351" s="109"/>
      <c r="AJ351" s="109"/>
      <c r="AK351" s="109"/>
      <c r="AL351" s="109"/>
      <c r="AM351" s="109"/>
      <c r="AN351" s="109"/>
      <c r="AO351" s="109"/>
      <c r="AP351" s="109"/>
      <c r="AQ351" s="109"/>
      <c r="AR351" s="109"/>
      <c r="AS351" s="109"/>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row>
    <row r="352" spans="1:77">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c r="AA352" s="109"/>
      <c r="AB352" s="109"/>
      <c r="AC352" s="109"/>
      <c r="AD352" s="109"/>
      <c r="AE352" s="109"/>
      <c r="AF352" s="109"/>
      <c r="AG352" s="109"/>
      <c r="AH352" s="109"/>
      <c r="AI352" s="109"/>
      <c r="AJ352" s="109"/>
      <c r="AK352" s="109"/>
      <c r="AL352" s="109"/>
      <c r="AM352" s="109"/>
      <c r="AN352" s="109"/>
      <c r="AO352" s="109"/>
      <c r="AP352" s="109"/>
      <c r="AQ352" s="109"/>
      <c r="AR352" s="109"/>
      <c r="AS352" s="109"/>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row>
    <row r="353" spans="1:77">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c r="AA353" s="109"/>
      <c r="AB353" s="109"/>
      <c r="AC353" s="109"/>
      <c r="AD353" s="109"/>
      <c r="AE353" s="109"/>
      <c r="AF353" s="109"/>
      <c r="AG353" s="109"/>
      <c r="AH353" s="109"/>
      <c r="AI353" s="109"/>
      <c r="AJ353" s="109"/>
      <c r="AK353" s="109"/>
      <c r="AL353" s="109"/>
      <c r="AM353" s="109"/>
      <c r="AN353" s="109"/>
      <c r="AO353" s="109"/>
      <c r="AP353" s="109"/>
      <c r="AQ353" s="109"/>
      <c r="AR353" s="109"/>
      <c r="AS353" s="109"/>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row>
    <row r="354" spans="1:77">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c r="AA354" s="109"/>
      <c r="AB354" s="109"/>
      <c r="AC354" s="109"/>
      <c r="AD354" s="109"/>
      <c r="AE354" s="109"/>
      <c r="AF354" s="109"/>
      <c r="AG354" s="109"/>
      <c r="AH354" s="109"/>
      <c r="AI354" s="109"/>
      <c r="AJ354" s="109"/>
      <c r="AK354" s="109"/>
      <c r="AL354" s="109"/>
      <c r="AM354" s="109"/>
      <c r="AN354" s="109"/>
      <c r="AO354" s="109"/>
      <c r="AP354" s="109"/>
      <c r="AQ354" s="109"/>
      <c r="AR354" s="109"/>
      <c r="AS354" s="109"/>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row>
    <row r="355" spans="1:77">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c r="AA355" s="109"/>
      <c r="AB355" s="109"/>
      <c r="AC355" s="109"/>
      <c r="AD355" s="109"/>
      <c r="AE355" s="109"/>
      <c r="AF355" s="109"/>
      <c r="AG355" s="109"/>
      <c r="AH355" s="109"/>
      <c r="AI355" s="109"/>
      <c r="AJ355" s="109"/>
      <c r="AK355" s="109"/>
      <c r="AL355" s="109"/>
      <c r="AM355" s="109"/>
      <c r="AN355" s="109"/>
      <c r="AO355" s="109"/>
      <c r="AP355" s="109"/>
      <c r="AQ355" s="109"/>
      <c r="AR355" s="109"/>
      <c r="AS355" s="109"/>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row>
    <row r="356" spans="1:77">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c r="AA356" s="109"/>
      <c r="AB356" s="109"/>
      <c r="AC356" s="109"/>
      <c r="AD356" s="109"/>
      <c r="AE356" s="109"/>
      <c r="AF356" s="109"/>
      <c r="AG356" s="109"/>
      <c r="AH356" s="109"/>
      <c r="AI356" s="109"/>
      <c r="AJ356" s="109"/>
      <c r="AK356" s="109"/>
      <c r="AL356" s="109"/>
      <c r="AM356" s="109"/>
      <c r="AN356" s="109"/>
      <c r="AO356" s="109"/>
      <c r="AP356" s="109"/>
      <c r="AQ356" s="109"/>
      <c r="AR356" s="109"/>
      <c r="AS356" s="109"/>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row>
    <row r="357" spans="1:77">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c r="AA357" s="109"/>
      <c r="AB357" s="109"/>
      <c r="AC357" s="109"/>
      <c r="AD357" s="109"/>
      <c r="AE357" s="109"/>
      <c r="AF357" s="109"/>
      <c r="AG357" s="109"/>
      <c r="AH357" s="109"/>
      <c r="AI357" s="109"/>
      <c r="AJ357" s="109"/>
      <c r="AK357" s="109"/>
      <c r="AL357" s="109"/>
      <c r="AM357" s="109"/>
      <c r="AN357" s="109"/>
      <c r="AO357" s="109"/>
      <c r="AP357" s="109"/>
      <c r="AQ357" s="109"/>
      <c r="AR357" s="109"/>
      <c r="AS357" s="109"/>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row>
    <row r="358" spans="1:77">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c r="AA358" s="109"/>
      <c r="AB358" s="109"/>
      <c r="AC358" s="109"/>
      <c r="AD358" s="109"/>
      <c r="AE358" s="109"/>
      <c r="AF358" s="109"/>
      <c r="AG358" s="109"/>
      <c r="AH358" s="109"/>
      <c r="AI358" s="109"/>
      <c r="AJ358" s="109"/>
      <c r="AK358" s="109"/>
      <c r="AL358" s="109"/>
      <c r="AM358" s="109"/>
      <c r="AN358" s="109"/>
      <c r="AO358" s="109"/>
      <c r="AP358" s="109"/>
      <c r="AQ358" s="109"/>
      <c r="AR358" s="109"/>
      <c r="AS358" s="109"/>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row>
    <row r="359" spans="1:77">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c r="AA359" s="109"/>
      <c r="AB359" s="109"/>
      <c r="AC359" s="109"/>
      <c r="AD359" s="109"/>
      <c r="AE359" s="109"/>
      <c r="AF359" s="109"/>
      <c r="AG359" s="109"/>
      <c r="AH359" s="109"/>
      <c r="AI359" s="109"/>
      <c r="AJ359" s="109"/>
      <c r="AK359" s="109"/>
      <c r="AL359" s="109"/>
      <c r="AM359" s="109"/>
      <c r="AN359" s="109"/>
      <c r="AO359" s="109"/>
      <c r="AP359" s="109"/>
      <c r="AQ359" s="109"/>
      <c r="AR359" s="109"/>
      <c r="AS359" s="109"/>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row>
    <row r="360" spans="1:77">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c r="AA360" s="109"/>
      <c r="AB360" s="109"/>
      <c r="AC360" s="109"/>
      <c r="AD360" s="109"/>
      <c r="AE360" s="109"/>
      <c r="AF360" s="109"/>
      <c r="AG360" s="109"/>
      <c r="AH360" s="109"/>
      <c r="AI360" s="109"/>
      <c r="AJ360" s="109"/>
      <c r="AK360" s="109"/>
      <c r="AL360" s="109"/>
      <c r="AM360" s="109"/>
      <c r="AN360" s="109"/>
      <c r="AO360" s="109"/>
      <c r="AP360" s="109"/>
      <c r="AQ360" s="109"/>
      <c r="AR360" s="109"/>
      <c r="AS360" s="109"/>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row>
    <row r="361" spans="1:77">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c r="AA361" s="109"/>
      <c r="AB361" s="109"/>
      <c r="AC361" s="109"/>
      <c r="AD361" s="109"/>
      <c r="AE361" s="109"/>
      <c r="AF361" s="109"/>
      <c r="AG361" s="109"/>
      <c r="AH361" s="109"/>
      <c r="AI361" s="109"/>
      <c r="AJ361" s="109"/>
      <c r="AK361" s="109"/>
      <c r="AL361" s="109"/>
      <c r="AM361" s="109"/>
      <c r="AN361" s="109"/>
      <c r="AO361" s="109"/>
      <c r="AP361" s="109"/>
      <c r="AQ361" s="109"/>
      <c r="AR361" s="109"/>
      <c r="AS361" s="109"/>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row>
    <row r="362" spans="1:77">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c r="AA362" s="109"/>
      <c r="AB362" s="109"/>
      <c r="AC362" s="109"/>
      <c r="AD362" s="109"/>
      <c r="AE362" s="109"/>
      <c r="AF362" s="109"/>
      <c r="AG362" s="109"/>
      <c r="AH362" s="109"/>
      <c r="AI362" s="109"/>
      <c r="AJ362" s="109"/>
      <c r="AK362" s="109"/>
      <c r="AL362" s="109"/>
      <c r="AM362" s="109"/>
      <c r="AN362" s="109"/>
      <c r="AO362" s="109"/>
      <c r="AP362" s="109"/>
      <c r="AQ362" s="109"/>
      <c r="AR362" s="109"/>
      <c r="AS362" s="109"/>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row>
    <row r="363" spans="1:77">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c r="AA363" s="109"/>
      <c r="AB363" s="109"/>
      <c r="AC363" s="109"/>
      <c r="AD363" s="109"/>
      <c r="AE363" s="109"/>
      <c r="AF363" s="109"/>
      <c r="AG363" s="109"/>
      <c r="AH363" s="109"/>
      <c r="AI363" s="109"/>
      <c r="AJ363" s="109"/>
      <c r="AK363" s="109"/>
      <c r="AL363" s="109"/>
      <c r="AM363" s="109"/>
      <c r="AN363" s="109"/>
      <c r="AO363" s="109"/>
      <c r="AP363" s="109"/>
      <c r="AQ363" s="109"/>
      <c r="AR363" s="109"/>
      <c r="AS363" s="109"/>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row>
    <row r="364" spans="1:77">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c r="AA364" s="109"/>
      <c r="AB364" s="109"/>
      <c r="AC364" s="109"/>
      <c r="AD364" s="109"/>
      <c r="AE364" s="109"/>
      <c r="AF364" s="109"/>
      <c r="AG364" s="109"/>
      <c r="AH364" s="109"/>
      <c r="AI364" s="109"/>
      <c r="AJ364" s="109"/>
      <c r="AK364" s="109"/>
      <c r="AL364" s="109"/>
      <c r="AM364" s="109"/>
      <c r="AN364" s="109"/>
      <c r="AO364" s="109"/>
      <c r="AP364" s="109"/>
      <c r="AQ364" s="109"/>
      <c r="AR364" s="109"/>
      <c r="AS364" s="109"/>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row>
    <row r="365" spans="1:77">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c r="AA365" s="109"/>
      <c r="AB365" s="109"/>
      <c r="AC365" s="109"/>
      <c r="AD365" s="109"/>
      <c r="AE365" s="109"/>
      <c r="AF365" s="109"/>
      <c r="AG365" s="109"/>
      <c r="AH365" s="109"/>
      <c r="AI365" s="109"/>
      <c r="AJ365" s="109"/>
      <c r="AK365" s="109"/>
      <c r="AL365" s="109"/>
      <c r="AM365" s="109"/>
      <c r="AN365" s="109"/>
      <c r="AO365" s="109"/>
      <c r="AP365" s="109"/>
      <c r="AQ365" s="109"/>
      <c r="AR365" s="109"/>
      <c r="AS365" s="109"/>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row>
    <row r="366" spans="1:77">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c r="AA366" s="109"/>
      <c r="AB366" s="109"/>
      <c r="AC366" s="109"/>
      <c r="AD366" s="109"/>
      <c r="AE366" s="109"/>
      <c r="AF366" s="109"/>
      <c r="AG366" s="109"/>
      <c r="AH366" s="109"/>
      <c r="AI366" s="109"/>
      <c r="AJ366" s="109"/>
      <c r="AK366" s="109"/>
      <c r="AL366" s="109"/>
      <c r="AM366" s="109"/>
      <c r="AN366" s="109"/>
      <c r="AO366" s="109"/>
      <c r="AP366" s="109"/>
      <c r="AQ366" s="109"/>
      <c r="AR366" s="109"/>
      <c r="AS366" s="109"/>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row>
    <row r="367" spans="1:77">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c r="AA367" s="109"/>
      <c r="AB367" s="109"/>
      <c r="AC367" s="109"/>
      <c r="AD367" s="109"/>
      <c r="AE367" s="109"/>
      <c r="AF367" s="109"/>
      <c r="AG367" s="109"/>
      <c r="AH367" s="109"/>
      <c r="AI367" s="109"/>
      <c r="AJ367" s="109"/>
      <c r="AK367" s="109"/>
      <c r="AL367" s="109"/>
      <c r="AM367" s="109"/>
      <c r="AN367" s="109"/>
      <c r="AO367" s="109"/>
      <c r="AP367" s="109"/>
      <c r="AQ367" s="109"/>
      <c r="AR367" s="109"/>
      <c r="AS367" s="109"/>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row>
    <row r="368" spans="1:77">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c r="AA368" s="109"/>
      <c r="AB368" s="109"/>
      <c r="AC368" s="109"/>
      <c r="AD368" s="109"/>
      <c r="AE368" s="109"/>
      <c r="AF368" s="109"/>
      <c r="AG368" s="109"/>
      <c r="AH368" s="109"/>
      <c r="AI368" s="109"/>
      <c r="AJ368" s="109"/>
      <c r="AK368" s="109"/>
      <c r="AL368" s="109"/>
      <c r="AM368" s="109"/>
      <c r="AN368" s="109"/>
      <c r="AO368" s="109"/>
      <c r="AP368" s="109"/>
      <c r="AQ368" s="109"/>
      <c r="AR368" s="109"/>
      <c r="AS368" s="109"/>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row>
    <row r="369" spans="1:77">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c r="AA369" s="109"/>
      <c r="AB369" s="109"/>
      <c r="AC369" s="109"/>
      <c r="AD369" s="109"/>
      <c r="AE369" s="109"/>
      <c r="AF369" s="109"/>
      <c r="AG369" s="109"/>
      <c r="AH369" s="109"/>
      <c r="AI369" s="109"/>
      <c r="AJ369" s="109"/>
      <c r="AK369" s="109"/>
      <c r="AL369" s="109"/>
      <c r="AM369" s="109"/>
      <c r="AN369" s="109"/>
      <c r="AO369" s="109"/>
      <c r="AP369" s="109"/>
      <c r="AQ369" s="109"/>
      <c r="AR369" s="109"/>
      <c r="AS369" s="109"/>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row>
    <row r="370" spans="1:77">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c r="AB370" s="109"/>
      <c r="AC370" s="109"/>
      <c r="AD370" s="109"/>
      <c r="AE370" s="109"/>
      <c r="AF370" s="109"/>
      <c r="AG370" s="109"/>
      <c r="AH370" s="109"/>
      <c r="AI370" s="109"/>
      <c r="AJ370" s="109"/>
      <c r="AK370" s="109"/>
      <c r="AL370" s="109"/>
      <c r="AM370" s="109"/>
      <c r="AN370" s="109"/>
      <c r="AO370" s="109"/>
      <c r="AP370" s="109"/>
      <c r="AQ370" s="109"/>
      <c r="AR370" s="109"/>
      <c r="AS370" s="109"/>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row>
    <row r="371" spans="1:77">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c r="AA371" s="109"/>
      <c r="AB371" s="109"/>
      <c r="AC371" s="109"/>
      <c r="AD371" s="109"/>
      <c r="AE371" s="109"/>
      <c r="AF371" s="109"/>
      <c r="AG371" s="109"/>
      <c r="AH371" s="109"/>
      <c r="AI371" s="109"/>
      <c r="AJ371" s="109"/>
      <c r="AK371" s="109"/>
      <c r="AL371" s="109"/>
      <c r="AM371" s="109"/>
      <c r="AN371" s="109"/>
      <c r="AO371" s="109"/>
      <c r="AP371" s="109"/>
      <c r="AQ371" s="109"/>
      <c r="AR371" s="109"/>
      <c r="AS371" s="109"/>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row>
    <row r="372" spans="1:77">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c r="AA372" s="109"/>
      <c r="AB372" s="109"/>
      <c r="AC372" s="109"/>
      <c r="AD372" s="109"/>
      <c r="AE372" s="109"/>
      <c r="AF372" s="109"/>
      <c r="AG372" s="109"/>
      <c r="AH372" s="109"/>
      <c r="AI372" s="109"/>
      <c r="AJ372" s="109"/>
      <c r="AK372" s="109"/>
      <c r="AL372" s="109"/>
      <c r="AM372" s="109"/>
      <c r="AN372" s="109"/>
      <c r="AO372" s="109"/>
      <c r="AP372" s="109"/>
      <c r="AQ372" s="109"/>
      <c r="AR372" s="109"/>
      <c r="AS372" s="109"/>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row>
    <row r="373" spans="1:77">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c r="AA373" s="109"/>
      <c r="AB373" s="109"/>
      <c r="AC373" s="109"/>
      <c r="AD373" s="109"/>
      <c r="AE373" s="109"/>
      <c r="AF373" s="109"/>
      <c r="AG373" s="109"/>
      <c r="AH373" s="109"/>
      <c r="AI373" s="109"/>
      <c r="AJ373" s="109"/>
      <c r="AK373" s="109"/>
      <c r="AL373" s="109"/>
      <c r="AM373" s="109"/>
      <c r="AN373" s="109"/>
      <c r="AO373" s="109"/>
      <c r="AP373" s="109"/>
      <c r="AQ373" s="109"/>
      <c r="AR373" s="109"/>
      <c r="AS373" s="109"/>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row>
    <row r="374" spans="1:77">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c r="AA374" s="109"/>
      <c r="AB374" s="109"/>
      <c r="AC374" s="109"/>
      <c r="AD374" s="109"/>
      <c r="AE374" s="109"/>
      <c r="AF374" s="109"/>
      <c r="AG374" s="109"/>
      <c r="AH374" s="109"/>
      <c r="AI374" s="109"/>
      <c r="AJ374" s="109"/>
      <c r="AK374" s="109"/>
      <c r="AL374" s="109"/>
      <c r="AM374" s="109"/>
      <c r="AN374" s="109"/>
      <c r="AO374" s="109"/>
      <c r="AP374" s="109"/>
      <c r="AQ374" s="109"/>
      <c r="AR374" s="109"/>
      <c r="AS374" s="109"/>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row>
    <row r="375" spans="1:77">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c r="AB375" s="109"/>
      <c r="AC375" s="109"/>
      <c r="AD375" s="109"/>
      <c r="AE375" s="109"/>
      <c r="AF375" s="109"/>
      <c r="AG375" s="109"/>
      <c r="AH375" s="109"/>
      <c r="AI375" s="109"/>
      <c r="AJ375" s="109"/>
      <c r="AK375" s="109"/>
      <c r="AL375" s="109"/>
      <c r="AM375" s="109"/>
      <c r="AN375" s="109"/>
      <c r="AO375" s="109"/>
      <c r="AP375" s="109"/>
      <c r="AQ375" s="109"/>
      <c r="AR375" s="109"/>
      <c r="AS375" s="109"/>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row>
    <row r="376" spans="1:77">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c r="AA376" s="109"/>
      <c r="AB376" s="109"/>
      <c r="AC376" s="109"/>
      <c r="AD376" s="109"/>
      <c r="AE376" s="109"/>
      <c r="AF376" s="109"/>
      <c r="AG376" s="109"/>
      <c r="AH376" s="109"/>
      <c r="AI376" s="109"/>
      <c r="AJ376" s="109"/>
      <c r="AK376" s="109"/>
      <c r="AL376" s="109"/>
      <c r="AM376" s="109"/>
      <c r="AN376" s="109"/>
      <c r="AO376" s="109"/>
      <c r="AP376" s="109"/>
      <c r="AQ376" s="109"/>
      <c r="AR376" s="109"/>
      <c r="AS376" s="109"/>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row>
    <row r="377" spans="1:77">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c r="AA377" s="109"/>
      <c r="AB377" s="109"/>
      <c r="AC377" s="109"/>
      <c r="AD377" s="109"/>
      <c r="AE377" s="109"/>
      <c r="AF377" s="109"/>
      <c r="AG377" s="109"/>
      <c r="AH377" s="109"/>
      <c r="AI377" s="109"/>
      <c r="AJ377" s="109"/>
      <c r="AK377" s="109"/>
      <c r="AL377" s="109"/>
      <c r="AM377" s="109"/>
      <c r="AN377" s="109"/>
      <c r="AO377" s="109"/>
      <c r="AP377" s="109"/>
      <c r="AQ377" s="109"/>
      <c r="AR377" s="109"/>
      <c r="AS377" s="109"/>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row>
    <row r="378" spans="1:77">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c r="AB378" s="109"/>
      <c r="AC378" s="109"/>
      <c r="AD378" s="109"/>
      <c r="AE378" s="109"/>
      <c r="AF378" s="109"/>
      <c r="AG378" s="109"/>
      <c r="AH378" s="109"/>
      <c r="AI378" s="109"/>
      <c r="AJ378" s="109"/>
      <c r="AK378" s="109"/>
      <c r="AL378" s="109"/>
      <c r="AM378" s="109"/>
      <c r="AN378" s="109"/>
      <c r="AO378" s="109"/>
      <c r="AP378" s="109"/>
      <c r="AQ378" s="109"/>
      <c r="AR378" s="109"/>
      <c r="AS378" s="109"/>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row>
    <row r="379" spans="1:77">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c r="AA379" s="109"/>
      <c r="AB379" s="109"/>
      <c r="AC379" s="109"/>
      <c r="AD379" s="109"/>
      <c r="AE379" s="109"/>
      <c r="AF379" s="109"/>
      <c r="AG379" s="109"/>
      <c r="AH379" s="109"/>
      <c r="AI379" s="109"/>
      <c r="AJ379" s="109"/>
      <c r="AK379" s="109"/>
      <c r="AL379" s="109"/>
      <c r="AM379" s="109"/>
      <c r="AN379" s="109"/>
      <c r="AO379" s="109"/>
      <c r="AP379" s="109"/>
      <c r="AQ379" s="109"/>
      <c r="AR379" s="109"/>
      <c r="AS379" s="109"/>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row>
    <row r="380" spans="1:77">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c r="AA380" s="109"/>
      <c r="AB380" s="109"/>
      <c r="AC380" s="109"/>
      <c r="AD380" s="109"/>
      <c r="AE380" s="109"/>
      <c r="AF380" s="109"/>
      <c r="AG380" s="109"/>
      <c r="AH380" s="109"/>
      <c r="AI380" s="109"/>
      <c r="AJ380" s="109"/>
      <c r="AK380" s="109"/>
      <c r="AL380" s="109"/>
      <c r="AM380" s="109"/>
      <c r="AN380" s="109"/>
      <c r="AO380" s="109"/>
      <c r="AP380" s="109"/>
      <c r="AQ380" s="109"/>
      <c r="AR380" s="109"/>
      <c r="AS380" s="109"/>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row>
    <row r="381" spans="1:77">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c r="AA381" s="109"/>
      <c r="AB381" s="109"/>
      <c r="AC381" s="109"/>
      <c r="AD381" s="109"/>
      <c r="AE381" s="109"/>
      <c r="AF381" s="109"/>
      <c r="AG381" s="109"/>
      <c r="AH381" s="109"/>
      <c r="AI381" s="109"/>
      <c r="AJ381" s="109"/>
      <c r="AK381" s="109"/>
      <c r="AL381" s="109"/>
      <c r="AM381" s="109"/>
      <c r="AN381" s="109"/>
      <c r="AO381" s="109"/>
      <c r="AP381" s="109"/>
      <c r="AQ381" s="109"/>
      <c r="AR381" s="109"/>
      <c r="AS381" s="109"/>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row>
    <row r="382" spans="1:77">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c r="AA382" s="109"/>
      <c r="AB382" s="109"/>
      <c r="AC382" s="109"/>
      <c r="AD382" s="109"/>
      <c r="AE382" s="109"/>
      <c r="AF382" s="109"/>
      <c r="AG382" s="109"/>
      <c r="AH382" s="109"/>
      <c r="AI382" s="109"/>
      <c r="AJ382" s="109"/>
      <c r="AK382" s="109"/>
      <c r="AL382" s="109"/>
      <c r="AM382" s="109"/>
      <c r="AN382" s="109"/>
      <c r="AO382" s="109"/>
      <c r="AP382" s="109"/>
      <c r="AQ382" s="109"/>
      <c r="AR382" s="109"/>
      <c r="AS382" s="109"/>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row>
    <row r="383" spans="1:77">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c r="AA383" s="109"/>
      <c r="AB383" s="109"/>
      <c r="AC383" s="109"/>
      <c r="AD383" s="109"/>
      <c r="AE383" s="109"/>
      <c r="AF383" s="109"/>
      <c r="AG383" s="109"/>
      <c r="AH383" s="109"/>
      <c r="AI383" s="109"/>
      <c r="AJ383" s="109"/>
      <c r="AK383" s="109"/>
      <c r="AL383" s="109"/>
      <c r="AM383" s="109"/>
      <c r="AN383" s="109"/>
      <c r="AO383" s="109"/>
      <c r="AP383" s="109"/>
      <c r="AQ383" s="109"/>
      <c r="AR383" s="109"/>
      <c r="AS383" s="109"/>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row>
    <row r="384" spans="1:77">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c r="AB384" s="109"/>
      <c r="AC384" s="109"/>
      <c r="AD384" s="109"/>
      <c r="AE384" s="109"/>
      <c r="AF384" s="109"/>
      <c r="AG384" s="109"/>
      <c r="AH384" s="109"/>
      <c r="AI384" s="109"/>
      <c r="AJ384" s="109"/>
      <c r="AK384" s="109"/>
      <c r="AL384" s="109"/>
      <c r="AM384" s="109"/>
      <c r="AN384" s="109"/>
      <c r="AO384" s="109"/>
      <c r="AP384" s="109"/>
      <c r="AQ384" s="109"/>
      <c r="AR384" s="109"/>
      <c r="AS384" s="109"/>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row>
    <row r="385" spans="1:77">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c r="AA385" s="109"/>
      <c r="AB385" s="109"/>
      <c r="AC385" s="109"/>
      <c r="AD385" s="109"/>
      <c r="AE385" s="109"/>
      <c r="AF385" s="109"/>
      <c r="AG385" s="109"/>
      <c r="AH385" s="109"/>
      <c r="AI385" s="109"/>
      <c r="AJ385" s="109"/>
      <c r="AK385" s="109"/>
      <c r="AL385" s="109"/>
      <c r="AM385" s="109"/>
      <c r="AN385" s="109"/>
      <c r="AO385" s="109"/>
      <c r="AP385" s="109"/>
      <c r="AQ385" s="109"/>
      <c r="AR385" s="109"/>
      <c r="AS385" s="109"/>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row>
    <row r="386" spans="1:77">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c r="AA386" s="109"/>
      <c r="AB386" s="109"/>
      <c r="AC386" s="109"/>
      <c r="AD386" s="109"/>
      <c r="AE386" s="109"/>
      <c r="AF386" s="109"/>
      <c r="AG386" s="109"/>
      <c r="AH386" s="109"/>
      <c r="AI386" s="109"/>
      <c r="AJ386" s="109"/>
      <c r="AK386" s="109"/>
      <c r="AL386" s="109"/>
      <c r="AM386" s="109"/>
      <c r="AN386" s="109"/>
      <c r="AO386" s="109"/>
      <c r="AP386" s="109"/>
      <c r="AQ386" s="109"/>
      <c r="AR386" s="109"/>
      <c r="AS386" s="109"/>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row>
    <row r="387" spans="1:77">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c r="AA387" s="109"/>
      <c r="AB387" s="109"/>
      <c r="AC387" s="109"/>
      <c r="AD387" s="109"/>
      <c r="AE387" s="109"/>
      <c r="AF387" s="109"/>
      <c r="AG387" s="109"/>
      <c r="AH387" s="109"/>
      <c r="AI387" s="109"/>
      <c r="AJ387" s="109"/>
      <c r="AK387" s="109"/>
      <c r="AL387" s="109"/>
      <c r="AM387" s="109"/>
      <c r="AN387" s="109"/>
      <c r="AO387" s="109"/>
      <c r="AP387" s="109"/>
      <c r="AQ387" s="109"/>
      <c r="AR387" s="109"/>
      <c r="AS387" s="109"/>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row>
    <row r="388" spans="1:77">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c r="AA388" s="109"/>
      <c r="AB388" s="109"/>
      <c r="AC388" s="109"/>
      <c r="AD388" s="109"/>
      <c r="AE388" s="109"/>
      <c r="AF388" s="109"/>
      <c r="AG388" s="109"/>
      <c r="AH388" s="109"/>
      <c r="AI388" s="109"/>
      <c r="AJ388" s="109"/>
      <c r="AK388" s="109"/>
      <c r="AL388" s="109"/>
      <c r="AM388" s="109"/>
      <c r="AN388" s="109"/>
      <c r="AO388" s="109"/>
      <c r="AP388" s="109"/>
      <c r="AQ388" s="109"/>
      <c r="AR388" s="109"/>
      <c r="AS388" s="109"/>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row>
    <row r="389" spans="1:77">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c r="AA389" s="109"/>
      <c r="AB389" s="109"/>
      <c r="AC389" s="109"/>
      <c r="AD389" s="109"/>
      <c r="AE389" s="109"/>
      <c r="AF389" s="109"/>
      <c r="AG389" s="109"/>
      <c r="AH389" s="109"/>
      <c r="AI389" s="109"/>
      <c r="AJ389" s="109"/>
      <c r="AK389" s="109"/>
      <c r="AL389" s="109"/>
      <c r="AM389" s="109"/>
      <c r="AN389" s="109"/>
      <c r="AO389" s="109"/>
      <c r="AP389" s="109"/>
      <c r="AQ389" s="109"/>
      <c r="AR389" s="109"/>
      <c r="AS389" s="109"/>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row>
    <row r="390" spans="1:77">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c r="AE390" s="109"/>
      <c r="AF390" s="109"/>
      <c r="AG390" s="109"/>
      <c r="AH390" s="109"/>
      <c r="AI390" s="109"/>
      <c r="AJ390" s="109"/>
      <c r="AK390" s="109"/>
      <c r="AL390" s="109"/>
      <c r="AM390" s="109"/>
      <c r="AN390" s="109"/>
      <c r="AO390" s="109"/>
      <c r="AP390" s="109"/>
      <c r="AQ390" s="109"/>
      <c r="AR390" s="109"/>
      <c r="AS390" s="109"/>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row>
    <row r="391" spans="1:77">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c r="AB391" s="109"/>
      <c r="AC391" s="109"/>
      <c r="AD391" s="109"/>
      <c r="AE391" s="109"/>
      <c r="AF391" s="109"/>
      <c r="AG391" s="109"/>
      <c r="AH391" s="109"/>
      <c r="AI391" s="109"/>
      <c r="AJ391" s="109"/>
      <c r="AK391" s="109"/>
      <c r="AL391" s="109"/>
      <c r="AM391" s="109"/>
      <c r="AN391" s="109"/>
      <c r="AO391" s="109"/>
      <c r="AP391" s="109"/>
      <c r="AQ391" s="109"/>
      <c r="AR391" s="109"/>
      <c r="AS391" s="109"/>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row>
    <row r="392" spans="1:77">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c r="AA392" s="109"/>
      <c r="AB392" s="109"/>
      <c r="AC392" s="109"/>
      <c r="AD392" s="109"/>
      <c r="AE392" s="109"/>
      <c r="AF392" s="109"/>
      <c r="AG392" s="109"/>
      <c r="AH392" s="109"/>
      <c r="AI392" s="109"/>
      <c r="AJ392" s="109"/>
      <c r="AK392" s="109"/>
      <c r="AL392" s="109"/>
      <c r="AM392" s="109"/>
      <c r="AN392" s="109"/>
      <c r="AO392" s="109"/>
      <c r="AP392" s="109"/>
      <c r="AQ392" s="109"/>
      <c r="AR392" s="109"/>
      <c r="AS392" s="109"/>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row>
    <row r="393" spans="1:77">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c r="AB393" s="109"/>
      <c r="AC393" s="109"/>
      <c r="AD393" s="109"/>
      <c r="AE393" s="109"/>
      <c r="AF393" s="109"/>
      <c r="AG393" s="109"/>
      <c r="AH393" s="109"/>
      <c r="AI393" s="109"/>
      <c r="AJ393" s="109"/>
      <c r="AK393" s="109"/>
      <c r="AL393" s="109"/>
      <c r="AM393" s="109"/>
      <c r="AN393" s="109"/>
      <c r="AO393" s="109"/>
      <c r="AP393" s="109"/>
      <c r="AQ393" s="109"/>
      <c r="AR393" s="109"/>
      <c r="AS393" s="109"/>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row>
    <row r="394" spans="1:77">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c r="AA394" s="109"/>
      <c r="AB394" s="109"/>
      <c r="AC394" s="109"/>
      <c r="AD394" s="109"/>
      <c r="AE394" s="109"/>
      <c r="AF394" s="109"/>
      <c r="AG394" s="109"/>
      <c r="AH394" s="109"/>
      <c r="AI394" s="109"/>
      <c r="AJ394" s="109"/>
      <c r="AK394" s="109"/>
      <c r="AL394" s="109"/>
      <c r="AM394" s="109"/>
      <c r="AN394" s="109"/>
      <c r="AO394" s="109"/>
      <c r="AP394" s="109"/>
      <c r="AQ394" s="109"/>
      <c r="AR394" s="109"/>
      <c r="AS394" s="109"/>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row>
    <row r="395" spans="1:77">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c r="AA395" s="109"/>
      <c r="AB395" s="109"/>
      <c r="AC395" s="109"/>
      <c r="AD395" s="109"/>
      <c r="AE395" s="109"/>
      <c r="AF395" s="109"/>
      <c r="AG395" s="109"/>
      <c r="AH395" s="109"/>
      <c r="AI395" s="109"/>
      <c r="AJ395" s="109"/>
      <c r="AK395" s="109"/>
      <c r="AL395" s="109"/>
      <c r="AM395" s="109"/>
      <c r="AN395" s="109"/>
      <c r="AO395" s="109"/>
      <c r="AP395" s="109"/>
      <c r="AQ395" s="109"/>
      <c r="AR395" s="109"/>
      <c r="AS395" s="109"/>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row>
    <row r="396" spans="1:77">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c r="AA396" s="109"/>
      <c r="AB396" s="109"/>
      <c r="AC396" s="109"/>
      <c r="AD396" s="109"/>
      <c r="AE396" s="109"/>
      <c r="AF396" s="109"/>
      <c r="AG396" s="109"/>
      <c r="AH396" s="109"/>
      <c r="AI396" s="109"/>
      <c r="AJ396" s="109"/>
      <c r="AK396" s="109"/>
      <c r="AL396" s="109"/>
      <c r="AM396" s="109"/>
      <c r="AN396" s="109"/>
      <c r="AO396" s="109"/>
      <c r="AP396" s="109"/>
      <c r="AQ396" s="109"/>
      <c r="AR396" s="109"/>
      <c r="AS396" s="109"/>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row>
    <row r="397" spans="1:77">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c r="AA397" s="109"/>
      <c r="AB397" s="109"/>
      <c r="AC397" s="109"/>
      <c r="AD397" s="109"/>
      <c r="AE397" s="109"/>
      <c r="AF397" s="109"/>
      <c r="AG397" s="109"/>
      <c r="AH397" s="109"/>
      <c r="AI397" s="109"/>
      <c r="AJ397" s="109"/>
      <c r="AK397" s="109"/>
      <c r="AL397" s="109"/>
      <c r="AM397" s="109"/>
      <c r="AN397" s="109"/>
      <c r="AO397" s="109"/>
      <c r="AP397" s="109"/>
      <c r="AQ397" s="109"/>
      <c r="AR397" s="109"/>
      <c r="AS397" s="109"/>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row>
    <row r="398" spans="1:77">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c r="AA398" s="109"/>
      <c r="AB398" s="109"/>
      <c r="AC398" s="109"/>
      <c r="AD398" s="109"/>
      <c r="AE398" s="109"/>
      <c r="AF398" s="109"/>
      <c r="AG398" s="109"/>
      <c r="AH398" s="109"/>
      <c r="AI398" s="109"/>
      <c r="AJ398" s="109"/>
      <c r="AK398" s="109"/>
      <c r="AL398" s="109"/>
      <c r="AM398" s="109"/>
      <c r="AN398" s="109"/>
      <c r="AO398" s="109"/>
      <c r="AP398" s="109"/>
      <c r="AQ398" s="109"/>
      <c r="AR398" s="109"/>
      <c r="AS398" s="109"/>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row>
    <row r="399" spans="1:77">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c r="AA399" s="109"/>
      <c r="AB399" s="109"/>
      <c r="AC399" s="109"/>
      <c r="AD399" s="109"/>
      <c r="AE399" s="109"/>
      <c r="AF399" s="109"/>
      <c r="AG399" s="109"/>
      <c r="AH399" s="109"/>
      <c r="AI399" s="109"/>
      <c r="AJ399" s="109"/>
      <c r="AK399" s="109"/>
      <c r="AL399" s="109"/>
      <c r="AM399" s="109"/>
      <c r="AN399" s="109"/>
      <c r="AO399" s="109"/>
      <c r="AP399" s="109"/>
      <c r="AQ399" s="109"/>
      <c r="AR399" s="109"/>
      <c r="AS399" s="109"/>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row>
    <row r="400" spans="1:77">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c r="AA400" s="109"/>
      <c r="AB400" s="109"/>
      <c r="AC400" s="109"/>
      <c r="AD400" s="109"/>
      <c r="AE400" s="109"/>
      <c r="AF400" s="109"/>
      <c r="AG400" s="109"/>
      <c r="AH400" s="109"/>
      <c r="AI400" s="109"/>
      <c r="AJ400" s="109"/>
      <c r="AK400" s="109"/>
      <c r="AL400" s="109"/>
      <c r="AM400" s="109"/>
      <c r="AN400" s="109"/>
      <c r="AO400" s="109"/>
      <c r="AP400" s="109"/>
      <c r="AQ400" s="109"/>
      <c r="AR400" s="109"/>
      <c r="AS400" s="109"/>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row>
    <row r="401" spans="1:77">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c r="AA401" s="109"/>
      <c r="AB401" s="109"/>
      <c r="AC401" s="109"/>
      <c r="AD401" s="109"/>
      <c r="AE401" s="109"/>
      <c r="AF401" s="109"/>
      <c r="AG401" s="109"/>
      <c r="AH401" s="109"/>
      <c r="AI401" s="109"/>
      <c r="AJ401" s="109"/>
      <c r="AK401" s="109"/>
      <c r="AL401" s="109"/>
      <c r="AM401" s="109"/>
      <c r="AN401" s="109"/>
      <c r="AO401" s="109"/>
      <c r="AP401" s="109"/>
      <c r="AQ401" s="109"/>
      <c r="AR401" s="109"/>
      <c r="AS401" s="109"/>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row>
    <row r="402" spans="1:77">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c r="AA402" s="109"/>
      <c r="AB402" s="109"/>
      <c r="AC402" s="109"/>
      <c r="AD402" s="109"/>
      <c r="AE402" s="109"/>
      <c r="AF402" s="109"/>
      <c r="AG402" s="109"/>
      <c r="AH402" s="109"/>
      <c r="AI402" s="109"/>
      <c r="AJ402" s="109"/>
      <c r="AK402" s="109"/>
      <c r="AL402" s="109"/>
      <c r="AM402" s="109"/>
      <c r="AN402" s="109"/>
      <c r="AO402" s="109"/>
      <c r="AP402" s="109"/>
      <c r="AQ402" s="109"/>
      <c r="AR402" s="109"/>
      <c r="AS402" s="109"/>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row>
    <row r="403" spans="1:77">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c r="AA403" s="109"/>
      <c r="AB403" s="109"/>
      <c r="AC403" s="109"/>
      <c r="AD403" s="109"/>
      <c r="AE403" s="109"/>
      <c r="AF403" s="109"/>
      <c r="AG403" s="109"/>
      <c r="AH403" s="109"/>
      <c r="AI403" s="109"/>
      <c r="AJ403" s="109"/>
      <c r="AK403" s="109"/>
      <c r="AL403" s="109"/>
      <c r="AM403" s="109"/>
      <c r="AN403" s="109"/>
      <c r="AO403" s="109"/>
      <c r="AP403" s="109"/>
      <c r="AQ403" s="109"/>
      <c r="AR403" s="109"/>
      <c r="AS403" s="109"/>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row>
    <row r="404" spans="1:77">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c r="AB404" s="109"/>
      <c r="AC404" s="109"/>
      <c r="AD404" s="109"/>
      <c r="AE404" s="109"/>
      <c r="AF404" s="109"/>
      <c r="AG404" s="109"/>
      <c r="AH404" s="109"/>
      <c r="AI404" s="109"/>
      <c r="AJ404" s="109"/>
      <c r="AK404" s="109"/>
      <c r="AL404" s="109"/>
      <c r="AM404" s="109"/>
      <c r="AN404" s="109"/>
      <c r="AO404" s="109"/>
      <c r="AP404" s="109"/>
      <c r="AQ404" s="109"/>
      <c r="AR404" s="109"/>
      <c r="AS404" s="109"/>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row>
    <row r="405" spans="1:77">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c r="AA405" s="109"/>
      <c r="AB405" s="109"/>
      <c r="AC405" s="109"/>
      <c r="AD405" s="109"/>
      <c r="AE405" s="109"/>
      <c r="AF405" s="109"/>
      <c r="AG405" s="109"/>
      <c r="AH405" s="109"/>
      <c r="AI405" s="109"/>
      <c r="AJ405" s="109"/>
      <c r="AK405" s="109"/>
      <c r="AL405" s="109"/>
      <c r="AM405" s="109"/>
      <c r="AN405" s="109"/>
      <c r="AO405" s="109"/>
      <c r="AP405" s="109"/>
      <c r="AQ405" s="109"/>
      <c r="AR405" s="109"/>
      <c r="AS405" s="109"/>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row>
    <row r="406" spans="1:77">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c r="AA406" s="109"/>
      <c r="AB406" s="109"/>
      <c r="AC406" s="109"/>
      <c r="AD406" s="109"/>
      <c r="AE406" s="109"/>
      <c r="AF406" s="109"/>
      <c r="AG406" s="109"/>
      <c r="AH406" s="109"/>
      <c r="AI406" s="109"/>
      <c r="AJ406" s="109"/>
      <c r="AK406" s="109"/>
      <c r="AL406" s="109"/>
      <c r="AM406" s="109"/>
      <c r="AN406" s="109"/>
      <c r="AO406" s="109"/>
      <c r="AP406" s="109"/>
      <c r="AQ406" s="109"/>
      <c r="AR406" s="109"/>
      <c r="AS406" s="109"/>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row>
    <row r="407" spans="1:77">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c r="AA407" s="109"/>
      <c r="AB407" s="109"/>
      <c r="AC407" s="109"/>
      <c r="AD407" s="109"/>
      <c r="AE407" s="109"/>
      <c r="AF407" s="109"/>
      <c r="AG407" s="109"/>
      <c r="AH407" s="109"/>
      <c r="AI407" s="109"/>
      <c r="AJ407" s="109"/>
      <c r="AK407" s="109"/>
      <c r="AL407" s="109"/>
      <c r="AM407" s="109"/>
      <c r="AN407" s="109"/>
      <c r="AO407" s="109"/>
      <c r="AP407" s="109"/>
      <c r="AQ407" s="109"/>
      <c r="AR407" s="109"/>
      <c r="AS407" s="109"/>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row>
    <row r="408" spans="1:77">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c r="AA408" s="109"/>
      <c r="AB408" s="109"/>
      <c r="AC408" s="109"/>
      <c r="AD408" s="109"/>
      <c r="AE408" s="109"/>
      <c r="AF408" s="109"/>
      <c r="AG408" s="109"/>
      <c r="AH408" s="109"/>
      <c r="AI408" s="109"/>
      <c r="AJ408" s="109"/>
      <c r="AK408" s="109"/>
      <c r="AL408" s="109"/>
      <c r="AM408" s="109"/>
      <c r="AN408" s="109"/>
      <c r="AO408" s="109"/>
      <c r="AP408" s="109"/>
      <c r="AQ408" s="109"/>
      <c r="AR408" s="109"/>
      <c r="AS408" s="109"/>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row>
    <row r="409" spans="1:77">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c r="AA409" s="109"/>
      <c r="AB409" s="109"/>
      <c r="AC409" s="109"/>
      <c r="AD409" s="109"/>
      <c r="AE409" s="109"/>
      <c r="AF409" s="109"/>
      <c r="AG409" s="109"/>
      <c r="AH409" s="109"/>
      <c r="AI409" s="109"/>
      <c r="AJ409" s="109"/>
      <c r="AK409" s="109"/>
      <c r="AL409" s="109"/>
      <c r="AM409" s="109"/>
      <c r="AN409" s="109"/>
      <c r="AO409" s="109"/>
      <c r="AP409" s="109"/>
      <c r="AQ409" s="109"/>
      <c r="AR409" s="109"/>
      <c r="AS409" s="109"/>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row>
    <row r="410" spans="1:77">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c r="AA410" s="109"/>
      <c r="AB410" s="109"/>
      <c r="AC410" s="109"/>
      <c r="AD410" s="109"/>
      <c r="AE410" s="109"/>
      <c r="AF410" s="109"/>
      <c r="AG410" s="109"/>
      <c r="AH410" s="109"/>
      <c r="AI410" s="109"/>
      <c r="AJ410" s="109"/>
      <c r="AK410" s="109"/>
      <c r="AL410" s="109"/>
      <c r="AM410" s="109"/>
      <c r="AN410" s="109"/>
      <c r="AO410" s="109"/>
      <c r="AP410" s="109"/>
      <c r="AQ410" s="109"/>
      <c r="AR410" s="109"/>
      <c r="AS410" s="109"/>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row>
    <row r="411" spans="1:77">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c r="AA411" s="109"/>
      <c r="AB411" s="109"/>
      <c r="AC411" s="109"/>
      <c r="AD411" s="109"/>
      <c r="AE411" s="109"/>
      <c r="AF411" s="109"/>
      <c r="AG411" s="109"/>
      <c r="AH411" s="109"/>
      <c r="AI411" s="109"/>
      <c r="AJ411" s="109"/>
      <c r="AK411" s="109"/>
      <c r="AL411" s="109"/>
      <c r="AM411" s="109"/>
      <c r="AN411" s="109"/>
      <c r="AO411" s="109"/>
      <c r="AP411" s="109"/>
      <c r="AQ411" s="109"/>
      <c r="AR411" s="109"/>
      <c r="AS411" s="109"/>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row>
    <row r="412" spans="1:77">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c r="AA412" s="109"/>
      <c r="AB412" s="109"/>
      <c r="AC412" s="109"/>
      <c r="AD412" s="109"/>
      <c r="AE412" s="109"/>
      <c r="AF412" s="109"/>
      <c r="AG412" s="109"/>
      <c r="AH412" s="109"/>
      <c r="AI412" s="109"/>
      <c r="AJ412" s="109"/>
      <c r="AK412" s="109"/>
      <c r="AL412" s="109"/>
      <c r="AM412" s="109"/>
      <c r="AN412" s="109"/>
      <c r="AO412" s="109"/>
      <c r="AP412" s="109"/>
      <c r="AQ412" s="109"/>
      <c r="AR412" s="109"/>
      <c r="AS412" s="109"/>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row>
    <row r="413" spans="1:77">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c r="AA413" s="109"/>
      <c r="AB413" s="109"/>
      <c r="AC413" s="109"/>
      <c r="AD413" s="109"/>
      <c r="AE413" s="109"/>
      <c r="AF413" s="109"/>
      <c r="AG413" s="109"/>
      <c r="AH413" s="109"/>
      <c r="AI413" s="109"/>
      <c r="AJ413" s="109"/>
      <c r="AK413" s="109"/>
      <c r="AL413" s="109"/>
      <c r="AM413" s="109"/>
      <c r="AN413" s="109"/>
      <c r="AO413" s="109"/>
      <c r="AP413" s="109"/>
      <c r="AQ413" s="109"/>
      <c r="AR413" s="109"/>
      <c r="AS413" s="109"/>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row>
    <row r="414" spans="1:77">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c r="AA414" s="109"/>
      <c r="AB414" s="109"/>
      <c r="AC414" s="109"/>
      <c r="AD414" s="109"/>
      <c r="AE414" s="109"/>
      <c r="AF414" s="109"/>
      <c r="AG414" s="109"/>
      <c r="AH414" s="109"/>
      <c r="AI414" s="109"/>
      <c r="AJ414" s="109"/>
      <c r="AK414" s="109"/>
      <c r="AL414" s="109"/>
      <c r="AM414" s="109"/>
      <c r="AN414" s="109"/>
      <c r="AO414" s="109"/>
      <c r="AP414" s="109"/>
      <c r="AQ414" s="109"/>
      <c r="AR414" s="109"/>
      <c r="AS414" s="109"/>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row>
    <row r="415" spans="1:77">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c r="AA415" s="109"/>
      <c r="AB415" s="109"/>
      <c r="AC415" s="109"/>
      <c r="AD415" s="109"/>
      <c r="AE415" s="109"/>
      <c r="AF415" s="109"/>
      <c r="AG415" s="109"/>
      <c r="AH415" s="109"/>
      <c r="AI415" s="109"/>
      <c r="AJ415" s="109"/>
      <c r="AK415" s="109"/>
      <c r="AL415" s="109"/>
      <c r="AM415" s="109"/>
      <c r="AN415" s="109"/>
      <c r="AO415" s="109"/>
      <c r="AP415" s="109"/>
      <c r="AQ415" s="109"/>
      <c r="AR415" s="109"/>
      <c r="AS415" s="109"/>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row>
    <row r="416" spans="1:77">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c r="AA416" s="109"/>
      <c r="AB416" s="109"/>
      <c r="AC416" s="109"/>
      <c r="AD416" s="109"/>
      <c r="AE416" s="109"/>
      <c r="AF416" s="109"/>
      <c r="AG416" s="109"/>
      <c r="AH416" s="109"/>
      <c r="AI416" s="109"/>
      <c r="AJ416" s="109"/>
      <c r="AK416" s="109"/>
      <c r="AL416" s="109"/>
      <c r="AM416" s="109"/>
      <c r="AN416" s="109"/>
      <c r="AO416" s="109"/>
      <c r="AP416" s="109"/>
      <c r="AQ416" s="109"/>
      <c r="AR416" s="109"/>
      <c r="AS416" s="109"/>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row>
    <row r="417" spans="1:77">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c r="AA417" s="109"/>
      <c r="AB417" s="109"/>
      <c r="AC417" s="109"/>
      <c r="AD417" s="109"/>
      <c r="AE417" s="109"/>
      <c r="AF417" s="109"/>
      <c r="AG417" s="109"/>
      <c r="AH417" s="109"/>
      <c r="AI417" s="109"/>
      <c r="AJ417" s="109"/>
      <c r="AK417" s="109"/>
      <c r="AL417" s="109"/>
      <c r="AM417" s="109"/>
      <c r="AN417" s="109"/>
      <c r="AO417" s="109"/>
      <c r="AP417" s="109"/>
      <c r="AQ417" s="109"/>
      <c r="AR417" s="109"/>
      <c r="AS417" s="109"/>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row>
    <row r="418" spans="1:77">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c r="AA418" s="109"/>
      <c r="AB418" s="109"/>
      <c r="AC418" s="109"/>
      <c r="AD418" s="109"/>
      <c r="AE418" s="109"/>
      <c r="AF418" s="109"/>
      <c r="AG418" s="109"/>
      <c r="AH418" s="109"/>
      <c r="AI418" s="109"/>
      <c r="AJ418" s="109"/>
      <c r="AK418" s="109"/>
      <c r="AL418" s="109"/>
      <c r="AM418" s="109"/>
      <c r="AN418" s="109"/>
      <c r="AO418" s="109"/>
      <c r="AP418" s="109"/>
      <c r="AQ418" s="109"/>
      <c r="AR418" s="109"/>
      <c r="AS418" s="109"/>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row>
    <row r="419" spans="1:77">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c r="AA419" s="109"/>
      <c r="AB419" s="109"/>
      <c r="AC419" s="109"/>
      <c r="AD419" s="109"/>
      <c r="AE419" s="109"/>
      <c r="AF419" s="109"/>
      <c r="AG419" s="109"/>
      <c r="AH419" s="109"/>
      <c r="AI419" s="109"/>
      <c r="AJ419" s="109"/>
      <c r="AK419" s="109"/>
      <c r="AL419" s="109"/>
      <c r="AM419" s="109"/>
      <c r="AN419" s="109"/>
      <c r="AO419" s="109"/>
      <c r="AP419" s="109"/>
      <c r="AQ419" s="109"/>
      <c r="AR419" s="109"/>
      <c r="AS419" s="109"/>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row>
    <row r="420" spans="1:77">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c r="AA420" s="109"/>
      <c r="AB420" s="109"/>
      <c r="AC420" s="109"/>
      <c r="AD420" s="109"/>
      <c r="AE420" s="109"/>
      <c r="AF420" s="109"/>
      <c r="AG420" s="109"/>
      <c r="AH420" s="109"/>
      <c r="AI420" s="109"/>
      <c r="AJ420" s="109"/>
      <c r="AK420" s="109"/>
      <c r="AL420" s="109"/>
      <c r="AM420" s="109"/>
      <c r="AN420" s="109"/>
      <c r="AO420" s="109"/>
      <c r="AP420" s="109"/>
      <c r="AQ420" s="109"/>
      <c r="AR420" s="109"/>
      <c r="AS420" s="109"/>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row>
    <row r="421" spans="1:77">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c r="AA421" s="109"/>
      <c r="AB421" s="109"/>
      <c r="AC421" s="109"/>
      <c r="AD421" s="109"/>
      <c r="AE421" s="109"/>
      <c r="AF421" s="109"/>
      <c r="AG421" s="109"/>
      <c r="AH421" s="109"/>
      <c r="AI421" s="109"/>
      <c r="AJ421" s="109"/>
      <c r="AK421" s="109"/>
      <c r="AL421" s="109"/>
      <c r="AM421" s="109"/>
      <c r="AN421" s="109"/>
      <c r="AO421" s="109"/>
      <c r="AP421" s="109"/>
      <c r="AQ421" s="109"/>
      <c r="AR421" s="109"/>
      <c r="AS421" s="109"/>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row>
    <row r="422" spans="1:77">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c r="AA422" s="109"/>
      <c r="AB422" s="109"/>
      <c r="AC422" s="109"/>
      <c r="AD422" s="109"/>
      <c r="AE422" s="109"/>
      <c r="AF422" s="109"/>
      <c r="AG422" s="109"/>
      <c r="AH422" s="109"/>
      <c r="AI422" s="109"/>
      <c r="AJ422" s="109"/>
      <c r="AK422" s="109"/>
      <c r="AL422" s="109"/>
      <c r="AM422" s="109"/>
      <c r="AN422" s="109"/>
      <c r="AO422" s="109"/>
      <c r="AP422" s="109"/>
      <c r="AQ422" s="109"/>
      <c r="AR422" s="109"/>
      <c r="AS422" s="109"/>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row>
    <row r="423" spans="1:77">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c r="AA423" s="109"/>
      <c r="AB423" s="109"/>
      <c r="AC423" s="109"/>
      <c r="AD423" s="109"/>
      <c r="AE423" s="109"/>
      <c r="AF423" s="109"/>
      <c r="AG423" s="109"/>
      <c r="AH423" s="109"/>
      <c r="AI423" s="109"/>
      <c r="AJ423" s="109"/>
      <c r="AK423" s="109"/>
      <c r="AL423" s="109"/>
      <c r="AM423" s="109"/>
      <c r="AN423" s="109"/>
      <c r="AO423" s="109"/>
      <c r="AP423" s="109"/>
      <c r="AQ423" s="109"/>
      <c r="AR423" s="109"/>
      <c r="AS423" s="109"/>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row>
    <row r="424" spans="1:77">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c r="AA424" s="109"/>
      <c r="AB424" s="109"/>
      <c r="AC424" s="109"/>
      <c r="AD424" s="109"/>
      <c r="AE424" s="109"/>
      <c r="AF424" s="109"/>
      <c r="AG424" s="109"/>
      <c r="AH424" s="109"/>
      <c r="AI424" s="109"/>
      <c r="AJ424" s="109"/>
      <c r="AK424" s="109"/>
      <c r="AL424" s="109"/>
      <c r="AM424" s="109"/>
      <c r="AN424" s="109"/>
      <c r="AO424" s="109"/>
      <c r="AP424" s="109"/>
      <c r="AQ424" s="109"/>
      <c r="AR424" s="109"/>
      <c r="AS424" s="109"/>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row>
    <row r="425" spans="1:77">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c r="AA425" s="109"/>
      <c r="AB425" s="109"/>
      <c r="AC425" s="109"/>
      <c r="AD425" s="109"/>
      <c r="AE425" s="109"/>
      <c r="AF425" s="109"/>
      <c r="AG425" s="109"/>
      <c r="AH425" s="109"/>
      <c r="AI425" s="109"/>
      <c r="AJ425" s="109"/>
      <c r="AK425" s="109"/>
      <c r="AL425" s="109"/>
      <c r="AM425" s="109"/>
      <c r="AN425" s="109"/>
      <c r="AO425" s="109"/>
      <c r="AP425" s="109"/>
      <c r="AQ425" s="109"/>
      <c r="AR425" s="109"/>
      <c r="AS425" s="109"/>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row>
    <row r="426" spans="1:77">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c r="AA426" s="109"/>
      <c r="AB426" s="109"/>
      <c r="AC426" s="109"/>
      <c r="AD426" s="109"/>
      <c r="AE426" s="109"/>
      <c r="AF426" s="109"/>
      <c r="AG426" s="109"/>
      <c r="AH426" s="109"/>
      <c r="AI426" s="109"/>
      <c r="AJ426" s="109"/>
      <c r="AK426" s="109"/>
      <c r="AL426" s="109"/>
      <c r="AM426" s="109"/>
      <c r="AN426" s="109"/>
      <c r="AO426" s="109"/>
      <c r="AP426" s="109"/>
      <c r="AQ426" s="109"/>
      <c r="AR426" s="109"/>
      <c r="AS426" s="109"/>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row>
    <row r="427" spans="1:77">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c r="AB427" s="109"/>
      <c r="AC427" s="109"/>
      <c r="AD427" s="109"/>
      <c r="AE427" s="109"/>
      <c r="AF427" s="109"/>
      <c r="AG427" s="109"/>
      <c r="AH427" s="109"/>
      <c r="AI427" s="109"/>
      <c r="AJ427" s="109"/>
      <c r="AK427" s="109"/>
      <c r="AL427" s="109"/>
      <c r="AM427" s="109"/>
      <c r="AN427" s="109"/>
      <c r="AO427" s="109"/>
      <c r="AP427" s="109"/>
      <c r="AQ427" s="109"/>
      <c r="AR427" s="109"/>
      <c r="AS427" s="109"/>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row>
    <row r="428" spans="1:77">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c r="AA428" s="109"/>
      <c r="AB428" s="109"/>
      <c r="AC428" s="109"/>
      <c r="AD428" s="109"/>
      <c r="AE428" s="109"/>
      <c r="AF428" s="109"/>
      <c r="AG428" s="109"/>
      <c r="AH428" s="109"/>
      <c r="AI428" s="109"/>
      <c r="AJ428" s="109"/>
      <c r="AK428" s="109"/>
      <c r="AL428" s="109"/>
      <c r="AM428" s="109"/>
      <c r="AN428" s="109"/>
      <c r="AO428" s="109"/>
      <c r="AP428" s="109"/>
      <c r="AQ428" s="109"/>
      <c r="AR428" s="109"/>
      <c r="AS428" s="109"/>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row>
    <row r="429" spans="1:77">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c r="AA429" s="109"/>
      <c r="AB429" s="109"/>
      <c r="AC429" s="109"/>
      <c r="AD429" s="109"/>
      <c r="AE429" s="109"/>
      <c r="AF429" s="109"/>
      <c r="AG429" s="109"/>
      <c r="AH429" s="109"/>
      <c r="AI429" s="109"/>
      <c r="AJ429" s="109"/>
      <c r="AK429" s="109"/>
      <c r="AL429" s="109"/>
      <c r="AM429" s="109"/>
      <c r="AN429" s="109"/>
      <c r="AO429" s="109"/>
      <c r="AP429" s="109"/>
      <c r="AQ429" s="109"/>
      <c r="AR429" s="109"/>
      <c r="AS429" s="109"/>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row>
    <row r="430" spans="1:77">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c r="AA430" s="109"/>
      <c r="AB430" s="109"/>
      <c r="AC430" s="109"/>
      <c r="AD430" s="109"/>
      <c r="AE430" s="109"/>
      <c r="AF430" s="109"/>
      <c r="AG430" s="109"/>
      <c r="AH430" s="109"/>
      <c r="AI430" s="109"/>
      <c r="AJ430" s="109"/>
      <c r="AK430" s="109"/>
      <c r="AL430" s="109"/>
      <c r="AM430" s="109"/>
      <c r="AN430" s="109"/>
      <c r="AO430" s="109"/>
      <c r="AP430" s="109"/>
      <c r="AQ430" s="109"/>
      <c r="AR430" s="109"/>
      <c r="AS430" s="109"/>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row>
    <row r="431" spans="1:77">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c r="AB431" s="109"/>
      <c r="AC431" s="109"/>
      <c r="AD431" s="109"/>
      <c r="AE431" s="109"/>
      <c r="AF431" s="109"/>
      <c r="AG431" s="109"/>
      <c r="AH431" s="109"/>
      <c r="AI431" s="109"/>
      <c r="AJ431" s="109"/>
      <c r="AK431" s="109"/>
      <c r="AL431" s="109"/>
      <c r="AM431" s="109"/>
      <c r="AN431" s="109"/>
      <c r="AO431" s="109"/>
      <c r="AP431" s="109"/>
      <c r="AQ431" s="109"/>
      <c r="AR431" s="109"/>
      <c r="AS431" s="109"/>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row>
    <row r="432" spans="1:77">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c r="AA432" s="109"/>
      <c r="AB432" s="109"/>
      <c r="AC432" s="109"/>
      <c r="AD432" s="109"/>
      <c r="AE432" s="109"/>
      <c r="AF432" s="109"/>
      <c r="AG432" s="109"/>
      <c r="AH432" s="109"/>
      <c r="AI432" s="109"/>
      <c r="AJ432" s="109"/>
      <c r="AK432" s="109"/>
      <c r="AL432" s="109"/>
      <c r="AM432" s="109"/>
      <c r="AN432" s="109"/>
      <c r="AO432" s="109"/>
      <c r="AP432" s="109"/>
      <c r="AQ432" s="109"/>
      <c r="AR432" s="109"/>
      <c r="AS432" s="109"/>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row>
    <row r="433" spans="1:77">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c r="AA433" s="109"/>
      <c r="AB433" s="109"/>
      <c r="AC433" s="109"/>
      <c r="AD433" s="109"/>
      <c r="AE433" s="109"/>
      <c r="AF433" s="109"/>
      <c r="AG433" s="109"/>
      <c r="AH433" s="109"/>
      <c r="AI433" s="109"/>
      <c r="AJ433" s="109"/>
      <c r="AK433" s="109"/>
      <c r="AL433" s="109"/>
      <c r="AM433" s="109"/>
      <c r="AN433" s="109"/>
      <c r="AO433" s="109"/>
      <c r="AP433" s="109"/>
      <c r="AQ433" s="109"/>
      <c r="AR433" s="109"/>
      <c r="AS433" s="109"/>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row>
    <row r="434" spans="1:77">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c r="AA434" s="109"/>
      <c r="AB434" s="109"/>
      <c r="AC434" s="109"/>
      <c r="AD434" s="109"/>
      <c r="AE434" s="109"/>
      <c r="AF434" s="109"/>
      <c r="AG434" s="109"/>
      <c r="AH434" s="109"/>
      <c r="AI434" s="109"/>
      <c r="AJ434" s="109"/>
      <c r="AK434" s="109"/>
      <c r="AL434" s="109"/>
      <c r="AM434" s="109"/>
      <c r="AN434" s="109"/>
      <c r="AO434" s="109"/>
      <c r="AP434" s="109"/>
      <c r="AQ434" s="109"/>
      <c r="AR434" s="109"/>
      <c r="AS434" s="109"/>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row>
    <row r="435" spans="1:77">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c r="AB435" s="109"/>
      <c r="AC435" s="109"/>
      <c r="AD435" s="109"/>
      <c r="AE435" s="109"/>
      <c r="AF435" s="109"/>
      <c r="AG435" s="109"/>
      <c r="AH435" s="109"/>
      <c r="AI435" s="109"/>
      <c r="AJ435" s="109"/>
      <c r="AK435" s="109"/>
      <c r="AL435" s="109"/>
      <c r="AM435" s="109"/>
      <c r="AN435" s="109"/>
      <c r="AO435" s="109"/>
      <c r="AP435" s="109"/>
      <c r="AQ435" s="109"/>
      <c r="AR435" s="109"/>
      <c r="AS435" s="109"/>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row>
    <row r="436" spans="1:77">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c r="AA436" s="109"/>
      <c r="AB436" s="109"/>
      <c r="AC436" s="109"/>
      <c r="AD436" s="109"/>
      <c r="AE436" s="109"/>
      <c r="AF436" s="109"/>
      <c r="AG436" s="109"/>
      <c r="AH436" s="109"/>
      <c r="AI436" s="109"/>
      <c r="AJ436" s="109"/>
      <c r="AK436" s="109"/>
      <c r="AL436" s="109"/>
      <c r="AM436" s="109"/>
      <c r="AN436" s="109"/>
      <c r="AO436" s="109"/>
      <c r="AP436" s="109"/>
      <c r="AQ436" s="109"/>
      <c r="AR436" s="109"/>
      <c r="AS436" s="109"/>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row>
    <row r="437" spans="1:77">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c r="AA437" s="109"/>
      <c r="AB437" s="109"/>
      <c r="AC437" s="109"/>
      <c r="AD437" s="109"/>
      <c r="AE437" s="109"/>
      <c r="AF437" s="109"/>
      <c r="AG437" s="109"/>
      <c r="AH437" s="109"/>
      <c r="AI437" s="109"/>
      <c r="AJ437" s="109"/>
      <c r="AK437" s="109"/>
      <c r="AL437" s="109"/>
      <c r="AM437" s="109"/>
      <c r="AN437" s="109"/>
      <c r="AO437" s="109"/>
      <c r="AP437" s="109"/>
      <c r="AQ437" s="109"/>
      <c r="AR437" s="109"/>
      <c r="AS437" s="109"/>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row>
    <row r="438" spans="1:77">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c r="AA438" s="109"/>
      <c r="AB438" s="109"/>
      <c r="AC438" s="109"/>
      <c r="AD438" s="109"/>
      <c r="AE438" s="109"/>
      <c r="AF438" s="109"/>
      <c r="AG438" s="109"/>
      <c r="AH438" s="109"/>
      <c r="AI438" s="109"/>
      <c r="AJ438" s="109"/>
      <c r="AK438" s="109"/>
      <c r="AL438" s="109"/>
      <c r="AM438" s="109"/>
      <c r="AN438" s="109"/>
      <c r="AO438" s="109"/>
      <c r="AP438" s="109"/>
      <c r="AQ438" s="109"/>
      <c r="AR438" s="109"/>
      <c r="AS438" s="109"/>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row>
    <row r="439" spans="1:77">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c r="AB439" s="109"/>
      <c r="AC439" s="109"/>
      <c r="AD439" s="109"/>
      <c r="AE439" s="109"/>
      <c r="AF439" s="109"/>
      <c r="AG439" s="109"/>
      <c r="AH439" s="109"/>
      <c r="AI439" s="109"/>
      <c r="AJ439" s="109"/>
      <c r="AK439" s="109"/>
      <c r="AL439" s="109"/>
      <c r="AM439" s="109"/>
      <c r="AN439" s="109"/>
      <c r="AO439" s="109"/>
      <c r="AP439" s="109"/>
      <c r="AQ439" s="109"/>
      <c r="AR439" s="109"/>
      <c r="AS439" s="109"/>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row>
    <row r="440" spans="1:77">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c r="AA440" s="109"/>
      <c r="AB440" s="109"/>
      <c r="AC440" s="109"/>
      <c r="AD440" s="109"/>
      <c r="AE440" s="109"/>
      <c r="AF440" s="109"/>
      <c r="AG440" s="109"/>
      <c r="AH440" s="109"/>
      <c r="AI440" s="109"/>
      <c r="AJ440" s="109"/>
      <c r="AK440" s="109"/>
      <c r="AL440" s="109"/>
      <c r="AM440" s="109"/>
      <c r="AN440" s="109"/>
      <c r="AO440" s="109"/>
      <c r="AP440" s="109"/>
      <c r="AQ440" s="109"/>
      <c r="AR440" s="109"/>
      <c r="AS440" s="109"/>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row>
    <row r="441" spans="1:77">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c r="AA441" s="109"/>
      <c r="AB441" s="109"/>
      <c r="AC441" s="109"/>
      <c r="AD441" s="109"/>
      <c r="AE441" s="109"/>
      <c r="AF441" s="109"/>
      <c r="AG441" s="109"/>
      <c r="AH441" s="109"/>
      <c r="AI441" s="109"/>
      <c r="AJ441" s="109"/>
      <c r="AK441" s="109"/>
      <c r="AL441" s="109"/>
      <c r="AM441" s="109"/>
      <c r="AN441" s="109"/>
      <c r="AO441" s="109"/>
      <c r="AP441" s="109"/>
      <c r="AQ441" s="109"/>
      <c r="AR441" s="109"/>
      <c r="AS441" s="109"/>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row>
    <row r="442" spans="1:77">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c r="AB442" s="109"/>
      <c r="AC442" s="109"/>
      <c r="AD442" s="109"/>
      <c r="AE442" s="109"/>
      <c r="AF442" s="109"/>
      <c r="AG442" s="109"/>
      <c r="AH442" s="109"/>
      <c r="AI442" s="109"/>
      <c r="AJ442" s="109"/>
      <c r="AK442" s="109"/>
      <c r="AL442" s="109"/>
      <c r="AM442" s="109"/>
      <c r="AN442" s="109"/>
      <c r="AO442" s="109"/>
      <c r="AP442" s="109"/>
      <c r="AQ442" s="109"/>
      <c r="AR442" s="109"/>
      <c r="AS442" s="109"/>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row>
    <row r="443" spans="1:77">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c r="AA443" s="109"/>
      <c r="AB443" s="109"/>
      <c r="AC443" s="109"/>
      <c r="AD443" s="109"/>
      <c r="AE443" s="109"/>
      <c r="AF443" s="109"/>
      <c r="AG443" s="109"/>
      <c r="AH443" s="109"/>
      <c r="AI443" s="109"/>
      <c r="AJ443" s="109"/>
      <c r="AK443" s="109"/>
      <c r="AL443" s="109"/>
      <c r="AM443" s="109"/>
      <c r="AN443" s="109"/>
      <c r="AO443" s="109"/>
      <c r="AP443" s="109"/>
      <c r="AQ443" s="109"/>
      <c r="AR443" s="109"/>
      <c r="AS443" s="109"/>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row>
    <row r="444" spans="1:77">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c r="AA444" s="109"/>
      <c r="AB444" s="109"/>
      <c r="AC444" s="109"/>
      <c r="AD444" s="109"/>
      <c r="AE444" s="109"/>
      <c r="AF444" s="109"/>
      <c r="AG444" s="109"/>
      <c r="AH444" s="109"/>
      <c r="AI444" s="109"/>
      <c r="AJ444" s="109"/>
      <c r="AK444" s="109"/>
      <c r="AL444" s="109"/>
      <c r="AM444" s="109"/>
      <c r="AN444" s="109"/>
      <c r="AO444" s="109"/>
      <c r="AP444" s="109"/>
      <c r="AQ444" s="109"/>
      <c r="AR444" s="109"/>
      <c r="AS444" s="109"/>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row>
    <row r="445" spans="1:77">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c r="AA445" s="109"/>
      <c r="AB445" s="109"/>
      <c r="AC445" s="109"/>
      <c r="AD445" s="109"/>
      <c r="AE445" s="109"/>
      <c r="AF445" s="109"/>
      <c r="AG445" s="109"/>
      <c r="AH445" s="109"/>
      <c r="AI445" s="109"/>
      <c r="AJ445" s="109"/>
      <c r="AK445" s="109"/>
      <c r="AL445" s="109"/>
      <c r="AM445" s="109"/>
      <c r="AN445" s="109"/>
      <c r="AO445" s="109"/>
      <c r="AP445" s="109"/>
      <c r="AQ445" s="109"/>
      <c r="AR445" s="109"/>
      <c r="AS445" s="109"/>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row>
    <row r="446" spans="1:77">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c r="AA446" s="109"/>
      <c r="AB446" s="109"/>
      <c r="AC446" s="109"/>
      <c r="AD446" s="109"/>
      <c r="AE446" s="109"/>
      <c r="AF446" s="109"/>
      <c r="AG446" s="109"/>
      <c r="AH446" s="109"/>
      <c r="AI446" s="109"/>
      <c r="AJ446" s="109"/>
      <c r="AK446" s="109"/>
      <c r="AL446" s="109"/>
      <c r="AM446" s="109"/>
      <c r="AN446" s="109"/>
      <c r="AO446" s="109"/>
      <c r="AP446" s="109"/>
      <c r="AQ446" s="109"/>
      <c r="AR446" s="109"/>
      <c r="AS446" s="109"/>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row>
    <row r="447" spans="1:77">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c r="AA447" s="109"/>
      <c r="AB447" s="109"/>
      <c r="AC447" s="109"/>
      <c r="AD447" s="109"/>
      <c r="AE447" s="109"/>
      <c r="AF447" s="109"/>
      <c r="AG447" s="109"/>
      <c r="AH447" s="109"/>
      <c r="AI447" s="109"/>
      <c r="AJ447" s="109"/>
      <c r="AK447" s="109"/>
      <c r="AL447" s="109"/>
      <c r="AM447" s="109"/>
      <c r="AN447" s="109"/>
      <c r="AO447" s="109"/>
      <c r="AP447" s="109"/>
      <c r="AQ447" s="109"/>
      <c r="AR447" s="109"/>
      <c r="AS447" s="109"/>
      <c r="AT447" s="108"/>
      <c r="AU447" s="108"/>
      <c r="AV447" s="108"/>
      <c r="AW447" s="108"/>
      <c r="AX447" s="108"/>
      <c r="AY447" s="108"/>
      <c r="AZ447" s="108"/>
      <c r="BA447" s="108"/>
      <c r="BB447" s="108"/>
      <c r="BC447" s="108"/>
      <c r="BD447" s="108"/>
      <c r="BE447" s="108"/>
      <c r="BF447" s="108"/>
      <c r="BG447" s="108"/>
      <c r="BH447" s="108"/>
      <c r="BI447" s="108"/>
      <c r="BJ447" s="108"/>
      <c r="BK447" s="108"/>
      <c r="BL447" s="108"/>
      <c r="BM447" s="108"/>
      <c r="BN447" s="108"/>
      <c r="BO447" s="108"/>
      <c r="BP447" s="108"/>
      <c r="BQ447" s="108"/>
      <c r="BR447" s="108"/>
      <c r="BS447" s="108"/>
      <c r="BT447" s="108"/>
      <c r="BU447" s="108"/>
      <c r="BV447" s="108"/>
      <c r="BW447" s="108"/>
      <c r="BX447" s="108"/>
      <c r="BY447" s="108"/>
    </row>
    <row r="448" spans="1:77">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c r="AA448" s="109"/>
      <c r="AB448" s="109"/>
      <c r="AC448" s="109"/>
      <c r="AD448" s="109"/>
      <c r="AE448" s="109"/>
      <c r="AF448" s="109"/>
      <c r="AG448" s="109"/>
      <c r="AH448" s="109"/>
      <c r="AI448" s="109"/>
      <c r="AJ448" s="109"/>
      <c r="AK448" s="109"/>
      <c r="AL448" s="109"/>
      <c r="AM448" s="109"/>
      <c r="AN448" s="109"/>
      <c r="AO448" s="109"/>
      <c r="AP448" s="109"/>
      <c r="AQ448" s="109"/>
      <c r="AR448" s="109"/>
      <c r="AS448" s="109"/>
      <c r="AT448" s="108"/>
      <c r="AU448" s="108"/>
      <c r="AV448" s="108"/>
      <c r="AW448" s="108"/>
      <c r="AX448" s="108"/>
      <c r="AY448" s="108"/>
      <c r="AZ448" s="108"/>
      <c r="BA448" s="108"/>
      <c r="BB448" s="108"/>
      <c r="BC448" s="108"/>
      <c r="BD448" s="108"/>
      <c r="BE448" s="108"/>
      <c r="BF448" s="108"/>
      <c r="BG448" s="108"/>
      <c r="BH448" s="108"/>
      <c r="BI448" s="108"/>
      <c r="BJ448" s="108"/>
      <c r="BK448" s="108"/>
      <c r="BL448" s="108"/>
      <c r="BM448" s="108"/>
      <c r="BN448" s="108"/>
      <c r="BO448" s="108"/>
      <c r="BP448" s="108"/>
      <c r="BQ448" s="108"/>
      <c r="BR448" s="108"/>
      <c r="BS448" s="108"/>
      <c r="BT448" s="108"/>
      <c r="BU448" s="108"/>
      <c r="BV448" s="108"/>
      <c r="BW448" s="108"/>
      <c r="BX448" s="108"/>
      <c r="BY448" s="108"/>
    </row>
    <row r="449" spans="1:77">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c r="AA449" s="109"/>
      <c r="AB449" s="109"/>
      <c r="AC449" s="109"/>
      <c r="AD449" s="109"/>
      <c r="AE449" s="109"/>
      <c r="AF449" s="109"/>
      <c r="AG449" s="109"/>
      <c r="AH449" s="109"/>
      <c r="AI449" s="109"/>
      <c r="AJ449" s="109"/>
      <c r="AK449" s="109"/>
      <c r="AL449" s="109"/>
      <c r="AM449" s="109"/>
      <c r="AN449" s="109"/>
      <c r="AO449" s="109"/>
      <c r="AP449" s="109"/>
      <c r="AQ449" s="109"/>
      <c r="AR449" s="109"/>
      <c r="AS449" s="109"/>
      <c r="AT449" s="108"/>
      <c r="AU449" s="108"/>
      <c r="AV449" s="108"/>
      <c r="AW449" s="108"/>
      <c r="AX449" s="108"/>
      <c r="AY449" s="108"/>
      <c r="AZ449" s="108"/>
      <c r="BA449" s="108"/>
      <c r="BB449" s="108"/>
      <c r="BC449" s="108"/>
      <c r="BD449" s="108"/>
      <c r="BE449" s="108"/>
      <c r="BF449" s="108"/>
      <c r="BG449" s="108"/>
      <c r="BH449" s="108"/>
      <c r="BI449" s="108"/>
      <c r="BJ449" s="108"/>
      <c r="BK449" s="108"/>
      <c r="BL449" s="108"/>
      <c r="BM449" s="108"/>
      <c r="BN449" s="108"/>
      <c r="BO449" s="108"/>
      <c r="BP449" s="108"/>
      <c r="BQ449" s="108"/>
      <c r="BR449" s="108"/>
      <c r="BS449" s="108"/>
      <c r="BT449" s="108"/>
      <c r="BU449" s="108"/>
      <c r="BV449" s="108"/>
      <c r="BW449" s="108"/>
      <c r="BX449" s="108"/>
      <c r="BY449" s="108"/>
    </row>
    <row r="450" spans="1:77">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c r="AA450" s="109"/>
      <c r="AB450" s="109"/>
      <c r="AC450" s="109"/>
      <c r="AD450" s="109"/>
      <c r="AE450" s="109"/>
      <c r="AF450" s="109"/>
      <c r="AG450" s="109"/>
      <c r="AH450" s="109"/>
      <c r="AI450" s="109"/>
      <c r="AJ450" s="109"/>
      <c r="AK450" s="109"/>
      <c r="AL450" s="109"/>
      <c r="AM450" s="109"/>
      <c r="AN450" s="109"/>
      <c r="AO450" s="109"/>
      <c r="AP450" s="109"/>
      <c r="AQ450" s="109"/>
      <c r="AR450" s="109"/>
      <c r="AS450" s="109"/>
      <c r="AT450" s="108"/>
      <c r="AU450" s="108"/>
      <c r="AV450" s="108"/>
      <c r="AW450" s="108"/>
      <c r="AX450" s="108"/>
      <c r="AY450" s="108"/>
      <c r="AZ450" s="108"/>
      <c r="BA450" s="108"/>
      <c r="BB450" s="108"/>
      <c r="BC450" s="108"/>
      <c r="BD450" s="108"/>
      <c r="BE450" s="108"/>
      <c r="BF450" s="108"/>
      <c r="BG450" s="108"/>
      <c r="BH450" s="108"/>
      <c r="BI450" s="108"/>
      <c r="BJ450" s="108"/>
      <c r="BK450" s="108"/>
      <c r="BL450" s="108"/>
      <c r="BM450" s="108"/>
      <c r="BN450" s="108"/>
      <c r="BO450" s="108"/>
      <c r="BP450" s="108"/>
      <c r="BQ450" s="108"/>
      <c r="BR450" s="108"/>
      <c r="BS450" s="108"/>
      <c r="BT450" s="108"/>
      <c r="BU450" s="108"/>
      <c r="BV450" s="108"/>
      <c r="BW450" s="108"/>
      <c r="BX450" s="108"/>
      <c r="BY450" s="108"/>
    </row>
    <row r="451" spans="1:77">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c r="AA451" s="109"/>
      <c r="AB451" s="109"/>
      <c r="AC451" s="109"/>
      <c r="AD451" s="109"/>
      <c r="AE451" s="109"/>
      <c r="AF451" s="109"/>
      <c r="AG451" s="109"/>
      <c r="AH451" s="109"/>
      <c r="AI451" s="109"/>
      <c r="AJ451" s="109"/>
      <c r="AK451" s="109"/>
      <c r="AL451" s="109"/>
      <c r="AM451" s="109"/>
      <c r="AN451" s="109"/>
      <c r="AO451" s="109"/>
      <c r="AP451" s="109"/>
      <c r="AQ451" s="109"/>
      <c r="AR451" s="109"/>
      <c r="AS451" s="109"/>
      <c r="AT451" s="108"/>
      <c r="AU451" s="108"/>
      <c r="AV451" s="108"/>
      <c r="AW451" s="108"/>
      <c r="AX451" s="108"/>
      <c r="AY451" s="108"/>
      <c r="AZ451" s="108"/>
      <c r="BA451" s="108"/>
      <c r="BB451" s="108"/>
      <c r="BC451" s="108"/>
      <c r="BD451" s="108"/>
      <c r="BE451" s="108"/>
      <c r="BF451" s="108"/>
      <c r="BG451" s="108"/>
      <c r="BH451" s="108"/>
      <c r="BI451" s="108"/>
      <c r="BJ451" s="108"/>
      <c r="BK451" s="108"/>
      <c r="BL451" s="108"/>
      <c r="BM451" s="108"/>
      <c r="BN451" s="108"/>
      <c r="BO451" s="108"/>
      <c r="BP451" s="108"/>
      <c r="BQ451" s="108"/>
      <c r="BR451" s="108"/>
      <c r="BS451" s="108"/>
      <c r="BT451" s="108"/>
      <c r="BU451" s="108"/>
      <c r="BV451" s="108"/>
      <c r="BW451" s="108"/>
      <c r="BX451" s="108"/>
      <c r="BY451" s="108"/>
    </row>
    <row r="452" spans="1:77">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c r="AA452" s="109"/>
      <c r="AB452" s="109"/>
      <c r="AC452" s="109"/>
      <c r="AD452" s="109"/>
      <c r="AE452" s="109"/>
      <c r="AF452" s="109"/>
      <c r="AG452" s="109"/>
      <c r="AH452" s="109"/>
      <c r="AI452" s="109"/>
      <c r="AJ452" s="109"/>
      <c r="AK452" s="109"/>
      <c r="AL452" s="109"/>
      <c r="AM452" s="109"/>
      <c r="AN452" s="109"/>
      <c r="AO452" s="109"/>
      <c r="AP452" s="109"/>
      <c r="AQ452" s="109"/>
      <c r="AR452" s="109"/>
      <c r="AS452" s="109"/>
      <c r="AT452" s="108"/>
      <c r="AU452" s="108"/>
      <c r="AV452" s="108"/>
      <c r="AW452" s="108"/>
      <c r="AX452" s="108"/>
      <c r="AY452" s="108"/>
      <c r="AZ452" s="108"/>
      <c r="BA452" s="108"/>
      <c r="BB452" s="108"/>
      <c r="BC452" s="108"/>
      <c r="BD452" s="108"/>
      <c r="BE452" s="108"/>
      <c r="BF452" s="108"/>
      <c r="BG452" s="108"/>
      <c r="BH452" s="108"/>
      <c r="BI452" s="108"/>
      <c r="BJ452" s="108"/>
      <c r="BK452" s="108"/>
      <c r="BL452" s="108"/>
      <c r="BM452" s="108"/>
      <c r="BN452" s="108"/>
      <c r="BO452" s="108"/>
      <c r="BP452" s="108"/>
      <c r="BQ452" s="108"/>
      <c r="BR452" s="108"/>
      <c r="BS452" s="108"/>
      <c r="BT452" s="108"/>
      <c r="BU452" s="108"/>
      <c r="BV452" s="108"/>
      <c r="BW452" s="108"/>
      <c r="BX452" s="108"/>
      <c r="BY452" s="108"/>
    </row>
    <row r="453" spans="1:77">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c r="AA453" s="109"/>
      <c r="AB453" s="109"/>
      <c r="AC453" s="109"/>
      <c r="AD453" s="109"/>
      <c r="AE453" s="109"/>
      <c r="AF453" s="109"/>
      <c r="AG453" s="109"/>
      <c r="AH453" s="109"/>
      <c r="AI453" s="109"/>
      <c r="AJ453" s="109"/>
      <c r="AK453" s="109"/>
      <c r="AL453" s="109"/>
      <c r="AM453" s="109"/>
      <c r="AN453" s="109"/>
      <c r="AO453" s="109"/>
      <c r="AP453" s="109"/>
      <c r="AQ453" s="109"/>
      <c r="AR453" s="109"/>
      <c r="AS453" s="109"/>
      <c r="AT453" s="108"/>
      <c r="AU453" s="108"/>
      <c r="AV453" s="108"/>
      <c r="AW453" s="108"/>
      <c r="AX453" s="108"/>
      <c r="AY453" s="108"/>
      <c r="AZ453" s="108"/>
      <c r="BA453" s="108"/>
      <c r="BB453" s="108"/>
      <c r="BC453" s="108"/>
      <c r="BD453" s="108"/>
      <c r="BE453" s="108"/>
      <c r="BF453" s="108"/>
      <c r="BG453" s="108"/>
      <c r="BH453" s="108"/>
      <c r="BI453" s="108"/>
      <c r="BJ453" s="108"/>
      <c r="BK453" s="108"/>
      <c r="BL453" s="108"/>
      <c r="BM453" s="108"/>
      <c r="BN453" s="108"/>
      <c r="BO453" s="108"/>
      <c r="BP453" s="108"/>
      <c r="BQ453" s="108"/>
      <c r="BR453" s="108"/>
      <c r="BS453" s="108"/>
      <c r="BT453" s="108"/>
      <c r="BU453" s="108"/>
      <c r="BV453" s="108"/>
      <c r="BW453" s="108"/>
      <c r="BX453" s="108"/>
      <c r="BY453" s="108"/>
    </row>
    <row r="454" spans="1:77">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c r="AA454" s="109"/>
      <c r="AB454" s="109"/>
      <c r="AC454" s="109"/>
      <c r="AD454" s="109"/>
      <c r="AE454" s="109"/>
      <c r="AF454" s="109"/>
      <c r="AG454" s="109"/>
      <c r="AH454" s="109"/>
      <c r="AI454" s="109"/>
      <c r="AJ454" s="109"/>
      <c r="AK454" s="109"/>
      <c r="AL454" s="109"/>
      <c r="AM454" s="109"/>
      <c r="AN454" s="109"/>
      <c r="AO454" s="109"/>
      <c r="AP454" s="109"/>
      <c r="AQ454" s="109"/>
      <c r="AR454" s="109"/>
      <c r="AS454" s="109"/>
      <c r="AT454" s="108"/>
      <c r="AU454" s="108"/>
      <c r="AV454" s="108"/>
      <c r="AW454" s="108"/>
      <c r="AX454" s="108"/>
      <c r="AY454" s="108"/>
      <c r="AZ454" s="108"/>
      <c r="BA454" s="108"/>
      <c r="BB454" s="108"/>
      <c r="BC454" s="108"/>
      <c r="BD454" s="108"/>
      <c r="BE454" s="108"/>
      <c r="BF454" s="108"/>
      <c r="BG454" s="108"/>
      <c r="BH454" s="108"/>
      <c r="BI454" s="108"/>
      <c r="BJ454" s="108"/>
      <c r="BK454" s="108"/>
      <c r="BL454" s="108"/>
      <c r="BM454" s="108"/>
      <c r="BN454" s="108"/>
      <c r="BO454" s="108"/>
      <c r="BP454" s="108"/>
      <c r="BQ454" s="108"/>
      <c r="BR454" s="108"/>
      <c r="BS454" s="108"/>
      <c r="BT454" s="108"/>
      <c r="BU454" s="108"/>
      <c r="BV454" s="108"/>
      <c r="BW454" s="108"/>
      <c r="BX454" s="108"/>
      <c r="BY454" s="108"/>
    </row>
    <row r="455" spans="1:77">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c r="AA455" s="109"/>
      <c r="AB455" s="109"/>
      <c r="AC455" s="109"/>
      <c r="AD455" s="109"/>
      <c r="AE455" s="109"/>
      <c r="AF455" s="109"/>
      <c r="AG455" s="109"/>
      <c r="AH455" s="109"/>
      <c r="AI455" s="109"/>
      <c r="AJ455" s="109"/>
      <c r="AK455" s="109"/>
      <c r="AL455" s="109"/>
      <c r="AM455" s="109"/>
      <c r="AN455" s="109"/>
      <c r="AO455" s="109"/>
      <c r="AP455" s="109"/>
      <c r="AQ455" s="109"/>
      <c r="AR455" s="109"/>
      <c r="AS455" s="109"/>
      <c r="AT455" s="108"/>
      <c r="AU455" s="108"/>
      <c r="AV455" s="108"/>
      <c r="AW455" s="108"/>
      <c r="AX455" s="108"/>
      <c r="AY455" s="108"/>
      <c r="AZ455" s="108"/>
      <c r="BA455" s="108"/>
      <c r="BB455" s="108"/>
      <c r="BC455" s="108"/>
      <c r="BD455" s="108"/>
      <c r="BE455" s="108"/>
      <c r="BF455" s="108"/>
      <c r="BG455" s="108"/>
      <c r="BH455" s="108"/>
      <c r="BI455" s="108"/>
      <c r="BJ455" s="108"/>
      <c r="BK455" s="108"/>
      <c r="BL455" s="108"/>
      <c r="BM455" s="108"/>
      <c r="BN455" s="108"/>
      <c r="BO455" s="108"/>
      <c r="BP455" s="108"/>
      <c r="BQ455" s="108"/>
      <c r="BR455" s="108"/>
      <c r="BS455" s="108"/>
      <c r="BT455" s="108"/>
      <c r="BU455" s="108"/>
      <c r="BV455" s="108"/>
      <c r="BW455" s="108"/>
      <c r="BX455" s="108"/>
      <c r="BY455" s="108"/>
    </row>
    <row r="456" spans="1:77">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c r="AA456" s="109"/>
      <c r="AB456" s="109"/>
      <c r="AC456" s="109"/>
      <c r="AD456" s="109"/>
      <c r="AE456" s="109"/>
      <c r="AF456" s="109"/>
      <c r="AG456" s="109"/>
      <c r="AH456" s="109"/>
      <c r="AI456" s="109"/>
      <c r="AJ456" s="109"/>
      <c r="AK456" s="109"/>
      <c r="AL456" s="109"/>
      <c r="AM456" s="109"/>
      <c r="AN456" s="109"/>
      <c r="AO456" s="109"/>
      <c r="AP456" s="109"/>
      <c r="AQ456" s="109"/>
      <c r="AR456" s="109"/>
      <c r="AS456" s="109"/>
      <c r="AT456" s="108"/>
      <c r="AU456" s="108"/>
      <c r="AV456" s="108"/>
      <c r="AW456" s="108"/>
      <c r="AX456" s="108"/>
      <c r="AY456" s="108"/>
      <c r="AZ456" s="108"/>
      <c r="BA456" s="108"/>
      <c r="BB456" s="108"/>
      <c r="BC456" s="108"/>
      <c r="BD456" s="108"/>
      <c r="BE456" s="108"/>
      <c r="BF456" s="108"/>
      <c r="BG456" s="108"/>
      <c r="BH456" s="108"/>
      <c r="BI456" s="108"/>
      <c r="BJ456" s="108"/>
      <c r="BK456" s="108"/>
      <c r="BL456" s="108"/>
      <c r="BM456" s="108"/>
      <c r="BN456" s="108"/>
      <c r="BO456" s="108"/>
      <c r="BP456" s="108"/>
      <c r="BQ456" s="108"/>
      <c r="BR456" s="108"/>
      <c r="BS456" s="108"/>
      <c r="BT456" s="108"/>
      <c r="BU456" s="108"/>
      <c r="BV456" s="108"/>
      <c r="BW456" s="108"/>
      <c r="BX456" s="108"/>
      <c r="BY456" s="108"/>
    </row>
    <row r="457" spans="1:77">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c r="AA457" s="109"/>
      <c r="AB457" s="109"/>
      <c r="AC457" s="109"/>
      <c r="AD457" s="109"/>
      <c r="AE457" s="109"/>
      <c r="AF457" s="109"/>
      <c r="AG457" s="109"/>
      <c r="AH457" s="109"/>
      <c r="AI457" s="109"/>
      <c r="AJ457" s="109"/>
      <c r="AK457" s="109"/>
      <c r="AL457" s="109"/>
      <c r="AM457" s="109"/>
      <c r="AN457" s="109"/>
      <c r="AO457" s="109"/>
      <c r="AP457" s="109"/>
      <c r="AQ457" s="109"/>
      <c r="AR457" s="109"/>
      <c r="AS457" s="109"/>
      <c r="AT457" s="108"/>
      <c r="AU457" s="108"/>
      <c r="AV457" s="108"/>
      <c r="AW457" s="108"/>
      <c r="AX457" s="108"/>
      <c r="AY457" s="108"/>
      <c r="AZ457" s="108"/>
      <c r="BA457" s="108"/>
      <c r="BB457" s="108"/>
      <c r="BC457" s="108"/>
      <c r="BD457" s="108"/>
      <c r="BE457" s="108"/>
      <c r="BF457" s="108"/>
      <c r="BG457" s="108"/>
      <c r="BH457" s="108"/>
      <c r="BI457" s="108"/>
      <c r="BJ457" s="108"/>
      <c r="BK457" s="108"/>
      <c r="BL457" s="108"/>
      <c r="BM457" s="108"/>
      <c r="BN457" s="108"/>
      <c r="BO457" s="108"/>
      <c r="BP457" s="108"/>
      <c r="BQ457" s="108"/>
      <c r="BR457" s="108"/>
      <c r="BS457" s="108"/>
      <c r="BT457" s="108"/>
      <c r="BU457" s="108"/>
      <c r="BV457" s="108"/>
      <c r="BW457" s="108"/>
      <c r="BX457" s="108"/>
      <c r="BY457" s="108"/>
    </row>
    <row r="458" spans="1:77">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c r="AA458" s="109"/>
      <c r="AB458" s="109"/>
      <c r="AC458" s="109"/>
      <c r="AD458" s="109"/>
      <c r="AE458" s="109"/>
      <c r="AF458" s="109"/>
      <c r="AG458" s="109"/>
      <c r="AH458" s="109"/>
      <c r="AI458" s="109"/>
      <c r="AJ458" s="109"/>
      <c r="AK458" s="109"/>
      <c r="AL458" s="109"/>
      <c r="AM458" s="109"/>
      <c r="AN458" s="109"/>
      <c r="AO458" s="109"/>
      <c r="AP458" s="109"/>
      <c r="AQ458" s="109"/>
      <c r="AR458" s="109"/>
      <c r="AS458" s="109"/>
      <c r="AT458" s="108"/>
      <c r="AU458" s="108"/>
      <c r="AV458" s="108"/>
      <c r="AW458" s="108"/>
      <c r="AX458" s="108"/>
      <c r="AY458" s="108"/>
      <c r="AZ458" s="108"/>
      <c r="BA458" s="108"/>
      <c r="BB458" s="108"/>
      <c r="BC458" s="108"/>
      <c r="BD458" s="108"/>
      <c r="BE458" s="108"/>
      <c r="BF458" s="108"/>
      <c r="BG458" s="108"/>
      <c r="BH458" s="108"/>
      <c r="BI458" s="108"/>
      <c r="BJ458" s="108"/>
      <c r="BK458" s="108"/>
      <c r="BL458" s="108"/>
      <c r="BM458" s="108"/>
      <c r="BN458" s="108"/>
      <c r="BO458" s="108"/>
      <c r="BP458" s="108"/>
      <c r="BQ458" s="108"/>
      <c r="BR458" s="108"/>
      <c r="BS458" s="108"/>
      <c r="BT458" s="108"/>
      <c r="BU458" s="108"/>
      <c r="BV458" s="108"/>
      <c r="BW458" s="108"/>
      <c r="BX458" s="108"/>
      <c r="BY458" s="108"/>
    </row>
    <row r="459" spans="1:77">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c r="AA459" s="109"/>
      <c r="AB459" s="109"/>
      <c r="AC459" s="109"/>
      <c r="AD459" s="109"/>
      <c r="AE459" s="109"/>
      <c r="AF459" s="109"/>
      <c r="AG459" s="109"/>
      <c r="AH459" s="109"/>
      <c r="AI459" s="109"/>
      <c r="AJ459" s="109"/>
      <c r="AK459" s="109"/>
      <c r="AL459" s="109"/>
      <c r="AM459" s="109"/>
      <c r="AN459" s="109"/>
      <c r="AO459" s="109"/>
      <c r="AP459" s="109"/>
      <c r="AQ459" s="109"/>
      <c r="AR459" s="109"/>
      <c r="AS459" s="109"/>
      <c r="AT459" s="108"/>
      <c r="AU459" s="108"/>
      <c r="AV459" s="108"/>
      <c r="AW459" s="108"/>
      <c r="AX459" s="108"/>
      <c r="AY459" s="108"/>
      <c r="AZ459" s="108"/>
      <c r="BA459" s="108"/>
      <c r="BB459" s="108"/>
      <c r="BC459" s="108"/>
      <c r="BD459" s="108"/>
      <c r="BE459" s="108"/>
      <c r="BF459" s="108"/>
      <c r="BG459" s="108"/>
      <c r="BH459" s="108"/>
      <c r="BI459" s="108"/>
      <c r="BJ459" s="108"/>
      <c r="BK459" s="108"/>
      <c r="BL459" s="108"/>
      <c r="BM459" s="108"/>
      <c r="BN459" s="108"/>
      <c r="BO459" s="108"/>
      <c r="BP459" s="108"/>
      <c r="BQ459" s="108"/>
      <c r="BR459" s="108"/>
      <c r="BS459" s="108"/>
      <c r="BT459" s="108"/>
      <c r="BU459" s="108"/>
      <c r="BV459" s="108"/>
      <c r="BW459" s="108"/>
      <c r="BX459" s="108"/>
      <c r="BY459" s="108"/>
    </row>
    <row r="460" spans="1:77">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c r="AA460" s="109"/>
      <c r="AB460" s="109"/>
      <c r="AC460" s="109"/>
      <c r="AD460" s="109"/>
      <c r="AE460" s="109"/>
      <c r="AF460" s="109"/>
      <c r="AG460" s="109"/>
      <c r="AH460" s="109"/>
      <c r="AI460" s="109"/>
      <c r="AJ460" s="109"/>
      <c r="AK460" s="109"/>
      <c r="AL460" s="109"/>
      <c r="AM460" s="109"/>
      <c r="AN460" s="109"/>
      <c r="AO460" s="109"/>
      <c r="AP460" s="109"/>
      <c r="AQ460" s="109"/>
      <c r="AR460" s="109"/>
      <c r="AS460" s="109"/>
      <c r="AT460" s="108"/>
      <c r="AU460" s="108"/>
      <c r="AV460" s="108"/>
      <c r="AW460" s="108"/>
      <c r="AX460" s="108"/>
      <c r="AY460" s="108"/>
      <c r="AZ460" s="108"/>
      <c r="BA460" s="108"/>
      <c r="BB460" s="108"/>
      <c r="BC460" s="108"/>
      <c r="BD460" s="108"/>
      <c r="BE460" s="108"/>
      <c r="BF460" s="108"/>
      <c r="BG460" s="108"/>
      <c r="BH460" s="108"/>
      <c r="BI460" s="108"/>
      <c r="BJ460" s="108"/>
      <c r="BK460" s="108"/>
      <c r="BL460" s="108"/>
      <c r="BM460" s="108"/>
      <c r="BN460" s="108"/>
      <c r="BO460" s="108"/>
      <c r="BP460" s="108"/>
      <c r="BQ460" s="108"/>
      <c r="BR460" s="108"/>
      <c r="BS460" s="108"/>
      <c r="BT460" s="108"/>
      <c r="BU460" s="108"/>
      <c r="BV460" s="108"/>
      <c r="BW460" s="108"/>
      <c r="BX460" s="108"/>
      <c r="BY460" s="108"/>
    </row>
    <row r="461" spans="1:77">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c r="AA461" s="109"/>
      <c r="AB461" s="109"/>
      <c r="AC461" s="109"/>
      <c r="AD461" s="109"/>
      <c r="AE461" s="109"/>
      <c r="AF461" s="109"/>
      <c r="AG461" s="109"/>
      <c r="AH461" s="109"/>
      <c r="AI461" s="109"/>
      <c r="AJ461" s="109"/>
      <c r="AK461" s="109"/>
      <c r="AL461" s="109"/>
      <c r="AM461" s="109"/>
      <c r="AN461" s="109"/>
      <c r="AO461" s="109"/>
      <c r="AP461" s="109"/>
      <c r="AQ461" s="109"/>
      <c r="AR461" s="109"/>
      <c r="AS461" s="109"/>
      <c r="AT461" s="108"/>
      <c r="AU461" s="108"/>
      <c r="AV461" s="108"/>
      <c r="AW461" s="108"/>
      <c r="AX461" s="108"/>
      <c r="AY461" s="108"/>
      <c r="AZ461" s="108"/>
      <c r="BA461" s="108"/>
      <c r="BB461" s="108"/>
      <c r="BC461" s="108"/>
      <c r="BD461" s="108"/>
      <c r="BE461" s="108"/>
      <c r="BF461" s="108"/>
      <c r="BG461" s="108"/>
      <c r="BH461" s="108"/>
      <c r="BI461" s="108"/>
      <c r="BJ461" s="108"/>
      <c r="BK461" s="108"/>
      <c r="BL461" s="108"/>
      <c r="BM461" s="108"/>
      <c r="BN461" s="108"/>
      <c r="BO461" s="108"/>
      <c r="BP461" s="108"/>
      <c r="BQ461" s="108"/>
      <c r="BR461" s="108"/>
      <c r="BS461" s="108"/>
      <c r="BT461" s="108"/>
      <c r="BU461" s="108"/>
      <c r="BV461" s="108"/>
      <c r="BW461" s="108"/>
      <c r="BX461" s="108"/>
      <c r="BY461" s="108"/>
    </row>
    <row r="462" spans="1:77">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c r="AA462" s="109"/>
      <c r="AB462" s="109"/>
      <c r="AC462" s="109"/>
      <c r="AD462" s="109"/>
      <c r="AE462" s="109"/>
      <c r="AF462" s="109"/>
      <c r="AG462" s="109"/>
      <c r="AH462" s="109"/>
      <c r="AI462" s="109"/>
      <c r="AJ462" s="109"/>
      <c r="AK462" s="109"/>
      <c r="AL462" s="109"/>
      <c r="AM462" s="109"/>
      <c r="AN462" s="109"/>
      <c r="AO462" s="109"/>
      <c r="AP462" s="109"/>
      <c r="AQ462" s="109"/>
      <c r="AR462" s="109"/>
      <c r="AS462" s="109"/>
      <c r="AT462" s="108"/>
      <c r="AU462" s="108"/>
      <c r="AV462" s="108"/>
      <c r="AW462" s="108"/>
      <c r="AX462" s="108"/>
      <c r="AY462" s="108"/>
      <c r="AZ462" s="108"/>
      <c r="BA462" s="108"/>
      <c r="BB462" s="108"/>
      <c r="BC462" s="108"/>
      <c r="BD462" s="108"/>
      <c r="BE462" s="108"/>
      <c r="BF462" s="108"/>
      <c r="BG462" s="108"/>
      <c r="BH462" s="108"/>
      <c r="BI462" s="108"/>
      <c r="BJ462" s="108"/>
      <c r="BK462" s="108"/>
      <c r="BL462" s="108"/>
      <c r="BM462" s="108"/>
      <c r="BN462" s="108"/>
      <c r="BO462" s="108"/>
      <c r="BP462" s="108"/>
      <c r="BQ462" s="108"/>
      <c r="BR462" s="108"/>
      <c r="BS462" s="108"/>
      <c r="BT462" s="108"/>
      <c r="BU462" s="108"/>
      <c r="BV462" s="108"/>
      <c r="BW462" s="108"/>
      <c r="BX462" s="108"/>
      <c r="BY462" s="108"/>
    </row>
    <row r="463" spans="1:77">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c r="AA463" s="109"/>
      <c r="AB463" s="109"/>
      <c r="AC463" s="109"/>
      <c r="AD463" s="109"/>
      <c r="AE463" s="109"/>
      <c r="AF463" s="109"/>
      <c r="AG463" s="109"/>
      <c r="AH463" s="109"/>
      <c r="AI463" s="109"/>
      <c r="AJ463" s="109"/>
      <c r="AK463" s="109"/>
      <c r="AL463" s="109"/>
      <c r="AM463" s="109"/>
      <c r="AN463" s="109"/>
      <c r="AO463" s="109"/>
      <c r="AP463" s="109"/>
      <c r="AQ463" s="109"/>
      <c r="AR463" s="109"/>
      <c r="AS463" s="109"/>
      <c r="AT463" s="108"/>
      <c r="AU463" s="108"/>
      <c r="AV463" s="108"/>
      <c r="AW463" s="108"/>
      <c r="AX463" s="108"/>
      <c r="AY463" s="108"/>
      <c r="AZ463" s="108"/>
      <c r="BA463" s="108"/>
      <c r="BB463" s="108"/>
      <c r="BC463" s="108"/>
      <c r="BD463" s="108"/>
      <c r="BE463" s="108"/>
      <c r="BF463" s="108"/>
      <c r="BG463" s="108"/>
      <c r="BH463" s="108"/>
      <c r="BI463" s="108"/>
      <c r="BJ463" s="108"/>
      <c r="BK463" s="108"/>
      <c r="BL463" s="108"/>
      <c r="BM463" s="108"/>
      <c r="BN463" s="108"/>
      <c r="BO463" s="108"/>
      <c r="BP463" s="108"/>
      <c r="BQ463" s="108"/>
      <c r="BR463" s="108"/>
      <c r="BS463" s="108"/>
      <c r="BT463" s="108"/>
      <c r="BU463" s="108"/>
      <c r="BV463" s="108"/>
      <c r="BW463" s="108"/>
      <c r="BX463" s="108"/>
      <c r="BY463" s="108"/>
    </row>
    <row r="464" spans="1:77">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c r="AA464" s="109"/>
      <c r="AB464" s="109"/>
      <c r="AC464" s="109"/>
      <c r="AD464" s="109"/>
      <c r="AE464" s="109"/>
      <c r="AF464" s="109"/>
      <c r="AG464" s="109"/>
      <c r="AH464" s="109"/>
      <c r="AI464" s="109"/>
      <c r="AJ464" s="109"/>
      <c r="AK464" s="109"/>
      <c r="AL464" s="109"/>
      <c r="AM464" s="109"/>
      <c r="AN464" s="109"/>
      <c r="AO464" s="109"/>
      <c r="AP464" s="109"/>
      <c r="AQ464" s="109"/>
      <c r="AR464" s="109"/>
      <c r="AS464" s="109"/>
      <c r="AT464" s="108"/>
      <c r="AU464" s="108"/>
      <c r="AV464" s="108"/>
      <c r="AW464" s="108"/>
      <c r="AX464" s="108"/>
      <c r="AY464" s="108"/>
      <c r="AZ464" s="108"/>
      <c r="BA464" s="108"/>
      <c r="BB464" s="108"/>
      <c r="BC464" s="108"/>
      <c r="BD464" s="108"/>
      <c r="BE464" s="108"/>
      <c r="BF464" s="108"/>
      <c r="BG464" s="108"/>
      <c r="BH464" s="108"/>
      <c r="BI464" s="108"/>
      <c r="BJ464" s="108"/>
      <c r="BK464" s="108"/>
      <c r="BL464" s="108"/>
      <c r="BM464" s="108"/>
      <c r="BN464" s="108"/>
      <c r="BO464" s="108"/>
      <c r="BP464" s="108"/>
      <c r="BQ464" s="108"/>
      <c r="BR464" s="108"/>
      <c r="BS464" s="108"/>
      <c r="BT464" s="108"/>
      <c r="BU464" s="108"/>
      <c r="BV464" s="108"/>
      <c r="BW464" s="108"/>
      <c r="BX464" s="108"/>
      <c r="BY464" s="108"/>
    </row>
    <row r="465" spans="1:77">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c r="AA465" s="109"/>
      <c r="AB465" s="109"/>
      <c r="AC465" s="109"/>
      <c r="AD465" s="109"/>
      <c r="AE465" s="109"/>
      <c r="AF465" s="109"/>
      <c r="AG465" s="109"/>
      <c r="AH465" s="109"/>
      <c r="AI465" s="109"/>
      <c r="AJ465" s="109"/>
      <c r="AK465" s="109"/>
      <c r="AL465" s="109"/>
      <c r="AM465" s="109"/>
      <c r="AN465" s="109"/>
      <c r="AO465" s="109"/>
      <c r="AP465" s="109"/>
      <c r="AQ465" s="109"/>
      <c r="AR465" s="109"/>
      <c r="AS465" s="109"/>
      <c r="AT465" s="108"/>
      <c r="AU465" s="108"/>
      <c r="AV465" s="108"/>
      <c r="AW465" s="108"/>
      <c r="AX465" s="108"/>
      <c r="AY465" s="108"/>
      <c r="AZ465" s="108"/>
      <c r="BA465" s="108"/>
      <c r="BB465" s="108"/>
      <c r="BC465" s="108"/>
      <c r="BD465" s="108"/>
      <c r="BE465" s="108"/>
      <c r="BF465" s="108"/>
      <c r="BG465" s="108"/>
      <c r="BH465" s="108"/>
      <c r="BI465" s="108"/>
      <c r="BJ465" s="108"/>
      <c r="BK465" s="108"/>
      <c r="BL465" s="108"/>
      <c r="BM465" s="108"/>
      <c r="BN465" s="108"/>
      <c r="BO465" s="108"/>
      <c r="BP465" s="108"/>
      <c r="BQ465" s="108"/>
      <c r="BR465" s="108"/>
      <c r="BS465" s="108"/>
      <c r="BT465" s="108"/>
      <c r="BU465" s="108"/>
      <c r="BV465" s="108"/>
      <c r="BW465" s="108"/>
      <c r="BX465" s="108"/>
      <c r="BY465" s="108"/>
    </row>
    <row r="466" spans="1:77">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c r="AA466" s="109"/>
      <c r="AB466" s="109"/>
      <c r="AC466" s="109"/>
      <c r="AD466" s="109"/>
      <c r="AE466" s="109"/>
      <c r="AF466" s="109"/>
      <c r="AG466" s="109"/>
      <c r="AH466" s="109"/>
      <c r="AI466" s="109"/>
      <c r="AJ466" s="109"/>
      <c r="AK466" s="109"/>
      <c r="AL466" s="109"/>
      <c r="AM466" s="109"/>
      <c r="AN466" s="109"/>
      <c r="AO466" s="109"/>
      <c r="AP466" s="109"/>
      <c r="AQ466" s="109"/>
      <c r="AR466" s="109"/>
      <c r="AS466" s="109"/>
      <c r="AT466" s="108"/>
      <c r="AU466" s="108"/>
      <c r="AV466" s="108"/>
      <c r="AW466" s="108"/>
      <c r="AX466" s="108"/>
      <c r="AY466" s="108"/>
      <c r="AZ466" s="108"/>
      <c r="BA466" s="108"/>
      <c r="BB466" s="108"/>
      <c r="BC466" s="108"/>
      <c r="BD466" s="108"/>
      <c r="BE466" s="108"/>
      <c r="BF466" s="108"/>
      <c r="BG466" s="108"/>
      <c r="BH466" s="108"/>
      <c r="BI466" s="108"/>
      <c r="BJ466" s="108"/>
      <c r="BK466" s="108"/>
      <c r="BL466" s="108"/>
      <c r="BM466" s="108"/>
      <c r="BN466" s="108"/>
      <c r="BO466" s="108"/>
      <c r="BP466" s="108"/>
      <c r="BQ466" s="108"/>
      <c r="BR466" s="108"/>
      <c r="BS466" s="108"/>
      <c r="BT466" s="108"/>
      <c r="BU466" s="108"/>
      <c r="BV466" s="108"/>
      <c r="BW466" s="108"/>
      <c r="BX466" s="108"/>
      <c r="BY466" s="108"/>
    </row>
    <row r="467" spans="1:77">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c r="AA467" s="109"/>
      <c r="AB467" s="109"/>
      <c r="AC467" s="109"/>
      <c r="AD467" s="109"/>
      <c r="AE467" s="109"/>
      <c r="AF467" s="109"/>
      <c r="AG467" s="109"/>
      <c r="AH467" s="109"/>
      <c r="AI467" s="109"/>
      <c r="AJ467" s="109"/>
      <c r="AK467" s="109"/>
      <c r="AL467" s="109"/>
      <c r="AM467" s="109"/>
      <c r="AN467" s="109"/>
      <c r="AO467" s="109"/>
      <c r="AP467" s="109"/>
      <c r="AQ467" s="109"/>
      <c r="AR467" s="109"/>
      <c r="AS467" s="109"/>
      <c r="AT467" s="108"/>
      <c r="AU467" s="108"/>
      <c r="AV467" s="108"/>
      <c r="AW467" s="108"/>
      <c r="AX467" s="108"/>
      <c r="AY467" s="108"/>
      <c r="AZ467" s="108"/>
      <c r="BA467" s="108"/>
      <c r="BB467" s="108"/>
      <c r="BC467" s="108"/>
      <c r="BD467" s="108"/>
      <c r="BE467" s="108"/>
      <c r="BF467" s="108"/>
      <c r="BG467" s="108"/>
      <c r="BH467" s="108"/>
      <c r="BI467" s="108"/>
      <c r="BJ467" s="108"/>
      <c r="BK467" s="108"/>
      <c r="BL467" s="108"/>
      <c r="BM467" s="108"/>
      <c r="BN467" s="108"/>
      <c r="BO467" s="108"/>
      <c r="BP467" s="108"/>
      <c r="BQ467" s="108"/>
      <c r="BR467" s="108"/>
      <c r="BS467" s="108"/>
      <c r="BT467" s="108"/>
      <c r="BU467" s="108"/>
      <c r="BV467" s="108"/>
      <c r="BW467" s="108"/>
      <c r="BX467" s="108"/>
      <c r="BY467" s="108"/>
    </row>
    <row r="468" spans="1:77">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c r="AA468" s="109"/>
      <c r="AB468" s="109"/>
      <c r="AC468" s="109"/>
      <c r="AD468" s="109"/>
      <c r="AE468" s="109"/>
      <c r="AF468" s="109"/>
      <c r="AG468" s="109"/>
      <c r="AH468" s="109"/>
      <c r="AI468" s="109"/>
      <c r="AJ468" s="109"/>
      <c r="AK468" s="109"/>
      <c r="AL468" s="109"/>
      <c r="AM468" s="109"/>
      <c r="AN468" s="109"/>
      <c r="AO468" s="109"/>
      <c r="AP468" s="109"/>
      <c r="AQ468" s="109"/>
      <c r="AR468" s="109"/>
      <c r="AS468" s="109"/>
      <c r="AT468" s="108"/>
      <c r="AU468" s="108"/>
      <c r="AV468" s="108"/>
      <c r="AW468" s="108"/>
      <c r="AX468" s="108"/>
      <c r="AY468" s="108"/>
      <c r="AZ468" s="108"/>
      <c r="BA468" s="108"/>
      <c r="BB468" s="108"/>
      <c r="BC468" s="108"/>
      <c r="BD468" s="108"/>
      <c r="BE468" s="108"/>
      <c r="BF468" s="108"/>
      <c r="BG468" s="108"/>
      <c r="BH468" s="108"/>
      <c r="BI468" s="108"/>
      <c r="BJ468" s="108"/>
      <c r="BK468" s="108"/>
      <c r="BL468" s="108"/>
      <c r="BM468" s="108"/>
      <c r="BN468" s="108"/>
      <c r="BO468" s="108"/>
      <c r="BP468" s="108"/>
      <c r="BQ468" s="108"/>
      <c r="BR468" s="108"/>
      <c r="BS468" s="108"/>
      <c r="BT468" s="108"/>
      <c r="BU468" s="108"/>
      <c r="BV468" s="108"/>
      <c r="BW468" s="108"/>
      <c r="BX468" s="108"/>
      <c r="BY468" s="108"/>
    </row>
    <row r="469" spans="1:77">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c r="AA469" s="109"/>
      <c r="AB469" s="109"/>
      <c r="AC469" s="109"/>
      <c r="AD469" s="109"/>
      <c r="AE469" s="109"/>
      <c r="AF469" s="109"/>
      <c r="AG469" s="109"/>
      <c r="AH469" s="109"/>
      <c r="AI469" s="109"/>
      <c r="AJ469" s="109"/>
      <c r="AK469" s="109"/>
      <c r="AL469" s="109"/>
      <c r="AM469" s="109"/>
      <c r="AN469" s="109"/>
      <c r="AO469" s="109"/>
      <c r="AP469" s="109"/>
      <c r="AQ469" s="109"/>
      <c r="AR469" s="109"/>
      <c r="AS469" s="109"/>
      <c r="AT469" s="108"/>
      <c r="AU469" s="108"/>
      <c r="AV469" s="108"/>
      <c r="AW469" s="108"/>
      <c r="AX469" s="108"/>
      <c r="AY469" s="108"/>
      <c r="AZ469" s="108"/>
      <c r="BA469" s="108"/>
      <c r="BB469" s="108"/>
      <c r="BC469" s="108"/>
      <c r="BD469" s="108"/>
      <c r="BE469" s="108"/>
      <c r="BF469" s="108"/>
      <c r="BG469" s="108"/>
      <c r="BH469" s="108"/>
      <c r="BI469" s="108"/>
      <c r="BJ469" s="108"/>
      <c r="BK469" s="108"/>
      <c r="BL469" s="108"/>
      <c r="BM469" s="108"/>
      <c r="BN469" s="108"/>
      <c r="BO469" s="108"/>
      <c r="BP469" s="108"/>
      <c r="BQ469" s="108"/>
      <c r="BR469" s="108"/>
      <c r="BS469" s="108"/>
      <c r="BT469" s="108"/>
      <c r="BU469" s="108"/>
      <c r="BV469" s="108"/>
      <c r="BW469" s="108"/>
      <c r="BX469" s="108"/>
      <c r="BY469" s="108"/>
    </row>
    <row r="470" spans="1:77">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c r="AA470" s="109"/>
      <c r="AB470" s="109"/>
      <c r="AC470" s="109"/>
      <c r="AD470" s="109"/>
      <c r="AE470" s="109"/>
      <c r="AF470" s="109"/>
      <c r="AG470" s="109"/>
      <c r="AH470" s="109"/>
      <c r="AI470" s="109"/>
      <c r="AJ470" s="109"/>
      <c r="AK470" s="109"/>
      <c r="AL470" s="109"/>
      <c r="AM470" s="109"/>
      <c r="AN470" s="109"/>
      <c r="AO470" s="109"/>
      <c r="AP470" s="109"/>
      <c r="AQ470" s="109"/>
      <c r="AR470" s="109"/>
      <c r="AS470" s="109"/>
      <c r="AT470" s="108"/>
      <c r="AU470" s="108"/>
      <c r="AV470" s="108"/>
      <c r="AW470" s="108"/>
      <c r="AX470" s="108"/>
      <c r="AY470" s="108"/>
      <c r="AZ470" s="108"/>
      <c r="BA470" s="108"/>
      <c r="BB470" s="108"/>
      <c r="BC470" s="108"/>
      <c r="BD470" s="108"/>
      <c r="BE470" s="108"/>
      <c r="BF470" s="108"/>
      <c r="BG470" s="108"/>
      <c r="BH470" s="108"/>
      <c r="BI470" s="108"/>
      <c r="BJ470" s="108"/>
      <c r="BK470" s="108"/>
      <c r="BL470" s="108"/>
      <c r="BM470" s="108"/>
      <c r="BN470" s="108"/>
      <c r="BO470" s="108"/>
      <c r="BP470" s="108"/>
      <c r="BQ470" s="108"/>
      <c r="BR470" s="108"/>
      <c r="BS470" s="108"/>
      <c r="BT470" s="108"/>
      <c r="BU470" s="108"/>
      <c r="BV470" s="108"/>
      <c r="BW470" s="108"/>
      <c r="BX470" s="108"/>
      <c r="BY470" s="108"/>
    </row>
    <row r="471" spans="1:77">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c r="AA471" s="109"/>
      <c r="AB471" s="109"/>
      <c r="AC471" s="109"/>
      <c r="AD471" s="109"/>
      <c r="AE471" s="109"/>
      <c r="AF471" s="109"/>
      <c r="AG471" s="109"/>
      <c r="AH471" s="109"/>
      <c r="AI471" s="109"/>
      <c r="AJ471" s="109"/>
      <c r="AK471" s="109"/>
      <c r="AL471" s="109"/>
      <c r="AM471" s="109"/>
      <c r="AN471" s="109"/>
      <c r="AO471" s="109"/>
      <c r="AP471" s="109"/>
      <c r="AQ471" s="109"/>
      <c r="AR471" s="109"/>
      <c r="AS471" s="109"/>
      <c r="AT471" s="108"/>
      <c r="AU471" s="108"/>
      <c r="AV471" s="108"/>
      <c r="AW471" s="108"/>
      <c r="AX471" s="108"/>
      <c r="AY471" s="108"/>
      <c r="AZ471" s="108"/>
      <c r="BA471" s="108"/>
      <c r="BB471" s="108"/>
      <c r="BC471" s="108"/>
      <c r="BD471" s="108"/>
      <c r="BE471" s="108"/>
      <c r="BF471" s="108"/>
      <c r="BG471" s="108"/>
      <c r="BH471" s="108"/>
      <c r="BI471" s="108"/>
      <c r="BJ471" s="108"/>
      <c r="BK471" s="108"/>
      <c r="BL471" s="108"/>
      <c r="BM471" s="108"/>
      <c r="BN471" s="108"/>
      <c r="BO471" s="108"/>
      <c r="BP471" s="108"/>
      <c r="BQ471" s="108"/>
      <c r="BR471" s="108"/>
      <c r="BS471" s="108"/>
      <c r="BT471" s="108"/>
      <c r="BU471" s="108"/>
      <c r="BV471" s="108"/>
      <c r="BW471" s="108"/>
      <c r="BX471" s="108"/>
      <c r="BY471" s="108"/>
    </row>
    <row r="472" spans="1:77">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c r="AB472" s="109"/>
      <c r="AC472" s="109"/>
      <c r="AD472" s="109"/>
      <c r="AE472" s="109"/>
      <c r="AF472" s="109"/>
      <c r="AG472" s="109"/>
      <c r="AH472" s="109"/>
      <c r="AI472" s="109"/>
      <c r="AJ472" s="109"/>
      <c r="AK472" s="109"/>
      <c r="AL472" s="109"/>
      <c r="AM472" s="109"/>
      <c r="AN472" s="109"/>
      <c r="AO472" s="109"/>
      <c r="AP472" s="109"/>
      <c r="AQ472" s="109"/>
      <c r="AR472" s="109"/>
      <c r="AS472" s="109"/>
      <c r="AT472" s="108"/>
      <c r="AU472" s="108"/>
      <c r="AV472" s="108"/>
      <c r="AW472" s="108"/>
      <c r="AX472" s="108"/>
      <c r="AY472" s="108"/>
      <c r="AZ472" s="108"/>
      <c r="BA472" s="108"/>
      <c r="BB472" s="108"/>
      <c r="BC472" s="108"/>
      <c r="BD472" s="108"/>
      <c r="BE472" s="108"/>
      <c r="BF472" s="108"/>
      <c r="BG472" s="108"/>
      <c r="BH472" s="108"/>
      <c r="BI472" s="108"/>
      <c r="BJ472" s="108"/>
      <c r="BK472" s="108"/>
      <c r="BL472" s="108"/>
      <c r="BM472" s="108"/>
      <c r="BN472" s="108"/>
      <c r="BO472" s="108"/>
      <c r="BP472" s="108"/>
      <c r="BQ472" s="108"/>
      <c r="BR472" s="108"/>
      <c r="BS472" s="108"/>
      <c r="BT472" s="108"/>
      <c r="BU472" s="108"/>
      <c r="BV472" s="108"/>
      <c r="BW472" s="108"/>
      <c r="BX472" s="108"/>
      <c r="BY472" s="108"/>
    </row>
    <row r="473" spans="1:77">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c r="AA473" s="109"/>
      <c r="AB473" s="109"/>
      <c r="AC473" s="109"/>
      <c r="AD473" s="109"/>
      <c r="AE473" s="109"/>
      <c r="AF473" s="109"/>
      <c r="AG473" s="109"/>
      <c r="AH473" s="109"/>
      <c r="AI473" s="109"/>
      <c r="AJ473" s="109"/>
      <c r="AK473" s="109"/>
      <c r="AL473" s="109"/>
      <c r="AM473" s="109"/>
      <c r="AN473" s="109"/>
      <c r="AO473" s="109"/>
      <c r="AP473" s="109"/>
      <c r="AQ473" s="109"/>
      <c r="AR473" s="109"/>
      <c r="AS473" s="109"/>
      <c r="AT473" s="108"/>
      <c r="AU473" s="108"/>
      <c r="AV473" s="108"/>
      <c r="AW473" s="108"/>
      <c r="AX473" s="108"/>
      <c r="AY473" s="108"/>
      <c r="AZ473" s="108"/>
      <c r="BA473" s="108"/>
      <c r="BB473" s="108"/>
      <c r="BC473" s="108"/>
      <c r="BD473" s="108"/>
      <c r="BE473" s="108"/>
      <c r="BF473" s="108"/>
      <c r="BG473" s="108"/>
      <c r="BH473" s="108"/>
      <c r="BI473" s="108"/>
      <c r="BJ473" s="108"/>
      <c r="BK473" s="108"/>
      <c r="BL473" s="108"/>
      <c r="BM473" s="108"/>
      <c r="BN473" s="108"/>
      <c r="BO473" s="108"/>
      <c r="BP473" s="108"/>
      <c r="BQ473" s="108"/>
      <c r="BR473" s="108"/>
      <c r="BS473" s="108"/>
      <c r="BT473" s="108"/>
      <c r="BU473" s="108"/>
      <c r="BV473" s="108"/>
      <c r="BW473" s="108"/>
      <c r="BX473" s="108"/>
      <c r="BY473" s="108"/>
    </row>
    <row r="474" spans="1:77">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c r="AA474" s="109"/>
      <c r="AB474" s="109"/>
      <c r="AC474" s="109"/>
      <c r="AD474" s="109"/>
      <c r="AE474" s="109"/>
      <c r="AF474" s="109"/>
      <c r="AG474" s="109"/>
      <c r="AH474" s="109"/>
      <c r="AI474" s="109"/>
      <c r="AJ474" s="109"/>
      <c r="AK474" s="109"/>
      <c r="AL474" s="109"/>
      <c r="AM474" s="109"/>
      <c r="AN474" s="109"/>
      <c r="AO474" s="109"/>
      <c r="AP474" s="109"/>
      <c r="AQ474" s="109"/>
      <c r="AR474" s="109"/>
      <c r="AS474" s="109"/>
      <c r="AT474" s="108"/>
      <c r="AU474" s="108"/>
      <c r="AV474" s="108"/>
      <c r="AW474" s="108"/>
      <c r="AX474" s="108"/>
      <c r="AY474" s="108"/>
      <c r="AZ474" s="108"/>
      <c r="BA474" s="108"/>
      <c r="BB474" s="108"/>
      <c r="BC474" s="108"/>
      <c r="BD474" s="108"/>
      <c r="BE474" s="108"/>
      <c r="BF474" s="108"/>
      <c r="BG474" s="108"/>
      <c r="BH474" s="108"/>
      <c r="BI474" s="108"/>
      <c r="BJ474" s="108"/>
      <c r="BK474" s="108"/>
      <c r="BL474" s="108"/>
      <c r="BM474" s="108"/>
      <c r="BN474" s="108"/>
      <c r="BO474" s="108"/>
      <c r="BP474" s="108"/>
      <c r="BQ474" s="108"/>
      <c r="BR474" s="108"/>
      <c r="BS474" s="108"/>
      <c r="BT474" s="108"/>
      <c r="BU474" s="108"/>
      <c r="BV474" s="108"/>
      <c r="BW474" s="108"/>
      <c r="BX474" s="108"/>
      <c r="BY474" s="108"/>
    </row>
    <row r="475" spans="1:77">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c r="AA475" s="109"/>
      <c r="AB475" s="109"/>
      <c r="AC475" s="109"/>
      <c r="AD475" s="109"/>
      <c r="AE475" s="109"/>
      <c r="AF475" s="109"/>
      <c r="AG475" s="109"/>
      <c r="AH475" s="109"/>
      <c r="AI475" s="109"/>
      <c r="AJ475" s="109"/>
      <c r="AK475" s="109"/>
      <c r="AL475" s="109"/>
      <c r="AM475" s="109"/>
      <c r="AN475" s="109"/>
      <c r="AO475" s="109"/>
      <c r="AP475" s="109"/>
      <c r="AQ475" s="109"/>
      <c r="AR475" s="109"/>
      <c r="AS475" s="109"/>
      <c r="AT475" s="108"/>
      <c r="AU475" s="108"/>
      <c r="AV475" s="108"/>
      <c r="AW475" s="108"/>
      <c r="AX475" s="108"/>
      <c r="AY475" s="108"/>
      <c r="AZ475" s="108"/>
      <c r="BA475" s="108"/>
      <c r="BB475" s="108"/>
      <c r="BC475" s="108"/>
      <c r="BD475" s="108"/>
      <c r="BE475" s="108"/>
      <c r="BF475" s="108"/>
      <c r="BG475" s="108"/>
      <c r="BH475" s="108"/>
      <c r="BI475" s="108"/>
      <c r="BJ475" s="108"/>
      <c r="BK475" s="108"/>
      <c r="BL475" s="108"/>
      <c r="BM475" s="108"/>
      <c r="BN475" s="108"/>
      <c r="BO475" s="108"/>
      <c r="BP475" s="108"/>
      <c r="BQ475" s="108"/>
      <c r="BR475" s="108"/>
      <c r="BS475" s="108"/>
      <c r="BT475" s="108"/>
      <c r="BU475" s="108"/>
      <c r="BV475" s="108"/>
      <c r="BW475" s="108"/>
      <c r="BX475" s="108"/>
      <c r="BY475" s="108"/>
    </row>
    <row r="476" spans="1:77">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c r="AA476" s="109"/>
      <c r="AB476" s="109"/>
      <c r="AC476" s="109"/>
      <c r="AD476" s="109"/>
      <c r="AE476" s="109"/>
      <c r="AF476" s="109"/>
      <c r="AG476" s="109"/>
      <c r="AH476" s="109"/>
      <c r="AI476" s="109"/>
      <c r="AJ476" s="109"/>
      <c r="AK476" s="109"/>
      <c r="AL476" s="109"/>
      <c r="AM476" s="109"/>
      <c r="AN476" s="109"/>
      <c r="AO476" s="109"/>
      <c r="AP476" s="109"/>
      <c r="AQ476" s="109"/>
      <c r="AR476" s="109"/>
      <c r="AS476" s="109"/>
      <c r="AT476" s="108"/>
      <c r="AU476" s="108"/>
      <c r="AV476" s="108"/>
      <c r="AW476" s="108"/>
      <c r="AX476" s="108"/>
      <c r="AY476" s="108"/>
      <c r="AZ476" s="108"/>
      <c r="BA476" s="108"/>
      <c r="BB476" s="108"/>
      <c r="BC476" s="108"/>
      <c r="BD476" s="108"/>
      <c r="BE476" s="108"/>
      <c r="BF476" s="108"/>
      <c r="BG476" s="108"/>
      <c r="BH476" s="108"/>
      <c r="BI476" s="108"/>
      <c r="BJ476" s="108"/>
      <c r="BK476" s="108"/>
      <c r="BL476" s="108"/>
      <c r="BM476" s="108"/>
      <c r="BN476" s="108"/>
      <c r="BO476" s="108"/>
      <c r="BP476" s="108"/>
      <c r="BQ476" s="108"/>
      <c r="BR476" s="108"/>
      <c r="BS476" s="108"/>
      <c r="BT476" s="108"/>
      <c r="BU476" s="108"/>
      <c r="BV476" s="108"/>
      <c r="BW476" s="108"/>
      <c r="BX476" s="108"/>
      <c r="BY476" s="108"/>
    </row>
    <row r="477" spans="1:77">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c r="AA477" s="109"/>
      <c r="AB477" s="109"/>
      <c r="AC477" s="109"/>
      <c r="AD477" s="109"/>
      <c r="AE477" s="109"/>
      <c r="AF477" s="109"/>
      <c r="AG477" s="109"/>
      <c r="AH477" s="109"/>
      <c r="AI477" s="109"/>
      <c r="AJ477" s="109"/>
      <c r="AK477" s="109"/>
      <c r="AL477" s="109"/>
      <c r="AM477" s="109"/>
      <c r="AN477" s="109"/>
      <c r="AO477" s="109"/>
      <c r="AP477" s="109"/>
      <c r="AQ477" s="109"/>
      <c r="AR477" s="109"/>
      <c r="AS477" s="109"/>
      <c r="AT477" s="108"/>
      <c r="AU477" s="108"/>
      <c r="AV477" s="108"/>
      <c r="AW477" s="108"/>
      <c r="AX477" s="108"/>
      <c r="AY477" s="108"/>
      <c r="AZ477" s="108"/>
      <c r="BA477" s="108"/>
      <c r="BB477" s="108"/>
      <c r="BC477" s="108"/>
      <c r="BD477" s="108"/>
      <c r="BE477" s="108"/>
      <c r="BF477" s="108"/>
      <c r="BG477" s="108"/>
      <c r="BH477" s="108"/>
      <c r="BI477" s="108"/>
      <c r="BJ477" s="108"/>
      <c r="BK477" s="108"/>
      <c r="BL477" s="108"/>
      <c r="BM477" s="108"/>
      <c r="BN477" s="108"/>
      <c r="BO477" s="108"/>
      <c r="BP477" s="108"/>
      <c r="BQ477" s="108"/>
      <c r="BR477" s="108"/>
      <c r="BS477" s="108"/>
      <c r="BT477" s="108"/>
      <c r="BU477" s="108"/>
      <c r="BV477" s="108"/>
      <c r="BW477" s="108"/>
      <c r="BX477" s="108"/>
      <c r="BY477" s="108"/>
    </row>
    <row r="478" spans="1:77">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c r="AB478" s="109"/>
      <c r="AC478" s="109"/>
      <c r="AD478" s="109"/>
      <c r="AE478" s="109"/>
      <c r="AF478" s="109"/>
      <c r="AG478" s="109"/>
      <c r="AH478" s="109"/>
      <c r="AI478" s="109"/>
      <c r="AJ478" s="109"/>
      <c r="AK478" s="109"/>
      <c r="AL478" s="109"/>
      <c r="AM478" s="109"/>
      <c r="AN478" s="109"/>
      <c r="AO478" s="109"/>
      <c r="AP478" s="109"/>
      <c r="AQ478" s="109"/>
      <c r="AR478" s="109"/>
      <c r="AS478" s="109"/>
      <c r="AT478" s="108"/>
      <c r="AU478" s="108"/>
      <c r="AV478" s="108"/>
      <c r="AW478" s="108"/>
      <c r="AX478" s="108"/>
      <c r="AY478" s="108"/>
      <c r="AZ478" s="108"/>
      <c r="BA478" s="108"/>
      <c r="BB478" s="108"/>
      <c r="BC478" s="108"/>
      <c r="BD478" s="108"/>
      <c r="BE478" s="108"/>
      <c r="BF478" s="108"/>
      <c r="BG478" s="108"/>
      <c r="BH478" s="108"/>
      <c r="BI478" s="108"/>
      <c r="BJ478" s="108"/>
      <c r="BK478" s="108"/>
      <c r="BL478" s="108"/>
      <c r="BM478" s="108"/>
      <c r="BN478" s="108"/>
      <c r="BO478" s="108"/>
      <c r="BP478" s="108"/>
      <c r="BQ478" s="108"/>
      <c r="BR478" s="108"/>
      <c r="BS478" s="108"/>
      <c r="BT478" s="108"/>
      <c r="BU478" s="108"/>
      <c r="BV478" s="108"/>
      <c r="BW478" s="108"/>
      <c r="BX478" s="108"/>
      <c r="BY478" s="108"/>
    </row>
    <row r="479" spans="1:77">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c r="AB479" s="109"/>
      <c r="AC479" s="109"/>
      <c r="AD479" s="109"/>
      <c r="AE479" s="109"/>
      <c r="AF479" s="109"/>
      <c r="AG479" s="109"/>
      <c r="AH479" s="109"/>
      <c r="AI479" s="109"/>
      <c r="AJ479" s="109"/>
      <c r="AK479" s="109"/>
      <c r="AL479" s="109"/>
      <c r="AM479" s="109"/>
      <c r="AN479" s="109"/>
      <c r="AO479" s="109"/>
      <c r="AP479" s="109"/>
      <c r="AQ479" s="109"/>
      <c r="AR479" s="109"/>
      <c r="AS479" s="109"/>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row>
    <row r="480" spans="1:77">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c r="AB480" s="109"/>
      <c r="AC480" s="109"/>
      <c r="AD480" s="109"/>
      <c r="AE480" s="109"/>
      <c r="AF480" s="109"/>
      <c r="AG480" s="109"/>
      <c r="AH480" s="109"/>
      <c r="AI480" s="109"/>
      <c r="AJ480" s="109"/>
      <c r="AK480" s="109"/>
      <c r="AL480" s="109"/>
      <c r="AM480" s="109"/>
      <c r="AN480" s="109"/>
      <c r="AO480" s="109"/>
      <c r="AP480" s="109"/>
      <c r="AQ480" s="109"/>
      <c r="AR480" s="109"/>
      <c r="AS480" s="109"/>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c r="BN480" s="108"/>
      <c r="BO480" s="108"/>
      <c r="BP480" s="108"/>
      <c r="BQ480" s="108"/>
      <c r="BR480" s="108"/>
      <c r="BS480" s="108"/>
      <c r="BT480" s="108"/>
      <c r="BU480" s="108"/>
      <c r="BV480" s="108"/>
      <c r="BW480" s="108"/>
      <c r="BX480" s="108"/>
      <c r="BY480" s="108"/>
    </row>
    <row r="481" spans="1:77">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c r="AA481" s="109"/>
      <c r="AB481" s="109"/>
      <c r="AC481" s="109"/>
      <c r="AD481" s="109"/>
      <c r="AE481" s="109"/>
      <c r="AF481" s="109"/>
      <c r="AG481" s="109"/>
      <c r="AH481" s="109"/>
      <c r="AI481" s="109"/>
      <c r="AJ481" s="109"/>
      <c r="AK481" s="109"/>
      <c r="AL481" s="109"/>
      <c r="AM481" s="109"/>
      <c r="AN481" s="109"/>
      <c r="AO481" s="109"/>
      <c r="AP481" s="109"/>
      <c r="AQ481" s="109"/>
      <c r="AR481" s="109"/>
      <c r="AS481" s="109"/>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c r="BO481" s="108"/>
      <c r="BP481" s="108"/>
      <c r="BQ481" s="108"/>
      <c r="BR481" s="108"/>
      <c r="BS481" s="108"/>
      <c r="BT481" s="108"/>
      <c r="BU481" s="108"/>
      <c r="BV481" s="108"/>
      <c r="BW481" s="108"/>
      <c r="BX481" s="108"/>
      <c r="BY481" s="108"/>
    </row>
    <row r="482" spans="1:77">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c r="AA482" s="109"/>
      <c r="AB482" s="109"/>
      <c r="AC482" s="109"/>
      <c r="AD482" s="109"/>
      <c r="AE482" s="109"/>
      <c r="AF482" s="109"/>
      <c r="AG482" s="109"/>
      <c r="AH482" s="109"/>
      <c r="AI482" s="109"/>
      <c r="AJ482" s="109"/>
      <c r="AK482" s="109"/>
      <c r="AL482" s="109"/>
      <c r="AM482" s="109"/>
      <c r="AN482" s="109"/>
      <c r="AO482" s="109"/>
      <c r="AP482" s="109"/>
      <c r="AQ482" s="109"/>
      <c r="AR482" s="109"/>
      <c r="AS482" s="109"/>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c r="BP482" s="108"/>
      <c r="BQ482" s="108"/>
      <c r="BR482" s="108"/>
      <c r="BS482" s="108"/>
      <c r="BT482" s="108"/>
      <c r="BU482" s="108"/>
      <c r="BV482" s="108"/>
      <c r="BW482" s="108"/>
      <c r="BX482" s="108"/>
      <c r="BY482" s="108"/>
    </row>
    <row r="483" spans="1:77">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c r="AA483" s="109"/>
      <c r="AB483" s="109"/>
      <c r="AC483" s="109"/>
      <c r="AD483" s="109"/>
      <c r="AE483" s="109"/>
      <c r="AF483" s="109"/>
      <c r="AG483" s="109"/>
      <c r="AH483" s="109"/>
      <c r="AI483" s="109"/>
      <c r="AJ483" s="109"/>
      <c r="AK483" s="109"/>
      <c r="AL483" s="109"/>
      <c r="AM483" s="109"/>
      <c r="AN483" s="109"/>
      <c r="AO483" s="109"/>
      <c r="AP483" s="109"/>
      <c r="AQ483" s="109"/>
      <c r="AR483" s="109"/>
      <c r="AS483" s="109"/>
      <c r="AT483" s="108"/>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c r="BQ483" s="108"/>
      <c r="BR483" s="108"/>
      <c r="BS483" s="108"/>
      <c r="BT483" s="108"/>
      <c r="BU483" s="108"/>
      <c r="BV483" s="108"/>
      <c r="BW483" s="108"/>
      <c r="BX483" s="108"/>
      <c r="BY483" s="108"/>
    </row>
    <row r="484" spans="1:77">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c r="AA484" s="109"/>
      <c r="AB484" s="109"/>
      <c r="AC484" s="109"/>
      <c r="AD484" s="109"/>
      <c r="AE484" s="109"/>
      <c r="AF484" s="109"/>
      <c r="AG484" s="109"/>
      <c r="AH484" s="109"/>
      <c r="AI484" s="109"/>
      <c r="AJ484" s="109"/>
      <c r="AK484" s="109"/>
      <c r="AL484" s="109"/>
      <c r="AM484" s="109"/>
      <c r="AN484" s="109"/>
      <c r="AO484" s="109"/>
      <c r="AP484" s="109"/>
      <c r="AQ484" s="109"/>
      <c r="AR484" s="109"/>
      <c r="AS484" s="109"/>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c r="BR484" s="108"/>
      <c r="BS484" s="108"/>
      <c r="BT484" s="108"/>
      <c r="BU484" s="108"/>
      <c r="BV484" s="108"/>
      <c r="BW484" s="108"/>
      <c r="BX484" s="108"/>
      <c r="BY484" s="108"/>
    </row>
    <row r="485" spans="1:77">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c r="AA485" s="109"/>
      <c r="AB485" s="109"/>
      <c r="AC485" s="109"/>
      <c r="AD485" s="109"/>
      <c r="AE485" s="109"/>
      <c r="AF485" s="109"/>
      <c r="AG485" s="109"/>
      <c r="AH485" s="109"/>
      <c r="AI485" s="109"/>
      <c r="AJ485" s="109"/>
      <c r="AK485" s="109"/>
      <c r="AL485" s="109"/>
      <c r="AM485" s="109"/>
      <c r="AN485" s="109"/>
      <c r="AO485" s="109"/>
      <c r="AP485" s="109"/>
      <c r="AQ485" s="109"/>
      <c r="AR485" s="109"/>
      <c r="AS485" s="109"/>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c r="BS485" s="108"/>
      <c r="BT485" s="108"/>
      <c r="BU485" s="108"/>
      <c r="BV485" s="108"/>
      <c r="BW485" s="108"/>
      <c r="BX485" s="108"/>
      <c r="BY485" s="108"/>
    </row>
    <row r="486" spans="1:77">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c r="AA486" s="109"/>
      <c r="AB486" s="109"/>
      <c r="AC486" s="109"/>
      <c r="AD486" s="109"/>
      <c r="AE486" s="109"/>
      <c r="AF486" s="109"/>
      <c r="AG486" s="109"/>
      <c r="AH486" s="109"/>
      <c r="AI486" s="109"/>
      <c r="AJ486" s="109"/>
      <c r="AK486" s="109"/>
      <c r="AL486" s="109"/>
      <c r="AM486" s="109"/>
      <c r="AN486" s="109"/>
      <c r="AO486" s="109"/>
      <c r="AP486" s="109"/>
      <c r="AQ486" s="109"/>
      <c r="AR486" s="109"/>
      <c r="AS486" s="109"/>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c r="BT486" s="108"/>
      <c r="BU486" s="108"/>
      <c r="BV486" s="108"/>
      <c r="BW486" s="108"/>
      <c r="BX486" s="108"/>
      <c r="BY486" s="108"/>
    </row>
    <row r="487" spans="1:77">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c r="AA487" s="109"/>
      <c r="AB487" s="109"/>
      <c r="AC487" s="109"/>
      <c r="AD487" s="109"/>
      <c r="AE487" s="109"/>
      <c r="AF487" s="109"/>
      <c r="AG487" s="109"/>
      <c r="AH487" s="109"/>
      <c r="AI487" s="109"/>
      <c r="AJ487" s="109"/>
      <c r="AK487" s="109"/>
      <c r="AL487" s="109"/>
      <c r="AM487" s="109"/>
      <c r="AN487" s="109"/>
      <c r="AO487" s="109"/>
      <c r="AP487" s="109"/>
      <c r="AQ487" s="109"/>
      <c r="AR487" s="109"/>
      <c r="AS487" s="109"/>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c r="BU487" s="108"/>
      <c r="BV487" s="108"/>
      <c r="BW487" s="108"/>
      <c r="BX487" s="108"/>
      <c r="BY487" s="108"/>
    </row>
    <row r="488" spans="1:77">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c r="AA488" s="109"/>
      <c r="AB488" s="109"/>
      <c r="AC488" s="109"/>
      <c r="AD488" s="109"/>
      <c r="AE488" s="109"/>
      <c r="AF488" s="109"/>
      <c r="AG488" s="109"/>
      <c r="AH488" s="109"/>
      <c r="AI488" s="109"/>
      <c r="AJ488" s="109"/>
      <c r="AK488" s="109"/>
      <c r="AL488" s="109"/>
      <c r="AM488" s="109"/>
      <c r="AN488" s="109"/>
      <c r="AO488" s="109"/>
      <c r="AP488" s="109"/>
      <c r="AQ488" s="109"/>
      <c r="AR488" s="109"/>
      <c r="AS488" s="109"/>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c r="BV488" s="108"/>
      <c r="BW488" s="108"/>
      <c r="BX488" s="108"/>
      <c r="BY488" s="108"/>
    </row>
    <row r="489" spans="1:77">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c r="AA489" s="109"/>
      <c r="AB489" s="109"/>
      <c r="AC489" s="109"/>
      <c r="AD489" s="109"/>
      <c r="AE489" s="109"/>
      <c r="AF489" s="109"/>
      <c r="AG489" s="109"/>
      <c r="AH489" s="109"/>
      <c r="AI489" s="109"/>
      <c r="AJ489" s="109"/>
      <c r="AK489" s="109"/>
      <c r="AL489" s="109"/>
      <c r="AM489" s="109"/>
      <c r="AN489" s="109"/>
      <c r="AO489" s="109"/>
      <c r="AP489" s="109"/>
      <c r="AQ489" s="109"/>
      <c r="AR489" s="109"/>
      <c r="AS489" s="109"/>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c r="BW489" s="108"/>
      <c r="BX489" s="108"/>
      <c r="BY489" s="108"/>
    </row>
    <row r="490" spans="1:77">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c r="AA490" s="109"/>
      <c r="AB490" s="109"/>
      <c r="AC490" s="109"/>
      <c r="AD490" s="109"/>
      <c r="AE490" s="109"/>
      <c r="AF490" s="109"/>
      <c r="AG490" s="109"/>
      <c r="AH490" s="109"/>
      <c r="AI490" s="109"/>
      <c r="AJ490" s="109"/>
      <c r="AK490" s="109"/>
      <c r="AL490" s="109"/>
      <c r="AM490" s="109"/>
      <c r="AN490" s="109"/>
      <c r="AO490" s="109"/>
      <c r="AP490" s="109"/>
      <c r="AQ490" s="109"/>
      <c r="AR490" s="109"/>
      <c r="AS490" s="109"/>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c r="BX490" s="108"/>
      <c r="BY490" s="108"/>
    </row>
    <row r="491" spans="1:77">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c r="AA491" s="109"/>
      <c r="AB491" s="109"/>
      <c r="AC491" s="109"/>
      <c r="AD491" s="109"/>
      <c r="AE491" s="109"/>
      <c r="AF491" s="109"/>
      <c r="AG491" s="109"/>
      <c r="AH491" s="109"/>
      <c r="AI491" s="109"/>
      <c r="AJ491" s="109"/>
      <c r="AK491" s="109"/>
      <c r="AL491" s="109"/>
      <c r="AM491" s="109"/>
      <c r="AN491" s="109"/>
      <c r="AO491" s="109"/>
      <c r="AP491" s="109"/>
      <c r="AQ491" s="109"/>
      <c r="AR491" s="109"/>
      <c r="AS491" s="109"/>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c r="BY491" s="108"/>
    </row>
    <row r="492" spans="1:77">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c r="AA492" s="109"/>
      <c r="AB492" s="109"/>
      <c r="AC492" s="109"/>
      <c r="AD492" s="109"/>
      <c r="AE492" s="109"/>
      <c r="AF492" s="109"/>
      <c r="AG492" s="109"/>
      <c r="AH492" s="109"/>
      <c r="AI492" s="109"/>
      <c r="AJ492" s="109"/>
      <c r="AK492" s="109"/>
      <c r="AL492" s="109"/>
      <c r="AM492" s="109"/>
      <c r="AN492" s="109"/>
      <c r="AO492" s="109"/>
      <c r="AP492" s="109"/>
      <c r="AQ492" s="109"/>
      <c r="AR492" s="109"/>
      <c r="AS492" s="109"/>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row>
    <row r="493" spans="1:77">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c r="AA493" s="109"/>
      <c r="AB493" s="109"/>
      <c r="AC493" s="109"/>
      <c r="AD493" s="109"/>
      <c r="AE493" s="109"/>
      <c r="AF493" s="109"/>
      <c r="AG493" s="109"/>
      <c r="AH493" s="109"/>
      <c r="AI493" s="109"/>
      <c r="AJ493" s="109"/>
      <c r="AK493" s="109"/>
      <c r="AL493" s="109"/>
      <c r="AM493" s="109"/>
      <c r="AN493" s="109"/>
      <c r="AO493" s="109"/>
      <c r="AP493" s="109"/>
      <c r="AQ493" s="109"/>
      <c r="AR493" s="109"/>
      <c r="AS493" s="109"/>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row>
    <row r="494" spans="1:77">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c r="AA494" s="109"/>
      <c r="AB494" s="109"/>
      <c r="AC494" s="109"/>
      <c r="AD494" s="109"/>
      <c r="AE494" s="109"/>
      <c r="AF494" s="109"/>
      <c r="AG494" s="109"/>
      <c r="AH494" s="109"/>
      <c r="AI494" s="109"/>
      <c r="AJ494" s="109"/>
      <c r="AK494" s="109"/>
      <c r="AL494" s="109"/>
      <c r="AM494" s="109"/>
      <c r="AN494" s="109"/>
      <c r="AO494" s="109"/>
      <c r="AP494" s="109"/>
      <c r="AQ494" s="109"/>
      <c r="AR494" s="109"/>
      <c r="AS494" s="109"/>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row>
    <row r="495" spans="1:77">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c r="AA495" s="109"/>
      <c r="AB495" s="109"/>
      <c r="AC495" s="109"/>
      <c r="AD495" s="109"/>
      <c r="AE495" s="109"/>
      <c r="AF495" s="109"/>
      <c r="AG495" s="109"/>
      <c r="AH495" s="109"/>
      <c r="AI495" s="109"/>
      <c r="AJ495" s="109"/>
      <c r="AK495" s="109"/>
      <c r="AL495" s="109"/>
      <c r="AM495" s="109"/>
      <c r="AN495" s="109"/>
      <c r="AO495" s="109"/>
      <c r="AP495" s="109"/>
      <c r="AQ495" s="109"/>
      <c r="AR495" s="109"/>
      <c r="AS495" s="109"/>
      <c r="AT495" s="108"/>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row>
    <row r="496" spans="1:77">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c r="AA496" s="109"/>
      <c r="AB496" s="109"/>
      <c r="AC496" s="109"/>
      <c r="AD496" s="109"/>
      <c r="AE496" s="109"/>
      <c r="AF496" s="109"/>
      <c r="AG496" s="109"/>
      <c r="AH496" s="109"/>
      <c r="AI496" s="109"/>
      <c r="AJ496" s="109"/>
      <c r="AK496" s="109"/>
      <c r="AL496" s="109"/>
      <c r="AM496" s="109"/>
      <c r="AN496" s="109"/>
      <c r="AO496" s="109"/>
      <c r="AP496" s="109"/>
      <c r="AQ496" s="109"/>
      <c r="AR496" s="109"/>
      <c r="AS496" s="109"/>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row>
    <row r="497" spans="1:77">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c r="AA497" s="109"/>
      <c r="AB497" s="109"/>
      <c r="AC497" s="109"/>
      <c r="AD497" s="109"/>
      <c r="AE497" s="109"/>
      <c r="AF497" s="109"/>
      <c r="AG497" s="109"/>
      <c r="AH497" s="109"/>
      <c r="AI497" s="109"/>
      <c r="AJ497" s="109"/>
      <c r="AK497" s="109"/>
      <c r="AL497" s="109"/>
      <c r="AM497" s="109"/>
      <c r="AN497" s="109"/>
      <c r="AO497" s="109"/>
      <c r="AP497" s="109"/>
      <c r="AQ497" s="109"/>
      <c r="AR497" s="109"/>
      <c r="AS497" s="109"/>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row>
    <row r="498" spans="1:77">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c r="AA498" s="109"/>
      <c r="AB498" s="109"/>
      <c r="AC498" s="109"/>
      <c r="AD498" s="109"/>
      <c r="AE498" s="109"/>
      <c r="AF498" s="109"/>
      <c r="AG498" s="109"/>
      <c r="AH498" s="109"/>
      <c r="AI498" s="109"/>
      <c r="AJ498" s="109"/>
      <c r="AK498" s="109"/>
      <c r="AL498" s="109"/>
      <c r="AM498" s="109"/>
      <c r="AN498" s="109"/>
      <c r="AO498" s="109"/>
      <c r="AP498" s="109"/>
      <c r="AQ498" s="109"/>
      <c r="AR498" s="109"/>
      <c r="AS498" s="109"/>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row>
    <row r="499" spans="1:77">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c r="AA499" s="109"/>
      <c r="AB499" s="109"/>
      <c r="AC499" s="109"/>
      <c r="AD499" s="109"/>
      <c r="AE499" s="109"/>
      <c r="AF499" s="109"/>
      <c r="AG499" s="109"/>
      <c r="AH499" s="109"/>
      <c r="AI499" s="109"/>
      <c r="AJ499" s="109"/>
      <c r="AK499" s="109"/>
      <c r="AL499" s="109"/>
      <c r="AM499" s="109"/>
      <c r="AN499" s="109"/>
      <c r="AO499" s="109"/>
      <c r="AP499" s="109"/>
      <c r="AQ499" s="109"/>
      <c r="AR499" s="109"/>
      <c r="AS499" s="109"/>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row>
    <row r="500" spans="1:77">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c r="AA500" s="109"/>
      <c r="AB500" s="109"/>
      <c r="AC500" s="109"/>
      <c r="AD500" s="109"/>
      <c r="AE500" s="109"/>
      <c r="AF500" s="109"/>
      <c r="AG500" s="109"/>
      <c r="AH500" s="109"/>
      <c r="AI500" s="109"/>
      <c r="AJ500" s="109"/>
      <c r="AK500" s="109"/>
      <c r="AL500" s="109"/>
      <c r="AM500" s="109"/>
      <c r="AN500" s="109"/>
      <c r="AO500" s="109"/>
      <c r="AP500" s="109"/>
      <c r="AQ500" s="109"/>
      <c r="AR500" s="109"/>
      <c r="AS500" s="109"/>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row>
    <row r="501" spans="1:77">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c r="AA501" s="109"/>
      <c r="AB501" s="109"/>
      <c r="AC501" s="109"/>
      <c r="AD501" s="109"/>
      <c r="AE501" s="109"/>
      <c r="AF501" s="109"/>
      <c r="AG501" s="109"/>
      <c r="AH501" s="109"/>
      <c r="AI501" s="109"/>
      <c r="AJ501" s="109"/>
      <c r="AK501" s="109"/>
      <c r="AL501" s="109"/>
      <c r="AM501" s="109"/>
      <c r="AN501" s="109"/>
      <c r="AO501" s="109"/>
      <c r="AP501" s="109"/>
      <c r="AQ501" s="109"/>
      <c r="AR501" s="109"/>
      <c r="AS501" s="109"/>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row>
    <row r="502" spans="1:77">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c r="AA502" s="109"/>
      <c r="AB502" s="109"/>
      <c r="AC502" s="109"/>
      <c r="AD502" s="109"/>
      <c r="AE502" s="109"/>
      <c r="AF502" s="109"/>
      <c r="AG502" s="109"/>
      <c r="AH502" s="109"/>
      <c r="AI502" s="109"/>
      <c r="AJ502" s="109"/>
      <c r="AK502" s="109"/>
      <c r="AL502" s="109"/>
      <c r="AM502" s="109"/>
      <c r="AN502" s="109"/>
      <c r="AO502" s="109"/>
      <c r="AP502" s="109"/>
      <c r="AQ502" s="109"/>
      <c r="AR502" s="109"/>
      <c r="AS502" s="109"/>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row>
    <row r="503" spans="1:77">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c r="AA503" s="109"/>
      <c r="AB503" s="109"/>
      <c r="AC503" s="109"/>
      <c r="AD503" s="109"/>
      <c r="AE503" s="109"/>
      <c r="AF503" s="109"/>
      <c r="AG503" s="109"/>
      <c r="AH503" s="109"/>
      <c r="AI503" s="109"/>
      <c r="AJ503" s="109"/>
      <c r="AK503" s="109"/>
      <c r="AL503" s="109"/>
      <c r="AM503" s="109"/>
      <c r="AN503" s="109"/>
      <c r="AO503" s="109"/>
      <c r="AP503" s="109"/>
      <c r="AQ503" s="109"/>
      <c r="AR503" s="109"/>
      <c r="AS503" s="109"/>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row>
    <row r="504" spans="1:77">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c r="AA504" s="109"/>
      <c r="AB504" s="109"/>
      <c r="AC504" s="109"/>
      <c r="AD504" s="109"/>
      <c r="AE504" s="109"/>
      <c r="AF504" s="109"/>
      <c r="AG504" s="109"/>
      <c r="AH504" s="109"/>
      <c r="AI504" s="109"/>
      <c r="AJ504" s="109"/>
      <c r="AK504" s="109"/>
      <c r="AL504" s="109"/>
      <c r="AM504" s="109"/>
      <c r="AN504" s="109"/>
      <c r="AO504" s="109"/>
      <c r="AP504" s="109"/>
      <c r="AQ504" s="109"/>
      <c r="AR504" s="109"/>
      <c r="AS504" s="109"/>
      <c r="AT504" s="108"/>
      <c r="AU504" s="108"/>
      <c r="AV504" s="108"/>
      <c r="AW504" s="108"/>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row>
    <row r="505" spans="1:77">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c r="AA505" s="109"/>
      <c r="AB505" s="109"/>
      <c r="AC505" s="109"/>
      <c r="AD505" s="109"/>
      <c r="AE505" s="109"/>
      <c r="AF505" s="109"/>
      <c r="AG505" s="109"/>
      <c r="AH505" s="109"/>
      <c r="AI505" s="109"/>
      <c r="AJ505" s="109"/>
      <c r="AK505" s="109"/>
      <c r="AL505" s="109"/>
      <c r="AM505" s="109"/>
      <c r="AN505" s="109"/>
      <c r="AO505" s="109"/>
      <c r="AP505" s="109"/>
      <c r="AQ505" s="109"/>
      <c r="AR505" s="109"/>
      <c r="AS505" s="109"/>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row>
    <row r="506" spans="1:77">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c r="AA506" s="109"/>
      <c r="AB506" s="109"/>
      <c r="AC506" s="109"/>
      <c r="AD506" s="109"/>
      <c r="AE506" s="109"/>
      <c r="AF506" s="109"/>
      <c r="AG506" s="109"/>
      <c r="AH506" s="109"/>
      <c r="AI506" s="109"/>
      <c r="AJ506" s="109"/>
      <c r="AK506" s="109"/>
      <c r="AL506" s="109"/>
      <c r="AM506" s="109"/>
      <c r="AN506" s="109"/>
      <c r="AO506" s="109"/>
      <c r="AP506" s="109"/>
      <c r="AQ506" s="109"/>
      <c r="AR506" s="109"/>
      <c r="AS506" s="109"/>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row>
    <row r="507" spans="1:77">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c r="AB507" s="109"/>
      <c r="AC507" s="109"/>
      <c r="AD507" s="109"/>
      <c r="AE507" s="109"/>
      <c r="AF507" s="109"/>
      <c r="AG507" s="109"/>
      <c r="AH507" s="109"/>
      <c r="AI507" s="109"/>
      <c r="AJ507" s="109"/>
      <c r="AK507" s="109"/>
      <c r="AL507" s="109"/>
      <c r="AM507" s="109"/>
      <c r="AN507" s="109"/>
      <c r="AO507" s="109"/>
      <c r="AP507" s="109"/>
      <c r="AQ507" s="109"/>
      <c r="AR507" s="109"/>
      <c r="AS507" s="109"/>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row>
    <row r="508" spans="1:77">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c r="AA508" s="109"/>
      <c r="AB508" s="109"/>
      <c r="AC508" s="109"/>
      <c r="AD508" s="109"/>
      <c r="AE508" s="109"/>
      <c r="AF508" s="109"/>
      <c r="AG508" s="109"/>
      <c r="AH508" s="109"/>
      <c r="AI508" s="109"/>
      <c r="AJ508" s="109"/>
      <c r="AK508" s="109"/>
      <c r="AL508" s="109"/>
      <c r="AM508" s="109"/>
      <c r="AN508" s="109"/>
      <c r="AO508" s="109"/>
      <c r="AP508" s="109"/>
      <c r="AQ508" s="109"/>
      <c r="AR508" s="109"/>
      <c r="AS508" s="109"/>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row>
    <row r="509" spans="1:77">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c r="AA509" s="109"/>
      <c r="AB509" s="109"/>
      <c r="AC509" s="109"/>
      <c r="AD509" s="109"/>
      <c r="AE509" s="109"/>
      <c r="AF509" s="109"/>
      <c r="AG509" s="109"/>
      <c r="AH509" s="109"/>
      <c r="AI509" s="109"/>
      <c r="AJ509" s="109"/>
      <c r="AK509" s="109"/>
      <c r="AL509" s="109"/>
      <c r="AM509" s="109"/>
      <c r="AN509" s="109"/>
      <c r="AO509" s="109"/>
      <c r="AP509" s="109"/>
      <c r="AQ509" s="109"/>
      <c r="AR509" s="109"/>
      <c r="AS509" s="109"/>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row>
    <row r="510" spans="1:77">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c r="AA510" s="109"/>
      <c r="AB510" s="109"/>
      <c r="AC510" s="109"/>
      <c r="AD510" s="109"/>
      <c r="AE510" s="109"/>
      <c r="AF510" s="109"/>
      <c r="AG510" s="109"/>
      <c r="AH510" s="109"/>
      <c r="AI510" s="109"/>
      <c r="AJ510" s="109"/>
      <c r="AK510" s="109"/>
      <c r="AL510" s="109"/>
      <c r="AM510" s="109"/>
      <c r="AN510" s="109"/>
      <c r="AO510" s="109"/>
      <c r="AP510" s="109"/>
      <c r="AQ510" s="109"/>
      <c r="AR510" s="109"/>
      <c r="AS510" s="109"/>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row>
    <row r="511" spans="1:77">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c r="AH511" s="109"/>
      <c r="AI511" s="109"/>
      <c r="AJ511" s="109"/>
      <c r="AK511" s="109"/>
      <c r="AL511" s="109"/>
      <c r="AM511" s="109"/>
      <c r="AN511" s="109"/>
      <c r="AO511" s="109"/>
      <c r="AP511" s="109"/>
      <c r="AQ511" s="109"/>
      <c r="AR511" s="109"/>
      <c r="AS511" s="109"/>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row>
    <row r="512" spans="1:77">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c r="AA512" s="109"/>
      <c r="AB512" s="109"/>
      <c r="AC512" s="109"/>
      <c r="AD512" s="109"/>
      <c r="AE512" s="109"/>
      <c r="AF512" s="109"/>
      <c r="AG512" s="109"/>
      <c r="AH512" s="109"/>
      <c r="AI512" s="109"/>
      <c r="AJ512" s="109"/>
      <c r="AK512" s="109"/>
      <c r="AL512" s="109"/>
      <c r="AM512" s="109"/>
      <c r="AN512" s="109"/>
      <c r="AO512" s="109"/>
      <c r="AP512" s="109"/>
      <c r="AQ512" s="109"/>
      <c r="AR512" s="109"/>
      <c r="AS512" s="109"/>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row>
    <row r="513" spans="1:77">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c r="AB513" s="109"/>
      <c r="AC513" s="109"/>
      <c r="AD513" s="109"/>
      <c r="AE513" s="109"/>
      <c r="AF513" s="109"/>
      <c r="AG513" s="109"/>
      <c r="AH513" s="109"/>
      <c r="AI513" s="109"/>
      <c r="AJ513" s="109"/>
      <c r="AK513" s="109"/>
      <c r="AL513" s="109"/>
      <c r="AM513" s="109"/>
      <c r="AN513" s="109"/>
      <c r="AO513" s="109"/>
      <c r="AP513" s="109"/>
      <c r="AQ513" s="109"/>
      <c r="AR513" s="109"/>
      <c r="AS513" s="109"/>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row>
    <row r="514" spans="1:77">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c r="AA514" s="109"/>
      <c r="AB514" s="109"/>
      <c r="AC514" s="109"/>
      <c r="AD514" s="109"/>
      <c r="AE514" s="109"/>
      <c r="AF514" s="109"/>
      <c r="AG514" s="109"/>
      <c r="AH514" s="109"/>
      <c r="AI514" s="109"/>
      <c r="AJ514" s="109"/>
      <c r="AK514" s="109"/>
      <c r="AL514" s="109"/>
      <c r="AM514" s="109"/>
      <c r="AN514" s="109"/>
      <c r="AO514" s="109"/>
      <c r="AP514" s="109"/>
      <c r="AQ514" s="109"/>
      <c r="AR514" s="109"/>
      <c r="AS514" s="109"/>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row>
    <row r="515" spans="1:77">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c r="AA515" s="109"/>
      <c r="AB515" s="109"/>
      <c r="AC515" s="109"/>
      <c r="AD515" s="109"/>
      <c r="AE515" s="109"/>
      <c r="AF515" s="109"/>
      <c r="AG515" s="109"/>
      <c r="AH515" s="109"/>
      <c r="AI515" s="109"/>
      <c r="AJ515" s="109"/>
      <c r="AK515" s="109"/>
      <c r="AL515" s="109"/>
      <c r="AM515" s="109"/>
      <c r="AN515" s="109"/>
      <c r="AO515" s="109"/>
      <c r="AP515" s="109"/>
      <c r="AQ515" s="109"/>
      <c r="AR515" s="109"/>
      <c r="AS515" s="109"/>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row>
    <row r="516" spans="1:77">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c r="AA516" s="109"/>
      <c r="AB516" s="109"/>
      <c r="AC516" s="109"/>
      <c r="AD516" s="109"/>
      <c r="AE516" s="109"/>
      <c r="AF516" s="109"/>
      <c r="AG516" s="109"/>
      <c r="AH516" s="109"/>
      <c r="AI516" s="109"/>
      <c r="AJ516" s="109"/>
      <c r="AK516" s="109"/>
      <c r="AL516" s="109"/>
      <c r="AM516" s="109"/>
      <c r="AN516" s="109"/>
      <c r="AO516" s="109"/>
      <c r="AP516" s="109"/>
      <c r="AQ516" s="109"/>
      <c r="AR516" s="109"/>
      <c r="AS516" s="109"/>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row>
    <row r="517" spans="1:77">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c r="AA517" s="109"/>
      <c r="AB517" s="109"/>
      <c r="AC517" s="109"/>
      <c r="AD517" s="109"/>
      <c r="AE517" s="109"/>
      <c r="AF517" s="109"/>
      <c r="AG517" s="109"/>
      <c r="AH517" s="109"/>
      <c r="AI517" s="109"/>
      <c r="AJ517" s="109"/>
      <c r="AK517" s="109"/>
      <c r="AL517" s="109"/>
      <c r="AM517" s="109"/>
      <c r="AN517" s="109"/>
      <c r="AO517" s="109"/>
      <c r="AP517" s="109"/>
      <c r="AQ517" s="109"/>
      <c r="AR517" s="109"/>
      <c r="AS517" s="109"/>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row>
    <row r="518" spans="1:77">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c r="AB518" s="109"/>
      <c r="AC518" s="109"/>
      <c r="AD518" s="109"/>
      <c r="AE518" s="109"/>
      <c r="AF518" s="109"/>
      <c r="AG518" s="109"/>
      <c r="AH518" s="109"/>
      <c r="AI518" s="109"/>
      <c r="AJ518" s="109"/>
      <c r="AK518" s="109"/>
      <c r="AL518" s="109"/>
      <c r="AM518" s="109"/>
      <c r="AN518" s="109"/>
      <c r="AO518" s="109"/>
      <c r="AP518" s="109"/>
      <c r="AQ518" s="109"/>
      <c r="AR518" s="109"/>
      <c r="AS518" s="109"/>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row>
    <row r="519" spans="1:77">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c r="AA519" s="109"/>
      <c r="AB519" s="109"/>
      <c r="AC519" s="109"/>
      <c r="AD519" s="109"/>
      <c r="AE519" s="109"/>
      <c r="AF519" s="109"/>
      <c r="AG519" s="109"/>
      <c r="AH519" s="109"/>
      <c r="AI519" s="109"/>
      <c r="AJ519" s="109"/>
      <c r="AK519" s="109"/>
      <c r="AL519" s="109"/>
      <c r="AM519" s="109"/>
      <c r="AN519" s="109"/>
      <c r="AO519" s="109"/>
      <c r="AP519" s="109"/>
      <c r="AQ519" s="109"/>
      <c r="AR519" s="109"/>
      <c r="AS519" s="109"/>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row>
    <row r="520" spans="1:77">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c r="AA520" s="109"/>
      <c r="AB520" s="109"/>
      <c r="AC520" s="109"/>
      <c r="AD520" s="109"/>
      <c r="AE520" s="109"/>
      <c r="AF520" s="109"/>
      <c r="AG520" s="109"/>
      <c r="AH520" s="109"/>
      <c r="AI520" s="109"/>
      <c r="AJ520" s="109"/>
      <c r="AK520" s="109"/>
      <c r="AL520" s="109"/>
      <c r="AM520" s="109"/>
      <c r="AN520" s="109"/>
      <c r="AO520" s="109"/>
      <c r="AP520" s="109"/>
      <c r="AQ520" s="109"/>
      <c r="AR520" s="109"/>
      <c r="AS520" s="109"/>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row>
    <row r="521" spans="1:77">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c r="AA521" s="109"/>
      <c r="AB521" s="109"/>
      <c r="AC521" s="109"/>
      <c r="AD521" s="109"/>
      <c r="AE521" s="109"/>
      <c r="AF521" s="109"/>
      <c r="AG521" s="109"/>
      <c r="AH521" s="109"/>
      <c r="AI521" s="109"/>
      <c r="AJ521" s="109"/>
      <c r="AK521" s="109"/>
      <c r="AL521" s="109"/>
      <c r="AM521" s="109"/>
      <c r="AN521" s="109"/>
      <c r="AO521" s="109"/>
      <c r="AP521" s="109"/>
      <c r="AQ521" s="109"/>
      <c r="AR521" s="109"/>
      <c r="AS521" s="109"/>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row>
    <row r="522" spans="1:77">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c r="AA522" s="109"/>
      <c r="AB522" s="109"/>
      <c r="AC522" s="109"/>
      <c r="AD522" s="109"/>
      <c r="AE522" s="109"/>
      <c r="AF522" s="109"/>
      <c r="AG522" s="109"/>
      <c r="AH522" s="109"/>
      <c r="AI522" s="109"/>
      <c r="AJ522" s="109"/>
      <c r="AK522" s="109"/>
      <c r="AL522" s="109"/>
      <c r="AM522" s="109"/>
      <c r="AN522" s="109"/>
      <c r="AO522" s="109"/>
      <c r="AP522" s="109"/>
      <c r="AQ522" s="109"/>
      <c r="AR522" s="109"/>
      <c r="AS522" s="109"/>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row>
    <row r="523" spans="1:77">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c r="AB523" s="109"/>
      <c r="AC523" s="109"/>
      <c r="AD523" s="109"/>
      <c r="AE523" s="109"/>
      <c r="AF523" s="109"/>
      <c r="AG523" s="109"/>
      <c r="AH523" s="109"/>
      <c r="AI523" s="109"/>
      <c r="AJ523" s="109"/>
      <c r="AK523" s="109"/>
      <c r="AL523" s="109"/>
      <c r="AM523" s="109"/>
      <c r="AN523" s="109"/>
      <c r="AO523" s="109"/>
      <c r="AP523" s="109"/>
      <c r="AQ523" s="109"/>
      <c r="AR523" s="109"/>
      <c r="AS523" s="109"/>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row>
    <row r="524" spans="1:77">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c r="AA524" s="109"/>
      <c r="AB524" s="109"/>
      <c r="AC524" s="109"/>
      <c r="AD524" s="109"/>
      <c r="AE524" s="109"/>
      <c r="AF524" s="109"/>
      <c r="AG524" s="109"/>
      <c r="AH524" s="109"/>
      <c r="AI524" s="109"/>
      <c r="AJ524" s="109"/>
      <c r="AK524" s="109"/>
      <c r="AL524" s="109"/>
      <c r="AM524" s="109"/>
      <c r="AN524" s="109"/>
      <c r="AO524" s="109"/>
      <c r="AP524" s="109"/>
      <c r="AQ524" s="109"/>
      <c r="AR524" s="109"/>
      <c r="AS524" s="109"/>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row>
    <row r="525" spans="1:77">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c r="AA525" s="109"/>
      <c r="AB525" s="109"/>
      <c r="AC525" s="109"/>
      <c r="AD525" s="109"/>
      <c r="AE525" s="109"/>
      <c r="AF525" s="109"/>
      <c r="AG525" s="109"/>
      <c r="AH525" s="109"/>
      <c r="AI525" s="109"/>
      <c r="AJ525" s="109"/>
      <c r="AK525" s="109"/>
      <c r="AL525" s="109"/>
      <c r="AM525" s="109"/>
      <c r="AN525" s="109"/>
      <c r="AO525" s="109"/>
      <c r="AP525" s="109"/>
      <c r="AQ525" s="109"/>
      <c r="AR525" s="109"/>
      <c r="AS525" s="109"/>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row>
    <row r="526" spans="1:77">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c r="AA526" s="109"/>
      <c r="AB526" s="109"/>
      <c r="AC526" s="109"/>
      <c r="AD526" s="109"/>
      <c r="AE526" s="109"/>
      <c r="AF526" s="109"/>
      <c r="AG526" s="109"/>
      <c r="AH526" s="109"/>
      <c r="AI526" s="109"/>
      <c r="AJ526" s="109"/>
      <c r="AK526" s="109"/>
      <c r="AL526" s="109"/>
      <c r="AM526" s="109"/>
      <c r="AN526" s="109"/>
      <c r="AO526" s="109"/>
      <c r="AP526" s="109"/>
      <c r="AQ526" s="109"/>
      <c r="AR526" s="109"/>
      <c r="AS526" s="109"/>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row>
    <row r="527" spans="1:77">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c r="AA527" s="109"/>
      <c r="AB527" s="109"/>
      <c r="AC527" s="109"/>
      <c r="AD527" s="109"/>
      <c r="AE527" s="109"/>
      <c r="AF527" s="109"/>
      <c r="AG527" s="109"/>
      <c r="AH527" s="109"/>
      <c r="AI527" s="109"/>
      <c r="AJ527" s="109"/>
      <c r="AK527" s="109"/>
      <c r="AL527" s="109"/>
      <c r="AM527" s="109"/>
      <c r="AN527" s="109"/>
      <c r="AO527" s="109"/>
      <c r="AP527" s="109"/>
      <c r="AQ527" s="109"/>
      <c r="AR527" s="109"/>
      <c r="AS527" s="109"/>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row>
    <row r="528" spans="1:77">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c r="AA528" s="109"/>
      <c r="AB528" s="109"/>
      <c r="AC528" s="109"/>
      <c r="AD528" s="109"/>
      <c r="AE528" s="109"/>
      <c r="AF528" s="109"/>
      <c r="AG528" s="109"/>
      <c r="AH528" s="109"/>
      <c r="AI528" s="109"/>
      <c r="AJ528" s="109"/>
      <c r="AK528" s="109"/>
      <c r="AL528" s="109"/>
      <c r="AM528" s="109"/>
      <c r="AN528" s="109"/>
      <c r="AO528" s="109"/>
      <c r="AP528" s="109"/>
      <c r="AQ528" s="109"/>
      <c r="AR528" s="109"/>
      <c r="AS528" s="109"/>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row>
    <row r="529" spans="1:77">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c r="AE529" s="109"/>
      <c r="AF529" s="109"/>
      <c r="AG529" s="109"/>
      <c r="AH529" s="109"/>
      <c r="AI529" s="109"/>
      <c r="AJ529" s="109"/>
      <c r="AK529" s="109"/>
      <c r="AL529" s="109"/>
      <c r="AM529" s="109"/>
      <c r="AN529" s="109"/>
      <c r="AO529" s="109"/>
      <c r="AP529" s="109"/>
      <c r="AQ529" s="109"/>
      <c r="AR529" s="109"/>
      <c r="AS529" s="109"/>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row>
    <row r="530" spans="1:77">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c r="AE530" s="109"/>
      <c r="AF530" s="109"/>
      <c r="AG530" s="109"/>
      <c r="AH530" s="109"/>
      <c r="AI530" s="109"/>
      <c r="AJ530" s="109"/>
      <c r="AK530" s="109"/>
      <c r="AL530" s="109"/>
      <c r="AM530" s="109"/>
      <c r="AN530" s="109"/>
      <c r="AO530" s="109"/>
      <c r="AP530" s="109"/>
      <c r="AQ530" s="109"/>
      <c r="AR530" s="109"/>
      <c r="AS530" s="109"/>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row>
    <row r="531" spans="1:77">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c r="AE531" s="109"/>
      <c r="AF531" s="109"/>
      <c r="AG531" s="109"/>
      <c r="AH531" s="109"/>
      <c r="AI531" s="109"/>
      <c r="AJ531" s="109"/>
      <c r="AK531" s="109"/>
      <c r="AL531" s="109"/>
      <c r="AM531" s="109"/>
      <c r="AN531" s="109"/>
      <c r="AO531" s="109"/>
      <c r="AP531" s="109"/>
      <c r="AQ531" s="109"/>
      <c r="AR531" s="109"/>
      <c r="AS531" s="109"/>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row>
    <row r="532" spans="1:77">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109"/>
      <c r="AE532" s="109"/>
      <c r="AF532" s="109"/>
      <c r="AG532" s="109"/>
      <c r="AH532" s="109"/>
      <c r="AI532" s="109"/>
      <c r="AJ532" s="109"/>
      <c r="AK532" s="109"/>
      <c r="AL532" s="109"/>
      <c r="AM532" s="109"/>
      <c r="AN532" s="109"/>
      <c r="AO532" s="109"/>
      <c r="AP532" s="109"/>
      <c r="AQ532" s="109"/>
      <c r="AR532" s="109"/>
      <c r="AS532" s="109"/>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row>
    <row r="533" spans="1:77">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109"/>
      <c r="AE533" s="109"/>
      <c r="AF533" s="109"/>
      <c r="AG533" s="109"/>
      <c r="AH533" s="109"/>
      <c r="AI533" s="109"/>
      <c r="AJ533" s="109"/>
      <c r="AK533" s="109"/>
      <c r="AL533" s="109"/>
      <c r="AM533" s="109"/>
      <c r="AN533" s="109"/>
      <c r="AO533" s="109"/>
      <c r="AP533" s="109"/>
      <c r="AQ533" s="109"/>
      <c r="AR533" s="109"/>
      <c r="AS533" s="109"/>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row>
    <row r="534" spans="1:77">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109"/>
      <c r="AE534" s="109"/>
      <c r="AF534" s="109"/>
      <c r="AG534" s="109"/>
      <c r="AH534" s="109"/>
      <c r="AI534" s="109"/>
      <c r="AJ534" s="109"/>
      <c r="AK534" s="109"/>
      <c r="AL534" s="109"/>
      <c r="AM534" s="109"/>
      <c r="AN534" s="109"/>
      <c r="AO534" s="109"/>
      <c r="AP534" s="109"/>
      <c r="AQ534" s="109"/>
      <c r="AR534" s="109"/>
      <c r="AS534" s="109"/>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row>
    <row r="535" spans="1:77">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109"/>
      <c r="AE535" s="109"/>
      <c r="AF535" s="109"/>
      <c r="AG535" s="109"/>
      <c r="AH535" s="109"/>
      <c r="AI535" s="109"/>
      <c r="AJ535" s="109"/>
      <c r="AK535" s="109"/>
      <c r="AL535" s="109"/>
      <c r="AM535" s="109"/>
      <c r="AN535" s="109"/>
      <c r="AO535" s="109"/>
      <c r="AP535" s="109"/>
      <c r="AQ535" s="109"/>
      <c r="AR535" s="109"/>
      <c r="AS535" s="109"/>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row>
    <row r="536" spans="1:77">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109"/>
      <c r="AE536" s="109"/>
      <c r="AF536" s="109"/>
      <c r="AG536" s="109"/>
      <c r="AH536" s="109"/>
      <c r="AI536" s="109"/>
      <c r="AJ536" s="109"/>
      <c r="AK536" s="109"/>
      <c r="AL536" s="109"/>
      <c r="AM536" s="109"/>
      <c r="AN536" s="109"/>
      <c r="AO536" s="109"/>
      <c r="AP536" s="109"/>
      <c r="AQ536" s="109"/>
      <c r="AR536" s="109"/>
      <c r="AS536" s="109"/>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row>
    <row r="537" spans="1:77">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c r="AA537" s="109"/>
      <c r="AB537" s="109"/>
      <c r="AC537" s="109"/>
      <c r="AD537" s="109"/>
      <c r="AE537" s="109"/>
      <c r="AF537" s="109"/>
      <c r="AG537" s="109"/>
      <c r="AH537" s="109"/>
      <c r="AI537" s="109"/>
      <c r="AJ537" s="109"/>
      <c r="AK537" s="109"/>
      <c r="AL537" s="109"/>
      <c r="AM537" s="109"/>
      <c r="AN537" s="109"/>
      <c r="AO537" s="109"/>
      <c r="AP537" s="109"/>
      <c r="AQ537" s="109"/>
      <c r="AR537" s="109"/>
      <c r="AS537" s="109"/>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row>
    <row r="538" spans="1:77">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c r="AA538" s="109"/>
      <c r="AB538" s="109"/>
      <c r="AC538" s="109"/>
      <c r="AD538" s="109"/>
      <c r="AE538" s="109"/>
      <c r="AF538" s="109"/>
      <c r="AG538" s="109"/>
      <c r="AH538" s="109"/>
      <c r="AI538" s="109"/>
      <c r="AJ538" s="109"/>
      <c r="AK538" s="109"/>
      <c r="AL538" s="109"/>
      <c r="AM538" s="109"/>
      <c r="AN538" s="109"/>
      <c r="AO538" s="109"/>
      <c r="AP538" s="109"/>
      <c r="AQ538" s="109"/>
      <c r="AR538" s="109"/>
      <c r="AS538" s="109"/>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row>
    <row r="539" spans="1:77">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c r="AA539" s="109"/>
      <c r="AB539" s="109"/>
      <c r="AC539" s="109"/>
      <c r="AD539" s="109"/>
      <c r="AE539" s="109"/>
      <c r="AF539" s="109"/>
      <c r="AG539" s="109"/>
      <c r="AH539" s="109"/>
      <c r="AI539" s="109"/>
      <c r="AJ539" s="109"/>
      <c r="AK539" s="109"/>
      <c r="AL539" s="109"/>
      <c r="AM539" s="109"/>
      <c r="AN539" s="109"/>
      <c r="AO539" s="109"/>
      <c r="AP539" s="109"/>
      <c r="AQ539" s="109"/>
      <c r="AR539" s="109"/>
      <c r="AS539" s="109"/>
      <c r="AT539" s="108"/>
      <c r="AU539" s="108"/>
      <c r="AV539" s="108"/>
      <c r="AW539" s="108"/>
      <c r="AX539" s="108"/>
      <c r="AY539" s="108"/>
      <c r="AZ539" s="108"/>
      <c r="BA539" s="108"/>
      <c r="BB539" s="108"/>
      <c r="BC539" s="108"/>
      <c r="BD539" s="108"/>
      <c r="BE539" s="108"/>
      <c r="BF539" s="108"/>
      <c r="BG539" s="108"/>
      <c r="BH539" s="108"/>
      <c r="BI539" s="108"/>
      <c r="BJ539" s="108"/>
      <c r="BK539" s="108"/>
      <c r="BL539" s="108"/>
      <c r="BM539" s="108"/>
      <c r="BN539" s="108"/>
      <c r="BO539" s="108"/>
      <c r="BP539" s="108"/>
      <c r="BQ539" s="108"/>
      <c r="BR539" s="108"/>
      <c r="BS539" s="108"/>
      <c r="BT539" s="108"/>
      <c r="BU539" s="108"/>
      <c r="BV539" s="108"/>
      <c r="BW539" s="108"/>
      <c r="BX539" s="108"/>
      <c r="BY539" s="108"/>
    </row>
    <row r="540" spans="1:77">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c r="AA540" s="109"/>
      <c r="AB540" s="109"/>
      <c r="AC540" s="109"/>
      <c r="AD540" s="109"/>
      <c r="AE540" s="109"/>
      <c r="AF540" s="109"/>
      <c r="AG540" s="109"/>
      <c r="AH540" s="109"/>
      <c r="AI540" s="109"/>
      <c r="AJ540" s="109"/>
      <c r="AK540" s="109"/>
      <c r="AL540" s="109"/>
      <c r="AM540" s="109"/>
      <c r="AN540" s="109"/>
      <c r="AO540" s="109"/>
      <c r="AP540" s="109"/>
      <c r="AQ540" s="109"/>
      <c r="AR540" s="109"/>
      <c r="AS540" s="109"/>
      <c r="AT540" s="108"/>
      <c r="AU540" s="108"/>
      <c r="AV540" s="108"/>
      <c r="AW540" s="108"/>
      <c r="AX540" s="108"/>
      <c r="AY540" s="108"/>
      <c r="AZ540" s="108"/>
      <c r="BA540" s="108"/>
      <c r="BB540" s="108"/>
      <c r="BC540" s="108"/>
      <c r="BD540" s="108"/>
      <c r="BE540" s="108"/>
      <c r="BF540" s="108"/>
      <c r="BG540" s="108"/>
      <c r="BH540" s="108"/>
      <c r="BI540" s="108"/>
      <c r="BJ540" s="108"/>
      <c r="BK540" s="108"/>
      <c r="BL540" s="108"/>
      <c r="BM540" s="108"/>
      <c r="BN540" s="108"/>
      <c r="BO540" s="108"/>
      <c r="BP540" s="108"/>
      <c r="BQ540" s="108"/>
      <c r="BR540" s="108"/>
      <c r="BS540" s="108"/>
      <c r="BT540" s="108"/>
      <c r="BU540" s="108"/>
      <c r="BV540" s="108"/>
      <c r="BW540" s="108"/>
      <c r="BX540" s="108"/>
      <c r="BY540" s="108"/>
    </row>
    <row r="541" spans="1:77">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c r="AB541" s="109"/>
      <c r="AC541" s="109"/>
      <c r="AD541" s="109"/>
      <c r="AE541" s="109"/>
      <c r="AF541" s="109"/>
      <c r="AG541" s="109"/>
      <c r="AH541" s="109"/>
      <c r="AI541" s="109"/>
      <c r="AJ541" s="109"/>
      <c r="AK541" s="109"/>
      <c r="AL541" s="109"/>
      <c r="AM541" s="109"/>
      <c r="AN541" s="109"/>
      <c r="AO541" s="109"/>
      <c r="AP541" s="109"/>
      <c r="AQ541" s="109"/>
      <c r="AR541" s="109"/>
      <c r="AS541" s="109"/>
      <c r="AT541" s="108"/>
      <c r="AU541" s="108"/>
      <c r="AV541" s="108"/>
      <c r="AW541" s="108"/>
      <c r="AX541" s="108"/>
      <c r="AY541" s="108"/>
      <c r="AZ541" s="108"/>
      <c r="BA541" s="108"/>
      <c r="BB541" s="108"/>
      <c r="BC541" s="108"/>
      <c r="BD541" s="108"/>
      <c r="BE541" s="108"/>
      <c r="BF541" s="108"/>
      <c r="BG541" s="108"/>
      <c r="BH541" s="108"/>
      <c r="BI541" s="108"/>
      <c r="BJ541" s="108"/>
      <c r="BK541" s="108"/>
      <c r="BL541" s="108"/>
      <c r="BM541" s="108"/>
      <c r="BN541" s="108"/>
      <c r="BO541" s="108"/>
      <c r="BP541" s="108"/>
      <c r="BQ541" s="108"/>
      <c r="BR541" s="108"/>
      <c r="BS541" s="108"/>
      <c r="BT541" s="108"/>
      <c r="BU541" s="108"/>
      <c r="BV541" s="108"/>
      <c r="BW541" s="108"/>
      <c r="BX541" s="108"/>
      <c r="BY541" s="108"/>
    </row>
    <row r="542" spans="1:77">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c r="AA542" s="109"/>
      <c r="AB542" s="109"/>
      <c r="AC542" s="109"/>
      <c r="AD542" s="109"/>
      <c r="AE542" s="109"/>
      <c r="AF542" s="109"/>
      <c r="AG542" s="109"/>
      <c r="AH542" s="109"/>
      <c r="AI542" s="109"/>
      <c r="AJ542" s="109"/>
      <c r="AK542" s="109"/>
      <c r="AL542" s="109"/>
      <c r="AM542" s="109"/>
      <c r="AN542" s="109"/>
      <c r="AO542" s="109"/>
      <c r="AP542" s="109"/>
      <c r="AQ542" s="109"/>
      <c r="AR542" s="109"/>
      <c r="AS542" s="109"/>
      <c r="AT542" s="108"/>
      <c r="AU542" s="108"/>
      <c r="AV542" s="108"/>
      <c r="AW542" s="108"/>
      <c r="AX542" s="108"/>
      <c r="AY542" s="108"/>
      <c r="AZ542" s="108"/>
      <c r="BA542" s="108"/>
      <c r="BB542" s="108"/>
      <c r="BC542" s="108"/>
      <c r="BD542" s="108"/>
      <c r="BE542" s="108"/>
      <c r="BF542" s="108"/>
      <c r="BG542" s="108"/>
      <c r="BH542" s="108"/>
      <c r="BI542" s="108"/>
      <c r="BJ542" s="108"/>
      <c r="BK542" s="108"/>
      <c r="BL542" s="108"/>
      <c r="BM542" s="108"/>
      <c r="BN542" s="108"/>
      <c r="BO542" s="108"/>
      <c r="BP542" s="108"/>
      <c r="BQ542" s="108"/>
      <c r="BR542" s="108"/>
      <c r="BS542" s="108"/>
      <c r="BT542" s="108"/>
      <c r="BU542" s="108"/>
      <c r="BV542" s="108"/>
      <c r="BW542" s="108"/>
      <c r="BX542" s="108"/>
      <c r="BY542" s="108"/>
    </row>
    <row r="543" spans="1:77">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c r="AA543" s="109"/>
      <c r="AB543" s="109"/>
      <c r="AC543" s="109"/>
      <c r="AD543" s="109"/>
      <c r="AE543" s="109"/>
      <c r="AF543" s="109"/>
      <c r="AG543" s="109"/>
      <c r="AH543" s="109"/>
      <c r="AI543" s="109"/>
      <c r="AJ543" s="109"/>
      <c r="AK543" s="109"/>
      <c r="AL543" s="109"/>
      <c r="AM543" s="109"/>
      <c r="AN543" s="109"/>
      <c r="AO543" s="109"/>
      <c r="AP543" s="109"/>
      <c r="AQ543" s="109"/>
      <c r="AR543" s="109"/>
      <c r="AS543" s="109"/>
      <c r="AT543" s="108"/>
      <c r="AU543" s="108"/>
      <c r="AV543" s="108"/>
      <c r="AW543" s="108"/>
      <c r="AX543" s="108"/>
      <c r="AY543" s="108"/>
      <c r="AZ543" s="108"/>
      <c r="BA543" s="108"/>
      <c r="BB543" s="108"/>
      <c r="BC543" s="108"/>
      <c r="BD543" s="108"/>
      <c r="BE543" s="108"/>
      <c r="BF543" s="108"/>
      <c r="BG543" s="108"/>
      <c r="BH543" s="108"/>
      <c r="BI543" s="108"/>
      <c r="BJ543" s="108"/>
      <c r="BK543" s="108"/>
      <c r="BL543" s="108"/>
      <c r="BM543" s="108"/>
      <c r="BN543" s="108"/>
      <c r="BO543" s="108"/>
      <c r="BP543" s="108"/>
      <c r="BQ543" s="108"/>
      <c r="BR543" s="108"/>
      <c r="BS543" s="108"/>
      <c r="BT543" s="108"/>
      <c r="BU543" s="108"/>
      <c r="BV543" s="108"/>
      <c r="BW543" s="108"/>
      <c r="BX543" s="108"/>
      <c r="BY543" s="108"/>
    </row>
    <row r="544" spans="1:77">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c r="AA544" s="109"/>
      <c r="AB544" s="109"/>
      <c r="AC544" s="109"/>
      <c r="AD544" s="109"/>
      <c r="AE544" s="109"/>
      <c r="AF544" s="109"/>
      <c r="AG544" s="109"/>
      <c r="AH544" s="109"/>
      <c r="AI544" s="109"/>
      <c r="AJ544" s="109"/>
      <c r="AK544" s="109"/>
      <c r="AL544" s="109"/>
      <c r="AM544" s="109"/>
      <c r="AN544" s="109"/>
      <c r="AO544" s="109"/>
      <c r="AP544" s="109"/>
      <c r="AQ544" s="109"/>
      <c r="AR544" s="109"/>
      <c r="AS544" s="109"/>
      <c r="AT544" s="108"/>
      <c r="AU544" s="108"/>
      <c r="AV544" s="108"/>
      <c r="AW544" s="108"/>
      <c r="AX544" s="108"/>
      <c r="AY544" s="108"/>
      <c r="AZ544" s="108"/>
      <c r="BA544" s="108"/>
      <c r="BB544" s="108"/>
      <c r="BC544" s="108"/>
      <c r="BD544" s="108"/>
      <c r="BE544" s="108"/>
      <c r="BF544" s="108"/>
      <c r="BG544" s="108"/>
      <c r="BH544" s="108"/>
      <c r="BI544" s="108"/>
      <c r="BJ544" s="108"/>
      <c r="BK544" s="108"/>
      <c r="BL544" s="108"/>
      <c r="BM544" s="108"/>
      <c r="BN544" s="108"/>
      <c r="BO544" s="108"/>
      <c r="BP544" s="108"/>
      <c r="BQ544" s="108"/>
      <c r="BR544" s="108"/>
      <c r="BS544" s="108"/>
      <c r="BT544" s="108"/>
      <c r="BU544" s="108"/>
      <c r="BV544" s="108"/>
      <c r="BW544" s="108"/>
      <c r="BX544" s="108"/>
      <c r="BY544" s="108"/>
    </row>
    <row r="545" spans="1:77">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c r="AA545" s="109"/>
      <c r="AB545" s="109"/>
      <c r="AC545" s="109"/>
      <c r="AD545" s="109"/>
      <c r="AE545" s="109"/>
      <c r="AF545" s="109"/>
      <c r="AG545" s="109"/>
      <c r="AH545" s="109"/>
      <c r="AI545" s="109"/>
      <c r="AJ545" s="109"/>
      <c r="AK545" s="109"/>
      <c r="AL545" s="109"/>
      <c r="AM545" s="109"/>
      <c r="AN545" s="109"/>
      <c r="AO545" s="109"/>
      <c r="AP545" s="109"/>
      <c r="AQ545" s="109"/>
      <c r="AR545" s="109"/>
      <c r="AS545" s="109"/>
      <c r="AT545" s="108"/>
      <c r="AU545" s="108"/>
      <c r="AV545" s="108"/>
      <c r="AW545" s="108"/>
      <c r="AX545" s="108"/>
      <c r="AY545" s="108"/>
      <c r="AZ545" s="108"/>
      <c r="BA545" s="108"/>
      <c r="BB545" s="108"/>
      <c r="BC545" s="108"/>
      <c r="BD545" s="108"/>
      <c r="BE545" s="108"/>
      <c r="BF545" s="108"/>
      <c r="BG545" s="108"/>
      <c r="BH545" s="108"/>
      <c r="BI545" s="108"/>
      <c r="BJ545" s="108"/>
      <c r="BK545" s="108"/>
      <c r="BL545" s="108"/>
      <c r="BM545" s="108"/>
      <c r="BN545" s="108"/>
      <c r="BO545" s="108"/>
      <c r="BP545" s="108"/>
      <c r="BQ545" s="108"/>
      <c r="BR545" s="108"/>
      <c r="BS545" s="108"/>
      <c r="BT545" s="108"/>
      <c r="BU545" s="108"/>
      <c r="BV545" s="108"/>
      <c r="BW545" s="108"/>
      <c r="BX545" s="108"/>
      <c r="BY545" s="108"/>
    </row>
    <row r="546" spans="1:77">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c r="AA546" s="109"/>
      <c r="AB546" s="109"/>
      <c r="AC546" s="109"/>
      <c r="AD546" s="109"/>
      <c r="AE546" s="109"/>
      <c r="AF546" s="109"/>
      <c r="AG546" s="109"/>
      <c r="AH546" s="109"/>
      <c r="AI546" s="109"/>
      <c r="AJ546" s="109"/>
      <c r="AK546" s="109"/>
      <c r="AL546" s="109"/>
      <c r="AM546" s="109"/>
      <c r="AN546" s="109"/>
      <c r="AO546" s="109"/>
      <c r="AP546" s="109"/>
      <c r="AQ546" s="109"/>
      <c r="AR546" s="109"/>
      <c r="AS546" s="109"/>
      <c r="AT546" s="108"/>
      <c r="AU546" s="108"/>
      <c r="AV546" s="108"/>
      <c r="AW546" s="108"/>
      <c r="AX546" s="108"/>
      <c r="AY546" s="108"/>
      <c r="AZ546" s="108"/>
      <c r="BA546" s="108"/>
      <c r="BB546" s="108"/>
      <c r="BC546" s="108"/>
      <c r="BD546" s="108"/>
      <c r="BE546" s="108"/>
      <c r="BF546" s="108"/>
      <c r="BG546" s="108"/>
      <c r="BH546" s="108"/>
      <c r="BI546" s="108"/>
      <c r="BJ546" s="108"/>
      <c r="BK546" s="108"/>
      <c r="BL546" s="108"/>
      <c r="BM546" s="108"/>
      <c r="BN546" s="108"/>
      <c r="BO546" s="108"/>
      <c r="BP546" s="108"/>
      <c r="BQ546" s="108"/>
      <c r="BR546" s="108"/>
      <c r="BS546" s="108"/>
      <c r="BT546" s="108"/>
      <c r="BU546" s="108"/>
      <c r="BV546" s="108"/>
      <c r="BW546" s="108"/>
      <c r="BX546" s="108"/>
      <c r="BY546" s="108"/>
    </row>
    <row r="547" spans="1:77">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c r="AA547" s="109"/>
      <c r="AB547" s="109"/>
      <c r="AC547" s="109"/>
      <c r="AD547" s="109"/>
      <c r="AE547" s="109"/>
      <c r="AF547" s="109"/>
      <c r="AG547" s="109"/>
      <c r="AH547" s="109"/>
      <c r="AI547" s="109"/>
      <c r="AJ547" s="109"/>
      <c r="AK547" s="109"/>
      <c r="AL547" s="109"/>
      <c r="AM547" s="109"/>
      <c r="AN547" s="109"/>
      <c r="AO547" s="109"/>
      <c r="AP547" s="109"/>
      <c r="AQ547" s="109"/>
      <c r="AR547" s="109"/>
      <c r="AS547" s="109"/>
      <c r="AT547" s="108"/>
      <c r="AU547" s="108"/>
      <c r="AV547" s="108"/>
      <c r="AW547" s="108"/>
      <c r="AX547" s="108"/>
      <c r="AY547" s="108"/>
      <c r="AZ547" s="108"/>
      <c r="BA547" s="108"/>
      <c r="BB547" s="108"/>
      <c r="BC547" s="108"/>
      <c r="BD547" s="108"/>
      <c r="BE547" s="108"/>
      <c r="BF547" s="108"/>
      <c r="BG547" s="108"/>
      <c r="BH547" s="108"/>
      <c r="BI547" s="108"/>
      <c r="BJ547" s="108"/>
      <c r="BK547" s="108"/>
      <c r="BL547" s="108"/>
      <c r="BM547" s="108"/>
      <c r="BN547" s="108"/>
      <c r="BO547" s="108"/>
      <c r="BP547" s="108"/>
      <c r="BQ547" s="108"/>
      <c r="BR547" s="108"/>
      <c r="BS547" s="108"/>
      <c r="BT547" s="108"/>
      <c r="BU547" s="108"/>
      <c r="BV547" s="108"/>
      <c r="BW547" s="108"/>
      <c r="BX547" s="108"/>
      <c r="BY547" s="108"/>
    </row>
    <row r="548" spans="1:77">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c r="AB548" s="109"/>
      <c r="AC548" s="109"/>
      <c r="AD548" s="109"/>
      <c r="AE548" s="109"/>
      <c r="AF548" s="109"/>
      <c r="AG548" s="109"/>
      <c r="AH548" s="109"/>
      <c r="AI548" s="109"/>
      <c r="AJ548" s="109"/>
      <c r="AK548" s="109"/>
      <c r="AL548" s="109"/>
      <c r="AM548" s="109"/>
      <c r="AN548" s="109"/>
      <c r="AO548" s="109"/>
      <c r="AP548" s="109"/>
      <c r="AQ548" s="109"/>
      <c r="AR548" s="109"/>
      <c r="AS548" s="109"/>
      <c r="AT548" s="108"/>
      <c r="AU548" s="108"/>
      <c r="AV548" s="108"/>
      <c r="AW548" s="108"/>
      <c r="AX548" s="108"/>
      <c r="AY548" s="108"/>
      <c r="AZ548" s="108"/>
      <c r="BA548" s="108"/>
      <c r="BB548" s="108"/>
      <c r="BC548" s="108"/>
      <c r="BD548" s="108"/>
      <c r="BE548" s="108"/>
      <c r="BF548" s="108"/>
      <c r="BG548" s="108"/>
      <c r="BH548" s="108"/>
      <c r="BI548" s="108"/>
      <c r="BJ548" s="108"/>
      <c r="BK548" s="108"/>
      <c r="BL548" s="108"/>
      <c r="BM548" s="108"/>
      <c r="BN548" s="108"/>
      <c r="BO548" s="108"/>
      <c r="BP548" s="108"/>
      <c r="BQ548" s="108"/>
      <c r="BR548" s="108"/>
      <c r="BS548" s="108"/>
      <c r="BT548" s="108"/>
      <c r="BU548" s="108"/>
      <c r="BV548" s="108"/>
      <c r="BW548" s="108"/>
      <c r="BX548" s="108"/>
      <c r="BY548" s="108"/>
    </row>
    <row r="549" spans="1:77">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c r="AA549" s="109"/>
      <c r="AB549" s="109"/>
      <c r="AC549" s="109"/>
      <c r="AD549" s="109"/>
      <c r="AE549" s="109"/>
      <c r="AF549" s="109"/>
      <c r="AG549" s="109"/>
      <c r="AH549" s="109"/>
      <c r="AI549" s="109"/>
      <c r="AJ549" s="109"/>
      <c r="AK549" s="109"/>
      <c r="AL549" s="109"/>
      <c r="AM549" s="109"/>
      <c r="AN549" s="109"/>
      <c r="AO549" s="109"/>
      <c r="AP549" s="109"/>
      <c r="AQ549" s="109"/>
      <c r="AR549" s="109"/>
      <c r="AS549" s="109"/>
      <c r="AT549" s="108"/>
      <c r="AU549" s="108"/>
      <c r="AV549" s="108"/>
      <c r="AW549" s="108"/>
      <c r="AX549" s="108"/>
      <c r="AY549" s="108"/>
      <c r="AZ549" s="108"/>
      <c r="BA549" s="108"/>
      <c r="BB549" s="108"/>
      <c r="BC549" s="108"/>
      <c r="BD549" s="108"/>
      <c r="BE549" s="108"/>
      <c r="BF549" s="108"/>
      <c r="BG549" s="108"/>
      <c r="BH549" s="108"/>
      <c r="BI549" s="108"/>
      <c r="BJ549" s="108"/>
      <c r="BK549" s="108"/>
      <c r="BL549" s="108"/>
      <c r="BM549" s="108"/>
      <c r="BN549" s="108"/>
      <c r="BO549" s="108"/>
      <c r="BP549" s="108"/>
      <c r="BQ549" s="108"/>
      <c r="BR549" s="108"/>
      <c r="BS549" s="108"/>
      <c r="BT549" s="108"/>
      <c r="BU549" s="108"/>
      <c r="BV549" s="108"/>
      <c r="BW549" s="108"/>
      <c r="BX549" s="108"/>
      <c r="BY549" s="108"/>
    </row>
    <row r="550" spans="1:77">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c r="AA550" s="109"/>
      <c r="AB550" s="109"/>
      <c r="AC550" s="109"/>
      <c r="AD550" s="109"/>
      <c r="AE550" s="109"/>
      <c r="AF550" s="109"/>
      <c r="AG550" s="109"/>
      <c r="AH550" s="109"/>
      <c r="AI550" s="109"/>
      <c r="AJ550" s="109"/>
      <c r="AK550" s="109"/>
      <c r="AL550" s="109"/>
      <c r="AM550" s="109"/>
      <c r="AN550" s="109"/>
      <c r="AO550" s="109"/>
      <c r="AP550" s="109"/>
      <c r="AQ550" s="109"/>
      <c r="AR550" s="109"/>
      <c r="AS550" s="109"/>
      <c r="AT550" s="108"/>
      <c r="AU550" s="108"/>
      <c r="AV550" s="108"/>
      <c r="AW550" s="108"/>
      <c r="AX550" s="108"/>
      <c r="AY550" s="108"/>
      <c r="AZ550" s="108"/>
      <c r="BA550" s="108"/>
      <c r="BB550" s="108"/>
      <c r="BC550" s="108"/>
      <c r="BD550" s="108"/>
      <c r="BE550" s="108"/>
      <c r="BF550" s="108"/>
      <c r="BG550" s="108"/>
      <c r="BH550" s="108"/>
      <c r="BI550" s="108"/>
      <c r="BJ550" s="108"/>
      <c r="BK550" s="108"/>
      <c r="BL550" s="108"/>
      <c r="BM550" s="108"/>
      <c r="BN550" s="108"/>
      <c r="BO550" s="108"/>
      <c r="BP550" s="108"/>
      <c r="BQ550" s="108"/>
      <c r="BR550" s="108"/>
      <c r="BS550" s="108"/>
      <c r="BT550" s="108"/>
      <c r="BU550" s="108"/>
      <c r="BV550" s="108"/>
      <c r="BW550" s="108"/>
      <c r="BX550" s="108"/>
      <c r="BY550" s="108"/>
    </row>
    <row r="551" spans="1:77">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c r="AA551" s="109"/>
      <c r="AB551" s="109"/>
      <c r="AC551" s="109"/>
      <c r="AD551" s="109"/>
      <c r="AE551" s="109"/>
      <c r="AF551" s="109"/>
      <c r="AG551" s="109"/>
      <c r="AH551" s="109"/>
      <c r="AI551" s="109"/>
      <c r="AJ551" s="109"/>
      <c r="AK551" s="109"/>
      <c r="AL551" s="109"/>
      <c r="AM551" s="109"/>
      <c r="AN551" s="109"/>
      <c r="AO551" s="109"/>
      <c r="AP551" s="109"/>
      <c r="AQ551" s="109"/>
      <c r="AR551" s="109"/>
      <c r="AS551" s="109"/>
      <c r="AT551" s="108"/>
      <c r="AU551" s="108"/>
      <c r="AV551" s="108"/>
      <c r="AW551" s="108"/>
      <c r="AX551" s="108"/>
      <c r="AY551" s="108"/>
      <c r="AZ551" s="108"/>
      <c r="BA551" s="108"/>
      <c r="BB551" s="108"/>
      <c r="BC551" s="108"/>
      <c r="BD551" s="108"/>
      <c r="BE551" s="108"/>
      <c r="BF551" s="108"/>
      <c r="BG551" s="108"/>
      <c r="BH551" s="108"/>
      <c r="BI551" s="108"/>
      <c r="BJ551" s="108"/>
      <c r="BK551" s="108"/>
      <c r="BL551" s="108"/>
      <c r="BM551" s="108"/>
      <c r="BN551" s="108"/>
      <c r="BO551" s="108"/>
      <c r="BP551" s="108"/>
      <c r="BQ551" s="108"/>
      <c r="BR551" s="108"/>
      <c r="BS551" s="108"/>
      <c r="BT551" s="108"/>
      <c r="BU551" s="108"/>
      <c r="BV551" s="108"/>
      <c r="BW551" s="108"/>
      <c r="BX551" s="108"/>
      <c r="BY551" s="108"/>
    </row>
    <row r="552" spans="1:77">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c r="AA552" s="109"/>
      <c r="AB552" s="109"/>
      <c r="AC552" s="109"/>
      <c r="AD552" s="109"/>
      <c r="AE552" s="109"/>
      <c r="AF552" s="109"/>
      <c r="AG552" s="109"/>
      <c r="AH552" s="109"/>
      <c r="AI552" s="109"/>
      <c r="AJ552" s="109"/>
      <c r="AK552" s="109"/>
      <c r="AL552" s="109"/>
      <c r="AM552" s="109"/>
      <c r="AN552" s="109"/>
      <c r="AO552" s="109"/>
      <c r="AP552" s="109"/>
      <c r="AQ552" s="109"/>
      <c r="AR552" s="109"/>
      <c r="AS552" s="109"/>
      <c r="AT552" s="108"/>
      <c r="AU552" s="108"/>
      <c r="AV552" s="108"/>
      <c r="AW552" s="108"/>
      <c r="AX552" s="108"/>
      <c r="AY552" s="108"/>
      <c r="AZ552" s="108"/>
      <c r="BA552" s="108"/>
      <c r="BB552" s="108"/>
      <c r="BC552" s="108"/>
      <c r="BD552" s="108"/>
      <c r="BE552" s="108"/>
      <c r="BF552" s="108"/>
      <c r="BG552" s="108"/>
      <c r="BH552" s="108"/>
      <c r="BI552" s="108"/>
      <c r="BJ552" s="108"/>
      <c r="BK552" s="108"/>
      <c r="BL552" s="108"/>
      <c r="BM552" s="108"/>
      <c r="BN552" s="108"/>
      <c r="BO552" s="108"/>
      <c r="BP552" s="108"/>
      <c r="BQ552" s="108"/>
      <c r="BR552" s="108"/>
      <c r="BS552" s="108"/>
      <c r="BT552" s="108"/>
      <c r="BU552" s="108"/>
      <c r="BV552" s="108"/>
      <c r="BW552" s="108"/>
      <c r="BX552" s="108"/>
      <c r="BY552" s="108"/>
    </row>
    <row r="553" spans="1:77">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c r="AA553" s="109"/>
      <c r="AB553" s="109"/>
      <c r="AC553" s="109"/>
      <c r="AD553" s="109"/>
      <c r="AE553" s="109"/>
      <c r="AF553" s="109"/>
      <c r="AG553" s="109"/>
      <c r="AH553" s="109"/>
      <c r="AI553" s="109"/>
      <c r="AJ553" s="109"/>
      <c r="AK553" s="109"/>
      <c r="AL553" s="109"/>
      <c r="AM553" s="109"/>
      <c r="AN553" s="109"/>
      <c r="AO553" s="109"/>
      <c r="AP553" s="109"/>
      <c r="AQ553" s="109"/>
      <c r="AR553" s="109"/>
      <c r="AS553" s="109"/>
      <c r="AT553" s="108"/>
      <c r="AU553" s="108"/>
      <c r="AV553" s="108"/>
      <c r="AW553" s="108"/>
      <c r="AX553" s="108"/>
      <c r="AY553" s="108"/>
      <c r="AZ553" s="108"/>
      <c r="BA553" s="108"/>
      <c r="BB553" s="108"/>
      <c r="BC553" s="108"/>
      <c r="BD553" s="108"/>
      <c r="BE553" s="108"/>
      <c r="BF553" s="108"/>
      <c r="BG553" s="108"/>
      <c r="BH553" s="108"/>
      <c r="BI553" s="108"/>
      <c r="BJ553" s="108"/>
      <c r="BK553" s="108"/>
      <c r="BL553" s="108"/>
      <c r="BM553" s="108"/>
      <c r="BN553" s="108"/>
      <c r="BO553" s="108"/>
      <c r="BP553" s="108"/>
      <c r="BQ553" s="108"/>
      <c r="BR553" s="108"/>
      <c r="BS553" s="108"/>
      <c r="BT553" s="108"/>
      <c r="BU553" s="108"/>
      <c r="BV553" s="108"/>
      <c r="BW553" s="108"/>
      <c r="BX553" s="108"/>
      <c r="BY553" s="108"/>
    </row>
    <row r="554" spans="1:77">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c r="AA554" s="109"/>
      <c r="AB554" s="109"/>
      <c r="AC554" s="109"/>
      <c r="AD554" s="109"/>
      <c r="AE554" s="109"/>
      <c r="AF554" s="109"/>
      <c r="AG554" s="109"/>
      <c r="AH554" s="109"/>
      <c r="AI554" s="109"/>
      <c r="AJ554" s="109"/>
      <c r="AK554" s="109"/>
      <c r="AL554" s="109"/>
      <c r="AM554" s="109"/>
      <c r="AN554" s="109"/>
      <c r="AO554" s="109"/>
      <c r="AP554" s="109"/>
      <c r="AQ554" s="109"/>
      <c r="AR554" s="109"/>
      <c r="AS554" s="109"/>
      <c r="AT554" s="108"/>
      <c r="AU554" s="108"/>
      <c r="AV554" s="108"/>
      <c r="AW554" s="108"/>
      <c r="AX554" s="108"/>
      <c r="AY554" s="108"/>
      <c r="AZ554" s="108"/>
      <c r="BA554" s="108"/>
      <c r="BB554" s="108"/>
      <c r="BC554" s="108"/>
      <c r="BD554" s="108"/>
      <c r="BE554" s="108"/>
      <c r="BF554" s="108"/>
      <c r="BG554" s="108"/>
      <c r="BH554" s="108"/>
      <c r="BI554" s="108"/>
      <c r="BJ554" s="108"/>
      <c r="BK554" s="108"/>
      <c r="BL554" s="108"/>
      <c r="BM554" s="108"/>
      <c r="BN554" s="108"/>
      <c r="BO554" s="108"/>
      <c r="BP554" s="108"/>
      <c r="BQ554" s="108"/>
      <c r="BR554" s="108"/>
      <c r="BS554" s="108"/>
      <c r="BT554" s="108"/>
      <c r="BU554" s="108"/>
      <c r="BV554" s="108"/>
      <c r="BW554" s="108"/>
      <c r="BX554" s="108"/>
      <c r="BY554" s="108"/>
    </row>
    <row r="555" spans="1:77">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c r="AB555" s="109"/>
      <c r="AC555" s="109"/>
      <c r="AD555" s="109"/>
      <c r="AE555" s="109"/>
      <c r="AF555" s="109"/>
      <c r="AG555" s="109"/>
      <c r="AH555" s="109"/>
      <c r="AI555" s="109"/>
      <c r="AJ555" s="109"/>
      <c r="AK555" s="109"/>
      <c r="AL555" s="109"/>
      <c r="AM555" s="109"/>
      <c r="AN555" s="109"/>
      <c r="AO555" s="109"/>
      <c r="AP555" s="109"/>
      <c r="AQ555" s="109"/>
      <c r="AR555" s="109"/>
      <c r="AS555" s="109"/>
      <c r="AT555" s="108"/>
      <c r="AU555" s="108"/>
      <c r="AV555" s="108"/>
      <c r="AW555" s="108"/>
      <c r="AX555" s="108"/>
      <c r="AY555" s="108"/>
      <c r="AZ555" s="108"/>
      <c r="BA555" s="108"/>
      <c r="BB555" s="108"/>
      <c r="BC555" s="108"/>
      <c r="BD555" s="108"/>
      <c r="BE555" s="108"/>
      <c r="BF555" s="108"/>
      <c r="BG555" s="108"/>
      <c r="BH555" s="108"/>
      <c r="BI555" s="108"/>
      <c r="BJ555" s="108"/>
      <c r="BK555" s="108"/>
      <c r="BL555" s="108"/>
      <c r="BM555" s="108"/>
      <c r="BN555" s="108"/>
      <c r="BO555" s="108"/>
      <c r="BP555" s="108"/>
      <c r="BQ555" s="108"/>
      <c r="BR555" s="108"/>
      <c r="BS555" s="108"/>
      <c r="BT555" s="108"/>
      <c r="BU555" s="108"/>
      <c r="BV555" s="108"/>
      <c r="BW555" s="108"/>
      <c r="BX555" s="108"/>
      <c r="BY555" s="108"/>
    </row>
    <row r="556" spans="1:77">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c r="AA556" s="109"/>
      <c r="AB556" s="109"/>
      <c r="AC556" s="109"/>
      <c r="AD556" s="109"/>
      <c r="AE556" s="109"/>
      <c r="AF556" s="109"/>
      <c r="AG556" s="109"/>
      <c r="AH556" s="109"/>
      <c r="AI556" s="109"/>
      <c r="AJ556" s="109"/>
      <c r="AK556" s="109"/>
      <c r="AL556" s="109"/>
      <c r="AM556" s="109"/>
      <c r="AN556" s="109"/>
      <c r="AO556" s="109"/>
      <c r="AP556" s="109"/>
      <c r="AQ556" s="109"/>
      <c r="AR556" s="109"/>
      <c r="AS556" s="109"/>
      <c r="AT556" s="108"/>
      <c r="AU556" s="108"/>
      <c r="AV556" s="108"/>
      <c r="AW556" s="108"/>
      <c r="AX556" s="108"/>
      <c r="AY556" s="108"/>
      <c r="AZ556" s="108"/>
      <c r="BA556" s="108"/>
      <c r="BB556" s="108"/>
      <c r="BC556" s="108"/>
      <c r="BD556" s="108"/>
      <c r="BE556" s="108"/>
      <c r="BF556" s="108"/>
      <c r="BG556" s="108"/>
      <c r="BH556" s="108"/>
      <c r="BI556" s="108"/>
      <c r="BJ556" s="108"/>
      <c r="BK556" s="108"/>
      <c r="BL556" s="108"/>
      <c r="BM556" s="108"/>
      <c r="BN556" s="108"/>
      <c r="BO556" s="108"/>
      <c r="BP556" s="108"/>
      <c r="BQ556" s="108"/>
      <c r="BR556" s="108"/>
      <c r="BS556" s="108"/>
      <c r="BT556" s="108"/>
      <c r="BU556" s="108"/>
      <c r="BV556" s="108"/>
      <c r="BW556" s="108"/>
      <c r="BX556" s="108"/>
      <c r="BY556" s="108"/>
    </row>
    <row r="557" spans="1:77">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c r="AA557" s="109"/>
      <c r="AB557" s="109"/>
      <c r="AC557" s="109"/>
      <c r="AD557" s="109"/>
      <c r="AE557" s="109"/>
      <c r="AF557" s="109"/>
      <c r="AG557" s="109"/>
      <c r="AH557" s="109"/>
      <c r="AI557" s="109"/>
      <c r="AJ557" s="109"/>
      <c r="AK557" s="109"/>
      <c r="AL557" s="109"/>
      <c r="AM557" s="109"/>
      <c r="AN557" s="109"/>
      <c r="AO557" s="109"/>
      <c r="AP557" s="109"/>
      <c r="AQ557" s="109"/>
      <c r="AR557" s="109"/>
      <c r="AS557" s="109"/>
      <c r="AT557" s="108"/>
      <c r="AU557" s="108"/>
      <c r="AV557" s="108"/>
      <c r="AW557" s="108"/>
      <c r="AX557" s="108"/>
      <c r="AY557" s="108"/>
      <c r="AZ557" s="108"/>
      <c r="BA557" s="108"/>
      <c r="BB557" s="108"/>
      <c r="BC557" s="108"/>
      <c r="BD557" s="108"/>
      <c r="BE557" s="108"/>
      <c r="BF557" s="108"/>
      <c r="BG557" s="108"/>
      <c r="BH557" s="108"/>
      <c r="BI557" s="108"/>
      <c r="BJ557" s="108"/>
      <c r="BK557" s="108"/>
      <c r="BL557" s="108"/>
      <c r="BM557" s="108"/>
      <c r="BN557" s="108"/>
      <c r="BO557" s="108"/>
      <c r="BP557" s="108"/>
      <c r="BQ557" s="108"/>
      <c r="BR557" s="108"/>
      <c r="BS557" s="108"/>
      <c r="BT557" s="108"/>
      <c r="BU557" s="108"/>
      <c r="BV557" s="108"/>
      <c r="BW557" s="108"/>
      <c r="BX557" s="108"/>
      <c r="BY557" s="108"/>
    </row>
    <row r="558" spans="1:77">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c r="AA558" s="109"/>
      <c r="AB558" s="109"/>
      <c r="AC558" s="109"/>
      <c r="AD558" s="109"/>
      <c r="AE558" s="109"/>
      <c r="AF558" s="109"/>
      <c r="AG558" s="109"/>
      <c r="AH558" s="109"/>
      <c r="AI558" s="109"/>
      <c r="AJ558" s="109"/>
      <c r="AK558" s="109"/>
      <c r="AL558" s="109"/>
      <c r="AM558" s="109"/>
      <c r="AN558" s="109"/>
      <c r="AO558" s="109"/>
      <c r="AP558" s="109"/>
      <c r="AQ558" s="109"/>
      <c r="AR558" s="109"/>
      <c r="AS558" s="109"/>
      <c r="AT558" s="108"/>
      <c r="AU558" s="108"/>
      <c r="AV558" s="108"/>
      <c r="AW558" s="108"/>
      <c r="AX558" s="108"/>
      <c r="AY558" s="108"/>
      <c r="AZ558" s="108"/>
      <c r="BA558" s="108"/>
      <c r="BB558" s="108"/>
      <c r="BC558" s="108"/>
      <c r="BD558" s="108"/>
      <c r="BE558" s="108"/>
      <c r="BF558" s="108"/>
      <c r="BG558" s="108"/>
      <c r="BH558" s="108"/>
      <c r="BI558" s="108"/>
      <c r="BJ558" s="108"/>
      <c r="BK558" s="108"/>
      <c r="BL558" s="108"/>
      <c r="BM558" s="108"/>
      <c r="BN558" s="108"/>
      <c r="BO558" s="108"/>
      <c r="BP558" s="108"/>
      <c r="BQ558" s="108"/>
      <c r="BR558" s="108"/>
      <c r="BS558" s="108"/>
      <c r="BT558" s="108"/>
      <c r="BU558" s="108"/>
      <c r="BV558" s="108"/>
      <c r="BW558" s="108"/>
      <c r="BX558" s="108"/>
      <c r="BY558" s="108"/>
    </row>
    <row r="559" spans="1:77">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109"/>
      <c r="AG559" s="109"/>
      <c r="AH559" s="109"/>
      <c r="AI559" s="109"/>
      <c r="AJ559" s="109"/>
      <c r="AK559" s="109"/>
      <c r="AL559" s="109"/>
      <c r="AM559" s="109"/>
      <c r="AN559" s="109"/>
      <c r="AO559" s="109"/>
      <c r="AP559" s="109"/>
      <c r="AQ559" s="109"/>
      <c r="AR559" s="109"/>
      <c r="AS559" s="109"/>
      <c r="AT559" s="108"/>
      <c r="AU559" s="108"/>
      <c r="AV559" s="108"/>
      <c r="AW559" s="108"/>
      <c r="AX559" s="108"/>
      <c r="AY559" s="108"/>
      <c r="AZ559" s="108"/>
      <c r="BA559" s="108"/>
      <c r="BB559" s="108"/>
      <c r="BC559" s="108"/>
      <c r="BD559" s="108"/>
      <c r="BE559" s="108"/>
      <c r="BF559" s="108"/>
      <c r="BG559" s="108"/>
      <c r="BH559" s="108"/>
      <c r="BI559" s="108"/>
      <c r="BJ559" s="108"/>
      <c r="BK559" s="108"/>
      <c r="BL559" s="108"/>
      <c r="BM559" s="108"/>
      <c r="BN559" s="108"/>
      <c r="BO559" s="108"/>
      <c r="BP559" s="108"/>
      <c r="BQ559" s="108"/>
      <c r="BR559" s="108"/>
      <c r="BS559" s="108"/>
      <c r="BT559" s="108"/>
      <c r="BU559" s="108"/>
      <c r="BV559" s="108"/>
      <c r="BW559" s="108"/>
      <c r="BX559" s="108"/>
      <c r="BY559" s="108"/>
    </row>
    <row r="560" spans="1:77">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109"/>
      <c r="AG560" s="109"/>
      <c r="AH560" s="109"/>
      <c r="AI560" s="109"/>
      <c r="AJ560" s="109"/>
      <c r="AK560" s="109"/>
      <c r="AL560" s="109"/>
      <c r="AM560" s="109"/>
      <c r="AN560" s="109"/>
      <c r="AO560" s="109"/>
      <c r="AP560" s="109"/>
      <c r="AQ560" s="109"/>
      <c r="AR560" s="109"/>
      <c r="AS560" s="109"/>
      <c r="AT560" s="108"/>
      <c r="AU560" s="108"/>
      <c r="AV560" s="108"/>
      <c r="AW560" s="108"/>
      <c r="AX560" s="108"/>
      <c r="AY560" s="108"/>
      <c r="AZ560" s="108"/>
      <c r="BA560" s="108"/>
      <c r="BB560" s="108"/>
      <c r="BC560" s="108"/>
      <c r="BD560" s="108"/>
      <c r="BE560" s="108"/>
      <c r="BF560" s="108"/>
      <c r="BG560" s="108"/>
      <c r="BH560" s="108"/>
      <c r="BI560" s="108"/>
      <c r="BJ560" s="108"/>
      <c r="BK560" s="108"/>
      <c r="BL560" s="108"/>
      <c r="BM560" s="108"/>
      <c r="BN560" s="108"/>
      <c r="BO560" s="108"/>
      <c r="BP560" s="108"/>
      <c r="BQ560" s="108"/>
      <c r="BR560" s="108"/>
      <c r="BS560" s="108"/>
      <c r="BT560" s="108"/>
      <c r="BU560" s="108"/>
      <c r="BV560" s="108"/>
      <c r="BW560" s="108"/>
      <c r="BX560" s="108"/>
      <c r="BY560" s="108"/>
    </row>
    <row r="561" spans="1:77">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c r="AA561" s="109"/>
      <c r="AB561" s="109"/>
      <c r="AC561" s="109"/>
      <c r="AD561" s="109"/>
      <c r="AE561" s="109"/>
      <c r="AF561" s="109"/>
      <c r="AG561" s="109"/>
      <c r="AH561" s="109"/>
      <c r="AI561" s="109"/>
      <c r="AJ561" s="109"/>
      <c r="AK561" s="109"/>
      <c r="AL561" s="109"/>
      <c r="AM561" s="109"/>
      <c r="AN561" s="109"/>
      <c r="AO561" s="109"/>
      <c r="AP561" s="109"/>
      <c r="AQ561" s="109"/>
      <c r="AR561" s="109"/>
      <c r="AS561" s="109"/>
      <c r="AT561" s="108"/>
      <c r="AU561" s="108"/>
      <c r="AV561" s="108"/>
      <c r="AW561" s="108"/>
      <c r="AX561" s="108"/>
      <c r="AY561" s="108"/>
      <c r="AZ561" s="108"/>
      <c r="BA561" s="108"/>
      <c r="BB561" s="108"/>
      <c r="BC561" s="108"/>
      <c r="BD561" s="108"/>
      <c r="BE561" s="108"/>
      <c r="BF561" s="108"/>
      <c r="BG561" s="108"/>
      <c r="BH561" s="108"/>
      <c r="BI561" s="108"/>
      <c r="BJ561" s="108"/>
      <c r="BK561" s="108"/>
      <c r="BL561" s="108"/>
      <c r="BM561" s="108"/>
      <c r="BN561" s="108"/>
      <c r="BO561" s="108"/>
      <c r="BP561" s="108"/>
      <c r="BQ561" s="108"/>
      <c r="BR561" s="108"/>
      <c r="BS561" s="108"/>
      <c r="BT561" s="108"/>
      <c r="BU561" s="108"/>
      <c r="BV561" s="108"/>
      <c r="BW561" s="108"/>
      <c r="BX561" s="108"/>
      <c r="BY561" s="108"/>
    </row>
    <row r="562" spans="1:77">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c r="AA562" s="109"/>
      <c r="AB562" s="109"/>
      <c r="AC562" s="109"/>
      <c r="AD562" s="109"/>
      <c r="AE562" s="109"/>
      <c r="AF562" s="109"/>
      <c r="AG562" s="109"/>
      <c r="AH562" s="109"/>
      <c r="AI562" s="109"/>
      <c r="AJ562" s="109"/>
      <c r="AK562" s="109"/>
      <c r="AL562" s="109"/>
      <c r="AM562" s="109"/>
      <c r="AN562" s="109"/>
      <c r="AO562" s="109"/>
      <c r="AP562" s="109"/>
      <c r="AQ562" s="109"/>
      <c r="AR562" s="109"/>
      <c r="AS562" s="109"/>
      <c r="AT562" s="108"/>
      <c r="AU562" s="108"/>
      <c r="AV562" s="108"/>
      <c r="AW562" s="108"/>
      <c r="AX562" s="108"/>
      <c r="AY562" s="108"/>
      <c r="AZ562" s="108"/>
      <c r="BA562" s="108"/>
      <c r="BB562" s="108"/>
      <c r="BC562" s="108"/>
      <c r="BD562" s="108"/>
      <c r="BE562" s="108"/>
      <c r="BF562" s="108"/>
      <c r="BG562" s="108"/>
      <c r="BH562" s="108"/>
      <c r="BI562" s="108"/>
      <c r="BJ562" s="108"/>
      <c r="BK562" s="108"/>
      <c r="BL562" s="108"/>
      <c r="BM562" s="108"/>
      <c r="BN562" s="108"/>
      <c r="BO562" s="108"/>
      <c r="BP562" s="108"/>
      <c r="BQ562" s="108"/>
      <c r="BR562" s="108"/>
      <c r="BS562" s="108"/>
      <c r="BT562" s="108"/>
      <c r="BU562" s="108"/>
      <c r="BV562" s="108"/>
      <c r="BW562" s="108"/>
      <c r="BX562" s="108"/>
      <c r="BY562" s="108"/>
    </row>
    <row r="563" spans="1:77">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c r="AA563" s="109"/>
      <c r="AB563" s="109"/>
      <c r="AC563" s="109"/>
      <c r="AD563" s="109"/>
      <c r="AE563" s="109"/>
      <c r="AF563" s="109"/>
      <c r="AG563" s="109"/>
      <c r="AH563" s="109"/>
      <c r="AI563" s="109"/>
      <c r="AJ563" s="109"/>
      <c r="AK563" s="109"/>
      <c r="AL563" s="109"/>
      <c r="AM563" s="109"/>
      <c r="AN563" s="109"/>
      <c r="AO563" s="109"/>
      <c r="AP563" s="109"/>
      <c r="AQ563" s="109"/>
      <c r="AR563" s="109"/>
      <c r="AS563" s="109"/>
      <c r="AT563" s="108"/>
      <c r="AU563" s="108"/>
      <c r="AV563" s="108"/>
      <c r="AW563" s="108"/>
      <c r="AX563" s="108"/>
      <c r="AY563" s="108"/>
      <c r="AZ563" s="108"/>
      <c r="BA563" s="108"/>
      <c r="BB563" s="108"/>
      <c r="BC563" s="108"/>
      <c r="BD563" s="108"/>
      <c r="BE563" s="108"/>
      <c r="BF563" s="108"/>
      <c r="BG563" s="108"/>
      <c r="BH563" s="108"/>
      <c r="BI563" s="108"/>
      <c r="BJ563" s="108"/>
      <c r="BK563" s="108"/>
      <c r="BL563" s="108"/>
      <c r="BM563" s="108"/>
      <c r="BN563" s="108"/>
      <c r="BO563" s="108"/>
      <c r="BP563" s="108"/>
      <c r="BQ563" s="108"/>
      <c r="BR563" s="108"/>
      <c r="BS563" s="108"/>
      <c r="BT563" s="108"/>
      <c r="BU563" s="108"/>
      <c r="BV563" s="108"/>
      <c r="BW563" s="108"/>
      <c r="BX563" s="108"/>
      <c r="BY563" s="108"/>
    </row>
    <row r="564" spans="1:77">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c r="AA564" s="109"/>
      <c r="AB564" s="109"/>
      <c r="AC564" s="109"/>
      <c r="AD564" s="109"/>
      <c r="AE564" s="109"/>
      <c r="AF564" s="109"/>
      <c r="AG564" s="109"/>
      <c r="AH564" s="109"/>
      <c r="AI564" s="109"/>
      <c r="AJ564" s="109"/>
      <c r="AK564" s="109"/>
      <c r="AL564" s="109"/>
      <c r="AM564" s="109"/>
      <c r="AN564" s="109"/>
      <c r="AO564" s="109"/>
      <c r="AP564" s="109"/>
      <c r="AQ564" s="109"/>
      <c r="AR564" s="109"/>
      <c r="AS564" s="109"/>
      <c r="AT564" s="108"/>
      <c r="AU564" s="108"/>
      <c r="AV564" s="108"/>
      <c r="AW564" s="108"/>
      <c r="AX564" s="108"/>
      <c r="AY564" s="108"/>
      <c r="AZ564" s="108"/>
      <c r="BA564" s="108"/>
      <c r="BB564" s="108"/>
      <c r="BC564" s="108"/>
      <c r="BD564" s="108"/>
      <c r="BE564" s="108"/>
      <c r="BF564" s="108"/>
      <c r="BG564" s="108"/>
      <c r="BH564" s="108"/>
      <c r="BI564" s="108"/>
      <c r="BJ564" s="108"/>
      <c r="BK564" s="108"/>
      <c r="BL564" s="108"/>
      <c r="BM564" s="108"/>
      <c r="BN564" s="108"/>
      <c r="BO564" s="108"/>
      <c r="BP564" s="108"/>
      <c r="BQ564" s="108"/>
      <c r="BR564" s="108"/>
      <c r="BS564" s="108"/>
      <c r="BT564" s="108"/>
      <c r="BU564" s="108"/>
      <c r="BV564" s="108"/>
      <c r="BW564" s="108"/>
      <c r="BX564" s="108"/>
      <c r="BY564" s="108"/>
    </row>
    <row r="565" spans="1:77">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c r="AB565" s="109"/>
      <c r="AC565" s="109"/>
      <c r="AD565" s="109"/>
      <c r="AE565" s="109"/>
      <c r="AF565" s="109"/>
      <c r="AG565" s="109"/>
      <c r="AH565" s="109"/>
      <c r="AI565" s="109"/>
      <c r="AJ565" s="109"/>
      <c r="AK565" s="109"/>
      <c r="AL565" s="109"/>
      <c r="AM565" s="109"/>
      <c r="AN565" s="109"/>
      <c r="AO565" s="109"/>
      <c r="AP565" s="109"/>
      <c r="AQ565" s="109"/>
      <c r="AR565" s="109"/>
      <c r="AS565" s="109"/>
      <c r="AT565" s="108"/>
      <c r="AU565" s="108"/>
      <c r="AV565" s="108"/>
      <c r="AW565" s="108"/>
      <c r="AX565" s="108"/>
      <c r="AY565" s="108"/>
      <c r="AZ565" s="108"/>
      <c r="BA565" s="108"/>
      <c r="BB565" s="108"/>
      <c r="BC565" s="108"/>
      <c r="BD565" s="108"/>
      <c r="BE565" s="108"/>
      <c r="BF565" s="108"/>
      <c r="BG565" s="108"/>
      <c r="BH565" s="108"/>
      <c r="BI565" s="108"/>
      <c r="BJ565" s="108"/>
      <c r="BK565" s="108"/>
      <c r="BL565" s="108"/>
      <c r="BM565" s="108"/>
      <c r="BN565" s="108"/>
      <c r="BO565" s="108"/>
      <c r="BP565" s="108"/>
      <c r="BQ565" s="108"/>
      <c r="BR565" s="108"/>
      <c r="BS565" s="108"/>
      <c r="BT565" s="108"/>
      <c r="BU565" s="108"/>
      <c r="BV565" s="108"/>
      <c r="BW565" s="108"/>
      <c r="BX565" s="108"/>
      <c r="BY565" s="108"/>
    </row>
    <row r="566" spans="1:77">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c r="AA566" s="109"/>
      <c r="AB566" s="109"/>
      <c r="AC566" s="109"/>
      <c r="AD566" s="109"/>
      <c r="AE566" s="109"/>
      <c r="AF566" s="109"/>
      <c r="AG566" s="109"/>
      <c r="AH566" s="109"/>
      <c r="AI566" s="109"/>
      <c r="AJ566" s="109"/>
      <c r="AK566" s="109"/>
      <c r="AL566" s="109"/>
      <c r="AM566" s="109"/>
      <c r="AN566" s="109"/>
      <c r="AO566" s="109"/>
      <c r="AP566" s="109"/>
      <c r="AQ566" s="109"/>
      <c r="AR566" s="109"/>
      <c r="AS566" s="109"/>
      <c r="AT566" s="108"/>
      <c r="AU566" s="108"/>
      <c r="AV566" s="108"/>
      <c r="AW566" s="108"/>
      <c r="AX566" s="108"/>
      <c r="AY566" s="108"/>
      <c r="AZ566" s="108"/>
      <c r="BA566" s="108"/>
      <c r="BB566" s="108"/>
      <c r="BC566" s="108"/>
      <c r="BD566" s="108"/>
      <c r="BE566" s="108"/>
      <c r="BF566" s="108"/>
      <c r="BG566" s="108"/>
      <c r="BH566" s="108"/>
      <c r="BI566" s="108"/>
      <c r="BJ566" s="108"/>
      <c r="BK566" s="108"/>
      <c r="BL566" s="108"/>
      <c r="BM566" s="108"/>
      <c r="BN566" s="108"/>
      <c r="BO566" s="108"/>
      <c r="BP566" s="108"/>
      <c r="BQ566" s="108"/>
      <c r="BR566" s="108"/>
      <c r="BS566" s="108"/>
      <c r="BT566" s="108"/>
      <c r="BU566" s="108"/>
      <c r="BV566" s="108"/>
      <c r="BW566" s="108"/>
      <c r="BX566" s="108"/>
      <c r="BY566" s="108"/>
    </row>
    <row r="567" spans="1:77">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c r="AA567" s="109"/>
      <c r="AB567" s="109"/>
      <c r="AC567" s="109"/>
      <c r="AD567" s="109"/>
      <c r="AE567" s="109"/>
      <c r="AF567" s="109"/>
      <c r="AG567" s="109"/>
      <c r="AH567" s="109"/>
      <c r="AI567" s="109"/>
      <c r="AJ567" s="109"/>
      <c r="AK567" s="109"/>
      <c r="AL567" s="109"/>
      <c r="AM567" s="109"/>
      <c r="AN567" s="109"/>
      <c r="AO567" s="109"/>
      <c r="AP567" s="109"/>
      <c r="AQ567" s="109"/>
      <c r="AR567" s="109"/>
      <c r="AS567" s="109"/>
      <c r="AT567" s="108"/>
      <c r="AU567" s="108"/>
      <c r="AV567" s="108"/>
      <c r="AW567" s="108"/>
      <c r="AX567" s="108"/>
      <c r="AY567" s="108"/>
      <c r="AZ567" s="108"/>
      <c r="BA567" s="108"/>
      <c r="BB567" s="108"/>
      <c r="BC567" s="108"/>
      <c r="BD567" s="108"/>
      <c r="BE567" s="108"/>
      <c r="BF567" s="108"/>
      <c r="BG567" s="108"/>
      <c r="BH567" s="108"/>
      <c r="BI567" s="108"/>
      <c r="BJ567" s="108"/>
      <c r="BK567" s="108"/>
      <c r="BL567" s="108"/>
      <c r="BM567" s="108"/>
      <c r="BN567" s="108"/>
      <c r="BO567" s="108"/>
      <c r="BP567" s="108"/>
      <c r="BQ567" s="108"/>
      <c r="BR567" s="108"/>
      <c r="BS567" s="108"/>
      <c r="BT567" s="108"/>
      <c r="BU567" s="108"/>
      <c r="BV567" s="108"/>
      <c r="BW567" s="108"/>
      <c r="BX567" s="108"/>
      <c r="BY567" s="108"/>
    </row>
    <row r="568" spans="1:77">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c r="AA568" s="109"/>
      <c r="AB568" s="109"/>
      <c r="AC568" s="109"/>
      <c r="AD568" s="109"/>
      <c r="AE568" s="109"/>
      <c r="AF568" s="109"/>
      <c r="AG568" s="109"/>
      <c r="AH568" s="109"/>
      <c r="AI568" s="109"/>
      <c r="AJ568" s="109"/>
      <c r="AK568" s="109"/>
      <c r="AL568" s="109"/>
      <c r="AM568" s="109"/>
      <c r="AN568" s="109"/>
      <c r="AO568" s="109"/>
      <c r="AP568" s="109"/>
      <c r="AQ568" s="109"/>
      <c r="AR568" s="109"/>
      <c r="AS568" s="109"/>
      <c r="AT568" s="108"/>
      <c r="AU568" s="108"/>
      <c r="AV568" s="108"/>
      <c r="AW568" s="108"/>
      <c r="AX568" s="108"/>
      <c r="AY568" s="108"/>
      <c r="AZ568" s="108"/>
      <c r="BA568" s="108"/>
      <c r="BB568" s="108"/>
      <c r="BC568" s="108"/>
      <c r="BD568" s="108"/>
      <c r="BE568" s="108"/>
      <c r="BF568" s="108"/>
      <c r="BG568" s="108"/>
      <c r="BH568" s="108"/>
      <c r="BI568" s="108"/>
      <c r="BJ568" s="108"/>
      <c r="BK568" s="108"/>
      <c r="BL568" s="108"/>
      <c r="BM568" s="108"/>
      <c r="BN568" s="108"/>
      <c r="BO568" s="108"/>
      <c r="BP568" s="108"/>
      <c r="BQ568" s="108"/>
      <c r="BR568" s="108"/>
      <c r="BS568" s="108"/>
      <c r="BT568" s="108"/>
      <c r="BU568" s="108"/>
      <c r="BV568" s="108"/>
      <c r="BW568" s="108"/>
      <c r="BX568" s="108"/>
      <c r="BY568" s="108"/>
    </row>
    <row r="569" spans="1:77">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c r="AA569" s="109"/>
      <c r="AB569" s="109"/>
      <c r="AC569" s="109"/>
      <c r="AD569" s="109"/>
      <c r="AE569" s="109"/>
      <c r="AF569" s="109"/>
      <c r="AG569" s="109"/>
      <c r="AH569" s="109"/>
      <c r="AI569" s="109"/>
      <c r="AJ569" s="109"/>
      <c r="AK569" s="109"/>
      <c r="AL569" s="109"/>
      <c r="AM569" s="109"/>
      <c r="AN569" s="109"/>
      <c r="AO569" s="109"/>
      <c r="AP569" s="109"/>
      <c r="AQ569" s="109"/>
      <c r="AR569" s="109"/>
      <c r="AS569" s="109"/>
      <c r="AT569" s="108"/>
      <c r="AU569" s="108"/>
      <c r="AV569" s="108"/>
      <c r="AW569" s="108"/>
      <c r="AX569" s="108"/>
      <c r="AY569" s="108"/>
      <c r="AZ569" s="108"/>
      <c r="BA569" s="108"/>
      <c r="BB569" s="108"/>
      <c r="BC569" s="108"/>
      <c r="BD569" s="108"/>
      <c r="BE569" s="108"/>
      <c r="BF569" s="108"/>
      <c r="BG569" s="108"/>
      <c r="BH569" s="108"/>
      <c r="BI569" s="108"/>
      <c r="BJ569" s="108"/>
      <c r="BK569" s="108"/>
      <c r="BL569" s="108"/>
      <c r="BM569" s="108"/>
      <c r="BN569" s="108"/>
      <c r="BO569" s="108"/>
      <c r="BP569" s="108"/>
      <c r="BQ569" s="108"/>
      <c r="BR569" s="108"/>
      <c r="BS569" s="108"/>
      <c r="BT569" s="108"/>
      <c r="BU569" s="108"/>
      <c r="BV569" s="108"/>
      <c r="BW569" s="108"/>
      <c r="BX569" s="108"/>
      <c r="BY569" s="108"/>
    </row>
    <row r="570" spans="1:77">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c r="AA570" s="109"/>
      <c r="AB570" s="109"/>
      <c r="AC570" s="109"/>
      <c r="AD570" s="109"/>
      <c r="AE570" s="109"/>
      <c r="AF570" s="109"/>
      <c r="AG570" s="109"/>
      <c r="AH570" s="109"/>
      <c r="AI570" s="109"/>
      <c r="AJ570" s="109"/>
      <c r="AK570" s="109"/>
      <c r="AL570" s="109"/>
      <c r="AM570" s="109"/>
      <c r="AN570" s="109"/>
      <c r="AO570" s="109"/>
      <c r="AP570" s="109"/>
      <c r="AQ570" s="109"/>
      <c r="AR570" s="109"/>
      <c r="AS570" s="109"/>
      <c r="AT570" s="108"/>
      <c r="AU570" s="108"/>
      <c r="AV570" s="108"/>
      <c r="AW570" s="108"/>
      <c r="AX570" s="108"/>
      <c r="AY570" s="108"/>
      <c r="AZ570" s="108"/>
      <c r="BA570" s="108"/>
      <c r="BB570" s="108"/>
      <c r="BC570" s="108"/>
      <c r="BD570" s="108"/>
      <c r="BE570" s="108"/>
      <c r="BF570" s="108"/>
      <c r="BG570" s="108"/>
      <c r="BH570" s="108"/>
      <c r="BI570" s="108"/>
      <c r="BJ570" s="108"/>
      <c r="BK570" s="108"/>
      <c r="BL570" s="108"/>
      <c r="BM570" s="108"/>
      <c r="BN570" s="108"/>
      <c r="BO570" s="108"/>
      <c r="BP570" s="108"/>
      <c r="BQ570" s="108"/>
      <c r="BR570" s="108"/>
      <c r="BS570" s="108"/>
      <c r="BT570" s="108"/>
      <c r="BU570" s="108"/>
      <c r="BV570" s="108"/>
      <c r="BW570" s="108"/>
      <c r="BX570" s="108"/>
      <c r="BY570" s="108"/>
    </row>
    <row r="571" spans="1:77">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c r="AA571" s="109"/>
      <c r="AB571" s="109"/>
      <c r="AC571" s="109"/>
      <c r="AD571" s="109"/>
      <c r="AE571" s="109"/>
      <c r="AF571" s="109"/>
      <c r="AG571" s="109"/>
      <c r="AH571" s="109"/>
      <c r="AI571" s="109"/>
      <c r="AJ571" s="109"/>
      <c r="AK571" s="109"/>
      <c r="AL571" s="109"/>
      <c r="AM571" s="109"/>
      <c r="AN571" s="109"/>
      <c r="AO571" s="109"/>
      <c r="AP571" s="109"/>
      <c r="AQ571" s="109"/>
      <c r="AR571" s="109"/>
      <c r="AS571" s="109"/>
      <c r="AT571" s="108"/>
      <c r="AU571" s="108"/>
      <c r="AV571" s="108"/>
      <c r="AW571" s="108"/>
      <c r="AX571" s="108"/>
      <c r="AY571" s="108"/>
      <c r="AZ571" s="108"/>
      <c r="BA571" s="108"/>
      <c r="BB571" s="108"/>
      <c r="BC571" s="108"/>
      <c r="BD571" s="108"/>
      <c r="BE571" s="108"/>
      <c r="BF571" s="108"/>
      <c r="BG571" s="108"/>
      <c r="BH571" s="108"/>
      <c r="BI571" s="108"/>
      <c r="BJ571" s="108"/>
      <c r="BK571" s="108"/>
      <c r="BL571" s="108"/>
      <c r="BM571" s="108"/>
      <c r="BN571" s="108"/>
      <c r="BO571" s="108"/>
      <c r="BP571" s="108"/>
      <c r="BQ571" s="108"/>
      <c r="BR571" s="108"/>
      <c r="BS571" s="108"/>
      <c r="BT571" s="108"/>
      <c r="BU571" s="108"/>
      <c r="BV571" s="108"/>
      <c r="BW571" s="108"/>
      <c r="BX571" s="108"/>
      <c r="BY571" s="108"/>
    </row>
    <row r="572" spans="1:77">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c r="AA572" s="109"/>
      <c r="AB572" s="109"/>
      <c r="AC572" s="109"/>
      <c r="AD572" s="109"/>
      <c r="AE572" s="109"/>
      <c r="AF572" s="109"/>
      <c r="AG572" s="109"/>
      <c r="AH572" s="109"/>
      <c r="AI572" s="109"/>
      <c r="AJ572" s="109"/>
      <c r="AK572" s="109"/>
      <c r="AL572" s="109"/>
      <c r="AM572" s="109"/>
      <c r="AN572" s="109"/>
      <c r="AO572" s="109"/>
      <c r="AP572" s="109"/>
      <c r="AQ572" s="109"/>
      <c r="AR572" s="109"/>
      <c r="AS572" s="109"/>
      <c r="AT572" s="108"/>
      <c r="AU572" s="108"/>
      <c r="AV572" s="108"/>
      <c r="AW572" s="108"/>
      <c r="AX572" s="108"/>
      <c r="AY572" s="108"/>
      <c r="AZ572" s="108"/>
      <c r="BA572" s="108"/>
      <c r="BB572" s="108"/>
      <c r="BC572" s="108"/>
      <c r="BD572" s="108"/>
      <c r="BE572" s="108"/>
      <c r="BF572" s="108"/>
      <c r="BG572" s="108"/>
      <c r="BH572" s="108"/>
      <c r="BI572" s="108"/>
      <c r="BJ572" s="108"/>
      <c r="BK572" s="108"/>
      <c r="BL572" s="108"/>
      <c r="BM572" s="108"/>
      <c r="BN572" s="108"/>
      <c r="BO572" s="108"/>
      <c r="BP572" s="108"/>
      <c r="BQ572" s="108"/>
      <c r="BR572" s="108"/>
      <c r="BS572" s="108"/>
      <c r="BT572" s="108"/>
      <c r="BU572" s="108"/>
      <c r="BV572" s="108"/>
      <c r="BW572" s="108"/>
      <c r="BX572" s="108"/>
      <c r="BY572" s="108"/>
    </row>
    <row r="573" spans="1:77">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c r="AB573" s="109"/>
      <c r="AC573" s="109"/>
      <c r="AD573" s="109"/>
      <c r="AE573" s="109"/>
      <c r="AF573" s="109"/>
      <c r="AG573" s="109"/>
      <c r="AH573" s="109"/>
      <c r="AI573" s="109"/>
      <c r="AJ573" s="109"/>
      <c r="AK573" s="109"/>
      <c r="AL573" s="109"/>
      <c r="AM573" s="109"/>
      <c r="AN573" s="109"/>
      <c r="AO573" s="109"/>
      <c r="AP573" s="109"/>
      <c r="AQ573" s="109"/>
      <c r="AR573" s="109"/>
      <c r="AS573" s="109"/>
      <c r="AT573" s="108"/>
      <c r="AU573" s="108"/>
      <c r="AV573" s="108"/>
      <c r="AW573" s="108"/>
      <c r="AX573" s="108"/>
      <c r="AY573" s="108"/>
      <c r="AZ573" s="108"/>
      <c r="BA573" s="108"/>
      <c r="BB573" s="108"/>
      <c r="BC573" s="108"/>
      <c r="BD573" s="108"/>
      <c r="BE573" s="108"/>
      <c r="BF573" s="108"/>
      <c r="BG573" s="108"/>
      <c r="BH573" s="108"/>
      <c r="BI573" s="108"/>
      <c r="BJ573" s="108"/>
      <c r="BK573" s="108"/>
      <c r="BL573" s="108"/>
      <c r="BM573" s="108"/>
      <c r="BN573" s="108"/>
      <c r="BO573" s="108"/>
      <c r="BP573" s="108"/>
      <c r="BQ573" s="108"/>
      <c r="BR573" s="108"/>
      <c r="BS573" s="108"/>
      <c r="BT573" s="108"/>
      <c r="BU573" s="108"/>
      <c r="BV573" s="108"/>
      <c r="BW573" s="108"/>
      <c r="BX573" s="108"/>
      <c r="BY573" s="108"/>
    </row>
    <row r="574" spans="1:77">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c r="AA574" s="109"/>
      <c r="AB574" s="109"/>
      <c r="AC574" s="109"/>
      <c r="AD574" s="109"/>
      <c r="AE574" s="109"/>
      <c r="AF574" s="109"/>
      <c r="AG574" s="109"/>
      <c r="AH574" s="109"/>
      <c r="AI574" s="109"/>
      <c r="AJ574" s="109"/>
      <c r="AK574" s="109"/>
      <c r="AL574" s="109"/>
      <c r="AM574" s="109"/>
      <c r="AN574" s="109"/>
      <c r="AO574" s="109"/>
      <c r="AP574" s="109"/>
      <c r="AQ574" s="109"/>
      <c r="AR574" s="109"/>
      <c r="AS574" s="109"/>
      <c r="AT574" s="108"/>
      <c r="AU574" s="108"/>
      <c r="AV574" s="108"/>
      <c r="AW574" s="108"/>
      <c r="AX574" s="108"/>
      <c r="AY574" s="108"/>
      <c r="AZ574" s="108"/>
      <c r="BA574" s="108"/>
      <c r="BB574" s="108"/>
      <c r="BC574" s="108"/>
      <c r="BD574" s="108"/>
      <c r="BE574" s="108"/>
      <c r="BF574" s="108"/>
      <c r="BG574" s="108"/>
      <c r="BH574" s="108"/>
      <c r="BI574" s="108"/>
      <c r="BJ574" s="108"/>
      <c r="BK574" s="108"/>
      <c r="BL574" s="108"/>
      <c r="BM574" s="108"/>
      <c r="BN574" s="108"/>
      <c r="BO574" s="108"/>
      <c r="BP574" s="108"/>
      <c r="BQ574" s="108"/>
      <c r="BR574" s="108"/>
      <c r="BS574" s="108"/>
      <c r="BT574" s="108"/>
      <c r="BU574" s="108"/>
      <c r="BV574" s="108"/>
      <c r="BW574" s="108"/>
      <c r="BX574" s="108"/>
      <c r="BY574" s="108"/>
    </row>
    <row r="575" spans="1:77">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c r="AA575" s="109"/>
      <c r="AB575" s="109"/>
      <c r="AC575" s="109"/>
      <c r="AD575" s="109"/>
      <c r="AE575" s="109"/>
      <c r="AF575" s="109"/>
      <c r="AG575" s="109"/>
      <c r="AH575" s="109"/>
      <c r="AI575" s="109"/>
      <c r="AJ575" s="109"/>
      <c r="AK575" s="109"/>
      <c r="AL575" s="109"/>
      <c r="AM575" s="109"/>
      <c r="AN575" s="109"/>
      <c r="AO575" s="109"/>
      <c r="AP575" s="109"/>
      <c r="AQ575" s="109"/>
      <c r="AR575" s="109"/>
      <c r="AS575" s="109"/>
      <c r="AT575" s="108"/>
      <c r="AU575" s="108"/>
      <c r="AV575" s="108"/>
      <c r="AW575" s="108"/>
      <c r="AX575" s="108"/>
      <c r="AY575" s="108"/>
      <c r="AZ575" s="108"/>
      <c r="BA575" s="108"/>
      <c r="BB575" s="108"/>
      <c r="BC575" s="108"/>
      <c r="BD575" s="108"/>
      <c r="BE575" s="108"/>
      <c r="BF575" s="108"/>
      <c r="BG575" s="108"/>
      <c r="BH575" s="108"/>
      <c r="BI575" s="108"/>
      <c r="BJ575" s="108"/>
      <c r="BK575" s="108"/>
      <c r="BL575" s="108"/>
      <c r="BM575" s="108"/>
      <c r="BN575" s="108"/>
      <c r="BO575" s="108"/>
      <c r="BP575" s="108"/>
      <c r="BQ575" s="108"/>
      <c r="BR575" s="108"/>
      <c r="BS575" s="108"/>
      <c r="BT575" s="108"/>
      <c r="BU575" s="108"/>
      <c r="BV575" s="108"/>
      <c r="BW575" s="108"/>
      <c r="BX575" s="108"/>
      <c r="BY575" s="108"/>
    </row>
    <row r="576" spans="1:77">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c r="AA576" s="109"/>
      <c r="AB576" s="109"/>
      <c r="AC576" s="109"/>
      <c r="AD576" s="109"/>
      <c r="AE576" s="109"/>
      <c r="AF576" s="109"/>
      <c r="AG576" s="109"/>
      <c r="AH576" s="109"/>
      <c r="AI576" s="109"/>
      <c r="AJ576" s="109"/>
      <c r="AK576" s="109"/>
      <c r="AL576" s="109"/>
      <c r="AM576" s="109"/>
      <c r="AN576" s="109"/>
      <c r="AO576" s="109"/>
      <c r="AP576" s="109"/>
      <c r="AQ576" s="109"/>
      <c r="AR576" s="109"/>
      <c r="AS576" s="109"/>
      <c r="AT576" s="108"/>
      <c r="AU576" s="108"/>
      <c r="AV576" s="108"/>
      <c r="AW576" s="108"/>
      <c r="AX576" s="108"/>
      <c r="AY576" s="108"/>
      <c r="AZ576" s="108"/>
      <c r="BA576" s="108"/>
      <c r="BB576" s="108"/>
      <c r="BC576" s="108"/>
      <c r="BD576" s="108"/>
      <c r="BE576" s="108"/>
      <c r="BF576" s="108"/>
      <c r="BG576" s="108"/>
      <c r="BH576" s="108"/>
      <c r="BI576" s="108"/>
      <c r="BJ576" s="108"/>
      <c r="BK576" s="108"/>
      <c r="BL576" s="108"/>
      <c r="BM576" s="108"/>
      <c r="BN576" s="108"/>
      <c r="BO576" s="108"/>
      <c r="BP576" s="108"/>
      <c r="BQ576" s="108"/>
      <c r="BR576" s="108"/>
      <c r="BS576" s="108"/>
      <c r="BT576" s="108"/>
      <c r="BU576" s="108"/>
      <c r="BV576" s="108"/>
      <c r="BW576" s="108"/>
      <c r="BX576" s="108"/>
      <c r="BY576" s="108"/>
    </row>
    <row r="577" spans="1:77">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c r="AA577" s="109"/>
      <c r="AB577" s="109"/>
      <c r="AC577" s="109"/>
      <c r="AD577" s="109"/>
      <c r="AE577" s="109"/>
      <c r="AF577" s="109"/>
      <c r="AG577" s="109"/>
      <c r="AH577" s="109"/>
      <c r="AI577" s="109"/>
      <c r="AJ577" s="109"/>
      <c r="AK577" s="109"/>
      <c r="AL577" s="109"/>
      <c r="AM577" s="109"/>
      <c r="AN577" s="109"/>
      <c r="AO577" s="109"/>
      <c r="AP577" s="109"/>
      <c r="AQ577" s="109"/>
      <c r="AR577" s="109"/>
      <c r="AS577" s="109"/>
      <c r="AT577" s="108"/>
      <c r="AU577" s="108"/>
      <c r="AV577" s="108"/>
      <c r="AW577" s="108"/>
      <c r="AX577" s="108"/>
      <c r="AY577" s="108"/>
      <c r="AZ577" s="108"/>
      <c r="BA577" s="108"/>
      <c r="BB577" s="108"/>
      <c r="BC577" s="108"/>
      <c r="BD577" s="108"/>
      <c r="BE577" s="108"/>
      <c r="BF577" s="108"/>
      <c r="BG577" s="108"/>
      <c r="BH577" s="108"/>
      <c r="BI577" s="108"/>
      <c r="BJ577" s="108"/>
      <c r="BK577" s="108"/>
      <c r="BL577" s="108"/>
      <c r="BM577" s="108"/>
      <c r="BN577" s="108"/>
      <c r="BO577" s="108"/>
      <c r="BP577" s="108"/>
      <c r="BQ577" s="108"/>
      <c r="BR577" s="108"/>
      <c r="BS577" s="108"/>
      <c r="BT577" s="108"/>
      <c r="BU577" s="108"/>
      <c r="BV577" s="108"/>
      <c r="BW577" s="108"/>
      <c r="BX577" s="108"/>
      <c r="BY577" s="108"/>
    </row>
    <row r="578" spans="1:77">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c r="AB578" s="109"/>
      <c r="AC578" s="109"/>
      <c r="AD578" s="109"/>
      <c r="AE578" s="109"/>
      <c r="AF578" s="109"/>
      <c r="AG578" s="109"/>
      <c r="AH578" s="109"/>
      <c r="AI578" s="109"/>
      <c r="AJ578" s="109"/>
      <c r="AK578" s="109"/>
      <c r="AL578" s="109"/>
      <c r="AM578" s="109"/>
      <c r="AN578" s="109"/>
      <c r="AO578" s="109"/>
      <c r="AP578" s="109"/>
      <c r="AQ578" s="109"/>
      <c r="AR578" s="109"/>
      <c r="AS578" s="109"/>
      <c r="AT578" s="108"/>
      <c r="AU578" s="108"/>
      <c r="AV578" s="108"/>
      <c r="AW578" s="108"/>
      <c r="AX578" s="108"/>
      <c r="AY578" s="108"/>
      <c r="AZ578" s="108"/>
      <c r="BA578" s="108"/>
      <c r="BB578" s="108"/>
      <c r="BC578" s="108"/>
      <c r="BD578" s="108"/>
      <c r="BE578" s="108"/>
      <c r="BF578" s="108"/>
      <c r="BG578" s="108"/>
      <c r="BH578" s="108"/>
      <c r="BI578" s="108"/>
      <c r="BJ578" s="108"/>
      <c r="BK578" s="108"/>
      <c r="BL578" s="108"/>
      <c r="BM578" s="108"/>
      <c r="BN578" s="108"/>
      <c r="BO578" s="108"/>
      <c r="BP578" s="108"/>
      <c r="BQ578" s="108"/>
      <c r="BR578" s="108"/>
      <c r="BS578" s="108"/>
      <c r="BT578" s="108"/>
      <c r="BU578" s="108"/>
      <c r="BV578" s="108"/>
      <c r="BW578" s="108"/>
      <c r="BX578" s="108"/>
      <c r="BY578" s="108"/>
    </row>
    <row r="579" spans="1:77">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c r="AA579" s="109"/>
      <c r="AB579" s="109"/>
      <c r="AC579" s="109"/>
      <c r="AD579" s="109"/>
      <c r="AE579" s="109"/>
      <c r="AF579" s="109"/>
      <c r="AG579" s="109"/>
      <c r="AH579" s="109"/>
      <c r="AI579" s="109"/>
      <c r="AJ579" s="109"/>
      <c r="AK579" s="109"/>
      <c r="AL579" s="109"/>
      <c r="AM579" s="109"/>
      <c r="AN579" s="109"/>
      <c r="AO579" s="109"/>
      <c r="AP579" s="109"/>
      <c r="AQ579" s="109"/>
      <c r="AR579" s="109"/>
      <c r="AS579" s="109"/>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row>
    <row r="580" spans="1:77">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c r="AA580" s="109"/>
      <c r="AB580" s="109"/>
      <c r="AC580" s="109"/>
      <c r="AD580" s="109"/>
      <c r="AE580" s="109"/>
      <c r="AF580" s="109"/>
      <c r="AG580" s="109"/>
      <c r="AH580" s="109"/>
      <c r="AI580" s="109"/>
      <c r="AJ580" s="109"/>
      <c r="AK580" s="109"/>
      <c r="AL580" s="109"/>
      <c r="AM580" s="109"/>
      <c r="AN580" s="109"/>
      <c r="AO580" s="109"/>
      <c r="AP580" s="109"/>
      <c r="AQ580" s="109"/>
      <c r="AR580" s="109"/>
      <c r="AS580" s="109"/>
      <c r="AT580" s="108"/>
      <c r="AU580" s="108"/>
      <c r="AV580" s="108"/>
      <c r="AW580" s="108"/>
      <c r="AX580" s="108"/>
      <c r="AY580" s="108"/>
      <c r="AZ580" s="108"/>
      <c r="BA580" s="108"/>
      <c r="BB580" s="108"/>
      <c r="BC580" s="108"/>
      <c r="BD580" s="108"/>
      <c r="BE580" s="108"/>
      <c r="BF580" s="108"/>
      <c r="BG580" s="108"/>
      <c r="BH580" s="108"/>
      <c r="BI580" s="108"/>
      <c r="BJ580" s="108"/>
      <c r="BK580" s="108"/>
      <c r="BL580" s="108"/>
      <c r="BM580" s="108"/>
      <c r="BN580" s="108"/>
      <c r="BO580" s="108"/>
      <c r="BP580" s="108"/>
      <c r="BQ580" s="108"/>
      <c r="BR580" s="108"/>
      <c r="BS580" s="108"/>
      <c r="BT580" s="108"/>
      <c r="BU580" s="108"/>
      <c r="BV580" s="108"/>
      <c r="BW580" s="108"/>
      <c r="BX580" s="108"/>
      <c r="BY580" s="108"/>
    </row>
    <row r="581" spans="1:77">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c r="AA581" s="109"/>
      <c r="AB581" s="109"/>
      <c r="AC581" s="109"/>
      <c r="AD581" s="109"/>
      <c r="AE581" s="109"/>
      <c r="AF581" s="109"/>
      <c r="AG581" s="109"/>
      <c r="AH581" s="109"/>
      <c r="AI581" s="109"/>
      <c r="AJ581" s="109"/>
      <c r="AK581" s="109"/>
      <c r="AL581" s="109"/>
      <c r="AM581" s="109"/>
      <c r="AN581" s="109"/>
      <c r="AO581" s="109"/>
      <c r="AP581" s="109"/>
      <c r="AQ581" s="109"/>
      <c r="AR581" s="109"/>
      <c r="AS581" s="109"/>
      <c r="AT581" s="108"/>
      <c r="AU581" s="108"/>
      <c r="AV581" s="108"/>
      <c r="AW581" s="108"/>
      <c r="AX581" s="108"/>
      <c r="AY581" s="108"/>
      <c r="AZ581" s="108"/>
      <c r="BA581" s="108"/>
      <c r="BB581" s="108"/>
      <c r="BC581" s="108"/>
      <c r="BD581" s="108"/>
      <c r="BE581" s="108"/>
      <c r="BF581" s="108"/>
      <c r="BG581" s="108"/>
      <c r="BH581" s="108"/>
      <c r="BI581" s="108"/>
      <c r="BJ581" s="108"/>
      <c r="BK581" s="108"/>
      <c r="BL581" s="108"/>
      <c r="BM581" s="108"/>
      <c r="BN581" s="108"/>
      <c r="BO581" s="108"/>
      <c r="BP581" s="108"/>
      <c r="BQ581" s="108"/>
      <c r="BR581" s="108"/>
      <c r="BS581" s="108"/>
      <c r="BT581" s="108"/>
      <c r="BU581" s="108"/>
      <c r="BV581" s="108"/>
      <c r="BW581" s="108"/>
      <c r="BX581" s="108"/>
      <c r="BY581" s="108"/>
    </row>
    <row r="582" spans="1:77">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c r="AA582" s="109"/>
      <c r="AB582" s="109"/>
      <c r="AC582" s="109"/>
      <c r="AD582" s="109"/>
      <c r="AE582" s="109"/>
      <c r="AF582" s="109"/>
      <c r="AG582" s="109"/>
      <c r="AH582" s="109"/>
      <c r="AI582" s="109"/>
      <c r="AJ582" s="109"/>
      <c r="AK582" s="109"/>
      <c r="AL582" s="109"/>
      <c r="AM582" s="109"/>
      <c r="AN582" s="109"/>
      <c r="AO582" s="109"/>
      <c r="AP582" s="109"/>
      <c r="AQ582" s="109"/>
      <c r="AR582" s="109"/>
      <c r="AS582" s="109"/>
      <c r="AT582" s="108"/>
      <c r="AU582" s="108"/>
      <c r="AV582" s="108"/>
      <c r="AW582" s="108"/>
      <c r="AX582" s="108"/>
      <c r="AY582" s="108"/>
      <c r="AZ582" s="108"/>
      <c r="BA582" s="108"/>
      <c r="BB582" s="108"/>
      <c r="BC582" s="108"/>
      <c r="BD582" s="108"/>
      <c r="BE582" s="108"/>
      <c r="BF582" s="108"/>
      <c r="BG582" s="108"/>
      <c r="BH582" s="108"/>
      <c r="BI582" s="108"/>
      <c r="BJ582" s="108"/>
      <c r="BK582" s="108"/>
      <c r="BL582" s="108"/>
      <c r="BM582" s="108"/>
      <c r="BN582" s="108"/>
      <c r="BO582" s="108"/>
      <c r="BP582" s="108"/>
      <c r="BQ582" s="108"/>
      <c r="BR582" s="108"/>
      <c r="BS582" s="108"/>
      <c r="BT582" s="108"/>
      <c r="BU582" s="108"/>
      <c r="BV582" s="108"/>
      <c r="BW582" s="108"/>
      <c r="BX582" s="108"/>
      <c r="BY582" s="108"/>
    </row>
    <row r="583" spans="1:77">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c r="AA583" s="109"/>
      <c r="AB583" s="109"/>
      <c r="AC583" s="109"/>
      <c r="AD583" s="109"/>
      <c r="AE583" s="109"/>
      <c r="AF583" s="109"/>
      <c r="AG583" s="109"/>
      <c r="AH583" s="109"/>
      <c r="AI583" s="109"/>
      <c r="AJ583" s="109"/>
      <c r="AK583" s="109"/>
      <c r="AL583" s="109"/>
      <c r="AM583" s="109"/>
      <c r="AN583" s="109"/>
      <c r="AO583" s="109"/>
      <c r="AP583" s="109"/>
      <c r="AQ583" s="109"/>
      <c r="AR583" s="109"/>
      <c r="AS583" s="109"/>
      <c r="AT583" s="108"/>
      <c r="AU583" s="108"/>
      <c r="AV583" s="108"/>
      <c r="AW583" s="108"/>
      <c r="AX583" s="108"/>
      <c r="AY583" s="108"/>
      <c r="AZ583" s="108"/>
      <c r="BA583" s="108"/>
      <c r="BB583" s="108"/>
      <c r="BC583" s="108"/>
      <c r="BD583" s="108"/>
      <c r="BE583" s="108"/>
      <c r="BF583" s="108"/>
      <c r="BG583" s="108"/>
      <c r="BH583" s="108"/>
      <c r="BI583" s="108"/>
      <c r="BJ583" s="108"/>
      <c r="BK583" s="108"/>
      <c r="BL583" s="108"/>
      <c r="BM583" s="108"/>
      <c r="BN583" s="108"/>
      <c r="BO583" s="108"/>
      <c r="BP583" s="108"/>
      <c r="BQ583" s="108"/>
      <c r="BR583" s="108"/>
      <c r="BS583" s="108"/>
      <c r="BT583" s="108"/>
      <c r="BU583" s="108"/>
      <c r="BV583" s="108"/>
      <c r="BW583" s="108"/>
      <c r="BX583" s="108"/>
      <c r="BY583" s="108"/>
    </row>
    <row r="584" spans="1:77">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c r="AB584" s="109"/>
      <c r="AC584" s="109"/>
      <c r="AD584" s="109"/>
      <c r="AE584" s="109"/>
      <c r="AF584" s="109"/>
      <c r="AG584" s="109"/>
      <c r="AH584" s="109"/>
      <c r="AI584" s="109"/>
      <c r="AJ584" s="109"/>
      <c r="AK584" s="109"/>
      <c r="AL584" s="109"/>
      <c r="AM584" s="109"/>
      <c r="AN584" s="109"/>
      <c r="AO584" s="109"/>
      <c r="AP584" s="109"/>
      <c r="AQ584" s="109"/>
      <c r="AR584" s="109"/>
      <c r="AS584" s="109"/>
      <c r="AT584" s="108"/>
      <c r="AU584" s="108"/>
      <c r="AV584" s="108"/>
      <c r="AW584" s="108"/>
      <c r="AX584" s="108"/>
      <c r="AY584" s="108"/>
      <c r="AZ584" s="108"/>
      <c r="BA584" s="108"/>
      <c r="BB584" s="108"/>
      <c r="BC584" s="108"/>
      <c r="BD584" s="108"/>
      <c r="BE584" s="108"/>
      <c r="BF584" s="108"/>
      <c r="BG584" s="108"/>
      <c r="BH584" s="108"/>
      <c r="BI584" s="108"/>
      <c r="BJ584" s="108"/>
      <c r="BK584" s="108"/>
      <c r="BL584" s="108"/>
      <c r="BM584" s="108"/>
      <c r="BN584" s="108"/>
      <c r="BO584" s="108"/>
      <c r="BP584" s="108"/>
      <c r="BQ584" s="108"/>
      <c r="BR584" s="108"/>
      <c r="BS584" s="108"/>
      <c r="BT584" s="108"/>
      <c r="BU584" s="108"/>
      <c r="BV584" s="108"/>
      <c r="BW584" s="108"/>
      <c r="BX584" s="108"/>
      <c r="BY584" s="108"/>
    </row>
    <row r="585" spans="1:77">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c r="AA585" s="109"/>
      <c r="AB585" s="109"/>
      <c r="AC585" s="109"/>
      <c r="AD585" s="109"/>
      <c r="AE585" s="109"/>
      <c r="AF585" s="109"/>
      <c r="AG585" s="109"/>
      <c r="AH585" s="109"/>
      <c r="AI585" s="109"/>
      <c r="AJ585" s="109"/>
      <c r="AK585" s="109"/>
      <c r="AL585" s="109"/>
      <c r="AM585" s="109"/>
      <c r="AN585" s="109"/>
      <c r="AO585" s="109"/>
      <c r="AP585" s="109"/>
      <c r="AQ585" s="109"/>
      <c r="AR585" s="109"/>
      <c r="AS585" s="109"/>
      <c r="AT585" s="108"/>
      <c r="AU585" s="108"/>
      <c r="AV585" s="108"/>
      <c r="AW585" s="108"/>
      <c r="AX585" s="108"/>
      <c r="AY585" s="108"/>
      <c r="AZ585" s="108"/>
      <c r="BA585" s="108"/>
      <c r="BB585" s="108"/>
      <c r="BC585" s="108"/>
      <c r="BD585" s="108"/>
      <c r="BE585" s="108"/>
      <c r="BF585" s="108"/>
      <c r="BG585" s="108"/>
      <c r="BH585" s="108"/>
      <c r="BI585" s="108"/>
      <c r="BJ585" s="108"/>
      <c r="BK585" s="108"/>
      <c r="BL585" s="108"/>
      <c r="BM585" s="108"/>
      <c r="BN585" s="108"/>
      <c r="BO585" s="108"/>
      <c r="BP585" s="108"/>
      <c r="BQ585" s="108"/>
      <c r="BR585" s="108"/>
      <c r="BS585" s="108"/>
      <c r="BT585" s="108"/>
      <c r="BU585" s="108"/>
      <c r="BV585" s="108"/>
      <c r="BW585" s="108"/>
      <c r="BX585" s="108"/>
      <c r="BY585" s="108"/>
    </row>
    <row r="586" spans="1:77">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c r="AA586" s="109"/>
      <c r="AB586" s="109"/>
      <c r="AC586" s="109"/>
      <c r="AD586" s="109"/>
      <c r="AE586" s="109"/>
      <c r="AF586" s="109"/>
      <c r="AG586" s="109"/>
      <c r="AH586" s="109"/>
      <c r="AI586" s="109"/>
      <c r="AJ586" s="109"/>
      <c r="AK586" s="109"/>
      <c r="AL586" s="109"/>
      <c r="AM586" s="109"/>
      <c r="AN586" s="109"/>
      <c r="AO586" s="109"/>
      <c r="AP586" s="109"/>
      <c r="AQ586" s="109"/>
      <c r="AR586" s="109"/>
      <c r="AS586" s="109"/>
      <c r="AT586" s="108"/>
      <c r="AU586" s="108"/>
      <c r="AV586" s="108"/>
      <c r="AW586" s="108"/>
      <c r="AX586" s="108"/>
      <c r="AY586" s="108"/>
      <c r="AZ586" s="108"/>
      <c r="BA586" s="108"/>
      <c r="BB586" s="108"/>
      <c r="BC586" s="108"/>
      <c r="BD586" s="108"/>
      <c r="BE586" s="108"/>
      <c r="BF586" s="108"/>
      <c r="BG586" s="108"/>
      <c r="BH586" s="108"/>
      <c r="BI586" s="108"/>
      <c r="BJ586" s="108"/>
      <c r="BK586" s="108"/>
      <c r="BL586" s="108"/>
      <c r="BM586" s="108"/>
      <c r="BN586" s="108"/>
      <c r="BO586" s="108"/>
      <c r="BP586" s="108"/>
      <c r="BQ586" s="108"/>
      <c r="BR586" s="108"/>
      <c r="BS586" s="108"/>
      <c r="BT586" s="108"/>
      <c r="BU586" s="108"/>
      <c r="BV586" s="108"/>
      <c r="BW586" s="108"/>
      <c r="BX586" s="108"/>
      <c r="BY586" s="108"/>
    </row>
    <row r="587" spans="1:77">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c r="AA587" s="109"/>
      <c r="AB587" s="109"/>
      <c r="AC587" s="109"/>
      <c r="AD587" s="109"/>
      <c r="AE587" s="109"/>
      <c r="AF587" s="109"/>
      <c r="AG587" s="109"/>
      <c r="AH587" s="109"/>
      <c r="AI587" s="109"/>
      <c r="AJ587" s="109"/>
      <c r="AK587" s="109"/>
      <c r="AL587" s="109"/>
      <c r="AM587" s="109"/>
      <c r="AN587" s="109"/>
      <c r="AO587" s="109"/>
      <c r="AP587" s="109"/>
      <c r="AQ587" s="109"/>
      <c r="AR587" s="109"/>
      <c r="AS587" s="109"/>
      <c r="AT587" s="108"/>
      <c r="AU587" s="108"/>
      <c r="AV587" s="108"/>
      <c r="AW587" s="108"/>
      <c r="AX587" s="108"/>
      <c r="AY587" s="108"/>
      <c r="AZ587" s="108"/>
      <c r="BA587" s="108"/>
      <c r="BB587" s="108"/>
      <c r="BC587" s="108"/>
      <c r="BD587" s="108"/>
      <c r="BE587" s="108"/>
      <c r="BF587" s="108"/>
      <c r="BG587" s="108"/>
      <c r="BH587" s="108"/>
      <c r="BI587" s="108"/>
      <c r="BJ587" s="108"/>
      <c r="BK587" s="108"/>
      <c r="BL587" s="108"/>
      <c r="BM587" s="108"/>
      <c r="BN587" s="108"/>
      <c r="BO587" s="108"/>
      <c r="BP587" s="108"/>
      <c r="BQ587" s="108"/>
      <c r="BR587" s="108"/>
      <c r="BS587" s="108"/>
      <c r="BT587" s="108"/>
      <c r="BU587" s="108"/>
      <c r="BV587" s="108"/>
      <c r="BW587" s="108"/>
      <c r="BX587" s="108"/>
      <c r="BY587" s="108"/>
    </row>
    <row r="588" spans="1:77">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c r="AA588" s="109"/>
      <c r="AB588" s="109"/>
      <c r="AC588" s="109"/>
      <c r="AD588" s="109"/>
      <c r="AE588" s="109"/>
      <c r="AF588" s="109"/>
      <c r="AG588" s="109"/>
      <c r="AH588" s="109"/>
      <c r="AI588" s="109"/>
      <c r="AJ588" s="109"/>
      <c r="AK588" s="109"/>
      <c r="AL588" s="109"/>
      <c r="AM588" s="109"/>
      <c r="AN588" s="109"/>
      <c r="AO588" s="109"/>
      <c r="AP588" s="109"/>
      <c r="AQ588" s="109"/>
      <c r="AR588" s="109"/>
      <c r="AS588" s="109"/>
      <c r="AT588" s="108"/>
      <c r="AU588" s="108"/>
      <c r="AV588" s="108"/>
      <c r="AW588" s="108"/>
      <c r="AX588" s="108"/>
      <c r="AY588" s="108"/>
      <c r="AZ588" s="108"/>
      <c r="BA588" s="108"/>
      <c r="BB588" s="108"/>
      <c r="BC588" s="108"/>
      <c r="BD588" s="108"/>
      <c r="BE588" s="108"/>
      <c r="BF588" s="108"/>
      <c r="BG588" s="108"/>
      <c r="BH588" s="108"/>
      <c r="BI588" s="108"/>
      <c r="BJ588" s="108"/>
      <c r="BK588" s="108"/>
      <c r="BL588" s="108"/>
      <c r="BM588" s="108"/>
      <c r="BN588" s="108"/>
      <c r="BO588" s="108"/>
      <c r="BP588" s="108"/>
      <c r="BQ588" s="108"/>
      <c r="BR588" s="108"/>
      <c r="BS588" s="108"/>
      <c r="BT588" s="108"/>
      <c r="BU588" s="108"/>
      <c r="BV588" s="108"/>
      <c r="BW588" s="108"/>
      <c r="BX588" s="108"/>
      <c r="BY588" s="108"/>
    </row>
    <row r="589" spans="1:77">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c r="AA589" s="109"/>
      <c r="AB589" s="109"/>
      <c r="AC589" s="109"/>
      <c r="AD589" s="109"/>
      <c r="AE589" s="109"/>
      <c r="AF589" s="109"/>
      <c r="AG589" s="109"/>
      <c r="AH589" s="109"/>
      <c r="AI589" s="109"/>
      <c r="AJ589" s="109"/>
      <c r="AK589" s="109"/>
      <c r="AL589" s="109"/>
      <c r="AM589" s="109"/>
      <c r="AN589" s="109"/>
      <c r="AO589" s="109"/>
      <c r="AP589" s="109"/>
      <c r="AQ589" s="109"/>
      <c r="AR589" s="109"/>
      <c r="AS589" s="109"/>
      <c r="AT589" s="108"/>
      <c r="AU589" s="108"/>
      <c r="AV589" s="108"/>
      <c r="AW589" s="108"/>
      <c r="AX589" s="108"/>
      <c r="AY589" s="108"/>
      <c r="AZ589" s="108"/>
      <c r="BA589" s="108"/>
      <c r="BB589" s="108"/>
      <c r="BC589" s="108"/>
      <c r="BD589" s="108"/>
      <c r="BE589" s="108"/>
      <c r="BF589" s="108"/>
      <c r="BG589" s="108"/>
      <c r="BH589" s="108"/>
      <c r="BI589" s="108"/>
      <c r="BJ589" s="108"/>
      <c r="BK589" s="108"/>
      <c r="BL589" s="108"/>
      <c r="BM589" s="108"/>
      <c r="BN589" s="108"/>
      <c r="BO589" s="108"/>
      <c r="BP589" s="108"/>
      <c r="BQ589" s="108"/>
      <c r="BR589" s="108"/>
      <c r="BS589" s="108"/>
      <c r="BT589" s="108"/>
      <c r="BU589" s="108"/>
      <c r="BV589" s="108"/>
      <c r="BW589" s="108"/>
      <c r="BX589" s="108"/>
      <c r="BY589" s="108"/>
    </row>
    <row r="590" spans="1:77">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c r="AB590" s="109"/>
      <c r="AC590" s="109"/>
      <c r="AD590" s="109"/>
      <c r="AE590" s="109"/>
      <c r="AF590" s="109"/>
      <c r="AG590" s="109"/>
      <c r="AH590" s="109"/>
      <c r="AI590" s="109"/>
      <c r="AJ590" s="109"/>
      <c r="AK590" s="109"/>
      <c r="AL590" s="109"/>
      <c r="AM590" s="109"/>
      <c r="AN590" s="109"/>
      <c r="AO590" s="109"/>
      <c r="AP590" s="109"/>
      <c r="AQ590" s="109"/>
      <c r="AR590" s="109"/>
      <c r="AS590" s="109"/>
      <c r="AT590" s="108"/>
      <c r="AU590" s="108"/>
      <c r="AV590" s="108"/>
      <c r="AW590" s="108"/>
      <c r="AX590" s="108"/>
      <c r="AY590" s="108"/>
      <c r="AZ590" s="108"/>
      <c r="BA590" s="108"/>
      <c r="BB590" s="108"/>
      <c r="BC590" s="108"/>
      <c r="BD590" s="108"/>
      <c r="BE590" s="108"/>
      <c r="BF590" s="108"/>
      <c r="BG590" s="108"/>
      <c r="BH590" s="108"/>
      <c r="BI590" s="108"/>
      <c r="BJ590" s="108"/>
      <c r="BK590" s="108"/>
      <c r="BL590" s="108"/>
      <c r="BM590" s="108"/>
      <c r="BN590" s="108"/>
      <c r="BO590" s="108"/>
      <c r="BP590" s="108"/>
      <c r="BQ590" s="108"/>
      <c r="BR590" s="108"/>
      <c r="BS590" s="108"/>
      <c r="BT590" s="108"/>
      <c r="BU590" s="108"/>
      <c r="BV590" s="108"/>
      <c r="BW590" s="108"/>
      <c r="BX590" s="108"/>
      <c r="BY590" s="108"/>
    </row>
    <row r="591" spans="1:77">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c r="AA591" s="109"/>
      <c r="AB591" s="109"/>
      <c r="AC591" s="109"/>
      <c r="AD591" s="109"/>
      <c r="AE591" s="109"/>
      <c r="AF591" s="109"/>
      <c r="AG591" s="109"/>
      <c r="AH591" s="109"/>
      <c r="AI591" s="109"/>
      <c r="AJ591" s="109"/>
      <c r="AK591" s="109"/>
      <c r="AL591" s="109"/>
      <c r="AM591" s="109"/>
      <c r="AN591" s="109"/>
      <c r="AO591" s="109"/>
      <c r="AP591" s="109"/>
      <c r="AQ591" s="109"/>
      <c r="AR591" s="109"/>
      <c r="AS591" s="109"/>
      <c r="AT591" s="108"/>
      <c r="AU591" s="108"/>
      <c r="AV591" s="108"/>
      <c r="AW591" s="108"/>
      <c r="AX591" s="108"/>
      <c r="AY591" s="108"/>
      <c r="AZ591" s="108"/>
      <c r="BA591" s="108"/>
      <c r="BB591" s="108"/>
      <c r="BC591" s="108"/>
      <c r="BD591" s="108"/>
      <c r="BE591" s="108"/>
      <c r="BF591" s="108"/>
      <c r="BG591" s="108"/>
      <c r="BH591" s="108"/>
      <c r="BI591" s="108"/>
      <c r="BJ591" s="108"/>
      <c r="BK591" s="108"/>
      <c r="BL591" s="108"/>
      <c r="BM591" s="108"/>
      <c r="BN591" s="108"/>
      <c r="BO591" s="108"/>
      <c r="BP591" s="108"/>
      <c r="BQ591" s="108"/>
      <c r="BR591" s="108"/>
      <c r="BS591" s="108"/>
      <c r="BT591" s="108"/>
      <c r="BU591" s="108"/>
      <c r="BV591" s="108"/>
      <c r="BW591" s="108"/>
      <c r="BX591" s="108"/>
      <c r="BY591" s="108"/>
    </row>
    <row r="592" spans="1:77">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c r="AA592" s="109"/>
      <c r="AB592" s="109"/>
      <c r="AC592" s="109"/>
      <c r="AD592" s="109"/>
      <c r="AE592" s="109"/>
      <c r="AF592" s="109"/>
      <c r="AG592" s="109"/>
      <c r="AH592" s="109"/>
      <c r="AI592" s="109"/>
      <c r="AJ592" s="109"/>
      <c r="AK592" s="109"/>
      <c r="AL592" s="109"/>
      <c r="AM592" s="109"/>
      <c r="AN592" s="109"/>
      <c r="AO592" s="109"/>
      <c r="AP592" s="109"/>
      <c r="AQ592" s="109"/>
      <c r="AR592" s="109"/>
      <c r="AS592" s="109"/>
      <c r="AT592" s="108"/>
      <c r="AU592" s="108"/>
      <c r="AV592" s="108"/>
      <c r="AW592" s="108"/>
      <c r="AX592" s="108"/>
      <c r="AY592" s="108"/>
      <c r="AZ592" s="108"/>
      <c r="BA592" s="108"/>
      <c r="BB592" s="108"/>
      <c r="BC592" s="108"/>
      <c r="BD592" s="108"/>
      <c r="BE592" s="108"/>
      <c r="BF592" s="108"/>
      <c r="BG592" s="108"/>
      <c r="BH592" s="108"/>
      <c r="BI592" s="108"/>
      <c r="BJ592" s="108"/>
      <c r="BK592" s="108"/>
      <c r="BL592" s="108"/>
      <c r="BM592" s="108"/>
      <c r="BN592" s="108"/>
      <c r="BO592" s="108"/>
      <c r="BP592" s="108"/>
      <c r="BQ592" s="108"/>
      <c r="BR592" s="108"/>
      <c r="BS592" s="108"/>
      <c r="BT592" s="108"/>
      <c r="BU592" s="108"/>
      <c r="BV592" s="108"/>
      <c r="BW592" s="108"/>
      <c r="BX592" s="108"/>
      <c r="BY592" s="108"/>
    </row>
    <row r="593" spans="1:77">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c r="AA593" s="109"/>
      <c r="AB593" s="109"/>
      <c r="AC593" s="109"/>
      <c r="AD593" s="109"/>
      <c r="AE593" s="109"/>
      <c r="AF593" s="109"/>
      <c r="AG593" s="109"/>
      <c r="AH593" s="109"/>
      <c r="AI593" s="109"/>
      <c r="AJ593" s="109"/>
      <c r="AK593" s="109"/>
      <c r="AL593" s="109"/>
      <c r="AM593" s="109"/>
      <c r="AN593" s="109"/>
      <c r="AO593" s="109"/>
      <c r="AP593" s="109"/>
      <c r="AQ593" s="109"/>
      <c r="AR593" s="109"/>
      <c r="AS593" s="109"/>
      <c r="AT593" s="108"/>
      <c r="AU593" s="108"/>
      <c r="AV593" s="108"/>
      <c r="AW593" s="108"/>
      <c r="AX593" s="108"/>
      <c r="AY593" s="108"/>
      <c r="AZ593" s="108"/>
      <c r="BA593" s="108"/>
      <c r="BB593" s="108"/>
      <c r="BC593" s="108"/>
      <c r="BD593" s="108"/>
      <c r="BE593" s="108"/>
      <c r="BF593" s="108"/>
      <c r="BG593" s="108"/>
      <c r="BH593" s="108"/>
      <c r="BI593" s="108"/>
      <c r="BJ593" s="108"/>
      <c r="BK593" s="108"/>
      <c r="BL593" s="108"/>
      <c r="BM593" s="108"/>
      <c r="BN593" s="108"/>
      <c r="BO593" s="108"/>
      <c r="BP593" s="108"/>
      <c r="BQ593" s="108"/>
      <c r="BR593" s="108"/>
      <c r="BS593" s="108"/>
      <c r="BT593" s="108"/>
      <c r="BU593" s="108"/>
      <c r="BV593" s="108"/>
      <c r="BW593" s="108"/>
      <c r="BX593" s="108"/>
      <c r="BY593" s="108"/>
    </row>
    <row r="594" spans="1:77">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c r="AA594" s="109"/>
      <c r="AB594" s="109"/>
      <c r="AC594" s="109"/>
      <c r="AD594" s="109"/>
      <c r="AE594" s="109"/>
      <c r="AF594" s="109"/>
      <c r="AG594" s="109"/>
      <c r="AH594" s="109"/>
      <c r="AI594" s="109"/>
      <c r="AJ594" s="109"/>
      <c r="AK594" s="109"/>
      <c r="AL594" s="109"/>
      <c r="AM594" s="109"/>
      <c r="AN594" s="109"/>
      <c r="AO594" s="109"/>
      <c r="AP594" s="109"/>
      <c r="AQ594" s="109"/>
      <c r="AR594" s="109"/>
      <c r="AS594" s="109"/>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108"/>
      <c r="BV594" s="108"/>
      <c r="BW594" s="108"/>
      <c r="BX594" s="108"/>
      <c r="BY594" s="108"/>
    </row>
    <row r="595" spans="1:77">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c r="AB595" s="109"/>
      <c r="AC595" s="109"/>
      <c r="AD595" s="109"/>
      <c r="AE595" s="109"/>
      <c r="AF595" s="109"/>
      <c r="AG595" s="109"/>
      <c r="AH595" s="109"/>
      <c r="AI595" s="109"/>
      <c r="AJ595" s="109"/>
      <c r="AK595" s="109"/>
      <c r="AL595" s="109"/>
      <c r="AM595" s="109"/>
      <c r="AN595" s="109"/>
      <c r="AO595" s="109"/>
      <c r="AP595" s="109"/>
      <c r="AQ595" s="109"/>
      <c r="AR595" s="109"/>
      <c r="AS595" s="109"/>
      <c r="AT595" s="108"/>
      <c r="AU595" s="108"/>
      <c r="AV595" s="108"/>
      <c r="AW595" s="108"/>
      <c r="AX595" s="108"/>
      <c r="AY595" s="108"/>
      <c r="AZ595" s="108"/>
      <c r="BA595" s="108"/>
      <c r="BB595" s="108"/>
      <c r="BC595" s="108"/>
      <c r="BD595" s="108"/>
      <c r="BE595" s="108"/>
      <c r="BF595" s="108"/>
      <c r="BG595" s="108"/>
      <c r="BH595" s="108"/>
      <c r="BI595" s="108"/>
      <c r="BJ595" s="108"/>
      <c r="BK595" s="108"/>
      <c r="BL595" s="108"/>
      <c r="BM595" s="108"/>
      <c r="BN595" s="108"/>
      <c r="BO595" s="108"/>
      <c r="BP595" s="108"/>
      <c r="BQ595" s="108"/>
      <c r="BR595" s="108"/>
      <c r="BS595" s="108"/>
      <c r="BT595" s="108"/>
      <c r="BU595" s="108"/>
      <c r="BV595" s="108"/>
      <c r="BW595" s="108"/>
      <c r="BX595" s="108"/>
      <c r="BY595" s="108"/>
    </row>
    <row r="596" spans="1:77">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c r="AA596" s="109"/>
      <c r="AB596" s="109"/>
      <c r="AC596" s="109"/>
      <c r="AD596" s="109"/>
      <c r="AE596" s="109"/>
      <c r="AF596" s="109"/>
      <c r="AG596" s="109"/>
      <c r="AH596" s="109"/>
      <c r="AI596" s="109"/>
      <c r="AJ596" s="109"/>
      <c r="AK596" s="109"/>
      <c r="AL596" s="109"/>
      <c r="AM596" s="109"/>
      <c r="AN596" s="109"/>
      <c r="AO596" s="109"/>
      <c r="AP596" s="109"/>
      <c r="AQ596" s="109"/>
      <c r="AR596" s="109"/>
      <c r="AS596" s="109"/>
      <c r="AT596" s="108"/>
      <c r="AU596" s="108"/>
      <c r="AV596" s="108"/>
      <c r="AW596" s="108"/>
      <c r="AX596" s="108"/>
      <c r="AY596" s="108"/>
      <c r="AZ596" s="108"/>
      <c r="BA596" s="108"/>
      <c r="BB596" s="108"/>
      <c r="BC596" s="108"/>
      <c r="BD596" s="108"/>
      <c r="BE596" s="108"/>
      <c r="BF596" s="108"/>
      <c r="BG596" s="108"/>
      <c r="BH596" s="108"/>
      <c r="BI596" s="108"/>
      <c r="BJ596" s="108"/>
      <c r="BK596" s="108"/>
      <c r="BL596" s="108"/>
      <c r="BM596" s="108"/>
      <c r="BN596" s="108"/>
      <c r="BO596" s="108"/>
      <c r="BP596" s="108"/>
      <c r="BQ596" s="108"/>
      <c r="BR596" s="108"/>
      <c r="BS596" s="108"/>
      <c r="BT596" s="108"/>
      <c r="BU596" s="108"/>
      <c r="BV596" s="108"/>
      <c r="BW596" s="108"/>
      <c r="BX596" s="108"/>
      <c r="BY596" s="108"/>
    </row>
    <row r="597" spans="1:77">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c r="AA597" s="109"/>
      <c r="AB597" s="109"/>
      <c r="AC597" s="109"/>
      <c r="AD597" s="109"/>
      <c r="AE597" s="109"/>
      <c r="AF597" s="109"/>
      <c r="AG597" s="109"/>
      <c r="AH597" s="109"/>
      <c r="AI597" s="109"/>
      <c r="AJ597" s="109"/>
      <c r="AK597" s="109"/>
      <c r="AL597" s="109"/>
      <c r="AM597" s="109"/>
      <c r="AN597" s="109"/>
      <c r="AO597" s="109"/>
      <c r="AP597" s="109"/>
      <c r="AQ597" s="109"/>
      <c r="AR597" s="109"/>
      <c r="AS597" s="109"/>
      <c r="AT597" s="108"/>
      <c r="AU597" s="108"/>
      <c r="AV597" s="108"/>
      <c r="AW597" s="108"/>
      <c r="AX597" s="108"/>
      <c r="AY597" s="108"/>
      <c r="AZ597" s="108"/>
      <c r="BA597" s="108"/>
      <c r="BB597" s="108"/>
      <c r="BC597" s="108"/>
      <c r="BD597" s="108"/>
      <c r="BE597" s="108"/>
      <c r="BF597" s="108"/>
      <c r="BG597" s="108"/>
      <c r="BH597" s="108"/>
      <c r="BI597" s="108"/>
      <c r="BJ597" s="108"/>
      <c r="BK597" s="108"/>
      <c r="BL597" s="108"/>
      <c r="BM597" s="108"/>
      <c r="BN597" s="108"/>
      <c r="BO597" s="108"/>
      <c r="BP597" s="108"/>
      <c r="BQ597" s="108"/>
      <c r="BR597" s="108"/>
      <c r="BS597" s="108"/>
      <c r="BT597" s="108"/>
      <c r="BU597" s="108"/>
      <c r="BV597" s="108"/>
      <c r="BW597" s="108"/>
      <c r="BX597" s="108"/>
      <c r="BY597" s="108"/>
    </row>
    <row r="598" spans="1:77">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c r="AB598" s="109"/>
      <c r="AC598" s="109"/>
      <c r="AD598" s="109"/>
      <c r="AE598" s="109"/>
      <c r="AF598" s="109"/>
      <c r="AG598" s="109"/>
      <c r="AH598" s="109"/>
      <c r="AI598" s="109"/>
      <c r="AJ598" s="109"/>
      <c r="AK598" s="109"/>
      <c r="AL598" s="109"/>
      <c r="AM598" s="109"/>
      <c r="AN598" s="109"/>
      <c r="AO598" s="109"/>
      <c r="AP598" s="109"/>
      <c r="AQ598" s="109"/>
      <c r="AR598" s="109"/>
      <c r="AS598" s="109"/>
      <c r="AT598" s="108"/>
      <c r="AU598" s="108"/>
      <c r="AV598" s="108"/>
      <c r="AW598" s="108"/>
      <c r="AX598" s="108"/>
      <c r="AY598" s="108"/>
      <c r="AZ598" s="108"/>
      <c r="BA598" s="108"/>
      <c r="BB598" s="108"/>
      <c r="BC598" s="108"/>
      <c r="BD598" s="108"/>
      <c r="BE598" s="108"/>
      <c r="BF598" s="108"/>
      <c r="BG598" s="108"/>
      <c r="BH598" s="108"/>
      <c r="BI598" s="108"/>
      <c r="BJ598" s="108"/>
      <c r="BK598" s="108"/>
      <c r="BL598" s="108"/>
      <c r="BM598" s="108"/>
      <c r="BN598" s="108"/>
      <c r="BO598" s="108"/>
      <c r="BP598" s="108"/>
      <c r="BQ598" s="108"/>
      <c r="BR598" s="108"/>
      <c r="BS598" s="108"/>
      <c r="BT598" s="108"/>
      <c r="BU598" s="108"/>
      <c r="BV598" s="108"/>
      <c r="BW598" s="108"/>
      <c r="BX598" s="108"/>
      <c r="BY598" s="108"/>
    </row>
    <row r="599" spans="1:77">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c r="AA599" s="109"/>
      <c r="AB599" s="109"/>
      <c r="AC599" s="109"/>
      <c r="AD599" s="109"/>
      <c r="AE599" s="109"/>
      <c r="AF599" s="109"/>
      <c r="AG599" s="109"/>
      <c r="AH599" s="109"/>
      <c r="AI599" s="109"/>
      <c r="AJ599" s="109"/>
      <c r="AK599" s="109"/>
      <c r="AL599" s="109"/>
      <c r="AM599" s="109"/>
      <c r="AN599" s="109"/>
      <c r="AO599" s="109"/>
      <c r="AP599" s="109"/>
      <c r="AQ599" s="109"/>
      <c r="AR599" s="109"/>
      <c r="AS599" s="109"/>
      <c r="AT599" s="108"/>
      <c r="AU599" s="108"/>
      <c r="AV599" s="108"/>
      <c r="AW599" s="108"/>
      <c r="AX599" s="108"/>
      <c r="AY599" s="108"/>
      <c r="AZ599" s="108"/>
      <c r="BA599" s="108"/>
      <c r="BB599" s="108"/>
      <c r="BC599" s="108"/>
      <c r="BD599" s="108"/>
      <c r="BE599" s="108"/>
      <c r="BF599" s="108"/>
      <c r="BG599" s="108"/>
      <c r="BH599" s="108"/>
      <c r="BI599" s="108"/>
      <c r="BJ599" s="108"/>
      <c r="BK599" s="108"/>
      <c r="BL599" s="108"/>
      <c r="BM599" s="108"/>
      <c r="BN599" s="108"/>
      <c r="BO599" s="108"/>
      <c r="BP599" s="108"/>
      <c r="BQ599" s="108"/>
      <c r="BR599" s="108"/>
      <c r="BS599" s="108"/>
      <c r="BT599" s="108"/>
      <c r="BU599" s="108"/>
      <c r="BV599" s="108"/>
      <c r="BW599" s="108"/>
      <c r="BX599" s="108"/>
      <c r="BY599" s="108"/>
    </row>
    <row r="600" spans="1:77">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c r="AA600" s="109"/>
      <c r="AB600" s="109"/>
      <c r="AC600" s="109"/>
      <c r="AD600" s="109"/>
      <c r="AE600" s="109"/>
      <c r="AF600" s="109"/>
      <c r="AG600" s="109"/>
      <c r="AH600" s="109"/>
      <c r="AI600" s="109"/>
      <c r="AJ600" s="109"/>
      <c r="AK600" s="109"/>
      <c r="AL600" s="109"/>
      <c r="AM600" s="109"/>
      <c r="AN600" s="109"/>
      <c r="AO600" s="109"/>
      <c r="AP600" s="109"/>
      <c r="AQ600" s="109"/>
      <c r="AR600" s="109"/>
      <c r="AS600" s="109"/>
      <c r="AT600" s="108"/>
      <c r="AU600" s="108"/>
      <c r="AV600" s="108"/>
      <c r="AW600" s="108"/>
      <c r="AX600" s="108"/>
      <c r="AY600" s="108"/>
      <c r="AZ600" s="108"/>
      <c r="BA600" s="108"/>
      <c r="BB600" s="108"/>
      <c r="BC600" s="108"/>
      <c r="BD600" s="108"/>
      <c r="BE600" s="108"/>
      <c r="BF600" s="108"/>
      <c r="BG600" s="108"/>
      <c r="BH600" s="108"/>
      <c r="BI600" s="108"/>
      <c r="BJ600" s="108"/>
      <c r="BK600" s="108"/>
      <c r="BL600" s="108"/>
      <c r="BM600" s="108"/>
      <c r="BN600" s="108"/>
      <c r="BO600" s="108"/>
      <c r="BP600" s="108"/>
      <c r="BQ600" s="108"/>
      <c r="BR600" s="108"/>
      <c r="BS600" s="108"/>
      <c r="BT600" s="108"/>
      <c r="BU600" s="108"/>
      <c r="BV600" s="108"/>
      <c r="BW600" s="108"/>
      <c r="BX600" s="108"/>
      <c r="BY600" s="108"/>
    </row>
    <row r="601" spans="1:77">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c r="AA601" s="109"/>
      <c r="AB601" s="109"/>
      <c r="AC601" s="109"/>
      <c r="AD601" s="109"/>
      <c r="AE601" s="109"/>
      <c r="AF601" s="109"/>
      <c r="AG601" s="109"/>
      <c r="AH601" s="109"/>
      <c r="AI601" s="109"/>
      <c r="AJ601" s="109"/>
      <c r="AK601" s="109"/>
      <c r="AL601" s="109"/>
      <c r="AM601" s="109"/>
      <c r="AN601" s="109"/>
      <c r="AO601" s="109"/>
      <c r="AP601" s="109"/>
      <c r="AQ601" s="109"/>
      <c r="AR601" s="109"/>
      <c r="AS601" s="109"/>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row>
    <row r="602" spans="1:77">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c r="AE602" s="109"/>
      <c r="AF602" s="109"/>
      <c r="AG602" s="109"/>
      <c r="AH602" s="109"/>
      <c r="AI602" s="109"/>
      <c r="AJ602" s="109"/>
      <c r="AK602" s="109"/>
      <c r="AL602" s="109"/>
      <c r="AM602" s="109"/>
      <c r="AN602" s="109"/>
      <c r="AO602" s="109"/>
      <c r="AP602" s="109"/>
      <c r="AQ602" s="109"/>
      <c r="AR602" s="109"/>
      <c r="AS602" s="109"/>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c r="BN602" s="108"/>
      <c r="BO602" s="108"/>
      <c r="BP602" s="108"/>
      <c r="BQ602" s="108"/>
      <c r="BR602" s="108"/>
      <c r="BS602" s="108"/>
      <c r="BT602" s="108"/>
      <c r="BU602" s="108"/>
      <c r="BV602" s="108"/>
      <c r="BW602" s="108"/>
      <c r="BX602" s="108"/>
      <c r="BY602" s="108"/>
    </row>
    <row r="603" spans="1:77">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c r="AA603" s="109"/>
      <c r="AB603" s="109"/>
      <c r="AC603" s="109"/>
      <c r="AD603" s="109"/>
      <c r="AE603" s="109"/>
      <c r="AF603" s="109"/>
      <c r="AG603" s="109"/>
      <c r="AH603" s="109"/>
      <c r="AI603" s="109"/>
      <c r="AJ603" s="109"/>
      <c r="AK603" s="109"/>
      <c r="AL603" s="109"/>
      <c r="AM603" s="109"/>
      <c r="AN603" s="109"/>
      <c r="AO603" s="109"/>
      <c r="AP603" s="109"/>
      <c r="AQ603" s="109"/>
      <c r="AR603" s="109"/>
      <c r="AS603" s="109"/>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c r="BO603" s="108"/>
      <c r="BP603" s="108"/>
      <c r="BQ603" s="108"/>
      <c r="BR603" s="108"/>
      <c r="BS603" s="108"/>
      <c r="BT603" s="108"/>
      <c r="BU603" s="108"/>
      <c r="BV603" s="108"/>
      <c r="BW603" s="108"/>
      <c r="BX603" s="108"/>
      <c r="BY603" s="108"/>
    </row>
    <row r="604" spans="1:77">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c r="AA604" s="109"/>
      <c r="AB604" s="109"/>
      <c r="AC604" s="109"/>
      <c r="AD604" s="109"/>
      <c r="AE604" s="109"/>
      <c r="AF604" s="109"/>
      <c r="AG604" s="109"/>
      <c r="AH604" s="109"/>
      <c r="AI604" s="109"/>
      <c r="AJ604" s="109"/>
      <c r="AK604" s="109"/>
      <c r="AL604" s="109"/>
      <c r="AM604" s="109"/>
      <c r="AN604" s="109"/>
      <c r="AO604" s="109"/>
      <c r="AP604" s="109"/>
      <c r="AQ604" s="109"/>
      <c r="AR604" s="109"/>
      <c r="AS604" s="109"/>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c r="BP604" s="108"/>
      <c r="BQ604" s="108"/>
      <c r="BR604" s="108"/>
      <c r="BS604" s="108"/>
      <c r="BT604" s="108"/>
      <c r="BU604" s="108"/>
      <c r="BV604" s="108"/>
      <c r="BW604" s="108"/>
      <c r="BX604" s="108"/>
      <c r="BY604" s="108"/>
    </row>
    <row r="605" spans="1:77">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c r="AA605" s="109"/>
      <c r="AB605" s="109"/>
      <c r="AC605" s="109"/>
      <c r="AD605" s="109"/>
      <c r="AE605" s="109"/>
      <c r="AF605" s="109"/>
      <c r="AG605" s="109"/>
      <c r="AH605" s="109"/>
      <c r="AI605" s="109"/>
      <c r="AJ605" s="109"/>
      <c r="AK605" s="109"/>
      <c r="AL605" s="109"/>
      <c r="AM605" s="109"/>
      <c r="AN605" s="109"/>
      <c r="AO605" s="109"/>
      <c r="AP605" s="109"/>
      <c r="AQ605" s="109"/>
      <c r="AR605" s="109"/>
      <c r="AS605" s="109"/>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c r="BQ605" s="108"/>
      <c r="BR605" s="108"/>
      <c r="BS605" s="108"/>
      <c r="BT605" s="108"/>
      <c r="BU605" s="108"/>
      <c r="BV605" s="108"/>
      <c r="BW605" s="108"/>
      <c r="BX605" s="108"/>
      <c r="BY605" s="108"/>
    </row>
    <row r="606" spans="1:77">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c r="AB606" s="109"/>
      <c r="AC606" s="109"/>
      <c r="AD606" s="109"/>
      <c r="AE606" s="109"/>
      <c r="AF606" s="109"/>
      <c r="AG606" s="109"/>
      <c r="AH606" s="109"/>
      <c r="AI606" s="109"/>
      <c r="AJ606" s="109"/>
      <c r="AK606" s="109"/>
      <c r="AL606" s="109"/>
      <c r="AM606" s="109"/>
      <c r="AN606" s="109"/>
      <c r="AO606" s="109"/>
      <c r="AP606" s="109"/>
      <c r="AQ606" s="109"/>
      <c r="AR606" s="109"/>
      <c r="AS606" s="109"/>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c r="BR606" s="108"/>
      <c r="BS606" s="108"/>
      <c r="BT606" s="108"/>
      <c r="BU606" s="108"/>
      <c r="BV606" s="108"/>
      <c r="BW606" s="108"/>
      <c r="BX606" s="108"/>
      <c r="BY606" s="108"/>
    </row>
    <row r="607" spans="1:77">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c r="AA607" s="109"/>
      <c r="AB607" s="109"/>
      <c r="AC607" s="109"/>
      <c r="AD607" s="109"/>
      <c r="AE607" s="109"/>
      <c r="AF607" s="109"/>
      <c r="AG607" s="109"/>
      <c r="AH607" s="109"/>
      <c r="AI607" s="109"/>
      <c r="AJ607" s="109"/>
      <c r="AK607" s="109"/>
      <c r="AL607" s="109"/>
      <c r="AM607" s="109"/>
      <c r="AN607" s="109"/>
      <c r="AO607" s="109"/>
      <c r="AP607" s="109"/>
      <c r="AQ607" s="109"/>
      <c r="AR607" s="109"/>
      <c r="AS607" s="109"/>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c r="BS607" s="108"/>
      <c r="BT607" s="108"/>
      <c r="BU607" s="108"/>
      <c r="BV607" s="108"/>
      <c r="BW607" s="108"/>
      <c r="BX607" s="108"/>
      <c r="BY607" s="108"/>
    </row>
    <row r="608" spans="1:77">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c r="AA608" s="109"/>
      <c r="AB608" s="109"/>
      <c r="AC608" s="109"/>
      <c r="AD608" s="109"/>
      <c r="AE608" s="109"/>
      <c r="AF608" s="109"/>
      <c r="AG608" s="109"/>
      <c r="AH608" s="109"/>
      <c r="AI608" s="109"/>
      <c r="AJ608" s="109"/>
      <c r="AK608" s="109"/>
      <c r="AL608" s="109"/>
      <c r="AM608" s="109"/>
      <c r="AN608" s="109"/>
      <c r="AO608" s="109"/>
      <c r="AP608" s="109"/>
      <c r="AQ608" s="109"/>
      <c r="AR608" s="109"/>
      <c r="AS608" s="109"/>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c r="BT608" s="108"/>
      <c r="BU608" s="108"/>
      <c r="BV608" s="108"/>
      <c r="BW608" s="108"/>
      <c r="BX608" s="108"/>
      <c r="BY608" s="108"/>
    </row>
    <row r="609" spans="1:77">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c r="AA609" s="109"/>
      <c r="AB609" s="109"/>
      <c r="AC609" s="109"/>
      <c r="AD609" s="109"/>
      <c r="AE609" s="109"/>
      <c r="AF609" s="109"/>
      <c r="AG609" s="109"/>
      <c r="AH609" s="109"/>
      <c r="AI609" s="109"/>
      <c r="AJ609" s="109"/>
      <c r="AK609" s="109"/>
      <c r="AL609" s="109"/>
      <c r="AM609" s="109"/>
      <c r="AN609" s="109"/>
      <c r="AO609" s="109"/>
      <c r="AP609" s="109"/>
      <c r="AQ609" s="109"/>
      <c r="AR609" s="109"/>
      <c r="AS609" s="109"/>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c r="BU609" s="108"/>
      <c r="BV609" s="108"/>
      <c r="BW609" s="108"/>
      <c r="BX609" s="108"/>
      <c r="BY609" s="108"/>
    </row>
    <row r="610" spans="1:77">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c r="AA610" s="109"/>
      <c r="AB610" s="109"/>
      <c r="AC610" s="109"/>
      <c r="AD610" s="109"/>
      <c r="AE610" s="109"/>
      <c r="AF610" s="109"/>
      <c r="AG610" s="109"/>
      <c r="AH610" s="109"/>
      <c r="AI610" s="109"/>
      <c r="AJ610" s="109"/>
      <c r="AK610" s="109"/>
      <c r="AL610" s="109"/>
      <c r="AM610" s="109"/>
      <c r="AN610" s="109"/>
      <c r="AO610" s="109"/>
      <c r="AP610" s="109"/>
      <c r="AQ610" s="109"/>
      <c r="AR610" s="109"/>
      <c r="AS610" s="109"/>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c r="BV610" s="108"/>
      <c r="BW610" s="108"/>
      <c r="BX610" s="108"/>
      <c r="BY610" s="108"/>
    </row>
    <row r="611" spans="1:77">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c r="AB611" s="109"/>
      <c r="AC611" s="109"/>
      <c r="AD611" s="109"/>
      <c r="AE611" s="109"/>
      <c r="AF611" s="109"/>
      <c r="AG611" s="109"/>
      <c r="AH611" s="109"/>
      <c r="AI611" s="109"/>
      <c r="AJ611" s="109"/>
      <c r="AK611" s="109"/>
      <c r="AL611" s="109"/>
      <c r="AM611" s="109"/>
      <c r="AN611" s="109"/>
      <c r="AO611" s="109"/>
      <c r="AP611" s="109"/>
      <c r="AQ611" s="109"/>
      <c r="AR611" s="109"/>
      <c r="AS611" s="109"/>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c r="BW611" s="108"/>
      <c r="BX611" s="108"/>
      <c r="BY611" s="108"/>
    </row>
    <row r="612" spans="1:77">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c r="AA612" s="109"/>
      <c r="AB612" s="109"/>
      <c r="AC612" s="109"/>
      <c r="AD612" s="109"/>
      <c r="AE612" s="109"/>
      <c r="AF612" s="109"/>
      <c r="AG612" s="109"/>
      <c r="AH612" s="109"/>
      <c r="AI612" s="109"/>
      <c r="AJ612" s="109"/>
      <c r="AK612" s="109"/>
      <c r="AL612" s="109"/>
      <c r="AM612" s="109"/>
      <c r="AN612" s="109"/>
      <c r="AO612" s="109"/>
      <c r="AP612" s="109"/>
      <c r="AQ612" s="109"/>
      <c r="AR612" s="109"/>
      <c r="AS612" s="109"/>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c r="BX612" s="108"/>
      <c r="BY612" s="108"/>
    </row>
    <row r="613" spans="1:77">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c r="AA613" s="109"/>
      <c r="AB613" s="109"/>
      <c r="AC613" s="109"/>
      <c r="AD613" s="109"/>
      <c r="AE613" s="109"/>
      <c r="AF613" s="109"/>
      <c r="AG613" s="109"/>
      <c r="AH613" s="109"/>
      <c r="AI613" s="109"/>
      <c r="AJ613" s="109"/>
      <c r="AK613" s="109"/>
      <c r="AL613" s="109"/>
      <c r="AM613" s="109"/>
      <c r="AN613" s="109"/>
      <c r="AO613" s="109"/>
      <c r="AP613" s="109"/>
      <c r="AQ613" s="109"/>
      <c r="AR613" s="109"/>
      <c r="AS613" s="109"/>
      <c r="AT613" s="108"/>
      <c r="AU613" s="108"/>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c r="BY613" s="108"/>
    </row>
    <row r="614" spans="1:77">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c r="AA614" s="109"/>
      <c r="AB614" s="109"/>
      <c r="AC614" s="109"/>
      <c r="AD614" s="109"/>
      <c r="AE614" s="109"/>
      <c r="AF614" s="109"/>
      <c r="AG614" s="109"/>
      <c r="AH614" s="109"/>
      <c r="AI614" s="109"/>
      <c r="AJ614" s="109"/>
      <c r="AK614" s="109"/>
      <c r="AL614" s="109"/>
      <c r="AM614" s="109"/>
      <c r="AN614" s="109"/>
      <c r="AO614" s="109"/>
      <c r="AP614" s="109"/>
      <c r="AQ614" s="109"/>
      <c r="AR614" s="109"/>
      <c r="AS614" s="109"/>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row>
    <row r="615" spans="1:77">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c r="AA615" s="109"/>
      <c r="AB615" s="109"/>
      <c r="AC615" s="109"/>
      <c r="AD615" s="109"/>
      <c r="AE615" s="109"/>
      <c r="AF615" s="109"/>
      <c r="AG615" s="109"/>
      <c r="AH615" s="109"/>
      <c r="AI615" s="109"/>
      <c r="AJ615" s="109"/>
      <c r="AK615" s="109"/>
      <c r="AL615" s="109"/>
      <c r="AM615" s="109"/>
      <c r="AN615" s="109"/>
      <c r="AO615" s="109"/>
      <c r="AP615" s="109"/>
      <c r="AQ615" s="109"/>
      <c r="AR615" s="109"/>
      <c r="AS615" s="109"/>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row>
    <row r="616" spans="1:77">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c r="AB616" s="109"/>
      <c r="AC616" s="109"/>
      <c r="AD616" s="109"/>
      <c r="AE616" s="109"/>
      <c r="AF616" s="109"/>
      <c r="AG616" s="109"/>
      <c r="AH616" s="109"/>
      <c r="AI616" s="109"/>
      <c r="AJ616" s="109"/>
      <c r="AK616" s="109"/>
      <c r="AL616" s="109"/>
      <c r="AM616" s="109"/>
      <c r="AN616" s="109"/>
      <c r="AO616" s="109"/>
      <c r="AP616" s="109"/>
      <c r="AQ616" s="109"/>
      <c r="AR616" s="109"/>
      <c r="AS616" s="109"/>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row>
    <row r="617" spans="1:77">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c r="AA617" s="109"/>
      <c r="AB617" s="109"/>
      <c r="AC617" s="109"/>
      <c r="AD617" s="109"/>
      <c r="AE617" s="109"/>
      <c r="AF617" s="109"/>
      <c r="AG617" s="109"/>
      <c r="AH617" s="109"/>
      <c r="AI617" s="109"/>
      <c r="AJ617" s="109"/>
      <c r="AK617" s="109"/>
      <c r="AL617" s="109"/>
      <c r="AM617" s="109"/>
      <c r="AN617" s="109"/>
      <c r="AO617" s="109"/>
      <c r="AP617" s="109"/>
      <c r="AQ617" s="109"/>
      <c r="AR617" s="109"/>
      <c r="AS617" s="109"/>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row>
    <row r="618" spans="1:77">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c r="AA618" s="109"/>
      <c r="AB618" s="109"/>
      <c r="AC618" s="109"/>
      <c r="AD618" s="109"/>
      <c r="AE618" s="109"/>
      <c r="AF618" s="109"/>
      <c r="AG618" s="109"/>
      <c r="AH618" s="109"/>
      <c r="AI618" s="109"/>
      <c r="AJ618" s="109"/>
      <c r="AK618" s="109"/>
      <c r="AL618" s="109"/>
      <c r="AM618" s="109"/>
      <c r="AN618" s="109"/>
      <c r="AO618" s="109"/>
      <c r="AP618" s="109"/>
      <c r="AQ618" s="109"/>
      <c r="AR618" s="109"/>
      <c r="AS618" s="109"/>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row>
    <row r="619" spans="1:77">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c r="AA619" s="109"/>
      <c r="AB619" s="109"/>
      <c r="AC619" s="109"/>
      <c r="AD619" s="109"/>
      <c r="AE619" s="109"/>
      <c r="AF619" s="109"/>
      <c r="AG619" s="109"/>
      <c r="AH619" s="109"/>
      <c r="AI619" s="109"/>
      <c r="AJ619" s="109"/>
      <c r="AK619" s="109"/>
      <c r="AL619" s="109"/>
      <c r="AM619" s="109"/>
      <c r="AN619" s="109"/>
      <c r="AO619" s="109"/>
      <c r="AP619" s="109"/>
      <c r="AQ619" s="109"/>
      <c r="AR619" s="109"/>
      <c r="AS619" s="109"/>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row>
    <row r="620" spans="1:77">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c r="AB620" s="109"/>
      <c r="AC620" s="109"/>
      <c r="AD620" s="109"/>
      <c r="AE620" s="109"/>
      <c r="AF620" s="109"/>
      <c r="AG620" s="109"/>
      <c r="AH620" s="109"/>
      <c r="AI620" s="109"/>
      <c r="AJ620" s="109"/>
      <c r="AK620" s="109"/>
      <c r="AL620" s="109"/>
      <c r="AM620" s="109"/>
      <c r="AN620" s="109"/>
      <c r="AO620" s="109"/>
      <c r="AP620" s="109"/>
      <c r="AQ620" s="109"/>
      <c r="AR620" s="109"/>
      <c r="AS620" s="109"/>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row>
    <row r="621" spans="1:77">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c r="AB621" s="109"/>
      <c r="AC621" s="109"/>
      <c r="AD621" s="109"/>
      <c r="AE621" s="109"/>
      <c r="AF621" s="109"/>
      <c r="AG621" s="109"/>
      <c r="AH621" s="109"/>
      <c r="AI621" s="109"/>
      <c r="AJ621" s="109"/>
      <c r="AK621" s="109"/>
      <c r="AL621" s="109"/>
      <c r="AM621" s="109"/>
      <c r="AN621" s="109"/>
      <c r="AO621" s="109"/>
      <c r="AP621" s="109"/>
      <c r="AQ621" s="109"/>
      <c r="AR621" s="109"/>
      <c r="AS621" s="109"/>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row>
    <row r="622" spans="1:77">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c r="AA622" s="109"/>
      <c r="AB622" s="109"/>
      <c r="AC622" s="109"/>
      <c r="AD622" s="109"/>
      <c r="AE622" s="109"/>
      <c r="AF622" s="109"/>
      <c r="AG622" s="109"/>
      <c r="AH622" s="109"/>
      <c r="AI622" s="109"/>
      <c r="AJ622" s="109"/>
      <c r="AK622" s="109"/>
      <c r="AL622" s="109"/>
      <c r="AM622" s="109"/>
      <c r="AN622" s="109"/>
      <c r="AO622" s="109"/>
      <c r="AP622" s="109"/>
      <c r="AQ622" s="109"/>
      <c r="AR622" s="109"/>
      <c r="AS622" s="109"/>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row>
    <row r="623" spans="1:77">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c r="AA623" s="109"/>
      <c r="AB623" s="109"/>
      <c r="AC623" s="109"/>
      <c r="AD623" s="109"/>
      <c r="AE623" s="109"/>
      <c r="AF623" s="109"/>
      <c r="AG623" s="109"/>
      <c r="AH623" s="109"/>
      <c r="AI623" s="109"/>
      <c r="AJ623" s="109"/>
      <c r="AK623" s="109"/>
      <c r="AL623" s="109"/>
      <c r="AM623" s="109"/>
      <c r="AN623" s="109"/>
      <c r="AO623" s="109"/>
      <c r="AP623" s="109"/>
      <c r="AQ623" s="109"/>
      <c r="AR623" s="109"/>
      <c r="AS623" s="109"/>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row>
    <row r="624" spans="1:77">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c r="AA624" s="109"/>
      <c r="AB624" s="109"/>
      <c r="AC624" s="109"/>
      <c r="AD624" s="109"/>
      <c r="AE624" s="109"/>
      <c r="AF624" s="109"/>
      <c r="AG624" s="109"/>
      <c r="AH624" s="109"/>
      <c r="AI624" s="109"/>
      <c r="AJ624" s="109"/>
      <c r="AK624" s="109"/>
      <c r="AL624" s="109"/>
      <c r="AM624" s="109"/>
      <c r="AN624" s="109"/>
      <c r="AO624" s="109"/>
      <c r="AP624" s="109"/>
      <c r="AQ624" s="109"/>
      <c r="AR624" s="109"/>
      <c r="AS624" s="109"/>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row>
    <row r="625" spans="1:77">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c r="AA625" s="109"/>
      <c r="AB625" s="109"/>
      <c r="AC625" s="109"/>
      <c r="AD625" s="109"/>
      <c r="AE625" s="109"/>
      <c r="AF625" s="109"/>
      <c r="AG625" s="109"/>
      <c r="AH625" s="109"/>
      <c r="AI625" s="109"/>
      <c r="AJ625" s="109"/>
      <c r="AK625" s="109"/>
      <c r="AL625" s="109"/>
      <c r="AM625" s="109"/>
      <c r="AN625" s="109"/>
      <c r="AO625" s="109"/>
      <c r="AP625" s="109"/>
      <c r="AQ625" s="109"/>
      <c r="AR625" s="109"/>
      <c r="AS625" s="109"/>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row>
    <row r="626" spans="1:77">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c r="AA626" s="109"/>
      <c r="AB626" s="109"/>
      <c r="AC626" s="109"/>
      <c r="AD626" s="109"/>
      <c r="AE626" s="109"/>
      <c r="AF626" s="109"/>
      <c r="AG626" s="109"/>
      <c r="AH626" s="109"/>
      <c r="AI626" s="109"/>
      <c r="AJ626" s="109"/>
      <c r="AK626" s="109"/>
      <c r="AL626" s="109"/>
      <c r="AM626" s="109"/>
      <c r="AN626" s="109"/>
      <c r="AO626" s="109"/>
      <c r="AP626" s="109"/>
      <c r="AQ626" s="109"/>
      <c r="AR626" s="109"/>
      <c r="AS626" s="109"/>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row>
    <row r="627" spans="1:77">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c r="AA627" s="109"/>
      <c r="AB627" s="109"/>
      <c r="AC627" s="109"/>
      <c r="AD627" s="109"/>
      <c r="AE627" s="109"/>
      <c r="AF627" s="109"/>
      <c r="AG627" s="109"/>
      <c r="AH627" s="109"/>
      <c r="AI627" s="109"/>
      <c r="AJ627" s="109"/>
      <c r="AK627" s="109"/>
      <c r="AL627" s="109"/>
      <c r="AM627" s="109"/>
      <c r="AN627" s="109"/>
      <c r="AO627" s="109"/>
      <c r="AP627" s="109"/>
      <c r="AQ627" s="109"/>
      <c r="AR627" s="109"/>
      <c r="AS627" s="109"/>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row>
    <row r="628" spans="1:77">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c r="AB628" s="109"/>
      <c r="AC628" s="109"/>
      <c r="AD628" s="109"/>
      <c r="AE628" s="109"/>
      <c r="AF628" s="109"/>
      <c r="AG628" s="109"/>
      <c r="AH628" s="109"/>
      <c r="AI628" s="109"/>
      <c r="AJ628" s="109"/>
      <c r="AK628" s="109"/>
      <c r="AL628" s="109"/>
      <c r="AM628" s="109"/>
      <c r="AN628" s="109"/>
      <c r="AO628" s="109"/>
      <c r="AP628" s="109"/>
      <c r="AQ628" s="109"/>
      <c r="AR628" s="109"/>
      <c r="AS628" s="109"/>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row>
    <row r="629" spans="1:77">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c r="AA629" s="109"/>
      <c r="AB629" s="109"/>
      <c r="AC629" s="109"/>
      <c r="AD629" s="109"/>
      <c r="AE629" s="109"/>
      <c r="AF629" s="109"/>
      <c r="AG629" s="109"/>
      <c r="AH629" s="109"/>
      <c r="AI629" s="109"/>
      <c r="AJ629" s="109"/>
      <c r="AK629" s="109"/>
      <c r="AL629" s="109"/>
      <c r="AM629" s="109"/>
      <c r="AN629" s="109"/>
      <c r="AO629" s="109"/>
      <c r="AP629" s="109"/>
      <c r="AQ629" s="109"/>
      <c r="AR629" s="109"/>
      <c r="AS629" s="109"/>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row>
    <row r="630" spans="1:77">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c r="AA630" s="109"/>
      <c r="AB630" s="109"/>
      <c r="AC630" s="109"/>
      <c r="AD630" s="109"/>
      <c r="AE630" s="109"/>
      <c r="AF630" s="109"/>
      <c r="AG630" s="109"/>
      <c r="AH630" s="109"/>
      <c r="AI630" s="109"/>
      <c r="AJ630" s="109"/>
      <c r="AK630" s="109"/>
      <c r="AL630" s="109"/>
      <c r="AM630" s="109"/>
      <c r="AN630" s="109"/>
      <c r="AO630" s="109"/>
      <c r="AP630" s="109"/>
      <c r="AQ630" s="109"/>
      <c r="AR630" s="109"/>
      <c r="AS630" s="109"/>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row>
    <row r="631" spans="1:77">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c r="AA631" s="109"/>
      <c r="AB631" s="109"/>
      <c r="AC631" s="109"/>
      <c r="AD631" s="109"/>
      <c r="AE631" s="109"/>
      <c r="AF631" s="109"/>
      <c r="AG631" s="109"/>
      <c r="AH631" s="109"/>
      <c r="AI631" s="109"/>
      <c r="AJ631" s="109"/>
      <c r="AK631" s="109"/>
      <c r="AL631" s="109"/>
      <c r="AM631" s="109"/>
      <c r="AN631" s="109"/>
      <c r="AO631" s="109"/>
      <c r="AP631" s="109"/>
      <c r="AQ631" s="109"/>
      <c r="AR631" s="109"/>
      <c r="AS631" s="109"/>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row>
    <row r="632" spans="1:77">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c r="AA632" s="109"/>
      <c r="AB632" s="109"/>
      <c r="AC632" s="109"/>
      <c r="AD632" s="109"/>
      <c r="AE632" s="109"/>
      <c r="AF632" s="109"/>
      <c r="AG632" s="109"/>
      <c r="AH632" s="109"/>
      <c r="AI632" s="109"/>
      <c r="AJ632" s="109"/>
      <c r="AK632" s="109"/>
      <c r="AL632" s="109"/>
      <c r="AM632" s="109"/>
      <c r="AN632" s="109"/>
      <c r="AO632" s="109"/>
      <c r="AP632" s="109"/>
      <c r="AQ632" s="109"/>
      <c r="AR632" s="109"/>
      <c r="AS632" s="109"/>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row>
    <row r="633" spans="1:77">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c r="AB633" s="109"/>
      <c r="AC633" s="109"/>
      <c r="AD633" s="109"/>
      <c r="AE633" s="109"/>
      <c r="AF633" s="109"/>
      <c r="AG633" s="109"/>
      <c r="AH633" s="109"/>
      <c r="AI633" s="109"/>
      <c r="AJ633" s="109"/>
      <c r="AK633" s="109"/>
      <c r="AL633" s="109"/>
      <c r="AM633" s="109"/>
      <c r="AN633" s="109"/>
      <c r="AO633" s="109"/>
      <c r="AP633" s="109"/>
      <c r="AQ633" s="109"/>
      <c r="AR633" s="109"/>
      <c r="AS633" s="109"/>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row>
    <row r="634" spans="1:77">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c r="AA634" s="109"/>
      <c r="AB634" s="109"/>
      <c r="AC634" s="109"/>
      <c r="AD634" s="109"/>
      <c r="AE634" s="109"/>
      <c r="AF634" s="109"/>
      <c r="AG634" s="109"/>
      <c r="AH634" s="109"/>
      <c r="AI634" s="109"/>
      <c r="AJ634" s="109"/>
      <c r="AK634" s="109"/>
      <c r="AL634" s="109"/>
      <c r="AM634" s="109"/>
      <c r="AN634" s="109"/>
      <c r="AO634" s="109"/>
      <c r="AP634" s="109"/>
      <c r="AQ634" s="109"/>
      <c r="AR634" s="109"/>
      <c r="AS634" s="109"/>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row>
    <row r="635" spans="1:77">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c r="AA635" s="109"/>
      <c r="AB635" s="109"/>
      <c r="AC635" s="109"/>
      <c r="AD635" s="109"/>
      <c r="AE635" s="109"/>
      <c r="AF635" s="109"/>
      <c r="AG635" s="109"/>
      <c r="AH635" s="109"/>
      <c r="AI635" s="109"/>
      <c r="AJ635" s="109"/>
      <c r="AK635" s="109"/>
      <c r="AL635" s="109"/>
      <c r="AM635" s="109"/>
      <c r="AN635" s="109"/>
      <c r="AO635" s="109"/>
      <c r="AP635" s="109"/>
      <c r="AQ635" s="109"/>
      <c r="AR635" s="109"/>
      <c r="AS635" s="109"/>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row>
    <row r="636" spans="1:77">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c r="AA636" s="109"/>
      <c r="AB636" s="109"/>
      <c r="AC636" s="109"/>
      <c r="AD636" s="109"/>
      <c r="AE636" s="109"/>
      <c r="AF636" s="109"/>
      <c r="AG636" s="109"/>
      <c r="AH636" s="109"/>
      <c r="AI636" s="109"/>
      <c r="AJ636" s="109"/>
      <c r="AK636" s="109"/>
      <c r="AL636" s="109"/>
      <c r="AM636" s="109"/>
      <c r="AN636" s="109"/>
      <c r="AO636" s="109"/>
      <c r="AP636" s="109"/>
      <c r="AQ636" s="109"/>
      <c r="AR636" s="109"/>
      <c r="AS636" s="109"/>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row>
    <row r="637" spans="1:77">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c r="AA637" s="109"/>
      <c r="AB637" s="109"/>
      <c r="AC637" s="109"/>
      <c r="AD637" s="109"/>
      <c r="AE637" s="109"/>
      <c r="AF637" s="109"/>
      <c r="AG637" s="109"/>
      <c r="AH637" s="109"/>
      <c r="AI637" s="109"/>
      <c r="AJ637" s="109"/>
      <c r="AK637" s="109"/>
      <c r="AL637" s="109"/>
      <c r="AM637" s="109"/>
      <c r="AN637" s="109"/>
      <c r="AO637" s="109"/>
      <c r="AP637" s="109"/>
      <c r="AQ637" s="109"/>
      <c r="AR637" s="109"/>
      <c r="AS637" s="109"/>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row>
    <row r="638" spans="1:77">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c r="AA638" s="109"/>
      <c r="AB638" s="109"/>
      <c r="AC638" s="109"/>
      <c r="AD638" s="109"/>
      <c r="AE638" s="109"/>
      <c r="AF638" s="109"/>
      <c r="AG638" s="109"/>
      <c r="AH638" s="109"/>
      <c r="AI638" s="109"/>
      <c r="AJ638" s="109"/>
      <c r="AK638" s="109"/>
      <c r="AL638" s="109"/>
      <c r="AM638" s="109"/>
      <c r="AN638" s="109"/>
      <c r="AO638" s="109"/>
      <c r="AP638" s="109"/>
      <c r="AQ638" s="109"/>
      <c r="AR638" s="109"/>
      <c r="AS638" s="109"/>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row>
    <row r="639" spans="1:77">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c r="AA639" s="109"/>
      <c r="AB639" s="109"/>
      <c r="AC639" s="109"/>
      <c r="AD639" s="109"/>
      <c r="AE639" s="109"/>
      <c r="AF639" s="109"/>
      <c r="AG639" s="109"/>
      <c r="AH639" s="109"/>
      <c r="AI639" s="109"/>
      <c r="AJ639" s="109"/>
      <c r="AK639" s="109"/>
      <c r="AL639" s="109"/>
      <c r="AM639" s="109"/>
      <c r="AN639" s="109"/>
      <c r="AO639" s="109"/>
      <c r="AP639" s="109"/>
      <c r="AQ639" s="109"/>
      <c r="AR639" s="109"/>
      <c r="AS639" s="109"/>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row>
    <row r="640" spans="1:77">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c r="AA640" s="109"/>
      <c r="AB640" s="109"/>
      <c r="AC640" s="109"/>
      <c r="AD640" s="109"/>
      <c r="AE640" s="109"/>
      <c r="AF640" s="109"/>
      <c r="AG640" s="109"/>
      <c r="AH640" s="109"/>
      <c r="AI640" s="109"/>
      <c r="AJ640" s="109"/>
      <c r="AK640" s="109"/>
      <c r="AL640" s="109"/>
      <c r="AM640" s="109"/>
      <c r="AN640" s="109"/>
      <c r="AO640" s="109"/>
      <c r="AP640" s="109"/>
      <c r="AQ640" s="109"/>
      <c r="AR640" s="109"/>
      <c r="AS640" s="109"/>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row>
    <row r="641" spans="1:77">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c r="AA641" s="109"/>
      <c r="AB641" s="109"/>
      <c r="AC641" s="109"/>
      <c r="AD641" s="109"/>
      <c r="AE641" s="109"/>
      <c r="AF641" s="109"/>
      <c r="AG641" s="109"/>
      <c r="AH641" s="109"/>
      <c r="AI641" s="109"/>
      <c r="AJ641" s="109"/>
      <c r="AK641" s="109"/>
      <c r="AL641" s="109"/>
      <c r="AM641" s="109"/>
      <c r="AN641" s="109"/>
      <c r="AO641" s="109"/>
      <c r="AP641" s="109"/>
      <c r="AQ641" s="109"/>
      <c r="AR641" s="109"/>
      <c r="AS641" s="109"/>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row>
    <row r="642" spans="1:77">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c r="AA642" s="109"/>
      <c r="AB642" s="109"/>
      <c r="AC642" s="109"/>
      <c r="AD642" s="109"/>
      <c r="AE642" s="109"/>
      <c r="AF642" s="109"/>
      <c r="AG642" s="109"/>
      <c r="AH642" s="109"/>
      <c r="AI642" s="109"/>
      <c r="AJ642" s="109"/>
      <c r="AK642" s="109"/>
      <c r="AL642" s="109"/>
      <c r="AM642" s="109"/>
      <c r="AN642" s="109"/>
      <c r="AO642" s="109"/>
      <c r="AP642" s="109"/>
      <c r="AQ642" s="109"/>
      <c r="AR642" s="109"/>
      <c r="AS642" s="109"/>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row>
    <row r="643" spans="1:77">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c r="AA643" s="109"/>
      <c r="AB643" s="109"/>
      <c r="AC643" s="109"/>
      <c r="AD643" s="109"/>
      <c r="AE643" s="109"/>
      <c r="AF643" s="109"/>
      <c r="AG643" s="109"/>
      <c r="AH643" s="109"/>
      <c r="AI643" s="109"/>
      <c r="AJ643" s="109"/>
      <c r="AK643" s="109"/>
      <c r="AL643" s="109"/>
      <c r="AM643" s="109"/>
      <c r="AN643" s="109"/>
      <c r="AO643" s="109"/>
      <c r="AP643" s="109"/>
      <c r="AQ643" s="109"/>
      <c r="AR643" s="109"/>
      <c r="AS643" s="109"/>
      <c r="AT643" s="108"/>
      <c r="AU643" s="108"/>
      <c r="AV643" s="108"/>
      <c r="AW643" s="108"/>
      <c r="AX643" s="108"/>
      <c r="AY643" s="108"/>
      <c r="AZ643" s="108"/>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row>
    <row r="644" spans="1:77">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c r="AA644" s="109"/>
      <c r="AB644" s="109"/>
      <c r="AC644" s="109"/>
      <c r="AD644" s="109"/>
      <c r="AE644" s="109"/>
      <c r="AF644" s="109"/>
      <c r="AG644" s="109"/>
      <c r="AH644" s="109"/>
      <c r="AI644" s="109"/>
      <c r="AJ644" s="109"/>
      <c r="AK644" s="109"/>
      <c r="AL644" s="109"/>
      <c r="AM644" s="109"/>
      <c r="AN644" s="109"/>
      <c r="AO644" s="109"/>
      <c r="AP644" s="109"/>
      <c r="AQ644" s="109"/>
      <c r="AR644" s="109"/>
      <c r="AS644" s="109"/>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row>
    <row r="645" spans="1:77">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c r="AA645" s="109"/>
      <c r="AB645" s="109"/>
      <c r="AC645" s="109"/>
      <c r="AD645" s="109"/>
      <c r="AE645" s="109"/>
      <c r="AF645" s="109"/>
      <c r="AG645" s="109"/>
      <c r="AH645" s="109"/>
      <c r="AI645" s="109"/>
      <c r="AJ645" s="109"/>
      <c r="AK645" s="109"/>
      <c r="AL645" s="109"/>
      <c r="AM645" s="109"/>
      <c r="AN645" s="109"/>
      <c r="AO645" s="109"/>
      <c r="AP645" s="109"/>
      <c r="AQ645" s="109"/>
      <c r="AR645" s="109"/>
      <c r="AS645" s="109"/>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row>
    <row r="646" spans="1:77">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c r="AA646" s="109"/>
      <c r="AB646" s="109"/>
      <c r="AC646" s="109"/>
      <c r="AD646" s="109"/>
      <c r="AE646" s="109"/>
      <c r="AF646" s="109"/>
      <c r="AG646" s="109"/>
      <c r="AH646" s="109"/>
      <c r="AI646" s="109"/>
      <c r="AJ646" s="109"/>
      <c r="AK646" s="109"/>
      <c r="AL646" s="109"/>
      <c r="AM646" s="109"/>
      <c r="AN646" s="109"/>
      <c r="AO646" s="109"/>
      <c r="AP646" s="109"/>
      <c r="AQ646" s="109"/>
      <c r="AR646" s="109"/>
      <c r="AS646" s="109"/>
      <c r="AT646" s="108"/>
      <c r="AU646" s="108"/>
      <c r="AV646" s="108"/>
      <c r="AW646" s="108"/>
      <c r="AX646" s="108"/>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row>
    <row r="647" spans="1:77">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c r="AA647" s="109"/>
      <c r="AB647" s="109"/>
      <c r="AC647" s="109"/>
      <c r="AD647" s="109"/>
      <c r="AE647" s="109"/>
      <c r="AF647" s="109"/>
      <c r="AG647" s="109"/>
      <c r="AH647" s="109"/>
      <c r="AI647" s="109"/>
      <c r="AJ647" s="109"/>
      <c r="AK647" s="109"/>
      <c r="AL647" s="109"/>
      <c r="AM647" s="109"/>
      <c r="AN647" s="109"/>
      <c r="AO647" s="109"/>
      <c r="AP647" s="109"/>
      <c r="AQ647" s="109"/>
      <c r="AR647" s="109"/>
      <c r="AS647" s="109"/>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row>
    <row r="648" spans="1:77">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c r="AA648" s="109"/>
      <c r="AB648" s="109"/>
      <c r="AC648" s="109"/>
      <c r="AD648" s="109"/>
      <c r="AE648" s="109"/>
      <c r="AF648" s="109"/>
      <c r="AG648" s="109"/>
      <c r="AH648" s="109"/>
      <c r="AI648" s="109"/>
      <c r="AJ648" s="109"/>
      <c r="AK648" s="109"/>
      <c r="AL648" s="109"/>
      <c r="AM648" s="109"/>
      <c r="AN648" s="109"/>
      <c r="AO648" s="109"/>
      <c r="AP648" s="109"/>
      <c r="AQ648" s="109"/>
      <c r="AR648" s="109"/>
      <c r="AS648" s="109"/>
      <c r="AT648" s="108"/>
      <c r="AU648" s="108"/>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row>
    <row r="649" spans="1:77">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c r="AB649" s="109"/>
      <c r="AC649" s="109"/>
      <c r="AD649" s="109"/>
      <c r="AE649" s="109"/>
      <c r="AF649" s="109"/>
      <c r="AG649" s="109"/>
      <c r="AH649" s="109"/>
      <c r="AI649" s="109"/>
      <c r="AJ649" s="109"/>
      <c r="AK649" s="109"/>
      <c r="AL649" s="109"/>
      <c r="AM649" s="109"/>
      <c r="AN649" s="109"/>
      <c r="AO649" s="109"/>
      <c r="AP649" s="109"/>
      <c r="AQ649" s="109"/>
      <c r="AR649" s="109"/>
      <c r="AS649" s="109"/>
      <c r="AT649" s="108"/>
      <c r="AU649" s="108"/>
      <c r="AV649" s="108"/>
      <c r="AW649" s="108"/>
      <c r="AX649" s="108"/>
      <c r="AY649" s="108"/>
      <c r="AZ649" s="108"/>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row>
    <row r="650" spans="1:77">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09"/>
      <c r="AB650" s="109"/>
      <c r="AC650" s="109"/>
      <c r="AD650" s="109"/>
      <c r="AE650" s="109"/>
      <c r="AF650" s="109"/>
      <c r="AG650" s="109"/>
      <c r="AH650" s="109"/>
      <c r="AI650" s="109"/>
      <c r="AJ650" s="109"/>
      <c r="AK650" s="109"/>
      <c r="AL650" s="109"/>
      <c r="AM650" s="109"/>
      <c r="AN650" s="109"/>
      <c r="AO650" s="109"/>
      <c r="AP650" s="109"/>
      <c r="AQ650" s="109"/>
      <c r="AR650" s="109"/>
      <c r="AS650" s="109"/>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row>
    <row r="651" spans="1:77">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09"/>
      <c r="AB651" s="109"/>
      <c r="AC651" s="109"/>
      <c r="AD651" s="109"/>
      <c r="AE651" s="109"/>
      <c r="AF651" s="109"/>
      <c r="AG651" s="109"/>
      <c r="AH651" s="109"/>
      <c r="AI651" s="109"/>
      <c r="AJ651" s="109"/>
      <c r="AK651" s="109"/>
      <c r="AL651" s="109"/>
      <c r="AM651" s="109"/>
      <c r="AN651" s="109"/>
      <c r="AO651" s="109"/>
      <c r="AP651" s="109"/>
      <c r="AQ651" s="109"/>
      <c r="AR651" s="109"/>
      <c r="AS651" s="109"/>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row>
    <row r="652" spans="1:77">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09"/>
      <c r="AB652" s="109"/>
      <c r="AC652" s="109"/>
      <c r="AD652" s="109"/>
      <c r="AE652" s="109"/>
      <c r="AF652" s="109"/>
      <c r="AG652" s="109"/>
      <c r="AH652" s="109"/>
      <c r="AI652" s="109"/>
      <c r="AJ652" s="109"/>
      <c r="AK652" s="109"/>
      <c r="AL652" s="109"/>
      <c r="AM652" s="109"/>
      <c r="AN652" s="109"/>
      <c r="AO652" s="109"/>
      <c r="AP652" s="109"/>
      <c r="AQ652" s="109"/>
      <c r="AR652" s="109"/>
      <c r="AS652" s="109"/>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row>
    <row r="653" spans="1:77">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09"/>
      <c r="AB653" s="109"/>
      <c r="AC653" s="109"/>
      <c r="AD653" s="109"/>
      <c r="AE653" s="109"/>
      <c r="AF653" s="109"/>
      <c r="AG653" s="109"/>
      <c r="AH653" s="109"/>
      <c r="AI653" s="109"/>
      <c r="AJ653" s="109"/>
      <c r="AK653" s="109"/>
      <c r="AL653" s="109"/>
      <c r="AM653" s="109"/>
      <c r="AN653" s="109"/>
      <c r="AO653" s="109"/>
      <c r="AP653" s="109"/>
      <c r="AQ653" s="109"/>
      <c r="AR653" s="109"/>
      <c r="AS653" s="109"/>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row>
    <row r="654" spans="1:77">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09"/>
      <c r="AB654" s="109"/>
      <c r="AC654" s="109"/>
      <c r="AD654" s="109"/>
      <c r="AE654" s="109"/>
      <c r="AF654" s="109"/>
      <c r="AG654" s="109"/>
      <c r="AH654" s="109"/>
      <c r="AI654" s="109"/>
      <c r="AJ654" s="109"/>
      <c r="AK654" s="109"/>
      <c r="AL654" s="109"/>
      <c r="AM654" s="109"/>
      <c r="AN654" s="109"/>
      <c r="AO654" s="109"/>
      <c r="AP654" s="109"/>
      <c r="AQ654" s="109"/>
      <c r="AR654" s="109"/>
      <c r="AS654" s="109"/>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row>
    <row r="655" spans="1:77">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09"/>
      <c r="AB655" s="109"/>
      <c r="AC655" s="109"/>
      <c r="AD655" s="109"/>
      <c r="AE655" s="109"/>
      <c r="AF655" s="109"/>
      <c r="AG655" s="109"/>
      <c r="AH655" s="109"/>
      <c r="AI655" s="109"/>
      <c r="AJ655" s="109"/>
      <c r="AK655" s="109"/>
      <c r="AL655" s="109"/>
      <c r="AM655" s="109"/>
      <c r="AN655" s="109"/>
      <c r="AO655" s="109"/>
      <c r="AP655" s="109"/>
      <c r="AQ655" s="109"/>
      <c r="AR655" s="109"/>
      <c r="AS655" s="109"/>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row>
    <row r="656" spans="1:77">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09"/>
      <c r="AB656" s="109"/>
      <c r="AC656" s="109"/>
      <c r="AD656" s="109"/>
      <c r="AE656" s="109"/>
      <c r="AF656" s="109"/>
      <c r="AG656" s="109"/>
      <c r="AH656" s="109"/>
      <c r="AI656" s="109"/>
      <c r="AJ656" s="109"/>
      <c r="AK656" s="109"/>
      <c r="AL656" s="109"/>
      <c r="AM656" s="109"/>
      <c r="AN656" s="109"/>
      <c r="AO656" s="109"/>
      <c r="AP656" s="109"/>
      <c r="AQ656" s="109"/>
      <c r="AR656" s="109"/>
      <c r="AS656" s="109"/>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row>
    <row r="657" spans="1:77">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09"/>
      <c r="AB657" s="109"/>
      <c r="AC657" s="109"/>
      <c r="AD657" s="109"/>
      <c r="AE657" s="109"/>
      <c r="AF657" s="109"/>
      <c r="AG657" s="109"/>
      <c r="AH657" s="109"/>
      <c r="AI657" s="109"/>
      <c r="AJ657" s="109"/>
      <c r="AK657" s="109"/>
      <c r="AL657" s="109"/>
      <c r="AM657" s="109"/>
      <c r="AN657" s="109"/>
      <c r="AO657" s="109"/>
      <c r="AP657" s="109"/>
      <c r="AQ657" s="109"/>
      <c r="AR657" s="109"/>
      <c r="AS657" s="109"/>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row>
    <row r="658" spans="1:77">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09"/>
      <c r="AB658" s="109"/>
      <c r="AC658" s="109"/>
      <c r="AD658" s="109"/>
      <c r="AE658" s="109"/>
      <c r="AF658" s="109"/>
      <c r="AG658" s="109"/>
      <c r="AH658" s="109"/>
      <c r="AI658" s="109"/>
      <c r="AJ658" s="109"/>
      <c r="AK658" s="109"/>
      <c r="AL658" s="109"/>
      <c r="AM658" s="109"/>
      <c r="AN658" s="109"/>
      <c r="AO658" s="109"/>
      <c r="AP658" s="109"/>
      <c r="AQ658" s="109"/>
      <c r="AR658" s="109"/>
      <c r="AS658" s="109"/>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row>
    <row r="659" spans="1:77">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09"/>
      <c r="AB659" s="109"/>
      <c r="AC659" s="109"/>
      <c r="AD659" s="109"/>
      <c r="AE659" s="109"/>
      <c r="AF659" s="109"/>
      <c r="AG659" s="109"/>
      <c r="AH659" s="109"/>
      <c r="AI659" s="109"/>
      <c r="AJ659" s="109"/>
      <c r="AK659" s="109"/>
      <c r="AL659" s="109"/>
      <c r="AM659" s="109"/>
      <c r="AN659" s="109"/>
      <c r="AO659" s="109"/>
      <c r="AP659" s="109"/>
      <c r="AQ659" s="109"/>
      <c r="AR659" s="109"/>
      <c r="AS659" s="109"/>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row>
    <row r="660" spans="1:77">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c r="AA660" s="109"/>
      <c r="AB660" s="109"/>
      <c r="AC660" s="109"/>
      <c r="AD660" s="109"/>
      <c r="AE660" s="109"/>
      <c r="AF660" s="109"/>
      <c r="AG660" s="109"/>
      <c r="AH660" s="109"/>
      <c r="AI660" s="109"/>
      <c r="AJ660" s="109"/>
      <c r="AK660" s="109"/>
      <c r="AL660" s="109"/>
      <c r="AM660" s="109"/>
      <c r="AN660" s="109"/>
      <c r="AO660" s="109"/>
      <c r="AP660" s="109"/>
      <c r="AQ660" s="109"/>
      <c r="AR660" s="109"/>
      <c r="AS660" s="109"/>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row>
    <row r="661" spans="1:77">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c r="AB661" s="109"/>
      <c r="AC661" s="109"/>
      <c r="AD661" s="109"/>
      <c r="AE661" s="109"/>
      <c r="AF661" s="109"/>
      <c r="AG661" s="109"/>
      <c r="AH661" s="109"/>
      <c r="AI661" s="109"/>
      <c r="AJ661" s="109"/>
      <c r="AK661" s="109"/>
      <c r="AL661" s="109"/>
      <c r="AM661" s="109"/>
      <c r="AN661" s="109"/>
      <c r="AO661" s="109"/>
      <c r="AP661" s="109"/>
      <c r="AQ661" s="109"/>
      <c r="AR661" s="109"/>
      <c r="AS661" s="109"/>
      <c r="AT661" s="108"/>
      <c r="AU661" s="108"/>
      <c r="AV661" s="108"/>
      <c r="AW661" s="108"/>
      <c r="AX661" s="108"/>
      <c r="AY661" s="108"/>
      <c r="AZ661" s="108"/>
      <c r="BA661" s="108"/>
      <c r="BB661" s="108"/>
      <c r="BC661" s="108"/>
      <c r="BD661" s="108"/>
      <c r="BE661" s="108"/>
      <c r="BF661" s="108"/>
      <c r="BG661" s="108"/>
      <c r="BH661" s="108"/>
      <c r="BI661" s="108"/>
      <c r="BJ661" s="108"/>
      <c r="BK661" s="108"/>
      <c r="BL661" s="108"/>
      <c r="BM661" s="108"/>
      <c r="BN661" s="108"/>
      <c r="BO661" s="108"/>
      <c r="BP661" s="108"/>
      <c r="BQ661" s="108"/>
      <c r="BR661" s="108"/>
      <c r="BS661" s="108"/>
      <c r="BT661" s="108"/>
      <c r="BU661" s="108"/>
      <c r="BV661" s="108"/>
      <c r="BW661" s="108"/>
      <c r="BX661" s="108"/>
      <c r="BY661" s="108"/>
    </row>
    <row r="662" spans="1:77">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c r="AA662" s="109"/>
      <c r="AB662" s="109"/>
      <c r="AC662" s="109"/>
      <c r="AD662" s="109"/>
      <c r="AE662" s="109"/>
      <c r="AF662" s="109"/>
      <c r="AG662" s="109"/>
      <c r="AH662" s="109"/>
      <c r="AI662" s="109"/>
      <c r="AJ662" s="109"/>
      <c r="AK662" s="109"/>
      <c r="AL662" s="109"/>
      <c r="AM662" s="109"/>
      <c r="AN662" s="109"/>
      <c r="AO662" s="109"/>
      <c r="AP662" s="109"/>
      <c r="AQ662" s="109"/>
      <c r="AR662" s="109"/>
      <c r="AS662" s="109"/>
      <c r="AT662" s="108"/>
      <c r="AU662" s="108"/>
      <c r="AV662" s="108"/>
      <c r="AW662" s="108"/>
      <c r="AX662" s="108"/>
      <c r="AY662" s="108"/>
      <c r="AZ662" s="108"/>
      <c r="BA662" s="108"/>
      <c r="BB662" s="108"/>
      <c r="BC662" s="108"/>
      <c r="BD662" s="108"/>
      <c r="BE662" s="108"/>
      <c r="BF662" s="108"/>
      <c r="BG662" s="108"/>
      <c r="BH662" s="108"/>
      <c r="BI662" s="108"/>
      <c r="BJ662" s="108"/>
      <c r="BK662" s="108"/>
      <c r="BL662" s="108"/>
      <c r="BM662" s="108"/>
      <c r="BN662" s="108"/>
      <c r="BO662" s="108"/>
      <c r="BP662" s="108"/>
      <c r="BQ662" s="108"/>
      <c r="BR662" s="108"/>
      <c r="BS662" s="108"/>
      <c r="BT662" s="108"/>
      <c r="BU662" s="108"/>
      <c r="BV662" s="108"/>
      <c r="BW662" s="108"/>
      <c r="BX662" s="108"/>
      <c r="BY662" s="108"/>
    </row>
    <row r="663" spans="1:77">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c r="AA663" s="109"/>
      <c r="AB663" s="109"/>
      <c r="AC663" s="109"/>
      <c r="AD663" s="109"/>
      <c r="AE663" s="109"/>
      <c r="AF663" s="109"/>
      <c r="AG663" s="109"/>
      <c r="AH663" s="109"/>
      <c r="AI663" s="109"/>
      <c r="AJ663" s="109"/>
      <c r="AK663" s="109"/>
      <c r="AL663" s="109"/>
      <c r="AM663" s="109"/>
      <c r="AN663" s="109"/>
      <c r="AO663" s="109"/>
      <c r="AP663" s="109"/>
      <c r="AQ663" s="109"/>
      <c r="AR663" s="109"/>
      <c r="AS663" s="109"/>
      <c r="AT663" s="108"/>
      <c r="AU663" s="108"/>
      <c r="AV663" s="108"/>
      <c r="AW663" s="108"/>
      <c r="AX663" s="108"/>
      <c r="AY663" s="108"/>
      <c r="AZ663" s="108"/>
      <c r="BA663" s="108"/>
      <c r="BB663" s="108"/>
      <c r="BC663" s="108"/>
      <c r="BD663" s="108"/>
      <c r="BE663" s="108"/>
      <c r="BF663" s="108"/>
      <c r="BG663" s="108"/>
      <c r="BH663" s="108"/>
      <c r="BI663" s="108"/>
      <c r="BJ663" s="108"/>
      <c r="BK663" s="108"/>
      <c r="BL663" s="108"/>
      <c r="BM663" s="108"/>
      <c r="BN663" s="108"/>
      <c r="BO663" s="108"/>
      <c r="BP663" s="108"/>
      <c r="BQ663" s="108"/>
      <c r="BR663" s="108"/>
      <c r="BS663" s="108"/>
      <c r="BT663" s="108"/>
      <c r="BU663" s="108"/>
      <c r="BV663" s="108"/>
      <c r="BW663" s="108"/>
      <c r="BX663" s="108"/>
      <c r="BY663" s="108"/>
    </row>
    <row r="664" spans="1:77">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c r="AA664" s="109"/>
      <c r="AB664" s="109"/>
      <c r="AC664" s="109"/>
      <c r="AD664" s="109"/>
      <c r="AE664" s="109"/>
      <c r="AF664" s="109"/>
      <c r="AG664" s="109"/>
      <c r="AH664" s="109"/>
      <c r="AI664" s="109"/>
      <c r="AJ664" s="109"/>
      <c r="AK664" s="109"/>
      <c r="AL664" s="109"/>
      <c r="AM664" s="109"/>
      <c r="AN664" s="109"/>
      <c r="AO664" s="109"/>
      <c r="AP664" s="109"/>
      <c r="AQ664" s="109"/>
      <c r="AR664" s="109"/>
      <c r="AS664" s="109"/>
      <c r="AT664" s="108"/>
      <c r="AU664" s="108"/>
      <c r="AV664" s="108"/>
      <c r="AW664" s="108"/>
      <c r="AX664" s="108"/>
      <c r="AY664" s="108"/>
      <c r="AZ664" s="108"/>
      <c r="BA664" s="108"/>
      <c r="BB664" s="108"/>
      <c r="BC664" s="108"/>
      <c r="BD664" s="108"/>
      <c r="BE664" s="108"/>
      <c r="BF664" s="108"/>
      <c r="BG664" s="108"/>
      <c r="BH664" s="108"/>
      <c r="BI664" s="108"/>
      <c r="BJ664" s="108"/>
      <c r="BK664" s="108"/>
      <c r="BL664" s="108"/>
      <c r="BM664" s="108"/>
      <c r="BN664" s="108"/>
      <c r="BO664" s="108"/>
      <c r="BP664" s="108"/>
      <c r="BQ664" s="108"/>
      <c r="BR664" s="108"/>
      <c r="BS664" s="108"/>
      <c r="BT664" s="108"/>
      <c r="BU664" s="108"/>
      <c r="BV664" s="108"/>
      <c r="BW664" s="108"/>
      <c r="BX664" s="108"/>
      <c r="BY664" s="108"/>
    </row>
    <row r="665" spans="1:77">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c r="AA665" s="109"/>
      <c r="AB665" s="109"/>
      <c r="AC665" s="109"/>
      <c r="AD665" s="109"/>
      <c r="AE665" s="109"/>
      <c r="AF665" s="109"/>
      <c r="AG665" s="109"/>
      <c r="AH665" s="109"/>
      <c r="AI665" s="109"/>
      <c r="AJ665" s="109"/>
      <c r="AK665" s="109"/>
      <c r="AL665" s="109"/>
      <c r="AM665" s="109"/>
      <c r="AN665" s="109"/>
      <c r="AO665" s="109"/>
      <c r="AP665" s="109"/>
      <c r="AQ665" s="109"/>
      <c r="AR665" s="109"/>
      <c r="AS665" s="109"/>
      <c r="AT665" s="108"/>
      <c r="AU665" s="108"/>
      <c r="AV665" s="108"/>
      <c r="AW665" s="108"/>
      <c r="AX665" s="108"/>
      <c r="AY665" s="108"/>
      <c r="AZ665" s="108"/>
      <c r="BA665" s="108"/>
      <c r="BB665" s="108"/>
      <c r="BC665" s="108"/>
      <c r="BD665" s="108"/>
      <c r="BE665" s="108"/>
      <c r="BF665" s="108"/>
      <c r="BG665" s="108"/>
      <c r="BH665" s="108"/>
      <c r="BI665" s="108"/>
      <c r="BJ665" s="108"/>
      <c r="BK665" s="108"/>
      <c r="BL665" s="108"/>
      <c r="BM665" s="108"/>
      <c r="BN665" s="108"/>
      <c r="BO665" s="108"/>
      <c r="BP665" s="108"/>
      <c r="BQ665" s="108"/>
      <c r="BR665" s="108"/>
      <c r="BS665" s="108"/>
      <c r="BT665" s="108"/>
      <c r="BU665" s="108"/>
      <c r="BV665" s="108"/>
      <c r="BW665" s="108"/>
      <c r="BX665" s="108"/>
      <c r="BY665" s="108"/>
    </row>
    <row r="666" spans="1:77">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c r="AB666" s="109"/>
      <c r="AC666" s="109"/>
      <c r="AD666" s="109"/>
      <c r="AE666" s="109"/>
      <c r="AF666" s="109"/>
      <c r="AG666" s="109"/>
      <c r="AH666" s="109"/>
      <c r="AI666" s="109"/>
      <c r="AJ666" s="109"/>
      <c r="AK666" s="109"/>
      <c r="AL666" s="109"/>
      <c r="AM666" s="109"/>
      <c r="AN666" s="109"/>
      <c r="AO666" s="109"/>
      <c r="AP666" s="109"/>
      <c r="AQ666" s="109"/>
      <c r="AR666" s="109"/>
      <c r="AS666" s="109"/>
      <c r="AT666" s="108"/>
      <c r="AU666" s="108"/>
      <c r="AV666" s="108"/>
      <c r="AW666" s="108"/>
      <c r="AX666" s="108"/>
      <c r="AY666" s="108"/>
      <c r="AZ666" s="108"/>
      <c r="BA666" s="108"/>
      <c r="BB666" s="108"/>
      <c r="BC666" s="108"/>
      <c r="BD666" s="108"/>
      <c r="BE666" s="108"/>
      <c r="BF666" s="108"/>
      <c r="BG666" s="108"/>
      <c r="BH666" s="108"/>
      <c r="BI666" s="108"/>
      <c r="BJ666" s="108"/>
      <c r="BK666" s="108"/>
      <c r="BL666" s="108"/>
      <c r="BM666" s="108"/>
      <c r="BN666" s="108"/>
      <c r="BO666" s="108"/>
      <c r="BP666" s="108"/>
      <c r="BQ666" s="108"/>
      <c r="BR666" s="108"/>
      <c r="BS666" s="108"/>
      <c r="BT666" s="108"/>
      <c r="BU666" s="108"/>
      <c r="BV666" s="108"/>
      <c r="BW666" s="108"/>
      <c r="BX666" s="108"/>
      <c r="BY666" s="108"/>
    </row>
    <row r="667" spans="1:77">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c r="AA667" s="109"/>
      <c r="AB667" s="109"/>
      <c r="AC667" s="109"/>
      <c r="AD667" s="109"/>
      <c r="AE667" s="109"/>
      <c r="AF667" s="109"/>
      <c r="AG667" s="109"/>
      <c r="AH667" s="109"/>
      <c r="AI667" s="109"/>
      <c r="AJ667" s="109"/>
      <c r="AK667" s="109"/>
      <c r="AL667" s="109"/>
      <c r="AM667" s="109"/>
      <c r="AN667" s="109"/>
      <c r="AO667" s="109"/>
      <c r="AP667" s="109"/>
      <c r="AQ667" s="109"/>
      <c r="AR667" s="109"/>
      <c r="AS667" s="109"/>
      <c r="AT667" s="108"/>
      <c r="AU667" s="108"/>
      <c r="AV667" s="108"/>
      <c r="AW667" s="108"/>
      <c r="AX667" s="108"/>
      <c r="AY667" s="108"/>
      <c r="AZ667" s="108"/>
      <c r="BA667" s="108"/>
      <c r="BB667" s="108"/>
      <c r="BC667" s="108"/>
      <c r="BD667" s="108"/>
      <c r="BE667" s="108"/>
      <c r="BF667" s="108"/>
      <c r="BG667" s="108"/>
      <c r="BH667" s="108"/>
      <c r="BI667" s="108"/>
      <c r="BJ667" s="108"/>
      <c r="BK667" s="108"/>
      <c r="BL667" s="108"/>
      <c r="BM667" s="108"/>
      <c r="BN667" s="108"/>
      <c r="BO667" s="108"/>
      <c r="BP667" s="108"/>
      <c r="BQ667" s="108"/>
      <c r="BR667" s="108"/>
      <c r="BS667" s="108"/>
      <c r="BT667" s="108"/>
      <c r="BU667" s="108"/>
      <c r="BV667" s="108"/>
      <c r="BW667" s="108"/>
      <c r="BX667" s="108"/>
      <c r="BY667" s="108"/>
    </row>
    <row r="668" spans="1:77">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c r="AA668" s="109"/>
      <c r="AB668" s="109"/>
      <c r="AC668" s="109"/>
      <c r="AD668" s="109"/>
      <c r="AE668" s="109"/>
      <c r="AF668" s="109"/>
      <c r="AG668" s="109"/>
      <c r="AH668" s="109"/>
      <c r="AI668" s="109"/>
      <c r="AJ668" s="109"/>
      <c r="AK668" s="109"/>
      <c r="AL668" s="109"/>
      <c r="AM668" s="109"/>
      <c r="AN668" s="109"/>
      <c r="AO668" s="109"/>
      <c r="AP668" s="109"/>
      <c r="AQ668" s="109"/>
      <c r="AR668" s="109"/>
      <c r="AS668" s="109"/>
      <c r="AT668" s="108"/>
      <c r="AU668" s="108"/>
      <c r="AV668" s="108"/>
      <c r="AW668" s="108"/>
      <c r="AX668" s="108"/>
      <c r="AY668" s="108"/>
      <c r="AZ668" s="108"/>
      <c r="BA668" s="108"/>
      <c r="BB668" s="108"/>
      <c r="BC668" s="108"/>
      <c r="BD668" s="108"/>
      <c r="BE668" s="108"/>
      <c r="BF668" s="108"/>
      <c r="BG668" s="108"/>
      <c r="BH668" s="108"/>
      <c r="BI668" s="108"/>
      <c r="BJ668" s="108"/>
      <c r="BK668" s="108"/>
      <c r="BL668" s="108"/>
      <c r="BM668" s="108"/>
      <c r="BN668" s="108"/>
      <c r="BO668" s="108"/>
      <c r="BP668" s="108"/>
      <c r="BQ668" s="108"/>
      <c r="BR668" s="108"/>
      <c r="BS668" s="108"/>
      <c r="BT668" s="108"/>
      <c r="BU668" s="108"/>
      <c r="BV668" s="108"/>
      <c r="BW668" s="108"/>
      <c r="BX668" s="108"/>
      <c r="BY668" s="108"/>
    </row>
    <row r="669" spans="1:77">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c r="AA669" s="109"/>
      <c r="AB669" s="109"/>
      <c r="AC669" s="109"/>
      <c r="AD669" s="109"/>
      <c r="AE669" s="109"/>
      <c r="AF669" s="109"/>
      <c r="AG669" s="109"/>
      <c r="AH669" s="109"/>
      <c r="AI669" s="109"/>
      <c r="AJ669" s="109"/>
      <c r="AK669" s="109"/>
      <c r="AL669" s="109"/>
      <c r="AM669" s="109"/>
      <c r="AN669" s="109"/>
      <c r="AO669" s="109"/>
      <c r="AP669" s="109"/>
      <c r="AQ669" s="109"/>
      <c r="AR669" s="109"/>
      <c r="AS669" s="109"/>
      <c r="AT669" s="108"/>
      <c r="AU669" s="108"/>
      <c r="AV669" s="108"/>
      <c r="AW669" s="108"/>
      <c r="AX669" s="108"/>
      <c r="AY669" s="108"/>
      <c r="AZ669" s="108"/>
      <c r="BA669" s="108"/>
      <c r="BB669" s="108"/>
      <c r="BC669" s="108"/>
      <c r="BD669" s="108"/>
      <c r="BE669" s="108"/>
      <c r="BF669" s="108"/>
      <c r="BG669" s="108"/>
      <c r="BH669" s="108"/>
      <c r="BI669" s="108"/>
      <c r="BJ669" s="108"/>
      <c r="BK669" s="108"/>
      <c r="BL669" s="108"/>
      <c r="BM669" s="108"/>
      <c r="BN669" s="108"/>
      <c r="BO669" s="108"/>
      <c r="BP669" s="108"/>
      <c r="BQ669" s="108"/>
      <c r="BR669" s="108"/>
      <c r="BS669" s="108"/>
      <c r="BT669" s="108"/>
      <c r="BU669" s="108"/>
      <c r="BV669" s="108"/>
      <c r="BW669" s="108"/>
      <c r="BX669" s="108"/>
      <c r="BY669" s="108"/>
    </row>
    <row r="670" spans="1:77">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c r="AA670" s="109"/>
      <c r="AB670" s="109"/>
      <c r="AC670" s="109"/>
      <c r="AD670" s="109"/>
      <c r="AE670" s="109"/>
      <c r="AF670" s="109"/>
      <c r="AG670" s="109"/>
      <c r="AH670" s="109"/>
      <c r="AI670" s="109"/>
      <c r="AJ670" s="109"/>
      <c r="AK670" s="109"/>
      <c r="AL670" s="109"/>
      <c r="AM670" s="109"/>
      <c r="AN670" s="109"/>
      <c r="AO670" s="109"/>
      <c r="AP670" s="109"/>
      <c r="AQ670" s="109"/>
      <c r="AR670" s="109"/>
      <c r="AS670" s="109"/>
      <c r="AT670" s="108"/>
      <c r="AU670" s="108"/>
      <c r="AV670" s="108"/>
      <c r="AW670" s="108"/>
      <c r="AX670" s="108"/>
      <c r="AY670" s="108"/>
      <c r="AZ670" s="108"/>
      <c r="BA670" s="108"/>
      <c r="BB670" s="108"/>
      <c r="BC670" s="108"/>
      <c r="BD670" s="108"/>
      <c r="BE670" s="108"/>
      <c r="BF670" s="108"/>
      <c r="BG670" s="108"/>
      <c r="BH670" s="108"/>
      <c r="BI670" s="108"/>
      <c r="BJ670" s="108"/>
      <c r="BK670" s="108"/>
      <c r="BL670" s="108"/>
      <c r="BM670" s="108"/>
      <c r="BN670" s="108"/>
      <c r="BO670" s="108"/>
      <c r="BP670" s="108"/>
      <c r="BQ670" s="108"/>
      <c r="BR670" s="108"/>
      <c r="BS670" s="108"/>
      <c r="BT670" s="108"/>
      <c r="BU670" s="108"/>
      <c r="BV670" s="108"/>
      <c r="BW670" s="108"/>
      <c r="BX670" s="108"/>
      <c r="BY670" s="108"/>
    </row>
    <row r="671" spans="1:77">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c r="AB671" s="109"/>
      <c r="AC671" s="109"/>
      <c r="AD671" s="109"/>
      <c r="AE671" s="109"/>
      <c r="AF671" s="109"/>
      <c r="AG671" s="109"/>
      <c r="AH671" s="109"/>
      <c r="AI671" s="109"/>
      <c r="AJ671" s="109"/>
      <c r="AK671" s="109"/>
      <c r="AL671" s="109"/>
      <c r="AM671" s="109"/>
      <c r="AN671" s="109"/>
      <c r="AO671" s="109"/>
      <c r="AP671" s="109"/>
      <c r="AQ671" s="109"/>
      <c r="AR671" s="109"/>
      <c r="AS671" s="109"/>
      <c r="AT671" s="108"/>
      <c r="AU671" s="108"/>
      <c r="AV671" s="108"/>
      <c r="AW671" s="108"/>
      <c r="AX671" s="108"/>
      <c r="AY671" s="108"/>
      <c r="AZ671" s="108"/>
      <c r="BA671" s="108"/>
      <c r="BB671" s="108"/>
      <c r="BC671" s="108"/>
      <c r="BD671" s="108"/>
      <c r="BE671" s="108"/>
      <c r="BF671" s="108"/>
      <c r="BG671" s="108"/>
      <c r="BH671" s="108"/>
      <c r="BI671" s="108"/>
      <c r="BJ671" s="108"/>
      <c r="BK671" s="108"/>
      <c r="BL671" s="108"/>
      <c r="BM671" s="108"/>
      <c r="BN671" s="108"/>
      <c r="BO671" s="108"/>
      <c r="BP671" s="108"/>
      <c r="BQ671" s="108"/>
      <c r="BR671" s="108"/>
      <c r="BS671" s="108"/>
      <c r="BT671" s="108"/>
      <c r="BU671" s="108"/>
      <c r="BV671" s="108"/>
      <c r="BW671" s="108"/>
      <c r="BX671" s="108"/>
      <c r="BY671" s="108"/>
    </row>
    <row r="672" spans="1:77">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c r="AA672" s="109"/>
      <c r="AB672" s="109"/>
      <c r="AC672" s="109"/>
      <c r="AD672" s="109"/>
      <c r="AE672" s="109"/>
      <c r="AF672" s="109"/>
      <c r="AG672" s="109"/>
      <c r="AH672" s="109"/>
      <c r="AI672" s="109"/>
      <c r="AJ672" s="109"/>
      <c r="AK672" s="109"/>
      <c r="AL672" s="109"/>
      <c r="AM672" s="109"/>
      <c r="AN672" s="109"/>
      <c r="AO672" s="109"/>
      <c r="AP672" s="109"/>
      <c r="AQ672" s="109"/>
      <c r="AR672" s="109"/>
      <c r="AS672" s="109"/>
      <c r="AT672" s="108"/>
      <c r="AU672" s="108"/>
      <c r="AV672" s="108"/>
      <c r="AW672" s="108"/>
      <c r="AX672" s="108"/>
      <c r="AY672" s="108"/>
      <c r="AZ672" s="108"/>
      <c r="BA672" s="108"/>
      <c r="BB672" s="108"/>
      <c r="BC672" s="108"/>
      <c r="BD672" s="108"/>
      <c r="BE672" s="108"/>
      <c r="BF672" s="108"/>
      <c r="BG672" s="108"/>
      <c r="BH672" s="108"/>
      <c r="BI672" s="108"/>
      <c r="BJ672" s="108"/>
      <c r="BK672" s="108"/>
      <c r="BL672" s="108"/>
      <c r="BM672" s="108"/>
      <c r="BN672" s="108"/>
      <c r="BO672" s="108"/>
      <c r="BP672" s="108"/>
      <c r="BQ672" s="108"/>
      <c r="BR672" s="108"/>
      <c r="BS672" s="108"/>
      <c r="BT672" s="108"/>
      <c r="BU672" s="108"/>
      <c r="BV672" s="108"/>
      <c r="BW672" s="108"/>
      <c r="BX672" s="108"/>
      <c r="BY672" s="108"/>
    </row>
    <row r="673" spans="1:77">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c r="AA673" s="109"/>
      <c r="AB673" s="109"/>
      <c r="AC673" s="109"/>
      <c r="AD673" s="109"/>
      <c r="AE673" s="109"/>
      <c r="AF673" s="109"/>
      <c r="AG673" s="109"/>
      <c r="AH673" s="109"/>
      <c r="AI673" s="109"/>
      <c r="AJ673" s="109"/>
      <c r="AK673" s="109"/>
      <c r="AL673" s="109"/>
      <c r="AM673" s="109"/>
      <c r="AN673" s="109"/>
      <c r="AO673" s="109"/>
      <c r="AP673" s="109"/>
      <c r="AQ673" s="109"/>
      <c r="AR673" s="109"/>
      <c r="AS673" s="109"/>
      <c r="AT673" s="108"/>
      <c r="AU673" s="108"/>
      <c r="AV673" s="108"/>
      <c r="AW673" s="108"/>
      <c r="AX673" s="108"/>
      <c r="AY673" s="108"/>
      <c r="AZ673" s="108"/>
      <c r="BA673" s="108"/>
      <c r="BB673" s="108"/>
      <c r="BC673" s="108"/>
      <c r="BD673" s="108"/>
      <c r="BE673" s="108"/>
      <c r="BF673" s="108"/>
      <c r="BG673" s="108"/>
      <c r="BH673" s="108"/>
      <c r="BI673" s="108"/>
      <c r="BJ673" s="108"/>
      <c r="BK673" s="108"/>
      <c r="BL673" s="108"/>
      <c r="BM673" s="108"/>
      <c r="BN673" s="108"/>
      <c r="BO673" s="108"/>
      <c r="BP673" s="108"/>
      <c r="BQ673" s="108"/>
      <c r="BR673" s="108"/>
      <c r="BS673" s="108"/>
      <c r="BT673" s="108"/>
      <c r="BU673" s="108"/>
      <c r="BV673" s="108"/>
      <c r="BW673" s="108"/>
      <c r="BX673" s="108"/>
      <c r="BY673" s="108"/>
    </row>
    <row r="674" spans="1:77">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c r="AA674" s="109"/>
      <c r="AB674" s="109"/>
      <c r="AC674" s="109"/>
      <c r="AD674" s="109"/>
      <c r="AE674" s="109"/>
      <c r="AF674" s="109"/>
      <c r="AG674" s="109"/>
      <c r="AH674" s="109"/>
      <c r="AI674" s="109"/>
      <c r="AJ674" s="109"/>
      <c r="AK674" s="109"/>
      <c r="AL674" s="109"/>
      <c r="AM674" s="109"/>
      <c r="AN674" s="109"/>
      <c r="AO674" s="109"/>
      <c r="AP674" s="109"/>
      <c r="AQ674" s="109"/>
      <c r="AR674" s="109"/>
      <c r="AS674" s="109"/>
      <c r="AT674" s="108"/>
      <c r="AU674" s="108"/>
      <c r="AV674" s="108"/>
      <c r="AW674" s="108"/>
      <c r="AX674" s="108"/>
      <c r="AY674" s="108"/>
      <c r="AZ674" s="108"/>
      <c r="BA674" s="108"/>
      <c r="BB674" s="108"/>
      <c r="BC674" s="108"/>
      <c r="BD674" s="108"/>
      <c r="BE674" s="108"/>
      <c r="BF674" s="108"/>
      <c r="BG674" s="108"/>
      <c r="BH674" s="108"/>
      <c r="BI674" s="108"/>
      <c r="BJ674" s="108"/>
      <c r="BK674" s="108"/>
      <c r="BL674" s="108"/>
      <c r="BM674" s="108"/>
      <c r="BN674" s="108"/>
      <c r="BO674" s="108"/>
      <c r="BP674" s="108"/>
      <c r="BQ674" s="108"/>
      <c r="BR674" s="108"/>
      <c r="BS674" s="108"/>
      <c r="BT674" s="108"/>
      <c r="BU674" s="108"/>
      <c r="BV674" s="108"/>
      <c r="BW674" s="108"/>
      <c r="BX674" s="108"/>
      <c r="BY674" s="108"/>
    </row>
    <row r="675" spans="1:77">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c r="AA675" s="109"/>
      <c r="AB675" s="109"/>
      <c r="AC675" s="109"/>
      <c r="AD675" s="109"/>
      <c r="AE675" s="109"/>
      <c r="AF675" s="109"/>
      <c r="AG675" s="109"/>
      <c r="AH675" s="109"/>
      <c r="AI675" s="109"/>
      <c r="AJ675" s="109"/>
      <c r="AK675" s="109"/>
      <c r="AL675" s="109"/>
      <c r="AM675" s="109"/>
      <c r="AN675" s="109"/>
      <c r="AO675" s="109"/>
      <c r="AP675" s="109"/>
      <c r="AQ675" s="109"/>
      <c r="AR675" s="109"/>
      <c r="AS675" s="109"/>
      <c r="AT675" s="108"/>
      <c r="AU675" s="108"/>
      <c r="AV675" s="108"/>
      <c r="AW675" s="108"/>
      <c r="AX675" s="108"/>
      <c r="AY675" s="108"/>
      <c r="AZ675" s="108"/>
      <c r="BA675" s="108"/>
      <c r="BB675" s="108"/>
      <c r="BC675" s="108"/>
      <c r="BD675" s="108"/>
      <c r="BE675" s="108"/>
      <c r="BF675" s="108"/>
      <c r="BG675" s="108"/>
      <c r="BH675" s="108"/>
      <c r="BI675" s="108"/>
      <c r="BJ675" s="108"/>
      <c r="BK675" s="108"/>
      <c r="BL675" s="108"/>
      <c r="BM675" s="108"/>
      <c r="BN675" s="108"/>
      <c r="BO675" s="108"/>
      <c r="BP675" s="108"/>
      <c r="BQ675" s="108"/>
      <c r="BR675" s="108"/>
      <c r="BS675" s="108"/>
      <c r="BT675" s="108"/>
      <c r="BU675" s="108"/>
      <c r="BV675" s="108"/>
      <c r="BW675" s="108"/>
      <c r="BX675" s="108"/>
      <c r="BY675" s="108"/>
    </row>
    <row r="676" spans="1:77">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c r="AB676" s="109"/>
      <c r="AC676" s="109"/>
      <c r="AD676" s="109"/>
      <c r="AE676" s="109"/>
      <c r="AF676" s="109"/>
      <c r="AG676" s="109"/>
      <c r="AH676" s="109"/>
      <c r="AI676" s="109"/>
      <c r="AJ676" s="109"/>
      <c r="AK676" s="109"/>
      <c r="AL676" s="109"/>
      <c r="AM676" s="109"/>
      <c r="AN676" s="109"/>
      <c r="AO676" s="109"/>
      <c r="AP676" s="109"/>
      <c r="AQ676" s="109"/>
      <c r="AR676" s="109"/>
      <c r="AS676" s="109"/>
      <c r="AT676" s="108"/>
      <c r="AU676" s="108"/>
      <c r="AV676" s="108"/>
      <c r="AW676" s="108"/>
      <c r="AX676" s="108"/>
      <c r="AY676" s="108"/>
      <c r="AZ676" s="108"/>
      <c r="BA676" s="108"/>
      <c r="BB676" s="108"/>
      <c r="BC676" s="108"/>
      <c r="BD676" s="108"/>
      <c r="BE676" s="108"/>
      <c r="BF676" s="108"/>
      <c r="BG676" s="108"/>
      <c r="BH676" s="108"/>
      <c r="BI676" s="108"/>
      <c r="BJ676" s="108"/>
      <c r="BK676" s="108"/>
      <c r="BL676" s="108"/>
      <c r="BM676" s="108"/>
      <c r="BN676" s="108"/>
      <c r="BO676" s="108"/>
      <c r="BP676" s="108"/>
      <c r="BQ676" s="108"/>
      <c r="BR676" s="108"/>
      <c r="BS676" s="108"/>
      <c r="BT676" s="108"/>
      <c r="BU676" s="108"/>
      <c r="BV676" s="108"/>
      <c r="BW676" s="108"/>
      <c r="BX676" s="108"/>
      <c r="BY676" s="108"/>
    </row>
    <row r="677" spans="1:77">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c r="AB677" s="109"/>
      <c r="AC677" s="109"/>
      <c r="AD677" s="109"/>
      <c r="AE677" s="109"/>
      <c r="AF677" s="109"/>
      <c r="AG677" s="109"/>
      <c r="AH677" s="109"/>
      <c r="AI677" s="109"/>
      <c r="AJ677" s="109"/>
      <c r="AK677" s="109"/>
      <c r="AL677" s="109"/>
      <c r="AM677" s="109"/>
      <c r="AN677" s="109"/>
      <c r="AO677" s="109"/>
      <c r="AP677" s="109"/>
      <c r="AQ677" s="109"/>
      <c r="AR677" s="109"/>
      <c r="AS677" s="109"/>
      <c r="AT677" s="108"/>
      <c r="AU677" s="108"/>
      <c r="AV677" s="108"/>
      <c r="AW677" s="108"/>
      <c r="AX677" s="108"/>
      <c r="AY677" s="108"/>
      <c r="AZ677" s="108"/>
      <c r="BA677" s="108"/>
      <c r="BB677" s="108"/>
      <c r="BC677" s="108"/>
      <c r="BD677" s="108"/>
      <c r="BE677" s="108"/>
      <c r="BF677" s="108"/>
      <c r="BG677" s="108"/>
      <c r="BH677" s="108"/>
      <c r="BI677" s="108"/>
      <c r="BJ677" s="108"/>
      <c r="BK677" s="108"/>
      <c r="BL677" s="108"/>
      <c r="BM677" s="108"/>
      <c r="BN677" s="108"/>
      <c r="BO677" s="108"/>
      <c r="BP677" s="108"/>
      <c r="BQ677" s="108"/>
      <c r="BR677" s="108"/>
      <c r="BS677" s="108"/>
      <c r="BT677" s="108"/>
      <c r="BU677" s="108"/>
      <c r="BV677" s="108"/>
      <c r="BW677" s="108"/>
      <c r="BX677" s="108"/>
      <c r="BY677" s="108"/>
    </row>
    <row r="678" spans="1:77">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c r="AA678" s="109"/>
      <c r="AB678" s="109"/>
      <c r="AC678" s="109"/>
      <c r="AD678" s="109"/>
      <c r="AE678" s="109"/>
      <c r="AF678" s="109"/>
      <c r="AG678" s="109"/>
      <c r="AH678" s="109"/>
      <c r="AI678" s="109"/>
      <c r="AJ678" s="109"/>
      <c r="AK678" s="109"/>
      <c r="AL678" s="109"/>
      <c r="AM678" s="109"/>
      <c r="AN678" s="109"/>
      <c r="AO678" s="109"/>
      <c r="AP678" s="109"/>
      <c r="AQ678" s="109"/>
      <c r="AR678" s="109"/>
      <c r="AS678" s="109"/>
      <c r="AT678" s="108"/>
      <c r="AU678" s="108"/>
      <c r="AV678" s="108"/>
      <c r="AW678" s="108"/>
      <c r="AX678" s="108"/>
      <c r="AY678" s="108"/>
      <c r="AZ678" s="108"/>
      <c r="BA678" s="108"/>
      <c r="BB678" s="108"/>
      <c r="BC678" s="108"/>
      <c r="BD678" s="108"/>
      <c r="BE678" s="108"/>
      <c r="BF678" s="108"/>
      <c r="BG678" s="108"/>
      <c r="BH678" s="108"/>
      <c r="BI678" s="108"/>
      <c r="BJ678" s="108"/>
      <c r="BK678" s="108"/>
      <c r="BL678" s="108"/>
      <c r="BM678" s="108"/>
      <c r="BN678" s="108"/>
      <c r="BO678" s="108"/>
      <c r="BP678" s="108"/>
      <c r="BQ678" s="108"/>
      <c r="BR678" s="108"/>
      <c r="BS678" s="108"/>
      <c r="BT678" s="108"/>
      <c r="BU678" s="108"/>
      <c r="BV678" s="108"/>
      <c r="BW678" s="108"/>
      <c r="BX678" s="108"/>
      <c r="BY678" s="108"/>
    </row>
    <row r="679" spans="1:77">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c r="AA679" s="109"/>
      <c r="AB679" s="109"/>
      <c r="AC679" s="109"/>
      <c r="AD679" s="109"/>
      <c r="AE679" s="109"/>
      <c r="AF679" s="109"/>
      <c r="AG679" s="109"/>
      <c r="AH679" s="109"/>
      <c r="AI679" s="109"/>
      <c r="AJ679" s="109"/>
      <c r="AK679" s="109"/>
      <c r="AL679" s="109"/>
      <c r="AM679" s="109"/>
      <c r="AN679" s="109"/>
      <c r="AO679" s="109"/>
      <c r="AP679" s="109"/>
      <c r="AQ679" s="109"/>
      <c r="AR679" s="109"/>
      <c r="AS679" s="109"/>
      <c r="AT679" s="108"/>
      <c r="AU679" s="108"/>
      <c r="AV679" s="108"/>
      <c r="AW679" s="108"/>
      <c r="AX679" s="108"/>
      <c r="AY679" s="108"/>
      <c r="AZ679" s="108"/>
      <c r="BA679" s="108"/>
      <c r="BB679" s="108"/>
      <c r="BC679" s="108"/>
      <c r="BD679" s="108"/>
      <c r="BE679" s="108"/>
      <c r="BF679" s="108"/>
      <c r="BG679" s="108"/>
      <c r="BH679" s="108"/>
      <c r="BI679" s="108"/>
      <c r="BJ679" s="108"/>
      <c r="BK679" s="108"/>
      <c r="BL679" s="108"/>
      <c r="BM679" s="108"/>
      <c r="BN679" s="108"/>
      <c r="BO679" s="108"/>
      <c r="BP679" s="108"/>
      <c r="BQ679" s="108"/>
      <c r="BR679" s="108"/>
      <c r="BS679" s="108"/>
      <c r="BT679" s="108"/>
      <c r="BU679" s="108"/>
      <c r="BV679" s="108"/>
      <c r="BW679" s="108"/>
      <c r="BX679" s="108"/>
      <c r="BY679" s="108"/>
    </row>
    <row r="680" spans="1:77">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c r="AA680" s="109"/>
      <c r="AB680" s="109"/>
      <c r="AC680" s="109"/>
      <c r="AD680" s="109"/>
      <c r="AE680" s="109"/>
      <c r="AF680" s="109"/>
      <c r="AG680" s="109"/>
      <c r="AH680" s="109"/>
      <c r="AI680" s="109"/>
      <c r="AJ680" s="109"/>
      <c r="AK680" s="109"/>
      <c r="AL680" s="109"/>
      <c r="AM680" s="109"/>
      <c r="AN680" s="109"/>
      <c r="AO680" s="109"/>
      <c r="AP680" s="109"/>
      <c r="AQ680" s="109"/>
      <c r="AR680" s="109"/>
      <c r="AS680" s="109"/>
      <c r="AT680" s="108"/>
      <c r="AU680" s="108"/>
      <c r="AV680" s="108"/>
      <c r="AW680" s="108"/>
      <c r="AX680" s="108"/>
      <c r="AY680" s="108"/>
      <c r="AZ680" s="108"/>
      <c r="BA680" s="108"/>
      <c r="BB680" s="108"/>
      <c r="BC680" s="108"/>
      <c r="BD680" s="108"/>
      <c r="BE680" s="108"/>
      <c r="BF680" s="108"/>
      <c r="BG680" s="108"/>
      <c r="BH680" s="108"/>
      <c r="BI680" s="108"/>
      <c r="BJ680" s="108"/>
      <c r="BK680" s="108"/>
      <c r="BL680" s="108"/>
      <c r="BM680" s="108"/>
      <c r="BN680" s="108"/>
      <c r="BO680" s="108"/>
      <c r="BP680" s="108"/>
      <c r="BQ680" s="108"/>
      <c r="BR680" s="108"/>
      <c r="BS680" s="108"/>
      <c r="BT680" s="108"/>
      <c r="BU680" s="108"/>
      <c r="BV680" s="108"/>
      <c r="BW680" s="108"/>
      <c r="BX680" s="108"/>
      <c r="BY680" s="108"/>
    </row>
    <row r="681" spans="1:77">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c r="AB681" s="109"/>
      <c r="AC681" s="109"/>
      <c r="AD681" s="109"/>
      <c r="AE681" s="109"/>
      <c r="AF681" s="109"/>
      <c r="AG681" s="109"/>
      <c r="AH681" s="109"/>
      <c r="AI681" s="109"/>
      <c r="AJ681" s="109"/>
      <c r="AK681" s="109"/>
      <c r="AL681" s="109"/>
      <c r="AM681" s="109"/>
      <c r="AN681" s="109"/>
      <c r="AO681" s="109"/>
      <c r="AP681" s="109"/>
      <c r="AQ681" s="109"/>
      <c r="AR681" s="109"/>
      <c r="AS681" s="109"/>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108"/>
      <c r="BX681" s="108"/>
      <c r="BY681" s="108"/>
    </row>
    <row r="682" spans="1:77">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c r="AA682" s="109"/>
      <c r="AB682" s="109"/>
      <c r="AC682" s="109"/>
      <c r="AD682" s="109"/>
      <c r="AE682" s="109"/>
      <c r="AF682" s="109"/>
      <c r="AG682" s="109"/>
      <c r="AH682" s="109"/>
      <c r="AI682" s="109"/>
      <c r="AJ682" s="109"/>
      <c r="AK682" s="109"/>
      <c r="AL682" s="109"/>
      <c r="AM682" s="109"/>
      <c r="AN682" s="109"/>
      <c r="AO682" s="109"/>
      <c r="AP682" s="109"/>
      <c r="AQ682" s="109"/>
      <c r="AR682" s="109"/>
      <c r="AS682" s="109"/>
      <c r="AT682" s="108"/>
      <c r="AU682" s="108"/>
      <c r="AV682" s="108"/>
      <c r="AW682" s="108"/>
      <c r="AX682" s="108"/>
      <c r="AY682" s="108"/>
      <c r="AZ682" s="108"/>
      <c r="BA682" s="108"/>
      <c r="BB682" s="108"/>
      <c r="BC682" s="108"/>
      <c r="BD682" s="108"/>
      <c r="BE682" s="108"/>
      <c r="BF682" s="108"/>
      <c r="BG682" s="108"/>
      <c r="BH682" s="108"/>
      <c r="BI682" s="108"/>
      <c r="BJ682" s="108"/>
      <c r="BK682" s="108"/>
      <c r="BL682" s="108"/>
      <c r="BM682" s="108"/>
      <c r="BN682" s="108"/>
      <c r="BO682" s="108"/>
      <c r="BP682" s="108"/>
      <c r="BQ682" s="108"/>
      <c r="BR682" s="108"/>
      <c r="BS682" s="108"/>
      <c r="BT682" s="108"/>
      <c r="BU682" s="108"/>
      <c r="BV682" s="108"/>
      <c r="BW682" s="108"/>
      <c r="BX682" s="108"/>
      <c r="BY682" s="108"/>
    </row>
    <row r="683" spans="1:77">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c r="AA683" s="109"/>
      <c r="AB683" s="109"/>
      <c r="AC683" s="109"/>
      <c r="AD683" s="109"/>
      <c r="AE683" s="109"/>
      <c r="AF683" s="109"/>
      <c r="AG683" s="109"/>
      <c r="AH683" s="109"/>
      <c r="AI683" s="109"/>
      <c r="AJ683" s="109"/>
      <c r="AK683" s="109"/>
      <c r="AL683" s="109"/>
      <c r="AM683" s="109"/>
      <c r="AN683" s="109"/>
      <c r="AO683" s="109"/>
      <c r="AP683" s="109"/>
      <c r="AQ683" s="109"/>
      <c r="AR683" s="109"/>
      <c r="AS683" s="109"/>
      <c r="AT683" s="108"/>
      <c r="AU683" s="108"/>
      <c r="AV683" s="108"/>
      <c r="AW683" s="108"/>
      <c r="AX683" s="108"/>
      <c r="AY683" s="108"/>
      <c r="AZ683" s="108"/>
      <c r="BA683" s="108"/>
      <c r="BB683" s="108"/>
      <c r="BC683" s="108"/>
      <c r="BD683" s="108"/>
      <c r="BE683" s="108"/>
      <c r="BF683" s="108"/>
      <c r="BG683" s="108"/>
      <c r="BH683" s="108"/>
      <c r="BI683" s="108"/>
      <c r="BJ683" s="108"/>
      <c r="BK683" s="108"/>
      <c r="BL683" s="108"/>
      <c r="BM683" s="108"/>
      <c r="BN683" s="108"/>
      <c r="BO683" s="108"/>
      <c r="BP683" s="108"/>
      <c r="BQ683" s="108"/>
      <c r="BR683" s="108"/>
      <c r="BS683" s="108"/>
      <c r="BT683" s="108"/>
      <c r="BU683" s="108"/>
      <c r="BV683" s="108"/>
      <c r="BW683" s="108"/>
      <c r="BX683" s="108"/>
      <c r="BY683" s="108"/>
    </row>
    <row r="684" spans="1:77">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c r="AA684" s="109"/>
      <c r="AB684" s="109"/>
      <c r="AC684" s="109"/>
      <c r="AD684" s="109"/>
      <c r="AE684" s="109"/>
      <c r="AF684" s="109"/>
      <c r="AG684" s="109"/>
      <c r="AH684" s="109"/>
      <c r="AI684" s="109"/>
      <c r="AJ684" s="109"/>
      <c r="AK684" s="109"/>
      <c r="AL684" s="109"/>
      <c r="AM684" s="109"/>
      <c r="AN684" s="109"/>
      <c r="AO684" s="109"/>
      <c r="AP684" s="109"/>
      <c r="AQ684" s="109"/>
      <c r="AR684" s="109"/>
      <c r="AS684" s="109"/>
      <c r="AT684" s="108"/>
      <c r="AU684" s="108"/>
      <c r="AV684" s="108"/>
      <c r="AW684" s="108"/>
      <c r="AX684" s="108"/>
      <c r="AY684" s="108"/>
      <c r="AZ684" s="108"/>
      <c r="BA684" s="108"/>
      <c r="BB684" s="108"/>
      <c r="BC684" s="108"/>
      <c r="BD684" s="108"/>
      <c r="BE684" s="108"/>
      <c r="BF684" s="108"/>
      <c r="BG684" s="108"/>
      <c r="BH684" s="108"/>
      <c r="BI684" s="108"/>
      <c r="BJ684" s="108"/>
      <c r="BK684" s="108"/>
      <c r="BL684" s="108"/>
      <c r="BM684" s="108"/>
      <c r="BN684" s="108"/>
      <c r="BO684" s="108"/>
      <c r="BP684" s="108"/>
      <c r="BQ684" s="108"/>
      <c r="BR684" s="108"/>
      <c r="BS684" s="108"/>
      <c r="BT684" s="108"/>
      <c r="BU684" s="108"/>
      <c r="BV684" s="108"/>
      <c r="BW684" s="108"/>
      <c r="BX684" s="108"/>
      <c r="BY684" s="108"/>
    </row>
    <row r="685" spans="1:77">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c r="AA685" s="109"/>
      <c r="AB685" s="109"/>
      <c r="AC685" s="109"/>
      <c r="AD685" s="109"/>
      <c r="AE685" s="109"/>
      <c r="AF685" s="109"/>
      <c r="AG685" s="109"/>
      <c r="AH685" s="109"/>
      <c r="AI685" s="109"/>
      <c r="AJ685" s="109"/>
      <c r="AK685" s="109"/>
      <c r="AL685" s="109"/>
      <c r="AM685" s="109"/>
      <c r="AN685" s="109"/>
      <c r="AO685" s="109"/>
      <c r="AP685" s="109"/>
      <c r="AQ685" s="109"/>
      <c r="AR685" s="109"/>
      <c r="AS685" s="109"/>
      <c r="AT685" s="108"/>
      <c r="AU685" s="108"/>
      <c r="AV685" s="108"/>
      <c r="AW685" s="108"/>
      <c r="AX685" s="108"/>
      <c r="AY685" s="108"/>
      <c r="AZ685" s="108"/>
      <c r="BA685" s="108"/>
      <c r="BB685" s="108"/>
      <c r="BC685" s="108"/>
      <c r="BD685" s="108"/>
      <c r="BE685" s="108"/>
      <c r="BF685" s="108"/>
      <c r="BG685" s="108"/>
      <c r="BH685" s="108"/>
      <c r="BI685" s="108"/>
      <c r="BJ685" s="108"/>
      <c r="BK685" s="108"/>
      <c r="BL685" s="108"/>
      <c r="BM685" s="108"/>
      <c r="BN685" s="108"/>
      <c r="BO685" s="108"/>
      <c r="BP685" s="108"/>
      <c r="BQ685" s="108"/>
      <c r="BR685" s="108"/>
      <c r="BS685" s="108"/>
      <c r="BT685" s="108"/>
      <c r="BU685" s="108"/>
      <c r="BV685" s="108"/>
      <c r="BW685" s="108"/>
      <c r="BX685" s="108"/>
      <c r="BY685" s="108"/>
    </row>
    <row r="686" spans="1:77">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c r="AB686" s="109"/>
      <c r="AC686" s="109"/>
      <c r="AD686" s="109"/>
      <c r="AE686" s="109"/>
      <c r="AF686" s="109"/>
      <c r="AG686" s="109"/>
      <c r="AH686" s="109"/>
      <c r="AI686" s="109"/>
      <c r="AJ686" s="109"/>
      <c r="AK686" s="109"/>
      <c r="AL686" s="109"/>
      <c r="AM686" s="109"/>
      <c r="AN686" s="109"/>
      <c r="AO686" s="109"/>
      <c r="AP686" s="109"/>
      <c r="AQ686" s="109"/>
      <c r="AR686" s="109"/>
      <c r="AS686" s="109"/>
      <c r="AT686" s="108"/>
      <c r="AU686" s="108"/>
      <c r="AV686" s="108"/>
      <c r="AW686" s="108"/>
      <c r="AX686" s="108"/>
      <c r="AY686" s="108"/>
      <c r="AZ686" s="108"/>
      <c r="BA686" s="108"/>
      <c r="BB686" s="108"/>
      <c r="BC686" s="108"/>
      <c r="BD686" s="108"/>
      <c r="BE686" s="108"/>
      <c r="BF686" s="108"/>
      <c r="BG686" s="108"/>
      <c r="BH686" s="108"/>
      <c r="BI686" s="108"/>
      <c r="BJ686" s="108"/>
      <c r="BK686" s="108"/>
      <c r="BL686" s="108"/>
      <c r="BM686" s="108"/>
      <c r="BN686" s="108"/>
      <c r="BO686" s="108"/>
      <c r="BP686" s="108"/>
      <c r="BQ686" s="108"/>
      <c r="BR686" s="108"/>
      <c r="BS686" s="108"/>
      <c r="BT686" s="108"/>
      <c r="BU686" s="108"/>
      <c r="BV686" s="108"/>
      <c r="BW686" s="108"/>
      <c r="BX686" s="108"/>
      <c r="BY686" s="108"/>
    </row>
    <row r="687" spans="1:77">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c r="AA687" s="109"/>
      <c r="AB687" s="109"/>
      <c r="AC687" s="109"/>
      <c r="AD687" s="109"/>
      <c r="AE687" s="109"/>
      <c r="AF687" s="109"/>
      <c r="AG687" s="109"/>
      <c r="AH687" s="109"/>
      <c r="AI687" s="109"/>
      <c r="AJ687" s="109"/>
      <c r="AK687" s="109"/>
      <c r="AL687" s="109"/>
      <c r="AM687" s="109"/>
      <c r="AN687" s="109"/>
      <c r="AO687" s="109"/>
      <c r="AP687" s="109"/>
      <c r="AQ687" s="109"/>
      <c r="AR687" s="109"/>
      <c r="AS687" s="109"/>
      <c r="AT687" s="108"/>
      <c r="AU687" s="108"/>
      <c r="AV687" s="108"/>
      <c r="AW687" s="108"/>
      <c r="AX687" s="108"/>
      <c r="AY687" s="108"/>
      <c r="AZ687" s="108"/>
      <c r="BA687" s="108"/>
      <c r="BB687" s="108"/>
      <c r="BC687" s="108"/>
      <c r="BD687" s="108"/>
      <c r="BE687" s="108"/>
      <c r="BF687" s="108"/>
      <c r="BG687" s="108"/>
      <c r="BH687" s="108"/>
      <c r="BI687" s="108"/>
      <c r="BJ687" s="108"/>
      <c r="BK687" s="108"/>
      <c r="BL687" s="108"/>
      <c r="BM687" s="108"/>
      <c r="BN687" s="108"/>
      <c r="BO687" s="108"/>
      <c r="BP687" s="108"/>
      <c r="BQ687" s="108"/>
      <c r="BR687" s="108"/>
      <c r="BS687" s="108"/>
      <c r="BT687" s="108"/>
      <c r="BU687" s="108"/>
      <c r="BV687" s="108"/>
      <c r="BW687" s="108"/>
      <c r="BX687" s="108"/>
      <c r="BY687" s="108"/>
    </row>
    <row r="688" spans="1:77">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c r="AA688" s="109"/>
      <c r="AB688" s="109"/>
      <c r="AC688" s="109"/>
      <c r="AD688" s="109"/>
      <c r="AE688" s="109"/>
      <c r="AF688" s="109"/>
      <c r="AG688" s="109"/>
      <c r="AH688" s="109"/>
      <c r="AI688" s="109"/>
      <c r="AJ688" s="109"/>
      <c r="AK688" s="109"/>
      <c r="AL688" s="109"/>
      <c r="AM688" s="109"/>
      <c r="AN688" s="109"/>
      <c r="AO688" s="109"/>
      <c r="AP688" s="109"/>
      <c r="AQ688" s="109"/>
      <c r="AR688" s="109"/>
      <c r="AS688" s="109"/>
      <c r="AT688" s="108"/>
      <c r="AU688" s="108"/>
      <c r="AV688" s="108"/>
      <c r="AW688" s="108"/>
      <c r="AX688" s="108"/>
      <c r="AY688" s="108"/>
      <c r="AZ688" s="108"/>
      <c r="BA688" s="108"/>
      <c r="BB688" s="108"/>
      <c r="BC688" s="108"/>
      <c r="BD688" s="108"/>
      <c r="BE688" s="108"/>
      <c r="BF688" s="108"/>
      <c r="BG688" s="108"/>
      <c r="BH688" s="108"/>
      <c r="BI688" s="108"/>
      <c r="BJ688" s="108"/>
      <c r="BK688" s="108"/>
      <c r="BL688" s="108"/>
      <c r="BM688" s="108"/>
      <c r="BN688" s="108"/>
      <c r="BO688" s="108"/>
      <c r="BP688" s="108"/>
      <c r="BQ688" s="108"/>
      <c r="BR688" s="108"/>
      <c r="BS688" s="108"/>
      <c r="BT688" s="108"/>
      <c r="BU688" s="108"/>
      <c r="BV688" s="108"/>
      <c r="BW688" s="108"/>
      <c r="BX688" s="108"/>
      <c r="BY688" s="108"/>
    </row>
    <row r="689" spans="1:77">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c r="AA689" s="109"/>
      <c r="AB689" s="109"/>
      <c r="AC689" s="109"/>
      <c r="AD689" s="109"/>
      <c r="AE689" s="109"/>
      <c r="AF689" s="109"/>
      <c r="AG689" s="109"/>
      <c r="AH689" s="109"/>
      <c r="AI689" s="109"/>
      <c r="AJ689" s="109"/>
      <c r="AK689" s="109"/>
      <c r="AL689" s="109"/>
      <c r="AM689" s="109"/>
      <c r="AN689" s="109"/>
      <c r="AO689" s="109"/>
      <c r="AP689" s="109"/>
      <c r="AQ689" s="109"/>
      <c r="AR689" s="109"/>
      <c r="AS689" s="109"/>
      <c r="AT689" s="108"/>
      <c r="AU689" s="108"/>
      <c r="AV689" s="108"/>
      <c r="AW689" s="108"/>
      <c r="AX689" s="108"/>
      <c r="AY689" s="108"/>
      <c r="AZ689" s="108"/>
      <c r="BA689" s="108"/>
      <c r="BB689" s="108"/>
      <c r="BC689" s="108"/>
      <c r="BD689" s="108"/>
      <c r="BE689" s="108"/>
      <c r="BF689" s="108"/>
      <c r="BG689" s="108"/>
      <c r="BH689" s="108"/>
      <c r="BI689" s="108"/>
      <c r="BJ689" s="108"/>
      <c r="BK689" s="108"/>
      <c r="BL689" s="108"/>
      <c r="BM689" s="108"/>
      <c r="BN689" s="108"/>
      <c r="BO689" s="108"/>
      <c r="BP689" s="108"/>
      <c r="BQ689" s="108"/>
      <c r="BR689" s="108"/>
      <c r="BS689" s="108"/>
      <c r="BT689" s="108"/>
      <c r="BU689" s="108"/>
      <c r="BV689" s="108"/>
      <c r="BW689" s="108"/>
      <c r="BX689" s="108"/>
      <c r="BY689" s="108"/>
    </row>
    <row r="690" spans="1:77">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c r="AA690" s="109"/>
      <c r="AB690" s="109"/>
      <c r="AC690" s="109"/>
      <c r="AD690" s="109"/>
      <c r="AE690" s="109"/>
      <c r="AF690" s="109"/>
      <c r="AG690" s="109"/>
      <c r="AH690" s="109"/>
      <c r="AI690" s="109"/>
      <c r="AJ690" s="109"/>
      <c r="AK690" s="109"/>
      <c r="AL690" s="109"/>
      <c r="AM690" s="109"/>
      <c r="AN690" s="109"/>
      <c r="AO690" s="109"/>
      <c r="AP690" s="109"/>
      <c r="AQ690" s="109"/>
      <c r="AR690" s="109"/>
      <c r="AS690" s="109"/>
      <c r="AT690" s="108"/>
      <c r="AU690" s="108"/>
      <c r="AV690" s="108"/>
      <c r="AW690" s="108"/>
      <c r="AX690" s="108"/>
      <c r="AY690" s="108"/>
      <c r="AZ690" s="108"/>
      <c r="BA690" s="108"/>
      <c r="BB690" s="108"/>
      <c r="BC690" s="108"/>
      <c r="BD690" s="108"/>
      <c r="BE690" s="108"/>
      <c r="BF690" s="108"/>
      <c r="BG690" s="108"/>
      <c r="BH690" s="108"/>
      <c r="BI690" s="108"/>
      <c r="BJ690" s="108"/>
      <c r="BK690" s="108"/>
      <c r="BL690" s="108"/>
      <c r="BM690" s="108"/>
      <c r="BN690" s="108"/>
      <c r="BO690" s="108"/>
      <c r="BP690" s="108"/>
      <c r="BQ690" s="108"/>
      <c r="BR690" s="108"/>
      <c r="BS690" s="108"/>
      <c r="BT690" s="108"/>
      <c r="BU690" s="108"/>
      <c r="BV690" s="108"/>
      <c r="BW690" s="108"/>
      <c r="BX690" s="108"/>
      <c r="BY690" s="108"/>
    </row>
    <row r="691" spans="1:77">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c r="AB691" s="109"/>
      <c r="AC691" s="109"/>
      <c r="AD691" s="109"/>
      <c r="AE691" s="109"/>
      <c r="AF691" s="109"/>
      <c r="AG691" s="109"/>
      <c r="AH691" s="109"/>
      <c r="AI691" s="109"/>
      <c r="AJ691" s="109"/>
      <c r="AK691" s="109"/>
      <c r="AL691" s="109"/>
      <c r="AM691" s="109"/>
      <c r="AN691" s="109"/>
      <c r="AO691" s="109"/>
      <c r="AP691" s="109"/>
      <c r="AQ691" s="109"/>
      <c r="AR691" s="109"/>
      <c r="AS691" s="109"/>
      <c r="AT691" s="108"/>
      <c r="AU691" s="108"/>
      <c r="AV691" s="108"/>
      <c r="AW691" s="108"/>
      <c r="AX691" s="108"/>
      <c r="AY691" s="108"/>
      <c r="AZ691" s="108"/>
      <c r="BA691" s="108"/>
      <c r="BB691" s="108"/>
      <c r="BC691" s="108"/>
      <c r="BD691" s="108"/>
      <c r="BE691" s="108"/>
      <c r="BF691" s="108"/>
      <c r="BG691" s="108"/>
      <c r="BH691" s="108"/>
      <c r="BI691" s="108"/>
      <c r="BJ691" s="108"/>
      <c r="BK691" s="108"/>
      <c r="BL691" s="108"/>
      <c r="BM691" s="108"/>
      <c r="BN691" s="108"/>
      <c r="BO691" s="108"/>
      <c r="BP691" s="108"/>
      <c r="BQ691" s="108"/>
      <c r="BR691" s="108"/>
      <c r="BS691" s="108"/>
      <c r="BT691" s="108"/>
      <c r="BU691" s="108"/>
      <c r="BV691" s="108"/>
      <c r="BW691" s="108"/>
      <c r="BX691" s="108"/>
      <c r="BY691" s="108"/>
    </row>
    <row r="692" spans="1:77">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c r="AA692" s="109"/>
      <c r="AB692" s="109"/>
      <c r="AC692" s="109"/>
      <c r="AD692" s="109"/>
      <c r="AE692" s="109"/>
      <c r="AF692" s="109"/>
      <c r="AG692" s="109"/>
      <c r="AH692" s="109"/>
      <c r="AI692" s="109"/>
      <c r="AJ692" s="109"/>
      <c r="AK692" s="109"/>
      <c r="AL692" s="109"/>
      <c r="AM692" s="109"/>
      <c r="AN692" s="109"/>
      <c r="AO692" s="109"/>
      <c r="AP692" s="109"/>
      <c r="AQ692" s="109"/>
      <c r="AR692" s="109"/>
      <c r="AS692" s="109"/>
      <c r="AT692" s="108"/>
      <c r="AU692" s="108"/>
      <c r="AV692" s="108"/>
      <c r="AW692" s="108"/>
      <c r="AX692" s="108"/>
      <c r="AY692" s="108"/>
      <c r="AZ692" s="108"/>
      <c r="BA692" s="108"/>
      <c r="BB692" s="108"/>
      <c r="BC692" s="108"/>
      <c r="BD692" s="108"/>
      <c r="BE692" s="108"/>
      <c r="BF692" s="108"/>
      <c r="BG692" s="108"/>
      <c r="BH692" s="108"/>
      <c r="BI692" s="108"/>
      <c r="BJ692" s="108"/>
      <c r="BK692" s="108"/>
      <c r="BL692" s="108"/>
      <c r="BM692" s="108"/>
      <c r="BN692" s="108"/>
      <c r="BO692" s="108"/>
      <c r="BP692" s="108"/>
      <c r="BQ692" s="108"/>
      <c r="BR692" s="108"/>
      <c r="BS692" s="108"/>
      <c r="BT692" s="108"/>
      <c r="BU692" s="108"/>
      <c r="BV692" s="108"/>
      <c r="BW692" s="108"/>
      <c r="BX692" s="108"/>
      <c r="BY692" s="108"/>
    </row>
    <row r="693" spans="1:77">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c r="AA693" s="109"/>
      <c r="AB693" s="109"/>
      <c r="AC693" s="109"/>
      <c r="AD693" s="109"/>
      <c r="AE693" s="109"/>
      <c r="AF693" s="109"/>
      <c r="AG693" s="109"/>
      <c r="AH693" s="109"/>
      <c r="AI693" s="109"/>
      <c r="AJ693" s="109"/>
      <c r="AK693" s="109"/>
      <c r="AL693" s="109"/>
      <c r="AM693" s="109"/>
      <c r="AN693" s="109"/>
      <c r="AO693" s="109"/>
      <c r="AP693" s="109"/>
      <c r="AQ693" s="109"/>
      <c r="AR693" s="109"/>
      <c r="AS693" s="109"/>
      <c r="AT693" s="108"/>
      <c r="AU693" s="108"/>
      <c r="AV693" s="108"/>
      <c r="AW693" s="108"/>
      <c r="AX693" s="108"/>
      <c r="AY693" s="108"/>
      <c r="AZ693" s="108"/>
      <c r="BA693" s="108"/>
      <c r="BB693" s="108"/>
      <c r="BC693" s="108"/>
      <c r="BD693" s="108"/>
      <c r="BE693" s="108"/>
      <c r="BF693" s="108"/>
      <c r="BG693" s="108"/>
      <c r="BH693" s="108"/>
      <c r="BI693" s="108"/>
      <c r="BJ693" s="108"/>
      <c r="BK693" s="108"/>
      <c r="BL693" s="108"/>
      <c r="BM693" s="108"/>
      <c r="BN693" s="108"/>
      <c r="BO693" s="108"/>
      <c r="BP693" s="108"/>
      <c r="BQ693" s="108"/>
      <c r="BR693" s="108"/>
      <c r="BS693" s="108"/>
      <c r="BT693" s="108"/>
      <c r="BU693" s="108"/>
      <c r="BV693" s="108"/>
      <c r="BW693" s="108"/>
      <c r="BX693" s="108"/>
      <c r="BY693" s="108"/>
    </row>
    <row r="694" spans="1:77">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c r="AA694" s="109"/>
      <c r="AB694" s="109"/>
      <c r="AC694" s="109"/>
      <c r="AD694" s="109"/>
      <c r="AE694" s="109"/>
      <c r="AF694" s="109"/>
      <c r="AG694" s="109"/>
      <c r="AH694" s="109"/>
      <c r="AI694" s="109"/>
      <c r="AJ694" s="109"/>
      <c r="AK694" s="109"/>
      <c r="AL694" s="109"/>
      <c r="AM694" s="109"/>
      <c r="AN694" s="109"/>
      <c r="AO694" s="109"/>
      <c r="AP694" s="109"/>
      <c r="AQ694" s="109"/>
      <c r="AR694" s="109"/>
      <c r="AS694" s="109"/>
      <c r="AT694" s="108"/>
      <c r="AU694" s="108"/>
      <c r="AV694" s="108"/>
      <c r="AW694" s="108"/>
      <c r="AX694" s="108"/>
      <c r="AY694" s="108"/>
      <c r="AZ694" s="108"/>
      <c r="BA694" s="108"/>
      <c r="BB694" s="108"/>
      <c r="BC694" s="108"/>
      <c r="BD694" s="108"/>
      <c r="BE694" s="108"/>
      <c r="BF694" s="108"/>
      <c r="BG694" s="108"/>
      <c r="BH694" s="108"/>
      <c r="BI694" s="108"/>
      <c r="BJ694" s="108"/>
      <c r="BK694" s="108"/>
      <c r="BL694" s="108"/>
      <c r="BM694" s="108"/>
      <c r="BN694" s="108"/>
      <c r="BO694" s="108"/>
      <c r="BP694" s="108"/>
      <c r="BQ694" s="108"/>
      <c r="BR694" s="108"/>
      <c r="BS694" s="108"/>
      <c r="BT694" s="108"/>
      <c r="BU694" s="108"/>
      <c r="BV694" s="108"/>
      <c r="BW694" s="108"/>
      <c r="BX694" s="108"/>
      <c r="BY694" s="108"/>
    </row>
    <row r="695" spans="1:77">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c r="AB695" s="109"/>
      <c r="AC695" s="109"/>
      <c r="AD695" s="109"/>
      <c r="AE695" s="109"/>
      <c r="AF695" s="109"/>
      <c r="AG695" s="109"/>
      <c r="AH695" s="109"/>
      <c r="AI695" s="109"/>
      <c r="AJ695" s="109"/>
      <c r="AK695" s="109"/>
      <c r="AL695" s="109"/>
      <c r="AM695" s="109"/>
      <c r="AN695" s="109"/>
      <c r="AO695" s="109"/>
      <c r="AP695" s="109"/>
      <c r="AQ695" s="109"/>
      <c r="AR695" s="109"/>
      <c r="AS695" s="109"/>
      <c r="AT695" s="108"/>
      <c r="AU695" s="108"/>
      <c r="AV695" s="108"/>
      <c r="AW695" s="108"/>
      <c r="AX695" s="108"/>
      <c r="AY695" s="108"/>
      <c r="AZ695" s="108"/>
      <c r="BA695" s="108"/>
      <c r="BB695" s="108"/>
      <c r="BC695" s="108"/>
      <c r="BD695" s="108"/>
      <c r="BE695" s="108"/>
      <c r="BF695" s="108"/>
      <c r="BG695" s="108"/>
      <c r="BH695" s="108"/>
      <c r="BI695" s="108"/>
      <c r="BJ695" s="108"/>
      <c r="BK695" s="108"/>
      <c r="BL695" s="108"/>
      <c r="BM695" s="108"/>
      <c r="BN695" s="108"/>
      <c r="BO695" s="108"/>
      <c r="BP695" s="108"/>
      <c r="BQ695" s="108"/>
      <c r="BR695" s="108"/>
      <c r="BS695" s="108"/>
      <c r="BT695" s="108"/>
      <c r="BU695" s="108"/>
      <c r="BV695" s="108"/>
      <c r="BW695" s="108"/>
      <c r="BX695" s="108"/>
      <c r="BY695" s="108"/>
    </row>
    <row r="696" spans="1:77">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c r="AA696" s="109"/>
      <c r="AB696" s="109"/>
      <c r="AC696" s="109"/>
      <c r="AD696" s="109"/>
      <c r="AE696" s="109"/>
      <c r="AF696" s="109"/>
      <c r="AG696" s="109"/>
      <c r="AH696" s="109"/>
      <c r="AI696" s="109"/>
      <c r="AJ696" s="109"/>
      <c r="AK696" s="109"/>
      <c r="AL696" s="109"/>
      <c r="AM696" s="109"/>
      <c r="AN696" s="109"/>
      <c r="AO696" s="109"/>
      <c r="AP696" s="109"/>
      <c r="AQ696" s="109"/>
      <c r="AR696" s="109"/>
      <c r="AS696" s="109"/>
      <c r="AT696" s="108"/>
      <c r="AU696" s="108"/>
      <c r="AV696" s="108"/>
      <c r="AW696" s="108"/>
      <c r="AX696" s="108"/>
      <c r="AY696" s="108"/>
      <c r="AZ696" s="108"/>
      <c r="BA696" s="108"/>
      <c r="BB696" s="108"/>
      <c r="BC696" s="108"/>
      <c r="BD696" s="108"/>
      <c r="BE696" s="108"/>
      <c r="BF696" s="108"/>
      <c r="BG696" s="108"/>
      <c r="BH696" s="108"/>
      <c r="BI696" s="108"/>
      <c r="BJ696" s="108"/>
      <c r="BK696" s="108"/>
      <c r="BL696" s="108"/>
      <c r="BM696" s="108"/>
      <c r="BN696" s="108"/>
      <c r="BO696" s="108"/>
      <c r="BP696" s="108"/>
      <c r="BQ696" s="108"/>
      <c r="BR696" s="108"/>
      <c r="BS696" s="108"/>
      <c r="BT696" s="108"/>
      <c r="BU696" s="108"/>
      <c r="BV696" s="108"/>
      <c r="BW696" s="108"/>
      <c r="BX696" s="108"/>
      <c r="BY696" s="108"/>
    </row>
    <row r="697" spans="1:77">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c r="AA697" s="109"/>
      <c r="AB697" s="109"/>
      <c r="AC697" s="109"/>
      <c r="AD697" s="109"/>
      <c r="AE697" s="109"/>
      <c r="AF697" s="109"/>
      <c r="AG697" s="109"/>
      <c r="AH697" s="109"/>
      <c r="AI697" s="109"/>
      <c r="AJ697" s="109"/>
      <c r="AK697" s="109"/>
      <c r="AL697" s="109"/>
      <c r="AM697" s="109"/>
      <c r="AN697" s="109"/>
      <c r="AO697" s="109"/>
      <c r="AP697" s="109"/>
      <c r="AQ697" s="109"/>
      <c r="AR697" s="109"/>
      <c r="AS697" s="109"/>
      <c r="AT697" s="108"/>
      <c r="AU697" s="108"/>
      <c r="AV697" s="108"/>
      <c r="AW697" s="108"/>
      <c r="AX697" s="108"/>
      <c r="AY697" s="108"/>
      <c r="AZ697" s="108"/>
      <c r="BA697" s="108"/>
      <c r="BB697" s="108"/>
      <c r="BC697" s="108"/>
      <c r="BD697" s="108"/>
      <c r="BE697" s="108"/>
      <c r="BF697" s="108"/>
      <c r="BG697" s="108"/>
      <c r="BH697" s="108"/>
      <c r="BI697" s="108"/>
      <c r="BJ697" s="108"/>
      <c r="BK697" s="108"/>
      <c r="BL697" s="108"/>
      <c r="BM697" s="108"/>
      <c r="BN697" s="108"/>
      <c r="BO697" s="108"/>
      <c r="BP697" s="108"/>
      <c r="BQ697" s="108"/>
      <c r="BR697" s="108"/>
      <c r="BS697" s="108"/>
      <c r="BT697" s="108"/>
      <c r="BU697" s="108"/>
      <c r="BV697" s="108"/>
      <c r="BW697" s="108"/>
      <c r="BX697" s="108"/>
      <c r="BY697" s="108"/>
    </row>
    <row r="698" spans="1:77">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c r="AB698" s="109"/>
      <c r="AC698" s="109"/>
      <c r="AD698" s="109"/>
      <c r="AE698" s="109"/>
      <c r="AF698" s="109"/>
      <c r="AG698" s="109"/>
      <c r="AH698" s="109"/>
      <c r="AI698" s="109"/>
      <c r="AJ698" s="109"/>
      <c r="AK698" s="109"/>
      <c r="AL698" s="109"/>
      <c r="AM698" s="109"/>
      <c r="AN698" s="109"/>
      <c r="AO698" s="109"/>
      <c r="AP698" s="109"/>
      <c r="AQ698" s="109"/>
      <c r="AR698" s="109"/>
      <c r="AS698" s="109"/>
      <c r="AT698" s="108"/>
      <c r="AU698" s="108"/>
      <c r="AV698" s="108"/>
      <c r="AW698" s="108"/>
      <c r="AX698" s="108"/>
      <c r="AY698" s="108"/>
      <c r="AZ698" s="108"/>
      <c r="BA698" s="108"/>
      <c r="BB698" s="108"/>
      <c r="BC698" s="108"/>
      <c r="BD698" s="108"/>
      <c r="BE698" s="108"/>
      <c r="BF698" s="108"/>
      <c r="BG698" s="108"/>
      <c r="BH698" s="108"/>
      <c r="BI698" s="108"/>
      <c r="BJ698" s="108"/>
      <c r="BK698" s="108"/>
      <c r="BL698" s="108"/>
      <c r="BM698" s="108"/>
      <c r="BN698" s="108"/>
      <c r="BO698" s="108"/>
      <c r="BP698" s="108"/>
      <c r="BQ698" s="108"/>
      <c r="BR698" s="108"/>
      <c r="BS698" s="108"/>
      <c r="BT698" s="108"/>
      <c r="BU698" s="108"/>
      <c r="BV698" s="108"/>
      <c r="BW698" s="108"/>
      <c r="BX698" s="108"/>
      <c r="BY698" s="108"/>
    </row>
    <row r="699" spans="1:77">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c r="AA699" s="109"/>
      <c r="AB699" s="109"/>
      <c r="AC699" s="109"/>
      <c r="AD699" s="109"/>
      <c r="AE699" s="109"/>
      <c r="AF699" s="109"/>
      <c r="AG699" s="109"/>
      <c r="AH699" s="109"/>
      <c r="AI699" s="109"/>
      <c r="AJ699" s="109"/>
      <c r="AK699" s="109"/>
      <c r="AL699" s="109"/>
      <c r="AM699" s="109"/>
      <c r="AN699" s="109"/>
      <c r="AO699" s="109"/>
      <c r="AP699" s="109"/>
      <c r="AQ699" s="109"/>
      <c r="AR699" s="109"/>
      <c r="AS699" s="109"/>
      <c r="AT699" s="108"/>
      <c r="AU699" s="108"/>
      <c r="AV699" s="108"/>
      <c r="AW699" s="108"/>
      <c r="AX699" s="108"/>
      <c r="AY699" s="108"/>
      <c r="AZ699" s="108"/>
      <c r="BA699" s="108"/>
      <c r="BB699" s="108"/>
      <c r="BC699" s="108"/>
      <c r="BD699" s="108"/>
      <c r="BE699" s="108"/>
      <c r="BF699" s="108"/>
      <c r="BG699" s="108"/>
      <c r="BH699" s="108"/>
      <c r="BI699" s="108"/>
      <c r="BJ699" s="108"/>
      <c r="BK699" s="108"/>
      <c r="BL699" s="108"/>
      <c r="BM699" s="108"/>
      <c r="BN699" s="108"/>
      <c r="BO699" s="108"/>
      <c r="BP699" s="108"/>
      <c r="BQ699" s="108"/>
      <c r="BR699" s="108"/>
      <c r="BS699" s="108"/>
      <c r="BT699" s="108"/>
      <c r="BU699" s="108"/>
      <c r="BV699" s="108"/>
      <c r="BW699" s="108"/>
      <c r="BX699" s="108"/>
      <c r="BY699" s="108"/>
    </row>
    <row r="700" spans="1:77">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c r="AA700" s="109"/>
      <c r="AB700" s="109"/>
      <c r="AC700" s="109"/>
      <c r="AD700" s="109"/>
      <c r="AE700" s="109"/>
      <c r="AF700" s="109"/>
      <c r="AG700" s="109"/>
      <c r="AH700" s="109"/>
      <c r="AI700" s="109"/>
      <c r="AJ700" s="109"/>
      <c r="AK700" s="109"/>
      <c r="AL700" s="109"/>
      <c r="AM700" s="109"/>
      <c r="AN700" s="109"/>
      <c r="AO700" s="109"/>
      <c r="AP700" s="109"/>
      <c r="AQ700" s="109"/>
      <c r="AR700" s="109"/>
      <c r="AS700" s="109"/>
      <c r="AT700" s="108"/>
      <c r="AU700" s="108"/>
      <c r="AV700" s="108"/>
      <c r="AW700" s="108"/>
      <c r="AX700" s="108"/>
      <c r="AY700" s="108"/>
      <c r="AZ700" s="108"/>
      <c r="BA700" s="108"/>
      <c r="BB700" s="108"/>
      <c r="BC700" s="108"/>
      <c r="BD700" s="108"/>
      <c r="BE700" s="108"/>
      <c r="BF700" s="108"/>
      <c r="BG700" s="108"/>
      <c r="BH700" s="108"/>
      <c r="BI700" s="108"/>
      <c r="BJ700" s="108"/>
      <c r="BK700" s="108"/>
      <c r="BL700" s="108"/>
      <c r="BM700" s="108"/>
      <c r="BN700" s="108"/>
      <c r="BO700" s="108"/>
      <c r="BP700" s="108"/>
      <c r="BQ700" s="108"/>
      <c r="BR700" s="108"/>
      <c r="BS700" s="108"/>
      <c r="BT700" s="108"/>
      <c r="BU700" s="108"/>
      <c r="BV700" s="108"/>
      <c r="BW700" s="108"/>
      <c r="BX700" s="108"/>
      <c r="BY700" s="108"/>
    </row>
    <row r="701" spans="1:77">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c r="AB701" s="109"/>
      <c r="AC701" s="109"/>
      <c r="AD701" s="109"/>
      <c r="AE701" s="109"/>
      <c r="AF701" s="109"/>
      <c r="AG701" s="109"/>
      <c r="AH701" s="109"/>
      <c r="AI701" s="109"/>
      <c r="AJ701" s="109"/>
      <c r="AK701" s="109"/>
      <c r="AL701" s="109"/>
      <c r="AM701" s="109"/>
      <c r="AN701" s="109"/>
      <c r="AO701" s="109"/>
      <c r="AP701" s="109"/>
      <c r="AQ701" s="109"/>
      <c r="AR701" s="109"/>
      <c r="AS701" s="109"/>
      <c r="AT701" s="108"/>
      <c r="AU701" s="108"/>
      <c r="AV701" s="108"/>
      <c r="AW701" s="108"/>
      <c r="AX701" s="108"/>
      <c r="AY701" s="108"/>
      <c r="AZ701" s="108"/>
      <c r="BA701" s="108"/>
      <c r="BB701" s="108"/>
      <c r="BC701" s="108"/>
      <c r="BD701" s="108"/>
      <c r="BE701" s="108"/>
      <c r="BF701" s="108"/>
      <c r="BG701" s="108"/>
      <c r="BH701" s="108"/>
      <c r="BI701" s="108"/>
      <c r="BJ701" s="108"/>
      <c r="BK701" s="108"/>
      <c r="BL701" s="108"/>
      <c r="BM701" s="108"/>
      <c r="BN701" s="108"/>
      <c r="BO701" s="108"/>
      <c r="BP701" s="108"/>
      <c r="BQ701" s="108"/>
      <c r="BR701" s="108"/>
      <c r="BS701" s="108"/>
      <c r="BT701" s="108"/>
      <c r="BU701" s="108"/>
      <c r="BV701" s="108"/>
      <c r="BW701" s="108"/>
      <c r="BX701" s="108"/>
      <c r="BY701" s="108"/>
    </row>
    <row r="702" spans="1:77">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c r="AA702" s="109"/>
      <c r="AB702" s="109"/>
      <c r="AC702" s="109"/>
      <c r="AD702" s="109"/>
      <c r="AE702" s="109"/>
      <c r="AF702" s="109"/>
      <c r="AG702" s="109"/>
      <c r="AH702" s="109"/>
      <c r="AI702" s="109"/>
      <c r="AJ702" s="109"/>
      <c r="AK702" s="109"/>
      <c r="AL702" s="109"/>
      <c r="AM702" s="109"/>
      <c r="AN702" s="109"/>
      <c r="AO702" s="109"/>
      <c r="AP702" s="109"/>
      <c r="AQ702" s="109"/>
      <c r="AR702" s="109"/>
      <c r="AS702" s="109"/>
      <c r="AT702" s="108"/>
      <c r="AU702" s="108"/>
      <c r="AV702" s="108"/>
      <c r="AW702" s="108"/>
      <c r="AX702" s="108"/>
      <c r="AY702" s="108"/>
      <c r="AZ702" s="108"/>
      <c r="BA702" s="108"/>
      <c r="BB702" s="108"/>
      <c r="BC702" s="108"/>
      <c r="BD702" s="108"/>
      <c r="BE702" s="108"/>
      <c r="BF702" s="108"/>
      <c r="BG702" s="108"/>
      <c r="BH702" s="108"/>
      <c r="BI702" s="108"/>
      <c r="BJ702" s="108"/>
      <c r="BK702" s="108"/>
      <c r="BL702" s="108"/>
      <c r="BM702" s="108"/>
      <c r="BN702" s="108"/>
      <c r="BO702" s="108"/>
      <c r="BP702" s="108"/>
      <c r="BQ702" s="108"/>
      <c r="BR702" s="108"/>
      <c r="BS702" s="108"/>
      <c r="BT702" s="108"/>
      <c r="BU702" s="108"/>
      <c r="BV702" s="108"/>
      <c r="BW702" s="108"/>
      <c r="BX702" s="108"/>
      <c r="BY702" s="108"/>
    </row>
    <row r="703" spans="1:77">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c r="AA703" s="109"/>
      <c r="AB703" s="109"/>
      <c r="AC703" s="109"/>
      <c r="AD703" s="109"/>
      <c r="AE703" s="109"/>
      <c r="AF703" s="109"/>
      <c r="AG703" s="109"/>
      <c r="AH703" s="109"/>
      <c r="AI703" s="109"/>
      <c r="AJ703" s="109"/>
      <c r="AK703" s="109"/>
      <c r="AL703" s="109"/>
      <c r="AM703" s="109"/>
      <c r="AN703" s="109"/>
      <c r="AO703" s="109"/>
      <c r="AP703" s="109"/>
      <c r="AQ703" s="109"/>
      <c r="AR703" s="109"/>
      <c r="AS703" s="109"/>
      <c r="AT703" s="108"/>
      <c r="AU703" s="108"/>
      <c r="AV703" s="108"/>
      <c r="AW703" s="108"/>
      <c r="AX703" s="108"/>
      <c r="AY703" s="108"/>
      <c r="AZ703" s="108"/>
      <c r="BA703" s="108"/>
      <c r="BB703" s="108"/>
      <c r="BC703" s="108"/>
      <c r="BD703" s="108"/>
      <c r="BE703" s="108"/>
      <c r="BF703" s="108"/>
      <c r="BG703" s="108"/>
      <c r="BH703" s="108"/>
      <c r="BI703" s="108"/>
      <c r="BJ703" s="108"/>
      <c r="BK703" s="108"/>
      <c r="BL703" s="108"/>
      <c r="BM703" s="108"/>
      <c r="BN703" s="108"/>
      <c r="BO703" s="108"/>
      <c r="BP703" s="108"/>
      <c r="BQ703" s="108"/>
      <c r="BR703" s="108"/>
      <c r="BS703" s="108"/>
      <c r="BT703" s="108"/>
      <c r="BU703" s="108"/>
      <c r="BV703" s="108"/>
      <c r="BW703" s="108"/>
      <c r="BX703" s="108"/>
      <c r="BY703" s="108"/>
    </row>
    <row r="704" spans="1:77">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c r="AA704" s="109"/>
      <c r="AB704" s="109"/>
      <c r="AC704" s="109"/>
      <c r="AD704" s="109"/>
      <c r="AE704" s="109"/>
      <c r="AF704" s="109"/>
      <c r="AG704" s="109"/>
      <c r="AH704" s="109"/>
      <c r="AI704" s="109"/>
      <c r="AJ704" s="109"/>
      <c r="AK704" s="109"/>
      <c r="AL704" s="109"/>
      <c r="AM704" s="109"/>
      <c r="AN704" s="109"/>
      <c r="AO704" s="109"/>
      <c r="AP704" s="109"/>
      <c r="AQ704" s="109"/>
      <c r="AR704" s="109"/>
      <c r="AS704" s="109"/>
      <c r="AT704" s="108"/>
      <c r="AU704" s="108"/>
      <c r="AV704" s="108"/>
      <c r="AW704" s="108"/>
      <c r="AX704" s="108"/>
      <c r="AY704" s="108"/>
      <c r="AZ704" s="108"/>
      <c r="BA704" s="108"/>
      <c r="BB704" s="108"/>
      <c r="BC704" s="108"/>
      <c r="BD704" s="108"/>
      <c r="BE704" s="108"/>
      <c r="BF704" s="108"/>
      <c r="BG704" s="108"/>
      <c r="BH704" s="108"/>
      <c r="BI704" s="108"/>
      <c r="BJ704" s="108"/>
      <c r="BK704" s="108"/>
      <c r="BL704" s="108"/>
      <c r="BM704" s="108"/>
      <c r="BN704" s="108"/>
      <c r="BO704" s="108"/>
      <c r="BP704" s="108"/>
      <c r="BQ704" s="108"/>
      <c r="BR704" s="108"/>
      <c r="BS704" s="108"/>
      <c r="BT704" s="108"/>
      <c r="BU704" s="108"/>
      <c r="BV704" s="108"/>
      <c r="BW704" s="108"/>
      <c r="BX704" s="108"/>
      <c r="BY704" s="108"/>
    </row>
    <row r="705" spans="1:77">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c r="AA705" s="109"/>
      <c r="AB705" s="109"/>
      <c r="AC705" s="109"/>
      <c r="AD705" s="109"/>
      <c r="AE705" s="109"/>
      <c r="AF705" s="109"/>
      <c r="AG705" s="109"/>
      <c r="AH705" s="109"/>
      <c r="AI705" s="109"/>
      <c r="AJ705" s="109"/>
      <c r="AK705" s="109"/>
      <c r="AL705" s="109"/>
      <c r="AM705" s="109"/>
      <c r="AN705" s="109"/>
      <c r="AO705" s="109"/>
      <c r="AP705" s="109"/>
      <c r="AQ705" s="109"/>
      <c r="AR705" s="109"/>
      <c r="AS705" s="109"/>
      <c r="AT705" s="108"/>
      <c r="AU705" s="108"/>
      <c r="AV705" s="108"/>
      <c r="AW705" s="108"/>
      <c r="AX705" s="108"/>
      <c r="AY705" s="108"/>
      <c r="AZ705" s="108"/>
      <c r="BA705" s="108"/>
      <c r="BB705" s="108"/>
      <c r="BC705" s="108"/>
      <c r="BD705" s="108"/>
      <c r="BE705" s="108"/>
      <c r="BF705" s="108"/>
      <c r="BG705" s="108"/>
      <c r="BH705" s="108"/>
      <c r="BI705" s="108"/>
      <c r="BJ705" s="108"/>
      <c r="BK705" s="108"/>
      <c r="BL705" s="108"/>
      <c r="BM705" s="108"/>
      <c r="BN705" s="108"/>
      <c r="BO705" s="108"/>
      <c r="BP705" s="108"/>
      <c r="BQ705" s="108"/>
      <c r="BR705" s="108"/>
      <c r="BS705" s="108"/>
      <c r="BT705" s="108"/>
      <c r="BU705" s="108"/>
      <c r="BV705" s="108"/>
      <c r="BW705" s="108"/>
      <c r="BX705" s="108"/>
      <c r="BY705" s="108"/>
    </row>
    <row r="706" spans="1:77">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c r="AA706" s="109"/>
      <c r="AB706" s="109"/>
      <c r="AC706" s="109"/>
      <c r="AD706" s="109"/>
      <c r="AE706" s="109"/>
      <c r="AF706" s="109"/>
      <c r="AG706" s="109"/>
      <c r="AH706" s="109"/>
      <c r="AI706" s="109"/>
      <c r="AJ706" s="109"/>
      <c r="AK706" s="109"/>
      <c r="AL706" s="109"/>
      <c r="AM706" s="109"/>
      <c r="AN706" s="109"/>
      <c r="AO706" s="109"/>
      <c r="AP706" s="109"/>
      <c r="AQ706" s="109"/>
      <c r="AR706" s="109"/>
      <c r="AS706" s="109"/>
      <c r="AT706" s="108"/>
      <c r="AU706" s="108"/>
      <c r="AV706" s="108"/>
      <c r="AW706" s="108"/>
      <c r="AX706" s="108"/>
      <c r="AY706" s="108"/>
      <c r="AZ706" s="108"/>
      <c r="BA706" s="108"/>
      <c r="BB706" s="108"/>
      <c r="BC706" s="108"/>
      <c r="BD706" s="108"/>
      <c r="BE706" s="108"/>
      <c r="BF706" s="108"/>
      <c r="BG706" s="108"/>
      <c r="BH706" s="108"/>
      <c r="BI706" s="108"/>
      <c r="BJ706" s="108"/>
      <c r="BK706" s="108"/>
      <c r="BL706" s="108"/>
      <c r="BM706" s="108"/>
      <c r="BN706" s="108"/>
      <c r="BO706" s="108"/>
      <c r="BP706" s="108"/>
      <c r="BQ706" s="108"/>
      <c r="BR706" s="108"/>
      <c r="BS706" s="108"/>
      <c r="BT706" s="108"/>
      <c r="BU706" s="108"/>
      <c r="BV706" s="108"/>
      <c r="BW706" s="108"/>
      <c r="BX706" s="108"/>
      <c r="BY706" s="108"/>
    </row>
    <row r="707" spans="1:77">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c r="AB707" s="109"/>
      <c r="AC707" s="109"/>
      <c r="AD707" s="109"/>
      <c r="AE707" s="109"/>
      <c r="AF707" s="109"/>
      <c r="AG707" s="109"/>
      <c r="AH707" s="109"/>
      <c r="AI707" s="109"/>
      <c r="AJ707" s="109"/>
      <c r="AK707" s="109"/>
      <c r="AL707" s="109"/>
      <c r="AM707" s="109"/>
      <c r="AN707" s="109"/>
      <c r="AO707" s="109"/>
      <c r="AP707" s="109"/>
      <c r="AQ707" s="109"/>
      <c r="AR707" s="109"/>
      <c r="AS707" s="109"/>
      <c r="AT707" s="108"/>
      <c r="AU707" s="108"/>
      <c r="AV707" s="108"/>
      <c r="AW707" s="108"/>
      <c r="AX707" s="108"/>
      <c r="AY707" s="108"/>
      <c r="AZ707" s="108"/>
      <c r="BA707" s="108"/>
      <c r="BB707" s="108"/>
      <c r="BC707" s="108"/>
      <c r="BD707" s="108"/>
      <c r="BE707" s="108"/>
      <c r="BF707" s="108"/>
      <c r="BG707" s="108"/>
      <c r="BH707" s="108"/>
      <c r="BI707" s="108"/>
      <c r="BJ707" s="108"/>
      <c r="BK707" s="108"/>
      <c r="BL707" s="108"/>
      <c r="BM707" s="108"/>
      <c r="BN707" s="108"/>
      <c r="BO707" s="108"/>
      <c r="BP707" s="108"/>
      <c r="BQ707" s="108"/>
      <c r="BR707" s="108"/>
      <c r="BS707" s="108"/>
      <c r="BT707" s="108"/>
      <c r="BU707" s="108"/>
      <c r="BV707" s="108"/>
      <c r="BW707" s="108"/>
      <c r="BX707" s="108"/>
      <c r="BY707" s="108"/>
    </row>
    <row r="708" spans="1:77">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c r="AA708" s="109"/>
      <c r="AB708" s="109"/>
      <c r="AC708" s="109"/>
      <c r="AD708" s="109"/>
      <c r="AE708" s="109"/>
      <c r="AF708" s="109"/>
      <c r="AG708" s="109"/>
      <c r="AH708" s="109"/>
      <c r="AI708" s="109"/>
      <c r="AJ708" s="109"/>
      <c r="AK708" s="109"/>
      <c r="AL708" s="109"/>
      <c r="AM708" s="109"/>
      <c r="AN708" s="109"/>
      <c r="AO708" s="109"/>
      <c r="AP708" s="109"/>
      <c r="AQ708" s="109"/>
      <c r="AR708" s="109"/>
      <c r="AS708" s="109"/>
      <c r="AT708" s="108"/>
      <c r="AU708" s="108"/>
      <c r="AV708" s="108"/>
      <c r="AW708" s="108"/>
      <c r="AX708" s="108"/>
      <c r="AY708" s="108"/>
      <c r="AZ708" s="108"/>
      <c r="BA708" s="108"/>
      <c r="BB708" s="108"/>
      <c r="BC708" s="108"/>
      <c r="BD708" s="108"/>
      <c r="BE708" s="108"/>
      <c r="BF708" s="108"/>
      <c r="BG708" s="108"/>
      <c r="BH708" s="108"/>
      <c r="BI708" s="108"/>
      <c r="BJ708" s="108"/>
      <c r="BK708" s="108"/>
      <c r="BL708" s="108"/>
      <c r="BM708" s="108"/>
      <c r="BN708" s="108"/>
      <c r="BO708" s="108"/>
      <c r="BP708" s="108"/>
      <c r="BQ708" s="108"/>
      <c r="BR708" s="108"/>
      <c r="BS708" s="108"/>
      <c r="BT708" s="108"/>
      <c r="BU708" s="108"/>
      <c r="BV708" s="108"/>
      <c r="BW708" s="108"/>
      <c r="BX708" s="108"/>
      <c r="BY708" s="108"/>
    </row>
    <row r="709" spans="1:77">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c r="AA709" s="109"/>
      <c r="AB709" s="109"/>
      <c r="AC709" s="109"/>
      <c r="AD709" s="109"/>
      <c r="AE709" s="109"/>
      <c r="AF709" s="109"/>
      <c r="AG709" s="109"/>
      <c r="AH709" s="109"/>
      <c r="AI709" s="109"/>
      <c r="AJ709" s="109"/>
      <c r="AK709" s="109"/>
      <c r="AL709" s="109"/>
      <c r="AM709" s="109"/>
      <c r="AN709" s="109"/>
      <c r="AO709" s="109"/>
      <c r="AP709" s="109"/>
      <c r="AQ709" s="109"/>
      <c r="AR709" s="109"/>
      <c r="AS709" s="109"/>
      <c r="AT709" s="108"/>
      <c r="AU709" s="108"/>
      <c r="AV709" s="108"/>
      <c r="AW709" s="108"/>
      <c r="AX709" s="108"/>
      <c r="AY709" s="108"/>
      <c r="AZ709" s="108"/>
      <c r="BA709" s="108"/>
      <c r="BB709" s="108"/>
      <c r="BC709" s="108"/>
      <c r="BD709" s="108"/>
      <c r="BE709" s="108"/>
      <c r="BF709" s="108"/>
      <c r="BG709" s="108"/>
      <c r="BH709" s="108"/>
      <c r="BI709" s="108"/>
      <c r="BJ709" s="108"/>
      <c r="BK709" s="108"/>
      <c r="BL709" s="108"/>
      <c r="BM709" s="108"/>
      <c r="BN709" s="108"/>
      <c r="BO709" s="108"/>
      <c r="BP709" s="108"/>
      <c r="BQ709" s="108"/>
      <c r="BR709" s="108"/>
      <c r="BS709" s="108"/>
      <c r="BT709" s="108"/>
      <c r="BU709" s="108"/>
      <c r="BV709" s="108"/>
      <c r="BW709" s="108"/>
      <c r="BX709" s="108"/>
      <c r="BY709" s="108"/>
    </row>
    <row r="710" spans="1:77">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c r="AA710" s="109"/>
      <c r="AB710" s="109"/>
      <c r="AC710" s="109"/>
      <c r="AD710" s="109"/>
      <c r="AE710" s="109"/>
      <c r="AF710" s="109"/>
      <c r="AG710" s="109"/>
      <c r="AH710" s="109"/>
      <c r="AI710" s="109"/>
      <c r="AJ710" s="109"/>
      <c r="AK710" s="109"/>
      <c r="AL710" s="109"/>
      <c r="AM710" s="109"/>
      <c r="AN710" s="109"/>
      <c r="AO710" s="109"/>
      <c r="AP710" s="109"/>
      <c r="AQ710" s="109"/>
      <c r="AR710" s="109"/>
      <c r="AS710" s="109"/>
      <c r="AT710" s="108"/>
      <c r="AU710" s="108"/>
      <c r="AV710" s="108"/>
      <c r="AW710" s="108"/>
      <c r="AX710" s="108"/>
      <c r="AY710" s="108"/>
      <c r="AZ710" s="108"/>
      <c r="BA710" s="108"/>
      <c r="BB710" s="108"/>
      <c r="BC710" s="108"/>
      <c r="BD710" s="108"/>
      <c r="BE710" s="108"/>
      <c r="BF710" s="108"/>
      <c r="BG710" s="108"/>
      <c r="BH710" s="108"/>
      <c r="BI710" s="108"/>
      <c r="BJ710" s="108"/>
      <c r="BK710" s="108"/>
      <c r="BL710" s="108"/>
      <c r="BM710" s="108"/>
      <c r="BN710" s="108"/>
      <c r="BO710" s="108"/>
      <c r="BP710" s="108"/>
      <c r="BQ710" s="108"/>
      <c r="BR710" s="108"/>
      <c r="BS710" s="108"/>
      <c r="BT710" s="108"/>
      <c r="BU710" s="108"/>
      <c r="BV710" s="108"/>
      <c r="BW710" s="108"/>
      <c r="BX710" s="108"/>
      <c r="BY710" s="108"/>
    </row>
    <row r="711" spans="1:77">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c r="AA711" s="109"/>
      <c r="AB711" s="109"/>
      <c r="AC711" s="109"/>
      <c r="AD711" s="109"/>
      <c r="AE711" s="109"/>
      <c r="AF711" s="109"/>
      <c r="AG711" s="109"/>
      <c r="AH711" s="109"/>
      <c r="AI711" s="109"/>
      <c r="AJ711" s="109"/>
      <c r="AK711" s="109"/>
      <c r="AL711" s="109"/>
      <c r="AM711" s="109"/>
      <c r="AN711" s="109"/>
      <c r="AO711" s="109"/>
      <c r="AP711" s="109"/>
      <c r="AQ711" s="109"/>
      <c r="AR711" s="109"/>
      <c r="AS711" s="109"/>
      <c r="AT711" s="108"/>
      <c r="AU711" s="108"/>
      <c r="AV711" s="108"/>
      <c r="AW711" s="108"/>
      <c r="AX711" s="108"/>
      <c r="AY711" s="108"/>
      <c r="AZ711" s="108"/>
      <c r="BA711" s="108"/>
      <c r="BB711" s="108"/>
      <c r="BC711" s="108"/>
      <c r="BD711" s="108"/>
      <c r="BE711" s="108"/>
      <c r="BF711" s="108"/>
      <c r="BG711" s="108"/>
      <c r="BH711" s="108"/>
      <c r="BI711" s="108"/>
      <c r="BJ711" s="108"/>
      <c r="BK711" s="108"/>
      <c r="BL711" s="108"/>
      <c r="BM711" s="108"/>
      <c r="BN711" s="108"/>
      <c r="BO711" s="108"/>
      <c r="BP711" s="108"/>
      <c r="BQ711" s="108"/>
      <c r="BR711" s="108"/>
      <c r="BS711" s="108"/>
      <c r="BT711" s="108"/>
      <c r="BU711" s="108"/>
      <c r="BV711" s="108"/>
      <c r="BW711" s="108"/>
      <c r="BX711" s="108"/>
      <c r="BY711" s="108"/>
    </row>
    <row r="712" spans="1:77">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c r="AH712" s="109"/>
      <c r="AI712" s="109"/>
      <c r="AJ712" s="109"/>
      <c r="AK712" s="109"/>
      <c r="AL712" s="109"/>
      <c r="AM712" s="109"/>
      <c r="AN712" s="109"/>
      <c r="AO712" s="109"/>
      <c r="AP712" s="109"/>
      <c r="AQ712" s="109"/>
      <c r="AR712" s="109"/>
      <c r="AS712" s="109"/>
      <c r="AT712" s="108"/>
      <c r="AU712" s="108"/>
      <c r="AV712" s="108"/>
      <c r="AW712" s="108"/>
      <c r="AX712" s="108"/>
      <c r="AY712" s="108"/>
      <c r="AZ712" s="108"/>
      <c r="BA712" s="108"/>
      <c r="BB712" s="108"/>
      <c r="BC712" s="108"/>
      <c r="BD712" s="108"/>
      <c r="BE712" s="108"/>
      <c r="BF712" s="108"/>
      <c r="BG712" s="108"/>
      <c r="BH712" s="108"/>
      <c r="BI712" s="108"/>
      <c r="BJ712" s="108"/>
      <c r="BK712" s="108"/>
      <c r="BL712" s="108"/>
      <c r="BM712" s="108"/>
      <c r="BN712" s="108"/>
      <c r="BO712" s="108"/>
      <c r="BP712" s="108"/>
      <c r="BQ712" s="108"/>
      <c r="BR712" s="108"/>
      <c r="BS712" s="108"/>
      <c r="BT712" s="108"/>
      <c r="BU712" s="108"/>
      <c r="BV712" s="108"/>
      <c r="BW712" s="108"/>
      <c r="BX712" s="108"/>
      <c r="BY712" s="108"/>
    </row>
    <row r="713" spans="1:77">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c r="AA713" s="109"/>
      <c r="AB713" s="109"/>
      <c r="AC713" s="109"/>
      <c r="AD713" s="109"/>
      <c r="AE713" s="109"/>
      <c r="AF713" s="109"/>
      <c r="AG713" s="109"/>
      <c r="AH713" s="109"/>
      <c r="AI713" s="109"/>
      <c r="AJ713" s="109"/>
      <c r="AK713" s="109"/>
      <c r="AL713" s="109"/>
      <c r="AM713" s="109"/>
      <c r="AN713" s="109"/>
      <c r="AO713" s="109"/>
      <c r="AP713" s="109"/>
      <c r="AQ713" s="109"/>
      <c r="AR713" s="109"/>
      <c r="AS713" s="109"/>
      <c r="AT713" s="108"/>
      <c r="AU713" s="108"/>
      <c r="AV713" s="108"/>
      <c r="AW713" s="108"/>
      <c r="AX713" s="108"/>
      <c r="AY713" s="108"/>
      <c r="AZ713" s="108"/>
      <c r="BA713" s="108"/>
      <c r="BB713" s="108"/>
      <c r="BC713" s="108"/>
      <c r="BD713" s="108"/>
      <c r="BE713" s="108"/>
      <c r="BF713" s="108"/>
      <c r="BG713" s="108"/>
      <c r="BH713" s="108"/>
      <c r="BI713" s="108"/>
      <c r="BJ713" s="108"/>
      <c r="BK713" s="108"/>
      <c r="BL713" s="108"/>
      <c r="BM713" s="108"/>
      <c r="BN713" s="108"/>
      <c r="BO713" s="108"/>
      <c r="BP713" s="108"/>
      <c r="BQ713" s="108"/>
      <c r="BR713" s="108"/>
      <c r="BS713" s="108"/>
      <c r="BT713" s="108"/>
      <c r="BU713" s="108"/>
      <c r="BV713" s="108"/>
      <c r="BW713" s="108"/>
      <c r="BX713" s="108"/>
      <c r="BY713" s="108"/>
    </row>
    <row r="714" spans="1:77">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c r="AA714" s="109"/>
      <c r="AB714" s="109"/>
      <c r="AC714" s="109"/>
      <c r="AD714" s="109"/>
      <c r="AE714" s="109"/>
      <c r="AF714" s="109"/>
      <c r="AG714" s="109"/>
      <c r="AH714" s="109"/>
      <c r="AI714" s="109"/>
      <c r="AJ714" s="109"/>
      <c r="AK714" s="109"/>
      <c r="AL714" s="109"/>
      <c r="AM714" s="109"/>
      <c r="AN714" s="109"/>
      <c r="AO714" s="109"/>
      <c r="AP714" s="109"/>
      <c r="AQ714" s="109"/>
      <c r="AR714" s="109"/>
      <c r="AS714" s="109"/>
      <c r="AT714" s="108"/>
      <c r="AU714" s="108"/>
      <c r="AV714" s="108"/>
      <c r="AW714" s="108"/>
      <c r="AX714" s="108"/>
      <c r="AY714" s="108"/>
      <c r="AZ714" s="108"/>
      <c r="BA714" s="108"/>
      <c r="BB714" s="108"/>
      <c r="BC714" s="108"/>
      <c r="BD714" s="108"/>
      <c r="BE714" s="108"/>
      <c r="BF714" s="108"/>
      <c r="BG714" s="108"/>
      <c r="BH714" s="108"/>
      <c r="BI714" s="108"/>
      <c r="BJ714" s="108"/>
      <c r="BK714" s="108"/>
      <c r="BL714" s="108"/>
      <c r="BM714" s="108"/>
      <c r="BN714" s="108"/>
      <c r="BO714" s="108"/>
      <c r="BP714" s="108"/>
      <c r="BQ714" s="108"/>
      <c r="BR714" s="108"/>
      <c r="BS714" s="108"/>
      <c r="BT714" s="108"/>
      <c r="BU714" s="108"/>
      <c r="BV714" s="108"/>
      <c r="BW714" s="108"/>
      <c r="BX714" s="108"/>
      <c r="BY714" s="108"/>
    </row>
    <row r="715" spans="1:77">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c r="AA715" s="109"/>
      <c r="AB715" s="109"/>
      <c r="AC715" s="109"/>
      <c r="AD715" s="109"/>
      <c r="AE715" s="109"/>
      <c r="AF715" s="109"/>
      <c r="AG715" s="109"/>
      <c r="AH715" s="109"/>
      <c r="AI715" s="109"/>
      <c r="AJ715" s="109"/>
      <c r="AK715" s="109"/>
      <c r="AL715" s="109"/>
      <c r="AM715" s="109"/>
      <c r="AN715" s="109"/>
      <c r="AO715" s="109"/>
      <c r="AP715" s="109"/>
      <c r="AQ715" s="109"/>
      <c r="AR715" s="109"/>
      <c r="AS715" s="109"/>
      <c r="AT715" s="108"/>
      <c r="AU715" s="108"/>
      <c r="AV715" s="108"/>
      <c r="AW715" s="108"/>
      <c r="AX715" s="108"/>
      <c r="AY715" s="108"/>
      <c r="AZ715" s="108"/>
      <c r="BA715" s="108"/>
      <c r="BB715" s="108"/>
      <c r="BC715" s="108"/>
      <c r="BD715" s="108"/>
      <c r="BE715" s="108"/>
      <c r="BF715" s="108"/>
      <c r="BG715" s="108"/>
      <c r="BH715" s="108"/>
      <c r="BI715" s="108"/>
      <c r="BJ715" s="108"/>
      <c r="BK715" s="108"/>
      <c r="BL715" s="108"/>
      <c r="BM715" s="108"/>
      <c r="BN715" s="108"/>
      <c r="BO715" s="108"/>
      <c r="BP715" s="108"/>
      <c r="BQ715" s="108"/>
      <c r="BR715" s="108"/>
      <c r="BS715" s="108"/>
      <c r="BT715" s="108"/>
      <c r="BU715" s="108"/>
      <c r="BV715" s="108"/>
      <c r="BW715" s="108"/>
      <c r="BX715" s="108"/>
      <c r="BY715" s="108"/>
    </row>
    <row r="716" spans="1:77">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c r="AA716" s="109"/>
      <c r="AB716" s="109"/>
      <c r="AC716" s="109"/>
      <c r="AD716" s="109"/>
      <c r="AE716" s="109"/>
      <c r="AF716" s="109"/>
      <c r="AG716" s="109"/>
      <c r="AH716" s="109"/>
      <c r="AI716" s="109"/>
      <c r="AJ716" s="109"/>
      <c r="AK716" s="109"/>
      <c r="AL716" s="109"/>
      <c r="AM716" s="109"/>
      <c r="AN716" s="109"/>
      <c r="AO716" s="109"/>
      <c r="AP716" s="109"/>
      <c r="AQ716" s="109"/>
      <c r="AR716" s="109"/>
      <c r="AS716" s="109"/>
      <c r="AT716" s="108"/>
      <c r="AU716" s="108"/>
      <c r="AV716" s="108"/>
      <c r="AW716" s="108"/>
      <c r="AX716" s="108"/>
      <c r="AY716" s="108"/>
      <c r="AZ716" s="108"/>
      <c r="BA716" s="108"/>
      <c r="BB716" s="108"/>
      <c r="BC716" s="108"/>
      <c r="BD716" s="108"/>
      <c r="BE716" s="108"/>
      <c r="BF716" s="108"/>
      <c r="BG716" s="108"/>
      <c r="BH716" s="108"/>
      <c r="BI716" s="108"/>
      <c r="BJ716" s="108"/>
      <c r="BK716" s="108"/>
      <c r="BL716" s="108"/>
      <c r="BM716" s="108"/>
      <c r="BN716" s="108"/>
      <c r="BO716" s="108"/>
      <c r="BP716" s="108"/>
      <c r="BQ716" s="108"/>
      <c r="BR716" s="108"/>
      <c r="BS716" s="108"/>
      <c r="BT716" s="108"/>
      <c r="BU716" s="108"/>
      <c r="BV716" s="108"/>
      <c r="BW716" s="108"/>
      <c r="BX716" s="108"/>
      <c r="BY716" s="108"/>
    </row>
    <row r="717" spans="1:77">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c r="AB717" s="109"/>
      <c r="AC717" s="109"/>
      <c r="AD717" s="109"/>
      <c r="AE717" s="109"/>
      <c r="AF717" s="109"/>
      <c r="AG717" s="109"/>
      <c r="AH717" s="109"/>
      <c r="AI717" s="109"/>
      <c r="AJ717" s="109"/>
      <c r="AK717" s="109"/>
      <c r="AL717" s="109"/>
      <c r="AM717" s="109"/>
      <c r="AN717" s="109"/>
      <c r="AO717" s="109"/>
      <c r="AP717" s="109"/>
      <c r="AQ717" s="109"/>
      <c r="AR717" s="109"/>
      <c r="AS717" s="109"/>
      <c r="AT717" s="108"/>
      <c r="AU717" s="108"/>
      <c r="AV717" s="108"/>
      <c r="AW717" s="108"/>
      <c r="AX717" s="108"/>
      <c r="AY717" s="108"/>
      <c r="AZ717" s="108"/>
      <c r="BA717" s="108"/>
      <c r="BB717" s="108"/>
      <c r="BC717" s="108"/>
      <c r="BD717" s="108"/>
      <c r="BE717" s="108"/>
      <c r="BF717" s="108"/>
      <c r="BG717" s="108"/>
      <c r="BH717" s="108"/>
      <c r="BI717" s="108"/>
      <c r="BJ717" s="108"/>
      <c r="BK717" s="108"/>
      <c r="BL717" s="108"/>
      <c r="BM717" s="108"/>
      <c r="BN717" s="108"/>
      <c r="BO717" s="108"/>
      <c r="BP717" s="108"/>
      <c r="BQ717" s="108"/>
      <c r="BR717" s="108"/>
      <c r="BS717" s="108"/>
      <c r="BT717" s="108"/>
      <c r="BU717" s="108"/>
      <c r="BV717" s="108"/>
      <c r="BW717" s="108"/>
      <c r="BX717" s="108"/>
      <c r="BY717" s="108"/>
    </row>
    <row r="718" spans="1:77">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c r="AA718" s="109"/>
      <c r="AB718" s="109"/>
      <c r="AC718" s="109"/>
      <c r="AD718" s="109"/>
      <c r="AE718" s="109"/>
      <c r="AF718" s="109"/>
      <c r="AG718" s="109"/>
      <c r="AH718" s="109"/>
      <c r="AI718" s="109"/>
      <c r="AJ718" s="109"/>
      <c r="AK718" s="109"/>
      <c r="AL718" s="109"/>
      <c r="AM718" s="109"/>
      <c r="AN718" s="109"/>
      <c r="AO718" s="109"/>
      <c r="AP718" s="109"/>
      <c r="AQ718" s="109"/>
      <c r="AR718" s="109"/>
      <c r="AS718" s="109"/>
      <c r="AT718" s="108"/>
      <c r="AU718" s="108"/>
      <c r="AV718" s="108"/>
      <c r="AW718" s="108"/>
      <c r="AX718" s="108"/>
      <c r="AY718" s="108"/>
      <c r="AZ718" s="108"/>
      <c r="BA718" s="108"/>
      <c r="BB718" s="108"/>
      <c r="BC718" s="108"/>
      <c r="BD718" s="108"/>
      <c r="BE718" s="108"/>
      <c r="BF718" s="108"/>
      <c r="BG718" s="108"/>
      <c r="BH718" s="108"/>
      <c r="BI718" s="108"/>
      <c r="BJ718" s="108"/>
      <c r="BK718" s="108"/>
      <c r="BL718" s="108"/>
      <c r="BM718" s="108"/>
      <c r="BN718" s="108"/>
      <c r="BO718" s="108"/>
      <c r="BP718" s="108"/>
      <c r="BQ718" s="108"/>
      <c r="BR718" s="108"/>
      <c r="BS718" s="108"/>
      <c r="BT718" s="108"/>
      <c r="BU718" s="108"/>
      <c r="BV718" s="108"/>
      <c r="BW718" s="108"/>
      <c r="BX718" s="108"/>
      <c r="BY718" s="108"/>
    </row>
    <row r="719" spans="1:77">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c r="AE719" s="109"/>
      <c r="AF719" s="109"/>
      <c r="AG719" s="109"/>
      <c r="AH719" s="109"/>
      <c r="AI719" s="109"/>
      <c r="AJ719" s="109"/>
      <c r="AK719" s="109"/>
      <c r="AL719" s="109"/>
      <c r="AM719" s="109"/>
      <c r="AN719" s="109"/>
      <c r="AO719" s="109"/>
      <c r="AP719" s="109"/>
      <c r="AQ719" s="109"/>
      <c r="AR719" s="109"/>
      <c r="AS719" s="109"/>
      <c r="AT719" s="108"/>
      <c r="AU719" s="108"/>
      <c r="AV719" s="108"/>
      <c r="AW719" s="108"/>
      <c r="AX719" s="108"/>
      <c r="AY719" s="108"/>
      <c r="AZ719" s="108"/>
      <c r="BA719" s="108"/>
      <c r="BB719" s="108"/>
      <c r="BC719" s="108"/>
      <c r="BD719" s="108"/>
      <c r="BE719" s="108"/>
      <c r="BF719" s="108"/>
      <c r="BG719" s="108"/>
      <c r="BH719" s="108"/>
      <c r="BI719" s="108"/>
      <c r="BJ719" s="108"/>
      <c r="BK719" s="108"/>
      <c r="BL719" s="108"/>
      <c r="BM719" s="108"/>
      <c r="BN719" s="108"/>
      <c r="BO719" s="108"/>
      <c r="BP719" s="108"/>
      <c r="BQ719" s="108"/>
      <c r="BR719" s="108"/>
      <c r="BS719" s="108"/>
      <c r="BT719" s="108"/>
      <c r="BU719" s="108"/>
      <c r="BV719" s="108"/>
      <c r="BW719" s="108"/>
      <c r="BX719" s="108"/>
      <c r="BY719" s="108"/>
    </row>
    <row r="720" spans="1:77">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c r="AA720" s="109"/>
      <c r="AB720" s="109"/>
      <c r="AC720" s="109"/>
      <c r="AD720" s="109"/>
      <c r="AE720" s="109"/>
      <c r="AF720" s="109"/>
      <c r="AG720" s="109"/>
      <c r="AH720" s="109"/>
      <c r="AI720" s="109"/>
      <c r="AJ720" s="109"/>
      <c r="AK720" s="109"/>
      <c r="AL720" s="109"/>
      <c r="AM720" s="109"/>
      <c r="AN720" s="109"/>
      <c r="AO720" s="109"/>
      <c r="AP720" s="109"/>
      <c r="AQ720" s="109"/>
      <c r="AR720" s="109"/>
      <c r="AS720" s="109"/>
      <c r="AT720" s="108"/>
      <c r="AU720" s="108"/>
      <c r="AV720" s="108"/>
      <c r="AW720" s="108"/>
      <c r="AX720" s="108"/>
      <c r="AY720" s="108"/>
      <c r="AZ720" s="108"/>
      <c r="BA720" s="108"/>
      <c r="BB720" s="108"/>
      <c r="BC720" s="108"/>
      <c r="BD720" s="108"/>
      <c r="BE720" s="108"/>
      <c r="BF720" s="108"/>
      <c r="BG720" s="108"/>
      <c r="BH720" s="108"/>
      <c r="BI720" s="108"/>
      <c r="BJ720" s="108"/>
      <c r="BK720" s="108"/>
      <c r="BL720" s="108"/>
      <c r="BM720" s="108"/>
      <c r="BN720" s="108"/>
      <c r="BO720" s="108"/>
      <c r="BP720" s="108"/>
      <c r="BQ720" s="108"/>
      <c r="BR720" s="108"/>
      <c r="BS720" s="108"/>
      <c r="BT720" s="108"/>
      <c r="BU720" s="108"/>
      <c r="BV720" s="108"/>
      <c r="BW720" s="108"/>
      <c r="BX720" s="108"/>
      <c r="BY720" s="108"/>
    </row>
    <row r="721" spans="1:77">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c r="AA721" s="109"/>
      <c r="AB721" s="109"/>
      <c r="AC721" s="109"/>
      <c r="AD721" s="109"/>
      <c r="AE721" s="109"/>
      <c r="AF721" s="109"/>
      <c r="AG721" s="109"/>
      <c r="AH721" s="109"/>
      <c r="AI721" s="109"/>
      <c r="AJ721" s="109"/>
      <c r="AK721" s="109"/>
      <c r="AL721" s="109"/>
      <c r="AM721" s="109"/>
      <c r="AN721" s="109"/>
      <c r="AO721" s="109"/>
      <c r="AP721" s="109"/>
      <c r="AQ721" s="109"/>
      <c r="AR721" s="109"/>
      <c r="AS721" s="109"/>
      <c r="AT721" s="108"/>
      <c r="AU721" s="108"/>
      <c r="AV721" s="108"/>
      <c r="AW721" s="108"/>
      <c r="AX721" s="108"/>
      <c r="AY721" s="108"/>
      <c r="AZ721" s="108"/>
      <c r="BA721" s="108"/>
      <c r="BB721" s="108"/>
      <c r="BC721" s="108"/>
      <c r="BD721" s="108"/>
      <c r="BE721" s="108"/>
      <c r="BF721" s="108"/>
      <c r="BG721" s="108"/>
      <c r="BH721" s="108"/>
      <c r="BI721" s="108"/>
      <c r="BJ721" s="108"/>
      <c r="BK721" s="108"/>
      <c r="BL721" s="108"/>
      <c r="BM721" s="108"/>
      <c r="BN721" s="108"/>
      <c r="BO721" s="108"/>
      <c r="BP721" s="108"/>
      <c r="BQ721" s="108"/>
      <c r="BR721" s="108"/>
      <c r="BS721" s="108"/>
      <c r="BT721" s="108"/>
      <c r="BU721" s="108"/>
      <c r="BV721" s="108"/>
      <c r="BW721" s="108"/>
      <c r="BX721" s="108"/>
      <c r="BY721" s="108"/>
    </row>
    <row r="722" spans="1:77">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c r="AB722" s="109"/>
      <c r="AC722" s="109"/>
      <c r="AD722" s="109"/>
      <c r="AE722" s="109"/>
      <c r="AF722" s="109"/>
      <c r="AG722" s="109"/>
      <c r="AH722" s="109"/>
      <c r="AI722" s="109"/>
      <c r="AJ722" s="109"/>
      <c r="AK722" s="109"/>
      <c r="AL722" s="109"/>
      <c r="AM722" s="109"/>
      <c r="AN722" s="109"/>
      <c r="AO722" s="109"/>
      <c r="AP722" s="109"/>
      <c r="AQ722" s="109"/>
      <c r="AR722" s="109"/>
      <c r="AS722" s="109"/>
      <c r="AT722" s="108"/>
      <c r="AU722" s="108"/>
      <c r="AV722" s="108"/>
      <c r="AW722" s="108"/>
      <c r="AX722" s="108"/>
      <c r="AY722" s="108"/>
      <c r="AZ722" s="108"/>
      <c r="BA722" s="108"/>
      <c r="BB722" s="108"/>
      <c r="BC722" s="108"/>
      <c r="BD722" s="108"/>
      <c r="BE722" s="108"/>
      <c r="BF722" s="108"/>
      <c r="BG722" s="108"/>
      <c r="BH722" s="108"/>
      <c r="BI722" s="108"/>
      <c r="BJ722" s="108"/>
      <c r="BK722" s="108"/>
      <c r="BL722" s="108"/>
      <c r="BM722" s="108"/>
      <c r="BN722" s="108"/>
      <c r="BO722" s="108"/>
      <c r="BP722" s="108"/>
      <c r="BQ722" s="108"/>
      <c r="BR722" s="108"/>
      <c r="BS722" s="108"/>
      <c r="BT722" s="108"/>
      <c r="BU722" s="108"/>
      <c r="BV722" s="108"/>
      <c r="BW722" s="108"/>
      <c r="BX722" s="108"/>
      <c r="BY722" s="108"/>
    </row>
    <row r="723" spans="1:77">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c r="AA723" s="109"/>
      <c r="AB723" s="109"/>
      <c r="AC723" s="109"/>
      <c r="AD723" s="109"/>
      <c r="AE723" s="109"/>
      <c r="AF723" s="109"/>
      <c r="AG723" s="109"/>
      <c r="AH723" s="109"/>
      <c r="AI723" s="109"/>
      <c r="AJ723" s="109"/>
      <c r="AK723" s="109"/>
      <c r="AL723" s="109"/>
      <c r="AM723" s="109"/>
      <c r="AN723" s="109"/>
      <c r="AO723" s="109"/>
      <c r="AP723" s="109"/>
      <c r="AQ723" s="109"/>
      <c r="AR723" s="109"/>
      <c r="AS723" s="109"/>
      <c r="AT723" s="108"/>
      <c r="AU723" s="108"/>
      <c r="AV723" s="108"/>
      <c r="AW723" s="108"/>
      <c r="AX723" s="108"/>
      <c r="AY723" s="108"/>
      <c r="AZ723" s="108"/>
      <c r="BA723" s="108"/>
      <c r="BB723" s="108"/>
      <c r="BC723" s="108"/>
      <c r="BD723" s="108"/>
      <c r="BE723" s="108"/>
      <c r="BF723" s="108"/>
      <c r="BG723" s="108"/>
      <c r="BH723" s="108"/>
      <c r="BI723" s="108"/>
      <c r="BJ723" s="108"/>
      <c r="BK723" s="108"/>
      <c r="BL723" s="108"/>
      <c r="BM723" s="108"/>
      <c r="BN723" s="108"/>
      <c r="BO723" s="108"/>
      <c r="BP723" s="108"/>
      <c r="BQ723" s="108"/>
      <c r="BR723" s="108"/>
      <c r="BS723" s="108"/>
      <c r="BT723" s="108"/>
      <c r="BU723" s="108"/>
      <c r="BV723" s="108"/>
      <c r="BW723" s="108"/>
      <c r="BX723" s="108"/>
      <c r="BY723" s="108"/>
    </row>
    <row r="724" spans="1:77">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c r="AE724" s="109"/>
      <c r="AF724" s="109"/>
      <c r="AG724" s="109"/>
      <c r="AH724" s="109"/>
      <c r="AI724" s="109"/>
      <c r="AJ724" s="109"/>
      <c r="AK724" s="109"/>
      <c r="AL724" s="109"/>
      <c r="AM724" s="109"/>
      <c r="AN724" s="109"/>
      <c r="AO724" s="109"/>
      <c r="AP724" s="109"/>
      <c r="AQ724" s="109"/>
      <c r="AR724" s="109"/>
      <c r="AS724" s="109"/>
      <c r="AT724" s="108"/>
      <c r="AU724" s="108"/>
      <c r="AV724" s="108"/>
      <c r="AW724" s="108"/>
      <c r="AX724" s="108"/>
      <c r="AY724" s="108"/>
      <c r="AZ724" s="108"/>
      <c r="BA724" s="108"/>
      <c r="BB724" s="108"/>
      <c r="BC724" s="108"/>
      <c r="BD724" s="108"/>
      <c r="BE724" s="108"/>
      <c r="BF724" s="108"/>
      <c r="BG724" s="108"/>
      <c r="BH724" s="108"/>
      <c r="BI724" s="108"/>
      <c r="BJ724" s="108"/>
      <c r="BK724" s="108"/>
      <c r="BL724" s="108"/>
      <c r="BM724" s="108"/>
      <c r="BN724" s="108"/>
      <c r="BO724" s="108"/>
      <c r="BP724" s="108"/>
      <c r="BQ724" s="108"/>
      <c r="BR724" s="108"/>
      <c r="BS724" s="108"/>
      <c r="BT724" s="108"/>
      <c r="BU724" s="108"/>
      <c r="BV724" s="108"/>
      <c r="BW724" s="108"/>
      <c r="BX724" s="108"/>
      <c r="BY724" s="108"/>
    </row>
    <row r="725" spans="1:77">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c r="AA725" s="109"/>
      <c r="AB725" s="109"/>
      <c r="AC725" s="109"/>
      <c r="AD725" s="109"/>
      <c r="AE725" s="109"/>
      <c r="AF725" s="109"/>
      <c r="AG725" s="109"/>
      <c r="AH725" s="109"/>
      <c r="AI725" s="109"/>
      <c r="AJ725" s="109"/>
      <c r="AK725" s="109"/>
      <c r="AL725" s="109"/>
      <c r="AM725" s="109"/>
      <c r="AN725" s="109"/>
      <c r="AO725" s="109"/>
      <c r="AP725" s="109"/>
      <c r="AQ725" s="109"/>
      <c r="AR725" s="109"/>
      <c r="AS725" s="109"/>
      <c r="AT725" s="108"/>
      <c r="AU725" s="108"/>
      <c r="AV725" s="108"/>
      <c r="AW725" s="108"/>
      <c r="AX725" s="108"/>
      <c r="AY725" s="108"/>
      <c r="AZ725" s="108"/>
      <c r="BA725" s="108"/>
      <c r="BB725" s="108"/>
      <c r="BC725" s="108"/>
      <c r="BD725" s="108"/>
      <c r="BE725" s="108"/>
      <c r="BF725" s="108"/>
      <c r="BG725" s="108"/>
      <c r="BH725" s="108"/>
      <c r="BI725" s="108"/>
      <c r="BJ725" s="108"/>
      <c r="BK725" s="108"/>
      <c r="BL725" s="108"/>
      <c r="BM725" s="108"/>
      <c r="BN725" s="108"/>
      <c r="BO725" s="108"/>
      <c r="BP725" s="108"/>
      <c r="BQ725" s="108"/>
      <c r="BR725" s="108"/>
      <c r="BS725" s="108"/>
      <c r="BT725" s="108"/>
      <c r="BU725" s="108"/>
      <c r="BV725" s="108"/>
      <c r="BW725" s="108"/>
      <c r="BX725" s="108"/>
      <c r="BY725" s="108"/>
    </row>
    <row r="726" spans="1:77">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c r="AA726" s="109"/>
      <c r="AB726" s="109"/>
      <c r="AC726" s="109"/>
      <c r="AD726" s="109"/>
      <c r="AE726" s="109"/>
      <c r="AF726" s="109"/>
      <c r="AG726" s="109"/>
      <c r="AH726" s="109"/>
      <c r="AI726" s="109"/>
      <c r="AJ726" s="109"/>
      <c r="AK726" s="109"/>
      <c r="AL726" s="109"/>
      <c r="AM726" s="109"/>
      <c r="AN726" s="109"/>
      <c r="AO726" s="109"/>
      <c r="AP726" s="109"/>
      <c r="AQ726" s="109"/>
      <c r="AR726" s="109"/>
      <c r="AS726" s="109"/>
      <c r="AT726" s="108"/>
      <c r="AU726" s="108"/>
      <c r="AV726" s="108"/>
      <c r="AW726" s="108"/>
      <c r="AX726" s="108"/>
      <c r="AY726" s="108"/>
      <c r="AZ726" s="108"/>
      <c r="BA726" s="108"/>
      <c r="BB726" s="108"/>
      <c r="BC726" s="108"/>
      <c r="BD726" s="108"/>
      <c r="BE726" s="108"/>
      <c r="BF726" s="108"/>
      <c r="BG726" s="108"/>
      <c r="BH726" s="108"/>
      <c r="BI726" s="108"/>
      <c r="BJ726" s="108"/>
      <c r="BK726" s="108"/>
      <c r="BL726" s="108"/>
      <c r="BM726" s="108"/>
      <c r="BN726" s="108"/>
      <c r="BO726" s="108"/>
      <c r="BP726" s="108"/>
      <c r="BQ726" s="108"/>
      <c r="BR726" s="108"/>
      <c r="BS726" s="108"/>
      <c r="BT726" s="108"/>
      <c r="BU726" s="108"/>
      <c r="BV726" s="108"/>
      <c r="BW726" s="108"/>
      <c r="BX726" s="108"/>
      <c r="BY726" s="108"/>
    </row>
    <row r="727" spans="1:77">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c r="AA727" s="109"/>
      <c r="AB727" s="109"/>
      <c r="AC727" s="109"/>
      <c r="AD727" s="109"/>
      <c r="AE727" s="109"/>
      <c r="AF727" s="109"/>
      <c r="AG727" s="109"/>
      <c r="AH727" s="109"/>
      <c r="AI727" s="109"/>
      <c r="AJ727" s="109"/>
      <c r="AK727" s="109"/>
      <c r="AL727" s="109"/>
      <c r="AM727" s="109"/>
      <c r="AN727" s="109"/>
      <c r="AO727" s="109"/>
      <c r="AP727" s="109"/>
      <c r="AQ727" s="109"/>
      <c r="AR727" s="109"/>
      <c r="AS727" s="109"/>
      <c r="AT727" s="108"/>
      <c r="AU727" s="108"/>
      <c r="AV727" s="108"/>
      <c r="AW727" s="108"/>
      <c r="AX727" s="108"/>
      <c r="AY727" s="108"/>
      <c r="AZ727" s="108"/>
      <c r="BA727" s="108"/>
      <c r="BB727" s="108"/>
      <c r="BC727" s="108"/>
      <c r="BD727" s="108"/>
      <c r="BE727" s="108"/>
      <c r="BF727" s="108"/>
      <c r="BG727" s="108"/>
      <c r="BH727" s="108"/>
      <c r="BI727" s="108"/>
      <c r="BJ727" s="108"/>
      <c r="BK727" s="108"/>
      <c r="BL727" s="108"/>
      <c r="BM727" s="108"/>
      <c r="BN727" s="108"/>
      <c r="BO727" s="108"/>
      <c r="BP727" s="108"/>
      <c r="BQ727" s="108"/>
      <c r="BR727" s="108"/>
      <c r="BS727" s="108"/>
      <c r="BT727" s="108"/>
      <c r="BU727" s="108"/>
      <c r="BV727" s="108"/>
      <c r="BW727" s="108"/>
      <c r="BX727" s="108"/>
      <c r="BY727" s="108"/>
    </row>
    <row r="728" spans="1:77">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c r="AA728" s="109"/>
      <c r="AB728" s="109"/>
      <c r="AC728" s="109"/>
      <c r="AD728" s="109"/>
      <c r="AE728" s="109"/>
      <c r="AF728" s="109"/>
      <c r="AG728" s="109"/>
      <c r="AH728" s="109"/>
      <c r="AI728" s="109"/>
      <c r="AJ728" s="109"/>
      <c r="AK728" s="109"/>
      <c r="AL728" s="109"/>
      <c r="AM728" s="109"/>
      <c r="AN728" s="109"/>
      <c r="AO728" s="109"/>
      <c r="AP728" s="109"/>
      <c r="AQ728" s="109"/>
      <c r="AR728" s="109"/>
      <c r="AS728" s="109"/>
      <c r="AT728" s="108"/>
      <c r="AU728" s="108"/>
      <c r="AV728" s="108"/>
      <c r="AW728" s="108"/>
      <c r="AX728" s="108"/>
      <c r="AY728" s="108"/>
      <c r="AZ728" s="108"/>
      <c r="BA728" s="108"/>
      <c r="BB728" s="108"/>
      <c r="BC728" s="108"/>
      <c r="BD728" s="108"/>
      <c r="BE728" s="108"/>
      <c r="BF728" s="108"/>
      <c r="BG728" s="108"/>
      <c r="BH728" s="108"/>
      <c r="BI728" s="108"/>
      <c r="BJ728" s="108"/>
      <c r="BK728" s="108"/>
      <c r="BL728" s="108"/>
      <c r="BM728" s="108"/>
      <c r="BN728" s="108"/>
      <c r="BO728" s="108"/>
      <c r="BP728" s="108"/>
      <c r="BQ728" s="108"/>
      <c r="BR728" s="108"/>
      <c r="BS728" s="108"/>
      <c r="BT728" s="108"/>
      <c r="BU728" s="108"/>
      <c r="BV728" s="108"/>
      <c r="BW728" s="108"/>
      <c r="BX728" s="108"/>
      <c r="BY728" s="108"/>
    </row>
    <row r="729" spans="1:77">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c r="AA729" s="109"/>
      <c r="AB729" s="109"/>
      <c r="AC729" s="109"/>
      <c r="AD729" s="109"/>
      <c r="AE729" s="109"/>
      <c r="AF729" s="109"/>
      <c r="AG729" s="109"/>
      <c r="AH729" s="109"/>
      <c r="AI729" s="109"/>
      <c r="AJ729" s="109"/>
      <c r="AK729" s="109"/>
      <c r="AL729" s="109"/>
      <c r="AM729" s="109"/>
      <c r="AN729" s="109"/>
      <c r="AO729" s="109"/>
      <c r="AP729" s="109"/>
      <c r="AQ729" s="109"/>
      <c r="AR729" s="109"/>
      <c r="AS729" s="109"/>
      <c r="AT729" s="108"/>
      <c r="AU729" s="108"/>
      <c r="AV729" s="108"/>
      <c r="AW729" s="108"/>
      <c r="AX729" s="108"/>
      <c r="AY729" s="108"/>
      <c r="AZ729" s="108"/>
      <c r="BA729" s="108"/>
      <c r="BB729" s="108"/>
      <c r="BC729" s="108"/>
      <c r="BD729" s="108"/>
      <c r="BE729" s="108"/>
      <c r="BF729" s="108"/>
      <c r="BG729" s="108"/>
      <c r="BH729" s="108"/>
      <c r="BI729" s="108"/>
      <c r="BJ729" s="108"/>
      <c r="BK729" s="108"/>
      <c r="BL729" s="108"/>
      <c r="BM729" s="108"/>
      <c r="BN729" s="108"/>
      <c r="BO729" s="108"/>
      <c r="BP729" s="108"/>
      <c r="BQ729" s="108"/>
      <c r="BR729" s="108"/>
      <c r="BS729" s="108"/>
      <c r="BT729" s="108"/>
      <c r="BU729" s="108"/>
      <c r="BV729" s="108"/>
      <c r="BW729" s="108"/>
      <c r="BX729" s="108"/>
      <c r="BY729" s="108"/>
    </row>
    <row r="730" spans="1:77">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c r="AA730" s="109"/>
      <c r="AB730" s="109"/>
      <c r="AC730" s="109"/>
      <c r="AD730" s="109"/>
      <c r="AE730" s="109"/>
      <c r="AF730" s="109"/>
      <c r="AG730" s="109"/>
      <c r="AH730" s="109"/>
      <c r="AI730" s="109"/>
      <c r="AJ730" s="109"/>
      <c r="AK730" s="109"/>
      <c r="AL730" s="109"/>
      <c r="AM730" s="109"/>
      <c r="AN730" s="109"/>
      <c r="AO730" s="109"/>
      <c r="AP730" s="109"/>
      <c r="AQ730" s="109"/>
      <c r="AR730" s="109"/>
      <c r="AS730" s="109"/>
      <c r="AT730" s="108"/>
      <c r="AU730" s="108"/>
      <c r="AV730" s="108"/>
      <c r="AW730" s="108"/>
      <c r="AX730" s="108"/>
      <c r="AY730" s="108"/>
      <c r="AZ730" s="108"/>
      <c r="BA730" s="108"/>
      <c r="BB730" s="108"/>
      <c r="BC730" s="108"/>
      <c r="BD730" s="108"/>
      <c r="BE730" s="108"/>
      <c r="BF730" s="108"/>
      <c r="BG730" s="108"/>
      <c r="BH730" s="108"/>
      <c r="BI730" s="108"/>
      <c r="BJ730" s="108"/>
      <c r="BK730" s="108"/>
      <c r="BL730" s="108"/>
      <c r="BM730" s="108"/>
      <c r="BN730" s="108"/>
      <c r="BO730" s="108"/>
      <c r="BP730" s="108"/>
      <c r="BQ730" s="108"/>
      <c r="BR730" s="108"/>
      <c r="BS730" s="108"/>
      <c r="BT730" s="108"/>
      <c r="BU730" s="108"/>
      <c r="BV730" s="108"/>
      <c r="BW730" s="108"/>
      <c r="BX730" s="108"/>
      <c r="BY730" s="108"/>
    </row>
    <row r="731" spans="1:77">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c r="AA731" s="109"/>
      <c r="AB731" s="109"/>
      <c r="AC731" s="109"/>
      <c r="AD731" s="109"/>
      <c r="AE731" s="109"/>
      <c r="AF731" s="109"/>
      <c r="AG731" s="109"/>
      <c r="AH731" s="109"/>
      <c r="AI731" s="109"/>
      <c r="AJ731" s="109"/>
      <c r="AK731" s="109"/>
      <c r="AL731" s="109"/>
      <c r="AM731" s="109"/>
      <c r="AN731" s="109"/>
      <c r="AO731" s="109"/>
      <c r="AP731" s="109"/>
      <c r="AQ731" s="109"/>
      <c r="AR731" s="109"/>
      <c r="AS731" s="109"/>
      <c r="AT731" s="108"/>
      <c r="AU731" s="108"/>
      <c r="AV731" s="108"/>
      <c r="AW731" s="108"/>
      <c r="AX731" s="108"/>
      <c r="AY731" s="108"/>
      <c r="AZ731" s="108"/>
      <c r="BA731" s="108"/>
      <c r="BB731" s="108"/>
      <c r="BC731" s="108"/>
      <c r="BD731" s="108"/>
      <c r="BE731" s="108"/>
      <c r="BF731" s="108"/>
      <c r="BG731" s="108"/>
      <c r="BH731" s="108"/>
      <c r="BI731" s="108"/>
      <c r="BJ731" s="108"/>
      <c r="BK731" s="108"/>
      <c r="BL731" s="108"/>
      <c r="BM731" s="108"/>
      <c r="BN731" s="108"/>
      <c r="BO731" s="108"/>
      <c r="BP731" s="108"/>
      <c r="BQ731" s="108"/>
      <c r="BR731" s="108"/>
      <c r="BS731" s="108"/>
      <c r="BT731" s="108"/>
      <c r="BU731" s="108"/>
      <c r="BV731" s="108"/>
      <c r="BW731" s="108"/>
      <c r="BX731" s="108"/>
      <c r="BY731" s="108"/>
    </row>
    <row r="732" spans="1:77">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c r="AE732" s="109"/>
      <c r="AF732" s="109"/>
      <c r="AG732" s="109"/>
      <c r="AH732" s="109"/>
      <c r="AI732" s="109"/>
      <c r="AJ732" s="109"/>
      <c r="AK732" s="109"/>
      <c r="AL732" s="109"/>
      <c r="AM732" s="109"/>
      <c r="AN732" s="109"/>
      <c r="AO732" s="109"/>
      <c r="AP732" s="109"/>
      <c r="AQ732" s="109"/>
      <c r="AR732" s="109"/>
      <c r="AS732" s="109"/>
      <c r="AT732" s="108"/>
      <c r="AU732" s="108"/>
      <c r="AV732" s="108"/>
      <c r="AW732" s="108"/>
      <c r="AX732" s="108"/>
      <c r="AY732" s="108"/>
      <c r="AZ732" s="108"/>
      <c r="BA732" s="108"/>
      <c r="BB732" s="108"/>
      <c r="BC732" s="108"/>
      <c r="BD732" s="108"/>
      <c r="BE732" s="108"/>
      <c r="BF732" s="108"/>
      <c r="BG732" s="108"/>
      <c r="BH732" s="108"/>
      <c r="BI732" s="108"/>
      <c r="BJ732" s="108"/>
      <c r="BK732" s="108"/>
      <c r="BL732" s="108"/>
      <c r="BM732" s="108"/>
      <c r="BN732" s="108"/>
      <c r="BO732" s="108"/>
      <c r="BP732" s="108"/>
      <c r="BQ732" s="108"/>
      <c r="BR732" s="108"/>
      <c r="BS732" s="108"/>
      <c r="BT732" s="108"/>
      <c r="BU732" s="108"/>
      <c r="BV732" s="108"/>
      <c r="BW732" s="108"/>
      <c r="BX732" s="108"/>
      <c r="BY732" s="108"/>
    </row>
    <row r="733" spans="1:77">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c r="AA733" s="109"/>
      <c r="AB733" s="109"/>
      <c r="AC733" s="109"/>
      <c r="AD733" s="109"/>
      <c r="AE733" s="109"/>
      <c r="AF733" s="109"/>
      <c r="AG733" s="109"/>
      <c r="AH733" s="109"/>
      <c r="AI733" s="109"/>
      <c r="AJ733" s="109"/>
      <c r="AK733" s="109"/>
      <c r="AL733" s="109"/>
      <c r="AM733" s="109"/>
      <c r="AN733" s="109"/>
      <c r="AO733" s="109"/>
      <c r="AP733" s="109"/>
      <c r="AQ733" s="109"/>
      <c r="AR733" s="109"/>
      <c r="AS733" s="109"/>
      <c r="AT733" s="108"/>
      <c r="AU733" s="108"/>
      <c r="AV733" s="108"/>
      <c r="AW733" s="108"/>
      <c r="AX733" s="108"/>
      <c r="AY733" s="108"/>
      <c r="AZ733" s="108"/>
      <c r="BA733" s="108"/>
      <c r="BB733" s="108"/>
      <c r="BC733" s="108"/>
      <c r="BD733" s="108"/>
      <c r="BE733" s="108"/>
      <c r="BF733" s="108"/>
      <c r="BG733" s="108"/>
      <c r="BH733" s="108"/>
      <c r="BI733" s="108"/>
      <c r="BJ733" s="108"/>
      <c r="BK733" s="108"/>
      <c r="BL733" s="108"/>
      <c r="BM733" s="108"/>
      <c r="BN733" s="108"/>
      <c r="BO733" s="108"/>
      <c r="BP733" s="108"/>
      <c r="BQ733" s="108"/>
      <c r="BR733" s="108"/>
      <c r="BS733" s="108"/>
      <c r="BT733" s="108"/>
      <c r="BU733" s="108"/>
      <c r="BV733" s="108"/>
      <c r="BW733" s="108"/>
      <c r="BX733" s="108"/>
      <c r="BY733" s="108"/>
    </row>
    <row r="734" spans="1:77">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c r="AA734" s="109"/>
      <c r="AB734" s="109"/>
      <c r="AC734" s="109"/>
      <c r="AD734" s="109"/>
      <c r="AE734" s="109"/>
      <c r="AF734" s="109"/>
      <c r="AG734" s="109"/>
      <c r="AH734" s="109"/>
      <c r="AI734" s="109"/>
      <c r="AJ734" s="109"/>
      <c r="AK734" s="109"/>
      <c r="AL734" s="109"/>
      <c r="AM734" s="109"/>
      <c r="AN734" s="109"/>
      <c r="AO734" s="109"/>
      <c r="AP734" s="109"/>
      <c r="AQ734" s="109"/>
      <c r="AR734" s="109"/>
      <c r="AS734" s="109"/>
      <c r="AT734" s="108"/>
      <c r="AU734" s="108"/>
      <c r="AV734" s="108"/>
      <c r="AW734" s="108"/>
      <c r="AX734" s="108"/>
      <c r="AY734" s="108"/>
      <c r="AZ734" s="108"/>
      <c r="BA734" s="108"/>
      <c r="BB734" s="108"/>
      <c r="BC734" s="108"/>
      <c r="BD734" s="108"/>
      <c r="BE734" s="108"/>
      <c r="BF734" s="108"/>
      <c r="BG734" s="108"/>
      <c r="BH734" s="108"/>
      <c r="BI734" s="108"/>
      <c r="BJ734" s="108"/>
      <c r="BK734" s="108"/>
      <c r="BL734" s="108"/>
      <c r="BM734" s="108"/>
      <c r="BN734" s="108"/>
      <c r="BO734" s="108"/>
      <c r="BP734" s="108"/>
      <c r="BQ734" s="108"/>
      <c r="BR734" s="108"/>
      <c r="BS734" s="108"/>
      <c r="BT734" s="108"/>
      <c r="BU734" s="108"/>
      <c r="BV734" s="108"/>
      <c r="BW734" s="108"/>
      <c r="BX734" s="108"/>
      <c r="BY734" s="108"/>
    </row>
    <row r="735" spans="1:77">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c r="AA735" s="109"/>
      <c r="AB735" s="109"/>
      <c r="AC735" s="109"/>
      <c r="AD735" s="109"/>
      <c r="AE735" s="109"/>
      <c r="AF735" s="109"/>
      <c r="AG735" s="109"/>
      <c r="AH735" s="109"/>
      <c r="AI735" s="109"/>
      <c r="AJ735" s="109"/>
      <c r="AK735" s="109"/>
      <c r="AL735" s="109"/>
      <c r="AM735" s="109"/>
      <c r="AN735" s="109"/>
      <c r="AO735" s="109"/>
      <c r="AP735" s="109"/>
      <c r="AQ735" s="109"/>
      <c r="AR735" s="109"/>
      <c r="AS735" s="109"/>
      <c r="AT735" s="108"/>
      <c r="AU735" s="108"/>
      <c r="AV735" s="108"/>
      <c r="AW735" s="108"/>
      <c r="AX735" s="108"/>
      <c r="AY735" s="108"/>
      <c r="AZ735" s="108"/>
      <c r="BA735" s="108"/>
      <c r="BB735" s="108"/>
      <c r="BC735" s="108"/>
      <c r="BD735" s="108"/>
      <c r="BE735" s="108"/>
      <c r="BF735" s="108"/>
      <c r="BG735" s="108"/>
      <c r="BH735" s="108"/>
      <c r="BI735" s="108"/>
      <c r="BJ735" s="108"/>
      <c r="BK735" s="108"/>
      <c r="BL735" s="108"/>
      <c r="BM735" s="108"/>
      <c r="BN735" s="108"/>
      <c r="BO735" s="108"/>
      <c r="BP735" s="108"/>
      <c r="BQ735" s="108"/>
      <c r="BR735" s="108"/>
      <c r="BS735" s="108"/>
      <c r="BT735" s="108"/>
      <c r="BU735" s="108"/>
      <c r="BV735" s="108"/>
      <c r="BW735" s="108"/>
      <c r="BX735" s="108"/>
      <c r="BY735" s="108"/>
    </row>
    <row r="736" spans="1:77">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c r="AA736" s="109"/>
      <c r="AB736" s="109"/>
      <c r="AC736" s="109"/>
      <c r="AD736" s="109"/>
      <c r="AE736" s="109"/>
      <c r="AF736" s="109"/>
      <c r="AG736" s="109"/>
      <c r="AH736" s="109"/>
      <c r="AI736" s="109"/>
      <c r="AJ736" s="109"/>
      <c r="AK736" s="109"/>
      <c r="AL736" s="109"/>
      <c r="AM736" s="109"/>
      <c r="AN736" s="109"/>
      <c r="AO736" s="109"/>
      <c r="AP736" s="109"/>
      <c r="AQ736" s="109"/>
      <c r="AR736" s="109"/>
      <c r="AS736" s="109"/>
      <c r="AT736" s="108"/>
      <c r="AU736" s="108"/>
      <c r="AV736" s="108"/>
      <c r="AW736" s="108"/>
      <c r="AX736" s="108"/>
      <c r="AY736" s="108"/>
      <c r="AZ736" s="108"/>
      <c r="BA736" s="108"/>
      <c r="BB736" s="108"/>
      <c r="BC736" s="108"/>
      <c r="BD736" s="108"/>
      <c r="BE736" s="108"/>
      <c r="BF736" s="108"/>
      <c r="BG736" s="108"/>
      <c r="BH736" s="108"/>
      <c r="BI736" s="108"/>
      <c r="BJ736" s="108"/>
      <c r="BK736" s="108"/>
      <c r="BL736" s="108"/>
      <c r="BM736" s="108"/>
      <c r="BN736" s="108"/>
      <c r="BO736" s="108"/>
      <c r="BP736" s="108"/>
      <c r="BQ736" s="108"/>
      <c r="BR736" s="108"/>
      <c r="BS736" s="108"/>
      <c r="BT736" s="108"/>
      <c r="BU736" s="108"/>
      <c r="BV736" s="108"/>
      <c r="BW736" s="108"/>
      <c r="BX736" s="108"/>
      <c r="BY736" s="108"/>
    </row>
    <row r="737" spans="1:77">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c r="AB737" s="109"/>
      <c r="AC737" s="109"/>
      <c r="AD737" s="109"/>
      <c r="AE737" s="109"/>
      <c r="AF737" s="109"/>
      <c r="AG737" s="109"/>
      <c r="AH737" s="109"/>
      <c r="AI737" s="109"/>
      <c r="AJ737" s="109"/>
      <c r="AK737" s="109"/>
      <c r="AL737" s="109"/>
      <c r="AM737" s="109"/>
      <c r="AN737" s="109"/>
      <c r="AO737" s="109"/>
      <c r="AP737" s="109"/>
      <c r="AQ737" s="109"/>
      <c r="AR737" s="109"/>
      <c r="AS737" s="109"/>
      <c r="AT737" s="108"/>
      <c r="AU737" s="108"/>
      <c r="AV737" s="108"/>
      <c r="AW737" s="108"/>
      <c r="AX737" s="108"/>
      <c r="AY737" s="108"/>
      <c r="AZ737" s="108"/>
      <c r="BA737" s="108"/>
      <c r="BB737" s="108"/>
      <c r="BC737" s="108"/>
      <c r="BD737" s="108"/>
      <c r="BE737" s="108"/>
      <c r="BF737" s="108"/>
      <c r="BG737" s="108"/>
      <c r="BH737" s="108"/>
      <c r="BI737" s="108"/>
      <c r="BJ737" s="108"/>
      <c r="BK737" s="108"/>
      <c r="BL737" s="108"/>
      <c r="BM737" s="108"/>
      <c r="BN737" s="108"/>
      <c r="BO737" s="108"/>
      <c r="BP737" s="108"/>
      <c r="BQ737" s="108"/>
      <c r="BR737" s="108"/>
      <c r="BS737" s="108"/>
      <c r="BT737" s="108"/>
      <c r="BU737" s="108"/>
      <c r="BV737" s="108"/>
      <c r="BW737" s="108"/>
      <c r="BX737" s="108"/>
      <c r="BY737" s="108"/>
    </row>
    <row r="738" spans="1:77">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c r="AA738" s="109"/>
      <c r="AB738" s="109"/>
      <c r="AC738" s="109"/>
      <c r="AD738" s="109"/>
      <c r="AE738" s="109"/>
      <c r="AF738" s="109"/>
      <c r="AG738" s="109"/>
      <c r="AH738" s="109"/>
      <c r="AI738" s="109"/>
      <c r="AJ738" s="109"/>
      <c r="AK738" s="109"/>
      <c r="AL738" s="109"/>
      <c r="AM738" s="109"/>
      <c r="AN738" s="109"/>
      <c r="AO738" s="109"/>
      <c r="AP738" s="109"/>
      <c r="AQ738" s="109"/>
      <c r="AR738" s="109"/>
      <c r="AS738" s="109"/>
      <c r="AT738" s="108"/>
      <c r="AU738" s="108"/>
      <c r="AV738" s="108"/>
      <c r="AW738" s="108"/>
      <c r="AX738" s="108"/>
      <c r="AY738" s="108"/>
      <c r="AZ738" s="108"/>
      <c r="BA738" s="108"/>
      <c r="BB738" s="108"/>
      <c r="BC738" s="108"/>
      <c r="BD738" s="108"/>
      <c r="BE738" s="108"/>
      <c r="BF738" s="108"/>
      <c r="BG738" s="108"/>
      <c r="BH738" s="108"/>
      <c r="BI738" s="108"/>
      <c r="BJ738" s="108"/>
      <c r="BK738" s="108"/>
      <c r="BL738" s="108"/>
      <c r="BM738" s="108"/>
      <c r="BN738" s="108"/>
      <c r="BO738" s="108"/>
      <c r="BP738" s="108"/>
      <c r="BQ738" s="108"/>
      <c r="BR738" s="108"/>
      <c r="BS738" s="108"/>
      <c r="BT738" s="108"/>
      <c r="BU738" s="108"/>
      <c r="BV738" s="108"/>
      <c r="BW738" s="108"/>
      <c r="BX738" s="108"/>
      <c r="BY738" s="108"/>
    </row>
    <row r="739" spans="1:77">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c r="AA739" s="109"/>
      <c r="AB739" s="109"/>
      <c r="AC739" s="109"/>
      <c r="AD739" s="109"/>
      <c r="AE739" s="109"/>
      <c r="AF739" s="109"/>
      <c r="AG739" s="109"/>
      <c r="AH739" s="109"/>
      <c r="AI739" s="109"/>
      <c r="AJ739" s="109"/>
      <c r="AK739" s="109"/>
      <c r="AL739" s="109"/>
      <c r="AM739" s="109"/>
      <c r="AN739" s="109"/>
      <c r="AO739" s="109"/>
      <c r="AP739" s="109"/>
      <c r="AQ739" s="109"/>
      <c r="AR739" s="109"/>
      <c r="AS739" s="109"/>
      <c r="AT739" s="108"/>
      <c r="AU739" s="108"/>
      <c r="AV739" s="108"/>
      <c r="AW739" s="108"/>
      <c r="AX739" s="108"/>
      <c r="AY739" s="108"/>
      <c r="AZ739" s="108"/>
      <c r="BA739" s="108"/>
      <c r="BB739" s="108"/>
      <c r="BC739" s="108"/>
      <c r="BD739" s="108"/>
      <c r="BE739" s="108"/>
      <c r="BF739" s="108"/>
      <c r="BG739" s="108"/>
      <c r="BH739" s="108"/>
      <c r="BI739" s="108"/>
      <c r="BJ739" s="108"/>
      <c r="BK739" s="108"/>
      <c r="BL739" s="108"/>
      <c r="BM739" s="108"/>
      <c r="BN739" s="108"/>
      <c r="BO739" s="108"/>
      <c r="BP739" s="108"/>
      <c r="BQ739" s="108"/>
      <c r="BR739" s="108"/>
      <c r="BS739" s="108"/>
      <c r="BT739" s="108"/>
      <c r="BU739" s="108"/>
      <c r="BV739" s="108"/>
      <c r="BW739" s="108"/>
      <c r="BX739" s="108"/>
      <c r="BY739" s="108"/>
    </row>
    <row r="740" spans="1:77">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c r="AA740" s="109"/>
      <c r="AB740" s="109"/>
      <c r="AC740" s="109"/>
      <c r="AD740" s="109"/>
      <c r="AE740" s="109"/>
      <c r="AF740" s="109"/>
      <c r="AG740" s="109"/>
      <c r="AH740" s="109"/>
      <c r="AI740" s="109"/>
      <c r="AJ740" s="109"/>
      <c r="AK740" s="109"/>
      <c r="AL740" s="109"/>
      <c r="AM740" s="109"/>
      <c r="AN740" s="109"/>
      <c r="AO740" s="109"/>
      <c r="AP740" s="109"/>
      <c r="AQ740" s="109"/>
      <c r="AR740" s="109"/>
      <c r="AS740" s="109"/>
      <c r="AT740" s="108"/>
      <c r="AU740" s="108"/>
      <c r="AV740" s="108"/>
      <c r="AW740" s="108"/>
      <c r="AX740" s="108"/>
      <c r="AY740" s="108"/>
      <c r="AZ740" s="108"/>
      <c r="BA740" s="108"/>
      <c r="BB740" s="108"/>
      <c r="BC740" s="108"/>
      <c r="BD740" s="108"/>
      <c r="BE740" s="108"/>
      <c r="BF740" s="108"/>
      <c r="BG740" s="108"/>
      <c r="BH740" s="108"/>
      <c r="BI740" s="108"/>
      <c r="BJ740" s="108"/>
      <c r="BK740" s="108"/>
      <c r="BL740" s="108"/>
      <c r="BM740" s="108"/>
      <c r="BN740" s="108"/>
      <c r="BO740" s="108"/>
      <c r="BP740" s="108"/>
      <c r="BQ740" s="108"/>
      <c r="BR740" s="108"/>
      <c r="BS740" s="108"/>
      <c r="BT740" s="108"/>
      <c r="BU740" s="108"/>
      <c r="BV740" s="108"/>
      <c r="BW740" s="108"/>
      <c r="BX740" s="108"/>
      <c r="BY740" s="108"/>
    </row>
    <row r="741" spans="1:77">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c r="AA741" s="109"/>
      <c r="AB741" s="109"/>
      <c r="AC741" s="109"/>
      <c r="AD741" s="109"/>
      <c r="AE741" s="109"/>
      <c r="AF741" s="109"/>
      <c r="AG741" s="109"/>
      <c r="AH741" s="109"/>
      <c r="AI741" s="109"/>
      <c r="AJ741" s="109"/>
      <c r="AK741" s="109"/>
      <c r="AL741" s="109"/>
      <c r="AM741" s="109"/>
      <c r="AN741" s="109"/>
      <c r="AO741" s="109"/>
      <c r="AP741" s="109"/>
      <c r="AQ741" s="109"/>
      <c r="AR741" s="109"/>
      <c r="AS741" s="109"/>
      <c r="AT741" s="108"/>
      <c r="AU741" s="108"/>
      <c r="AV741" s="108"/>
      <c r="AW741" s="108"/>
      <c r="AX741" s="108"/>
      <c r="AY741" s="108"/>
      <c r="AZ741" s="108"/>
      <c r="BA741" s="108"/>
      <c r="BB741" s="108"/>
      <c r="BC741" s="108"/>
      <c r="BD741" s="108"/>
      <c r="BE741" s="108"/>
      <c r="BF741" s="108"/>
      <c r="BG741" s="108"/>
      <c r="BH741" s="108"/>
      <c r="BI741" s="108"/>
      <c r="BJ741" s="108"/>
      <c r="BK741" s="108"/>
      <c r="BL741" s="108"/>
      <c r="BM741" s="108"/>
      <c r="BN741" s="108"/>
      <c r="BO741" s="108"/>
      <c r="BP741" s="108"/>
      <c r="BQ741" s="108"/>
      <c r="BR741" s="108"/>
      <c r="BS741" s="108"/>
      <c r="BT741" s="108"/>
      <c r="BU741" s="108"/>
      <c r="BV741" s="108"/>
      <c r="BW741" s="108"/>
      <c r="BX741" s="108"/>
      <c r="BY741" s="108"/>
    </row>
    <row r="742" spans="1:77">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c r="AB742" s="109"/>
      <c r="AC742" s="109"/>
      <c r="AD742" s="109"/>
      <c r="AE742" s="109"/>
      <c r="AF742" s="109"/>
      <c r="AG742" s="109"/>
      <c r="AH742" s="109"/>
      <c r="AI742" s="109"/>
      <c r="AJ742" s="109"/>
      <c r="AK742" s="109"/>
      <c r="AL742" s="109"/>
      <c r="AM742" s="109"/>
      <c r="AN742" s="109"/>
      <c r="AO742" s="109"/>
      <c r="AP742" s="109"/>
      <c r="AQ742" s="109"/>
      <c r="AR742" s="109"/>
      <c r="AS742" s="109"/>
      <c r="AT742" s="108"/>
      <c r="AU742" s="108"/>
      <c r="AV742" s="108"/>
      <c r="AW742" s="108"/>
      <c r="AX742" s="108"/>
      <c r="AY742" s="108"/>
      <c r="AZ742" s="108"/>
      <c r="BA742" s="108"/>
      <c r="BB742" s="108"/>
      <c r="BC742" s="108"/>
      <c r="BD742" s="108"/>
      <c r="BE742" s="108"/>
      <c r="BF742" s="108"/>
      <c r="BG742" s="108"/>
      <c r="BH742" s="108"/>
      <c r="BI742" s="108"/>
      <c r="BJ742" s="108"/>
      <c r="BK742" s="108"/>
      <c r="BL742" s="108"/>
      <c r="BM742" s="108"/>
      <c r="BN742" s="108"/>
      <c r="BO742" s="108"/>
      <c r="BP742" s="108"/>
      <c r="BQ742" s="108"/>
      <c r="BR742" s="108"/>
      <c r="BS742" s="108"/>
      <c r="BT742" s="108"/>
      <c r="BU742" s="108"/>
      <c r="BV742" s="108"/>
      <c r="BW742" s="108"/>
      <c r="BX742" s="108"/>
      <c r="BY742" s="108"/>
    </row>
    <row r="743" spans="1:77">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c r="AA743" s="109"/>
      <c r="AB743" s="109"/>
      <c r="AC743" s="109"/>
      <c r="AD743" s="109"/>
      <c r="AE743" s="109"/>
      <c r="AF743" s="109"/>
      <c r="AG743" s="109"/>
      <c r="AH743" s="109"/>
      <c r="AI743" s="109"/>
      <c r="AJ743" s="109"/>
      <c r="AK743" s="109"/>
      <c r="AL743" s="109"/>
      <c r="AM743" s="109"/>
      <c r="AN743" s="109"/>
      <c r="AO743" s="109"/>
      <c r="AP743" s="109"/>
      <c r="AQ743" s="109"/>
      <c r="AR743" s="109"/>
      <c r="AS743" s="109"/>
      <c r="AT743" s="108"/>
      <c r="AU743" s="108"/>
      <c r="AV743" s="108"/>
      <c r="AW743" s="108"/>
      <c r="AX743" s="108"/>
      <c r="AY743" s="108"/>
      <c r="AZ743" s="108"/>
      <c r="BA743" s="108"/>
      <c r="BB743" s="108"/>
      <c r="BC743" s="108"/>
      <c r="BD743" s="108"/>
      <c r="BE743" s="108"/>
      <c r="BF743" s="108"/>
      <c r="BG743" s="108"/>
      <c r="BH743" s="108"/>
      <c r="BI743" s="108"/>
      <c r="BJ743" s="108"/>
      <c r="BK743" s="108"/>
      <c r="BL743" s="108"/>
      <c r="BM743" s="108"/>
      <c r="BN743" s="108"/>
      <c r="BO743" s="108"/>
      <c r="BP743" s="108"/>
      <c r="BQ743" s="108"/>
      <c r="BR743" s="108"/>
      <c r="BS743" s="108"/>
      <c r="BT743" s="108"/>
      <c r="BU743" s="108"/>
      <c r="BV743" s="108"/>
      <c r="BW743" s="108"/>
      <c r="BX743" s="108"/>
      <c r="BY743" s="108"/>
    </row>
    <row r="744" spans="1:77">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c r="AA744" s="109"/>
      <c r="AB744" s="109"/>
      <c r="AC744" s="109"/>
      <c r="AD744" s="109"/>
      <c r="AE744" s="109"/>
      <c r="AF744" s="109"/>
      <c r="AG744" s="109"/>
      <c r="AH744" s="109"/>
      <c r="AI744" s="109"/>
      <c r="AJ744" s="109"/>
      <c r="AK744" s="109"/>
      <c r="AL744" s="109"/>
      <c r="AM744" s="109"/>
      <c r="AN744" s="109"/>
      <c r="AO744" s="109"/>
      <c r="AP744" s="109"/>
      <c r="AQ744" s="109"/>
      <c r="AR744" s="109"/>
      <c r="AS744" s="109"/>
      <c r="AT744" s="108"/>
      <c r="AU744" s="108"/>
      <c r="AV744" s="108"/>
      <c r="AW744" s="108"/>
      <c r="AX744" s="108"/>
      <c r="AY744" s="108"/>
      <c r="AZ744" s="108"/>
      <c r="BA744" s="108"/>
      <c r="BB744" s="108"/>
      <c r="BC744" s="108"/>
      <c r="BD744" s="108"/>
      <c r="BE744" s="108"/>
      <c r="BF744" s="108"/>
      <c r="BG744" s="108"/>
      <c r="BH744" s="108"/>
      <c r="BI744" s="108"/>
      <c r="BJ744" s="108"/>
      <c r="BK744" s="108"/>
      <c r="BL744" s="108"/>
      <c r="BM744" s="108"/>
      <c r="BN744" s="108"/>
      <c r="BO744" s="108"/>
      <c r="BP744" s="108"/>
      <c r="BQ744" s="108"/>
      <c r="BR744" s="108"/>
      <c r="BS744" s="108"/>
      <c r="BT744" s="108"/>
      <c r="BU744" s="108"/>
      <c r="BV744" s="108"/>
      <c r="BW744" s="108"/>
      <c r="BX744" s="108"/>
      <c r="BY744" s="108"/>
    </row>
    <row r="745" spans="1:77">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c r="AA745" s="109"/>
      <c r="AB745" s="109"/>
      <c r="AC745" s="109"/>
      <c r="AD745" s="109"/>
      <c r="AE745" s="109"/>
      <c r="AF745" s="109"/>
      <c r="AG745" s="109"/>
      <c r="AH745" s="109"/>
      <c r="AI745" s="109"/>
      <c r="AJ745" s="109"/>
      <c r="AK745" s="109"/>
      <c r="AL745" s="109"/>
      <c r="AM745" s="109"/>
      <c r="AN745" s="109"/>
      <c r="AO745" s="109"/>
      <c r="AP745" s="109"/>
      <c r="AQ745" s="109"/>
      <c r="AR745" s="109"/>
      <c r="AS745" s="109"/>
      <c r="AT745" s="108"/>
      <c r="AU745" s="108"/>
      <c r="AV745" s="108"/>
      <c r="AW745" s="108"/>
      <c r="AX745" s="108"/>
      <c r="AY745" s="108"/>
      <c r="AZ745" s="108"/>
      <c r="BA745" s="108"/>
      <c r="BB745" s="108"/>
      <c r="BC745" s="108"/>
      <c r="BD745" s="108"/>
      <c r="BE745" s="108"/>
      <c r="BF745" s="108"/>
      <c r="BG745" s="108"/>
      <c r="BH745" s="108"/>
      <c r="BI745" s="108"/>
      <c r="BJ745" s="108"/>
      <c r="BK745" s="108"/>
      <c r="BL745" s="108"/>
      <c r="BM745" s="108"/>
      <c r="BN745" s="108"/>
      <c r="BO745" s="108"/>
      <c r="BP745" s="108"/>
      <c r="BQ745" s="108"/>
      <c r="BR745" s="108"/>
      <c r="BS745" s="108"/>
      <c r="BT745" s="108"/>
      <c r="BU745" s="108"/>
      <c r="BV745" s="108"/>
      <c r="BW745" s="108"/>
      <c r="BX745" s="108"/>
      <c r="BY745" s="108"/>
    </row>
    <row r="746" spans="1:77">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c r="AA746" s="109"/>
      <c r="AB746" s="109"/>
      <c r="AC746" s="109"/>
      <c r="AD746" s="109"/>
      <c r="AE746" s="109"/>
      <c r="AF746" s="109"/>
      <c r="AG746" s="109"/>
      <c r="AH746" s="109"/>
      <c r="AI746" s="109"/>
      <c r="AJ746" s="109"/>
      <c r="AK746" s="109"/>
      <c r="AL746" s="109"/>
      <c r="AM746" s="109"/>
      <c r="AN746" s="109"/>
      <c r="AO746" s="109"/>
      <c r="AP746" s="109"/>
      <c r="AQ746" s="109"/>
      <c r="AR746" s="109"/>
      <c r="AS746" s="109"/>
      <c r="AT746" s="108"/>
      <c r="AU746" s="108"/>
      <c r="AV746" s="108"/>
      <c r="AW746" s="108"/>
      <c r="AX746" s="108"/>
      <c r="AY746" s="108"/>
      <c r="AZ746" s="108"/>
      <c r="BA746" s="108"/>
      <c r="BB746" s="108"/>
      <c r="BC746" s="108"/>
      <c r="BD746" s="108"/>
      <c r="BE746" s="108"/>
      <c r="BF746" s="108"/>
      <c r="BG746" s="108"/>
      <c r="BH746" s="108"/>
      <c r="BI746" s="108"/>
      <c r="BJ746" s="108"/>
      <c r="BK746" s="108"/>
      <c r="BL746" s="108"/>
      <c r="BM746" s="108"/>
      <c r="BN746" s="108"/>
      <c r="BO746" s="108"/>
      <c r="BP746" s="108"/>
      <c r="BQ746" s="108"/>
      <c r="BR746" s="108"/>
      <c r="BS746" s="108"/>
      <c r="BT746" s="108"/>
      <c r="BU746" s="108"/>
      <c r="BV746" s="108"/>
      <c r="BW746" s="108"/>
      <c r="BX746" s="108"/>
      <c r="BY746" s="108"/>
    </row>
    <row r="747" spans="1:77">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c r="AB747" s="109"/>
      <c r="AC747" s="109"/>
      <c r="AD747" s="109"/>
      <c r="AE747" s="109"/>
      <c r="AF747" s="109"/>
      <c r="AG747" s="109"/>
      <c r="AH747" s="109"/>
      <c r="AI747" s="109"/>
      <c r="AJ747" s="109"/>
      <c r="AK747" s="109"/>
      <c r="AL747" s="109"/>
      <c r="AM747" s="109"/>
      <c r="AN747" s="109"/>
      <c r="AO747" s="109"/>
      <c r="AP747" s="109"/>
      <c r="AQ747" s="109"/>
      <c r="AR747" s="109"/>
      <c r="AS747" s="109"/>
      <c r="AT747" s="108"/>
      <c r="AU747" s="108"/>
      <c r="AV747" s="108"/>
      <c r="AW747" s="108"/>
      <c r="AX747" s="108"/>
      <c r="AY747" s="108"/>
      <c r="AZ747" s="108"/>
      <c r="BA747" s="108"/>
      <c r="BB747" s="108"/>
      <c r="BC747" s="108"/>
      <c r="BD747" s="108"/>
      <c r="BE747" s="108"/>
      <c r="BF747" s="108"/>
      <c r="BG747" s="108"/>
      <c r="BH747" s="108"/>
      <c r="BI747" s="108"/>
      <c r="BJ747" s="108"/>
      <c r="BK747" s="108"/>
      <c r="BL747" s="108"/>
      <c r="BM747" s="108"/>
      <c r="BN747" s="108"/>
      <c r="BO747" s="108"/>
      <c r="BP747" s="108"/>
      <c r="BQ747" s="108"/>
      <c r="BR747" s="108"/>
      <c r="BS747" s="108"/>
      <c r="BT747" s="108"/>
      <c r="BU747" s="108"/>
      <c r="BV747" s="108"/>
      <c r="BW747" s="108"/>
      <c r="BX747" s="108"/>
      <c r="BY747" s="108"/>
    </row>
    <row r="748" spans="1:77">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c r="AA748" s="109"/>
      <c r="AB748" s="109"/>
      <c r="AC748" s="109"/>
      <c r="AD748" s="109"/>
      <c r="AE748" s="109"/>
      <c r="AF748" s="109"/>
      <c r="AG748" s="109"/>
      <c r="AH748" s="109"/>
      <c r="AI748" s="109"/>
      <c r="AJ748" s="109"/>
      <c r="AK748" s="109"/>
      <c r="AL748" s="109"/>
      <c r="AM748" s="109"/>
      <c r="AN748" s="109"/>
      <c r="AO748" s="109"/>
      <c r="AP748" s="109"/>
      <c r="AQ748" s="109"/>
      <c r="AR748" s="109"/>
      <c r="AS748" s="109"/>
      <c r="AT748" s="108"/>
      <c r="AU748" s="108"/>
      <c r="AV748" s="108"/>
      <c r="AW748" s="108"/>
      <c r="AX748" s="108"/>
      <c r="AY748" s="108"/>
      <c r="AZ748" s="108"/>
      <c r="BA748" s="108"/>
      <c r="BB748" s="108"/>
      <c r="BC748" s="108"/>
      <c r="BD748" s="108"/>
      <c r="BE748" s="108"/>
      <c r="BF748" s="108"/>
      <c r="BG748" s="108"/>
      <c r="BH748" s="108"/>
      <c r="BI748" s="108"/>
      <c r="BJ748" s="108"/>
      <c r="BK748" s="108"/>
      <c r="BL748" s="108"/>
      <c r="BM748" s="108"/>
      <c r="BN748" s="108"/>
      <c r="BO748" s="108"/>
      <c r="BP748" s="108"/>
      <c r="BQ748" s="108"/>
      <c r="BR748" s="108"/>
      <c r="BS748" s="108"/>
      <c r="BT748" s="108"/>
      <c r="BU748" s="108"/>
      <c r="BV748" s="108"/>
      <c r="BW748" s="108"/>
      <c r="BX748" s="108"/>
      <c r="BY748" s="108"/>
    </row>
    <row r="749" spans="1:77">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c r="AA749" s="109"/>
      <c r="AB749" s="109"/>
      <c r="AC749" s="109"/>
      <c r="AD749" s="109"/>
      <c r="AE749" s="109"/>
      <c r="AF749" s="109"/>
      <c r="AG749" s="109"/>
      <c r="AH749" s="109"/>
      <c r="AI749" s="109"/>
      <c r="AJ749" s="109"/>
      <c r="AK749" s="109"/>
      <c r="AL749" s="109"/>
      <c r="AM749" s="109"/>
      <c r="AN749" s="109"/>
      <c r="AO749" s="109"/>
      <c r="AP749" s="109"/>
      <c r="AQ749" s="109"/>
      <c r="AR749" s="109"/>
      <c r="AS749" s="109"/>
      <c r="AT749" s="108"/>
      <c r="AU749" s="108"/>
      <c r="AV749" s="108"/>
      <c r="AW749" s="108"/>
      <c r="AX749" s="108"/>
      <c r="AY749" s="108"/>
      <c r="AZ749" s="108"/>
      <c r="BA749" s="108"/>
      <c r="BB749" s="108"/>
      <c r="BC749" s="108"/>
      <c r="BD749" s="108"/>
      <c r="BE749" s="108"/>
      <c r="BF749" s="108"/>
      <c r="BG749" s="108"/>
      <c r="BH749" s="108"/>
      <c r="BI749" s="108"/>
      <c r="BJ749" s="108"/>
      <c r="BK749" s="108"/>
      <c r="BL749" s="108"/>
      <c r="BM749" s="108"/>
      <c r="BN749" s="108"/>
      <c r="BO749" s="108"/>
      <c r="BP749" s="108"/>
      <c r="BQ749" s="108"/>
      <c r="BR749" s="108"/>
      <c r="BS749" s="108"/>
      <c r="BT749" s="108"/>
      <c r="BU749" s="108"/>
      <c r="BV749" s="108"/>
      <c r="BW749" s="108"/>
      <c r="BX749" s="108"/>
      <c r="BY749" s="108"/>
    </row>
    <row r="750" spans="1:77">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c r="AA750" s="109"/>
      <c r="AB750" s="109"/>
      <c r="AC750" s="109"/>
      <c r="AD750" s="109"/>
      <c r="AE750" s="109"/>
      <c r="AF750" s="109"/>
      <c r="AG750" s="109"/>
      <c r="AH750" s="109"/>
      <c r="AI750" s="109"/>
      <c r="AJ750" s="109"/>
      <c r="AK750" s="109"/>
      <c r="AL750" s="109"/>
      <c r="AM750" s="109"/>
      <c r="AN750" s="109"/>
      <c r="AO750" s="109"/>
      <c r="AP750" s="109"/>
      <c r="AQ750" s="109"/>
      <c r="AR750" s="109"/>
      <c r="AS750" s="109"/>
      <c r="AT750" s="108"/>
      <c r="AU750" s="108"/>
      <c r="AV750" s="108"/>
      <c r="AW750" s="108"/>
      <c r="AX750" s="108"/>
      <c r="AY750" s="108"/>
      <c r="AZ750" s="108"/>
      <c r="BA750" s="108"/>
      <c r="BB750" s="108"/>
      <c r="BC750" s="108"/>
      <c r="BD750" s="108"/>
      <c r="BE750" s="108"/>
      <c r="BF750" s="108"/>
      <c r="BG750" s="108"/>
      <c r="BH750" s="108"/>
      <c r="BI750" s="108"/>
      <c r="BJ750" s="108"/>
      <c r="BK750" s="108"/>
      <c r="BL750" s="108"/>
      <c r="BM750" s="108"/>
      <c r="BN750" s="108"/>
      <c r="BO750" s="108"/>
      <c r="BP750" s="108"/>
      <c r="BQ750" s="108"/>
      <c r="BR750" s="108"/>
      <c r="BS750" s="108"/>
      <c r="BT750" s="108"/>
      <c r="BU750" s="108"/>
      <c r="BV750" s="108"/>
      <c r="BW750" s="108"/>
      <c r="BX750" s="108"/>
      <c r="BY750" s="108"/>
    </row>
    <row r="751" spans="1:77">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c r="AA751" s="109"/>
      <c r="AB751" s="109"/>
      <c r="AC751" s="109"/>
      <c r="AD751" s="109"/>
      <c r="AE751" s="109"/>
      <c r="AF751" s="109"/>
      <c r="AG751" s="109"/>
      <c r="AH751" s="109"/>
      <c r="AI751" s="109"/>
      <c r="AJ751" s="109"/>
      <c r="AK751" s="109"/>
      <c r="AL751" s="109"/>
      <c r="AM751" s="109"/>
      <c r="AN751" s="109"/>
      <c r="AO751" s="109"/>
      <c r="AP751" s="109"/>
      <c r="AQ751" s="109"/>
      <c r="AR751" s="109"/>
      <c r="AS751" s="109"/>
      <c r="AT751" s="108"/>
      <c r="AU751" s="108"/>
      <c r="AV751" s="108"/>
      <c r="AW751" s="108"/>
      <c r="AX751" s="108"/>
      <c r="AY751" s="108"/>
      <c r="AZ751" s="108"/>
      <c r="BA751" s="108"/>
      <c r="BB751" s="108"/>
      <c r="BC751" s="108"/>
      <c r="BD751" s="108"/>
      <c r="BE751" s="108"/>
      <c r="BF751" s="108"/>
      <c r="BG751" s="108"/>
      <c r="BH751" s="108"/>
      <c r="BI751" s="108"/>
      <c r="BJ751" s="108"/>
      <c r="BK751" s="108"/>
      <c r="BL751" s="108"/>
      <c r="BM751" s="108"/>
      <c r="BN751" s="108"/>
      <c r="BO751" s="108"/>
      <c r="BP751" s="108"/>
      <c r="BQ751" s="108"/>
      <c r="BR751" s="108"/>
      <c r="BS751" s="108"/>
      <c r="BT751" s="108"/>
      <c r="BU751" s="108"/>
      <c r="BV751" s="108"/>
      <c r="BW751" s="108"/>
      <c r="BX751" s="108"/>
      <c r="BY751" s="108"/>
    </row>
    <row r="752" spans="1:77">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c r="AB752" s="109"/>
      <c r="AC752" s="109"/>
      <c r="AD752" s="109"/>
      <c r="AE752" s="109"/>
      <c r="AF752" s="109"/>
      <c r="AG752" s="109"/>
      <c r="AH752" s="109"/>
      <c r="AI752" s="109"/>
      <c r="AJ752" s="109"/>
      <c r="AK752" s="109"/>
      <c r="AL752" s="109"/>
      <c r="AM752" s="109"/>
      <c r="AN752" s="109"/>
      <c r="AO752" s="109"/>
      <c r="AP752" s="109"/>
      <c r="AQ752" s="109"/>
      <c r="AR752" s="109"/>
      <c r="AS752" s="109"/>
      <c r="AT752" s="108"/>
      <c r="AU752" s="108"/>
      <c r="AV752" s="108"/>
      <c r="AW752" s="108"/>
      <c r="AX752" s="108"/>
      <c r="AY752" s="108"/>
      <c r="AZ752" s="108"/>
      <c r="BA752" s="108"/>
      <c r="BB752" s="108"/>
      <c r="BC752" s="108"/>
      <c r="BD752" s="108"/>
      <c r="BE752" s="108"/>
      <c r="BF752" s="108"/>
      <c r="BG752" s="108"/>
      <c r="BH752" s="108"/>
      <c r="BI752" s="108"/>
      <c r="BJ752" s="108"/>
      <c r="BK752" s="108"/>
      <c r="BL752" s="108"/>
      <c r="BM752" s="108"/>
      <c r="BN752" s="108"/>
      <c r="BO752" s="108"/>
      <c r="BP752" s="108"/>
      <c r="BQ752" s="108"/>
      <c r="BR752" s="108"/>
      <c r="BS752" s="108"/>
      <c r="BT752" s="108"/>
      <c r="BU752" s="108"/>
      <c r="BV752" s="108"/>
      <c r="BW752" s="108"/>
      <c r="BX752" s="108"/>
      <c r="BY752" s="108"/>
    </row>
    <row r="753" spans="1:77">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c r="AA753" s="109"/>
      <c r="AB753" s="109"/>
      <c r="AC753" s="109"/>
      <c r="AD753" s="109"/>
      <c r="AE753" s="109"/>
      <c r="AF753" s="109"/>
      <c r="AG753" s="109"/>
      <c r="AH753" s="109"/>
      <c r="AI753" s="109"/>
      <c r="AJ753" s="109"/>
      <c r="AK753" s="109"/>
      <c r="AL753" s="109"/>
      <c r="AM753" s="109"/>
      <c r="AN753" s="109"/>
      <c r="AO753" s="109"/>
      <c r="AP753" s="109"/>
      <c r="AQ753" s="109"/>
      <c r="AR753" s="109"/>
      <c r="AS753" s="109"/>
      <c r="AT753" s="108"/>
      <c r="AU753" s="108"/>
      <c r="AV753" s="108"/>
      <c r="AW753" s="108"/>
      <c r="AX753" s="108"/>
      <c r="AY753" s="108"/>
      <c r="AZ753" s="108"/>
      <c r="BA753" s="108"/>
      <c r="BB753" s="108"/>
      <c r="BC753" s="108"/>
      <c r="BD753" s="108"/>
      <c r="BE753" s="108"/>
      <c r="BF753" s="108"/>
      <c r="BG753" s="108"/>
      <c r="BH753" s="108"/>
      <c r="BI753" s="108"/>
      <c r="BJ753" s="108"/>
      <c r="BK753" s="108"/>
      <c r="BL753" s="108"/>
      <c r="BM753" s="108"/>
      <c r="BN753" s="108"/>
      <c r="BO753" s="108"/>
      <c r="BP753" s="108"/>
      <c r="BQ753" s="108"/>
      <c r="BR753" s="108"/>
      <c r="BS753" s="108"/>
      <c r="BT753" s="108"/>
      <c r="BU753" s="108"/>
      <c r="BV753" s="108"/>
      <c r="BW753" s="108"/>
      <c r="BX753" s="108"/>
      <c r="BY753" s="108"/>
    </row>
    <row r="754" spans="1:77">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c r="AA754" s="109"/>
      <c r="AB754" s="109"/>
      <c r="AC754" s="109"/>
      <c r="AD754" s="109"/>
      <c r="AE754" s="109"/>
      <c r="AF754" s="109"/>
      <c r="AG754" s="109"/>
      <c r="AH754" s="109"/>
      <c r="AI754" s="109"/>
      <c r="AJ754" s="109"/>
      <c r="AK754" s="109"/>
      <c r="AL754" s="109"/>
      <c r="AM754" s="109"/>
      <c r="AN754" s="109"/>
      <c r="AO754" s="109"/>
      <c r="AP754" s="109"/>
      <c r="AQ754" s="109"/>
      <c r="AR754" s="109"/>
      <c r="AS754" s="109"/>
      <c r="AT754" s="108"/>
      <c r="AU754" s="108"/>
      <c r="AV754" s="108"/>
      <c r="AW754" s="108"/>
      <c r="AX754" s="108"/>
      <c r="AY754" s="108"/>
      <c r="AZ754" s="108"/>
      <c r="BA754" s="108"/>
      <c r="BB754" s="108"/>
      <c r="BC754" s="108"/>
      <c r="BD754" s="108"/>
      <c r="BE754" s="108"/>
      <c r="BF754" s="108"/>
      <c r="BG754" s="108"/>
      <c r="BH754" s="108"/>
      <c r="BI754" s="108"/>
      <c r="BJ754" s="108"/>
      <c r="BK754" s="108"/>
      <c r="BL754" s="108"/>
      <c r="BM754" s="108"/>
      <c r="BN754" s="108"/>
      <c r="BO754" s="108"/>
      <c r="BP754" s="108"/>
      <c r="BQ754" s="108"/>
      <c r="BR754" s="108"/>
      <c r="BS754" s="108"/>
      <c r="BT754" s="108"/>
      <c r="BU754" s="108"/>
      <c r="BV754" s="108"/>
      <c r="BW754" s="108"/>
      <c r="BX754" s="108"/>
      <c r="BY754" s="108"/>
    </row>
    <row r="755" spans="1:77">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c r="AA755" s="109"/>
      <c r="AB755" s="109"/>
      <c r="AC755" s="109"/>
      <c r="AD755" s="109"/>
      <c r="AE755" s="109"/>
      <c r="AF755" s="109"/>
      <c r="AG755" s="109"/>
      <c r="AH755" s="109"/>
      <c r="AI755" s="109"/>
      <c r="AJ755" s="109"/>
      <c r="AK755" s="109"/>
      <c r="AL755" s="109"/>
      <c r="AM755" s="109"/>
      <c r="AN755" s="109"/>
      <c r="AO755" s="109"/>
      <c r="AP755" s="109"/>
      <c r="AQ755" s="109"/>
      <c r="AR755" s="109"/>
      <c r="AS755" s="109"/>
      <c r="AT755" s="108"/>
      <c r="AU755" s="108"/>
      <c r="AV755" s="108"/>
      <c r="AW755" s="108"/>
      <c r="AX755" s="108"/>
      <c r="AY755" s="108"/>
      <c r="AZ755" s="108"/>
      <c r="BA755" s="108"/>
      <c r="BB755" s="108"/>
      <c r="BC755" s="108"/>
      <c r="BD755" s="108"/>
      <c r="BE755" s="108"/>
      <c r="BF755" s="108"/>
      <c r="BG755" s="108"/>
      <c r="BH755" s="108"/>
      <c r="BI755" s="108"/>
      <c r="BJ755" s="108"/>
      <c r="BK755" s="108"/>
      <c r="BL755" s="108"/>
      <c r="BM755" s="108"/>
      <c r="BN755" s="108"/>
      <c r="BO755" s="108"/>
      <c r="BP755" s="108"/>
      <c r="BQ755" s="108"/>
      <c r="BR755" s="108"/>
      <c r="BS755" s="108"/>
      <c r="BT755" s="108"/>
      <c r="BU755" s="108"/>
      <c r="BV755" s="108"/>
      <c r="BW755" s="108"/>
      <c r="BX755" s="108"/>
      <c r="BY755" s="108"/>
    </row>
    <row r="756" spans="1:77">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c r="AA756" s="109"/>
      <c r="AB756" s="109"/>
      <c r="AC756" s="109"/>
      <c r="AD756" s="109"/>
      <c r="AE756" s="109"/>
      <c r="AF756" s="109"/>
      <c r="AG756" s="109"/>
      <c r="AH756" s="109"/>
      <c r="AI756" s="109"/>
      <c r="AJ756" s="109"/>
      <c r="AK756" s="109"/>
      <c r="AL756" s="109"/>
      <c r="AM756" s="109"/>
      <c r="AN756" s="109"/>
      <c r="AO756" s="109"/>
      <c r="AP756" s="109"/>
      <c r="AQ756" s="109"/>
      <c r="AR756" s="109"/>
      <c r="AS756" s="109"/>
      <c r="AT756" s="108"/>
      <c r="AU756" s="108"/>
      <c r="AV756" s="108"/>
      <c r="AW756" s="108"/>
      <c r="AX756" s="108"/>
      <c r="AY756" s="108"/>
      <c r="AZ756" s="108"/>
      <c r="BA756" s="108"/>
      <c r="BB756" s="108"/>
      <c r="BC756" s="108"/>
      <c r="BD756" s="108"/>
      <c r="BE756" s="108"/>
      <c r="BF756" s="108"/>
      <c r="BG756" s="108"/>
      <c r="BH756" s="108"/>
      <c r="BI756" s="108"/>
      <c r="BJ756" s="108"/>
      <c r="BK756" s="108"/>
      <c r="BL756" s="108"/>
      <c r="BM756" s="108"/>
      <c r="BN756" s="108"/>
      <c r="BO756" s="108"/>
      <c r="BP756" s="108"/>
      <c r="BQ756" s="108"/>
      <c r="BR756" s="108"/>
      <c r="BS756" s="108"/>
      <c r="BT756" s="108"/>
      <c r="BU756" s="108"/>
      <c r="BV756" s="108"/>
      <c r="BW756" s="108"/>
      <c r="BX756" s="108"/>
      <c r="BY756" s="108"/>
    </row>
    <row r="757" spans="1:77">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c r="AA757" s="109"/>
      <c r="AB757" s="109"/>
      <c r="AC757" s="109"/>
      <c r="AD757" s="109"/>
      <c r="AE757" s="109"/>
      <c r="AF757" s="109"/>
      <c r="AG757" s="109"/>
      <c r="AH757" s="109"/>
      <c r="AI757" s="109"/>
      <c r="AJ757" s="109"/>
      <c r="AK757" s="109"/>
      <c r="AL757" s="109"/>
      <c r="AM757" s="109"/>
      <c r="AN757" s="109"/>
      <c r="AO757" s="109"/>
      <c r="AP757" s="109"/>
      <c r="AQ757" s="109"/>
      <c r="AR757" s="109"/>
      <c r="AS757" s="109"/>
      <c r="AT757" s="108"/>
      <c r="AU757" s="108"/>
      <c r="AV757" s="108"/>
      <c r="AW757" s="108"/>
      <c r="AX757" s="108"/>
      <c r="AY757" s="108"/>
      <c r="AZ757" s="108"/>
      <c r="BA757" s="108"/>
      <c r="BB757" s="108"/>
      <c r="BC757" s="108"/>
      <c r="BD757" s="108"/>
      <c r="BE757" s="108"/>
      <c r="BF757" s="108"/>
      <c r="BG757" s="108"/>
      <c r="BH757" s="108"/>
      <c r="BI757" s="108"/>
      <c r="BJ757" s="108"/>
      <c r="BK757" s="108"/>
      <c r="BL757" s="108"/>
      <c r="BM757" s="108"/>
      <c r="BN757" s="108"/>
      <c r="BO757" s="108"/>
      <c r="BP757" s="108"/>
      <c r="BQ757" s="108"/>
      <c r="BR757" s="108"/>
      <c r="BS757" s="108"/>
      <c r="BT757" s="108"/>
      <c r="BU757" s="108"/>
      <c r="BV757" s="108"/>
      <c r="BW757" s="108"/>
      <c r="BX757" s="108"/>
      <c r="BY757" s="108"/>
    </row>
    <row r="758" spans="1:77">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c r="AA758" s="109"/>
      <c r="AB758" s="109"/>
      <c r="AC758" s="109"/>
      <c r="AD758" s="109"/>
      <c r="AE758" s="109"/>
      <c r="AF758" s="109"/>
      <c r="AG758" s="109"/>
      <c r="AH758" s="109"/>
      <c r="AI758" s="109"/>
      <c r="AJ758" s="109"/>
      <c r="AK758" s="109"/>
      <c r="AL758" s="109"/>
      <c r="AM758" s="109"/>
      <c r="AN758" s="109"/>
      <c r="AO758" s="109"/>
      <c r="AP758" s="109"/>
      <c r="AQ758" s="109"/>
      <c r="AR758" s="109"/>
      <c r="AS758" s="109"/>
      <c r="AT758" s="108"/>
      <c r="AU758" s="108"/>
      <c r="AV758" s="108"/>
      <c r="AW758" s="108"/>
      <c r="AX758" s="108"/>
      <c r="AY758" s="108"/>
      <c r="AZ758" s="108"/>
      <c r="BA758" s="108"/>
      <c r="BB758" s="108"/>
      <c r="BC758" s="108"/>
      <c r="BD758" s="108"/>
      <c r="BE758" s="108"/>
      <c r="BF758" s="108"/>
      <c r="BG758" s="108"/>
      <c r="BH758" s="108"/>
      <c r="BI758" s="108"/>
      <c r="BJ758" s="108"/>
      <c r="BK758" s="108"/>
      <c r="BL758" s="108"/>
      <c r="BM758" s="108"/>
      <c r="BN758" s="108"/>
      <c r="BO758" s="108"/>
      <c r="BP758" s="108"/>
      <c r="BQ758" s="108"/>
      <c r="BR758" s="108"/>
      <c r="BS758" s="108"/>
      <c r="BT758" s="108"/>
      <c r="BU758" s="108"/>
      <c r="BV758" s="108"/>
      <c r="BW758" s="108"/>
      <c r="BX758" s="108"/>
      <c r="BY758" s="108"/>
    </row>
    <row r="759" spans="1:77">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c r="AB759" s="109"/>
      <c r="AC759" s="109"/>
      <c r="AD759" s="109"/>
      <c r="AE759" s="109"/>
      <c r="AF759" s="109"/>
      <c r="AG759" s="109"/>
      <c r="AH759" s="109"/>
      <c r="AI759" s="109"/>
      <c r="AJ759" s="109"/>
      <c r="AK759" s="109"/>
      <c r="AL759" s="109"/>
      <c r="AM759" s="109"/>
      <c r="AN759" s="109"/>
      <c r="AO759" s="109"/>
      <c r="AP759" s="109"/>
      <c r="AQ759" s="109"/>
      <c r="AR759" s="109"/>
      <c r="AS759" s="109"/>
      <c r="AT759" s="108"/>
      <c r="AU759" s="108"/>
      <c r="AV759" s="108"/>
      <c r="AW759" s="108"/>
      <c r="AX759" s="108"/>
      <c r="AY759" s="108"/>
      <c r="AZ759" s="108"/>
      <c r="BA759" s="108"/>
      <c r="BB759" s="108"/>
      <c r="BC759" s="108"/>
      <c r="BD759" s="108"/>
      <c r="BE759" s="108"/>
      <c r="BF759" s="108"/>
      <c r="BG759" s="108"/>
      <c r="BH759" s="108"/>
      <c r="BI759" s="108"/>
      <c r="BJ759" s="108"/>
      <c r="BK759" s="108"/>
      <c r="BL759" s="108"/>
      <c r="BM759" s="108"/>
      <c r="BN759" s="108"/>
      <c r="BO759" s="108"/>
      <c r="BP759" s="108"/>
      <c r="BQ759" s="108"/>
      <c r="BR759" s="108"/>
      <c r="BS759" s="108"/>
      <c r="BT759" s="108"/>
      <c r="BU759" s="108"/>
      <c r="BV759" s="108"/>
      <c r="BW759" s="108"/>
      <c r="BX759" s="108"/>
      <c r="BY759" s="108"/>
    </row>
    <row r="760" spans="1:77">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c r="AA760" s="109"/>
      <c r="AB760" s="109"/>
      <c r="AC760" s="109"/>
      <c r="AD760" s="109"/>
      <c r="AE760" s="109"/>
      <c r="AF760" s="109"/>
      <c r="AG760" s="109"/>
      <c r="AH760" s="109"/>
      <c r="AI760" s="109"/>
      <c r="AJ760" s="109"/>
      <c r="AK760" s="109"/>
      <c r="AL760" s="109"/>
      <c r="AM760" s="109"/>
      <c r="AN760" s="109"/>
      <c r="AO760" s="109"/>
      <c r="AP760" s="109"/>
      <c r="AQ760" s="109"/>
      <c r="AR760" s="109"/>
      <c r="AS760" s="109"/>
      <c r="AT760" s="108"/>
      <c r="AU760" s="108"/>
      <c r="AV760" s="108"/>
      <c r="AW760" s="108"/>
      <c r="AX760" s="108"/>
      <c r="AY760" s="108"/>
      <c r="AZ760" s="108"/>
      <c r="BA760" s="108"/>
      <c r="BB760" s="108"/>
      <c r="BC760" s="108"/>
      <c r="BD760" s="108"/>
      <c r="BE760" s="108"/>
      <c r="BF760" s="108"/>
      <c r="BG760" s="108"/>
      <c r="BH760" s="108"/>
      <c r="BI760" s="108"/>
      <c r="BJ760" s="108"/>
      <c r="BK760" s="108"/>
      <c r="BL760" s="108"/>
      <c r="BM760" s="108"/>
      <c r="BN760" s="108"/>
      <c r="BO760" s="108"/>
      <c r="BP760" s="108"/>
      <c r="BQ760" s="108"/>
      <c r="BR760" s="108"/>
      <c r="BS760" s="108"/>
      <c r="BT760" s="108"/>
      <c r="BU760" s="108"/>
      <c r="BV760" s="108"/>
      <c r="BW760" s="108"/>
      <c r="BX760" s="108"/>
      <c r="BY760" s="108"/>
    </row>
    <row r="761" spans="1:77">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c r="AA761" s="109"/>
      <c r="AB761" s="109"/>
      <c r="AC761" s="109"/>
      <c r="AD761" s="109"/>
      <c r="AE761" s="109"/>
      <c r="AF761" s="109"/>
      <c r="AG761" s="109"/>
      <c r="AH761" s="109"/>
      <c r="AI761" s="109"/>
      <c r="AJ761" s="109"/>
      <c r="AK761" s="109"/>
      <c r="AL761" s="109"/>
      <c r="AM761" s="109"/>
      <c r="AN761" s="109"/>
      <c r="AO761" s="109"/>
      <c r="AP761" s="109"/>
      <c r="AQ761" s="109"/>
      <c r="AR761" s="109"/>
      <c r="AS761" s="109"/>
      <c r="AT761" s="108"/>
      <c r="AU761" s="108"/>
      <c r="AV761" s="108"/>
      <c r="AW761" s="108"/>
      <c r="AX761" s="108"/>
      <c r="AY761" s="108"/>
      <c r="AZ761" s="108"/>
      <c r="BA761" s="108"/>
      <c r="BB761" s="108"/>
      <c r="BC761" s="108"/>
      <c r="BD761" s="108"/>
      <c r="BE761" s="108"/>
      <c r="BF761" s="108"/>
      <c r="BG761" s="108"/>
      <c r="BH761" s="108"/>
      <c r="BI761" s="108"/>
      <c r="BJ761" s="108"/>
      <c r="BK761" s="108"/>
      <c r="BL761" s="108"/>
      <c r="BM761" s="108"/>
      <c r="BN761" s="108"/>
      <c r="BO761" s="108"/>
      <c r="BP761" s="108"/>
      <c r="BQ761" s="108"/>
      <c r="BR761" s="108"/>
      <c r="BS761" s="108"/>
      <c r="BT761" s="108"/>
      <c r="BU761" s="108"/>
      <c r="BV761" s="108"/>
      <c r="BW761" s="108"/>
      <c r="BX761" s="108"/>
      <c r="BY761" s="108"/>
    </row>
    <row r="762" spans="1:77">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c r="AA762" s="109"/>
      <c r="AB762" s="109"/>
      <c r="AC762" s="109"/>
      <c r="AD762" s="109"/>
      <c r="AE762" s="109"/>
      <c r="AF762" s="109"/>
      <c r="AG762" s="109"/>
      <c r="AH762" s="109"/>
      <c r="AI762" s="109"/>
      <c r="AJ762" s="109"/>
      <c r="AK762" s="109"/>
      <c r="AL762" s="109"/>
      <c r="AM762" s="109"/>
      <c r="AN762" s="109"/>
      <c r="AO762" s="109"/>
      <c r="AP762" s="109"/>
      <c r="AQ762" s="109"/>
      <c r="AR762" s="109"/>
      <c r="AS762" s="109"/>
      <c r="AT762" s="108"/>
      <c r="AU762" s="108"/>
      <c r="AV762" s="108"/>
      <c r="AW762" s="108"/>
      <c r="AX762" s="108"/>
      <c r="AY762" s="108"/>
      <c r="AZ762" s="108"/>
      <c r="BA762" s="108"/>
      <c r="BB762" s="108"/>
      <c r="BC762" s="108"/>
      <c r="BD762" s="108"/>
      <c r="BE762" s="108"/>
      <c r="BF762" s="108"/>
      <c r="BG762" s="108"/>
      <c r="BH762" s="108"/>
      <c r="BI762" s="108"/>
      <c r="BJ762" s="108"/>
      <c r="BK762" s="108"/>
      <c r="BL762" s="108"/>
      <c r="BM762" s="108"/>
      <c r="BN762" s="108"/>
      <c r="BO762" s="108"/>
      <c r="BP762" s="108"/>
      <c r="BQ762" s="108"/>
      <c r="BR762" s="108"/>
      <c r="BS762" s="108"/>
      <c r="BT762" s="108"/>
      <c r="BU762" s="108"/>
      <c r="BV762" s="108"/>
      <c r="BW762" s="108"/>
      <c r="BX762" s="108"/>
      <c r="BY762" s="108"/>
    </row>
    <row r="763" spans="1:77">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c r="AB763" s="109"/>
      <c r="AC763" s="109"/>
      <c r="AD763" s="109"/>
      <c r="AE763" s="109"/>
      <c r="AF763" s="109"/>
      <c r="AG763" s="109"/>
      <c r="AH763" s="109"/>
      <c r="AI763" s="109"/>
      <c r="AJ763" s="109"/>
      <c r="AK763" s="109"/>
      <c r="AL763" s="109"/>
      <c r="AM763" s="109"/>
      <c r="AN763" s="109"/>
      <c r="AO763" s="109"/>
      <c r="AP763" s="109"/>
      <c r="AQ763" s="109"/>
      <c r="AR763" s="109"/>
      <c r="AS763" s="109"/>
      <c r="AT763" s="108"/>
      <c r="AU763" s="108"/>
      <c r="AV763" s="108"/>
      <c r="AW763" s="108"/>
      <c r="AX763" s="108"/>
      <c r="AY763" s="108"/>
      <c r="AZ763" s="108"/>
      <c r="BA763" s="108"/>
      <c r="BB763" s="108"/>
      <c r="BC763" s="108"/>
      <c r="BD763" s="108"/>
      <c r="BE763" s="108"/>
      <c r="BF763" s="108"/>
      <c r="BG763" s="108"/>
      <c r="BH763" s="108"/>
      <c r="BI763" s="108"/>
      <c r="BJ763" s="108"/>
      <c r="BK763" s="108"/>
      <c r="BL763" s="108"/>
      <c r="BM763" s="108"/>
      <c r="BN763" s="108"/>
      <c r="BO763" s="108"/>
      <c r="BP763" s="108"/>
      <c r="BQ763" s="108"/>
      <c r="BR763" s="108"/>
      <c r="BS763" s="108"/>
      <c r="BT763" s="108"/>
      <c r="BU763" s="108"/>
      <c r="BV763" s="108"/>
      <c r="BW763" s="108"/>
      <c r="BX763" s="108"/>
      <c r="BY763" s="108"/>
    </row>
    <row r="764" spans="1:77">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c r="AA764" s="109"/>
      <c r="AB764" s="109"/>
      <c r="AC764" s="109"/>
      <c r="AD764" s="109"/>
      <c r="AE764" s="109"/>
      <c r="AF764" s="109"/>
      <c r="AG764" s="109"/>
      <c r="AH764" s="109"/>
      <c r="AI764" s="109"/>
      <c r="AJ764" s="109"/>
      <c r="AK764" s="109"/>
      <c r="AL764" s="109"/>
      <c r="AM764" s="109"/>
      <c r="AN764" s="109"/>
      <c r="AO764" s="109"/>
      <c r="AP764" s="109"/>
      <c r="AQ764" s="109"/>
      <c r="AR764" s="109"/>
      <c r="AS764" s="109"/>
      <c r="AT764" s="108"/>
      <c r="AU764" s="108"/>
      <c r="AV764" s="108"/>
      <c r="AW764" s="108"/>
      <c r="AX764" s="108"/>
      <c r="AY764" s="108"/>
      <c r="AZ764" s="108"/>
      <c r="BA764" s="108"/>
      <c r="BB764" s="108"/>
      <c r="BC764" s="108"/>
      <c r="BD764" s="108"/>
      <c r="BE764" s="108"/>
      <c r="BF764" s="108"/>
      <c r="BG764" s="108"/>
      <c r="BH764" s="108"/>
      <c r="BI764" s="108"/>
      <c r="BJ764" s="108"/>
      <c r="BK764" s="108"/>
      <c r="BL764" s="108"/>
      <c r="BM764" s="108"/>
      <c r="BN764" s="108"/>
      <c r="BO764" s="108"/>
      <c r="BP764" s="108"/>
      <c r="BQ764" s="108"/>
      <c r="BR764" s="108"/>
      <c r="BS764" s="108"/>
      <c r="BT764" s="108"/>
      <c r="BU764" s="108"/>
      <c r="BV764" s="108"/>
      <c r="BW764" s="108"/>
      <c r="BX764" s="108"/>
      <c r="BY764" s="108"/>
    </row>
    <row r="765" spans="1:77">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c r="AA765" s="109"/>
      <c r="AB765" s="109"/>
      <c r="AC765" s="109"/>
      <c r="AD765" s="109"/>
      <c r="AE765" s="109"/>
      <c r="AF765" s="109"/>
      <c r="AG765" s="109"/>
      <c r="AH765" s="109"/>
      <c r="AI765" s="109"/>
      <c r="AJ765" s="109"/>
      <c r="AK765" s="109"/>
      <c r="AL765" s="109"/>
      <c r="AM765" s="109"/>
      <c r="AN765" s="109"/>
      <c r="AO765" s="109"/>
      <c r="AP765" s="109"/>
      <c r="AQ765" s="109"/>
      <c r="AR765" s="109"/>
      <c r="AS765" s="109"/>
      <c r="AT765" s="108"/>
      <c r="AU765" s="108"/>
      <c r="AV765" s="108"/>
      <c r="AW765" s="108"/>
      <c r="AX765" s="108"/>
      <c r="AY765" s="108"/>
      <c r="AZ765" s="108"/>
      <c r="BA765" s="108"/>
      <c r="BB765" s="108"/>
      <c r="BC765" s="108"/>
      <c r="BD765" s="108"/>
      <c r="BE765" s="108"/>
      <c r="BF765" s="108"/>
      <c r="BG765" s="108"/>
      <c r="BH765" s="108"/>
      <c r="BI765" s="108"/>
      <c r="BJ765" s="108"/>
      <c r="BK765" s="108"/>
      <c r="BL765" s="108"/>
      <c r="BM765" s="108"/>
      <c r="BN765" s="108"/>
      <c r="BO765" s="108"/>
      <c r="BP765" s="108"/>
      <c r="BQ765" s="108"/>
      <c r="BR765" s="108"/>
      <c r="BS765" s="108"/>
      <c r="BT765" s="108"/>
      <c r="BU765" s="108"/>
      <c r="BV765" s="108"/>
      <c r="BW765" s="108"/>
      <c r="BX765" s="108"/>
      <c r="BY765" s="108"/>
    </row>
    <row r="766" spans="1:77">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c r="AB766" s="109"/>
      <c r="AC766" s="109"/>
      <c r="AD766" s="109"/>
      <c r="AE766" s="109"/>
      <c r="AF766" s="109"/>
      <c r="AG766" s="109"/>
      <c r="AH766" s="109"/>
      <c r="AI766" s="109"/>
      <c r="AJ766" s="109"/>
      <c r="AK766" s="109"/>
      <c r="AL766" s="109"/>
      <c r="AM766" s="109"/>
      <c r="AN766" s="109"/>
      <c r="AO766" s="109"/>
      <c r="AP766" s="109"/>
      <c r="AQ766" s="109"/>
      <c r="AR766" s="109"/>
      <c r="AS766" s="109"/>
      <c r="AT766" s="108"/>
      <c r="AU766" s="108"/>
      <c r="AV766" s="108"/>
      <c r="AW766" s="108"/>
      <c r="AX766" s="108"/>
      <c r="AY766" s="108"/>
      <c r="AZ766" s="108"/>
      <c r="BA766" s="108"/>
      <c r="BB766" s="108"/>
      <c r="BC766" s="108"/>
      <c r="BD766" s="108"/>
      <c r="BE766" s="108"/>
      <c r="BF766" s="108"/>
      <c r="BG766" s="108"/>
      <c r="BH766" s="108"/>
      <c r="BI766" s="108"/>
      <c r="BJ766" s="108"/>
      <c r="BK766" s="108"/>
      <c r="BL766" s="108"/>
      <c r="BM766" s="108"/>
      <c r="BN766" s="108"/>
      <c r="BO766" s="108"/>
      <c r="BP766" s="108"/>
      <c r="BQ766" s="108"/>
      <c r="BR766" s="108"/>
      <c r="BS766" s="108"/>
      <c r="BT766" s="108"/>
      <c r="BU766" s="108"/>
      <c r="BV766" s="108"/>
      <c r="BW766" s="108"/>
      <c r="BX766" s="108"/>
      <c r="BY766" s="108"/>
    </row>
    <row r="767" spans="1:77">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c r="AA767" s="109"/>
      <c r="AB767" s="109"/>
      <c r="AC767" s="109"/>
      <c r="AD767" s="109"/>
      <c r="AE767" s="109"/>
      <c r="AF767" s="109"/>
      <c r="AG767" s="109"/>
      <c r="AH767" s="109"/>
      <c r="AI767" s="109"/>
      <c r="AJ767" s="109"/>
      <c r="AK767" s="109"/>
      <c r="AL767" s="109"/>
      <c r="AM767" s="109"/>
      <c r="AN767" s="109"/>
      <c r="AO767" s="109"/>
      <c r="AP767" s="109"/>
      <c r="AQ767" s="109"/>
      <c r="AR767" s="109"/>
      <c r="AS767" s="109"/>
      <c r="AT767" s="108"/>
      <c r="AU767" s="108"/>
      <c r="AV767" s="108"/>
      <c r="AW767" s="108"/>
      <c r="AX767" s="108"/>
      <c r="AY767" s="108"/>
      <c r="AZ767" s="108"/>
      <c r="BA767" s="108"/>
      <c r="BB767" s="108"/>
      <c r="BC767" s="108"/>
      <c r="BD767" s="108"/>
      <c r="BE767" s="108"/>
      <c r="BF767" s="108"/>
      <c r="BG767" s="108"/>
      <c r="BH767" s="108"/>
      <c r="BI767" s="108"/>
      <c r="BJ767" s="108"/>
      <c r="BK767" s="108"/>
      <c r="BL767" s="108"/>
      <c r="BM767" s="108"/>
      <c r="BN767" s="108"/>
      <c r="BO767" s="108"/>
      <c r="BP767" s="108"/>
      <c r="BQ767" s="108"/>
      <c r="BR767" s="108"/>
      <c r="BS767" s="108"/>
      <c r="BT767" s="108"/>
      <c r="BU767" s="108"/>
      <c r="BV767" s="108"/>
      <c r="BW767" s="108"/>
      <c r="BX767" s="108"/>
      <c r="BY767" s="108"/>
    </row>
    <row r="768" spans="1:77">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c r="AA768" s="109"/>
      <c r="AB768" s="109"/>
      <c r="AC768" s="109"/>
      <c r="AD768" s="109"/>
      <c r="AE768" s="109"/>
      <c r="AF768" s="109"/>
      <c r="AG768" s="109"/>
      <c r="AH768" s="109"/>
      <c r="AI768" s="109"/>
      <c r="AJ768" s="109"/>
      <c r="AK768" s="109"/>
      <c r="AL768" s="109"/>
      <c r="AM768" s="109"/>
      <c r="AN768" s="109"/>
      <c r="AO768" s="109"/>
      <c r="AP768" s="109"/>
      <c r="AQ768" s="109"/>
      <c r="AR768" s="109"/>
      <c r="AS768" s="109"/>
      <c r="AT768" s="108"/>
      <c r="AU768" s="108"/>
      <c r="AV768" s="108"/>
      <c r="AW768" s="108"/>
      <c r="AX768" s="108"/>
      <c r="AY768" s="108"/>
      <c r="AZ768" s="108"/>
      <c r="BA768" s="108"/>
      <c r="BB768" s="108"/>
      <c r="BC768" s="108"/>
      <c r="BD768" s="108"/>
      <c r="BE768" s="108"/>
      <c r="BF768" s="108"/>
      <c r="BG768" s="108"/>
      <c r="BH768" s="108"/>
      <c r="BI768" s="108"/>
      <c r="BJ768" s="108"/>
      <c r="BK768" s="108"/>
      <c r="BL768" s="108"/>
      <c r="BM768" s="108"/>
      <c r="BN768" s="108"/>
      <c r="BO768" s="108"/>
      <c r="BP768" s="108"/>
      <c r="BQ768" s="108"/>
      <c r="BR768" s="108"/>
      <c r="BS768" s="108"/>
      <c r="BT768" s="108"/>
      <c r="BU768" s="108"/>
      <c r="BV768" s="108"/>
      <c r="BW768" s="108"/>
      <c r="BX768" s="108"/>
      <c r="BY768" s="108"/>
    </row>
    <row r="769" spans="1:77">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c r="AB769" s="109"/>
      <c r="AC769" s="109"/>
      <c r="AD769" s="109"/>
      <c r="AE769" s="109"/>
      <c r="AF769" s="109"/>
      <c r="AG769" s="109"/>
      <c r="AH769" s="109"/>
      <c r="AI769" s="109"/>
      <c r="AJ769" s="109"/>
      <c r="AK769" s="109"/>
      <c r="AL769" s="109"/>
      <c r="AM769" s="109"/>
      <c r="AN769" s="109"/>
      <c r="AO769" s="109"/>
      <c r="AP769" s="109"/>
      <c r="AQ769" s="109"/>
      <c r="AR769" s="109"/>
      <c r="AS769" s="109"/>
      <c r="AT769" s="108"/>
      <c r="AU769" s="108"/>
      <c r="AV769" s="108"/>
      <c r="AW769" s="108"/>
      <c r="AX769" s="108"/>
      <c r="AY769" s="108"/>
      <c r="AZ769" s="108"/>
      <c r="BA769" s="108"/>
      <c r="BB769" s="108"/>
      <c r="BC769" s="108"/>
      <c r="BD769" s="108"/>
      <c r="BE769" s="108"/>
      <c r="BF769" s="108"/>
      <c r="BG769" s="108"/>
      <c r="BH769" s="108"/>
      <c r="BI769" s="108"/>
      <c r="BJ769" s="108"/>
      <c r="BK769" s="108"/>
      <c r="BL769" s="108"/>
      <c r="BM769" s="108"/>
      <c r="BN769" s="108"/>
      <c r="BO769" s="108"/>
      <c r="BP769" s="108"/>
      <c r="BQ769" s="108"/>
      <c r="BR769" s="108"/>
      <c r="BS769" s="108"/>
      <c r="BT769" s="108"/>
      <c r="BU769" s="108"/>
      <c r="BV769" s="108"/>
      <c r="BW769" s="108"/>
      <c r="BX769" s="108"/>
      <c r="BY769" s="108"/>
    </row>
    <row r="770" spans="1:77">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c r="AA770" s="109"/>
      <c r="AB770" s="109"/>
      <c r="AC770" s="109"/>
      <c r="AD770" s="109"/>
      <c r="AE770" s="109"/>
      <c r="AF770" s="109"/>
      <c r="AG770" s="109"/>
      <c r="AH770" s="109"/>
      <c r="AI770" s="109"/>
      <c r="AJ770" s="109"/>
      <c r="AK770" s="109"/>
      <c r="AL770" s="109"/>
      <c r="AM770" s="109"/>
      <c r="AN770" s="109"/>
      <c r="AO770" s="109"/>
      <c r="AP770" s="109"/>
      <c r="AQ770" s="109"/>
      <c r="AR770" s="109"/>
      <c r="AS770" s="109"/>
      <c r="AT770" s="108"/>
      <c r="AU770" s="108"/>
      <c r="AV770" s="108"/>
      <c r="AW770" s="108"/>
      <c r="AX770" s="108"/>
      <c r="AY770" s="108"/>
      <c r="AZ770" s="108"/>
      <c r="BA770" s="108"/>
      <c r="BB770" s="108"/>
      <c r="BC770" s="108"/>
      <c r="BD770" s="108"/>
      <c r="BE770" s="108"/>
      <c r="BF770" s="108"/>
      <c r="BG770" s="108"/>
      <c r="BH770" s="108"/>
      <c r="BI770" s="108"/>
      <c r="BJ770" s="108"/>
      <c r="BK770" s="108"/>
      <c r="BL770" s="108"/>
      <c r="BM770" s="108"/>
      <c r="BN770" s="108"/>
      <c r="BO770" s="108"/>
      <c r="BP770" s="108"/>
      <c r="BQ770" s="108"/>
      <c r="BR770" s="108"/>
      <c r="BS770" s="108"/>
      <c r="BT770" s="108"/>
      <c r="BU770" s="108"/>
      <c r="BV770" s="108"/>
      <c r="BW770" s="108"/>
      <c r="BX770" s="108"/>
      <c r="BY770" s="108"/>
    </row>
    <row r="771" spans="1:77">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c r="AA771" s="109"/>
      <c r="AB771" s="109"/>
      <c r="AC771" s="109"/>
      <c r="AD771" s="109"/>
      <c r="AE771" s="109"/>
      <c r="AF771" s="109"/>
      <c r="AG771" s="109"/>
      <c r="AH771" s="109"/>
      <c r="AI771" s="109"/>
      <c r="AJ771" s="109"/>
      <c r="AK771" s="109"/>
      <c r="AL771" s="109"/>
      <c r="AM771" s="109"/>
      <c r="AN771" s="109"/>
      <c r="AO771" s="109"/>
      <c r="AP771" s="109"/>
      <c r="AQ771" s="109"/>
      <c r="AR771" s="109"/>
      <c r="AS771" s="109"/>
      <c r="AT771" s="108"/>
      <c r="AU771" s="108"/>
      <c r="AV771" s="108"/>
      <c r="AW771" s="108"/>
      <c r="AX771" s="108"/>
      <c r="AY771" s="108"/>
      <c r="AZ771" s="108"/>
      <c r="BA771" s="108"/>
      <c r="BB771" s="108"/>
      <c r="BC771" s="108"/>
      <c r="BD771" s="108"/>
      <c r="BE771" s="108"/>
      <c r="BF771" s="108"/>
      <c r="BG771" s="108"/>
      <c r="BH771" s="108"/>
      <c r="BI771" s="108"/>
      <c r="BJ771" s="108"/>
      <c r="BK771" s="108"/>
      <c r="BL771" s="108"/>
      <c r="BM771" s="108"/>
      <c r="BN771" s="108"/>
      <c r="BO771" s="108"/>
      <c r="BP771" s="108"/>
      <c r="BQ771" s="108"/>
      <c r="BR771" s="108"/>
      <c r="BS771" s="108"/>
      <c r="BT771" s="108"/>
      <c r="BU771" s="108"/>
      <c r="BV771" s="108"/>
      <c r="BW771" s="108"/>
      <c r="BX771" s="108"/>
      <c r="BY771" s="108"/>
    </row>
    <row r="772" spans="1:77">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c r="AA772" s="109"/>
      <c r="AB772" s="109"/>
      <c r="AC772" s="109"/>
      <c r="AD772" s="109"/>
      <c r="AE772" s="109"/>
      <c r="AF772" s="109"/>
      <c r="AG772" s="109"/>
      <c r="AH772" s="109"/>
      <c r="AI772" s="109"/>
      <c r="AJ772" s="109"/>
      <c r="AK772" s="109"/>
      <c r="AL772" s="109"/>
      <c r="AM772" s="109"/>
      <c r="AN772" s="109"/>
      <c r="AO772" s="109"/>
      <c r="AP772" s="109"/>
      <c r="AQ772" s="109"/>
      <c r="AR772" s="109"/>
      <c r="AS772" s="109"/>
      <c r="AT772" s="108"/>
      <c r="AU772" s="108"/>
      <c r="AV772" s="108"/>
      <c r="AW772" s="108"/>
      <c r="AX772" s="108"/>
      <c r="AY772" s="108"/>
      <c r="AZ772" s="108"/>
      <c r="BA772" s="108"/>
      <c r="BB772" s="108"/>
      <c r="BC772" s="108"/>
      <c r="BD772" s="108"/>
      <c r="BE772" s="108"/>
      <c r="BF772" s="108"/>
      <c r="BG772" s="108"/>
      <c r="BH772" s="108"/>
      <c r="BI772" s="108"/>
      <c r="BJ772" s="108"/>
      <c r="BK772" s="108"/>
      <c r="BL772" s="108"/>
      <c r="BM772" s="108"/>
      <c r="BN772" s="108"/>
      <c r="BO772" s="108"/>
      <c r="BP772" s="108"/>
      <c r="BQ772" s="108"/>
      <c r="BR772" s="108"/>
      <c r="BS772" s="108"/>
      <c r="BT772" s="108"/>
      <c r="BU772" s="108"/>
      <c r="BV772" s="108"/>
      <c r="BW772" s="108"/>
      <c r="BX772" s="108"/>
      <c r="BY772" s="108"/>
    </row>
    <row r="773" spans="1:77">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c r="AA773" s="109"/>
      <c r="AB773" s="109"/>
      <c r="AC773" s="109"/>
      <c r="AD773" s="109"/>
      <c r="AE773" s="109"/>
      <c r="AF773" s="109"/>
      <c r="AG773" s="109"/>
      <c r="AH773" s="109"/>
      <c r="AI773" s="109"/>
      <c r="AJ773" s="109"/>
      <c r="AK773" s="109"/>
      <c r="AL773" s="109"/>
      <c r="AM773" s="109"/>
      <c r="AN773" s="109"/>
      <c r="AO773" s="109"/>
      <c r="AP773" s="109"/>
      <c r="AQ773" s="109"/>
      <c r="AR773" s="109"/>
      <c r="AS773" s="109"/>
      <c r="AT773" s="108"/>
      <c r="AU773" s="108"/>
      <c r="AV773" s="108"/>
      <c r="AW773" s="108"/>
      <c r="AX773" s="108"/>
      <c r="AY773" s="108"/>
      <c r="AZ773" s="108"/>
      <c r="BA773" s="108"/>
      <c r="BB773" s="108"/>
      <c r="BC773" s="108"/>
      <c r="BD773" s="108"/>
      <c r="BE773" s="108"/>
      <c r="BF773" s="108"/>
      <c r="BG773" s="108"/>
      <c r="BH773" s="108"/>
      <c r="BI773" s="108"/>
      <c r="BJ773" s="108"/>
      <c r="BK773" s="108"/>
      <c r="BL773" s="108"/>
      <c r="BM773" s="108"/>
      <c r="BN773" s="108"/>
      <c r="BO773" s="108"/>
      <c r="BP773" s="108"/>
      <c r="BQ773" s="108"/>
      <c r="BR773" s="108"/>
      <c r="BS773" s="108"/>
      <c r="BT773" s="108"/>
      <c r="BU773" s="108"/>
      <c r="BV773" s="108"/>
      <c r="BW773" s="108"/>
      <c r="BX773" s="108"/>
      <c r="BY773" s="108"/>
    </row>
    <row r="774" spans="1:77">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c r="AA774" s="109"/>
      <c r="AB774" s="109"/>
      <c r="AC774" s="109"/>
      <c r="AD774" s="109"/>
      <c r="AE774" s="109"/>
      <c r="AF774" s="109"/>
      <c r="AG774" s="109"/>
      <c r="AH774" s="109"/>
      <c r="AI774" s="109"/>
      <c r="AJ774" s="109"/>
      <c r="AK774" s="109"/>
      <c r="AL774" s="109"/>
      <c r="AM774" s="109"/>
      <c r="AN774" s="109"/>
      <c r="AO774" s="109"/>
      <c r="AP774" s="109"/>
      <c r="AQ774" s="109"/>
      <c r="AR774" s="109"/>
      <c r="AS774" s="109"/>
      <c r="AT774" s="108"/>
      <c r="AU774" s="108"/>
      <c r="AV774" s="108"/>
      <c r="AW774" s="108"/>
      <c r="AX774" s="108"/>
      <c r="AY774" s="108"/>
      <c r="AZ774" s="108"/>
      <c r="BA774" s="108"/>
      <c r="BB774" s="108"/>
      <c r="BC774" s="108"/>
      <c r="BD774" s="108"/>
      <c r="BE774" s="108"/>
      <c r="BF774" s="108"/>
      <c r="BG774" s="108"/>
      <c r="BH774" s="108"/>
      <c r="BI774" s="108"/>
      <c r="BJ774" s="108"/>
      <c r="BK774" s="108"/>
      <c r="BL774" s="108"/>
      <c r="BM774" s="108"/>
      <c r="BN774" s="108"/>
      <c r="BO774" s="108"/>
      <c r="BP774" s="108"/>
      <c r="BQ774" s="108"/>
      <c r="BR774" s="108"/>
      <c r="BS774" s="108"/>
      <c r="BT774" s="108"/>
      <c r="BU774" s="108"/>
      <c r="BV774" s="108"/>
      <c r="BW774" s="108"/>
      <c r="BX774" s="108"/>
      <c r="BY774" s="108"/>
    </row>
    <row r="775" spans="1:77">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c r="AA775" s="109"/>
      <c r="AB775" s="109"/>
      <c r="AC775" s="109"/>
      <c r="AD775" s="109"/>
      <c r="AE775" s="109"/>
      <c r="AF775" s="109"/>
      <c r="AG775" s="109"/>
      <c r="AH775" s="109"/>
      <c r="AI775" s="109"/>
      <c r="AJ775" s="109"/>
      <c r="AK775" s="109"/>
      <c r="AL775" s="109"/>
      <c r="AM775" s="109"/>
      <c r="AN775" s="109"/>
      <c r="AO775" s="109"/>
      <c r="AP775" s="109"/>
      <c r="AQ775" s="109"/>
      <c r="AR775" s="109"/>
      <c r="AS775" s="109"/>
      <c r="AT775" s="108"/>
      <c r="AU775" s="108"/>
      <c r="AV775" s="108"/>
      <c r="AW775" s="108"/>
      <c r="AX775" s="108"/>
      <c r="AY775" s="108"/>
      <c r="AZ775" s="108"/>
      <c r="BA775" s="108"/>
      <c r="BB775" s="108"/>
      <c r="BC775" s="108"/>
      <c r="BD775" s="108"/>
      <c r="BE775" s="108"/>
      <c r="BF775" s="108"/>
      <c r="BG775" s="108"/>
      <c r="BH775" s="108"/>
      <c r="BI775" s="108"/>
      <c r="BJ775" s="108"/>
      <c r="BK775" s="108"/>
      <c r="BL775" s="108"/>
      <c r="BM775" s="108"/>
      <c r="BN775" s="108"/>
      <c r="BO775" s="108"/>
      <c r="BP775" s="108"/>
      <c r="BQ775" s="108"/>
      <c r="BR775" s="108"/>
      <c r="BS775" s="108"/>
      <c r="BT775" s="108"/>
      <c r="BU775" s="108"/>
      <c r="BV775" s="108"/>
      <c r="BW775" s="108"/>
      <c r="BX775" s="108"/>
      <c r="BY775" s="108"/>
    </row>
    <row r="776" spans="1:77">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c r="AA776" s="109"/>
      <c r="AB776" s="109"/>
      <c r="AC776" s="109"/>
      <c r="AD776" s="109"/>
      <c r="AE776" s="109"/>
      <c r="AF776" s="109"/>
      <c r="AG776" s="109"/>
      <c r="AH776" s="109"/>
      <c r="AI776" s="109"/>
      <c r="AJ776" s="109"/>
      <c r="AK776" s="109"/>
      <c r="AL776" s="109"/>
      <c r="AM776" s="109"/>
      <c r="AN776" s="109"/>
      <c r="AO776" s="109"/>
      <c r="AP776" s="109"/>
      <c r="AQ776" s="109"/>
      <c r="AR776" s="109"/>
      <c r="AS776" s="109"/>
      <c r="AT776" s="108"/>
      <c r="AU776" s="108"/>
      <c r="AV776" s="108"/>
      <c r="AW776" s="108"/>
      <c r="AX776" s="108"/>
      <c r="AY776" s="108"/>
      <c r="AZ776" s="108"/>
      <c r="BA776" s="108"/>
      <c r="BB776" s="108"/>
      <c r="BC776" s="108"/>
      <c r="BD776" s="108"/>
      <c r="BE776" s="108"/>
      <c r="BF776" s="108"/>
      <c r="BG776" s="108"/>
      <c r="BH776" s="108"/>
      <c r="BI776" s="108"/>
      <c r="BJ776" s="108"/>
      <c r="BK776" s="108"/>
      <c r="BL776" s="108"/>
      <c r="BM776" s="108"/>
      <c r="BN776" s="108"/>
      <c r="BO776" s="108"/>
      <c r="BP776" s="108"/>
      <c r="BQ776" s="108"/>
      <c r="BR776" s="108"/>
      <c r="BS776" s="108"/>
      <c r="BT776" s="108"/>
      <c r="BU776" s="108"/>
      <c r="BV776" s="108"/>
      <c r="BW776" s="108"/>
      <c r="BX776" s="108"/>
      <c r="BY776" s="108"/>
    </row>
    <row r="777" spans="1:77">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c r="AA777" s="109"/>
      <c r="AB777" s="109"/>
      <c r="AC777" s="109"/>
      <c r="AD777" s="109"/>
      <c r="AE777" s="109"/>
      <c r="AF777" s="109"/>
      <c r="AG777" s="109"/>
      <c r="AH777" s="109"/>
      <c r="AI777" s="109"/>
      <c r="AJ777" s="109"/>
      <c r="AK777" s="109"/>
      <c r="AL777" s="109"/>
      <c r="AM777" s="109"/>
      <c r="AN777" s="109"/>
      <c r="AO777" s="109"/>
      <c r="AP777" s="109"/>
      <c r="AQ777" s="109"/>
      <c r="AR777" s="109"/>
      <c r="AS777" s="109"/>
      <c r="AT777" s="108"/>
      <c r="AU777" s="108"/>
      <c r="AV777" s="108"/>
      <c r="AW777" s="108"/>
      <c r="AX777" s="108"/>
      <c r="AY777" s="108"/>
      <c r="AZ777" s="108"/>
      <c r="BA777" s="108"/>
      <c r="BB777" s="108"/>
      <c r="BC777" s="108"/>
      <c r="BD777" s="108"/>
      <c r="BE777" s="108"/>
      <c r="BF777" s="108"/>
      <c r="BG777" s="108"/>
      <c r="BH777" s="108"/>
      <c r="BI777" s="108"/>
      <c r="BJ777" s="108"/>
      <c r="BK777" s="108"/>
      <c r="BL777" s="108"/>
      <c r="BM777" s="108"/>
      <c r="BN777" s="108"/>
      <c r="BO777" s="108"/>
      <c r="BP777" s="108"/>
      <c r="BQ777" s="108"/>
      <c r="BR777" s="108"/>
      <c r="BS777" s="108"/>
      <c r="BT777" s="108"/>
      <c r="BU777" s="108"/>
      <c r="BV777" s="108"/>
      <c r="BW777" s="108"/>
      <c r="BX777" s="108"/>
      <c r="BY777" s="108"/>
    </row>
    <row r="778" spans="1:77">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c r="AA778" s="109"/>
      <c r="AB778" s="109"/>
      <c r="AC778" s="109"/>
      <c r="AD778" s="109"/>
      <c r="AE778" s="109"/>
      <c r="AF778" s="109"/>
      <c r="AG778" s="109"/>
      <c r="AH778" s="109"/>
      <c r="AI778" s="109"/>
      <c r="AJ778" s="109"/>
      <c r="AK778" s="109"/>
      <c r="AL778" s="109"/>
      <c r="AM778" s="109"/>
      <c r="AN778" s="109"/>
      <c r="AO778" s="109"/>
      <c r="AP778" s="109"/>
      <c r="AQ778" s="109"/>
      <c r="AR778" s="109"/>
      <c r="AS778" s="109"/>
      <c r="AT778" s="108"/>
      <c r="AU778" s="108"/>
      <c r="AV778" s="108"/>
      <c r="AW778" s="108"/>
      <c r="AX778" s="108"/>
      <c r="AY778" s="108"/>
      <c r="AZ778" s="108"/>
      <c r="BA778" s="108"/>
      <c r="BB778" s="108"/>
      <c r="BC778" s="108"/>
      <c r="BD778" s="108"/>
      <c r="BE778" s="108"/>
      <c r="BF778" s="108"/>
      <c r="BG778" s="108"/>
      <c r="BH778" s="108"/>
      <c r="BI778" s="108"/>
      <c r="BJ778" s="108"/>
      <c r="BK778" s="108"/>
      <c r="BL778" s="108"/>
      <c r="BM778" s="108"/>
      <c r="BN778" s="108"/>
      <c r="BO778" s="108"/>
      <c r="BP778" s="108"/>
      <c r="BQ778" s="108"/>
      <c r="BR778" s="108"/>
      <c r="BS778" s="108"/>
      <c r="BT778" s="108"/>
      <c r="BU778" s="108"/>
      <c r="BV778" s="108"/>
      <c r="BW778" s="108"/>
      <c r="BX778" s="108"/>
      <c r="BY778" s="108"/>
    </row>
    <row r="779" spans="1:77">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c r="AA779" s="109"/>
      <c r="AB779" s="109"/>
      <c r="AC779" s="109"/>
      <c r="AD779" s="109"/>
      <c r="AE779" s="109"/>
      <c r="AF779" s="109"/>
      <c r="AG779" s="109"/>
      <c r="AH779" s="109"/>
      <c r="AI779" s="109"/>
      <c r="AJ779" s="109"/>
      <c r="AK779" s="109"/>
      <c r="AL779" s="109"/>
      <c r="AM779" s="109"/>
      <c r="AN779" s="109"/>
      <c r="AO779" s="109"/>
      <c r="AP779" s="109"/>
      <c r="AQ779" s="109"/>
      <c r="AR779" s="109"/>
      <c r="AS779" s="109"/>
      <c r="AT779" s="108"/>
      <c r="AU779" s="108"/>
      <c r="AV779" s="108"/>
      <c r="AW779" s="108"/>
      <c r="AX779" s="108"/>
      <c r="AY779" s="108"/>
      <c r="AZ779" s="108"/>
      <c r="BA779" s="108"/>
      <c r="BB779" s="108"/>
      <c r="BC779" s="108"/>
      <c r="BD779" s="108"/>
      <c r="BE779" s="108"/>
      <c r="BF779" s="108"/>
      <c r="BG779" s="108"/>
      <c r="BH779" s="108"/>
      <c r="BI779" s="108"/>
      <c r="BJ779" s="108"/>
      <c r="BK779" s="108"/>
      <c r="BL779" s="108"/>
      <c r="BM779" s="108"/>
      <c r="BN779" s="108"/>
      <c r="BO779" s="108"/>
      <c r="BP779" s="108"/>
      <c r="BQ779" s="108"/>
      <c r="BR779" s="108"/>
      <c r="BS779" s="108"/>
      <c r="BT779" s="108"/>
      <c r="BU779" s="108"/>
      <c r="BV779" s="108"/>
      <c r="BW779" s="108"/>
      <c r="BX779" s="108"/>
      <c r="BY779" s="108"/>
    </row>
    <row r="780" spans="1:77">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c r="AB780" s="109"/>
      <c r="AC780" s="109"/>
      <c r="AD780" s="109"/>
      <c r="AE780" s="109"/>
      <c r="AF780" s="109"/>
      <c r="AG780" s="109"/>
      <c r="AH780" s="109"/>
      <c r="AI780" s="109"/>
      <c r="AJ780" s="109"/>
      <c r="AK780" s="109"/>
      <c r="AL780" s="109"/>
      <c r="AM780" s="109"/>
      <c r="AN780" s="109"/>
      <c r="AO780" s="109"/>
      <c r="AP780" s="109"/>
      <c r="AQ780" s="109"/>
      <c r="AR780" s="109"/>
      <c r="AS780" s="109"/>
      <c r="AT780" s="108"/>
      <c r="AU780" s="108"/>
      <c r="AV780" s="108"/>
      <c r="AW780" s="108"/>
      <c r="AX780" s="108"/>
      <c r="AY780" s="108"/>
      <c r="AZ780" s="108"/>
      <c r="BA780" s="108"/>
      <c r="BB780" s="108"/>
      <c r="BC780" s="108"/>
      <c r="BD780" s="108"/>
      <c r="BE780" s="108"/>
      <c r="BF780" s="108"/>
      <c r="BG780" s="108"/>
      <c r="BH780" s="108"/>
      <c r="BI780" s="108"/>
      <c r="BJ780" s="108"/>
      <c r="BK780" s="108"/>
      <c r="BL780" s="108"/>
      <c r="BM780" s="108"/>
      <c r="BN780" s="108"/>
      <c r="BO780" s="108"/>
      <c r="BP780" s="108"/>
      <c r="BQ780" s="108"/>
      <c r="BR780" s="108"/>
      <c r="BS780" s="108"/>
      <c r="BT780" s="108"/>
      <c r="BU780" s="108"/>
      <c r="BV780" s="108"/>
      <c r="BW780" s="108"/>
      <c r="BX780" s="108"/>
      <c r="BY780" s="108"/>
    </row>
    <row r="781" spans="1:77">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c r="AA781" s="109"/>
      <c r="AB781" s="109"/>
      <c r="AC781" s="109"/>
      <c r="AD781" s="109"/>
      <c r="AE781" s="109"/>
      <c r="AF781" s="109"/>
      <c r="AG781" s="109"/>
      <c r="AH781" s="109"/>
      <c r="AI781" s="109"/>
      <c r="AJ781" s="109"/>
      <c r="AK781" s="109"/>
      <c r="AL781" s="109"/>
      <c r="AM781" s="109"/>
      <c r="AN781" s="109"/>
      <c r="AO781" s="109"/>
      <c r="AP781" s="109"/>
      <c r="AQ781" s="109"/>
      <c r="AR781" s="109"/>
      <c r="AS781" s="109"/>
      <c r="AT781" s="108"/>
      <c r="AU781" s="108"/>
      <c r="AV781" s="108"/>
      <c r="AW781" s="108"/>
      <c r="AX781" s="108"/>
      <c r="AY781" s="108"/>
      <c r="AZ781" s="108"/>
      <c r="BA781" s="108"/>
      <c r="BB781" s="108"/>
      <c r="BC781" s="108"/>
      <c r="BD781" s="108"/>
      <c r="BE781" s="108"/>
      <c r="BF781" s="108"/>
      <c r="BG781" s="108"/>
      <c r="BH781" s="108"/>
      <c r="BI781" s="108"/>
      <c r="BJ781" s="108"/>
      <c r="BK781" s="108"/>
      <c r="BL781" s="108"/>
      <c r="BM781" s="108"/>
      <c r="BN781" s="108"/>
      <c r="BO781" s="108"/>
      <c r="BP781" s="108"/>
      <c r="BQ781" s="108"/>
      <c r="BR781" s="108"/>
      <c r="BS781" s="108"/>
      <c r="BT781" s="108"/>
      <c r="BU781" s="108"/>
      <c r="BV781" s="108"/>
      <c r="BW781" s="108"/>
      <c r="BX781" s="108"/>
      <c r="BY781" s="108"/>
    </row>
    <row r="782" spans="1:77">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c r="AA782" s="109"/>
      <c r="AB782" s="109"/>
      <c r="AC782" s="109"/>
      <c r="AD782" s="109"/>
      <c r="AE782" s="109"/>
      <c r="AF782" s="109"/>
      <c r="AG782" s="109"/>
      <c r="AH782" s="109"/>
      <c r="AI782" s="109"/>
      <c r="AJ782" s="109"/>
      <c r="AK782" s="109"/>
      <c r="AL782" s="109"/>
      <c r="AM782" s="109"/>
      <c r="AN782" s="109"/>
      <c r="AO782" s="109"/>
      <c r="AP782" s="109"/>
      <c r="AQ782" s="109"/>
      <c r="AR782" s="109"/>
      <c r="AS782" s="109"/>
      <c r="AT782" s="108"/>
      <c r="AU782" s="108"/>
      <c r="AV782" s="108"/>
      <c r="AW782" s="108"/>
      <c r="AX782" s="108"/>
      <c r="AY782" s="108"/>
      <c r="AZ782" s="108"/>
      <c r="BA782" s="108"/>
      <c r="BB782" s="108"/>
      <c r="BC782" s="108"/>
      <c r="BD782" s="108"/>
      <c r="BE782" s="108"/>
      <c r="BF782" s="108"/>
      <c r="BG782" s="108"/>
      <c r="BH782" s="108"/>
      <c r="BI782" s="108"/>
      <c r="BJ782" s="108"/>
      <c r="BK782" s="108"/>
      <c r="BL782" s="108"/>
      <c r="BM782" s="108"/>
      <c r="BN782" s="108"/>
      <c r="BO782" s="108"/>
      <c r="BP782" s="108"/>
      <c r="BQ782" s="108"/>
      <c r="BR782" s="108"/>
      <c r="BS782" s="108"/>
      <c r="BT782" s="108"/>
      <c r="BU782" s="108"/>
      <c r="BV782" s="108"/>
      <c r="BW782" s="108"/>
      <c r="BX782" s="108"/>
      <c r="BY782" s="108"/>
    </row>
    <row r="783" spans="1:77">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c r="AA783" s="109"/>
      <c r="AB783" s="109"/>
      <c r="AC783" s="109"/>
      <c r="AD783" s="109"/>
      <c r="AE783" s="109"/>
      <c r="AF783" s="109"/>
      <c r="AG783" s="109"/>
      <c r="AH783" s="109"/>
      <c r="AI783" s="109"/>
      <c r="AJ783" s="109"/>
      <c r="AK783" s="109"/>
      <c r="AL783" s="109"/>
      <c r="AM783" s="109"/>
      <c r="AN783" s="109"/>
      <c r="AO783" s="109"/>
      <c r="AP783" s="109"/>
      <c r="AQ783" s="109"/>
      <c r="AR783" s="109"/>
      <c r="AS783" s="109"/>
      <c r="AT783" s="108"/>
      <c r="AU783" s="108"/>
      <c r="AV783" s="108"/>
      <c r="AW783" s="108"/>
      <c r="AX783" s="108"/>
      <c r="AY783" s="108"/>
      <c r="AZ783" s="108"/>
      <c r="BA783" s="108"/>
      <c r="BB783" s="108"/>
      <c r="BC783" s="108"/>
      <c r="BD783" s="108"/>
      <c r="BE783" s="108"/>
      <c r="BF783" s="108"/>
      <c r="BG783" s="108"/>
      <c r="BH783" s="108"/>
      <c r="BI783" s="108"/>
      <c r="BJ783" s="108"/>
      <c r="BK783" s="108"/>
      <c r="BL783" s="108"/>
      <c r="BM783" s="108"/>
      <c r="BN783" s="108"/>
      <c r="BO783" s="108"/>
      <c r="BP783" s="108"/>
      <c r="BQ783" s="108"/>
      <c r="BR783" s="108"/>
      <c r="BS783" s="108"/>
      <c r="BT783" s="108"/>
      <c r="BU783" s="108"/>
      <c r="BV783" s="108"/>
      <c r="BW783" s="108"/>
      <c r="BX783" s="108"/>
      <c r="BY783" s="108"/>
    </row>
    <row r="784" spans="1:77">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c r="AA784" s="109"/>
      <c r="AB784" s="109"/>
      <c r="AC784" s="109"/>
      <c r="AD784" s="109"/>
      <c r="AE784" s="109"/>
      <c r="AF784" s="109"/>
      <c r="AG784" s="109"/>
      <c r="AH784" s="109"/>
      <c r="AI784" s="109"/>
      <c r="AJ784" s="109"/>
      <c r="AK784" s="109"/>
      <c r="AL784" s="109"/>
      <c r="AM784" s="109"/>
      <c r="AN784" s="109"/>
      <c r="AO784" s="109"/>
      <c r="AP784" s="109"/>
      <c r="AQ784" s="109"/>
      <c r="AR784" s="109"/>
      <c r="AS784" s="109"/>
      <c r="AT784" s="108"/>
      <c r="AU784" s="108"/>
      <c r="AV784" s="108"/>
      <c r="AW784" s="108"/>
      <c r="AX784" s="108"/>
      <c r="AY784" s="108"/>
      <c r="AZ784" s="108"/>
      <c r="BA784" s="108"/>
      <c r="BB784" s="108"/>
      <c r="BC784" s="108"/>
      <c r="BD784" s="108"/>
      <c r="BE784" s="108"/>
      <c r="BF784" s="108"/>
      <c r="BG784" s="108"/>
      <c r="BH784" s="108"/>
      <c r="BI784" s="108"/>
      <c r="BJ784" s="108"/>
      <c r="BK784" s="108"/>
      <c r="BL784" s="108"/>
      <c r="BM784" s="108"/>
      <c r="BN784" s="108"/>
      <c r="BO784" s="108"/>
      <c r="BP784" s="108"/>
      <c r="BQ784" s="108"/>
      <c r="BR784" s="108"/>
      <c r="BS784" s="108"/>
      <c r="BT784" s="108"/>
      <c r="BU784" s="108"/>
      <c r="BV784" s="108"/>
      <c r="BW784" s="108"/>
      <c r="BX784" s="108"/>
      <c r="BY784" s="108"/>
    </row>
    <row r="785" spans="1:77">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c r="AA785" s="109"/>
      <c r="AB785" s="109"/>
      <c r="AC785" s="109"/>
      <c r="AD785" s="109"/>
      <c r="AE785" s="109"/>
      <c r="AF785" s="109"/>
      <c r="AG785" s="109"/>
      <c r="AH785" s="109"/>
      <c r="AI785" s="109"/>
      <c r="AJ785" s="109"/>
      <c r="AK785" s="109"/>
      <c r="AL785" s="109"/>
      <c r="AM785" s="109"/>
      <c r="AN785" s="109"/>
      <c r="AO785" s="109"/>
      <c r="AP785" s="109"/>
      <c r="AQ785" s="109"/>
      <c r="AR785" s="109"/>
      <c r="AS785" s="109"/>
      <c r="AT785" s="108"/>
      <c r="AU785" s="108"/>
      <c r="AV785" s="108"/>
      <c r="AW785" s="108"/>
      <c r="AX785" s="108"/>
      <c r="AY785" s="108"/>
      <c r="AZ785" s="108"/>
      <c r="BA785" s="108"/>
      <c r="BB785" s="108"/>
      <c r="BC785" s="108"/>
      <c r="BD785" s="108"/>
      <c r="BE785" s="108"/>
      <c r="BF785" s="108"/>
      <c r="BG785" s="108"/>
      <c r="BH785" s="108"/>
      <c r="BI785" s="108"/>
      <c r="BJ785" s="108"/>
      <c r="BK785" s="108"/>
      <c r="BL785" s="108"/>
      <c r="BM785" s="108"/>
      <c r="BN785" s="108"/>
      <c r="BO785" s="108"/>
      <c r="BP785" s="108"/>
      <c r="BQ785" s="108"/>
      <c r="BR785" s="108"/>
      <c r="BS785" s="108"/>
      <c r="BT785" s="108"/>
      <c r="BU785" s="108"/>
      <c r="BV785" s="108"/>
      <c r="BW785" s="108"/>
      <c r="BX785" s="108"/>
      <c r="BY785" s="108"/>
    </row>
    <row r="786" spans="1:77">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c r="AA786" s="109"/>
      <c r="AB786" s="109"/>
      <c r="AC786" s="109"/>
      <c r="AD786" s="109"/>
      <c r="AE786" s="109"/>
      <c r="AF786" s="109"/>
      <c r="AG786" s="109"/>
      <c r="AH786" s="109"/>
      <c r="AI786" s="109"/>
      <c r="AJ786" s="109"/>
      <c r="AK786" s="109"/>
      <c r="AL786" s="109"/>
      <c r="AM786" s="109"/>
      <c r="AN786" s="109"/>
      <c r="AO786" s="109"/>
      <c r="AP786" s="109"/>
      <c r="AQ786" s="109"/>
      <c r="AR786" s="109"/>
      <c r="AS786" s="109"/>
      <c r="AT786" s="108"/>
      <c r="AU786" s="108"/>
      <c r="AV786" s="108"/>
      <c r="AW786" s="108"/>
      <c r="AX786" s="108"/>
      <c r="AY786" s="108"/>
      <c r="AZ786" s="108"/>
      <c r="BA786" s="108"/>
      <c r="BB786" s="108"/>
      <c r="BC786" s="108"/>
      <c r="BD786" s="108"/>
      <c r="BE786" s="108"/>
      <c r="BF786" s="108"/>
      <c r="BG786" s="108"/>
      <c r="BH786" s="108"/>
      <c r="BI786" s="108"/>
      <c r="BJ786" s="108"/>
      <c r="BK786" s="108"/>
      <c r="BL786" s="108"/>
      <c r="BM786" s="108"/>
      <c r="BN786" s="108"/>
      <c r="BO786" s="108"/>
      <c r="BP786" s="108"/>
      <c r="BQ786" s="108"/>
      <c r="BR786" s="108"/>
      <c r="BS786" s="108"/>
      <c r="BT786" s="108"/>
      <c r="BU786" s="108"/>
      <c r="BV786" s="108"/>
      <c r="BW786" s="108"/>
      <c r="BX786" s="108"/>
      <c r="BY786" s="108"/>
    </row>
    <row r="787" spans="1:77">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c r="AA787" s="109"/>
      <c r="AB787" s="109"/>
      <c r="AC787" s="109"/>
      <c r="AD787" s="109"/>
      <c r="AE787" s="109"/>
      <c r="AF787" s="109"/>
      <c r="AG787" s="109"/>
      <c r="AH787" s="109"/>
      <c r="AI787" s="109"/>
      <c r="AJ787" s="109"/>
      <c r="AK787" s="109"/>
      <c r="AL787" s="109"/>
      <c r="AM787" s="109"/>
      <c r="AN787" s="109"/>
      <c r="AO787" s="109"/>
      <c r="AP787" s="109"/>
      <c r="AQ787" s="109"/>
      <c r="AR787" s="109"/>
      <c r="AS787" s="109"/>
      <c r="AT787" s="108"/>
      <c r="AU787" s="108"/>
      <c r="AV787" s="108"/>
      <c r="AW787" s="108"/>
      <c r="AX787" s="108"/>
      <c r="AY787" s="108"/>
      <c r="AZ787" s="108"/>
      <c r="BA787" s="108"/>
      <c r="BB787" s="108"/>
      <c r="BC787" s="108"/>
      <c r="BD787" s="108"/>
      <c r="BE787" s="108"/>
      <c r="BF787" s="108"/>
      <c r="BG787" s="108"/>
      <c r="BH787" s="108"/>
      <c r="BI787" s="108"/>
      <c r="BJ787" s="108"/>
      <c r="BK787" s="108"/>
      <c r="BL787" s="108"/>
      <c r="BM787" s="108"/>
      <c r="BN787" s="108"/>
      <c r="BO787" s="108"/>
      <c r="BP787" s="108"/>
      <c r="BQ787" s="108"/>
      <c r="BR787" s="108"/>
      <c r="BS787" s="108"/>
      <c r="BT787" s="108"/>
      <c r="BU787" s="108"/>
      <c r="BV787" s="108"/>
      <c r="BW787" s="108"/>
      <c r="BX787" s="108"/>
      <c r="BY787" s="108"/>
    </row>
    <row r="788" spans="1:77">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c r="AA788" s="109"/>
      <c r="AB788" s="109"/>
      <c r="AC788" s="109"/>
      <c r="AD788" s="109"/>
      <c r="AE788" s="109"/>
      <c r="AF788" s="109"/>
      <c r="AG788" s="109"/>
      <c r="AH788" s="109"/>
      <c r="AI788" s="109"/>
      <c r="AJ788" s="109"/>
      <c r="AK788" s="109"/>
      <c r="AL788" s="109"/>
      <c r="AM788" s="109"/>
      <c r="AN788" s="109"/>
      <c r="AO788" s="109"/>
      <c r="AP788" s="109"/>
      <c r="AQ788" s="109"/>
      <c r="AR788" s="109"/>
      <c r="AS788" s="109"/>
      <c r="AT788" s="108"/>
      <c r="AU788" s="108"/>
      <c r="AV788" s="108"/>
      <c r="AW788" s="108"/>
      <c r="AX788" s="108"/>
      <c r="AY788" s="108"/>
      <c r="AZ788" s="108"/>
      <c r="BA788" s="108"/>
      <c r="BB788" s="108"/>
      <c r="BC788" s="108"/>
      <c r="BD788" s="108"/>
      <c r="BE788" s="108"/>
      <c r="BF788" s="108"/>
      <c r="BG788" s="108"/>
      <c r="BH788" s="108"/>
      <c r="BI788" s="108"/>
      <c r="BJ788" s="108"/>
      <c r="BK788" s="108"/>
      <c r="BL788" s="108"/>
      <c r="BM788" s="108"/>
      <c r="BN788" s="108"/>
      <c r="BO788" s="108"/>
      <c r="BP788" s="108"/>
      <c r="BQ788" s="108"/>
      <c r="BR788" s="108"/>
      <c r="BS788" s="108"/>
      <c r="BT788" s="108"/>
      <c r="BU788" s="108"/>
      <c r="BV788" s="108"/>
      <c r="BW788" s="108"/>
      <c r="BX788" s="108"/>
      <c r="BY788" s="108"/>
    </row>
    <row r="789" spans="1:77">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c r="AB789" s="109"/>
      <c r="AC789" s="109"/>
      <c r="AD789" s="109"/>
      <c r="AE789" s="109"/>
      <c r="AF789" s="109"/>
      <c r="AG789" s="109"/>
      <c r="AH789" s="109"/>
      <c r="AI789" s="109"/>
      <c r="AJ789" s="109"/>
      <c r="AK789" s="109"/>
      <c r="AL789" s="109"/>
      <c r="AM789" s="109"/>
      <c r="AN789" s="109"/>
      <c r="AO789" s="109"/>
      <c r="AP789" s="109"/>
      <c r="AQ789" s="109"/>
      <c r="AR789" s="109"/>
      <c r="AS789" s="109"/>
      <c r="AT789" s="108"/>
      <c r="AU789" s="108"/>
      <c r="AV789" s="108"/>
      <c r="AW789" s="108"/>
      <c r="AX789" s="108"/>
      <c r="AY789" s="108"/>
      <c r="AZ789" s="108"/>
      <c r="BA789" s="108"/>
      <c r="BB789" s="108"/>
      <c r="BC789" s="108"/>
      <c r="BD789" s="108"/>
      <c r="BE789" s="108"/>
      <c r="BF789" s="108"/>
      <c r="BG789" s="108"/>
      <c r="BH789" s="108"/>
      <c r="BI789" s="108"/>
      <c r="BJ789" s="108"/>
      <c r="BK789" s="108"/>
      <c r="BL789" s="108"/>
      <c r="BM789" s="108"/>
      <c r="BN789" s="108"/>
      <c r="BO789" s="108"/>
      <c r="BP789" s="108"/>
      <c r="BQ789" s="108"/>
      <c r="BR789" s="108"/>
      <c r="BS789" s="108"/>
      <c r="BT789" s="108"/>
      <c r="BU789" s="108"/>
      <c r="BV789" s="108"/>
      <c r="BW789" s="108"/>
      <c r="BX789" s="108"/>
      <c r="BY789" s="108"/>
    </row>
    <row r="790" spans="1:77">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c r="AA790" s="109"/>
      <c r="AB790" s="109"/>
      <c r="AC790" s="109"/>
      <c r="AD790" s="109"/>
      <c r="AE790" s="109"/>
      <c r="AF790" s="109"/>
      <c r="AG790" s="109"/>
      <c r="AH790" s="109"/>
      <c r="AI790" s="109"/>
      <c r="AJ790" s="109"/>
      <c r="AK790" s="109"/>
      <c r="AL790" s="109"/>
      <c r="AM790" s="109"/>
      <c r="AN790" s="109"/>
      <c r="AO790" s="109"/>
      <c r="AP790" s="109"/>
      <c r="AQ790" s="109"/>
      <c r="AR790" s="109"/>
      <c r="AS790" s="109"/>
      <c r="AT790" s="108"/>
      <c r="AU790" s="108"/>
      <c r="AV790" s="108"/>
      <c r="AW790" s="108"/>
      <c r="AX790" s="108"/>
      <c r="AY790" s="108"/>
      <c r="AZ790" s="108"/>
      <c r="BA790" s="108"/>
      <c r="BB790" s="108"/>
      <c r="BC790" s="108"/>
      <c r="BD790" s="108"/>
      <c r="BE790" s="108"/>
      <c r="BF790" s="108"/>
      <c r="BG790" s="108"/>
      <c r="BH790" s="108"/>
      <c r="BI790" s="108"/>
      <c r="BJ790" s="108"/>
      <c r="BK790" s="108"/>
      <c r="BL790" s="108"/>
      <c r="BM790" s="108"/>
      <c r="BN790" s="108"/>
      <c r="BO790" s="108"/>
      <c r="BP790" s="108"/>
      <c r="BQ790" s="108"/>
      <c r="BR790" s="108"/>
      <c r="BS790" s="108"/>
      <c r="BT790" s="108"/>
      <c r="BU790" s="108"/>
      <c r="BV790" s="108"/>
      <c r="BW790" s="108"/>
      <c r="BX790" s="108"/>
      <c r="BY790" s="108"/>
    </row>
    <row r="791" spans="1:77">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c r="AA791" s="109"/>
      <c r="AB791" s="109"/>
      <c r="AC791" s="109"/>
      <c r="AD791" s="109"/>
      <c r="AE791" s="109"/>
      <c r="AF791" s="109"/>
      <c r="AG791" s="109"/>
      <c r="AH791" s="109"/>
      <c r="AI791" s="109"/>
      <c r="AJ791" s="109"/>
      <c r="AK791" s="109"/>
      <c r="AL791" s="109"/>
      <c r="AM791" s="109"/>
      <c r="AN791" s="109"/>
      <c r="AO791" s="109"/>
      <c r="AP791" s="109"/>
      <c r="AQ791" s="109"/>
      <c r="AR791" s="109"/>
      <c r="AS791" s="109"/>
      <c r="AT791" s="108"/>
      <c r="AU791" s="108"/>
      <c r="AV791" s="108"/>
      <c r="AW791" s="108"/>
      <c r="AX791" s="108"/>
      <c r="AY791" s="108"/>
      <c r="AZ791" s="108"/>
      <c r="BA791" s="108"/>
      <c r="BB791" s="108"/>
      <c r="BC791" s="108"/>
      <c r="BD791" s="108"/>
      <c r="BE791" s="108"/>
      <c r="BF791" s="108"/>
      <c r="BG791" s="108"/>
      <c r="BH791" s="108"/>
      <c r="BI791" s="108"/>
      <c r="BJ791" s="108"/>
      <c r="BK791" s="108"/>
      <c r="BL791" s="108"/>
      <c r="BM791" s="108"/>
      <c r="BN791" s="108"/>
      <c r="BO791" s="108"/>
      <c r="BP791" s="108"/>
      <c r="BQ791" s="108"/>
      <c r="BR791" s="108"/>
      <c r="BS791" s="108"/>
      <c r="BT791" s="108"/>
      <c r="BU791" s="108"/>
      <c r="BV791" s="108"/>
      <c r="BW791" s="108"/>
      <c r="BX791" s="108"/>
      <c r="BY791" s="108"/>
    </row>
    <row r="792" spans="1:77">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c r="AA792" s="109"/>
      <c r="AB792" s="109"/>
      <c r="AC792" s="109"/>
      <c r="AD792" s="109"/>
      <c r="AE792" s="109"/>
      <c r="AF792" s="109"/>
      <c r="AG792" s="109"/>
      <c r="AH792" s="109"/>
      <c r="AI792" s="109"/>
      <c r="AJ792" s="109"/>
      <c r="AK792" s="109"/>
      <c r="AL792" s="109"/>
      <c r="AM792" s="109"/>
      <c r="AN792" s="109"/>
      <c r="AO792" s="109"/>
      <c r="AP792" s="109"/>
      <c r="AQ792" s="109"/>
      <c r="AR792" s="109"/>
      <c r="AS792" s="109"/>
      <c r="AT792" s="108"/>
      <c r="AU792" s="108"/>
      <c r="AV792" s="108"/>
      <c r="AW792" s="108"/>
      <c r="AX792" s="108"/>
      <c r="AY792" s="108"/>
      <c r="AZ792" s="108"/>
      <c r="BA792" s="108"/>
      <c r="BB792" s="108"/>
      <c r="BC792" s="108"/>
      <c r="BD792" s="108"/>
      <c r="BE792" s="108"/>
      <c r="BF792" s="108"/>
      <c r="BG792" s="108"/>
      <c r="BH792" s="108"/>
      <c r="BI792" s="108"/>
      <c r="BJ792" s="108"/>
      <c r="BK792" s="108"/>
      <c r="BL792" s="108"/>
      <c r="BM792" s="108"/>
      <c r="BN792" s="108"/>
      <c r="BO792" s="108"/>
      <c r="BP792" s="108"/>
      <c r="BQ792" s="108"/>
      <c r="BR792" s="108"/>
      <c r="BS792" s="108"/>
      <c r="BT792" s="108"/>
      <c r="BU792" s="108"/>
      <c r="BV792" s="108"/>
      <c r="BW792" s="108"/>
      <c r="BX792" s="108"/>
      <c r="BY792" s="108"/>
    </row>
    <row r="793" spans="1:77">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c r="AA793" s="109"/>
      <c r="AB793" s="109"/>
      <c r="AC793" s="109"/>
      <c r="AD793" s="109"/>
      <c r="AE793" s="109"/>
      <c r="AF793" s="109"/>
      <c r="AG793" s="109"/>
      <c r="AH793" s="109"/>
      <c r="AI793" s="109"/>
      <c r="AJ793" s="109"/>
      <c r="AK793" s="109"/>
      <c r="AL793" s="109"/>
      <c r="AM793" s="109"/>
      <c r="AN793" s="109"/>
      <c r="AO793" s="109"/>
      <c r="AP793" s="109"/>
      <c r="AQ793" s="109"/>
      <c r="AR793" s="109"/>
      <c r="AS793" s="109"/>
      <c r="AT793" s="108"/>
      <c r="AU793" s="108"/>
      <c r="AV793" s="108"/>
      <c r="AW793" s="108"/>
      <c r="AX793" s="108"/>
      <c r="AY793" s="108"/>
      <c r="AZ793" s="108"/>
      <c r="BA793" s="108"/>
      <c r="BB793" s="108"/>
      <c r="BC793" s="108"/>
      <c r="BD793" s="108"/>
      <c r="BE793" s="108"/>
      <c r="BF793" s="108"/>
      <c r="BG793" s="108"/>
      <c r="BH793" s="108"/>
      <c r="BI793" s="108"/>
      <c r="BJ793" s="108"/>
      <c r="BK793" s="108"/>
      <c r="BL793" s="108"/>
      <c r="BM793" s="108"/>
      <c r="BN793" s="108"/>
      <c r="BO793" s="108"/>
      <c r="BP793" s="108"/>
      <c r="BQ793" s="108"/>
      <c r="BR793" s="108"/>
      <c r="BS793" s="108"/>
      <c r="BT793" s="108"/>
      <c r="BU793" s="108"/>
      <c r="BV793" s="108"/>
      <c r="BW793" s="108"/>
      <c r="BX793" s="108"/>
      <c r="BY793" s="108"/>
    </row>
    <row r="794" spans="1:77">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c r="AA794" s="109"/>
      <c r="AB794" s="109"/>
      <c r="AC794" s="109"/>
      <c r="AD794" s="109"/>
      <c r="AE794" s="109"/>
      <c r="AF794" s="109"/>
      <c r="AG794" s="109"/>
      <c r="AH794" s="109"/>
      <c r="AI794" s="109"/>
      <c r="AJ794" s="109"/>
      <c r="AK794" s="109"/>
      <c r="AL794" s="109"/>
      <c r="AM794" s="109"/>
      <c r="AN794" s="109"/>
      <c r="AO794" s="109"/>
      <c r="AP794" s="109"/>
      <c r="AQ794" s="109"/>
      <c r="AR794" s="109"/>
      <c r="AS794" s="109"/>
      <c r="AT794" s="108"/>
      <c r="AU794" s="108"/>
      <c r="AV794" s="108"/>
      <c r="AW794" s="108"/>
      <c r="AX794" s="108"/>
      <c r="AY794" s="108"/>
      <c r="AZ794" s="108"/>
      <c r="BA794" s="108"/>
      <c r="BB794" s="108"/>
      <c r="BC794" s="108"/>
      <c r="BD794" s="108"/>
      <c r="BE794" s="108"/>
      <c r="BF794" s="108"/>
      <c r="BG794" s="108"/>
      <c r="BH794" s="108"/>
      <c r="BI794" s="108"/>
      <c r="BJ794" s="108"/>
      <c r="BK794" s="108"/>
      <c r="BL794" s="108"/>
      <c r="BM794" s="108"/>
      <c r="BN794" s="108"/>
      <c r="BO794" s="108"/>
      <c r="BP794" s="108"/>
      <c r="BQ794" s="108"/>
      <c r="BR794" s="108"/>
      <c r="BS794" s="108"/>
      <c r="BT794" s="108"/>
      <c r="BU794" s="108"/>
      <c r="BV794" s="108"/>
      <c r="BW794" s="108"/>
      <c r="BX794" s="108"/>
      <c r="BY794" s="108"/>
    </row>
    <row r="795" spans="1:77">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c r="AA795" s="109"/>
      <c r="AB795" s="109"/>
      <c r="AC795" s="109"/>
      <c r="AD795" s="109"/>
      <c r="AE795" s="109"/>
      <c r="AF795" s="109"/>
      <c r="AG795" s="109"/>
      <c r="AH795" s="109"/>
      <c r="AI795" s="109"/>
      <c r="AJ795" s="109"/>
      <c r="AK795" s="109"/>
      <c r="AL795" s="109"/>
      <c r="AM795" s="109"/>
      <c r="AN795" s="109"/>
      <c r="AO795" s="109"/>
      <c r="AP795" s="109"/>
      <c r="AQ795" s="109"/>
      <c r="AR795" s="109"/>
      <c r="AS795" s="109"/>
      <c r="AT795" s="108"/>
      <c r="AU795" s="108"/>
      <c r="AV795" s="108"/>
      <c r="AW795" s="108"/>
      <c r="AX795" s="108"/>
      <c r="AY795" s="108"/>
      <c r="AZ795" s="108"/>
      <c r="BA795" s="108"/>
      <c r="BB795" s="108"/>
      <c r="BC795" s="108"/>
      <c r="BD795" s="108"/>
      <c r="BE795" s="108"/>
      <c r="BF795" s="108"/>
      <c r="BG795" s="108"/>
      <c r="BH795" s="108"/>
      <c r="BI795" s="108"/>
      <c r="BJ795" s="108"/>
      <c r="BK795" s="108"/>
      <c r="BL795" s="108"/>
      <c r="BM795" s="108"/>
      <c r="BN795" s="108"/>
      <c r="BO795" s="108"/>
      <c r="BP795" s="108"/>
      <c r="BQ795" s="108"/>
      <c r="BR795" s="108"/>
      <c r="BS795" s="108"/>
      <c r="BT795" s="108"/>
      <c r="BU795" s="108"/>
      <c r="BV795" s="108"/>
      <c r="BW795" s="108"/>
      <c r="BX795" s="108"/>
      <c r="BY795" s="108"/>
    </row>
    <row r="796" spans="1:77">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c r="AA796" s="109"/>
      <c r="AB796" s="109"/>
      <c r="AC796" s="109"/>
      <c r="AD796" s="109"/>
      <c r="AE796" s="109"/>
      <c r="AF796" s="109"/>
      <c r="AG796" s="109"/>
      <c r="AH796" s="109"/>
      <c r="AI796" s="109"/>
      <c r="AJ796" s="109"/>
      <c r="AK796" s="109"/>
      <c r="AL796" s="109"/>
      <c r="AM796" s="109"/>
      <c r="AN796" s="109"/>
      <c r="AO796" s="109"/>
      <c r="AP796" s="109"/>
      <c r="AQ796" s="109"/>
      <c r="AR796" s="109"/>
      <c r="AS796" s="109"/>
      <c r="AT796" s="108"/>
      <c r="AU796" s="108"/>
      <c r="AV796" s="108"/>
      <c r="AW796" s="108"/>
      <c r="AX796" s="108"/>
      <c r="AY796" s="108"/>
      <c r="AZ796" s="108"/>
      <c r="BA796" s="108"/>
      <c r="BB796" s="108"/>
      <c r="BC796" s="108"/>
      <c r="BD796" s="108"/>
      <c r="BE796" s="108"/>
      <c r="BF796" s="108"/>
      <c r="BG796" s="108"/>
      <c r="BH796" s="108"/>
      <c r="BI796" s="108"/>
      <c r="BJ796" s="108"/>
      <c r="BK796" s="108"/>
      <c r="BL796" s="108"/>
      <c r="BM796" s="108"/>
      <c r="BN796" s="108"/>
      <c r="BO796" s="108"/>
      <c r="BP796" s="108"/>
      <c r="BQ796" s="108"/>
      <c r="BR796" s="108"/>
      <c r="BS796" s="108"/>
      <c r="BT796" s="108"/>
      <c r="BU796" s="108"/>
      <c r="BV796" s="108"/>
      <c r="BW796" s="108"/>
      <c r="BX796" s="108"/>
      <c r="BY796" s="108"/>
    </row>
    <row r="797" spans="1:77">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c r="AA797" s="109"/>
      <c r="AB797" s="109"/>
      <c r="AC797" s="109"/>
      <c r="AD797" s="109"/>
      <c r="AE797" s="109"/>
      <c r="AF797" s="109"/>
      <c r="AG797" s="109"/>
      <c r="AH797" s="109"/>
      <c r="AI797" s="109"/>
      <c r="AJ797" s="109"/>
      <c r="AK797" s="109"/>
      <c r="AL797" s="109"/>
      <c r="AM797" s="109"/>
      <c r="AN797" s="109"/>
      <c r="AO797" s="109"/>
      <c r="AP797" s="109"/>
      <c r="AQ797" s="109"/>
      <c r="AR797" s="109"/>
      <c r="AS797" s="109"/>
      <c r="AT797" s="108"/>
      <c r="AU797" s="108"/>
      <c r="AV797" s="108"/>
      <c r="AW797" s="108"/>
      <c r="AX797" s="108"/>
      <c r="AY797" s="108"/>
      <c r="AZ797" s="108"/>
      <c r="BA797" s="108"/>
      <c r="BB797" s="108"/>
      <c r="BC797" s="108"/>
      <c r="BD797" s="108"/>
      <c r="BE797" s="108"/>
      <c r="BF797" s="108"/>
      <c r="BG797" s="108"/>
      <c r="BH797" s="108"/>
      <c r="BI797" s="108"/>
      <c r="BJ797" s="108"/>
      <c r="BK797" s="108"/>
      <c r="BL797" s="108"/>
      <c r="BM797" s="108"/>
      <c r="BN797" s="108"/>
      <c r="BO797" s="108"/>
      <c r="BP797" s="108"/>
      <c r="BQ797" s="108"/>
      <c r="BR797" s="108"/>
      <c r="BS797" s="108"/>
      <c r="BT797" s="108"/>
      <c r="BU797" s="108"/>
      <c r="BV797" s="108"/>
      <c r="BW797" s="108"/>
      <c r="BX797" s="108"/>
      <c r="BY797" s="108"/>
    </row>
    <row r="798" spans="1:77">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c r="AA798" s="109"/>
      <c r="AB798" s="109"/>
      <c r="AC798" s="109"/>
      <c r="AD798" s="109"/>
      <c r="AE798" s="109"/>
      <c r="AF798" s="109"/>
      <c r="AG798" s="109"/>
      <c r="AH798" s="109"/>
      <c r="AI798" s="109"/>
      <c r="AJ798" s="109"/>
      <c r="AK798" s="109"/>
      <c r="AL798" s="109"/>
      <c r="AM798" s="109"/>
      <c r="AN798" s="109"/>
      <c r="AO798" s="109"/>
      <c r="AP798" s="109"/>
      <c r="AQ798" s="109"/>
      <c r="AR798" s="109"/>
      <c r="AS798" s="109"/>
      <c r="AT798" s="108"/>
      <c r="AU798" s="108"/>
      <c r="AV798" s="108"/>
      <c r="AW798" s="108"/>
      <c r="AX798" s="108"/>
      <c r="AY798" s="108"/>
      <c r="AZ798" s="108"/>
      <c r="BA798" s="108"/>
      <c r="BB798" s="108"/>
      <c r="BC798" s="108"/>
      <c r="BD798" s="108"/>
      <c r="BE798" s="108"/>
      <c r="BF798" s="108"/>
      <c r="BG798" s="108"/>
      <c r="BH798" s="108"/>
      <c r="BI798" s="108"/>
      <c r="BJ798" s="108"/>
      <c r="BK798" s="108"/>
      <c r="BL798" s="108"/>
      <c r="BM798" s="108"/>
      <c r="BN798" s="108"/>
      <c r="BO798" s="108"/>
      <c r="BP798" s="108"/>
      <c r="BQ798" s="108"/>
      <c r="BR798" s="108"/>
      <c r="BS798" s="108"/>
      <c r="BT798" s="108"/>
      <c r="BU798" s="108"/>
      <c r="BV798" s="108"/>
      <c r="BW798" s="108"/>
      <c r="BX798" s="108"/>
      <c r="BY798" s="108"/>
    </row>
    <row r="799" spans="1:77">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c r="AA799" s="109"/>
      <c r="AB799" s="109"/>
      <c r="AC799" s="109"/>
      <c r="AD799" s="109"/>
      <c r="AE799" s="109"/>
      <c r="AF799" s="109"/>
      <c r="AG799" s="109"/>
      <c r="AH799" s="109"/>
      <c r="AI799" s="109"/>
      <c r="AJ799" s="109"/>
      <c r="AK799" s="109"/>
      <c r="AL799" s="109"/>
      <c r="AM799" s="109"/>
      <c r="AN799" s="109"/>
      <c r="AO799" s="109"/>
      <c r="AP799" s="109"/>
      <c r="AQ799" s="109"/>
      <c r="AR799" s="109"/>
      <c r="AS799" s="109"/>
      <c r="AT799" s="108"/>
      <c r="AU799" s="108"/>
      <c r="AV799" s="108"/>
      <c r="AW799" s="108"/>
      <c r="AX799" s="108"/>
      <c r="AY799" s="108"/>
      <c r="AZ799" s="108"/>
      <c r="BA799" s="108"/>
      <c r="BB799" s="108"/>
      <c r="BC799" s="108"/>
      <c r="BD799" s="108"/>
      <c r="BE799" s="108"/>
      <c r="BF799" s="108"/>
      <c r="BG799" s="108"/>
      <c r="BH799" s="108"/>
      <c r="BI799" s="108"/>
      <c r="BJ799" s="108"/>
      <c r="BK799" s="108"/>
      <c r="BL799" s="108"/>
      <c r="BM799" s="108"/>
      <c r="BN799" s="108"/>
      <c r="BO799" s="108"/>
      <c r="BP799" s="108"/>
      <c r="BQ799" s="108"/>
      <c r="BR799" s="108"/>
      <c r="BS799" s="108"/>
      <c r="BT799" s="108"/>
      <c r="BU799" s="108"/>
      <c r="BV799" s="108"/>
      <c r="BW799" s="108"/>
      <c r="BX799" s="108"/>
      <c r="BY799" s="108"/>
    </row>
    <row r="800" spans="1:77">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c r="AA800" s="109"/>
      <c r="AB800" s="109"/>
      <c r="AC800" s="109"/>
      <c r="AD800" s="109"/>
      <c r="AE800" s="109"/>
      <c r="AF800" s="109"/>
      <c r="AG800" s="109"/>
      <c r="AH800" s="109"/>
      <c r="AI800" s="109"/>
      <c r="AJ800" s="109"/>
      <c r="AK800" s="109"/>
      <c r="AL800" s="109"/>
      <c r="AM800" s="109"/>
      <c r="AN800" s="109"/>
      <c r="AO800" s="109"/>
      <c r="AP800" s="109"/>
      <c r="AQ800" s="109"/>
      <c r="AR800" s="109"/>
      <c r="AS800" s="109"/>
      <c r="AT800" s="108"/>
      <c r="AU800" s="108"/>
      <c r="AV800" s="108"/>
      <c r="AW800" s="108"/>
      <c r="AX800" s="108"/>
      <c r="AY800" s="108"/>
      <c r="AZ800" s="108"/>
      <c r="BA800" s="108"/>
      <c r="BB800" s="108"/>
      <c r="BC800" s="108"/>
      <c r="BD800" s="108"/>
      <c r="BE800" s="108"/>
      <c r="BF800" s="108"/>
      <c r="BG800" s="108"/>
      <c r="BH800" s="108"/>
      <c r="BI800" s="108"/>
      <c r="BJ800" s="108"/>
      <c r="BK800" s="108"/>
      <c r="BL800" s="108"/>
      <c r="BM800" s="108"/>
      <c r="BN800" s="108"/>
      <c r="BO800" s="108"/>
      <c r="BP800" s="108"/>
      <c r="BQ800" s="108"/>
      <c r="BR800" s="108"/>
      <c r="BS800" s="108"/>
      <c r="BT800" s="108"/>
      <c r="BU800" s="108"/>
      <c r="BV800" s="108"/>
      <c r="BW800" s="108"/>
      <c r="BX800" s="108"/>
      <c r="BY800" s="108"/>
    </row>
    <row r="801" spans="1:77">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c r="AA801" s="109"/>
      <c r="AB801" s="109"/>
      <c r="AC801" s="109"/>
      <c r="AD801" s="109"/>
      <c r="AE801" s="109"/>
      <c r="AF801" s="109"/>
      <c r="AG801" s="109"/>
      <c r="AH801" s="109"/>
      <c r="AI801" s="109"/>
      <c r="AJ801" s="109"/>
      <c r="AK801" s="109"/>
      <c r="AL801" s="109"/>
      <c r="AM801" s="109"/>
      <c r="AN801" s="109"/>
      <c r="AO801" s="109"/>
      <c r="AP801" s="109"/>
      <c r="AQ801" s="109"/>
      <c r="AR801" s="109"/>
      <c r="AS801" s="109"/>
      <c r="AT801" s="108"/>
      <c r="AU801" s="108"/>
      <c r="AV801" s="108"/>
      <c r="AW801" s="108"/>
      <c r="AX801" s="108"/>
      <c r="AY801" s="108"/>
      <c r="AZ801" s="108"/>
      <c r="BA801" s="108"/>
      <c r="BB801" s="108"/>
      <c r="BC801" s="108"/>
      <c r="BD801" s="108"/>
      <c r="BE801" s="108"/>
      <c r="BF801" s="108"/>
      <c r="BG801" s="108"/>
      <c r="BH801" s="108"/>
      <c r="BI801" s="108"/>
      <c r="BJ801" s="108"/>
      <c r="BK801" s="108"/>
      <c r="BL801" s="108"/>
      <c r="BM801" s="108"/>
      <c r="BN801" s="108"/>
      <c r="BO801" s="108"/>
      <c r="BP801" s="108"/>
      <c r="BQ801" s="108"/>
      <c r="BR801" s="108"/>
      <c r="BS801" s="108"/>
      <c r="BT801" s="108"/>
      <c r="BU801" s="108"/>
      <c r="BV801" s="108"/>
      <c r="BW801" s="108"/>
      <c r="BX801" s="108"/>
      <c r="BY801" s="108"/>
    </row>
    <row r="802" spans="1:77">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c r="AA802" s="109"/>
      <c r="AB802" s="109"/>
      <c r="AC802" s="109"/>
      <c r="AD802" s="109"/>
      <c r="AE802" s="109"/>
      <c r="AF802" s="109"/>
      <c r="AG802" s="109"/>
      <c r="AH802" s="109"/>
      <c r="AI802" s="109"/>
      <c r="AJ802" s="109"/>
      <c r="AK802" s="109"/>
      <c r="AL802" s="109"/>
      <c r="AM802" s="109"/>
      <c r="AN802" s="109"/>
      <c r="AO802" s="109"/>
      <c r="AP802" s="109"/>
      <c r="AQ802" s="109"/>
      <c r="AR802" s="109"/>
      <c r="AS802" s="109"/>
      <c r="AT802" s="108"/>
      <c r="AU802" s="108"/>
      <c r="AV802" s="108"/>
      <c r="AW802" s="108"/>
      <c r="AX802" s="108"/>
      <c r="AY802" s="108"/>
      <c r="AZ802" s="108"/>
      <c r="BA802" s="108"/>
      <c r="BB802" s="108"/>
      <c r="BC802" s="108"/>
      <c r="BD802" s="108"/>
      <c r="BE802" s="108"/>
      <c r="BF802" s="108"/>
      <c r="BG802" s="108"/>
      <c r="BH802" s="108"/>
      <c r="BI802" s="108"/>
      <c r="BJ802" s="108"/>
      <c r="BK802" s="108"/>
      <c r="BL802" s="108"/>
      <c r="BM802" s="108"/>
      <c r="BN802" s="108"/>
      <c r="BO802" s="108"/>
      <c r="BP802" s="108"/>
      <c r="BQ802" s="108"/>
      <c r="BR802" s="108"/>
      <c r="BS802" s="108"/>
      <c r="BT802" s="108"/>
      <c r="BU802" s="108"/>
      <c r="BV802" s="108"/>
      <c r="BW802" s="108"/>
      <c r="BX802" s="108"/>
      <c r="BY802" s="108"/>
    </row>
    <row r="803" spans="1:77">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c r="AA803" s="109"/>
      <c r="AB803" s="109"/>
      <c r="AC803" s="109"/>
      <c r="AD803" s="109"/>
      <c r="AE803" s="109"/>
      <c r="AF803" s="109"/>
      <c r="AG803" s="109"/>
      <c r="AH803" s="109"/>
      <c r="AI803" s="109"/>
      <c r="AJ803" s="109"/>
      <c r="AK803" s="109"/>
      <c r="AL803" s="109"/>
      <c r="AM803" s="109"/>
      <c r="AN803" s="109"/>
      <c r="AO803" s="109"/>
      <c r="AP803" s="109"/>
      <c r="AQ803" s="109"/>
      <c r="AR803" s="109"/>
      <c r="AS803" s="109"/>
      <c r="AT803" s="108"/>
      <c r="AU803" s="108"/>
      <c r="AV803" s="108"/>
      <c r="AW803" s="108"/>
      <c r="AX803" s="108"/>
      <c r="AY803" s="108"/>
      <c r="AZ803" s="108"/>
      <c r="BA803" s="108"/>
      <c r="BB803" s="108"/>
      <c r="BC803" s="108"/>
      <c r="BD803" s="108"/>
      <c r="BE803" s="108"/>
      <c r="BF803" s="108"/>
      <c r="BG803" s="108"/>
      <c r="BH803" s="108"/>
      <c r="BI803" s="108"/>
      <c r="BJ803" s="108"/>
      <c r="BK803" s="108"/>
      <c r="BL803" s="108"/>
      <c r="BM803" s="108"/>
      <c r="BN803" s="108"/>
      <c r="BO803" s="108"/>
      <c r="BP803" s="108"/>
      <c r="BQ803" s="108"/>
      <c r="BR803" s="108"/>
      <c r="BS803" s="108"/>
      <c r="BT803" s="108"/>
      <c r="BU803" s="108"/>
      <c r="BV803" s="108"/>
      <c r="BW803" s="108"/>
      <c r="BX803" s="108"/>
      <c r="BY803" s="108"/>
    </row>
    <row r="804" spans="1:77">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c r="AA804" s="109"/>
      <c r="AB804" s="109"/>
      <c r="AC804" s="109"/>
      <c r="AD804" s="109"/>
      <c r="AE804" s="109"/>
      <c r="AF804" s="109"/>
      <c r="AG804" s="109"/>
      <c r="AH804" s="109"/>
      <c r="AI804" s="109"/>
      <c r="AJ804" s="109"/>
      <c r="AK804" s="109"/>
      <c r="AL804" s="109"/>
      <c r="AM804" s="109"/>
      <c r="AN804" s="109"/>
      <c r="AO804" s="109"/>
      <c r="AP804" s="109"/>
      <c r="AQ804" s="109"/>
      <c r="AR804" s="109"/>
      <c r="AS804" s="109"/>
      <c r="AT804" s="108"/>
      <c r="AU804" s="108"/>
      <c r="AV804" s="108"/>
      <c r="AW804" s="108"/>
      <c r="AX804" s="108"/>
      <c r="AY804" s="108"/>
      <c r="AZ804" s="108"/>
      <c r="BA804" s="108"/>
      <c r="BB804" s="108"/>
      <c r="BC804" s="108"/>
      <c r="BD804" s="108"/>
      <c r="BE804" s="108"/>
      <c r="BF804" s="108"/>
      <c r="BG804" s="108"/>
      <c r="BH804" s="108"/>
      <c r="BI804" s="108"/>
      <c r="BJ804" s="108"/>
      <c r="BK804" s="108"/>
      <c r="BL804" s="108"/>
      <c r="BM804" s="108"/>
      <c r="BN804" s="108"/>
      <c r="BO804" s="108"/>
      <c r="BP804" s="108"/>
      <c r="BQ804" s="108"/>
      <c r="BR804" s="108"/>
      <c r="BS804" s="108"/>
      <c r="BT804" s="108"/>
      <c r="BU804" s="108"/>
      <c r="BV804" s="108"/>
      <c r="BW804" s="108"/>
      <c r="BX804" s="108"/>
      <c r="BY804" s="108"/>
    </row>
    <row r="805" spans="1:77">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c r="AA805" s="109"/>
      <c r="AB805" s="109"/>
      <c r="AC805" s="109"/>
      <c r="AD805" s="109"/>
      <c r="AE805" s="109"/>
      <c r="AF805" s="109"/>
      <c r="AG805" s="109"/>
      <c r="AH805" s="109"/>
      <c r="AI805" s="109"/>
      <c r="AJ805" s="109"/>
      <c r="AK805" s="109"/>
      <c r="AL805" s="109"/>
      <c r="AM805" s="109"/>
      <c r="AN805" s="109"/>
      <c r="AO805" s="109"/>
      <c r="AP805" s="109"/>
      <c r="AQ805" s="109"/>
      <c r="AR805" s="109"/>
      <c r="AS805" s="109"/>
      <c r="AT805" s="108"/>
      <c r="AU805" s="108"/>
      <c r="AV805" s="108"/>
      <c r="AW805" s="108"/>
      <c r="AX805" s="108"/>
      <c r="AY805" s="108"/>
      <c r="AZ805" s="108"/>
      <c r="BA805" s="108"/>
      <c r="BB805" s="108"/>
      <c r="BC805" s="108"/>
      <c r="BD805" s="108"/>
      <c r="BE805" s="108"/>
      <c r="BF805" s="108"/>
      <c r="BG805" s="108"/>
      <c r="BH805" s="108"/>
      <c r="BI805" s="108"/>
      <c r="BJ805" s="108"/>
      <c r="BK805" s="108"/>
      <c r="BL805" s="108"/>
      <c r="BM805" s="108"/>
      <c r="BN805" s="108"/>
      <c r="BO805" s="108"/>
      <c r="BP805" s="108"/>
      <c r="BQ805" s="108"/>
      <c r="BR805" s="108"/>
      <c r="BS805" s="108"/>
      <c r="BT805" s="108"/>
      <c r="BU805" s="108"/>
      <c r="BV805" s="108"/>
      <c r="BW805" s="108"/>
      <c r="BX805" s="108"/>
      <c r="BY805" s="108"/>
    </row>
    <row r="806" spans="1:77">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c r="AA806" s="109"/>
      <c r="AB806" s="109"/>
      <c r="AC806" s="109"/>
      <c r="AD806" s="109"/>
      <c r="AE806" s="109"/>
      <c r="AF806" s="109"/>
      <c r="AG806" s="109"/>
      <c r="AH806" s="109"/>
      <c r="AI806" s="109"/>
      <c r="AJ806" s="109"/>
      <c r="AK806" s="109"/>
      <c r="AL806" s="109"/>
      <c r="AM806" s="109"/>
      <c r="AN806" s="109"/>
      <c r="AO806" s="109"/>
      <c r="AP806" s="109"/>
      <c r="AQ806" s="109"/>
      <c r="AR806" s="109"/>
      <c r="AS806" s="109"/>
      <c r="AT806" s="108"/>
      <c r="AU806" s="108"/>
      <c r="AV806" s="108"/>
      <c r="AW806" s="108"/>
      <c r="AX806" s="108"/>
      <c r="AY806" s="108"/>
      <c r="AZ806" s="108"/>
      <c r="BA806" s="108"/>
      <c r="BB806" s="108"/>
      <c r="BC806" s="108"/>
      <c r="BD806" s="108"/>
      <c r="BE806" s="108"/>
      <c r="BF806" s="108"/>
      <c r="BG806" s="108"/>
      <c r="BH806" s="108"/>
      <c r="BI806" s="108"/>
      <c r="BJ806" s="108"/>
      <c r="BK806" s="108"/>
      <c r="BL806" s="108"/>
      <c r="BM806" s="108"/>
      <c r="BN806" s="108"/>
      <c r="BO806" s="108"/>
      <c r="BP806" s="108"/>
      <c r="BQ806" s="108"/>
      <c r="BR806" s="108"/>
      <c r="BS806" s="108"/>
      <c r="BT806" s="108"/>
      <c r="BU806" s="108"/>
      <c r="BV806" s="108"/>
      <c r="BW806" s="108"/>
      <c r="BX806" s="108"/>
      <c r="BY806" s="108"/>
    </row>
    <row r="807" spans="1:77">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c r="AA807" s="109"/>
      <c r="AB807" s="109"/>
      <c r="AC807" s="109"/>
      <c r="AD807" s="109"/>
      <c r="AE807" s="109"/>
      <c r="AF807" s="109"/>
      <c r="AG807" s="109"/>
      <c r="AH807" s="109"/>
      <c r="AI807" s="109"/>
      <c r="AJ807" s="109"/>
      <c r="AK807" s="109"/>
      <c r="AL807" s="109"/>
      <c r="AM807" s="109"/>
      <c r="AN807" s="109"/>
      <c r="AO807" s="109"/>
      <c r="AP807" s="109"/>
      <c r="AQ807" s="109"/>
      <c r="AR807" s="109"/>
      <c r="AS807" s="109"/>
      <c r="AT807" s="108"/>
      <c r="AU807" s="108"/>
      <c r="AV807" s="108"/>
      <c r="AW807" s="108"/>
      <c r="AX807" s="108"/>
      <c r="AY807" s="108"/>
      <c r="AZ807" s="108"/>
      <c r="BA807" s="108"/>
      <c r="BB807" s="108"/>
      <c r="BC807" s="108"/>
      <c r="BD807" s="108"/>
      <c r="BE807" s="108"/>
      <c r="BF807" s="108"/>
      <c r="BG807" s="108"/>
      <c r="BH807" s="108"/>
      <c r="BI807" s="108"/>
      <c r="BJ807" s="108"/>
      <c r="BK807" s="108"/>
      <c r="BL807" s="108"/>
      <c r="BM807" s="108"/>
      <c r="BN807" s="108"/>
      <c r="BO807" s="108"/>
      <c r="BP807" s="108"/>
      <c r="BQ807" s="108"/>
      <c r="BR807" s="108"/>
      <c r="BS807" s="108"/>
      <c r="BT807" s="108"/>
      <c r="BU807" s="108"/>
      <c r="BV807" s="108"/>
      <c r="BW807" s="108"/>
      <c r="BX807" s="108"/>
      <c r="BY807" s="108"/>
    </row>
    <row r="808" spans="1:77">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c r="AA808" s="109"/>
      <c r="AB808" s="109"/>
      <c r="AC808" s="109"/>
      <c r="AD808" s="109"/>
      <c r="AE808" s="109"/>
      <c r="AF808" s="109"/>
      <c r="AG808" s="109"/>
      <c r="AH808" s="109"/>
      <c r="AI808" s="109"/>
      <c r="AJ808" s="109"/>
      <c r="AK808" s="109"/>
      <c r="AL808" s="109"/>
      <c r="AM808" s="109"/>
      <c r="AN808" s="109"/>
      <c r="AO808" s="109"/>
      <c r="AP808" s="109"/>
      <c r="AQ808" s="109"/>
      <c r="AR808" s="109"/>
      <c r="AS808" s="109"/>
      <c r="AT808" s="108"/>
      <c r="AU808" s="108"/>
      <c r="AV808" s="108"/>
      <c r="AW808" s="108"/>
      <c r="AX808" s="108"/>
      <c r="AY808" s="108"/>
      <c r="AZ808" s="108"/>
      <c r="BA808" s="108"/>
      <c r="BB808" s="108"/>
      <c r="BC808" s="108"/>
      <c r="BD808" s="108"/>
      <c r="BE808" s="108"/>
      <c r="BF808" s="108"/>
      <c r="BG808" s="108"/>
      <c r="BH808" s="108"/>
      <c r="BI808" s="108"/>
      <c r="BJ808" s="108"/>
      <c r="BK808" s="108"/>
      <c r="BL808" s="108"/>
      <c r="BM808" s="108"/>
      <c r="BN808" s="108"/>
      <c r="BO808" s="108"/>
      <c r="BP808" s="108"/>
      <c r="BQ808" s="108"/>
      <c r="BR808" s="108"/>
      <c r="BS808" s="108"/>
      <c r="BT808" s="108"/>
      <c r="BU808" s="108"/>
      <c r="BV808" s="108"/>
      <c r="BW808" s="108"/>
      <c r="BX808" s="108"/>
      <c r="BY808" s="108"/>
    </row>
    <row r="809" spans="1:77">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c r="AA809" s="109"/>
      <c r="AB809" s="109"/>
      <c r="AC809" s="109"/>
      <c r="AD809" s="109"/>
      <c r="AE809" s="109"/>
      <c r="AF809" s="109"/>
      <c r="AG809" s="109"/>
      <c r="AH809" s="109"/>
      <c r="AI809" s="109"/>
      <c r="AJ809" s="109"/>
      <c r="AK809" s="109"/>
      <c r="AL809" s="109"/>
      <c r="AM809" s="109"/>
      <c r="AN809" s="109"/>
      <c r="AO809" s="109"/>
      <c r="AP809" s="109"/>
      <c r="AQ809" s="109"/>
      <c r="AR809" s="109"/>
      <c r="AS809" s="109"/>
      <c r="AT809" s="108"/>
      <c r="AU809" s="108"/>
      <c r="AV809" s="108"/>
      <c r="AW809" s="108"/>
      <c r="AX809" s="108"/>
      <c r="AY809" s="108"/>
      <c r="AZ809" s="108"/>
      <c r="BA809" s="108"/>
      <c r="BB809" s="108"/>
      <c r="BC809" s="108"/>
      <c r="BD809" s="108"/>
      <c r="BE809" s="108"/>
      <c r="BF809" s="108"/>
      <c r="BG809" s="108"/>
      <c r="BH809" s="108"/>
      <c r="BI809" s="108"/>
      <c r="BJ809" s="108"/>
      <c r="BK809" s="108"/>
      <c r="BL809" s="108"/>
      <c r="BM809" s="108"/>
      <c r="BN809" s="108"/>
      <c r="BO809" s="108"/>
      <c r="BP809" s="108"/>
      <c r="BQ809" s="108"/>
      <c r="BR809" s="108"/>
      <c r="BS809" s="108"/>
      <c r="BT809" s="108"/>
      <c r="BU809" s="108"/>
      <c r="BV809" s="108"/>
      <c r="BW809" s="108"/>
      <c r="BX809" s="108"/>
      <c r="BY809" s="108"/>
    </row>
    <row r="810" spans="1:77">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c r="AA810" s="109"/>
      <c r="AB810" s="109"/>
      <c r="AC810" s="109"/>
      <c r="AD810" s="109"/>
      <c r="AE810" s="109"/>
      <c r="AF810" s="109"/>
      <c r="AG810" s="109"/>
      <c r="AH810" s="109"/>
      <c r="AI810" s="109"/>
      <c r="AJ810" s="109"/>
      <c r="AK810" s="109"/>
      <c r="AL810" s="109"/>
      <c r="AM810" s="109"/>
      <c r="AN810" s="109"/>
      <c r="AO810" s="109"/>
      <c r="AP810" s="109"/>
      <c r="AQ810" s="109"/>
      <c r="AR810" s="109"/>
      <c r="AS810" s="109"/>
      <c r="AT810" s="108"/>
      <c r="AU810" s="108"/>
      <c r="AV810" s="108"/>
      <c r="AW810" s="108"/>
      <c r="AX810" s="108"/>
      <c r="AY810" s="108"/>
      <c r="AZ810" s="108"/>
      <c r="BA810" s="108"/>
      <c r="BB810" s="108"/>
      <c r="BC810" s="108"/>
      <c r="BD810" s="108"/>
      <c r="BE810" s="108"/>
      <c r="BF810" s="108"/>
      <c r="BG810" s="108"/>
      <c r="BH810" s="108"/>
      <c r="BI810" s="108"/>
      <c r="BJ810" s="108"/>
      <c r="BK810" s="108"/>
      <c r="BL810" s="108"/>
      <c r="BM810" s="108"/>
      <c r="BN810" s="108"/>
      <c r="BO810" s="108"/>
      <c r="BP810" s="108"/>
      <c r="BQ810" s="108"/>
      <c r="BR810" s="108"/>
      <c r="BS810" s="108"/>
      <c r="BT810" s="108"/>
      <c r="BU810" s="108"/>
      <c r="BV810" s="108"/>
      <c r="BW810" s="108"/>
      <c r="BX810" s="108"/>
      <c r="BY810" s="108"/>
    </row>
    <row r="811" spans="1:77">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c r="AA811" s="109"/>
      <c r="AB811" s="109"/>
      <c r="AC811" s="109"/>
      <c r="AD811" s="109"/>
      <c r="AE811" s="109"/>
      <c r="AF811" s="109"/>
      <c r="AG811" s="109"/>
      <c r="AH811" s="109"/>
      <c r="AI811" s="109"/>
      <c r="AJ811" s="109"/>
      <c r="AK811" s="109"/>
      <c r="AL811" s="109"/>
      <c r="AM811" s="109"/>
      <c r="AN811" s="109"/>
      <c r="AO811" s="109"/>
      <c r="AP811" s="109"/>
      <c r="AQ811" s="109"/>
      <c r="AR811" s="109"/>
      <c r="AS811" s="109"/>
      <c r="AT811" s="108"/>
      <c r="AU811" s="108"/>
      <c r="AV811" s="108"/>
      <c r="AW811" s="108"/>
      <c r="AX811" s="108"/>
      <c r="AY811" s="108"/>
      <c r="AZ811" s="108"/>
      <c r="BA811" s="108"/>
      <c r="BB811" s="108"/>
      <c r="BC811" s="108"/>
      <c r="BD811" s="108"/>
      <c r="BE811" s="108"/>
      <c r="BF811" s="108"/>
      <c r="BG811" s="108"/>
      <c r="BH811" s="108"/>
      <c r="BI811" s="108"/>
      <c r="BJ811" s="108"/>
      <c r="BK811" s="108"/>
      <c r="BL811" s="108"/>
      <c r="BM811" s="108"/>
      <c r="BN811" s="108"/>
      <c r="BO811" s="108"/>
      <c r="BP811" s="108"/>
      <c r="BQ811" s="108"/>
      <c r="BR811" s="108"/>
      <c r="BS811" s="108"/>
      <c r="BT811" s="108"/>
      <c r="BU811" s="108"/>
      <c r="BV811" s="108"/>
      <c r="BW811" s="108"/>
      <c r="BX811" s="108"/>
      <c r="BY811" s="108"/>
    </row>
    <row r="812" spans="1:77">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c r="AA812" s="109"/>
      <c r="AB812" s="109"/>
      <c r="AC812" s="109"/>
      <c r="AD812" s="109"/>
      <c r="AE812" s="109"/>
      <c r="AF812" s="109"/>
      <c r="AG812" s="109"/>
      <c r="AH812" s="109"/>
      <c r="AI812" s="109"/>
      <c r="AJ812" s="109"/>
      <c r="AK812" s="109"/>
      <c r="AL812" s="109"/>
      <c r="AM812" s="109"/>
      <c r="AN812" s="109"/>
      <c r="AO812" s="109"/>
      <c r="AP812" s="109"/>
      <c r="AQ812" s="109"/>
      <c r="AR812" s="109"/>
      <c r="AS812" s="109"/>
      <c r="AT812" s="108"/>
      <c r="AU812" s="108"/>
      <c r="AV812" s="108"/>
      <c r="AW812" s="108"/>
      <c r="AX812" s="108"/>
      <c r="AY812" s="108"/>
      <c r="AZ812" s="108"/>
      <c r="BA812" s="108"/>
      <c r="BB812" s="108"/>
      <c r="BC812" s="108"/>
      <c r="BD812" s="108"/>
      <c r="BE812" s="108"/>
      <c r="BF812" s="108"/>
      <c r="BG812" s="108"/>
      <c r="BH812" s="108"/>
      <c r="BI812" s="108"/>
      <c r="BJ812" s="108"/>
      <c r="BK812" s="108"/>
      <c r="BL812" s="108"/>
      <c r="BM812" s="108"/>
      <c r="BN812" s="108"/>
      <c r="BO812" s="108"/>
      <c r="BP812" s="108"/>
      <c r="BQ812" s="108"/>
      <c r="BR812" s="108"/>
      <c r="BS812" s="108"/>
      <c r="BT812" s="108"/>
      <c r="BU812" s="108"/>
      <c r="BV812" s="108"/>
      <c r="BW812" s="108"/>
      <c r="BX812" s="108"/>
      <c r="BY812" s="108"/>
    </row>
    <row r="813" spans="1:77">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c r="AA813" s="109"/>
      <c r="AB813" s="109"/>
      <c r="AC813" s="109"/>
      <c r="AD813" s="109"/>
      <c r="AE813" s="109"/>
      <c r="AF813" s="109"/>
      <c r="AG813" s="109"/>
      <c r="AH813" s="109"/>
      <c r="AI813" s="109"/>
      <c r="AJ813" s="109"/>
      <c r="AK813" s="109"/>
      <c r="AL813" s="109"/>
      <c r="AM813" s="109"/>
      <c r="AN813" s="109"/>
      <c r="AO813" s="109"/>
      <c r="AP813" s="109"/>
      <c r="AQ813" s="109"/>
      <c r="AR813" s="109"/>
      <c r="AS813" s="109"/>
      <c r="AT813" s="108"/>
      <c r="AU813" s="108"/>
      <c r="AV813" s="108"/>
      <c r="AW813" s="108"/>
      <c r="AX813" s="108"/>
      <c r="AY813" s="108"/>
      <c r="AZ813" s="108"/>
      <c r="BA813" s="108"/>
      <c r="BB813" s="108"/>
      <c r="BC813" s="108"/>
      <c r="BD813" s="108"/>
      <c r="BE813" s="108"/>
      <c r="BF813" s="108"/>
      <c r="BG813" s="108"/>
      <c r="BH813" s="108"/>
      <c r="BI813" s="108"/>
      <c r="BJ813" s="108"/>
      <c r="BK813" s="108"/>
      <c r="BL813" s="108"/>
      <c r="BM813" s="108"/>
      <c r="BN813" s="108"/>
      <c r="BO813" s="108"/>
      <c r="BP813" s="108"/>
      <c r="BQ813" s="108"/>
      <c r="BR813" s="108"/>
      <c r="BS813" s="108"/>
      <c r="BT813" s="108"/>
      <c r="BU813" s="108"/>
      <c r="BV813" s="108"/>
      <c r="BW813" s="108"/>
      <c r="BX813" s="108"/>
      <c r="BY813" s="108"/>
    </row>
    <row r="814" spans="1:77">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c r="AA814" s="109"/>
      <c r="AB814" s="109"/>
      <c r="AC814" s="109"/>
      <c r="AD814" s="109"/>
      <c r="AE814" s="109"/>
      <c r="AF814" s="109"/>
      <c r="AG814" s="109"/>
      <c r="AH814" s="109"/>
      <c r="AI814" s="109"/>
      <c r="AJ814" s="109"/>
      <c r="AK814" s="109"/>
      <c r="AL814" s="109"/>
      <c r="AM814" s="109"/>
      <c r="AN814" s="109"/>
      <c r="AO814" s="109"/>
      <c r="AP814" s="109"/>
      <c r="AQ814" s="109"/>
      <c r="AR814" s="109"/>
      <c r="AS814" s="109"/>
      <c r="AT814" s="108"/>
      <c r="AU814" s="108"/>
      <c r="AV814" s="108"/>
      <c r="AW814" s="108"/>
      <c r="AX814" s="108"/>
      <c r="AY814" s="108"/>
      <c r="AZ814" s="108"/>
      <c r="BA814" s="108"/>
      <c r="BB814" s="108"/>
      <c r="BC814" s="108"/>
      <c r="BD814" s="108"/>
      <c r="BE814" s="108"/>
      <c r="BF814" s="108"/>
      <c r="BG814" s="108"/>
      <c r="BH814" s="108"/>
      <c r="BI814" s="108"/>
      <c r="BJ814" s="108"/>
      <c r="BK814" s="108"/>
      <c r="BL814" s="108"/>
      <c r="BM814" s="108"/>
      <c r="BN814" s="108"/>
      <c r="BO814" s="108"/>
      <c r="BP814" s="108"/>
      <c r="BQ814" s="108"/>
      <c r="BR814" s="108"/>
      <c r="BS814" s="108"/>
      <c r="BT814" s="108"/>
      <c r="BU814" s="108"/>
      <c r="BV814" s="108"/>
      <c r="BW814" s="108"/>
      <c r="BX814" s="108"/>
      <c r="BY814" s="108"/>
    </row>
    <row r="815" spans="1:77">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c r="AA815" s="109"/>
      <c r="AB815" s="109"/>
      <c r="AC815" s="109"/>
      <c r="AD815" s="109"/>
      <c r="AE815" s="109"/>
      <c r="AF815" s="109"/>
      <c r="AG815" s="109"/>
      <c r="AH815" s="109"/>
      <c r="AI815" s="109"/>
      <c r="AJ815" s="109"/>
      <c r="AK815" s="109"/>
      <c r="AL815" s="109"/>
      <c r="AM815" s="109"/>
      <c r="AN815" s="109"/>
      <c r="AO815" s="109"/>
      <c r="AP815" s="109"/>
      <c r="AQ815" s="109"/>
      <c r="AR815" s="109"/>
      <c r="AS815" s="109"/>
      <c r="AT815" s="108"/>
      <c r="AU815" s="108"/>
      <c r="AV815" s="108"/>
      <c r="AW815" s="108"/>
      <c r="AX815" s="108"/>
      <c r="AY815" s="108"/>
      <c r="AZ815" s="108"/>
      <c r="BA815" s="108"/>
      <c r="BB815" s="108"/>
      <c r="BC815" s="108"/>
      <c r="BD815" s="108"/>
      <c r="BE815" s="108"/>
      <c r="BF815" s="108"/>
      <c r="BG815" s="108"/>
      <c r="BH815" s="108"/>
      <c r="BI815" s="108"/>
      <c r="BJ815" s="108"/>
      <c r="BK815" s="108"/>
      <c r="BL815" s="108"/>
      <c r="BM815" s="108"/>
      <c r="BN815" s="108"/>
      <c r="BO815" s="108"/>
      <c r="BP815" s="108"/>
      <c r="BQ815" s="108"/>
      <c r="BR815" s="108"/>
      <c r="BS815" s="108"/>
      <c r="BT815" s="108"/>
      <c r="BU815" s="108"/>
      <c r="BV815" s="108"/>
      <c r="BW815" s="108"/>
      <c r="BX815" s="108"/>
      <c r="BY815" s="108"/>
    </row>
    <row r="816" spans="1:77">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c r="AA816" s="109"/>
      <c r="AB816" s="109"/>
      <c r="AC816" s="109"/>
      <c r="AD816" s="109"/>
      <c r="AE816" s="109"/>
      <c r="AF816" s="109"/>
      <c r="AG816" s="109"/>
      <c r="AH816" s="109"/>
      <c r="AI816" s="109"/>
      <c r="AJ816" s="109"/>
      <c r="AK816" s="109"/>
      <c r="AL816" s="109"/>
      <c r="AM816" s="109"/>
      <c r="AN816" s="109"/>
      <c r="AO816" s="109"/>
      <c r="AP816" s="109"/>
      <c r="AQ816" s="109"/>
      <c r="AR816" s="109"/>
      <c r="AS816" s="109"/>
      <c r="AT816" s="108"/>
      <c r="AU816" s="108"/>
      <c r="AV816" s="108"/>
      <c r="AW816" s="108"/>
      <c r="AX816" s="108"/>
      <c r="AY816" s="108"/>
      <c r="AZ816" s="108"/>
      <c r="BA816" s="108"/>
      <c r="BB816" s="108"/>
      <c r="BC816" s="108"/>
      <c r="BD816" s="108"/>
      <c r="BE816" s="108"/>
      <c r="BF816" s="108"/>
      <c r="BG816" s="108"/>
      <c r="BH816" s="108"/>
      <c r="BI816" s="108"/>
      <c r="BJ816" s="108"/>
      <c r="BK816" s="108"/>
      <c r="BL816" s="108"/>
      <c r="BM816" s="108"/>
      <c r="BN816" s="108"/>
      <c r="BO816" s="108"/>
      <c r="BP816" s="108"/>
      <c r="BQ816" s="108"/>
      <c r="BR816" s="108"/>
      <c r="BS816" s="108"/>
      <c r="BT816" s="108"/>
      <c r="BU816" s="108"/>
      <c r="BV816" s="108"/>
      <c r="BW816" s="108"/>
      <c r="BX816" s="108"/>
      <c r="BY816" s="108"/>
    </row>
    <row r="817" spans="1:77">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c r="AA817" s="109"/>
      <c r="AB817" s="109"/>
      <c r="AC817" s="109"/>
      <c r="AD817" s="109"/>
      <c r="AE817" s="109"/>
      <c r="AF817" s="109"/>
      <c r="AG817" s="109"/>
      <c r="AH817" s="109"/>
      <c r="AI817" s="109"/>
      <c r="AJ817" s="109"/>
      <c r="AK817" s="109"/>
      <c r="AL817" s="109"/>
      <c r="AM817" s="109"/>
      <c r="AN817" s="109"/>
      <c r="AO817" s="109"/>
      <c r="AP817" s="109"/>
      <c r="AQ817" s="109"/>
      <c r="AR817" s="109"/>
      <c r="AS817" s="109"/>
      <c r="AT817" s="108"/>
      <c r="AU817" s="108"/>
      <c r="AV817" s="108"/>
      <c r="AW817" s="108"/>
      <c r="AX817" s="108"/>
      <c r="AY817" s="108"/>
      <c r="AZ817" s="108"/>
      <c r="BA817" s="108"/>
      <c r="BB817" s="108"/>
      <c r="BC817" s="108"/>
      <c r="BD817" s="108"/>
      <c r="BE817" s="108"/>
      <c r="BF817" s="108"/>
      <c r="BG817" s="108"/>
      <c r="BH817" s="108"/>
      <c r="BI817" s="108"/>
      <c r="BJ817" s="108"/>
      <c r="BK817" s="108"/>
      <c r="BL817" s="108"/>
      <c r="BM817" s="108"/>
      <c r="BN817" s="108"/>
      <c r="BO817" s="108"/>
      <c r="BP817" s="108"/>
      <c r="BQ817" s="108"/>
      <c r="BR817" s="108"/>
      <c r="BS817" s="108"/>
      <c r="BT817" s="108"/>
      <c r="BU817" s="108"/>
      <c r="BV817" s="108"/>
      <c r="BW817" s="108"/>
      <c r="BX817" s="108"/>
      <c r="BY817" s="108"/>
    </row>
    <row r="818" spans="1:77">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c r="AB818" s="109"/>
      <c r="AC818" s="109"/>
      <c r="AD818" s="109"/>
      <c r="AE818" s="109"/>
      <c r="AF818" s="109"/>
      <c r="AG818" s="109"/>
      <c r="AH818" s="109"/>
      <c r="AI818" s="109"/>
      <c r="AJ818" s="109"/>
      <c r="AK818" s="109"/>
      <c r="AL818" s="109"/>
      <c r="AM818" s="109"/>
      <c r="AN818" s="109"/>
      <c r="AO818" s="109"/>
      <c r="AP818" s="109"/>
      <c r="AQ818" s="109"/>
      <c r="AR818" s="109"/>
      <c r="AS818" s="109"/>
      <c r="AT818" s="108"/>
      <c r="AU818" s="108"/>
      <c r="AV818" s="108"/>
      <c r="AW818" s="108"/>
      <c r="AX818" s="108"/>
      <c r="AY818" s="108"/>
      <c r="AZ818" s="108"/>
      <c r="BA818" s="108"/>
      <c r="BB818" s="108"/>
      <c r="BC818" s="108"/>
      <c r="BD818" s="108"/>
      <c r="BE818" s="108"/>
      <c r="BF818" s="108"/>
      <c r="BG818" s="108"/>
      <c r="BH818" s="108"/>
      <c r="BI818" s="108"/>
      <c r="BJ818" s="108"/>
      <c r="BK818" s="108"/>
      <c r="BL818" s="108"/>
      <c r="BM818" s="108"/>
      <c r="BN818" s="108"/>
      <c r="BO818" s="108"/>
      <c r="BP818" s="108"/>
      <c r="BQ818" s="108"/>
      <c r="BR818" s="108"/>
      <c r="BS818" s="108"/>
      <c r="BT818" s="108"/>
      <c r="BU818" s="108"/>
      <c r="BV818" s="108"/>
      <c r="BW818" s="108"/>
      <c r="BX818" s="108"/>
      <c r="BY818" s="108"/>
    </row>
    <row r="819" spans="1:77">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c r="AA819" s="109"/>
      <c r="AB819" s="109"/>
      <c r="AC819" s="109"/>
      <c r="AD819" s="109"/>
      <c r="AE819" s="109"/>
      <c r="AF819" s="109"/>
      <c r="AG819" s="109"/>
      <c r="AH819" s="109"/>
      <c r="AI819" s="109"/>
      <c r="AJ819" s="109"/>
      <c r="AK819" s="109"/>
      <c r="AL819" s="109"/>
      <c r="AM819" s="109"/>
      <c r="AN819" s="109"/>
      <c r="AO819" s="109"/>
      <c r="AP819" s="109"/>
      <c r="AQ819" s="109"/>
      <c r="AR819" s="109"/>
      <c r="AS819" s="109"/>
      <c r="AT819" s="108"/>
      <c r="AU819" s="108"/>
      <c r="AV819" s="108"/>
      <c r="AW819" s="108"/>
      <c r="AX819" s="108"/>
      <c r="AY819" s="108"/>
      <c r="AZ819" s="108"/>
      <c r="BA819" s="108"/>
      <c r="BB819" s="108"/>
      <c r="BC819" s="108"/>
      <c r="BD819" s="108"/>
      <c r="BE819" s="108"/>
      <c r="BF819" s="108"/>
      <c r="BG819" s="108"/>
      <c r="BH819" s="108"/>
      <c r="BI819" s="108"/>
      <c r="BJ819" s="108"/>
      <c r="BK819" s="108"/>
      <c r="BL819" s="108"/>
      <c r="BM819" s="108"/>
      <c r="BN819" s="108"/>
      <c r="BO819" s="108"/>
      <c r="BP819" s="108"/>
      <c r="BQ819" s="108"/>
      <c r="BR819" s="108"/>
      <c r="BS819" s="108"/>
      <c r="BT819" s="108"/>
      <c r="BU819" s="108"/>
      <c r="BV819" s="108"/>
      <c r="BW819" s="108"/>
      <c r="BX819" s="108"/>
      <c r="BY819" s="108"/>
    </row>
    <row r="820" spans="1:77">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c r="AA820" s="109"/>
      <c r="AB820" s="109"/>
      <c r="AC820" s="109"/>
      <c r="AD820" s="109"/>
      <c r="AE820" s="109"/>
      <c r="AF820" s="109"/>
      <c r="AG820" s="109"/>
      <c r="AH820" s="109"/>
      <c r="AI820" s="109"/>
      <c r="AJ820" s="109"/>
      <c r="AK820" s="109"/>
      <c r="AL820" s="109"/>
      <c r="AM820" s="109"/>
      <c r="AN820" s="109"/>
      <c r="AO820" s="109"/>
      <c r="AP820" s="109"/>
      <c r="AQ820" s="109"/>
      <c r="AR820" s="109"/>
      <c r="AS820" s="109"/>
      <c r="AT820" s="108"/>
      <c r="AU820" s="108"/>
      <c r="AV820" s="108"/>
      <c r="AW820" s="108"/>
      <c r="AX820" s="108"/>
      <c r="AY820" s="108"/>
      <c r="AZ820" s="108"/>
      <c r="BA820" s="108"/>
      <c r="BB820" s="108"/>
      <c r="BC820" s="108"/>
      <c r="BD820" s="108"/>
      <c r="BE820" s="108"/>
      <c r="BF820" s="108"/>
      <c r="BG820" s="108"/>
      <c r="BH820" s="108"/>
      <c r="BI820" s="108"/>
      <c r="BJ820" s="108"/>
      <c r="BK820" s="108"/>
      <c r="BL820" s="108"/>
      <c r="BM820" s="108"/>
      <c r="BN820" s="108"/>
      <c r="BO820" s="108"/>
      <c r="BP820" s="108"/>
      <c r="BQ820" s="108"/>
      <c r="BR820" s="108"/>
      <c r="BS820" s="108"/>
      <c r="BT820" s="108"/>
      <c r="BU820" s="108"/>
      <c r="BV820" s="108"/>
      <c r="BW820" s="108"/>
      <c r="BX820" s="108"/>
      <c r="BY820" s="108"/>
    </row>
    <row r="821" spans="1:77">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c r="AB821" s="109"/>
      <c r="AC821" s="109"/>
      <c r="AD821" s="109"/>
      <c r="AE821" s="109"/>
      <c r="AF821" s="109"/>
      <c r="AG821" s="109"/>
      <c r="AH821" s="109"/>
      <c r="AI821" s="109"/>
      <c r="AJ821" s="109"/>
      <c r="AK821" s="109"/>
      <c r="AL821" s="109"/>
      <c r="AM821" s="109"/>
      <c r="AN821" s="109"/>
      <c r="AO821" s="109"/>
      <c r="AP821" s="109"/>
      <c r="AQ821" s="109"/>
      <c r="AR821" s="109"/>
      <c r="AS821" s="109"/>
      <c r="AT821" s="108"/>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08"/>
    </row>
    <row r="822" spans="1:77">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c r="AA822" s="109"/>
      <c r="AB822" s="109"/>
      <c r="AC822" s="109"/>
      <c r="AD822" s="109"/>
      <c r="AE822" s="109"/>
      <c r="AF822" s="109"/>
      <c r="AG822" s="109"/>
      <c r="AH822" s="109"/>
      <c r="AI822" s="109"/>
      <c r="AJ822" s="109"/>
      <c r="AK822" s="109"/>
      <c r="AL822" s="109"/>
      <c r="AM822" s="109"/>
      <c r="AN822" s="109"/>
      <c r="AO822" s="109"/>
      <c r="AP822" s="109"/>
      <c r="AQ822" s="109"/>
      <c r="AR822" s="109"/>
      <c r="AS822" s="109"/>
      <c r="AT822" s="108"/>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08"/>
    </row>
    <row r="823" spans="1:77">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c r="AA823" s="109"/>
      <c r="AB823" s="109"/>
      <c r="AC823" s="109"/>
      <c r="AD823" s="109"/>
      <c r="AE823" s="109"/>
      <c r="AF823" s="109"/>
      <c r="AG823" s="109"/>
      <c r="AH823" s="109"/>
      <c r="AI823" s="109"/>
      <c r="AJ823" s="109"/>
      <c r="AK823" s="109"/>
      <c r="AL823" s="109"/>
      <c r="AM823" s="109"/>
      <c r="AN823" s="109"/>
      <c r="AO823" s="109"/>
      <c r="AP823" s="109"/>
      <c r="AQ823" s="109"/>
      <c r="AR823" s="109"/>
      <c r="AS823" s="109"/>
      <c r="AT823" s="108"/>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08"/>
    </row>
    <row r="824" spans="1:77">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c r="AA824" s="109"/>
      <c r="AB824" s="109"/>
      <c r="AC824" s="109"/>
      <c r="AD824" s="109"/>
      <c r="AE824" s="109"/>
      <c r="AF824" s="109"/>
      <c r="AG824" s="109"/>
      <c r="AH824" s="109"/>
      <c r="AI824" s="109"/>
      <c r="AJ824" s="109"/>
      <c r="AK824" s="109"/>
      <c r="AL824" s="109"/>
      <c r="AM824" s="109"/>
      <c r="AN824" s="109"/>
      <c r="AO824" s="109"/>
      <c r="AP824" s="109"/>
      <c r="AQ824" s="109"/>
      <c r="AR824" s="109"/>
      <c r="AS824" s="109"/>
      <c r="AT824" s="108"/>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08"/>
    </row>
    <row r="825" spans="1:77">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c r="AA825" s="109"/>
      <c r="AB825" s="109"/>
      <c r="AC825" s="109"/>
      <c r="AD825" s="109"/>
      <c r="AE825" s="109"/>
      <c r="AF825" s="109"/>
      <c r="AG825" s="109"/>
      <c r="AH825" s="109"/>
      <c r="AI825" s="109"/>
      <c r="AJ825" s="109"/>
      <c r="AK825" s="109"/>
      <c r="AL825" s="109"/>
      <c r="AM825" s="109"/>
      <c r="AN825" s="109"/>
      <c r="AO825" s="109"/>
      <c r="AP825" s="109"/>
      <c r="AQ825" s="109"/>
      <c r="AR825" s="109"/>
      <c r="AS825" s="109"/>
      <c r="AT825" s="108"/>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08"/>
    </row>
    <row r="826" spans="1:77">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c r="AB826" s="109"/>
      <c r="AC826" s="109"/>
      <c r="AD826" s="109"/>
      <c r="AE826" s="109"/>
      <c r="AF826" s="109"/>
      <c r="AG826" s="109"/>
      <c r="AH826" s="109"/>
      <c r="AI826" s="109"/>
      <c r="AJ826" s="109"/>
      <c r="AK826" s="109"/>
      <c r="AL826" s="109"/>
      <c r="AM826" s="109"/>
      <c r="AN826" s="109"/>
      <c r="AO826" s="109"/>
      <c r="AP826" s="109"/>
      <c r="AQ826" s="109"/>
      <c r="AR826" s="109"/>
      <c r="AS826" s="109"/>
      <c r="AT826" s="108"/>
      <c r="AU826" s="108"/>
      <c r="AV826" s="108"/>
      <c r="AW826" s="108"/>
      <c r="AX826" s="108"/>
      <c r="AY826" s="108"/>
      <c r="AZ826" s="108"/>
      <c r="BA826" s="108"/>
      <c r="BB826" s="108"/>
      <c r="BC826" s="108"/>
      <c r="BD826" s="108"/>
      <c r="BE826" s="108"/>
      <c r="BF826" s="108"/>
      <c r="BG826" s="108"/>
      <c r="BH826" s="108"/>
      <c r="BI826" s="108"/>
      <c r="BJ826" s="108"/>
      <c r="BK826" s="108"/>
      <c r="BL826" s="108"/>
      <c r="BM826" s="108"/>
      <c r="BN826" s="108"/>
      <c r="BO826" s="108"/>
      <c r="BP826" s="108"/>
      <c r="BQ826" s="108"/>
      <c r="BR826" s="108"/>
      <c r="BS826" s="108"/>
      <c r="BT826" s="108"/>
      <c r="BU826" s="108"/>
      <c r="BV826" s="108"/>
      <c r="BW826" s="108"/>
      <c r="BX826" s="108"/>
      <c r="BY826" s="108"/>
    </row>
    <row r="827" spans="1:77">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c r="AA827" s="109"/>
      <c r="AB827" s="109"/>
      <c r="AC827" s="109"/>
      <c r="AD827" s="109"/>
      <c r="AE827" s="109"/>
      <c r="AF827" s="109"/>
      <c r="AG827" s="109"/>
      <c r="AH827" s="109"/>
      <c r="AI827" s="109"/>
      <c r="AJ827" s="109"/>
      <c r="AK827" s="109"/>
      <c r="AL827" s="109"/>
      <c r="AM827" s="109"/>
      <c r="AN827" s="109"/>
      <c r="AO827" s="109"/>
      <c r="AP827" s="109"/>
      <c r="AQ827" s="109"/>
      <c r="AR827" s="109"/>
      <c r="AS827" s="109"/>
      <c r="AT827" s="108"/>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08"/>
    </row>
    <row r="828" spans="1:77">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c r="AA828" s="109"/>
      <c r="AB828" s="109"/>
      <c r="AC828" s="109"/>
      <c r="AD828" s="109"/>
      <c r="AE828" s="109"/>
      <c r="AF828" s="109"/>
      <c r="AG828" s="109"/>
      <c r="AH828" s="109"/>
      <c r="AI828" s="109"/>
      <c r="AJ828" s="109"/>
      <c r="AK828" s="109"/>
      <c r="AL828" s="109"/>
      <c r="AM828" s="109"/>
      <c r="AN828" s="109"/>
      <c r="AO828" s="109"/>
      <c r="AP828" s="109"/>
      <c r="AQ828" s="109"/>
      <c r="AR828" s="109"/>
      <c r="AS828" s="109"/>
      <c r="AT828" s="108"/>
      <c r="AU828" s="108"/>
      <c r="AV828" s="108"/>
      <c r="AW828" s="108"/>
      <c r="AX828" s="108"/>
      <c r="AY828" s="108"/>
      <c r="AZ828" s="108"/>
      <c r="BA828" s="108"/>
      <c r="BB828" s="108"/>
      <c r="BC828" s="108"/>
      <c r="BD828" s="108"/>
      <c r="BE828" s="108"/>
      <c r="BF828" s="108"/>
      <c r="BG828" s="108"/>
      <c r="BH828" s="108"/>
      <c r="BI828" s="108"/>
      <c r="BJ828" s="108"/>
      <c r="BK828" s="108"/>
      <c r="BL828" s="108"/>
      <c r="BM828" s="108"/>
      <c r="BN828" s="108"/>
      <c r="BO828" s="108"/>
      <c r="BP828" s="108"/>
      <c r="BQ828" s="108"/>
      <c r="BR828" s="108"/>
      <c r="BS828" s="108"/>
      <c r="BT828" s="108"/>
      <c r="BU828" s="108"/>
      <c r="BV828" s="108"/>
      <c r="BW828" s="108"/>
      <c r="BX828" s="108"/>
      <c r="BY828" s="108"/>
    </row>
    <row r="829" spans="1:77">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c r="AB829" s="109"/>
      <c r="AC829" s="109"/>
      <c r="AD829" s="109"/>
      <c r="AE829" s="109"/>
      <c r="AF829" s="109"/>
      <c r="AG829" s="109"/>
      <c r="AH829" s="109"/>
      <c r="AI829" s="109"/>
      <c r="AJ829" s="109"/>
      <c r="AK829" s="109"/>
      <c r="AL829" s="109"/>
      <c r="AM829" s="109"/>
      <c r="AN829" s="109"/>
      <c r="AO829" s="109"/>
      <c r="AP829" s="109"/>
      <c r="AQ829" s="109"/>
      <c r="AR829" s="109"/>
      <c r="AS829" s="109"/>
      <c r="AT829" s="108"/>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08"/>
    </row>
    <row r="830" spans="1:77">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c r="AA830" s="109"/>
      <c r="AB830" s="109"/>
      <c r="AC830" s="109"/>
      <c r="AD830" s="109"/>
      <c r="AE830" s="109"/>
      <c r="AF830" s="109"/>
      <c r="AG830" s="109"/>
      <c r="AH830" s="109"/>
      <c r="AI830" s="109"/>
      <c r="AJ830" s="109"/>
      <c r="AK830" s="109"/>
      <c r="AL830" s="109"/>
      <c r="AM830" s="109"/>
      <c r="AN830" s="109"/>
      <c r="AO830" s="109"/>
      <c r="AP830" s="109"/>
      <c r="AQ830" s="109"/>
      <c r="AR830" s="109"/>
      <c r="AS830" s="109"/>
      <c r="AT830" s="108"/>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08"/>
    </row>
    <row r="831" spans="1:77">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c r="AA831" s="109"/>
      <c r="AB831" s="109"/>
      <c r="AC831" s="109"/>
      <c r="AD831" s="109"/>
      <c r="AE831" s="109"/>
      <c r="AF831" s="109"/>
      <c r="AG831" s="109"/>
      <c r="AH831" s="109"/>
      <c r="AI831" s="109"/>
      <c r="AJ831" s="109"/>
      <c r="AK831" s="109"/>
      <c r="AL831" s="109"/>
      <c r="AM831" s="109"/>
      <c r="AN831" s="109"/>
      <c r="AO831" s="109"/>
      <c r="AP831" s="109"/>
      <c r="AQ831" s="109"/>
      <c r="AR831" s="109"/>
      <c r="AS831" s="109"/>
      <c r="AT831" s="108"/>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08"/>
    </row>
    <row r="832" spans="1:77">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c r="AE832" s="109"/>
      <c r="AF832" s="109"/>
      <c r="AG832" s="109"/>
      <c r="AH832" s="109"/>
      <c r="AI832" s="109"/>
      <c r="AJ832" s="109"/>
      <c r="AK832" s="109"/>
      <c r="AL832" s="109"/>
      <c r="AM832" s="109"/>
      <c r="AN832" s="109"/>
      <c r="AO832" s="109"/>
      <c r="AP832" s="109"/>
      <c r="AQ832" s="109"/>
      <c r="AR832" s="109"/>
      <c r="AS832" s="109"/>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row>
    <row r="833" spans="1:77">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c r="AA833" s="109"/>
      <c r="AB833" s="109"/>
      <c r="AC833" s="109"/>
      <c r="AD833" s="109"/>
      <c r="AE833" s="109"/>
      <c r="AF833" s="109"/>
      <c r="AG833" s="109"/>
      <c r="AH833" s="109"/>
      <c r="AI833" s="109"/>
      <c r="AJ833" s="109"/>
      <c r="AK833" s="109"/>
      <c r="AL833" s="109"/>
      <c r="AM833" s="109"/>
      <c r="AN833" s="109"/>
      <c r="AO833" s="109"/>
      <c r="AP833" s="109"/>
      <c r="AQ833" s="109"/>
      <c r="AR833" s="109"/>
      <c r="AS833" s="109"/>
      <c r="AT833" s="108"/>
      <c r="AU833" s="108"/>
      <c r="AV833" s="108"/>
      <c r="AW833" s="108"/>
      <c r="AX833" s="108"/>
      <c r="AY833" s="108"/>
      <c r="AZ833" s="108"/>
      <c r="BA833" s="108"/>
      <c r="BB833" s="108"/>
      <c r="BC833" s="108"/>
      <c r="BD833" s="108"/>
      <c r="BE833" s="108"/>
      <c r="BF833" s="108"/>
      <c r="BG833" s="108"/>
      <c r="BH833" s="108"/>
      <c r="BI833" s="108"/>
      <c r="BJ833" s="108"/>
      <c r="BK833" s="108"/>
      <c r="BL833" s="108"/>
      <c r="BM833" s="108"/>
      <c r="BN833" s="108"/>
      <c r="BO833" s="108"/>
      <c r="BP833" s="108"/>
      <c r="BQ833" s="108"/>
      <c r="BR833" s="108"/>
      <c r="BS833" s="108"/>
      <c r="BT833" s="108"/>
      <c r="BU833" s="108"/>
      <c r="BV833" s="108"/>
      <c r="BW833" s="108"/>
      <c r="BX833" s="108"/>
      <c r="BY833" s="108"/>
    </row>
    <row r="834" spans="1:77">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c r="AA834" s="109"/>
      <c r="AB834" s="109"/>
      <c r="AC834" s="109"/>
      <c r="AD834" s="109"/>
      <c r="AE834" s="109"/>
      <c r="AF834" s="109"/>
      <c r="AG834" s="109"/>
      <c r="AH834" s="109"/>
      <c r="AI834" s="109"/>
      <c r="AJ834" s="109"/>
      <c r="AK834" s="109"/>
      <c r="AL834" s="109"/>
      <c r="AM834" s="109"/>
      <c r="AN834" s="109"/>
      <c r="AO834" s="109"/>
      <c r="AP834" s="109"/>
      <c r="AQ834" s="109"/>
      <c r="AR834" s="109"/>
      <c r="AS834" s="109"/>
      <c r="AT834" s="108"/>
      <c r="AU834" s="108"/>
      <c r="AV834" s="108"/>
      <c r="AW834" s="108"/>
      <c r="AX834" s="108"/>
      <c r="AY834" s="108"/>
      <c r="AZ834" s="108"/>
      <c r="BA834" s="108"/>
      <c r="BB834" s="108"/>
      <c r="BC834" s="108"/>
      <c r="BD834" s="108"/>
      <c r="BE834" s="108"/>
      <c r="BF834" s="108"/>
      <c r="BG834" s="108"/>
      <c r="BH834" s="108"/>
      <c r="BI834" s="108"/>
      <c r="BJ834" s="108"/>
      <c r="BK834" s="108"/>
      <c r="BL834" s="108"/>
      <c r="BM834" s="108"/>
      <c r="BN834" s="108"/>
      <c r="BO834" s="108"/>
      <c r="BP834" s="108"/>
      <c r="BQ834" s="108"/>
      <c r="BR834" s="108"/>
      <c r="BS834" s="108"/>
      <c r="BT834" s="108"/>
      <c r="BU834" s="108"/>
      <c r="BV834" s="108"/>
      <c r="BW834" s="108"/>
      <c r="BX834" s="108"/>
      <c r="BY834" s="108"/>
    </row>
    <row r="835" spans="1:77">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c r="AB835" s="109"/>
      <c r="AC835" s="109"/>
      <c r="AD835" s="109"/>
      <c r="AE835" s="109"/>
      <c r="AF835" s="109"/>
      <c r="AG835" s="109"/>
      <c r="AH835" s="109"/>
      <c r="AI835" s="109"/>
      <c r="AJ835" s="109"/>
      <c r="AK835" s="109"/>
      <c r="AL835" s="109"/>
      <c r="AM835" s="109"/>
      <c r="AN835" s="109"/>
      <c r="AO835" s="109"/>
      <c r="AP835" s="109"/>
      <c r="AQ835" s="109"/>
      <c r="AR835" s="109"/>
      <c r="AS835" s="109"/>
      <c r="AT835" s="108"/>
      <c r="AU835" s="108"/>
      <c r="AV835" s="108"/>
      <c r="AW835" s="108"/>
      <c r="AX835" s="108"/>
      <c r="AY835" s="108"/>
      <c r="AZ835" s="108"/>
      <c r="BA835" s="108"/>
      <c r="BB835" s="108"/>
      <c r="BC835" s="108"/>
      <c r="BD835" s="108"/>
      <c r="BE835" s="108"/>
      <c r="BF835" s="108"/>
      <c r="BG835" s="108"/>
      <c r="BH835" s="108"/>
      <c r="BI835" s="108"/>
      <c r="BJ835" s="108"/>
      <c r="BK835" s="108"/>
      <c r="BL835" s="108"/>
      <c r="BM835" s="108"/>
      <c r="BN835" s="108"/>
      <c r="BO835" s="108"/>
      <c r="BP835" s="108"/>
      <c r="BQ835" s="108"/>
      <c r="BR835" s="108"/>
      <c r="BS835" s="108"/>
      <c r="BT835" s="108"/>
      <c r="BU835" s="108"/>
      <c r="BV835" s="108"/>
      <c r="BW835" s="108"/>
      <c r="BX835" s="108"/>
      <c r="BY835" s="108"/>
    </row>
    <row r="836" spans="1:77">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c r="AA836" s="109"/>
      <c r="AB836" s="109"/>
      <c r="AC836" s="109"/>
      <c r="AD836" s="109"/>
      <c r="AE836" s="109"/>
      <c r="AF836" s="109"/>
      <c r="AG836" s="109"/>
      <c r="AH836" s="109"/>
      <c r="AI836" s="109"/>
      <c r="AJ836" s="109"/>
      <c r="AK836" s="109"/>
      <c r="AL836" s="109"/>
      <c r="AM836" s="109"/>
      <c r="AN836" s="109"/>
      <c r="AO836" s="109"/>
      <c r="AP836" s="109"/>
      <c r="AQ836" s="109"/>
      <c r="AR836" s="109"/>
      <c r="AS836" s="109"/>
      <c r="AT836" s="108"/>
      <c r="AU836" s="108"/>
      <c r="AV836" s="108"/>
      <c r="AW836" s="108"/>
      <c r="AX836" s="108"/>
      <c r="AY836" s="108"/>
      <c r="AZ836" s="108"/>
      <c r="BA836" s="108"/>
      <c r="BB836" s="108"/>
      <c r="BC836" s="108"/>
      <c r="BD836" s="108"/>
      <c r="BE836" s="108"/>
      <c r="BF836" s="108"/>
      <c r="BG836" s="108"/>
      <c r="BH836" s="108"/>
      <c r="BI836" s="108"/>
      <c r="BJ836" s="108"/>
      <c r="BK836" s="108"/>
      <c r="BL836" s="108"/>
      <c r="BM836" s="108"/>
      <c r="BN836" s="108"/>
      <c r="BO836" s="108"/>
      <c r="BP836" s="108"/>
      <c r="BQ836" s="108"/>
      <c r="BR836" s="108"/>
      <c r="BS836" s="108"/>
      <c r="BT836" s="108"/>
      <c r="BU836" s="108"/>
      <c r="BV836" s="108"/>
      <c r="BW836" s="108"/>
      <c r="BX836" s="108"/>
      <c r="BY836" s="108"/>
    </row>
    <row r="837" spans="1:77">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c r="AA837" s="109"/>
      <c r="AB837" s="109"/>
      <c r="AC837" s="109"/>
      <c r="AD837" s="109"/>
      <c r="AE837" s="109"/>
      <c r="AF837" s="109"/>
      <c r="AG837" s="109"/>
      <c r="AH837" s="109"/>
      <c r="AI837" s="109"/>
      <c r="AJ837" s="109"/>
      <c r="AK837" s="109"/>
      <c r="AL837" s="109"/>
      <c r="AM837" s="109"/>
      <c r="AN837" s="109"/>
      <c r="AO837" s="109"/>
      <c r="AP837" s="109"/>
      <c r="AQ837" s="109"/>
      <c r="AR837" s="109"/>
      <c r="AS837" s="109"/>
      <c r="AT837" s="108"/>
      <c r="AU837" s="108"/>
      <c r="AV837" s="108"/>
      <c r="AW837" s="108"/>
      <c r="AX837" s="108"/>
      <c r="AY837" s="108"/>
      <c r="AZ837" s="108"/>
      <c r="BA837" s="108"/>
      <c r="BB837" s="108"/>
      <c r="BC837" s="108"/>
      <c r="BD837" s="108"/>
      <c r="BE837" s="108"/>
      <c r="BF837" s="108"/>
      <c r="BG837" s="108"/>
      <c r="BH837" s="108"/>
      <c r="BI837" s="108"/>
      <c r="BJ837" s="108"/>
      <c r="BK837" s="108"/>
      <c r="BL837" s="108"/>
      <c r="BM837" s="108"/>
      <c r="BN837" s="108"/>
      <c r="BO837" s="108"/>
      <c r="BP837" s="108"/>
      <c r="BQ837" s="108"/>
      <c r="BR837" s="108"/>
      <c r="BS837" s="108"/>
      <c r="BT837" s="108"/>
      <c r="BU837" s="108"/>
      <c r="BV837" s="108"/>
      <c r="BW837" s="108"/>
      <c r="BX837" s="108"/>
      <c r="BY837" s="108"/>
    </row>
    <row r="838" spans="1:77">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c r="AB838" s="109"/>
      <c r="AC838" s="109"/>
      <c r="AD838" s="109"/>
      <c r="AE838" s="109"/>
      <c r="AF838" s="109"/>
      <c r="AG838" s="109"/>
      <c r="AH838" s="109"/>
      <c r="AI838" s="109"/>
      <c r="AJ838" s="109"/>
      <c r="AK838" s="109"/>
      <c r="AL838" s="109"/>
      <c r="AM838" s="109"/>
      <c r="AN838" s="109"/>
      <c r="AO838" s="109"/>
      <c r="AP838" s="109"/>
      <c r="AQ838" s="109"/>
      <c r="AR838" s="109"/>
      <c r="AS838" s="109"/>
      <c r="AT838" s="108"/>
      <c r="AU838" s="108"/>
      <c r="AV838" s="108"/>
      <c r="AW838" s="108"/>
      <c r="AX838" s="108"/>
      <c r="AY838" s="108"/>
      <c r="AZ838" s="108"/>
      <c r="BA838" s="108"/>
      <c r="BB838" s="108"/>
      <c r="BC838" s="108"/>
      <c r="BD838" s="108"/>
      <c r="BE838" s="108"/>
      <c r="BF838" s="108"/>
      <c r="BG838" s="108"/>
      <c r="BH838" s="108"/>
      <c r="BI838" s="108"/>
      <c r="BJ838" s="108"/>
      <c r="BK838" s="108"/>
      <c r="BL838" s="108"/>
      <c r="BM838" s="108"/>
      <c r="BN838" s="108"/>
      <c r="BO838" s="108"/>
      <c r="BP838" s="108"/>
      <c r="BQ838" s="108"/>
      <c r="BR838" s="108"/>
      <c r="BS838" s="108"/>
      <c r="BT838" s="108"/>
      <c r="BU838" s="108"/>
      <c r="BV838" s="108"/>
      <c r="BW838" s="108"/>
      <c r="BX838" s="108"/>
      <c r="BY838" s="108"/>
    </row>
    <row r="839" spans="1:77">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c r="AA839" s="109"/>
      <c r="AB839" s="109"/>
      <c r="AC839" s="109"/>
      <c r="AD839" s="109"/>
      <c r="AE839" s="109"/>
      <c r="AF839" s="109"/>
      <c r="AG839" s="109"/>
      <c r="AH839" s="109"/>
      <c r="AI839" s="109"/>
      <c r="AJ839" s="109"/>
      <c r="AK839" s="109"/>
      <c r="AL839" s="109"/>
      <c r="AM839" s="109"/>
      <c r="AN839" s="109"/>
      <c r="AO839" s="109"/>
      <c r="AP839" s="109"/>
      <c r="AQ839" s="109"/>
      <c r="AR839" s="109"/>
      <c r="AS839" s="109"/>
      <c r="AT839" s="108"/>
      <c r="AU839" s="108"/>
      <c r="AV839" s="108"/>
      <c r="AW839" s="108"/>
      <c r="AX839" s="108"/>
      <c r="AY839" s="108"/>
      <c r="AZ839" s="108"/>
      <c r="BA839" s="108"/>
      <c r="BB839" s="108"/>
      <c r="BC839" s="108"/>
      <c r="BD839" s="108"/>
      <c r="BE839" s="108"/>
      <c r="BF839" s="108"/>
      <c r="BG839" s="108"/>
      <c r="BH839" s="108"/>
      <c r="BI839" s="108"/>
      <c r="BJ839" s="108"/>
      <c r="BK839" s="108"/>
      <c r="BL839" s="108"/>
      <c r="BM839" s="108"/>
      <c r="BN839" s="108"/>
      <c r="BO839" s="108"/>
      <c r="BP839" s="108"/>
      <c r="BQ839" s="108"/>
      <c r="BR839" s="108"/>
      <c r="BS839" s="108"/>
      <c r="BT839" s="108"/>
      <c r="BU839" s="108"/>
      <c r="BV839" s="108"/>
      <c r="BW839" s="108"/>
      <c r="BX839" s="108"/>
      <c r="BY839" s="108"/>
    </row>
    <row r="840" spans="1:77">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c r="AA840" s="109"/>
      <c r="AB840" s="109"/>
      <c r="AC840" s="109"/>
      <c r="AD840" s="109"/>
      <c r="AE840" s="109"/>
      <c r="AF840" s="109"/>
      <c r="AG840" s="109"/>
      <c r="AH840" s="109"/>
      <c r="AI840" s="109"/>
      <c r="AJ840" s="109"/>
      <c r="AK840" s="109"/>
      <c r="AL840" s="109"/>
      <c r="AM840" s="109"/>
      <c r="AN840" s="109"/>
      <c r="AO840" s="109"/>
      <c r="AP840" s="109"/>
      <c r="AQ840" s="109"/>
      <c r="AR840" s="109"/>
      <c r="AS840" s="109"/>
      <c r="AT840" s="108"/>
      <c r="AU840" s="108"/>
      <c r="AV840" s="108"/>
      <c r="AW840" s="108"/>
      <c r="AX840" s="108"/>
      <c r="AY840" s="108"/>
      <c r="AZ840" s="108"/>
      <c r="BA840" s="108"/>
      <c r="BB840" s="108"/>
      <c r="BC840" s="108"/>
      <c r="BD840" s="108"/>
      <c r="BE840" s="108"/>
      <c r="BF840" s="108"/>
      <c r="BG840" s="108"/>
      <c r="BH840" s="108"/>
      <c r="BI840" s="108"/>
      <c r="BJ840" s="108"/>
      <c r="BK840" s="108"/>
      <c r="BL840" s="108"/>
      <c r="BM840" s="108"/>
      <c r="BN840" s="108"/>
      <c r="BO840" s="108"/>
      <c r="BP840" s="108"/>
      <c r="BQ840" s="108"/>
      <c r="BR840" s="108"/>
      <c r="BS840" s="108"/>
      <c r="BT840" s="108"/>
      <c r="BU840" s="108"/>
      <c r="BV840" s="108"/>
      <c r="BW840" s="108"/>
      <c r="BX840" s="108"/>
      <c r="BY840" s="108"/>
    </row>
    <row r="841" spans="1:77">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c r="AB841" s="109"/>
      <c r="AC841" s="109"/>
      <c r="AD841" s="109"/>
      <c r="AE841" s="109"/>
      <c r="AF841" s="109"/>
      <c r="AG841" s="109"/>
      <c r="AH841" s="109"/>
      <c r="AI841" s="109"/>
      <c r="AJ841" s="109"/>
      <c r="AK841" s="109"/>
      <c r="AL841" s="109"/>
      <c r="AM841" s="109"/>
      <c r="AN841" s="109"/>
      <c r="AO841" s="109"/>
      <c r="AP841" s="109"/>
      <c r="AQ841" s="109"/>
      <c r="AR841" s="109"/>
      <c r="AS841" s="109"/>
      <c r="AT841" s="108"/>
      <c r="AU841" s="108"/>
      <c r="AV841" s="108"/>
      <c r="AW841" s="108"/>
      <c r="AX841" s="108"/>
      <c r="AY841" s="108"/>
      <c r="AZ841" s="108"/>
      <c r="BA841" s="108"/>
      <c r="BB841" s="108"/>
      <c r="BC841" s="108"/>
      <c r="BD841" s="108"/>
      <c r="BE841" s="108"/>
      <c r="BF841" s="108"/>
      <c r="BG841" s="108"/>
      <c r="BH841" s="108"/>
      <c r="BI841" s="108"/>
      <c r="BJ841" s="108"/>
      <c r="BK841" s="108"/>
      <c r="BL841" s="108"/>
      <c r="BM841" s="108"/>
      <c r="BN841" s="108"/>
      <c r="BO841" s="108"/>
      <c r="BP841" s="108"/>
      <c r="BQ841" s="108"/>
      <c r="BR841" s="108"/>
      <c r="BS841" s="108"/>
      <c r="BT841" s="108"/>
      <c r="BU841" s="108"/>
      <c r="BV841" s="108"/>
      <c r="BW841" s="108"/>
      <c r="BX841" s="108"/>
      <c r="BY841" s="108"/>
    </row>
    <row r="842" spans="1:77">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c r="AA842" s="109"/>
      <c r="AB842" s="109"/>
      <c r="AC842" s="109"/>
      <c r="AD842" s="109"/>
      <c r="AE842" s="109"/>
      <c r="AF842" s="109"/>
      <c r="AG842" s="109"/>
      <c r="AH842" s="109"/>
      <c r="AI842" s="109"/>
      <c r="AJ842" s="109"/>
      <c r="AK842" s="109"/>
      <c r="AL842" s="109"/>
      <c r="AM842" s="109"/>
      <c r="AN842" s="109"/>
      <c r="AO842" s="109"/>
      <c r="AP842" s="109"/>
      <c r="AQ842" s="109"/>
      <c r="AR842" s="109"/>
      <c r="AS842" s="109"/>
      <c r="AT842" s="108"/>
      <c r="AU842" s="108"/>
      <c r="AV842" s="108"/>
      <c r="AW842" s="108"/>
      <c r="AX842" s="108"/>
      <c r="AY842" s="108"/>
      <c r="AZ842" s="108"/>
      <c r="BA842" s="108"/>
      <c r="BB842" s="108"/>
      <c r="BC842" s="108"/>
      <c r="BD842" s="108"/>
      <c r="BE842" s="108"/>
      <c r="BF842" s="108"/>
      <c r="BG842" s="108"/>
      <c r="BH842" s="108"/>
      <c r="BI842" s="108"/>
      <c r="BJ842" s="108"/>
      <c r="BK842" s="108"/>
      <c r="BL842" s="108"/>
      <c r="BM842" s="108"/>
      <c r="BN842" s="108"/>
      <c r="BO842" s="108"/>
      <c r="BP842" s="108"/>
      <c r="BQ842" s="108"/>
      <c r="BR842" s="108"/>
      <c r="BS842" s="108"/>
      <c r="BT842" s="108"/>
      <c r="BU842" s="108"/>
      <c r="BV842" s="108"/>
      <c r="BW842" s="108"/>
      <c r="BX842" s="108"/>
      <c r="BY842" s="108"/>
    </row>
    <row r="843" spans="1:77">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c r="AA843" s="109"/>
      <c r="AB843" s="109"/>
      <c r="AC843" s="109"/>
      <c r="AD843" s="109"/>
      <c r="AE843" s="109"/>
      <c r="AF843" s="109"/>
      <c r="AG843" s="109"/>
      <c r="AH843" s="109"/>
      <c r="AI843" s="109"/>
      <c r="AJ843" s="109"/>
      <c r="AK843" s="109"/>
      <c r="AL843" s="109"/>
      <c r="AM843" s="109"/>
      <c r="AN843" s="109"/>
      <c r="AO843" s="109"/>
      <c r="AP843" s="109"/>
      <c r="AQ843" s="109"/>
      <c r="AR843" s="109"/>
      <c r="AS843" s="109"/>
      <c r="AT843" s="108"/>
      <c r="AU843" s="108"/>
      <c r="AV843" s="108"/>
      <c r="AW843" s="108"/>
      <c r="AX843" s="108"/>
      <c r="AY843" s="108"/>
      <c r="AZ843" s="108"/>
      <c r="BA843" s="108"/>
      <c r="BB843" s="108"/>
      <c r="BC843" s="108"/>
      <c r="BD843" s="108"/>
      <c r="BE843" s="108"/>
      <c r="BF843" s="108"/>
      <c r="BG843" s="108"/>
      <c r="BH843" s="108"/>
      <c r="BI843" s="108"/>
      <c r="BJ843" s="108"/>
      <c r="BK843" s="108"/>
      <c r="BL843" s="108"/>
      <c r="BM843" s="108"/>
      <c r="BN843" s="108"/>
      <c r="BO843" s="108"/>
      <c r="BP843" s="108"/>
      <c r="BQ843" s="108"/>
      <c r="BR843" s="108"/>
      <c r="BS843" s="108"/>
      <c r="BT843" s="108"/>
      <c r="BU843" s="108"/>
      <c r="BV843" s="108"/>
      <c r="BW843" s="108"/>
      <c r="BX843" s="108"/>
      <c r="BY843" s="108"/>
    </row>
    <row r="844" spans="1:77">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c r="AA844" s="109"/>
      <c r="AB844" s="109"/>
      <c r="AC844" s="109"/>
      <c r="AD844" s="109"/>
      <c r="AE844" s="109"/>
      <c r="AF844" s="109"/>
      <c r="AG844" s="109"/>
      <c r="AH844" s="109"/>
      <c r="AI844" s="109"/>
      <c r="AJ844" s="109"/>
      <c r="AK844" s="109"/>
      <c r="AL844" s="109"/>
      <c r="AM844" s="109"/>
      <c r="AN844" s="109"/>
      <c r="AO844" s="109"/>
      <c r="AP844" s="109"/>
      <c r="AQ844" s="109"/>
      <c r="AR844" s="109"/>
      <c r="AS844" s="109"/>
      <c r="AT844" s="108"/>
      <c r="AU844" s="108"/>
      <c r="AV844" s="108"/>
      <c r="AW844" s="108"/>
      <c r="AX844" s="108"/>
      <c r="AY844" s="108"/>
      <c r="AZ844" s="108"/>
      <c r="BA844" s="108"/>
      <c r="BB844" s="108"/>
      <c r="BC844" s="108"/>
      <c r="BD844" s="108"/>
      <c r="BE844" s="108"/>
      <c r="BF844" s="108"/>
      <c r="BG844" s="108"/>
      <c r="BH844" s="108"/>
      <c r="BI844" s="108"/>
      <c r="BJ844" s="108"/>
      <c r="BK844" s="108"/>
      <c r="BL844" s="108"/>
      <c r="BM844" s="108"/>
      <c r="BN844" s="108"/>
      <c r="BO844" s="108"/>
      <c r="BP844" s="108"/>
      <c r="BQ844" s="108"/>
      <c r="BR844" s="108"/>
      <c r="BS844" s="108"/>
      <c r="BT844" s="108"/>
      <c r="BU844" s="108"/>
      <c r="BV844" s="108"/>
      <c r="BW844" s="108"/>
      <c r="BX844" s="108"/>
      <c r="BY844" s="108"/>
    </row>
    <row r="845" spans="1:77">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c r="AA845" s="109"/>
      <c r="AB845" s="109"/>
      <c r="AC845" s="109"/>
      <c r="AD845" s="109"/>
      <c r="AE845" s="109"/>
      <c r="AF845" s="109"/>
      <c r="AG845" s="109"/>
      <c r="AH845" s="109"/>
      <c r="AI845" s="109"/>
      <c r="AJ845" s="109"/>
      <c r="AK845" s="109"/>
      <c r="AL845" s="109"/>
      <c r="AM845" s="109"/>
      <c r="AN845" s="109"/>
      <c r="AO845" s="109"/>
      <c r="AP845" s="109"/>
      <c r="AQ845" s="109"/>
      <c r="AR845" s="109"/>
      <c r="AS845" s="109"/>
      <c r="AT845" s="108"/>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08"/>
    </row>
    <row r="846" spans="1:77">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c r="AB846" s="109"/>
      <c r="AC846" s="109"/>
      <c r="AD846" s="109"/>
      <c r="AE846" s="109"/>
      <c r="AF846" s="109"/>
      <c r="AG846" s="109"/>
      <c r="AH846" s="109"/>
      <c r="AI846" s="109"/>
      <c r="AJ846" s="109"/>
      <c r="AK846" s="109"/>
      <c r="AL846" s="109"/>
      <c r="AM846" s="109"/>
      <c r="AN846" s="109"/>
      <c r="AO846" s="109"/>
      <c r="AP846" s="109"/>
      <c r="AQ846" s="109"/>
      <c r="AR846" s="109"/>
      <c r="AS846" s="109"/>
      <c r="AT846" s="108"/>
      <c r="AU846" s="108"/>
      <c r="AV846" s="108"/>
      <c r="AW846" s="108"/>
      <c r="AX846" s="108"/>
      <c r="AY846" s="108"/>
      <c r="AZ846" s="108"/>
      <c r="BA846" s="108"/>
      <c r="BB846" s="108"/>
      <c r="BC846" s="108"/>
      <c r="BD846" s="108"/>
      <c r="BE846" s="108"/>
      <c r="BF846" s="108"/>
      <c r="BG846" s="108"/>
      <c r="BH846" s="108"/>
      <c r="BI846" s="108"/>
      <c r="BJ846" s="108"/>
      <c r="BK846" s="108"/>
      <c r="BL846" s="108"/>
      <c r="BM846" s="108"/>
      <c r="BN846" s="108"/>
      <c r="BO846" s="108"/>
      <c r="BP846" s="108"/>
      <c r="BQ846" s="108"/>
      <c r="BR846" s="108"/>
      <c r="BS846" s="108"/>
      <c r="BT846" s="108"/>
      <c r="BU846" s="108"/>
      <c r="BV846" s="108"/>
      <c r="BW846" s="108"/>
      <c r="BX846" s="108"/>
      <c r="BY846" s="108"/>
    </row>
    <row r="847" spans="1:77">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c r="AA847" s="109"/>
      <c r="AB847" s="109"/>
      <c r="AC847" s="109"/>
      <c r="AD847" s="109"/>
      <c r="AE847" s="109"/>
      <c r="AF847" s="109"/>
      <c r="AG847" s="109"/>
      <c r="AH847" s="109"/>
      <c r="AI847" s="109"/>
      <c r="AJ847" s="109"/>
      <c r="AK847" s="109"/>
      <c r="AL847" s="109"/>
      <c r="AM847" s="109"/>
      <c r="AN847" s="109"/>
      <c r="AO847" s="109"/>
      <c r="AP847" s="109"/>
      <c r="AQ847" s="109"/>
      <c r="AR847" s="109"/>
      <c r="AS847" s="109"/>
      <c r="AT847" s="108"/>
      <c r="AU847" s="108"/>
      <c r="AV847" s="108"/>
      <c r="AW847" s="108"/>
      <c r="AX847" s="108"/>
      <c r="AY847" s="108"/>
      <c r="AZ847" s="108"/>
      <c r="BA847" s="108"/>
      <c r="BB847" s="108"/>
      <c r="BC847" s="108"/>
      <c r="BD847" s="108"/>
      <c r="BE847" s="108"/>
      <c r="BF847" s="108"/>
      <c r="BG847" s="108"/>
      <c r="BH847" s="108"/>
      <c r="BI847" s="108"/>
      <c r="BJ847" s="108"/>
      <c r="BK847" s="108"/>
      <c r="BL847" s="108"/>
      <c r="BM847" s="108"/>
      <c r="BN847" s="108"/>
      <c r="BO847" s="108"/>
      <c r="BP847" s="108"/>
      <c r="BQ847" s="108"/>
      <c r="BR847" s="108"/>
      <c r="BS847" s="108"/>
      <c r="BT847" s="108"/>
      <c r="BU847" s="108"/>
      <c r="BV847" s="108"/>
      <c r="BW847" s="108"/>
      <c r="BX847" s="108"/>
      <c r="BY847" s="108"/>
    </row>
    <row r="848" spans="1:77">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c r="AA848" s="109"/>
      <c r="AB848" s="109"/>
      <c r="AC848" s="109"/>
      <c r="AD848" s="109"/>
      <c r="AE848" s="109"/>
      <c r="AF848" s="109"/>
      <c r="AG848" s="109"/>
      <c r="AH848" s="109"/>
      <c r="AI848" s="109"/>
      <c r="AJ848" s="109"/>
      <c r="AK848" s="109"/>
      <c r="AL848" s="109"/>
      <c r="AM848" s="109"/>
      <c r="AN848" s="109"/>
      <c r="AO848" s="109"/>
      <c r="AP848" s="109"/>
      <c r="AQ848" s="109"/>
      <c r="AR848" s="109"/>
      <c r="AS848" s="109"/>
      <c r="AT848" s="108"/>
      <c r="AU848" s="108"/>
      <c r="AV848" s="108"/>
      <c r="AW848" s="108"/>
      <c r="AX848" s="108"/>
      <c r="AY848" s="108"/>
      <c r="AZ848" s="108"/>
      <c r="BA848" s="108"/>
      <c r="BB848" s="108"/>
      <c r="BC848" s="108"/>
      <c r="BD848" s="108"/>
      <c r="BE848" s="108"/>
      <c r="BF848" s="108"/>
      <c r="BG848" s="108"/>
      <c r="BH848" s="108"/>
      <c r="BI848" s="108"/>
      <c r="BJ848" s="108"/>
      <c r="BK848" s="108"/>
      <c r="BL848" s="108"/>
      <c r="BM848" s="108"/>
      <c r="BN848" s="108"/>
      <c r="BO848" s="108"/>
      <c r="BP848" s="108"/>
      <c r="BQ848" s="108"/>
      <c r="BR848" s="108"/>
      <c r="BS848" s="108"/>
      <c r="BT848" s="108"/>
      <c r="BU848" s="108"/>
      <c r="BV848" s="108"/>
      <c r="BW848" s="108"/>
      <c r="BX848" s="108"/>
      <c r="BY848" s="108"/>
    </row>
    <row r="849" spans="1:77">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c r="AA849" s="109"/>
      <c r="AB849" s="109"/>
      <c r="AC849" s="109"/>
      <c r="AD849" s="109"/>
      <c r="AE849" s="109"/>
      <c r="AF849" s="109"/>
      <c r="AG849" s="109"/>
      <c r="AH849" s="109"/>
      <c r="AI849" s="109"/>
      <c r="AJ849" s="109"/>
      <c r="AK849" s="109"/>
      <c r="AL849" s="109"/>
      <c r="AM849" s="109"/>
      <c r="AN849" s="109"/>
      <c r="AO849" s="109"/>
      <c r="AP849" s="109"/>
      <c r="AQ849" s="109"/>
      <c r="AR849" s="109"/>
      <c r="AS849" s="109"/>
      <c r="AT849" s="108"/>
      <c r="AU849" s="108"/>
      <c r="AV849" s="108"/>
      <c r="AW849" s="108"/>
      <c r="AX849" s="108"/>
      <c r="AY849" s="108"/>
      <c r="AZ849" s="108"/>
      <c r="BA849" s="108"/>
      <c r="BB849" s="108"/>
      <c r="BC849" s="108"/>
      <c r="BD849" s="108"/>
      <c r="BE849" s="108"/>
      <c r="BF849" s="108"/>
      <c r="BG849" s="108"/>
      <c r="BH849" s="108"/>
      <c r="BI849" s="108"/>
      <c r="BJ849" s="108"/>
      <c r="BK849" s="108"/>
      <c r="BL849" s="108"/>
      <c r="BM849" s="108"/>
      <c r="BN849" s="108"/>
      <c r="BO849" s="108"/>
      <c r="BP849" s="108"/>
      <c r="BQ849" s="108"/>
      <c r="BR849" s="108"/>
      <c r="BS849" s="108"/>
      <c r="BT849" s="108"/>
      <c r="BU849" s="108"/>
      <c r="BV849" s="108"/>
      <c r="BW849" s="108"/>
      <c r="BX849" s="108"/>
      <c r="BY849" s="108"/>
    </row>
    <row r="850" spans="1:77">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c r="AA850" s="109"/>
      <c r="AB850" s="109"/>
      <c r="AC850" s="109"/>
      <c r="AD850" s="109"/>
      <c r="AE850" s="109"/>
      <c r="AF850" s="109"/>
      <c r="AG850" s="109"/>
      <c r="AH850" s="109"/>
      <c r="AI850" s="109"/>
      <c r="AJ850" s="109"/>
      <c r="AK850" s="109"/>
      <c r="AL850" s="109"/>
      <c r="AM850" s="109"/>
      <c r="AN850" s="109"/>
      <c r="AO850" s="109"/>
      <c r="AP850" s="109"/>
      <c r="AQ850" s="109"/>
      <c r="AR850" s="109"/>
      <c r="AS850" s="109"/>
      <c r="AT850" s="108"/>
      <c r="AU850" s="108"/>
      <c r="AV850" s="108"/>
      <c r="AW850" s="108"/>
      <c r="AX850" s="108"/>
      <c r="AY850" s="108"/>
      <c r="AZ850" s="108"/>
      <c r="BA850" s="108"/>
      <c r="BB850" s="108"/>
      <c r="BC850" s="108"/>
      <c r="BD850" s="108"/>
      <c r="BE850" s="108"/>
      <c r="BF850" s="108"/>
      <c r="BG850" s="108"/>
      <c r="BH850" s="108"/>
      <c r="BI850" s="108"/>
      <c r="BJ850" s="108"/>
      <c r="BK850" s="108"/>
      <c r="BL850" s="108"/>
      <c r="BM850" s="108"/>
      <c r="BN850" s="108"/>
      <c r="BO850" s="108"/>
      <c r="BP850" s="108"/>
      <c r="BQ850" s="108"/>
      <c r="BR850" s="108"/>
      <c r="BS850" s="108"/>
      <c r="BT850" s="108"/>
      <c r="BU850" s="108"/>
      <c r="BV850" s="108"/>
      <c r="BW850" s="108"/>
      <c r="BX850" s="108"/>
      <c r="BY850" s="108"/>
    </row>
    <row r="851" spans="1:77">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c r="AB851" s="109"/>
      <c r="AC851" s="109"/>
      <c r="AD851" s="109"/>
      <c r="AE851" s="109"/>
      <c r="AF851" s="109"/>
      <c r="AG851" s="109"/>
      <c r="AH851" s="109"/>
      <c r="AI851" s="109"/>
      <c r="AJ851" s="109"/>
      <c r="AK851" s="109"/>
      <c r="AL851" s="109"/>
      <c r="AM851" s="109"/>
      <c r="AN851" s="109"/>
      <c r="AO851" s="109"/>
      <c r="AP851" s="109"/>
      <c r="AQ851" s="109"/>
      <c r="AR851" s="109"/>
      <c r="AS851" s="109"/>
      <c r="AT851" s="108"/>
      <c r="AU851" s="108"/>
      <c r="AV851" s="108"/>
      <c r="AW851" s="108"/>
      <c r="AX851" s="108"/>
      <c r="AY851" s="108"/>
      <c r="AZ851" s="108"/>
      <c r="BA851" s="108"/>
      <c r="BB851" s="108"/>
      <c r="BC851" s="108"/>
      <c r="BD851" s="108"/>
      <c r="BE851" s="108"/>
      <c r="BF851" s="108"/>
      <c r="BG851" s="108"/>
      <c r="BH851" s="108"/>
      <c r="BI851" s="108"/>
      <c r="BJ851" s="108"/>
      <c r="BK851" s="108"/>
      <c r="BL851" s="108"/>
      <c r="BM851" s="108"/>
      <c r="BN851" s="108"/>
      <c r="BO851" s="108"/>
      <c r="BP851" s="108"/>
      <c r="BQ851" s="108"/>
      <c r="BR851" s="108"/>
      <c r="BS851" s="108"/>
      <c r="BT851" s="108"/>
      <c r="BU851" s="108"/>
      <c r="BV851" s="108"/>
      <c r="BW851" s="108"/>
      <c r="BX851" s="108"/>
      <c r="BY851" s="108"/>
    </row>
    <row r="852" spans="1:77">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c r="AA852" s="109"/>
      <c r="AB852" s="109"/>
      <c r="AC852" s="109"/>
      <c r="AD852" s="109"/>
      <c r="AE852" s="109"/>
      <c r="AF852" s="109"/>
      <c r="AG852" s="109"/>
      <c r="AH852" s="109"/>
      <c r="AI852" s="109"/>
      <c r="AJ852" s="109"/>
      <c r="AK852" s="109"/>
      <c r="AL852" s="109"/>
      <c r="AM852" s="109"/>
      <c r="AN852" s="109"/>
      <c r="AO852" s="109"/>
      <c r="AP852" s="109"/>
      <c r="AQ852" s="109"/>
      <c r="AR852" s="109"/>
      <c r="AS852" s="109"/>
      <c r="AT852" s="108"/>
      <c r="AU852" s="108"/>
      <c r="AV852" s="108"/>
      <c r="AW852" s="108"/>
      <c r="AX852" s="108"/>
      <c r="AY852" s="108"/>
      <c r="AZ852" s="108"/>
      <c r="BA852" s="108"/>
      <c r="BB852" s="108"/>
      <c r="BC852" s="108"/>
      <c r="BD852" s="108"/>
      <c r="BE852" s="108"/>
      <c r="BF852" s="108"/>
      <c r="BG852" s="108"/>
      <c r="BH852" s="108"/>
      <c r="BI852" s="108"/>
      <c r="BJ852" s="108"/>
      <c r="BK852" s="108"/>
      <c r="BL852" s="108"/>
      <c r="BM852" s="108"/>
      <c r="BN852" s="108"/>
      <c r="BO852" s="108"/>
      <c r="BP852" s="108"/>
      <c r="BQ852" s="108"/>
      <c r="BR852" s="108"/>
      <c r="BS852" s="108"/>
      <c r="BT852" s="108"/>
      <c r="BU852" s="108"/>
      <c r="BV852" s="108"/>
      <c r="BW852" s="108"/>
      <c r="BX852" s="108"/>
      <c r="BY852" s="108"/>
    </row>
    <row r="853" spans="1:77">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c r="AA853" s="109"/>
      <c r="AB853" s="109"/>
      <c r="AC853" s="109"/>
      <c r="AD853" s="109"/>
      <c r="AE853" s="109"/>
      <c r="AF853" s="109"/>
      <c r="AG853" s="109"/>
      <c r="AH853" s="109"/>
      <c r="AI853" s="109"/>
      <c r="AJ853" s="109"/>
      <c r="AK853" s="109"/>
      <c r="AL853" s="109"/>
      <c r="AM853" s="109"/>
      <c r="AN853" s="109"/>
      <c r="AO853" s="109"/>
      <c r="AP853" s="109"/>
      <c r="AQ853" s="109"/>
      <c r="AR853" s="109"/>
      <c r="AS853" s="109"/>
      <c r="AT853" s="108"/>
      <c r="AU853" s="108"/>
      <c r="AV853" s="108"/>
      <c r="AW853" s="108"/>
      <c r="AX853" s="108"/>
      <c r="AY853" s="108"/>
      <c r="AZ853" s="108"/>
      <c r="BA853" s="108"/>
      <c r="BB853" s="108"/>
      <c r="BC853" s="108"/>
      <c r="BD853" s="108"/>
      <c r="BE853" s="108"/>
      <c r="BF853" s="108"/>
      <c r="BG853" s="108"/>
      <c r="BH853" s="108"/>
      <c r="BI853" s="108"/>
      <c r="BJ853" s="108"/>
      <c r="BK853" s="108"/>
      <c r="BL853" s="108"/>
      <c r="BM853" s="108"/>
      <c r="BN853" s="108"/>
      <c r="BO853" s="108"/>
      <c r="BP853" s="108"/>
      <c r="BQ853" s="108"/>
      <c r="BR853" s="108"/>
      <c r="BS853" s="108"/>
      <c r="BT853" s="108"/>
      <c r="BU853" s="108"/>
      <c r="BV853" s="108"/>
      <c r="BW853" s="108"/>
      <c r="BX853" s="108"/>
      <c r="BY853" s="108"/>
    </row>
    <row r="854" spans="1:77">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c r="AB854" s="109"/>
      <c r="AC854" s="109"/>
      <c r="AD854" s="109"/>
      <c r="AE854" s="109"/>
      <c r="AF854" s="109"/>
      <c r="AG854" s="109"/>
      <c r="AH854" s="109"/>
      <c r="AI854" s="109"/>
      <c r="AJ854" s="109"/>
      <c r="AK854" s="109"/>
      <c r="AL854" s="109"/>
      <c r="AM854" s="109"/>
      <c r="AN854" s="109"/>
      <c r="AO854" s="109"/>
      <c r="AP854" s="109"/>
      <c r="AQ854" s="109"/>
      <c r="AR854" s="109"/>
      <c r="AS854" s="109"/>
      <c r="AT854" s="108"/>
      <c r="AU854" s="108"/>
      <c r="AV854" s="108"/>
      <c r="AW854" s="108"/>
      <c r="AX854" s="108"/>
      <c r="AY854" s="108"/>
      <c r="AZ854" s="108"/>
      <c r="BA854" s="108"/>
      <c r="BB854" s="108"/>
      <c r="BC854" s="108"/>
      <c r="BD854" s="108"/>
      <c r="BE854" s="108"/>
      <c r="BF854" s="108"/>
      <c r="BG854" s="108"/>
      <c r="BH854" s="108"/>
      <c r="BI854" s="108"/>
      <c r="BJ854" s="108"/>
      <c r="BK854" s="108"/>
      <c r="BL854" s="108"/>
      <c r="BM854" s="108"/>
      <c r="BN854" s="108"/>
      <c r="BO854" s="108"/>
      <c r="BP854" s="108"/>
      <c r="BQ854" s="108"/>
      <c r="BR854" s="108"/>
      <c r="BS854" s="108"/>
      <c r="BT854" s="108"/>
      <c r="BU854" s="108"/>
      <c r="BV854" s="108"/>
      <c r="BW854" s="108"/>
      <c r="BX854" s="108"/>
      <c r="BY854" s="108"/>
    </row>
    <row r="855" spans="1:77">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c r="AA855" s="109"/>
      <c r="AB855" s="109"/>
      <c r="AC855" s="109"/>
      <c r="AD855" s="109"/>
      <c r="AE855" s="109"/>
      <c r="AF855" s="109"/>
      <c r="AG855" s="109"/>
      <c r="AH855" s="109"/>
      <c r="AI855" s="109"/>
      <c r="AJ855" s="109"/>
      <c r="AK855" s="109"/>
      <c r="AL855" s="109"/>
      <c r="AM855" s="109"/>
      <c r="AN855" s="109"/>
      <c r="AO855" s="109"/>
      <c r="AP855" s="109"/>
      <c r="AQ855" s="109"/>
      <c r="AR855" s="109"/>
      <c r="AS855" s="109"/>
      <c r="AT855" s="108"/>
      <c r="AU855" s="108"/>
      <c r="AV855" s="108"/>
      <c r="AW855" s="108"/>
      <c r="AX855" s="108"/>
      <c r="AY855" s="108"/>
      <c r="AZ855" s="108"/>
      <c r="BA855" s="108"/>
      <c r="BB855" s="108"/>
      <c r="BC855" s="108"/>
      <c r="BD855" s="108"/>
      <c r="BE855" s="108"/>
      <c r="BF855" s="108"/>
      <c r="BG855" s="108"/>
      <c r="BH855" s="108"/>
      <c r="BI855" s="108"/>
      <c r="BJ855" s="108"/>
      <c r="BK855" s="108"/>
      <c r="BL855" s="108"/>
      <c r="BM855" s="108"/>
      <c r="BN855" s="108"/>
      <c r="BO855" s="108"/>
      <c r="BP855" s="108"/>
      <c r="BQ855" s="108"/>
      <c r="BR855" s="108"/>
      <c r="BS855" s="108"/>
      <c r="BT855" s="108"/>
      <c r="BU855" s="108"/>
      <c r="BV855" s="108"/>
      <c r="BW855" s="108"/>
      <c r="BX855" s="108"/>
      <c r="BY855" s="108"/>
    </row>
    <row r="856" spans="1:77">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c r="AA856" s="109"/>
      <c r="AB856" s="109"/>
      <c r="AC856" s="109"/>
      <c r="AD856" s="109"/>
      <c r="AE856" s="109"/>
      <c r="AF856" s="109"/>
      <c r="AG856" s="109"/>
      <c r="AH856" s="109"/>
      <c r="AI856" s="109"/>
      <c r="AJ856" s="109"/>
      <c r="AK856" s="109"/>
      <c r="AL856" s="109"/>
      <c r="AM856" s="109"/>
      <c r="AN856" s="109"/>
      <c r="AO856" s="109"/>
      <c r="AP856" s="109"/>
      <c r="AQ856" s="109"/>
      <c r="AR856" s="109"/>
      <c r="AS856" s="109"/>
      <c r="AT856" s="108"/>
      <c r="AU856" s="108"/>
      <c r="AV856" s="108"/>
      <c r="AW856" s="108"/>
      <c r="AX856" s="108"/>
      <c r="AY856" s="108"/>
      <c r="AZ856" s="108"/>
      <c r="BA856" s="108"/>
      <c r="BB856" s="108"/>
      <c r="BC856" s="108"/>
      <c r="BD856" s="108"/>
      <c r="BE856" s="108"/>
      <c r="BF856" s="108"/>
      <c r="BG856" s="108"/>
      <c r="BH856" s="108"/>
      <c r="BI856" s="108"/>
      <c r="BJ856" s="108"/>
      <c r="BK856" s="108"/>
      <c r="BL856" s="108"/>
      <c r="BM856" s="108"/>
      <c r="BN856" s="108"/>
      <c r="BO856" s="108"/>
      <c r="BP856" s="108"/>
      <c r="BQ856" s="108"/>
      <c r="BR856" s="108"/>
      <c r="BS856" s="108"/>
      <c r="BT856" s="108"/>
      <c r="BU856" s="108"/>
      <c r="BV856" s="108"/>
      <c r="BW856" s="108"/>
      <c r="BX856" s="108"/>
      <c r="BY856" s="108"/>
    </row>
    <row r="857" spans="1:77">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c r="AB857" s="109"/>
      <c r="AC857" s="109"/>
      <c r="AD857" s="109"/>
      <c r="AE857" s="109"/>
      <c r="AF857" s="109"/>
      <c r="AG857" s="109"/>
      <c r="AH857" s="109"/>
      <c r="AI857" s="109"/>
      <c r="AJ857" s="109"/>
      <c r="AK857" s="109"/>
      <c r="AL857" s="109"/>
      <c r="AM857" s="109"/>
      <c r="AN857" s="109"/>
      <c r="AO857" s="109"/>
      <c r="AP857" s="109"/>
      <c r="AQ857" s="109"/>
      <c r="AR857" s="109"/>
      <c r="AS857" s="109"/>
      <c r="AT857" s="108"/>
      <c r="AU857" s="108"/>
      <c r="AV857" s="108"/>
      <c r="AW857" s="108"/>
      <c r="AX857" s="108"/>
      <c r="AY857" s="108"/>
      <c r="AZ857" s="108"/>
      <c r="BA857" s="108"/>
      <c r="BB857" s="108"/>
      <c r="BC857" s="108"/>
      <c r="BD857" s="108"/>
      <c r="BE857" s="108"/>
      <c r="BF857" s="108"/>
      <c r="BG857" s="108"/>
      <c r="BH857" s="108"/>
      <c r="BI857" s="108"/>
      <c r="BJ857" s="108"/>
      <c r="BK857" s="108"/>
      <c r="BL857" s="108"/>
      <c r="BM857" s="108"/>
      <c r="BN857" s="108"/>
      <c r="BO857" s="108"/>
      <c r="BP857" s="108"/>
      <c r="BQ857" s="108"/>
      <c r="BR857" s="108"/>
      <c r="BS857" s="108"/>
      <c r="BT857" s="108"/>
      <c r="BU857" s="108"/>
      <c r="BV857" s="108"/>
      <c r="BW857" s="108"/>
      <c r="BX857" s="108"/>
      <c r="BY857" s="108"/>
    </row>
    <row r="858" spans="1:77">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c r="AA858" s="109"/>
      <c r="AB858" s="109"/>
      <c r="AC858" s="109"/>
      <c r="AD858" s="109"/>
      <c r="AE858" s="109"/>
      <c r="AF858" s="109"/>
      <c r="AG858" s="109"/>
      <c r="AH858" s="109"/>
      <c r="AI858" s="109"/>
      <c r="AJ858" s="109"/>
      <c r="AK858" s="109"/>
      <c r="AL858" s="109"/>
      <c r="AM858" s="109"/>
      <c r="AN858" s="109"/>
      <c r="AO858" s="109"/>
      <c r="AP858" s="109"/>
      <c r="AQ858" s="109"/>
      <c r="AR858" s="109"/>
      <c r="AS858" s="109"/>
      <c r="AT858" s="108"/>
      <c r="AU858" s="108"/>
      <c r="AV858" s="108"/>
      <c r="AW858" s="108"/>
      <c r="AX858" s="108"/>
      <c r="AY858" s="108"/>
      <c r="AZ858" s="108"/>
      <c r="BA858" s="108"/>
      <c r="BB858" s="108"/>
      <c r="BC858" s="108"/>
      <c r="BD858" s="108"/>
      <c r="BE858" s="108"/>
      <c r="BF858" s="108"/>
      <c r="BG858" s="108"/>
      <c r="BH858" s="108"/>
      <c r="BI858" s="108"/>
      <c r="BJ858" s="108"/>
      <c r="BK858" s="108"/>
      <c r="BL858" s="108"/>
      <c r="BM858" s="108"/>
      <c r="BN858" s="108"/>
      <c r="BO858" s="108"/>
      <c r="BP858" s="108"/>
      <c r="BQ858" s="108"/>
      <c r="BR858" s="108"/>
      <c r="BS858" s="108"/>
      <c r="BT858" s="108"/>
      <c r="BU858" s="108"/>
      <c r="BV858" s="108"/>
      <c r="BW858" s="108"/>
      <c r="BX858" s="108"/>
      <c r="BY858" s="108"/>
    </row>
    <row r="859" spans="1:77">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c r="AA859" s="109"/>
      <c r="AB859" s="109"/>
      <c r="AC859" s="109"/>
      <c r="AD859" s="109"/>
      <c r="AE859" s="109"/>
      <c r="AF859" s="109"/>
      <c r="AG859" s="109"/>
      <c r="AH859" s="109"/>
      <c r="AI859" s="109"/>
      <c r="AJ859" s="109"/>
      <c r="AK859" s="109"/>
      <c r="AL859" s="109"/>
      <c r="AM859" s="109"/>
      <c r="AN859" s="109"/>
      <c r="AO859" s="109"/>
      <c r="AP859" s="109"/>
      <c r="AQ859" s="109"/>
      <c r="AR859" s="109"/>
      <c r="AS859" s="109"/>
      <c r="AT859" s="108"/>
      <c r="AU859" s="108"/>
      <c r="AV859" s="108"/>
      <c r="AW859" s="108"/>
      <c r="AX859" s="108"/>
      <c r="AY859" s="108"/>
      <c r="AZ859" s="108"/>
      <c r="BA859" s="108"/>
      <c r="BB859" s="108"/>
      <c r="BC859" s="108"/>
      <c r="BD859" s="108"/>
      <c r="BE859" s="108"/>
      <c r="BF859" s="108"/>
      <c r="BG859" s="108"/>
      <c r="BH859" s="108"/>
      <c r="BI859" s="108"/>
      <c r="BJ859" s="108"/>
      <c r="BK859" s="108"/>
      <c r="BL859" s="108"/>
      <c r="BM859" s="108"/>
      <c r="BN859" s="108"/>
      <c r="BO859" s="108"/>
      <c r="BP859" s="108"/>
      <c r="BQ859" s="108"/>
      <c r="BR859" s="108"/>
      <c r="BS859" s="108"/>
      <c r="BT859" s="108"/>
      <c r="BU859" s="108"/>
      <c r="BV859" s="108"/>
      <c r="BW859" s="108"/>
      <c r="BX859" s="108"/>
      <c r="BY859" s="108"/>
    </row>
    <row r="860" spans="1:77">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c r="AB860" s="109"/>
      <c r="AC860" s="109"/>
      <c r="AD860" s="109"/>
      <c r="AE860" s="109"/>
      <c r="AF860" s="109"/>
      <c r="AG860" s="109"/>
      <c r="AH860" s="109"/>
      <c r="AI860" s="109"/>
      <c r="AJ860" s="109"/>
      <c r="AK860" s="109"/>
      <c r="AL860" s="109"/>
      <c r="AM860" s="109"/>
      <c r="AN860" s="109"/>
      <c r="AO860" s="109"/>
      <c r="AP860" s="109"/>
      <c r="AQ860" s="109"/>
      <c r="AR860" s="109"/>
      <c r="AS860" s="109"/>
      <c r="AT860" s="108"/>
      <c r="AU860" s="108"/>
      <c r="AV860" s="108"/>
      <c r="AW860" s="108"/>
      <c r="AX860" s="108"/>
      <c r="AY860" s="108"/>
      <c r="AZ860" s="108"/>
      <c r="BA860" s="108"/>
      <c r="BB860" s="108"/>
      <c r="BC860" s="108"/>
      <c r="BD860" s="108"/>
      <c r="BE860" s="108"/>
      <c r="BF860" s="108"/>
      <c r="BG860" s="108"/>
      <c r="BH860" s="108"/>
      <c r="BI860" s="108"/>
      <c r="BJ860" s="108"/>
      <c r="BK860" s="108"/>
      <c r="BL860" s="108"/>
      <c r="BM860" s="108"/>
      <c r="BN860" s="108"/>
      <c r="BO860" s="108"/>
      <c r="BP860" s="108"/>
      <c r="BQ860" s="108"/>
      <c r="BR860" s="108"/>
      <c r="BS860" s="108"/>
      <c r="BT860" s="108"/>
      <c r="BU860" s="108"/>
      <c r="BV860" s="108"/>
      <c r="BW860" s="108"/>
      <c r="BX860" s="108"/>
      <c r="BY860" s="108"/>
    </row>
    <row r="861" spans="1:77">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c r="AA861" s="109"/>
      <c r="AB861" s="109"/>
      <c r="AC861" s="109"/>
      <c r="AD861" s="109"/>
      <c r="AE861" s="109"/>
      <c r="AF861" s="109"/>
      <c r="AG861" s="109"/>
      <c r="AH861" s="109"/>
      <c r="AI861" s="109"/>
      <c r="AJ861" s="109"/>
      <c r="AK861" s="109"/>
      <c r="AL861" s="109"/>
      <c r="AM861" s="109"/>
      <c r="AN861" s="109"/>
      <c r="AO861" s="109"/>
      <c r="AP861" s="109"/>
      <c r="AQ861" s="109"/>
      <c r="AR861" s="109"/>
      <c r="AS861" s="109"/>
      <c r="AT861" s="108"/>
      <c r="AU861" s="108"/>
      <c r="AV861" s="108"/>
      <c r="AW861" s="108"/>
      <c r="AX861" s="108"/>
      <c r="AY861" s="108"/>
      <c r="AZ861" s="108"/>
      <c r="BA861" s="108"/>
      <c r="BB861" s="108"/>
      <c r="BC861" s="108"/>
      <c r="BD861" s="108"/>
      <c r="BE861" s="108"/>
      <c r="BF861" s="108"/>
      <c r="BG861" s="108"/>
      <c r="BH861" s="108"/>
      <c r="BI861" s="108"/>
      <c r="BJ861" s="108"/>
      <c r="BK861" s="108"/>
      <c r="BL861" s="108"/>
      <c r="BM861" s="108"/>
      <c r="BN861" s="108"/>
      <c r="BO861" s="108"/>
      <c r="BP861" s="108"/>
      <c r="BQ861" s="108"/>
      <c r="BR861" s="108"/>
      <c r="BS861" s="108"/>
      <c r="BT861" s="108"/>
      <c r="BU861" s="108"/>
      <c r="BV861" s="108"/>
      <c r="BW861" s="108"/>
      <c r="BX861" s="108"/>
      <c r="BY861" s="108"/>
    </row>
    <row r="862" spans="1:77">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c r="AA862" s="109"/>
      <c r="AB862" s="109"/>
      <c r="AC862" s="109"/>
      <c r="AD862" s="109"/>
      <c r="AE862" s="109"/>
      <c r="AF862" s="109"/>
      <c r="AG862" s="109"/>
      <c r="AH862" s="109"/>
      <c r="AI862" s="109"/>
      <c r="AJ862" s="109"/>
      <c r="AK862" s="109"/>
      <c r="AL862" s="109"/>
      <c r="AM862" s="109"/>
      <c r="AN862" s="109"/>
      <c r="AO862" s="109"/>
      <c r="AP862" s="109"/>
      <c r="AQ862" s="109"/>
      <c r="AR862" s="109"/>
      <c r="AS862" s="109"/>
      <c r="AT862" s="108"/>
      <c r="AU862" s="108"/>
      <c r="AV862" s="108"/>
      <c r="AW862" s="108"/>
      <c r="AX862" s="108"/>
      <c r="AY862" s="108"/>
      <c r="AZ862" s="108"/>
      <c r="BA862" s="108"/>
      <c r="BB862" s="108"/>
      <c r="BC862" s="108"/>
      <c r="BD862" s="108"/>
      <c r="BE862" s="108"/>
      <c r="BF862" s="108"/>
      <c r="BG862" s="108"/>
      <c r="BH862" s="108"/>
      <c r="BI862" s="108"/>
      <c r="BJ862" s="108"/>
      <c r="BK862" s="108"/>
      <c r="BL862" s="108"/>
      <c r="BM862" s="108"/>
      <c r="BN862" s="108"/>
      <c r="BO862" s="108"/>
      <c r="BP862" s="108"/>
      <c r="BQ862" s="108"/>
      <c r="BR862" s="108"/>
      <c r="BS862" s="108"/>
      <c r="BT862" s="108"/>
      <c r="BU862" s="108"/>
      <c r="BV862" s="108"/>
      <c r="BW862" s="108"/>
      <c r="BX862" s="108"/>
      <c r="BY862" s="108"/>
    </row>
    <row r="863" spans="1:77">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c r="AA863" s="109"/>
      <c r="AB863" s="109"/>
      <c r="AC863" s="109"/>
      <c r="AD863" s="109"/>
      <c r="AE863" s="109"/>
      <c r="AF863" s="109"/>
      <c r="AG863" s="109"/>
      <c r="AH863" s="109"/>
      <c r="AI863" s="109"/>
      <c r="AJ863" s="109"/>
      <c r="AK863" s="109"/>
      <c r="AL863" s="109"/>
      <c r="AM863" s="109"/>
      <c r="AN863" s="109"/>
      <c r="AO863" s="109"/>
      <c r="AP863" s="109"/>
      <c r="AQ863" s="109"/>
      <c r="AR863" s="109"/>
      <c r="AS863" s="109"/>
      <c r="AT863" s="108"/>
      <c r="AU863" s="108"/>
      <c r="AV863" s="108"/>
      <c r="AW863" s="108"/>
      <c r="AX863" s="108"/>
      <c r="AY863" s="108"/>
      <c r="AZ863" s="108"/>
      <c r="BA863" s="108"/>
      <c r="BB863" s="108"/>
      <c r="BC863" s="108"/>
      <c r="BD863" s="108"/>
      <c r="BE863" s="108"/>
      <c r="BF863" s="108"/>
      <c r="BG863" s="108"/>
      <c r="BH863" s="108"/>
      <c r="BI863" s="108"/>
      <c r="BJ863" s="108"/>
      <c r="BK863" s="108"/>
      <c r="BL863" s="108"/>
      <c r="BM863" s="108"/>
      <c r="BN863" s="108"/>
      <c r="BO863" s="108"/>
      <c r="BP863" s="108"/>
      <c r="BQ863" s="108"/>
      <c r="BR863" s="108"/>
      <c r="BS863" s="108"/>
      <c r="BT863" s="108"/>
      <c r="BU863" s="108"/>
      <c r="BV863" s="108"/>
      <c r="BW863" s="108"/>
      <c r="BX863" s="108"/>
      <c r="BY863" s="108"/>
    </row>
    <row r="864" spans="1:77">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c r="AA864" s="109"/>
      <c r="AB864" s="109"/>
      <c r="AC864" s="109"/>
      <c r="AD864" s="109"/>
      <c r="AE864" s="109"/>
      <c r="AF864" s="109"/>
      <c r="AG864" s="109"/>
      <c r="AH864" s="109"/>
      <c r="AI864" s="109"/>
      <c r="AJ864" s="109"/>
      <c r="AK864" s="109"/>
      <c r="AL864" s="109"/>
      <c r="AM864" s="109"/>
      <c r="AN864" s="109"/>
      <c r="AO864" s="109"/>
      <c r="AP864" s="109"/>
      <c r="AQ864" s="109"/>
      <c r="AR864" s="109"/>
      <c r="AS864" s="109"/>
      <c r="AT864" s="108"/>
      <c r="AU864" s="108"/>
      <c r="AV864" s="108"/>
      <c r="AW864" s="108"/>
      <c r="AX864" s="108"/>
      <c r="AY864" s="108"/>
      <c r="AZ864" s="108"/>
      <c r="BA864" s="108"/>
      <c r="BB864" s="108"/>
      <c r="BC864" s="108"/>
      <c r="BD864" s="108"/>
      <c r="BE864" s="108"/>
      <c r="BF864" s="108"/>
      <c r="BG864" s="108"/>
      <c r="BH864" s="108"/>
      <c r="BI864" s="108"/>
      <c r="BJ864" s="108"/>
      <c r="BK864" s="108"/>
      <c r="BL864" s="108"/>
      <c r="BM864" s="108"/>
      <c r="BN864" s="108"/>
      <c r="BO864" s="108"/>
      <c r="BP864" s="108"/>
      <c r="BQ864" s="108"/>
      <c r="BR864" s="108"/>
      <c r="BS864" s="108"/>
      <c r="BT864" s="108"/>
      <c r="BU864" s="108"/>
      <c r="BV864" s="108"/>
      <c r="BW864" s="108"/>
      <c r="BX864" s="108"/>
      <c r="BY864" s="108"/>
    </row>
    <row r="865" spans="1:77">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c r="AB865" s="109"/>
      <c r="AC865" s="109"/>
      <c r="AD865" s="109"/>
      <c r="AE865" s="109"/>
      <c r="AF865" s="109"/>
      <c r="AG865" s="109"/>
      <c r="AH865" s="109"/>
      <c r="AI865" s="109"/>
      <c r="AJ865" s="109"/>
      <c r="AK865" s="109"/>
      <c r="AL865" s="109"/>
      <c r="AM865" s="109"/>
      <c r="AN865" s="109"/>
      <c r="AO865" s="109"/>
      <c r="AP865" s="109"/>
      <c r="AQ865" s="109"/>
      <c r="AR865" s="109"/>
      <c r="AS865" s="109"/>
      <c r="AT865" s="108"/>
      <c r="AU865" s="108"/>
      <c r="AV865" s="108"/>
      <c r="AW865" s="108"/>
      <c r="AX865" s="108"/>
      <c r="AY865" s="108"/>
      <c r="AZ865" s="108"/>
      <c r="BA865" s="108"/>
      <c r="BB865" s="108"/>
      <c r="BC865" s="108"/>
      <c r="BD865" s="108"/>
      <c r="BE865" s="108"/>
      <c r="BF865" s="108"/>
      <c r="BG865" s="108"/>
      <c r="BH865" s="108"/>
      <c r="BI865" s="108"/>
      <c r="BJ865" s="108"/>
      <c r="BK865" s="108"/>
      <c r="BL865" s="108"/>
      <c r="BM865" s="108"/>
      <c r="BN865" s="108"/>
      <c r="BO865" s="108"/>
      <c r="BP865" s="108"/>
      <c r="BQ865" s="108"/>
      <c r="BR865" s="108"/>
      <c r="BS865" s="108"/>
      <c r="BT865" s="108"/>
      <c r="BU865" s="108"/>
      <c r="BV865" s="108"/>
      <c r="BW865" s="108"/>
      <c r="BX865" s="108"/>
      <c r="BY865" s="108"/>
    </row>
    <row r="866" spans="1:77">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c r="AA866" s="109"/>
      <c r="AB866" s="109"/>
      <c r="AC866" s="109"/>
      <c r="AD866" s="109"/>
      <c r="AE866" s="109"/>
      <c r="AF866" s="109"/>
      <c r="AG866" s="109"/>
      <c r="AH866" s="109"/>
      <c r="AI866" s="109"/>
      <c r="AJ866" s="109"/>
      <c r="AK866" s="109"/>
      <c r="AL866" s="109"/>
      <c r="AM866" s="109"/>
      <c r="AN866" s="109"/>
      <c r="AO866" s="109"/>
      <c r="AP866" s="109"/>
      <c r="AQ866" s="109"/>
      <c r="AR866" s="109"/>
      <c r="AS866" s="109"/>
      <c r="AT866" s="108"/>
      <c r="AU866" s="108"/>
      <c r="AV866" s="108"/>
      <c r="AW866" s="108"/>
      <c r="AX866" s="108"/>
      <c r="AY866" s="108"/>
      <c r="AZ866" s="108"/>
      <c r="BA866" s="108"/>
      <c r="BB866" s="108"/>
      <c r="BC866" s="108"/>
      <c r="BD866" s="108"/>
      <c r="BE866" s="108"/>
      <c r="BF866" s="108"/>
      <c r="BG866" s="108"/>
      <c r="BH866" s="108"/>
      <c r="BI866" s="108"/>
      <c r="BJ866" s="108"/>
      <c r="BK866" s="108"/>
      <c r="BL866" s="108"/>
      <c r="BM866" s="108"/>
      <c r="BN866" s="108"/>
      <c r="BO866" s="108"/>
      <c r="BP866" s="108"/>
      <c r="BQ866" s="108"/>
      <c r="BR866" s="108"/>
      <c r="BS866" s="108"/>
      <c r="BT866" s="108"/>
      <c r="BU866" s="108"/>
      <c r="BV866" s="108"/>
      <c r="BW866" s="108"/>
      <c r="BX866" s="108"/>
      <c r="BY866" s="108"/>
    </row>
    <row r="867" spans="1:77">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c r="AA867" s="109"/>
      <c r="AB867" s="109"/>
      <c r="AC867" s="109"/>
      <c r="AD867" s="109"/>
      <c r="AE867" s="109"/>
      <c r="AF867" s="109"/>
      <c r="AG867" s="109"/>
      <c r="AH867" s="109"/>
      <c r="AI867" s="109"/>
      <c r="AJ867" s="109"/>
      <c r="AK867" s="109"/>
      <c r="AL867" s="109"/>
      <c r="AM867" s="109"/>
      <c r="AN867" s="109"/>
      <c r="AO867" s="109"/>
      <c r="AP867" s="109"/>
      <c r="AQ867" s="109"/>
      <c r="AR867" s="109"/>
      <c r="AS867" s="109"/>
      <c r="AT867" s="108"/>
      <c r="AU867" s="108"/>
      <c r="AV867" s="108"/>
      <c r="AW867" s="108"/>
      <c r="AX867" s="108"/>
      <c r="AY867" s="108"/>
      <c r="AZ867" s="108"/>
      <c r="BA867" s="108"/>
      <c r="BB867" s="108"/>
      <c r="BC867" s="108"/>
      <c r="BD867" s="108"/>
      <c r="BE867" s="108"/>
      <c r="BF867" s="108"/>
      <c r="BG867" s="108"/>
      <c r="BH867" s="108"/>
      <c r="BI867" s="108"/>
      <c r="BJ867" s="108"/>
      <c r="BK867" s="108"/>
      <c r="BL867" s="108"/>
      <c r="BM867" s="108"/>
      <c r="BN867" s="108"/>
      <c r="BO867" s="108"/>
      <c r="BP867" s="108"/>
      <c r="BQ867" s="108"/>
      <c r="BR867" s="108"/>
      <c r="BS867" s="108"/>
      <c r="BT867" s="108"/>
      <c r="BU867" s="108"/>
      <c r="BV867" s="108"/>
      <c r="BW867" s="108"/>
      <c r="BX867" s="108"/>
      <c r="BY867" s="108"/>
    </row>
    <row r="868" spans="1:77">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c r="AA868" s="109"/>
      <c r="AB868" s="109"/>
      <c r="AC868" s="109"/>
      <c r="AD868" s="109"/>
      <c r="AE868" s="109"/>
      <c r="AF868" s="109"/>
      <c r="AG868" s="109"/>
      <c r="AH868" s="109"/>
      <c r="AI868" s="109"/>
      <c r="AJ868" s="109"/>
      <c r="AK868" s="109"/>
      <c r="AL868" s="109"/>
      <c r="AM868" s="109"/>
      <c r="AN868" s="109"/>
      <c r="AO868" s="109"/>
      <c r="AP868" s="109"/>
      <c r="AQ868" s="109"/>
      <c r="AR868" s="109"/>
      <c r="AS868" s="109"/>
      <c r="AT868" s="108"/>
      <c r="AU868" s="108"/>
      <c r="AV868" s="108"/>
      <c r="AW868" s="108"/>
      <c r="AX868" s="108"/>
      <c r="AY868" s="108"/>
      <c r="AZ868" s="108"/>
      <c r="BA868" s="108"/>
      <c r="BB868" s="108"/>
      <c r="BC868" s="108"/>
      <c r="BD868" s="108"/>
      <c r="BE868" s="108"/>
      <c r="BF868" s="108"/>
      <c r="BG868" s="108"/>
      <c r="BH868" s="108"/>
      <c r="BI868" s="108"/>
      <c r="BJ868" s="108"/>
      <c r="BK868" s="108"/>
      <c r="BL868" s="108"/>
      <c r="BM868" s="108"/>
      <c r="BN868" s="108"/>
      <c r="BO868" s="108"/>
      <c r="BP868" s="108"/>
      <c r="BQ868" s="108"/>
      <c r="BR868" s="108"/>
      <c r="BS868" s="108"/>
      <c r="BT868" s="108"/>
      <c r="BU868" s="108"/>
      <c r="BV868" s="108"/>
      <c r="BW868" s="108"/>
      <c r="BX868" s="108"/>
      <c r="BY868" s="108"/>
    </row>
    <row r="869" spans="1:77">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c r="AB869" s="109"/>
      <c r="AC869" s="109"/>
      <c r="AD869" s="109"/>
      <c r="AE869" s="109"/>
      <c r="AF869" s="109"/>
      <c r="AG869" s="109"/>
      <c r="AH869" s="109"/>
      <c r="AI869" s="109"/>
      <c r="AJ869" s="109"/>
      <c r="AK869" s="109"/>
      <c r="AL869" s="109"/>
      <c r="AM869" s="109"/>
      <c r="AN869" s="109"/>
      <c r="AO869" s="109"/>
      <c r="AP869" s="109"/>
      <c r="AQ869" s="109"/>
      <c r="AR869" s="109"/>
      <c r="AS869" s="109"/>
      <c r="AT869" s="108"/>
      <c r="AU869" s="108"/>
      <c r="AV869" s="108"/>
      <c r="AW869" s="108"/>
      <c r="AX869" s="108"/>
      <c r="AY869" s="108"/>
      <c r="AZ869" s="108"/>
      <c r="BA869" s="108"/>
      <c r="BB869" s="108"/>
      <c r="BC869" s="108"/>
      <c r="BD869" s="108"/>
      <c r="BE869" s="108"/>
      <c r="BF869" s="108"/>
      <c r="BG869" s="108"/>
      <c r="BH869" s="108"/>
      <c r="BI869" s="108"/>
      <c r="BJ869" s="108"/>
      <c r="BK869" s="108"/>
      <c r="BL869" s="108"/>
      <c r="BM869" s="108"/>
      <c r="BN869" s="108"/>
      <c r="BO869" s="108"/>
      <c r="BP869" s="108"/>
      <c r="BQ869" s="108"/>
      <c r="BR869" s="108"/>
      <c r="BS869" s="108"/>
      <c r="BT869" s="108"/>
      <c r="BU869" s="108"/>
      <c r="BV869" s="108"/>
      <c r="BW869" s="108"/>
      <c r="BX869" s="108"/>
      <c r="BY869" s="108"/>
    </row>
    <row r="870" spans="1:77">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c r="AB870" s="109"/>
      <c r="AC870" s="109"/>
      <c r="AD870" s="109"/>
      <c r="AE870" s="109"/>
      <c r="AF870" s="109"/>
      <c r="AG870" s="109"/>
      <c r="AH870" s="109"/>
      <c r="AI870" s="109"/>
      <c r="AJ870" s="109"/>
      <c r="AK870" s="109"/>
      <c r="AL870" s="109"/>
      <c r="AM870" s="109"/>
      <c r="AN870" s="109"/>
      <c r="AO870" s="109"/>
      <c r="AP870" s="109"/>
      <c r="AQ870" s="109"/>
      <c r="AR870" s="109"/>
      <c r="AS870" s="109"/>
      <c r="AT870" s="108"/>
      <c r="AU870" s="108"/>
      <c r="AV870" s="108"/>
      <c r="AW870" s="108"/>
      <c r="AX870" s="108"/>
      <c r="AY870" s="108"/>
      <c r="AZ870" s="108"/>
      <c r="BA870" s="108"/>
      <c r="BB870" s="108"/>
      <c r="BC870" s="108"/>
      <c r="BD870" s="108"/>
      <c r="BE870" s="108"/>
      <c r="BF870" s="108"/>
      <c r="BG870" s="108"/>
      <c r="BH870" s="108"/>
      <c r="BI870" s="108"/>
      <c r="BJ870" s="108"/>
      <c r="BK870" s="108"/>
      <c r="BL870" s="108"/>
      <c r="BM870" s="108"/>
      <c r="BN870" s="108"/>
      <c r="BO870" s="108"/>
      <c r="BP870" s="108"/>
      <c r="BQ870" s="108"/>
      <c r="BR870" s="108"/>
      <c r="BS870" s="108"/>
      <c r="BT870" s="108"/>
      <c r="BU870" s="108"/>
      <c r="BV870" s="108"/>
      <c r="BW870" s="108"/>
      <c r="BX870" s="108"/>
      <c r="BY870" s="108"/>
    </row>
    <row r="871" spans="1:77">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c r="AA871" s="109"/>
      <c r="AB871" s="109"/>
      <c r="AC871" s="109"/>
      <c r="AD871" s="109"/>
      <c r="AE871" s="109"/>
      <c r="AF871" s="109"/>
      <c r="AG871" s="109"/>
      <c r="AH871" s="109"/>
      <c r="AI871" s="109"/>
      <c r="AJ871" s="109"/>
      <c r="AK871" s="109"/>
      <c r="AL871" s="109"/>
      <c r="AM871" s="109"/>
      <c r="AN871" s="109"/>
      <c r="AO871" s="109"/>
      <c r="AP871" s="109"/>
      <c r="AQ871" s="109"/>
      <c r="AR871" s="109"/>
      <c r="AS871" s="109"/>
      <c r="AT871" s="108"/>
      <c r="AU871" s="108"/>
      <c r="AV871" s="108"/>
      <c r="AW871" s="108"/>
      <c r="AX871" s="108"/>
      <c r="AY871" s="108"/>
      <c r="AZ871" s="108"/>
      <c r="BA871" s="108"/>
      <c r="BB871" s="108"/>
      <c r="BC871" s="108"/>
      <c r="BD871" s="108"/>
      <c r="BE871" s="108"/>
      <c r="BF871" s="108"/>
      <c r="BG871" s="108"/>
      <c r="BH871" s="108"/>
      <c r="BI871" s="108"/>
      <c r="BJ871" s="108"/>
      <c r="BK871" s="108"/>
      <c r="BL871" s="108"/>
      <c r="BM871" s="108"/>
      <c r="BN871" s="108"/>
      <c r="BO871" s="108"/>
      <c r="BP871" s="108"/>
      <c r="BQ871" s="108"/>
      <c r="BR871" s="108"/>
      <c r="BS871" s="108"/>
      <c r="BT871" s="108"/>
      <c r="BU871" s="108"/>
      <c r="BV871" s="108"/>
      <c r="BW871" s="108"/>
      <c r="BX871" s="108"/>
      <c r="BY871" s="108"/>
    </row>
    <row r="872" spans="1:77">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c r="AA872" s="109"/>
      <c r="AB872" s="109"/>
      <c r="AC872" s="109"/>
      <c r="AD872" s="109"/>
      <c r="AE872" s="109"/>
      <c r="AF872" s="109"/>
      <c r="AG872" s="109"/>
      <c r="AH872" s="109"/>
      <c r="AI872" s="109"/>
      <c r="AJ872" s="109"/>
      <c r="AK872" s="109"/>
      <c r="AL872" s="109"/>
      <c r="AM872" s="109"/>
      <c r="AN872" s="109"/>
      <c r="AO872" s="109"/>
      <c r="AP872" s="109"/>
      <c r="AQ872" s="109"/>
      <c r="AR872" s="109"/>
      <c r="AS872" s="109"/>
      <c r="AT872" s="108"/>
      <c r="AU872" s="108"/>
      <c r="AV872" s="108"/>
      <c r="AW872" s="108"/>
      <c r="AX872" s="108"/>
      <c r="AY872" s="108"/>
      <c r="AZ872" s="108"/>
      <c r="BA872" s="108"/>
      <c r="BB872" s="108"/>
      <c r="BC872" s="108"/>
      <c r="BD872" s="108"/>
      <c r="BE872" s="108"/>
      <c r="BF872" s="108"/>
      <c r="BG872" s="108"/>
      <c r="BH872" s="108"/>
      <c r="BI872" s="108"/>
      <c r="BJ872" s="108"/>
      <c r="BK872" s="108"/>
      <c r="BL872" s="108"/>
      <c r="BM872" s="108"/>
      <c r="BN872" s="108"/>
      <c r="BO872" s="108"/>
      <c r="BP872" s="108"/>
      <c r="BQ872" s="108"/>
      <c r="BR872" s="108"/>
      <c r="BS872" s="108"/>
      <c r="BT872" s="108"/>
      <c r="BU872" s="108"/>
      <c r="BV872" s="108"/>
      <c r="BW872" s="108"/>
      <c r="BX872" s="108"/>
      <c r="BY872" s="108"/>
    </row>
    <row r="873" spans="1:77">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c r="AA873" s="109"/>
      <c r="AB873" s="109"/>
      <c r="AC873" s="109"/>
      <c r="AD873" s="109"/>
      <c r="AE873" s="109"/>
      <c r="AF873" s="109"/>
      <c r="AG873" s="109"/>
      <c r="AH873" s="109"/>
      <c r="AI873" s="109"/>
      <c r="AJ873" s="109"/>
      <c r="AK873" s="109"/>
      <c r="AL873" s="109"/>
      <c r="AM873" s="109"/>
      <c r="AN873" s="109"/>
      <c r="AO873" s="109"/>
      <c r="AP873" s="109"/>
      <c r="AQ873" s="109"/>
      <c r="AR873" s="109"/>
      <c r="AS873" s="109"/>
      <c r="AT873" s="108"/>
      <c r="AU873" s="108"/>
      <c r="AV873" s="108"/>
      <c r="AW873" s="108"/>
      <c r="AX873" s="108"/>
      <c r="AY873" s="108"/>
      <c r="AZ873" s="108"/>
      <c r="BA873" s="108"/>
      <c r="BB873" s="108"/>
      <c r="BC873" s="108"/>
      <c r="BD873" s="108"/>
      <c r="BE873" s="108"/>
      <c r="BF873" s="108"/>
      <c r="BG873" s="108"/>
      <c r="BH873" s="108"/>
      <c r="BI873" s="108"/>
      <c r="BJ873" s="108"/>
      <c r="BK873" s="108"/>
      <c r="BL873" s="108"/>
      <c r="BM873" s="108"/>
      <c r="BN873" s="108"/>
      <c r="BO873" s="108"/>
      <c r="BP873" s="108"/>
      <c r="BQ873" s="108"/>
      <c r="BR873" s="108"/>
      <c r="BS873" s="108"/>
      <c r="BT873" s="108"/>
      <c r="BU873" s="108"/>
      <c r="BV873" s="108"/>
      <c r="BW873" s="108"/>
      <c r="BX873" s="108"/>
      <c r="BY873" s="108"/>
    </row>
    <row r="874" spans="1:77">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c r="AA874" s="109"/>
      <c r="AB874" s="109"/>
      <c r="AC874" s="109"/>
      <c r="AD874" s="109"/>
      <c r="AE874" s="109"/>
      <c r="AF874" s="109"/>
      <c r="AG874" s="109"/>
      <c r="AH874" s="109"/>
      <c r="AI874" s="109"/>
      <c r="AJ874" s="109"/>
      <c r="AK874" s="109"/>
      <c r="AL874" s="109"/>
      <c r="AM874" s="109"/>
      <c r="AN874" s="109"/>
      <c r="AO874" s="109"/>
      <c r="AP874" s="109"/>
      <c r="AQ874" s="109"/>
      <c r="AR874" s="109"/>
      <c r="AS874" s="109"/>
      <c r="AT874" s="108"/>
      <c r="AU874" s="108"/>
      <c r="AV874" s="108"/>
      <c r="AW874" s="108"/>
      <c r="AX874" s="108"/>
      <c r="AY874" s="108"/>
      <c r="AZ874" s="108"/>
      <c r="BA874" s="108"/>
      <c r="BB874" s="108"/>
      <c r="BC874" s="108"/>
      <c r="BD874" s="108"/>
      <c r="BE874" s="108"/>
      <c r="BF874" s="108"/>
      <c r="BG874" s="108"/>
      <c r="BH874" s="108"/>
      <c r="BI874" s="108"/>
      <c r="BJ874" s="108"/>
      <c r="BK874" s="108"/>
      <c r="BL874" s="108"/>
      <c r="BM874" s="108"/>
      <c r="BN874" s="108"/>
      <c r="BO874" s="108"/>
      <c r="BP874" s="108"/>
      <c r="BQ874" s="108"/>
      <c r="BR874" s="108"/>
      <c r="BS874" s="108"/>
      <c r="BT874" s="108"/>
      <c r="BU874" s="108"/>
      <c r="BV874" s="108"/>
      <c r="BW874" s="108"/>
      <c r="BX874" s="108"/>
      <c r="BY874" s="108"/>
    </row>
    <row r="875" spans="1:77">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c r="AA875" s="109"/>
      <c r="AB875" s="109"/>
      <c r="AC875" s="109"/>
      <c r="AD875" s="109"/>
      <c r="AE875" s="109"/>
      <c r="AF875" s="109"/>
      <c r="AG875" s="109"/>
      <c r="AH875" s="109"/>
      <c r="AI875" s="109"/>
      <c r="AJ875" s="109"/>
      <c r="AK875" s="109"/>
      <c r="AL875" s="109"/>
      <c r="AM875" s="109"/>
      <c r="AN875" s="109"/>
      <c r="AO875" s="109"/>
      <c r="AP875" s="109"/>
      <c r="AQ875" s="109"/>
      <c r="AR875" s="109"/>
      <c r="AS875" s="109"/>
      <c r="AT875" s="108"/>
      <c r="AU875" s="108"/>
      <c r="AV875" s="108"/>
      <c r="AW875" s="108"/>
      <c r="AX875" s="108"/>
      <c r="AY875" s="108"/>
      <c r="AZ875" s="108"/>
      <c r="BA875" s="108"/>
      <c r="BB875" s="108"/>
      <c r="BC875" s="108"/>
      <c r="BD875" s="108"/>
      <c r="BE875" s="108"/>
      <c r="BF875" s="108"/>
      <c r="BG875" s="108"/>
      <c r="BH875" s="108"/>
      <c r="BI875" s="108"/>
      <c r="BJ875" s="108"/>
      <c r="BK875" s="108"/>
      <c r="BL875" s="108"/>
      <c r="BM875" s="108"/>
      <c r="BN875" s="108"/>
      <c r="BO875" s="108"/>
      <c r="BP875" s="108"/>
      <c r="BQ875" s="108"/>
      <c r="BR875" s="108"/>
      <c r="BS875" s="108"/>
      <c r="BT875" s="108"/>
      <c r="BU875" s="108"/>
      <c r="BV875" s="108"/>
      <c r="BW875" s="108"/>
      <c r="BX875" s="108"/>
      <c r="BY875" s="108"/>
    </row>
    <row r="876" spans="1:77">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c r="AA876" s="109"/>
      <c r="AB876" s="109"/>
      <c r="AC876" s="109"/>
      <c r="AD876" s="109"/>
      <c r="AE876" s="109"/>
      <c r="AF876" s="109"/>
      <c r="AG876" s="109"/>
      <c r="AH876" s="109"/>
      <c r="AI876" s="109"/>
      <c r="AJ876" s="109"/>
      <c r="AK876" s="109"/>
      <c r="AL876" s="109"/>
      <c r="AM876" s="109"/>
      <c r="AN876" s="109"/>
      <c r="AO876" s="109"/>
      <c r="AP876" s="109"/>
      <c r="AQ876" s="109"/>
      <c r="AR876" s="109"/>
      <c r="AS876" s="109"/>
      <c r="AT876" s="108"/>
      <c r="AU876" s="108"/>
      <c r="AV876" s="108"/>
      <c r="AW876" s="108"/>
      <c r="AX876" s="108"/>
      <c r="AY876" s="108"/>
      <c r="AZ876" s="108"/>
      <c r="BA876" s="108"/>
      <c r="BB876" s="108"/>
      <c r="BC876" s="108"/>
      <c r="BD876" s="108"/>
      <c r="BE876" s="108"/>
      <c r="BF876" s="108"/>
      <c r="BG876" s="108"/>
      <c r="BH876" s="108"/>
      <c r="BI876" s="108"/>
      <c r="BJ876" s="108"/>
      <c r="BK876" s="108"/>
      <c r="BL876" s="108"/>
      <c r="BM876" s="108"/>
      <c r="BN876" s="108"/>
      <c r="BO876" s="108"/>
      <c r="BP876" s="108"/>
      <c r="BQ876" s="108"/>
      <c r="BR876" s="108"/>
      <c r="BS876" s="108"/>
      <c r="BT876" s="108"/>
      <c r="BU876" s="108"/>
      <c r="BV876" s="108"/>
      <c r="BW876" s="108"/>
      <c r="BX876" s="108"/>
      <c r="BY876" s="108"/>
    </row>
    <row r="877" spans="1:77">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c r="AA877" s="109"/>
      <c r="AB877" s="109"/>
      <c r="AC877" s="109"/>
      <c r="AD877" s="109"/>
      <c r="AE877" s="109"/>
      <c r="AF877" s="109"/>
      <c r="AG877" s="109"/>
      <c r="AH877" s="109"/>
      <c r="AI877" s="109"/>
      <c r="AJ877" s="109"/>
      <c r="AK877" s="109"/>
      <c r="AL877" s="109"/>
      <c r="AM877" s="109"/>
      <c r="AN877" s="109"/>
      <c r="AO877" s="109"/>
      <c r="AP877" s="109"/>
      <c r="AQ877" s="109"/>
      <c r="AR877" s="109"/>
      <c r="AS877" s="109"/>
      <c r="AT877" s="108"/>
      <c r="AU877" s="108"/>
      <c r="AV877" s="108"/>
      <c r="AW877" s="108"/>
      <c r="AX877" s="108"/>
      <c r="AY877" s="108"/>
      <c r="AZ877" s="108"/>
      <c r="BA877" s="108"/>
      <c r="BB877" s="108"/>
      <c r="BC877" s="108"/>
      <c r="BD877" s="108"/>
      <c r="BE877" s="108"/>
      <c r="BF877" s="108"/>
      <c r="BG877" s="108"/>
      <c r="BH877" s="108"/>
      <c r="BI877" s="108"/>
      <c r="BJ877" s="108"/>
      <c r="BK877" s="108"/>
      <c r="BL877" s="108"/>
      <c r="BM877" s="108"/>
      <c r="BN877" s="108"/>
      <c r="BO877" s="108"/>
      <c r="BP877" s="108"/>
      <c r="BQ877" s="108"/>
      <c r="BR877" s="108"/>
      <c r="BS877" s="108"/>
      <c r="BT877" s="108"/>
      <c r="BU877" s="108"/>
      <c r="BV877" s="108"/>
      <c r="BW877" s="108"/>
      <c r="BX877" s="108"/>
      <c r="BY877" s="108"/>
    </row>
    <row r="878" spans="1:77">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c r="AA878" s="109"/>
      <c r="AB878" s="109"/>
      <c r="AC878" s="109"/>
      <c r="AD878" s="109"/>
      <c r="AE878" s="109"/>
      <c r="AF878" s="109"/>
      <c r="AG878" s="109"/>
      <c r="AH878" s="109"/>
      <c r="AI878" s="109"/>
      <c r="AJ878" s="109"/>
      <c r="AK878" s="109"/>
      <c r="AL878" s="109"/>
      <c r="AM878" s="109"/>
      <c r="AN878" s="109"/>
      <c r="AO878" s="109"/>
      <c r="AP878" s="109"/>
      <c r="AQ878" s="109"/>
      <c r="AR878" s="109"/>
      <c r="AS878" s="109"/>
      <c r="AT878" s="108"/>
      <c r="AU878" s="108"/>
      <c r="AV878" s="108"/>
      <c r="AW878" s="108"/>
      <c r="AX878" s="108"/>
      <c r="AY878" s="108"/>
      <c r="AZ878" s="108"/>
      <c r="BA878" s="108"/>
      <c r="BB878" s="108"/>
      <c r="BC878" s="108"/>
      <c r="BD878" s="108"/>
      <c r="BE878" s="108"/>
      <c r="BF878" s="108"/>
      <c r="BG878" s="108"/>
      <c r="BH878" s="108"/>
      <c r="BI878" s="108"/>
      <c r="BJ878" s="108"/>
      <c r="BK878" s="108"/>
      <c r="BL878" s="108"/>
      <c r="BM878" s="108"/>
      <c r="BN878" s="108"/>
      <c r="BO878" s="108"/>
      <c r="BP878" s="108"/>
      <c r="BQ878" s="108"/>
      <c r="BR878" s="108"/>
      <c r="BS878" s="108"/>
      <c r="BT878" s="108"/>
      <c r="BU878" s="108"/>
      <c r="BV878" s="108"/>
      <c r="BW878" s="108"/>
      <c r="BX878" s="108"/>
      <c r="BY878" s="108"/>
    </row>
    <row r="879" spans="1:77">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c r="AA879" s="109"/>
      <c r="AB879" s="109"/>
      <c r="AC879" s="109"/>
      <c r="AD879" s="109"/>
      <c r="AE879" s="109"/>
      <c r="AF879" s="109"/>
      <c r="AG879" s="109"/>
      <c r="AH879" s="109"/>
      <c r="AI879" s="109"/>
      <c r="AJ879" s="109"/>
      <c r="AK879" s="109"/>
      <c r="AL879" s="109"/>
      <c r="AM879" s="109"/>
      <c r="AN879" s="109"/>
      <c r="AO879" s="109"/>
      <c r="AP879" s="109"/>
      <c r="AQ879" s="109"/>
      <c r="AR879" s="109"/>
      <c r="AS879" s="109"/>
      <c r="AT879" s="108"/>
      <c r="AU879" s="108"/>
      <c r="AV879" s="108"/>
      <c r="AW879" s="108"/>
      <c r="AX879" s="108"/>
      <c r="AY879" s="108"/>
      <c r="AZ879" s="108"/>
      <c r="BA879" s="108"/>
      <c r="BB879" s="108"/>
      <c r="BC879" s="108"/>
      <c r="BD879" s="108"/>
      <c r="BE879" s="108"/>
      <c r="BF879" s="108"/>
      <c r="BG879" s="108"/>
      <c r="BH879" s="108"/>
      <c r="BI879" s="108"/>
      <c r="BJ879" s="108"/>
      <c r="BK879" s="108"/>
      <c r="BL879" s="108"/>
      <c r="BM879" s="108"/>
      <c r="BN879" s="108"/>
      <c r="BO879" s="108"/>
      <c r="BP879" s="108"/>
      <c r="BQ879" s="108"/>
      <c r="BR879" s="108"/>
      <c r="BS879" s="108"/>
      <c r="BT879" s="108"/>
      <c r="BU879" s="108"/>
      <c r="BV879" s="108"/>
      <c r="BW879" s="108"/>
      <c r="BX879" s="108"/>
      <c r="BY879" s="108"/>
    </row>
    <row r="880" spans="1:77">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c r="AA880" s="109"/>
      <c r="AB880" s="109"/>
      <c r="AC880" s="109"/>
      <c r="AD880" s="109"/>
      <c r="AE880" s="109"/>
      <c r="AF880" s="109"/>
      <c r="AG880" s="109"/>
      <c r="AH880" s="109"/>
      <c r="AI880" s="109"/>
      <c r="AJ880" s="109"/>
      <c r="AK880" s="109"/>
      <c r="AL880" s="109"/>
      <c r="AM880" s="109"/>
      <c r="AN880" s="109"/>
      <c r="AO880" s="109"/>
      <c r="AP880" s="109"/>
      <c r="AQ880" s="109"/>
      <c r="AR880" s="109"/>
      <c r="AS880" s="109"/>
      <c r="AT880" s="108"/>
      <c r="AU880" s="108"/>
      <c r="AV880" s="108"/>
      <c r="AW880" s="108"/>
      <c r="AX880" s="108"/>
      <c r="AY880" s="108"/>
      <c r="AZ880" s="108"/>
      <c r="BA880" s="108"/>
      <c r="BB880" s="108"/>
      <c r="BC880" s="108"/>
      <c r="BD880" s="108"/>
      <c r="BE880" s="108"/>
      <c r="BF880" s="108"/>
      <c r="BG880" s="108"/>
      <c r="BH880" s="108"/>
      <c r="BI880" s="108"/>
      <c r="BJ880" s="108"/>
      <c r="BK880" s="108"/>
      <c r="BL880" s="108"/>
      <c r="BM880" s="108"/>
      <c r="BN880" s="108"/>
      <c r="BO880" s="108"/>
      <c r="BP880" s="108"/>
      <c r="BQ880" s="108"/>
      <c r="BR880" s="108"/>
      <c r="BS880" s="108"/>
      <c r="BT880" s="108"/>
      <c r="BU880" s="108"/>
      <c r="BV880" s="108"/>
      <c r="BW880" s="108"/>
      <c r="BX880" s="108"/>
      <c r="BY880" s="108"/>
    </row>
    <row r="881" spans="1:77">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c r="AA881" s="109"/>
      <c r="AB881" s="109"/>
      <c r="AC881" s="109"/>
      <c r="AD881" s="109"/>
      <c r="AE881" s="109"/>
      <c r="AF881" s="109"/>
      <c r="AG881" s="109"/>
      <c r="AH881" s="109"/>
      <c r="AI881" s="109"/>
      <c r="AJ881" s="109"/>
      <c r="AK881" s="109"/>
      <c r="AL881" s="109"/>
      <c r="AM881" s="109"/>
      <c r="AN881" s="109"/>
      <c r="AO881" s="109"/>
      <c r="AP881" s="109"/>
      <c r="AQ881" s="109"/>
      <c r="AR881" s="109"/>
      <c r="AS881" s="109"/>
      <c r="AT881" s="108"/>
      <c r="AU881" s="108"/>
      <c r="AV881" s="108"/>
      <c r="AW881" s="108"/>
      <c r="AX881" s="108"/>
      <c r="AY881" s="108"/>
      <c r="AZ881" s="108"/>
      <c r="BA881" s="108"/>
      <c r="BB881" s="108"/>
      <c r="BC881" s="108"/>
      <c r="BD881" s="108"/>
      <c r="BE881" s="108"/>
      <c r="BF881" s="108"/>
      <c r="BG881" s="108"/>
      <c r="BH881" s="108"/>
      <c r="BI881" s="108"/>
      <c r="BJ881" s="108"/>
      <c r="BK881" s="108"/>
      <c r="BL881" s="108"/>
      <c r="BM881" s="108"/>
      <c r="BN881" s="108"/>
      <c r="BO881" s="108"/>
      <c r="BP881" s="108"/>
      <c r="BQ881" s="108"/>
      <c r="BR881" s="108"/>
      <c r="BS881" s="108"/>
      <c r="BT881" s="108"/>
      <c r="BU881" s="108"/>
      <c r="BV881" s="108"/>
      <c r="BW881" s="108"/>
      <c r="BX881" s="108"/>
      <c r="BY881" s="108"/>
    </row>
    <row r="882" spans="1:77">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c r="AA882" s="109"/>
      <c r="AB882" s="109"/>
      <c r="AC882" s="109"/>
      <c r="AD882" s="109"/>
      <c r="AE882" s="109"/>
      <c r="AF882" s="109"/>
      <c r="AG882" s="109"/>
      <c r="AH882" s="109"/>
      <c r="AI882" s="109"/>
      <c r="AJ882" s="109"/>
      <c r="AK882" s="109"/>
      <c r="AL882" s="109"/>
      <c r="AM882" s="109"/>
      <c r="AN882" s="109"/>
      <c r="AO882" s="109"/>
      <c r="AP882" s="109"/>
      <c r="AQ882" s="109"/>
      <c r="AR882" s="109"/>
      <c r="AS882" s="109"/>
      <c r="AT882" s="108"/>
      <c r="AU882" s="108"/>
      <c r="AV882" s="108"/>
      <c r="AW882" s="108"/>
      <c r="AX882" s="108"/>
      <c r="AY882" s="108"/>
      <c r="AZ882" s="108"/>
      <c r="BA882" s="108"/>
      <c r="BB882" s="108"/>
      <c r="BC882" s="108"/>
      <c r="BD882" s="108"/>
      <c r="BE882" s="108"/>
      <c r="BF882" s="108"/>
      <c r="BG882" s="108"/>
      <c r="BH882" s="108"/>
      <c r="BI882" s="108"/>
      <c r="BJ882" s="108"/>
      <c r="BK882" s="108"/>
      <c r="BL882" s="108"/>
      <c r="BM882" s="108"/>
      <c r="BN882" s="108"/>
      <c r="BO882" s="108"/>
      <c r="BP882" s="108"/>
      <c r="BQ882" s="108"/>
      <c r="BR882" s="108"/>
      <c r="BS882" s="108"/>
      <c r="BT882" s="108"/>
      <c r="BU882" s="108"/>
      <c r="BV882" s="108"/>
      <c r="BW882" s="108"/>
      <c r="BX882" s="108"/>
      <c r="BY882" s="108"/>
    </row>
    <row r="883" spans="1:77">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c r="AE883" s="109"/>
      <c r="AF883" s="109"/>
      <c r="AG883" s="109"/>
      <c r="AH883" s="109"/>
      <c r="AI883" s="109"/>
      <c r="AJ883" s="109"/>
      <c r="AK883" s="109"/>
      <c r="AL883" s="109"/>
      <c r="AM883" s="109"/>
      <c r="AN883" s="109"/>
      <c r="AO883" s="109"/>
      <c r="AP883" s="109"/>
      <c r="AQ883" s="109"/>
      <c r="AR883" s="109"/>
      <c r="AS883" s="109"/>
      <c r="AT883" s="108"/>
      <c r="AU883" s="108"/>
      <c r="AV883" s="108"/>
      <c r="AW883" s="108"/>
      <c r="AX883" s="108"/>
      <c r="AY883" s="108"/>
      <c r="AZ883" s="108"/>
      <c r="BA883" s="108"/>
      <c r="BB883" s="108"/>
      <c r="BC883" s="108"/>
      <c r="BD883" s="108"/>
      <c r="BE883" s="108"/>
      <c r="BF883" s="108"/>
      <c r="BG883" s="108"/>
      <c r="BH883" s="108"/>
      <c r="BI883" s="108"/>
      <c r="BJ883" s="108"/>
      <c r="BK883" s="108"/>
      <c r="BL883" s="108"/>
      <c r="BM883" s="108"/>
      <c r="BN883" s="108"/>
      <c r="BO883" s="108"/>
      <c r="BP883" s="108"/>
      <c r="BQ883" s="108"/>
      <c r="BR883" s="108"/>
      <c r="BS883" s="108"/>
      <c r="BT883" s="108"/>
      <c r="BU883" s="108"/>
      <c r="BV883" s="108"/>
      <c r="BW883" s="108"/>
      <c r="BX883" s="108"/>
      <c r="BY883" s="108"/>
    </row>
    <row r="884" spans="1:77">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c r="AA884" s="109"/>
      <c r="AB884" s="109"/>
      <c r="AC884" s="109"/>
      <c r="AD884" s="109"/>
      <c r="AE884" s="109"/>
      <c r="AF884" s="109"/>
      <c r="AG884" s="109"/>
      <c r="AH884" s="109"/>
      <c r="AI884" s="109"/>
      <c r="AJ884" s="109"/>
      <c r="AK884" s="109"/>
      <c r="AL884" s="109"/>
      <c r="AM884" s="109"/>
      <c r="AN884" s="109"/>
      <c r="AO884" s="109"/>
      <c r="AP884" s="109"/>
      <c r="AQ884" s="109"/>
      <c r="AR884" s="109"/>
      <c r="AS884" s="109"/>
      <c r="AT884" s="108"/>
      <c r="AU884" s="108"/>
      <c r="AV884" s="108"/>
      <c r="AW884" s="108"/>
      <c r="AX884" s="108"/>
      <c r="AY884" s="108"/>
      <c r="AZ884" s="108"/>
      <c r="BA884" s="108"/>
      <c r="BB884" s="108"/>
      <c r="BC884" s="108"/>
      <c r="BD884" s="108"/>
      <c r="BE884" s="108"/>
      <c r="BF884" s="108"/>
      <c r="BG884" s="108"/>
      <c r="BH884" s="108"/>
      <c r="BI884" s="108"/>
      <c r="BJ884" s="108"/>
      <c r="BK884" s="108"/>
      <c r="BL884" s="108"/>
      <c r="BM884" s="108"/>
      <c r="BN884" s="108"/>
      <c r="BO884" s="108"/>
      <c r="BP884" s="108"/>
      <c r="BQ884" s="108"/>
      <c r="BR884" s="108"/>
      <c r="BS884" s="108"/>
      <c r="BT884" s="108"/>
      <c r="BU884" s="108"/>
      <c r="BV884" s="108"/>
      <c r="BW884" s="108"/>
      <c r="BX884" s="108"/>
      <c r="BY884" s="108"/>
    </row>
    <row r="885" spans="1:77">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c r="AA885" s="109"/>
      <c r="AB885" s="109"/>
      <c r="AC885" s="109"/>
      <c r="AD885" s="109"/>
      <c r="AE885" s="109"/>
      <c r="AF885" s="109"/>
      <c r="AG885" s="109"/>
      <c r="AH885" s="109"/>
      <c r="AI885" s="109"/>
      <c r="AJ885" s="109"/>
      <c r="AK885" s="109"/>
      <c r="AL885" s="109"/>
      <c r="AM885" s="109"/>
      <c r="AN885" s="109"/>
      <c r="AO885" s="109"/>
      <c r="AP885" s="109"/>
      <c r="AQ885" s="109"/>
      <c r="AR885" s="109"/>
      <c r="AS885" s="109"/>
      <c r="AT885" s="108"/>
      <c r="AU885" s="108"/>
      <c r="AV885" s="108"/>
      <c r="AW885" s="108"/>
      <c r="AX885" s="108"/>
      <c r="AY885" s="108"/>
      <c r="AZ885" s="108"/>
      <c r="BA885" s="108"/>
      <c r="BB885" s="108"/>
      <c r="BC885" s="108"/>
      <c r="BD885" s="108"/>
      <c r="BE885" s="108"/>
      <c r="BF885" s="108"/>
      <c r="BG885" s="108"/>
      <c r="BH885" s="108"/>
      <c r="BI885" s="108"/>
      <c r="BJ885" s="108"/>
      <c r="BK885" s="108"/>
      <c r="BL885" s="108"/>
      <c r="BM885" s="108"/>
      <c r="BN885" s="108"/>
      <c r="BO885" s="108"/>
      <c r="BP885" s="108"/>
      <c r="BQ885" s="108"/>
      <c r="BR885" s="108"/>
      <c r="BS885" s="108"/>
      <c r="BT885" s="108"/>
      <c r="BU885" s="108"/>
      <c r="BV885" s="108"/>
      <c r="BW885" s="108"/>
      <c r="BX885" s="108"/>
      <c r="BY885" s="108"/>
    </row>
    <row r="886" spans="1:77">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c r="AA886" s="109"/>
      <c r="AB886" s="109"/>
      <c r="AC886" s="109"/>
      <c r="AD886" s="109"/>
      <c r="AE886" s="109"/>
      <c r="AF886" s="109"/>
      <c r="AG886" s="109"/>
      <c r="AH886" s="109"/>
      <c r="AI886" s="109"/>
      <c r="AJ886" s="109"/>
      <c r="AK886" s="109"/>
      <c r="AL886" s="109"/>
      <c r="AM886" s="109"/>
      <c r="AN886" s="109"/>
      <c r="AO886" s="109"/>
      <c r="AP886" s="109"/>
      <c r="AQ886" s="109"/>
      <c r="AR886" s="109"/>
      <c r="AS886" s="109"/>
      <c r="AT886" s="108"/>
      <c r="AU886" s="108"/>
      <c r="AV886" s="108"/>
      <c r="AW886" s="108"/>
      <c r="AX886" s="108"/>
      <c r="AY886" s="108"/>
      <c r="AZ886" s="108"/>
      <c r="BA886" s="108"/>
      <c r="BB886" s="108"/>
      <c r="BC886" s="108"/>
      <c r="BD886" s="108"/>
      <c r="BE886" s="108"/>
      <c r="BF886" s="108"/>
      <c r="BG886" s="108"/>
      <c r="BH886" s="108"/>
      <c r="BI886" s="108"/>
      <c r="BJ886" s="108"/>
      <c r="BK886" s="108"/>
      <c r="BL886" s="108"/>
      <c r="BM886" s="108"/>
      <c r="BN886" s="108"/>
      <c r="BO886" s="108"/>
      <c r="BP886" s="108"/>
      <c r="BQ886" s="108"/>
      <c r="BR886" s="108"/>
      <c r="BS886" s="108"/>
      <c r="BT886" s="108"/>
      <c r="BU886" s="108"/>
      <c r="BV886" s="108"/>
      <c r="BW886" s="108"/>
      <c r="BX886" s="108"/>
      <c r="BY886" s="108"/>
    </row>
    <row r="887" spans="1:77">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09"/>
      <c r="AH887" s="109"/>
      <c r="AI887" s="109"/>
      <c r="AJ887" s="109"/>
      <c r="AK887" s="109"/>
      <c r="AL887" s="109"/>
      <c r="AM887" s="109"/>
      <c r="AN887" s="109"/>
      <c r="AO887" s="109"/>
      <c r="AP887" s="109"/>
      <c r="AQ887" s="109"/>
      <c r="AR887" s="109"/>
      <c r="AS887" s="109"/>
      <c r="AT887" s="108"/>
      <c r="AU887" s="108"/>
      <c r="AV887" s="108"/>
      <c r="AW887" s="108"/>
      <c r="AX887" s="108"/>
      <c r="AY887" s="108"/>
      <c r="AZ887" s="108"/>
      <c r="BA887" s="108"/>
      <c r="BB887" s="108"/>
      <c r="BC887" s="108"/>
      <c r="BD887" s="108"/>
      <c r="BE887" s="108"/>
      <c r="BF887" s="108"/>
      <c r="BG887" s="108"/>
      <c r="BH887" s="108"/>
      <c r="BI887" s="108"/>
      <c r="BJ887" s="108"/>
      <c r="BK887" s="108"/>
      <c r="BL887" s="108"/>
      <c r="BM887" s="108"/>
      <c r="BN887" s="108"/>
      <c r="BO887" s="108"/>
      <c r="BP887" s="108"/>
      <c r="BQ887" s="108"/>
      <c r="BR887" s="108"/>
      <c r="BS887" s="108"/>
      <c r="BT887" s="108"/>
      <c r="BU887" s="108"/>
      <c r="BV887" s="108"/>
      <c r="BW887" s="108"/>
      <c r="BX887" s="108"/>
      <c r="BY887" s="108"/>
    </row>
    <row r="888" spans="1:77">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c r="AA888" s="109"/>
      <c r="AB888" s="109"/>
      <c r="AC888" s="109"/>
      <c r="AD888" s="109"/>
      <c r="AE888" s="109"/>
      <c r="AF888" s="109"/>
      <c r="AG888" s="109"/>
      <c r="AH888" s="109"/>
      <c r="AI888" s="109"/>
      <c r="AJ888" s="109"/>
      <c r="AK888" s="109"/>
      <c r="AL888" s="109"/>
      <c r="AM888" s="109"/>
      <c r="AN888" s="109"/>
      <c r="AO888" s="109"/>
      <c r="AP888" s="109"/>
      <c r="AQ888" s="109"/>
      <c r="AR888" s="109"/>
      <c r="AS888" s="109"/>
      <c r="AT888" s="108"/>
      <c r="AU888" s="108"/>
      <c r="AV888" s="108"/>
      <c r="AW888" s="108"/>
      <c r="AX888" s="108"/>
      <c r="AY888" s="108"/>
      <c r="AZ888" s="108"/>
      <c r="BA888" s="108"/>
      <c r="BB888" s="108"/>
      <c r="BC888" s="108"/>
      <c r="BD888" s="108"/>
      <c r="BE888" s="108"/>
      <c r="BF888" s="108"/>
      <c r="BG888" s="108"/>
      <c r="BH888" s="108"/>
      <c r="BI888" s="108"/>
      <c r="BJ888" s="108"/>
      <c r="BK888" s="108"/>
      <c r="BL888" s="108"/>
      <c r="BM888" s="108"/>
      <c r="BN888" s="108"/>
      <c r="BO888" s="108"/>
      <c r="BP888" s="108"/>
      <c r="BQ888" s="108"/>
      <c r="BR888" s="108"/>
      <c r="BS888" s="108"/>
      <c r="BT888" s="108"/>
      <c r="BU888" s="108"/>
      <c r="BV888" s="108"/>
      <c r="BW888" s="108"/>
      <c r="BX888" s="108"/>
      <c r="BY888" s="108"/>
    </row>
    <row r="889" spans="1:77">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c r="AA889" s="109"/>
      <c r="AB889" s="109"/>
      <c r="AC889" s="109"/>
      <c r="AD889" s="109"/>
      <c r="AE889" s="109"/>
      <c r="AF889" s="109"/>
      <c r="AG889" s="109"/>
      <c r="AH889" s="109"/>
      <c r="AI889" s="109"/>
      <c r="AJ889" s="109"/>
      <c r="AK889" s="109"/>
      <c r="AL889" s="109"/>
      <c r="AM889" s="109"/>
      <c r="AN889" s="109"/>
      <c r="AO889" s="109"/>
      <c r="AP889" s="109"/>
      <c r="AQ889" s="109"/>
      <c r="AR889" s="109"/>
      <c r="AS889" s="109"/>
      <c r="AT889" s="108"/>
      <c r="AU889" s="108"/>
      <c r="AV889" s="108"/>
      <c r="AW889" s="108"/>
      <c r="AX889" s="108"/>
      <c r="AY889" s="108"/>
      <c r="AZ889" s="108"/>
      <c r="BA889" s="108"/>
      <c r="BB889" s="108"/>
      <c r="BC889" s="108"/>
      <c r="BD889" s="108"/>
      <c r="BE889" s="108"/>
      <c r="BF889" s="108"/>
      <c r="BG889" s="108"/>
      <c r="BH889" s="108"/>
      <c r="BI889" s="108"/>
      <c r="BJ889" s="108"/>
      <c r="BK889" s="108"/>
      <c r="BL889" s="108"/>
      <c r="BM889" s="108"/>
      <c r="BN889" s="108"/>
      <c r="BO889" s="108"/>
      <c r="BP889" s="108"/>
      <c r="BQ889" s="108"/>
      <c r="BR889" s="108"/>
      <c r="BS889" s="108"/>
      <c r="BT889" s="108"/>
      <c r="BU889" s="108"/>
      <c r="BV889" s="108"/>
      <c r="BW889" s="108"/>
      <c r="BX889" s="108"/>
      <c r="BY889" s="108"/>
    </row>
    <row r="890" spans="1:77">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c r="AA890" s="109"/>
      <c r="AB890" s="109"/>
      <c r="AC890" s="109"/>
      <c r="AD890" s="109"/>
      <c r="AE890" s="109"/>
      <c r="AF890" s="109"/>
      <c r="AG890" s="109"/>
      <c r="AH890" s="109"/>
      <c r="AI890" s="109"/>
      <c r="AJ890" s="109"/>
      <c r="AK890" s="109"/>
      <c r="AL890" s="109"/>
      <c r="AM890" s="109"/>
      <c r="AN890" s="109"/>
      <c r="AO890" s="109"/>
      <c r="AP890" s="109"/>
      <c r="AQ890" s="109"/>
      <c r="AR890" s="109"/>
      <c r="AS890" s="109"/>
      <c r="AT890" s="108"/>
      <c r="AU890" s="108"/>
      <c r="AV890" s="108"/>
      <c r="AW890" s="108"/>
      <c r="AX890" s="108"/>
      <c r="AY890" s="108"/>
      <c r="AZ890" s="108"/>
      <c r="BA890" s="108"/>
      <c r="BB890" s="108"/>
      <c r="BC890" s="108"/>
      <c r="BD890" s="108"/>
      <c r="BE890" s="108"/>
      <c r="BF890" s="108"/>
      <c r="BG890" s="108"/>
      <c r="BH890" s="108"/>
      <c r="BI890" s="108"/>
      <c r="BJ890" s="108"/>
      <c r="BK890" s="108"/>
      <c r="BL890" s="108"/>
      <c r="BM890" s="108"/>
      <c r="BN890" s="108"/>
      <c r="BO890" s="108"/>
      <c r="BP890" s="108"/>
      <c r="BQ890" s="108"/>
      <c r="BR890" s="108"/>
      <c r="BS890" s="108"/>
      <c r="BT890" s="108"/>
      <c r="BU890" s="108"/>
      <c r="BV890" s="108"/>
      <c r="BW890" s="108"/>
      <c r="BX890" s="108"/>
      <c r="BY890" s="108"/>
    </row>
    <row r="891" spans="1:77">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c r="AA891" s="109"/>
      <c r="AB891" s="109"/>
      <c r="AC891" s="109"/>
      <c r="AD891" s="109"/>
      <c r="AE891" s="109"/>
      <c r="AF891" s="109"/>
      <c r="AG891" s="109"/>
      <c r="AH891" s="109"/>
      <c r="AI891" s="109"/>
      <c r="AJ891" s="109"/>
      <c r="AK891" s="109"/>
      <c r="AL891" s="109"/>
      <c r="AM891" s="109"/>
      <c r="AN891" s="109"/>
      <c r="AO891" s="109"/>
      <c r="AP891" s="109"/>
      <c r="AQ891" s="109"/>
      <c r="AR891" s="109"/>
      <c r="AS891" s="109"/>
      <c r="AT891" s="108"/>
      <c r="AU891" s="108"/>
      <c r="AV891" s="108"/>
      <c r="AW891" s="108"/>
      <c r="AX891" s="108"/>
      <c r="AY891" s="108"/>
      <c r="AZ891" s="108"/>
      <c r="BA891" s="108"/>
      <c r="BB891" s="108"/>
      <c r="BC891" s="108"/>
      <c r="BD891" s="108"/>
      <c r="BE891" s="108"/>
      <c r="BF891" s="108"/>
      <c r="BG891" s="108"/>
      <c r="BH891" s="108"/>
      <c r="BI891" s="108"/>
      <c r="BJ891" s="108"/>
      <c r="BK891" s="108"/>
      <c r="BL891" s="108"/>
      <c r="BM891" s="108"/>
      <c r="BN891" s="108"/>
      <c r="BO891" s="108"/>
      <c r="BP891" s="108"/>
      <c r="BQ891" s="108"/>
      <c r="BR891" s="108"/>
      <c r="BS891" s="108"/>
      <c r="BT891" s="108"/>
      <c r="BU891" s="108"/>
      <c r="BV891" s="108"/>
      <c r="BW891" s="108"/>
      <c r="BX891" s="108"/>
      <c r="BY891" s="108"/>
    </row>
    <row r="892" spans="1:77">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c r="AA892" s="109"/>
      <c r="AB892" s="109"/>
      <c r="AC892" s="109"/>
      <c r="AD892" s="109"/>
      <c r="AE892" s="109"/>
      <c r="AF892" s="109"/>
      <c r="AG892" s="109"/>
      <c r="AH892" s="109"/>
      <c r="AI892" s="109"/>
      <c r="AJ892" s="109"/>
      <c r="AK892" s="109"/>
      <c r="AL892" s="109"/>
      <c r="AM892" s="109"/>
      <c r="AN892" s="109"/>
      <c r="AO892" s="109"/>
      <c r="AP892" s="109"/>
      <c r="AQ892" s="109"/>
      <c r="AR892" s="109"/>
      <c r="AS892" s="109"/>
      <c r="AT892" s="108"/>
      <c r="AU892" s="108"/>
      <c r="AV892" s="108"/>
      <c r="AW892" s="108"/>
      <c r="AX892" s="108"/>
      <c r="AY892" s="108"/>
      <c r="AZ892" s="108"/>
      <c r="BA892" s="108"/>
      <c r="BB892" s="108"/>
      <c r="BC892" s="108"/>
      <c r="BD892" s="108"/>
      <c r="BE892" s="108"/>
      <c r="BF892" s="108"/>
      <c r="BG892" s="108"/>
      <c r="BH892" s="108"/>
      <c r="BI892" s="108"/>
      <c r="BJ892" s="108"/>
      <c r="BK892" s="108"/>
      <c r="BL892" s="108"/>
      <c r="BM892" s="108"/>
      <c r="BN892" s="108"/>
      <c r="BO892" s="108"/>
      <c r="BP892" s="108"/>
      <c r="BQ892" s="108"/>
      <c r="BR892" s="108"/>
      <c r="BS892" s="108"/>
      <c r="BT892" s="108"/>
      <c r="BU892" s="108"/>
      <c r="BV892" s="108"/>
      <c r="BW892" s="108"/>
      <c r="BX892" s="108"/>
      <c r="BY892" s="108"/>
    </row>
    <row r="893" spans="1:77">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c r="AA893" s="109"/>
      <c r="AB893" s="109"/>
      <c r="AC893" s="109"/>
      <c r="AD893" s="109"/>
      <c r="AE893" s="109"/>
      <c r="AF893" s="109"/>
      <c r="AG893" s="109"/>
      <c r="AH893" s="109"/>
      <c r="AI893" s="109"/>
      <c r="AJ893" s="109"/>
      <c r="AK893" s="109"/>
      <c r="AL893" s="109"/>
      <c r="AM893" s="109"/>
      <c r="AN893" s="109"/>
      <c r="AO893" s="109"/>
      <c r="AP893" s="109"/>
      <c r="AQ893" s="109"/>
      <c r="AR893" s="109"/>
      <c r="AS893" s="109"/>
      <c r="AT893" s="108"/>
      <c r="AU893" s="108"/>
      <c r="AV893" s="108"/>
      <c r="AW893" s="108"/>
      <c r="AX893" s="108"/>
      <c r="AY893" s="108"/>
      <c r="AZ893" s="108"/>
      <c r="BA893" s="108"/>
      <c r="BB893" s="108"/>
      <c r="BC893" s="108"/>
      <c r="BD893" s="108"/>
      <c r="BE893" s="108"/>
      <c r="BF893" s="108"/>
      <c r="BG893" s="108"/>
      <c r="BH893" s="108"/>
      <c r="BI893" s="108"/>
      <c r="BJ893" s="108"/>
      <c r="BK893" s="108"/>
      <c r="BL893" s="108"/>
      <c r="BM893" s="108"/>
      <c r="BN893" s="108"/>
      <c r="BO893" s="108"/>
      <c r="BP893" s="108"/>
      <c r="BQ893" s="108"/>
      <c r="BR893" s="108"/>
      <c r="BS893" s="108"/>
      <c r="BT893" s="108"/>
      <c r="BU893" s="108"/>
      <c r="BV893" s="108"/>
      <c r="BW893" s="108"/>
      <c r="BX893" s="108"/>
      <c r="BY893" s="108"/>
    </row>
    <row r="894" spans="1:77">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c r="AA894" s="109"/>
      <c r="AB894" s="109"/>
      <c r="AC894" s="109"/>
      <c r="AD894" s="109"/>
      <c r="AE894" s="109"/>
      <c r="AF894" s="109"/>
      <c r="AG894" s="109"/>
      <c r="AH894" s="109"/>
      <c r="AI894" s="109"/>
      <c r="AJ894" s="109"/>
      <c r="AK894" s="109"/>
      <c r="AL894" s="109"/>
      <c r="AM894" s="109"/>
      <c r="AN894" s="109"/>
      <c r="AO894" s="109"/>
      <c r="AP894" s="109"/>
      <c r="AQ894" s="109"/>
      <c r="AR894" s="109"/>
      <c r="AS894" s="109"/>
      <c r="AT894" s="108"/>
      <c r="AU894" s="108"/>
      <c r="AV894" s="108"/>
      <c r="AW894" s="108"/>
      <c r="AX894" s="108"/>
      <c r="AY894" s="108"/>
      <c r="AZ894" s="108"/>
      <c r="BA894" s="108"/>
      <c r="BB894" s="108"/>
      <c r="BC894" s="108"/>
      <c r="BD894" s="108"/>
      <c r="BE894" s="108"/>
      <c r="BF894" s="108"/>
      <c r="BG894" s="108"/>
      <c r="BH894" s="108"/>
      <c r="BI894" s="108"/>
      <c r="BJ894" s="108"/>
      <c r="BK894" s="108"/>
      <c r="BL894" s="108"/>
      <c r="BM894" s="108"/>
      <c r="BN894" s="108"/>
      <c r="BO894" s="108"/>
      <c r="BP894" s="108"/>
      <c r="BQ894" s="108"/>
      <c r="BR894" s="108"/>
      <c r="BS894" s="108"/>
      <c r="BT894" s="108"/>
      <c r="BU894" s="108"/>
      <c r="BV894" s="108"/>
      <c r="BW894" s="108"/>
      <c r="BX894" s="108"/>
      <c r="BY894" s="108"/>
    </row>
    <row r="895" spans="1:77">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c r="AA895" s="109"/>
      <c r="AB895" s="109"/>
      <c r="AC895" s="109"/>
      <c r="AD895" s="109"/>
      <c r="AE895" s="109"/>
      <c r="AF895" s="109"/>
      <c r="AG895" s="109"/>
      <c r="AH895" s="109"/>
      <c r="AI895" s="109"/>
      <c r="AJ895" s="109"/>
      <c r="AK895" s="109"/>
      <c r="AL895" s="109"/>
      <c r="AM895" s="109"/>
      <c r="AN895" s="109"/>
      <c r="AO895" s="109"/>
      <c r="AP895" s="109"/>
      <c r="AQ895" s="109"/>
      <c r="AR895" s="109"/>
      <c r="AS895" s="109"/>
      <c r="AT895" s="108"/>
      <c r="AU895" s="108"/>
      <c r="AV895" s="108"/>
      <c r="AW895" s="108"/>
      <c r="AX895" s="108"/>
      <c r="AY895" s="108"/>
      <c r="AZ895" s="108"/>
      <c r="BA895" s="108"/>
      <c r="BB895" s="108"/>
      <c r="BC895" s="108"/>
      <c r="BD895" s="108"/>
      <c r="BE895" s="108"/>
      <c r="BF895" s="108"/>
      <c r="BG895" s="108"/>
      <c r="BH895" s="108"/>
      <c r="BI895" s="108"/>
      <c r="BJ895" s="108"/>
      <c r="BK895" s="108"/>
      <c r="BL895" s="108"/>
      <c r="BM895" s="108"/>
      <c r="BN895" s="108"/>
      <c r="BO895" s="108"/>
      <c r="BP895" s="108"/>
      <c r="BQ895" s="108"/>
      <c r="BR895" s="108"/>
      <c r="BS895" s="108"/>
      <c r="BT895" s="108"/>
      <c r="BU895" s="108"/>
      <c r="BV895" s="108"/>
      <c r="BW895" s="108"/>
      <c r="BX895" s="108"/>
      <c r="BY895" s="108"/>
    </row>
    <row r="896" spans="1:77">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c r="AA896" s="109"/>
      <c r="AB896" s="109"/>
      <c r="AC896" s="109"/>
      <c r="AD896" s="109"/>
      <c r="AE896" s="109"/>
      <c r="AF896" s="109"/>
      <c r="AG896" s="109"/>
      <c r="AH896" s="109"/>
      <c r="AI896" s="109"/>
      <c r="AJ896" s="109"/>
      <c r="AK896" s="109"/>
      <c r="AL896" s="109"/>
      <c r="AM896" s="109"/>
      <c r="AN896" s="109"/>
      <c r="AO896" s="109"/>
      <c r="AP896" s="109"/>
      <c r="AQ896" s="109"/>
      <c r="AR896" s="109"/>
      <c r="AS896" s="109"/>
      <c r="AT896" s="108"/>
      <c r="AU896" s="108"/>
      <c r="AV896" s="108"/>
      <c r="AW896" s="108"/>
      <c r="AX896" s="108"/>
      <c r="AY896" s="108"/>
      <c r="AZ896" s="108"/>
      <c r="BA896" s="108"/>
      <c r="BB896" s="108"/>
      <c r="BC896" s="108"/>
      <c r="BD896" s="108"/>
      <c r="BE896" s="108"/>
      <c r="BF896" s="108"/>
      <c r="BG896" s="108"/>
      <c r="BH896" s="108"/>
      <c r="BI896" s="108"/>
      <c r="BJ896" s="108"/>
      <c r="BK896" s="108"/>
      <c r="BL896" s="108"/>
      <c r="BM896" s="108"/>
      <c r="BN896" s="108"/>
      <c r="BO896" s="108"/>
      <c r="BP896" s="108"/>
      <c r="BQ896" s="108"/>
      <c r="BR896" s="108"/>
      <c r="BS896" s="108"/>
      <c r="BT896" s="108"/>
      <c r="BU896" s="108"/>
      <c r="BV896" s="108"/>
      <c r="BW896" s="108"/>
      <c r="BX896" s="108"/>
      <c r="BY896" s="108"/>
    </row>
    <row r="897" spans="1:77">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c r="AA897" s="109"/>
      <c r="AB897" s="109"/>
      <c r="AC897" s="109"/>
      <c r="AD897" s="109"/>
      <c r="AE897" s="109"/>
      <c r="AF897" s="109"/>
      <c r="AG897" s="109"/>
      <c r="AH897" s="109"/>
      <c r="AI897" s="109"/>
      <c r="AJ897" s="109"/>
      <c r="AK897" s="109"/>
      <c r="AL897" s="109"/>
      <c r="AM897" s="109"/>
      <c r="AN897" s="109"/>
      <c r="AO897" s="109"/>
      <c r="AP897" s="109"/>
      <c r="AQ897" s="109"/>
      <c r="AR897" s="109"/>
      <c r="AS897" s="109"/>
      <c r="AT897" s="108"/>
      <c r="AU897" s="108"/>
      <c r="AV897" s="108"/>
      <c r="AW897" s="108"/>
      <c r="AX897" s="108"/>
      <c r="AY897" s="108"/>
      <c r="AZ897" s="108"/>
      <c r="BA897" s="108"/>
      <c r="BB897" s="108"/>
      <c r="BC897" s="108"/>
      <c r="BD897" s="108"/>
      <c r="BE897" s="108"/>
      <c r="BF897" s="108"/>
      <c r="BG897" s="108"/>
      <c r="BH897" s="108"/>
      <c r="BI897" s="108"/>
      <c r="BJ897" s="108"/>
      <c r="BK897" s="108"/>
      <c r="BL897" s="108"/>
      <c r="BM897" s="108"/>
      <c r="BN897" s="108"/>
      <c r="BO897" s="108"/>
      <c r="BP897" s="108"/>
      <c r="BQ897" s="108"/>
      <c r="BR897" s="108"/>
      <c r="BS897" s="108"/>
      <c r="BT897" s="108"/>
      <c r="BU897" s="108"/>
      <c r="BV897" s="108"/>
      <c r="BW897" s="108"/>
      <c r="BX897" s="108"/>
      <c r="BY897" s="108"/>
    </row>
    <row r="898" spans="1:77">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c r="AA898" s="109"/>
      <c r="AB898" s="109"/>
      <c r="AC898" s="109"/>
      <c r="AD898" s="109"/>
      <c r="AE898" s="109"/>
      <c r="AF898" s="109"/>
      <c r="AG898" s="109"/>
      <c r="AH898" s="109"/>
      <c r="AI898" s="109"/>
      <c r="AJ898" s="109"/>
      <c r="AK898" s="109"/>
      <c r="AL898" s="109"/>
      <c r="AM898" s="109"/>
      <c r="AN898" s="109"/>
      <c r="AO898" s="109"/>
      <c r="AP898" s="109"/>
      <c r="AQ898" s="109"/>
      <c r="AR898" s="109"/>
      <c r="AS898" s="109"/>
      <c r="AT898" s="108"/>
      <c r="AU898" s="108"/>
      <c r="AV898" s="108"/>
      <c r="AW898" s="108"/>
      <c r="AX898" s="108"/>
      <c r="AY898" s="108"/>
      <c r="AZ898" s="108"/>
      <c r="BA898" s="108"/>
      <c r="BB898" s="108"/>
      <c r="BC898" s="108"/>
      <c r="BD898" s="108"/>
      <c r="BE898" s="108"/>
      <c r="BF898" s="108"/>
      <c r="BG898" s="108"/>
      <c r="BH898" s="108"/>
      <c r="BI898" s="108"/>
      <c r="BJ898" s="108"/>
      <c r="BK898" s="108"/>
      <c r="BL898" s="108"/>
      <c r="BM898" s="108"/>
      <c r="BN898" s="108"/>
      <c r="BO898" s="108"/>
      <c r="BP898" s="108"/>
      <c r="BQ898" s="108"/>
      <c r="BR898" s="108"/>
      <c r="BS898" s="108"/>
      <c r="BT898" s="108"/>
      <c r="BU898" s="108"/>
      <c r="BV898" s="108"/>
      <c r="BW898" s="108"/>
      <c r="BX898" s="108"/>
      <c r="BY898" s="108"/>
    </row>
    <row r="899" spans="1:77">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c r="AA899" s="109"/>
      <c r="AB899" s="109"/>
      <c r="AC899" s="109"/>
      <c r="AD899" s="109"/>
      <c r="AE899" s="109"/>
      <c r="AF899" s="109"/>
      <c r="AG899" s="109"/>
      <c r="AH899" s="109"/>
      <c r="AI899" s="109"/>
      <c r="AJ899" s="109"/>
      <c r="AK899" s="109"/>
      <c r="AL899" s="109"/>
      <c r="AM899" s="109"/>
      <c r="AN899" s="109"/>
      <c r="AO899" s="109"/>
      <c r="AP899" s="109"/>
      <c r="AQ899" s="109"/>
      <c r="AR899" s="109"/>
      <c r="AS899" s="109"/>
      <c r="AT899" s="108"/>
      <c r="AU899" s="108"/>
      <c r="AV899" s="108"/>
      <c r="AW899" s="108"/>
      <c r="AX899" s="108"/>
      <c r="AY899" s="108"/>
      <c r="AZ899" s="108"/>
      <c r="BA899" s="108"/>
      <c r="BB899" s="108"/>
      <c r="BC899" s="108"/>
      <c r="BD899" s="108"/>
      <c r="BE899" s="108"/>
      <c r="BF899" s="108"/>
      <c r="BG899" s="108"/>
      <c r="BH899" s="108"/>
      <c r="BI899" s="108"/>
      <c r="BJ899" s="108"/>
      <c r="BK899" s="108"/>
      <c r="BL899" s="108"/>
      <c r="BM899" s="108"/>
      <c r="BN899" s="108"/>
      <c r="BO899" s="108"/>
      <c r="BP899" s="108"/>
      <c r="BQ899" s="108"/>
      <c r="BR899" s="108"/>
      <c r="BS899" s="108"/>
      <c r="BT899" s="108"/>
      <c r="BU899" s="108"/>
      <c r="BV899" s="108"/>
      <c r="BW899" s="108"/>
      <c r="BX899" s="108"/>
      <c r="BY899" s="108"/>
    </row>
    <row r="900" spans="1:77">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c r="AA900" s="109"/>
      <c r="AB900" s="109"/>
      <c r="AC900" s="109"/>
      <c r="AD900" s="109"/>
      <c r="AE900" s="109"/>
      <c r="AF900" s="109"/>
      <c r="AG900" s="109"/>
      <c r="AH900" s="109"/>
      <c r="AI900" s="109"/>
      <c r="AJ900" s="109"/>
      <c r="AK900" s="109"/>
      <c r="AL900" s="109"/>
      <c r="AM900" s="109"/>
      <c r="AN900" s="109"/>
      <c r="AO900" s="109"/>
      <c r="AP900" s="109"/>
      <c r="AQ900" s="109"/>
      <c r="AR900" s="109"/>
      <c r="AS900" s="109"/>
      <c r="AT900" s="108"/>
      <c r="AU900" s="108"/>
      <c r="AV900" s="108"/>
      <c r="AW900" s="108"/>
      <c r="AX900" s="108"/>
      <c r="AY900" s="108"/>
      <c r="AZ900" s="108"/>
      <c r="BA900" s="108"/>
      <c r="BB900" s="108"/>
      <c r="BC900" s="108"/>
      <c r="BD900" s="108"/>
      <c r="BE900" s="108"/>
      <c r="BF900" s="108"/>
      <c r="BG900" s="108"/>
      <c r="BH900" s="108"/>
      <c r="BI900" s="108"/>
      <c r="BJ900" s="108"/>
      <c r="BK900" s="108"/>
      <c r="BL900" s="108"/>
      <c r="BM900" s="108"/>
      <c r="BN900" s="108"/>
      <c r="BO900" s="108"/>
      <c r="BP900" s="108"/>
      <c r="BQ900" s="108"/>
      <c r="BR900" s="108"/>
      <c r="BS900" s="108"/>
      <c r="BT900" s="108"/>
      <c r="BU900" s="108"/>
      <c r="BV900" s="108"/>
      <c r="BW900" s="108"/>
      <c r="BX900" s="108"/>
      <c r="BY900" s="108"/>
    </row>
    <row r="901" spans="1:77">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c r="AA901" s="109"/>
      <c r="AB901" s="109"/>
      <c r="AC901" s="109"/>
      <c r="AD901" s="109"/>
      <c r="AE901" s="109"/>
      <c r="AF901" s="109"/>
      <c r="AG901" s="109"/>
      <c r="AH901" s="109"/>
      <c r="AI901" s="109"/>
      <c r="AJ901" s="109"/>
      <c r="AK901" s="109"/>
      <c r="AL901" s="109"/>
      <c r="AM901" s="109"/>
      <c r="AN901" s="109"/>
      <c r="AO901" s="109"/>
      <c r="AP901" s="109"/>
      <c r="AQ901" s="109"/>
      <c r="AR901" s="109"/>
      <c r="AS901" s="109"/>
      <c r="AT901" s="108"/>
      <c r="AU901" s="108"/>
      <c r="AV901" s="108"/>
      <c r="AW901" s="108"/>
      <c r="AX901" s="108"/>
      <c r="AY901" s="108"/>
      <c r="AZ901" s="108"/>
      <c r="BA901" s="108"/>
      <c r="BB901" s="108"/>
      <c r="BC901" s="108"/>
      <c r="BD901" s="108"/>
      <c r="BE901" s="108"/>
      <c r="BF901" s="108"/>
      <c r="BG901" s="108"/>
      <c r="BH901" s="108"/>
      <c r="BI901" s="108"/>
      <c r="BJ901" s="108"/>
      <c r="BK901" s="108"/>
      <c r="BL901" s="108"/>
      <c r="BM901" s="108"/>
      <c r="BN901" s="108"/>
      <c r="BO901" s="108"/>
      <c r="BP901" s="108"/>
      <c r="BQ901" s="108"/>
      <c r="BR901" s="108"/>
      <c r="BS901" s="108"/>
      <c r="BT901" s="108"/>
      <c r="BU901" s="108"/>
      <c r="BV901" s="108"/>
      <c r="BW901" s="108"/>
      <c r="BX901" s="108"/>
      <c r="BY901" s="108"/>
    </row>
    <row r="902" spans="1:77">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c r="AA902" s="109"/>
      <c r="AB902" s="109"/>
      <c r="AC902" s="109"/>
      <c r="AD902" s="109"/>
      <c r="AE902" s="109"/>
      <c r="AF902" s="109"/>
      <c r="AG902" s="109"/>
      <c r="AH902" s="109"/>
      <c r="AI902" s="109"/>
      <c r="AJ902" s="109"/>
      <c r="AK902" s="109"/>
      <c r="AL902" s="109"/>
      <c r="AM902" s="109"/>
      <c r="AN902" s="109"/>
      <c r="AO902" s="109"/>
      <c r="AP902" s="109"/>
      <c r="AQ902" s="109"/>
      <c r="AR902" s="109"/>
      <c r="AS902" s="109"/>
      <c r="AT902" s="108"/>
      <c r="AU902" s="108"/>
      <c r="AV902" s="108"/>
      <c r="AW902" s="108"/>
      <c r="AX902" s="108"/>
      <c r="AY902" s="108"/>
      <c r="AZ902" s="108"/>
      <c r="BA902" s="108"/>
      <c r="BB902" s="108"/>
      <c r="BC902" s="108"/>
      <c r="BD902" s="108"/>
      <c r="BE902" s="108"/>
      <c r="BF902" s="108"/>
      <c r="BG902" s="108"/>
      <c r="BH902" s="108"/>
      <c r="BI902" s="108"/>
      <c r="BJ902" s="108"/>
      <c r="BK902" s="108"/>
      <c r="BL902" s="108"/>
      <c r="BM902" s="108"/>
      <c r="BN902" s="108"/>
      <c r="BO902" s="108"/>
      <c r="BP902" s="108"/>
      <c r="BQ902" s="108"/>
      <c r="BR902" s="108"/>
      <c r="BS902" s="108"/>
      <c r="BT902" s="108"/>
      <c r="BU902" s="108"/>
      <c r="BV902" s="108"/>
      <c r="BW902" s="108"/>
      <c r="BX902" s="108"/>
      <c r="BY902" s="108"/>
    </row>
    <row r="903" spans="1:77">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c r="AA903" s="109"/>
      <c r="AB903" s="109"/>
      <c r="AC903" s="109"/>
      <c r="AD903" s="109"/>
      <c r="AE903" s="109"/>
      <c r="AF903" s="109"/>
      <c r="AG903" s="109"/>
      <c r="AH903" s="109"/>
      <c r="AI903" s="109"/>
      <c r="AJ903" s="109"/>
      <c r="AK903" s="109"/>
      <c r="AL903" s="109"/>
      <c r="AM903" s="109"/>
      <c r="AN903" s="109"/>
      <c r="AO903" s="109"/>
      <c r="AP903" s="109"/>
      <c r="AQ903" s="109"/>
      <c r="AR903" s="109"/>
      <c r="AS903" s="109"/>
      <c r="AT903" s="108"/>
      <c r="AU903" s="108"/>
      <c r="AV903" s="108"/>
      <c r="AW903" s="108"/>
      <c r="AX903" s="108"/>
      <c r="AY903" s="108"/>
      <c r="AZ903" s="108"/>
      <c r="BA903" s="108"/>
      <c r="BB903" s="108"/>
      <c r="BC903" s="108"/>
      <c r="BD903" s="108"/>
      <c r="BE903" s="108"/>
      <c r="BF903" s="108"/>
      <c r="BG903" s="108"/>
      <c r="BH903" s="108"/>
      <c r="BI903" s="108"/>
      <c r="BJ903" s="108"/>
      <c r="BK903" s="108"/>
      <c r="BL903" s="108"/>
      <c r="BM903" s="108"/>
      <c r="BN903" s="108"/>
      <c r="BO903" s="108"/>
      <c r="BP903" s="108"/>
      <c r="BQ903" s="108"/>
      <c r="BR903" s="108"/>
      <c r="BS903" s="108"/>
      <c r="BT903" s="108"/>
      <c r="BU903" s="108"/>
      <c r="BV903" s="108"/>
      <c r="BW903" s="108"/>
      <c r="BX903" s="108"/>
      <c r="BY903" s="108"/>
    </row>
    <row r="904" spans="1:77">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c r="AA904" s="109"/>
      <c r="AB904" s="109"/>
      <c r="AC904" s="109"/>
      <c r="AD904" s="109"/>
      <c r="AE904" s="109"/>
      <c r="AF904" s="109"/>
      <c r="AG904" s="109"/>
      <c r="AH904" s="109"/>
      <c r="AI904" s="109"/>
      <c r="AJ904" s="109"/>
      <c r="AK904" s="109"/>
      <c r="AL904" s="109"/>
      <c r="AM904" s="109"/>
      <c r="AN904" s="109"/>
      <c r="AO904" s="109"/>
      <c r="AP904" s="109"/>
      <c r="AQ904" s="109"/>
      <c r="AR904" s="109"/>
      <c r="AS904" s="109"/>
      <c r="AT904" s="108"/>
      <c r="AU904" s="108"/>
      <c r="AV904" s="108"/>
      <c r="AW904" s="108"/>
      <c r="AX904" s="108"/>
      <c r="AY904" s="108"/>
      <c r="AZ904" s="108"/>
      <c r="BA904" s="108"/>
      <c r="BB904" s="108"/>
      <c r="BC904" s="108"/>
      <c r="BD904" s="108"/>
      <c r="BE904" s="108"/>
      <c r="BF904" s="108"/>
      <c r="BG904" s="108"/>
      <c r="BH904" s="108"/>
      <c r="BI904" s="108"/>
      <c r="BJ904" s="108"/>
      <c r="BK904" s="108"/>
      <c r="BL904" s="108"/>
      <c r="BM904" s="108"/>
      <c r="BN904" s="108"/>
      <c r="BO904" s="108"/>
      <c r="BP904" s="108"/>
      <c r="BQ904" s="108"/>
      <c r="BR904" s="108"/>
      <c r="BS904" s="108"/>
      <c r="BT904" s="108"/>
      <c r="BU904" s="108"/>
      <c r="BV904" s="108"/>
      <c r="BW904" s="108"/>
      <c r="BX904" s="108"/>
      <c r="BY904" s="108"/>
    </row>
    <row r="905" spans="1:77">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c r="AA905" s="109"/>
      <c r="AB905" s="109"/>
      <c r="AC905" s="109"/>
      <c r="AD905" s="109"/>
      <c r="AE905" s="109"/>
      <c r="AF905" s="109"/>
      <c r="AG905" s="109"/>
      <c r="AH905" s="109"/>
      <c r="AI905" s="109"/>
      <c r="AJ905" s="109"/>
      <c r="AK905" s="109"/>
      <c r="AL905" s="109"/>
      <c r="AM905" s="109"/>
      <c r="AN905" s="109"/>
      <c r="AO905" s="109"/>
      <c r="AP905" s="109"/>
      <c r="AQ905" s="109"/>
      <c r="AR905" s="109"/>
      <c r="AS905" s="109"/>
      <c r="AT905" s="108"/>
      <c r="AU905" s="108"/>
      <c r="AV905" s="108"/>
      <c r="AW905" s="108"/>
      <c r="AX905" s="108"/>
      <c r="AY905" s="108"/>
      <c r="AZ905" s="108"/>
      <c r="BA905" s="108"/>
      <c r="BB905" s="108"/>
      <c r="BC905" s="108"/>
      <c r="BD905" s="108"/>
      <c r="BE905" s="108"/>
      <c r="BF905" s="108"/>
      <c r="BG905" s="108"/>
      <c r="BH905" s="108"/>
      <c r="BI905" s="108"/>
      <c r="BJ905" s="108"/>
      <c r="BK905" s="108"/>
      <c r="BL905" s="108"/>
      <c r="BM905" s="108"/>
      <c r="BN905" s="108"/>
      <c r="BO905" s="108"/>
      <c r="BP905" s="108"/>
      <c r="BQ905" s="108"/>
      <c r="BR905" s="108"/>
      <c r="BS905" s="108"/>
      <c r="BT905" s="108"/>
      <c r="BU905" s="108"/>
      <c r="BV905" s="108"/>
      <c r="BW905" s="108"/>
      <c r="BX905" s="108"/>
      <c r="BY905" s="108"/>
    </row>
    <row r="906" spans="1:77">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c r="AA906" s="109"/>
      <c r="AB906" s="109"/>
      <c r="AC906" s="109"/>
      <c r="AD906" s="109"/>
      <c r="AE906" s="109"/>
      <c r="AF906" s="109"/>
      <c r="AG906" s="109"/>
      <c r="AH906" s="109"/>
      <c r="AI906" s="109"/>
      <c r="AJ906" s="109"/>
      <c r="AK906" s="109"/>
      <c r="AL906" s="109"/>
      <c r="AM906" s="109"/>
      <c r="AN906" s="109"/>
      <c r="AO906" s="109"/>
      <c r="AP906" s="109"/>
      <c r="AQ906" s="109"/>
      <c r="AR906" s="109"/>
      <c r="AS906" s="109"/>
      <c r="AT906" s="108"/>
      <c r="AU906" s="108"/>
      <c r="AV906" s="108"/>
      <c r="AW906" s="108"/>
      <c r="AX906" s="108"/>
      <c r="AY906" s="108"/>
      <c r="AZ906" s="108"/>
      <c r="BA906" s="108"/>
      <c r="BB906" s="108"/>
      <c r="BC906" s="108"/>
      <c r="BD906" s="108"/>
      <c r="BE906" s="108"/>
      <c r="BF906" s="108"/>
      <c r="BG906" s="108"/>
      <c r="BH906" s="108"/>
      <c r="BI906" s="108"/>
      <c r="BJ906" s="108"/>
      <c r="BK906" s="108"/>
      <c r="BL906" s="108"/>
      <c r="BM906" s="108"/>
      <c r="BN906" s="108"/>
      <c r="BO906" s="108"/>
      <c r="BP906" s="108"/>
      <c r="BQ906" s="108"/>
      <c r="BR906" s="108"/>
      <c r="BS906" s="108"/>
      <c r="BT906" s="108"/>
      <c r="BU906" s="108"/>
      <c r="BV906" s="108"/>
      <c r="BW906" s="108"/>
      <c r="BX906" s="108"/>
      <c r="BY906" s="108"/>
    </row>
    <row r="907" spans="1:77">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c r="AA907" s="109"/>
      <c r="AB907" s="109"/>
      <c r="AC907" s="109"/>
      <c r="AD907" s="109"/>
      <c r="AE907" s="109"/>
      <c r="AF907" s="109"/>
      <c r="AG907" s="109"/>
      <c r="AH907" s="109"/>
      <c r="AI907" s="109"/>
      <c r="AJ907" s="109"/>
      <c r="AK907" s="109"/>
      <c r="AL907" s="109"/>
      <c r="AM907" s="109"/>
      <c r="AN907" s="109"/>
      <c r="AO907" s="109"/>
      <c r="AP907" s="109"/>
      <c r="AQ907" s="109"/>
      <c r="AR907" s="109"/>
      <c r="AS907" s="109"/>
      <c r="AT907" s="108"/>
      <c r="AU907" s="108"/>
      <c r="AV907" s="108"/>
      <c r="AW907" s="108"/>
      <c r="AX907" s="108"/>
      <c r="AY907" s="108"/>
      <c r="AZ907" s="108"/>
      <c r="BA907" s="108"/>
      <c r="BB907" s="108"/>
      <c r="BC907" s="108"/>
      <c r="BD907" s="108"/>
      <c r="BE907" s="108"/>
      <c r="BF907" s="108"/>
      <c r="BG907" s="108"/>
      <c r="BH907" s="108"/>
      <c r="BI907" s="108"/>
      <c r="BJ907" s="108"/>
      <c r="BK907" s="108"/>
      <c r="BL907" s="108"/>
      <c r="BM907" s="108"/>
      <c r="BN907" s="108"/>
      <c r="BO907" s="108"/>
      <c r="BP907" s="108"/>
      <c r="BQ907" s="108"/>
      <c r="BR907" s="108"/>
      <c r="BS907" s="108"/>
      <c r="BT907" s="108"/>
      <c r="BU907" s="108"/>
      <c r="BV907" s="108"/>
      <c r="BW907" s="108"/>
      <c r="BX907" s="108"/>
      <c r="BY907" s="108"/>
    </row>
    <row r="908" spans="1:77">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c r="AA908" s="109"/>
      <c r="AB908" s="109"/>
      <c r="AC908" s="109"/>
      <c r="AD908" s="109"/>
      <c r="AE908" s="109"/>
      <c r="AF908" s="109"/>
      <c r="AG908" s="109"/>
      <c r="AH908" s="109"/>
      <c r="AI908" s="109"/>
      <c r="AJ908" s="109"/>
      <c r="AK908" s="109"/>
      <c r="AL908" s="109"/>
      <c r="AM908" s="109"/>
      <c r="AN908" s="109"/>
      <c r="AO908" s="109"/>
      <c r="AP908" s="109"/>
      <c r="AQ908" s="109"/>
      <c r="AR908" s="109"/>
      <c r="AS908" s="109"/>
      <c r="AT908" s="108"/>
      <c r="AU908" s="108"/>
      <c r="AV908" s="108"/>
      <c r="AW908" s="108"/>
      <c r="AX908" s="108"/>
      <c r="AY908" s="108"/>
      <c r="AZ908" s="108"/>
      <c r="BA908" s="108"/>
      <c r="BB908" s="108"/>
      <c r="BC908" s="108"/>
      <c r="BD908" s="108"/>
      <c r="BE908" s="108"/>
      <c r="BF908" s="108"/>
      <c r="BG908" s="108"/>
      <c r="BH908" s="108"/>
      <c r="BI908" s="108"/>
      <c r="BJ908" s="108"/>
      <c r="BK908" s="108"/>
      <c r="BL908" s="108"/>
      <c r="BM908" s="108"/>
      <c r="BN908" s="108"/>
      <c r="BO908" s="108"/>
      <c r="BP908" s="108"/>
      <c r="BQ908" s="108"/>
      <c r="BR908" s="108"/>
      <c r="BS908" s="108"/>
      <c r="BT908" s="108"/>
      <c r="BU908" s="108"/>
      <c r="BV908" s="108"/>
      <c r="BW908" s="108"/>
      <c r="BX908" s="108"/>
      <c r="BY908" s="108"/>
    </row>
    <row r="909" spans="1:77">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c r="AA909" s="109"/>
      <c r="AB909" s="109"/>
      <c r="AC909" s="109"/>
      <c r="AD909" s="109"/>
      <c r="AE909" s="109"/>
      <c r="AF909" s="109"/>
      <c r="AG909" s="109"/>
      <c r="AH909" s="109"/>
      <c r="AI909" s="109"/>
      <c r="AJ909" s="109"/>
      <c r="AK909" s="109"/>
      <c r="AL909" s="109"/>
      <c r="AM909" s="109"/>
      <c r="AN909" s="109"/>
      <c r="AO909" s="109"/>
      <c r="AP909" s="109"/>
      <c r="AQ909" s="109"/>
      <c r="AR909" s="109"/>
      <c r="AS909" s="109"/>
      <c r="AT909" s="108"/>
      <c r="AU909" s="108"/>
      <c r="AV909" s="108"/>
      <c r="AW909" s="108"/>
      <c r="AX909" s="108"/>
      <c r="AY909" s="108"/>
      <c r="AZ909" s="108"/>
      <c r="BA909" s="108"/>
      <c r="BB909" s="108"/>
      <c r="BC909" s="108"/>
      <c r="BD909" s="108"/>
      <c r="BE909" s="108"/>
      <c r="BF909" s="108"/>
      <c r="BG909" s="108"/>
      <c r="BH909" s="108"/>
      <c r="BI909" s="108"/>
      <c r="BJ909" s="108"/>
      <c r="BK909" s="108"/>
      <c r="BL909" s="108"/>
      <c r="BM909" s="108"/>
      <c r="BN909" s="108"/>
      <c r="BO909" s="108"/>
      <c r="BP909" s="108"/>
      <c r="BQ909" s="108"/>
      <c r="BR909" s="108"/>
      <c r="BS909" s="108"/>
      <c r="BT909" s="108"/>
      <c r="BU909" s="108"/>
      <c r="BV909" s="108"/>
      <c r="BW909" s="108"/>
      <c r="BX909" s="108"/>
      <c r="BY909" s="108"/>
    </row>
    <row r="910" spans="1:77">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c r="AA910" s="109"/>
      <c r="AB910" s="109"/>
      <c r="AC910" s="109"/>
      <c r="AD910" s="109"/>
      <c r="AE910" s="109"/>
      <c r="AF910" s="109"/>
      <c r="AG910" s="109"/>
      <c r="AH910" s="109"/>
      <c r="AI910" s="109"/>
      <c r="AJ910" s="109"/>
      <c r="AK910" s="109"/>
      <c r="AL910" s="109"/>
      <c r="AM910" s="109"/>
      <c r="AN910" s="109"/>
      <c r="AO910" s="109"/>
      <c r="AP910" s="109"/>
      <c r="AQ910" s="109"/>
      <c r="AR910" s="109"/>
      <c r="AS910" s="109"/>
      <c r="AT910" s="108"/>
      <c r="AU910" s="108"/>
      <c r="AV910" s="108"/>
      <c r="AW910" s="108"/>
      <c r="AX910" s="108"/>
      <c r="AY910" s="108"/>
      <c r="AZ910" s="108"/>
      <c r="BA910" s="108"/>
      <c r="BB910" s="108"/>
      <c r="BC910" s="108"/>
      <c r="BD910" s="108"/>
      <c r="BE910" s="108"/>
      <c r="BF910" s="108"/>
      <c r="BG910" s="108"/>
      <c r="BH910" s="108"/>
      <c r="BI910" s="108"/>
      <c r="BJ910" s="108"/>
      <c r="BK910" s="108"/>
      <c r="BL910" s="108"/>
      <c r="BM910" s="108"/>
      <c r="BN910" s="108"/>
      <c r="BO910" s="108"/>
      <c r="BP910" s="108"/>
      <c r="BQ910" s="108"/>
      <c r="BR910" s="108"/>
      <c r="BS910" s="108"/>
      <c r="BT910" s="108"/>
      <c r="BU910" s="108"/>
      <c r="BV910" s="108"/>
      <c r="BW910" s="108"/>
      <c r="BX910" s="108"/>
      <c r="BY910" s="108"/>
    </row>
    <row r="911" spans="1:77">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c r="AA911" s="109"/>
      <c r="AB911" s="109"/>
      <c r="AC911" s="109"/>
      <c r="AD911" s="109"/>
      <c r="AE911" s="109"/>
      <c r="AF911" s="109"/>
      <c r="AG911" s="109"/>
      <c r="AH911" s="109"/>
      <c r="AI911" s="109"/>
      <c r="AJ911" s="109"/>
      <c r="AK911" s="109"/>
      <c r="AL911" s="109"/>
      <c r="AM911" s="109"/>
      <c r="AN911" s="109"/>
      <c r="AO911" s="109"/>
      <c r="AP911" s="109"/>
      <c r="AQ911" s="109"/>
      <c r="AR911" s="109"/>
      <c r="AS911" s="109"/>
      <c r="AT911" s="108"/>
      <c r="AU911" s="108"/>
      <c r="AV911" s="108"/>
      <c r="AW911" s="108"/>
      <c r="AX911" s="108"/>
      <c r="AY911" s="108"/>
      <c r="AZ911" s="108"/>
      <c r="BA911" s="108"/>
      <c r="BB911" s="108"/>
      <c r="BC911" s="108"/>
      <c r="BD911" s="108"/>
      <c r="BE911" s="108"/>
      <c r="BF911" s="108"/>
      <c r="BG911" s="108"/>
      <c r="BH911" s="108"/>
      <c r="BI911" s="108"/>
      <c r="BJ911" s="108"/>
      <c r="BK911" s="108"/>
      <c r="BL911" s="108"/>
      <c r="BM911" s="108"/>
      <c r="BN911" s="108"/>
      <c r="BO911" s="108"/>
      <c r="BP911" s="108"/>
      <c r="BQ911" s="108"/>
      <c r="BR911" s="108"/>
      <c r="BS911" s="108"/>
      <c r="BT911" s="108"/>
      <c r="BU911" s="108"/>
      <c r="BV911" s="108"/>
      <c r="BW911" s="108"/>
      <c r="BX911" s="108"/>
      <c r="BY911" s="108"/>
    </row>
    <row r="912" spans="1:77">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c r="AA912" s="109"/>
      <c r="AB912" s="109"/>
      <c r="AC912" s="109"/>
      <c r="AD912" s="109"/>
      <c r="AE912" s="109"/>
      <c r="AF912" s="109"/>
      <c r="AG912" s="109"/>
      <c r="AH912" s="109"/>
      <c r="AI912" s="109"/>
      <c r="AJ912" s="109"/>
      <c r="AK912" s="109"/>
      <c r="AL912" s="109"/>
      <c r="AM912" s="109"/>
      <c r="AN912" s="109"/>
      <c r="AO912" s="109"/>
      <c r="AP912" s="109"/>
      <c r="AQ912" s="109"/>
      <c r="AR912" s="109"/>
      <c r="AS912" s="109"/>
      <c r="AT912" s="108"/>
      <c r="AU912" s="108"/>
      <c r="AV912" s="108"/>
      <c r="AW912" s="108"/>
      <c r="AX912" s="108"/>
      <c r="AY912" s="108"/>
      <c r="AZ912" s="108"/>
      <c r="BA912" s="108"/>
      <c r="BB912" s="108"/>
      <c r="BC912" s="108"/>
      <c r="BD912" s="108"/>
      <c r="BE912" s="108"/>
      <c r="BF912" s="108"/>
      <c r="BG912" s="108"/>
      <c r="BH912" s="108"/>
      <c r="BI912" s="108"/>
      <c r="BJ912" s="108"/>
      <c r="BK912" s="108"/>
      <c r="BL912" s="108"/>
      <c r="BM912" s="108"/>
      <c r="BN912" s="108"/>
      <c r="BO912" s="108"/>
      <c r="BP912" s="108"/>
      <c r="BQ912" s="108"/>
      <c r="BR912" s="108"/>
      <c r="BS912" s="108"/>
      <c r="BT912" s="108"/>
      <c r="BU912" s="108"/>
      <c r="BV912" s="108"/>
      <c r="BW912" s="108"/>
      <c r="BX912" s="108"/>
      <c r="BY912" s="108"/>
    </row>
    <row r="913" spans="1:77">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c r="AA913" s="109"/>
      <c r="AB913" s="109"/>
      <c r="AC913" s="109"/>
      <c r="AD913" s="109"/>
      <c r="AE913" s="109"/>
      <c r="AF913" s="109"/>
      <c r="AG913" s="109"/>
      <c r="AH913" s="109"/>
      <c r="AI913" s="109"/>
      <c r="AJ913" s="109"/>
      <c r="AK913" s="109"/>
      <c r="AL913" s="109"/>
      <c r="AM913" s="109"/>
      <c r="AN913" s="109"/>
      <c r="AO913" s="109"/>
      <c r="AP913" s="109"/>
      <c r="AQ913" s="109"/>
      <c r="AR913" s="109"/>
      <c r="AS913" s="109"/>
      <c r="AT913" s="108"/>
      <c r="AU913" s="108"/>
      <c r="AV913" s="108"/>
      <c r="AW913" s="108"/>
      <c r="AX913" s="108"/>
      <c r="AY913" s="108"/>
      <c r="AZ913" s="108"/>
      <c r="BA913" s="108"/>
      <c r="BB913" s="108"/>
      <c r="BC913" s="108"/>
      <c r="BD913" s="108"/>
      <c r="BE913" s="108"/>
      <c r="BF913" s="108"/>
      <c r="BG913" s="108"/>
      <c r="BH913" s="108"/>
      <c r="BI913" s="108"/>
      <c r="BJ913" s="108"/>
      <c r="BK913" s="108"/>
      <c r="BL913" s="108"/>
      <c r="BM913" s="108"/>
      <c r="BN913" s="108"/>
      <c r="BO913" s="108"/>
      <c r="BP913" s="108"/>
      <c r="BQ913" s="108"/>
      <c r="BR913" s="108"/>
      <c r="BS913" s="108"/>
      <c r="BT913" s="108"/>
      <c r="BU913" s="108"/>
      <c r="BV913" s="108"/>
      <c r="BW913" s="108"/>
      <c r="BX913" s="108"/>
      <c r="BY913" s="108"/>
    </row>
    <row r="914" spans="1:77">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c r="AA914" s="109"/>
      <c r="AB914" s="109"/>
      <c r="AC914" s="109"/>
      <c r="AD914" s="109"/>
      <c r="AE914" s="109"/>
      <c r="AF914" s="109"/>
      <c r="AG914" s="109"/>
      <c r="AH914" s="109"/>
      <c r="AI914" s="109"/>
      <c r="AJ914" s="109"/>
      <c r="AK914" s="109"/>
      <c r="AL914" s="109"/>
      <c r="AM914" s="109"/>
      <c r="AN914" s="109"/>
      <c r="AO914" s="109"/>
      <c r="AP914" s="109"/>
      <c r="AQ914" s="109"/>
      <c r="AR914" s="109"/>
      <c r="AS914" s="109"/>
      <c r="AT914" s="108"/>
      <c r="AU914" s="108"/>
      <c r="AV914" s="108"/>
      <c r="AW914" s="108"/>
      <c r="AX914" s="108"/>
      <c r="AY914" s="108"/>
      <c r="AZ914" s="108"/>
      <c r="BA914" s="108"/>
      <c r="BB914" s="108"/>
      <c r="BC914" s="108"/>
      <c r="BD914" s="108"/>
      <c r="BE914" s="108"/>
      <c r="BF914" s="108"/>
      <c r="BG914" s="108"/>
      <c r="BH914" s="108"/>
      <c r="BI914" s="108"/>
      <c r="BJ914" s="108"/>
      <c r="BK914" s="108"/>
      <c r="BL914" s="108"/>
      <c r="BM914" s="108"/>
      <c r="BN914" s="108"/>
      <c r="BO914" s="108"/>
      <c r="BP914" s="108"/>
      <c r="BQ914" s="108"/>
      <c r="BR914" s="108"/>
      <c r="BS914" s="108"/>
      <c r="BT914" s="108"/>
      <c r="BU914" s="108"/>
      <c r="BV914" s="108"/>
      <c r="BW914" s="108"/>
      <c r="BX914" s="108"/>
      <c r="BY914" s="108"/>
    </row>
    <row r="915" spans="1:77">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c r="AA915" s="109"/>
      <c r="AB915" s="109"/>
      <c r="AC915" s="109"/>
      <c r="AD915" s="109"/>
      <c r="AE915" s="109"/>
      <c r="AF915" s="109"/>
      <c r="AG915" s="109"/>
      <c r="AH915" s="109"/>
      <c r="AI915" s="109"/>
      <c r="AJ915" s="109"/>
      <c r="AK915" s="109"/>
      <c r="AL915" s="109"/>
      <c r="AM915" s="109"/>
      <c r="AN915" s="109"/>
      <c r="AO915" s="109"/>
      <c r="AP915" s="109"/>
      <c r="AQ915" s="109"/>
      <c r="AR915" s="109"/>
      <c r="AS915" s="109"/>
      <c r="AT915" s="108"/>
      <c r="AU915" s="108"/>
      <c r="AV915" s="108"/>
      <c r="AW915" s="108"/>
      <c r="AX915" s="108"/>
      <c r="AY915" s="108"/>
      <c r="AZ915" s="108"/>
      <c r="BA915" s="108"/>
      <c r="BB915" s="108"/>
      <c r="BC915" s="108"/>
      <c r="BD915" s="108"/>
      <c r="BE915" s="108"/>
      <c r="BF915" s="108"/>
      <c r="BG915" s="108"/>
      <c r="BH915" s="108"/>
      <c r="BI915" s="108"/>
      <c r="BJ915" s="108"/>
      <c r="BK915" s="108"/>
      <c r="BL915" s="108"/>
      <c r="BM915" s="108"/>
      <c r="BN915" s="108"/>
      <c r="BO915" s="108"/>
      <c r="BP915" s="108"/>
      <c r="BQ915" s="108"/>
      <c r="BR915" s="108"/>
      <c r="BS915" s="108"/>
      <c r="BT915" s="108"/>
      <c r="BU915" s="108"/>
      <c r="BV915" s="108"/>
      <c r="BW915" s="108"/>
      <c r="BX915" s="108"/>
      <c r="BY915" s="108"/>
    </row>
    <row r="916" spans="1:77">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c r="AA916" s="109"/>
      <c r="AB916" s="109"/>
      <c r="AC916" s="109"/>
      <c r="AD916" s="109"/>
      <c r="AE916" s="109"/>
      <c r="AF916" s="109"/>
      <c r="AG916" s="109"/>
      <c r="AH916" s="109"/>
      <c r="AI916" s="109"/>
      <c r="AJ916" s="109"/>
      <c r="AK916" s="109"/>
      <c r="AL916" s="109"/>
      <c r="AM916" s="109"/>
      <c r="AN916" s="109"/>
      <c r="AO916" s="109"/>
      <c r="AP916" s="109"/>
      <c r="AQ916" s="109"/>
      <c r="AR916" s="109"/>
      <c r="AS916" s="109"/>
      <c r="AT916" s="108"/>
      <c r="AU916" s="108"/>
      <c r="AV916" s="108"/>
      <c r="AW916" s="108"/>
      <c r="AX916" s="108"/>
      <c r="AY916" s="108"/>
      <c r="AZ916" s="108"/>
      <c r="BA916" s="108"/>
      <c r="BB916" s="108"/>
      <c r="BC916" s="108"/>
      <c r="BD916" s="108"/>
      <c r="BE916" s="108"/>
      <c r="BF916" s="108"/>
      <c r="BG916" s="108"/>
      <c r="BH916" s="108"/>
      <c r="BI916" s="108"/>
      <c r="BJ916" s="108"/>
      <c r="BK916" s="108"/>
      <c r="BL916" s="108"/>
      <c r="BM916" s="108"/>
      <c r="BN916" s="108"/>
      <c r="BO916" s="108"/>
      <c r="BP916" s="108"/>
      <c r="BQ916" s="108"/>
      <c r="BR916" s="108"/>
      <c r="BS916" s="108"/>
      <c r="BT916" s="108"/>
      <c r="BU916" s="108"/>
      <c r="BV916" s="108"/>
      <c r="BW916" s="108"/>
      <c r="BX916" s="108"/>
      <c r="BY916" s="108"/>
    </row>
    <row r="917" spans="1:77">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c r="AA917" s="109"/>
      <c r="AB917" s="109"/>
      <c r="AC917" s="109"/>
      <c r="AD917" s="109"/>
      <c r="AE917" s="109"/>
      <c r="AF917" s="109"/>
      <c r="AG917" s="109"/>
      <c r="AH917" s="109"/>
      <c r="AI917" s="109"/>
      <c r="AJ917" s="109"/>
      <c r="AK917" s="109"/>
      <c r="AL917" s="109"/>
      <c r="AM917" s="109"/>
      <c r="AN917" s="109"/>
      <c r="AO917" s="109"/>
      <c r="AP917" s="109"/>
      <c r="AQ917" s="109"/>
      <c r="AR917" s="109"/>
      <c r="AS917" s="109"/>
      <c r="AT917" s="108"/>
      <c r="AU917" s="108"/>
      <c r="AV917" s="108"/>
      <c r="AW917" s="108"/>
      <c r="AX917" s="108"/>
      <c r="AY917" s="108"/>
      <c r="AZ917" s="108"/>
      <c r="BA917" s="108"/>
      <c r="BB917" s="108"/>
      <c r="BC917" s="108"/>
      <c r="BD917" s="108"/>
      <c r="BE917" s="108"/>
      <c r="BF917" s="108"/>
      <c r="BG917" s="108"/>
      <c r="BH917" s="108"/>
      <c r="BI917" s="108"/>
      <c r="BJ917" s="108"/>
      <c r="BK917" s="108"/>
      <c r="BL917" s="108"/>
      <c r="BM917" s="108"/>
      <c r="BN917" s="108"/>
      <c r="BO917" s="108"/>
      <c r="BP917" s="108"/>
      <c r="BQ917" s="108"/>
      <c r="BR917" s="108"/>
      <c r="BS917" s="108"/>
      <c r="BT917" s="108"/>
      <c r="BU917" s="108"/>
      <c r="BV917" s="108"/>
      <c r="BW917" s="108"/>
      <c r="BX917" s="108"/>
      <c r="BY917" s="108"/>
    </row>
    <row r="918" spans="1:77">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c r="AA918" s="109"/>
      <c r="AB918" s="109"/>
      <c r="AC918" s="109"/>
      <c r="AD918" s="109"/>
      <c r="AE918" s="109"/>
      <c r="AF918" s="109"/>
      <c r="AG918" s="109"/>
      <c r="AH918" s="109"/>
      <c r="AI918" s="109"/>
      <c r="AJ918" s="109"/>
      <c r="AK918" s="109"/>
      <c r="AL918" s="109"/>
      <c r="AM918" s="109"/>
      <c r="AN918" s="109"/>
      <c r="AO918" s="109"/>
      <c r="AP918" s="109"/>
      <c r="AQ918" s="109"/>
      <c r="AR918" s="109"/>
      <c r="AS918" s="109"/>
      <c r="AT918" s="108"/>
      <c r="AU918" s="108"/>
      <c r="AV918" s="108"/>
      <c r="AW918" s="108"/>
      <c r="AX918" s="108"/>
      <c r="AY918" s="108"/>
      <c r="AZ918" s="108"/>
      <c r="BA918" s="108"/>
      <c r="BB918" s="108"/>
      <c r="BC918" s="108"/>
      <c r="BD918" s="108"/>
      <c r="BE918" s="108"/>
      <c r="BF918" s="108"/>
      <c r="BG918" s="108"/>
      <c r="BH918" s="108"/>
      <c r="BI918" s="108"/>
      <c r="BJ918" s="108"/>
      <c r="BK918" s="108"/>
      <c r="BL918" s="108"/>
      <c r="BM918" s="108"/>
      <c r="BN918" s="108"/>
      <c r="BO918" s="108"/>
      <c r="BP918" s="108"/>
      <c r="BQ918" s="108"/>
      <c r="BR918" s="108"/>
      <c r="BS918" s="108"/>
      <c r="BT918" s="108"/>
      <c r="BU918" s="108"/>
      <c r="BV918" s="108"/>
      <c r="BW918" s="108"/>
      <c r="BX918" s="108"/>
      <c r="BY918" s="108"/>
    </row>
    <row r="919" spans="1:77">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c r="AA919" s="109"/>
      <c r="AB919" s="109"/>
      <c r="AC919" s="109"/>
      <c r="AD919" s="109"/>
      <c r="AE919" s="109"/>
      <c r="AF919" s="109"/>
      <c r="AG919" s="109"/>
      <c r="AH919" s="109"/>
      <c r="AI919" s="109"/>
      <c r="AJ919" s="109"/>
      <c r="AK919" s="109"/>
      <c r="AL919" s="109"/>
      <c r="AM919" s="109"/>
      <c r="AN919" s="109"/>
      <c r="AO919" s="109"/>
      <c r="AP919" s="109"/>
      <c r="AQ919" s="109"/>
      <c r="AR919" s="109"/>
      <c r="AS919" s="109"/>
      <c r="AT919" s="108"/>
      <c r="AU919" s="108"/>
      <c r="AV919" s="108"/>
      <c r="AW919" s="108"/>
      <c r="AX919" s="108"/>
      <c r="AY919" s="108"/>
      <c r="AZ919" s="108"/>
      <c r="BA919" s="108"/>
      <c r="BB919" s="108"/>
      <c r="BC919" s="108"/>
      <c r="BD919" s="108"/>
      <c r="BE919" s="108"/>
      <c r="BF919" s="108"/>
      <c r="BG919" s="108"/>
      <c r="BH919" s="108"/>
      <c r="BI919" s="108"/>
      <c r="BJ919" s="108"/>
      <c r="BK919" s="108"/>
      <c r="BL919" s="108"/>
      <c r="BM919" s="108"/>
      <c r="BN919" s="108"/>
      <c r="BO919" s="108"/>
      <c r="BP919" s="108"/>
      <c r="BQ919" s="108"/>
      <c r="BR919" s="108"/>
      <c r="BS919" s="108"/>
      <c r="BT919" s="108"/>
      <c r="BU919" s="108"/>
      <c r="BV919" s="108"/>
      <c r="BW919" s="108"/>
      <c r="BX919" s="108"/>
      <c r="BY919" s="108"/>
    </row>
    <row r="920" spans="1:77">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c r="AA920" s="109"/>
      <c r="AB920" s="109"/>
      <c r="AC920" s="109"/>
      <c r="AD920" s="109"/>
      <c r="AE920" s="109"/>
      <c r="AF920" s="109"/>
      <c r="AG920" s="109"/>
      <c r="AH920" s="109"/>
      <c r="AI920" s="109"/>
      <c r="AJ920" s="109"/>
      <c r="AK920" s="109"/>
      <c r="AL920" s="109"/>
      <c r="AM920" s="109"/>
      <c r="AN920" s="109"/>
      <c r="AO920" s="109"/>
      <c r="AP920" s="109"/>
      <c r="AQ920" s="109"/>
      <c r="AR920" s="109"/>
      <c r="AS920" s="109"/>
      <c r="AT920" s="108"/>
      <c r="AU920" s="108"/>
      <c r="AV920" s="108"/>
      <c r="AW920" s="108"/>
      <c r="AX920" s="108"/>
      <c r="AY920" s="108"/>
      <c r="AZ920" s="108"/>
      <c r="BA920" s="108"/>
      <c r="BB920" s="108"/>
      <c r="BC920" s="108"/>
      <c r="BD920" s="108"/>
      <c r="BE920" s="108"/>
      <c r="BF920" s="108"/>
      <c r="BG920" s="108"/>
      <c r="BH920" s="108"/>
      <c r="BI920" s="108"/>
      <c r="BJ920" s="108"/>
      <c r="BK920" s="108"/>
      <c r="BL920" s="108"/>
      <c r="BM920" s="108"/>
      <c r="BN920" s="108"/>
      <c r="BO920" s="108"/>
      <c r="BP920" s="108"/>
      <c r="BQ920" s="108"/>
      <c r="BR920" s="108"/>
      <c r="BS920" s="108"/>
      <c r="BT920" s="108"/>
      <c r="BU920" s="108"/>
      <c r="BV920" s="108"/>
      <c r="BW920" s="108"/>
      <c r="BX920" s="108"/>
      <c r="BY920" s="108"/>
    </row>
    <row r="921" spans="1:77">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c r="AA921" s="109"/>
      <c r="AB921" s="109"/>
      <c r="AC921" s="109"/>
      <c r="AD921" s="109"/>
      <c r="AE921" s="109"/>
      <c r="AF921" s="109"/>
      <c r="AG921" s="109"/>
      <c r="AH921" s="109"/>
      <c r="AI921" s="109"/>
      <c r="AJ921" s="109"/>
      <c r="AK921" s="109"/>
      <c r="AL921" s="109"/>
      <c r="AM921" s="109"/>
      <c r="AN921" s="109"/>
      <c r="AO921" s="109"/>
      <c r="AP921" s="109"/>
      <c r="AQ921" s="109"/>
      <c r="AR921" s="109"/>
      <c r="AS921" s="109"/>
      <c r="AT921" s="108"/>
      <c r="AU921" s="108"/>
      <c r="AV921" s="108"/>
      <c r="AW921" s="108"/>
      <c r="AX921" s="108"/>
      <c r="AY921" s="108"/>
      <c r="AZ921" s="108"/>
      <c r="BA921" s="108"/>
      <c r="BB921" s="108"/>
      <c r="BC921" s="108"/>
      <c r="BD921" s="108"/>
      <c r="BE921" s="108"/>
      <c r="BF921" s="108"/>
      <c r="BG921" s="108"/>
      <c r="BH921" s="108"/>
      <c r="BI921" s="108"/>
      <c r="BJ921" s="108"/>
      <c r="BK921" s="108"/>
      <c r="BL921" s="108"/>
      <c r="BM921" s="108"/>
      <c r="BN921" s="108"/>
      <c r="BO921" s="108"/>
      <c r="BP921" s="108"/>
      <c r="BQ921" s="108"/>
      <c r="BR921" s="108"/>
      <c r="BS921" s="108"/>
      <c r="BT921" s="108"/>
      <c r="BU921" s="108"/>
      <c r="BV921" s="108"/>
      <c r="BW921" s="108"/>
      <c r="BX921" s="108"/>
      <c r="BY921" s="108"/>
    </row>
    <row r="922" spans="1:77">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c r="AA922" s="109"/>
      <c r="AB922" s="109"/>
      <c r="AC922" s="109"/>
      <c r="AD922" s="109"/>
      <c r="AE922" s="109"/>
      <c r="AF922" s="109"/>
      <c r="AG922" s="109"/>
      <c r="AH922" s="109"/>
      <c r="AI922" s="109"/>
      <c r="AJ922" s="109"/>
      <c r="AK922" s="109"/>
      <c r="AL922" s="109"/>
      <c r="AM922" s="109"/>
      <c r="AN922" s="109"/>
      <c r="AO922" s="109"/>
      <c r="AP922" s="109"/>
      <c r="AQ922" s="109"/>
      <c r="AR922" s="109"/>
      <c r="AS922" s="109"/>
      <c r="AT922" s="108"/>
      <c r="AU922" s="108"/>
      <c r="AV922" s="108"/>
      <c r="AW922" s="108"/>
      <c r="AX922" s="108"/>
      <c r="AY922" s="108"/>
      <c r="AZ922" s="108"/>
      <c r="BA922" s="108"/>
      <c r="BB922" s="108"/>
      <c r="BC922" s="108"/>
      <c r="BD922" s="108"/>
      <c r="BE922" s="108"/>
      <c r="BF922" s="108"/>
      <c r="BG922" s="108"/>
      <c r="BH922" s="108"/>
      <c r="BI922" s="108"/>
      <c r="BJ922" s="108"/>
      <c r="BK922" s="108"/>
      <c r="BL922" s="108"/>
      <c r="BM922" s="108"/>
      <c r="BN922" s="108"/>
      <c r="BO922" s="108"/>
      <c r="BP922" s="108"/>
      <c r="BQ922" s="108"/>
      <c r="BR922" s="108"/>
      <c r="BS922" s="108"/>
      <c r="BT922" s="108"/>
      <c r="BU922" s="108"/>
      <c r="BV922" s="108"/>
      <c r="BW922" s="108"/>
      <c r="BX922" s="108"/>
      <c r="BY922" s="108"/>
    </row>
    <row r="923" spans="1:77">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c r="AA923" s="109"/>
      <c r="AB923" s="109"/>
      <c r="AC923" s="109"/>
      <c r="AD923" s="109"/>
      <c r="AE923" s="109"/>
      <c r="AF923" s="109"/>
      <c r="AG923" s="109"/>
      <c r="AH923" s="109"/>
      <c r="AI923" s="109"/>
      <c r="AJ923" s="109"/>
      <c r="AK923" s="109"/>
      <c r="AL923" s="109"/>
      <c r="AM923" s="109"/>
      <c r="AN923" s="109"/>
      <c r="AO923" s="109"/>
      <c r="AP923" s="109"/>
      <c r="AQ923" s="109"/>
      <c r="AR923" s="109"/>
      <c r="AS923" s="109"/>
      <c r="AT923" s="108"/>
      <c r="AU923" s="108"/>
      <c r="AV923" s="108"/>
      <c r="AW923" s="108"/>
      <c r="AX923" s="108"/>
      <c r="AY923" s="108"/>
      <c r="AZ923" s="108"/>
      <c r="BA923" s="108"/>
      <c r="BB923" s="108"/>
      <c r="BC923" s="108"/>
      <c r="BD923" s="108"/>
      <c r="BE923" s="108"/>
      <c r="BF923" s="108"/>
      <c r="BG923" s="108"/>
      <c r="BH923" s="108"/>
      <c r="BI923" s="108"/>
      <c r="BJ923" s="108"/>
      <c r="BK923" s="108"/>
      <c r="BL923" s="108"/>
      <c r="BM923" s="108"/>
      <c r="BN923" s="108"/>
      <c r="BO923" s="108"/>
      <c r="BP923" s="108"/>
      <c r="BQ923" s="108"/>
      <c r="BR923" s="108"/>
      <c r="BS923" s="108"/>
      <c r="BT923" s="108"/>
      <c r="BU923" s="108"/>
      <c r="BV923" s="108"/>
      <c r="BW923" s="108"/>
      <c r="BX923" s="108"/>
      <c r="BY923" s="108"/>
    </row>
    <row r="924" spans="1:77">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c r="AA924" s="109"/>
      <c r="AB924" s="109"/>
      <c r="AC924" s="109"/>
      <c r="AD924" s="109"/>
      <c r="AE924" s="109"/>
      <c r="AF924" s="109"/>
      <c r="AG924" s="109"/>
      <c r="AH924" s="109"/>
      <c r="AI924" s="109"/>
      <c r="AJ924" s="109"/>
      <c r="AK924" s="109"/>
      <c r="AL924" s="109"/>
      <c r="AM924" s="109"/>
      <c r="AN924" s="109"/>
      <c r="AO924" s="109"/>
      <c r="AP924" s="109"/>
      <c r="AQ924" s="109"/>
      <c r="AR924" s="109"/>
      <c r="AS924" s="109"/>
      <c r="AT924" s="108"/>
      <c r="AU924" s="108"/>
      <c r="AV924" s="108"/>
      <c r="AW924" s="108"/>
      <c r="AX924" s="108"/>
      <c r="AY924" s="108"/>
      <c r="AZ924" s="108"/>
      <c r="BA924" s="108"/>
      <c r="BB924" s="108"/>
      <c r="BC924" s="108"/>
      <c r="BD924" s="108"/>
      <c r="BE924" s="108"/>
      <c r="BF924" s="108"/>
      <c r="BG924" s="108"/>
      <c r="BH924" s="108"/>
      <c r="BI924" s="108"/>
      <c r="BJ924" s="108"/>
      <c r="BK924" s="108"/>
      <c r="BL924" s="108"/>
      <c r="BM924" s="108"/>
      <c r="BN924" s="108"/>
      <c r="BO924" s="108"/>
      <c r="BP924" s="108"/>
      <c r="BQ924" s="108"/>
      <c r="BR924" s="108"/>
      <c r="BS924" s="108"/>
      <c r="BT924" s="108"/>
      <c r="BU924" s="108"/>
      <c r="BV924" s="108"/>
      <c r="BW924" s="108"/>
      <c r="BX924" s="108"/>
      <c r="BY924" s="108"/>
    </row>
    <row r="925" spans="1:77">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c r="AA925" s="109"/>
      <c r="AB925" s="109"/>
      <c r="AC925" s="109"/>
      <c r="AD925" s="109"/>
      <c r="AE925" s="109"/>
      <c r="AF925" s="109"/>
      <c r="AG925" s="109"/>
      <c r="AH925" s="109"/>
      <c r="AI925" s="109"/>
      <c r="AJ925" s="109"/>
      <c r="AK925" s="109"/>
      <c r="AL925" s="109"/>
      <c r="AM925" s="109"/>
      <c r="AN925" s="109"/>
      <c r="AO925" s="109"/>
      <c r="AP925" s="109"/>
      <c r="AQ925" s="109"/>
      <c r="AR925" s="109"/>
      <c r="AS925" s="109"/>
      <c r="AT925" s="108"/>
      <c r="AU925" s="108"/>
      <c r="AV925" s="108"/>
      <c r="AW925" s="108"/>
      <c r="AX925" s="108"/>
      <c r="AY925" s="108"/>
      <c r="AZ925" s="108"/>
      <c r="BA925" s="108"/>
      <c r="BB925" s="108"/>
      <c r="BC925" s="108"/>
      <c r="BD925" s="108"/>
      <c r="BE925" s="108"/>
      <c r="BF925" s="108"/>
      <c r="BG925" s="108"/>
      <c r="BH925" s="108"/>
      <c r="BI925" s="108"/>
      <c r="BJ925" s="108"/>
      <c r="BK925" s="108"/>
      <c r="BL925" s="108"/>
      <c r="BM925" s="108"/>
      <c r="BN925" s="108"/>
      <c r="BO925" s="108"/>
      <c r="BP925" s="108"/>
      <c r="BQ925" s="108"/>
      <c r="BR925" s="108"/>
      <c r="BS925" s="108"/>
      <c r="BT925" s="108"/>
      <c r="BU925" s="108"/>
      <c r="BV925" s="108"/>
      <c r="BW925" s="108"/>
      <c r="BX925" s="108"/>
      <c r="BY925" s="108"/>
    </row>
    <row r="926" spans="1:77">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c r="AA926" s="109"/>
      <c r="AB926" s="109"/>
      <c r="AC926" s="109"/>
      <c r="AD926" s="109"/>
      <c r="AE926" s="109"/>
      <c r="AF926" s="109"/>
      <c r="AG926" s="109"/>
      <c r="AH926" s="109"/>
      <c r="AI926" s="109"/>
      <c r="AJ926" s="109"/>
      <c r="AK926" s="109"/>
      <c r="AL926" s="109"/>
      <c r="AM926" s="109"/>
      <c r="AN926" s="109"/>
      <c r="AO926" s="109"/>
      <c r="AP926" s="109"/>
      <c r="AQ926" s="109"/>
      <c r="AR926" s="109"/>
      <c r="AS926" s="109"/>
      <c r="AT926" s="108"/>
      <c r="AU926" s="108"/>
      <c r="AV926" s="108"/>
      <c r="AW926" s="108"/>
      <c r="AX926" s="108"/>
      <c r="AY926" s="108"/>
      <c r="AZ926" s="108"/>
      <c r="BA926" s="108"/>
      <c r="BB926" s="108"/>
      <c r="BC926" s="108"/>
      <c r="BD926" s="108"/>
      <c r="BE926" s="108"/>
      <c r="BF926" s="108"/>
      <c r="BG926" s="108"/>
      <c r="BH926" s="108"/>
      <c r="BI926" s="108"/>
      <c r="BJ926" s="108"/>
      <c r="BK926" s="108"/>
      <c r="BL926" s="108"/>
      <c r="BM926" s="108"/>
      <c r="BN926" s="108"/>
      <c r="BO926" s="108"/>
      <c r="BP926" s="108"/>
      <c r="BQ926" s="108"/>
      <c r="BR926" s="108"/>
      <c r="BS926" s="108"/>
      <c r="BT926" s="108"/>
      <c r="BU926" s="108"/>
      <c r="BV926" s="108"/>
      <c r="BW926" s="108"/>
      <c r="BX926" s="108"/>
      <c r="BY926" s="108"/>
    </row>
    <row r="927" spans="1:77">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c r="AA927" s="109"/>
      <c r="AB927" s="109"/>
      <c r="AC927" s="109"/>
      <c r="AD927" s="109"/>
      <c r="AE927" s="109"/>
      <c r="AF927" s="109"/>
      <c r="AG927" s="109"/>
      <c r="AH927" s="109"/>
      <c r="AI927" s="109"/>
      <c r="AJ927" s="109"/>
      <c r="AK927" s="109"/>
      <c r="AL927" s="109"/>
      <c r="AM927" s="109"/>
      <c r="AN927" s="109"/>
      <c r="AO927" s="109"/>
      <c r="AP927" s="109"/>
      <c r="AQ927" s="109"/>
      <c r="AR927" s="109"/>
      <c r="AS927" s="109"/>
      <c r="AT927" s="108"/>
      <c r="AU927" s="108"/>
      <c r="AV927" s="108"/>
      <c r="AW927" s="108"/>
      <c r="AX927" s="108"/>
      <c r="AY927" s="108"/>
      <c r="AZ927" s="108"/>
      <c r="BA927" s="108"/>
      <c r="BB927" s="108"/>
      <c r="BC927" s="108"/>
      <c r="BD927" s="108"/>
      <c r="BE927" s="108"/>
      <c r="BF927" s="108"/>
      <c r="BG927" s="108"/>
      <c r="BH927" s="108"/>
      <c r="BI927" s="108"/>
      <c r="BJ927" s="108"/>
      <c r="BK927" s="108"/>
      <c r="BL927" s="108"/>
      <c r="BM927" s="108"/>
      <c r="BN927" s="108"/>
      <c r="BO927" s="108"/>
      <c r="BP927" s="108"/>
      <c r="BQ927" s="108"/>
      <c r="BR927" s="108"/>
      <c r="BS927" s="108"/>
      <c r="BT927" s="108"/>
      <c r="BU927" s="108"/>
      <c r="BV927" s="108"/>
      <c r="BW927" s="108"/>
      <c r="BX927" s="108"/>
      <c r="BY927" s="108"/>
    </row>
    <row r="928" spans="1:77">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c r="AA928" s="109"/>
      <c r="AB928" s="109"/>
      <c r="AC928" s="109"/>
      <c r="AD928" s="109"/>
      <c r="AE928" s="109"/>
      <c r="AF928" s="109"/>
      <c r="AG928" s="109"/>
      <c r="AH928" s="109"/>
      <c r="AI928" s="109"/>
      <c r="AJ928" s="109"/>
      <c r="AK928" s="109"/>
      <c r="AL928" s="109"/>
      <c r="AM928" s="109"/>
      <c r="AN928" s="109"/>
      <c r="AO928" s="109"/>
      <c r="AP928" s="109"/>
      <c r="AQ928" s="109"/>
      <c r="AR928" s="109"/>
      <c r="AS928" s="109"/>
      <c r="AT928" s="108"/>
      <c r="AU928" s="108"/>
      <c r="AV928" s="108"/>
      <c r="AW928" s="108"/>
      <c r="AX928" s="108"/>
      <c r="AY928" s="108"/>
      <c r="AZ928" s="108"/>
      <c r="BA928" s="108"/>
      <c r="BB928" s="108"/>
      <c r="BC928" s="108"/>
      <c r="BD928" s="108"/>
      <c r="BE928" s="108"/>
      <c r="BF928" s="108"/>
      <c r="BG928" s="108"/>
      <c r="BH928" s="108"/>
      <c r="BI928" s="108"/>
      <c r="BJ928" s="108"/>
      <c r="BK928" s="108"/>
      <c r="BL928" s="108"/>
      <c r="BM928" s="108"/>
      <c r="BN928" s="108"/>
      <c r="BO928" s="108"/>
      <c r="BP928" s="108"/>
      <c r="BQ928" s="108"/>
      <c r="BR928" s="108"/>
      <c r="BS928" s="108"/>
      <c r="BT928" s="108"/>
      <c r="BU928" s="108"/>
      <c r="BV928" s="108"/>
      <c r="BW928" s="108"/>
      <c r="BX928" s="108"/>
      <c r="BY928" s="108"/>
    </row>
    <row r="929" spans="1:77">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c r="AA929" s="109"/>
      <c r="AB929" s="109"/>
      <c r="AC929" s="109"/>
      <c r="AD929" s="109"/>
      <c r="AE929" s="109"/>
      <c r="AF929" s="109"/>
      <c r="AG929" s="109"/>
      <c r="AH929" s="109"/>
      <c r="AI929" s="109"/>
      <c r="AJ929" s="109"/>
      <c r="AK929" s="109"/>
      <c r="AL929" s="109"/>
      <c r="AM929" s="109"/>
      <c r="AN929" s="109"/>
      <c r="AO929" s="109"/>
      <c r="AP929" s="109"/>
      <c r="AQ929" s="109"/>
      <c r="AR929" s="109"/>
      <c r="AS929" s="109"/>
      <c r="AT929" s="108"/>
      <c r="AU929" s="108"/>
      <c r="AV929" s="108"/>
      <c r="AW929" s="108"/>
      <c r="AX929" s="108"/>
      <c r="AY929" s="108"/>
      <c r="AZ929" s="108"/>
      <c r="BA929" s="108"/>
      <c r="BB929" s="108"/>
      <c r="BC929" s="108"/>
      <c r="BD929" s="108"/>
      <c r="BE929" s="108"/>
      <c r="BF929" s="108"/>
      <c r="BG929" s="108"/>
      <c r="BH929" s="108"/>
      <c r="BI929" s="108"/>
      <c r="BJ929" s="108"/>
      <c r="BK929" s="108"/>
      <c r="BL929" s="108"/>
      <c r="BM929" s="108"/>
      <c r="BN929" s="108"/>
      <c r="BO929" s="108"/>
      <c r="BP929" s="108"/>
      <c r="BQ929" s="108"/>
      <c r="BR929" s="108"/>
      <c r="BS929" s="108"/>
      <c r="BT929" s="108"/>
      <c r="BU929" s="108"/>
      <c r="BV929" s="108"/>
      <c r="BW929" s="108"/>
      <c r="BX929" s="108"/>
      <c r="BY929" s="108"/>
    </row>
    <row r="930" spans="1:77">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c r="AA930" s="109"/>
      <c r="AB930" s="109"/>
      <c r="AC930" s="109"/>
      <c r="AD930" s="109"/>
      <c r="AE930" s="109"/>
      <c r="AF930" s="109"/>
      <c r="AG930" s="109"/>
      <c r="AH930" s="109"/>
      <c r="AI930" s="109"/>
      <c r="AJ930" s="109"/>
      <c r="AK930" s="109"/>
      <c r="AL930" s="109"/>
      <c r="AM930" s="109"/>
      <c r="AN930" s="109"/>
      <c r="AO930" s="109"/>
      <c r="AP930" s="109"/>
      <c r="AQ930" s="109"/>
      <c r="AR930" s="109"/>
      <c r="AS930" s="109"/>
      <c r="AT930" s="108"/>
      <c r="AU930" s="108"/>
      <c r="AV930" s="108"/>
      <c r="AW930" s="108"/>
      <c r="AX930" s="108"/>
      <c r="AY930" s="108"/>
      <c r="AZ930" s="108"/>
      <c r="BA930" s="108"/>
      <c r="BB930" s="108"/>
      <c r="BC930" s="108"/>
      <c r="BD930" s="108"/>
      <c r="BE930" s="108"/>
      <c r="BF930" s="108"/>
      <c r="BG930" s="108"/>
      <c r="BH930" s="108"/>
      <c r="BI930" s="108"/>
      <c r="BJ930" s="108"/>
      <c r="BK930" s="108"/>
      <c r="BL930" s="108"/>
      <c r="BM930" s="108"/>
      <c r="BN930" s="108"/>
      <c r="BO930" s="108"/>
      <c r="BP930" s="108"/>
      <c r="BQ930" s="108"/>
      <c r="BR930" s="108"/>
      <c r="BS930" s="108"/>
      <c r="BT930" s="108"/>
      <c r="BU930" s="108"/>
      <c r="BV930" s="108"/>
      <c r="BW930" s="108"/>
      <c r="BX930" s="108"/>
      <c r="BY930" s="108"/>
    </row>
    <row r="931" spans="1:77">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c r="AA931" s="109"/>
      <c r="AB931" s="109"/>
      <c r="AC931" s="109"/>
      <c r="AD931" s="109"/>
      <c r="AE931" s="109"/>
      <c r="AF931" s="109"/>
      <c r="AG931" s="109"/>
      <c r="AH931" s="109"/>
      <c r="AI931" s="109"/>
      <c r="AJ931" s="109"/>
      <c r="AK931" s="109"/>
      <c r="AL931" s="109"/>
      <c r="AM931" s="109"/>
      <c r="AN931" s="109"/>
      <c r="AO931" s="109"/>
      <c r="AP931" s="109"/>
      <c r="AQ931" s="109"/>
      <c r="AR931" s="109"/>
      <c r="AS931" s="109"/>
      <c r="AT931" s="108"/>
      <c r="AU931" s="108"/>
      <c r="AV931" s="108"/>
      <c r="AW931" s="108"/>
      <c r="AX931" s="108"/>
      <c r="AY931" s="108"/>
      <c r="AZ931" s="108"/>
      <c r="BA931" s="108"/>
      <c r="BB931" s="108"/>
      <c r="BC931" s="108"/>
      <c r="BD931" s="108"/>
      <c r="BE931" s="108"/>
      <c r="BF931" s="108"/>
      <c r="BG931" s="108"/>
      <c r="BH931" s="108"/>
      <c r="BI931" s="108"/>
      <c r="BJ931" s="108"/>
      <c r="BK931" s="108"/>
      <c r="BL931" s="108"/>
      <c r="BM931" s="108"/>
      <c r="BN931" s="108"/>
      <c r="BO931" s="108"/>
      <c r="BP931" s="108"/>
      <c r="BQ931" s="108"/>
      <c r="BR931" s="108"/>
      <c r="BS931" s="108"/>
      <c r="BT931" s="108"/>
      <c r="BU931" s="108"/>
      <c r="BV931" s="108"/>
      <c r="BW931" s="108"/>
      <c r="BX931" s="108"/>
      <c r="BY931" s="108"/>
    </row>
    <row r="932" spans="1:77">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c r="AA932" s="109"/>
      <c r="AB932" s="109"/>
      <c r="AC932" s="109"/>
      <c r="AD932" s="109"/>
      <c r="AE932" s="109"/>
      <c r="AF932" s="109"/>
      <c r="AG932" s="109"/>
      <c r="AH932" s="109"/>
      <c r="AI932" s="109"/>
      <c r="AJ932" s="109"/>
      <c r="AK932" s="109"/>
      <c r="AL932" s="109"/>
      <c r="AM932" s="109"/>
      <c r="AN932" s="109"/>
      <c r="AO932" s="109"/>
      <c r="AP932" s="109"/>
      <c r="AQ932" s="109"/>
      <c r="AR932" s="109"/>
      <c r="AS932" s="109"/>
      <c r="AT932" s="108"/>
      <c r="AU932" s="108"/>
      <c r="AV932" s="108"/>
      <c r="AW932" s="108"/>
      <c r="AX932" s="108"/>
      <c r="AY932" s="108"/>
      <c r="AZ932" s="108"/>
      <c r="BA932" s="108"/>
      <c r="BB932" s="108"/>
      <c r="BC932" s="108"/>
      <c r="BD932" s="108"/>
      <c r="BE932" s="108"/>
      <c r="BF932" s="108"/>
      <c r="BG932" s="108"/>
      <c r="BH932" s="108"/>
      <c r="BI932" s="108"/>
      <c r="BJ932" s="108"/>
      <c r="BK932" s="108"/>
      <c r="BL932" s="108"/>
      <c r="BM932" s="108"/>
      <c r="BN932" s="108"/>
      <c r="BO932" s="108"/>
      <c r="BP932" s="108"/>
      <c r="BQ932" s="108"/>
      <c r="BR932" s="108"/>
      <c r="BS932" s="108"/>
      <c r="BT932" s="108"/>
      <c r="BU932" s="108"/>
      <c r="BV932" s="108"/>
      <c r="BW932" s="108"/>
      <c r="BX932" s="108"/>
      <c r="BY932" s="108"/>
    </row>
    <row r="933" spans="1:77">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c r="AA933" s="109"/>
      <c r="AB933" s="109"/>
      <c r="AC933" s="109"/>
      <c r="AD933" s="109"/>
      <c r="AE933" s="109"/>
      <c r="AF933" s="109"/>
      <c r="AG933" s="109"/>
      <c r="AH933" s="109"/>
      <c r="AI933" s="109"/>
      <c r="AJ933" s="109"/>
      <c r="AK933" s="109"/>
      <c r="AL933" s="109"/>
      <c r="AM933" s="109"/>
      <c r="AN933" s="109"/>
      <c r="AO933" s="109"/>
      <c r="AP933" s="109"/>
      <c r="AQ933" s="109"/>
      <c r="AR933" s="109"/>
      <c r="AS933" s="109"/>
      <c r="AT933" s="108"/>
      <c r="AU933" s="108"/>
      <c r="AV933" s="108"/>
      <c r="AW933" s="108"/>
      <c r="AX933" s="108"/>
      <c r="AY933" s="108"/>
      <c r="AZ933" s="108"/>
      <c r="BA933" s="108"/>
      <c r="BB933" s="108"/>
      <c r="BC933" s="108"/>
      <c r="BD933" s="108"/>
      <c r="BE933" s="108"/>
      <c r="BF933" s="108"/>
      <c r="BG933" s="108"/>
      <c r="BH933" s="108"/>
      <c r="BI933" s="108"/>
      <c r="BJ933" s="108"/>
      <c r="BK933" s="108"/>
      <c r="BL933" s="108"/>
      <c r="BM933" s="108"/>
      <c r="BN933" s="108"/>
      <c r="BO933" s="108"/>
      <c r="BP933" s="108"/>
      <c r="BQ933" s="108"/>
      <c r="BR933" s="108"/>
      <c r="BS933" s="108"/>
      <c r="BT933" s="108"/>
      <c r="BU933" s="108"/>
      <c r="BV933" s="108"/>
      <c r="BW933" s="108"/>
      <c r="BX933" s="108"/>
      <c r="BY933" s="108"/>
    </row>
    <row r="934" spans="1:77">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c r="AB934" s="109"/>
      <c r="AC934" s="109"/>
      <c r="AD934" s="109"/>
      <c r="AE934" s="109"/>
      <c r="AF934" s="109"/>
      <c r="AG934" s="109"/>
      <c r="AH934" s="109"/>
      <c r="AI934" s="109"/>
      <c r="AJ934" s="109"/>
      <c r="AK934" s="109"/>
      <c r="AL934" s="109"/>
      <c r="AM934" s="109"/>
      <c r="AN934" s="109"/>
      <c r="AO934" s="109"/>
      <c r="AP934" s="109"/>
      <c r="AQ934" s="109"/>
      <c r="AR934" s="109"/>
      <c r="AS934" s="109"/>
      <c r="AT934" s="108"/>
      <c r="AU934" s="108"/>
      <c r="AV934" s="108"/>
      <c r="AW934" s="108"/>
      <c r="AX934" s="108"/>
      <c r="AY934" s="108"/>
      <c r="AZ934" s="108"/>
      <c r="BA934" s="108"/>
      <c r="BB934" s="108"/>
      <c r="BC934" s="108"/>
      <c r="BD934" s="108"/>
      <c r="BE934" s="108"/>
      <c r="BF934" s="108"/>
      <c r="BG934" s="108"/>
      <c r="BH934" s="108"/>
      <c r="BI934" s="108"/>
      <c r="BJ934" s="108"/>
      <c r="BK934" s="108"/>
      <c r="BL934" s="108"/>
      <c r="BM934" s="108"/>
      <c r="BN934" s="108"/>
      <c r="BO934" s="108"/>
      <c r="BP934" s="108"/>
      <c r="BQ934" s="108"/>
      <c r="BR934" s="108"/>
      <c r="BS934" s="108"/>
      <c r="BT934" s="108"/>
      <c r="BU934" s="108"/>
      <c r="BV934" s="108"/>
      <c r="BW934" s="108"/>
      <c r="BX934" s="108"/>
      <c r="BY934" s="108"/>
    </row>
    <row r="935" spans="1:77">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c r="AA935" s="109"/>
      <c r="AB935" s="109"/>
      <c r="AC935" s="109"/>
      <c r="AD935" s="109"/>
      <c r="AE935" s="109"/>
      <c r="AF935" s="109"/>
      <c r="AG935" s="109"/>
      <c r="AH935" s="109"/>
      <c r="AI935" s="109"/>
      <c r="AJ935" s="109"/>
      <c r="AK935" s="109"/>
      <c r="AL935" s="109"/>
      <c r="AM935" s="109"/>
      <c r="AN935" s="109"/>
      <c r="AO935" s="109"/>
      <c r="AP935" s="109"/>
      <c r="AQ935" s="109"/>
      <c r="AR935" s="109"/>
      <c r="AS935" s="109"/>
      <c r="AT935" s="108"/>
      <c r="AU935" s="108"/>
      <c r="AV935" s="108"/>
      <c r="AW935" s="108"/>
      <c r="AX935" s="108"/>
      <c r="AY935" s="108"/>
      <c r="AZ935" s="108"/>
      <c r="BA935" s="108"/>
      <c r="BB935" s="108"/>
      <c r="BC935" s="108"/>
      <c r="BD935" s="108"/>
      <c r="BE935" s="108"/>
      <c r="BF935" s="108"/>
      <c r="BG935" s="108"/>
      <c r="BH935" s="108"/>
      <c r="BI935" s="108"/>
      <c r="BJ935" s="108"/>
      <c r="BK935" s="108"/>
      <c r="BL935" s="108"/>
      <c r="BM935" s="108"/>
      <c r="BN935" s="108"/>
      <c r="BO935" s="108"/>
      <c r="BP935" s="108"/>
      <c r="BQ935" s="108"/>
      <c r="BR935" s="108"/>
      <c r="BS935" s="108"/>
      <c r="BT935" s="108"/>
      <c r="BU935" s="108"/>
      <c r="BV935" s="108"/>
      <c r="BW935" s="108"/>
      <c r="BX935" s="108"/>
      <c r="BY935" s="108"/>
    </row>
    <row r="936" spans="1:77">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c r="AB936" s="109"/>
      <c r="AC936" s="109"/>
      <c r="AD936" s="109"/>
      <c r="AE936" s="109"/>
      <c r="AF936" s="109"/>
      <c r="AG936" s="109"/>
      <c r="AH936" s="109"/>
      <c r="AI936" s="109"/>
      <c r="AJ936" s="109"/>
      <c r="AK936" s="109"/>
      <c r="AL936" s="109"/>
      <c r="AM936" s="109"/>
      <c r="AN936" s="109"/>
      <c r="AO936" s="109"/>
      <c r="AP936" s="109"/>
      <c r="AQ936" s="109"/>
      <c r="AR936" s="109"/>
      <c r="AS936" s="109"/>
      <c r="AT936" s="108"/>
      <c r="AU936" s="108"/>
      <c r="AV936" s="108"/>
      <c r="AW936" s="108"/>
      <c r="AX936" s="108"/>
      <c r="AY936" s="108"/>
      <c r="AZ936" s="108"/>
      <c r="BA936" s="108"/>
      <c r="BB936" s="108"/>
      <c r="BC936" s="108"/>
      <c r="BD936" s="108"/>
      <c r="BE936" s="108"/>
      <c r="BF936" s="108"/>
      <c r="BG936" s="108"/>
      <c r="BH936" s="108"/>
      <c r="BI936" s="108"/>
      <c r="BJ936" s="108"/>
      <c r="BK936" s="108"/>
      <c r="BL936" s="108"/>
      <c r="BM936" s="108"/>
      <c r="BN936" s="108"/>
      <c r="BO936" s="108"/>
      <c r="BP936" s="108"/>
      <c r="BQ936" s="108"/>
      <c r="BR936" s="108"/>
      <c r="BS936" s="108"/>
      <c r="BT936" s="108"/>
      <c r="BU936" s="108"/>
      <c r="BV936" s="108"/>
      <c r="BW936" s="108"/>
      <c r="BX936" s="108"/>
      <c r="BY936" s="108"/>
    </row>
    <row r="937" spans="1:77">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c r="AA937" s="109"/>
      <c r="AB937" s="109"/>
      <c r="AC937" s="109"/>
      <c r="AD937" s="109"/>
      <c r="AE937" s="109"/>
      <c r="AF937" s="109"/>
      <c r="AG937" s="109"/>
      <c r="AH937" s="109"/>
      <c r="AI937" s="109"/>
      <c r="AJ937" s="109"/>
      <c r="AK937" s="109"/>
      <c r="AL937" s="109"/>
      <c r="AM937" s="109"/>
      <c r="AN937" s="109"/>
      <c r="AO937" s="109"/>
      <c r="AP937" s="109"/>
      <c r="AQ937" s="109"/>
      <c r="AR937" s="109"/>
      <c r="AS937" s="109"/>
      <c r="AT937" s="108"/>
      <c r="AU937" s="108"/>
      <c r="AV937" s="108"/>
      <c r="AW937" s="108"/>
      <c r="AX937" s="108"/>
      <c r="AY937" s="108"/>
      <c r="AZ937" s="108"/>
      <c r="BA937" s="108"/>
      <c r="BB937" s="108"/>
      <c r="BC937" s="108"/>
      <c r="BD937" s="108"/>
      <c r="BE937" s="108"/>
      <c r="BF937" s="108"/>
      <c r="BG937" s="108"/>
      <c r="BH937" s="108"/>
      <c r="BI937" s="108"/>
      <c r="BJ937" s="108"/>
      <c r="BK937" s="108"/>
      <c r="BL937" s="108"/>
      <c r="BM937" s="108"/>
      <c r="BN937" s="108"/>
      <c r="BO937" s="108"/>
      <c r="BP937" s="108"/>
      <c r="BQ937" s="108"/>
      <c r="BR937" s="108"/>
      <c r="BS937" s="108"/>
      <c r="BT937" s="108"/>
      <c r="BU937" s="108"/>
      <c r="BV937" s="108"/>
      <c r="BW937" s="108"/>
      <c r="BX937" s="108"/>
      <c r="BY937" s="108"/>
    </row>
    <row r="938" spans="1:77">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c r="AA938" s="109"/>
      <c r="AB938" s="109"/>
      <c r="AC938" s="109"/>
      <c r="AD938" s="109"/>
      <c r="AE938" s="109"/>
      <c r="AF938" s="109"/>
      <c r="AG938" s="109"/>
      <c r="AH938" s="109"/>
      <c r="AI938" s="109"/>
      <c r="AJ938" s="109"/>
      <c r="AK938" s="109"/>
      <c r="AL938" s="109"/>
      <c r="AM938" s="109"/>
      <c r="AN938" s="109"/>
      <c r="AO938" s="109"/>
      <c r="AP938" s="109"/>
      <c r="AQ938" s="109"/>
      <c r="AR938" s="109"/>
      <c r="AS938" s="109"/>
      <c r="AT938" s="108"/>
      <c r="AU938" s="108"/>
      <c r="AV938" s="108"/>
      <c r="AW938" s="108"/>
      <c r="AX938" s="108"/>
      <c r="AY938" s="108"/>
      <c r="AZ938" s="108"/>
      <c r="BA938" s="108"/>
      <c r="BB938" s="108"/>
      <c r="BC938" s="108"/>
      <c r="BD938" s="108"/>
      <c r="BE938" s="108"/>
      <c r="BF938" s="108"/>
      <c r="BG938" s="108"/>
      <c r="BH938" s="108"/>
      <c r="BI938" s="108"/>
      <c r="BJ938" s="108"/>
      <c r="BK938" s="108"/>
      <c r="BL938" s="108"/>
      <c r="BM938" s="108"/>
      <c r="BN938" s="108"/>
      <c r="BO938" s="108"/>
      <c r="BP938" s="108"/>
      <c r="BQ938" s="108"/>
      <c r="BR938" s="108"/>
      <c r="BS938" s="108"/>
      <c r="BT938" s="108"/>
      <c r="BU938" s="108"/>
      <c r="BV938" s="108"/>
      <c r="BW938" s="108"/>
      <c r="BX938" s="108"/>
      <c r="BY938" s="108"/>
    </row>
    <row r="939" spans="1:77">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c r="AA939" s="109"/>
      <c r="AB939" s="109"/>
      <c r="AC939" s="109"/>
      <c r="AD939" s="109"/>
      <c r="AE939" s="109"/>
      <c r="AF939" s="109"/>
      <c r="AG939" s="109"/>
      <c r="AH939" s="109"/>
      <c r="AI939" s="109"/>
      <c r="AJ939" s="109"/>
      <c r="AK939" s="109"/>
      <c r="AL939" s="109"/>
      <c r="AM939" s="109"/>
      <c r="AN939" s="109"/>
      <c r="AO939" s="109"/>
      <c r="AP939" s="109"/>
      <c r="AQ939" s="109"/>
      <c r="AR939" s="109"/>
      <c r="AS939" s="109"/>
      <c r="AT939" s="108"/>
      <c r="AU939" s="108"/>
      <c r="AV939" s="108"/>
      <c r="AW939" s="108"/>
      <c r="AX939" s="108"/>
      <c r="AY939" s="108"/>
      <c r="AZ939" s="108"/>
      <c r="BA939" s="108"/>
      <c r="BB939" s="108"/>
      <c r="BC939" s="108"/>
      <c r="BD939" s="108"/>
      <c r="BE939" s="108"/>
      <c r="BF939" s="108"/>
      <c r="BG939" s="108"/>
      <c r="BH939" s="108"/>
      <c r="BI939" s="108"/>
      <c r="BJ939" s="108"/>
      <c r="BK939" s="108"/>
      <c r="BL939" s="108"/>
      <c r="BM939" s="108"/>
      <c r="BN939" s="108"/>
      <c r="BO939" s="108"/>
      <c r="BP939" s="108"/>
      <c r="BQ939" s="108"/>
      <c r="BR939" s="108"/>
      <c r="BS939" s="108"/>
      <c r="BT939" s="108"/>
      <c r="BU939" s="108"/>
      <c r="BV939" s="108"/>
      <c r="BW939" s="108"/>
      <c r="BX939" s="108"/>
      <c r="BY939" s="108"/>
    </row>
    <row r="940" spans="1:77">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c r="AA940" s="109"/>
      <c r="AB940" s="109"/>
      <c r="AC940" s="109"/>
      <c r="AD940" s="109"/>
      <c r="AE940" s="109"/>
      <c r="AF940" s="109"/>
      <c r="AG940" s="109"/>
      <c r="AH940" s="109"/>
      <c r="AI940" s="109"/>
      <c r="AJ940" s="109"/>
      <c r="AK940" s="109"/>
      <c r="AL940" s="109"/>
      <c r="AM940" s="109"/>
      <c r="AN940" s="109"/>
      <c r="AO940" s="109"/>
      <c r="AP940" s="109"/>
      <c r="AQ940" s="109"/>
      <c r="AR940" s="109"/>
      <c r="AS940" s="109"/>
      <c r="AT940" s="108"/>
      <c r="AU940" s="108"/>
      <c r="AV940" s="108"/>
      <c r="AW940" s="108"/>
      <c r="AX940" s="108"/>
      <c r="AY940" s="108"/>
      <c r="AZ940" s="108"/>
      <c r="BA940" s="108"/>
      <c r="BB940" s="108"/>
      <c r="BC940" s="108"/>
      <c r="BD940" s="108"/>
      <c r="BE940" s="108"/>
      <c r="BF940" s="108"/>
      <c r="BG940" s="108"/>
      <c r="BH940" s="108"/>
      <c r="BI940" s="108"/>
      <c r="BJ940" s="108"/>
      <c r="BK940" s="108"/>
      <c r="BL940" s="108"/>
      <c r="BM940" s="108"/>
      <c r="BN940" s="108"/>
      <c r="BO940" s="108"/>
      <c r="BP940" s="108"/>
      <c r="BQ940" s="108"/>
      <c r="BR940" s="108"/>
      <c r="BS940" s="108"/>
      <c r="BT940" s="108"/>
      <c r="BU940" s="108"/>
      <c r="BV940" s="108"/>
      <c r="BW940" s="108"/>
      <c r="BX940" s="108"/>
      <c r="BY940" s="108"/>
    </row>
    <row r="941" spans="1:77">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c r="AA941" s="109"/>
      <c r="AB941" s="109"/>
      <c r="AC941" s="109"/>
      <c r="AD941" s="109"/>
      <c r="AE941" s="109"/>
      <c r="AF941" s="109"/>
      <c r="AG941" s="109"/>
      <c r="AH941" s="109"/>
      <c r="AI941" s="109"/>
      <c r="AJ941" s="109"/>
      <c r="AK941" s="109"/>
      <c r="AL941" s="109"/>
      <c r="AM941" s="109"/>
      <c r="AN941" s="109"/>
      <c r="AO941" s="109"/>
      <c r="AP941" s="109"/>
      <c r="AQ941" s="109"/>
      <c r="AR941" s="109"/>
      <c r="AS941" s="109"/>
      <c r="AT941" s="108"/>
      <c r="AU941" s="108"/>
      <c r="AV941" s="108"/>
      <c r="AW941" s="108"/>
      <c r="AX941" s="108"/>
      <c r="AY941" s="108"/>
      <c r="AZ941" s="108"/>
      <c r="BA941" s="108"/>
      <c r="BB941" s="108"/>
      <c r="BC941" s="108"/>
      <c r="BD941" s="108"/>
      <c r="BE941" s="108"/>
      <c r="BF941" s="108"/>
      <c r="BG941" s="108"/>
      <c r="BH941" s="108"/>
      <c r="BI941" s="108"/>
      <c r="BJ941" s="108"/>
      <c r="BK941" s="108"/>
      <c r="BL941" s="108"/>
      <c r="BM941" s="108"/>
      <c r="BN941" s="108"/>
      <c r="BO941" s="108"/>
      <c r="BP941" s="108"/>
      <c r="BQ941" s="108"/>
      <c r="BR941" s="108"/>
      <c r="BS941" s="108"/>
      <c r="BT941" s="108"/>
      <c r="BU941" s="108"/>
      <c r="BV941" s="108"/>
      <c r="BW941" s="108"/>
      <c r="BX941" s="108"/>
      <c r="BY941" s="108"/>
    </row>
    <row r="942" spans="1:77">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c r="AA942" s="109"/>
      <c r="AB942" s="109"/>
      <c r="AC942" s="109"/>
      <c r="AD942" s="109"/>
      <c r="AE942" s="109"/>
      <c r="AF942" s="109"/>
      <c r="AG942" s="109"/>
      <c r="AH942" s="109"/>
      <c r="AI942" s="109"/>
      <c r="AJ942" s="109"/>
      <c r="AK942" s="109"/>
      <c r="AL942" s="109"/>
      <c r="AM942" s="109"/>
      <c r="AN942" s="109"/>
      <c r="AO942" s="109"/>
      <c r="AP942" s="109"/>
      <c r="AQ942" s="109"/>
      <c r="AR942" s="109"/>
      <c r="AS942" s="109"/>
      <c r="AT942" s="108"/>
      <c r="AU942" s="108"/>
      <c r="AV942" s="108"/>
      <c r="AW942" s="108"/>
      <c r="AX942" s="108"/>
      <c r="AY942" s="108"/>
      <c r="AZ942" s="108"/>
      <c r="BA942" s="108"/>
      <c r="BB942" s="108"/>
      <c r="BC942" s="108"/>
      <c r="BD942" s="108"/>
      <c r="BE942" s="108"/>
      <c r="BF942" s="108"/>
      <c r="BG942" s="108"/>
      <c r="BH942" s="108"/>
      <c r="BI942" s="108"/>
      <c r="BJ942" s="108"/>
      <c r="BK942" s="108"/>
      <c r="BL942" s="108"/>
      <c r="BM942" s="108"/>
      <c r="BN942" s="108"/>
      <c r="BO942" s="108"/>
      <c r="BP942" s="108"/>
      <c r="BQ942" s="108"/>
      <c r="BR942" s="108"/>
      <c r="BS942" s="108"/>
      <c r="BT942" s="108"/>
      <c r="BU942" s="108"/>
      <c r="BV942" s="108"/>
      <c r="BW942" s="108"/>
      <c r="BX942" s="108"/>
      <c r="BY942" s="108"/>
    </row>
    <row r="943" spans="1:77">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c r="AA943" s="109"/>
      <c r="AB943" s="109"/>
      <c r="AC943" s="109"/>
      <c r="AD943" s="109"/>
      <c r="AE943" s="109"/>
      <c r="AF943" s="109"/>
      <c r="AG943" s="109"/>
      <c r="AH943" s="109"/>
      <c r="AI943" s="109"/>
      <c r="AJ943" s="109"/>
      <c r="AK943" s="109"/>
      <c r="AL943" s="109"/>
      <c r="AM943" s="109"/>
      <c r="AN943" s="109"/>
      <c r="AO943" s="109"/>
      <c r="AP943" s="109"/>
      <c r="AQ943" s="109"/>
      <c r="AR943" s="109"/>
      <c r="AS943" s="109"/>
      <c r="AT943" s="108"/>
      <c r="AU943" s="108"/>
      <c r="AV943" s="108"/>
      <c r="AW943" s="108"/>
      <c r="AX943" s="108"/>
      <c r="AY943" s="108"/>
      <c r="AZ943" s="108"/>
      <c r="BA943" s="108"/>
      <c r="BB943" s="108"/>
      <c r="BC943" s="108"/>
      <c r="BD943" s="108"/>
      <c r="BE943" s="108"/>
      <c r="BF943" s="108"/>
      <c r="BG943" s="108"/>
      <c r="BH943" s="108"/>
      <c r="BI943" s="108"/>
      <c r="BJ943" s="108"/>
      <c r="BK943" s="108"/>
      <c r="BL943" s="108"/>
      <c r="BM943" s="108"/>
      <c r="BN943" s="108"/>
      <c r="BO943" s="108"/>
      <c r="BP943" s="108"/>
      <c r="BQ943" s="108"/>
      <c r="BR943" s="108"/>
      <c r="BS943" s="108"/>
      <c r="BT943" s="108"/>
      <c r="BU943" s="108"/>
      <c r="BV943" s="108"/>
      <c r="BW943" s="108"/>
      <c r="BX943" s="108"/>
      <c r="BY943" s="108"/>
    </row>
    <row r="944" spans="1:77">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c r="AB944" s="109"/>
      <c r="AC944" s="109"/>
      <c r="AD944" s="109"/>
      <c r="AE944" s="109"/>
      <c r="AF944" s="109"/>
      <c r="AG944" s="109"/>
      <c r="AH944" s="109"/>
      <c r="AI944" s="109"/>
      <c r="AJ944" s="109"/>
      <c r="AK944" s="109"/>
      <c r="AL944" s="109"/>
      <c r="AM944" s="109"/>
      <c r="AN944" s="109"/>
      <c r="AO944" s="109"/>
      <c r="AP944" s="109"/>
      <c r="AQ944" s="109"/>
      <c r="AR944" s="109"/>
      <c r="AS944" s="109"/>
      <c r="AT944" s="108"/>
      <c r="AU944" s="108"/>
      <c r="AV944" s="108"/>
      <c r="AW944" s="108"/>
      <c r="AX944" s="108"/>
      <c r="AY944" s="108"/>
      <c r="AZ944" s="108"/>
      <c r="BA944" s="108"/>
      <c r="BB944" s="108"/>
      <c r="BC944" s="108"/>
      <c r="BD944" s="108"/>
      <c r="BE944" s="108"/>
      <c r="BF944" s="108"/>
      <c r="BG944" s="108"/>
      <c r="BH944" s="108"/>
      <c r="BI944" s="108"/>
      <c r="BJ944" s="108"/>
      <c r="BK944" s="108"/>
      <c r="BL944" s="108"/>
      <c r="BM944" s="108"/>
      <c r="BN944" s="108"/>
      <c r="BO944" s="108"/>
      <c r="BP944" s="108"/>
      <c r="BQ944" s="108"/>
      <c r="BR944" s="108"/>
      <c r="BS944" s="108"/>
      <c r="BT944" s="108"/>
      <c r="BU944" s="108"/>
      <c r="BV944" s="108"/>
      <c r="BW944" s="108"/>
      <c r="BX944" s="108"/>
      <c r="BY944" s="108"/>
    </row>
    <row r="945" spans="1:77">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c r="AA945" s="109"/>
      <c r="AB945" s="109"/>
      <c r="AC945" s="109"/>
      <c r="AD945" s="109"/>
      <c r="AE945" s="109"/>
      <c r="AF945" s="109"/>
      <c r="AG945" s="109"/>
      <c r="AH945" s="109"/>
      <c r="AI945" s="109"/>
      <c r="AJ945" s="109"/>
      <c r="AK945" s="109"/>
      <c r="AL945" s="109"/>
      <c r="AM945" s="109"/>
      <c r="AN945" s="109"/>
      <c r="AO945" s="109"/>
      <c r="AP945" s="109"/>
      <c r="AQ945" s="109"/>
      <c r="AR945" s="109"/>
      <c r="AS945" s="109"/>
      <c r="AT945" s="108"/>
      <c r="AU945" s="108"/>
      <c r="AV945" s="108"/>
      <c r="AW945" s="108"/>
      <c r="AX945" s="108"/>
      <c r="AY945" s="108"/>
      <c r="AZ945" s="108"/>
      <c r="BA945" s="108"/>
      <c r="BB945" s="108"/>
      <c r="BC945" s="108"/>
      <c r="BD945" s="108"/>
      <c r="BE945" s="108"/>
      <c r="BF945" s="108"/>
      <c r="BG945" s="108"/>
      <c r="BH945" s="108"/>
      <c r="BI945" s="108"/>
      <c r="BJ945" s="108"/>
      <c r="BK945" s="108"/>
      <c r="BL945" s="108"/>
      <c r="BM945" s="108"/>
      <c r="BN945" s="108"/>
      <c r="BO945" s="108"/>
      <c r="BP945" s="108"/>
      <c r="BQ945" s="108"/>
      <c r="BR945" s="108"/>
      <c r="BS945" s="108"/>
      <c r="BT945" s="108"/>
      <c r="BU945" s="108"/>
      <c r="BV945" s="108"/>
      <c r="BW945" s="108"/>
      <c r="BX945" s="108"/>
      <c r="BY945" s="108"/>
    </row>
    <row r="946" spans="1:77">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c r="AB946" s="109"/>
      <c r="AC946" s="109"/>
      <c r="AD946" s="109"/>
      <c r="AE946" s="109"/>
      <c r="AF946" s="109"/>
      <c r="AG946" s="109"/>
      <c r="AH946" s="109"/>
      <c r="AI946" s="109"/>
      <c r="AJ946" s="109"/>
      <c r="AK946" s="109"/>
      <c r="AL946" s="109"/>
      <c r="AM946" s="109"/>
      <c r="AN946" s="109"/>
      <c r="AO946" s="109"/>
      <c r="AP946" s="109"/>
      <c r="AQ946" s="109"/>
      <c r="AR946" s="109"/>
      <c r="AS946" s="109"/>
      <c r="AT946" s="108"/>
      <c r="AU946" s="108"/>
      <c r="AV946" s="108"/>
      <c r="AW946" s="108"/>
      <c r="AX946" s="108"/>
      <c r="AY946" s="108"/>
      <c r="AZ946" s="108"/>
      <c r="BA946" s="108"/>
      <c r="BB946" s="108"/>
      <c r="BC946" s="108"/>
      <c r="BD946" s="108"/>
      <c r="BE946" s="108"/>
      <c r="BF946" s="108"/>
      <c r="BG946" s="108"/>
      <c r="BH946" s="108"/>
      <c r="BI946" s="108"/>
      <c r="BJ946" s="108"/>
      <c r="BK946" s="108"/>
      <c r="BL946" s="108"/>
      <c r="BM946" s="108"/>
      <c r="BN946" s="108"/>
      <c r="BO946" s="108"/>
      <c r="BP946" s="108"/>
      <c r="BQ946" s="108"/>
      <c r="BR946" s="108"/>
      <c r="BS946" s="108"/>
      <c r="BT946" s="108"/>
      <c r="BU946" s="108"/>
      <c r="BV946" s="108"/>
      <c r="BW946" s="108"/>
      <c r="BX946" s="108"/>
      <c r="BY946" s="108"/>
    </row>
    <row r="947" spans="1:77">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c r="AA947" s="109"/>
      <c r="AB947" s="109"/>
      <c r="AC947" s="109"/>
      <c r="AD947" s="109"/>
      <c r="AE947" s="109"/>
      <c r="AF947" s="109"/>
      <c r="AG947" s="109"/>
      <c r="AH947" s="109"/>
      <c r="AI947" s="109"/>
      <c r="AJ947" s="109"/>
      <c r="AK947" s="109"/>
      <c r="AL947" s="109"/>
      <c r="AM947" s="109"/>
      <c r="AN947" s="109"/>
      <c r="AO947" s="109"/>
      <c r="AP947" s="109"/>
      <c r="AQ947" s="109"/>
      <c r="AR947" s="109"/>
      <c r="AS947" s="109"/>
      <c r="AT947" s="108"/>
      <c r="AU947" s="108"/>
      <c r="AV947" s="108"/>
      <c r="AW947" s="108"/>
      <c r="AX947" s="108"/>
      <c r="AY947" s="108"/>
      <c r="AZ947" s="108"/>
      <c r="BA947" s="108"/>
      <c r="BB947" s="108"/>
      <c r="BC947" s="108"/>
      <c r="BD947" s="108"/>
      <c r="BE947" s="108"/>
      <c r="BF947" s="108"/>
      <c r="BG947" s="108"/>
      <c r="BH947" s="108"/>
      <c r="BI947" s="108"/>
      <c r="BJ947" s="108"/>
      <c r="BK947" s="108"/>
      <c r="BL947" s="108"/>
      <c r="BM947" s="108"/>
      <c r="BN947" s="108"/>
      <c r="BO947" s="108"/>
      <c r="BP947" s="108"/>
      <c r="BQ947" s="108"/>
      <c r="BR947" s="108"/>
      <c r="BS947" s="108"/>
      <c r="BT947" s="108"/>
      <c r="BU947" s="108"/>
      <c r="BV947" s="108"/>
      <c r="BW947" s="108"/>
      <c r="BX947" s="108"/>
      <c r="BY947" s="108"/>
    </row>
    <row r="948" spans="1:77">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c r="AA948" s="109"/>
      <c r="AB948" s="109"/>
      <c r="AC948" s="109"/>
      <c r="AD948" s="109"/>
      <c r="AE948" s="109"/>
      <c r="AF948" s="109"/>
      <c r="AG948" s="109"/>
      <c r="AH948" s="109"/>
      <c r="AI948" s="109"/>
      <c r="AJ948" s="109"/>
      <c r="AK948" s="109"/>
      <c r="AL948" s="109"/>
      <c r="AM948" s="109"/>
      <c r="AN948" s="109"/>
      <c r="AO948" s="109"/>
      <c r="AP948" s="109"/>
      <c r="AQ948" s="109"/>
      <c r="AR948" s="109"/>
      <c r="AS948" s="109"/>
      <c r="AT948" s="108"/>
      <c r="AU948" s="108"/>
      <c r="AV948" s="108"/>
      <c r="AW948" s="108"/>
      <c r="AX948" s="108"/>
      <c r="AY948" s="108"/>
      <c r="AZ948" s="108"/>
      <c r="BA948" s="108"/>
      <c r="BB948" s="108"/>
      <c r="BC948" s="108"/>
      <c r="BD948" s="108"/>
      <c r="BE948" s="108"/>
      <c r="BF948" s="108"/>
      <c r="BG948" s="108"/>
      <c r="BH948" s="108"/>
      <c r="BI948" s="108"/>
      <c r="BJ948" s="108"/>
      <c r="BK948" s="108"/>
      <c r="BL948" s="108"/>
      <c r="BM948" s="108"/>
      <c r="BN948" s="108"/>
      <c r="BO948" s="108"/>
      <c r="BP948" s="108"/>
      <c r="BQ948" s="108"/>
      <c r="BR948" s="108"/>
      <c r="BS948" s="108"/>
      <c r="BT948" s="108"/>
      <c r="BU948" s="108"/>
      <c r="BV948" s="108"/>
      <c r="BW948" s="108"/>
      <c r="BX948" s="108"/>
      <c r="BY948" s="108"/>
    </row>
    <row r="949" spans="1:77">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c r="AA949" s="109"/>
      <c r="AB949" s="109"/>
      <c r="AC949" s="109"/>
      <c r="AD949" s="109"/>
      <c r="AE949" s="109"/>
      <c r="AF949" s="109"/>
      <c r="AG949" s="109"/>
      <c r="AH949" s="109"/>
      <c r="AI949" s="109"/>
      <c r="AJ949" s="109"/>
      <c r="AK949" s="109"/>
      <c r="AL949" s="109"/>
      <c r="AM949" s="109"/>
      <c r="AN949" s="109"/>
      <c r="AO949" s="109"/>
      <c r="AP949" s="109"/>
      <c r="AQ949" s="109"/>
      <c r="AR949" s="109"/>
      <c r="AS949" s="109"/>
      <c r="AT949" s="108"/>
      <c r="AU949" s="108"/>
      <c r="AV949" s="108"/>
      <c r="AW949" s="108"/>
      <c r="AX949" s="108"/>
      <c r="AY949" s="108"/>
      <c r="AZ949" s="108"/>
      <c r="BA949" s="108"/>
      <c r="BB949" s="108"/>
      <c r="BC949" s="108"/>
      <c r="BD949" s="108"/>
      <c r="BE949" s="108"/>
      <c r="BF949" s="108"/>
      <c r="BG949" s="108"/>
      <c r="BH949" s="108"/>
      <c r="BI949" s="108"/>
      <c r="BJ949" s="108"/>
      <c r="BK949" s="108"/>
      <c r="BL949" s="108"/>
      <c r="BM949" s="108"/>
      <c r="BN949" s="108"/>
      <c r="BO949" s="108"/>
      <c r="BP949" s="108"/>
      <c r="BQ949" s="108"/>
      <c r="BR949" s="108"/>
      <c r="BS949" s="108"/>
      <c r="BT949" s="108"/>
      <c r="BU949" s="108"/>
      <c r="BV949" s="108"/>
      <c r="BW949" s="108"/>
      <c r="BX949" s="108"/>
      <c r="BY949" s="108"/>
    </row>
    <row r="950" spans="1:77">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c r="AB950" s="109"/>
      <c r="AC950" s="109"/>
      <c r="AD950" s="109"/>
      <c r="AE950" s="109"/>
      <c r="AF950" s="109"/>
      <c r="AG950" s="109"/>
      <c r="AH950" s="109"/>
      <c r="AI950" s="109"/>
      <c r="AJ950" s="109"/>
      <c r="AK950" s="109"/>
      <c r="AL950" s="109"/>
      <c r="AM950" s="109"/>
      <c r="AN950" s="109"/>
      <c r="AO950" s="109"/>
      <c r="AP950" s="109"/>
      <c r="AQ950" s="109"/>
      <c r="AR950" s="109"/>
      <c r="AS950" s="109"/>
      <c r="AT950" s="108"/>
      <c r="AU950" s="108"/>
      <c r="AV950" s="108"/>
      <c r="AW950" s="108"/>
      <c r="AX950" s="108"/>
      <c r="AY950" s="108"/>
      <c r="AZ950" s="108"/>
      <c r="BA950" s="108"/>
      <c r="BB950" s="108"/>
      <c r="BC950" s="108"/>
      <c r="BD950" s="108"/>
      <c r="BE950" s="108"/>
      <c r="BF950" s="108"/>
      <c r="BG950" s="108"/>
      <c r="BH950" s="108"/>
      <c r="BI950" s="108"/>
      <c r="BJ950" s="108"/>
      <c r="BK950" s="108"/>
      <c r="BL950" s="108"/>
      <c r="BM950" s="108"/>
      <c r="BN950" s="108"/>
      <c r="BO950" s="108"/>
      <c r="BP950" s="108"/>
      <c r="BQ950" s="108"/>
      <c r="BR950" s="108"/>
      <c r="BS950" s="108"/>
      <c r="BT950" s="108"/>
      <c r="BU950" s="108"/>
      <c r="BV950" s="108"/>
      <c r="BW950" s="108"/>
      <c r="BX950" s="108"/>
      <c r="BY950" s="108"/>
    </row>
    <row r="951" spans="1:77">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c r="AA951" s="109"/>
      <c r="AB951" s="109"/>
      <c r="AC951" s="109"/>
      <c r="AD951" s="109"/>
      <c r="AE951" s="109"/>
      <c r="AF951" s="109"/>
      <c r="AG951" s="109"/>
      <c r="AH951" s="109"/>
      <c r="AI951" s="109"/>
      <c r="AJ951" s="109"/>
      <c r="AK951" s="109"/>
      <c r="AL951" s="109"/>
      <c r="AM951" s="109"/>
      <c r="AN951" s="109"/>
      <c r="AO951" s="109"/>
      <c r="AP951" s="109"/>
      <c r="AQ951" s="109"/>
      <c r="AR951" s="109"/>
      <c r="AS951" s="109"/>
      <c r="AT951" s="108"/>
      <c r="AU951" s="108"/>
      <c r="AV951" s="108"/>
      <c r="AW951" s="108"/>
      <c r="AX951" s="108"/>
      <c r="AY951" s="108"/>
      <c r="AZ951" s="108"/>
      <c r="BA951" s="108"/>
      <c r="BB951" s="108"/>
      <c r="BC951" s="108"/>
      <c r="BD951" s="108"/>
      <c r="BE951" s="108"/>
      <c r="BF951" s="108"/>
      <c r="BG951" s="108"/>
      <c r="BH951" s="108"/>
      <c r="BI951" s="108"/>
      <c r="BJ951" s="108"/>
      <c r="BK951" s="108"/>
      <c r="BL951" s="108"/>
      <c r="BM951" s="108"/>
      <c r="BN951" s="108"/>
      <c r="BO951" s="108"/>
      <c r="BP951" s="108"/>
      <c r="BQ951" s="108"/>
      <c r="BR951" s="108"/>
      <c r="BS951" s="108"/>
      <c r="BT951" s="108"/>
      <c r="BU951" s="108"/>
      <c r="BV951" s="108"/>
      <c r="BW951" s="108"/>
      <c r="BX951" s="108"/>
      <c r="BY951" s="108"/>
    </row>
    <row r="952" spans="1:77">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c r="AA952" s="109"/>
      <c r="AB952" s="109"/>
      <c r="AC952" s="109"/>
      <c r="AD952" s="109"/>
      <c r="AE952" s="109"/>
      <c r="AF952" s="109"/>
      <c r="AG952" s="109"/>
      <c r="AH952" s="109"/>
      <c r="AI952" s="109"/>
      <c r="AJ952" s="109"/>
      <c r="AK952" s="109"/>
      <c r="AL952" s="109"/>
      <c r="AM952" s="109"/>
      <c r="AN952" s="109"/>
      <c r="AO952" s="109"/>
      <c r="AP952" s="109"/>
      <c r="AQ952" s="109"/>
      <c r="AR952" s="109"/>
      <c r="AS952" s="109"/>
      <c r="AT952" s="108"/>
      <c r="AU952" s="108"/>
      <c r="AV952" s="108"/>
      <c r="AW952" s="108"/>
      <c r="AX952" s="108"/>
      <c r="AY952" s="108"/>
      <c r="AZ952" s="108"/>
      <c r="BA952" s="108"/>
      <c r="BB952" s="108"/>
      <c r="BC952" s="108"/>
      <c r="BD952" s="108"/>
      <c r="BE952" s="108"/>
      <c r="BF952" s="108"/>
      <c r="BG952" s="108"/>
      <c r="BH952" s="108"/>
      <c r="BI952" s="108"/>
      <c r="BJ952" s="108"/>
      <c r="BK952" s="108"/>
      <c r="BL952" s="108"/>
      <c r="BM952" s="108"/>
      <c r="BN952" s="108"/>
      <c r="BO952" s="108"/>
      <c r="BP952" s="108"/>
      <c r="BQ952" s="108"/>
      <c r="BR952" s="108"/>
      <c r="BS952" s="108"/>
      <c r="BT952" s="108"/>
      <c r="BU952" s="108"/>
      <c r="BV952" s="108"/>
      <c r="BW952" s="108"/>
      <c r="BX952" s="108"/>
      <c r="BY952" s="108"/>
    </row>
    <row r="953" spans="1:77">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c r="AA953" s="109"/>
      <c r="AB953" s="109"/>
      <c r="AC953" s="109"/>
      <c r="AD953" s="109"/>
      <c r="AE953" s="109"/>
      <c r="AF953" s="109"/>
      <c r="AG953" s="109"/>
      <c r="AH953" s="109"/>
      <c r="AI953" s="109"/>
      <c r="AJ953" s="109"/>
      <c r="AK953" s="109"/>
      <c r="AL953" s="109"/>
      <c r="AM953" s="109"/>
      <c r="AN953" s="109"/>
      <c r="AO953" s="109"/>
      <c r="AP953" s="109"/>
      <c r="AQ953" s="109"/>
      <c r="AR953" s="109"/>
      <c r="AS953" s="109"/>
      <c r="AT953" s="108"/>
      <c r="AU953" s="108"/>
      <c r="AV953" s="108"/>
      <c r="AW953" s="108"/>
      <c r="AX953" s="108"/>
      <c r="AY953" s="108"/>
      <c r="AZ953" s="108"/>
      <c r="BA953" s="108"/>
      <c r="BB953" s="108"/>
      <c r="BC953" s="108"/>
      <c r="BD953" s="108"/>
      <c r="BE953" s="108"/>
      <c r="BF953" s="108"/>
      <c r="BG953" s="108"/>
      <c r="BH953" s="108"/>
      <c r="BI953" s="108"/>
      <c r="BJ953" s="108"/>
      <c r="BK953" s="108"/>
      <c r="BL953" s="108"/>
      <c r="BM953" s="108"/>
      <c r="BN953" s="108"/>
      <c r="BO953" s="108"/>
      <c r="BP953" s="108"/>
      <c r="BQ953" s="108"/>
      <c r="BR953" s="108"/>
      <c r="BS953" s="108"/>
      <c r="BT953" s="108"/>
      <c r="BU953" s="108"/>
      <c r="BV953" s="108"/>
      <c r="BW953" s="108"/>
      <c r="BX953" s="108"/>
      <c r="BY953" s="108"/>
    </row>
    <row r="954" spans="1:77">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c r="AA954" s="109"/>
      <c r="AB954" s="109"/>
      <c r="AC954" s="109"/>
      <c r="AD954" s="109"/>
      <c r="AE954" s="109"/>
      <c r="AF954" s="109"/>
      <c r="AG954" s="109"/>
      <c r="AH954" s="109"/>
      <c r="AI954" s="109"/>
      <c r="AJ954" s="109"/>
      <c r="AK954" s="109"/>
      <c r="AL954" s="109"/>
      <c r="AM954" s="109"/>
      <c r="AN954" s="109"/>
      <c r="AO954" s="109"/>
      <c r="AP954" s="109"/>
      <c r="AQ954" s="109"/>
      <c r="AR954" s="109"/>
      <c r="AS954" s="109"/>
      <c r="AT954" s="108"/>
      <c r="AU954" s="108"/>
      <c r="AV954" s="108"/>
      <c r="AW954" s="108"/>
      <c r="AX954" s="108"/>
      <c r="AY954" s="108"/>
      <c r="AZ954" s="108"/>
      <c r="BA954" s="108"/>
      <c r="BB954" s="108"/>
      <c r="BC954" s="108"/>
      <c r="BD954" s="108"/>
      <c r="BE954" s="108"/>
      <c r="BF954" s="108"/>
      <c r="BG954" s="108"/>
      <c r="BH954" s="108"/>
      <c r="BI954" s="108"/>
      <c r="BJ954" s="108"/>
      <c r="BK954" s="108"/>
      <c r="BL954" s="108"/>
      <c r="BM954" s="108"/>
      <c r="BN954" s="108"/>
      <c r="BO954" s="108"/>
      <c r="BP954" s="108"/>
      <c r="BQ954" s="108"/>
      <c r="BR954" s="108"/>
      <c r="BS954" s="108"/>
      <c r="BT954" s="108"/>
      <c r="BU954" s="108"/>
      <c r="BV954" s="108"/>
      <c r="BW954" s="108"/>
      <c r="BX954" s="108"/>
      <c r="BY954" s="108"/>
    </row>
    <row r="955" spans="1:77">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c r="AB955" s="109"/>
      <c r="AC955" s="109"/>
      <c r="AD955" s="109"/>
      <c r="AE955" s="109"/>
      <c r="AF955" s="109"/>
      <c r="AG955" s="109"/>
      <c r="AH955" s="109"/>
      <c r="AI955" s="109"/>
      <c r="AJ955" s="109"/>
      <c r="AK955" s="109"/>
      <c r="AL955" s="109"/>
      <c r="AM955" s="109"/>
      <c r="AN955" s="109"/>
      <c r="AO955" s="109"/>
      <c r="AP955" s="109"/>
      <c r="AQ955" s="109"/>
      <c r="AR955" s="109"/>
      <c r="AS955" s="109"/>
      <c r="AT955" s="108"/>
      <c r="AU955" s="108"/>
      <c r="AV955" s="108"/>
      <c r="AW955" s="108"/>
      <c r="AX955" s="108"/>
      <c r="AY955" s="108"/>
      <c r="AZ955" s="108"/>
      <c r="BA955" s="108"/>
      <c r="BB955" s="108"/>
      <c r="BC955" s="108"/>
      <c r="BD955" s="108"/>
      <c r="BE955" s="108"/>
      <c r="BF955" s="108"/>
      <c r="BG955" s="108"/>
      <c r="BH955" s="108"/>
      <c r="BI955" s="108"/>
      <c r="BJ955" s="108"/>
      <c r="BK955" s="108"/>
      <c r="BL955" s="108"/>
      <c r="BM955" s="108"/>
      <c r="BN955" s="108"/>
      <c r="BO955" s="108"/>
      <c r="BP955" s="108"/>
      <c r="BQ955" s="108"/>
      <c r="BR955" s="108"/>
      <c r="BS955" s="108"/>
      <c r="BT955" s="108"/>
      <c r="BU955" s="108"/>
      <c r="BV955" s="108"/>
      <c r="BW955" s="108"/>
      <c r="BX955" s="108"/>
      <c r="BY955" s="108"/>
    </row>
    <row r="956" spans="1:77">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c r="AA956" s="109"/>
      <c r="AB956" s="109"/>
      <c r="AC956" s="109"/>
      <c r="AD956" s="109"/>
      <c r="AE956" s="109"/>
      <c r="AF956" s="109"/>
      <c r="AG956" s="109"/>
      <c r="AH956" s="109"/>
      <c r="AI956" s="109"/>
      <c r="AJ956" s="109"/>
      <c r="AK956" s="109"/>
      <c r="AL956" s="109"/>
      <c r="AM956" s="109"/>
      <c r="AN956" s="109"/>
      <c r="AO956" s="109"/>
      <c r="AP956" s="109"/>
      <c r="AQ956" s="109"/>
      <c r="AR956" s="109"/>
      <c r="AS956" s="109"/>
      <c r="AT956" s="108"/>
      <c r="AU956" s="108"/>
      <c r="AV956" s="108"/>
      <c r="AW956" s="108"/>
      <c r="AX956" s="108"/>
      <c r="AY956" s="108"/>
      <c r="AZ956" s="108"/>
      <c r="BA956" s="108"/>
      <c r="BB956" s="108"/>
      <c r="BC956" s="108"/>
      <c r="BD956" s="108"/>
      <c r="BE956" s="108"/>
      <c r="BF956" s="108"/>
      <c r="BG956" s="108"/>
      <c r="BH956" s="108"/>
      <c r="BI956" s="108"/>
      <c r="BJ956" s="108"/>
      <c r="BK956" s="108"/>
      <c r="BL956" s="108"/>
      <c r="BM956" s="108"/>
      <c r="BN956" s="108"/>
      <c r="BO956" s="108"/>
      <c r="BP956" s="108"/>
      <c r="BQ956" s="108"/>
      <c r="BR956" s="108"/>
      <c r="BS956" s="108"/>
      <c r="BT956" s="108"/>
      <c r="BU956" s="108"/>
      <c r="BV956" s="108"/>
      <c r="BW956" s="108"/>
      <c r="BX956" s="108"/>
      <c r="BY956" s="108"/>
    </row>
    <row r="957" spans="1:77">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c r="AA957" s="109"/>
      <c r="AB957" s="109"/>
      <c r="AC957" s="109"/>
      <c r="AD957" s="109"/>
      <c r="AE957" s="109"/>
      <c r="AF957" s="109"/>
      <c r="AG957" s="109"/>
      <c r="AH957" s="109"/>
      <c r="AI957" s="109"/>
      <c r="AJ957" s="109"/>
      <c r="AK957" s="109"/>
      <c r="AL957" s="109"/>
      <c r="AM957" s="109"/>
      <c r="AN957" s="109"/>
      <c r="AO957" s="109"/>
      <c r="AP957" s="109"/>
      <c r="AQ957" s="109"/>
      <c r="AR957" s="109"/>
      <c r="AS957" s="109"/>
      <c r="AT957" s="108"/>
      <c r="AU957" s="108"/>
      <c r="AV957" s="108"/>
      <c r="AW957" s="108"/>
      <c r="AX957" s="108"/>
      <c r="AY957" s="108"/>
      <c r="AZ957" s="108"/>
      <c r="BA957" s="108"/>
      <c r="BB957" s="108"/>
      <c r="BC957" s="108"/>
      <c r="BD957" s="108"/>
      <c r="BE957" s="108"/>
      <c r="BF957" s="108"/>
      <c r="BG957" s="108"/>
      <c r="BH957" s="108"/>
      <c r="BI957" s="108"/>
      <c r="BJ957" s="108"/>
      <c r="BK957" s="108"/>
      <c r="BL957" s="108"/>
      <c r="BM957" s="108"/>
      <c r="BN957" s="108"/>
      <c r="BO957" s="108"/>
      <c r="BP957" s="108"/>
      <c r="BQ957" s="108"/>
      <c r="BR957" s="108"/>
      <c r="BS957" s="108"/>
      <c r="BT957" s="108"/>
      <c r="BU957" s="108"/>
      <c r="BV957" s="108"/>
      <c r="BW957" s="108"/>
      <c r="BX957" s="108"/>
      <c r="BY957" s="108"/>
    </row>
    <row r="958" spans="1:77">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c r="AA958" s="109"/>
      <c r="AB958" s="109"/>
      <c r="AC958" s="109"/>
      <c r="AD958" s="109"/>
      <c r="AE958" s="109"/>
      <c r="AF958" s="109"/>
      <c r="AG958" s="109"/>
      <c r="AH958" s="109"/>
      <c r="AI958" s="109"/>
      <c r="AJ958" s="109"/>
      <c r="AK958" s="109"/>
      <c r="AL958" s="109"/>
      <c r="AM958" s="109"/>
      <c r="AN958" s="109"/>
      <c r="AO958" s="109"/>
      <c r="AP958" s="109"/>
      <c r="AQ958" s="109"/>
      <c r="AR958" s="109"/>
      <c r="AS958" s="109"/>
      <c r="AT958" s="108"/>
      <c r="AU958" s="108"/>
      <c r="AV958" s="108"/>
      <c r="AW958" s="108"/>
      <c r="AX958" s="108"/>
      <c r="AY958" s="108"/>
      <c r="AZ958" s="108"/>
      <c r="BA958" s="108"/>
      <c r="BB958" s="108"/>
      <c r="BC958" s="108"/>
      <c r="BD958" s="108"/>
      <c r="BE958" s="108"/>
      <c r="BF958" s="108"/>
      <c r="BG958" s="108"/>
      <c r="BH958" s="108"/>
      <c r="BI958" s="108"/>
      <c r="BJ958" s="108"/>
      <c r="BK958" s="108"/>
      <c r="BL958" s="108"/>
      <c r="BM958" s="108"/>
      <c r="BN958" s="108"/>
      <c r="BO958" s="108"/>
      <c r="BP958" s="108"/>
      <c r="BQ958" s="108"/>
      <c r="BR958" s="108"/>
      <c r="BS958" s="108"/>
      <c r="BT958" s="108"/>
      <c r="BU958" s="108"/>
      <c r="BV958" s="108"/>
      <c r="BW958" s="108"/>
      <c r="BX958" s="108"/>
      <c r="BY958" s="108"/>
    </row>
    <row r="959" spans="1:77">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c r="AA959" s="109"/>
      <c r="AB959" s="109"/>
      <c r="AC959" s="109"/>
      <c r="AD959" s="109"/>
      <c r="AE959" s="109"/>
      <c r="AF959" s="109"/>
      <c r="AG959" s="109"/>
      <c r="AH959" s="109"/>
      <c r="AI959" s="109"/>
      <c r="AJ959" s="109"/>
      <c r="AK959" s="109"/>
      <c r="AL959" s="109"/>
      <c r="AM959" s="109"/>
      <c r="AN959" s="109"/>
      <c r="AO959" s="109"/>
      <c r="AP959" s="109"/>
      <c r="AQ959" s="109"/>
      <c r="AR959" s="109"/>
      <c r="AS959" s="109"/>
      <c r="AT959" s="108"/>
      <c r="AU959" s="108"/>
      <c r="AV959" s="108"/>
      <c r="AW959" s="108"/>
      <c r="AX959" s="108"/>
      <c r="AY959" s="108"/>
      <c r="AZ959" s="108"/>
      <c r="BA959" s="108"/>
      <c r="BB959" s="108"/>
      <c r="BC959" s="108"/>
      <c r="BD959" s="108"/>
      <c r="BE959" s="108"/>
      <c r="BF959" s="108"/>
      <c r="BG959" s="108"/>
      <c r="BH959" s="108"/>
      <c r="BI959" s="108"/>
      <c r="BJ959" s="108"/>
      <c r="BK959" s="108"/>
      <c r="BL959" s="108"/>
      <c r="BM959" s="108"/>
      <c r="BN959" s="108"/>
      <c r="BO959" s="108"/>
      <c r="BP959" s="108"/>
      <c r="BQ959" s="108"/>
      <c r="BR959" s="108"/>
      <c r="BS959" s="108"/>
      <c r="BT959" s="108"/>
      <c r="BU959" s="108"/>
      <c r="BV959" s="108"/>
      <c r="BW959" s="108"/>
      <c r="BX959" s="108"/>
      <c r="BY959" s="108"/>
    </row>
    <row r="960" spans="1:77">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c r="AA960" s="109"/>
      <c r="AB960" s="109"/>
      <c r="AC960" s="109"/>
      <c r="AD960" s="109"/>
      <c r="AE960" s="109"/>
      <c r="AF960" s="109"/>
      <c r="AG960" s="109"/>
      <c r="AH960" s="109"/>
      <c r="AI960" s="109"/>
      <c r="AJ960" s="109"/>
      <c r="AK960" s="109"/>
      <c r="AL960" s="109"/>
      <c r="AM960" s="109"/>
      <c r="AN960" s="109"/>
      <c r="AO960" s="109"/>
      <c r="AP960" s="109"/>
      <c r="AQ960" s="109"/>
      <c r="AR960" s="109"/>
      <c r="AS960" s="109"/>
      <c r="AT960" s="108"/>
      <c r="AU960" s="108"/>
      <c r="AV960" s="108"/>
      <c r="AW960" s="108"/>
      <c r="AX960" s="108"/>
      <c r="AY960" s="108"/>
      <c r="AZ960" s="108"/>
      <c r="BA960" s="108"/>
      <c r="BB960" s="108"/>
      <c r="BC960" s="108"/>
      <c r="BD960" s="108"/>
      <c r="BE960" s="108"/>
      <c r="BF960" s="108"/>
      <c r="BG960" s="108"/>
      <c r="BH960" s="108"/>
      <c r="BI960" s="108"/>
      <c r="BJ960" s="108"/>
      <c r="BK960" s="108"/>
      <c r="BL960" s="108"/>
      <c r="BM960" s="108"/>
      <c r="BN960" s="108"/>
      <c r="BO960" s="108"/>
      <c r="BP960" s="108"/>
      <c r="BQ960" s="108"/>
      <c r="BR960" s="108"/>
      <c r="BS960" s="108"/>
      <c r="BT960" s="108"/>
      <c r="BU960" s="108"/>
      <c r="BV960" s="108"/>
      <c r="BW960" s="108"/>
      <c r="BX960" s="108"/>
      <c r="BY960" s="108"/>
    </row>
    <row r="961" spans="1:77">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c r="AA961" s="109"/>
      <c r="AB961" s="109"/>
      <c r="AC961" s="109"/>
      <c r="AD961" s="109"/>
      <c r="AE961" s="109"/>
      <c r="AF961" s="109"/>
      <c r="AG961" s="109"/>
      <c r="AH961" s="109"/>
      <c r="AI961" s="109"/>
      <c r="AJ961" s="109"/>
      <c r="AK961" s="109"/>
      <c r="AL961" s="109"/>
      <c r="AM961" s="109"/>
      <c r="AN961" s="109"/>
      <c r="AO961" s="109"/>
      <c r="AP961" s="109"/>
      <c r="AQ961" s="109"/>
      <c r="AR961" s="109"/>
      <c r="AS961" s="109"/>
      <c r="AT961" s="108"/>
      <c r="AU961" s="108"/>
      <c r="AV961" s="108"/>
      <c r="AW961" s="108"/>
      <c r="AX961" s="108"/>
      <c r="AY961" s="108"/>
      <c r="AZ961" s="108"/>
      <c r="BA961" s="108"/>
      <c r="BB961" s="108"/>
      <c r="BC961" s="108"/>
      <c r="BD961" s="108"/>
      <c r="BE961" s="108"/>
      <c r="BF961" s="108"/>
      <c r="BG961" s="108"/>
      <c r="BH961" s="108"/>
      <c r="BI961" s="108"/>
      <c r="BJ961" s="108"/>
      <c r="BK961" s="108"/>
      <c r="BL961" s="108"/>
      <c r="BM961" s="108"/>
      <c r="BN961" s="108"/>
      <c r="BO961" s="108"/>
      <c r="BP961" s="108"/>
      <c r="BQ961" s="108"/>
      <c r="BR961" s="108"/>
      <c r="BS961" s="108"/>
      <c r="BT961" s="108"/>
      <c r="BU961" s="108"/>
      <c r="BV961" s="108"/>
      <c r="BW961" s="108"/>
      <c r="BX961" s="108"/>
      <c r="BY961" s="108"/>
    </row>
    <row r="962" spans="1:77">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c r="AA962" s="109"/>
      <c r="AB962" s="109"/>
      <c r="AC962" s="109"/>
      <c r="AD962" s="109"/>
      <c r="AE962" s="109"/>
      <c r="AF962" s="109"/>
      <c r="AG962" s="109"/>
      <c r="AH962" s="109"/>
      <c r="AI962" s="109"/>
      <c r="AJ962" s="109"/>
      <c r="AK962" s="109"/>
      <c r="AL962" s="109"/>
      <c r="AM962" s="109"/>
      <c r="AN962" s="109"/>
      <c r="AO962" s="109"/>
      <c r="AP962" s="109"/>
      <c r="AQ962" s="109"/>
      <c r="AR962" s="109"/>
      <c r="AS962" s="109"/>
      <c r="AT962" s="108"/>
      <c r="AU962" s="108"/>
      <c r="AV962" s="108"/>
      <c r="AW962" s="108"/>
      <c r="AX962" s="108"/>
      <c r="AY962" s="108"/>
      <c r="AZ962" s="108"/>
      <c r="BA962" s="108"/>
      <c r="BB962" s="108"/>
      <c r="BC962" s="108"/>
      <c r="BD962" s="108"/>
      <c r="BE962" s="108"/>
      <c r="BF962" s="108"/>
      <c r="BG962" s="108"/>
      <c r="BH962" s="108"/>
      <c r="BI962" s="108"/>
      <c r="BJ962" s="108"/>
      <c r="BK962" s="108"/>
      <c r="BL962" s="108"/>
      <c r="BM962" s="108"/>
      <c r="BN962" s="108"/>
      <c r="BO962" s="108"/>
      <c r="BP962" s="108"/>
      <c r="BQ962" s="108"/>
      <c r="BR962" s="108"/>
      <c r="BS962" s="108"/>
      <c r="BT962" s="108"/>
      <c r="BU962" s="108"/>
      <c r="BV962" s="108"/>
      <c r="BW962" s="108"/>
      <c r="BX962" s="108"/>
      <c r="BY962" s="108"/>
    </row>
    <row r="963" spans="1:77">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c r="AB963" s="109"/>
      <c r="AC963" s="109"/>
      <c r="AD963" s="109"/>
      <c r="AE963" s="109"/>
      <c r="AF963" s="109"/>
      <c r="AG963" s="109"/>
      <c r="AH963" s="109"/>
      <c r="AI963" s="109"/>
      <c r="AJ963" s="109"/>
      <c r="AK963" s="109"/>
      <c r="AL963" s="109"/>
      <c r="AM963" s="109"/>
      <c r="AN963" s="109"/>
      <c r="AO963" s="109"/>
      <c r="AP963" s="109"/>
      <c r="AQ963" s="109"/>
      <c r="AR963" s="109"/>
      <c r="AS963" s="109"/>
      <c r="AT963" s="108"/>
      <c r="AU963" s="108"/>
      <c r="AV963" s="108"/>
      <c r="AW963" s="108"/>
      <c r="AX963" s="108"/>
      <c r="AY963" s="108"/>
      <c r="AZ963" s="108"/>
      <c r="BA963" s="108"/>
      <c r="BB963" s="108"/>
      <c r="BC963" s="108"/>
      <c r="BD963" s="108"/>
      <c r="BE963" s="108"/>
      <c r="BF963" s="108"/>
      <c r="BG963" s="108"/>
      <c r="BH963" s="108"/>
      <c r="BI963" s="108"/>
      <c r="BJ963" s="108"/>
      <c r="BK963" s="108"/>
      <c r="BL963" s="108"/>
      <c r="BM963" s="108"/>
      <c r="BN963" s="108"/>
      <c r="BO963" s="108"/>
      <c r="BP963" s="108"/>
      <c r="BQ963" s="108"/>
      <c r="BR963" s="108"/>
      <c r="BS963" s="108"/>
      <c r="BT963" s="108"/>
      <c r="BU963" s="108"/>
      <c r="BV963" s="108"/>
      <c r="BW963" s="108"/>
      <c r="BX963" s="108"/>
      <c r="BY963" s="108"/>
    </row>
    <row r="964" spans="1:77">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c r="AA964" s="109"/>
      <c r="AB964" s="109"/>
      <c r="AC964" s="109"/>
      <c r="AD964" s="109"/>
      <c r="AE964" s="109"/>
      <c r="AF964" s="109"/>
      <c r="AG964" s="109"/>
      <c r="AH964" s="109"/>
      <c r="AI964" s="109"/>
      <c r="AJ964" s="109"/>
      <c r="AK964" s="109"/>
      <c r="AL964" s="109"/>
      <c r="AM964" s="109"/>
      <c r="AN964" s="109"/>
      <c r="AO964" s="109"/>
      <c r="AP964" s="109"/>
      <c r="AQ964" s="109"/>
      <c r="AR964" s="109"/>
      <c r="AS964" s="109"/>
      <c r="AT964" s="108"/>
      <c r="AU964" s="108"/>
      <c r="AV964" s="108"/>
      <c r="AW964" s="108"/>
      <c r="AX964" s="108"/>
      <c r="AY964" s="108"/>
      <c r="AZ964" s="108"/>
      <c r="BA964" s="108"/>
      <c r="BB964" s="108"/>
      <c r="BC964" s="108"/>
      <c r="BD964" s="108"/>
      <c r="BE964" s="108"/>
      <c r="BF964" s="108"/>
      <c r="BG964" s="108"/>
      <c r="BH964" s="108"/>
      <c r="BI964" s="108"/>
      <c r="BJ964" s="108"/>
      <c r="BK964" s="108"/>
      <c r="BL964" s="108"/>
      <c r="BM964" s="108"/>
      <c r="BN964" s="108"/>
      <c r="BO964" s="108"/>
      <c r="BP964" s="108"/>
      <c r="BQ964" s="108"/>
      <c r="BR964" s="108"/>
      <c r="BS964" s="108"/>
      <c r="BT964" s="108"/>
      <c r="BU964" s="108"/>
      <c r="BV964" s="108"/>
      <c r="BW964" s="108"/>
      <c r="BX964" s="108"/>
      <c r="BY964" s="108"/>
    </row>
    <row r="965" spans="1:77">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c r="AA965" s="109"/>
      <c r="AB965" s="109"/>
      <c r="AC965" s="109"/>
      <c r="AD965" s="109"/>
      <c r="AE965" s="109"/>
      <c r="AF965" s="109"/>
      <c r="AG965" s="109"/>
      <c r="AH965" s="109"/>
      <c r="AI965" s="109"/>
      <c r="AJ965" s="109"/>
      <c r="AK965" s="109"/>
      <c r="AL965" s="109"/>
      <c r="AM965" s="109"/>
      <c r="AN965" s="109"/>
      <c r="AO965" s="109"/>
      <c r="AP965" s="109"/>
      <c r="AQ965" s="109"/>
      <c r="AR965" s="109"/>
      <c r="AS965" s="109"/>
      <c r="AT965" s="108"/>
      <c r="AU965" s="108"/>
      <c r="AV965" s="108"/>
      <c r="AW965" s="108"/>
      <c r="AX965" s="108"/>
      <c r="AY965" s="108"/>
      <c r="AZ965" s="108"/>
      <c r="BA965" s="108"/>
      <c r="BB965" s="108"/>
      <c r="BC965" s="108"/>
      <c r="BD965" s="108"/>
      <c r="BE965" s="108"/>
      <c r="BF965" s="108"/>
      <c r="BG965" s="108"/>
      <c r="BH965" s="108"/>
      <c r="BI965" s="108"/>
      <c r="BJ965" s="108"/>
      <c r="BK965" s="108"/>
      <c r="BL965" s="108"/>
      <c r="BM965" s="108"/>
      <c r="BN965" s="108"/>
      <c r="BO965" s="108"/>
      <c r="BP965" s="108"/>
      <c r="BQ965" s="108"/>
      <c r="BR965" s="108"/>
      <c r="BS965" s="108"/>
      <c r="BT965" s="108"/>
      <c r="BU965" s="108"/>
      <c r="BV965" s="108"/>
      <c r="BW965" s="108"/>
      <c r="BX965" s="108"/>
      <c r="BY965" s="108"/>
    </row>
    <row r="966" spans="1:77">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c r="AA966" s="109"/>
      <c r="AB966" s="109"/>
      <c r="AC966" s="109"/>
      <c r="AD966" s="109"/>
      <c r="AE966" s="109"/>
      <c r="AF966" s="109"/>
      <c r="AG966" s="109"/>
      <c r="AH966" s="109"/>
      <c r="AI966" s="109"/>
      <c r="AJ966" s="109"/>
      <c r="AK966" s="109"/>
      <c r="AL966" s="109"/>
      <c r="AM966" s="109"/>
      <c r="AN966" s="109"/>
      <c r="AO966" s="109"/>
      <c r="AP966" s="109"/>
      <c r="AQ966" s="109"/>
      <c r="AR966" s="109"/>
      <c r="AS966" s="109"/>
      <c r="AT966" s="108"/>
      <c r="AU966" s="108"/>
      <c r="AV966" s="108"/>
      <c r="AW966" s="108"/>
      <c r="AX966" s="108"/>
      <c r="AY966" s="108"/>
      <c r="AZ966" s="108"/>
      <c r="BA966" s="108"/>
      <c r="BB966" s="108"/>
      <c r="BC966" s="108"/>
      <c r="BD966" s="108"/>
      <c r="BE966" s="108"/>
      <c r="BF966" s="108"/>
      <c r="BG966" s="108"/>
      <c r="BH966" s="108"/>
      <c r="BI966" s="108"/>
      <c r="BJ966" s="108"/>
      <c r="BK966" s="108"/>
      <c r="BL966" s="108"/>
      <c r="BM966" s="108"/>
      <c r="BN966" s="108"/>
      <c r="BO966" s="108"/>
      <c r="BP966" s="108"/>
      <c r="BQ966" s="108"/>
      <c r="BR966" s="108"/>
      <c r="BS966" s="108"/>
      <c r="BT966" s="108"/>
      <c r="BU966" s="108"/>
      <c r="BV966" s="108"/>
      <c r="BW966" s="108"/>
      <c r="BX966" s="108"/>
      <c r="BY966" s="108"/>
    </row>
    <row r="967" spans="1:77">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c r="AA967" s="109"/>
      <c r="AB967" s="109"/>
      <c r="AC967" s="109"/>
      <c r="AD967" s="109"/>
      <c r="AE967" s="109"/>
      <c r="AF967" s="109"/>
      <c r="AG967" s="109"/>
      <c r="AH967" s="109"/>
      <c r="AI967" s="109"/>
      <c r="AJ967" s="109"/>
      <c r="AK967" s="109"/>
      <c r="AL967" s="109"/>
      <c r="AM967" s="109"/>
      <c r="AN967" s="109"/>
      <c r="AO967" s="109"/>
      <c r="AP967" s="109"/>
      <c r="AQ967" s="109"/>
      <c r="AR967" s="109"/>
      <c r="AS967" s="109"/>
      <c r="AT967" s="108"/>
      <c r="AU967" s="108"/>
      <c r="AV967" s="108"/>
      <c r="AW967" s="108"/>
      <c r="AX967" s="108"/>
      <c r="AY967" s="108"/>
      <c r="AZ967" s="108"/>
      <c r="BA967" s="108"/>
      <c r="BB967" s="108"/>
      <c r="BC967" s="108"/>
      <c r="BD967" s="108"/>
      <c r="BE967" s="108"/>
      <c r="BF967" s="108"/>
      <c r="BG967" s="108"/>
      <c r="BH967" s="108"/>
      <c r="BI967" s="108"/>
      <c r="BJ967" s="108"/>
      <c r="BK967" s="108"/>
      <c r="BL967" s="108"/>
      <c r="BM967" s="108"/>
      <c r="BN967" s="108"/>
      <c r="BO967" s="108"/>
      <c r="BP967" s="108"/>
      <c r="BQ967" s="108"/>
      <c r="BR967" s="108"/>
      <c r="BS967" s="108"/>
      <c r="BT967" s="108"/>
      <c r="BU967" s="108"/>
      <c r="BV967" s="108"/>
      <c r="BW967" s="108"/>
      <c r="BX967" s="108"/>
      <c r="BY967" s="108"/>
    </row>
    <row r="968" spans="1:77">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c r="AB968" s="109"/>
      <c r="AC968" s="109"/>
      <c r="AD968" s="109"/>
      <c r="AE968" s="109"/>
      <c r="AF968" s="109"/>
      <c r="AG968" s="109"/>
      <c r="AH968" s="109"/>
      <c r="AI968" s="109"/>
      <c r="AJ968" s="109"/>
      <c r="AK968" s="109"/>
      <c r="AL968" s="109"/>
      <c r="AM968" s="109"/>
      <c r="AN968" s="109"/>
      <c r="AO968" s="109"/>
      <c r="AP968" s="109"/>
      <c r="AQ968" s="109"/>
      <c r="AR968" s="109"/>
      <c r="AS968" s="109"/>
      <c r="AT968" s="108"/>
      <c r="AU968" s="108"/>
      <c r="AV968" s="108"/>
      <c r="AW968" s="108"/>
      <c r="AX968" s="108"/>
      <c r="AY968" s="108"/>
      <c r="AZ968" s="108"/>
      <c r="BA968" s="108"/>
      <c r="BB968" s="108"/>
      <c r="BC968" s="108"/>
      <c r="BD968" s="108"/>
      <c r="BE968" s="108"/>
      <c r="BF968" s="108"/>
      <c r="BG968" s="108"/>
      <c r="BH968" s="108"/>
      <c r="BI968" s="108"/>
      <c r="BJ968" s="108"/>
      <c r="BK968" s="108"/>
      <c r="BL968" s="108"/>
      <c r="BM968" s="108"/>
      <c r="BN968" s="108"/>
      <c r="BO968" s="108"/>
      <c r="BP968" s="108"/>
      <c r="BQ968" s="108"/>
      <c r="BR968" s="108"/>
      <c r="BS968" s="108"/>
      <c r="BT968" s="108"/>
      <c r="BU968" s="108"/>
      <c r="BV968" s="108"/>
      <c r="BW968" s="108"/>
      <c r="BX968" s="108"/>
      <c r="BY968" s="108"/>
    </row>
    <row r="969" spans="1:77">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c r="AA969" s="109"/>
      <c r="AB969" s="109"/>
      <c r="AC969" s="109"/>
      <c r="AD969" s="109"/>
      <c r="AE969" s="109"/>
      <c r="AF969" s="109"/>
      <c r="AG969" s="109"/>
      <c r="AH969" s="109"/>
      <c r="AI969" s="109"/>
      <c r="AJ969" s="109"/>
      <c r="AK969" s="109"/>
      <c r="AL969" s="109"/>
      <c r="AM969" s="109"/>
      <c r="AN969" s="109"/>
      <c r="AO969" s="109"/>
      <c r="AP969" s="109"/>
      <c r="AQ969" s="109"/>
      <c r="AR969" s="109"/>
      <c r="AS969" s="109"/>
      <c r="AT969" s="108"/>
      <c r="AU969" s="108"/>
      <c r="AV969" s="108"/>
      <c r="AW969" s="108"/>
      <c r="AX969" s="108"/>
      <c r="AY969" s="108"/>
      <c r="AZ969" s="108"/>
      <c r="BA969" s="108"/>
      <c r="BB969" s="108"/>
      <c r="BC969" s="108"/>
      <c r="BD969" s="108"/>
      <c r="BE969" s="108"/>
      <c r="BF969" s="108"/>
      <c r="BG969" s="108"/>
      <c r="BH969" s="108"/>
      <c r="BI969" s="108"/>
      <c r="BJ969" s="108"/>
      <c r="BK969" s="108"/>
      <c r="BL969" s="108"/>
      <c r="BM969" s="108"/>
      <c r="BN969" s="108"/>
      <c r="BO969" s="108"/>
      <c r="BP969" s="108"/>
      <c r="BQ969" s="108"/>
      <c r="BR969" s="108"/>
      <c r="BS969" s="108"/>
      <c r="BT969" s="108"/>
      <c r="BU969" s="108"/>
      <c r="BV969" s="108"/>
      <c r="BW969" s="108"/>
      <c r="BX969" s="108"/>
      <c r="BY969" s="108"/>
    </row>
    <row r="970" spans="1:77">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c r="AA970" s="109"/>
      <c r="AB970" s="109"/>
      <c r="AC970" s="109"/>
      <c r="AD970" s="109"/>
      <c r="AE970" s="109"/>
      <c r="AF970" s="109"/>
      <c r="AG970" s="109"/>
      <c r="AH970" s="109"/>
      <c r="AI970" s="109"/>
      <c r="AJ970" s="109"/>
      <c r="AK970" s="109"/>
      <c r="AL970" s="109"/>
      <c r="AM970" s="109"/>
      <c r="AN970" s="109"/>
      <c r="AO970" s="109"/>
      <c r="AP970" s="109"/>
      <c r="AQ970" s="109"/>
      <c r="AR970" s="109"/>
      <c r="AS970" s="109"/>
      <c r="AT970" s="108"/>
      <c r="AU970" s="108"/>
      <c r="AV970" s="108"/>
      <c r="AW970" s="108"/>
      <c r="AX970" s="108"/>
      <c r="AY970" s="108"/>
      <c r="AZ970" s="108"/>
      <c r="BA970" s="108"/>
      <c r="BB970" s="108"/>
      <c r="BC970" s="108"/>
      <c r="BD970" s="108"/>
      <c r="BE970" s="108"/>
      <c r="BF970" s="108"/>
      <c r="BG970" s="108"/>
      <c r="BH970" s="108"/>
      <c r="BI970" s="108"/>
      <c r="BJ970" s="108"/>
      <c r="BK970" s="108"/>
      <c r="BL970" s="108"/>
      <c r="BM970" s="108"/>
      <c r="BN970" s="108"/>
      <c r="BO970" s="108"/>
      <c r="BP970" s="108"/>
      <c r="BQ970" s="108"/>
      <c r="BR970" s="108"/>
      <c r="BS970" s="108"/>
      <c r="BT970" s="108"/>
      <c r="BU970" s="108"/>
      <c r="BV970" s="108"/>
      <c r="BW970" s="108"/>
      <c r="BX970" s="108"/>
      <c r="BY970" s="108"/>
    </row>
    <row r="971" spans="1:77">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c r="AA971" s="109"/>
      <c r="AB971" s="109"/>
      <c r="AC971" s="109"/>
      <c r="AD971" s="109"/>
      <c r="AE971" s="109"/>
      <c r="AF971" s="109"/>
      <c r="AG971" s="109"/>
      <c r="AH971" s="109"/>
      <c r="AI971" s="109"/>
      <c r="AJ971" s="109"/>
      <c r="AK971" s="109"/>
      <c r="AL971" s="109"/>
      <c r="AM971" s="109"/>
      <c r="AN971" s="109"/>
      <c r="AO971" s="109"/>
      <c r="AP971" s="109"/>
      <c r="AQ971" s="109"/>
      <c r="AR971" s="109"/>
      <c r="AS971" s="109"/>
      <c r="AT971" s="108"/>
      <c r="AU971" s="108"/>
      <c r="AV971" s="108"/>
      <c r="AW971" s="108"/>
      <c r="AX971" s="108"/>
      <c r="AY971" s="108"/>
      <c r="AZ971" s="108"/>
      <c r="BA971" s="108"/>
      <c r="BB971" s="108"/>
      <c r="BC971" s="108"/>
      <c r="BD971" s="108"/>
      <c r="BE971" s="108"/>
      <c r="BF971" s="108"/>
      <c r="BG971" s="108"/>
      <c r="BH971" s="108"/>
      <c r="BI971" s="108"/>
      <c r="BJ971" s="108"/>
      <c r="BK971" s="108"/>
      <c r="BL971" s="108"/>
      <c r="BM971" s="108"/>
      <c r="BN971" s="108"/>
      <c r="BO971" s="108"/>
      <c r="BP971" s="108"/>
      <c r="BQ971" s="108"/>
      <c r="BR971" s="108"/>
      <c r="BS971" s="108"/>
      <c r="BT971" s="108"/>
      <c r="BU971" s="108"/>
      <c r="BV971" s="108"/>
      <c r="BW971" s="108"/>
      <c r="BX971" s="108"/>
      <c r="BY971" s="108"/>
    </row>
    <row r="972" spans="1:77">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c r="AA972" s="109"/>
      <c r="AB972" s="109"/>
      <c r="AC972" s="109"/>
      <c r="AD972" s="109"/>
      <c r="AE972" s="109"/>
      <c r="AF972" s="109"/>
      <c r="AG972" s="109"/>
      <c r="AH972" s="109"/>
      <c r="AI972" s="109"/>
      <c r="AJ972" s="109"/>
      <c r="AK972" s="109"/>
      <c r="AL972" s="109"/>
      <c r="AM972" s="109"/>
      <c r="AN972" s="109"/>
      <c r="AO972" s="109"/>
      <c r="AP972" s="109"/>
      <c r="AQ972" s="109"/>
      <c r="AR972" s="109"/>
      <c r="AS972" s="109"/>
      <c r="AT972" s="108"/>
      <c r="AU972" s="108"/>
      <c r="AV972" s="108"/>
      <c r="AW972" s="108"/>
      <c r="AX972" s="108"/>
      <c r="AY972" s="108"/>
      <c r="AZ972" s="108"/>
      <c r="BA972" s="108"/>
      <c r="BB972" s="108"/>
      <c r="BC972" s="108"/>
      <c r="BD972" s="108"/>
      <c r="BE972" s="108"/>
      <c r="BF972" s="108"/>
      <c r="BG972" s="108"/>
      <c r="BH972" s="108"/>
      <c r="BI972" s="108"/>
      <c r="BJ972" s="108"/>
      <c r="BK972" s="108"/>
      <c r="BL972" s="108"/>
      <c r="BM972" s="108"/>
      <c r="BN972" s="108"/>
      <c r="BO972" s="108"/>
      <c r="BP972" s="108"/>
      <c r="BQ972" s="108"/>
      <c r="BR972" s="108"/>
      <c r="BS972" s="108"/>
      <c r="BT972" s="108"/>
      <c r="BU972" s="108"/>
      <c r="BV972" s="108"/>
      <c r="BW972" s="108"/>
      <c r="BX972" s="108"/>
      <c r="BY972" s="108"/>
    </row>
    <row r="973" spans="1:77">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c r="AA973" s="109"/>
      <c r="AB973" s="109"/>
      <c r="AC973" s="109"/>
      <c r="AD973" s="109"/>
      <c r="AE973" s="109"/>
      <c r="AF973" s="109"/>
      <c r="AG973" s="109"/>
      <c r="AH973" s="109"/>
      <c r="AI973" s="109"/>
      <c r="AJ973" s="109"/>
      <c r="AK973" s="109"/>
      <c r="AL973" s="109"/>
      <c r="AM973" s="109"/>
      <c r="AN973" s="109"/>
      <c r="AO973" s="109"/>
      <c r="AP973" s="109"/>
      <c r="AQ973" s="109"/>
      <c r="AR973" s="109"/>
      <c r="AS973" s="109"/>
      <c r="AT973" s="108"/>
      <c r="AU973" s="108"/>
      <c r="AV973" s="108"/>
      <c r="AW973" s="108"/>
      <c r="AX973" s="108"/>
      <c r="AY973" s="108"/>
      <c r="AZ973" s="108"/>
      <c r="BA973" s="108"/>
      <c r="BB973" s="108"/>
      <c r="BC973" s="108"/>
      <c r="BD973" s="108"/>
      <c r="BE973" s="108"/>
      <c r="BF973" s="108"/>
      <c r="BG973" s="108"/>
      <c r="BH973" s="108"/>
      <c r="BI973" s="108"/>
      <c r="BJ973" s="108"/>
      <c r="BK973" s="108"/>
      <c r="BL973" s="108"/>
      <c r="BM973" s="108"/>
      <c r="BN973" s="108"/>
      <c r="BO973" s="108"/>
      <c r="BP973" s="108"/>
      <c r="BQ973" s="108"/>
      <c r="BR973" s="108"/>
      <c r="BS973" s="108"/>
      <c r="BT973" s="108"/>
      <c r="BU973" s="108"/>
      <c r="BV973" s="108"/>
      <c r="BW973" s="108"/>
      <c r="BX973" s="108"/>
      <c r="BY973" s="108"/>
    </row>
    <row r="974" spans="1:77">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c r="AA974" s="109"/>
      <c r="AB974" s="109"/>
      <c r="AC974" s="109"/>
      <c r="AD974" s="109"/>
      <c r="AE974" s="109"/>
      <c r="AF974" s="109"/>
      <c r="AG974" s="109"/>
      <c r="AH974" s="109"/>
      <c r="AI974" s="109"/>
      <c r="AJ974" s="109"/>
      <c r="AK974" s="109"/>
      <c r="AL974" s="109"/>
      <c r="AM974" s="109"/>
      <c r="AN974" s="109"/>
      <c r="AO974" s="109"/>
      <c r="AP974" s="109"/>
      <c r="AQ974" s="109"/>
      <c r="AR974" s="109"/>
      <c r="AS974" s="109"/>
      <c r="AT974" s="108"/>
      <c r="AU974" s="108"/>
      <c r="AV974" s="108"/>
      <c r="AW974" s="108"/>
      <c r="AX974" s="108"/>
      <c r="AY974" s="108"/>
      <c r="AZ974" s="108"/>
      <c r="BA974" s="108"/>
      <c r="BB974" s="108"/>
      <c r="BC974" s="108"/>
      <c r="BD974" s="108"/>
      <c r="BE974" s="108"/>
      <c r="BF974" s="108"/>
      <c r="BG974" s="108"/>
      <c r="BH974" s="108"/>
      <c r="BI974" s="108"/>
      <c r="BJ974" s="108"/>
      <c r="BK974" s="108"/>
      <c r="BL974" s="108"/>
      <c r="BM974" s="108"/>
      <c r="BN974" s="108"/>
      <c r="BO974" s="108"/>
      <c r="BP974" s="108"/>
      <c r="BQ974" s="108"/>
      <c r="BR974" s="108"/>
      <c r="BS974" s="108"/>
      <c r="BT974" s="108"/>
      <c r="BU974" s="108"/>
      <c r="BV974" s="108"/>
      <c r="BW974" s="108"/>
      <c r="BX974" s="108"/>
      <c r="BY974" s="108"/>
    </row>
    <row r="975" spans="1:77">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c r="AB975" s="109"/>
      <c r="AC975" s="109"/>
      <c r="AD975" s="109"/>
      <c r="AE975" s="109"/>
      <c r="AF975" s="109"/>
      <c r="AG975" s="109"/>
      <c r="AH975" s="109"/>
      <c r="AI975" s="109"/>
      <c r="AJ975" s="109"/>
      <c r="AK975" s="109"/>
      <c r="AL975" s="109"/>
      <c r="AM975" s="109"/>
      <c r="AN975" s="109"/>
      <c r="AO975" s="109"/>
      <c r="AP975" s="109"/>
      <c r="AQ975" s="109"/>
      <c r="AR975" s="109"/>
      <c r="AS975" s="109"/>
      <c r="AT975" s="108"/>
      <c r="AU975" s="108"/>
      <c r="AV975" s="108"/>
      <c r="AW975" s="108"/>
      <c r="AX975" s="108"/>
      <c r="AY975" s="108"/>
      <c r="AZ975" s="108"/>
      <c r="BA975" s="108"/>
      <c r="BB975" s="108"/>
      <c r="BC975" s="108"/>
      <c r="BD975" s="108"/>
      <c r="BE975" s="108"/>
      <c r="BF975" s="108"/>
      <c r="BG975" s="108"/>
      <c r="BH975" s="108"/>
      <c r="BI975" s="108"/>
      <c r="BJ975" s="108"/>
      <c r="BK975" s="108"/>
      <c r="BL975" s="108"/>
      <c r="BM975" s="108"/>
      <c r="BN975" s="108"/>
      <c r="BO975" s="108"/>
      <c r="BP975" s="108"/>
      <c r="BQ975" s="108"/>
      <c r="BR975" s="108"/>
      <c r="BS975" s="108"/>
      <c r="BT975" s="108"/>
      <c r="BU975" s="108"/>
      <c r="BV975" s="108"/>
      <c r="BW975" s="108"/>
      <c r="BX975" s="108"/>
      <c r="BY975" s="108"/>
    </row>
    <row r="976" spans="1:77">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c r="AA976" s="109"/>
      <c r="AB976" s="109"/>
      <c r="AC976" s="109"/>
      <c r="AD976" s="109"/>
      <c r="AE976" s="109"/>
      <c r="AF976" s="109"/>
      <c r="AG976" s="109"/>
      <c r="AH976" s="109"/>
      <c r="AI976" s="109"/>
      <c r="AJ976" s="109"/>
      <c r="AK976" s="109"/>
      <c r="AL976" s="109"/>
      <c r="AM976" s="109"/>
      <c r="AN976" s="109"/>
      <c r="AO976" s="109"/>
      <c r="AP976" s="109"/>
      <c r="AQ976" s="109"/>
      <c r="AR976" s="109"/>
      <c r="AS976" s="109"/>
      <c r="AT976" s="108"/>
      <c r="AU976" s="108"/>
      <c r="AV976" s="108"/>
      <c r="AW976" s="108"/>
      <c r="AX976" s="108"/>
      <c r="AY976" s="108"/>
      <c r="AZ976" s="108"/>
      <c r="BA976" s="108"/>
      <c r="BB976" s="108"/>
      <c r="BC976" s="108"/>
      <c r="BD976" s="108"/>
      <c r="BE976" s="108"/>
      <c r="BF976" s="108"/>
      <c r="BG976" s="108"/>
      <c r="BH976" s="108"/>
      <c r="BI976" s="108"/>
      <c r="BJ976" s="108"/>
      <c r="BK976" s="108"/>
      <c r="BL976" s="108"/>
      <c r="BM976" s="108"/>
      <c r="BN976" s="108"/>
      <c r="BO976" s="108"/>
      <c r="BP976" s="108"/>
      <c r="BQ976" s="108"/>
      <c r="BR976" s="108"/>
      <c r="BS976" s="108"/>
      <c r="BT976" s="108"/>
      <c r="BU976" s="108"/>
      <c r="BV976" s="108"/>
      <c r="BW976" s="108"/>
      <c r="BX976" s="108"/>
      <c r="BY976" s="108"/>
    </row>
    <row r="977" spans="1:77">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c r="AA977" s="109"/>
      <c r="AB977" s="109"/>
      <c r="AC977" s="109"/>
      <c r="AD977" s="109"/>
      <c r="AE977" s="109"/>
      <c r="AF977" s="109"/>
      <c r="AG977" s="109"/>
      <c r="AH977" s="109"/>
      <c r="AI977" s="109"/>
      <c r="AJ977" s="109"/>
      <c r="AK977" s="109"/>
      <c r="AL977" s="109"/>
      <c r="AM977" s="109"/>
      <c r="AN977" s="109"/>
      <c r="AO977" s="109"/>
      <c r="AP977" s="109"/>
      <c r="AQ977" s="109"/>
      <c r="AR977" s="109"/>
      <c r="AS977" s="109"/>
      <c r="AT977" s="108"/>
      <c r="AU977" s="108"/>
      <c r="AV977" s="108"/>
      <c r="AW977" s="108"/>
      <c r="AX977" s="108"/>
      <c r="AY977" s="108"/>
      <c r="AZ977" s="108"/>
      <c r="BA977" s="108"/>
      <c r="BB977" s="108"/>
      <c r="BC977" s="108"/>
      <c r="BD977" s="108"/>
      <c r="BE977" s="108"/>
      <c r="BF977" s="108"/>
      <c r="BG977" s="108"/>
      <c r="BH977" s="108"/>
      <c r="BI977" s="108"/>
      <c r="BJ977" s="108"/>
      <c r="BK977" s="108"/>
      <c r="BL977" s="108"/>
      <c r="BM977" s="108"/>
      <c r="BN977" s="108"/>
      <c r="BO977" s="108"/>
      <c r="BP977" s="108"/>
      <c r="BQ977" s="108"/>
      <c r="BR977" s="108"/>
      <c r="BS977" s="108"/>
      <c r="BT977" s="108"/>
      <c r="BU977" s="108"/>
      <c r="BV977" s="108"/>
      <c r="BW977" s="108"/>
      <c r="BX977" s="108"/>
      <c r="BY977" s="108"/>
    </row>
    <row r="978" spans="1:77">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c r="AA978" s="109"/>
      <c r="AB978" s="109"/>
      <c r="AC978" s="109"/>
      <c r="AD978" s="109"/>
      <c r="AE978" s="109"/>
      <c r="AF978" s="109"/>
      <c r="AG978" s="109"/>
      <c r="AH978" s="109"/>
      <c r="AI978" s="109"/>
      <c r="AJ978" s="109"/>
      <c r="AK978" s="109"/>
      <c r="AL978" s="109"/>
      <c r="AM978" s="109"/>
      <c r="AN978" s="109"/>
      <c r="AO978" s="109"/>
      <c r="AP978" s="109"/>
      <c r="AQ978" s="109"/>
      <c r="AR978" s="109"/>
      <c r="AS978" s="109"/>
      <c r="AT978" s="108"/>
      <c r="AU978" s="108"/>
      <c r="AV978" s="108"/>
      <c r="AW978" s="108"/>
      <c r="AX978" s="108"/>
      <c r="AY978" s="108"/>
      <c r="AZ978" s="108"/>
      <c r="BA978" s="108"/>
      <c r="BB978" s="108"/>
      <c r="BC978" s="108"/>
      <c r="BD978" s="108"/>
      <c r="BE978" s="108"/>
      <c r="BF978" s="108"/>
      <c r="BG978" s="108"/>
      <c r="BH978" s="108"/>
      <c r="BI978" s="108"/>
      <c r="BJ978" s="108"/>
      <c r="BK978" s="108"/>
      <c r="BL978" s="108"/>
      <c r="BM978" s="108"/>
      <c r="BN978" s="108"/>
      <c r="BO978" s="108"/>
      <c r="BP978" s="108"/>
      <c r="BQ978" s="108"/>
      <c r="BR978" s="108"/>
      <c r="BS978" s="108"/>
      <c r="BT978" s="108"/>
      <c r="BU978" s="108"/>
      <c r="BV978" s="108"/>
      <c r="BW978" s="108"/>
      <c r="BX978" s="108"/>
      <c r="BY978" s="108"/>
    </row>
    <row r="979" spans="1:77">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c r="AB979" s="109"/>
      <c r="AC979" s="109"/>
      <c r="AD979" s="109"/>
      <c r="AE979" s="109"/>
      <c r="AF979" s="109"/>
      <c r="AG979" s="109"/>
      <c r="AH979" s="109"/>
      <c r="AI979" s="109"/>
      <c r="AJ979" s="109"/>
      <c r="AK979" s="109"/>
      <c r="AL979" s="109"/>
      <c r="AM979" s="109"/>
      <c r="AN979" s="109"/>
      <c r="AO979" s="109"/>
      <c r="AP979" s="109"/>
      <c r="AQ979" s="109"/>
      <c r="AR979" s="109"/>
      <c r="AS979" s="109"/>
      <c r="AT979" s="108"/>
      <c r="AU979" s="108"/>
      <c r="AV979" s="108"/>
      <c r="AW979" s="108"/>
      <c r="AX979" s="108"/>
      <c r="AY979" s="108"/>
      <c r="AZ979" s="108"/>
      <c r="BA979" s="108"/>
      <c r="BB979" s="108"/>
      <c r="BC979" s="108"/>
      <c r="BD979" s="108"/>
      <c r="BE979" s="108"/>
      <c r="BF979" s="108"/>
      <c r="BG979" s="108"/>
      <c r="BH979" s="108"/>
      <c r="BI979" s="108"/>
      <c r="BJ979" s="108"/>
      <c r="BK979" s="108"/>
      <c r="BL979" s="108"/>
      <c r="BM979" s="108"/>
      <c r="BN979" s="108"/>
      <c r="BO979" s="108"/>
      <c r="BP979" s="108"/>
      <c r="BQ979" s="108"/>
      <c r="BR979" s="108"/>
      <c r="BS979" s="108"/>
      <c r="BT979" s="108"/>
      <c r="BU979" s="108"/>
      <c r="BV979" s="108"/>
      <c r="BW979" s="108"/>
      <c r="BX979" s="108"/>
      <c r="BY979" s="108"/>
    </row>
    <row r="980" spans="1:77">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c r="AA980" s="109"/>
      <c r="AB980" s="109"/>
      <c r="AC980" s="109"/>
      <c r="AD980" s="109"/>
      <c r="AE980" s="109"/>
      <c r="AF980" s="109"/>
      <c r="AG980" s="109"/>
      <c r="AH980" s="109"/>
      <c r="AI980" s="109"/>
      <c r="AJ980" s="109"/>
      <c r="AK980" s="109"/>
      <c r="AL980" s="109"/>
      <c r="AM980" s="109"/>
      <c r="AN980" s="109"/>
      <c r="AO980" s="109"/>
      <c r="AP980" s="109"/>
      <c r="AQ980" s="109"/>
      <c r="AR980" s="109"/>
      <c r="AS980" s="109"/>
      <c r="AT980" s="108"/>
      <c r="AU980" s="108"/>
      <c r="AV980" s="108"/>
      <c r="AW980" s="108"/>
      <c r="AX980" s="108"/>
      <c r="AY980" s="108"/>
      <c r="AZ980" s="108"/>
      <c r="BA980" s="108"/>
      <c r="BB980" s="108"/>
      <c r="BC980" s="108"/>
      <c r="BD980" s="108"/>
      <c r="BE980" s="108"/>
      <c r="BF980" s="108"/>
      <c r="BG980" s="108"/>
      <c r="BH980" s="108"/>
      <c r="BI980" s="108"/>
      <c r="BJ980" s="108"/>
      <c r="BK980" s="108"/>
      <c r="BL980" s="108"/>
      <c r="BM980" s="108"/>
      <c r="BN980" s="108"/>
      <c r="BO980" s="108"/>
      <c r="BP980" s="108"/>
      <c r="BQ980" s="108"/>
      <c r="BR980" s="108"/>
      <c r="BS980" s="108"/>
      <c r="BT980" s="108"/>
      <c r="BU980" s="108"/>
      <c r="BV980" s="108"/>
      <c r="BW980" s="108"/>
      <c r="BX980" s="108"/>
      <c r="BY980" s="108"/>
    </row>
    <row r="981" spans="1:77">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c r="AA981" s="109"/>
      <c r="AB981" s="109"/>
      <c r="AC981" s="109"/>
      <c r="AD981" s="109"/>
      <c r="AE981" s="109"/>
      <c r="AF981" s="109"/>
      <c r="AG981" s="109"/>
      <c r="AH981" s="109"/>
      <c r="AI981" s="109"/>
      <c r="AJ981" s="109"/>
      <c r="AK981" s="109"/>
      <c r="AL981" s="109"/>
      <c r="AM981" s="109"/>
      <c r="AN981" s="109"/>
      <c r="AO981" s="109"/>
      <c r="AP981" s="109"/>
      <c r="AQ981" s="109"/>
      <c r="AR981" s="109"/>
      <c r="AS981" s="109"/>
      <c r="AT981" s="108"/>
      <c r="AU981" s="108"/>
      <c r="AV981" s="108"/>
      <c r="AW981" s="108"/>
      <c r="AX981" s="108"/>
      <c r="AY981" s="108"/>
      <c r="AZ981" s="108"/>
      <c r="BA981" s="108"/>
      <c r="BB981" s="108"/>
      <c r="BC981" s="108"/>
      <c r="BD981" s="108"/>
      <c r="BE981" s="108"/>
      <c r="BF981" s="108"/>
      <c r="BG981" s="108"/>
      <c r="BH981" s="108"/>
      <c r="BI981" s="108"/>
      <c r="BJ981" s="108"/>
      <c r="BK981" s="108"/>
      <c r="BL981" s="108"/>
      <c r="BM981" s="108"/>
      <c r="BN981" s="108"/>
      <c r="BO981" s="108"/>
      <c r="BP981" s="108"/>
      <c r="BQ981" s="108"/>
      <c r="BR981" s="108"/>
      <c r="BS981" s="108"/>
      <c r="BT981" s="108"/>
      <c r="BU981" s="108"/>
      <c r="BV981" s="108"/>
      <c r="BW981" s="108"/>
      <c r="BX981" s="108"/>
      <c r="BY981" s="108"/>
    </row>
    <row r="982" spans="1:77">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c r="AA982" s="109"/>
      <c r="AB982" s="109"/>
      <c r="AC982" s="109"/>
      <c r="AD982" s="109"/>
      <c r="AE982" s="109"/>
      <c r="AF982" s="109"/>
      <c r="AG982" s="109"/>
      <c r="AH982" s="109"/>
      <c r="AI982" s="109"/>
      <c r="AJ982" s="109"/>
      <c r="AK982" s="109"/>
      <c r="AL982" s="109"/>
      <c r="AM982" s="109"/>
      <c r="AN982" s="109"/>
      <c r="AO982" s="109"/>
      <c r="AP982" s="109"/>
      <c r="AQ982" s="109"/>
      <c r="AR982" s="109"/>
      <c r="AS982" s="109"/>
      <c r="AT982" s="108"/>
      <c r="AU982" s="108"/>
      <c r="AV982" s="108"/>
      <c r="AW982" s="108"/>
      <c r="AX982" s="108"/>
      <c r="AY982" s="108"/>
      <c r="AZ982" s="108"/>
      <c r="BA982" s="108"/>
      <c r="BB982" s="108"/>
      <c r="BC982" s="108"/>
      <c r="BD982" s="108"/>
      <c r="BE982" s="108"/>
      <c r="BF982" s="108"/>
      <c r="BG982" s="108"/>
      <c r="BH982" s="108"/>
      <c r="BI982" s="108"/>
      <c r="BJ982" s="108"/>
      <c r="BK982" s="108"/>
      <c r="BL982" s="108"/>
      <c r="BM982" s="108"/>
      <c r="BN982" s="108"/>
      <c r="BO982" s="108"/>
      <c r="BP982" s="108"/>
      <c r="BQ982" s="108"/>
      <c r="BR982" s="108"/>
      <c r="BS982" s="108"/>
      <c r="BT982" s="108"/>
      <c r="BU982" s="108"/>
      <c r="BV982" s="108"/>
      <c r="BW982" s="108"/>
      <c r="BX982" s="108"/>
      <c r="BY982" s="108"/>
    </row>
    <row r="983" spans="1:77">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c r="AA983" s="109"/>
      <c r="AB983" s="109"/>
      <c r="AC983" s="109"/>
      <c r="AD983" s="109"/>
      <c r="AE983" s="109"/>
      <c r="AF983" s="109"/>
      <c r="AG983" s="109"/>
      <c r="AH983" s="109"/>
      <c r="AI983" s="109"/>
      <c r="AJ983" s="109"/>
      <c r="AK983" s="109"/>
      <c r="AL983" s="109"/>
      <c r="AM983" s="109"/>
      <c r="AN983" s="109"/>
      <c r="AO983" s="109"/>
      <c r="AP983" s="109"/>
      <c r="AQ983" s="109"/>
      <c r="AR983" s="109"/>
      <c r="AS983" s="109"/>
      <c r="AT983" s="108"/>
      <c r="AU983" s="108"/>
      <c r="AV983" s="108"/>
      <c r="AW983" s="108"/>
      <c r="AX983" s="108"/>
      <c r="AY983" s="108"/>
      <c r="AZ983" s="108"/>
      <c r="BA983" s="108"/>
      <c r="BB983" s="108"/>
      <c r="BC983" s="108"/>
      <c r="BD983" s="108"/>
      <c r="BE983" s="108"/>
      <c r="BF983" s="108"/>
      <c r="BG983" s="108"/>
      <c r="BH983" s="108"/>
      <c r="BI983" s="108"/>
      <c r="BJ983" s="108"/>
      <c r="BK983" s="108"/>
      <c r="BL983" s="108"/>
      <c r="BM983" s="108"/>
      <c r="BN983" s="108"/>
      <c r="BO983" s="108"/>
      <c r="BP983" s="108"/>
      <c r="BQ983" s="108"/>
      <c r="BR983" s="108"/>
      <c r="BS983" s="108"/>
      <c r="BT983" s="108"/>
      <c r="BU983" s="108"/>
      <c r="BV983" s="108"/>
      <c r="BW983" s="108"/>
      <c r="BX983" s="108"/>
      <c r="BY983" s="108"/>
    </row>
    <row r="984" spans="1:77">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c r="AA984" s="109"/>
      <c r="AB984" s="109"/>
      <c r="AC984" s="109"/>
      <c r="AD984" s="109"/>
      <c r="AE984" s="109"/>
      <c r="AF984" s="109"/>
      <c r="AG984" s="109"/>
      <c r="AH984" s="109"/>
      <c r="AI984" s="109"/>
      <c r="AJ984" s="109"/>
      <c r="AK984" s="109"/>
      <c r="AL984" s="109"/>
      <c r="AM984" s="109"/>
      <c r="AN984" s="109"/>
      <c r="AO984" s="109"/>
      <c r="AP984" s="109"/>
      <c r="AQ984" s="109"/>
      <c r="AR984" s="109"/>
      <c r="AS984" s="109"/>
      <c r="AT984" s="108"/>
      <c r="AU984" s="108"/>
      <c r="AV984" s="108"/>
      <c r="AW984" s="108"/>
      <c r="AX984" s="108"/>
      <c r="AY984" s="108"/>
      <c r="AZ984" s="108"/>
      <c r="BA984" s="108"/>
      <c r="BB984" s="108"/>
      <c r="BC984" s="108"/>
      <c r="BD984" s="108"/>
      <c r="BE984" s="108"/>
      <c r="BF984" s="108"/>
      <c r="BG984" s="108"/>
      <c r="BH984" s="108"/>
      <c r="BI984" s="108"/>
      <c r="BJ984" s="108"/>
      <c r="BK984" s="108"/>
      <c r="BL984" s="108"/>
      <c r="BM984" s="108"/>
      <c r="BN984" s="108"/>
      <c r="BO984" s="108"/>
      <c r="BP984" s="108"/>
      <c r="BQ984" s="108"/>
      <c r="BR984" s="108"/>
      <c r="BS984" s="108"/>
      <c r="BT984" s="108"/>
      <c r="BU984" s="108"/>
      <c r="BV984" s="108"/>
      <c r="BW984" s="108"/>
      <c r="BX984" s="108"/>
      <c r="BY984" s="108"/>
    </row>
    <row r="985" spans="1:77">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c r="AA985" s="109"/>
      <c r="AB985" s="109"/>
      <c r="AC985" s="109"/>
      <c r="AD985" s="109"/>
      <c r="AE985" s="109"/>
      <c r="AF985" s="109"/>
      <c r="AG985" s="109"/>
      <c r="AH985" s="109"/>
      <c r="AI985" s="109"/>
      <c r="AJ985" s="109"/>
      <c r="AK985" s="109"/>
      <c r="AL985" s="109"/>
      <c r="AM985" s="109"/>
      <c r="AN985" s="109"/>
      <c r="AO985" s="109"/>
      <c r="AP985" s="109"/>
      <c r="AQ985" s="109"/>
      <c r="AR985" s="109"/>
      <c r="AS985" s="109"/>
      <c r="AT985" s="108"/>
      <c r="AU985" s="108"/>
      <c r="AV985" s="108"/>
      <c r="AW985" s="108"/>
      <c r="AX985" s="108"/>
      <c r="AY985" s="108"/>
      <c r="AZ985" s="108"/>
      <c r="BA985" s="108"/>
      <c r="BB985" s="108"/>
      <c r="BC985" s="108"/>
      <c r="BD985" s="108"/>
      <c r="BE985" s="108"/>
      <c r="BF985" s="108"/>
      <c r="BG985" s="108"/>
      <c r="BH985" s="108"/>
      <c r="BI985" s="108"/>
      <c r="BJ985" s="108"/>
      <c r="BK985" s="108"/>
      <c r="BL985" s="108"/>
      <c r="BM985" s="108"/>
      <c r="BN985" s="108"/>
      <c r="BO985" s="108"/>
      <c r="BP985" s="108"/>
      <c r="BQ985" s="108"/>
      <c r="BR985" s="108"/>
      <c r="BS985" s="108"/>
      <c r="BT985" s="108"/>
      <c r="BU985" s="108"/>
      <c r="BV985" s="108"/>
      <c r="BW985" s="108"/>
      <c r="BX985" s="108"/>
      <c r="BY985" s="108"/>
    </row>
    <row r="986" spans="1:77">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c r="AA986" s="109"/>
      <c r="AB986" s="109"/>
      <c r="AC986" s="109"/>
      <c r="AD986" s="109"/>
      <c r="AE986" s="109"/>
      <c r="AF986" s="109"/>
      <c r="AG986" s="109"/>
      <c r="AH986" s="109"/>
      <c r="AI986" s="109"/>
      <c r="AJ986" s="109"/>
      <c r="AK986" s="109"/>
      <c r="AL986" s="109"/>
      <c r="AM986" s="109"/>
      <c r="AN986" s="109"/>
      <c r="AO986" s="109"/>
      <c r="AP986" s="109"/>
      <c r="AQ986" s="109"/>
      <c r="AR986" s="109"/>
      <c r="AS986" s="109"/>
      <c r="AT986" s="108"/>
      <c r="AU986" s="108"/>
      <c r="AV986" s="108"/>
      <c r="AW986" s="108"/>
      <c r="AX986" s="108"/>
      <c r="AY986" s="108"/>
      <c r="AZ986" s="108"/>
      <c r="BA986" s="108"/>
      <c r="BB986" s="108"/>
      <c r="BC986" s="108"/>
      <c r="BD986" s="108"/>
      <c r="BE986" s="108"/>
      <c r="BF986" s="108"/>
      <c r="BG986" s="108"/>
      <c r="BH986" s="108"/>
      <c r="BI986" s="108"/>
      <c r="BJ986" s="108"/>
      <c r="BK986" s="108"/>
      <c r="BL986" s="108"/>
      <c r="BM986" s="108"/>
      <c r="BN986" s="108"/>
      <c r="BO986" s="108"/>
      <c r="BP986" s="108"/>
      <c r="BQ986" s="108"/>
      <c r="BR986" s="108"/>
      <c r="BS986" s="108"/>
      <c r="BT986" s="108"/>
      <c r="BU986" s="108"/>
      <c r="BV986" s="108"/>
      <c r="BW986" s="108"/>
      <c r="BX986" s="108"/>
      <c r="BY986" s="108"/>
    </row>
    <row r="987" spans="1:77">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c r="AA987" s="109"/>
      <c r="AB987" s="109"/>
      <c r="AC987" s="109"/>
      <c r="AD987" s="109"/>
      <c r="AE987" s="109"/>
      <c r="AF987" s="109"/>
      <c r="AG987" s="109"/>
      <c r="AH987" s="109"/>
      <c r="AI987" s="109"/>
      <c r="AJ987" s="109"/>
      <c r="AK987" s="109"/>
      <c r="AL987" s="109"/>
      <c r="AM987" s="109"/>
      <c r="AN987" s="109"/>
      <c r="AO987" s="109"/>
      <c r="AP987" s="109"/>
      <c r="AQ987" s="109"/>
      <c r="AR987" s="109"/>
      <c r="AS987" s="109"/>
      <c r="AT987" s="108"/>
      <c r="AU987" s="108"/>
      <c r="AV987" s="108"/>
      <c r="AW987" s="108"/>
      <c r="AX987" s="108"/>
      <c r="AY987" s="108"/>
      <c r="AZ987" s="108"/>
      <c r="BA987" s="108"/>
      <c r="BB987" s="108"/>
      <c r="BC987" s="108"/>
      <c r="BD987" s="108"/>
      <c r="BE987" s="108"/>
      <c r="BF987" s="108"/>
      <c r="BG987" s="108"/>
      <c r="BH987" s="108"/>
      <c r="BI987" s="108"/>
      <c r="BJ987" s="108"/>
      <c r="BK987" s="108"/>
      <c r="BL987" s="108"/>
      <c r="BM987" s="108"/>
      <c r="BN987" s="108"/>
      <c r="BO987" s="108"/>
      <c r="BP987" s="108"/>
      <c r="BQ987" s="108"/>
      <c r="BR987" s="108"/>
      <c r="BS987" s="108"/>
      <c r="BT987" s="108"/>
      <c r="BU987" s="108"/>
      <c r="BV987" s="108"/>
      <c r="BW987" s="108"/>
      <c r="BX987" s="108"/>
      <c r="BY987" s="108"/>
    </row>
    <row r="988" spans="1:77">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c r="AA988" s="109"/>
      <c r="AB988" s="109"/>
      <c r="AC988" s="109"/>
      <c r="AD988" s="109"/>
      <c r="AE988" s="109"/>
      <c r="AF988" s="109"/>
      <c r="AG988" s="109"/>
      <c r="AH988" s="109"/>
      <c r="AI988" s="109"/>
      <c r="AJ988" s="109"/>
      <c r="AK988" s="109"/>
      <c r="AL988" s="109"/>
      <c r="AM988" s="109"/>
      <c r="AN988" s="109"/>
      <c r="AO988" s="109"/>
      <c r="AP988" s="109"/>
      <c r="AQ988" s="109"/>
      <c r="AR988" s="109"/>
      <c r="AS988" s="109"/>
      <c r="AT988" s="108"/>
      <c r="AU988" s="108"/>
      <c r="AV988" s="108"/>
      <c r="AW988" s="108"/>
      <c r="AX988" s="108"/>
      <c r="AY988" s="108"/>
      <c r="AZ988" s="108"/>
      <c r="BA988" s="108"/>
      <c r="BB988" s="108"/>
      <c r="BC988" s="108"/>
      <c r="BD988" s="108"/>
      <c r="BE988" s="108"/>
      <c r="BF988" s="108"/>
      <c r="BG988" s="108"/>
      <c r="BH988" s="108"/>
      <c r="BI988" s="108"/>
      <c r="BJ988" s="108"/>
      <c r="BK988" s="108"/>
      <c r="BL988" s="108"/>
      <c r="BM988" s="108"/>
      <c r="BN988" s="108"/>
      <c r="BO988" s="108"/>
      <c r="BP988" s="108"/>
      <c r="BQ988" s="108"/>
      <c r="BR988" s="108"/>
      <c r="BS988" s="108"/>
      <c r="BT988" s="108"/>
      <c r="BU988" s="108"/>
      <c r="BV988" s="108"/>
      <c r="BW988" s="108"/>
      <c r="BX988" s="108"/>
      <c r="BY988" s="108"/>
    </row>
    <row r="989" spans="1:77">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c r="AA989" s="109"/>
      <c r="AB989" s="109"/>
      <c r="AC989" s="109"/>
      <c r="AD989" s="109"/>
      <c r="AE989" s="109"/>
      <c r="AF989" s="109"/>
      <c r="AG989" s="109"/>
      <c r="AH989" s="109"/>
      <c r="AI989" s="109"/>
      <c r="AJ989" s="109"/>
      <c r="AK989" s="109"/>
      <c r="AL989" s="109"/>
      <c r="AM989" s="109"/>
      <c r="AN989" s="109"/>
      <c r="AO989" s="109"/>
      <c r="AP989" s="109"/>
      <c r="AQ989" s="109"/>
      <c r="AR989" s="109"/>
      <c r="AS989" s="109"/>
      <c r="AT989" s="108"/>
      <c r="AU989" s="108"/>
      <c r="AV989" s="108"/>
      <c r="AW989" s="108"/>
      <c r="AX989" s="108"/>
      <c r="AY989" s="108"/>
      <c r="AZ989" s="108"/>
      <c r="BA989" s="108"/>
      <c r="BB989" s="108"/>
      <c r="BC989" s="108"/>
      <c r="BD989" s="108"/>
      <c r="BE989" s="108"/>
      <c r="BF989" s="108"/>
      <c r="BG989" s="108"/>
      <c r="BH989" s="108"/>
      <c r="BI989" s="108"/>
      <c r="BJ989" s="108"/>
      <c r="BK989" s="108"/>
      <c r="BL989" s="108"/>
      <c r="BM989" s="108"/>
      <c r="BN989" s="108"/>
      <c r="BO989" s="108"/>
      <c r="BP989" s="108"/>
      <c r="BQ989" s="108"/>
      <c r="BR989" s="108"/>
      <c r="BS989" s="108"/>
      <c r="BT989" s="108"/>
      <c r="BU989" s="108"/>
      <c r="BV989" s="108"/>
      <c r="BW989" s="108"/>
      <c r="BX989" s="108"/>
      <c r="BY989" s="108"/>
    </row>
    <row r="990" spans="1:77">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c r="AB990" s="109"/>
      <c r="AC990" s="109"/>
      <c r="AD990" s="109"/>
      <c r="AE990" s="109"/>
      <c r="AF990" s="109"/>
      <c r="AG990" s="109"/>
      <c r="AH990" s="109"/>
      <c r="AI990" s="109"/>
      <c r="AJ990" s="109"/>
      <c r="AK990" s="109"/>
      <c r="AL990" s="109"/>
      <c r="AM990" s="109"/>
      <c r="AN990" s="109"/>
      <c r="AO990" s="109"/>
      <c r="AP990" s="109"/>
      <c r="AQ990" s="109"/>
      <c r="AR990" s="109"/>
      <c r="AS990" s="109"/>
      <c r="AT990" s="108"/>
      <c r="AU990" s="108"/>
      <c r="AV990" s="108"/>
      <c r="AW990" s="108"/>
      <c r="AX990" s="108"/>
      <c r="AY990" s="108"/>
      <c r="AZ990" s="108"/>
      <c r="BA990" s="108"/>
      <c r="BB990" s="108"/>
      <c r="BC990" s="108"/>
      <c r="BD990" s="108"/>
      <c r="BE990" s="108"/>
      <c r="BF990" s="108"/>
      <c r="BG990" s="108"/>
      <c r="BH990" s="108"/>
      <c r="BI990" s="108"/>
      <c r="BJ990" s="108"/>
      <c r="BK990" s="108"/>
      <c r="BL990" s="108"/>
      <c r="BM990" s="108"/>
      <c r="BN990" s="108"/>
      <c r="BO990" s="108"/>
      <c r="BP990" s="108"/>
      <c r="BQ990" s="108"/>
      <c r="BR990" s="108"/>
      <c r="BS990" s="108"/>
      <c r="BT990" s="108"/>
      <c r="BU990" s="108"/>
      <c r="BV990" s="108"/>
      <c r="BW990" s="108"/>
      <c r="BX990" s="108"/>
      <c r="BY990" s="108"/>
    </row>
    <row r="991" spans="1:77">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c r="AA991" s="109"/>
      <c r="AB991" s="109"/>
      <c r="AC991" s="109"/>
      <c r="AD991" s="109"/>
      <c r="AE991" s="109"/>
      <c r="AF991" s="109"/>
      <c r="AG991" s="109"/>
      <c r="AH991" s="109"/>
      <c r="AI991" s="109"/>
      <c r="AJ991" s="109"/>
      <c r="AK991" s="109"/>
      <c r="AL991" s="109"/>
      <c r="AM991" s="109"/>
      <c r="AN991" s="109"/>
      <c r="AO991" s="109"/>
      <c r="AP991" s="109"/>
      <c r="AQ991" s="109"/>
      <c r="AR991" s="109"/>
      <c r="AS991" s="109"/>
      <c r="AT991" s="108"/>
      <c r="AU991" s="108"/>
      <c r="AV991" s="108"/>
      <c r="AW991" s="108"/>
      <c r="AX991" s="108"/>
      <c r="AY991" s="108"/>
      <c r="AZ991" s="108"/>
      <c r="BA991" s="108"/>
      <c r="BB991" s="108"/>
      <c r="BC991" s="108"/>
      <c r="BD991" s="108"/>
      <c r="BE991" s="108"/>
      <c r="BF991" s="108"/>
      <c r="BG991" s="108"/>
      <c r="BH991" s="108"/>
      <c r="BI991" s="108"/>
      <c r="BJ991" s="108"/>
      <c r="BK991" s="108"/>
      <c r="BL991" s="108"/>
      <c r="BM991" s="108"/>
      <c r="BN991" s="108"/>
      <c r="BO991" s="108"/>
      <c r="BP991" s="108"/>
      <c r="BQ991" s="108"/>
      <c r="BR991" s="108"/>
      <c r="BS991" s="108"/>
      <c r="BT991" s="108"/>
      <c r="BU991" s="108"/>
      <c r="BV991" s="108"/>
      <c r="BW991" s="108"/>
      <c r="BX991" s="108"/>
      <c r="BY991" s="108"/>
    </row>
    <row r="992" spans="1:77">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c r="AA992" s="109"/>
      <c r="AB992" s="109"/>
      <c r="AC992" s="109"/>
      <c r="AD992" s="109"/>
      <c r="AE992" s="109"/>
      <c r="AF992" s="109"/>
      <c r="AG992" s="109"/>
      <c r="AH992" s="109"/>
      <c r="AI992" s="109"/>
      <c r="AJ992" s="109"/>
      <c r="AK992" s="109"/>
      <c r="AL992" s="109"/>
      <c r="AM992" s="109"/>
      <c r="AN992" s="109"/>
      <c r="AO992" s="109"/>
      <c r="AP992" s="109"/>
      <c r="AQ992" s="109"/>
      <c r="AR992" s="109"/>
      <c r="AS992" s="109"/>
      <c r="AT992" s="108"/>
      <c r="AU992" s="108"/>
      <c r="AV992" s="108"/>
      <c r="AW992" s="108"/>
      <c r="AX992" s="108"/>
      <c r="AY992" s="108"/>
      <c r="AZ992" s="108"/>
      <c r="BA992" s="108"/>
      <c r="BB992" s="108"/>
      <c r="BC992" s="108"/>
      <c r="BD992" s="108"/>
      <c r="BE992" s="108"/>
      <c r="BF992" s="108"/>
      <c r="BG992" s="108"/>
      <c r="BH992" s="108"/>
      <c r="BI992" s="108"/>
      <c r="BJ992" s="108"/>
      <c r="BK992" s="108"/>
      <c r="BL992" s="108"/>
      <c r="BM992" s="108"/>
      <c r="BN992" s="108"/>
      <c r="BO992" s="108"/>
      <c r="BP992" s="108"/>
      <c r="BQ992" s="108"/>
      <c r="BR992" s="108"/>
      <c r="BS992" s="108"/>
      <c r="BT992" s="108"/>
      <c r="BU992" s="108"/>
      <c r="BV992" s="108"/>
      <c r="BW992" s="108"/>
      <c r="BX992" s="108"/>
      <c r="BY992" s="108"/>
    </row>
    <row r="993" spans="1:77">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c r="AA993" s="109"/>
      <c r="AB993" s="109"/>
      <c r="AC993" s="109"/>
      <c r="AD993" s="109"/>
      <c r="AE993" s="109"/>
      <c r="AF993" s="109"/>
      <c r="AG993" s="109"/>
      <c r="AH993" s="109"/>
      <c r="AI993" s="109"/>
      <c r="AJ993" s="109"/>
      <c r="AK993" s="109"/>
      <c r="AL993" s="109"/>
      <c r="AM993" s="109"/>
      <c r="AN993" s="109"/>
      <c r="AO993" s="109"/>
      <c r="AP993" s="109"/>
      <c r="AQ993" s="109"/>
      <c r="AR993" s="109"/>
      <c r="AS993" s="109"/>
      <c r="AT993" s="108"/>
      <c r="AU993" s="108"/>
      <c r="AV993" s="108"/>
      <c r="AW993" s="108"/>
      <c r="AX993" s="108"/>
      <c r="AY993" s="108"/>
      <c r="AZ993" s="108"/>
      <c r="BA993" s="108"/>
      <c r="BB993" s="108"/>
      <c r="BC993" s="108"/>
      <c r="BD993" s="108"/>
      <c r="BE993" s="108"/>
      <c r="BF993" s="108"/>
      <c r="BG993" s="108"/>
      <c r="BH993" s="108"/>
      <c r="BI993" s="108"/>
      <c r="BJ993" s="108"/>
      <c r="BK993" s="108"/>
      <c r="BL993" s="108"/>
      <c r="BM993" s="108"/>
      <c r="BN993" s="108"/>
      <c r="BO993" s="108"/>
      <c r="BP993" s="108"/>
      <c r="BQ993" s="108"/>
      <c r="BR993" s="108"/>
      <c r="BS993" s="108"/>
      <c r="BT993" s="108"/>
      <c r="BU993" s="108"/>
      <c r="BV993" s="108"/>
      <c r="BW993" s="108"/>
      <c r="BX993" s="108"/>
      <c r="BY993" s="108"/>
    </row>
    <row r="994" spans="1:77">
      <c r="A994" s="109"/>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c r="AA994" s="109"/>
      <c r="AB994" s="109"/>
      <c r="AC994" s="109"/>
      <c r="AD994" s="109"/>
      <c r="AE994" s="109"/>
      <c r="AF994" s="109"/>
      <c r="AG994" s="109"/>
      <c r="AH994" s="109"/>
      <c r="AI994" s="109"/>
      <c r="AJ994" s="109"/>
      <c r="AK994" s="109"/>
      <c r="AL994" s="109"/>
      <c r="AM994" s="109"/>
      <c r="AN994" s="109"/>
      <c r="AO994" s="109"/>
      <c r="AP994" s="109"/>
      <c r="AQ994" s="109"/>
      <c r="AR994" s="109"/>
      <c r="AS994" s="109"/>
      <c r="AT994" s="108"/>
      <c r="AU994" s="108"/>
      <c r="AV994" s="108"/>
      <c r="AW994" s="108"/>
      <c r="AX994" s="108"/>
      <c r="AY994" s="108"/>
      <c r="AZ994" s="108"/>
      <c r="BA994" s="108"/>
      <c r="BB994" s="108"/>
      <c r="BC994" s="108"/>
      <c r="BD994" s="108"/>
      <c r="BE994" s="108"/>
      <c r="BF994" s="108"/>
      <c r="BG994" s="108"/>
      <c r="BH994" s="108"/>
      <c r="BI994" s="108"/>
      <c r="BJ994" s="108"/>
      <c r="BK994" s="108"/>
      <c r="BL994" s="108"/>
      <c r="BM994" s="108"/>
      <c r="BN994" s="108"/>
      <c r="BO994" s="108"/>
      <c r="BP994" s="108"/>
      <c r="BQ994" s="108"/>
      <c r="BR994" s="108"/>
      <c r="BS994" s="108"/>
      <c r="BT994" s="108"/>
      <c r="BU994" s="108"/>
      <c r="BV994" s="108"/>
      <c r="BW994" s="108"/>
      <c r="BX994" s="108"/>
      <c r="BY994" s="108"/>
    </row>
    <row r="995" spans="1:77">
      <c r="A995" s="109"/>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c r="AA995" s="109"/>
      <c r="AB995" s="109"/>
      <c r="AC995" s="109"/>
      <c r="AD995" s="109"/>
      <c r="AE995" s="109"/>
      <c r="AF995" s="109"/>
      <c r="AG995" s="109"/>
      <c r="AH995" s="109"/>
      <c r="AI995" s="109"/>
      <c r="AJ995" s="109"/>
      <c r="AK995" s="109"/>
      <c r="AL995" s="109"/>
      <c r="AM995" s="109"/>
      <c r="AN995" s="109"/>
      <c r="AO995" s="109"/>
      <c r="AP995" s="109"/>
      <c r="AQ995" s="109"/>
      <c r="AR995" s="109"/>
      <c r="AS995" s="109"/>
      <c r="AT995" s="108"/>
      <c r="AU995" s="108"/>
      <c r="AV995" s="108"/>
      <c r="AW995" s="108"/>
      <c r="AX995" s="108"/>
      <c r="AY995" s="108"/>
      <c r="AZ995" s="108"/>
      <c r="BA995" s="108"/>
      <c r="BB995" s="108"/>
      <c r="BC995" s="108"/>
      <c r="BD995" s="108"/>
      <c r="BE995" s="108"/>
      <c r="BF995" s="108"/>
      <c r="BG995" s="108"/>
      <c r="BH995" s="108"/>
      <c r="BI995" s="108"/>
      <c r="BJ995" s="108"/>
      <c r="BK995" s="108"/>
      <c r="BL995" s="108"/>
      <c r="BM995" s="108"/>
      <c r="BN995" s="108"/>
      <c r="BO995" s="108"/>
      <c r="BP995" s="108"/>
      <c r="BQ995" s="108"/>
      <c r="BR995" s="108"/>
      <c r="BS995" s="108"/>
      <c r="BT995" s="108"/>
      <c r="BU995" s="108"/>
      <c r="BV995" s="108"/>
      <c r="BW995" s="108"/>
      <c r="BX995" s="108"/>
      <c r="BY995" s="108"/>
    </row>
    <row r="996" spans="1:77">
      <c r="A996" s="109"/>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c r="AA996" s="109"/>
      <c r="AB996" s="109"/>
      <c r="AC996" s="109"/>
      <c r="AD996" s="109"/>
      <c r="AE996" s="109"/>
      <c r="AF996" s="109"/>
      <c r="AG996" s="109"/>
      <c r="AH996" s="109"/>
      <c r="AI996" s="109"/>
      <c r="AJ996" s="109"/>
      <c r="AK996" s="109"/>
      <c r="AL996" s="109"/>
      <c r="AM996" s="109"/>
      <c r="AN996" s="109"/>
      <c r="AO996" s="109"/>
      <c r="AP996" s="109"/>
      <c r="AQ996" s="109"/>
      <c r="AR996" s="109"/>
      <c r="AS996" s="109"/>
      <c r="AT996" s="108"/>
      <c r="AU996" s="108"/>
      <c r="AV996" s="108"/>
      <c r="AW996" s="108"/>
      <c r="AX996" s="108"/>
      <c r="AY996" s="108"/>
      <c r="AZ996" s="108"/>
      <c r="BA996" s="108"/>
      <c r="BB996" s="108"/>
      <c r="BC996" s="108"/>
      <c r="BD996" s="108"/>
      <c r="BE996" s="108"/>
      <c r="BF996" s="108"/>
      <c r="BG996" s="108"/>
      <c r="BH996" s="108"/>
      <c r="BI996" s="108"/>
      <c r="BJ996" s="108"/>
      <c r="BK996" s="108"/>
      <c r="BL996" s="108"/>
      <c r="BM996" s="108"/>
      <c r="BN996" s="108"/>
      <c r="BO996" s="108"/>
      <c r="BP996" s="108"/>
      <c r="BQ996" s="108"/>
      <c r="BR996" s="108"/>
      <c r="BS996" s="108"/>
      <c r="BT996" s="108"/>
      <c r="BU996" s="108"/>
      <c r="BV996" s="108"/>
      <c r="BW996" s="108"/>
      <c r="BX996" s="108"/>
      <c r="BY996" s="108"/>
    </row>
    <row r="997" spans="1:77">
      <c r="A997" s="109"/>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c r="AA997" s="109"/>
      <c r="AB997" s="109"/>
      <c r="AC997" s="109"/>
      <c r="AD997" s="109"/>
      <c r="AE997" s="109"/>
      <c r="AF997" s="109"/>
      <c r="AG997" s="109"/>
      <c r="AH997" s="109"/>
      <c r="AI997" s="109"/>
      <c r="AJ997" s="109"/>
      <c r="AK997" s="109"/>
      <c r="AL997" s="109"/>
      <c r="AM997" s="109"/>
      <c r="AN997" s="109"/>
      <c r="AO997" s="109"/>
      <c r="AP997" s="109"/>
      <c r="AQ997" s="109"/>
      <c r="AR997" s="109"/>
      <c r="AS997" s="109"/>
      <c r="AT997" s="108"/>
      <c r="AU997" s="108"/>
      <c r="AV997" s="108"/>
      <c r="AW997" s="108"/>
      <c r="AX997" s="108"/>
      <c r="AY997" s="108"/>
      <c r="AZ997" s="108"/>
      <c r="BA997" s="108"/>
      <c r="BB997" s="108"/>
      <c r="BC997" s="108"/>
      <c r="BD997" s="108"/>
      <c r="BE997" s="108"/>
      <c r="BF997" s="108"/>
      <c r="BG997" s="108"/>
      <c r="BH997" s="108"/>
      <c r="BI997" s="108"/>
      <c r="BJ997" s="108"/>
      <c r="BK997" s="108"/>
      <c r="BL997" s="108"/>
      <c r="BM997" s="108"/>
      <c r="BN997" s="108"/>
      <c r="BO997" s="108"/>
      <c r="BP997" s="108"/>
      <c r="BQ997" s="108"/>
      <c r="BR997" s="108"/>
      <c r="BS997" s="108"/>
      <c r="BT997" s="108"/>
      <c r="BU997" s="108"/>
      <c r="BV997" s="108"/>
      <c r="BW997" s="108"/>
      <c r="BX997" s="108"/>
      <c r="BY997" s="108"/>
    </row>
    <row r="998" spans="1:77">
      <c r="A998" s="109"/>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c r="AA998" s="109"/>
      <c r="AB998" s="109"/>
      <c r="AC998" s="109"/>
      <c r="AD998" s="109"/>
      <c r="AE998" s="109"/>
      <c r="AF998" s="109"/>
      <c r="AG998" s="109"/>
      <c r="AH998" s="109"/>
      <c r="AI998" s="109"/>
      <c r="AJ998" s="109"/>
      <c r="AK998" s="109"/>
      <c r="AL998" s="109"/>
      <c r="AM998" s="109"/>
      <c r="AN998" s="109"/>
      <c r="AO998" s="109"/>
      <c r="AP998" s="109"/>
      <c r="AQ998" s="109"/>
      <c r="AR998" s="109"/>
      <c r="AS998" s="109"/>
      <c r="AT998" s="108"/>
      <c r="AU998" s="108"/>
      <c r="AV998" s="108"/>
      <c r="AW998" s="108"/>
      <c r="AX998" s="108"/>
      <c r="AY998" s="108"/>
      <c r="AZ998" s="108"/>
      <c r="BA998" s="108"/>
      <c r="BB998" s="108"/>
      <c r="BC998" s="108"/>
      <c r="BD998" s="108"/>
      <c r="BE998" s="108"/>
      <c r="BF998" s="108"/>
      <c r="BG998" s="108"/>
      <c r="BH998" s="108"/>
      <c r="BI998" s="108"/>
      <c r="BJ998" s="108"/>
      <c r="BK998" s="108"/>
      <c r="BL998" s="108"/>
      <c r="BM998" s="108"/>
      <c r="BN998" s="108"/>
      <c r="BO998" s="108"/>
      <c r="BP998" s="108"/>
      <c r="BQ998" s="108"/>
      <c r="BR998" s="108"/>
      <c r="BS998" s="108"/>
      <c r="BT998" s="108"/>
      <c r="BU998" s="108"/>
      <c r="BV998" s="108"/>
      <c r="BW998" s="108"/>
      <c r="BX998" s="108"/>
      <c r="BY998" s="108"/>
    </row>
    <row r="999" spans="1:77">
      <c r="A999" s="109"/>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c r="AA999" s="109"/>
      <c r="AB999" s="109"/>
      <c r="AC999" s="109"/>
      <c r="AD999" s="109"/>
      <c r="AE999" s="109"/>
      <c r="AF999" s="109"/>
      <c r="AG999" s="109"/>
      <c r="AH999" s="109"/>
      <c r="AI999" s="109"/>
      <c r="AJ999" s="109"/>
      <c r="AK999" s="109"/>
      <c r="AL999" s="109"/>
      <c r="AM999" s="109"/>
      <c r="AN999" s="109"/>
      <c r="AO999" s="109"/>
      <c r="AP999" s="109"/>
      <c r="AQ999" s="109"/>
      <c r="AR999" s="109"/>
      <c r="AS999" s="109"/>
      <c r="AT999" s="108"/>
      <c r="AU999" s="108"/>
      <c r="AV999" s="108"/>
      <c r="AW999" s="108"/>
      <c r="AX999" s="108"/>
      <c r="AY999" s="108"/>
      <c r="AZ999" s="108"/>
      <c r="BA999" s="108"/>
      <c r="BB999" s="108"/>
      <c r="BC999" s="108"/>
      <c r="BD999" s="108"/>
      <c r="BE999" s="108"/>
      <c r="BF999" s="108"/>
      <c r="BG999" s="108"/>
      <c r="BH999" s="108"/>
      <c r="BI999" s="108"/>
      <c r="BJ999" s="108"/>
      <c r="BK999" s="108"/>
      <c r="BL999" s="108"/>
      <c r="BM999" s="108"/>
      <c r="BN999" s="108"/>
      <c r="BO999" s="108"/>
      <c r="BP999" s="108"/>
      <c r="BQ999" s="108"/>
      <c r="BR999" s="108"/>
      <c r="BS999" s="108"/>
      <c r="BT999" s="108"/>
      <c r="BU999" s="108"/>
      <c r="BV999" s="108"/>
      <c r="BW999" s="108"/>
      <c r="BX999" s="108"/>
      <c r="BY999" s="108"/>
    </row>
    <row r="1000" spans="1:77">
      <c r="A1000" s="109"/>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c r="AA1000" s="109"/>
      <c r="AB1000" s="109"/>
      <c r="AC1000" s="109"/>
      <c r="AD1000" s="109"/>
      <c r="AE1000" s="109"/>
      <c r="AF1000" s="109"/>
      <c r="AG1000" s="109"/>
      <c r="AH1000" s="109"/>
      <c r="AI1000" s="109"/>
      <c r="AJ1000" s="109"/>
      <c r="AK1000" s="109"/>
      <c r="AL1000" s="109"/>
      <c r="AM1000" s="109"/>
      <c r="AN1000" s="109"/>
      <c r="AO1000" s="109"/>
      <c r="AP1000" s="109"/>
      <c r="AQ1000" s="109"/>
      <c r="AR1000" s="109"/>
      <c r="AS1000" s="109"/>
      <c r="AT1000" s="108"/>
      <c r="AU1000" s="108"/>
      <c r="AV1000" s="108"/>
      <c r="AW1000" s="108"/>
      <c r="AX1000" s="108"/>
      <c r="AY1000" s="108"/>
      <c r="AZ1000" s="108"/>
      <c r="BA1000" s="108"/>
      <c r="BB1000" s="108"/>
      <c r="BC1000" s="108"/>
      <c r="BD1000" s="108"/>
      <c r="BE1000" s="108"/>
      <c r="BF1000" s="108"/>
      <c r="BG1000" s="108"/>
      <c r="BH1000" s="108"/>
      <c r="BI1000" s="108"/>
      <c r="BJ1000" s="108"/>
      <c r="BK1000" s="108"/>
      <c r="BL1000" s="108"/>
      <c r="BM1000" s="108"/>
      <c r="BN1000" s="108"/>
      <c r="BO1000" s="108"/>
      <c r="BP1000" s="108"/>
      <c r="BQ1000" s="108"/>
      <c r="BR1000" s="108"/>
      <c r="BS1000" s="108"/>
      <c r="BT1000" s="108"/>
      <c r="BU1000" s="108"/>
      <c r="BV1000" s="108"/>
      <c r="BW1000" s="108"/>
      <c r="BX1000" s="108"/>
      <c r="BY1000" s="108"/>
    </row>
    <row r="1001" spans="1:77">
      <c r="A1001" s="109"/>
      <c r="B1001" s="109"/>
      <c r="C1001" s="109"/>
      <c r="D1001" s="109"/>
      <c r="E1001" s="109"/>
      <c r="F1001" s="109"/>
      <c r="G1001" s="109"/>
      <c r="H1001" s="109"/>
      <c r="I1001" s="109"/>
      <c r="J1001" s="109"/>
      <c r="K1001" s="109"/>
      <c r="L1001" s="109"/>
      <c r="M1001" s="109"/>
      <c r="N1001" s="109"/>
      <c r="O1001" s="109"/>
      <c r="P1001" s="109"/>
      <c r="Q1001" s="109"/>
      <c r="R1001" s="109"/>
      <c r="S1001" s="109"/>
      <c r="T1001" s="109"/>
      <c r="U1001" s="109"/>
      <c r="V1001" s="109"/>
      <c r="W1001" s="109"/>
      <c r="X1001" s="109"/>
      <c r="Y1001" s="109"/>
      <c r="Z1001" s="109"/>
      <c r="AA1001" s="109"/>
      <c r="AB1001" s="109"/>
      <c r="AC1001" s="109"/>
      <c r="AD1001" s="109"/>
      <c r="AE1001" s="109"/>
      <c r="AF1001" s="109"/>
      <c r="AG1001" s="109"/>
      <c r="AH1001" s="109"/>
      <c r="AI1001" s="109"/>
      <c r="AJ1001" s="109"/>
      <c r="AK1001" s="109"/>
      <c r="AL1001" s="109"/>
      <c r="AM1001" s="109"/>
      <c r="AN1001" s="109"/>
      <c r="AO1001" s="109"/>
      <c r="AP1001" s="109"/>
      <c r="AQ1001" s="109"/>
      <c r="AR1001" s="109"/>
      <c r="AS1001" s="109"/>
      <c r="AT1001" s="108"/>
      <c r="AU1001" s="108"/>
      <c r="AV1001" s="108"/>
      <c r="AW1001" s="108"/>
      <c r="AX1001" s="108"/>
      <c r="AY1001" s="108"/>
      <c r="AZ1001" s="108"/>
      <c r="BA1001" s="108"/>
      <c r="BB1001" s="108"/>
      <c r="BC1001" s="108"/>
      <c r="BD1001" s="108"/>
      <c r="BE1001" s="108"/>
      <c r="BF1001" s="108"/>
      <c r="BG1001" s="108"/>
      <c r="BH1001" s="108"/>
      <c r="BI1001" s="108"/>
      <c r="BJ1001" s="108"/>
      <c r="BK1001" s="108"/>
      <c r="BL1001" s="108"/>
      <c r="BM1001" s="108"/>
      <c r="BN1001" s="108"/>
      <c r="BO1001" s="108"/>
      <c r="BP1001" s="108"/>
      <c r="BQ1001" s="108"/>
      <c r="BR1001" s="108"/>
      <c r="BS1001" s="108"/>
      <c r="BT1001" s="108"/>
      <c r="BU1001" s="108"/>
      <c r="BV1001" s="108"/>
      <c r="BW1001" s="108"/>
      <c r="BX1001" s="108"/>
      <c r="BY1001" s="108"/>
    </row>
    <row r="1002" spans="1:77">
      <c r="A1002" s="109"/>
      <c r="B1002" s="109"/>
      <c r="C1002" s="109"/>
      <c r="D1002" s="109"/>
      <c r="E1002" s="109"/>
      <c r="F1002" s="109"/>
      <c r="G1002" s="109"/>
      <c r="H1002" s="109"/>
      <c r="I1002" s="109"/>
      <c r="J1002" s="109"/>
      <c r="K1002" s="109"/>
      <c r="L1002" s="109"/>
      <c r="M1002" s="109"/>
      <c r="N1002" s="109"/>
      <c r="O1002" s="109"/>
      <c r="P1002" s="109"/>
      <c r="Q1002" s="109"/>
      <c r="R1002" s="109"/>
      <c r="S1002" s="109"/>
      <c r="T1002" s="109"/>
      <c r="U1002" s="109"/>
      <c r="V1002" s="109"/>
      <c r="W1002" s="109"/>
      <c r="X1002" s="109"/>
      <c r="Y1002" s="109"/>
      <c r="Z1002" s="109"/>
      <c r="AA1002" s="109"/>
      <c r="AB1002" s="109"/>
      <c r="AC1002" s="109"/>
      <c r="AD1002" s="109"/>
      <c r="AE1002" s="109"/>
      <c r="AF1002" s="109"/>
      <c r="AG1002" s="109"/>
      <c r="AH1002" s="109"/>
      <c r="AI1002" s="109"/>
      <c r="AJ1002" s="109"/>
      <c r="AK1002" s="109"/>
      <c r="AL1002" s="109"/>
      <c r="AM1002" s="109"/>
      <c r="AN1002" s="109"/>
      <c r="AO1002" s="109"/>
      <c r="AP1002" s="109"/>
      <c r="AQ1002" s="109"/>
      <c r="AR1002" s="109"/>
      <c r="AS1002" s="109"/>
      <c r="AT1002" s="108"/>
      <c r="AU1002" s="108"/>
      <c r="AV1002" s="108"/>
      <c r="AW1002" s="108"/>
      <c r="AX1002" s="108"/>
      <c r="AY1002" s="108"/>
      <c r="AZ1002" s="108"/>
      <c r="BA1002" s="108"/>
      <c r="BB1002" s="108"/>
      <c r="BC1002" s="108"/>
      <c r="BD1002" s="108"/>
      <c r="BE1002" s="108"/>
      <c r="BF1002" s="108"/>
      <c r="BG1002" s="108"/>
      <c r="BH1002" s="108"/>
      <c r="BI1002" s="108"/>
      <c r="BJ1002" s="108"/>
      <c r="BK1002" s="108"/>
      <c r="BL1002" s="108"/>
      <c r="BM1002" s="108"/>
      <c r="BN1002" s="108"/>
      <c r="BO1002" s="108"/>
      <c r="BP1002" s="108"/>
      <c r="BQ1002" s="108"/>
      <c r="BR1002" s="108"/>
      <c r="BS1002" s="108"/>
      <c r="BT1002" s="108"/>
      <c r="BU1002" s="108"/>
      <c r="BV1002" s="108"/>
      <c r="BW1002" s="108"/>
      <c r="BX1002" s="108"/>
      <c r="BY1002" s="108"/>
    </row>
    <row r="1003" spans="1:77">
      <c r="A1003" s="109"/>
      <c r="B1003" s="109"/>
      <c r="C1003" s="109"/>
      <c r="D1003" s="109"/>
      <c r="E1003" s="109"/>
      <c r="F1003" s="109"/>
      <c r="G1003" s="109"/>
      <c r="H1003" s="109"/>
      <c r="I1003" s="109"/>
      <c r="J1003" s="109"/>
      <c r="K1003" s="109"/>
      <c r="L1003" s="109"/>
      <c r="M1003" s="109"/>
      <c r="N1003" s="109"/>
      <c r="O1003" s="109"/>
      <c r="P1003" s="109"/>
      <c r="Q1003" s="109"/>
      <c r="R1003" s="109"/>
      <c r="S1003" s="109"/>
      <c r="T1003" s="109"/>
      <c r="U1003" s="109"/>
      <c r="V1003" s="109"/>
      <c r="W1003" s="109"/>
      <c r="X1003" s="109"/>
      <c r="Y1003" s="109"/>
      <c r="Z1003" s="109"/>
      <c r="AA1003" s="109"/>
      <c r="AB1003" s="109"/>
      <c r="AC1003" s="109"/>
      <c r="AD1003" s="109"/>
      <c r="AE1003" s="109"/>
      <c r="AF1003" s="109"/>
      <c r="AG1003" s="109"/>
      <c r="AH1003" s="109"/>
      <c r="AI1003" s="109"/>
      <c r="AJ1003" s="109"/>
      <c r="AK1003" s="109"/>
      <c r="AL1003" s="109"/>
      <c r="AM1003" s="109"/>
      <c r="AN1003" s="109"/>
      <c r="AO1003" s="109"/>
      <c r="AP1003" s="109"/>
      <c r="AQ1003" s="109"/>
      <c r="AR1003" s="109"/>
      <c r="AS1003" s="109"/>
      <c r="AT1003" s="108"/>
      <c r="AU1003" s="108"/>
      <c r="AV1003" s="108"/>
      <c r="AW1003" s="108"/>
      <c r="AX1003" s="108"/>
      <c r="AY1003" s="108"/>
      <c r="AZ1003" s="108"/>
      <c r="BA1003" s="108"/>
      <c r="BB1003" s="108"/>
      <c r="BC1003" s="108"/>
      <c r="BD1003" s="108"/>
      <c r="BE1003" s="108"/>
      <c r="BF1003" s="108"/>
      <c r="BG1003" s="108"/>
      <c r="BH1003" s="108"/>
      <c r="BI1003" s="108"/>
      <c r="BJ1003" s="108"/>
      <c r="BK1003" s="108"/>
      <c r="BL1003" s="108"/>
      <c r="BM1003" s="108"/>
      <c r="BN1003" s="108"/>
      <c r="BO1003" s="108"/>
      <c r="BP1003" s="108"/>
      <c r="BQ1003" s="108"/>
      <c r="BR1003" s="108"/>
      <c r="BS1003" s="108"/>
      <c r="BT1003" s="108"/>
      <c r="BU1003" s="108"/>
      <c r="BV1003" s="108"/>
      <c r="BW1003" s="108"/>
      <c r="BX1003" s="108"/>
      <c r="BY1003" s="108"/>
    </row>
    <row r="1004" spans="1:77">
      <c r="A1004" s="109"/>
      <c r="B1004" s="109"/>
      <c r="C1004" s="109"/>
      <c r="D1004" s="109"/>
      <c r="E1004" s="109"/>
      <c r="F1004" s="109"/>
      <c r="G1004" s="109"/>
      <c r="H1004" s="109"/>
      <c r="I1004" s="109"/>
      <c r="J1004" s="109"/>
      <c r="K1004" s="109"/>
      <c r="L1004" s="109"/>
      <c r="M1004" s="109"/>
      <c r="N1004" s="109"/>
      <c r="O1004" s="109"/>
      <c r="P1004" s="109"/>
      <c r="Q1004" s="109"/>
      <c r="R1004" s="109"/>
      <c r="S1004" s="109"/>
      <c r="T1004" s="109"/>
      <c r="U1004" s="109"/>
      <c r="V1004" s="109"/>
      <c r="W1004" s="109"/>
      <c r="X1004" s="109"/>
      <c r="Y1004" s="109"/>
      <c r="Z1004" s="109"/>
      <c r="AA1004" s="109"/>
      <c r="AB1004" s="109"/>
      <c r="AC1004" s="109"/>
      <c r="AD1004" s="109"/>
      <c r="AE1004" s="109"/>
      <c r="AF1004" s="109"/>
      <c r="AG1004" s="109"/>
      <c r="AH1004" s="109"/>
      <c r="AI1004" s="109"/>
      <c r="AJ1004" s="109"/>
      <c r="AK1004" s="109"/>
      <c r="AL1004" s="109"/>
      <c r="AM1004" s="109"/>
      <c r="AN1004" s="109"/>
      <c r="AO1004" s="109"/>
      <c r="AP1004" s="109"/>
      <c r="AQ1004" s="109"/>
      <c r="AR1004" s="109"/>
      <c r="AS1004" s="109"/>
      <c r="AT1004" s="108"/>
      <c r="AU1004" s="108"/>
      <c r="AV1004" s="108"/>
      <c r="AW1004" s="108"/>
      <c r="AX1004" s="108"/>
      <c r="AY1004" s="108"/>
      <c r="AZ1004" s="108"/>
      <c r="BA1004" s="108"/>
      <c r="BB1004" s="108"/>
      <c r="BC1004" s="108"/>
      <c r="BD1004" s="108"/>
      <c r="BE1004" s="108"/>
      <c r="BF1004" s="108"/>
      <c r="BG1004" s="108"/>
      <c r="BH1004" s="108"/>
      <c r="BI1004" s="108"/>
      <c r="BJ1004" s="108"/>
      <c r="BK1004" s="108"/>
      <c r="BL1004" s="108"/>
      <c r="BM1004" s="108"/>
      <c r="BN1004" s="108"/>
      <c r="BO1004" s="108"/>
      <c r="BP1004" s="108"/>
      <c r="BQ1004" s="108"/>
      <c r="BR1004" s="108"/>
      <c r="BS1004" s="108"/>
      <c r="BT1004" s="108"/>
      <c r="BU1004" s="108"/>
      <c r="BV1004" s="108"/>
      <c r="BW1004" s="108"/>
      <c r="BX1004" s="108"/>
      <c r="BY1004" s="108"/>
    </row>
  </sheetData>
  <mergeCells count="2182">
    <mergeCell ref="AP149:AQ149"/>
    <mergeCell ref="AR140:AT140"/>
    <mergeCell ref="AR141:AT141"/>
    <mergeCell ref="AR148:AT148"/>
    <mergeCell ref="AR147:AT147"/>
    <mergeCell ref="R118:U118"/>
    <mergeCell ref="R119:U119"/>
    <mergeCell ref="R120:U120"/>
    <mergeCell ref="X143:AC143"/>
    <mergeCell ref="X142:AC142"/>
    <mergeCell ref="V114:Z114"/>
    <mergeCell ref="R108:U108"/>
    <mergeCell ref="Q82:S83"/>
    <mergeCell ref="Q81:S81"/>
    <mergeCell ref="W79:Y80"/>
    <mergeCell ref="R116:U116"/>
    <mergeCell ref="V110:Z110"/>
    <mergeCell ref="R111:U111"/>
    <mergeCell ref="AJ140:AO140"/>
    <mergeCell ref="AJ145:AO145"/>
    <mergeCell ref="AI123:AN124"/>
    <mergeCell ref="AD142:AE142"/>
    <mergeCell ref="AD146:AE146"/>
    <mergeCell ref="R128:AG129"/>
    <mergeCell ref="U130:AG131"/>
    <mergeCell ref="AR146:AT146"/>
    <mergeCell ref="AP146:AQ146"/>
    <mergeCell ref="AR145:AT145"/>
    <mergeCell ref="X139:AC139"/>
    <mergeCell ref="R110:U110"/>
    <mergeCell ref="AR136:AT136"/>
    <mergeCell ref="AR138:AT138"/>
    <mergeCell ref="AP136:AQ136"/>
    <mergeCell ref="AR137:AT137"/>
    <mergeCell ref="V106:Z106"/>
    <mergeCell ref="V104:Z104"/>
    <mergeCell ref="AJ138:AO138"/>
    <mergeCell ref="AP137:AQ137"/>
    <mergeCell ref="AM126:AP126"/>
    <mergeCell ref="AI122:AT122"/>
    <mergeCell ref="B137:V138"/>
    <mergeCell ref="B135:V136"/>
    <mergeCell ref="B134:V134"/>
    <mergeCell ref="AQ125:AT125"/>
    <mergeCell ref="AM125:AP125"/>
    <mergeCell ref="AA109:AT109"/>
    <mergeCell ref="O119:Q119"/>
    <mergeCell ref="O114:Q114"/>
    <mergeCell ref="G124:L124"/>
    <mergeCell ref="G122:L122"/>
    <mergeCell ref="G123:L123"/>
    <mergeCell ref="H126:L126"/>
    <mergeCell ref="H127:L127"/>
    <mergeCell ref="G125:L125"/>
    <mergeCell ref="H128:L128"/>
    <mergeCell ref="C113:K113"/>
    <mergeCell ref="O106:Q106"/>
    <mergeCell ref="AD136:AE136"/>
    <mergeCell ref="C116:K116"/>
    <mergeCell ref="C110:K110"/>
    <mergeCell ref="C111:K111"/>
    <mergeCell ref="X137:AC137"/>
    <mergeCell ref="AA107:AT107"/>
    <mergeCell ref="AA105:AT105"/>
    <mergeCell ref="AA106:AT106"/>
    <mergeCell ref="R104:U104"/>
    <mergeCell ref="V107:Z107"/>
    <mergeCell ref="V102:Z102"/>
    <mergeCell ref="V94:Z94"/>
    <mergeCell ref="V99:Z99"/>
    <mergeCell ref="V100:Z100"/>
    <mergeCell ref="V98:Z98"/>
    <mergeCell ref="V103:Z103"/>
    <mergeCell ref="V97:Z97"/>
    <mergeCell ref="AK89:AO89"/>
    <mergeCell ref="AK86:AN87"/>
    <mergeCell ref="AA86:AB86"/>
    <mergeCell ref="AA87:AB87"/>
    <mergeCell ref="Y88:AA89"/>
    <mergeCell ref="AA95:AT95"/>
    <mergeCell ref="AA94:AT94"/>
    <mergeCell ref="AR135:AT135"/>
    <mergeCell ref="AR134:AT134"/>
    <mergeCell ref="Z65:AB65"/>
    <mergeCell ref="V109:Z109"/>
    <mergeCell ref="V93:Z93"/>
    <mergeCell ref="V86:X87"/>
    <mergeCell ref="V111:Z111"/>
    <mergeCell ref="AN68:AT68"/>
    <mergeCell ref="AR54:AT54"/>
    <mergeCell ref="AR55:AT55"/>
    <mergeCell ref="AA99:AT99"/>
    <mergeCell ref="AA98:AT98"/>
    <mergeCell ref="AP57:AQ57"/>
    <mergeCell ref="AP56:AQ56"/>
    <mergeCell ref="AC53:AD53"/>
    <mergeCell ref="AI54:AO54"/>
    <mergeCell ref="AI55:AO55"/>
    <mergeCell ref="AC68:AF68"/>
    <mergeCell ref="AS88:AT88"/>
    <mergeCell ref="AP88:AR89"/>
    <mergeCell ref="AS89:AT89"/>
    <mergeCell ref="AC56:AD56"/>
    <mergeCell ref="AF79:AJ83"/>
    <mergeCell ref="AA102:AT102"/>
    <mergeCell ref="AA97:AT97"/>
    <mergeCell ref="AA96:AT96"/>
    <mergeCell ref="U78:X78"/>
    <mergeCell ref="W88:X88"/>
    <mergeCell ref="V85:X85"/>
    <mergeCell ref="U76:X77"/>
    <mergeCell ref="R107:U107"/>
    <mergeCell ref="R93:U93"/>
    <mergeCell ref="AG88:AJ89"/>
    <mergeCell ref="O95:Q95"/>
    <mergeCell ref="W82:Y83"/>
    <mergeCell ref="Y76:AB77"/>
    <mergeCell ref="Y78:AB78"/>
    <mergeCell ref="Z81:AB81"/>
    <mergeCell ref="Z79:AB80"/>
    <mergeCell ref="Q78:T78"/>
    <mergeCell ref="AA85:AB85"/>
    <mergeCell ref="W81:Y81"/>
    <mergeCell ref="Z82:AB83"/>
    <mergeCell ref="S68:U68"/>
    <mergeCell ref="AA93:AT93"/>
    <mergeCell ref="V95:Z95"/>
    <mergeCell ref="S86:U87"/>
    <mergeCell ref="AK88:AO88"/>
    <mergeCell ref="AC85:AD85"/>
    <mergeCell ref="P68:R68"/>
    <mergeCell ref="L86:O87"/>
    <mergeCell ref="L85:O85"/>
    <mergeCell ref="O94:Q94"/>
    <mergeCell ref="O93:Q93"/>
    <mergeCell ref="M77:P77"/>
    <mergeCell ref="AR143:AT143"/>
    <mergeCell ref="AA103:AT103"/>
    <mergeCell ref="AA104:AT104"/>
    <mergeCell ref="AP144:AQ144"/>
    <mergeCell ref="AR144:AT144"/>
    <mergeCell ref="AP152:AQ152"/>
    <mergeCell ref="AR152:AT152"/>
    <mergeCell ref="AR150:AT150"/>
    <mergeCell ref="AR151:AT151"/>
    <mergeCell ref="AP150:AQ150"/>
    <mergeCell ref="AR149:AT149"/>
    <mergeCell ref="R105:U105"/>
    <mergeCell ref="AD151:AE151"/>
    <mergeCell ref="R114:U114"/>
    <mergeCell ref="X147:AC147"/>
    <mergeCell ref="X148:AC148"/>
    <mergeCell ref="X149:AC149"/>
    <mergeCell ref="AA115:AT115"/>
    <mergeCell ref="V113:Z113"/>
    <mergeCell ref="V108:Z108"/>
    <mergeCell ref="R103:U103"/>
    <mergeCell ref="AF138:AH138"/>
    <mergeCell ref="AF134:AH134"/>
    <mergeCell ref="AF135:AH135"/>
    <mergeCell ref="R124:AG125"/>
    <mergeCell ref="AA108:AT108"/>
    <mergeCell ref="AA119:AT119"/>
    <mergeCell ref="AA118:AT118"/>
    <mergeCell ref="V118:Z118"/>
    <mergeCell ref="AA120:AT120"/>
    <mergeCell ref="AP135:AQ135"/>
    <mergeCell ref="AP134:AQ134"/>
    <mergeCell ref="AI57:AO57"/>
    <mergeCell ref="AC86:AD86"/>
    <mergeCell ref="AC87:AD87"/>
    <mergeCell ref="V105:Z105"/>
    <mergeCell ref="AK66:AM66"/>
    <mergeCell ref="AK65:AM65"/>
    <mergeCell ref="AN64:AT64"/>
    <mergeCell ref="AK64:AM64"/>
    <mergeCell ref="AN62:AT63"/>
    <mergeCell ref="AP55:AQ55"/>
    <mergeCell ref="AR53:AT53"/>
    <mergeCell ref="AR57:AT57"/>
    <mergeCell ref="S88:V89"/>
    <mergeCell ref="S85:U85"/>
    <mergeCell ref="W89:X89"/>
    <mergeCell ref="S62:U63"/>
    <mergeCell ref="AI65:AJ65"/>
    <mergeCell ref="AI64:AJ64"/>
    <mergeCell ref="AE55:AG55"/>
    <mergeCell ref="V55:AB55"/>
    <mergeCell ref="V54:AB54"/>
    <mergeCell ref="AR56:AT56"/>
    <mergeCell ref="S64:U64"/>
    <mergeCell ref="T79:V80"/>
    <mergeCell ref="AN66:AT66"/>
    <mergeCell ref="R59:U60"/>
    <mergeCell ref="V59:AA60"/>
    <mergeCell ref="T81:V81"/>
    <mergeCell ref="Y87:Z87"/>
    <mergeCell ref="Y86:Z86"/>
    <mergeCell ref="S67:U67"/>
    <mergeCell ref="V65:Y65"/>
    <mergeCell ref="AN67:AT67"/>
    <mergeCell ref="AK62:AM63"/>
    <mergeCell ref="AG62:AJ63"/>
    <mergeCell ref="AE85:AF85"/>
    <mergeCell ref="AC79:AE80"/>
    <mergeCell ref="AG78:AJ78"/>
    <mergeCell ref="AG76:AJ77"/>
    <mergeCell ref="AC78:AF78"/>
    <mergeCell ref="AC76:AF77"/>
    <mergeCell ref="AP40:AQ40"/>
    <mergeCell ref="AI45:AO45"/>
    <mergeCell ref="AI44:AO44"/>
    <mergeCell ref="AE45:AG45"/>
    <mergeCell ref="AE44:AG44"/>
    <mergeCell ref="AE50:AG50"/>
    <mergeCell ref="AE49:AG49"/>
    <mergeCell ref="AC44:AD44"/>
    <mergeCell ref="AI53:AO53"/>
    <mergeCell ref="AE53:AG53"/>
    <mergeCell ref="AE56:AG56"/>
    <mergeCell ref="AE57:AG57"/>
    <mergeCell ref="AI68:AJ68"/>
    <mergeCell ref="AI66:AJ66"/>
    <mergeCell ref="AB60:AE60"/>
    <mergeCell ref="AI85:AJ85"/>
    <mergeCell ref="AK85:AN85"/>
    <mergeCell ref="AS60:AT60"/>
    <mergeCell ref="AQ60:AR60"/>
    <mergeCell ref="Z64:AB64"/>
    <mergeCell ref="AC52:AD52"/>
    <mergeCell ref="AE54:AG54"/>
    <mergeCell ref="AI56:AO56"/>
    <mergeCell ref="AR39:AT39"/>
    <mergeCell ref="AP39:AQ39"/>
    <mergeCell ref="AP42:AQ42"/>
    <mergeCell ref="AP43:AQ43"/>
    <mergeCell ref="AI39:AO39"/>
    <mergeCell ref="AP50:AQ50"/>
    <mergeCell ref="AR50:AT50"/>
    <mergeCell ref="AI43:AO43"/>
    <mergeCell ref="AI42:AO42"/>
    <mergeCell ref="AP45:AQ45"/>
    <mergeCell ref="AR44:AT44"/>
    <mergeCell ref="AP44:AQ44"/>
    <mergeCell ref="AR45:AT45"/>
    <mergeCell ref="AR49:AT49"/>
    <mergeCell ref="AP47:AQ47"/>
    <mergeCell ref="AR48:AT48"/>
    <mergeCell ref="AR43:AT43"/>
    <mergeCell ref="AR42:AT42"/>
    <mergeCell ref="AR40:AT40"/>
    <mergeCell ref="AP41:AQ41"/>
    <mergeCell ref="AR41:AT41"/>
    <mergeCell ref="AI40:AO40"/>
    <mergeCell ref="AR47:AT47"/>
    <mergeCell ref="AP48:AQ48"/>
    <mergeCell ref="AI46:AO46"/>
    <mergeCell ref="AR46:AT46"/>
    <mergeCell ref="AI47:AO47"/>
    <mergeCell ref="AI49:AO49"/>
    <mergeCell ref="AP23:AQ23"/>
    <mergeCell ref="AR23:AT23"/>
    <mergeCell ref="AH24:AJ24"/>
    <mergeCell ref="AH25:AT25"/>
    <mergeCell ref="AP24:AQ24"/>
    <mergeCell ref="AM24:AO24"/>
    <mergeCell ref="AK24:AL24"/>
    <mergeCell ref="AQ27:AT27"/>
    <mergeCell ref="AL27:AP27"/>
    <mergeCell ref="AH27:AK27"/>
    <mergeCell ref="AH32:AO32"/>
    <mergeCell ref="AH30:AO31"/>
    <mergeCell ref="AH33:AO33"/>
    <mergeCell ref="AR36:AT37"/>
    <mergeCell ref="AR35:AT35"/>
    <mergeCell ref="AO35:AQ35"/>
    <mergeCell ref="AL36:AN37"/>
    <mergeCell ref="AL35:AN35"/>
    <mergeCell ref="AI35:AK35"/>
    <mergeCell ref="AI36:AK37"/>
    <mergeCell ref="AM26:AN26"/>
    <mergeCell ref="AK26:AL26"/>
    <mergeCell ref="AI26:AJ26"/>
    <mergeCell ref="AP29:AT29"/>
    <mergeCell ref="AP32:AT32"/>
    <mergeCell ref="AP30:AT30"/>
    <mergeCell ref="AO26:AR26"/>
    <mergeCell ref="AO36:AQ37"/>
    <mergeCell ref="AP145:AQ145"/>
    <mergeCell ref="AJ137:AO137"/>
    <mergeCell ref="AA113:AT113"/>
    <mergeCell ref="AA110:AT110"/>
    <mergeCell ref="AA112:AT112"/>
    <mergeCell ref="AA111:AT111"/>
    <mergeCell ref="AA114:AT114"/>
    <mergeCell ref="R117:U117"/>
    <mergeCell ref="Z66:AB66"/>
    <mergeCell ref="AE46:AG46"/>
    <mergeCell ref="V46:AB46"/>
    <mergeCell ref="V64:Y64"/>
    <mergeCell ref="V67:Y67"/>
    <mergeCell ref="V68:Y68"/>
    <mergeCell ref="AI86:AJ86"/>
    <mergeCell ref="AR52:AT52"/>
    <mergeCell ref="AN65:AT65"/>
    <mergeCell ref="AP54:AQ54"/>
    <mergeCell ref="AP53:AQ53"/>
    <mergeCell ref="AF142:AH142"/>
    <mergeCell ref="AD140:AE140"/>
    <mergeCell ref="AD139:AE139"/>
    <mergeCell ref="AF139:AH139"/>
    <mergeCell ref="X140:AC140"/>
    <mergeCell ref="X141:AC141"/>
    <mergeCell ref="W122:AG122"/>
    <mergeCell ref="AB59:AE59"/>
    <mergeCell ref="AG85:AH85"/>
    <mergeCell ref="V51:AB51"/>
    <mergeCell ref="AE51:AG51"/>
    <mergeCell ref="AE52:AG52"/>
    <mergeCell ref="R56:T56"/>
    <mergeCell ref="AK67:AM67"/>
    <mergeCell ref="Q79:S80"/>
    <mergeCell ref="T82:V83"/>
    <mergeCell ref="R96:U96"/>
    <mergeCell ref="AR51:AT51"/>
    <mergeCell ref="AP51:AQ51"/>
    <mergeCell ref="AO60:AP60"/>
    <mergeCell ref="AG59:AT59"/>
    <mergeCell ref="AJ136:AO136"/>
    <mergeCell ref="AI125:AL125"/>
    <mergeCell ref="AI126:AL126"/>
    <mergeCell ref="AF136:AH136"/>
    <mergeCell ref="R106:U106"/>
    <mergeCell ref="R101:U101"/>
    <mergeCell ref="R102:U102"/>
    <mergeCell ref="F90:AT90"/>
    <mergeCell ref="F91:AT91"/>
    <mergeCell ref="R94:U94"/>
    <mergeCell ref="V116:Z116"/>
    <mergeCell ref="V115:Z115"/>
    <mergeCell ref="V112:Z112"/>
    <mergeCell ref="AA116:AT116"/>
    <mergeCell ref="AA117:AT117"/>
    <mergeCell ref="V57:AB57"/>
    <mergeCell ref="R52:T52"/>
    <mergeCell ref="V66:Y66"/>
    <mergeCell ref="Z67:AB67"/>
    <mergeCell ref="AC82:AE83"/>
    <mergeCell ref="C115:K115"/>
    <mergeCell ref="V117:Z117"/>
    <mergeCell ref="AI60:AJ60"/>
    <mergeCell ref="AG60:AH60"/>
    <mergeCell ref="AC66:AF66"/>
    <mergeCell ref="AC65:AF65"/>
    <mergeCell ref="AE41:AG41"/>
    <mergeCell ref="AE47:AG47"/>
    <mergeCell ref="AB88:AF88"/>
    <mergeCell ref="AB89:AF89"/>
    <mergeCell ref="AF137:AH137"/>
    <mergeCell ref="AH180:AJ180"/>
    <mergeCell ref="X144:AC144"/>
    <mergeCell ref="V48:AB48"/>
    <mergeCell ref="V50:AB50"/>
    <mergeCell ref="V49:AB49"/>
    <mergeCell ref="AC51:AD51"/>
    <mergeCell ref="V53:AB53"/>
    <mergeCell ref="V52:AB52"/>
    <mergeCell ref="Z62:AB63"/>
    <mergeCell ref="V62:Y63"/>
    <mergeCell ref="V56:AB56"/>
    <mergeCell ref="AC67:AF67"/>
    <mergeCell ref="AC62:AF63"/>
    <mergeCell ref="AC64:AF64"/>
    <mergeCell ref="V41:AB41"/>
    <mergeCell ref="AC57:AD57"/>
    <mergeCell ref="AC55:AD55"/>
    <mergeCell ref="Y85:Z85"/>
    <mergeCell ref="AA101:AT101"/>
    <mergeCell ref="AA100:AT100"/>
    <mergeCell ref="AE87:AF87"/>
    <mergeCell ref="AP52:AQ52"/>
    <mergeCell ref="AI52:AO52"/>
    <mergeCell ref="AK60:AN60"/>
    <mergeCell ref="AI67:AJ67"/>
    <mergeCell ref="AF145:AH145"/>
    <mergeCell ref="AD145:AE145"/>
    <mergeCell ref="AD134:AE134"/>
    <mergeCell ref="AD135:AE135"/>
    <mergeCell ref="AJ143:AO143"/>
    <mergeCell ref="AF140:AH140"/>
    <mergeCell ref="X134:AC134"/>
    <mergeCell ref="X135:AC135"/>
    <mergeCell ref="B143:V144"/>
    <mergeCell ref="AJ148:AO148"/>
    <mergeCell ref="AJ146:AO146"/>
    <mergeCell ref="AF146:AH146"/>
    <mergeCell ref="AJ134:AO134"/>
    <mergeCell ref="AJ135:AO135"/>
    <mergeCell ref="W123:AG123"/>
    <mergeCell ref="X138:AC138"/>
    <mergeCell ref="O122:V123"/>
    <mergeCell ref="AF141:AH141"/>
    <mergeCell ref="S132:AG132"/>
    <mergeCell ref="B122:B132"/>
    <mergeCell ref="AD141:AE141"/>
    <mergeCell ref="AJ142:AO142"/>
    <mergeCell ref="X136:AC136"/>
    <mergeCell ref="AD137:AE137"/>
    <mergeCell ref="C130:L132"/>
    <mergeCell ref="AF143:AH143"/>
    <mergeCell ref="X145:AC145"/>
    <mergeCell ref="AO123:AT124"/>
    <mergeCell ref="AP148:AQ148"/>
    <mergeCell ref="O132:R132"/>
    <mergeCell ref="B139:V140"/>
    <mergeCell ref="AP138:AQ138"/>
    <mergeCell ref="AF147:AH147"/>
    <mergeCell ref="AF148:AH148"/>
    <mergeCell ref="AJ141:AO141"/>
    <mergeCell ref="AJ139:AO139"/>
    <mergeCell ref="R126:AG127"/>
    <mergeCell ref="AD147:AE147"/>
    <mergeCell ref="AR139:AT139"/>
    <mergeCell ref="AP139:AQ139"/>
    <mergeCell ref="R99:U99"/>
    <mergeCell ref="R100:U100"/>
    <mergeCell ref="R98:U98"/>
    <mergeCell ref="V96:Z96"/>
    <mergeCell ref="AI87:AJ87"/>
    <mergeCell ref="AP154:AQ154"/>
    <mergeCell ref="AJ149:AO149"/>
    <mergeCell ref="AP142:AQ142"/>
    <mergeCell ref="AP143:AQ143"/>
    <mergeCell ref="AP147:AQ147"/>
    <mergeCell ref="AJ147:AO147"/>
    <mergeCell ref="AF144:AH144"/>
    <mergeCell ref="AJ144:AO144"/>
    <mergeCell ref="AR142:AT142"/>
    <mergeCell ref="AR154:AT154"/>
    <mergeCell ref="AD152:AE152"/>
    <mergeCell ref="AJ153:AO153"/>
    <mergeCell ref="AF153:AH153"/>
    <mergeCell ref="AF152:AH152"/>
    <mergeCell ref="AD143:AE143"/>
    <mergeCell ref="AJ152:AO152"/>
    <mergeCell ref="R112:U112"/>
    <mergeCell ref="V119:Z119"/>
    <mergeCell ref="AD144:AE144"/>
    <mergeCell ref="AH172:AJ172"/>
    <mergeCell ref="AF155:AH155"/>
    <mergeCell ref="AJ154:AO154"/>
    <mergeCell ref="AK159:AO159"/>
    <mergeCell ref="AB159:AD159"/>
    <mergeCell ref="AK161:AO161"/>
    <mergeCell ref="AK166:AO166"/>
    <mergeCell ref="AK165:AO165"/>
    <mergeCell ref="AK168:AO168"/>
    <mergeCell ref="AD149:AE149"/>
    <mergeCell ref="AH157:AJ157"/>
    <mergeCell ref="AH158:AJ158"/>
    <mergeCell ref="AJ151:AO151"/>
    <mergeCell ref="X166:AA166"/>
    <mergeCell ref="AJ150:AO150"/>
    <mergeCell ref="AE167:AG167"/>
    <mergeCell ref="AF149:AH149"/>
    <mergeCell ref="AF151:AH151"/>
    <mergeCell ref="AF150:AH150"/>
    <mergeCell ref="X172:AA172"/>
    <mergeCell ref="X171:AA171"/>
    <mergeCell ref="AD150:AE150"/>
    <mergeCell ref="AE164:AG164"/>
    <mergeCell ref="AH164:AJ164"/>
    <mergeCell ref="X161:AA161"/>
    <mergeCell ref="X160:AA160"/>
    <mergeCell ref="X163:AA163"/>
    <mergeCell ref="X165:AA165"/>
    <mergeCell ref="X168:AA168"/>
    <mergeCell ref="AP248:AU248"/>
    <mergeCell ref="AP249:AU249"/>
    <mergeCell ref="AP237:AU237"/>
    <mergeCell ref="K180:L180"/>
    <mergeCell ref="U196:W196"/>
    <mergeCell ref="Q177:T177"/>
    <mergeCell ref="K168:L168"/>
    <mergeCell ref="K177:L177"/>
    <mergeCell ref="Q170:T170"/>
    <mergeCell ref="K176:L176"/>
    <mergeCell ref="AH174:AJ174"/>
    <mergeCell ref="Q180:T180"/>
    <mergeCell ref="Q179:T179"/>
    <mergeCell ref="U180:W180"/>
    <mergeCell ref="U172:W172"/>
    <mergeCell ref="U173:W173"/>
    <mergeCell ref="Q173:T173"/>
    <mergeCell ref="Q172:T172"/>
    <mergeCell ref="Q171:T171"/>
    <mergeCell ref="U171:W171"/>
    <mergeCell ref="U176:W176"/>
    <mergeCell ref="M168:P168"/>
    <mergeCell ref="AB171:AD171"/>
    <mergeCell ref="AK185:AO185"/>
    <mergeCell ref="AH178:AJ178"/>
    <mergeCell ref="AH177:AJ177"/>
    <mergeCell ref="AE180:AG180"/>
    <mergeCell ref="K169:L169"/>
    <mergeCell ref="K174:L174"/>
    <mergeCell ref="K175:L175"/>
    <mergeCell ref="K172:L172"/>
    <mergeCell ref="K197:L197"/>
    <mergeCell ref="K239:L239"/>
    <mergeCell ref="K238:L238"/>
    <mergeCell ref="K236:L236"/>
    <mergeCell ref="B239:J239"/>
    <mergeCell ref="B240:J240"/>
    <mergeCell ref="M226:P226"/>
    <mergeCell ref="K220:L220"/>
    <mergeCell ref="K221:L221"/>
    <mergeCell ref="M233:P233"/>
    <mergeCell ref="K222:L222"/>
    <mergeCell ref="M221:P221"/>
    <mergeCell ref="X176:AA176"/>
    <mergeCell ref="AA249:AD249"/>
    <mergeCell ref="AE249:AG249"/>
    <mergeCell ref="K179:L179"/>
    <mergeCell ref="K205:L205"/>
    <mergeCell ref="K203:L203"/>
    <mergeCell ref="K204:L204"/>
    <mergeCell ref="K182:L182"/>
    <mergeCell ref="U191:W191"/>
    <mergeCell ref="K181:L181"/>
    <mergeCell ref="U188:W188"/>
    <mergeCell ref="U190:W190"/>
    <mergeCell ref="Q182:T182"/>
    <mergeCell ref="Q196:T196"/>
    <mergeCell ref="K185:L185"/>
    <mergeCell ref="K186:L186"/>
    <mergeCell ref="Q194:T194"/>
    <mergeCell ref="Q187:T187"/>
    <mergeCell ref="M208:P208"/>
    <mergeCell ref="AB213:AD213"/>
    <mergeCell ref="AB211:AD211"/>
    <mergeCell ref="AV215:BL215"/>
    <mergeCell ref="AV197:BL197"/>
    <mergeCell ref="AV208:BL208"/>
    <mergeCell ref="AV207:BL207"/>
    <mergeCell ref="AV206:BL206"/>
    <mergeCell ref="AV209:BL209"/>
    <mergeCell ref="AP205:AU205"/>
    <mergeCell ref="AQ155:AS155"/>
    <mergeCell ref="AK173:AO173"/>
    <mergeCell ref="AK174:AO174"/>
    <mergeCell ref="AK171:AO171"/>
    <mergeCell ref="AK172:AO172"/>
    <mergeCell ref="AV163:BL163"/>
    <mergeCell ref="AK212:AO212"/>
    <mergeCell ref="AP204:AU204"/>
    <mergeCell ref="AE174:AG174"/>
    <mergeCell ref="AE165:AG165"/>
    <mergeCell ref="AK164:AO164"/>
    <mergeCell ref="AE173:AG173"/>
    <mergeCell ref="AH173:AJ173"/>
    <mergeCell ref="AH168:AJ168"/>
    <mergeCell ref="AH171:AJ171"/>
    <mergeCell ref="AP215:AU215"/>
    <mergeCell ref="AP214:AU214"/>
    <mergeCell ref="AV203:BL203"/>
    <mergeCell ref="AK180:AO180"/>
    <mergeCell ref="AK181:AO181"/>
    <mergeCell ref="AK184:AO184"/>
    <mergeCell ref="AE176:AG176"/>
    <mergeCell ref="AE175:AG175"/>
    <mergeCell ref="AE182:AG182"/>
    <mergeCell ref="AH156:AJ156"/>
    <mergeCell ref="AW277:BM277"/>
    <mergeCell ref="AW281:BM281"/>
    <mergeCell ref="AW256:BM256"/>
    <mergeCell ref="AW259:BM259"/>
    <mergeCell ref="AW257:BM257"/>
    <mergeCell ref="AW258:BM258"/>
    <mergeCell ref="AW255:BM255"/>
    <mergeCell ref="AW254:BM254"/>
    <mergeCell ref="AW253:BM253"/>
    <mergeCell ref="AW288:BM288"/>
    <mergeCell ref="AW275:BM275"/>
    <mergeCell ref="AW274:BM274"/>
    <mergeCell ref="AW271:BM271"/>
    <mergeCell ref="AV251:BL251"/>
    <mergeCell ref="AV216:BL216"/>
    <mergeCell ref="AV217:BL217"/>
    <mergeCell ref="AV210:BL210"/>
    <mergeCell ref="AV218:BL218"/>
    <mergeCell ref="AV219:BL219"/>
    <mergeCell ref="AV225:BL225"/>
    <mergeCell ref="AV224:BL224"/>
    <mergeCell ref="AW252:BM252"/>
    <mergeCell ref="AW261:BM261"/>
    <mergeCell ref="AW260:BM260"/>
    <mergeCell ref="AW265:BM265"/>
    <mergeCell ref="AW262:BM262"/>
    <mergeCell ref="AW266:BM266"/>
    <mergeCell ref="AW267:BM267"/>
    <mergeCell ref="AV250:BL250"/>
    <mergeCell ref="AV248:BL248"/>
    <mergeCell ref="AV231:BL231"/>
    <mergeCell ref="AV212:BL212"/>
    <mergeCell ref="AW297:BM297"/>
    <mergeCell ref="AW298:BM298"/>
    <mergeCell ref="AW301:BM301"/>
    <mergeCell ref="AW299:BM299"/>
    <mergeCell ref="AW300:BM300"/>
    <mergeCell ref="AW294:BM294"/>
    <mergeCell ref="AW295:BM295"/>
    <mergeCell ref="AW278:BM278"/>
    <mergeCell ref="AW276:BM276"/>
    <mergeCell ref="AW268:BM268"/>
    <mergeCell ref="AW270:BM270"/>
    <mergeCell ref="AW269:BM269"/>
    <mergeCell ref="AV220:BL220"/>
    <mergeCell ref="AV221:BL221"/>
    <mergeCell ref="AW292:BM292"/>
    <mergeCell ref="AW291:BM291"/>
    <mergeCell ref="AW285:BM285"/>
    <mergeCell ref="AW286:BM286"/>
    <mergeCell ref="AW287:BM287"/>
    <mergeCell ref="AW282:BM282"/>
    <mergeCell ref="AW284:BM284"/>
    <mergeCell ref="AW283:BM283"/>
    <mergeCell ref="AW264:BM264"/>
    <mergeCell ref="AW263:BM263"/>
    <mergeCell ref="AW290:BM290"/>
    <mergeCell ref="AW289:BM289"/>
    <mergeCell ref="AW273:BM273"/>
    <mergeCell ref="AW279:BM279"/>
    <mergeCell ref="AW272:BM272"/>
    <mergeCell ref="AV238:BL238"/>
    <mergeCell ref="AV237:BL237"/>
    <mergeCell ref="AW296:BM296"/>
    <mergeCell ref="AW293:BM293"/>
    <mergeCell ref="AW280:BM280"/>
    <mergeCell ref="AP207:AU207"/>
    <mergeCell ref="AP223:AU223"/>
    <mergeCell ref="AP208:AU208"/>
    <mergeCell ref="AP251:AU251"/>
    <mergeCell ref="AV167:BL167"/>
    <mergeCell ref="AP164:AU164"/>
    <mergeCell ref="AK167:AO167"/>
    <mergeCell ref="AV159:BL159"/>
    <mergeCell ref="AV165:BL165"/>
    <mergeCell ref="AV161:BL161"/>
    <mergeCell ref="AP250:AU250"/>
    <mergeCell ref="AP213:AU213"/>
    <mergeCell ref="AP212:AU212"/>
    <mergeCell ref="AP216:AU216"/>
    <mergeCell ref="AP209:AU209"/>
    <mergeCell ref="AP219:AU219"/>
    <mergeCell ref="AP240:AU240"/>
    <mergeCell ref="AP232:AU232"/>
    <mergeCell ref="AP247:AU247"/>
    <mergeCell ref="AP183:AU183"/>
    <mergeCell ref="AP182:AU182"/>
    <mergeCell ref="AV183:BL183"/>
    <mergeCell ref="AK240:AO240"/>
    <mergeCell ref="AP222:AU222"/>
    <mergeCell ref="AP221:AU221"/>
    <mergeCell ref="AP218:AU218"/>
    <mergeCell ref="AP220:AU220"/>
    <mergeCell ref="AP206:AU206"/>
    <mergeCell ref="AK190:AO190"/>
    <mergeCell ref="AV249:BL249"/>
    <mergeCell ref="J3:V4"/>
    <mergeCell ref="A1:BC1"/>
    <mergeCell ref="F6:L7"/>
    <mergeCell ref="N6:S7"/>
    <mergeCell ref="AI3:AT4"/>
    <mergeCell ref="AC3:AH4"/>
    <mergeCell ref="AA6:AF7"/>
    <mergeCell ref="AB23:AG23"/>
    <mergeCell ref="AB25:AG25"/>
    <mergeCell ref="AB24:AG24"/>
    <mergeCell ref="AC30:AG33"/>
    <mergeCell ref="AC29:AG29"/>
    <mergeCell ref="W23:AA23"/>
    <mergeCell ref="B15:I15"/>
    <mergeCell ref="AH23:AJ23"/>
    <mergeCell ref="AH29:AO29"/>
    <mergeCell ref="AO9:AT10"/>
    <mergeCell ref="AB9:AI10"/>
    <mergeCell ref="AK9:AN10"/>
    <mergeCell ref="AK12:AT12"/>
    <mergeCell ref="AM23:AO23"/>
    <mergeCell ref="AK23:AL23"/>
    <mergeCell ref="B6:E7"/>
    <mergeCell ref="B9:J10"/>
    <mergeCell ref="B14:I14"/>
    <mergeCell ref="B3:I4"/>
    <mergeCell ref="B13:I13"/>
    <mergeCell ref="B12:I12"/>
    <mergeCell ref="J14:R14"/>
    <mergeCell ref="R10:U10"/>
    <mergeCell ref="R9:U9"/>
    <mergeCell ref="N9:Q9"/>
    <mergeCell ref="AC41:AD41"/>
    <mergeCell ref="P41:Q41"/>
    <mergeCell ref="T6:Y7"/>
    <mergeCell ref="AG6:AI7"/>
    <mergeCell ref="P43:Q43"/>
    <mergeCell ref="V45:AB45"/>
    <mergeCell ref="J49:O49"/>
    <mergeCell ref="J48:O48"/>
    <mergeCell ref="AC18:AT18"/>
    <mergeCell ref="W18:AB18"/>
    <mergeCell ref="AI16:AQ16"/>
    <mergeCell ref="AR16:AT16"/>
    <mergeCell ref="AS26:AT26"/>
    <mergeCell ref="AO6:AT7"/>
    <mergeCell ref="AK6:AN7"/>
    <mergeCell ref="AG26:AH26"/>
    <mergeCell ref="AB26:AD26"/>
    <mergeCell ref="AE26:AF26"/>
    <mergeCell ref="AR24:AT24"/>
    <mergeCell ref="V44:AB44"/>
    <mergeCell ref="V47:AB47"/>
    <mergeCell ref="R42:T42"/>
    <mergeCell ref="R40:T40"/>
    <mergeCell ref="R38:T38"/>
    <mergeCell ref="R39:T39"/>
    <mergeCell ref="R24:T24"/>
    <mergeCell ref="R26:T26"/>
    <mergeCell ref="AC49:AD49"/>
    <mergeCell ref="AC48:AD48"/>
    <mergeCell ref="AC47:AD47"/>
    <mergeCell ref="AI48:AO48"/>
    <mergeCell ref="AI41:AO41"/>
    <mergeCell ref="G31:H31"/>
    <mergeCell ref="G24:H24"/>
    <mergeCell ref="F25:F29"/>
    <mergeCell ref="G25:H25"/>
    <mergeCell ref="G27:H27"/>
    <mergeCell ref="G26:H26"/>
    <mergeCell ref="I31:I36"/>
    <mergeCell ref="AB36:AE36"/>
    <mergeCell ref="AB37:AE37"/>
    <mergeCell ref="AE39:AG39"/>
    <mergeCell ref="AE40:AG40"/>
    <mergeCell ref="AC39:AD39"/>
    <mergeCell ref="AC40:AD40"/>
    <mergeCell ref="V40:AB40"/>
    <mergeCell ref="R25:T25"/>
    <mergeCell ref="R31:T31"/>
    <mergeCell ref="F32:F36"/>
    <mergeCell ref="AF36:AH37"/>
    <mergeCell ref="AF35:AH35"/>
    <mergeCell ref="W30:AB33"/>
    <mergeCell ref="W29:AB29"/>
    <mergeCell ref="W35:AE35"/>
    <mergeCell ref="V39:AB39"/>
    <mergeCell ref="W36:AA37"/>
    <mergeCell ref="P39:Q39"/>
    <mergeCell ref="J40:O40"/>
    <mergeCell ref="P40:Q40"/>
    <mergeCell ref="AB27:AG27"/>
    <mergeCell ref="W24:AA27"/>
    <mergeCell ref="B17:E17"/>
    <mergeCell ref="B19:D20"/>
    <mergeCell ref="E19:E20"/>
    <mergeCell ref="B18:E18"/>
    <mergeCell ref="F18:F22"/>
    <mergeCell ref="G18:H18"/>
    <mergeCell ref="G17:H17"/>
    <mergeCell ref="I17:I22"/>
    <mergeCell ref="I24:I29"/>
    <mergeCell ref="G41:H41"/>
    <mergeCell ref="W17:AB17"/>
    <mergeCell ref="W16:AH16"/>
    <mergeCell ref="AH13:AI13"/>
    <mergeCell ref="AM14:AN14"/>
    <mergeCell ref="AH14:AI14"/>
    <mergeCell ref="AE43:AG43"/>
    <mergeCell ref="V43:AB43"/>
    <mergeCell ref="AN13:AT13"/>
    <mergeCell ref="AO14:AQ14"/>
    <mergeCell ref="AR14:AT14"/>
    <mergeCell ref="W21:AB21"/>
    <mergeCell ref="W19:AB20"/>
    <mergeCell ref="AK14:AL14"/>
    <mergeCell ref="AK13:AM13"/>
    <mergeCell ref="AC21:AT21"/>
    <mergeCell ref="AC19:AT20"/>
    <mergeCell ref="AC17:AT17"/>
    <mergeCell ref="B33:D34"/>
    <mergeCell ref="R17:T17"/>
    <mergeCell ref="R27:T27"/>
    <mergeCell ref="R43:T43"/>
    <mergeCell ref="R41:T41"/>
    <mergeCell ref="B39:E39"/>
    <mergeCell ref="B38:E38"/>
    <mergeCell ref="E33:E34"/>
    <mergeCell ref="B32:E32"/>
    <mergeCell ref="B29:C29"/>
    <mergeCell ref="D28:E29"/>
    <mergeCell ref="P18:Q18"/>
    <mergeCell ref="J18:O18"/>
    <mergeCell ref="B26:D27"/>
    <mergeCell ref="E26:E27"/>
    <mergeCell ref="P26:Q26"/>
    <mergeCell ref="P25:Q25"/>
    <mergeCell ref="J26:O26"/>
    <mergeCell ref="P27:Q27"/>
    <mergeCell ref="J27:O27"/>
    <mergeCell ref="J25:O25"/>
    <mergeCell ref="D21:E22"/>
    <mergeCell ref="B22:C22"/>
    <mergeCell ref="F39:F43"/>
    <mergeCell ref="G40:H40"/>
    <mergeCell ref="G39:H39"/>
    <mergeCell ref="G38:H38"/>
    <mergeCell ref="G42:H42"/>
    <mergeCell ref="G43:H43"/>
    <mergeCell ref="I38:I43"/>
    <mergeCell ref="J41:O41"/>
    <mergeCell ref="B31:E31"/>
    <mergeCell ref="B25:E25"/>
    <mergeCell ref="B24:E24"/>
    <mergeCell ref="B40:D41"/>
    <mergeCell ref="J24:Q24"/>
    <mergeCell ref="B36:C36"/>
    <mergeCell ref="AO86:AT87"/>
    <mergeCell ref="AC81:AE81"/>
    <mergeCell ref="M66:O66"/>
    <mergeCell ref="L88:N89"/>
    <mergeCell ref="N82:P83"/>
    <mergeCell ref="J46:O46"/>
    <mergeCell ref="J45:Q45"/>
    <mergeCell ref="P42:Q42"/>
    <mergeCell ref="V42:AB42"/>
    <mergeCell ref="R49:T49"/>
    <mergeCell ref="R47:T47"/>
    <mergeCell ref="R48:T48"/>
    <mergeCell ref="R50:T50"/>
    <mergeCell ref="P49:Q49"/>
    <mergeCell ref="AC50:AD50"/>
    <mergeCell ref="AI51:AO51"/>
    <mergeCell ref="AC54:AD54"/>
    <mergeCell ref="AC46:AD46"/>
    <mergeCell ref="AC45:AD45"/>
    <mergeCell ref="AE42:AG42"/>
    <mergeCell ref="M65:O65"/>
    <mergeCell ref="M76:P76"/>
    <mergeCell ref="I76:L77"/>
    <mergeCell ref="H82:J83"/>
    <mergeCell ref="C78:H78"/>
    <mergeCell ref="AK68:AM68"/>
    <mergeCell ref="AP46:AQ46"/>
    <mergeCell ref="AI50:AO50"/>
    <mergeCell ref="AP49:AQ49"/>
    <mergeCell ref="AC43:AD43"/>
    <mergeCell ref="AC42:AD42"/>
    <mergeCell ref="AE48:AG48"/>
    <mergeCell ref="D35:E36"/>
    <mergeCell ref="J52:Q52"/>
    <mergeCell ref="G52:H52"/>
    <mergeCell ref="N10:Q10"/>
    <mergeCell ref="S15:U15"/>
    <mergeCell ref="S13:U13"/>
    <mergeCell ref="W12:AA13"/>
    <mergeCell ref="W14:AA14"/>
    <mergeCell ref="K9:M10"/>
    <mergeCell ref="W9:AA10"/>
    <mergeCell ref="AD12:AE12"/>
    <mergeCell ref="AF13:AG13"/>
    <mergeCell ref="AF12:AG12"/>
    <mergeCell ref="AF14:AG14"/>
    <mergeCell ref="AB14:AC14"/>
    <mergeCell ref="AD14:AE14"/>
    <mergeCell ref="AB13:AC13"/>
    <mergeCell ref="AD13:AE13"/>
    <mergeCell ref="S14:U14"/>
    <mergeCell ref="J12:R12"/>
    <mergeCell ref="J13:R13"/>
    <mergeCell ref="J15:R15"/>
    <mergeCell ref="S12:U12"/>
    <mergeCell ref="AB12:AC12"/>
    <mergeCell ref="J17:Q17"/>
    <mergeCell ref="R18:T18"/>
    <mergeCell ref="J42:O42"/>
    <mergeCell ref="D42:E43"/>
    <mergeCell ref="J43:O43"/>
    <mergeCell ref="B52:E52"/>
    <mergeCell ref="G49:H49"/>
    <mergeCell ref="J47:O47"/>
    <mergeCell ref="E40:E41"/>
    <mergeCell ref="K178:L178"/>
    <mergeCell ref="Q168:T168"/>
    <mergeCell ref="Q169:T169"/>
    <mergeCell ref="P86:R87"/>
    <mergeCell ref="P85:R85"/>
    <mergeCell ref="O88:R88"/>
    <mergeCell ref="O89:R89"/>
    <mergeCell ref="P62:R63"/>
    <mergeCell ref="N70:AT70"/>
    <mergeCell ref="AE86:AF86"/>
    <mergeCell ref="AG86:AH86"/>
    <mergeCell ref="AG87:AH87"/>
    <mergeCell ref="X146:AC146"/>
    <mergeCell ref="AQ126:AT126"/>
    <mergeCell ref="AP141:AQ141"/>
    <mergeCell ref="AP140:AQ140"/>
    <mergeCell ref="K171:L171"/>
    <mergeCell ref="K170:L170"/>
    <mergeCell ref="K173:L173"/>
    <mergeCell ref="M173:P173"/>
    <mergeCell ref="M174:P174"/>
    <mergeCell ref="M175:P175"/>
    <mergeCell ref="Q176:T176"/>
    <mergeCell ref="Q174:T174"/>
    <mergeCell ref="Q175:T175"/>
    <mergeCell ref="M169:P169"/>
    <mergeCell ref="P66:R66"/>
    <mergeCell ref="AE166:AG166"/>
    <mergeCell ref="R46:T46"/>
    <mergeCell ref="R45:T45"/>
    <mergeCell ref="AO85:AT85"/>
    <mergeCell ref="AB198:AD198"/>
    <mergeCell ref="M200:P200"/>
    <mergeCell ref="M199:P199"/>
    <mergeCell ref="M201:P201"/>
    <mergeCell ref="M197:P197"/>
    <mergeCell ref="AH12:AI12"/>
    <mergeCell ref="Z68:AB68"/>
    <mergeCell ref="U174:W174"/>
    <mergeCell ref="X173:AA173"/>
    <mergeCell ref="X174:AA174"/>
    <mergeCell ref="X178:AA178"/>
    <mergeCell ref="X177:AA177"/>
    <mergeCell ref="U167:W167"/>
    <mergeCell ref="X167:AA167"/>
    <mergeCell ref="X169:AA169"/>
    <mergeCell ref="X170:AA170"/>
    <mergeCell ref="U175:W175"/>
    <mergeCell ref="X175:AA175"/>
    <mergeCell ref="J31:Q31"/>
    <mergeCell ref="J39:O39"/>
    <mergeCell ref="J38:Q38"/>
    <mergeCell ref="AH167:AJ167"/>
    <mergeCell ref="AH166:AJ166"/>
    <mergeCell ref="AH165:AJ165"/>
    <mergeCell ref="B164:J164"/>
    <mergeCell ref="B157:J157"/>
    <mergeCell ref="Q156:T156"/>
    <mergeCell ref="U158:W158"/>
    <mergeCell ref="X156:AA156"/>
    <mergeCell ref="U156:W156"/>
    <mergeCell ref="U157:W157"/>
    <mergeCell ref="B147:V148"/>
    <mergeCell ref="K202:L202"/>
    <mergeCell ref="K201:L201"/>
    <mergeCell ref="Q197:T197"/>
    <mergeCell ref="Q190:T190"/>
    <mergeCell ref="Q191:T191"/>
    <mergeCell ref="K199:L199"/>
    <mergeCell ref="K200:L200"/>
    <mergeCell ref="Q189:T189"/>
    <mergeCell ref="Q188:T188"/>
    <mergeCell ref="Q204:T204"/>
    <mergeCell ref="Q195:T195"/>
    <mergeCell ref="Q205:T205"/>
    <mergeCell ref="Q202:T202"/>
    <mergeCell ref="K207:L207"/>
    <mergeCell ref="K206:L206"/>
    <mergeCell ref="Q207:T207"/>
    <mergeCell ref="U209:W209"/>
    <mergeCell ref="Q192:T192"/>
    <mergeCell ref="Q203:T203"/>
    <mergeCell ref="U203:W203"/>
    <mergeCell ref="U205:W205"/>
    <mergeCell ref="U207:W207"/>
    <mergeCell ref="Q193:T193"/>
    <mergeCell ref="U189:W189"/>
    <mergeCell ref="M202:P202"/>
    <mergeCell ref="B212:J212"/>
    <mergeCell ref="B211:J211"/>
    <mergeCell ref="K211:L211"/>
    <mergeCell ref="K216:L216"/>
    <mergeCell ref="K215:L215"/>
    <mergeCell ref="M212:P212"/>
    <mergeCell ref="M213:P213"/>
    <mergeCell ref="M214:P214"/>
    <mergeCell ref="K209:L209"/>
    <mergeCell ref="K210:L210"/>
    <mergeCell ref="Q216:T216"/>
    <mergeCell ref="M216:P216"/>
    <mergeCell ref="K212:L212"/>
    <mergeCell ref="Q213:T213"/>
    <mergeCell ref="Q217:T217"/>
    <mergeCell ref="B207:J207"/>
    <mergeCell ref="B205:J205"/>
    <mergeCell ref="B206:J206"/>
    <mergeCell ref="B209:J209"/>
    <mergeCell ref="M210:P210"/>
    <mergeCell ref="M206:P206"/>
    <mergeCell ref="M207:P207"/>
    <mergeCell ref="B210:J210"/>
    <mergeCell ref="K217:L217"/>
    <mergeCell ref="Q215:T215"/>
    <mergeCell ref="M211:P211"/>
    <mergeCell ref="Q210:T210"/>
    <mergeCell ref="K213:L213"/>
    <mergeCell ref="M209:P209"/>
    <mergeCell ref="K208:L208"/>
    <mergeCell ref="Q209:T209"/>
    <mergeCell ref="Q208:T208"/>
    <mergeCell ref="B222:J222"/>
    <mergeCell ref="M225:P225"/>
    <mergeCell ref="K225:L225"/>
    <mergeCell ref="K228:L228"/>
    <mergeCell ref="K224:L224"/>
    <mergeCell ref="K223:L223"/>
    <mergeCell ref="Q232:T232"/>
    <mergeCell ref="B224:J224"/>
    <mergeCell ref="B225:J225"/>
    <mergeCell ref="B223:J223"/>
    <mergeCell ref="K234:L234"/>
    <mergeCell ref="B213:J213"/>
    <mergeCell ref="B214:J214"/>
    <mergeCell ref="B216:J216"/>
    <mergeCell ref="B215:J215"/>
    <mergeCell ref="K214:L214"/>
    <mergeCell ref="K218:L218"/>
    <mergeCell ref="K227:L227"/>
    <mergeCell ref="K226:L226"/>
    <mergeCell ref="B218:J218"/>
    <mergeCell ref="B226:J226"/>
    <mergeCell ref="K232:L232"/>
    <mergeCell ref="Q221:T221"/>
    <mergeCell ref="Q222:T222"/>
    <mergeCell ref="Q218:T218"/>
    <mergeCell ref="Q220:T220"/>
    <mergeCell ref="Q219:T219"/>
    <mergeCell ref="M219:P219"/>
    <mergeCell ref="M220:P220"/>
    <mergeCell ref="M218:P218"/>
    <mergeCell ref="M217:P217"/>
    <mergeCell ref="M215:P215"/>
    <mergeCell ref="K235:L235"/>
    <mergeCell ref="X225:AA225"/>
    <mergeCell ref="U225:W225"/>
    <mergeCell ref="X229:AA229"/>
    <mergeCell ref="U232:W232"/>
    <mergeCell ref="M235:P235"/>
    <mergeCell ref="M236:P236"/>
    <mergeCell ref="M234:P234"/>
    <mergeCell ref="M222:P222"/>
    <mergeCell ref="M227:P227"/>
    <mergeCell ref="M223:P223"/>
    <mergeCell ref="M224:P224"/>
    <mergeCell ref="M231:P231"/>
    <mergeCell ref="Q227:T227"/>
    <mergeCell ref="Q234:T234"/>
    <mergeCell ref="Q223:T223"/>
    <mergeCell ref="Q224:T224"/>
    <mergeCell ref="K233:L233"/>
    <mergeCell ref="K229:L229"/>
    <mergeCell ref="C259:K259"/>
    <mergeCell ref="U217:W217"/>
    <mergeCell ref="U220:W220"/>
    <mergeCell ref="M238:P238"/>
    <mergeCell ref="M237:P237"/>
    <mergeCell ref="Q235:T235"/>
    <mergeCell ref="Q236:T236"/>
    <mergeCell ref="B228:J228"/>
    <mergeCell ref="B234:J234"/>
    <mergeCell ref="K237:L237"/>
    <mergeCell ref="B237:J237"/>
    <mergeCell ref="B238:J238"/>
    <mergeCell ref="C263:K263"/>
    <mergeCell ref="C261:K261"/>
    <mergeCell ref="M241:P241"/>
    <mergeCell ref="B242:J242"/>
    <mergeCell ref="U221:W221"/>
    <mergeCell ref="U218:W218"/>
    <mergeCell ref="K219:L219"/>
    <mergeCell ref="U238:W238"/>
    <mergeCell ref="Q233:T233"/>
    <mergeCell ref="M229:P229"/>
    <mergeCell ref="Q229:T229"/>
    <mergeCell ref="Q231:T231"/>
    <mergeCell ref="U231:W231"/>
    <mergeCell ref="Q230:T230"/>
    <mergeCell ref="M230:P230"/>
    <mergeCell ref="U230:W230"/>
    <mergeCell ref="U229:W229"/>
    <mergeCell ref="Q228:T228"/>
    <mergeCell ref="B217:J217"/>
    <mergeCell ref="B219:J219"/>
    <mergeCell ref="B235:J235"/>
    <mergeCell ref="B230:J230"/>
    <mergeCell ref="B231:J231"/>
    <mergeCell ref="B232:J232"/>
    <mergeCell ref="B221:J221"/>
    <mergeCell ref="B220:J220"/>
    <mergeCell ref="B229:J229"/>
    <mergeCell ref="B227:J227"/>
    <mergeCell ref="K240:L240"/>
    <mergeCell ref="K244:L244"/>
    <mergeCell ref="K231:L231"/>
    <mergeCell ref="C285:K285"/>
    <mergeCell ref="C269:K269"/>
    <mergeCell ref="C268:K268"/>
    <mergeCell ref="B250:J250"/>
    <mergeCell ref="B247:J247"/>
    <mergeCell ref="C270:K270"/>
    <mergeCell ref="C273:K273"/>
    <mergeCell ref="C272:K272"/>
    <mergeCell ref="B246:J246"/>
    <mergeCell ref="B245:J245"/>
    <mergeCell ref="C255:K255"/>
    <mergeCell ref="C253:K253"/>
    <mergeCell ref="C254:K254"/>
    <mergeCell ref="K248:L248"/>
    <mergeCell ref="K246:L246"/>
    <mergeCell ref="C260:K260"/>
    <mergeCell ref="C257:K257"/>
    <mergeCell ref="C256:K256"/>
    <mergeCell ref="C271:K271"/>
    <mergeCell ref="K245:L245"/>
    <mergeCell ref="C252:K252"/>
    <mergeCell ref="C298:K298"/>
    <mergeCell ref="C299:K299"/>
    <mergeCell ref="C294:K294"/>
    <mergeCell ref="C295:K295"/>
    <mergeCell ref="C290:K290"/>
    <mergeCell ref="C291:K291"/>
    <mergeCell ref="C278:K278"/>
    <mergeCell ref="C277:K277"/>
    <mergeCell ref="U237:W237"/>
    <mergeCell ref="B236:J236"/>
    <mergeCell ref="Q225:T225"/>
    <mergeCell ref="U226:W226"/>
    <mergeCell ref="N249:P249"/>
    <mergeCell ref="N250:P250"/>
    <mergeCell ref="M232:P232"/>
    <mergeCell ref="M239:P239"/>
    <mergeCell ref="U228:W228"/>
    <mergeCell ref="U227:W227"/>
    <mergeCell ref="C282:K282"/>
    <mergeCell ref="Q238:T238"/>
    <mergeCell ref="M228:P228"/>
    <mergeCell ref="M240:P240"/>
    <mergeCell ref="B233:J233"/>
    <mergeCell ref="Q237:T237"/>
    <mergeCell ref="M244:P244"/>
    <mergeCell ref="K251:M251"/>
    <mergeCell ref="K250:M250"/>
    <mergeCell ref="N251:P251"/>
    <mergeCell ref="M243:P243"/>
    <mergeCell ref="K230:L230"/>
    <mergeCell ref="Q240:T240"/>
    <mergeCell ref="Q249:T249"/>
    <mergeCell ref="AP244:AU244"/>
    <mergeCell ref="AV222:BL222"/>
    <mergeCell ref="AV244:BL244"/>
    <mergeCell ref="AE236:AG236"/>
    <mergeCell ref="AE238:AG238"/>
    <mergeCell ref="B243:J243"/>
    <mergeCell ref="K242:L242"/>
    <mergeCell ref="K243:L243"/>
    <mergeCell ref="B244:J244"/>
    <mergeCell ref="B241:J241"/>
    <mergeCell ref="K241:L241"/>
    <mergeCell ref="C265:K265"/>
    <mergeCell ref="B249:J249"/>
    <mergeCell ref="K249:M249"/>
    <mergeCell ref="C300:K300"/>
    <mergeCell ref="C301:K301"/>
    <mergeCell ref="C281:K281"/>
    <mergeCell ref="C280:K280"/>
    <mergeCell ref="C284:K284"/>
    <mergeCell ref="C283:K283"/>
    <mergeCell ref="C292:K292"/>
    <mergeCell ref="C293:K293"/>
    <mergeCell ref="C297:K297"/>
    <mergeCell ref="C296:K296"/>
    <mergeCell ref="C289:K289"/>
    <mergeCell ref="C286:K286"/>
    <mergeCell ref="C287:K287"/>
    <mergeCell ref="C288:K288"/>
    <mergeCell ref="C274:K274"/>
    <mergeCell ref="C276:K276"/>
    <mergeCell ref="C275:K275"/>
    <mergeCell ref="C279:K279"/>
    <mergeCell ref="AP241:AU241"/>
    <mergeCell ref="AK241:AO241"/>
    <mergeCell ref="AV246:BL246"/>
    <mergeCell ref="AV247:BL247"/>
    <mergeCell ref="AP246:AU246"/>
    <mergeCell ref="B248:J248"/>
    <mergeCell ref="M248:P248"/>
    <mergeCell ref="M242:P242"/>
    <mergeCell ref="K247:L247"/>
    <mergeCell ref="M247:P247"/>
    <mergeCell ref="AV200:BL200"/>
    <mergeCell ref="AP184:AU184"/>
    <mergeCell ref="AV198:BL198"/>
    <mergeCell ref="AP198:AU198"/>
    <mergeCell ref="AP217:AU217"/>
    <mergeCell ref="AV184:BL184"/>
    <mergeCell ref="AV185:BL185"/>
    <mergeCell ref="AV187:BL187"/>
    <mergeCell ref="AV188:BL188"/>
    <mergeCell ref="AV199:BL199"/>
    <mergeCell ref="AP199:AU199"/>
    <mergeCell ref="AV202:BL202"/>
    <mergeCell ref="AV201:BL201"/>
    <mergeCell ref="AP187:AU187"/>
    <mergeCell ref="AP188:AU188"/>
    <mergeCell ref="AP203:AU203"/>
    <mergeCell ref="AP202:AU202"/>
    <mergeCell ref="AP201:AU201"/>
    <mergeCell ref="AV236:BL236"/>
    <mergeCell ref="AV235:BL235"/>
    <mergeCell ref="AV245:BL245"/>
    <mergeCell ref="AP245:AU245"/>
    <mergeCell ref="AE247:AG247"/>
    <mergeCell ref="U245:W245"/>
    <mergeCell ref="AH243:AJ243"/>
    <mergeCell ref="U243:W243"/>
    <mergeCell ref="AH240:AJ240"/>
    <mergeCell ref="C258:K258"/>
    <mergeCell ref="C266:K266"/>
    <mergeCell ref="C267:K267"/>
    <mergeCell ref="C262:K262"/>
    <mergeCell ref="C264:K264"/>
    <mergeCell ref="AV214:BL214"/>
    <mergeCell ref="AV205:BL205"/>
    <mergeCell ref="AV204:BL204"/>
    <mergeCell ref="AB232:AD232"/>
    <mergeCell ref="M245:P245"/>
    <mergeCell ref="M246:P246"/>
    <mergeCell ref="X240:AA240"/>
    <mergeCell ref="X239:AA239"/>
    <mergeCell ref="U241:W241"/>
    <mergeCell ref="AK247:AO247"/>
    <mergeCell ref="AH247:AJ247"/>
    <mergeCell ref="AP242:AU242"/>
    <mergeCell ref="AK242:AO242"/>
    <mergeCell ref="AV241:BL241"/>
    <mergeCell ref="AV240:BL240"/>
    <mergeCell ref="AH232:AJ232"/>
    <mergeCell ref="AE239:AG239"/>
    <mergeCell ref="AE240:AG240"/>
    <mergeCell ref="AV242:BL242"/>
    <mergeCell ref="AP243:AU243"/>
    <mergeCell ref="AK243:AO243"/>
    <mergeCell ref="AV243:BL243"/>
    <mergeCell ref="Q242:T242"/>
    <mergeCell ref="Q246:T246"/>
    <mergeCell ref="Q245:T245"/>
    <mergeCell ref="AB241:AD241"/>
    <mergeCell ref="AH241:AJ241"/>
    <mergeCell ref="AE241:AG241"/>
    <mergeCell ref="AB242:AD242"/>
    <mergeCell ref="AE245:AG245"/>
    <mergeCell ref="AE244:AG244"/>
    <mergeCell ref="AH245:AJ245"/>
    <mergeCell ref="AE246:AG246"/>
    <mergeCell ref="X242:AA242"/>
    <mergeCell ref="AB244:AD244"/>
    <mergeCell ref="AB243:AD243"/>
    <mergeCell ref="U244:W244"/>
    <mergeCell ref="U242:W242"/>
    <mergeCell ref="AE242:AG242"/>
    <mergeCell ref="AE243:AG243"/>
    <mergeCell ref="Q241:T241"/>
    <mergeCell ref="X215:AA215"/>
    <mergeCell ref="AB218:AD218"/>
    <mergeCell ref="X216:AA216"/>
    <mergeCell ref="AH211:AJ211"/>
    <mergeCell ref="AH212:AJ212"/>
    <mergeCell ref="AB239:AD239"/>
    <mergeCell ref="X193:AA193"/>
    <mergeCell ref="AB203:AD203"/>
    <mergeCell ref="X236:AA236"/>
    <mergeCell ref="U215:W215"/>
    <mergeCell ref="AB215:AD215"/>
    <mergeCell ref="X210:AA210"/>
    <mergeCell ref="U202:W202"/>
    <mergeCell ref="AE214:AG214"/>
    <mergeCell ref="AE213:AG213"/>
    <mergeCell ref="X214:AA214"/>
    <mergeCell ref="X209:AA209"/>
    <mergeCell ref="AB208:AD208"/>
    <mergeCell ref="U213:W213"/>
    <mergeCell ref="X208:AA208"/>
    <mergeCell ref="U212:W212"/>
    <mergeCell ref="AH238:AJ238"/>
    <mergeCell ref="AH234:AJ234"/>
    <mergeCell ref="AH233:AJ233"/>
    <mergeCell ref="U210:W210"/>
    <mergeCell ref="AB205:AD205"/>
    <mergeCell ref="AE205:AG205"/>
    <mergeCell ref="AB204:AD204"/>
    <mergeCell ref="AH203:AJ203"/>
    <mergeCell ref="AB202:AD202"/>
    <mergeCell ref="X218:AA218"/>
    <mergeCell ref="X203:AA203"/>
    <mergeCell ref="Q211:T211"/>
    <mergeCell ref="U214:W214"/>
    <mergeCell ref="Q206:T206"/>
    <mergeCell ref="AB206:AD206"/>
    <mergeCell ref="AB207:AD207"/>
    <mergeCell ref="U219:W219"/>
    <mergeCell ref="AB212:AD212"/>
    <mergeCell ref="AE210:AG210"/>
    <mergeCell ref="AV229:BL229"/>
    <mergeCell ref="AK236:AO236"/>
    <mergeCell ref="AK235:AO235"/>
    <mergeCell ref="AK234:AO234"/>
    <mergeCell ref="AP227:AU227"/>
    <mergeCell ref="AP226:AU226"/>
    <mergeCell ref="AV226:BL226"/>
    <mergeCell ref="AV228:BL228"/>
    <mergeCell ref="AV227:BL227"/>
    <mergeCell ref="AV230:BL230"/>
    <mergeCell ref="AV234:BL234"/>
    <mergeCell ref="AK229:AO229"/>
    <mergeCell ref="AP233:AU233"/>
    <mergeCell ref="AV232:BL232"/>
    <mergeCell ref="AB233:AD233"/>
    <mergeCell ref="AH227:AJ227"/>
    <mergeCell ref="AE235:AG235"/>
    <mergeCell ref="AE232:AG232"/>
    <mergeCell ref="AE233:AG233"/>
    <mergeCell ref="AK232:AO232"/>
    <mergeCell ref="AB234:AD234"/>
    <mergeCell ref="AE224:AG224"/>
    <mergeCell ref="AE225:AG225"/>
    <mergeCell ref="AP230:AU230"/>
    <mergeCell ref="AK231:AO231"/>
    <mergeCell ref="AP234:AU234"/>
    <mergeCell ref="AH236:AJ236"/>
    <mergeCell ref="AB237:AD237"/>
    <mergeCell ref="AK239:AO239"/>
    <mergeCell ref="AP236:AU236"/>
    <mergeCell ref="Q226:T226"/>
    <mergeCell ref="AH226:AJ226"/>
    <mergeCell ref="X192:AA192"/>
    <mergeCell ref="AV233:BL233"/>
    <mergeCell ref="AP231:AU231"/>
    <mergeCell ref="AH230:AJ230"/>
    <mergeCell ref="B251:J251"/>
    <mergeCell ref="U251:W251"/>
    <mergeCell ref="X251:Z251"/>
    <mergeCell ref="X250:Z250"/>
    <mergeCell ref="AA250:AD250"/>
    <mergeCell ref="AE250:AG250"/>
    <mergeCell ref="U250:W250"/>
    <mergeCell ref="Q251:T251"/>
    <mergeCell ref="Q250:T250"/>
    <mergeCell ref="AH251:AJ251"/>
    <mergeCell ref="AH250:AJ250"/>
    <mergeCell ref="AK250:AO250"/>
    <mergeCell ref="AK251:AO251"/>
    <mergeCell ref="AB226:AD226"/>
    <mergeCell ref="AB248:AD248"/>
    <mergeCell ref="Q244:T244"/>
    <mergeCell ref="AV239:BL239"/>
    <mergeCell ref="Q214:T214"/>
    <mergeCell ref="Q212:T212"/>
    <mergeCell ref="AE251:AG251"/>
    <mergeCell ref="AA251:AD251"/>
    <mergeCell ref="AE228:AG228"/>
    <mergeCell ref="AE229:AG229"/>
    <mergeCell ref="AE234:AG234"/>
    <mergeCell ref="AH235:AJ235"/>
    <mergeCell ref="AB235:AD235"/>
    <mergeCell ref="AP225:AU225"/>
    <mergeCell ref="AP229:AU229"/>
    <mergeCell ref="AP228:AU228"/>
    <mergeCell ref="AP224:AU224"/>
    <mergeCell ref="U233:W233"/>
    <mergeCell ref="U234:W234"/>
    <mergeCell ref="U216:W216"/>
    <mergeCell ref="U222:W222"/>
    <mergeCell ref="AB236:AD236"/>
    <mergeCell ref="AE230:AG230"/>
    <mergeCell ref="AE231:AG231"/>
    <mergeCell ref="AE226:AG226"/>
    <mergeCell ref="AP239:AU239"/>
    <mergeCell ref="AP238:AU238"/>
    <mergeCell ref="AH237:AJ237"/>
    <mergeCell ref="AH225:AJ225"/>
    <mergeCell ref="AE219:AG219"/>
    <mergeCell ref="X223:AA223"/>
    <mergeCell ref="AB216:AD216"/>
    <mergeCell ref="AB217:AD217"/>
    <mergeCell ref="AH239:AJ239"/>
    <mergeCell ref="AK223:AO223"/>
    <mergeCell ref="AE220:AG220"/>
    <mergeCell ref="X232:AA232"/>
    <mergeCell ref="X234:AA234"/>
    <mergeCell ref="AP235:AU235"/>
    <mergeCell ref="Q239:T239"/>
    <mergeCell ref="AK218:AO218"/>
    <mergeCell ref="AK219:AO219"/>
    <mergeCell ref="AK222:AO222"/>
    <mergeCell ref="X224:AA224"/>
    <mergeCell ref="AB227:AD227"/>
    <mergeCell ref="U239:W239"/>
    <mergeCell ref="AH229:AJ229"/>
    <mergeCell ref="U248:W248"/>
    <mergeCell ref="AB223:AD223"/>
    <mergeCell ref="AK233:AO233"/>
    <mergeCell ref="AK238:AO238"/>
    <mergeCell ref="AK237:AO237"/>
    <mergeCell ref="AK224:AO224"/>
    <mergeCell ref="AH228:AJ228"/>
    <mergeCell ref="AK225:AO225"/>
    <mergeCell ref="Q248:T248"/>
    <mergeCell ref="X233:AA233"/>
    <mergeCell ref="Q247:T247"/>
    <mergeCell ref="Q243:T243"/>
    <mergeCell ref="AK228:AO228"/>
    <mergeCell ref="AK226:AO226"/>
    <mergeCell ref="AK230:AO230"/>
    <mergeCell ref="AB225:AD225"/>
    <mergeCell ref="U240:W240"/>
    <mergeCell ref="AB228:AD228"/>
    <mergeCell ref="X228:AA228"/>
    <mergeCell ref="X226:AA226"/>
    <mergeCell ref="AH244:AJ244"/>
    <mergeCell ref="AH222:AJ222"/>
    <mergeCell ref="AK221:AO221"/>
    <mergeCell ref="AE221:AG221"/>
    <mergeCell ref="AH249:AJ249"/>
    <mergeCell ref="AH248:AJ248"/>
    <mergeCell ref="AH242:AJ242"/>
    <mergeCell ref="AE248:AG248"/>
    <mergeCell ref="AH246:AJ246"/>
    <mergeCell ref="AK227:AO227"/>
    <mergeCell ref="X202:AA202"/>
    <mergeCell ref="AE237:AG237"/>
    <mergeCell ref="AK220:AO220"/>
    <mergeCell ref="AK217:AO217"/>
    <mergeCell ref="AK215:AO215"/>
    <mergeCell ref="AK216:AO216"/>
    <mergeCell ref="X227:AA227"/>
    <mergeCell ref="AE217:AG217"/>
    <mergeCell ref="AE218:AG218"/>
    <mergeCell ref="AE216:AG216"/>
    <mergeCell ref="X212:AA212"/>
    <mergeCell ref="AE227:AG227"/>
    <mergeCell ref="AB229:AD229"/>
    <mergeCell ref="AB230:AD230"/>
    <mergeCell ref="AH220:AJ220"/>
    <mergeCell ref="AH231:AJ231"/>
    <mergeCell ref="AH214:AJ214"/>
    <mergeCell ref="AH215:AJ215"/>
    <mergeCell ref="AH213:AJ213"/>
    <mergeCell ref="AE222:AG222"/>
    <mergeCell ref="AE215:AG215"/>
    <mergeCell ref="X219:AA219"/>
    <mergeCell ref="AH223:AJ223"/>
    <mergeCell ref="AH210:AJ210"/>
    <mergeCell ref="X205:AA205"/>
    <mergeCell ref="X206:AA206"/>
    <mergeCell ref="AK199:AO199"/>
    <mergeCell ref="AE198:AG198"/>
    <mergeCell ref="Q198:T198"/>
    <mergeCell ref="Q199:T199"/>
    <mergeCell ref="X198:AA198"/>
    <mergeCell ref="AH198:AJ198"/>
    <mergeCell ref="AK200:AO200"/>
    <mergeCell ref="AK201:AO201"/>
    <mergeCell ref="AH201:AJ201"/>
    <mergeCell ref="Q201:T201"/>
    <mergeCell ref="AB199:AD199"/>
    <mergeCell ref="AB200:AD200"/>
    <mergeCell ref="X201:AA201"/>
    <mergeCell ref="U201:W201"/>
    <mergeCell ref="U199:W199"/>
    <mergeCell ref="X207:AA207"/>
    <mergeCell ref="AH202:AJ202"/>
    <mergeCell ref="AE202:AG202"/>
    <mergeCell ref="Q200:T200"/>
    <mergeCell ref="AH200:AJ200"/>
    <mergeCell ref="AE200:AG200"/>
    <mergeCell ref="AK206:AO206"/>
    <mergeCell ref="AK207:AO207"/>
    <mergeCell ref="AH206:AJ206"/>
    <mergeCell ref="AE201:AG201"/>
    <mergeCell ref="U200:W200"/>
    <mergeCell ref="X204:AA204"/>
    <mergeCell ref="U206:W206"/>
    <mergeCell ref="AK203:AO203"/>
    <mergeCell ref="AH204:AJ204"/>
    <mergeCell ref="AE207:AG207"/>
    <mergeCell ref="U204:W204"/>
    <mergeCell ref="AK213:AO213"/>
    <mergeCell ref="AK214:AO214"/>
    <mergeCell ref="AK208:AO208"/>
    <mergeCell ref="AK202:AO202"/>
    <mergeCell ref="AK204:AO204"/>
    <mergeCell ref="AK205:AO205"/>
    <mergeCell ref="AH205:AJ205"/>
    <mergeCell ref="AE203:AG203"/>
    <mergeCell ref="X213:AA213"/>
    <mergeCell ref="AE209:AG209"/>
    <mergeCell ref="AK211:AO211"/>
    <mergeCell ref="AK210:AO210"/>
    <mergeCell ref="AK209:AO209"/>
    <mergeCell ref="AB209:AD209"/>
    <mergeCell ref="AH207:AJ207"/>
    <mergeCell ref="AH208:AJ208"/>
    <mergeCell ref="AH209:AJ209"/>
    <mergeCell ref="AB210:AD210"/>
    <mergeCell ref="AE204:AG204"/>
    <mergeCell ref="AE208:AG208"/>
    <mergeCell ref="AV196:BL196"/>
    <mergeCell ref="AP196:AU196"/>
    <mergeCell ref="AP197:AU197"/>
    <mergeCell ref="AP195:AU195"/>
    <mergeCell ref="AV195:BL195"/>
    <mergeCell ref="AH224:AJ224"/>
    <mergeCell ref="U208:W208"/>
    <mergeCell ref="AE223:AG223"/>
    <mergeCell ref="AH216:AJ216"/>
    <mergeCell ref="AH219:AJ219"/>
    <mergeCell ref="AE212:AG212"/>
    <mergeCell ref="AB224:AD224"/>
    <mergeCell ref="AB214:AD214"/>
    <mergeCell ref="AH218:AJ218"/>
    <mergeCell ref="AH217:AJ217"/>
    <mergeCell ref="AH221:AJ221"/>
    <mergeCell ref="U224:W224"/>
    <mergeCell ref="U223:W223"/>
    <mergeCell ref="X199:AA199"/>
    <mergeCell ref="AK195:AO195"/>
    <mergeCell ref="AE211:AG211"/>
    <mergeCell ref="AE197:AG197"/>
    <mergeCell ref="AE196:AG196"/>
    <mergeCell ref="U198:W198"/>
    <mergeCell ref="AH199:AJ199"/>
    <mergeCell ref="AE199:AG199"/>
    <mergeCell ref="AV223:BL223"/>
    <mergeCell ref="AP200:AU200"/>
    <mergeCell ref="AP211:AU211"/>
    <mergeCell ref="AP210:AU210"/>
    <mergeCell ref="AV213:BL213"/>
    <mergeCell ref="AV211:BL211"/>
    <mergeCell ref="U249:W249"/>
    <mergeCell ref="X246:AA246"/>
    <mergeCell ref="U247:W247"/>
    <mergeCell ref="X249:Z249"/>
    <mergeCell ref="U246:W246"/>
    <mergeCell ref="X248:AA248"/>
    <mergeCell ref="X247:AA247"/>
    <mergeCell ref="X245:AA245"/>
    <mergeCell ref="X244:AA244"/>
    <mergeCell ref="X235:AA235"/>
    <mergeCell ref="U235:W235"/>
    <mergeCell ref="AB238:AD238"/>
    <mergeCell ref="X238:AA238"/>
    <mergeCell ref="X237:AA237"/>
    <mergeCell ref="X243:AA243"/>
    <mergeCell ref="X241:AA241"/>
    <mergeCell ref="U236:W236"/>
    <mergeCell ref="AB247:AD247"/>
    <mergeCell ref="AB246:AD246"/>
    <mergeCell ref="AB245:AD245"/>
    <mergeCell ref="AB240:AD240"/>
    <mergeCell ref="AK249:AO249"/>
    <mergeCell ref="AK246:AO246"/>
    <mergeCell ref="AK248:AO248"/>
    <mergeCell ref="AK245:AO245"/>
    <mergeCell ref="AK244:AO244"/>
    <mergeCell ref="AK196:AO196"/>
    <mergeCell ref="AK197:AO197"/>
    <mergeCell ref="AB173:AD173"/>
    <mergeCell ref="AB175:AD175"/>
    <mergeCell ref="AE192:AG192"/>
    <mergeCell ref="AE193:AG193"/>
    <mergeCell ref="AB192:AD192"/>
    <mergeCell ref="AB193:AD193"/>
    <mergeCell ref="AP194:AU194"/>
    <mergeCell ref="AB177:AD177"/>
    <mergeCell ref="AE177:AG177"/>
    <mergeCell ref="AH197:AJ197"/>
    <mergeCell ref="AH196:AJ196"/>
    <mergeCell ref="AH194:AJ194"/>
    <mergeCell ref="AH192:AJ192"/>
    <mergeCell ref="AH191:AJ191"/>
    <mergeCell ref="AH183:AJ183"/>
    <mergeCell ref="AH184:AJ184"/>
    <mergeCell ref="AH195:AJ195"/>
    <mergeCell ref="AB197:AD197"/>
    <mergeCell ref="AB196:AD196"/>
    <mergeCell ref="AE190:AG190"/>
    <mergeCell ref="AE191:AG191"/>
    <mergeCell ref="AH185:AJ185"/>
    <mergeCell ref="AB181:AD181"/>
    <mergeCell ref="AB201:AD201"/>
    <mergeCell ref="AK198:AO198"/>
    <mergeCell ref="AK194:AO194"/>
    <mergeCell ref="AK191:AO191"/>
    <mergeCell ref="AK193:AO193"/>
    <mergeCell ref="AV173:BL173"/>
    <mergeCell ref="AV175:BL175"/>
    <mergeCell ref="AK175:AO175"/>
    <mergeCell ref="AK176:AO176"/>
    <mergeCell ref="AP175:AU175"/>
    <mergeCell ref="AP174:AU174"/>
    <mergeCell ref="AK179:AO179"/>
    <mergeCell ref="AP177:AU177"/>
    <mergeCell ref="AP180:AU180"/>
    <mergeCell ref="AV174:BL174"/>
    <mergeCell ref="AV172:BL172"/>
    <mergeCell ref="AV177:BL177"/>
    <mergeCell ref="AV176:BL176"/>
    <mergeCell ref="AV179:BL179"/>
    <mergeCell ref="AK192:AO192"/>
    <mergeCell ref="AP185:AU185"/>
    <mergeCell ref="AP186:AU186"/>
    <mergeCell ref="AV190:BL190"/>
    <mergeCell ref="AV189:BL189"/>
    <mergeCell ref="AP190:AU190"/>
    <mergeCell ref="AP189:AU189"/>
    <mergeCell ref="AV186:BL186"/>
    <mergeCell ref="AP173:AU173"/>
    <mergeCell ref="AP176:AU176"/>
    <mergeCell ref="AP172:AU172"/>
    <mergeCell ref="AV194:BL194"/>
    <mergeCell ref="AV193:BL193"/>
    <mergeCell ref="AP193:AU193"/>
    <mergeCell ref="AV191:BL191"/>
    <mergeCell ref="AV192:BL192"/>
    <mergeCell ref="AP191:AU191"/>
    <mergeCell ref="AP192:AU192"/>
    <mergeCell ref="AV181:BL181"/>
    <mergeCell ref="AV182:BL182"/>
    <mergeCell ref="AP181:AU181"/>
    <mergeCell ref="AV180:BL180"/>
    <mergeCell ref="AH193:AJ193"/>
    <mergeCell ref="AB190:AD190"/>
    <mergeCell ref="AB189:AD189"/>
    <mergeCell ref="AB174:AD174"/>
    <mergeCell ref="AE185:AG185"/>
    <mergeCell ref="AE186:AG186"/>
    <mergeCell ref="AB183:AD183"/>
    <mergeCell ref="AB186:AD186"/>
    <mergeCell ref="AB185:AD185"/>
    <mergeCell ref="AH188:AJ188"/>
    <mergeCell ref="AH187:AJ187"/>
    <mergeCell ref="AH186:AJ186"/>
    <mergeCell ref="AH179:AJ179"/>
    <mergeCell ref="AH175:AJ175"/>
    <mergeCell ref="AE178:AG178"/>
    <mergeCell ref="AB176:AD176"/>
    <mergeCell ref="AK177:AO177"/>
    <mergeCell ref="AH176:AJ176"/>
    <mergeCell ref="AK187:AO187"/>
    <mergeCell ref="AK188:AO188"/>
    <mergeCell ref="AK183:AO183"/>
    <mergeCell ref="AK182:AO182"/>
    <mergeCell ref="AB180:AD180"/>
    <mergeCell ref="AK178:AO178"/>
    <mergeCell ref="AK186:AO186"/>
    <mergeCell ref="AK189:AO189"/>
    <mergeCell ref="AE183:AG183"/>
    <mergeCell ref="AE184:AG184"/>
    <mergeCell ref="AB184:AD184"/>
    <mergeCell ref="AH181:AJ181"/>
    <mergeCell ref="AB191:AD191"/>
    <mergeCell ref="AE181:AG181"/>
    <mergeCell ref="AB182:AD182"/>
    <mergeCell ref="AE189:AG189"/>
    <mergeCell ref="AH190:AJ190"/>
    <mergeCell ref="AH189:AJ189"/>
    <mergeCell ref="AE179:AG179"/>
    <mergeCell ref="AV168:BL168"/>
    <mergeCell ref="AE169:AG169"/>
    <mergeCell ref="AE170:AG170"/>
    <mergeCell ref="AB170:AD170"/>
    <mergeCell ref="AB169:AD169"/>
    <mergeCell ref="AP179:AU179"/>
    <mergeCell ref="AV170:BL170"/>
    <mergeCell ref="AV169:BL169"/>
    <mergeCell ref="AH182:AJ182"/>
    <mergeCell ref="AB187:AD187"/>
    <mergeCell ref="AE187:AG187"/>
    <mergeCell ref="AE188:AG188"/>
    <mergeCell ref="AB188:AD188"/>
    <mergeCell ref="AV178:BL178"/>
    <mergeCell ref="AP178:AU178"/>
    <mergeCell ref="AE168:AG168"/>
    <mergeCell ref="AE171:AG171"/>
    <mergeCell ref="AE172:AG172"/>
    <mergeCell ref="AH169:AJ169"/>
    <mergeCell ref="AH170:AJ170"/>
    <mergeCell ref="AP165:AU165"/>
    <mergeCell ref="AB178:AD178"/>
    <mergeCell ref="AB179:AD179"/>
    <mergeCell ref="AH161:AJ161"/>
    <mergeCell ref="AP160:AU160"/>
    <mergeCell ref="AV166:BL166"/>
    <mergeCell ref="AP166:AU166"/>
    <mergeCell ref="AB165:AD165"/>
    <mergeCell ref="AP167:AU167"/>
    <mergeCell ref="AK169:AO169"/>
    <mergeCell ref="AK170:AO170"/>
    <mergeCell ref="AP171:AU171"/>
    <mergeCell ref="AP170:AU170"/>
    <mergeCell ref="AP169:AU169"/>
    <mergeCell ref="AV171:BL171"/>
    <mergeCell ref="AP161:AU161"/>
    <mergeCell ref="AH162:AJ162"/>
    <mergeCell ref="AK162:AO162"/>
    <mergeCell ref="AK163:AO163"/>
    <mergeCell ref="AK160:AO160"/>
    <mergeCell ref="AP162:AU162"/>
    <mergeCell ref="AV162:BL162"/>
    <mergeCell ref="AV164:BL164"/>
    <mergeCell ref="AV160:BL160"/>
    <mergeCell ref="AP168:AU168"/>
    <mergeCell ref="AB172:AD172"/>
    <mergeCell ref="AH160:AJ160"/>
    <mergeCell ref="AE160:AG160"/>
    <mergeCell ref="AH163:AJ163"/>
    <mergeCell ref="AE163:AG163"/>
    <mergeCell ref="AP163:AU163"/>
    <mergeCell ref="AB162:AD162"/>
    <mergeCell ref="AB160:AD160"/>
    <mergeCell ref="AB161:AD161"/>
    <mergeCell ref="M165:P165"/>
    <mergeCell ref="U166:W166"/>
    <mergeCell ref="AB167:AD167"/>
    <mergeCell ref="Q167:T167"/>
    <mergeCell ref="Q165:T165"/>
    <mergeCell ref="K160:L160"/>
    <mergeCell ref="K163:L163"/>
    <mergeCell ref="K162:L162"/>
    <mergeCell ref="Q163:T163"/>
    <mergeCell ref="U161:W161"/>
    <mergeCell ref="AB166:AD166"/>
    <mergeCell ref="X164:AA164"/>
    <mergeCell ref="AB164:AD164"/>
    <mergeCell ref="U164:W164"/>
    <mergeCell ref="AB163:AD163"/>
    <mergeCell ref="M163:P163"/>
    <mergeCell ref="U160:W160"/>
    <mergeCell ref="U163:W163"/>
    <mergeCell ref="M162:P162"/>
    <mergeCell ref="X162:AA162"/>
    <mergeCell ref="U162:W162"/>
    <mergeCell ref="M161:P161"/>
    <mergeCell ref="Q162:T162"/>
    <mergeCell ref="X159:AA159"/>
    <mergeCell ref="AE159:AG159"/>
    <mergeCell ref="AH159:AJ159"/>
    <mergeCell ref="AT155:AV155"/>
    <mergeCell ref="AK157:AO157"/>
    <mergeCell ref="AK158:AO158"/>
    <mergeCell ref="Q158:T158"/>
    <mergeCell ref="AE158:AG158"/>
    <mergeCell ref="AB157:AD157"/>
    <mergeCell ref="AB158:AD158"/>
    <mergeCell ref="AE157:AG157"/>
    <mergeCell ref="AV156:BL156"/>
    <mergeCell ref="AP159:AU159"/>
    <mergeCell ref="AL155:AP155"/>
    <mergeCell ref="AP158:AU158"/>
    <mergeCell ref="AV158:BL158"/>
    <mergeCell ref="BB155:BC155"/>
    <mergeCell ref="AW155:BA155"/>
    <mergeCell ref="AV157:BL157"/>
    <mergeCell ref="AP157:AU157"/>
    <mergeCell ref="R155:U155"/>
    <mergeCell ref="V155:X155"/>
    <mergeCell ref="AB156:AD156"/>
    <mergeCell ref="AD148:AE148"/>
    <mergeCell ref="X157:AA157"/>
    <mergeCell ref="AE195:AG195"/>
    <mergeCell ref="U170:W170"/>
    <mergeCell ref="AE161:AG161"/>
    <mergeCell ref="AE162:AG162"/>
    <mergeCell ref="AB168:AD168"/>
    <mergeCell ref="K158:L158"/>
    <mergeCell ref="AB155:AE155"/>
    <mergeCell ref="X151:AC151"/>
    <mergeCell ref="X153:AC153"/>
    <mergeCell ref="X152:AC152"/>
    <mergeCell ref="AD153:AE153"/>
    <mergeCell ref="X150:AC150"/>
    <mergeCell ref="AE156:AG156"/>
    <mergeCell ref="M160:P160"/>
    <mergeCell ref="AP156:AU156"/>
    <mergeCell ref="AK156:AO156"/>
    <mergeCell ref="X158:AA158"/>
    <mergeCell ref="AI155:AK155"/>
    <mergeCell ref="Y155:AA155"/>
    <mergeCell ref="K159:L159"/>
    <mergeCell ref="AD154:AE154"/>
    <mergeCell ref="AF154:AH154"/>
    <mergeCell ref="X154:AC154"/>
    <mergeCell ref="AP153:AQ153"/>
    <mergeCell ref="AR153:AT153"/>
    <mergeCell ref="AP151:AQ151"/>
    <mergeCell ref="M159:P159"/>
    <mergeCell ref="M156:P156"/>
    <mergeCell ref="M157:P157"/>
    <mergeCell ref="U159:W159"/>
    <mergeCell ref="X200:AA200"/>
    <mergeCell ref="M164:P164"/>
    <mergeCell ref="X186:AA186"/>
    <mergeCell ref="K164:L164"/>
    <mergeCell ref="K198:L198"/>
    <mergeCell ref="U169:W169"/>
    <mergeCell ref="B199:J199"/>
    <mergeCell ref="B165:J165"/>
    <mergeCell ref="AD138:AE138"/>
    <mergeCell ref="AB231:AD231"/>
    <mergeCell ref="AE206:AG206"/>
    <mergeCell ref="X230:AA230"/>
    <mergeCell ref="X231:AA231"/>
    <mergeCell ref="U211:W211"/>
    <mergeCell ref="X211:AA211"/>
    <mergeCell ref="X222:AA222"/>
    <mergeCell ref="AB222:AD222"/>
    <mergeCell ref="AB221:AD221"/>
    <mergeCell ref="X220:AA220"/>
    <mergeCell ref="AB220:AD220"/>
    <mergeCell ref="AB219:AD219"/>
    <mergeCell ref="X221:AA221"/>
    <mergeCell ref="X217:AA217"/>
    <mergeCell ref="AE194:AG194"/>
    <mergeCell ref="X197:AA197"/>
    <mergeCell ref="U197:W197"/>
    <mergeCell ref="X195:AA195"/>
    <mergeCell ref="X194:AA194"/>
    <mergeCell ref="U194:W194"/>
    <mergeCell ref="U195:W195"/>
    <mergeCell ref="AB195:AD195"/>
    <mergeCell ref="AB194:AD194"/>
    <mergeCell ref="Q166:T166"/>
    <mergeCell ref="Q164:T164"/>
    <mergeCell ref="B201:J201"/>
    <mergeCell ref="B200:J200"/>
    <mergeCell ref="B176:J176"/>
    <mergeCell ref="M177:P177"/>
    <mergeCell ref="M176:P176"/>
    <mergeCell ref="M172:P172"/>
    <mergeCell ref="B184:J184"/>
    <mergeCell ref="B186:J186"/>
    <mergeCell ref="B175:J175"/>
    <mergeCell ref="B171:J171"/>
    <mergeCell ref="B169:J169"/>
    <mergeCell ref="B168:J168"/>
    <mergeCell ref="B167:J167"/>
    <mergeCell ref="B173:J173"/>
    <mergeCell ref="M171:P171"/>
    <mergeCell ref="B178:J178"/>
    <mergeCell ref="M198:P198"/>
    <mergeCell ref="M166:P166"/>
    <mergeCell ref="M167:P167"/>
    <mergeCell ref="K165:L165"/>
    <mergeCell ref="K166:L166"/>
    <mergeCell ref="U168:W168"/>
    <mergeCell ref="Q178:T178"/>
    <mergeCell ref="X191:AA191"/>
    <mergeCell ref="X187:AA187"/>
    <mergeCell ref="X188:AA188"/>
    <mergeCell ref="X189:AA189"/>
    <mergeCell ref="U177:W177"/>
    <mergeCell ref="U178:W178"/>
    <mergeCell ref="U179:W179"/>
    <mergeCell ref="X185:AA185"/>
    <mergeCell ref="X184:AA184"/>
    <mergeCell ref="X179:AA179"/>
    <mergeCell ref="X181:AA181"/>
    <mergeCell ref="M179:P179"/>
    <mergeCell ref="B188:J188"/>
    <mergeCell ref="B189:J189"/>
    <mergeCell ref="B194:J194"/>
    <mergeCell ref="X190:AA190"/>
    <mergeCell ref="U181:W181"/>
    <mergeCell ref="U193:W193"/>
    <mergeCell ref="U192:W192"/>
    <mergeCell ref="M180:P180"/>
    <mergeCell ref="B196:J196"/>
    <mergeCell ref="B195:J195"/>
    <mergeCell ref="M181:P181"/>
    <mergeCell ref="M182:P182"/>
    <mergeCell ref="B182:J182"/>
    <mergeCell ref="X183:AA183"/>
    <mergeCell ref="B192:J192"/>
    <mergeCell ref="B191:J191"/>
    <mergeCell ref="Q184:T184"/>
    <mergeCell ref="Q185:T185"/>
    <mergeCell ref="Q186:T186"/>
    <mergeCell ref="Q183:T183"/>
    <mergeCell ref="X180:AA180"/>
    <mergeCell ref="X182:AA182"/>
    <mergeCell ref="U185:W185"/>
    <mergeCell ref="U184:W184"/>
    <mergeCell ref="U187:W187"/>
    <mergeCell ref="U182:W182"/>
    <mergeCell ref="U183:W183"/>
    <mergeCell ref="U186:W186"/>
    <mergeCell ref="Q181:T181"/>
    <mergeCell ref="B187:J187"/>
    <mergeCell ref="B190:J190"/>
    <mergeCell ref="M195:P195"/>
    <mergeCell ref="M194:P194"/>
    <mergeCell ref="M193:P193"/>
    <mergeCell ref="X196:AA196"/>
    <mergeCell ref="U165:W165"/>
    <mergeCell ref="O104:Q104"/>
    <mergeCell ref="R113:U113"/>
    <mergeCell ref="O130:T131"/>
    <mergeCell ref="B159:J159"/>
    <mergeCell ref="B93:B120"/>
    <mergeCell ref="O117:Q117"/>
    <mergeCell ref="O116:Q116"/>
    <mergeCell ref="O107:Q107"/>
    <mergeCell ref="O102:Q102"/>
    <mergeCell ref="O101:Q101"/>
    <mergeCell ref="O100:Q100"/>
    <mergeCell ref="C112:K112"/>
    <mergeCell ref="L110:N110"/>
    <mergeCell ref="L109:N109"/>
    <mergeCell ref="B149:V150"/>
    <mergeCell ref="B158:J158"/>
    <mergeCell ref="K157:L157"/>
    <mergeCell ref="Q157:T157"/>
    <mergeCell ref="Q159:T159"/>
    <mergeCell ref="L107:N107"/>
    <mergeCell ref="C107:K107"/>
    <mergeCell ref="C108:K108"/>
    <mergeCell ref="O98:Q98"/>
    <mergeCell ref="O97:Q97"/>
    <mergeCell ref="O96:Q96"/>
    <mergeCell ref="O126:Q127"/>
    <mergeCell ref="C123:F123"/>
    <mergeCell ref="C122:F122"/>
    <mergeCell ref="L117:N117"/>
    <mergeCell ref="Q161:T161"/>
    <mergeCell ref="R95:U95"/>
    <mergeCell ref="K190:L190"/>
    <mergeCell ref="K193:L193"/>
    <mergeCell ref="C105:K105"/>
    <mergeCell ref="O99:Q99"/>
    <mergeCell ref="L101:N101"/>
    <mergeCell ref="L102:N102"/>
    <mergeCell ref="M187:P187"/>
    <mergeCell ref="M185:P185"/>
    <mergeCell ref="M186:P186"/>
    <mergeCell ref="M184:P184"/>
    <mergeCell ref="B181:J181"/>
    <mergeCell ref="B180:J180"/>
    <mergeCell ref="Q160:T160"/>
    <mergeCell ref="B151:V152"/>
    <mergeCell ref="B153:V154"/>
    <mergeCell ref="O155:Q155"/>
    <mergeCell ref="B162:J162"/>
    <mergeCell ref="M183:P183"/>
    <mergeCell ref="B170:J170"/>
    <mergeCell ref="B172:J172"/>
    <mergeCell ref="C128:G128"/>
    <mergeCell ref="O120:Q120"/>
    <mergeCell ref="L116:N116"/>
    <mergeCell ref="L111:N111"/>
    <mergeCell ref="L115:N115"/>
    <mergeCell ref="L114:N114"/>
    <mergeCell ref="L120:N120"/>
    <mergeCell ref="M170:P170"/>
    <mergeCell ref="K183:L183"/>
    <mergeCell ref="B183:J183"/>
    <mergeCell ref="O128:Q129"/>
    <mergeCell ref="N122:N132"/>
    <mergeCell ref="C127:G127"/>
    <mergeCell ref="C126:G126"/>
    <mergeCell ref="O124:Q125"/>
    <mergeCell ref="L155:N155"/>
    <mergeCell ref="M158:P158"/>
    <mergeCell ref="B179:J179"/>
    <mergeCell ref="B177:J177"/>
    <mergeCell ref="B166:J166"/>
    <mergeCell ref="K167:L167"/>
    <mergeCell ref="M178:P178"/>
    <mergeCell ref="B161:J161"/>
    <mergeCell ref="B156:J156"/>
    <mergeCell ref="K156:L156"/>
    <mergeCell ref="B155:K155"/>
    <mergeCell ref="K161:L161"/>
    <mergeCell ref="B204:J204"/>
    <mergeCell ref="B208:J208"/>
    <mergeCell ref="M205:P205"/>
    <mergeCell ref="M204:P204"/>
    <mergeCell ref="M203:P203"/>
    <mergeCell ref="M192:P192"/>
    <mergeCell ref="M189:P189"/>
    <mergeCell ref="M190:P190"/>
    <mergeCell ref="M191:P191"/>
    <mergeCell ref="M196:P196"/>
    <mergeCell ref="K184:L184"/>
    <mergeCell ref="K188:L188"/>
    <mergeCell ref="K187:L187"/>
    <mergeCell ref="K194:L194"/>
    <mergeCell ref="K195:L195"/>
    <mergeCell ref="B185:J185"/>
    <mergeCell ref="B193:J193"/>
    <mergeCell ref="B203:J203"/>
    <mergeCell ref="M188:P188"/>
    <mergeCell ref="K196:L196"/>
    <mergeCell ref="K189:L189"/>
    <mergeCell ref="K191:L191"/>
    <mergeCell ref="K192:L192"/>
    <mergeCell ref="B202:J202"/>
    <mergeCell ref="B197:J197"/>
    <mergeCell ref="B198:J198"/>
    <mergeCell ref="I71:J71"/>
    <mergeCell ref="K72:M72"/>
    <mergeCell ref="L119:N119"/>
    <mergeCell ref="B174:J174"/>
    <mergeCell ref="C85:I85"/>
    <mergeCell ref="H79:J80"/>
    <mergeCell ref="C120:K120"/>
    <mergeCell ref="C96:K96"/>
    <mergeCell ref="C97:K97"/>
    <mergeCell ref="C109:K109"/>
    <mergeCell ref="C129:L129"/>
    <mergeCell ref="C125:F125"/>
    <mergeCell ref="O118:Q118"/>
    <mergeCell ref="C119:K119"/>
    <mergeCell ref="B141:V142"/>
    <mergeCell ref="B160:J160"/>
    <mergeCell ref="B163:J163"/>
    <mergeCell ref="C124:F124"/>
    <mergeCell ref="B145:V146"/>
    <mergeCell ref="V120:Z120"/>
    <mergeCell ref="R97:U97"/>
    <mergeCell ref="V101:Z101"/>
    <mergeCell ref="R115:U115"/>
    <mergeCell ref="A62:A63"/>
    <mergeCell ref="M68:O68"/>
    <mergeCell ref="O108:Q108"/>
    <mergeCell ref="O109:Q109"/>
    <mergeCell ref="C100:K100"/>
    <mergeCell ref="C99:K99"/>
    <mergeCell ref="C98:K98"/>
    <mergeCell ref="C104:K104"/>
    <mergeCell ref="K81:M81"/>
    <mergeCell ref="P67:R67"/>
    <mergeCell ref="P64:R64"/>
    <mergeCell ref="P65:R65"/>
    <mergeCell ref="G88:K88"/>
    <mergeCell ref="K82:M83"/>
    <mergeCell ref="C82:D83"/>
    <mergeCell ref="C101:K101"/>
    <mergeCell ref="L104:N104"/>
    <mergeCell ref="N79:P80"/>
    <mergeCell ref="N81:P81"/>
    <mergeCell ref="L96:N96"/>
    <mergeCell ref="L97:N97"/>
    <mergeCell ref="Q76:T77"/>
    <mergeCell ref="B50:C50"/>
    <mergeCell ref="D56:E57"/>
    <mergeCell ref="F53:F57"/>
    <mergeCell ref="B57:C57"/>
    <mergeCell ref="R109:U109"/>
    <mergeCell ref="L100:N100"/>
    <mergeCell ref="L99:N99"/>
    <mergeCell ref="O111:Q111"/>
    <mergeCell ref="O112:Q112"/>
    <mergeCell ref="L98:N98"/>
    <mergeCell ref="C114:K114"/>
    <mergeCell ref="L113:N113"/>
    <mergeCell ref="L108:N108"/>
    <mergeCell ref="D65:L65"/>
    <mergeCell ref="D62:L63"/>
    <mergeCell ref="L103:N103"/>
    <mergeCell ref="C106:K106"/>
    <mergeCell ref="R53:T53"/>
    <mergeCell ref="R54:T54"/>
    <mergeCell ref="R55:T55"/>
    <mergeCell ref="S66:U66"/>
    <mergeCell ref="S65:U65"/>
    <mergeCell ref="C103:K103"/>
    <mergeCell ref="O113:Q113"/>
    <mergeCell ref="C76:H77"/>
    <mergeCell ref="L106:N106"/>
    <mergeCell ref="E82:G83"/>
    <mergeCell ref="G89:K89"/>
    <mergeCell ref="C93:K93"/>
    <mergeCell ref="D67:L67"/>
    <mergeCell ref="I72:J72"/>
    <mergeCell ref="G53:H53"/>
    <mergeCell ref="K71:M71"/>
    <mergeCell ref="I73:J73"/>
    <mergeCell ref="K73:M73"/>
    <mergeCell ref="L118:N118"/>
    <mergeCell ref="C118:K118"/>
    <mergeCell ref="C117:K117"/>
    <mergeCell ref="F46:F50"/>
    <mergeCell ref="J50:O50"/>
    <mergeCell ref="P50:Q50"/>
    <mergeCell ref="E47:E48"/>
    <mergeCell ref="B47:D48"/>
    <mergeCell ref="G48:H48"/>
    <mergeCell ref="G47:H47"/>
    <mergeCell ref="C94:K94"/>
    <mergeCell ref="C95:K95"/>
    <mergeCell ref="B72:H72"/>
    <mergeCell ref="J54:O54"/>
    <mergeCell ref="M60:P60"/>
    <mergeCell ref="F59:L60"/>
    <mergeCell ref="D66:L66"/>
    <mergeCell ref="B73:H73"/>
    <mergeCell ref="J56:O56"/>
    <mergeCell ref="C90:E91"/>
    <mergeCell ref="I52:I57"/>
    <mergeCell ref="M67:O67"/>
    <mergeCell ref="C88:F89"/>
    <mergeCell ref="G56:H56"/>
    <mergeCell ref="I70:J70"/>
    <mergeCell ref="B70:H70"/>
    <mergeCell ref="B71:H71"/>
    <mergeCell ref="P54:Q54"/>
    <mergeCell ref="K79:M80"/>
    <mergeCell ref="J86:K87"/>
    <mergeCell ref="C102:K102"/>
    <mergeCell ref="O110:Q110"/>
    <mergeCell ref="O115:Q115"/>
    <mergeCell ref="P47:Q47"/>
    <mergeCell ref="I45:I50"/>
    <mergeCell ref="B62:B63"/>
    <mergeCell ref="P55:Q55"/>
    <mergeCell ref="M59:P59"/>
    <mergeCell ref="K70:M70"/>
    <mergeCell ref="C62:C63"/>
    <mergeCell ref="B74:H74"/>
    <mergeCell ref="B59:E60"/>
    <mergeCell ref="D64:L64"/>
    <mergeCell ref="D68:L68"/>
    <mergeCell ref="P48:Q48"/>
    <mergeCell ref="I78:L78"/>
    <mergeCell ref="E54:E55"/>
    <mergeCell ref="I74:J74"/>
    <mergeCell ref="K74:M74"/>
    <mergeCell ref="O103:Q103"/>
    <mergeCell ref="O105:Q105"/>
    <mergeCell ref="M78:P78"/>
    <mergeCell ref="E81:G81"/>
    <mergeCell ref="E79:G80"/>
    <mergeCell ref="H81:J81"/>
    <mergeCell ref="L112:N112"/>
    <mergeCell ref="L95:N95"/>
    <mergeCell ref="L105:N105"/>
    <mergeCell ref="B54:D55"/>
    <mergeCell ref="G54:H54"/>
    <mergeCell ref="J85:K85"/>
    <mergeCell ref="C86:I87"/>
    <mergeCell ref="B53:E53"/>
    <mergeCell ref="C79:D81"/>
    <mergeCell ref="L94:N94"/>
    <mergeCell ref="L93:N93"/>
    <mergeCell ref="B43:C43"/>
    <mergeCell ref="B45:E45"/>
    <mergeCell ref="P46:Q46"/>
    <mergeCell ref="G46:H46"/>
    <mergeCell ref="G45:H45"/>
    <mergeCell ref="G50:H50"/>
    <mergeCell ref="P56:Q56"/>
    <mergeCell ref="J53:O53"/>
    <mergeCell ref="P53:Q53"/>
    <mergeCell ref="M62:O63"/>
    <mergeCell ref="G55:H55"/>
    <mergeCell ref="D49:E50"/>
    <mergeCell ref="B46:E46"/>
    <mergeCell ref="B85:B91"/>
    <mergeCell ref="B76:B83"/>
    <mergeCell ref="M64:O64"/>
    <mergeCell ref="J55:O55"/>
  </mergeCells>
  <conditionalFormatting sqref="AH30">
    <cfRule type="cellIs" dxfId="135" priority="1" operator="greaterThan">
      <formula>W30+AC30</formula>
    </cfRule>
  </conditionalFormatting>
  <conditionalFormatting sqref="AH30">
    <cfRule type="cellIs" dxfId="134" priority="2" operator="equal">
      <formula>W30+AC30</formula>
    </cfRule>
  </conditionalFormatting>
  <conditionalFormatting sqref="AB14 AF14 AH14 AD14">
    <cfRule type="cellIs" dxfId="133" priority="3" operator="equal">
      <formula>AB13</formula>
    </cfRule>
  </conditionalFormatting>
  <conditionalFormatting sqref="AB14 AF14 AH14 AD14">
    <cfRule type="cellIs" dxfId="132" priority="4" operator="greaterThan">
      <formula>AB13</formula>
    </cfRule>
  </conditionalFormatting>
  <conditionalFormatting sqref="P64:S69 T64:U68 N69:O69">
    <cfRule type="cellIs" dxfId="131" priority="6" operator="equal">
      <formula>"None"</formula>
    </cfRule>
  </conditionalFormatting>
  <conditionalFormatting sqref="AR14">
    <cfRule type="cellIs" dxfId="130" priority="7" operator="greaterThan">
      <formula>$AM$14</formula>
    </cfRule>
  </conditionalFormatting>
  <conditionalFormatting sqref="AR14">
    <cfRule type="cellIs" dxfId="129" priority="8" operator="equal">
      <formula>$AM$14</formula>
    </cfRule>
  </conditionalFormatting>
  <conditionalFormatting sqref="AR14">
    <cfRule type="cellIs" dxfId="128" priority="9" operator="lessThan">
      <formula>$AM$14</formula>
    </cfRule>
  </conditionalFormatting>
  <conditionalFormatting sqref="S86">
    <cfRule type="cellIs" dxfId="127" priority="11" operator="equal">
      <formula>$P$86</formula>
    </cfRule>
  </conditionalFormatting>
  <conditionalFormatting sqref="S86">
    <cfRule type="cellIs" dxfId="126" priority="12" operator="greaterThan">
      <formula>$P$86</formula>
    </cfRule>
  </conditionalFormatting>
  <conditionalFormatting sqref="S86">
    <cfRule type="cellIs" dxfId="125" priority="13" operator="lessThan">
      <formula>$P$86</formula>
    </cfRule>
  </conditionalFormatting>
  <conditionalFormatting sqref="Y87:Z87">
    <cfRule type="expression" dxfId="124" priority="14">
      <formula>$Y$86=0</formula>
    </cfRule>
  </conditionalFormatting>
  <conditionalFormatting sqref="AA87:AB87">
    <cfRule type="expression" dxfId="123" priority="15">
      <formula>$AA$86=0</formula>
    </cfRule>
  </conditionalFormatting>
  <conditionalFormatting sqref="AA87:AB87">
    <cfRule type="expression" dxfId="122" priority="16">
      <formula>$Y$86=0</formula>
    </cfRule>
  </conditionalFormatting>
  <conditionalFormatting sqref="AC87:AD87">
    <cfRule type="expression" dxfId="121" priority="17">
      <formula>$AC$86=0</formula>
    </cfRule>
  </conditionalFormatting>
  <conditionalFormatting sqref="AC87:AD87">
    <cfRule type="expression" dxfId="120" priority="18">
      <formula>$Y$86=0</formula>
    </cfRule>
  </conditionalFormatting>
  <conditionalFormatting sqref="AE87:AF87">
    <cfRule type="expression" dxfId="119" priority="19">
      <formula>$AE$86=0</formula>
    </cfRule>
  </conditionalFormatting>
  <conditionalFormatting sqref="AE87:AF87">
    <cfRule type="expression" dxfId="118" priority="20">
      <formula>$Y$86=0</formula>
    </cfRule>
  </conditionalFormatting>
  <conditionalFormatting sqref="AG87:AH87">
    <cfRule type="expression" dxfId="117" priority="21">
      <formula>$AG$86=0</formula>
    </cfRule>
  </conditionalFormatting>
  <conditionalFormatting sqref="AG87:AH87">
    <cfRule type="expression" dxfId="116" priority="22">
      <formula>$Y$86=0</formula>
    </cfRule>
  </conditionalFormatting>
  <conditionalFormatting sqref="AI87:AJ87">
    <cfRule type="expression" dxfId="115" priority="23">
      <formula>$AI$86=0</formula>
    </cfRule>
  </conditionalFormatting>
  <conditionalFormatting sqref="AI87:AJ87">
    <cfRule type="expression" dxfId="114" priority="24">
      <formula>$Y$86=0</formula>
    </cfRule>
  </conditionalFormatting>
  <conditionalFormatting sqref="P64:P68 Q64:R69 S69">
    <cfRule type="expression" dxfId="113" priority="25">
      <formula>$S$63=NONE</formula>
    </cfRule>
  </conditionalFormatting>
  <conditionalFormatting sqref="AO123">
    <cfRule type="cellIs" dxfId="112" priority="26" operator="equal">
      <formula>$AM$126</formula>
    </cfRule>
  </conditionalFormatting>
  <conditionalFormatting sqref="AO123">
    <cfRule type="cellIs" dxfId="111" priority="29" operator="greaterThan">
      <formula>$AQ$126</formula>
    </cfRule>
  </conditionalFormatting>
  <conditionalFormatting sqref="AO123">
    <cfRule type="cellIs" dxfId="110" priority="30" operator="between">
      <formula>$AM$126</formula>
      <formula>$AQ$126</formula>
    </cfRule>
  </conditionalFormatting>
  <conditionalFormatting sqref="AO123">
    <cfRule type="cellIs" dxfId="109" priority="32" operator="between">
      <formula>$AI$126</formula>
      <formula>$AM$126</formula>
    </cfRule>
  </conditionalFormatting>
  <conditionalFormatting sqref="AC64:AF68 I78:M78 Q78 AB88:AF89">
    <cfRule type="cellIs" dxfId="108" priority="34" operator="equal">
      <formula>"NONE"</formula>
    </cfRule>
  </conditionalFormatting>
  <conditionalFormatting sqref="E82:G83">
    <cfRule type="cellIs" dxfId="107" priority="35" operator="equal">
      <formula>$E$79</formula>
    </cfRule>
  </conditionalFormatting>
  <conditionalFormatting sqref="E82:G83">
    <cfRule type="cellIs" dxfId="106" priority="36" operator="greaterThan">
      <formula>$E$79</formula>
    </cfRule>
  </conditionalFormatting>
  <conditionalFormatting sqref="H82:J83">
    <cfRule type="cellIs" dxfId="105" priority="37" operator="equal">
      <formula>$H$79</formula>
    </cfRule>
  </conditionalFormatting>
  <conditionalFormatting sqref="H82:J83">
    <cfRule type="cellIs" dxfId="104" priority="38" operator="greaterThan">
      <formula>$H$79</formula>
    </cfRule>
  </conditionalFormatting>
  <conditionalFormatting sqref="K82:M83">
    <cfRule type="cellIs" dxfId="103" priority="39" operator="equal">
      <formula>$K$79</formula>
    </cfRule>
  </conditionalFormatting>
  <conditionalFormatting sqref="K82:M83">
    <cfRule type="cellIs" dxfId="102" priority="40" operator="greaterThan">
      <formula>$K$79</formula>
    </cfRule>
  </conditionalFormatting>
  <conditionalFormatting sqref="N82:P83">
    <cfRule type="cellIs" dxfId="101" priority="41" operator="equal">
      <formula>$N$79</formula>
    </cfRule>
  </conditionalFormatting>
  <conditionalFormatting sqref="N82:P83">
    <cfRule type="cellIs" dxfId="100" priority="42" operator="greaterThan">
      <formula>$N$79</formula>
    </cfRule>
  </conditionalFormatting>
  <conditionalFormatting sqref="Q82:S83">
    <cfRule type="cellIs" dxfId="99" priority="43" operator="equal">
      <formula>$Q$79</formula>
    </cfRule>
  </conditionalFormatting>
  <conditionalFormatting sqref="Q82:S83">
    <cfRule type="cellIs" dxfId="98" priority="44" operator="greaterThan">
      <formula>$Q$79</formula>
    </cfRule>
  </conditionalFormatting>
  <conditionalFormatting sqref="T82:V83">
    <cfRule type="cellIs" dxfId="97" priority="45" operator="equal">
      <formula>$T$79</formula>
    </cfRule>
  </conditionalFormatting>
  <conditionalFormatting sqref="T82:V83">
    <cfRule type="cellIs" dxfId="96" priority="46" operator="greaterThan">
      <formula>$T$79</formula>
    </cfRule>
  </conditionalFormatting>
  <conditionalFormatting sqref="W82:Y83">
    <cfRule type="cellIs" dxfId="95" priority="47" operator="equal">
      <formula>$W$79</formula>
    </cfRule>
  </conditionalFormatting>
  <conditionalFormatting sqref="W82:Y83">
    <cfRule type="cellIs" dxfId="94" priority="48" operator="greaterThan">
      <formula>$W$79</formula>
    </cfRule>
  </conditionalFormatting>
  <conditionalFormatting sqref="Z82:AB83">
    <cfRule type="cellIs" dxfId="93" priority="49" operator="equal">
      <formula>$Z$79</formula>
    </cfRule>
  </conditionalFormatting>
  <conditionalFormatting sqref="Z82:AB83">
    <cfRule type="cellIs" dxfId="92" priority="50" operator="greaterThan">
      <formula>$Z$79</formula>
    </cfRule>
  </conditionalFormatting>
  <conditionalFormatting sqref="AC82:AE83">
    <cfRule type="cellIs" dxfId="91" priority="51" operator="equal">
      <formula>$AC$79</formula>
    </cfRule>
  </conditionalFormatting>
  <conditionalFormatting sqref="AC82:AE83">
    <cfRule type="cellIs" dxfId="90" priority="52" operator="greaterThan">
      <formula>$AC$79</formula>
    </cfRule>
  </conditionalFormatting>
  <conditionalFormatting sqref="W30:AB33">
    <cfRule type="colorScale" priority="53">
      <colorScale>
        <cfvo type="formula" val="(($AH$33+$AC$30)*0.25)"/>
        <cfvo type="formula" val="$AH$33+$AC$30"/>
        <color rgb="FFFF7128"/>
        <color rgb="FFFFFFFF"/>
      </colorScale>
    </cfRule>
  </conditionalFormatting>
  <conditionalFormatting sqref="E79:G80">
    <cfRule type="expression" dxfId="89" priority="54">
      <formula>E82-E79 = 0</formula>
    </cfRule>
  </conditionalFormatting>
  <conditionalFormatting sqref="BN39:BY39">
    <cfRule type="cellIs" dxfId="88" priority="57" operator="between">
      <formula>$AM$123</formula>
      <formula>$AQ$123</formula>
    </cfRule>
  </conditionalFormatting>
  <conditionalFormatting sqref="H79:J80">
    <cfRule type="expression" dxfId="87" priority="58">
      <formula>H79-H82=0</formula>
    </cfRule>
  </conditionalFormatting>
  <conditionalFormatting sqref="K79:M80">
    <cfRule type="expression" dxfId="86" priority="59">
      <formula>K79-K82=0</formula>
    </cfRule>
  </conditionalFormatting>
  <conditionalFormatting sqref="N79:P80">
    <cfRule type="expression" dxfId="85" priority="60">
      <formula>N79-N82=0</formula>
    </cfRule>
  </conditionalFormatting>
  <conditionalFormatting sqref="Q79:S80">
    <cfRule type="expression" dxfId="84" priority="61">
      <formula>Q79-Q82=0</formula>
    </cfRule>
  </conditionalFormatting>
  <conditionalFormatting sqref="T79:V80">
    <cfRule type="expression" dxfId="83" priority="62">
      <formula>T79-T82=0</formula>
    </cfRule>
  </conditionalFormatting>
  <conditionalFormatting sqref="W79:Y80">
    <cfRule type="expression" dxfId="82" priority="63">
      <formula>W79-W82=0</formula>
    </cfRule>
  </conditionalFormatting>
  <conditionalFormatting sqref="Z79:AB80">
    <cfRule type="expression" dxfId="81" priority="64">
      <formula>"Z78-Z81=0"</formula>
    </cfRule>
  </conditionalFormatting>
  <conditionalFormatting sqref="AC79:AE80">
    <cfRule type="expression" dxfId="80" priority="65">
      <formula>"AC78-AC81=0"</formula>
    </cfRule>
  </conditionalFormatting>
  <dataValidations disablePrompts="1" count="3">
    <dataValidation type="list" allowBlank="1" showErrorMessage="1" sqref="G25:G27" xr:uid="{00000000-0002-0000-0600-000005000000}">
      <formula1>"-,P,E"</formula1>
    </dataValidation>
    <dataValidation type="list" allowBlank="1" showInputMessage="1" showErrorMessage="1" prompt="Damage Type - Select the type of damage dealt by this attack" sqref="AK88:AK89" xr:uid="{00000000-0002-0000-0600-000002000000}">
      <formula1>#REF!</formula1>
    </dataValidation>
    <dataValidation type="list" allowBlank="1" showErrorMessage="1" sqref="G18 G39:G43 G46:G50 G53:G56" xr:uid="{00000000-0002-0000-0600-000001000000}">
      <formula1>"P,E,-"</formula1>
    </dataValidation>
  </dataValidations>
  <pageMargins left="0.5" right="0.5" top="0.5" bottom="0.5" header="0" footer="0"/>
  <pageSetup scale="67"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2591-F083-44C4-8B8A-AEFBC9CBB1CD}">
  <sheetPr codeName="Аркуш25">
    <tabColor rgb="FFC00000"/>
    <outlinePr summaryBelow="0" summaryRight="0"/>
  </sheetPr>
  <dimension ref="A1:CZ334"/>
  <sheetViews>
    <sheetView workbookViewId="0">
      <pane xSplit="1" ySplit="3" topLeftCell="B4" activePane="bottomRight" state="frozen"/>
      <selection sqref="A1:U1"/>
      <selection pane="topRight" sqref="A1:U1"/>
      <selection pane="bottomLeft" sqref="A1:U1"/>
      <selection pane="bottomRight" activeCell="D11" sqref="D11"/>
    </sheetView>
  </sheetViews>
  <sheetFormatPr defaultColWidth="11.21875" defaultRowHeight="15.75" customHeight="1"/>
  <cols>
    <col min="1" max="2" width="27.5546875" style="103" customWidth="1"/>
    <col min="3" max="3" width="8.44140625" style="103" customWidth="1"/>
    <col min="4" max="4" width="4.6640625" style="103" customWidth="1"/>
    <col min="5" max="6" width="8.6640625" style="103" customWidth="1"/>
    <col min="7" max="7" width="8.88671875" style="103" customWidth="1"/>
    <col min="8" max="8" width="10" style="103" customWidth="1"/>
    <col min="9" max="9" width="4.21875" style="103" customWidth="1"/>
    <col min="10" max="10" width="5.5546875" style="103" customWidth="1"/>
    <col min="11" max="17" width="4.44140625" style="103" customWidth="1"/>
    <col min="18" max="18" width="5.77734375" style="103" customWidth="1"/>
    <col min="19" max="19" width="9.44140625" style="103" customWidth="1"/>
    <col min="20" max="20" width="10.21875" style="103" customWidth="1"/>
    <col min="21" max="21" width="8.33203125" style="103" customWidth="1"/>
    <col min="22" max="22" width="6.21875" style="103" customWidth="1"/>
    <col min="23" max="23" width="8" style="103" customWidth="1"/>
    <col min="24" max="24" width="6.6640625" style="103" customWidth="1"/>
    <col min="25" max="25" width="4.77734375" style="103" customWidth="1"/>
    <col min="26" max="26" width="6.5546875" style="103" customWidth="1"/>
    <col min="27" max="27" width="4.44140625" style="103" customWidth="1"/>
    <col min="28" max="29" width="5.21875" style="103" customWidth="1"/>
    <col min="30" max="30" width="4.44140625" style="103" customWidth="1"/>
    <col min="31" max="31" width="5.21875" style="103" customWidth="1"/>
    <col min="32" max="32" width="5" style="103" customWidth="1"/>
    <col min="33" max="33" width="5.44140625" style="103" customWidth="1"/>
    <col min="34" max="34" width="5.33203125" style="103" customWidth="1"/>
    <col min="35" max="35" width="6.109375" style="103" customWidth="1"/>
    <col min="36" max="36" width="5.5546875" style="103" customWidth="1"/>
    <col min="37" max="37" width="5.6640625" style="103" customWidth="1"/>
    <col min="38" max="38" width="5.33203125" style="103" customWidth="1"/>
    <col min="39" max="39" width="5.5546875" style="103" customWidth="1"/>
    <col min="40" max="40" width="6" style="103" customWidth="1"/>
    <col min="41" max="41" width="5.21875" style="103" customWidth="1"/>
    <col min="42" max="42" width="5.6640625" style="103" customWidth="1"/>
    <col min="43" max="43" width="5.33203125" style="103" customWidth="1"/>
    <col min="44" max="44" width="7.21875" style="103" customWidth="1"/>
    <col min="45" max="45" width="13.77734375" style="103" customWidth="1"/>
    <col min="46" max="46" width="5.5546875" style="103" customWidth="1"/>
    <col min="47" max="47" width="7.21875" style="103" customWidth="1"/>
    <col min="48" max="48" width="13.77734375" style="103" customWidth="1"/>
    <col min="49" max="49" width="7.21875" style="103" customWidth="1"/>
    <col min="50" max="104" width="13.77734375" style="103" customWidth="1"/>
    <col min="105" max="16384" width="11.21875" style="103"/>
  </cols>
  <sheetData>
    <row r="1" spans="1:104" ht="15.75" customHeight="1">
      <c r="A1" t="s">
        <v>7698</v>
      </c>
      <c r="B1" t="s">
        <v>8366</v>
      </c>
      <c r="C1" t="s">
        <v>8367</v>
      </c>
      <c r="D1" t="s">
        <v>8368</v>
      </c>
      <c r="E1" t="s">
        <v>8369</v>
      </c>
      <c r="F1" t="s">
        <v>8370</v>
      </c>
      <c r="G1" t="s">
        <v>8371</v>
      </c>
      <c r="H1" t="s">
        <v>8372</v>
      </c>
      <c r="I1" t="s">
        <v>8373</v>
      </c>
      <c r="J1" t="s">
        <v>8374</v>
      </c>
      <c r="K1" t="s">
        <v>8375</v>
      </c>
      <c r="L1" t="s">
        <v>8376</v>
      </c>
      <c r="M1" t="s">
        <v>8377</v>
      </c>
      <c r="N1" t="s">
        <v>8378</v>
      </c>
      <c r="O1" t="s">
        <v>8379</v>
      </c>
      <c r="P1" t="s">
        <v>8380</v>
      </c>
      <c r="Q1" t="s">
        <v>8381</v>
      </c>
      <c r="R1" t="s">
        <v>8382</v>
      </c>
      <c r="S1" t="s">
        <v>8383</v>
      </c>
      <c r="T1" t="s">
        <v>8384</v>
      </c>
      <c r="U1" t="s">
        <v>8385</v>
      </c>
      <c r="V1" t="s">
        <v>8386</v>
      </c>
      <c r="W1" t="s">
        <v>8387</v>
      </c>
      <c r="X1" t="s">
        <v>8388</v>
      </c>
      <c r="Y1" t="s">
        <v>8389</v>
      </c>
      <c r="Z1" t="s">
        <v>8390</v>
      </c>
      <c r="AA1" t="s">
        <v>8391</v>
      </c>
      <c r="AB1" t="s">
        <v>8392</v>
      </c>
      <c r="AC1" t="s">
        <v>8393</v>
      </c>
      <c r="AD1" t="s">
        <v>8394</v>
      </c>
      <c r="AE1" t="s">
        <v>8395</v>
      </c>
      <c r="AF1" t="s">
        <v>8396</v>
      </c>
      <c r="AG1" t="s">
        <v>8397</v>
      </c>
      <c r="AH1" t="s">
        <v>8398</v>
      </c>
      <c r="AI1" t="s">
        <v>8399</v>
      </c>
      <c r="AJ1" t="s">
        <v>8400</v>
      </c>
      <c r="AK1" t="s">
        <v>8401</v>
      </c>
      <c r="AL1" t="s">
        <v>8402</v>
      </c>
      <c r="AM1" t="s">
        <v>8403</v>
      </c>
      <c r="AN1" t="s">
        <v>8404</v>
      </c>
      <c r="AO1" t="s">
        <v>8405</v>
      </c>
      <c r="AP1" t="s">
        <v>8406</v>
      </c>
      <c r="AQ1" t="s">
        <v>8407</v>
      </c>
      <c r="AR1" t="s">
        <v>8408</v>
      </c>
      <c r="AS1" t="s">
        <v>8409</v>
      </c>
      <c r="AT1" t="s">
        <v>8410</v>
      </c>
      <c r="AU1" t="s">
        <v>8411</v>
      </c>
      <c r="AV1" t="s">
        <v>8412</v>
      </c>
      <c r="AW1" t="s">
        <v>8413</v>
      </c>
      <c r="AX1" t="s">
        <v>8414</v>
      </c>
      <c r="AY1" t="s">
        <v>8415</v>
      </c>
      <c r="AZ1" t="s">
        <v>8416</v>
      </c>
      <c r="BA1" t="s">
        <v>8417</v>
      </c>
      <c r="BB1" t="s">
        <v>8418</v>
      </c>
      <c r="BC1" t="s">
        <v>8419</v>
      </c>
      <c r="BD1" t="s">
        <v>8420</v>
      </c>
      <c r="BE1" t="s">
        <v>8421</v>
      </c>
      <c r="BF1" t="s">
        <v>8422</v>
      </c>
      <c r="BG1" t="s">
        <v>8423</v>
      </c>
      <c r="BH1" t="s">
        <v>8424</v>
      </c>
      <c r="BI1" t="s">
        <v>8425</v>
      </c>
      <c r="BJ1" t="s">
        <v>8426</v>
      </c>
      <c r="BK1" t="s">
        <v>8427</v>
      </c>
      <c r="BL1" t="s">
        <v>8428</v>
      </c>
      <c r="BM1" t="s">
        <v>8429</v>
      </c>
      <c r="BN1" t="s">
        <v>8430</v>
      </c>
      <c r="BO1" t="s">
        <v>8431</v>
      </c>
      <c r="BP1" t="s">
        <v>8432</v>
      </c>
      <c r="BQ1" t="s">
        <v>8433</v>
      </c>
      <c r="BR1" t="s">
        <v>8434</v>
      </c>
      <c r="BS1" t="s">
        <v>8435</v>
      </c>
      <c r="BT1" t="s">
        <v>8436</v>
      </c>
      <c r="BU1" t="s">
        <v>8437</v>
      </c>
      <c r="BV1" t="s">
        <v>8438</v>
      </c>
      <c r="BW1" t="s">
        <v>8439</v>
      </c>
      <c r="BX1" t="s">
        <v>8440</v>
      </c>
      <c r="BY1" t="s">
        <v>8441</v>
      </c>
      <c r="BZ1" t="s">
        <v>8442</v>
      </c>
      <c r="CA1" t="s">
        <v>8443</v>
      </c>
      <c r="CB1" t="s">
        <v>8444</v>
      </c>
      <c r="CC1" t="s">
        <v>8445</v>
      </c>
      <c r="CD1" t="s">
        <v>8446</v>
      </c>
      <c r="CE1" t="s">
        <v>8447</v>
      </c>
      <c r="CF1" t="s">
        <v>8448</v>
      </c>
      <c r="CG1" t="s">
        <v>8449</v>
      </c>
      <c r="CH1" t="s">
        <v>8450</v>
      </c>
      <c r="CI1" t="s">
        <v>8451</v>
      </c>
      <c r="CJ1" t="s">
        <v>8452</v>
      </c>
      <c r="CK1" t="s">
        <v>8453</v>
      </c>
      <c r="CL1" t="s">
        <v>8454</v>
      </c>
      <c r="CM1" t="s">
        <v>8455</v>
      </c>
      <c r="CN1" t="s">
        <v>8456</v>
      </c>
      <c r="CO1" t="s">
        <v>8457</v>
      </c>
      <c r="CP1" t="s">
        <v>8458</v>
      </c>
      <c r="CQ1" t="s">
        <v>8459</v>
      </c>
      <c r="CR1" t="s">
        <v>8460</v>
      </c>
      <c r="CS1" t="s">
        <v>8461</v>
      </c>
      <c r="CT1" t="s">
        <v>8462</v>
      </c>
      <c r="CU1" t="s">
        <v>8463</v>
      </c>
      <c r="CV1" t="s">
        <v>8464</v>
      </c>
      <c r="CW1" t="s">
        <v>8465</v>
      </c>
      <c r="CX1" t="s">
        <v>8466</v>
      </c>
      <c r="CY1" t="s">
        <v>8467</v>
      </c>
      <c r="CZ1" t="s">
        <v>8468</v>
      </c>
    </row>
    <row r="2" spans="1:104" ht="15.75" customHeight="1">
      <c r="A2" t="s">
        <v>2315</v>
      </c>
      <c r="B2" t="s">
        <v>5651</v>
      </c>
      <c r="C2" t="s">
        <v>5650</v>
      </c>
      <c r="D2" t="s">
        <v>5678</v>
      </c>
      <c r="E2"/>
      <c r="F2"/>
      <c r="G2"/>
      <c r="H2"/>
      <c r="I2"/>
      <c r="J2" t="s">
        <v>5677</v>
      </c>
      <c r="K2"/>
      <c r="L2"/>
      <c r="M2"/>
      <c r="N2" t="s">
        <v>5676</v>
      </c>
      <c r="O2"/>
      <c r="P2"/>
      <c r="Q2"/>
      <c r="R2" t="s">
        <v>5675</v>
      </c>
      <c r="S2"/>
      <c r="T2"/>
      <c r="U2"/>
      <c r="V2" t="s">
        <v>1881</v>
      </c>
      <c r="W2"/>
      <c r="X2"/>
      <c r="Y2"/>
      <c r="Z2"/>
      <c r="AA2" t="s">
        <v>5674</v>
      </c>
      <c r="AB2"/>
      <c r="AC2"/>
      <c r="AD2"/>
      <c r="AE2"/>
      <c r="AF2"/>
      <c r="AG2" t="s">
        <v>5673</v>
      </c>
      <c r="AH2"/>
      <c r="AI2"/>
      <c r="AJ2"/>
      <c r="AK2"/>
      <c r="AL2"/>
      <c r="AM2"/>
      <c r="AN2" t="s">
        <v>5672</v>
      </c>
      <c r="AO2"/>
      <c r="AP2"/>
      <c r="AQ2"/>
      <c r="AR2"/>
      <c r="AS2"/>
      <c r="AT2"/>
      <c r="AU2"/>
      <c r="AV2"/>
      <c r="AW2"/>
      <c r="AX2"/>
      <c r="AY2" t="s">
        <v>5671</v>
      </c>
      <c r="AZ2"/>
      <c r="BA2"/>
      <c r="BB2" t="s">
        <v>5670</v>
      </c>
      <c r="BC2"/>
      <c r="BD2"/>
      <c r="BE2" t="s">
        <v>5669</v>
      </c>
      <c r="BF2"/>
      <c r="BG2"/>
      <c r="BH2" t="s">
        <v>5668</v>
      </c>
      <c r="BI2"/>
      <c r="BJ2" t="s">
        <v>5667</v>
      </c>
      <c r="BK2"/>
      <c r="BL2" t="s">
        <v>5666</v>
      </c>
      <c r="BM2"/>
      <c r="BN2" t="s">
        <v>5665</v>
      </c>
      <c r="BO2"/>
      <c r="BP2" t="s">
        <v>5664</v>
      </c>
      <c r="BQ2"/>
      <c r="BR2"/>
      <c r="BS2" t="s">
        <v>5663</v>
      </c>
      <c r="BT2"/>
      <c r="BU2"/>
      <c r="BV2" t="s">
        <v>5662</v>
      </c>
      <c r="BW2"/>
      <c r="BX2"/>
      <c r="BY2" t="s">
        <v>5661</v>
      </c>
      <c r="BZ2"/>
      <c r="CA2"/>
      <c r="CB2" t="s">
        <v>5660</v>
      </c>
      <c r="CC2"/>
      <c r="CD2"/>
      <c r="CE2" t="s">
        <v>5659</v>
      </c>
      <c r="CF2"/>
      <c r="CG2"/>
      <c r="CH2" t="s">
        <v>5658</v>
      </c>
      <c r="CI2"/>
      <c r="CJ2"/>
      <c r="CK2" t="s">
        <v>5657</v>
      </c>
      <c r="CL2"/>
      <c r="CM2" t="s">
        <v>5656</v>
      </c>
      <c r="CN2"/>
      <c r="CO2" t="s">
        <v>5655</v>
      </c>
      <c r="CP2"/>
      <c r="CQ2" t="s">
        <v>5654</v>
      </c>
      <c r="CR2"/>
      <c r="CS2"/>
      <c r="CT2" t="s">
        <v>5653</v>
      </c>
      <c r="CU2"/>
      <c r="CV2" t="s">
        <v>5652</v>
      </c>
      <c r="CW2"/>
      <c r="CX2" t="s">
        <v>5608</v>
      </c>
      <c r="CY2"/>
      <c r="CZ2"/>
    </row>
    <row r="3" spans="1:104" ht="15.75" customHeight="1">
      <c r="A3" t="s">
        <v>2533</v>
      </c>
      <c r="B3" t="s">
        <v>5651</v>
      </c>
      <c r="C3" t="s">
        <v>5650</v>
      </c>
      <c r="D3" t="s">
        <v>5649</v>
      </c>
      <c r="E3" t="s">
        <v>550</v>
      </c>
      <c r="F3" t="s">
        <v>5648</v>
      </c>
      <c r="G3" t="s">
        <v>1787</v>
      </c>
      <c r="H3" t="s">
        <v>5647</v>
      </c>
      <c r="I3" t="s">
        <v>5646</v>
      </c>
      <c r="J3" t="s">
        <v>5645</v>
      </c>
      <c r="K3" t="s">
        <v>5644</v>
      </c>
      <c r="L3" t="s">
        <v>5643</v>
      </c>
      <c r="M3" t="s">
        <v>5642</v>
      </c>
      <c r="N3" t="s">
        <v>5641</v>
      </c>
      <c r="O3" t="s">
        <v>1643</v>
      </c>
      <c r="P3" t="s">
        <v>1485</v>
      </c>
      <c r="Q3" t="s">
        <v>5640</v>
      </c>
      <c r="R3" t="s">
        <v>5639</v>
      </c>
      <c r="S3" t="s">
        <v>5638</v>
      </c>
      <c r="T3" t="s">
        <v>5637</v>
      </c>
      <c r="U3" t="s">
        <v>5636</v>
      </c>
      <c r="V3" t="s">
        <v>5635</v>
      </c>
      <c r="W3" t="s">
        <v>5634</v>
      </c>
      <c r="X3" t="s">
        <v>5633</v>
      </c>
      <c r="Y3" t="s">
        <v>5632</v>
      </c>
      <c r="Z3" t="s">
        <v>5631</v>
      </c>
      <c r="AA3" t="s">
        <v>5630</v>
      </c>
      <c r="AB3" t="s">
        <v>5629</v>
      </c>
      <c r="AC3" t="s">
        <v>5628</v>
      </c>
      <c r="AD3" t="s">
        <v>5627</v>
      </c>
      <c r="AE3" t="s">
        <v>5626</v>
      </c>
      <c r="AF3" t="s">
        <v>5625</v>
      </c>
      <c r="AG3" t="s">
        <v>5624</v>
      </c>
      <c r="AH3" t="s">
        <v>5623</v>
      </c>
      <c r="AI3" t="s">
        <v>5622</v>
      </c>
      <c r="AJ3" t="s">
        <v>5621</v>
      </c>
      <c r="AK3" t="s">
        <v>5618</v>
      </c>
      <c r="AL3" t="s">
        <v>5617</v>
      </c>
      <c r="AM3" t="s">
        <v>5614</v>
      </c>
      <c r="AN3" t="s">
        <v>5620</v>
      </c>
      <c r="AO3" t="s">
        <v>5619</v>
      </c>
      <c r="AP3" t="s">
        <v>5618</v>
      </c>
      <c r="AQ3" t="s">
        <v>5617</v>
      </c>
      <c r="AR3" t="s">
        <v>5616</v>
      </c>
      <c r="AS3" t="s">
        <v>5615</v>
      </c>
      <c r="AT3" t="s">
        <v>5614</v>
      </c>
      <c r="AU3" t="s">
        <v>5613</v>
      </c>
      <c r="AV3" t="s">
        <v>5612</v>
      </c>
      <c r="AW3" t="s">
        <v>5611</v>
      </c>
      <c r="AX3" t="s">
        <v>5610</v>
      </c>
      <c r="AY3" t="s">
        <v>721</v>
      </c>
      <c r="AZ3" t="s">
        <v>5609</v>
      </c>
      <c r="BA3" t="s">
        <v>2907</v>
      </c>
      <c r="BB3" t="s">
        <v>721</v>
      </c>
      <c r="BC3" t="s">
        <v>5609</v>
      </c>
      <c r="BD3" t="s">
        <v>2907</v>
      </c>
      <c r="BE3" t="s">
        <v>721</v>
      </c>
      <c r="BF3" t="s">
        <v>5609</v>
      </c>
      <c r="BG3" t="s">
        <v>2907</v>
      </c>
      <c r="BH3" t="s">
        <v>721</v>
      </c>
      <c r="BI3" t="s">
        <v>5609</v>
      </c>
      <c r="BJ3" t="s">
        <v>721</v>
      </c>
      <c r="BK3" t="s">
        <v>5609</v>
      </c>
      <c r="BL3" t="s">
        <v>721</v>
      </c>
      <c r="BM3" t="s">
        <v>5609</v>
      </c>
      <c r="BN3" t="s">
        <v>721</v>
      </c>
      <c r="BO3" t="s">
        <v>5609</v>
      </c>
      <c r="BP3" t="s">
        <v>721</v>
      </c>
      <c r="BQ3" t="s">
        <v>5609</v>
      </c>
      <c r="BR3" t="s">
        <v>2907</v>
      </c>
      <c r="BS3" t="s">
        <v>721</v>
      </c>
      <c r="BT3" t="s">
        <v>5609</v>
      </c>
      <c r="BU3" t="s">
        <v>2907</v>
      </c>
      <c r="BV3" t="s">
        <v>721</v>
      </c>
      <c r="BW3" t="s">
        <v>5609</v>
      </c>
      <c r="BX3" t="s">
        <v>2907</v>
      </c>
      <c r="BY3" t="s">
        <v>721</v>
      </c>
      <c r="BZ3" t="s">
        <v>5609</v>
      </c>
      <c r="CA3" t="s">
        <v>2907</v>
      </c>
      <c r="CB3" t="s">
        <v>721</v>
      </c>
      <c r="CC3" t="s">
        <v>5609</v>
      </c>
      <c r="CD3" t="s">
        <v>2907</v>
      </c>
      <c r="CE3" t="s">
        <v>721</v>
      </c>
      <c r="CF3" t="s">
        <v>5609</v>
      </c>
      <c r="CG3" t="s">
        <v>2907</v>
      </c>
      <c r="CH3" t="s">
        <v>721</v>
      </c>
      <c r="CI3" t="s">
        <v>5609</v>
      </c>
      <c r="CJ3" t="s">
        <v>2907</v>
      </c>
      <c r="CK3" t="s">
        <v>721</v>
      </c>
      <c r="CL3" t="s">
        <v>5609</v>
      </c>
      <c r="CM3" t="s">
        <v>721</v>
      </c>
      <c r="CN3" t="s">
        <v>5609</v>
      </c>
      <c r="CO3" t="s">
        <v>721</v>
      </c>
      <c r="CP3" t="s">
        <v>5609</v>
      </c>
      <c r="CQ3" t="s">
        <v>721</v>
      </c>
      <c r="CR3" t="s">
        <v>5609</v>
      </c>
      <c r="CS3" t="s">
        <v>2907</v>
      </c>
      <c r="CT3" t="s">
        <v>721</v>
      </c>
      <c r="CU3" t="s">
        <v>5609</v>
      </c>
      <c r="CV3" t="s">
        <v>721</v>
      </c>
      <c r="CW3" t="s">
        <v>5609</v>
      </c>
      <c r="CX3" t="s">
        <v>5608</v>
      </c>
      <c r="CY3" t="s">
        <v>5607</v>
      </c>
      <c r="CZ3" t="s">
        <v>5606</v>
      </c>
    </row>
    <row r="4" spans="1:104" ht="15.75" customHeight="1">
      <c r="A4" t="s">
        <v>5605</v>
      </c>
      <c r="B4" t="s">
        <v>5605</v>
      </c>
      <c r="C4" t="s">
        <v>5604</v>
      </c>
      <c r="D4">
        <v>10</v>
      </c>
      <c r="E4" t="s">
        <v>2321</v>
      </c>
      <c r="F4" t="s">
        <v>2342</v>
      </c>
      <c r="G4" t="s">
        <v>3567</v>
      </c>
      <c r="H4"/>
      <c r="I4"/>
      <c r="J4" t="s">
        <v>2375</v>
      </c>
      <c r="K4"/>
      <c r="L4"/>
      <c r="M4">
        <v>17</v>
      </c>
      <c r="N4">
        <v>135</v>
      </c>
      <c r="O4">
        <v>18</v>
      </c>
      <c r="P4">
        <v>10</v>
      </c>
      <c r="Q4">
        <v>36</v>
      </c>
      <c r="R4" t="s">
        <v>2317</v>
      </c>
      <c r="S4" t="s">
        <v>2414</v>
      </c>
      <c r="T4" t="s">
        <v>5603</v>
      </c>
      <c r="U4" t="s">
        <v>2315</v>
      </c>
      <c r="V4">
        <v>10</v>
      </c>
      <c r="W4"/>
      <c r="X4"/>
      <c r="Y4"/>
      <c r="Z4">
        <v>40</v>
      </c>
      <c r="AA4">
        <v>21</v>
      </c>
      <c r="AB4">
        <v>9</v>
      </c>
      <c r="AC4">
        <v>15</v>
      </c>
      <c r="AD4">
        <v>18</v>
      </c>
      <c r="AE4">
        <v>15</v>
      </c>
      <c r="AF4">
        <v>18</v>
      </c>
      <c r="AG4">
        <v>13</v>
      </c>
      <c r="AH4"/>
      <c r="AI4"/>
      <c r="AJ4"/>
      <c r="AK4"/>
      <c r="AL4"/>
      <c r="AM4"/>
      <c r="AN4"/>
      <c r="AO4">
        <v>264</v>
      </c>
      <c r="AP4"/>
      <c r="AQ4"/>
      <c r="AR4"/>
      <c r="AS4"/>
      <c r="AT4">
        <v>6</v>
      </c>
      <c r="AU4"/>
      <c r="AV4"/>
      <c r="AW4"/>
      <c r="AX4"/>
      <c r="AY4" t="s">
        <v>2373</v>
      </c>
      <c r="AZ4" t="s">
        <v>5602</v>
      </c>
      <c r="BA4" t="s">
        <v>2373</v>
      </c>
      <c r="BB4" t="s">
        <v>5600</v>
      </c>
      <c r="BC4" t="s">
        <v>5601</v>
      </c>
      <c r="BD4" t="s">
        <v>5600</v>
      </c>
      <c r="BE4" t="s">
        <v>5598</v>
      </c>
      <c r="BF4" t="s">
        <v>5599</v>
      </c>
      <c r="BG4" t="s">
        <v>5598</v>
      </c>
      <c r="BH4"/>
      <c r="BI4"/>
      <c r="BJ4"/>
      <c r="BK4"/>
      <c r="BL4"/>
      <c r="BM4"/>
      <c r="BN4"/>
      <c r="BO4"/>
      <c r="BP4" t="s">
        <v>2333</v>
      </c>
      <c r="BQ4" t="s">
        <v>5597</v>
      </c>
      <c r="BR4" t="s">
        <v>2333</v>
      </c>
      <c r="BS4" t="s">
        <v>3560</v>
      </c>
      <c r="BT4" t="s">
        <v>5596</v>
      </c>
      <c r="BU4" t="s">
        <v>5595</v>
      </c>
      <c r="BV4" t="s">
        <v>2831</v>
      </c>
      <c r="BW4" t="s">
        <v>5594</v>
      </c>
      <c r="BX4" t="s">
        <v>5593</v>
      </c>
      <c r="BY4" t="s">
        <v>5591</v>
      </c>
      <c r="BZ4" t="s">
        <v>5592</v>
      </c>
      <c r="CA4" t="s">
        <v>5591</v>
      </c>
      <c r="CB4"/>
      <c r="CC4"/>
      <c r="CD4"/>
      <c r="CE4"/>
      <c r="CF4"/>
      <c r="CG4"/>
      <c r="CH4"/>
      <c r="CI4"/>
      <c r="CJ4"/>
      <c r="CK4" t="s">
        <v>5377</v>
      </c>
      <c r="CL4" t="s">
        <v>5590</v>
      </c>
      <c r="CM4" t="s">
        <v>5589</v>
      </c>
      <c r="CN4" t="s">
        <v>5588</v>
      </c>
      <c r="CO4" t="s">
        <v>5587</v>
      </c>
      <c r="CP4" t="s">
        <v>5586</v>
      </c>
      <c r="CQ4"/>
      <c r="CR4"/>
      <c r="CS4"/>
      <c r="CT4"/>
      <c r="CU4"/>
      <c r="CV4"/>
      <c r="CW4"/>
      <c r="CX4" t="s">
        <v>2307</v>
      </c>
      <c r="CY4">
        <v>13</v>
      </c>
      <c r="CZ4" t="s">
        <v>2306</v>
      </c>
    </row>
    <row r="5" spans="1:104" ht="15.75" customHeight="1">
      <c r="A5" t="s">
        <v>5585</v>
      </c>
      <c r="B5" t="s">
        <v>5585</v>
      </c>
      <c r="C5" t="s">
        <v>5584</v>
      </c>
      <c r="D5">
        <v>0.25</v>
      </c>
      <c r="E5" t="s">
        <v>2462</v>
      </c>
      <c r="F5" t="s">
        <v>2320</v>
      </c>
      <c r="G5" t="s">
        <v>2461</v>
      </c>
      <c r="H5" t="s">
        <v>2460</v>
      </c>
      <c r="I5"/>
      <c r="J5" t="s">
        <v>2460</v>
      </c>
      <c r="K5">
        <v>1</v>
      </c>
      <c r="L5" t="s">
        <v>1903</v>
      </c>
      <c r="M5">
        <v>10</v>
      </c>
      <c r="N5">
        <v>9</v>
      </c>
      <c r="O5">
        <v>2</v>
      </c>
      <c r="P5">
        <v>8</v>
      </c>
      <c r="Q5"/>
      <c r="R5" t="s">
        <v>2825</v>
      </c>
      <c r="S5" t="s">
        <v>2711</v>
      </c>
      <c r="T5" t="s">
        <v>2315</v>
      </c>
      <c r="U5" t="s">
        <v>2315</v>
      </c>
      <c r="V5">
        <v>30</v>
      </c>
      <c r="W5"/>
      <c r="X5"/>
      <c r="Y5"/>
      <c r="Z5"/>
      <c r="AA5">
        <v>10</v>
      </c>
      <c r="AB5">
        <v>10</v>
      </c>
      <c r="AC5">
        <v>10</v>
      </c>
      <c r="AD5">
        <v>10</v>
      </c>
      <c r="AE5">
        <v>14</v>
      </c>
      <c r="AF5">
        <v>11</v>
      </c>
      <c r="AG5">
        <v>342</v>
      </c>
      <c r="AH5"/>
      <c r="AI5"/>
      <c r="AJ5"/>
      <c r="AK5"/>
      <c r="AL5"/>
      <c r="AM5"/>
      <c r="AN5">
        <v>53</v>
      </c>
      <c r="AO5">
        <v>390</v>
      </c>
      <c r="AP5">
        <v>4</v>
      </c>
      <c r="AQ5"/>
      <c r="AR5"/>
      <c r="AS5" t="s">
        <v>4914</v>
      </c>
      <c r="AT5"/>
      <c r="AU5"/>
      <c r="AV5" t="s">
        <v>2493</v>
      </c>
      <c r="AW5"/>
      <c r="AX5"/>
      <c r="AY5" t="s">
        <v>3088</v>
      </c>
      <c r="AZ5" t="s">
        <v>5583</v>
      </c>
      <c r="BA5" t="s">
        <v>3088</v>
      </c>
      <c r="BB5"/>
      <c r="BC5"/>
      <c r="BD5"/>
      <c r="BE5"/>
      <c r="BF5"/>
      <c r="BG5"/>
      <c r="BH5"/>
      <c r="BI5"/>
      <c r="BJ5"/>
      <c r="BK5"/>
      <c r="BL5"/>
      <c r="BM5"/>
      <c r="BN5"/>
      <c r="BO5"/>
      <c r="BP5" t="s">
        <v>4154</v>
      </c>
      <c r="BQ5" t="s">
        <v>4960</v>
      </c>
      <c r="BR5" t="s">
        <v>4959</v>
      </c>
      <c r="BS5"/>
      <c r="BT5"/>
      <c r="BU5"/>
      <c r="BV5"/>
      <c r="BW5"/>
      <c r="BX5"/>
      <c r="BY5"/>
      <c r="BZ5"/>
      <c r="CA5"/>
      <c r="CB5"/>
      <c r="CC5"/>
      <c r="CD5"/>
      <c r="CE5"/>
      <c r="CF5"/>
      <c r="CG5"/>
      <c r="CH5"/>
      <c r="CI5"/>
      <c r="CJ5"/>
      <c r="CK5"/>
      <c r="CL5"/>
      <c r="CM5"/>
      <c r="CN5"/>
      <c r="CO5"/>
      <c r="CP5"/>
      <c r="CQ5"/>
      <c r="CR5"/>
      <c r="CS5"/>
      <c r="CT5"/>
      <c r="CU5"/>
      <c r="CV5"/>
      <c r="CW5"/>
      <c r="CX5" t="s">
        <v>2307</v>
      </c>
      <c r="CY5">
        <v>342</v>
      </c>
      <c r="CZ5" t="s">
        <v>2306</v>
      </c>
    </row>
    <row r="6" spans="1:104" ht="15.75" customHeight="1">
      <c r="A6" t="s">
        <v>5582</v>
      </c>
      <c r="B6" t="s">
        <v>5581</v>
      </c>
      <c r="C6" t="s">
        <v>5580</v>
      </c>
      <c r="D6">
        <v>14</v>
      </c>
      <c r="E6" t="s">
        <v>2321</v>
      </c>
      <c r="F6" t="s">
        <v>2838</v>
      </c>
      <c r="G6" t="s">
        <v>2341</v>
      </c>
      <c r="H6"/>
      <c r="I6"/>
      <c r="J6" t="s">
        <v>2340</v>
      </c>
      <c r="K6"/>
      <c r="L6"/>
      <c r="M6">
        <v>19</v>
      </c>
      <c r="N6">
        <v>195</v>
      </c>
      <c r="O6">
        <v>17</v>
      </c>
      <c r="P6">
        <v>12</v>
      </c>
      <c r="Q6">
        <v>85</v>
      </c>
      <c r="R6" t="s">
        <v>2317</v>
      </c>
      <c r="S6" t="s">
        <v>5498</v>
      </c>
      <c r="T6" t="s">
        <v>5497</v>
      </c>
      <c r="U6" t="s">
        <v>5496</v>
      </c>
      <c r="V6">
        <v>40</v>
      </c>
      <c r="W6"/>
      <c r="X6"/>
      <c r="Y6">
        <v>80</v>
      </c>
      <c r="Z6">
        <v>40</v>
      </c>
      <c r="AA6">
        <v>23</v>
      </c>
      <c r="AB6">
        <v>14</v>
      </c>
      <c r="AC6">
        <v>21</v>
      </c>
      <c r="AD6">
        <v>14</v>
      </c>
      <c r="AE6">
        <v>13</v>
      </c>
      <c r="AF6">
        <v>17</v>
      </c>
      <c r="AG6">
        <v>88</v>
      </c>
      <c r="AH6"/>
      <c r="AI6"/>
      <c r="AJ6"/>
      <c r="AK6"/>
      <c r="AL6"/>
      <c r="AM6"/>
      <c r="AN6"/>
      <c r="AO6">
        <v>284</v>
      </c>
      <c r="AP6"/>
      <c r="AQ6"/>
      <c r="AR6"/>
      <c r="AS6"/>
      <c r="AT6">
        <v>7</v>
      </c>
      <c r="AU6"/>
      <c r="AV6"/>
      <c r="AW6"/>
      <c r="AX6"/>
      <c r="AY6" t="s">
        <v>2373</v>
      </c>
      <c r="AZ6" t="s">
        <v>2374</v>
      </c>
      <c r="BA6" t="s">
        <v>2373</v>
      </c>
      <c r="BB6" t="s">
        <v>2798</v>
      </c>
      <c r="BC6" t="s">
        <v>5367</v>
      </c>
      <c r="BD6" t="s">
        <v>2798</v>
      </c>
      <c r="BE6"/>
      <c r="BF6"/>
      <c r="BG6"/>
      <c r="BH6"/>
      <c r="BI6"/>
      <c r="BJ6"/>
      <c r="BK6"/>
      <c r="BL6"/>
      <c r="BM6"/>
      <c r="BN6"/>
      <c r="BO6"/>
      <c r="BP6" t="s">
        <v>2333</v>
      </c>
      <c r="BQ6" t="s">
        <v>5366</v>
      </c>
      <c r="BR6" t="s">
        <v>2333</v>
      </c>
      <c r="BS6" t="s">
        <v>2332</v>
      </c>
      <c r="BT6" t="s">
        <v>5579</v>
      </c>
      <c r="BU6" t="s">
        <v>5494</v>
      </c>
      <c r="BV6" t="s">
        <v>2329</v>
      </c>
      <c r="BW6" t="s">
        <v>5493</v>
      </c>
      <c r="BX6" t="s">
        <v>5492</v>
      </c>
      <c r="BY6" t="s">
        <v>2831</v>
      </c>
      <c r="BZ6" t="s">
        <v>5491</v>
      </c>
      <c r="CA6" t="s">
        <v>5490</v>
      </c>
      <c r="CB6" t="s">
        <v>2910</v>
      </c>
      <c r="CC6" t="s">
        <v>5545</v>
      </c>
      <c r="CD6" t="s">
        <v>2910</v>
      </c>
      <c r="CE6" t="s">
        <v>2421</v>
      </c>
      <c r="CF6" t="s">
        <v>5578</v>
      </c>
      <c r="CG6" t="s">
        <v>5543</v>
      </c>
      <c r="CH6"/>
      <c r="CI6"/>
      <c r="CJ6"/>
      <c r="CK6" t="s">
        <v>5377</v>
      </c>
      <c r="CL6" t="s">
        <v>5376</v>
      </c>
      <c r="CM6" t="s">
        <v>5375</v>
      </c>
      <c r="CN6" t="s">
        <v>5374</v>
      </c>
      <c r="CO6" t="s">
        <v>5373</v>
      </c>
      <c r="CP6" t="s">
        <v>5487</v>
      </c>
      <c r="CQ6"/>
      <c r="CR6"/>
      <c r="CS6"/>
      <c r="CT6"/>
      <c r="CU6"/>
      <c r="CV6"/>
      <c r="CW6"/>
      <c r="CX6" t="s">
        <v>2307</v>
      </c>
      <c r="CY6">
        <v>88</v>
      </c>
      <c r="CZ6" t="s">
        <v>2306</v>
      </c>
    </row>
    <row r="7" spans="1:104" ht="15.75" customHeight="1">
      <c r="A7" t="s">
        <v>5577</v>
      </c>
      <c r="B7" t="s">
        <v>5576</v>
      </c>
      <c r="C7" t="s">
        <v>5575</v>
      </c>
      <c r="D7">
        <v>16</v>
      </c>
      <c r="E7" t="s">
        <v>2321</v>
      </c>
      <c r="F7" t="s">
        <v>2838</v>
      </c>
      <c r="G7" t="s">
        <v>2341</v>
      </c>
      <c r="H7"/>
      <c r="I7"/>
      <c r="J7" t="s">
        <v>2375</v>
      </c>
      <c r="K7"/>
      <c r="L7"/>
      <c r="M7">
        <v>19</v>
      </c>
      <c r="N7">
        <v>225</v>
      </c>
      <c r="O7">
        <v>18</v>
      </c>
      <c r="P7">
        <v>12</v>
      </c>
      <c r="Q7">
        <v>108</v>
      </c>
      <c r="R7" t="s">
        <v>2317</v>
      </c>
      <c r="S7" t="s">
        <v>3999</v>
      </c>
      <c r="T7" t="s">
        <v>5560</v>
      </c>
      <c r="U7" t="s">
        <v>2315</v>
      </c>
      <c r="V7">
        <v>40</v>
      </c>
      <c r="W7">
        <v>30</v>
      </c>
      <c r="X7"/>
      <c r="Y7">
        <v>80</v>
      </c>
      <c r="Z7"/>
      <c r="AA7">
        <v>25</v>
      </c>
      <c r="AB7">
        <v>10</v>
      </c>
      <c r="AC7">
        <v>23</v>
      </c>
      <c r="AD7">
        <v>16</v>
      </c>
      <c r="AE7">
        <v>15</v>
      </c>
      <c r="AF7">
        <v>19</v>
      </c>
      <c r="AG7">
        <v>91</v>
      </c>
      <c r="AH7"/>
      <c r="AI7"/>
      <c r="AJ7"/>
      <c r="AK7"/>
      <c r="AL7"/>
      <c r="AM7"/>
      <c r="AN7"/>
      <c r="AO7">
        <v>286</v>
      </c>
      <c r="AP7">
        <v>4</v>
      </c>
      <c r="AQ7">
        <v>4</v>
      </c>
      <c r="AR7"/>
      <c r="AS7"/>
      <c r="AT7"/>
      <c r="AU7"/>
      <c r="AV7"/>
      <c r="AW7"/>
      <c r="AX7"/>
      <c r="AY7" t="s">
        <v>2798</v>
      </c>
      <c r="AZ7" t="s">
        <v>5367</v>
      </c>
      <c r="BA7" t="s">
        <v>2798</v>
      </c>
      <c r="BB7"/>
      <c r="BC7"/>
      <c r="BD7"/>
      <c r="BE7"/>
      <c r="BF7"/>
      <c r="BG7"/>
      <c r="BH7"/>
      <c r="BI7"/>
      <c r="BJ7"/>
      <c r="BK7"/>
      <c r="BL7"/>
      <c r="BM7"/>
      <c r="BN7"/>
      <c r="BO7"/>
      <c r="BP7" t="s">
        <v>2333</v>
      </c>
      <c r="BQ7" t="s">
        <v>5366</v>
      </c>
      <c r="BR7" t="s">
        <v>2333</v>
      </c>
      <c r="BS7" t="s">
        <v>2332</v>
      </c>
      <c r="BT7" t="s">
        <v>5574</v>
      </c>
      <c r="BU7" t="s">
        <v>5573</v>
      </c>
      <c r="BV7" t="s">
        <v>2329</v>
      </c>
      <c r="BW7" t="s">
        <v>5557</v>
      </c>
      <c r="BX7" t="s">
        <v>5556</v>
      </c>
      <c r="BY7" t="s">
        <v>2831</v>
      </c>
      <c r="BZ7" t="s">
        <v>5555</v>
      </c>
      <c r="CA7" t="s">
        <v>5554</v>
      </c>
      <c r="CB7" t="s">
        <v>2910</v>
      </c>
      <c r="CC7" t="s">
        <v>5572</v>
      </c>
      <c r="CD7" t="s">
        <v>2910</v>
      </c>
      <c r="CE7" t="s">
        <v>2409</v>
      </c>
      <c r="CF7" t="s">
        <v>5571</v>
      </c>
      <c r="CG7" t="s">
        <v>5170</v>
      </c>
      <c r="CH7"/>
      <c r="CI7"/>
      <c r="CJ7"/>
      <c r="CK7" t="s">
        <v>5377</v>
      </c>
      <c r="CL7" t="s">
        <v>5376</v>
      </c>
      <c r="CM7" t="s">
        <v>5375</v>
      </c>
      <c r="CN7" t="s">
        <v>5374</v>
      </c>
      <c r="CO7" t="s">
        <v>5373</v>
      </c>
      <c r="CP7" t="s">
        <v>5551</v>
      </c>
      <c r="CQ7"/>
      <c r="CR7"/>
      <c r="CS7"/>
      <c r="CT7"/>
      <c r="CU7"/>
      <c r="CV7"/>
      <c r="CW7"/>
      <c r="CX7" t="s">
        <v>2307</v>
      </c>
      <c r="CY7">
        <v>91</v>
      </c>
      <c r="CZ7" t="s">
        <v>2306</v>
      </c>
    </row>
    <row r="8" spans="1:104" ht="15.75" customHeight="1">
      <c r="A8" t="s">
        <v>5570</v>
      </c>
      <c r="B8" t="s">
        <v>5569</v>
      </c>
      <c r="C8" t="s">
        <v>5568</v>
      </c>
      <c r="D8">
        <v>13</v>
      </c>
      <c r="E8" t="s">
        <v>2321</v>
      </c>
      <c r="F8" t="s">
        <v>2838</v>
      </c>
      <c r="G8" t="s">
        <v>2341</v>
      </c>
      <c r="H8"/>
      <c r="I8"/>
      <c r="J8" t="s">
        <v>2388</v>
      </c>
      <c r="K8"/>
      <c r="L8"/>
      <c r="M8">
        <v>18</v>
      </c>
      <c r="N8">
        <v>172</v>
      </c>
      <c r="O8">
        <v>15</v>
      </c>
      <c r="P8">
        <v>12</v>
      </c>
      <c r="Q8">
        <v>75</v>
      </c>
      <c r="R8" t="s">
        <v>2317</v>
      </c>
      <c r="S8" t="s">
        <v>5498</v>
      </c>
      <c r="T8" t="s">
        <v>5497</v>
      </c>
      <c r="U8" t="s">
        <v>2315</v>
      </c>
      <c r="V8">
        <v>40</v>
      </c>
      <c r="W8">
        <v>30</v>
      </c>
      <c r="X8"/>
      <c r="Y8">
        <v>80</v>
      </c>
      <c r="Z8"/>
      <c r="AA8">
        <v>23</v>
      </c>
      <c r="AB8">
        <v>10</v>
      </c>
      <c r="AC8">
        <v>21</v>
      </c>
      <c r="AD8">
        <v>14</v>
      </c>
      <c r="AE8">
        <v>13</v>
      </c>
      <c r="AF8">
        <v>17</v>
      </c>
      <c r="AG8">
        <v>105</v>
      </c>
      <c r="AH8"/>
      <c r="AI8"/>
      <c r="AJ8"/>
      <c r="AK8"/>
      <c r="AL8"/>
      <c r="AM8"/>
      <c r="AN8"/>
      <c r="AO8">
        <v>294</v>
      </c>
      <c r="AP8"/>
      <c r="AQ8"/>
      <c r="AR8"/>
      <c r="AS8"/>
      <c r="AT8"/>
      <c r="AU8"/>
      <c r="AV8"/>
      <c r="AW8"/>
      <c r="AX8"/>
      <c r="AY8" t="s">
        <v>2798</v>
      </c>
      <c r="AZ8" t="s">
        <v>5367</v>
      </c>
      <c r="BA8" t="s">
        <v>2798</v>
      </c>
      <c r="BB8"/>
      <c r="BC8"/>
      <c r="BD8"/>
      <c r="BE8"/>
      <c r="BF8"/>
      <c r="BG8"/>
      <c r="BH8"/>
      <c r="BI8"/>
      <c r="BJ8"/>
      <c r="BK8"/>
      <c r="BL8"/>
      <c r="BM8"/>
      <c r="BN8"/>
      <c r="BO8"/>
      <c r="BP8" t="s">
        <v>2333</v>
      </c>
      <c r="BQ8" t="s">
        <v>5366</v>
      </c>
      <c r="BR8" t="s">
        <v>2333</v>
      </c>
      <c r="BS8" t="s">
        <v>2332</v>
      </c>
      <c r="BT8" t="s">
        <v>5567</v>
      </c>
      <c r="BU8" t="s">
        <v>5546</v>
      </c>
      <c r="BV8" t="s">
        <v>2329</v>
      </c>
      <c r="BW8" t="s">
        <v>5493</v>
      </c>
      <c r="BX8" t="s">
        <v>5492</v>
      </c>
      <c r="BY8" t="s">
        <v>2831</v>
      </c>
      <c r="BZ8" t="s">
        <v>5491</v>
      </c>
      <c r="CA8" t="s">
        <v>5490</v>
      </c>
      <c r="CB8" t="s">
        <v>2910</v>
      </c>
      <c r="CC8" t="s">
        <v>5545</v>
      </c>
      <c r="CD8" t="s">
        <v>2910</v>
      </c>
      <c r="CE8" t="s">
        <v>2348</v>
      </c>
      <c r="CF8" t="s">
        <v>5566</v>
      </c>
      <c r="CG8" t="s">
        <v>5565</v>
      </c>
      <c r="CH8"/>
      <c r="CI8"/>
      <c r="CJ8"/>
      <c r="CK8"/>
      <c r="CL8"/>
      <c r="CM8"/>
      <c r="CN8"/>
      <c r="CO8"/>
      <c r="CP8"/>
      <c r="CQ8"/>
      <c r="CR8"/>
      <c r="CS8"/>
      <c r="CT8"/>
      <c r="CU8"/>
      <c r="CV8"/>
      <c r="CW8"/>
      <c r="CX8" t="s">
        <v>2307</v>
      </c>
      <c r="CY8">
        <v>105</v>
      </c>
      <c r="CZ8" t="s">
        <v>2306</v>
      </c>
    </row>
    <row r="9" spans="1:104" ht="15.75" customHeight="1">
      <c r="A9" t="s">
        <v>5564</v>
      </c>
      <c r="B9" t="s">
        <v>5563</v>
      </c>
      <c r="C9" t="s">
        <v>5562</v>
      </c>
      <c r="D9">
        <v>15</v>
      </c>
      <c r="E9" t="s">
        <v>2321</v>
      </c>
      <c r="F9" t="s">
        <v>2838</v>
      </c>
      <c r="G9" t="s">
        <v>2341</v>
      </c>
      <c r="H9"/>
      <c r="I9"/>
      <c r="J9" t="s">
        <v>2355</v>
      </c>
      <c r="K9"/>
      <c r="L9"/>
      <c r="M9">
        <v>19</v>
      </c>
      <c r="N9">
        <v>212</v>
      </c>
      <c r="O9">
        <v>17</v>
      </c>
      <c r="P9">
        <v>12</v>
      </c>
      <c r="Q9">
        <v>102</v>
      </c>
      <c r="R9" t="s">
        <v>2317</v>
      </c>
      <c r="S9" t="s">
        <v>5561</v>
      </c>
      <c r="T9" t="s">
        <v>5560</v>
      </c>
      <c r="U9" t="s">
        <v>2315</v>
      </c>
      <c r="V9">
        <v>40</v>
      </c>
      <c r="W9"/>
      <c r="X9"/>
      <c r="Y9">
        <v>80</v>
      </c>
      <c r="Z9">
        <v>40</v>
      </c>
      <c r="AA9">
        <v>25</v>
      </c>
      <c r="AB9">
        <v>10</v>
      </c>
      <c r="AC9">
        <v>23</v>
      </c>
      <c r="AD9">
        <v>16</v>
      </c>
      <c r="AE9">
        <v>15</v>
      </c>
      <c r="AF9">
        <v>19</v>
      </c>
      <c r="AG9">
        <v>108</v>
      </c>
      <c r="AH9"/>
      <c r="AI9"/>
      <c r="AJ9"/>
      <c r="AK9"/>
      <c r="AL9"/>
      <c r="AM9"/>
      <c r="AN9"/>
      <c r="AO9">
        <v>297</v>
      </c>
      <c r="AP9"/>
      <c r="AQ9"/>
      <c r="AR9"/>
      <c r="AS9"/>
      <c r="AT9">
        <v>7</v>
      </c>
      <c r="AU9"/>
      <c r="AV9"/>
      <c r="AW9"/>
      <c r="AX9"/>
      <c r="AY9" t="s">
        <v>2373</v>
      </c>
      <c r="AZ9" t="s">
        <v>2374</v>
      </c>
      <c r="BA9" t="s">
        <v>2373</v>
      </c>
      <c r="BB9" t="s">
        <v>2798</v>
      </c>
      <c r="BC9" t="s">
        <v>5367</v>
      </c>
      <c r="BD9" t="s">
        <v>2798</v>
      </c>
      <c r="BE9"/>
      <c r="BF9"/>
      <c r="BG9"/>
      <c r="BH9"/>
      <c r="BI9"/>
      <c r="BJ9"/>
      <c r="BK9"/>
      <c r="BL9"/>
      <c r="BM9"/>
      <c r="BN9"/>
      <c r="BO9"/>
      <c r="BP9" t="s">
        <v>2333</v>
      </c>
      <c r="BQ9" t="s">
        <v>5366</v>
      </c>
      <c r="BR9" t="s">
        <v>2333</v>
      </c>
      <c r="BS9" t="s">
        <v>2332</v>
      </c>
      <c r="BT9" t="s">
        <v>5559</v>
      </c>
      <c r="BU9" t="s">
        <v>5558</v>
      </c>
      <c r="BV9" t="s">
        <v>2329</v>
      </c>
      <c r="BW9" t="s">
        <v>5557</v>
      </c>
      <c r="BX9" t="s">
        <v>5556</v>
      </c>
      <c r="BY9" t="s">
        <v>2831</v>
      </c>
      <c r="BZ9" t="s">
        <v>5555</v>
      </c>
      <c r="CA9" t="s">
        <v>5554</v>
      </c>
      <c r="CB9" t="s">
        <v>2910</v>
      </c>
      <c r="CC9" t="s">
        <v>5553</v>
      </c>
      <c r="CD9" t="s">
        <v>2910</v>
      </c>
      <c r="CE9" t="s">
        <v>2348</v>
      </c>
      <c r="CF9" t="s">
        <v>5552</v>
      </c>
      <c r="CG9" t="s">
        <v>5170</v>
      </c>
      <c r="CH9"/>
      <c r="CI9"/>
      <c r="CJ9"/>
      <c r="CK9" t="s">
        <v>5377</v>
      </c>
      <c r="CL9" t="s">
        <v>5376</v>
      </c>
      <c r="CM9" t="s">
        <v>5375</v>
      </c>
      <c r="CN9" t="s">
        <v>5374</v>
      </c>
      <c r="CO9" t="s">
        <v>5373</v>
      </c>
      <c r="CP9" t="s">
        <v>5551</v>
      </c>
      <c r="CQ9"/>
      <c r="CR9"/>
      <c r="CS9"/>
      <c r="CT9"/>
      <c r="CU9"/>
      <c r="CV9"/>
      <c r="CW9"/>
      <c r="CX9" t="s">
        <v>2307</v>
      </c>
      <c r="CY9">
        <v>108</v>
      </c>
      <c r="CZ9" t="s">
        <v>2306</v>
      </c>
    </row>
    <row r="10" spans="1:104" ht="15.75" customHeight="1">
      <c r="A10" t="s">
        <v>5550</v>
      </c>
      <c r="B10" t="s">
        <v>5549</v>
      </c>
      <c r="C10" t="s">
        <v>5548</v>
      </c>
      <c r="D10">
        <v>14</v>
      </c>
      <c r="E10" t="s">
        <v>2321</v>
      </c>
      <c r="F10" t="s">
        <v>2838</v>
      </c>
      <c r="G10" t="s">
        <v>2341</v>
      </c>
      <c r="H10"/>
      <c r="I10"/>
      <c r="J10" t="s">
        <v>2388</v>
      </c>
      <c r="K10"/>
      <c r="L10"/>
      <c r="M10">
        <v>18</v>
      </c>
      <c r="N10">
        <v>184</v>
      </c>
      <c r="O10">
        <v>16</v>
      </c>
      <c r="P10">
        <v>12</v>
      </c>
      <c r="Q10">
        <v>80</v>
      </c>
      <c r="R10" t="s">
        <v>2317</v>
      </c>
      <c r="S10" t="s">
        <v>5498</v>
      </c>
      <c r="T10" t="s">
        <v>5497</v>
      </c>
      <c r="U10" t="s">
        <v>2315</v>
      </c>
      <c r="V10">
        <v>40</v>
      </c>
      <c r="W10"/>
      <c r="X10">
        <v>40</v>
      </c>
      <c r="Y10">
        <v>80</v>
      </c>
      <c r="Z10"/>
      <c r="AA10">
        <v>23</v>
      </c>
      <c r="AB10">
        <v>12</v>
      </c>
      <c r="AC10">
        <v>21</v>
      </c>
      <c r="AD10">
        <v>18</v>
      </c>
      <c r="AE10">
        <v>15</v>
      </c>
      <c r="AF10">
        <v>17</v>
      </c>
      <c r="AG10">
        <v>111</v>
      </c>
      <c r="AH10"/>
      <c r="AI10"/>
      <c r="AJ10"/>
      <c r="AK10"/>
      <c r="AL10"/>
      <c r="AM10"/>
      <c r="AN10"/>
      <c r="AO10">
        <v>299</v>
      </c>
      <c r="AP10"/>
      <c r="AQ10"/>
      <c r="AR10"/>
      <c r="AS10"/>
      <c r="AT10"/>
      <c r="AU10"/>
      <c r="AV10"/>
      <c r="AW10"/>
      <c r="AX10"/>
      <c r="AY10" t="s">
        <v>2798</v>
      </c>
      <c r="AZ10" t="s">
        <v>5367</v>
      </c>
      <c r="BA10" t="s">
        <v>2798</v>
      </c>
      <c r="BB10"/>
      <c r="BC10"/>
      <c r="BD10"/>
      <c r="BE10"/>
      <c r="BF10"/>
      <c r="BG10"/>
      <c r="BH10"/>
      <c r="BI10"/>
      <c r="BJ10"/>
      <c r="BK10"/>
      <c r="BL10"/>
      <c r="BM10"/>
      <c r="BN10"/>
      <c r="BO10"/>
      <c r="BP10" t="s">
        <v>2333</v>
      </c>
      <c r="BQ10" t="s">
        <v>5366</v>
      </c>
      <c r="BR10" t="s">
        <v>2333</v>
      </c>
      <c r="BS10" t="s">
        <v>2332</v>
      </c>
      <c r="BT10" t="s">
        <v>5547</v>
      </c>
      <c r="BU10" t="s">
        <v>5546</v>
      </c>
      <c r="BV10" t="s">
        <v>2329</v>
      </c>
      <c r="BW10" t="s">
        <v>5493</v>
      </c>
      <c r="BX10" t="s">
        <v>5492</v>
      </c>
      <c r="BY10" t="s">
        <v>2831</v>
      </c>
      <c r="BZ10" t="s">
        <v>5491</v>
      </c>
      <c r="CA10" t="s">
        <v>5490</v>
      </c>
      <c r="CB10" t="s">
        <v>2910</v>
      </c>
      <c r="CC10" t="s">
        <v>5545</v>
      </c>
      <c r="CD10" t="s">
        <v>2910</v>
      </c>
      <c r="CE10" t="s">
        <v>2348</v>
      </c>
      <c r="CF10" t="s">
        <v>5544</v>
      </c>
      <c r="CG10" t="s">
        <v>5543</v>
      </c>
      <c r="CH10"/>
      <c r="CI10"/>
      <c r="CJ10"/>
      <c r="CK10" t="s">
        <v>5377</v>
      </c>
      <c r="CL10" t="s">
        <v>5376</v>
      </c>
      <c r="CM10" t="s">
        <v>5375</v>
      </c>
      <c r="CN10" t="s">
        <v>5374</v>
      </c>
      <c r="CO10" t="s">
        <v>5373</v>
      </c>
      <c r="CP10" t="s">
        <v>5487</v>
      </c>
      <c r="CQ10"/>
      <c r="CR10"/>
      <c r="CS10"/>
      <c r="CT10"/>
      <c r="CU10"/>
      <c r="CV10"/>
      <c r="CW10"/>
      <c r="CX10" t="s">
        <v>2307</v>
      </c>
      <c r="CY10">
        <v>111</v>
      </c>
      <c r="CZ10" t="s">
        <v>2306</v>
      </c>
    </row>
    <row r="11" spans="1:104" ht="15.75" customHeight="1">
      <c r="A11" t="s">
        <v>5542</v>
      </c>
      <c r="B11" t="s">
        <v>5541</v>
      </c>
      <c r="C11" t="s">
        <v>5540</v>
      </c>
      <c r="D11">
        <v>17</v>
      </c>
      <c r="E11" t="s">
        <v>2321</v>
      </c>
      <c r="F11" t="s">
        <v>2838</v>
      </c>
      <c r="G11" t="s">
        <v>2341</v>
      </c>
      <c r="H11"/>
      <c r="I11"/>
      <c r="J11" t="s">
        <v>2355</v>
      </c>
      <c r="K11"/>
      <c r="L11"/>
      <c r="M11">
        <v>19</v>
      </c>
      <c r="N11">
        <v>256</v>
      </c>
      <c r="O11">
        <v>19</v>
      </c>
      <c r="P11">
        <v>12</v>
      </c>
      <c r="Q11">
        <v>133</v>
      </c>
      <c r="R11" t="s">
        <v>2317</v>
      </c>
      <c r="S11" t="s">
        <v>5368</v>
      </c>
      <c r="T11" t="s">
        <v>5260</v>
      </c>
      <c r="U11" t="s">
        <v>2315</v>
      </c>
      <c r="V11">
        <v>40</v>
      </c>
      <c r="W11"/>
      <c r="X11"/>
      <c r="Y11">
        <v>80</v>
      </c>
      <c r="Z11">
        <v>40</v>
      </c>
      <c r="AA11">
        <v>27</v>
      </c>
      <c r="AB11">
        <v>14</v>
      </c>
      <c r="AC11">
        <v>25</v>
      </c>
      <c r="AD11">
        <v>16</v>
      </c>
      <c r="AE11">
        <v>15</v>
      </c>
      <c r="AF11">
        <v>24</v>
      </c>
      <c r="AG11">
        <v>114</v>
      </c>
      <c r="AH11"/>
      <c r="AI11"/>
      <c r="AJ11"/>
      <c r="AK11"/>
      <c r="AL11"/>
      <c r="AM11"/>
      <c r="AN11"/>
      <c r="AO11">
        <v>302</v>
      </c>
      <c r="AP11"/>
      <c r="AQ11"/>
      <c r="AR11"/>
      <c r="AS11"/>
      <c r="AT11"/>
      <c r="AU11"/>
      <c r="AV11"/>
      <c r="AW11"/>
      <c r="AX11"/>
      <c r="AY11" t="s">
        <v>2373</v>
      </c>
      <c r="AZ11" t="s">
        <v>2374</v>
      </c>
      <c r="BA11" t="s">
        <v>2373</v>
      </c>
      <c r="BB11" t="s">
        <v>2798</v>
      </c>
      <c r="BC11" t="s">
        <v>5367</v>
      </c>
      <c r="BD11" t="s">
        <v>2798</v>
      </c>
      <c r="BE11"/>
      <c r="BF11"/>
      <c r="BG11"/>
      <c r="BH11"/>
      <c r="BI11"/>
      <c r="BJ11"/>
      <c r="BK11"/>
      <c r="BL11"/>
      <c r="BM11"/>
      <c r="BN11"/>
      <c r="BO11"/>
      <c r="BP11" t="s">
        <v>2333</v>
      </c>
      <c r="BQ11" t="s">
        <v>5366</v>
      </c>
      <c r="BR11" t="s">
        <v>2333</v>
      </c>
      <c r="BS11" t="s">
        <v>2332</v>
      </c>
      <c r="BT11" t="s">
        <v>5539</v>
      </c>
      <c r="BU11" t="s">
        <v>5450</v>
      </c>
      <c r="BV11" t="s">
        <v>2329</v>
      </c>
      <c r="BW11" t="s">
        <v>5523</v>
      </c>
      <c r="BX11" t="s">
        <v>5362</v>
      </c>
      <c r="BY11" t="s">
        <v>2831</v>
      </c>
      <c r="BZ11" t="s">
        <v>5522</v>
      </c>
      <c r="CA11" t="s">
        <v>5360</v>
      </c>
      <c r="CB11" t="s">
        <v>2910</v>
      </c>
      <c r="CC11" t="s">
        <v>5381</v>
      </c>
      <c r="CD11" t="s">
        <v>2910</v>
      </c>
      <c r="CE11" t="s">
        <v>2348</v>
      </c>
      <c r="CF11" t="s">
        <v>5538</v>
      </c>
      <c r="CG11" t="s">
        <v>5537</v>
      </c>
      <c r="CH11"/>
      <c r="CI11"/>
      <c r="CJ11"/>
      <c r="CK11" t="s">
        <v>5377</v>
      </c>
      <c r="CL11" t="s">
        <v>5376</v>
      </c>
      <c r="CM11" t="s">
        <v>5375</v>
      </c>
      <c r="CN11" t="s">
        <v>5374</v>
      </c>
      <c r="CO11" t="s">
        <v>5373</v>
      </c>
      <c r="CP11" t="s">
        <v>5502</v>
      </c>
      <c r="CQ11"/>
      <c r="CR11"/>
      <c r="CS11"/>
      <c r="CT11"/>
      <c r="CU11"/>
      <c r="CV11"/>
      <c r="CW11"/>
      <c r="CX11" t="s">
        <v>2307</v>
      </c>
      <c r="CY11">
        <v>114</v>
      </c>
      <c r="CZ11" t="s">
        <v>2306</v>
      </c>
    </row>
    <row r="12" spans="1:104" ht="15.75" customHeight="1">
      <c r="A12" t="s">
        <v>5536</v>
      </c>
      <c r="B12" t="s">
        <v>5535</v>
      </c>
      <c r="C12" t="s">
        <v>5534</v>
      </c>
      <c r="D12">
        <v>15</v>
      </c>
      <c r="E12" t="s">
        <v>2321</v>
      </c>
      <c r="F12" t="s">
        <v>2838</v>
      </c>
      <c r="G12" t="s">
        <v>2341</v>
      </c>
      <c r="H12"/>
      <c r="I12"/>
      <c r="J12" t="s">
        <v>2375</v>
      </c>
      <c r="K12"/>
      <c r="L12"/>
      <c r="M12">
        <v>19</v>
      </c>
      <c r="N12">
        <v>207</v>
      </c>
      <c r="O12">
        <v>18</v>
      </c>
      <c r="P12">
        <v>12</v>
      </c>
      <c r="Q12">
        <v>90</v>
      </c>
      <c r="R12" t="s">
        <v>2317</v>
      </c>
      <c r="S12" t="s">
        <v>5498</v>
      </c>
      <c r="T12" t="s">
        <v>5497</v>
      </c>
      <c r="U12" t="s">
        <v>5496</v>
      </c>
      <c r="V12">
        <v>40</v>
      </c>
      <c r="W12"/>
      <c r="X12"/>
      <c r="Y12">
        <v>80</v>
      </c>
      <c r="Z12">
        <v>40</v>
      </c>
      <c r="AA12">
        <v>23</v>
      </c>
      <c r="AB12">
        <v>12</v>
      </c>
      <c r="AC12">
        <v>21</v>
      </c>
      <c r="AD12">
        <v>18</v>
      </c>
      <c r="AE12">
        <v>15</v>
      </c>
      <c r="AF12">
        <v>17</v>
      </c>
      <c r="AG12">
        <v>94</v>
      </c>
      <c r="AH12"/>
      <c r="AI12"/>
      <c r="AJ12"/>
      <c r="AK12"/>
      <c r="AL12"/>
      <c r="AM12"/>
      <c r="AN12"/>
      <c r="AO12">
        <v>288</v>
      </c>
      <c r="AP12"/>
      <c r="AQ12">
        <v>4</v>
      </c>
      <c r="AR12"/>
      <c r="AS12" t="s">
        <v>5533</v>
      </c>
      <c r="AT12"/>
      <c r="AU12"/>
      <c r="AV12"/>
      <c r="AW12"/>
      <c r="AX12"/>
      <c r="AY12" t="s">
        <v>2373</v>
      </c>
      <c r="AZ12" t="s">
        <v>2374</v>
      </c>
      <c r="BA12" t="s">
        <v>2373</v>
      </c>
      <c r="BB12" t="s">
        <v>2798</v>
      </c>
      <c r="BC12" t="s">
        <v>5367</v>
      </c>
      <c r="BD12" t="s">
        <v>2798</v>
      </c>
      <c r="BE12"/>
      <c r="BF12"/>
      <c r="BG12"/>
      <c r="BH12"/>
      <c r="BI12"/>
      <c r="BJ12"/>
      <c r="BK12"/>
      <c r="BL12"/>
      <c r="BM12"/>
      <c r="BN12"/>
      <c r="BO12"/>
      <c r="BP12" t="s">
        <v>2333</v>
      </c>
      <c r="BQ12" t="s">
        <v>5366</v>
      </c>
      <c r="BR12" t="s">
        <v>2333</v>
      </c>
      <c r="BS12" t="s">
        <v>2332</v>
      </c>
      <c r="BT12" t="s">
        <v>5532</v>
      </c>
      <c r="BU12" t="s">
        <v>5531</v>
      </c>
      <c r="BV12" t="s">
        <v>2329</v>
      </c>
      <c r="BW12" t="s">
        <v>5493</v>
      </c>
      <c r="BX12" t="s">
        <v>5492</v>
      </c>
      <c r="BY12" t="s">
        <v>2831</v>
      </c>
      <c r="BZ12" t="s">
        <v>5491</v>
      </c>
      <c r="CA12" t="s">
        <v>5490</v>
      </c>
      <c r="CB12" t="s">
        <v>2910</v>
      </c>
      <c r="CC12" t="s">
        <v>5359</v>
      </c>
      <c r="CD12" t="s">
        <v>2910</v>
      </c>
      <c r="CE12" t="s">
        <v>2370</v>
      </c>
      <c r="CF12" t="s">
        <v>5530</v>
      </c>
      <c r="CG12" t="s">
        <v>5529</v>
      </c>
      <c r="CH12"/>
      <c r="CI12"/>
      <c r="CJ12"/>
      <c r="CK12" t="s">
        <v>5377</v>
      </c>
      <c r="CL12" t="s">
        <v>5376</v>
      </c>
      <c r="CM12" t="s">
        <v>5375</v>
      </c>
      <c r="CN12" t="s">
        <v>5374</v>
      </c>
      <c r="CO12" t="s">
        <v>5373</v>
      </c>
      <c r="CP12" t="s">
        <v>5487</v>
      </c>
      <c r="CQ12"/>
      <c r="CR12"/>
      <c r="CS12"/>
      <c r="CT12"/>
      <c r="CU12"/>
      <c r="CV12"/>
      <c r="CW12"/>
      <c r="CX12" t="s">
        <v>2307</v>
      </c>
      <c r="CY12">
        <v>94</v>
      </c>
      <c r="CZ12" t="s">
        <v>2306</v>
      </c>
    </row>
    <row r="13" spans="1:104" ht="15.75" customHeight="1">
      <c r="A13" t="s">
        <v>5528</v>
      </c>
      <c r="B13" t="s">
        <v>5527</v>
      </c>
      <c r="C13" t="s">
        <v>5526</v>
      </c>
      <c r="D13">
        <v>17</v>
      </c>
      <c r="E13" t="s">
        <v>2321</v>
      </c>
      <c r="F13" t="s">
        <v>2838</v>
      </c>
      <c r="G13" t="s">
        <v>2341</v>
      </c>
      <c r="H13"/>
      <c r="I13"/>
      <c r="J13" t="s">
        <v>2340</v>
      </c>
      <c r="K13"/>
      <c r="L13"/>
      <c r="M13">
        <v>19</v>
      </c>
      <c r="N13">
        <v>256</v>
      </c>
      <c r="O13">
        <v>19</v>
      </c>
      <c r="P13">
        <v>12</v>
      </c>
      <c r="Q13">
        <v>133</v>
      </c>
      <c r="R13" t="s">
        <v>2317</v>
      </c>
      <c r="S13" t="s">
        <v>5368</v>
      </c>
      <c r="T13" t="s">
        <v>5260</v>
      </c>
      <c r="U13" t="s">
        <v>5260</v>
      </c>
      <c r="V13">
        <v>40</v>
      </c>
      <c r="W13"/>
      <c r="X13">
        <v>40</v>
      </c>
      <c r="Y13">
        <v>80</v>
      </c>
      <c r="Z13"/>
      <c r="AA13">
        <v>27</v>
      </c>
      <c r="AB13">
        <v>10</v>
      </c>
      <c r="AC13">
        <v>25</v>
      </c>
      <c r="AD13">
        <v>16</v>
      </c>
      <c r="AE13">
        <v>13</v>
      </c>
      <c r="AF13">
        <v>21</v>
      </c>
      <c r="AG13">
        <v>98</v>
      </c>
      <c r="AH13"/>
      <c r="AI13"/>
      <c r="AJ13"/>
      <c r="AK13"/>
      <c r="AL13"/>
      <c r="AM13"/>
      <c r="AN13">
        <v>8</v>
      </c>
      <c r="AO13">
        <v>290</v>
      </c>
      <c r="AP13"/>
      <c r="AQ13"/>
      <c r="AR13"/>
      <c r="AS13"/>
      <c r="AT13"/>
      <c r="AU13"/>
      <c r="AV13"/>
      <c r="AW13"/>
      <c r="AX13"/>
      <c r="AY13" t="s">
        <v>2798</v>
      </c>
      <c r="AZ13" t="s">
        <v>5367</v>
      </c>
      <c r="BA13" t="s">
        <v>2798</v>
      </c>
      <c r="BB13"/>
      <c r="BC13"/>
      <c r="BD13"/>
      <c r="BE13"/>
      <c r="BF13"/>
      <c r="BG13"/>
      <c r="BH13"/>
      <c r="BI13"/>
      <c r="BJ13"/>
      <c r="BK13"/>
      <c r="BL13"/>
      <c r="BM13"/>
      <c r="BN13"/>
      <c r="BO13"/>
      <c r="BP13" t="s">
        <v>2333</v>
      </c>
      <c r="BQ13" t="s">
        <v>5366</v>
      </c>
      <c r="BR13" t="s">
        <v>2333</v>
      </c>
      <c r="BS13" t="s">
        <v>2332</v>
      </c>
      <c r="BT13" t="s">
        <v>5525</v>
      </c>
      <c r="BU13" t="s">
        <v>5524</v>
      </c>
      <c r="BV13" t="s">
        <v>2329</v>
      </c>
      <c r="BW13" t="s">
        <v>5523</v>
      </c>
      <c r="BX13" t="s">
        <v>5362</v>
      </c>
      <c r="BY13" t="s">
        <v>2831</v>
      </c>
      <c r="BZ13" t="s">
        <v>5522</v>
      </c>
      <c r="CA13" t="s">
        <v>5360</v>
      </c>
      <c r="CB13" t="s">
        <v>2910</v>
      </c>
      <c r="CC13" t="s">
        <v>5521</v>
      </c>
      <c r="CD13" t="s">
        <v>2910</v>
      </c>
      <c r="CE13" t="s">
        <v>2361</v>
      </c>
      <c r="CF13" t="s">
        <v>5520</v>
      </c>
      <c r="CG13" t="s">
        <v>5519</v>
      </c>
      <c r="CH13" t="s">
        <v>5518</v>
      </c>
      <c r="CI13" t="s">
        <v>5517</v>
      </c>
      <c r="CJ13" t="s">
        <v>5516</v>
      </c>
      <c r="CK13" t="s">
        <v>5377</v>
      </c>
      <c r="CL13" t="s">
        <v>5376</v>
      </c>
      <c r="CM13" t="s">
        <v>5375</v>
      </c>
      <c r="CN13" t="s">
        <v>5374</v>
      </c>
      <c r="CO13" t="s">
        <v>5373</v>
      </c>
      <c r="CP13" t="s">
        <v>5502</v>
      </c>
      <c r="CQ13"/>
      <c r="CR13"/>
      <c r="CS13"/>
      <c r="CT13"/>
      <c r="CU13"/>
      <c r="CV13"/>
      <c r="CW13"/>
      <c r="CX13" t="s">
        <v>2307</v>
      </c>
      <c r="CY13">
        <v>98</v>
      </c>
      <c r="CZ13" t="s">
        <v>2306</v>
      </c>
    </row>
    <row r="14" spans="1:104" ht="15.75" customHeight="1">
      <c r="A14" t="s">
        <v>5515</v>
      </c>
      <c r="B14" t="s">
        <v>5514</v>
      </c>
      <c r="C14" t="s">
        <v>5513</v>
      </c>
      <c r="D14">
        <v>16</v>
      </c>
      <c r="E14" t="s">
        <v>2321</v>
      </c>
      <c r="F14" t="s">
        <v>2838</v>
      </c>
      <c r="G14" t="s">
        <v>2341</v>
      </c>
      <c r="H14"/>
      <c r="I14"/>
      <c r="J14" t="s">
        <v>2355</v>
      </c>
      <c r="K14"/>
      <c r="L14"/>
      <c r="M14">
        <v>19</v>
      </c>
      <c r="N14">
        <v>243</v>
      </c>
      <c r="O14">
        <v>18</v>
      </c>
      <c r="P14">
        <v>12</v>
      </c>
      <c r="Q14">
        <v>126</v>
      </c>
      <c r="R14" t="s">
        <v>2317</v>
      </c>
      <c r="S14" t="s">
        <v>5512</v>
      </c>
      <c r="T14" t="s">
        <v>5511</v>
      </c>
      <c r="U14" t="s">
        <v>2315</v>
      </c>
      <c r="V14">
        <v>40</v>
      </c>
      <c r="W14"/>
      <c r="X14"/>
      <c r="Y14">
        <v>80</v>
      </c>
      <c r="Z14"/>
      <c r="AA14">
        <v>27</v>
      </c>
      <c r="AB14">
        <v>10</v>
      </c>
      <c r="AC14">
        <v>25</v>
      </c>
      <c r="AD14">
        <v>16</v>
      </c>
      <c r="AE14">
        <v>13</v>
      </c>
      <c r="AF14">
        <v>21</v>
      </c>
      <c r="AG14">
        <v>117</v>
      </c>
      <c r="AH14"/>
      <c r="AI14"/>
      <c r="AJ14"/>
      <c r="AK14"/>
      <c r="AL14"/>
      <c r="AM14"/>
      <c r="AN14"/>
      <c r="AO14">
        <v>305</v>
      </c>
      <c r="AP14"/>
      <c r="AQ14"/>
      <c r="AR14"/>
      <c r="AS14"/>
      <c r="AT14"/>
      <c r="AU14"/>
      <c r="AV14"/>
      <c r="AW14"/>
      <c r="AX14"/>
      <c r="AY14" t="s">
        <v>2798</v>
      </c>
      <c r="AZ14" t="s">
        <v>5367</v>
      </c>
      <c r="BA14" t="s">
        <v>2798</v>
      </c>
      <c r="BB14"/>
      <c r="BC14"/>
      <c r="BD14"/>
      <c r="BE14"/>
      <c r="BF14"/>
      <c r="BG14"/>
      <c r="BH14"/>
      <c r="BI14"/>
      <c r="BJ14"/>
      <c r="BK14"/>
      <c r="BL14"/>
      <c r="BM14"/>
      <c r="BN14"/>
      <c r="BO14"/>
      <c r="BP14" t="s">
        <v>2333</v>
      </c>
      <c r="BQ14" t="s">
        <v>5366</v>
      </c>
      <c r="BR14" t="s">
        <v>2333</v>
      </c>
      <c r="BS14" t="s">
        <v>2332</v>
      </c>
      <c r="BT14" t="s">
        <v>5510</v>
      </c>
      <c r="BU14" t="s">
        <v>5509</v>
      </c>
      <c r="BV14" t="s">
        <v>2329</v>
      </c>
      <c r="BW14" t="s">
        <v>5508</v>
      </c>
      <c r="BX14" t="s">
        <v>5507</v>
      </c>
      <c r="BY14" t="s">
        <v>2831</v>
      </c>
      <c r="BZ14" t="s">
        <v>5506</v>
      </c>
      <c r="CA14" t="s">
        <v>5505</v>
      </c>
      <c r="CB14" t="s">
        <v>2910</v>
      </c>
      <c r="CC14" t="s">
        <v>5449</v>
      </c>
      <c r="CD14" t="s">
        <v>2910</v>
      </c>
      <c r="CE14" t="s">
        <v>2348</v>
      </c>
      <c r="CF14" t="s">
        <v>5504</v>
      </c>
      <c r="CG14" t="s">
        <v>5503</v>
      </c>
      <c r="CH14"/>
      <c r="CI14"/>
      <c r="CJ14"/>
      <c r="CK14" t="s">
        <v>5377</v>
      </c>
      <c r="CL14" t="s">
        <v>5376</v>
      </c>
      <c r="CM14" t="s">
        <v>5375</v>
      </c>
      <c r="CN14" t="s">
        <v>5374</v>
      </c>
      <c r="CO14" t="s">
        <v>5373</v>
      </c>
      <c r="CP14" t="s">
        <v>5502</v>
      </c>
      <c r="CQ14"/>
      <c r="CR14"/>
      <c r="CS14"/>
      <c r="CT14"/>
      <c r="CU14"/>
      <c r="CV14"/>
      <c r="CW14"/>
      <c r="CX14" t="s">
        <v>2307</v>
      </c>
      <c r="CY14">
        <v>117</v>
      </c>
      <c r="CZ14" t="s">
        <v>2306</v>
      </c>
    </row>
    <row r="15" spans="1:104" ht="15.75" customHeight="1">
      <c r="A15" t="s">
        <v>5501</v>
      </c>
      <c r="B15" t="s">
        <v>5500</v>
      </c>
      <c r="C15" t="s">
        <v>5499</v>
      </c>
      <c r="D15">
        <v>13</v>
      </c>
      <c r="E15" t="s">
        <v>2321</v>
      </c>
      <c r="F15" t="s">
        <v>2838</v>
      </c>
      <c r="G15" t="s">
        <v>2341</v>
      </c>
      <c r="H15"/>
      <c r="I15"/>
      <c r="J15" t="s">
        <v>2340</v>
      </c>
      <c r="K15"/>
      <c r="L15"/>
      <c r="M15">
        <v>18</v>
      </c>
      <c r="N15">
        <v>200</v>
      </c>
      <c r="O15">
        <v>16</v>
      </c>
      <c r="P15">
        <v>12</v>
      </c>
      <c r="Q15">
        <v>96</v>
      </c>
      <c r="R15" t="s">
        <v>2317</v>
      </c>
      <c r="S15" t="s">
        <v>5498</v>
      </c>
      <c r="T15" t="s">
        <v>5497</v>
      </c>
      <c r="U15" t="s">
        <v>5496</v>
      </c>
      <c r="V15">
        <v>40</v>
      </c>
      <c r="W15">
        <v>30</v>
      </c>
      <c r="X15"/>
      <c r="Y15">
        <v>80</v>
      </c>
      <c r="Z15">
        <v>40</v>
      </c>
      <c r="AA15">
        <v>22</v>
      </c>
      <c r="AB15">
        <v>10</v>
      </c>
      <c r="AC15">
        <v>22</v>
      </c>
      <c r="AD15">
        <v>8</v>
      </c>
      <c r="AE15">
        <v>12</v>
      </c>
      <c r="AF15">
        <v>12</v>
      </c>
      <c r="AG15">
        <v>101</v>
      </c>
      <c r="AH15"/>
      <c r="AI15"/>
      <c r="AJ15"/>
      <c r="AK15"/>
      <c r="AL15"/>
      <c r="AM15"/>
      <c r="AN15"/>
      <c r="AO15">
        <v>292</v>
      </c>
      <c r="AP15">
        <v>5</v>
      </c>
      <c r="AQ15">
        <v>5</v>
      </c>
      <c r="AR15"/>
      <c r="AS15"/>
      <c r="AT15"/>
      <c r="AU15"/>
      <c r="AV15"/>
      <c r="AW15"/>
      <c r="AX15"/>
      <c r="AY15" t="s">
        <v>2335</v>
      </c>
      <c r="AZ15" t="s">
        <v>2336</v>
      </c>
      <c r="BA15" t="s">
        <v>2335</v>
      </c>
      <c r="BB15" t="s">
        <v>2798</v>
      </c>
      <c r="BC15" t="s">
        <v>5367</v>
      </c>
      <c r="BD15" t="s">
        <v>2798</v>
      </c>
      <c r="BE15"/>
      <c r="BF15"/>
      <c r="BG15"/>
      <c r="BH15"/>
      <c r="BI15"/>
      <c r="BJ15"/>
      <c r="BK15"/>
      <c r="BL15"/>
      <c r="BM15"/>
      <c r="BN15"/>
      <c r="BO15"/>
      <c r="BP15" t="s">
        <v>2333</v>
      </c>
      <c r="BQ15" t="s">
        <v>5366</v>
      </c>
      <c r="BR15" t="s">
        <v>2333</v>
      </c>
      <c r="BS15" t="s">
        <v>2332</v>
      </c>
      <c r="BT15" t="s">
        <v>5495</v>
      </c>
      <c r="BU15" t="s">
        <v>5494</v>
      </c>
      <c r="BV15" t="s">
        <v>2329</v>
      </c>
      <c r="BW15" t="s">
        <v>5493</v>
      </c>
      <c r="BX15" t="s">
        <v>5492</v>
      </c>
      <c r="BY15" t="s">
        <v>2831</v>
      </c>
      <c r="BZ15" t="s">
        <v>5491</v>
      </c>
      <c r="CA15" t="s">
        <v>5490</v>
      </c>
      <c r="CB15" t="s">
        <v>2910</v>
      </c>
      <c r="CC15" t="s">
        <v>5489</v>
      </c>
      <c r="CD15" t="s">
        <v>2910</v>
      </c>
      <c r="CE15" t="s">
        <v>2326</v>
      </c>
      <c r="CF15" t="s">
        <v>5488</v>
      </c>
      <c r="CG15" t="s">
        <v>2346</v>
      </c>
      <c r="CH15"/>
      <c r="CI15"/>
      <c r="CJ15"/>
      <c r="CK15" t="s">
        <v>5377</v>
      </c>
      <c r="CL15" t="s">
        <v>5376</v>
      </c>
      <c r="CM15" t="s">
        <v>5375</v>
      </c>
      <c r="CN15" t="s">
        <v>5374</v>
      </c>
      <c r="CO15" t="s">
        <v>5373</v>
      </c>
      <c r="CP15" t="s">
        <v>5487</v>
      </c>
      <c r="CQ15"/>
      <c r="CR15"/>
      <c r="CS15"/>
      <c r="CT15"/>
      <c r="CU15"/>
      <c r="CV15"/>
      <c r="CW15"/>
      <c r="CX15" t="s">
        <v>2307</v>
      </c>
      <c r="CY15">
        <v>101</v>
      </c>
      <c r="CZ15" t="s">
        <v>2306</v>
      </c>
    </row>
    <row r="16" spans="1:104" ht="15.75" customHeight="1">
      <c r="A16" t="s">
        <v>5486</v>
      </c>
      <c r="B16" t="s">
        <v>5485</v>
      </c>
      <c r="C16" t="s">
        <v>5484</v>
      </c>
      <c r="D16">
        <v>5</v>
      </c>
      <c r="E16" t="s">
        <v>2321</v>
      </c>
      <c r="F16" t="s">
        <v>2342</v>
      </c>
      <c r="G16" t="s">
        <v>2479</v>
      </c>
      <c r="H16"/>
      <c r="I16"/>
      <c r="J16" t="s">
        <v>1902</v>
      </c>
      <c r="K16"/>
      <c r="L16"/>
      <c r="M16">
        <v>15</v>
      </c>
      <c r="N16">
        <v>90</v>
      </c>
      <c r="O16">
        <v>12</v>
      </c>
      <c r="P16">
        <v>10</v>
      </c>
      <c r="Q16">
        <v>24</v>
      </c>
      <c r="R16" t="s">
        <v>2317</v>
      </c>
      <c r="S16" t="s">
        <v>4463</v>
      </c>
      <c r="T16" t="s">
        <v>5483</v>
      </c>
      <c r="U16" t="s">
        <v>2315</v>
      </c>
      <c r="V16">
        <v>0</v>
      </c>
      <c r="W16"/>
      <c r="X16"/>
      <c r="Y16">
        <v>90</v>
      </c>
      <c r="Z16"/>
      <c r="AA16">
        <v>14</v>
      </c>
      <c r="AB16">
        <v>20</v>
      </c>
      <c r="AC16">
        <v>14</v>
      </c>
      <c r="AD16">
        <v>6</v>
      </c>
      <c r="AE16">
        <v>10</v>
      </c>
      <c r="AF16">
        <v>6</v>
      </c>
      <c r="AG16">
        <v>124</v>
      </c>
      <c r="AH16"/>
      <c r="AI16"/>
      <c r="AJ16"/>
      <c r="AK16"/>
      <c r="AL16"/>
      <c r="AM16"/>
      <c r="AN16">
        <v>8</v>
      </c>
      <c r="AO16">
        <v>308</v>
      </c>
      <c r="AP16">
        <v>5</v>
      </c>
      <c r="AQ16">
        <v>5</v>
      </c>
      <c r="AR16"/>
      <c r="AS16"/>
      <c r="AT16"/>
      <c r="AU16"/>
      <c r="AV16" t="s">
        <v>5482</v>
      </c>
      <c r="AW16"/>
      <c r="AX16"/>
      <c r="AY16" t="s">
        <v>5481</v>
      </c>
      <c r="AZ16" t="s">
        <v>2690</v>
      </c>
      <c r="BA16" t="s">
        <v>5481</v>
      </c>
      <c r="BB16"/>
      <c r="BC16"/>
      <c r="BD16"/>
      <c r="BE16"/>
      <c r="BF16"/>
      <c r="BG16"/>
      <c r="BH16"/>
      <c r="BI16"/>
      <c r="BJ16"/>
      <c r="BK16"/>
      <c r="BL16"/>
      <c r="BM16"/>
      <c r="BN16"/>
      <c r="BO16"/>
      <c r="BP16" t="s">
        <v>2333</v>
      </c>
      <c r="BQ16" t="s">
        <v>2686</v>
      </c>
      <c r="BR16" t="s">
        <v>2333</v>
      </c>
      <c r="BS16" t="s">
        <v>2310</v>
      </c>
      <c r="BT16" t="s">
        <v>5480</v>
      </c>
      <c r="BU16" t="s">
        <v>4712</v>
      </c>
      <c r="BV16" t="s">
        <v>5478</v>
      </c>
      <c r="BW16" t="s">
        <v>5479</v>
      </c>
      <c r="BX16" t="s">
        <v>5478</v>
      </c>
      <c r="BY16"/>
      <c r="BZ16"/>
      <c r="CA16"/>
      <c r="CB16"/>
      <c r="CC16"/>
      <c r="CD16"/>
      <c r="CE16"/>
      <c r="CF16"/>
      <c r="CG16"/>
      <c r="CH16"/>
      <c r="CI16"/>
      <c r="CJ16"/>
      <c r="CK16"/>
      <c r="CL16"/>
      <c r="CM16"/>
      <c r="CN16"/>
      <c r="CO16"/>
      <c r="CP16"/>
      <c r="CQ16"/>
      <c r="CR16"/>
      <c r="CS16"/>
      <c r="CT16"/>
      <c r="CU16"/>
      <c r="CV16"/>
      <c r="CW16"/>
      <c r="CX16" t="s">
        <v>2307</v>
      </c>
      <c r="CY16">
        <v>124</v>
      </c>
      <c r="CZ16" t="s">
        <v>2306</v>
      </c>
    </row>
    <row r="17" spans="1:104" ht="15.75" customHeight="1">
      <c r="A17" t="s">
        <v>5477</v>
      </c>
      <c r="B17" t="s">
        <v>5477</v>
      </c>
      <c r="C17" t="s">
        <v>5476</v>
      </c>
      <c r="D17">
        <v>2</v>
      </c>
      <c r="E17" t="s">
        <v>2321</v>
      </c>
      <c r="F17" t="s">
        <v>2342</v>
      </c>
      <c r="G17" t="s">
        <v>2543</v>
      </c>
      <c r="H17" t="s">
        <v>2837</v>
      </c>
      <c r="I17"/>
      <c r="J17" t="s">
        <v>1908</v>
      </c>
      <c r="K17"/>
      <c r="L17"/>
      <c r="M17">
        <v>13</v>
      </c>
      <c r="N17">
        <v>51</v>
      </c>
      <c r="O17">
        <v>6</v>
      </c>
      <c r="P17">
        <v>10</v>
      </c>
      <c r="Q17">
        <v>18</v>
      </c>
      <c r="R17" t="s">
        <v>2317</v>
      </c>
      <c r="S17" t="s">
        <v>5475</v>
      </c>
      <c r="T17" t="s">
        <v>3394</v>
      </c>
      <c r="U17" t="s">
        <v>2315</v>
      </c>
      <c r="V17">
        <v>60</v>
      </c>
      <c r="W17"/>
      <c r="X17"/>
      <c r="Y17"/>
      <c r="Z17"/>
      <c r="AA17">
        <v>19</v>
      </c>
      <c r="AB17">
        <v>13</v>
      </c>
      <c r="AC17">
        <v>17</v>
      </c>
      <c r="AD17">
        <v>2</v>
      </c>
      <c r="AE17">
        <v>12</v>
      </c>
      <c r="AF17">
        <v>5</v>
      </c>
      <c r="AG17">
        <v>79</v>
      </c>
      <c r="AH17"/>
      <c r="AI17"/>
      <c r="AJ17"/>
      <c r="AK17"/>
      <c r="AL17"/>
      <c r="AM17"/>
      <c r="AN17">
        <v>8</v>
      </c>
      <c r="AO17"/>
      <c r="AP17"/>
      <c r="AQ17"/>
      <c r="AR17"/>
      <c r="AS17"/>
      <c r="AT17"/>
      <c r="AU17"/>
      <c r="AV17"/>
      <c r="AW17"/>
      <c r="AX17"/>
      <c r="AY17" t="s">
        <v>2897</v>
      </c>
      <c r="AZ17" t="s">
        <v>5474</v>
      </c>
      <c r="BA17" t="s">
        <v>2897</v>
      </c>
      <c r="BB17"/>
      <c r="BC17"/>
      <c r="BD17"/>
      <c r="BE17"/>
      <c r="BF17"/>
      <c r="BG17"/>
      <c r="BH17"/>
      <c r="BI17"/>
      <c r="BJ17"/>
      <c r="BK17"/>
      <c r="BL17"/>
      <c r="BM17"/>
      <c r="BN17"/>
      <c r="BO17"/>
      <c r="BP17" t="s">
        <v>2332</v>
      </c>
      <c r="BQ17" t="s">
        <v>5473</v>
      </c>
      <c r="BR17" t="s">
        <v>5472</v>
      </c>
      <c r="BS17" t="s">
        <v>2329</v>
      </c>
      <c r="BT17" t="s">
        <v>5471</v>
      </c>
      <c r="BU17" t="s">
        <v>5470</v>
      </c>
      <c r="BV17"/>
      <c r="BW17"/>
      <c r="BX17"/>
      <c r="BY17"/>
      <c r="BZ17"/>
      <c r="CA17"/>
      <c r="CB17"/>
      <c r="CC17"/>
      <c r="CD17"/>
      <c r="CE17"/>
      <c r="CF17"/>
      <c r="CG17"/>
      <c r="CH17"/>
      <c r="CI17"/>
      <c r="CJ17"/>
      <c r="CK17"/>
      <c r="CL17"/>
      <c r="CM17"/>
      <c r="CN17"/>
      <c r="CO17"/>
      <c r="CP17"/>
      <c r="CQ17"/>
      <c r="CR17"/>
      <c r="CS17"/>
      <c r="CT17"/>
      <c r="CU17"/>
      <c r="CV17"/>
      <c r="CW17"/>
      <c r="CX17" t="s">
        <v>2307</v>
      </c>
      <c r="CY17">
        <v>79</v>
      </c>
      <c r="CZ17" t="s">
        <v>2306</v>
      </c>
    </row>
    <row r="18" spans="1:104" ht="15.75" customHeight="1">
      <c r="A18" t="s">
        <v>5469</v>
      </c>
      <c r="B18" t="s">
        <v>5468</v>
      </c>
      <c r="C18" t="s">
        <v>5467</v>
      </c>
      <c r="D18">
        <v>21</v>
      </c>
      <c r="E18" t="s">
        <v>2321</v>
      </c>
      <c r="F18" t="s">
        <v>2930</v>
      </c>
      <c r="G18" t="s">
        <v>2341</v>
      </c>
      <c r="H18"/>
      <c r="I18"/>
      <c r="J18" t="s">
        <v>2340</v>
      </c>
      <c r="K18"/>
      <c r="L18"/>
      <c r="M18">
        <v>22</v>
      </c>
      <c r="N18">
        <v>367</v>
      </c>
      <c r="O18">
        <v>21</v>
      </c>
      <c r="P18">
        <v>20</v>
      </c>
      <c r="Q18">
        <v>147</v>
      </c>
      <c r="R18" t="s">
        <v>2317</v>
      </c>
      <c r="S18" t="s">
        <v>5412</v>
      </c>
      <c r="T18" t="s">
        <v>5428</v>
      </c>
      <c r="U18" t="s">
        <v>5466</v>
      </c>
      <c r="V18">
        <v>40</v>
      </c>
      <c r="W18"/>
      <c r="X18"/>
      <c r="Y18">
        <v>80</v>
      </c>
      <c r="Z18">
        <v>40</v>
      </c>
      <c r="AA18">
        <v>27</v>
      </c>
      <c r="AB18">
        <v>14</v>
      </c>
      <c r="AC18">
        <v>25</v>
      </c>
      <c r="AD18">
        <v>16</v>
      </c>
      <c r="AE18">
        <v>15</v>
      </c>
      <c r="AF18">
        <v>19</v>
      </c>
      <c r="AG18">
        <v>87</v>
      </c>
      <c r="AH18"/>
      <c r="AI18"/>
      <c r="AJ18"/>
      <c r="AK18"/>
      <c r="AL18"/>
      <c r="AM18"/>
      <c r="AN18"/>
      <c r="AO18">
        <v>283</v>
      </c>
      <c r="AP18"/>
      <c r="AQ18"/>
      <c r="AR18"/>
      <c r="AS18"/>
      <c r="AT18"/>
      <c r="AU18"/>
      <c r="AV18"/>
      <c r="AW18"/>
      <c r="AX18"/>
      <c r="AY18" t="s">
        <v>2373</v>
      </c>
      <c r="AZ18" t="s">
        <v>2374</v>
      </c>
      <c r="BA18" t="s">
        <v>2373</v>
      </c>
      <c r="BB18" t="s">
        <v>2798</v>
      </c>
      <c r="BC18" t="s">
        <v>5367</v>
      </c>
      <c r="BD18" t="s">
        <v>2798</v>
      </c>
      <c r="BE18"/>
      <c r="BF18"/>
      <c r="BG18"/>
      <c r="BH18"/>
      <c r="BI18"/>
      <c r="BJ18"/>
      <c r="BK18"/>
      <c r="BL18"/>
      <c r="BM18"/>
      <c r="BN18"/>
      <c r="BO18"/>
      <c r="BP18" t="s">
        <v>2333</v>
      </c>
      <c r="BQ18" t="s">
        <v>5366</v>
      </c>
      <c r="BR18" t="s">
        <v>2333</v>
      </c>
      <c r="BS18" t="s">
        <v>2332</v>
      </c>
      <c r="BT18" t="s">
        <v>5465</v>
      </c>
      <c r="BU18" t="s">
        <v>5464</v>
      </c>
      <c r="BV18" t="s">
        <v>2329</v>
      </c>
      <c r="BW18" t="s">
        <v>5425</v>
      </c>
      <c r="BX18" t="s">
        <v>5424</v>
      </c>
      <c r="BY18" t="s">
        <v>2831</v>
      </c>
      <c r="BZ18" t="s">
        <v>5463</v>
      </c>
      <c r="CA18" t="s">
        <v>5405</v>
      </c>
      <c r="CB18" t="s">
        <v>2910</v>
      </c>
      <c r="CC18" t="s">
        <v>5404</v>
      </c>
      <c r="CD18" t="s">
        <v>2910</v>
      </c>
      <c r="CE18" t="s">
        <v>2421</v>
      </c>
      <c r="CF18" t="s">
        <v>5462</v>
      </c>
      <c r="CG18" t="s">
        <v>2421</v>
      </c>
      <c r="CH18"/>
      <c r="CI18"/>
      <c r="CJ18"/>
      <c r="CK18" t="s">
        <v>5377</v>
      </c>
      <c r="CL18" t="s">
        <v>5376</v>
      </c>
      <c r="CM18" t="s">
        <v>5375</v>
      </c>
      <c r="CN18" t="s">
        <v>5374</v>
      </c>
      <c r="CO18" t="s">
        <v>5373</v>
      </c>
      <c r="CP18" t="s">
        <v>5401</v>
      </c>
      <c r="CQ18"/>
      <c r="CR18"/>
      <c r="CS18"/>
      <c r="CT18"/>
      <c r="CU18"/>
      <c r="CV18"/>
      <c r="CW18"/>
      <c r="CX18" t="s">
        <v>2307</v>
      </c>
      <c r="CY18">
        <v>87</v>
      </c>
      <c r="CZ18" t="s">
        <v>2306</v>
      </c>
    </row>
    <row r="19" spans="1:104" ht="15.75" customHeight="1">
      <c r="A19" t="s">
        <v>5461</v>
      </c>
      <c r="B19" t="s">
        <v>5460</v>
      </c>
      <c r="C19" t="s">
        <v>5459</v>
      </c>
      <c r="D19">
        <v>23</v>
      </c>
      <c r="E19" t="s">
        <v>2321</v>
      </c>
      <c r="F19" t="s">
        <v>2930</v>
      </c>
      <c r="G19" t="s">
        <v>2341</v>
      </c>
      <c r="H19"/>
      <c r="I19"/>
      <c r="J19" t="s">
        <v>2375</v>
      </c>
      <c r="K19"/>
      <c r="L19"/>
      <c r="M19">
        <v>22</v>
      </c>
      <c r="N19">
        <v>481</v>
      </c>
      <c r="O19">
        <v>26</v>
      </c>
      <c r="P19">
        <v>20</v>
      </c>
      <c r="Q19">
        <v>208</v>
      </c>
      <c r="R19" t="s">
        <v>2317</v>
      </c>
      <c r="S19" t="s">
        <v>5458</v>
      </c>
      <c r="T19" t="s">
        <v>5442</v>
      </c>
      <c r="U19" t="s">
        <v>2315</v>
      </c>
      <c r="V19">
        <v>40</v>
      </c>
      <c r="W19">
        <v>40</v>
      </c>
      <c r="X19"/>
      <c r="Y19">
        <v>80</v>
      </c>
      <c r="Z19"/>
      <c r="AA19">
        <v>29</v>
      </c>
      <c r="AB19">
        <v>10</v>
      </c>
      <c r="AC19">
        <v>27</v>
      </c>
      <c r="AD19">
        <v>18</v>
      </c>
      <c r="AE19">
        <v>17</v>
      </c>
      <c r="AF19">
        <v>21</v>
      </c>
      <c r="AG19">
        <v>90</v>
      </c>
      <c r="AH19"/>
      <c r="AI19"/>
      <c r="AJ19"/>
      <c r="AK19"/>
      <c r="AL19"/>
      <c r="AM19"/>
      <c r="AN19"/>
      <c r="AO19">
        <v>285</v>
      </c>
      <c r="AP19"/>
      <c r="AQ19"/>
      <c r="AR19"/>
      <c r="AS19"/>
      <c r="AT19"/>
      <c r="AU19"/>
      <c r="AV19"/>
      <c r="AW19"/>
      <c r="AX19"/>
      <c r="AY19"/>
      <c r="AZ19"/>
      <c r="BA19"/>
      <c r="BB19"/>
      <c r="BC19"/>
      <c r="BD19"/>
      <c r="BE19"/>
      <c r="BF19"/>
      <c r="BG19"/>
      <c r="BH19"/>
      <c r="BI19"/>
      <c r="BJ19"/>
      <c r="BK19"/>
      <c r="BL19"/>
      <c r="BM19"/>
      <c r="BN19"/>
      <c r="BO19"/>
      <c r="BP19" t="s">
        <v>2333</v>
      </c>
      <c r="BQ19" t="s">
        <v>5366</v>
      </c>
      <c r="BR19" t="s">
        <v>2333</v>
      </c>
      <c r="BS19" t="s">
        <v>2332</v>
      </c>
      <c r="BT19" t="s">
        <v>5457</v>
      </c>
      <c r="BU19" t="s">
        <v>5456</v>
      </c>
      <c r="BV19" t="s">
        <v>2329</v>
      </c>
      <c r="BW19" t="s">
        <v>5439</v>
      </c>
      <c r="BX19" t="s">
        <v>5438</v>
      </c>
      <c r="BY19" t="s">
        <v>2831</v>
      </c>
      <c r="BZ19" t="s">
        <v>5437</v>
      </c>
      <c r="CA19" t="s">
        <v>5436</v>
      </c>
      <c r="CB19" t="s">
        <v>2910</v>
      </c>
      <c r="CC19" t="s">
        <v>5435</v>
      </c>
      <c r="CD19" t="s">
        <v>2910</v>
      </c>
      <c r="CE19" t="s">
        <v>2409</v>
      </c>
      <c r="CF19" t="s">
        <v>5455</v>
      </c>
      <c r="CG19" t="s">
        <v>5433</v>
      </c>
      <c r="CH19"/>
      <c r="CI19"/>
      <c r="CJ19"/>
      <c r="CK19" t="s">
        <v>5377</v>
      </c>
      <c r="CL19" t="s">
        <v>5376</v>
      </c>
      <c r="CM19" t="s">
        <v>5375</v>
      </c>
      <c r="CN19" t="s">
        <v>5374</v>
      </c>
      <c r="CO19" t="s">
        <v>5373</v>
      </c>
      <c r="CP19" t="s">
        <v>5432</v>
      </c>
      <c r="CQ19"/>
      <c r="CR19"/>
      <c r="CS19"/>
      <c r="CT19"/>
      <c r="CU19"/>
      <c r="CV19"/>
      <c r="CW19"/>
      <c r="CX19" t="s">
        <v>2307</v>
      </c>
      <c r="CY19">
        <v>90</v>
      </c>
      <c r="CZ19" t="s">
        <v>2306</v>
      </c>
    </row>
    <row r="20" spans="1:104" ht="15.75" customHeight="1">
      <c r="A20" t="s">
        <v>5454</v>
      </c>
      <c r="B20" t="s">
        <v>5453</v>
      </c>
      <c r="C20" t="s">
        <v>5452</v>
      </c>
      <c r="D20">
        <v>20</v>
      </c>
      <c r="E20" t="s">
        <v>2321</v>
      </c>
      <c r="F20" t="s">
        <v>2930</v>
      </c>
      <c r="G20" t="s">
        <v>2341</v>
      </c>
      <c r="H20"/>
      <c r="I20"/>
      <c r="J20" t="s">
        <v>2388</v>
      </c>
      <c r="K20"/>
      <c r="L20"/>
      <c r="M20">
        <v>20</v>
      </c>
      <c r="N20">
        <v>297</v>
      </c>
      <c r="O20">
        <v>17</v>
      </c>
      <c r="P20">
        <v>20</v>
      </c>
      <c r="Q20">
        <v>119</v>
      </c>
      <c r="R20" t="s">
        <v>2317</v>
      </c>
      <c r="S20" t="s">
        <v>5368</v>
      </c>
      <c r="T20" t="s">
        <v>5260</v>
      </c>
      <c r="U20" t="s">
        <v>2315</v>
      </c>
      <c r="V20">
        <v>40</v>
      </c>
      <c r="W20">
        <v>40</v>
      </c>
      <c r="X20"/>
      <c r="Y20">
        <v>80</v>
      </c>
      <c r="Z20"/>
      <c r="AA20">
        <v>27</v>
      </c>
      <c r="AB20">
        <v>10</v>
      </c>
      <c r="AC20">
        <v>25</v>
      </c>
      <c r="AD20">
        <v>16</v>
      </c>
      <c r="AE20">
        <v>15</v>
      </c>
      <c r="AF20">
        <v>19</v>
      </c>
      <c r="AG20">
        <v>104</v>
      </c>
      <c r="AH20"/>
      <c r="AI20"/>
      <c r="AJ20"/>
      <c r="AK20"/>
      <c r="AL20"/>
      <c r="AM20"/>
      <c r="AN20"/>
      <c r="AO20">
        <v>293</v>
      </c>
      <c r="AP20"/>
      <c r="AQ20"/>
      <c r="AR20"/>
      <c r="AS20"/>
      <c r="AT20"/>
      <c r="AU20"/>
      <c r="AV20"/>
      <c r="AW20"/>
      <c r="AX20"/>
      <c r="AY20" t="s">
        <v>2798</v>
      </c>
      <c r="AZ20" t="s">
        <v>5367</v>
      </c>
      <c r="BA20" t="s">
        <v>2798</v>
      </c>
      <c r="BB20"/>
      <c r="BC20"/>
      <c r="BD20"/>
      <c r="BE20"/>
      <c r="BF20"/>
      <c r="BG20"/>
      <c r="BH20"/>
      <c r="BI20"/>
      <c r="BJ20"/>
      <c r="BK20"/>
      <c r="BL20"/>
      <c r="BM20"/>
      <c r="BN20"/>
      <c r="BO20"/>
      <c r="BP20" t="s">
        <v>2333</v>
      </c>
      <c r="BQ20" t="s">
        <v>5366</v>
      </c>
      <c r="BR20" t="s">
        <v>2333</v>
      </c>
      <c r="BS20" t="s">
        <v>2332</v>
      </c>
      <c r="BT20" t="s">
        <v>5451</v>
      </c>
      <c r="BU20" t="s">
        <v>5450</v>
      </c>
      <c r="BV20" t="s">
        <v>2329</v>
      </c>
      <c r="BW20" t="s">
        <v>5363</v>
      </c>
      <c r="BX20" t="s">
        <v>5362</v>
      </c>
      <c r="BY20" t="s">
        <v>2831</v>
      </c>
      <c r="BZ20" t="s">
        <v>5361</v>
      </c>
      <c r="CA20" t="s">
        <v>5360</v>
      </c>
      <c r="CB20" t="s">
        <v>2910</v>
      </c>
      <c r="CC20" t="s">
        <v>5449</v>
      </c>
      <c r="CD20" t="s">
        <v>2910</v>
      </c>
      <c r="CE20" t="s">
        <v>2348</v>
      </c>
      <c r="CF20" t="s">
        <v>5448</v>
      </c>
      <c r="CG20" t="s">
        <v>2359</v>
      </c>
      <c r="CH20" t="s">
        <v>3582</v>
      </c>
      <c r="CI20" t="s">
        <v>5378</v>
      </c>
      <c r="CJ20" t="s">
        <v>3582</v>
      </c>
      <c r="CK20" t="s">
        <v>5377</v>
      </c>
      <c r="CL20" t="s">
        <v>5376</v>
      </c>
      <c r="CM20" t="s">
        <v>5375</v>
      </c>
      <c r="CN20" t="s">
        <v>5374</v>
      </c>
      <c r="CO20" t="s">
        <v>5373</v>
      </c>
      <c r="CP20" t="s">
        <v>5447</v>
      </c>
      <c r="CQ20"/>
      <c r="CR20"/>
      <c r="CS20"/>
      <c r="CT20"/>
      <c r="CU20"/>
      <c r="CV20"/>
      <c r="CW20"/>
      <c r="CX20" t="s">
        <v>2307</v>
      </c>
      <c r="CY20">
        <v>104</v>
      </c>
      <c r="CZ20" t="s">
        <v>2306</v>
      </c>
    </row>
    <row r="21" spans="1:104" ht="15.75" customHeight="1">
      <c r="A21" t="s">
        <v>5446</v>
      </c>
      <c r="B21" t="s">
        <v>5445</v>
      </c>
      <c r="C21" t="s">
        <v>5444</v>
      </c>
      <c r="D21">
        <v>22</v>
      </c>
      <c r="E21" t="s">
        <v>2321</v>
      </c>
      <c r="F21" t="s">
        <v>2930</v>
      </c>
      <c r="G21" t="s">
        <v>2341</v>
      </c>
      <c r="H21"/>
      <c r="I21"/>
      <c r="J21" t="s">
        <v>2355</v>
      </c>
      <c r="K21"/>
      <c r="L21"/>
      <c r="M21">
        <v>22</v>
      </c>
      <c r="N21">
        <v>444</v>
      </c>
      <c r="O21">
        <v>24</v>
      </c>
      <c r="P21">
        <v>20</v>
      </c>
      <c r="Q21">
        <v>192</v>
      </c>
      <c r="R21" t="s">
        <v>2317</v>
      </c>
      <c r="S21" t="s">
        <v>5443</v>
      </c>
      <c r="T21" t="s">
        <v>5442</v>
      </c>
      <c r="U21" t="s">
        <v>2315</v>
      </c>
      <c r="V21">
        <v>40</v>
      </c>
      <c r="W21"/>
      <c r="X21"/>
      <c r="Y21">
        <v>80</v>
      </c>
      <c r="Z21">
        <v>40</v>
      </c>
      <c r="AA21">
        <v>29</v>
      </c>
      <c r="AB21">
        <v>10</v>
      </c>
      <c r="AC21">
        <v>27</v>
      </c>
      <c r="AD21">
        <v>18</v>
      </c>
      <c r="AE21">
        <v>17</v>
      </c>
      <c r="AF21">
        <v>21</v>
      </c>
      <c r="AG21">
        <v>107</v>
      </c>
      <c r="AH21"/>
      <c r="AI21"/>
      <c r="AJ21"/>
      <c r="AK21"/>
      <c r="AL21"/>
      <c r="AM21"/>
      <c r="AN21"/>
      <c r="AO21">
        <v>296</v>
      </c>
      <c r="AP21"/>
      <c r="AQ21"/>
      <c r="AR21"/>
      <c r="AS21"/>
      <c r="AT21"/>
      <c r="AU21"/>
      <c r="AV21"/>
      <c r="AW21"/>
      <c r="AX21"/>
      <c r="AY21" t="s">
        <v>2373</v>
      </c>
      <c r="AZ21" t="s">
        <v>2374</v>
      </c>
      <c r="BA21" t="s">
        <v>2373</v>
      </c>
      <c r="BB21" t="s">
        <v>2798</v>
      </c>
      <c r="BC21" t="s">
        <v>5367</v>
      </c>
      <c r="BD21" t="s">
        <v>2798</v>
      </c>
      <c r="BE21"/>
      <c r="BF21"/>
      <c r="BG21"/>
      <c r="BH21"/>
      <c r="BI21"/>
      <c r="BJ21"/>
      <c r="BK21"/>
      <c r="BL21"/>
      <c r="BM21"/>
      <c r="BN21"/>
      <c r="BO21"/>
      <c r="BP21" t="s">
        <v>2333</v>
      </c>
      <c r="BQ21" t="s">
        <v>5366</v>
      </c>
      <c r="BR21" t="s">
        <v>2333</v>
      </c>
      <c r="BS21" t="s">
        <v>2332</v>
      </c>
      <c r="BT21" t="s">
        <v>5441</v>
      </c>
      <c r="BU21" t="s">
        <v>5440</v>
      </c>
      <c r="BV21" t="s">
        <v>2329</v>
      </c>
      <c r="BW21" t="s">
        <v>5439</v>
      </c>
      <c r="BX21" t="s">
        <v>5438</v>
      </c>
      <c r="BY21" t="s">
        <v>2831</v>
      </c>
      <c r="BZ21" t="s">
        <v>5437</v>
      </c>
      <c r="CA21" t="s">
        <v>5436</v>
      </c>
      <c r="CB21" t="s">
        <v>2910</v>
      </c>
      <c r="CC21" t="s">
        <v>5435</v>
      </c>
      <c r="CD21" t="s">
        <v>2910</v>
      </c>
      <c r="CE21" t="s">
        <v>2348</v>
      </c>
      <c r="CF21" t="s">
        <v>5434</v>
      </c>
      <c r="CG21" t="s">
        <v>5433</v>
      </c>
      <c r="CH21" t="s">
        <v>3582</v>
      </c>
      <c r="CI21" t="s">
        <v>5378</v>
      </c>
      <c r="CJ21" t="s">
        <v>3582</v>
      </c>
      <c r="CK21" t="s">
        <v>5377</v>
      </c>
      <c r="CL21" t="s">
        <v>5376</v>
      </c>
      <c r="CM21" t="s">
        <v>5375</v>
      </c>
      <c r="CN21" t="s">
        <v>5374</v>
      </c>
      <c r="CO21" t="s">
        <v>5373</v>
      </c>
      <c r="CP21" t="s">
        <v>5432</v>
      </c>
      <c r="CQ21"/>
      <c r="CR21"/>
      <c r="CS21"/>
      <c r="CT21"/>
      <c r="CU21"/>
      <c r="CV21"/>
      <c r="CW21"/>
      <c r="CX21" t="s">
        <v>2307</v>
      </c>
      <c r="CY21">
        <v>107</v>
      </c>
      <c r="CZ21" t="s">
        <v>2306</v>
      </c>
    </row>
    <row r="22" spans="1:104" ht="15.75" customHeight="1">
      <c r="A22" t="s">
        <v>5431</v>
      </c>
      <c r="B22" t="s">
        <v>5430</v>
      </c>
      <c r="C22" t="s">
        <v>5429</v>
      </c>
      <c r="D22">
        <v>21</v>
      </c>
      <c r="E22" t="s">
        <v>2321</v>
      </c>
      <c r="F22" t="s">
        <v>2930</v>
      </c>
      <c r="G22" t="s">
        <v>2341</v>
      </c>
      <c r="H22"/>
      <c r="I22"/>
      <c r="J22" t="s">
        <v>2388</v>
      </c>
      <c r="K22"/>
      <c r="L22"/>
      <c r="M22">
        <v>21</v>
      </c>
      <c r="N22">
        <v>350</v>
      </c>
      <c r="O22">
        <v>20</v>
      </c>
      <c r="P22">
        <v>20</v>
      </c>
      <c r="Q22">
        <v>140</v>
      </c>
      <c r="R22" t="s">
        <v>2317</v>
      </c>
      <c r="S22" t="s">
        <v>5412</v>
      </c>
      <c r="T22" t="s">
        <v>5428</v>
      </c>
      <c r="U22" t="s">
        <v>2315</v>
      </c>
      <c r="V22">
        <v>40</v>
      </c>
      <c r="W22"/>
      <c r="X22">
        <v>40</v>
      </c>
      <c r="Y22">
        <v>80</v>
      </c>
      <c r="Z22"/>
      <c r="AA22">
        <v>27</v>
      </c>
      <c r="AB22">
        <v>12</v>
      </c>
      <c r="AC22">
        <v>25</v>
      </c>
      <c r="AD22">
        <v>20</v>
      </c>
      <c r="AE22">
        <v>17</v>
      </c>
      <c r="AF22">
        <v>19</v>
      </c>
      <c r="AG22">
        <v>110</v>
      </c>
      <c r="AH22"/>
      <c r="AI22"/>
      <c r="AJ22"/>
      <c r="AK22"/>
      <c r="AL22"/>
      <c r="AM22"/>
      <c r="AN22"/>
      <c r="AO22">
        <v>298</v>
      </c>
      <c r="AP22"/>
      <c r="AQ22"/>
      <c r="AR22"/>
      <c r="AS22"/>
      <c r="AT22"/>
      <c r="AU22"/>
      <c r="AV22"/>
      <c r="AW22"/>
      <c r="AX22"/>
      <c r="AY22" t="s">
        <v>2798</v>
      </c>
      <c r="AZ22" t="s">
        <v>5367</v>
      </c>
      <c r="BA22" t="s">
        <v>2798</v>
      </c>
      <c r="BB22"/>
      <c r="BC22"/>
      <c r="BD22"/>
      <c r="BE22"/>
      <c r="BF22"/>
      <c r="BG22"/>
      <c r="BH22"/>
      <c r="BI22"/>
      <c r="BJ22"/>
      <c r="BK22"/>
      <c r="BL22"/>
      <c r="BM22"/>
      <c r="BN22"/>
      <c r="BO22"/>
      <c r="BP22" t="s">
        <v>2333</v>
      </c>
      <c r="BQ22" t="s">
        <v>5366</v>
      </c>
      <c r="BR22" t="s">
        <v>2333</v>
      </c>
      <c r="BS22" t="s">
        <v>2332</v>
      </c>
      <c r="BT22" t="s">
        <v>5427</v>
      </c>
      <c r="BU22" t="s">
        <v>5426</v>
      </c>
      <c r="BV22" t="s">
        <v>2329</v>
      </c>
      <c r="BW22" t="s">
        <v>5425</v>
      </c>
      <c r="BX22" t="s">
        <v>5424</v>
      </c>
      <c r="BY22" t="s">
        <v>2831</v>
      </c>
      <c r="BZ22" t="s">
        <v>5406</v>
      </c>
      <c r="CA22" t="s">
        <v>5405</v>
      </c>
      <c r="CB22" t="s">
        <v>2910</v>
      </c>
      <c r="CC22" t="s">
        <v>5404</v>
      </c>
      <c r="CD22" t="s">
        <v>2910</v>
      </c>
      <c r="CE22" t="s">
        <v>2348</v>
      </c>
      <c r="CF22" t="s">
        <v>5423</v>
      </c>
      <c r="CG22" t="s">
        <v>5422</v>
      </c>
      <c r="CH22" t="s">
        <v>3582</v>
      </c>
      <c r="CI22" t="s">
        <v>5378</v>
      </c>
      <c r="CJ22" t="s">
        <v>3582</v>
      </c>
      <c r="CK22" t="s">
        <v>5377</v>
      </c>
      <c r="CL22" t="s">
        <v>5376</v>
      </c>
      <c r="CM22" t="s">
        <v>5375</v>
      </c>
      <c r="CN22" t="s">
        <v>5374</v>
      </c>
      <c r="CO22" t="s">
        <v>5373</v>
      </c>
      <c r="CP22" t="s">
        <v>5401</v>
      </c>
      <c r="CQ22"/>
      <c r="CR22"/>
      <c r="CS22"/>
      <c r="CT22"/>
      <c r="CU22"/>
      <c r="CV22"/>
      <c r="CW22"/>
      <c r="CX22" t="s">
        <v>2307</v>
      </c>
      <c r="CY22">
        <v>110</v>
      </c>
      <c r="CZ22" t="s">
        <v>2306</v>
      </c>
    </row>
    <row r="23" spans="1:104" ht="15.75" customHeight="1">
      <c r="A23" t="s">
        <v>5421</v>
      </c>
      <c r="B23" t="s">
        <v>5420</v>
      </c>
      <c r="C23" t="s">
        <v>5419</v>
      </c>
      <c r="D23">
        <v>24</v>
      </c>
      <c r="E23" t="s">
        <v>2321</v>
      </c>
      <c r="F23" t="s">
        <v>2930</v>
      </c>
      <c r="G23" t="s">
        <v>2341</v>
      </c>
      <c r="H23"/>
      <c r="I23"/>
      <c r="J23" t="s">
        <v>2355</v>
      </c>
      <c r="K23"/>
      <c r="L23"/>
      <c r="M23">
        <v>22</v>
      </c>
      <c r="N23">
        <v>546</v>
      </c>
      <c r="O23">
        <v>28</v>
      </c>
      <c r="P23">
        <v>20</v>
      </c>
      <c r="Q23">
        <v>252</v>
      </c>
      <c r="R23" t="s">
        <v>2317</v>
      </c>
      <c r="S23" t="s">
        <v>5389</v>
      </c>
      <c r="T23" t="s">
        <v>5388</v>
      </c>
      <c r="U23" t="s">
        <v>2315</v>
      </c>
      <c r="V23">
        <v>40</v>
      </c>
      <c r="W23"/>
      <c r="X23"/>
      <c r="Y23">
        <v>80</v>
      </c>
      <c r="Z23">
        <v>40</v>
      </c>
      <c r="AA23">
        <v>30</v>
      </c>
      <c r="AB23">
        <v>14</v>
      </c>
      <c r="AC23">
        <v>29</v>
      </c>
      <c r="AD23">
        <v>18</v>
      </c>
      <c r="AE23">
        <v>17</v>
      </c>
      <c r="AF23">
        <v>28</v>
      </c>
      <c r="AG23">
        <v>113</v>
      </c>
      <c r="AH23"/>
      <c r="AI23"/>
      <c r="AJ23"/>
      <c r="AK23"/>
      <c r="AL23"/>
      <c r="AM23"/>
      <c r="AN23"/>
      <c r="AO23">
        <v>301</v>
      </c>
      <c r="AP23"/>
      <c r="AQ23"/>
      <c r="AR23"/>
      <c r="AS23"/>
      <c r="AT23"/>
      <c r="AU23"/>
      <c r="AV23"/>
      <c r="AW23"/>
      <c r="AX23"/>
      <c r="AY23" t="s">
        <v>2373</v>
      </c>
      <c r="AZ23" t="s">
        <v>2374</v>
      </c>
      <c r="BA23" t="s">
        <v>2373</v>
      </c>
      <c r="BB23" t="s">
        <v>2798</v>
      </c>
      <c r="BC23" t="s">
        <v>5367</v>
      </c>
      <c r="BD23" t="s">
        <v>2798</v>
      </c>
      <c r="BE23"/>
      <c r="BF23"/>
      <c r="BG23"/>
      <c r="BH23"/>
      <c r="BI23"/>
      <c r="BJ23"/>
      <c r="BK23"/>
      <c r="BL23"/>
      <c r="BM23"/>
      <c r="BN23"/>
      <c r="BO23"/>
      <c r="BP23" t="s">
        <v>2333</v>
      </c>
      <c r="BQ23" t="s">
        <v>5366</v>
      </c>
      <c r="BR23" t="s">
        <v>2333</v>
      </c>
      <c r="BS23" t="s">
        <v>2332</v>
      </c>
      <c r="BT23" t="s">
        <v>5387</v>
      </c>
      <c r="BU23" t="s">
        <v>5386</v>
      </c>
      <c r="BV23" t="s">
        <v>2329</v>
      </c>
      <c r="BW23" t="s">
        <v>5385</v>
      </c>
      <c r="BX23" t="s">
        <v>5384</v>
      </c>
      <c r="BY23" t="s">
        <v>2831</v>
      </c>
      <c r="BZ23" t="s">
        <v>5383</v>
      </c>
      <c r="CA23" t="s">
        <v>5382</v>
      </c>
      <c r="CB23" t="s">
        <v>2910</v>
      </c>
      <c r="CC23" t="s">
        <v>5418</v>
      </c>
      <c r="CD23" t="s">
        <v>2910</v>
      </c>
      <c r="CE23" t="s">
        <v>2348</v>
      </c>
      <c r="CF23" t="s">
        <v>5417</v>
      </c>
      <c r="CG23" t="s">
        <v>5416</v>
      </c>
      <c r="CH23" t="s">
        <v>3582</v>
      </c>
      <c r="CI23" t="s">
        <v>5378</v>
      </c>
      <c r="CJ23" t="s">
        <v>3582</v>
      </c>
      <c r="CK23" t="s">
        <v>5377</v>
      </c>
      <c r="CL23" t="s">
        <v>5376</v>
      </c>
      <c r="CM23" t="s">
        <v>5375</v>
      </c>
      <c r="CN23" t="s">
        <v>5374</v>
      </c>
      <c r="CO23" t="s">
        <v>5373</v>
      </c>
      <c r="CP23" t="s">
        <v>5372</v>
      </c>
      <c r="CQ23"/>
      <c r="CR23"/>
      <c r="CS23"/>
      <c r="CT23"/>
      <c r="CU23"/>
      <c r="CV23"/>
      <c r="CW23"/>
      <c r="CX23" t="s">
        <v>2307</v>
      </c>
      <c r="CY23">
        <v>113</v>
      </c>
      <c r="CZ23" t="s">
        <v>2306</v>
      </c>
    </row>
    <row r="24" spans="1:104" ht="15.75" customHeight="1">
      <c r="A24" t="s">
        <v>5415</v>
      </c>
      <c r="B24" t="s">
        <v>5414</v>
      </c>
      <c r="C24" t="s">
        <v>5413</v>
      </c>
      <c r="D24">
        <v>22</v>
      </c>
      <c r="E24" t="s">
        <v>2321</v>
      </c>
      <c r="F24" t="s">
        <v>2930</v>
      </c>
      <c r="G24" t="s">
        <v>2341</v>
      </c>
      <c r="H24"/>
      <c r="I24"/>
      <c r="J24" t="s">
        <v>2375</v>
      </c>
      <c r="K24"/>
      <c r="L24"/>
      <c r="M24">
        <v>21</v>
      </c>
      <c r="N24">
        <v>385</v>
      </c>
      <c r="O24">
        <v>22</v>
      </c>
      <c r="P24">
        <v>20</v>
      </c>
      <c r="Q24">
        <v>154</v>
      </c>
      <c r="R24" t="s">
        <v>2317</v>
      </c>
      <c r="S24" t="s">
        <v>5412</v>
      </c>
      <c r="T24" t="s">
        <v>3139</v>
      </c>
      <c r="U24" t="s">
        <v>5411</v>
      </c>
      <c r="V24">
        <v>40</v>
      </c>
      <c r="W24"/>
      <c r="X24"/>
      <c r="Y24">
        <v>80</v>
      </c>
      <c r="Z24">
        <v>40</v>
      </c>
      <c r="AA24">
        <v>27</v>
      </c>
      <c r="AB24">
        <v>12</v>
      </c>
      <c r="AC24">
        <v>25</v>
      </c>
      <c r="AD24">
        <v>20</v>
      </c>
      <c r="AE24">
        <v>17</v>
      </c>
      <c r="AF24">
        <v>19</v>
      </c>
      <c r="AG24">
        <v>93</v>
      </c>
      <c r="AH24"/>
      <c r="AI24"/>
      <c r="AJ24"/>
      <c r="AK24"/>
      <c r="AL24"/>
      <c r="AM24"/>
      <c r="AN24"/>
      <c r="AO24">
        <v>287</v>
      </c>
      <c r="AP24"/>
      <c r="AQ24"/>
      <c r="AR24"/>
      <c r="AS24"/>
      <c r="AT24"/>
      <c r="AU24"/>
      <c r="AV24"/>
      <c r="AW24"/>
      <c r="AX24"/>
      <c r="AY24" t="s">
        <v>2373</v>
      </c>
      <c r="AZ24" t="s">
        <v>2374</v>
      </c>
      <c r="BA24" t="s">
        <v>2373</v>
      </c>
      <c r="BB24" t="s">
        <v>2798</v>
      </c>
      <c r="BC24" t="s">
        <v>5367</v>
      </c>
      <c r="BD24" t="s">
        <v>2798</v>
      </c>
      <c r="BE24"/>
      <c r="BF24"/>
      <c r="BG24"/>
      <c r="BH24"/>
      <c r="BI24"/>
      <c r="BJ24"/>
      <c r="BK24"/>
      <c r="BL24"/>
      <c r="BM24"/>
      <c r="BN24"/>
      <c r="BO24"/>
      <c r="BP24" t="s">
        <v>2333</v>
      </c>
      <c r="BQ24" t="s">
        <v>5366</v>
      </c>
      <c r="BR24" t="s">
        <v>2333</v>
      </c>
      <c r="BS24" t="s">
        <v>2332</v>
      </c>
      <c r="BT24" t="s">
        <v>5410</v>
      </c>
      <c r="BU24" t="s">
        <v>5409</v>
      </c>
      <c r="BV24" t="s">
        <v>2329</v>
      </c>
      <c r="BW24" t="s">
        <v>5408</v>
      </c>
      <c r="BX24" t="s">
        <v>5407</v>
      </c>
      <c r="BY24" t="s">
        <v>2831</v>
      </c>
      <c r="BZ24" t="s">
        <v>5406</v>
      </c>
      <c r="CA24" t="s">
        <v>5405</v>
      </c>
      <c r="CB24" t="s">
        <v>2910</v>
      </c>
      <c r="CC24" t="s">
        <v>5404</v>
      </c>
      <c r="CD24" t="s">
        <v>2910</v>
      </c>
      <c r="CE24" t="s">
        <v>2370</v>
      </c>
      <c r="CF24" t="s">
        <v>5403</v>
      </c>
      <c r="CG24" t="s">
        <v>5402</v>
      </c>
      <c r="CH24"/>
      <c r="CI24"/>
      <c r="CJ24"/>
      <c r="CK24" t="s">
        <v>5377</v>
      </c>
      <c r="CL24" t="s">
        <v>5376</v>
      </c>
      <c r="CM24" t="s">
        <v>5375</v>
      </c>
      <c r="CN24" t="s">
        <v>5374</v>
      </c>
      <c r="CO24" t="s">
        <v>5373</v>
      </c>
      <c r="CP24" t="s">
        <v>5401</v>
      </c>
      <c r="CQ24"/>
      <c r="CR24"/>
      <c r="CS24"/>
      <c r="CT24"/>
      <c r="CU24"/>
      <c r="CV24"/>
      <c r="CW24"/>
      <c r="CX24" t="s">
        <v>2307</v>
      </c>
      <c r="CY24">
        <v>93</v>
      </c>
      <c r="CZ24" t="s">
        <v>2306</v>
      </c>
    </row>
    <row r="25" spans="1:104" ht="15.75" customHeight="1">
      <c r="A25" t="s">
        <v>5400</v>
      </c>
      <c r="B25" t="s">
        <v>5399</v>
      </c>
      <c r="C25" t="s">
        <v>5398</v>
      </c>
      <c r="D25">
        <v>24</v>
      </c>
      <c r="E25" t="s">
        <v>2321</v>
      </c>
      <c r="F25" t="s">
        <v>2930</v>
      </c>
      <c r="G25" t="s">
        <v>2341</v>
      </c>
      <c r="H25"/>
      <c r="I25"/>
      <c r="J25" t="s">
        <v>2340</v>
      </c>
      <c r="K25"/>
      <c r="L25"/>
      <c r="M25">
        <v>22</v>
      </c>
      <c r="N25">
        <v>546</v>
      </c>
      <c r="O25">
        <v>28</v>
      </c>
      <c r="P25">
        <v>20</v>
      </c>
      <c r="Q25">
        <v>252</v>
      </c>
      <c r="R25" t="s">
        <v>2317</v>
      </c>
      <c r="S25" t="s">
        <v>5389</v>
      </c>
      <c r="T25" t="s">
        <v>5388</v>
      </c>
      <c r="U25" t="s">
        <v>5397</v>
      </c>
      <c r="V25">
        <v>40</v>
      </c>
      <c r="W25"/>
      <c r="X25">
        <v>40</v>
      </c>
      <c r="Y25">
        <v>80</v>
      </c>
      <c r="Z25"/>
      <c r="AA25">
        <v>30</v>
      </c>
      <c r="AB25">
        <v>10</v>
      </c>
      <c r="AC25">
        <v>29</v>
      </c>
      <c r="AD25">
        <v>18</v>
      </c>
      <c r="AE25">
        <v>15</v>
      </c>
      <c r="AF25">
        <v>23</v>
      </c>
      <c r="AG25">
        <v>97</v>
      </c>
      <c r="AH25"/>
      <c r="AI25"/>
      <c r="AJ25"/>
      <c r="AK25"/>
      <c r="AL25"/>
      <c r="AM25"/>
      <c r="AN25"/>
      <c r="AO25">
        <v>289</v>
      </c>
      <c r="AP25"/>
      <c r="AQ25"/>
      <c r="AR25"/>
      <c r="AS25"/>
      <c r="AT25"/>
      <c r="AU25"/>
      <c r="AV25"/>
      <c r="AW25"/>
      <c r="AX25"/>
      <c r="AY25" t="s">
        <v>2798</v>
      </c>
      <c r="AZ25" t="s">
        <v>5367</v>
      </c>
      <c r="BA25" t="s">
        <v>2798</v>
      </c>
      <c r="BB25"/>
      <c r="BC25"/>
      <c r="BD25"/>
      <c r="BE25"/>
      <c r="BF25"/>
      <c r="BG25"/>
      <c r="BH25"/>
      <c r="BI25"/>
      <c r="BJ25"/>
      <c r="BK25"/>
      <c r="BL25"/>
      <c r="BM25"/>
      <c r="BN25"/>
      <c r="BO25"/>
      <c r="BP25" t="s">
        <v>2333</v>
      </c>
      <c r="BQ25" t="s">
        <v>5366</v>
      </c>
      <c r="BR25" t="s">
        <v>2333</v>
      </c>
      <c r="BS25" t="s">
        <v>2332</v>
      </c>
      <c r="BT25" t="s">
        <v>5396</v>
      </c>
      <c r="BU25" t="s">
        <v>5395</v>
      </c>
      <c r="BV25" t="s">
        <v>2329</v>
      </c>
      <c r="BW25" t="s">
        <v>5385</v>
      </c>
      <c r="BX25" t="s">
        <v>5384</v>
      </c>
      <c r="BY25" t="s">
        <v>2831</v>
      </c>
      <c r="BZ25" t="s">
        <v>5383</v>
      </c>
      <c r="CA25" t="s">
        <v>5382</v>
      </c>
      <c r="CB25" t="s">
        <v>2910</v>
      </c>
      <c r="CC25" t="s">
        <v>5381</v>
      </c>
      <c r="CD25" t="s">
        <v>2910</v>
      </c>
      <c r="CE25" t="s">
        <v>2361</v>
      </c>
      <c r="CF25" t="s">
        <v>5394</v>
      </c>
      <c r="CG25" t="s">
        <v>5393</v>
      </c>
      <c r="CH25"/>
      <c r="CI25"/>
      <c r="CJ25"/>
      <c r="CK25" t="s">
        <v>5377</v>
      </c>
      <c r="CL25" t="s">
        <v>5376</v>
      </c>
      <c r="CM25" t="s">
        <v>5375</v>
      </c>
      <c r="CN25" t="s">
        <v>5374</v>
      </c>
      <c r="CO25" t="s">
        <v>5373</v>
      </c>
      <c r="CP25" t="s">
        <v>5372</v>
      </c>
      <c r="CQ25"/>
      <c r="CR25"/>
      <c r="CS25"/>
      <c r="CT25"/>
      <c r="CU25"/>
      <c r="CV25"/>
      <c r="CW25"/>
      <c r="CX25" t="s">
        <v>2307</v>
      </c>
      <c r="CY25">
        <v>97</v>
      </c>
      <c r="CZ25" t="s">
        <v>2306</v>
      </c>
    </row>
    <row r="26" spans="1:104" ht="15.75" customHeight="1">
      <c r="A26" t="s">
        <v>5392</v>
      </c>
      <c r="B26" t="s">
        <v>5391</v>
      </c>
      <c r="C26" t="s">
        <v>5390</v>
      </c>
      <c r="D26">
        <v>23</v>
      </c>
      <c r="E26" t="s">
        <v>2321</v>
      </c>
      <c r="F26" t="s">
        <v>2930</v>
      </c>
      <c r="G26" t="s">
        <v>2341</v>
      </c>
      <c r="H26"/>
      <c r="I26"/>
      <c r="J26" t="s">
        <v>2355</v>
      </c>
      <c r="K26"/>
      <c r="L26"/>
      <c r="M26">
        <v>22</v>
      </c>
      <c r="N26">
        <v>487</v>
      </c>
      <c r="O26">
        <v>25</v>
      </c>
      <c r="P26">
        <v>20</v>
      </c>
      <c r="Q26">
        <v>225</v>
      </c>
      <c r="R26" t="s">
        <v>2317</v>
      </c>
      <c r="S26" t="s">
        <v>5389</v>
      </c>
      <c r="T26" t="s">
        <v>5388</v>
      </c>
      <c r="U26" t="s">
        <v>2315</v>
      </c>
      <c r="V26">
        <v>40</v>
      </c>
      <c r="W26"/>
      <c r="X26"/>
      <c r="Y26">
        <v>80</v>
      </c>
      <c r="Z26"/>
      <c r="AA26">
        <v>30</v>
      </c>
      <c r="AB26">
        <v>10</v>
      </c>
      <c r="AC26">
        <v>29</v>
      </c>
      <c r="AD26">
        <v>18</v>
      </c>
      <c r="AE26">
        <v>15</v>
      </c>
      <c r="AF26">
        <v>23</v>
      </c>
      <c r="AG26">
        <v>116</v>
      </c>
      <c r="AH26"/>
      <c r="AI26"/>
      <c r="AJ26"/>
      <c r="AK26"/>
      <c r="AL26"/>
      <c r="AM26"/>
      <c r="AN26"/>
      <c r="AO26">
        <v>304</v>
      </c>
      <c r="AP26"/>
      <c r="AQ26"/>
      <c r="AR26"/>
      <c r="AS26"/>
      <c r="AT26"/>
      <c r="AU26"/>
      <c r="AV26"/>
      <c r="AW26"/>
      <c r="AX26"/>
      <c r="AY26" t="s">
        <v>2798</v>
      </c>
      <c r="AZ26" t="s">
        <v>5367</v>
      </c>
      <c r="BA26" t="s">
        <v>2798</v>
      </c>
      <c r="BB26"/>
      <c r="BC26"/>
      <c r="BD26"/>
      <c r="BE26"/>
      <c r="BF26"/>
      <c r="BG26"/>
      <c r="BH26"/>
      <c r="BI26"/>
      <c r="BJ26"/>
      <c r="BK26"/>
      <c r="BL26"/>
      <c r="BM26"/>
      <c r="BN26"/>
      <c r="BO26"/>
      <c r="BP26" t="s">
        <v>2333</v>
      </c>
      <c r="BQ26" t="s">
        <v>5366</v>
      </c>
      <c r="BR26" t="s">
        <v>2333</v>
      </c>
      <c r="BS26" t="s">
        <v>2332</v>
      </c>
      <c r="BT26" t="s">
        <v>5387</v>
      </c>
      <c r="BU26" t="s">
        <v>5386</v>
      </c>
      <c r="BV26" t="s">
        <v>2329</v>
      </c>
      <c r="BW26" t="s">
        <v>5385</v>
      </c>
      <c r="BX26" t="s">
        <v>5384</v>
      </c>
      <c r="BY26" t="s">
        <v>2831</v>
      </c>
      <c r="BZ26" t="s">
        <v>5383</v>
      </c>
      <c r="CA26" t="s">
        <v>5382</v>
      </c>
      <c r="CB26" t="s">
        <v>2910</v>
      </c>
      <c r="CC26" t="s">
        <v>5381</v>
      </c>
      <c r="CD26" t="s">
        <v>2910</v>
      </c>
      <c r="CE26" t="s">
        <v>2348</v>
      </c>
      <c r="CF26" t="s">
        <v>5380</v>
      </c>
      <c r="CG26" t="s">
        <v>5379</v>
      </c>
      <c r="CH26" t="s">
        <v>3582</v>
      </c>
      <c r="CI26" t="s">
        <v>5378</v>
      </c>
      <c r="CJ26" t="s">
        <v>3582</v>
      </c>
      <c r="CK26" t="s">
        <v>5377</v>
      </c>
      <c r="CL26" t="s">
        <v>5376</v>
      </c>
      <c r="CM26" t="s">
        <v>5375</v>
      </c>
      <c r="CN26" t="s">
        <v>5374</v>
      </c>
      <c r="CO26" t="s">
        <v>5373</v>
      </c>
      <c r="CP26" t="s">
        <v>5372</v>
      </c>
      <c r="CQ26"/>
      <c r="CR26"/>
      <c r="CS26"/>
      <c r="CT26"/>
      <c r="CU26"/>
      <c r="CV26"/>
      <c r="CW26"/>
      <c r="CX26" t="s">
        <v>2307</v>
      </c>
      <c r="CY26">
        <v>116</v>
      </c>
      <c r="CZ26" t="s">
        <v>2306</v>
      </c>
    </row>
    <row r="27" spans="1:104" ht="15.75" customHeight="1">
      <c r="A27" t="s">
        <v>5371</v>
      </c>
      <c r="B27" t="s">
        <v>5370</v>
      </c>
      <c r="C27" t="s">
        <v>5369</v>
      </c>
      <c r="D27">
        <v>20</v>
      </c>
      <c r="E27" t="s">
        <v>2321</v>
      </c>
      <c r="F27" t="s">
        <v>2930</v>
      </c>
      <c r="G27" t="s">
        <v>2341</v>
      </c>
      <c r="H27"/>
      <c r="I27"/>
      <c r="J27" t="s">
        <v>2340</v>
      </c>
      <c r="K27"/>
      <c r="L27"/>
      <c r="M27">
        <v>20</v>
      </c>
      <c r="N27">
        <v>333</v>
      </c>
      <c r="O27">
        <v>18</v>
      </c>
      <c r="P27">
        <v>20</v>
      </c>
      <c r="Q27">
        <v>144</v>
      </c>
      <c r="R27" t="s">
        <v>2317</v>
      </c>
      <c r="S27" t="s">
        <v>5368</v>
      </c>
      <c r="T27" t="s">
        <v>5260</v>
      </c>
      <c r="U27" t="s">
        <v>3518</v>
      </c>
      <c r="V27">
        <v>40</v>
      </c>
      <c r="W27">
        <v>40</v>
      </c>
      <c r="X27"/>
      <c r="Y27">
        <v>80</v>
      </c>
      <c r="Z27">
        <v>40</v>
      </c>
      <c r="AA27">
        <v>26</v>
      </c>
      <c r="AB27">
        <v>10</v>
      </c>
      <c r="AC27">
        <v>26</v>
      </c>
      <c r="AD27">
        <v>10</v>
      </c>
      <c r="AE27">
        <v>13</v>
      </c>
      <c r="AF27">
        <v>14</v>
      </c>
      <c r="AG27">
        <v>100</v>
      </c>
      <c r="AH27"/>
      <c r="AI27"/>
      <c r="AJ27"/>
      <c r="AK27"/>
      <c r="AL27"/>
      <c r="AM27"/>
      <c r="AN27"/>
      <c r="AO27">
        <v>291</v>
      </c>
      <c r="AP27"/>
      <c r="AQ27"/>
      <c r="AR27"/>
      <c r="AS27"/>
      <c r="AT27"/>
      <c r="AU27"/>
      <c r="AV27"/>
      <c r="AW27"/>
      <c r="AX27"/>
      <c r="AY27" t="s">
        <v>2335</v>
      </c>
      <c r="AZ27" t="s">
        <v>2336</v>
      </c>
      <c r="BA27" t="s">
        <v>2335</v>
      </c>
      <c r="BB27" t="s">
        <v>2798</v>
      </c>
      <c r="BC27" t="s">
        <v>5367</v>
      </c>
      <c r="BD27" t="s">
        <v>2798</v>
      </c>
      <c r="BE27"/>
      <c r="BF27"/>
      <c r="BG27"/>
      <c r="BH27"/>
      <c r="BI27"/>
      <c r="BJ27"/>
      <c r="BK27"/>
      <c r="BL27"/>
      <c r="BM27"/>
      <c r="BN27"/>
      <c r="BO27"/>
      <c r="BP27" t="s">
        <v>2333</v>
      </c>
      <c r="BQ27" t="s">
        <v>5366</v>
      </c>
      <c r="BR27" t="s">
        <v>2333</v>
      </c>
      <c r="BS27" t="s">
        <v>2332</v>
      </c>
      <c r="BT27" t="s">
        <v>5365</v>
      </c>
      <c r="BU27" t="s">
        <v>5364</v>
      </c>
      <c r="BV27" t="s">
        <v>2329</v>
      </c>
      <c r="BW27" t="s">
        <v>5363</v>
      </c>
      <c r="BX27" t="s">
        <v>5362</v>
      </c>
      <c r="BY27" t="s">
        <v>2831</v>
      </c>
      <c r="BZ27" t="s">
        <v>5361</v>
      </c>
      <c r="CA27" t="s">
        <v>5360</v>
      </c>
      <c r="CB27" t="s">
        <v>2910</v>
      </c>
      <c r="CC27" t="s">
        <v>5359</v>
      </c>
      <c r="CD27" t="s">
        <v>2910</v>
      </c>
      <c r="CE27" t="s">
        <v>2326</v>
      </c>
      <c r="CF27" t="s">
        <v>5358</v>
      </c>
      <c r="CG27" t="s">
        <v>5357</v>
      </c>
      <c r="CH27"/>
      <c r="CI27"/>
      <c r="CJ27"/>
      <c r="CK27"/>
      <c r="CL27"/>
      <c r="CM27"/>
      <c r="CN27"/>
      <c r="CO27"/>
      <c r="CP27"/>
      <c r="CQ27"/>
      <c r="CR27"/>
      <c r="CS27"/>
      <c r="CT27"/>
      <c r="CU27"/>
      <c r="CV27"/>
      <c r="CW27"/>
      <c r="CX27" t="s">
        <v>2307</v>
      </c>
      <c r="CY27">
        <v>100</v>
      </c>
      <c r="CZ27" t="s">
        <v>2306</v>
      </c>
    </row>
    <row r="28" spans="1:104" ht="15.75" customHeight="1">
      <c r="A28" t="s">
        <v>5356</v>
      </c>
      <c r="B28" t="s">
        <v>5356</v>
      </c>
      <c r="C28" t="s">
        <v>5355</v>
      </c>
      <c r="D28">
        <v>17</v>
      </c>
      <c r="E28" t="s">
        <v>2321</v>
      </c>
      <c r="F28" t="s">
        <v>2342</v>
      </c>
      <c r="G28" t="s">
        <v>2440</v>
      </c>
      <c r="H28"/>
      <c r="I28"/>
      <c r="J28" t="s">
        <v>4173</v>
      </c>
      <c r="K28">
        <v>12</v>
      </c>
      <c r="L28" t="s">
        <v>1903</v>
      </c>
      <c r="M28">
        <v>17</v>
      </c>
      <c r="N28">
        <v>199</v>
      </c>
      <c r="O28">
        <v>19</v>
      </c>
      <c r="P28">
        <v>10</v>
      </c>
      <c r="Q28">
        <v>95</v>
      </c>
      <c r="R28" t="s">
        <v>2825</v>
      </c>
      <c r="S28" t="s">
        <v>5354</v>
      </c>
      <c r="T28" t="s">
        <v>2315</v>
      </c>
      <c r="U28" t="s">
        <v>2315</v>
      </c>
      <c r="V28">
        <v>40</v>
      </c>
      <c r="W28"/>
      <c r="X28"/>
      <c r="Y28">
        <v>60</v>
      </c>
      <c r="Z28"/>
      <c r="AA28">
        <v>22</v>
      </c>
      <c r="AB28">
        <v>10</v>
      </c>
      <c r="AC28">
        <v>20</v>
      </c>
      <c r="AD28">
        <v>16</v>
      </c>
      <c r="AE28">
        <v>18</v>
      </c>
      <c r="AF28">
        <v>23</v>
      </c>
      <c r="AG28">
        <v>281</v>
      </c>
      <c r="AH28"/>
      <c r="AI28"/>
      <c r="AJ28"/>
      <c r="AK28"/>
      <c r="AL28"/>
      <c r="AM28"/>
      <c r="AN28"/>
      <c r="AO28">
        <v>350</v>
      </c>
      <c r="AP28"/>
      <c r="AQ28"/>
      <c r="AR28"/>
      <c r="AS28"/>
      <c r="AT28"/>
      <c r="AU28"/>
      <c r="AV28"/>
      <c r="AW28"/>
      <c r="AX28"/>
      <c r="AY28" t="s">
        <v>4170</v>
      </c>
      <c r="AZ28" t="s">
        <v>4171</v>
      </c>
      <c r="BA28" t="s">
        <v>4170</v>
      </c>
      <c r="BB28" t="s">
        <v>2819</v>
      </c>
      <c r="BC28" t="s">
        <v>4169</v>
      </c>
      <c r="BD28" t="s">
        <v>2819</v>
      </c>
      <c r="BE28" t="s">
        <v>3088</v>
      </c>
      <c r="BF28" t="s">
        <v>5353</v>
      </c>
      <c r="BG28" t="s">
        <v>3088</v>
      </c>
      <c r="BH28"/>
      <c r="BI28"/>
      <c r="BJ28"/>
      <c r="BK28"/>
      <c r="BL28"/>
      <c r="BM28"/>
      <c r="BN28"/>
      <c r="BO28"/>
      <c r="BP28" t="s">
        <v>2333</v>
      </c>
      <c r="BQ28" t="s">
        <v>4167</v>
      </c>
      <c r="BR28" t="s">
        <v>2333</v>
      </c>
      <c r="BS28" t="s">
        <v>2329</v>
      </c>
      <c r="BT28" t="s">
        <v>5352</v>
      </c>
      <c r="BU28" t="s">
        <v>5351</v>
      </c>
      <c r="BV28" t="s">
        <v>5349</v>
      </c>
      <c r="BW28" t="s">
        <v>5350</v>
      </c>
      <c r="BX28" t="s">
        <v>5349</v>
      </c>
      <c r="BY28"/>
      <c r="BZ28"/>
      <c r="CA28"/>
      <c r="CB28"/>
      <c r="CC28"/>
      <c r="CD28"/>
      <c r="CE28"/>
      <c r="CF28"/>
      <c r="CG28"/>
      <c r="CH28"/>
      <c r="CI28"/>
      <c r="CJ28"/>
      <c r="CK28" t="s">
        <v>4165</v>
      </c>
      <c r="CL28" t="s">
        <v>4164</v>
      </c>
      <c r="CM28" t="s">
        <v>4163</v>
      </c>
      <c r="CN28" t="s">
        <v>4162</v>
      </c>
      <c r="CO28" t="s">
        <v>4161</v>
      </c>
      <c r="CP28" t="s">
        <v>4160</v>
      </c>
      <c r="CQ28"/>
      <c r="CR28"/>
      <c r="CS28"/>
      <c r="CT28"/>
      <c r="CU28"/>
      <c r="CV28"/>
      <c r="CW28"/>
      <c r="CX28" t="s">
        <v>2307</v>
      </c>
      <c r="CY28">
        <v>281</v>
      </c>
      <c r="CZ28" t="s">
        <v>2306</v>
      </c>
    </row>
    <row r="29" spans="1:104" ht="15.75" customHeight="1">
      <c r="A29" t="s">
        <v>5348</v>
      </c>
      <c r="B29" t="s">
        <v>5347</v>
      </c>
      <c r="C29" t="s">
        <v>5346</v>
      </c>
      <c r="D29">
        <v>1</v>
      </c>
      <c r="E29" t="s">
        <v>2321</v>
      </c>
      <c r="F29" t="s">
        <v>2320</v>
      </c>
      <c r="G29" t="s">
        <v>3017</v>
      </c>
      <c r="H29"/>
      <c r="I29"/>
      <c r="J29" t="s">
        <v>1908</v>
      </c>
      <c r="K29"/>
      <c r="L29"/>
      <c r="M29">
        <v>18</v>
      </c>
      <c r="N29">
        <v>33</v>
      </c>
      <c r="O29">
        <v>6</v>
      </c>
      <c r="P29">
        <v>8</v>
      </c>
      <c r="Q29">
        <v>6</v>
      </c>
      <c r="R29" t="s">
        <v>2317</v>
      </c>
      <c r="S29" t="s">
        <v>2458</v>
      </c>
      <c r="T29" t="s">
        <v>2315</v>
      </c>
      <c r="U29" t="s">
        <v>2315</v>
      </c>
      <c r="V29">
        <v>25</v>
      </c>
      <c r="W29"/>
      <c r="X29"/>
      <c r="Y29"/>
      <c r="Z29"/>
      <c r="AA29">
        <v>14</v>
      </c>
      <c r="AB29">
        <v>11</v>
      </c>
      <c r="AC29">
        <v>13</v>
      </c>
      <c r="AD29">
        <v>1</v>
      </c>
      <c r="AE29">
        <v>3</v>
      </c>
      <c r="AF29">
        <v>1</v>
      </c>
      <c r="AG29">
        <v>19</v>
      </c>
      <c r="AH29"/>
      <c r="AI29"/>
      <c r="AJ29"/>
      <c r="AK29"/>
      <c r="AL29"/>
      <c r="AM29"/>
      <c r="AN29">
        <v>8</v>
      </c>
      <c r="AO29">
        <v>266</v>
      </c>
      <c r="AP29"/>
      <c r="AQ29">
        <v>6</v>
      </c>
      <c r="AR29"/>
      <c r="AS29" t="s">
        <v>5345</v>
      </c>
      <c r="AT29"/>
      <c r="AU29"/>
      <c r="AV29" t="s">
        <v>3423</v>
      </c>
      <c r="AW29"/>
      <c r="AX29"/>
      <c r="AY29" t="s">
        <v>3312</v>
      </c>
      <c r="AZ29" t="s">
        <v>5344</v>
      </c>
      <c r="BA29" t="s">
        <v>3312</v>
      </c>
      <c r="BB29" t="s">
        <v>2739</v>
      </c>
      <c r="BC29" t="s">
        <v>5343</v>
      </c>
      <c r="BD29" t="s">
        <v>2739</v>
      </c>
      <c r="BE29"/>
      <c r="BF29"/>
      <c r="BG29"/>
      <c r="BH29"/>
      <c r="BI29"/>
      <c r="BJ29"/>
      <c r="BK29"/>
      <c r="BL29"/>
      <c r="BM29"/>
      <c r="BN29"/>
      <c r="BO29"/>
      <c r="BP29" t="s">
        <v>2333</v>
      </c>
      <c r="BQ29" t="s">
        <v>5342</v>
      </c>
      <c r="BR29" t="s">
        <v>2333</v>
      </c>
      <c r="BS29" t="s">
        <v>2310</v>
      </c>
      <c r="BT29" t="s">
        <v>3868</v>
      </c>
      <c r="BU29" t="s">
        <v>5341</v>
      </c>
      <c r="BV29"/>
      <c r="BW29"/>
      <c r="BX29"/>
      <c r="BY29"/>
      <c r="BZ29"/>
      <c r="CA29"/>
      <c r="CB29"/>
      <c r="CC29"/>
      <c r="CD29"/>
      <c r="CE29"/>
      <c r="CF29"/>
      <c r="CG29"/>
      <c r="CH29"/>
      <c r="CI29"/>
      <c r="CJ29"/>
      <c r="CK29"/>
      <c r="CL29"/>
      <c r="CM29"/>
      <c r="CN29"/>
      <c r="CO29"/>
      <c r="CP29"/>
      <c r="CQ29"/>
      <c r="CR29"/>
      <c r="CS29"/>
      <c r="CT29"/>
      <c r="CU29"/>
      <c r="CV29"/>
      <c r="CW29"/>
      <c r="CX29" t="s">
        <v>2307</v>
      </c>
      <c r="CY29">
        <v>19</v>
      </c>
      <c r="CZ29" t="s">
        <v>2306</v>
      </c>
    </row>
    <row r="30" spans="1:104" ht="15.75" customHeight="1">
      <c r="A30" t="s">
        <v>5340</v>
      </c>
      <c r="B30" t="s">
        <v>5340</v>
      </c>
      <c r="C30" t="s">
        <v>5339</v>
      </c>
      <c r="D30">
        <v>2</v>
      </c>
      <c r="E30" t="s">
        <v>2321</v>
      </c>
      <c r="F30" t="s">
        <v>2342</v>
      </c>
      <c r="G30" t="s">
        <v>2440</v>
      </c>
      <c r="H30"/>
      <c r="I30"/>
      <c r="J30" t="s">
        <v>1908</v>
      </c>
      <c r="K30"/>
      <c r="L30"/>
      <c r="M30">
        <v>14</v>
      </c>
      <c r="N30">
        <v>39</v>
      </c>
      <c r="O30">
        <v>6</v>
      </c>
      <c r="P30">
        <v>10</v>
      </c>
      <c r="Q30">
        <v>6</v>
      </c>
      <c r="R30" t="s">
        <v>2317</v>
      </c>
      <c r="S30" t="s">
        <v>5338</v>
      </c>
      <c r="T30" t="s">
        <v>5337</v>
      </c>
      <c r="U30" t="s">
        <v>2315</v>
      </c>
      <c r="V30">
        <v>30</v>
      </c>
      <c r="W30">
        <v>10</v>
      </c>
      <c r="X30"/>
      <c r="Y30"/>
      <c r="Z30"/>
      <c r="AA30">
        <v>17</v>
      </c>
      <c r="AB30">
        <v>11</v>
      </c>
      <c r="AC30">
        <v>13</v>
      </c>
      <c r="AD30">
        <v>1</v>
      </c>
      <c r="AE30">
        <v>13</v>
      </c>
      <c r="AF30">
        <v>6</v>
      </c>
      <c r="AG30">
        <v>21</v>
      </c>
      <c r="AH30"/>
      <c r="AI30"/>
      <c r="AJ30"/>
      <c r="AK30"/>
      <c r="AL30"/>
      <c r="AM30"/>
      <c r="AN30"/>
      <c r="AO30">
        <v>267</v>
      </c>
      <c r="AP30"/>
      <c r="AQ30"/>
      <c r="AR30"/>
      <c r="AS30"/>
      <c r="AT30">
        <v>8</v>
      </c>
      <c r="AU30"/>
      <c r="AV30" t="s">
        <v>5336</v>
      </c>
      <c r="AW30"/>
      <c r="AX30"/>
      <c r="AY30"/>
      <c r="AZ30"/>
      <c r="BA30"/>
      <c r="BB30"/>
      <c r="BC30"/>
      <c r="BD30"/>
      <c r="BE30"/>
      <c r="BF30"/>
      <c r="BG30"/>
      <c r="BH30"/>
      <c r="BI30"/>
      <c r="BJ30"/>
      <c r="BK30"/>
      <c r="BL30"/>
      <c r="BM30"/>
      <c r="BN30"/>
      <c r="BO30"/>
      <c r="BP30" t="s">
        <v>2332</v>
      </c>
      <c r="BQ30" t="s">
        <v>5335</v>
      </c>
      <c r="BR30" t="s">
        <v>5334</v>
      </c>
      <c r="BS30" t="s">
        <v>5333</v>
      </c>
      <c r="BT30" t="s">
        <v>5332</v>
      </c>
      <c r="BU30" t="s">
        <v>5331</v>
      </c>
      <c r="BV30"/>
      <c r="BW30"/>
      <c r="BX30"/>
      <c r="BY30"/>
      <c r="BZ30"/>
      <c r="CA30"/>
      <c r="CB30"/>
      <c r="CC30"/>
      <c r="CD30"/>
      <c r="CE30"/>
      <c r="CF30"/>
      <c r="CG30"/>
      <c r="CH30"/>
      <c r="CI30"/>
      <c r="CJ30"/>
      <c r="CK30"/>
      <c r="CL30"/>
      <c r="CM30"/>
      <c r="CN30"/>
      <c r="CO30"/>
      <c r="CP30"/>
      <c r="CQ30"/>
      <c r="CR30"/>
      <c r="CS30"/>
      <c r="CT30"/>
      <c r="CU30"/>
      <c r="CV30"/>
      <c r="CW30"/>
      <c r="CX30" t="s">
        <v>2307</v>
      </c>
      <c r="CY30">
        <v>21</v>
      </c>
      <c r="CZ30" t="s">
        <v>2306</v>
      </c>
    </row>
    <row r="31" spans="1:104" ht="15.75" customHeight="1">
      <c r="A31" t="s">
        <v>5330</v>
      </c>
      <c r="B31" t="s">
        <v>5330</v>
      </c>
      <c r="C31" t="s">
        <v>5329</v>
      </c>
      <c r="D31">
        <v>3</v>
      </c>
      <c r="E31" t="s">
        <v>2321</v>
      </c>
      <c r="F31" t="s">
        <v>2838</v>
      </c>
      <c r="G31" t="s">
        <v>2543</v>
      </c>
      <c r="H31" t="s">
        <v>2837</v>
      </c>
      <c r="I31"/>
      <c r="J31" t="s">
        <v>1908</v>
      </c>
      <c r="K31"/>
      <c r="L31"/>
      <c r="M31">
        <v>15</v>
      </c>
      <c r="N31">
        <v>68</v>
      </c>
      <c r="O31">
        <v>8</v>
      </c>
      <c r="P31">
        <v>12</v>
      </c>
      <c r="Q31">
        <v>16</v>
      </c>
      <c r="R31" t="s">
        <v>2317</v>
      </c>
      <c r="S31" t="s">
        <v>5328</v>
      </c>
      <c r="T31" t="s">
        <v>2315</v>
      </c>
      <c r="U31" t="s">
        <v>2315</v>
      </c>
      <c r="V31">
        <v>30</v>
      </c>
      <c r="W31"/>
      <c r="X31"/>
      <c r="Y31"/>
      <c r="Z31"/>
      <c r="AA31">
        <v>19</v>
      </c>
      <c r="AB31">
        <v>11</v>
      </c>
      <c r="AC31">
        <v>15</v>
      </c>
      <c r="AD31">
        <v>2</v>
      </c>
      <c r="AE31">
        <v>12</v>
      </c>
      <c r="AF31">
        <v>5</v>
      </c>
      <c r="AG31">
        <v>79</v>
      </c>
      <c r="AH31"/>
      <c r="AI31"/>
      <c r="AJ31"/>
      <c r="AK31"/>
      <c r="AL31"/>
      <c r="AM31"/>
      <c r="AN31">
        <v>10</v>
      </c>
      <c r="AO31"/>
      <c r="AP31"/>
      <c r="AQ31"/>
      <c r="AR31"/>
      <c r="AS31"/>
      <c r="AT31"/>
      <c r="AU31"/>
      <c r="AV31"/>
      <c r="AW31"/>
      <c r="AX31"/>
      <c r="AY31"/>
      <c r="AZ31"/>
      <c r="BA31"/>
      <c r="BB31"/>
      <c r="BC31"/>
      <c r="BD31"/>
      <c r="BE31"/>
      <c r="BF31"/>
      <c r="BG31"/>
      <c r="BH31"/>
      <c r="BI31"/>
      <c r="BJ31"/>
      <c r="BK31"/>
      <c r="BL31"/>
      <c r="BM31"/>
      <c r="BN31"/>
      <c r="BO31"/>
      <c r="BP31" t="s">
        <v>2831</v>
      </c>
      <c r="BQ31" t="s">
        <v>5327</v>
      </c>
      <c r="BR31" t="s">
        <v>5326</v>
      </c>
      <c r="BS31"/>
      <c r="BT31"/>
      <c r="BU31"/>
      <c r="BV31"/>
      <c r="BW31"/>
      <c r="BX31"/>
      <c r="BY31"/>
      <c r="BZ31"/>
      <c r="CA31"/>
      <c r="CB31"/>
      <c r="CC31"/>
      <c r="CD31"/>
      <c r="CE31"/>
      <c r="CF31"/>
      <c r="CG31"/>
      <c r="CH31"/>
      <c r="CI31"/>
      <c r="CJ31"/>
      <c r="CK31"/>
      <c r="CL31"/>
      <c r="CM31"/>
      <c r="CN31"/>
      <c r="CO31"/>
      <c r="CP31"/>
      <c r="CQ31"/>
      <c r="CR31"/>
      <c r="CS31"/>
      <c r="CT31"/>
      <c r="CU31"/>
      <c r="CV31"/>
      <c r="CW31"/>
      <c r="CX31" t="s">
        <v>2307</v>
      </c>
      <c r="CY31">
        <v>79</v>
      </c>
      <c r="CZ31" t="s">
        <v>2306</v>
      </c>
    </row>
    <row r="32" spans="1:104" ht="15.75" customHeight="1">
      <c r="A32" t="s">
        <v>5325</v>
      </c>
      <c r="B32" t="s">
        <v>5325</v>
      </c>
      <c r="C32" t="s">
        <v>5324</v>
      </c>
      <c r="D32">
        <v>0.5</v>
      </c>
      <c r="E32" t="s">
        <v>2533</v>
      </c>
      <c r="F32" t="s">
        <v>2320</v>
      </c>
      <c r="G32" t="s">
        <v>2543</v>
      </c>
      <c r="H32"/>
      <c r="I32"/>
      <c r="J32" t="s">
        <v>1908</v>
      </c>
      <c r="K32"/>
      <c r="L32"/>
      <c r="M32">
        <v>12</v>
      </c>
      <c r="N32">
        <v>19</v>
      </c>
      <c r="O32">
        <v>3</v>
      </c>
      <c r="P32">
        <v>8</v>
      </c>
      <c r="Q32">
        <v>6</v>
      </c>
      <c r="R32" t="s">
        <v>2317</v>
      </c>
      <c r="S32" t="s">
        <v>2758</v>
      </c>
      <c r="T32" t="s">
        <v>2758</v>
      </c>
      <c r="U32" t="s">
        <v>2315</v>
      </c>
      <c r="V32">
        <v>30</v>
      </c>
      <c r="W32"/>
      <c r="X32">
        <v>30</v>
      </c>
      <c r="Y32"/>
      <c r="Z32"/>
      <c r="AA32">
        <v>16</v>
      </c>
      <c r="AB32">
        <v>14</v>
      </c>
      <c r="AC32">
        <v>14</v>
      </c>
      <c r="AD32">
        <v>6</v>
      </c>
      <c r="AE32">
        <v>12</v>
      </c>
      <c r="AF32">
        <v>7</v>
      </c>
      <c r="AG32">
        <v>317</v>
      </c>
      <c r="AH32"/>
      <c r="AI32"/>
      <c r="AJ32"/>
      <c r="AK32"/>
      <c r="AL32"/>
      <c r="AM32"/>
      <c r="AN32">
        <v>10</v>
      </c>
      <c r="AO32">
        <v>361</v>
      </c>
      <c r="AP32"/>
      <c r="AQ32"/>
      <c r="AR32"/>
      <c r="AS32"/>
      <c r="AT32"/>
      <c r="AU32"/>
      <c r="AV32"/>
      <c r="AW32"/>
      <c r="AX32"/>
      <c r="AY32"/>
      <c r="AZ32"/>
      <c r="BA32"/>
      <c r="BB32"/>
      <c r="BC32"/>
      <c r="BD32"/>
      <c r="BE32"/>
      <c r="BF32"/>
      <c r="BG32"/>
      <c r="BH32"/>
      <c r="BI32"/>
      <c r="BJ32"/>
      <c r="BK32"/>
      <c r="BL32"/>
      <c r="BM32"/>
      <c r="BN32"/>
      <c r="BO32"/>
      <c r="BP32" t="s">
        <v>2333</v>
      </c>
      <c r="BQ32" t="s">
        <v>4511</v>
      </c>
      <c r="BR32" t="s">
        <v>2333</v>
      </c>
      <c r="BS32" t="s">
        <v>3174</v>
      </c>
      <c r="BT32" t="s">
        <v>4685</v>
      </c>
      <c r="BU32" t="s">
        <v>5323</v>
      </c>
      <c r="BV32" t="s">
        <v>2884</v>
      </c>
      <c r="BW32" t="s">
        <v>5322</v>
      </c>
      <c r="BX32" t="s">
        <v>5321</v>
      </c>
      <c r="BY32"/>
      <c r="BZ32"/>
      <c r="CA32"/>
      <c r="CB32"/>
      <c r="CC32"/>
      <c r="CD32"/>
      <c r="CE32"/>
      <c r="CF32"/>
      <c r="CG32"/>
      <c r="CH32"/>
      <c r="CI32"/>
      <c r="CJ32"/>
      <c r="CK32"/>
      <c r="CL32"/>
      <c r="CM32"/>
      <c r="CN32"/>
      <c r="CO32"/>
      <c r="CP32"/>
      <c r="CQ32"/>
      <c r="CR32"/>
      <c r="CS32"/>
      <c r="CT32"/>
      <c r="CU32"/>
      <c r="CV32"/>
      <c r="CW32"/>
      <c r="CX32" t="s">
        <v>2307</v>
      </c>
      <c r="CY32">
        <v>317</v>
      </c>
      <c r="CZ32" t="s">
        <v>2306</v>
      </c>
    </row>
    <row r="33" spans="1:104" ht="15.75" customHeight="1">
      <c r="A33" t="s">
        <v>5320</v>
      </c>
      <c r="B33" t="s">
        <v>5320</v>
      </c>
      <c r="C33"/>
      <c r="D33">
        <v>0.25</v>
      </c>
      <c r="E33" t="s">
        <v>2461</v>
      </c>
      <c r="F33" t="s">
        <v>2320</v>
      </c>
      <c r="G33" t="s">
        <v>2461</v>
      </c>
      <c r="H33"/>
      <c r="I33"/>
      <c r="J33"/>
      <c r="K33"/>
      <c r="L33"/>
      <c r="M33">
        <v>10</v>
      </c>
      <c r="N33">
        <v>9</v>
      </c>
      <c r="O33">
        <v>2</v>
      </c>
      <c r="P33">
        <v>8</v>
      </c>
      <c r="Q33">
        <v>0</v>
      </c>
      <c r="R33"/>
      <c r="S33" t="s">
        <v>2711</v>
      </c>
      <c r="T33"/>
      <c r="U33"/>
      <c r="V33">
        <v>30</v>
      </c>
      <c r="W33"/>
      <c r="X33"/>
      <c r="Y33"/>
      <c r="Z33"/>
      <c r="AA33">
        <v>10</v>
      </c>
      <c r="AB33">
        <v>10</v>
      </c>
      <c r="AC33">
        <v>10</v>
      </c>
      <c r="AD33">
        <v>15</v>
      </c>
      <c r="AE33">
        <v>10</v>
      </c>
      <c r="AF33">
        <v>11</v>
      </c>
      <c r="AG33"/>
      <c r="AH33"/>
      <c r="AI33"/>
      <c r="AJ33"/>
      <c r="AK33"/>
      <c r="AL33"/>
      <c r="AM33"/>
      <c r="AN33"/>
      <c r="AO33"/>
      <c r="AP33"/>
      <c r="AQ33"/>
      <c r="AR33"/>
      <c r="AS33"/>
      <c r="AT33"/>
      <c r="AU33"/>
      <c r="AV33"/>
      <c r="AW33"/>
      <c r="AX33"/>
      <c r="AY33" t="s">
        <v>3088</v>
      </c>
      <c r="AZ33" t="s">
        <v>5319</v>
      </c>
      <c r="BA33" t="s">
        <v>3088</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row>
    <row r="34" spans="1:104" ht="15.75" customHeight="1">
      <c r="A34" t="s">
        <v>911</v>
      </c>
      <c r="B34" t="s">
        <v>911</v>
      </c>
      <c r="C34" t="s">
        <v>5318</v>
      </c>
      <c r="D34">
        <v>12</v>
      </c>
      <c r="E34" t="s">
        <v>2462</v>
      </c>
      <c r="F34" t="s">
        <v>2320</v>
      </c>
      <c r="G34" t="s">
        <v>2461</v>
      </c>
      <c r="H34" t="s">
        <v>2460</v>
      </c>
      <c r="I34"/>
      <c r="J34" t="s">
        <v>2460</v>
      </c>
      <c r="K34">
        <v>18</v>
      </c>
      <c r="L34" t="s">
        <v>1901</v>
      </c>
      <c r="M34">
        <v>12</v>
      </c>
      <c r="N34">
        <v>99</v>
      </c>
      <c r="O34">
        <v>18</v>
      </c>
      <c r="P34">
        <v>8</v>
      </c>
      <c r="Q34">
        <v>18</v>
      </c>
      <c r="R34" t="s">
        <v>2825</v>
      </c>
      <c r="S34" t="s">
        <v>5317</v>
      </c>
      <c r="T34" t="s">
        <v>2315</v>
      </c>
      <c r="U34" t="s">
        <v>2315</v>
      </c>
      <c r="V34">
        <v>30</v>
      </c>
      <c r="W34"/>
      <c r="X34"/>
      <c r="Y34"/>
      <c r="Z34"/>
      <c r="AA34">
        <v>10</v>
      </c>
      <c r="AB34">
        <v>14</v>
      </c>
      <c r="AC34">
        <v>12</v>
      </c>
      <c r="AD34">
        <v>20</v>
      </c>
      <c r="AE34">
        <v>15</v>
      </c>
      <c r="AF34">
        <v>16</v>
      </c>
      <c r="AG34">
        <v>342</v>
      </c>
      <c r="AH34"/>
      <c r="AI34"/>
      <c r="AJ34"/>
      <c r="AK34"/>
      <c r="AL34"/>
      <c r="AM34"/>
      <c r="AN34"/>
      <c r="AO34">
        <v>390</v>
      </c>
      <c r="AP34"/>
      <c r="AQ34"/>
      <c r="AR34"/>
      <c r="AS34"/>
      <c r="AT34"/>
      <c r="AU34"/>
      <c r="AV34"/>
      <c r="AW34"/>
      <c r="AX34" t="s">
        <v>3181</v>
      </c>
      <c r="AY34" t="s">
        <v>2726</v>
      </c>
      <c r="AZ34" t="s">
        <v>5316</v>
      </c>
      <c r="BA34" t="s">
        <v>2726</v>
      </c>
      <c r="BB34" t="s">
        <v>3088</v>
      </c>
      <c r="BC34" t="s">
        <v>5315</v>
      </c>
      <c r="BD34" t="s">
        <v>3088</v>
      </c>
      <c r="BE34"/>
      <c r="BF34"/>
      <c r="BG34"/>
      <c r="BH34"/>
      <c r="BI34"/>
      <c r="BJ34"/>
      <c r="BK34"/>
      <c r="BL34"/>
      <c r="BM34"/>
      <c r="BN34"/>
      <c r="BO34"/>
      <c r="BP34" t="s">
        <v>3858</v>
      </c>
      <c r="BQ34" t="s">
        <v>5314</v>
      </c>
      <c r="BR34" t="s">
        <v>5313</v>
      </c>
      <c r="BS34"/>
      <c r="BT34"/>
      <c r="BU34"/>
      <c r="BV34"/>
      <c r="BW34"/>
      <c r="BX34"/>
      <c r="BY34"/>
      <c r="BZ34"/>
      <c r="CA34"/>
      <c r="CB34"/>
      <c r="CC34"/>
      <c r="CD34"/>
      <c r="CE34"/>
      <c r="CF34"/>
      <c r="CG34"/>
      <c r="CH34"/>
      <c r="CI34"/>
      <c r="CJ34"/>
      <c r="CK34"/>
      <c r="CL34"/>
      <c r="CM34"/>
      <c r="CN34"/>
      <c r="CO34"/>
      <c r="CP34"/>
      <c r="CQ34"/>
      <c r="CR34"/>
      <c r="CS34"/>
      <c r="CT34"/>
      <c r="CU34"/>
      <c r="CV34"/>
      <c r="CW34"/>
      <c r="CX34" t="s">
        <v>2307</v>
      </c>
      <c r="CY34">
        <v>342</v>
      </c>
      <c r="CZ34" t="s">
        <v>2306</v>
      </c>
    </row>
    <row r="35" spans="1:104" ht="15.75" customHeight="1">
      <c r="A35" t="s">
        <v>5312</v>
      </c>
      <c r="B35" t="s">
        <v>5312</v>
      </c>
      <c r="C35" t="s">
        <v>5311</v>
      </c>
      <c r="D35">
        <v>8</v>
      </c>
      <c r="E35" t="s">
        <v>2462</v>
      </c>
      <c r="F35" t="s">
        <v>2320</v>
      </c>
      <c r="G35" t="s">
        <v>2461</v>
      </c>
      <c r="H35" t="s">
        <v>2460</v>
      </c>
      <c r="I35"/>
      <c r="J35" t="s">
        <v>2459</v>
      </c>
      <c r="K35"/>
      <c r="L35"/>
      <c r="M35">
        <v>15</v>
      </c>
      <c r="N35">
        <v>78</v>
      </c>
      <c r="O35">
        <v>12</v>
      </c>
      <c r="P35">
        <v>8</v>
      </c>
      <c r="Q35">
        <v>24</v>
      </c>
      <c r="R35" t="s">
        <v>2317</v>
      </c>
      <c r="S35" t="s">
        <v>2478</v>
      </c>
      <c r="T35" t="s">
        <v>4999</v>
      </c>
      <c r="U35" t="s">
        <v>2315</v>
      </c>
      <c r="V35">
        <v>30</v>
      </c>
      <c r="W35"/>
      <c r="X35"/>
      <c r="Y35"/>
      <c r="Z35"/>
      <c r="AA35">
        <v>11</v>
      </c>
      <c r="AB35">
        <v>16</v>
      </c>
      <c r="AC35">
        <v>14</v>
      </c>
      <c r="AD35">
        <v>13</v>
      </c>
      <c r="AE35">
        <v>11</v>
      </c>
      <c r="AF35">
        <v>10</v>
      </c>
      <c r="AG35">
        <v>343</v>
      </c>
      <c r="AH35"/>
      <c r="AI35"/>
      <c r="AJ35"/>
      <c r="AK35"/>
      <c r="AL35"/>
      <c r="AM35"/>
      <c r="AN35"/>
      <c r="AO35">
        <v>391</v>
      </c>
      <c r="AP35">
        <v>6</v>
      </c>
      <c r="AQ35">
        <v>6</v>
      </c>
      <c r="AR35"/>
      <c r="AS35"/>
      <c r="AT35">
        <v>8</v>
      </c>
      <c r="AU35"/>
      <c r="AV35"/>
      <c r="AW35"/>
      <c r="AX35"/>
      <c r="AY35" t="s">
        <v>5309</v>
      </c>
      <c r="AZ35" t="s">
        <v>5310</v>
      </c>
      <c r="BA35" t="s">
        <v>5309</v>
      </c>
      <c r="BB35" t="s">
        <v>5307</v>
      </c>
      <c r="BC35" t="s">
        <v>5308</v>
      </c>
      <c r="BD35" t="s">
        <v>5307</v>
      </c>
      <c r="BE35" t="s">
        <v>3068</v>
      </c>
      <c r="BF35" t="s">
        <v>5306</v>
      </c>
      <c r="BG35" t="s">
        <v>5305</v>
      </c>
      <c r="BH35"/>
      <c r="BI35"/>
      <c r="BJ35"/>
      <c r="BK35"/>
      <c r="BL35"/>
      <c r="BM35"/>
      <c r="BN35"/>
      <c r="BO35"/>
      <c r="BP35" t="s">
        <v>2333</v>
      </c>
      <c r="BQ35" t="s">
        <v>5304</v>
      </c>
      <c r="BR35" t="s">
        <v>2333</v>
      </c>
      <c r="BS35" t="s">
        <v>2751</v>
      </c>
      <c r="BT35" t="s">
        <v>5303</v>
      </c>
      <c r="BU35" t="s">
        <v>5302</v>
      </c>
      <c r="BV35" t="s">
        <v>5237</v>
      </c>
      <c r="BW35" t="s">
        <v>5301</v>
      </c>
      <c r="BX35" t="s">
        <v>5300</v>
      </c>
      <c r="BY35"/>
      <c r="BZ35"/>
      <c r="CA35"/>
      <c r="CB35"/>
      <c r="CC35"/>
      <c r="CD35"/>
      <c r="CE35"/>
      <c r="CF35"/>
      <c r="CG35"/>
      <c r="CH35"/>
      <c r="CI35"/>
      <c r="CJ35"/>
      <c r="CK35"/>
      <c r="CL35"/>
      <c r="CM35"/>
      <c r="CN35"/>
      <c r="CO35"/>
      <c r="CP35"/>
      <c r="CQ35"/>
      <c r="CR35"/>
      <c r="CS35"/>
      <c r="CT35"/>
      <c r="CU35"/>
      <c r="CV35"/>
      <c r="CW35"/>
      <c r="CX35" t="s">
        <v>2307</v>
      </c>
      <c r="CY35">
        <v>343</v>
      </c>
      <c r="CZ35" t="s">
        <v>2306</v>
      </c>
    </row>
    <row r="36" spans="1:104" ht="15.75" customHeight="1">
      <c r="A36" t="s">
        <v>5299</v>
      </c>
      <c r="B36" t="s">
        <v>5298</v>
      </c>
      <c r="C36" t="s">
        <v>5297</v>
      </c>
      <c r="D36">
        <v>0</v>
      </c>
      <c r="E36" t="s">
        <v>2533</v>
      </c>
      <c r="F36" t="s">
        <v>2497</v>
      </c>
      <c r="G36" t="s">
        <v>2743</v>
      </c>
      <c r="H36"/>
      <c r="I36"/>
      <c r="J36" t="s">
        <v>1908</v>
      </c>
      <c r="K36"/>
      <c r="L36"/>
      <c r="M36">
        <v>9</v>
      </c>
      <c r="N36">
        <v>10</v>
      </c>
      <c r="O36">
        <v>3</v>
      </c>
      <c r="P36">
        <v>6</v>
      </c>
      <c r="Q36"/>
      <c r="R36" t="s">
        <v>2317</v>
      </c>
      <c r="S36" t="s">
        <v>3986</v>
      </c>
      <c r="T36" t="s">
        <v>2315</v>
      </c>
      <c r="U36" t="s">
        <v>2315</v>
      </c>
      <c r="V36">
        <v>20</v>
      </c>
      <c r="W36"/>
      <c r="X36"/>
      <c r="Y36"/>
      <c r="Z36"/>
      <c r="AA36">
        <v>3</v>
      </c>
      <c r="AB36">
        <v>8</v>
      </c>
      <c r="AC36">
        <v>11</v>
      </c>
      <c r="AD36">
        <v>10</v>
      </c>
      <c r="AE36">
        <v>10</v>
      </c>
      <c r="AF36">
        <v>6</v>
      </c>
      <c r="AG36">
        <v>317</v>
      </c>
      <c r="AH36"/>
      <c r="AI36"/>
      <c r="AJ36"/>
      <c r="AK36"/>
      <c r="AL36"/>
      <c r="AM36"/>
      <c r="AN36">
        <v>10</v>
      </c>
      <c r="AO36">
        <v>361</v>
      </c>
      <c r="AP36"/>
      <c r="AQ36"/>
      <c r="AR36"/>
      <c r="AS36"/>
      <c r="AT36"/>
      <c r="AU36"/>
      <c r="AV36"/>
      <c r="AW36"/>
      <c r="AX36"/>
      <c r="AY36" t="s">
        <v>2739</v>
      </c>
      <c r="AZ36" t="s">
        <v>5296</v>
      </c>
      <c r="BA36" t="s">
        <v>2739</v>
      </c>
      <c r="BB36"/>
      <c r="BC36"/>
      <c r="BD36"/>
      <c r="BE36"/>
      <c r="BF36"/>
      <c r="BG36"/>
      <c r="BH36"/>
      <c r="BI36"/>
      <c r="BJ36"/>
      <c r="BK36"/>
      <c r="BL36"/>
      <c r="BM36"/>
      <c r="BN36"/>
      <c r="BO36"/>
      <c r="BP36" t="s">
        <v>5295</v>
      </c>
      <c r="BQ36" t="s">
        <v>5294</v>
      </c>
      <c r="BR36" t="s">
        <v>5293</v>
      </c>
      <c r="BS36"/>
      <c r="BT36"/>
      <c r="BU36"/>
      <c r="BV36"/>
      <c r="BW36"/>
      <c r="BX36"/>
      <c r="BY36"/>
      <c r="BZ36"/>
      <c r="CA36"/>
      <c r="CB36"/>
      <c r="CC36"/>
      <c r="CD36"/>
      <c r="CE36"/>
      <c r="CF36"/>
      <c r="CG36"/>
      <c r="CH36"/>
      <c r="CI36"/>
      <c r="CJ36"/>
      <c r="CK36"/>
      <c r="CL36"/>
      <c r="CM36"/>
      <c r="CN36"/>
      <c r="CO36"/>
      <c r="CP36"/>
      <c r="CQ36"/>
      <c r="CR36"/>
      <c r="CS36"/>
      <c r="CT36"/>
      <c r="CU36"/>
      <c r="CV36"/>
      <c r="CW36"/>
      <c r="CX36" t="s">
        <v>2307</v>
      </c>
      <c r="CY36">
        <v>317</v>
      </c>
      <c r="CZ36" t="s">
        <v>2306</v>
      </c>
    </row>
    <row r="37" spans="1:104" ht="15.75" customHeight="1">
      <c r="A37" t="s">
        <v>5292</v>
      </c>
      <c r="B37" t="s">
        <v>5291</v>
      </c>
      <c r="C37" t="s">
        <v>5290</v>
      </c>
      <c r="D37">
        <v>2</v>
      </c>
      <c r="E37" t="s">
        <v>2533</v>
      </c>
      <c r="F37" t="s">
        <v>2838</v>
      </c>
      <c r="G37" t="s">
        <v>2743</v>
      </c>
      <c r="H37"/>
      <c r="I37"/>
      <c r="J37" t="s">
        <v>1908</v>
      </c>
      <c r="K37"/>
      <c r="L37"/>
      <c r="M37">
        <v>13</v>
      </c>
      <c r="N37">
        <v>59</v>
      </c>
      <c r="O37">
        <v>7</v>
      </c>
      <c r="P37">
        <v>12</v>
      </c>
      <c r="Q37">
        <v>14</v>
      </c>
      <c r="R37" t="s">
        <v>2317</v>
      </c>
      <c r="S37" t="s">
        <v>3489</v>
      </c>
      <c r="T37" t="s">
        <v>2315</v>
      </c>
      <c r="U37" t="s">
        <v>2315</v>
      </c>
      <c r="V37">
        <v>20</v>
      </c>
      <c r="W37"/>
      <c r="X37"/>
      <c r="Y37"/>
      <c r="Z37"/>
      <c r="AA37">
        <v>19</v>
      </c>
      <c r="AB37">
        <v>6</v>
      </c>
      <c r="AC37">
        <v>15</v>
      </c>
      <c r="AD37">
        <v>10</v>
      </c>
      <c r="AE37">
        <v>10</v>
      </c>
      <c r="AF37">
        <v>7</v>
      </c>
      <c r="AG37">
        <v>317</v>
      </c>
      <c r="AH37"/>
      <c r="AI37"/>
      <c r="AJ37"/>
      <c r="AK37"/>
      <c r="AL37"/>
      <c r="AM37"/>
      <c r="AN37">
        <v>10</v>
      </c>
      <c r="AO37">
        <v>361</v>
      </c>
      <c r="AP37"/>
      <c r="AQ37">
        <v>7</v>
      </c>
      <c r="AR37"/>
      <c r="AS37" t="s">
        <v>5289</v>
      </c>
      <c r="AT37"/>
      <c r="AU37"/>
      <c r="AV37"/>
      <c r="AW37"/>
      <c r="AX37" t="s">
        <v>2891</v>
      </c>
      <c r="AY37" t="s">
        <v>2739</v>
      </c>
      <c r="AZ37" t="s">
        <v>5288</v>
      </c>
      <c r="BA37" t="s">
        <v>2739</v>
      </c>
      <c r="BB37"/>
      <c r="BC37"/>
      <c r="BD37"/>
      <c r="BE37"/>
      <c r="BF37"/>
      <c r="BG37"/>
      <c r="BH37"/>
      <c r="BI37"/>
      <c r="BJ37"/>
      <c r="BK37"/>
      <c r="BL37"/>
      <c r="BM37"/>
      <c r="BN37"/>
      <c r="BO37"/>
      <c r="BP37" t="s">
        <v>2310</v>
      </c>
      <c r="BQ37" t="s">
        <v>5287</v>
      </c>
      <c r="BR37" t="s">
        <v>5286</v>
      </c>
      <c r="BS37"/>
      <c r="BT37"/>
      <c r="BU37"/>
      <c r="BV37"/>
      <c r="BW37"/>
      <c r="BX37"/>
      <c r="BY37"/>
      <c r="BZ37"/>
      <c r="CA37"/>
      <c r="CB37"/>
      <c r="CC37"/>
      <c r="CD37"/>
      <c r="CE37"/>
      <c r="CF37"/>
      <c r="CG37"/>
      <c r="CH37"/>
      <c r="CI37"/>
      <c r="CJ37"/>
      <c r="CK37"/>
      <c r="CL37"/>
      <c r="CM37"/>
      <c r="CN37"/>
      <c r="CO37"/>
      <c r="CP37"/>
      <c r="CQ37"/>
      <c r="CR37"/>
      <c r="CS37"/>
      <c r="CT37"/>
      <c r="CU37"/>
      <c r="CV37"/>
      <c r="CW37"/>
      <c r="CX37" t="s">
        <v>2307</v>
      </c>
      <c r="CY37">
        <v>317</v>
      </c>
      <c r="CZ37" t="s">
        <v>2306</v>
      </c>
    </row>
    <row r="38" spans="1:104" ht="15.75" customHeight="1">
      <c r="A38" t="s">
        <v>5285</v>
      </c>
      <c r="B38" t="s">
        <v>5284</v>
      </c>
      <c r="C38" t="s">
        <v>5283</v>
      </c>
      <c r="D38">
        <v>0.25</v>
      </c>
      <c r="E38" t="s">
        <v>2533</v>
      </c>
      <c r="F38" t="s">
        <v>2342</v>
      </c>
      <c r="G38" t="s">
        <v>2543</v>
      </c>
      <c r="H38"/>
      <c r="I38"/>
      <c r="J38" t="s">
        <v>1908</v>
      </c>
      <c r="K38"/>
      <c r="L38"/>
      <c r="M38">
        <v>11</v>
      </c>
      <c r="N38">
        <v>19</v>
      </c>
      <c r="O38">
        <v>3</v>
      </c>
      <c r="P38">
        <v>10</v>
      </c>
      <c r="Q38">
        <v>3</v>
      </c>
      <c r="R38" t="s">
        <v>2317</v>
      </c>
      <c r="S38" t="s">
        <v>2611</v>
      </c>
      <c r="T38" t="s">
        <v>2315</v>
      </c>
      <c r="U38" t="s">
        <v>2315</v>
      </c>
      <c r="V38">
        <v>50</v>
      </c>
      <c r="W38"/>
      <c r="X38"/>
      <c r="Y38"/>
      <c r="Z38"/>
      <c r="AA38">
        <v>14</v>
      </c>
      <c r="AB38">
        <v>12</v>
      </c>
      <c r="AC38">
        <v>12</v>
      </c>
      <c r="AD38">
        <v>2</v>
      </c>
      <c r="AE38">
        <v>10</v>
      </c>
      <c r="AF38">
        <v>5</v>
      </c>
      <c r="AG38">
        <v>317</v>
      </c>
      <c r="AH38"/>
      <c r="AI38"/>
      <c r="AJ38"/>
      <c r="AK38"/>
      <c r="AL38"/>
      <c r="AM38"/>
      <c r="AN38">
        <v>11</v>
      </c>
      <c r="AO38">
        <v>361</v>
      </c>
      <c r="AP38"/>
      <c r="AQ38"/>
      <c r="AR38"/>
      <c r="AS38"/>
      <c r="AT38"/>
      <c r="AU38"/>
      <c r="AV38" t="s">
        <v>5282</v>
      </c>
      <c r="AW38"/>
      <c r="AX38"/>
      <c r="AY38"/>
      <c r="AZ38"/>
      <c r="BA38"/>
      <c r="BB38"/>
      <c r="BC38"/>
      <c r="BD38"/>
      <c r="BE38"/>
      <c r="BF38"/>
      <c r="BG38"/>
      <c r="BH38"/>
      <c r="BI38"/>
      <c r="BJ38"/>
      <c r="BK38"/>
      <c r="BL38"/>
      <c r="BM38"/>
      <c r="BN38"/>
      <c r="BO38"/>
      <c r="BP38" t="s">
        <v>2707</v>
      </c>
      <c r="BQ38" t="s">
        <v>5281</v>
      </c>
      <c r="BR38" t="s">
        <v>5280</v>
      </c>
      <c r="BS38"/>
      <c r="BT38"/>
      <c r="BU38"/>
      <c r="BV38"/>
      <c r="BW38"/>
      <c r="BX38"/>
      <c r="BY38"/>
      <c r="BZ38"/>
      <c r="CA38"/>
      <c r="CB38"/>
      <c r="CC38"/>
      <c r="CD38"/>
      <c r="CE38"/>
      <c r="CF38"/>
      <c r="CG38"/>
      <c r="CH38"/>
      <c r="CI38"/>
      <c r="CJ38"/>
      <c r="CK38"/>
      <c r="CL38"/>
      <c r="CM38"/>
      <c r="CN38"/>
      <c r="CO38"/>
      <c r="CP38"/>
      <c r="CQ38"/>
      <c r="CR38"/>
      <c r="CS38"/>
      <c r="CT38"/>
      <c r="CU38"/>
      <c r="CV38"/>
      <c r="CW38"/>
      <c r="CX38" t="s">
        <v>2307</v>
      </c>
      <c r="CY38">
        <v>317</v>
      </c>
      <c r="CZ38" t="s">
        <v>2306</v>
      </c>
    </row>
    <row r="39" spans="1:104" ht="14.25">
      <c r="A39" t="s">
        <v>5279</v>
      </c>
      <c r="B39" t="s">
        <v>5279</v>
      </c>
      <c r="C39" t="s">
        <v>5278</v>
      </c>
      <c r="D39">
        <v>2</v>
      </c>
      <c r="E39" t="s">
        <v>2321</v>
      </c>
      <c r="F39" t="s">
        <v>2320</v>
      </c>
      <c r="G39" t="s">
        <v>2479</v>
      </c>
      <c r="H39"/>
      <c r="I39"/>
      <c r="J39" t="s">
        <v>4173</v>
      </c>
      <c r="K39"/>
      <c r="L39"/>
      <c r="M39">
        <v>17</v>
      </c>
      <c r="N39">
        <v>39</v>
      </c>
      <c r="O39">
        <v>6</v>
      </c>
      <c r="P39">
        <v>8</v>
      </c>
      <c r="Q39">
        <v>12</v>
      </c>
      <c r="R39" t="s">
        <v>2317</v>
      </c>
      <c r="S39" t="s">
        <v>2630</v>
      </c>
      <c r="T39" t="s">
        <v>2315</v>
      </c>
      <c r="U39" t="s">
        <v>2315</v>
      </c>
      <c r="V39">
        <v>30</v>
      </c>
      <c r="W39"/>
      <c r="X39"/>
      <c r="Y39"/>
      <c r="Z39"/>
      <c r="AA39">
        <v>17</v>
      </c>
      <c r="AB39">
        <v>12</v>
      </c>
      <c r="AC39">
        <v>15</v>
      </c>
      <c r="AD39">
        <v>12</v>
      </c>
      <c r="AE39">
        <v>13</v>
      </c>
      <c r="AF39">
        <v>10</v>
      </c>
      <c r="AG39">
        <v>22</v>
      </c>
      <c r="AH39"/>
      <c r="AI39"/>
      <c r="AJ39"/>
      <c r="AK39"/>
      <c r="AL39"/>
      <c r="AM39"/>
      <c r="AN39"/>
      <c r="AO39">
        <v>268</v>
      </c>
      <c r="AP39"/>
      <c r="AQ39"/>
      <c r="AR39"/>
      <c r="AS39"/>
      <c r="AT39">
        <v>9</v>
      </c>
      <c r="AU39"/>
      <c r="AV39" t="s">
        <v>3852</v>
      </c>
      <c r="AW39"/>
      <c r="AX39"/>
      <c r="AY39" t="s">
        <v>3269</v>
      </c>
      <c r="AZ39" t="s">
        <v>5277</v>
      </c>
      <c r="BA39" t="s">
        <v>5276</v>
      </c>
      <c r="BB39" t="s">
        <v>3265</v>
      </c>
      <c r="BC39" t="s">
        <v>5275</v>
      </c>
      <c r="BD39" t="s">
        <v>3265</v>
      </c>
      <c r="BE39" t="s">
        <v>3644</v>
      </c>
      <c r="BF39" t="s">
        <v>5274</v>
      </c>
      <c r="BG39" t="s">
        <v>3644</v>
      </c>
      <c r="BH39"/>
      <c r="BI39"/>
      <c r="BJ39"/>
      <c r="BK39"/>
      <c r="BL39"/>
      <c r="BM39"/>
      <c r="BN39"/>
      <c r="BO39"/>
      <c r="BP39" t="s">
        <v>5273</v>
      </c>
      <c r="BQ39" t="s">
        <v>5272</v>
      </c>
      <c r="BR39" t="s">
        <v>5271</v>
      </c>
      <c r="BS39"/>
      <c r="BT39"/>
      <c r="BU39"/>
      <c r="BV39"/>
      <c r="BW39"/>
      <c r="BX39"/>
      <c r="BY39"/>
      <c r="BZ39"/>
      <c r="CA39"/>
      <c r="CB39"/>
      <c r="CC39"/>
      <c r="CD39"/>
      <c r="CE39"/>
      <c r="CF39"/>
      <c r="CG39"/>
      <c r="CH39"/>
      <c r="CI39"/>
      <c r="CJ39"/>
      <c r="CK39"/>
      <c r="CL39"/>
      <c r="CM39"/>
      <c r="CN39"/>
      <c r="CO39"/>
      <c r="CP39"/>
      <c r="CQ39"/>
      <c r="CR39"/>
      <c r="CS39"/>
      <c r="CT39"/>
      <c r="CU39"/>
      <c r="CV39"/>
      <c r="CW39"/>
      <c r="CX39" t="s">
        <v>2307</v>
      </c>
      <c r="CY39">
        <v>22</v>
      </c>
      <c r="CZ39" t="s">
        <v>2306</v>
      </c>
    </row>
    <row r="40" spans="1:104" ht="14.25">
      <c r="A40" t="s">
        <v>5270</v>
      </c>
      <c r="B40" t="s">
        <v>5270</v>
      </c>
      <c r="C40" t="s">
        <v>5269</v>
      </c>
      <c r="D40">
        <v>0</v>
      </c>
      <c r="E40" t="s">
        <v>2533</v>
      </c>
      <c r="F40" t="s">
        <v>2497</v>
      </c>
      <c r="G40" t="s">
        <v>2543</v>
      </c>
      <c r="H40"/>
      <c r="I40"/>
      <c r="J40" t="s">
        <v>1908</v>
      </c>
      <c r="K40"/>
      <c r="L40"/>
      <c r="M40">
        <v>12</v>
      </c>
      <c r="N40">
        <v>3</v>
      </c>
      <c r="O40">
        <v>1</v>
      </c>
      <c r="P40">
        <v>6</v>
      </c>
      <c r="Q40"/>
      <c r="R40" t="s">
        <v>2317</v>
      </c>
      <c r="S40" t="s">
        <v>3986</v>
      </c>
      <c r="T40" t="s">
        <v>2315</v>
      </c>
      <c r="U40" t="s">
        <v>2315</v>
      </c>
      <c r="V40">
        <v>30</v>
      </c>
      <c r="W40"/>
      <c r="X40">
        <v>30</v>
      </c>
      <c r="Y40"/>
      <c r="Z40"/>
      <c r="AA40">
        <v>8</v>
      </c>
      <c r="AB40">
        <v>14</v>
      </c>
      <c r="AC40">
        <v>11</v>
      </c>
      <c r="AD40">
        <v>4</v>
      </c>
      <c r="AE40">
        <v>12</v>
      </c>
      <c r="AF40">
        <v>6</v>
      </c>
      <c r="AG40">
        <v>318</v>
      </c>
      <c r="AH40"/>
      <c r="AI40"/>
      <c r="AJ40"/>
      <c r="AK40"/>
      <c r="AL40"/>
      <c r="AM40"/>
      <c r="AN40">
        <v>11</v>
      </c>
      <c r="AO40">
        <v>362</v>
      </c>
      <c r="AP40"/>
      <c r="AQ40"/>
      <c r="AR40"/>
      <c r="AS40"/>
      <c r="AT40"/>
      <c r="AU40"/>
      <c r="AV40"/>
      <c r="AW40"/>
      <c r="AX40"/>
      <c r="AY40" t="s">
        <v>2452</v>
      </c>
      <c r="AZ40" t="s">
        <v>5268</v>
      </c>
      <c r="BA40" t="s">
        <v>2452</v>
      </c>
      <c r="BB40"/>
      <c r="BC40"/>
      <c r="BD40"/>
      <c r="BE40"/>
      <c r="BF40"/>
      <c r="BG40"/>
      <c r="BH40"/>
      <c r="BI40"/>
      <c r="BJ40"/>
      <c r="BK40"/>
      <c r="BL40"/>
      <c r="BM40"/>
      <c r="BN40"/>
      <c r="BO40"/>
      <c r="BP40" t="s">
        <v>2332</v>
      </c>
      <c r="BQ40" t="s">
        <v>3982</v>
      </c>
      <c r="BR40" t="s">
        <v>3981</v>
      </c>
      <c r="BS40"/>
      <c r="BT40"/>
      <c r="BU40"/>
      <c r="BV40"/>
      <c r="BW40"/>
      <c r="BX40"/>
      <c r="BY40"/>
      <c r="BZ40"/>
      <c r="CA40"/>
      <c r="CB40"/>
      <c r="CC40"/>
      <c r="CD40"/>
      <c r="CE40"/>
      <c r="CF40"/>
      <c r="CG40"/>
      <c r="CH40"/>
      <c r="CI40"/>
      <c r="CJ40"/>
      <c r="CK40"/>
      <c r="CL40"/>
      <c r="CM40"/>
      <c r="CN40"/>
      <c r="CO40"/>
      <c r="CP40"/>
      <c r="CQ40"/>
      <c r="CR40"/>
      <c r="CS40"/>
      <c r="CT40"/>
      <c r="CU40"/>
      <c r="CV40"/>
      <c r="CW40"/>
      <c r="CX40" t="s">
        <v>2307</v>
      </c>
      <c r="CY40">
        <v>318</v>
      </c>
      <c r="CZ40" t="s">
        <v>2306</v>
      </c>
    </row>
    <row r="41" spans="1:104" ht="14.25">
      <c r="A41" t="s">
        <v>5267</v>
      </c>
      <c r="B41" t="s">
        <v>5267</v>
      </c>
      <c r="C41" t="s">
        <v>5266</v>
      </c>
      <c r="D41">
        <v>0</v>
      </c>
      <c r="E41" t="s">
        <v>2533</v>
      </c>
      <c r="F41" t="s">
        <v>2572</v>
      </c>
      <c r="G41" t="s">
        <v>2543</v>
      </c>
      <c r="H41"/>
      <c r="I41"/>
      <c r="J41" t="s">
        <v>1908</v>
      </c>
      <c r="K41"/>
      <c r="L41"/>
      <c r="M41">
        <v>10</v>
      </c>
      <c r="N41">
        <v>3</v>
      </c>
      <c r="O41">
        <v>1</v>
      </c>
      <c r="P41">
        <v>4</v>
      </c>
      <c r="Q41">
        <v>1</v>
      </c>
      <c r="R41" t="s">
        <v>2317</v>
      </c>
      <c r="S41" t="s">
        <v>2679</v>
      </c>
      <c r="T41" t="s">
        <v>2315</v>
      </c>
      <c r="U41" t="s">
        <v>2315</v>
      </c>
      <c r="V41">
        <v>20</v>
      </c>
      <c r="W41">
        <v>5</v>
      </c>
      <c r="X41"/>
      <c r="Y41"/>
      <c r="Z41"/>
      <c r="AA41">
        <v>4</v>
      </c>
      <c r="AB41">
        <v>11</v>
      </c>
      <c r="AC41">
        <v>12</v>
      </c>
      <c r="AD41">
        <v>2</v>
      </c>
      <c r="AE41">
        <v>12</v>
      </c>
      <c r="AF41">
        <v>5</v>
      </c>
      <c r="AG41">
        <v>318</v>
      </c>
      <c r="AH41"/>
      <c r="AI41"/>
      <c r="AJ41"/>
      <c r="AK41"/>
      <c r="AL41"/>
      <c r="AM41"/>
      <c r="AN41">
        <v>11</v>
      </c>
      <c r="AO41">
        <v>362</v>
      </c>
      <c r="AP41"/>
      <c r="AQ41"/>
      <c r="AR41"/>
      <c r="AS41"/>
      <c r="AT41"/>
      <c r="AU41"/>
      <c r="AV41"/>
      <c r="AW41"/>
      <c r="AX41"/>
      <c r="AY41" t="s">
        <v>2434</v>
      </c>
      <c r="AZ41" t="s">
        <v>4502</v>
      </c>
      <c r="BA41" t="s">
        <v>2434</v>
      </c>
      <c r="BB41"/>
      <c r="BC41"/>
      <c r="BD41"/>
      <c r="BE41"/>
      <c r="BF41"/>
      <c r="BG41"/>
      <c r="BH41"/>
      <c r="BI41"/>
      <c r="BJ41"/>
      <c r="BK41"/>
      <c r="BL41"/>
      <c r="BM41"/>
      <c r="BN41"/>
      <c r="BO41"/>
      <c r="BP41" t="s">
        <v>2332</v>
      </c>
      <c r="BQ41" t="s">
        <v>5265</v>
      </c>
      <c r="BR41" t="s">
        <v>5264</v>
      </c>
      <c r="BS41"/>
      <c r="BT41"/>
      <c r="BU41"/>
      <c r="BV41"/>
      <c r="BW41"/>
      <c r="BX41"/>
      <c r="BY41"/>
      <c r="BZ41"/>
      <c r="CA41"/>
      <c r="CB41"/>
      <c r="CC41"/>
      <c r="CD41"/>
      <c r="CE41"/>
      <c r="CF41"/>
      <c r="CG41"/>
      <c r="CH41"/>
      <c r="CI41"/>
      <c r="CJ41"/>
      <c r="CK41"/>
      <c r="CL41"/>
      <c r="CM41"/>
      <c r="CN41"/>
      <c r="CO41"/>
      <c r="CP41"/>
      <c r="CQ41"/>
      <c r="CR41"/>
      <c r="CS41"/>
      <c r="CT41"/>
      <c r="CU41"/>
      <c r="CV41"/>
      <c r="CW41"/>
      <c r="CX41" t="s">
        <v>2307</v>
      </c>
      <c r="CY41">
        <v>318</v>
      </c>
      <c r="CZ41" t="s">
        <v>2306</v>
      </c>
    </row>
    <row r="42" spans="1:104" ht="14.25">
      <c r="A42" t="s">
        <v>5263</v>
      </c>
      <c r="B42" t="s">
        <v>5263</v>
      </c>
      <c r="C42" t="s">
        <v>5262</v>
      </c>
      <c r="D42">
        <v>19</v>
      </c>
      <c r="E42" t="s">
        <v>2321</v>
      </c>
      <c r="F42" t="s">
        <v>2838</v>
      </c>
      <c r="G42" t="s">
        <v>2732</v>
      </c>
      <c r="H42" t="s">
        <v>2731</v>
      </c>
      <c r="I42"/>
      <c r="J42" t="s">
        <v>2340</v>
      </c>
      <c r="K42"/>
      <c r="L42"/>
      <c r="M42">
        <v>19</v>
      </c>
      <c r="N42">
        <v>262</v>
      </c>
      <c r="O42">
        <v>21</v>
      </c>
      <c r="P42">
        <v>12</v>
      </c>
      <c r="Q42">
        <v>126</v>
      </c>
      <c r="R42" t="s">
        <v>2317</v>
      </c>
      <c r="S42" t="s">
        <v>5261</v>
      </c>
      <c r="T42" t="s">
        <v>5260</v>
      </c>
      <c r="U42" t="s">
        <v>2315</v>
      </c>
      <c r="V42">
        <v>40</v>
      </c>
      <c r="W42"/>
      <c r="X42"/>
      <c r="Y42">
        <v>80</v>
      </c>
      <c r="Z42"/>
      <c r="AA42">
        <v>26</v>
      </c>
      <c r="AB42">
        <v>15</v>
      </c>
      <c r="AC42">
        <v>22</v>
      </c>
      <c r="AD42">
        <v>20</v>
      </c>
      <c r="AE42">
        <v>16</v>
      </c>
      <c r="AF42">
        <v>22</v>
      </c>
      <c r="AG42">
        <v>55</v>
      </c>
      <c r="AH42"/>
      <c r="AI42"/>
      <c r="AJ42"/>
      <c r="AK42"/>
      <c r="AL42"/>
      <c r="AM42"/>
      <c r="AN42"/>
      <c r="AO42">
        <v>273</v>
      </c>
      <c r="AP42"/>
      <c r="AQ42"/>
      <c r="AR42"/>
      <c r="AS42"/>
      <c r="AT42"/>
      <c r="AU42"/>
      <c r="AV42"/>
      <c r="AW42"/>
      <c r="AX42"/>
      <c r="AY42" t="s">
        <v>5259</v>
      </c>
      <c r="AZ42" t="s">
        <v>5258</v>
      </c>
      <c r="BA42" t="s">
        <v>5257</v>
      </c>
      <c r="BB42" t="s">
        <v>5256</v>
      </c>
      <c r="BC42" t="s">
        <v>5255</v>
      </c>
      <c r="BD42" t="s">
        <v>5254</v>
      </c>
      <c r="BE42" t="s">
        <v>2726</v>
      </c>
      <c r="BF42" t="s">
        <v>5253</v>
      </c>
      <c r="BG42" t="s">
        <v>2726</v>
      </c>
      <c r="BH42" t="s">
        <v>2819</v>
      </c>
      <c r="BI42" t="s">
        <v>5252</v>
      </c>
      <c r="BJ42"/>
      <c r="BK42"/>
      <c r="BL42"/>
      <c r="BM42"/>
      <c r="BN42"/>
      <c r="BO42"/>
      <c r="BP42" t="s">
        <v>2333</v>
      </c>
      <c r="BQ42" t="s">
        <v>5251</v>
      </c>
      <c r="BR42" t="s">
        <v>2333</v>
      </c>
      <c r="BS42" t="s">
        <v>2580</v>
      </c>
      <c r="BT42" t="s">
        <v>5250</v>
      </c>
      <c r="BU42" t="s">
        <v>5249</v>
      </c>
      <c r="BV42" t="s">
        <v>5248</v>
      </c>
      <c r="BW42" t="s">
        <v>5247</v>
      </c>
      <c r="BX42" t="s">
        <v>5246</v>
      </c>
      <c r="BY42" t="s">
        <v>3120</v>
      </c>
      <c r="BZ42" t="s">
        <v>5245</v>
      </c>
      <c r="CA42" t="s">
        <v>3120</v>
      </c>
      <c r="CB42" t="s">
        <v>2714</v>
      </c>
      <c r="CC42" t="s">
        <v>5244</v>
      </c>
      <c r="CD42" t="s">
        <v>2714</v>
      </c>
      <c r="CE42"/>
      <c r="CF42"/>
      <c r="CG42"/>
      <c r="CH42"/>
      <c r="CI42"/>
      <c r="CJ42"/>
      <c r="CK42"/>
      <c r="CL42"/>
      <c r="CM42"/>
      <c r="CN42"/>
      <c r="CO42"/>
      <c r="CP42"/>
      <c r="CQ42"/>
      <c r="CR42"/>
      <c r="CS42"/>
      <c r="CT42"/>
      <c r="CU42"/>
      <c r="CV42"/>
      <c r="CW42"/>
      <c r="CX42" t="s">
        <v>2307</v>
      </c>
      <c r="CY42">
        <v>55</v>
      </c>
      <c r="CZ42" t="s">
        <v>2306</v>
      </c>
    </row>
    <row r="43" spans="1:104" ht="14.25">
      <c r="A43" t="s">
        <v>5243</v>
      </c>
      <c r="B43" t="s">
        <v>5243</v>
      </c>
      <c r="C43" t="s">
        <v>5242</v>
      </c>
      <c r="D43">
        <v>0.125</v>
      </c>
      <c r="E43" t="s">
        <v>2462</v>
      </c>
      <c r="F43" t="s">
        <v>2320</v>
      </c>
      <c r="G43" t="s">
        <v>2461</v>
      </c>
      <c r="H43" t="s">
        <v>2460</v>
      </c>
      <c r="I43"/>
      <c r="J43" t="s">
        <v>5231</v>
      </c>
      <c r="K43"/>
      <c r="L43"/>
      <c r="M43">
        <v>12</v>
      </c>
      <c r="N43">
        <v>11</v>
      </c>
      <c r="O43">
        <v>2</v>
      </c>
      <c r="P43">
        <v>8</v>
      </c>
      <c r="Q43">
        <v>2</v>
      </c>
      <c r="R43" t="s">
        <v>2317</v>
      </c>
      <c r="S43" t="s">
        <v>2316</v>
      </c>
      <c r="T43" t="s">
        <v>2876</v>
      </c>
      <c r="U43" t="s">
        <v>2315</v>
      </c>
      <c r="V43">
        <v>30</v>
      </c>
      <c r="W43"/>
      <c r="X43"/>
      <c r="Y43"/>
      <c r="Z43"/>
      <c r="AA43">
        <v>11</v>
      </c>
      <c r="AB43">
        <v>12</v>
      </c>
      <c r="AC43">
        <v>12</v>
      </c>
      <c r="AD43">
        <v>10</v>
      </c>
      <c r="AE43">
        <v>10</v>
      </c>
      <c r="AF43">
        <v>10</v>
      </c>
      <c r="AG43">
        <v>343</v>
      </c>
      <c r="AH43"/>
      <c r="AI43"/>
      <c r="AJ43"/>
      <c r="AK43"/>
      <c r="AL43"/>
      <c r="AM43"/>
      <c r="AN43">
        <v>53</v>
      </c>
      <c r="AO43">
        <v>391</v>
      </c>
      <c r="AP43">
        <v>6</v>
      </c>
      <c r="AQ43"/>
      <c r="AR43"/>
      <c r="AS43" t="s">
        <v>5241</v>
      </c>
      <c r="AT43"/>
      <c r="AU43"/>
      <c r="AV43" t="s">
        <v>5240</v>
      </c>
      <c r="AW43"/>
      <c r="AX43" t="s">
        <v>5239</v>
      </c>
      <c r="AY43"/>
      <c r="AZ43"/>
      <c r="BA43"/>
      <c r="BB43"/>
      <c r="BC43"/>
      <c r="BD43"/>
      <c r="BE43"/>
      <c r="BF43"/>
      <c r="BG43"/>
      <c r="BH43"/>
      <c r="BI43"/>
      <c r="BJ43"/>
      <c r="BK43"/>
      <c r="BL43"/>
      <c r="BM43"/>
      <c r="BN43"/>
      <c r="BO43"/>
      <c r="BP43" t="s">
        <v>4264</v>
      </c>
      <c r="BQ43" t="s">
        <v>5238</v>
      </c>
      <c r="BR43" t="s">
        <v>4909</v>
      </c>
      <c r="BS43" t="s">
        <v>5237</v>
      </c>
      <c r="BT43" t="s">
        <v>5236</v>
      </c>
      <c r="BU43" t="s">
        <v>5235</v>
      </c>
      <c r="BV43"/>
      <c r="BW43"/>
      <c r="BX43"/>
      <c r="BY43"/>
      <c r="BZ43"/>
      <c r="CA43"/>
      <c r="CB43"/>
      <c r="CC43"/>
      <c r="CD43"/>
      <c r="CE43"/>
      <c r="CF43"/>
      <c r="CG43"/>
      <c r="CH43"/>
      <c r="CI43"/>
      <c r="CJ43"/>
      <c r="CK43"/>
      <c r="CL43"/>
      <c r="CM43"/>
      <c r="CN43"/>
      <c r="CO43"/>
      <c r="CP43"/>
      <c r="CQ43"/>
      <c r="CR43"/>
      <c r="CS43"/>
      <c r="CT43"/>
      <c r="CU43"/>
      <c r="CV43"/>
      <c r="CW43"/>
      <c r="CX43" t="s">
        <v>2307</v>
      </c>
      <c r="CY43">
        <v>343</v>
      </c>
      <c r="CZ43" t="s">
        <v>2306</v>
      </c>
    </row>
    <row r="44" spans="1:104" ht="14.25">
      <c r="A44" t="s">
        <v>5234</v>
      </c>
      <c r="B44" t="s">
        <v>5233</v>
      </c>
      <c r="C44" t="s">
        <v>5232</v>
      </c>
      <c r="D44">
        <v>2</v>
      </c>
      <c r="E44" t="s">
        <v>2462</v>
      </c>
      <c r="F44" t="s">
        <v>2320</v>
      </c>
      <c r="G44" t="s">
        <v>2461</v>
      </c>
      <c r="H44" t="s">
        <v>2460</v>
      </c>
      <c r="I44"/>
      <c r="J44" t="s">
        <v>5231</v>
      </c>
      <c r="K44"/>
      <c r="L44"/>
      <c r="M44">
        <v>15</v>
      </c>
      <c r="N44">
        <v>65</v>
      </c>
      <c r="O44">
        <v>10</v>
      </c>
      <c r="P44">
        <v>8</v>
      </c>
      <c r="Q44">
        <v>20</v>
      </c>
      <c r="R44" t="s">
        <v>2317</v>
      </c>
      <c r="S44" t="s">
        <v>2758</v>
      </c>
      <c r="T44" t="s">
        <v>3044</v>
      </c>
      <c r="U44" t="s">
        <v>2315</v>
      </c>
      <c r="V44">
        <v>30</v>
      </c>
      <c r="W44"/>
      <c r="X44"/>
      <c r="Y44"/>
      <c r="Z44"/>
      <c r="AA44">
        <v>15</v>
      </c>
      <c r="AB44">
        <v>16</v>
      </c>
      <c r="AC44">
        <v>14</v>
      </c>
      <c r="AD44">
        <v>14</v>
      </c>
      <c r="AE44">
        <v>11</v>
      </c>
      <c r="AF44">
        <v>14</v>
      </c>
      <c r="AG44">
        <v>344</v>
      </c>
      <c r="AH44"/>
      <c r="AI44"/>
      <c r="AJ44"/>
      <c r="AK44"/>
      <c r="AL44"/>
      <c r="AM44"/>
      <c r="AN44"/>
      <c r="AO44">
        <v>392</v>
      </c>
      <c r="AP44"/>
      <c r="AQ44"/>
      <c r="AR44"/>
      <c r="AS44" t="s">
        <v>5230</v>
      </c>
      <c r="AT44">
        <v>9</v>
      </c>
      <c r="AU44"/>
      <c r="AV44" t="s">
        <v>5163</v>
      </c>
      <c r="AW44"/>
      <c r="AX44" t="s">
        <v>5229</v>
      </c>
      <c r="AY44"/>
      <c r="AZ44"/>
      <c r="BA44"/>
      <c r="BB44"/>
      <c r="BC44"/>
      <c r="BD44"/>
      <c r="BE44"/>
      <c r="BF44"/>
      <c r="BG44"/>
      <c r="BH44"/>
      <c r="BI44"/>
      <c r="BJ44"/>
      <c r="BK44"/>
      <c r="BL44"/>
      <c r="BM44"/>
      <c r="BN44"/>
      <c r="BO44"/>
      <c r="BP44" t="s">
        <v>2333</v>
      </c>
      <c r="BQ44" t="s">
        <v>5228</v>
      </c>
      <c r="BR44" t="s">
        <v>2333</v>
      </c>
      <c r="BS44" t="s">
        <v>4264</v>
      </c>
      <c r="BT44" t="s">
        <v>2617</v>
      </c>
      <c r="BU44" t="s">
        <v>2616</v>
      </c>
      <c r="BV44" t="s">
        <v>3858</v>
      </c>
      <c r="BW44" t="s">
        <v>5227</v>
      </c>
      <c r="BX44" t="s">
        <v>3918</v>
      </c>
      <c r="BY44"/>
      <c r="BZ44"/>
      <c r="CA44"/>
      <c r="CB44"/>
      <c r="CC44"/>
      <c r="CD44"/>
      <c r="CE44"/>
      <c r="CF44"/>
      <c r="CG44"/>
      <c r="CH44"/>
      <c r="CI44"/>
      <c r="CJ44"/>
      <c r="CK44"/>
      <c r="CL44"/>
      <c r="CM44"/>
      <c r="CN44"/>
      <c r="CO44"/>
      <c r="CP44"/>
      <c r="CQ44"/>
      <c r="CR44"/>
      <c r="CS44"/>
      <c r="CT44"/>
      <c r="CU44"/>
      <c r="CV44" t="s">
        <v>3635</v>
      </c>
      <c r="CW44" t="s">
        <v>5226</v>
      </c>
      <c r="CX44" t="s">
        <v>2307</v>
      </c>
      <c r="CY44">
        <v>344</v>
      </c>
      <c r="CZ44" t="s">
        <v>2306</v>
      </c>
    </row>
    <row r="45" spans="1:104" ht="14.25">
      <c r="A45" t="s">
        <v>5225</v>
      </c>
      <c r="B45" t="s">
        <v>5225</v>
      </c>
      <c r="C45" t="s">
        <v>5224</v>
      </c>
      <c r="D45">
        <v>4</v>
      </c>
      <c r="E45" t="s">
        <v>2321</v>
      </c>
      <c r="F45" t="s">
        <v>2320</v>
      </c>
      <c r="G45" t="s">
        <v>2319</v>
      </c>
      <c r="H45"/>
      <c r="I45"/>
      <c r="J45" t="s">
        <v>2340</v>
      </c>
      <c r="K45"/>
      <c r="L45"/>
      <c r="M45">
        <v>12</v>
      </c>
      <c r="N45">
        <v>58</v>
      </c>
      <c r="O45">
        <v>13</v>
      </c>
      <c r="P45">
        <v>8</v>
      </c>
      <c r="Q45"/>
      <c r="R45" t="s">
        <v>2317</v>
      </c>
      <c r="S45" t="s">
        <v>3629</v>
      </c>
      <c r="T45" t="s">
        <v>2315</v>
      </c>
      <c r="U45" t="s">
        <v>2315</v>
      </c>
      <c r="V45">
        <v>0</v>
      </c>
      <c r="W45"/>
      <c r="X45"/>
      <c r="Y45">
        <v>40</v>
      </c>
      <c r="Z45"/>
      <c r="AA45">
        <v>1</v>
      </c>
      <c r="AB45">
        <v>14</v>
      </c>
      <c r="AC45">
        <v>10</v>
      </c>
      <c r="AD45">
        <v>12</v>
      </c>
      <c r="AE45">
        <v>11</v>
      </c>
      <c r="AF45">
        <v>17</v>
      </c>
      <c r="AG45">
        <v>23</v>
      </c>
      <c r="AH45"/>
      <c r="AI45"/>
      <c r="AJ45"/>
      <c r="AK45"/>
      <c r="AL45"/>
      <c r="AM45"/>
      <c r="AN45">
        <v>11</v>
      </c>
      <c r="AO45"/>
      <c r="AP45"/>
      <c r="AQ45"/>
      <c r="AR45"/>
      <c r="AS45"/>
      <c r="AT45"/>
      <c r="AU45"/>
      <c r="AV45"/>
      <c r="AW45"/>
      <c r="AX45" t="s">
        <v>2522</v>
      </c>
      <c r="AY45" t="s">
        <v>5222</v>
      </c>
      <c r="AZ45" t="s">
        <v>5223</v>
      </c>
      <c r="BA45" t="s">
        <v>5222</v>
      </c>
      <c r="BB45" t="s">
        <v>2520</v>
      </c>
      <c r="BC45" t="s">
        <v>5221</v>
      </c>
      <c r="BD45" t="s">
        <v>2520</v>
      </c>
      <c r="BE45"/>
      <c r="BF45"/>
      <c r="BG45"/>
      <c r="BH45"/>
      <c r="BI45"/>
      <c r="BJ45"/>
      <c r="BK45"/>
      <c r="BL45"/>
      <c r="BM45"/>
      <c r="BN45"/>
      <c r="BO45"/>
      <c r="BP45" t="s">
        <v>5220</v>
      </c>
      <c r="BQ45" t="s">
        <v>5219</v>
      </c>
      <c r="BR45" t="s">
        <v>5218</v>
      </c>
      <c r="BS45" t="s">
        <v>4524</v>
      </c>
      <c r="BT45" t="s">
        <v>5217</v>
      </c>
      <c r="BU45" t="s">
        <v>4524</v>
      </c>
      <c r="BV45" t="s">
        <v>5215</v>
      </c>
      <c r="BW45" t="s">
        <v>5216</v>
      </c>
      <c r="BX45" t="s">
        <v>5215</v>
      </c>
      <c r="BY45"/>
      <c r="BZ45"/>
      <c r="CA45"/>
      <c r="CB45"/>
      <c r="CC45"/>
      <c r="CD45"/>
      <c r="CE45"/>
      <c r="CF45"/>
      <c r="CG45"/>
      <c r="CH45"/>
      <c r="CI45"/>
      <c r="CJ45"/>
      <c r="CK45"/>
      <c r="CL45"/>
      <c r="CM45"/>
      <c r="CN45"/>
      <c r="CO45"/>
      <c r="CP45"/>
      <c r="CQ45"/>
      <c r="CR45"/>
      <c r="CS45"/>
      <c r="CT45"/>
      <c r="CU45"/>
      <c r="CV45"/>
      <c r="CW45"/>
      <c r="CX45" t="s">
        <v>2307</v>
      </c>
      <c r="CY45">
        <v>23</v>
      </c>
      <c r="CZ45" t="s">
        <v>2306</v>
      </c>
    </row>
    <row r="46" spans="1:104" ht="14.25">
      <c r="A46" t="s">
        <v>5214</v>
      </c>
      <c r="B46" t="s">
        <v>5213</v>
      </c>
      <c r="C46" t="s">
        <v>5212</v>
      </c>
      <c r="D46">
        <v>5</v>
      </c>
      <c r="E46" t="s">
        <v>2321</v>
      </c>
      <c r="F46" t="s">
        <v>2320</v>
      </c>
      <c r="G46" t="s">
        <v>2732</v>
      </c>
      <c r="H46" t="s">
        <v>3520</v>
      </c>
      <c r="I46"/>
      <c r="J46" t="s">
        <v>2375</v>
      </c>
      <c r="K46"/>
      <c r="L46"/>
      <c r="M46">
        <v>15</v>
      </c>
      <c r="N46">
        <v>110</v>
      </c>
      <c r="O46">
        <v>13</v>
      </c>
      <c r="P46">
        <v>8</v>
      </c>
      <c r="Q46">
        <v>52</v>
      </c>
      <c r="R46" t="s">
        <v>2317</v>
      </c>
      <c r="S46" t="s">
        <v>2478</v>
      </c>
      <c r="T46" t="s">
        <v>2730</v>
      </c>
      <c r="U46" t="s">
        <v>2315</v>
      </c>
      <c r="V46">
        <v>30</v>
      </c>
      <c r="W46"/>
      <c r="X46"/>
      <c r="Y46"/>
      <c r="Z46"/>
      <c r="AA46">
        <v>16</v>
      </c>
      <c r="AB46">
        <v>17</v>
      </c>
      <c r="AC46">
        <v>18</v>
      </c>
      <c r="AD46">
        <v>12</v>
      </c>
      <c r="AE46">
        <v>14</v>
      </c>
      <c r="AF46">
        <v>14</v>
      </c>
      <c r="AG46">
        <v>70</v>
      </c>
      <c r="AH46"/>
      <c r="AI46"/>
      <c r="AJ46"/>
      <c r="AK46"/>
      <c r="AL46"/>
      <c r="AM46"/>
      <c r="AN46"/>
      <c r="AO46">
        <v>277</v>
      </c>
      <c r="AP46"/>
      <c r="AQ46">
        <v>7</v>
      </c>
      <c r="AR46"/>
      <c r="AS46"/>
      <c r="AT46"/>
      <c r="AU46"/>
      <c r="AV46"/>
      <c r="AW46"/>
      <c r="AX46"/>
      <c r="AY46" t="s">
        <v>5211</v>
      </c>
      <c r="AZ46" t="s">
        <v>5210</v>
      </c>
      <c r="BA46" t="s">
        <v>5209</v>
      </c>
      <c r="BB46" t="s">
        <v>3911</v>
      </c>
      <c r="BC46" t="s">
        <v>4045</v>
      </c>
      <c r="BD46" t="s">
        <v>3911</v>
      </c>
      <c r="BE46" t="s">
        <v>2726</v>
      </c>
      <c r="BF46" t="s">
        <v>4044</v>
      </c>
      <c r="BG46" t="s">
        <v>2726</v>
      </c>
      <c r="BH46"/>
      <c r="BI46"/>
      <c r="BJ46"/>
      <c r="BK46"/>
      <c r="BL46"/>
      <c r="BM46"/>
      <c r="BN46"/>
      <c r="BO46"/>
      <c r="BP46" t="s">
        <v>2333</v>
      </c>
      <c r="BQ46" t="s">
        <v>5208</v>
      </c>
      <c r="BR46" t="s">
        <v>2333</v>
      </c>
      <c r="BS46" t="s">
        <v>2329</v>
      </c>
      <c r="BT46" t="s">
        <v>5207</v>
      </c>
      <c r="BU46" t="s">
        <v>2466</v>
      </c>
      <c r="BV46" t="s">
        <v>2831</v>
      </c>
      <c r="BW46" t="s">
        <v>2724</v>
      </c>
      <c r="BX46" t="s">
        <v>5206</v>
      </c>
      <c r="BY46" t="s">
        <v>4077</v>
      </c>
      <c r="BZ46" t="s">
        <v>5205</v>
      </c>
      <c r="CA46" t="s">
        <v>5204</v>
      </c>
      <c r="CB46"/>
      <c r="CC46"/>
      <c r="CD46"/>
      <c r="CE46"/>
      <c r="CF46"/>
      <c r="CG46"/>
      <c r="CH46"/>
      <c r="CI46"/>
      <c r="CJ46"/>
      <c r="CK46"/>
      <c r="CL46"/>
      <c r="CM46"/>
      <c r="CN46"/>
      <c r="CO46"/>
      <c r="CP46"/>
      <c r="CQ46"/>
      <c r="CR46"/>
      <c r="CS46"/>
      <c r="CT46"/>
      <c r="CU46"/>
      <c r="CV46"/>
      <c r="CW46"/>
      <c r="CX46" t="s">
        <v>2307</v>
      </c>
      <c r="CY46">
        <v>70</v>
      </c>
      <c r="CZ46" t="s">
        <v>2306</v>
      </c>
    </row>
    <row r="47" spans="1:104" ht="14.25">
      <c r="A47" t="s">
        <v>5203</v>
      </c>
      <c r="B47" t="s">
        <v>5203</v>
      </c>
      <c r="C47" t="s">
        <v>5202</v>
      </c>
      <c r="D47">
        <v>3</v>
      </c>
      <c r="E47" t="s">
        <v>2321</v>
      </c>
      <c r="F47" t="s">
        <v>2320</v>
      </c>
      <c r="G47" t="s">
        <v>2440</v>
      </c>
      <c r="H47"/>
      <c r="I47"/>
      <c r="J47" t="s">
        <v>1908</v>
      </c>
      <c r="K47"/>
      <c r="L47"/>
      <c r="M47">
        <v>15</v>
      </c>
      <c r="N47">
        <v>52</v>
      </c>
      <c r="O47">
        <v>8</v>
      </c>
      <c r="P47">
        <v>8</v>
      </c>
      <c r="Q47">
        <v>16</v>
      </c>
      <c r="R47" t="s">
        <v>2317</v>
      </c>
      <c r="S47" t="s">
        <v>4535</v>
      </c>
      <c r="T47" t="s">
        <v>2315</v>
      </c>
      <c r="U47" t="s">
        <v>2315</v>
      </c>
      <c r="V47">
        <v>20</v>
      </c>
      <c r="W47"/>
      <c r="X47"/>
      <c r="Y47"/>
      <c r="Z47"/>
      <c r="AA47">
        <v>16</v>
      </c>
      <c r="AB47">
        <v>8</v>
      </c>
      <c r="AC47">
        <v>15</v>
      </c>
      <c r="AD47">
        <v>2</v>
      </c>
      <c r="AE47">
        <v>8</v>
      </c>
      <c r="AF47">
        <v>7</v>
      </c>
      <c r="AG47">
        <v>24</v>
      </c>
      <c r="AH47"/>
      <c r="AI47"/>
      <c r="AJ47"/>
      <c r="AK47"/>
      <c r="AL47"/>
      <c r="AM47"/>
      <c r="AN47">
        <v>12</v>
      </c>
      <c r="AO47">
        <v>268</v>
      </c>
      <c r="AP47"/>
      <c r="AQ47"/>
      <c r="AR47"/>
      <c r="AS47" t="s">
        <v>5201</v>
      </c>
      <c r="AT47"/>
      <c r="AU47"/>
      <c r="AV47"/>
      <c r="AW47"/>
      <c r="AX47"/>
      <c r="AY47" t="s">
        <v>3783</v>
      </c>
      <c r="AZ47" t="s">
        <v>5200</v>
      </c>
      <c r="BA47" t="s">
        <v>3783</v>
      </c>
      <c r="BB47"/>
      <c r="BC47"/>
      <c r="BD47"/>
      <c r="BE47"/>
      <c r="BF47"/>
      <c r="BG47"/>
      <c r="BH47"/>
      <c r="BI47"/>
      <c r="BJ47"/>
      <c r="BK47"/>
      <c r="BL47"/>
      <c r="BM47"/>
      <c r="BN47"/>
      <c r="BO47"/>
      <c r="BP47" t="s">
        <v>2332</v>
      </c>
      <c r="BQ47" t="s">
        <v>5199</v>
      </c>
      <c r="BR47" t="s">
        <v>5198</v>
      </c>
      <c r="BS47"/>
      <c r="BT47"/>
      <c r="BU47"/>
      <c r="BV47"/>
      <c r="BW47"/>
      <c r="BX47"/>
      <c r="BY47"/>
      <c r="BZ47"/>
      <c r="CA47"/>
      <c r="CB47"/>
      <c r="CC47"/>
      <c r="CD47"/>
      <c r="CE47"/>
      <c r="CF47"/>
      <c r="CG47"/>
      <c r="CH47"/>
      <c r="CI47"/>
      <c r="CJ47"/>
      <c r="CK47"/>
      <c r="CL47"/>
      <c r="CM47"/>
      <c r="CN47"/>
      <c r="CO47"/>
      <c r="CP47"/>
      <c r="CQ47"/>
      <c r="CR47"/>
      <c r="CS47"/>
      <c r="CT47"/>
      <c r="CU47"/>
      <c r="CV47"/>
      <c r="CW47"/>
      <c r="CX47" t="s">
        <v>2307</v>
      </c>
      <c r="CY47">
        <v>24</v>
      </c>
      <c r="CZ47" t="s">
        <v>2306</v>
      </c>
    </row>
    <row r="48" spans="1:104" ht="14.25">
      <c r="A48" t="s">
        <v>5197</v>
      </c>
      <c r="B48" t="s">
        <v>5197</v>
      </c>
      <c r="C48" t="s">
        <v>5196</v>
      </c>
      <c r="D48">
        <v>0</v>
      </c>
      <c r="E48" t="s">
        <v>2533</v>
      </c>
      <c r="F48" t="s">
        <v>2572</v>
      </c>
      <c r="G48" t="s">
        <v>2543</v>
      </c>
      <c r="H48"/>
      <c r="I48"/>
      <c r="J48" t="s">
        <v>1908</v>
      </c>
      <c r="K48"/>
      <c r="L48"/>
      <c r="M48">
        <v>12</v>
      </c>
      <c r="N48">
        <v>1</v>
      </c>
      <c r="O48">
        <v>1</v>
      </c>
      <c r="P48">
        <v>4</v>
      </c>
      <c r="Q48">
        <v>-1</v>
      </c>
      <c r="R48" t="s">
        <v>2317</v>
      </c>
      <c r="S48" t="s">
        <v>2679</v>
      </c>
      <c r="T48" t="s">
        <v>2315</v>
      </c>
      <c r="U48" t="s">
        <v>2315</v>
      </c>
      <c r="V48">
        <v>5</v>
      </c>
      <c r="W48"/>
      <c r="X48"/>
      <c r="Y48">
        <v>30</v>
      </c>
      <c r="Z48"/>
      <c r="AA48">
        <v>2</v>
      </c>
      <c r="AB48">
        <v>15</v>
      </c>
      <c r="AC48">
        <v>8</v>
      </c>
      <c r="AD48">
        <v>2</v>
      </c>
      <c r="AE48">
        <v>12</v>
      </c>
      <c r="AF48">
        <v>4</v>
      </c>
      <c r="AG48">
        <v>318</v>
      </c>
      <c r="AH48">
        <v>304</v>
      </c>
      <c r="AI48"/>
      <c r="AJ48"/>
      <c r="AK48"/>
      <c r="AL48"/>
      <c r="AM48"/>
      <c r="AN48">
        <v>12</v>
      </c>
      <c r="AO48">
        <v>362</v>
      </c>
      <c r="AP48"/>
      <c r="AQ48"/>
      <c r="AR48"/>
      <c r="AS48"/>
      <c r="AT48"/>
      <c r="AU48"/>
      <c r="AV48" t="s">
        <v>5195</v>
      </c>
      <c r="AW48"/>
      <c r="AX48"/>
      <c r="AY48" t="s">
        <v>2984</v>
      </c>
      <c r="AZ48" t="s">
        <v>4496</v>
      </c>
      <c r="BA48" t="s">
        <v>2984</v>
      </c>
      <c r="BB48" t="s">
        <v>2982</v>
      </c>
      <c r="BC48" t="s">
        <v>4495</v>
      </c>
      <c r="BD48" t="s">
        <v>2982</v>
      </c>
      <c r="BE48"/>
      <c r="BF48"/>
      <c r="BG48"/>
      <c r="BH48"/>
      <c r="BI48"/>
      <c r="BJ48"/>
      <c r="BK48"/>
      <c r="BL48"/>
      <c r="BM48"/>
      <c r="BN48"/>
      <c r="BO48"/>
      <c r="BP48" t="s">
        <v>2332</v>
      </c>
      <c r="BQ48" t="s">
        <v>5194</v>
      </c>
      <c r="BR48" t="s">
        <v>3384</v>
      </c>
      <c r="BS48"/>
      <c r="BT48"/>
      <c r="BU48"/>
      <c r="BV48"/>
      <c r="BW48"/>
      <c r="BX48"/>
      <c r="BY48"/>
      <c r="BZ48"/>
      <c r="CA48"/>
      <c r="CB48"/>
      <c r="CC48"/>
      <c r="CD48"/>
      <c r="CE48"/>
      <c r="CF48"/>
      <c r="CG48"/>
      <c r="CH48"/>
      <c r="CI48"/>
      <c r="CJ48"/>
      <c r="CK48"/>
      <c r="CL48"/>
      <c r="CM48"/>
      <c r="CN48"/>
      <c r="CO48"/>
      <c r="CP48"/>
      <c r="CQ48"/>
      <c r="CR48"/>
      <c r="CS48"/>
      <c r="CT48"/>
      <c r="CU48"/>
      <c r="CV48"/>
      <c r="CW48"/>
      <c r="CX48" t="s">
        <v>2307</v>
      </c>
      <c r="CY48">
        <v>318</v>
      </c>
      <c r="CZ48" t="s">
        <v>2306</v>
      </c>
    </row>
    <row r="49" spans="1:104" ht="14.25">
      <c r="A49" t="s">
        <v>5193</v>
      </c>
      <c r="B49" t="s">
        <v>5192</v>
      </c>
      <c r="C49" t="s">
        <v>5191</v>
      </c>
      <c r="D49">
        <v>3</v>
      </c>
      <c r="E49" t="s">
        <v>2321</v>
      </c>
      <c r="F49" t="s">
        <v>2320</v>
      </c>
      <c r="G49" t="s">
        <v>2732</v>
      </c>
      <c r="H49" t="s">
        <v>3520</v>
      </c>
      <c r="I49"/>
      <c r="J49" t="s">
        <v>2375</v>
      </c>
      <c r="K49"/>
      <c r="L49"/>
      <c r="M49">
        <v>13</v>
      </c>
      <c r="N49">
        <v>52</v>
      </c>
      <c r="O49">
        <v>8</v>
      </c>
      <c r="P49">
        <v>8</v>
      </c>
      <c r="Q49">
        <v>16</v>
      </c>
      <c r="R49" t="s">
        <v>2317</v>
      </c>
      <c r="S49" t="s">
        <v>2611</v>
      </c>
      <c r="T49" t="s">
        <v>5190</v>
      </c>
      <c r="U49" t="s">
        <v>2315</v>
      </c>
      <c r="V49">
        <v>30</v>
      </c>
      <c r="W49"/>
      <c r="X49"/>
      <c r="Y49"/>
      <c r="Z49"/>
      <c r="AA49">
        <v>16</v>
      </c>
      <c r="AB49">
        <v>15</v>
      </c>
      <c r="AC49">
        <v>15</v>
      </c>
      <c r="AD49">
        <v>9</v>
      </c>
      <c r="AE49">
        <v>11</v>
      </c>
      <c r="AF49">
        <v>11</v>
      </c>
      <c r="AG49">
        <v>70</v>
      </c>
      <c r="AH49"/>
      <c r="AI49"/>
      <c r="AJ49"/>
      <c r="AK49"/>
      <c r="AL49"/>
      <c r="AM49"/>
      <c r="AN49"/>
      <c r="AO49">
        <v>277</v>
      </c>
      <c r="AP49"/>
      <c r="AQ49">
        <v>7</v>
      </c>
      <c r="AR49"/>
      <c r="AS49"/>
      <c r="AT49"/>
      <c r="AU49"/>
      <c r="AV49"/>
      <c r="AW49"/>
      <c r="AX49"/>
      <c r="AY49" t="s">
        <v>3911</v>
      </c>
      <c r="AZ49" t="s">
        <v>4045</v>
      </c>
      <c r="BA49" t="s">
        <v>3911</v>
      </c>
      <c r="BB49" t="s">
        <v>2726</v>
      </c>
      <c r="BC49" t="s">
        <v>4044</v>
      </c>
      <c r="BD49" t="s">
        <v>2726</v>
      </c>
      <c r="BE49" t="s">
        <v>5188</v>
      </c>
      <c r="BF49" t="s">
        <v>5189</v>
      </c>
      <c r="BG49" t="s">
        <v>5188</v>
      </c>
      <c r="BH49"/>
      <c r="BI49"/>
      <c r="BJ49"/>
      <c r="BK49"/>
      <c r="BL49"/>
      <c r="BM49"/>
      <c r="BN49"/>
      <c r="BO49"/>
      <c r="BP49" t="s">
        <v>2333</v>
      </c>
      <c r="BQ49" t="s">
        <v>5187</v>
      </c>
      <c r="BR49" t="s">
        <v>2333</v>
      </c>
      <c r="BS49" t="s">
        <v>5186</v>
      </c>
      <c r="BT49" t="s">
        <v>5185</v>
      </c>
      <c r="BU49" t="s">
        <v>5184</v>
      </c>
      <c r="BV49" t="s">
        <v>3586</v>
      </c>
      <c r="BW49" t="s">
        <v>5183</v>
      </c>
      <c r="BX49" t="s">
        <v>5182</v>
      </c>
      <c r="BY49"/>
      <c r="BZ49"/>
      <c r="CA49"/>
      <c r="CB49"/>
      <c r="CC49"/>
      <c r="CD49"/>
      <c r="CE49"/>
      <c r="CF49"/>
      <c r="CG49"/>
      <c r="CH49"/>
      <c r="CI49"/>
      <c r="CJ49"/>
      <c r="CK49"/>
      <c r="CL49"/>
      <c r="CM49"/>
      <c r="CN49"/>
      <c r="CO49"/>
      <c r="CP49"/>
      <c r="CQ49"/>
      <c r="CR49"/>
      <c r="CS49"/>
      <c r="CT49"/>
      <c r="CU49"/>
      <c r="CV49"/>
      <c r="CW49"/>
      <c r="CX49" t="s">
        <v>2307</v>
      </c>
      <c r="CY49">
        <v>70</v>
      </c>
      <c r="CZ49" t="s">
        <v>2306</v>
      </c>
    </row>
    <row r="50" spans="1:104" ht="14.25">
      <c r="A50" t="s">
        <v>5181</v>
      </c>
      <c r="B50" t="s">
        <v>5181</v>
      </c>
      <c r="C50" t="s">
        <v>5180</v>
      </c>
      <c r="D50">
        <v>11</v>
      </c>
      <c r="E50" t="s">
        <v>2321</v>
      </c>
      <c r="F50" t="s">
        <v>2838</v>
      </c>
      <c r="G50" t="s">
        <v>2440</v>
      </c>
      <c r="H50"/>
      <c r="I50"/>
      <c r="J50" t="s">
        <v>2318</v>
      </c>
      <c r="K50"/>
      <c r="L50"/>
      <c r="M50">
        <v>17</v>
      </c>
      <c r="N50">
        <v>168</v>
      </c>
      <c r="O50">
        <v>16</v>
      </c>
      <c r="P50">
        <v>12</v>
      </c>
      <c r="Q50">
        <v>64</v>
      </c>
      <c r="R50" t="s">
        <v>2317</v>
      </c>
      <c r="S50" t="s">
        <v>5179</v>
      </c>
      <c r="T50" t="s">
        <v>5178</v>
      </c>
      <c r="U50" t="s">
        <v>2315</v>
      </c>
      <c r="V50">
        <v>50</v>
      </c>
      <c r="W50"/>
      <c r="X50">
        <v>40</v>
      </c>
      <c r="Y50"/>
      <c r="Z50"/>
      <c r="AA50">
        <v>23</v>
      </c>
      <c r="AB50">
        <v>16</v>
      </c>
      <c r="AC50">
        <v>18</v>
      </c>
      <c r="AD50">
        <v>7</v>
      </c>
      <c r="AE50">
        <v>14</v>
      </c>
      <c r="AF50">
        <v>12</v>
      </c>
      <c r="AG50">
        <v>25</v>
      </c>
      <c r="AH50"/>
      <c r="AI50"/>
      <c r="AJ50"/>
      <c r="AK50"/>
      <c r="AL50"/>
      <c r="AM50"/>
      <c r="AN50"/>
      <c r="AO50">
        <v>268</v>
      </c>
      <c r="AP50"/>
      <c r="AQ50"/>
      <c r="AR50"/>
      <c r="AS50"/>
      <c r="AT50"/>
      <c r="AU50"/>
      <c r="AV50" t="s">
        <v>5177</v>
      </c>
      <c r="AW50"/>
      <c r="AX50"/>
      <c r="AY50"/>
      <c r="AZ50"/>
      <c r="BA50"/>
      <c r="BB50"/>
      <c r="BC50"/>
      <c r="BD50"/>
      <c r="BE50"/>
      <c r="BF50"/>
      <c r="BG50"/>
      <c r="BH50"/>
      <c r="BI50"/>
      <c r="BJ50"/>
      <c r="BK50"/>
      <c r="BL50"/>
      <c r="BM50"/>
      <c r="BN50"/>
      <c r="BO50"/>
      <c r="BP50" t="s">
        <v>2333</v>
      </c>
      <c r="BQ50" t="s">
        <v>5176</v>
      </c>
      <c r="BR50" t="s">
        <v>2333</v>
      </c>
      <c r="BS50" t="s">
        <v>2332</v>
      </c>
      <c r="BT50" t="s">
        <v>5175</v>
      </c>
      <c r="BU50" t="s">
        <v>5174</v>
      </c>
      <c r="BV50" t="s">
        <v>4476</v>
      </c>
      <c r="BW50" t="s">
        <v>5173</v>
      </c>
      <c r="BX50" t="s">
        <v>5172</v>
      </c>
      <c r="BY50" t="s">
        <v>2409</v>
      </c>
      <c r="BZ50" t="s">
        <v>5171</v>
      </c>
      <c r="CA50" t="s">
        <v>5170</v>
      </c>
      <c r="CB50" t="s">
        <v>2908</v>
      </c>
      <c r="CC50" t="s">
        <v>5169</v>
      </c>
      <c r="CD50" t="s">
        <v>5168</v>
      </c>
      <c r="CE50"/>
      <c r="CF50"/>
      <c r="CG50"/>
      <c r="CH50"/>
      <c r="CI50"/>
      <c r="CJ50"/>
      <c r="CK50"/>
      <c r="CL50"/>
      <c r="CM50"/>
      <c r="CN50"/>
      <c r="CO50"/>
      <c r="CP50"/>
      <c r="CQ50"/>
      <c r="CR50"/>
      <c r="CS50"/>
      <c r="CT50"/>
      <c r="CU50"/>
      <c r="CV50"/>
      <c r="CW50"/>
      <c r="CX50" t="s">
        <v>2307</v>
      </c>
      <c r="CY50">
        <v>25</v>
      </c>
      <c r="CZ50" t="s">
        <v>2306</v>
      </c>
    </row>
    <row r="51" spans="1:104" ht="14.25">
      <c r="A51" t="s">
        <v>5167</v>
      </c>
      <c r="B51" t="s">
        <v>5167</v>
      </c>
      <c r="C51" t="s">
        <v>5166</v>
      </c>
      <c r="D51">
        <v>2</v>
      </c>
      <c r="E51" t="s">
        <v>2462</v>
      </c>
      <c r="F51" t="s">
        <v>2320</v>
      </c>
      <c r="G51" t="s">
        <v>2461</v>
      </c>
      <c r="H51" t="s">
        <v>2460</v>
      </c>
      <c r="I51"/>
      <c r="J51" t="s">
        <v>5165</v>
      </c>
      <c r="K51"/>
      <c r="L51"/>
      <c r="M51">
        <v>13</v>
      </c>
      <c r="N51">
        <v>67</v>
      </c>
      <c r="O51">
        <v>9</v>
      </c>
      <c r="P51">
        <v>8</v>
      </c>
      <c r="Q51">
        <v>27</v>
      </c>
      <c r="R51" t="s">
        <v>2317</v>
      </c>
      <c r="S51" t="s">
        <v>3579</v>
      </c>
      <c r="T51" t="s">
        <v>2315</v>
      </c>
      <c r="U51" t="s">
        <v>2315</v>
      </c>
      <c r="V51">
        <v>30</v>
      </c>
      <c r="W51"/>
      <c r="X51"/>
      <c r="Y51"/>
      <c r="Z51"/>
      <c r="AA51">
        <v>16</v>
      </c>
      <c r="AB51">
        <v>12</v>
      </c>
      <c r="AC51">
        <v>17</v>
      </c>
      <c r="AD51">
        <v>9</v>
      </c>
      <c r="AE51">
        <v>11</v>
      </c>
      <c r="AF51">
        <v>9</v>
      </c>
      <c r="AG51">
        <v>344</v>
      </c>
      <c r="AH51"/>
      <c r="AI51"/>
      <c r="AJ51"/>
      <c r="AK51"/>
      <c r="AL51"/>
      <c r="AM51"/>
      <c r="AN51">
        <v>53</v>
      </c>
      <c r="AO51">
        <v>392</v>
      </c>
      <c r="AP51">
        <v>6</v>
      </c>
      <c r="AQ51"/>
      <c r="AR51"/>
      <c r="AS51" t="s">
        <v>5164</v>
      </c>
      <c r="AT51"/>
      <c r="AU51"/>
      <c r="AV51" t="s">
        <v>5163</v>
      </c>
      <c r="AW51"/>
      <c r="AX51"/>
      <c r="AY51" t="s">
        <v>3737</v>
      </c>
      <c r="AZ51" t="s">
        <v>5162</v>
      </c>
      <c r="BA51" t="s">
        <v>3737</v>
      </c>
      <c r="BB51"/>
      <c r="BC51"/>
      <c r="BD51"/>
      <c r="BE51"/>
      <c r="BF51"/>
      <c r="BG51"/>
      <c r="BH51"/>
      <c r="BI51"/>
      <c r="BJ51"/>
      <c r="BK51"/>
      <c r="BL51"/>
      <c r="BM51"/>
      <c r="BN51"/>
      <c r="BO51"/>
      <c r="BP51" t="s">
        <v>3575</v>
      </c>
      <c r="BQ51" t="s">
        <v>3574</v>
      </c>
      <c r="BR51" t="s">
        <v>5161</v>
      </c>
      <c r="BS51"/>
      <c r="BT51"/>
      <c r="BU51"/>
      <c r="BV51"/>
      <c r="BW51"/>
      <c r="BX51"/>
      <c r="BY51"/>
      <c r="BZ51"/>
      <c r="CA51"/>
      <c r="CB51"/>
      <c r="CC51"/>
      <c r="CD51"/>
      <c r="CE51"/>
      <c r="CF51"/>
      <c r="CG51"/>
      <c r="CH51"/>
      <c r="CI51"/>
      <c r="CJ51"/>
      <c r="CK51"/>
      <c r="CL51"/>
      <c r="CM51"/>
      <c r="CN51"/>
      <c r="CO51"/>
      <c r="CP51"/>
      <c r="CQ51"/>
      <c r="CR51"/>
      <c r="CS51"/>
      <c r="CT51"/>
      <c r="CU51"/>
      <c r="CV51"/>
      <c r="CW51"/>
      <c r="CX51" t="s">
        <v>2307</v>
      </c>
      <c r="CY51">
        <v>344</v>
      </c>
      <c r="CZ51" t="s">
        <v>2306</v>
      </c>
    </row>
    <row r="52" spans="1:104" ht="14.25">
      <c r="A52" t="s">
        <v>5160</v>
      </c>
      <c r="B52" t="s">
        <v>5159</v>
      </c>
      <c r="C52" t="s">
        <v>5158</v>
      </c>
      <c r="D52">
        <v>0.5</v>
      </c>
      <c r="E52" t="s">
        <v>2533</v>
      </c>
      <c r="F52" t="s">
        <v>2320</v>
      </c>
      <c r="G52" t="s">
        <v>2543</v>
      </c>
      <c r="H52"/>
      <c r="I52"/>
      <c r="J52" t="s">
        <v>1908</v>
      </c>
      <c r="K52"/>
      <c r="L52"/>
      <c r="M52">
        <v>11</v>
      </c>
      <c r="N52">
        <v>19</v>
      </c>
      <c r="O52">
        <v>3</v>
      </c>
      <c r="P52">
        <v>8</v>
      </c>
      <c r="Q52">
        <v>6</v>
      </c>
      <c r="R52" t="s">
        <v>2317</v>
      </c>
      <c r="S52" t="s">
        <v>2458</v>
      </c>
      <c r="T52" t="s">
        <v>2610</v>
      </c>
      <c r="U52" t="s">
        <v>2315</v>
      </c>
      <c r="V52">
        <v>40</v>
      </c>
      <c r="W52"/>
      <c r="X52">
        <v>30</v>
      </c>
      <c r="Y52"/>
      <c r="Z52"/>
      <c r="AA52">
        <v>15</v>
      </c>
      <c r="AB52">
        <v>10</v>
      </c>
      <c r="AC52">
        <v>14</v>
      </c>
      <c r="AD52">
        <v>2</v>
      </c>
      <c r="AE52">
        <v>12</v>
      </c>
      <c r="AF52">
        <v>7</v>
      </c>
      <c r="AG52">
        <v>318</v>
      </c>
      <c r="AH52">
        <v>304</v>
      </c>
      <c r="AI52"/>
      <c r="AJ52"/>
      <c r="AK52"/>
      <c r="AL52"/>
      <c r="AM52"/>
      <c r="AN52">
        <v>12</v>
      </c>
      <c r="AO52">
        <v>362</v>
      </c>
      <c r="AP52"/>
      <c r="AQ52"/>
      <c r="AR52"/>
      <c r="AS52"/>
      <c r="AT52"/>
      <c r="AU52"/>
      <c r="AV52" t="s">
        <v>3476</v>
      </c>
      <c r="AW52"/>
      <c r="AX52"/>
      <c r="AY52" t="s">
        <v>2434</v>
      </c>
      <c r="AZ52" t="s">
        <v>3475</v>
      </c>
      <c r="BA52" t="s">
        <v>2434</v>
      </c>
      <c r="BB52"/>
      <c r="BC52"/>
      <c r="BD52"/>
      <c r="BE52"/>
      <c r="BF52"/>
      <c r="BG52"/>
      <c r="BH52"/>
      <c r="BI52"/>
      <c r="BJ52"/>
      <c r="BK52"/>
      <c r="BL52"/>
      <c r="BM52"/>
      <c r="BN52"/>
      <c r="BO52"/>
      <c r="BP52" t="s">
        <v>2333</v>
      </c>
      <c r="BQ52" t="s">
        <v>3474</v>
      </c>
      <c r="BR52" t="s">
        <v>2333</v>
      </c>
      <c r="BS52" t="s">
        <v>2332</v>
      </c>
      <c r="BT52" t="s">
        <v>5157</v>
      </c>
      <c r="BU52" t="s">
        <v>5156</v>
      </c>
      <c r="BV52" t="s">
        <v>2505</v>
      </c>
      <c r="BW52" t="s">
        <v>5155</v>
      </c>
      <c r="BX52" t="s">
        <v>5154</v>
      </c>
      <c r="BY52"/>
      <c r="BZ52"/>
      <c r="CA52"/>
      <c r="CB52"/>
      <c r="CC52"/>
      <c r="CD52"/>
      <c r="CE52"/>
      <c r="CF52"/>
      <c r="CG52"/>
      <c r="CH52"/>
      <c r="CI52"/>
      <c r="CJ52"/>
      <c r="CK52"/>
      <c r="CL52"/>
      <c r="CM52"/>
      <c r="CN52"/>
      <c r="CO52"/>
      <c r="CP52"/>
      <c r="CQ52"/>
      <c r="CR52"/>
      <c r="CS52"/>
      <c r="CT52"/>
      <c r="CU52"/>
      <c r="CV52"/>
      <c r="CW52"/>
      <c r="CX52" t="s">
        <v>2307</v>
      </c>
      <c r="CY52">
        <v>318</v>
      </c>
      <c r="CZ52" t="s">
        <v>2306</v>
      </c>
    </row>
    <row r="53" spans="1:104" ht="14.25">
      <c r="A53" t="s">
        <v>5153</v>
      </c>
      <c r="B53" t="s">
        <v>5152</v>
      </c>
      <c r="C53" t="s">
        <v>5151</v>
      </c>
      <c r="D53">
        <v>2</v>
      </c>
      <c r="E53" t="s">
        <v>2321</v>
      </c>
      <c r="F53" t="s">
        <v>2320</v>
      </c>
      <c r="G53" t="s">
        <v>2341</v>
      </c>
      <c r="H53"/>
      <c r="I53"/>
      <c r="J53" t="s">
        <v>2340</v>
      </c>
      <c r="K53"/>
      <c r="L53"/>
      <c r="M53">
        <v>17</v>
      </c>
      <c r="N53">
        <v>33</v>
      </c>
      <c r="O53">
        <v>6</v>
      </c>
      <c r="P53">
        <v>8</v>
      </c>
      <c r="Q53">
        <v>6</v>
      </c>
      <c r="R53" t="s">
        <v>2494</v>
      </c>
      <c r="S53" t="s">
        <v>2494</v>
      </c>
      <c r="T53" t="s">
        <v>2494</v>
      </c>
      <c r="U53" t="s">
        <v>2494</v>
      </c>
      <c r="V53">
        <v>30</v>
      </c>
      <c r="W53"/>
      <c r="X53"/>
      <c r="Y53">
        <v>60</v>
      </c>
      <c r="Z53">
        <v>30</v>
      </c>
      <c r="AA53">
        <v>15</v>
      </c>
      <c r="AB53">
        <v>14</v>
      </c>
      <c r="AC53">
        <v>13</v>
      </c>
      <c r="AD53">
        <v>10</v>
      </c>
      <c r="AE53">
        <v>11</v>
      </c>
      <c r="AF53">
        <v>13</v>
      </c>
      <c r="AG53">
        <v>88</v>
      </c>
      <c r="AH53"/>
      <c r="AI53"/>
      <c r="AJ53"/>
      <c r="AK53"/>
      <c r="AL53"/>
      <c r="AM53"/>
      <c r="AN53"/>
      <c r="AO53">
        <v>285</v>
      </c>
      <c r="AP53"/>
      <c r="AQ53"/>
      <c r="AR53"/>
      <c r="AS53" t="s">
        <v>5150</v>
      </c>
      <c r="AT53"/>
      <c r="AU53"/>
      <c r="AV53"/>
      <c r="AW53"/>
      <c r="AX53"/>
      <c r="AY53" t="s">
        <v>2373</v>
      </c>
      <c r="AZ53" t="s">
        <v>2374</v>
      </c>
      <c r="BA53" t="s">
        <v>2373</v>
      </c>
      <c r="BB53"/>
      <c r="BC53"/>
      <c r="BD53"/>
      <c r="BE53"/>
      <c r="BF53"/>
      <c r="BG53"/>
      <c r="BH53"/>
      <c r="BI53"/>
      <c r="BJ53"/>
      <c r="BK53"/>
      <c r="BL53"/>
      <c r="BM53"/>
      <c r="BN53"/>
      <c r="BO53"/>
      <c r="BP53" t="s">
        <v>2332</v>
      </c>
      <c r="BQ53" t="s">
        <v>5149</v>
      </c>
      <c r="BR53" t="s">
        <v>2591</v>
      </c>
      <c r="BS53" t="s">
        <v>2421</v>
      </c>
      <c r="BT53" t="s">
        <v>5148</v>
      </c>
      <c r="BU53" t="s">
        <v>5147</v>
      </c>
      <c r="BV53"/>
      <c r="BW53"/>
      <c r="BX53"/>
      <c r="BY53"/>
      <c r="BZ53"/>
      <c r="CA53"/>
      <c r="CB53"/>
      <c r="CC53"/>
      <c r="CD53"/>
      <c r="CE53"/>
      <c r="CF53"/>
      <c r="CG53"/>
      <c r="CH53"/>
      <c r="CI53"/>
      <c r="CJ53"/>
      <c r="CK53"/>
      <c r="CL53"/>
      <c r="CM53"/>
      <c r="CN53"/>
      <c r="CO53"/>
      <c r="CP53"/>
      <c r="CQ53"/>
      <c r="CR53"/>
      <c r="CS53"/>
      <c r="CT53"/>
      <c r="CU53"/>
      <c r="CV53"/>
      <c r="CW53"/>
      <c r="CX53" t="s">
        <v>2307</v>
      </c>
      <c r="CY53">
        <v>88</v>
      </c>
      <c r="CZ53" t="s">
        <v>2306</v>
      </c>
    </row>
    <row r="54" spans="1:104" ht="14.25">
      <c r="A54" t="s">
        <v>5146</v>
      </c>
      <c r="B54" t="s">
        <v>5145</v>
      </c>
      <c r="C54" t="s">
        <v>5144</v>
      </c>
      <c r="D54">
        <v>4</v>
      </c>
      <c r="E54" t="s">
        <v>2321</v>
      </c>
      <c r="F54" t="s">
        <v>2342</v>
      </c>
      <c r="G54" t="s">
        <v>3630</v>
      </c>
      <c r="H54"/>
      <c r="I54"/>
      <c r="J54" t="s">
        <v>1908</v>
      </c>
      <c r="K54"/>
      <c r="L54"/>
      <c r="M54">
        <v>7</v>
      </c>
      <c r="N54">
        <v>85</v>
      </c>
      <c r="O54">
        <v>10</v>
      </c>
      <c r="P54">
        <v>10</v>
      </c>
      <c r="Q54">
        <v>30</v>
      </c>
      <c r="R54" t="s">
        <v>2317</v>
      </c>
      <c r="S54" t="s">
        <v>5143</v>
      </c>
      <c r="T54" t="s">
        <v>2758</v>
      </c>
      <c r="U54" t="s">
        <v>2315</v>
      </c>
      <c r="V54">
        <v>20</v>
      </c>
      <c r="W54"/>
      <c r="X54">
        <v>20</v>
      </c>
      <c r="Y54"/>
      <c r="Z54"/>
      <c r="AA54">
        <v>16</v>
      </c>
      <c r="AB54">
        <v>5</v>
      </c>
      <c r="AC54">
        <v>16</v>
      </c>
      <c r="AD54">
        <v>1</v>
      </c>
      <c r="AE54">
        <v>6</v>
      </c>
      <c r="AF54">
        <v>1</v>
      </c>
      <c r="AG54">
        <v>241</v>
      </c>
      <c r="AH54"/>
      <c r="AI54"/>
      <c r="AJ54"/>
      <c r="AK54"/>
      <c r="AL54"/>
      <c r="AM54"/>
      <c r="AN54"/>
      <c r="AO54">
        <v>340</v>
      </c>
      <c r="AP54"/>
      <c r="AQ54"/>
      <c r="AR54"/>
      <c r="AS54"/>
      <c r="AT54">
        <v>10</v>
      </c>
      <c r="AU54"/>
      <c r="AV54" t="s">
        <v>5142</v>
      </c>
      <c r="AW54"/>
      <c r="AX54" t="s">
        <v>5141</v>
      </c>
      <c r="AY54" t="s">
        <v>3202</v>
      </c>
      <c r="AZ54" t="s">
        <v>5140</v>
      </c>
      <c r="BA54" t="s">
        <v>3202</v>
      </c>
      <c r="BB54" t="s">
        <v>5139</v>
      </c>
      <c r="BC54" t="s">
        <v>5138</v>
      </c>
      <c r="BD54" t="s">
        <v>5137</v>
      </c>
      <c r="BE54" t="s">
        <v>2768</v>
      </c>
      <c r="BF54" t="s">
        <v>5136</v>
      </c>
      <c r="BG54" t="s">
        <v>2768</v>
      </c>
      <c r="BH54"/>
      <c r="BI54"/>
      <c r="BJ54"/>
      <c r="BK54"/>
      <c r="BL54"/>
      <c r="BM54"/>
      <c r="BN54"/>
      <c r="BO54"/>
      <c r="BP54" t="s">
        <v>3625</v>
      </c>
      <c r="BQ54" t="s">
        <v>5135</v>
      </c>
      <c r="BR54" t="s">
        <v>5134</v>
      </c>
      <c r="BS54"/>
      <c r="BT54"/>
      <c r="BU54"/>
      <c r="BV54"/>
      <c r="BW54"/>
      <c r="BX54"/>
      <c r="BY54"/>
      <c r="BZ54"/>
      <c r="CA54"/>
      <c r="CB54"/>
      <c r="CC54"/>
      <c r="CD54"/>
      <c r="CE54"/>
      <c r="CF54"/>
      <c r="CG54"/>
      <c r="CH54"/>
      <c r="CI54"/>
      <c r="CJ54"/>
      <c r="CK54"/>
      <c r="CL54"/>
      <c r="CM54"/>
      <c r="CN54"/>
      <c r="CO54"/>
      <c r="CP54"/>
      <c r="CQ54"/>
      <c r="CR54"/>
      <c r="CS54"/>
      <c r="CT54"/>
      <c r="CU54"/>
      <c r="CV54" t="s">
        <v>3622</v>
      </c>
      <c r="CW54" t="s">
        <v>5133</v>
      </c>
      <c r="CX54" t="s">
        <v>2307</v>
      </c>
      <c r="CY54">
        <v>241</v>
      </c>
      <c r="CZ54" t="s">
        <v>2306</v>
      </c>
    </row>
    <row r="55" spans="1:104" ht="14.25">
      <c r="A55" t="s">
        <v>5132</v>
      </c>
      <c r="B55" t="s">
        <v>5131</v>
      </c>
      <c r="C55" t="s">
        <v>5130</v>
      </c>
      <c r="D55">
        <v>0.25</v>
      </c>
      <c r="E55" t="s">
        <v>2533</v>
      </c>
      <c r="F55" t="s">
        <v>2320</v>
      </c>
      <c r="G55" t="s">
        <v>3084</v>
      </c>
      <c r="H55"/>
      <c r="I55"/>
      <c r="J55" t="s">
        <v>2355</v>
      </c>
      <c r="K55"/>
      <c r="L55"/>
      <c r="M55">
        <v>13</v>
      </c>
      <c r="N55">
        <v>22</v>
      </c>
      <c r="O55">
        <v>4</v>
      </c>
      <c r="P55">
        <v>8</v>
      </c>
      <c r="Q55">
        <v>4</v>
      </c>
      <c r="R55" t="s">
        <v>2317</v>
      </c>
      <c r="S55" t="s">
        <v>2316</v>
      </c>
      <c r="T55" t="s">
        <v>2315</v>
      </c>
      <c r="U55" t="s">
        <v>2315</v>
      </c>
      <c r="V55">
        <v>40</v>
      </c>
      <c r="W55"/>
      <c r="X55"/>
      <c r="Y55"/>
      <c r="Z55"/>
      <c r="AA55">
        <v>12</v>
      </c>
      <c r="AB55">
        <v>17</v>
      </c>
      <c r="AC55">
        <v>12</v>
      </c>
      <c r="AD55">
        <v>10</v>
      </c>
      <c r="AE55">
        <v>13</v>
      </c>
      <c r="AF55">
        <v>11</v>
      </c>
      <c r="AG55">
        <v>318</v>
      </c>
      <c r="AH55"/>
      <c r="AI55"/>
      <c r="AJ55"/>
      <c r="AK55"/>
      <c r="AL55"/>
      <c r="AM55"/>
      <c r="AN55">
        <v>12</v>
      </c>
      <c r="AO55">
        <v>363</v>
      </c>
      <c r="AP55"/>
      <c r="AQ55"/>
      <c r="AR55"/>
      <c r="AS55"/>
      <c r="AT55"/>
      <c r="AU55"/>
      <c r="AV55"/>
      <c r="AW55"/>
      <c r="AX55"/>
      <c r="AY55" t="s">
        <v>2528</v>
      </c>
      <c r="AZ55" t="s">
        <v>5129</v>
      </c>
      <c r="BA55" t="s">
        <v>2528</v>
      </c>
      <c r="BB55"/>
      <c r="BC55"/>
      <c r="BD55"/>
      <c r="BE55"/>
      <c r="BF55"/>
      <c r="BG55"/>
      <c r="BH55"/>
      <c r="BI55"/>
      <c r="BJ55"/>
      <c r="BK55"/>
      <c r="BL55"/>
      <c r="BM55"/>
      <c r="BN55"/>
      <c r="BO55"/>
      <c r="BP55" t="s">
        <v>2332</v>
      </c>
      <c r="BQ55" t="s">
        <v>4500</v>
      </c>
      <c r="BR55" t="s">
        <v>3790</v>
      </c>
      <c r="BS55" t="s">
        <v>5127</v>
      </c>
      <c r="BT55" t="s">
        <v>5128</v>
      </c>
      <c r="BU55" t="s">
        <v>5127</v>
      </c>
      <c r="BV55"/>
      <c r="BW55"/>
      <c r="BX55"/>
      <c r="BY55"/>
      <c r="BZ55"/>
      <c r="CA55"/>
      <c r="CB55"/>
      <c r="CC55"/>
      <c r="CD55"/>
      <c r="CE55"/>
      <c r="CF55"/>
      <c r="CG55"/>
      <c r="CH55"/>
      <c r="CI55"/>
      <c r="CJ55"/>
      <c r="CK55"/>
      <c r="CL55"/>
      <c r="CM55"/>
      <c r="CN55"/>
      <c r="CO55"/>
      <c r="CP55"/>
      <c r="CQ55"/>
      <c r="CR55"/>
      <c r="CS55"/>
      <c r="CT55"/>
      <c r="CU55"/>
      <c r="CV55"/>
      <c r="CW55"/>
      <c r="CX55" t="s">
        <v>2307</v>
      </c>
      <c r="CY55">
        <v>318</v>
      </c>
      <c r="CZ55" t="s">
        <v>2306</v>
      </c>
    </row>
    <row r="56" spans="1:104" ht="14.25">
      <c r="A56" t="s">
        <v>5126</v>
      </c>
      <c r="B56" t="s">
        <v>5125</v>
      </c>
      <c r="C56" t="s">
        <v>5124</v>
      </c>
      <c r="D56">
        <v>0.125</v>
      </c>
      <c r="E56" t="s">
        <v>2533</v>
      </c>
      <c r="F56" t="s">
        <v>2497</v>
      </c>
      <c r="G56" t="s">
        <v>2543</v>
      </c>
      <c r="H56"/>
      <c r="I56"/>
      <c r="J56" t="s">
        <v>1908</v>
      </c>
      <c r="K56"/>
      <c r="L56"/>
      <c r="M56">
        <v>12</v>
      </c>
      <c r="N56">
        <v>7</v>
      </c>
      <c r="O56">
        <v>2</v>
      </c>
      <c r="P56">
        <v>6</v>
      </c>
      <c r="Q56"/>
      <c r="R56" t="s">
        <v>2317</v>
      </c>
      <c r="S56" t="s">
        <v>2646</v>
      </c>
      <c r="T56" t="s">
        <v>2315</v>
      </c>
      <c r="U56" t="s">
        <v>2315</v>
      </c>
      <c r="V56">
        <v>10</v>
      </c>
      <c r="W56"/>
      <c r="X56"/>
      <c r="Y56">
        <v>60</v>
      </c>
      <c r="Z56"/>
      <c r="AA56">
        <v>6</v>
      </c>
      <c r="AB56">
        <v>14</v>
      </c>
      <c r="AC56">
        <v>10</v>
      </c>
      <c r="AD56">
        <v>3</v>
      </c>
      <c r="AE56">
        <v>14</v>
      </c>
      <c r="AF56">
        <v>5</v>
      </c>
      <c r="AG56">
        <v>319</v>
      </c>
      <c r="AH56"/>
      <c r="AI56"/>
      <c r="AJ56"/>
      <c r="AK56"/>
      <c r="AL56"/>
      <c r="AM56"/>
      <c r="AN56">
        <v>13</v>
      </c>
      <c r="AO56">
        <v>363</v>
      </c>
      <c r="AP56"/>
      <c r="AQ56"/>
      <c r="AR56"/>
      <c r="AS56"/>
      <c r="AT56"/>
      <c r="AU56"/>
      <c r="AV56" t="s">
        <v>4108</v>
      </c>
      <c r="AW56"/>
      <c r="AX56"/>
      <c r="AY56" t="s">
        <v>3338</v>
      </c>
      <c r="AZ56" t="s">
        <v>4147</v>
      </c>
      <c r="BA56" t="s">
        <v>3338</v>
      </c>
      <c r="BB56" t="s">
        <v>2452</v>
      </c>
      <c r="BC56" t="s">
        <v>5123</v>
      </c>
      <c r="BD56" t="s">
        <v>2452</v>
      </c>
      <c r="BE56"/>
      <c r="BF56"/>
      <c r="BG56"/>
      <c r="BH56"/>
      <c r="BI56"/>
      <c r="BJ56"/>
      <c r="BK56"/>
      <c r="BL56"/>
      <c r="BM56"/>
      <c r="BN56"/>
      <c r="BO56"/>
      <c r="BP56" t="s">
        <v>2707</v>
      </c>
      <c r="BQ56" t="s">
        <v>3448</v>
      </c>
      <c r="BR56" t="s">
        <v>5122</v>
      </c>
      <c r="BS56"/>
      <c r="BT56"/>
      <c r="BU56"/>
      <c r="BV56"/>
      <c r="BW56"/>
      <c r="BX56"/>
      <c r="BY56"/>
      <c r="BZ56"/>
      <c r="CA56"/>
      <c r="CB56"/>
      <c r="CC56"/>
      <c r="CD56"/>
      <c r="CE56"/>
      <c r="CF56"/>
      <c r="CG56"/>
      <c r="CH56"/>
      <c r="CI56"/>
      <c r="CJ56"/>
      <c r="CK56"/>
      <c r="CL56"/>
      <c r="CM56"/>
      <c r="CN56"/>
      <c r="CO56"/>
      <c r="CP56"/>
      <c r="CQ56"/>
      <c r="CR56"/>
      <c r="CS56"/>
      <c r="CT56"/>
      <c r="CU56"/>
      <c r="CV56"/>
      <c r="CW56"/>
      <c r="CX56" t="s">
        <v>2307</v>
      </c>
      <c r="CY56">
        <v>319</v>
      </c>
      <c r="CZ56" t="s">
        <v>2306</v>
      </c>
    </row>
    <row r="57" spans="1:104" ht="14.25">
      <c r="A57" t="s">
        <v>5121</v>
      </c>
      <c r="B57" t="s">
        <v>5120</v>
      </c>
      <c r="C57" t="s">
        <v>5119</v>
      </c>
      <c r="D57">
        <v>3</v>
      </c>
      <c r="E57" t="s">
        <v>2321</v>
      </c>
      <c r="F57" t="s">
        <v>2320</v>
      </c>
      <c r="G57" t="s">
        <v>2341</v>
      </c>
      <c r="H57"/>
      <c r="I57"/>
      <c r="J57" t="s">
        <v>2375</v>
      </c>
      <c r="K57"/>
      <c r="L57"/>
      <c r="M57">
        <v>17</v>
      </c>
      <c r="N57">
        <v>52</v>
      </c>
      <c r="O57">
        <v>8</v>
      </c>
      <c r="P57">
        <v>8</v>
      </c>
      <c r="Q57">
        <v>16</v>
      </c>
      <c r="R57" t="s">
        <v>2494</v>
      </c>
      <c r="S57" t="s">
        <v>2494</v>
      </c>
      <c r="T57" t="s">
        <v>2494</v>
      </c>
      <c r="U57" t="s">
        <v>2494</v>
      </c>
      <c r="V57">
        <v>30</v>
      </c>
      <c r="W57">
        <v>15</v>
      </c>
      <c r="X57"/>
      <c r="Y57">
        <v>60</v>
      </c>
      <c r="Z57"/>
      <c r="AA57">
        <v>17</v>
      </c>
      <c r="AB57">
        <v>10</v>
      </c>
      <c r="AC57">
        <v>15</v>
      </c>
      <c r="AD57">
        <v>12</v>
      </c>
      <c r="AE57">
        <v>11</v>
      </c>
      <c r="AF57">
        <v>15</v>
      </c>
      <c r="AG57">
        <v>91</v>
      </c>
      <c r="AH57"/>
      <c r="AI57"/>
      <c r="AJ57"/>
      <c r="AK57"/>
      <c r="AL57"/>
      <c r="AM57"/>
      <c r="AN57"/>
      <c r="AO57">
        <v>287</v>
      </c>
      <c r="AP57"/>
      <c r="AQ57"/>
      <c r="AR57"/>
      <c r="AS57"/>
      <c r="AT57"/>
      <c r="AU57"/>
      <c r="AV57"/>
      <c r="AW57"/>
      <c r="AX57"/>
      <c r="AY57"/>
      <c r="AZ57"/>
      <c r="BA57"/>
      <c r="BB57"/>
      <c r="BC57"/>
      <c r="BD57"/>
      <c r="BE57"/>
      <c r="BF57"/>
      <c r="BG57"/>
      <c r="BH57"/>
      <c r="BI57"/>
      <c r="BJ57"/>
      <c r="BK57"/>
      <c r="BL57"/>
      <c r="BM57"/>
      <c r="BN57"/>
      <c r="BO57"/>
      <c r="BP57" t="s">
        <v>2332</v>
      </c>
      <c r="BQ57" t="s">
        <v>5118</v>
      </c>
      <c r="BR57" t="s">
        <v>5117</v>
      </c>
      <c r="BS57" t="s">
        <v>2409</v>
      </c>
      <c r="BT57" t="s">
        <v>5116</v>
      </c>
      <c r="BU57" t="s">
        <v>5115</v>
      </c>
      <c r="BV57"/>
      <c r="BW57"/>
      <c r="BX57"/>
      <c r="BY57"/>
      <c r="BZ57"/>
      <c r="CA57"/>
      <c r="CB57"/>
      <c r="CC57"/>
      <c r="CD57"/>
      <c r="CE57"/>
      <c r="CF57"/>
      <c r="CG57"/>
      <c r="CH57"/>
      <c r="CI57"/>
      <c r="CJ57"/>
      <c r="CK57"/>
      <c r="CL57"/>
      <c r="CM57"/>
      <c r="CN57"/>
      <c r="CO57"/>
      <c r="CP57"/>
      <c r="CQ57"/>
      <c r="CR57"/>
      <c r="CS57"/>
      <c r="CT57"/>
      <c r="CU57"/>
      <c r="CV57"/>
      <c r="CW57"/>
      <c r="CX57" t="s">
        <v>2307</v>
      </c>
      <c r="CY57">
        <v>91</v>
      </c>
      <c r="CZ57" t="s">
        <v>2306</v>
      </c>
    </row>
    <row r="58" spans="1:104" ht="14.25">
      <c r="A58" t="s">
        <v>5114</v>
      </c>
      <c r="B58" t="s">
        <v>5114</v>
      </c>
      <c r="C58" t="s">
        <v>5113</v>
      </c>
      <c r="D58">
        <v>0.25</v>
      </c>
      <c r="E58" t="s">
        <v>2533</v>
      </c>
      <c r="F58" t="s">
        <v>2320</v>
      </c>
      <c r="G58" t="s">
        <v>2543</v>
      </c>
      <c r="H58"/>
      <c r="I58"/>
      <c r="J58" t="s">
        <v>1908</v>
      </c>
      <c r="K58"/>
      <c r="L58"/>
      <c r="M58">
        <v>11</v>
      </c>
      <c r="N58">
        <v>11</v>
      </c>
      <c r="O58">
        <v>2</v>
      </c>
      <c r="P58">
        <v>8</v>
      </c>
      <c r="Q58">
        <v>2</v>
      </c>
      <c r="R58" t="s">
        <v>2317</v>
      </c>
      <c r="S58" t="s">
        <v>2316</v>
      </c>
      <c r="T58" t="s">
        <v>2315</v>
      </c>
      <c r="U58" t="s">
        <v>2315</v>
      </c>
      <c r="V58">
        <v>40</v>
      </c>
      <c r="W58"/>
      <c r="X58"/>
      <c r="Y58"/>
      <c r="Z58"/>
      <c r="AA58">
        <v>13</v>
      </c>
      <c r="AB58">
        <v>11</v>
      </c>
      <c r="AC58">
        <v>12</v>
      </c>
      <c r="AD58">
        <v>2</v>
      </c>
      <c r="AE58">
        <v>9</v>
      </c>
      <c r="AF58">
        <v>5</v>
      </c>
      <c r="AG58">
        <v>319</v>
      </c>
      <c r="AH58">
        <v>304</v>
      </c>
      <c r="AI58"/>
      <c r="AJ58"/>
      <c r="AK58"/>
      <c r="AL58"/>
      <c r="AM58"/>
      <c r="AN58">
        <v>13</v>
      </c>
      <c r="AO58">
        <v>363</v>
      </c>
      <c r="AP58"/>
      <c r="AQ58"/>
      <c r="AR58"/>
      <c r="AS58" t="s">
        <v>5112</v>
      </c>
      <c r="AT58"/>
      <c r="AU58"/>
      <c r="AV58"/>
      <c r="AW58"/>
      <c r="AX58" t="s">
        <v>3966</v>
      </c>
      <c r="AY58" t="s">
        <v>2824</v>
      </c>
      <c r="AZ58" t="s">
        <v>5111</v>
      </c>
      <c r="BA58" t="s">
        <v>5110</v>
      </c>
      <c r="BB58" t="s">
        <v>2656</v>
      </c>
      <c r="BC58" t="s">
        <v>5109</v>
      </c>
      <c r="BD58" t="s">
        <v>2656</v>
      </c>
      <c r="BE58"/>
      <c r="BF58"/>
      <c r="BG58"/>
      <c r="BH58"/>
      <c r="BI58"/>
      <c r="BJ58"/>
      <c r="BK58"/>
      <c r="BL58"/>
      <c r="BM58"/>
      <c r="BN58"/>
      <c r="BO58"/>
      <c r="BP58" t="s">
        <v>4487</v>
      </c>
      <c r="BQ58" t="s">
        <v>5108</v>
      </c>
      <c r="BR58" t="s">
        <v>5107</v>
      </c>
      <c r="BS58"/>
      <c r="BT58"/>
      <c r="BU58"/>
      <c r="BV58"/>
      <c r="BW58"/>
      <c r="BX58"/>
      <c r="BY58"/>
      <c r="BZ58"/>
      <c r="CA58"/>
      <c r="CB58"/>
      <c r="CC58"/>
      <c r="CD58"/>
      <c r="CE58"/>
      <c r="CF58"/>
      <c r="CG58"/>
      <c r="CH58"/>
      <c r="CI58"/>
      <c r="CJ58"/>
      <c r="CK58"/>
      <c r="CL58"/>
      <c r="CM58"/>
      <c r="CN58"/>
      <c r="CO58"/>
      <c r="CP58"/>
      <c r="CQ58"/>
      <c r="CR58"/>
      <c r="CS58"/>
      <c r="CT58"/>
      <c r="CU58"/>
      <c r="CV58"/>
      <c r="CW58"/>
      <c r="CX58" t="s">
        <v>2307</v>
      </c>
      <c r="CY58">
        <v>319</v>
      </c>
      <c r="CZ58" t="s">
        <v>2306</v>
      </c>
    </row>
    <row r="59" spans="1:104" ht="14.25">
      <c r="A59" t="s">
        <v>5106</v>
      </c>
      <c r="B59" t="s">
        <v>5105</v>
      </c>
      <c r="C59" t="s">
        <v>5104</v>
      </c>
      <c r="D59">
        <v>9</v>
      </c>
      <c r="E59" t="s">
        <v>2321</v>
      </c>
      <c r="F59" t="s">
        <v>2342</v>
      </c>
      <c r="G59" t="s">
        <v>2732</v>
      </c>
      <c r="H59" t="s">
        <v>3520</v>
      </c>
      <c r="I59"/>
      <c r="J59" t="s">
        <v>2375</v>
      </c>
      <c r="K59"/>
      <c r="L59"/>
      <c r="M59">
        <v>19</v>
      </c>
      <c r="N59">
        <v>142</v>
      </c>
      <c r="O59">
        <v>15</v>
      </c>
      <c r="P59">
        <v>10</v>
      </c>
      <c r="Q59">
        <v>60</v>
      </c>
      <c r="R59" t="s">
        <v>2317</v>
      </c>
      <c r="S59" t="s">
        <v>4182</v>
      </c>
      <c r="T59" t="s">
        <v>4172</v>
      </c>
      <c r="U59" t="s">
        <v>2315</v>
      </c>
      <c r="V59">
        <v>40</v>
      </c>
      <c r="W59"/>
      <c r="X59"/>
      <c r="Y59">
        <v>40</v>
      </c>
      <c r="Z59"/>
      <c r="AA59">
        <v>18</v>
      </c>
      <c r="AB59">
        <v>16</v>
      </c>
      <c r="AC59">
        <v>18</v>
      </c>
      <c r="AD59">
        <v>13</v>
      </c>
      <c r="AE59">
        <v>14</v>
      </c>
      <c r="AF59">
        <v>16</v>
      </c>
      <c r="AG59">
        <v>71</v>
      </c>
      <c r="AH59"/>
      <c r="AI59"/>
      <c r="AJ59"/>
      <c r="AK59"/>
      <c r="AL59"/>
      <c r="AM59"/>
      <c r="AN59"/>
      <c r="AO59">
        <v>278</v>
      </c>
      <c r="AP59"/>
      <c r="AQ59">
        <v>8</v>
      </c>
      <c r="AR59"/>
      <c r="AS59"/>
      <c r="AT59"/>
      <c r="AU59"/>
      <c r="AV59"/>
      <c r="AW59"/>
      <c r="AX59"/>
      <c r="AY59" t="s">
        <v>3911</v>
      </c>
      <c r="AZ59" t="s">
        <v>4045</v>
      </c>
      <c r="BA59" t="s">
        <v>3911</v>
      </c>
      <c r="BB59" t="s">
        <v>2726</v>
      </c>
      <c r="BC59" t="s">
        <v>4044</v>
      </c>
      <c r="BD59" t="s">
        <v>2726</v>
      </c>
      <c r="BE59"/>
      <c r="BF59"/>
      <c r="BG59"/>
      <c r="BH59"/>
      <c r="BI59"/>
      <c r="BJ59"/>
      <c r="BK59"/>
      <c r="BL59"/>
      <c r="BM59"/>
      <c r="BN59"/>
      <c r="BO59"/>
      <c r="BP59" t="s">
        <v>2333</v>
      </c>
      <c r="BQ59" t="s">
        <v>5103</v>
      </c>
      <c r="BR59" t="s">
        <v>2333</v>
      </c>
      <c r="BS59" t="s">
        <v>2329</v>
      </c>
      <c r="BT59" t="s">
        <v>5102</v>
      </c>
      <c r="BU59" t="s">
        <v>5101</v>
      </c>
      <c r="BV59" t="s">
        <v>3243</v>
      </c>
      <c r="BW59" t="s">
        <v>5100</v>
      </c>
      <c r="BX59" t="s">
        <v>5099</v>
      </c>
      <c r="BY59"/>
      <c r="BZ59"/>
      <c r="CA59"/>
      <c r="CB59"/>
      <c r="CC59"/>
      <c r="CD59"/>
      <c r="CE59"/>
      <c r="CF59"/>
      <c r="CG59"/>
      <c r="CH59"/>
      <c r="CI59"/>
      <c r="CJ59"/>
      <c r="CK59"/>
      <c r="CL59"/>
      <c r="CM59"/>
      <c r="CN59"/>
      <c r="CO59"/>
      <c r="CP59"/>
      <c r="CQ59"/>
      <c r="CR59"/>
      <c r="CS59"/>
      <c r="CT59"/>
      <c r="CU59"/>
      <c r="CV59"/>
      <c r="CW59"/>
      <c r="CX59" t="s">
        <v>2307</v>
      </c>
      <c r="CY59">
        <v>71</v>
      </c>
      <c r="CZ59" t="s">
        <v>2306</v>
      </c>
    </row>
    <row r="60" spans="1:104" ht="14.25">
      <c r="A60" t="s">
        <v>5098</v>
      </c>
      <c r="B60" t="s">
        <v>5097</v>
      </c>
      <c r="C60" t="s">
        <v>5096</v>
      </c>
      <c r="D60">
        <v>1</v>
      </c>
      <c r="E60" t="s">
        <v>2321</v>
      </c>
      <c r="F60" t="s">
        <v>2320</v>
      </c>
      <c r="G60" t="s">
        <v>2341</v>
      </c>
      <c r="H60"/>
      <c r="I60"/>
      <c r="J60" t="s">
        <v>2388</v>
      </c>
      <c r="K60"/>
      <c r="L60"/>
      <c r="M60">
        <v>16</v>
      </c>
      <c r="N60">
        <v>16</v>
      </c>
      <c r="O60">
        <v>3</v>
      </c>
      <c r="P60">
        <v>8</v>
      </c>
      <c r="Q60">
        <v>3</v>
      </c>
      <c r="R60" t="s">
        <v>2494</v>
      </c>
      <c r="S60" t="s">
        <v>2494</v>
      </c>
      <c r="T60" t="s">
        <v>2494</v>
      </c>
      <c r="U60" t="s">
        <v>2494</v>
      </c>
      <c r="V60">
        <v>30</v>
      </c>
      <c r="W60">
        <v>15</v>
      </c>
      <c r="X60"/>
      <c r="Y60">
        <v>60</v>
      </c>
      <c r="Z60"/>
      <c r="AA60">
        <v>15</v>
      </c>
      <c r="AB60">
        <v>10</v>
      </c>
      <c r="AC60">
        <v>13</v>
      </c>
      <c r="AD60">
        <v>10</v>
      </c>
      <c r="AE60">
        <v>11</v>
      </c>
      <c r="AF60">
        <v>13</v>
      </c>
      <c r="AG60">
        <v>106</v>
      </c>
      <c r="AH60"/>
      <c r="AI60"/>
      <c r="AJ60"/>
      <c r="AK60"/>
      <c r="AL60"/>
      <c r="AM60"/>
      <c r="AN60"/>
      <c r="AO60">
        <v>295</v>
      </c>
      <c r="AP60"/>
      <c r="AQ60"/>
      <c r="AR60"/>
      <c r="AS60"/>
      <c r="AT60"/>
      <c r="AU60"/>
      <c r="AV60"/>
      <c r="AW60"/>
      <c r="AX60"/>
      <c r="AY60"/>
      <c r="AZ60"/>
      <c r="BA60"/>
      <c r="BB60"/>
      <c r="BC60"/>
      <c r="BD60"/>
      <c r="BE60"/>
      <c r="BF60"/>
      <c r="BG60"/>
      <c r="BH60"/>
      <c r="BI60"/>
      <c r="BJ60"/>
      <c r="BK60"/>
      <c r="BL60"/>
      <c r="BM60"/>
      <c r="BN60"/>
      <c r="BO60"/>
      <c r="BP60" t="s">
        <v>2332</v>
      </c>
      <c r="BQ60" t="s">
        <v>4950</v>
      </c>
      <c r="BR60" t="s">
        <v>4926</v>
      </c>
      <c r="BS60" t="s">
        <v>2348</v>
      </c>
      <c r="BT60" t="s">
        <v>5095</v>
      </c>
      <c r="BU60" t="s">
        <v>5094</v>
      </c>
      <c r="BV60"/>
      <c r="BW60"/>
      <c r="BX60"/>
      <c r="BY60"/>
      <c r="BZ60"/>
      <c r="CA60"/>
      <c r="CB60"/>
      <c r="CC60"/>
      <c r="CD60"/>
      <c r="CE60"/>
      <c r="CF60"/>
      <c r="CG60"/>
      <c r="CH60"/>
      <c r="CI60"/>
      <c r="CJ60"/>
      <c r="CK60"/>
      <c r="CL60"/>
      <c r="CM60"/>
      <c r="CN60"/>
      <c r="CO60"/>
      <c r="CP60"/>
      <c r="CQ60"/>
      <c r="CR60"/>
      <c r="CS60"/>
      <c r="CT60"/>
      <c r="CU60"/>
      <c r="CV60"/>
      <c r="CW60"/>
      <c r="CX60" t="s">
        <v>2307</v>
      </c>
      <c r="CY60">
        <v>106</v>
      </c>
      <c r="CZ60" t="s">
        <v>2306</v>
      </c>
    </row>
    <row r="61" spans="1:104" ht="14.25">
      <c r="A61" t="s">
        <v>5093</v>
      </c>
      <c r="B61" t="s">
        <v>5092</v>
      </c>
      <c r="C61" t="s">
        <v>5091</v>
      </c>
      <c r="D61">
        <v>2</v>
      </c>
      <c r="E61" t="s">
        <v>2321</v>
      </c>
      <c r="F61" t="s">
        <v>2320</v>
      </c>
      <c r="G61" t="s">
        <v>2341</v>
      </c>
      <c r="H61"/>
      <c r="I61"/>
      <c r="J61" t="s">
        <v>2355</v>
      </c>
      <c r="K61"/>
      <c r="L61"/>
      <c r="M61">
        <v>17</v>
      </c>
      <c r="N61">
        <v>32</v>
      </c>
      <c r="O61">
        <v>5</v>
      </c>
      <c r="P61">
        <v>8</v>
      </c>
      <c r="Q61">
        <v>10</v>
      </c>
      <c r="R61" t="s">
        <v>2494</v>
      </c>
      <c r="S61" t="s">
        <v>2494</v>
      </c>
      <c r="T61" t="s">
        <v>2494</v>
      </c>
      <c r="U61" t="s">
        <v>2494</v>
      </c>
      <c r="V61">
        <v>30</v>
      </c>
      <c r="W61"/>
      <c r="X61"/>
      <c r="Y61">
        <v>60</v>
      </c>
      <c r="Z61">
        <v>30</v>
      </c>
      <c r="AA61">
        <v>17</v>
      </c>
      <c r="AB61">
        <v>10</v>
      </c>
      <c r="AC61">
        <v>15</v>
      </c>
      <c r="AD61">
        <v>12</v>
      </c>
      <c r="AE61">
        <v>11</v>
      </c>
      <c r="AF61">
        <v>15</v>
      </c>
      <c r="AG61">
        <v>109</v>
      </c>
      <c r="AH61"/>
      <c r="AI61"/>
      <c r="AJ61"/>
      <c r="AK61"/>
      <c r="AL61"/>
      <c r="AM61"/>
      <c r="AN61"/>
      <c r="AO61">
        <v>298</v>
      </c>
      <c r="AP61"/>
      <c r="AQ61"/>
      <c r="AR61"/>
      <c r="AS61"/>
      <c r="AT61"/>
      <c r="AU61"/>
      <c r="AV61"/>
      <c r="AW61"/>
      <c r="AX61"/>
      <c r="AY61" t="s">
        <v>2373</v>
      </c>
      <c r="AZ61" t="s">
        <v>2374</v>
      </c>
      <c r="BA61" t="s">
        <v>2373</v>
      </c>
      <c r="BB61"/>
      <c r="BC61"/>
      <c r="BD61"/>
      <c r="BE61"/>
      <c r="BF61"/>
      <c r="BG61"/>
      <c r="BH61"/>
      <c r="BI61"/>
      <c r="BJ61"/>
      <c r="BK61"/>
      <c r="BL61"/>
      <c r="BM61"/>
      <c r="BN61"/>
      <c r="BO61"/>
      <c r="BP61" t="s">
        <v>2332</v>
      </c>
      <c r="BQ61" t="s">
        <v>2896</v>
      </c>
      <c r="BR61" t="s">
        <v>2622</v>
      </c>
      <c r="BS61" t="s">
        <v>2348</v>
      </c>
      <c r="BT61" t="s">
        <v>5090</v>
      </c>
      <c r="BU61" t="s">
        <v>5089</v>
      </c>
      <c r="BV61"/>
      <c r="BW61"/>
      <c r="BX61"/>
      <c r="BY61"/>
      <c r="BZ61"/>
      <c r="CA61"/>
      <c r="CB61"/>
      <c r="CC61"/>
      <c r="CD61"/>
      <c r="CE61"/>
      <c r="CF61"/>
      <c r="CG61"/>
      <c r="CH61"/>
      <c r="CI61"/>
      <c r="CJ61"/>
      <c r="CK61"/>
      <c r="CL61"/>
      <c r="CM61"/>
      <c r="CN61"/>
      <c r="CO61"/>
      <c r="CP61"/>
      <c r="CQ61"/>
      <c r="CR61"/>
      <c r="CS61"/>
      <c r="CT61"/>
      <c r="CU61"/>
      <c r="CV61"/>
      <c r="CW61"/>
      <c r="CX61" t="s">
        <v>2307</v>
      </c>
      <c r="CY61">
        <v>109</v>
      </c>
      <c r="CZ61" t="s">
        <v>2306</v>
      </c>
    </row>
    <row r="62" spans="1:104" ht="14.25">
      <c r="A62" t="s">
        <v>5088</v>
      </c>
      <c r="B62" t="s">
        <v>5087</v>
      </c>
      <c r="C62" t="s">
        <v>5086</v>
      </c>
      <c r="D62">
        <v>1</v>
      </c>
      <c r="E62" t="s">
        <v>2533</v>
      </c>
      <c r="F62" t="s">
        <v>2342</v>
      </c>
      <c r="G62" t="s">
        <v>2543</v>
      </c>
      <c r="H62"/>
      <c r="I62"/>
      <c r="J62" t="s">
        <v>1908</v>
      </c>
      <c r="K62"/>
      <c r="L62"/>
      <c r="M62">
        <v>11</v>
      </c>
      <c r="N62">
        <v>34</v>
      </c>
      <c r="O62">
        <v>4</v>
      </c>
      <c r="P62">
        <v>10</v>
      </c>
      <c r="Q62">
        <v>12</v>
      </c>
      <c r="R62" t="s">
        <v>2317</v>
      </c>
      <c r="S62" t="s">
        <v>3394</v>
      </c>
      <c r="T62" t="s">
        <v>2439</v>
      </c>
      <c r="U62" t="s">
        <v>2315</v>
      </c>
      <c r="V62">
        <v>40</v>
      </c>
      <c r="W62"/>
      <c r="X62">
        <v>30</v>
      </c>
      <c r="Y62"/>
      <c r="Z62"/>
      <c r="AA62">
        <v>19</v>
      </c>
      <c r="AB62">
        <v>10</v>
      </c>
      <c r="AC62">
        <v>16</v>
      </c>
      <c r="AD62">
        <v>2</v>
      </c>
      <c r="AE62">
        <v>13</v>
      </c>
      <c r="AF62">
        <v>7</v>
      </c>
      <c r="AG62">
        <v>319</v>
      </c>
      <c r="AH62">
        <v>304</v>
      </c>
      <c r="AI62"/>
      <c r="AJ62"/>
      <c r="AK62"/>
      <c r="AL62"/>
      <c r="AM62"/>
      <c r="AN62">
        <v>13</v>
      </c>
      <c r="AO62">
        <v>364</v>
      </c>
      <c r="AP62"/>
      <c r="AQ62"/>
      <c r="AR62"/>
      <c r="AS62"/>
      <c r="AT62"/>
      <c r="AU62"/>
      <c r="AV62"/>
      <c r="AW62"/>
      <c r="AX62"/>
      <c r="AY62" t="s">
        <v>2434</v>
      </c>
      <c r="AZ62" t="s">
        <v>3475</v>
      </c>
      <c r="BA62" t="s">
        <v>2434</v>
      </c>
      <c r="BB62"/>
      <c r="BC62"/>
      <c r="BD62"/>
      <c r="BE62"/>
      <c r="BF62"/>
      <c r="BG62"/>
      <c r="BH62"/>
      <c r="BI62"/>
      <c r="BJ62"/>
      <c r="BK62"/>
      <c r="BL62"/>
      <c r="BM62"/>
      <c r="BN62"/>
      <c r="BO62"/>
      <c r="BP62" t="s">
        <v>2333</v>
      </c>
      <c r="BQ62" t="s">
        <v>3474</v>
      </c>
      <c r="BR62" t="s">
        <v>2333</v>
      </c>
      <c r="BS62" t="s">
        <v>2332</v>
      </c>
      <c r="BT62" t="s">
        <v>5085</v>
      </c>
      <c r="BU62" t="s">
        <v>5084</v>
      </c>
      <c r="BV62" t="s">
        <v>2505</v>
      </c>
      <c r="BW62" t="s">
        <v>5083</v>
      </c>
      <c r="BX62" t="s">
        <v>5082</v>
      </c>
      <c r="BY62"/>
      <c r="BZ62"/>
      <c r="CA62"/>
      <c r="CB62"/>
      <c r="CC62"/>
      <c r="CD62"/>
      <c r="CE62"/>
      <c r="CF62"/>
      <c r="CG62"/>
      <c r="CH62"/>
      <c r="CI62"/>
      <c r="CJ62"/>
      <c r="CK62"/>
      <c r="CL62"/>
      <c r="CM62"/>
      <c r="CN62"/>
      <c r="CO62"/>
      <c r="CP62"/>
      <c r="CQ62"/>
      <c r="CR62"/>
      <c r="CS62"/>
      <c r="CT62"/>
      <c r="CU62"/>
      <c r="CV62"/>
      <c r="CW62"/>
      <c r="CX62" t="s">
        <v>2307</v>
      </c>
      <c r="CY62">
        <v>319</v>
      </c>
      <c r="CZ62" t="s">
        <v>2306</v>
      </c>
    </row>
    <row r="63" spans="1:104" ht="14.25">
      <c r="A63" t="s">
        <v>5081</v>
      </c>
      <c r="B63" t="s">
        <v>5081</v>
      </c>
      <c r="C63" t="s">
        <v>5080</v>
      </c>
      <c r="D63">
        <v>1</v>
      </c>
      <c r="E63" t="s">
        <v>2321</v>
      </c>
      <c r="F63" t="s">
        <v>2320</v>
      </c>
      <c r="G63" t="s">
        <v>2461</v>
      </c>
      <c r="H63" t="s">
        <v>4102</v>
      </c>
      <c r="I63"/>
      <c r="J63" t="s">
        <v>2340</v>
      </c>
      <c r="K63"/>
      <c r="L63"/>
      <c r="M63">
        <v>16</v>
      </c>
      <c r="N63">
        <v>27</v>
      </c>
      <c r="O63">
        <v>5</v>
      </c>
      <c r="P63">
        <v>8</v>
      </c>
      <c r="Q63">
        <v>5</v>
      </c>
      <c r="R63" t="s">
        <v>2317</v>
      </c>
      <c r="S63" t="s">
        <v>4664</v>
      </c>
      <c r="T63" t="s">
        <v>3206</v>
      </c>
      <c r="U63" t="s">
        <v>2315</v>
      </c>
      <c r="V63">
        <v>30</v>
      </c>
      <c r="W63"/>
      <c r="X63"/>
      <c r="Y63"/>
      <c r="Z63"/>
      <c r="AA63">
        <v>15</v>
      </c>
      <c r="AB63">
        <v>14</v>
      </c>
      <c r="AC63">
        <v>13</v>
      </c>
      <c r="AD63">
        <v>8</v>
      </c>
      <c r="AE63">
        <v>11</v>
      </c>
      <c r="AF63">
        <v>9</v>
      </c>
      <c r="AG63">
        <v>33</v>
      </c>
      <c r="AH63"/>
      <c r="AI63"/>
      <c r="AJ63">
        <v>56</v>
      </c>
      <c r="AK63"/>
      <c r="AL63"/>
      <c r="AM63"/>
      <c r="AN63">
        <v>13</v>
      </c>
      <c r="AO63">
        <v>269</v>
      </c>
      <c r="AP63"/>
      <c r="AQ63"/>
      <c r="AR63"/>
      <c r="AS63" t="s">
        <v>5079</v>
      </c>
      <c r="AT63"/>
      <c r="AU63"/>
      <c r="AV63" t="s">
        <v>5078</v>
      </c>
      <c r="AW63"/>
      <c r="AX63"/>
      <c r="AY63" t="s">
        <v>4290</v>
      </c>
      <c r="AZ63" t="s">
        <v>5077</v>
      </c>
      <c r="BA63" t="s">
        <v>4290</v>
      </c>
      <c r="BB63" t="s">
        <v>4845</v>
      </c>
      <c r="BC63" t="s">
        <v>5076</v>
      </c>
      <c r="BD63" t="s">
        <v>5075</v>
      </c>
      <c r="BE63"/>
      <c r="BF63"/>
      <c r="BG63"/>
      <c r="BH63"/>
      <c r="BI63"/>
      <c r="BJ63"/>
      <c r="BK63"/>
      <c r="BL63"/>
      <c r="BM63"/>
      <c r="BN63"/>
      <c r="BO63"/>
      <c r="BP63" t="s">
        <v>3598</v>
      </c>
      <c r="BQ63" t="s">
        <v>5074</v>
      </c>
      <c r="BR63" t="s">
        <v>5073</v>
      </c>
      <c r="BS63" t="s">
        <v>3572</v>
      </c>
      <c r="BT63" t="s">
        <v>5072</v>
      </c>
      <c r="BU63" t="s">
        <v>5071</v>
      </c>
      <c r="BV63"/>
      <c r="BW63"/>
      <c r="BX63"/>
      <c r="BY63"/>
      <c r="BZ63"/>
      <c r="CA63"/>
      <c r="CB63"/>
      <c r="CC63"/>
      <c r="CD63"/>
      <c r="CE63"/>
      <c r="CF63"/>
      <c r="CG63"/>
      <c r="CH63"/>
      <c r="CI63"/>
      <c r="CJ63"/>
      <c r="CK63"/>
      <c r="CL63"/>
      <c r="CM63"/>
      <c r="CN63"/>
      <c r="CO63"/>
      <c r="CP63"/>
      <c r="CQ63"/>
      <c r="CR63"/>
      <c r="CS63"/>
      <c r="CT63"/>
      <c r="CU63"/>
      <c r="CV63"/>
      <c r="CW63"/>
      <c r="CX63" t="s">
        <v>2307</v>
      </c>
      <c r="CY63">
        <v>33</v>
      </c>
      <c r="CZ63" t="s">
        <v>2306</v>
      </c>
    </row>
    <row r="64" spans="1:104" ht="14.25">
      <c r="A64" t="s">
        <v>5070</v>
      </c>
      <c r="B64" t="s">
        <v>5070</v>
      </c>
      <c r="C64" t="s">
        <v>5069</v>
      </c>
      <c r="D64">
        <v>5</v>
      </c>
      <c r="E64" t="s">
        <v>2321</v>
      </c>
      <c r="F64" t="s">
        <v>2342</v>
      </c>
      <c r="G64" t="s">
        <v>2440</v>
      </c>
      <c r="H64"/>
      <c r="I64"/>
      <c r="J64" t="s">
        <v>1908</v>
      </c>
      <c r="K64"/>
      <c r="L64"/>
      <c r="M64">
        <v>17</v>
      </c>
      <c r="N64">
        <v>94</v>
      </c>
      <c r="O64">
        <v>9</v>
      </c>
      <c r="P64">
        <v>10</v>
      </c>
      <c r="Q64">
        <v>45</v>
      </c>
      <c r="R64" t="s">
        <v>2317</v>
      </c>
      <c r="S64" t="s">
        <v>5068</v>
      </c>
      <c r="T64" t="s">
        <v>2315</v>
      </c>
      <c r="U64" t="s">
        <v>2315</v>
      </c>
      <c r="V64">
        <v>40</v>
      </c>
      <c r="W64">
        <v>40</v>
      </c>
      <c r="X64"/>
      <c r="Y64"/>
      <c r="Z64"/>
      <c r="AA64">
        <v>19</v>
      </c>
      <c r="AB64">
        <v>11</v>
      </c>
      <c r="AC64">
        <v>21</v>
      </c>
      <c r="AD64">
        <v>2</v>
      </c>
      <c r="AE64">
        <v>10</v>
      </c>
      <c r="AF64">
        <v>5</v>
      </c>
      <c r="AG64">
        <v>34</v>
      </c>
      <c r="AH64"/>
      <c r="AI64"/>
      <c r="AJ64"/>
      <c r="AK64"/>
      <c r="AL64"/>
      <c r="AM64"/>
      <c r="AN64"/>
      <c r="AO64">
        <v>269</v>
      </c>
      <c r="AP64"/>
      <c r="AQ64"/>
      <c r="AR64"/>
      <c r="AS64" t="s">
        <v>4906</v>
      </c>
      <c r="AT64">
        <v>10</v>
      </c>
      <c r="AU64"/>
      <c r="AV64" t="s">
        <v>5067</v>
      </c>
      <c r="AW64"/>
      <c r="AX64" t="s">
        <v>4118</v>
      </c>
      <c r="AY64" t="s">
        <v>4349</v>
      </c>
      <c r="AZ64" t="s">
        <v>5066</v>
      </c>
      <c r="BA64" t="s">
        <v>4349</v>
      </c>
      <c r="BB64"/>
      <c r="BC64"/>
      <c r="BD64"/>
      <c r="BE64"/>
      <c r="BF64"/>
      <c r="BG64"/>
      <c r="BH64"/>
      <c r="BI64"/>
      <c r="BJ64"/>
      <c r="BK64"/>
      <c r="BL64"/>
      <c r="BM64"/>
      <c r="BN64"/>
      <c r="BO64"/>
      <c r="BP64" t="s">
        <v>2332</v>
      </c>
      <c r="BQ64" t="s">
        <v>5065</v>
      </c>
      <c r="BR64" t="s">
        <v>5064</v>
      </c>
      <c r="BS64" t="s">
        <v>5062</v>
      </c>
      <c r="BT64" t="s">
        <v>5063</v>
      </c>
      <c r="BU64" t="s">
        <v>5062</v>
      </c>
      <c r="BV64"/>
      <c r="BW64"/>
      <c r="BX64"/>
      <c r="BY64"/>
      <c r="BZ64"/>
      <c r="CA64"/>
      <c r="CB64"/>
      <c r="CC64"/>
      <c r="CD64"/>
      <c r="CE64"/>
      <c r="CF64"/>
      <c r="CG64"/>
      <c r="CH64"/>
      <c r="CI64"/>
      <c r="CJ64"/>
      <c r="CK64"/>
      <c r="CL64"/>
      <c r="CM64"/>
      <c r="CN64"/>
      <c r="CO64"/>
      <c r="CP64"/>
      <c r="CQ64"/>
      <c r="CR64"/>
      <c r="CS64"/>
      <c r="CT64"/>
      <c r="CU64"/>
      <c r="CV64"/>
      <c r="CW64"/>
      <c r="CX64" t="s">
        <v>2307</v>
      </c>
      <c r="CY64">
        <v>34</v>
      </c>
      <c r="CZ64" t="s">
        <v>2306</v>
      </c>
    </row>
    <row r="65" spans="1:104" ht="14.25">
      <c r="A65" t="s">
        <v>5061</v>
      </c>
      <c r="B65" t="s">
        <v>5061</v>
      </c>
      <c r="C65" t="s">
        <v>5060</v>
      </c>
      <c r="D65">
        <v>0.125</v>
      </c>
      <c r="E65" t="s">
        <v>2533</v>
      </c>
      <c r="F65" t="s">
        <v>2342</v>
      </c>
      <c r="G65" t="s">
        <v>2543</v>
      </c>
      <c r="H65"/>
      <c r="I65"/>
      <c r="J65" t="s">
        <v>1908</v>
      </c>
      <c r="K65"/>
      <c r="L65"/>
      <c r="M65">
        <v>9</v>
      </c>
      <c r="N65">
        <v>15</v>
      </c>
      <c r="O65">
        <v>2</v>
      </c>
      <c r="P65">
        <v>10</v>
      </c>
      <c r="Q65">
        <v>4</v>
      </c>
      <c r="R65" t="s">
        <v>2317</v>
      </c>
      <c r="S65" t="s">
        <v>2711</v>
      </c>
      <c r="T65" t="s">
        <v>2315</v>
      </c>
      <c r="U65" t="s">
        <v>2315</v>
      </c>
      <c r="V65">
        <v>50</v>
      </c>
      <c r="W65"/>
      <c r="X65"/>
      <c r="Y65"/>
      <c r="Z65"/>
      <c r="AA65">
        <v>16</v>
      </c>
      <c r="AB65">
        <v>8</v>
      </c>
      <c r="AC65">
        <v>14</v>
      </c>
      <c r="AD65">
        <v>2</v>
      </c>
      <c r="AE65">
        <v>8</v>
      </c>
      <c r="AF65">
        <v>5</v>
      </c>
      <c r="AG65">
        <v>320</v>
      </c>
      <c r="AH65"/>
      <c r="AI65"/>
      <c r="AJ65"/>
      <c r="AK65"/>
      <c r="AL65"/>
      <c r="AM65"/>
      <c r="AN65">
        <v>14</v>
      </c>
      <c r="AO65">
        <v>364</v>
      </c>
      <c r="AP65"/>
      <c r="AQ65"/>
      <c r="AR65"/>
      <c r="AS65"/>
      <c r="AT65"/>
      <c r="AU65"/>
      <c r="AV65"/>
      <c r="AW65"/>
      <c r="AX65"/>
      <c r="AY65"/>
      <c r="AZ65"/>
      <c r="BA65"/>
      <c r="BB65"/>
      <c r="BC65"/>
      <c r="BD65"/>
      <c r="BE65"/>
      <c r="BF65"/>
      <c r="BG65"/>
      <c r="BH65"/>
      <c r="BI65"/>
      <c r="BJ65"/>
      <c r="BK65"/>
      <c r="BL65"/>
      <c r="BM65"/>
      <c r="BN65"/>
      <c r="BO65"/>
      <c r="BP65" t="s">
        <v>2332</v>
      </c>
      <c r="BQ65" t="s">
        <v>5059</v>
      </c>
      <c r="BR65" t="s">
        <v>5058</v>
      </c>
      <c r="BS65"/>
      <c r="BT65"/>
      <c r="BU65"/>
      <c r="BV65"/>
      <c r="BW65"/>
      <c r="BX65"/>
      <c r="BY65"/>
      <c r="BZ65"/>
      <c r="CA65"/>
      <c r="CB65"/>
      <c r="CC65"/>
      <c r="CD65"/>
      <c r="CE65"/>
      <c r="CF65"/>
      <c r="CG65"/>
      <c r="CH65"/>
      <c r="CI65"/>
      <c r="CJ65"/>
      <c r="CK65"/>
      <c r="CL65"/>
      <c r="CM65"/>
      <c r="CN65"/>
      <c r="CO65"/>
      <c r="CP65"/>
      <c r="CQ65"/>
      <c r="CR65"/>
      <c r="CS65"/>
      <c r="CT65"/>
      <c r="CU65"/>
      <c r="CV65"/>
      <c r="CW65"/>
      <c r="CX65" t="s">
        <v>2307</v>
      </c>
      <c r="CY65">
        <v>320</v>
      </c>
      <c r="CZ65" t="s">
        <v>2306</v>
      </c>
    </row>
    <row r="66" spans="1:104" ht="14.25">
      <c r="A66" t="s">
        <v>5057</v>
      </c>
      <c r="B66" t="s">
        <v>5057</v>
      </c>
      <c r="C66" t="s">
        <v>5056</v>
      </c>
      <c r="D66">
        <v>0</v>
      </c>
      <c r="E66" t="s">
        <v>2533</v>
      </c>
      <c r="F66" t="s">
        <v>2572</v>
      </c>
      <c r="G66" t="s">
        <v>2543</v>
      </c>
      <c r="H66"/>
      <c r="I66"/>
      <c r="J66" t="s">
        <v>1908</v>
      </c>
      <c r="K66"/>
      <c r="L66"/>
      <c r="M66">
        <v>12</v>
      </c>
      <c r="N66">
        <v>2</v>
      </c>
      <c r="O66">
        <v>1</v>
      </c>
      <c r="P66">
        <v>4</v>
      </c>
      <c r="Q66"/>
      <c r="R66" t="s">
        <v>2317</v>
      </c>
      <c r="S66" t="s">
        <v>2679</v>
      </c>
      <c r="T66" t="s">
        <v>2315</v>
      </c>
      <c r="U66" t="s">
        <v>2315</v>
      </c>
      <c r="V66">
        <v>40</v>
      </c>
      <c r="W66"/>
      <c r="X66">
        <v>30</v>
      </c>
      <c r="Y66"/>
      <c r="Z66"/>
      <c r="AA66">
        <v>3</v>
      </c>
      <c r="AB66">
        <v>15</v>
      </c>
      <c r="AC66">
        <v>10</v>
      </c>
      <c r="AD66">
        <v>3</v>
      </c>
      <c r="AE66">
        <v>12</v>
      </c>
      <c r="AF66">
        <v>7</v>
      </c>
      <c r="AG66">
        <v>320</v>
      </c>
      <c r="AH66">
        <v>305</v>
      </c>
      <c r="AI66"/>
      <c r="AJ66"/>
      <c r="AK66"/>
      <c r="AL66"/>
      <c r="AM66"/>
      <c r="AN66">
        <v>14</v>
      </c>
      <c r="AO66">
        <v>364</v>
      </c>
      <c r="AP66"/>
      <c r="AQ66"/>
      <c r="AR66"/>
      <c r="AS66"/>
      <c r="AT66"/>
      <c r="AU66"/>
      <c r="AV66"/>
      <c r="AW66"/>
      <c r="AX66"/>
      <c r="AY66" t="s">
        <v>2434</v>
      </c>
      <c r="AZ66" t="s">
        <v>5055</v>
      </c>
      <c r="BA66" t="s">
        <v>2434</v>
      </c>
      <c r="BB66"/>
      <c r="BC66"/>
      <c r="BD66"/>
      <c r="BE66"/>
      <c r="BF66"/>
      <c r="BG66"/>
      <c r="BH66"/>
      <c r="BI66"/>
      <c r="BJ66"/>
      <c r="BK66"/>
      <c r="BL66"/>
      <c r="BM66"/>
      <c r="BN66"/>
      <c r="BO66"/>
      <c r="BP66" t="s">
        <v>2505</v>
      </c>
      <c r="BQ66" t="s">
        <v>5054</v>
      </c>
      <c r="BR66" t="s">
        <v>5053</v>
      </c>
      <c r="BS66"/>
      <c r="BT66"/>
      <c r="BU66"/>
      <c r="BV66"/>
      <c r="BW66"/>
      <c r="BX66"/>
      <c r="BY66"/>
      <c r="BZ66"/>
      <c r="CA66"/>
      <c r="CB66"/>
      <c r="CC66"/>
      <c r="CD66"/>
      <c r="CE66"/>
      <c r="CF66"/>
      <c r="CG66"/>
      <c r="CH66"/>
      <c r="CI66"/>
      <c r="CJ66"/>
      <c r="CK66"/>
      <c r="CL66"/>
      <c r="CM66"/>
      <c r="CN66"/>
      <c r="CO66"/>
      <c r="CP66"/>
      <c r="CQ66"/>
      <c r="CR66"/>
      <c r="CS66"/>
      <c r="CT66"/>
      <c r="CU66"/>
      <c r="CV66"/>
      <c r="CW66"/>
      <c r="CX66" t="s">
        <v>2307</v>
      </c>
      <c r="CY66">
        <v>320</v>
      </c>
      <c r="CZ66" t="s">
        <v>2306</v>
      </c>
    </row>
    <row r="67" spans="1:104" ht="14.25">
      <c r="A67" t="s">
        <v>5052</v>
      </c>
      <c r="B67" t="s">
        <v>5052</v>
      </c>
      <c r="C67" t="s">
        <v>5051</v>
      </c>
      <c r="D67">
        <v>2</v>
      </c>
      <c r="E67" t="s">
        <v>2321</v>
      </c>
      <c r="F67" t="s">
        <v>2342</v>
      </c>
      <c r="G67" t="s">
        <v>2440</v>
      </c>
      <c r="H67"/>
      <c r="I67"/>
      <c r="J67" t="s">
        <v>2495</v>
      </c>
      <c r="K67"/>
      <c r="L67"/>
      <c r="M67">
        <v>12</v>
      </c>
      <c r="N67">
        <v>45</v>
      </c>
      <c r="O67">
        <v>6</v>
      </c>
      <c r="P67">
        <v>10</v>
      </c>
      <c r="Q67">
        <v>12</v>
      </c>
      <c r="R67" t="s">
        <v>2317</v>
      </c>
      <c r="S67" t="s">
        <v>5050</v>
      </c>
      <c r="T67" t="s">
        <v>2439</v>
      </c>
      <c r="U67" t="s">
        <v>2315</v>
      </c>
      <c r="V67">
        <v>50</v>
      </c>
      <c r="W67"/>
      <c r="X67"/>
      <c r="Y67"/>
      <c r="Z67"/>
      <c r="AA67">
        <v>18</v>
      </c>
      <c r="AB67">
        <v>14</v>
      </c>
      <c r="AC67">
        <v>14</v>
      </c>
      <c r="AD67">
        <v>9</v>
      </c>
      <c r="AE67">
        <v>13</v>
      </c>
      <c r="AF67">
        <v>11</v>
      </c>
      <c r="AG67">
        <v>38</v>
      </c>
      <c r="AH67"/>
      <c r="AI67"/>
      <c r="AJ67"/>
      <c r="AK67"/>
      <c r="AL67"/>
      <c r="AM67"/>
      <c r="AN67">
        <v>14</v>
      </c>
      <c r="AO67">
        <v>270</v>
      </c>
      <c r="AP67"/>
      <c r="AQ67"/>
      <c r="AR67"/>
      <c r="AS67"/>
      <c r="AT67"/>
      <c r="AU67"/>
      <c r="AV67"/>
      <c r="AW67"/>
      <c r="AX67"/>
      <c r="AY67" t="s">
        <v>2824</v>
      </c>
      <c r="AZ67" t="s">
        <v>5049</v>
      </c>
      <c r="BA67" t="s">
        <v>5048</v>
      </c>
      <c r="BB67"/>
      <c r="BC67"/>
      <c r="BD67"/>
      <c r="BE67"/>
      <c r="BF67"/>
      <c r="BG67"/>
      <c r="BH67"/>
      <c r="BI67"/>
      <c r="BJ67"/>
      <c r="BK67"/>
      <c r="BL67"/>
      <c r="BM67"/>
      <c r="BN67"/>
      <c r="BO67"/>
      <c r="BP67" t="s">
        <v>2333</v>
      </c>
      <c r="BQ67" t="s">
        <v>5047</v>
      </c>
      <c r="BR67" t="s">
        <v>2333</v>
      </c>
      <c r="BS67" t="s">
        <v>2208</v>
      </c>
      <c r="BT67" t="s">
        <v>5046</v>
      </c>
      <c r="BU67" t="s">
        <v>5045</v>
      </c>
      <c r="BV67" t="s">
        <v>2697</v>
      </c>
      <c r="BW67" t="s">
        <v>2696</v>
      </c>
      <c r="BX67" t="s">
        <v>5044</v>
      </c>
      <c r="BY67" t="s">
        <v>2577</v>
      </c>
      <c r="BZ67" t="s">
        <v>2576</v>
      </c>
      <c r="CA67" t="s">
        <v>2575</v>
      </c>
      <c r="CB67"/>
      <c r="CC67"/>
      <c r="CD67"/>
      <c r="CE67"/>
      <c r="CF67"/>
      <c r="CG67"/>
      <c r="CH67"/>
      <c r="CI67"/>
      <c r="CJ67"/>
      <c r="CK67"/>
      <c r="CL67"/>
      <c r="CM67"/>
      <c r="CN67"/>
      <c r="CO67"/>
      <c r="CP67"/>
      <c r="CQ67"/>
      <c r="CR67"/>
      <c r="CS67"/>
      <c r="CT67"/>
      <c r="CU67"/>
      <c r="CV67"/>
      <c r="CW67"/>
      <c r="CX67" t="s">
        <v>2307</v>
      </c>
      <c r="CY67">
        <v>38</v>
      </c>
      <c r="CZ67" t="s">
        <v>2306</v>
      </c>
    </row>
    <row r="68" spans="1:104" ht="14.25">
      <c r="A68" t="s">
        <v>5043</v>
      </c>
      <c r="B68" t="s">
        <v>5042</v>
      </c>
      <c r="C68" t="s">
        <v>5041</v>
      </c>
      <c r="D68">
        <v>8</v>
      </c>
      <c r="E68" t="s">
        <v>2321</v>
      </c>
      <c r="F68" t="s">
        <v>2320</v>
      </c>
      <c r="G68" t="s">
        <v>2732</v>
      </c>
      <c r="H68" t="s">
        <v>3520</v>
      </c>
      <c r="I68"/>
      <c r="J68" t="s">
        <v>2375</v>
      </c>
      <c r="K68"/>
      <c r="L68"/>
      <c r="M68">
        <v>16</v>
      </c>
      <c r="N68">
        <v>85</v>
      </c>
      <c r="O68">
        <v>10</v>
      </c>
      <c r="P68">
        <v>8</v>
      </c>
      <c r="Q68">
        <v>40</v>
      </c>
      <c r="R68" t="s">
        <v>2317</v>
      </c>
      <c r="S68" t="s">
        <v>2338</v>
      </c>
      <c r="T68" t="s">
        <v>2315</v>
      </c>
      <c r="U68" t="s">
        <v>2315</v>
      </c>
      <c r="V68">
        <v>30</v>
      </c>
      <c r="W68"/>
      <c r="X68"/>
      <c r="Y68"/>
      <c r="Z68"/>
      <c r="AA68">
        <v>18</v>
      </c>
      <c r="AB68">
        <v>15</v>
      </c>
      <c r="AC68">
        <v>18</v>
      </c>
      <c r="AD68">
        <v>11</v>
      </c>
      <c r="AE68">
        <v>12</v>
      </c>
      <c r="AF68">
        <v>14</v>
      </c>
      <c r="AG68">
        <v>72</v>
      </c>
      <c r="AH68"/>
      <c r="AI68"/>
      <c r="AJ68"/>
      <c r="AK68"/>
      <c r="AL68"/>
      <c r="AM68"/>
      <c r="AN68"/>
      <c r="AO68">
        <v>278</v>
      </c>
      <c r="AP68"/>
      <c r="AQ68"/>
      <c r="AR68"/>
      <c r="AS68"/>
      <c r="AT68"/>
      <c r="AU68"/>
      <c r="AV68"/>
      <c r="AW68"/>
      <c r="AX68"/>
      <c r="AY68" t="s">
        <v>3911</v>
      </c>
      <c r="AZ68" t="s">
        <v>4045</v>
      </c>
      <c r="BA68" t="s">
        <v>3911</v>
      </c>
      <c r="BB68" t="s">
        <v>2726</v>
      </c>
      <c r="BC68" t="s">
        <v>4044</v>
      </c>
      <c r="BD68" t="s">
        <v>2726</v>
      </c>
      <c r="BE68"/>
      <c r="BF68"/>
      <c r="BG68"/>
      <c r="BH68"/>
      <c r="BI68"/>
      <c r="BJ68"/>
      <c r="BK68"/>
      <c r="BL68"/>
      <c r="BM68"/>
      <c r="BN68"/>
      <c r="BO68"/>
      <c r="BP68" t="s">
        <v>2333</v>
      </c>
      <c r="BQ68" t="s">
        <v>5040</v>
      </c>
      <c r="BR68" t="s">
        <v>2333</v>
      </c>
      <c r="BS68" t="s">
        <v>5039</v>
      </c>
      <c r="BT68" t="s">
        <v>5038</v>
      </c>
      <c r="BU68" t="s">
        <v>5037</v>
      </c>
      <c r="BV68" t="s">
        <v>5035</v>
      </c>
      <c r="BW68" t="s">
        <v>5036</v>
      </c>
      <c r="BX68" t="s">
        <v>5035</v>
      </c>
      <c r="BY68"/>
      <c r="BZ68"/>
      <c r="CA68"/>
      <c r="CB68"/>
      <c r="CC68"/>
      <c r="CD68"/>
      <c r="CE68"/>
      <c r="CF68"/>
      <c r="CG68"/>
      <c r="CH68"/>
      <c r="CI68"/>
      <c r="CJ68"/>
      <c r="CK68"/>
      <c r="CL68"/>
      <c r="CM68"/>
      <c r="CN68"/>
      <c r="CO68"/>
      <c r="CP68"/>
      <c r="CQ68"/>
      <c r="CR68"/>
      <c r="CS68"/>
      <c r="CT68"/>
      <c r="CU68"/>
      <c r="CV68" t="s">
        <v>5034</v>
      </c>
      <c r="CW68" t="s">
        <v>5033</v>
      </c>
      <c r="CX68" t="s">
        <v>2307</v>
      </c>
      <c r="CY68">
        <v>72</v>
      </c>
      <c r="CZ68" t="s">
        <v>2306</v>
      </c>
    </row>
    <row r="69" spans="1:104" ht="14.25">
      <c r="A69" t="s">
        <v>5032</v>
      </c>
      <c r="B69" t="s">
        <v>5032</v>
      </c>
      <c r="C69" t="s">
        <v>5031</v>
      </c>
      <c r="D69">
        <v>6</v>
      </c>
      <c r="E69" t="s">
        <v>2321</v>
      </c>
      <c r="F69" t="s">
        <v>2342</v>
      </c>
      <c r="G69" t="s">
        <v>2440</v>
      </c>
      <c r="H69"/>
      <c r="I69"/>
      <c r="J69" t="s">
        <v>2340</v>
      </c>
      <c r="K69"/>
      <c r="L69"/>
      <c r="M69">
        <v>14</v>
      </c>
      <c r="N69">
        <v>114</v>
      </c>
      <c r="O69">
        <v>12</v>
      </c>
      <c r="P69">
        <v>10</v>
      </c>
      <c r="Q69">
        <v>48</v>
      </c>
      <c r="R69" t="s">
        <v>2317</v>
      </c>
      <c r="S69" t="s">
        <v>2338</v>
      </c>
      <c r="T69" t="s">
        <v>5030</v>
      </c>
      <c r="U69" t="s">
        <v>2315</v>
      </c>
      <c r="V69">
        <v>30</v>
      </c>
      <c r="W69"/>
      <c r="X69"/>
      <c r="Y69">
        <v>60</v>
      </c>
      <c r="Z69"/>
      <c r="AA69">
        <v>19</v>
      </c>
      <c r="AB69">
        <v>11</v>
      </c>
      <c r="AC69">
        <v>19</v>
      </c>
      <c r="AD69">
        <v>3</v>
      </c>
      <c r="AE69">
        <v>14</v>
      </c>
      <c r="AF69">
        <v>10</v>
      </c>
      <c r="AG69">
        <v>39</v>
      </c>
      <c r="AH69"/>
      <c r="AI69"/>
      <c r="AJ69"/>
      <c r="AK69"/>
      <c r="AL69"/>
      <c r="AM69"/>
      <c r="AN69">
        <v>14</v>
      </c>
      <c r="AO69">
        <v>270</v>
      </c>
      <c r="AP69"/>
      <c r="AQ69">
        <v>8</v>
      </c>
      <c r="AR69"/>
      <c r="AS69" t="s">
        <v>5029</v>
      </c>
      <c r="AT69"/>
      <c r="AU69"/>
      <c r="AV69" t="s">
        <v>3883</v>
      </c>
      <c r="AW69"/>
      <c r="AX69"/>
      <c r="AY69"/>
      <c r="AZ69"/>
      <c r="BA69"/>
      <c r="BB69"/>
      <c r="BC69"/>
      <c r="BD69"/>
      <c r="BE69"/>
      <c r="BF69"/>
      <c r="BG69"/>
      <c r="BH69"/>
      <c r="BI69"/>
      <c r="BJ69"/>
      <c r="BK69"/>
      <c r="BL69"/>
      <c r="BM69"/>
      <c r="BN69"/>
      <c r="BO69"/>
      <c r="BP69" t="s">
        <v>2333</v>
      </c>
      <c r="BQ69" t="s">
        <v>5028</v>
      </c>
      <c r="BR69" t="s">
        <v>2333</v>
      </c>
      <c r="BS69" t="s">
        <v>2332</v>
      </c>
      <c r="BT69" t="s">
        <v>5027</v>
      </c>
      <c r="BU69" t="s">
        <v>2506</v>
      </c>
      <c r="BV69" t="s">
        <v>2916</v>
      </c>
      <c r="BW69" t="s">
        <v>5026</v>
      </c>
      <c r="BX69" t="s">
        <v>5025</v>
      </c>
      <c r="BY69" t="s">
        <v>2505</v>
      </c>
      <c r="BZ69" t="s">
        <v>2328</v>
      </c>
      <c r="CA69" t="s">
        <v>5024</v>
      </c>
      <c r="CB69" t="s">
        <v>2361</v>
      </c>
      <c r="CC69" t="s">
        <v>5023</v>
      </c>
      <c r="CD69" t="s">
        <v>5022</v>
      </c>
      <c r="CE69"/>
      <c r="CF69"/>
      <c r="CG69"/>
      <c r="CH69"/>
      <c r="CI69"/>
      <c r="CJ69"/>
      <c r="CK69"/>
      <c r="CL69"/>
      <c r="CM69"/>
      <c r="CN69"/>
      <c r="CO69"/>
      <c r="CP69"/>
      <c r="CQ69"/>
      <c r="CR69"/>
      <c r="CS69"/>
      <c r="CT69"/>
      <c r="CU69"/>
      <c r="CV69"/>
      <c r="CW69"/>
      <c r="CX69" t="s">
        <v>2307</v>
      </c>
      <c r="CY69">
        <v>39</v>
      </c>
      <c r="CZ69" t="s">
        <v>2306</v>
      </c>
    </row>
    <row r="70" spans="1:104" ht="14.25">
      <c r="A70" t="s">
        <v>5021</v>
      </c>
      <c r="B70" t="s">
        <v>5021</v>
      </c>
      <c r="C70" t="s">
        <v>5020</v>
      </c>
      <c r="D70">
        <v>4</v>
      </c>
      <c r="E70" t="s">
        <v>2321</v>
      </c>
      <c r="F70" t="s">
        <v>2342</v>
      </c>
      <c r="G70" t="s">
        <v>3567</v>
      </c>
      <c r="H70"/>
      <c r="I70"/>
      <c r="J70" t="s">
        <v>2340</v>
      </c>
      <c r="K70"/>
      <c r="L70"/>
      <c r="M70">
        <v>16</v>
      </c>
      <c r="N70">
        <v>93</v>
      </c>
      <c r="O70">
        <v>11</v>
      </c>
      <c r="P70">
        <v>10</v>
      </c>
      <c r="Q70">
        <v>33</v>
      </c>
      <c r="R70" t="s">
        <v>2317</v>
      </c>
      <c r="S70" t="s">
        <v>2439</v>
      </c>
      <c r="T70" t="s">
        <v>2315</v>
      </c>
      <c r="U70" t="s">
        <v>2315</v>
      </c>
      <c r="V70">
        <v>30</v>
      </c>
      <c r="W70"/>
      <c r="X70"/>
      <c r="Y70"/>
      <c r="Z70">
        <v>30</v>
      </c>
      <c r="AA70">
        <v>19</v>
      </c>
      <c r="AB70">
        <v>10</v>
      </c>
      <c r="AC70">
        <v>16</v>
      </c>
      <c r="AD70">
        <v>5</v>
      </c>
      <c r="AE70">
        <v>11</v>
      </c>
      <c r="AF70">
        <v>5</v>
      </c>
      <c r="AG70">
        <v>40</v>
      </c>
      <c r="AH70"/>
      <c r="AI70"/>
      <c r="AJ70"/>
      <c r="AK70"/>
      <c r="AL70"/>
      <c r="AM70"/>
      <c r="AN70"/>
      <c r="AO70">
        <v>270</v>
      </c>
      <c r="AP70"/>
      <c r="AQ70">
        <v>9</v>
      </c>
      <c r="AR70"/>
      <c r="AS70"/>
      <c r="AT70">
        <v>11</v>
      </c>
      <c r="AU70"/>
      <c r="AV70"/>
      <c r="AW70"/>
      <c r="AX70"/>
      <c r="AY70" t="s">
        <v>2373</v>
      </c>
      <c r="AZ70" t="s">
        <v>5019</v>
      </c>
      <c r="BA70" t="s">
        <v>2373</v>
      </c>
      <c r="BB70" t="s">
        <v>5017</v>
      </c>
      <c r="BC70" t="s">
        <v>5018</v>
      </c>
      <c r="BD70" t="s">
        <v>5017</v>
      </c>
      <c r="BE70"/>
      <c r="BF70"/>
      <c r="BG70"/>
      <c r="BH70"/>
      <c r="BI70"/>
      <c r="BJ70"/>
      <c r="BK70"/>
      <c r="BL70"/>
      <c r="BM70"/>
      <c r="BN70"/>
      <c r="BO70"/>
      <c r="BP70" t="s">
        <v>2333</v>
      </c>
      <c r="BQ70" t="s">
        <v>5016</v>
      </c>
      <c r="BR70" t="s">
        <v>2333</v>
      </c>
      <c r="BS70" t="s">
        <v>4302</v>
      </c>
      <c r="BT70" t="s">
        <v>5015</v>
      </c>
      <c r="BU70" t="s">
        <v>5014</v>
      </c>
      <c r="BV70" t="s">
        <v>3614</v>
      </c>
      <c r="BW70" t="s">
        <v>5013</v>
      </c>
      <c r="BX70" t="s">
        <v>3614</v>
      </c>
      <c r="BY70"/>
      <c r="BZ70"/>
      <c r="CA70"/>
      <c r="CB70"/>
      <c r="CC70"/>
      <c r="CD70"/>
      <c r="CE70"/>
      <c r="CF70"/>
      <c r="CG70"/>
      <c r="CH70"/>
      <c r="CI70"/>
      <c r="CJ70"/>
      <c r="CK70"/>
      <c r="CL70"/>
      <c r="CM70"/>
      <c r="CN70"/>
      <c r="CO70"/>
      <c r="CP70"/>
      <c r="CQ70"/>
      <c r="CR70"/>
      <c r="CS70"/>
      <c r="CT70"/>
      <c r="CU70"/>
      <c r="CV70"/>
      <c r="CW70"/>
      <c r="CX70" t="s">
        <v>2307</v>
      </c>
      <c r="CY70">
        <v>40</v>
      </c>
      <c r="CZ70" t="s">
        <v>2306</v>
      </c>
    </row>
    <row r="71" spans="1:104" ht="14.25">
      <c r="A71" t="s">
        <v>5012</v>
      </c>
      <c r="B71" t="s">
        <v>5011</v>
      </c>
      <c r="C71" t="s">
        <v>5010</v>
      </c>
      <c r="D71">
        <v>9</v>
      </c>
      <c r="E71" t="s">
        <v>2321</v>
      </c>
      <c r="F71" t="s">
        <v>2342</v>
      </c>
      <c r="G71" t="s">
        <v>3017</v>
      </c>
      <c r="H71" t="s">
        <v>3016</v>
      </c>
      <c r="I71"/>
      <c r="J71" t="s">
        <v>1908</v>
      </c>
      <c r="K71"/>
      <c r="L71"/>
      <c r="M71">
        <v>14</v>
      </c>
      <c r="N71">
        <v>133</v>
      </c>
      <c r="O71">
        <v>14</v>
      </c>
      <c r="P71">
        <v>10</v>
      </c>
      <c r="Q71">
        <v>56</v>
      </c>
      <c r="R71" t="s">
        <v>2317</v>
      </c>
      <c r="S71" t="s">
        <v>4308</v>
      </c>
      <c r="T71" t="s">
        <v>2315</v>
      </c>
      <c r="U71" t="s">
        <v>2315</v>
      </c>
      <c r="V71">
        <v>20</v>
      </c>
      <c r="W71"/>
      <c r="X71"/>
      <c r="Y71"/>
      <c r="Z71"/>
      <c r="AA71">
        <v>20</v>
      </c>
      <c r="AB71">
        <v>9</v>
      </c>
      <c r="AC71">
        <v>18</v>
      </c>
      <c r="AD71">
        <v>3</v>
      </c>
      <c r="AE71">
        <v>8</v>
      </c>
      <c r="AF71">
        <v>1</v>
      </c>
      <c r="AG71">
        <v>168</v>
      </c>
      <c r="AH71"/>
      <c r="AI71"/>
      <c r="AJ71"/>
      <c r="AK71"/>
      <c r="AL71"/>
      <c r="AM71"/>
      <c r="AN71"/>
      <c r="AO71">
        <v>318</v>
      </c>
      <c r="AP71"/>
      <c r="AQ71">
        <v>9</v>
      </c>
      <c r="AR71"/>
      <c r="AS71"/>
      <c r="AT71"/>
      <c r="AU71"/>
      <c r="AV71"/>
      <c r="AW71"/>
      <c r="AX71" t="s">
        <v>5009</v>
      </c>
      <c r="AY71" t="s">
        <v>5007</v>
      </c>
      <c r="AZ71" t="s">
        <v>5008</v>
      </c>
      <c r="BA71" t="s">
        <v>5007</v>
      </c>
      <c r="BB71" t="s">
        <v>4600</v>
      </c>
      <c r="BC71" t="s">
        <v>5006</v>
      </c>
      <c r="BD71" t="s">
        <v>4600</v>
      </c>
      <c r="BE71" t="s">
        <v>3012</v>
      </c>
      <c r="BF71" t="s">
        <v>3013</v>
      </c>
      <c r="BG71" t="s">
        <v>3012</v>
      </c>
      <c r="BH71" t="s">
        <v>2726</v>
      </c>
      <c r="BI71" t="s">
        <v>3011</v>
      </c>
      <c r="BJ71" t="s">
        <v>2819</v>
      </c>
      <c r="BK71" t="s">
        <v>3010</v>
      </c>
      <c r="BL71"/>
      <c r="BM71"/>
      <c r="BN71"/>
      <c r="BO71"/>
      <c r="BP71" t="s">
        <v>2333</v>
      </c>
      <c r="BQ71" t="s">
        <v>3009</v>
      </c>
      <c r="BR71" t="s">
        <v>2333</v>
      </c>
      <c r="BS71" t="s">
        <v>2310</v>
      </c>
      <c r="BT71" t="s">
        <v>5005</v>
      </c>
      <c r="BU71" t="s">
        <v>5004</v>
      </c>
      <c r="BV71" t="s">
        <v>5002</v>
      </c>
      <c r="BW71" t="s">
        <v>5003</v>
      </c>
      <c r="BX71" t="s">
        <v>5002</v>
      </c>
      <c r="BY71"/>
      <c r="BZ71"/>
      <c r="CA71"/>
      <c r="CB71"/>
      <c r="CC71"/>
      <c r="CD71"/>
      <c r="CE71"/>
      <c r="CF71"/>
      <c r="CG71"/>
      <c r="CH71"/>
      <c r="CI71"/>
      <c r="CJ71"/>
      <c r="CK71"/>
      <c r="CL71"/>
      <c r="CM71"/>
      <c r="CN71"/>
      <c r="CO71"/>
      <c r="CP71"/>
      <c r="CQ71"/>
      <c r="CR71"/>
      <c r="CS71"/>
      <c r="CT71"/>
      <c r="CU71"/>
      <c r="CV71"/>
      <c r="CW71"/>
      <c r="CX71" t="s">
        <v>2307</v>
      </c>
      <c r="CY71">
        <v>168</v>
      </c>
      <c r="CZ71" t="s">
        <v>2306</v>
      </c>
    </row>
    <row r="72" spans="1:104" ht="14.25">
      <c r="A72" t="s">
        <v>5001</v>
      </c>
      <c r="B72" t="s">
        <v>5001</v>
      </c>
      <c r="C72" t="s">
        <v>5000</v>
      </c>
      <c r="D72">
        <v>8</v>
      </c>
      <c r="E72" t="s">
        <v>2321</v>
      </c>
      <c r="F72" t="s">
        <v>2342</v>
      </c>
      <c r="G72" t="s">
        <v>3567</v>
      </c>
      <c r="H72"/>
      <c r="I72"/>
      <c r="J72" t="s">
        <v>3257</v>
      </c>
      <c r="K72"/>
      <c r="L72"/>
      <c r="M72">
        <v>14</v>
      </c>
      <c r="N72">
        <v>78</v>
      </c>
      <c r="O72">
        <v>12</v>
      </c>
      <c r="P72">
        <v>10</v>
      </c>
      <c r="Q72">
        <v>12</v>
      </c>
      <c r="R72" t="s">
        <v>2317</v>
      </c>
      <c r="S72" t="s">
        <v>2730</v>
      </c>
      <c r="T72" t="s">
        <v>4999</v>
      </c>
      <c r="U72" t="s">
        <v>2315</v>
      </c>
      <c r="V72">
        <v>10</v>
      </c>
      <c r="W72"/>
      <c r="X72"/>
      <c r="Y72">
        <v>40</v>
      </c>
      <c r="Z72"/>
      <c r="AA72">
        <v>17</v>
      </c>
      <c r="AB72">
        <v>15</v>
      </c>
      <c r="AC72">
        <v>12</v>
      </c>
      <c r="AD72">
        <v>13</v>
      </c>
      <c r="AE72">
        <v>12</v>
      </c>
      <c r="AF72">
        <v>14</v>
      </c>
      <c r="AG72">
        <v>41</v>
      </c>
      <c r="AH72"/>
      <c r="AI72"/>
      <c r="AJ72"/>
      <c r="AK72"/>
      <c r="AL72"/>
      <c r="AM72"/>
      <c r="AN72"/>
      <c r="AO72">
        <v>271</v>
      </c>
      <c r="AP72"/>
      <c r="AQ72"/>
      <c r="AR72"/>
      <c r="AS72"/>
      <c r="AT72">
        <v>11</v>
      </c>
      <c r="AU72"/>
      <c r="AV72"/>
      <c r="AW72"/>
      <c r="AX72" t="s">
        <v>4998</v>
      </c>
      <c r="AY72" t="s">
        <v>3310</v>
      </c>
      <c r="AZ72" t="s">
        <v>4997</v>
      </c>
      <c r="BA72" t="s">
        <v>3310</v>
      </c>
      <c r="BB72" t="s">
        <v>2739</v>
      </c>
      <c r="BC72" t="s">
        <v>4996</v>
      </c>
      <c r="BD72" t="s">
        <v>2739</v>
      </c>
      <c r="BE72" t="s">
        <v>4994</v>
      </c>
      <c r="BF72" t="s">
        <v>4995</v>
      </c>
      <c r="BG72" t="s">
        <v>4994</v>
      </c>
      <c r="BH72"/>
      <c r="BI72"/>
      <c r="BJ72"/>
      <c r="BK72"/>
      <c r="BL72"/>
      <c r="BM72"/>
      <c r="BN72"/>
      <c r="BO72"/>
      <c r="BP72" t="s">
        <v>2333</v>
      </c>
      <c r="BQ72" t="s">
        <v>4993</v>
      </c>
      <c r="BR72" t="s">
        <v>2333</v>
      </c>
      <c r="BS72" t="s">
        <v>2332</v>
      </c>
      <c r="BT72" t="s">
        <v>4992</v>
      </c>
      <c r="BU72" t="s">
        <v>4991</v>
      </c>
      <c r="BV72" t="s">
        <v>2831</v>
      </c>
      <c r="BW72" t="s">
        <v>4990</v>
      </c>
      <c r="BX72" t="s">
        <v>4989</v>
      </c>
      <c r="BY72" t="s">
        <v>4987</v>
      </c>
      <c r="BZ72" t="s">
        <v>4988</v>
      </c>
      <c r="CA72" t="s">
        <v>4987</v>
      </c>
      <c r="CB72" t="s">
        <v>4985</v>
      </c>
      <c r="CC72" t="s">
        <v>4986</v>
      </c>
      <c r="CD72" t="s">
        <v>4985</v>
      </c>
      <c r="CE72"/>
      <c r="CF72"/>
      <c r="CG72"/>
      <c r="CH72"/>
      <c r="CI72"/>
      <c r="CJ72"/>
      <c r="CK72"/>
      <c r="CL72"/>
      <c r="CM72"/>
      <c r="CN72"/>
      <c r="CO72"/>
      <c r="CP72"/>
      <c r="CQ72"/>
      <c r="CR72"/>
      <c r="CS72"/>
      <c r="CT72"/>
      <c r="CU72"/>
      <c r="CV72"/>
      <c r="CW72"/>
      <c r="CX72" t="s">
        <v>2307</v>
      </c>
      <c r="CY72">
        <v>41</v>
      </c>
      <c r="CZ72" t="s">
        <v>2306</v>
      </c>
    </row>
    <row r="73" spans="1:104" ht="14.25">
      <c r="A73" t="s">
        <v>4984</v>
      </c>
      <c r="B73" t="s">
        <v>4983</v>
      </c>
      <c r="C73" t="s">
        <v>4982</v>
      </c>
      <c r="D73">
        <v>9</v>
      </c>
      <c r="E73" t="s">
        <v>2321</v>
      </c>
      <c r="F73" t="s">
        <v>2838</v>
      </c>
      <c r="G73" t="s">
        <v>2858</v>
      </c>
      <c r="H73"/>
      <c r="I73"/>
      <c r="J73" t="s">
        <v>4981</v>
      </c>
      <c r="K73"/>
      <c r="L73"/>
      <c r="M73">
        <v>14</v>
      </c>
      <c r="N73">
        <v>200</v>
      </c>
      <c r="O73">
        <v>16</v>
      </c>
      <c r="P73">
        <v>12</v>
      </c>
      <c r="Q73">
        <v>96</v>
      </c>
      <c r="R73" t="s">
        <v>2825</v>
      </c>
      <c r="S73" t="s">
        <v>4980</v>
      </c>
      <c r="T73" t="s">
        <v>4979</v>
      </c>
      <c r="U73" t="s">
        <v>2315</v>
      </c>
      <c r="V73">
        <v>40</v>
      </c>
      <c r="W73"/>
      <c r="X73"/>
      <c r="Y73"/>
      <c r="Z73"/>
      <c r="AA73">
        <v>27</v>
      </c>
      <c r="AB73">
        <v>10</v>
      </c>
      <c r="AC73">
        <v>22</v>
      </c>
      <c r="AD73">
        <v>12</v>
      </c>
      <c r="AE73">
        <v>16</v>
      </c>
      <c r="AF73">
        <v>16</v>
      </c>
      <c r="AG73">
        <v>154</v>
      </c>
      <c r="AH73"/>
      <c r="AI73"/>
      <c r="AJ73"/>
      <c r="AK73"/>
      <c r="AL73"/>
      <c r="AM73"/>
      <c r="AN73"/>
      <c r="AO73">
        <v>315</v>
      </c>
      <c r="AP73"/>
      <c r="AQ73"/>
      <c r="AR73"/>
      <c r="AS73"/>
      <c r="AT73">
        <v>12</v>
      </c>
      <c r="AU73"/>
      <c r="AV73" t="s">
        <v>4905</v>
      </c>
      <c r="AW73"/>
      <c r="AX73"/>
      <c r="AY73" t="s">
        <v>2434</v>
      </c>
      <c r="AZ73" t="s">
        <v>4978</v>
      </c>
      <c r="BA73" t="s">
        <v>2434</v>
      </c>
      <c r="BB73" t="s">
        <v>2488</v>
      </c>
      <c r="BC73" t="s">
        <v>4977</v>
      </c>
      <c r="BD73" t="s">
        <v>2488</v>
      </c>
      <c r="BE73"/>
      <c r="BF73"/>
      <c r="BG73"/>
      <c r="BH73"/>
      <c r="BI73"/>
      <c r="BJ73"/>
      <c r="BK73"/>
      <c r="BL73"/>
      <c r="BM73"/>
      <c r="BN73"/>
      <c r="BO73"/>
      <c r="BP73" t="s">
        <v>3031</v>
      </c>
      <c r="BQ73" t="s">
        <v>4976</v>
      </c>
      <c r="BR73" t="s">
        <v>3031</v>
      </c>
      <c r="BS73" t="s">
        <v>4974</v>
      </c>
      <c r="BT73" t="s">
        <v>4975</v>
      </c>
      <c r="BU73" t="s">
        <v>4974</v>
      </c>
      <c r="BV73" t="s">
        <v>2333</v>
      </c>
      <c r="BW73" t="s">
        <v>4973</v>
      </c>
      <c r="BX73" t="s">
        <v>2333</v>
      </c>
      <c r="BY73" t="s">
        <v>3598</v>
      </c>
      <c r="BZ73" t="s">
        <v>4972</v>
      </c>
      <c r="CA73" t="s">
        <v>4971</v>
      </c>
      <c r="CB73" t="s">
        <v>2884</v>
      </c>
      <c r="CC73" t="s">
        <v>4970</v>
      </c>
      <c r="CD73" t="s">
        <v>4969</v>
      </c>
      <c r="CE73"/>
      <c r="CF73"/>
      <c r="CG73"/>
      <c r="CH73"/>
      <c r="CI73"/>
      <c r="CJ73"/>
      <c r="CK73"/>
      <c r="CL73"/>
      <c r="CM73"/>
      <c r="CN73"/>
      <c r="CO73"/>
      <c r="CP73"/>
      <c r="CQ73"/>
      <c r="CR73"/>
      <c r="CS73"/>
      <c r="CT73"/>
      <c r="CU73"/>
      <c r="CV73"/>
      <c r="CW73"/>
      <c r="CX73" t="s">
        <v>2307</v>
      </c>
      <c r="CY73">
        <v>154</v>
      </c>
      <c r="CZ73" t="s">
        <v>2306</v>
      </c>
    </row>
    <row r="74" spans="1:104" ht="14.25">
      <c r="A74" t="s">
        <v>4968</v>
      </c>
      <c r="B74" t="s">
        <v>4968</v>
      </c>
      <c r="C74" t="s">
        <v>4967</v>
      </c>
      <c r="D74">
        <v>0.5</v>
      </c>
      <c r="E74" t="s">
        <v>2321</v>
      </c>
      <c r="F74" t="s">
        <v>2497</v>
      </c>
      <c r="G74" t="s">
        <v>2440</v>
      </c>
      <c r="H74"/>
      <c r="I74"/>
      <c r="J74" t="s">
        <v>1908</v>
      </c>
      <c r="K74"/>
      <c r="L74"/>
      <c r="M74">
        <v>11</v>
      </c>
      <c r="N74">
        <v>27</v>
      </c>
      <c r="O74">
        <v>6</v>
      </c>
      <c r="P74">
        <v>6</v>
      </c>
      <c r="Q74">
        <v>6</v>
      </c>
      <c r="R74" t="s">
        <v>2317</v>
      </c>
      <c r="S74" t="s">
        <v>2845</v>
      </c>
      <c r="T74" t="s">
        <v>2315</v>
      </c>
      <c r="U74" t="s">
        <v>2315</v>
      </c>
      <c r="V74">
        <v>20</v>
      </c>
      <c r="W74"/>
      <c r="X74"/>
      <c r="Y74">
        <v>40</v>
      </c>
      <c r="Z74"/>
      <c r="AA74">
        <v>6</v>
      </c>
      <c r="AB74">
        <v>12</v>
      </c>
      <c r="AC74">
        <v>12</v>
      </c>
      <c r="AD74">
        <v>2</v>
      </c>
      <c r="AE74">
        <v>13</v>
      </c>
      <c r="AF74">
        <v>5</v>
      </c>
      <c r="AG74">
        <v>42</v>
      </c>
      <c r="AH74"/>
      <c r="AI74"/>
      <c r="AJ74"/>
      <c r="AK74"/>
      <c r="AL74"/>
      <c r="AM74"/>
      <c r="AN74">
        <v>15</v>
      </c>
      <c r="AO74">
        <v>271</v>
      </c>
      <c r="AP74"/>
      <c r="AQ74"/>
      <c r="AR74"/>
      <c r="AS74"/>
      <c r="AT74"/>
      <c r="AU74"/>
      <c r="AV74"/>
      <c r="AW74"/>
      <c r="AX74"/>
      <c r="AY74"/>
      <c r="AZ74"/>
      <c r="BA74"/>
      <c r="BB74"/>
      <c r="BC74"/>
      <c r="BD74"/>
      <c r="BE74"/>
      <c r="BF74"/>
      <c r="BG74"/>
      <c r="BH74"/>
      <c r="BI74"/>
      <c r="BJ74"/>
      <c r="BK74"/>
      <c r="BL74"/>
      <c r="BM74"/>
      <c r="BN74"/>
      <c r="BO74"/>
      <c r="BP74" t="s">
        <v>2332</v>
      </c>
      <c r="BQ74" t="s">
        <v>4966</v>
      </c>
      <c r="BR74" t="s">
        <v>3274</v>
      </c>
      <c r="BS74"/>
      <c r="BT74"/>
      <c r="BU74"/>
      <c r="BV74"/>
      <c r="BW74"/>
      <c r="BX74"/>
      <c r="BY74"/>
      <c r="BZ74"/>
      <c r="CA74"/>
      <c r="CB74"/>
      <c r="CC74"/>
      <c r="CD74"/>
      <c r="CE74"/>
      <c r="CF74"/>
      <c r="CG74"/>
      <c r="CH74"/>
      <c r="CI74"/>
      <c r="CJ74"/>
      <c r="CK74"/>
      <c r="CL74"/>
      <c r="CM74"/>
      <c r="CN74"/>
      <c r="CO74"/>
      <c r="CP74"/>
      <c r="CQ74"/>
      <c r="CR74"/>
      <c r="CS74"/>
      <c r="CT74"/>
      <c r="CU74"/>
      <c r="CV74"/>
      <c r="CW74"/>
      <c r="CX74" t="s">
        <v>2307</v>
      </c>
      <c r="CY74">
        <v>42</v>
      </c>
      <c r="CZ74" t="s">
        <v>2306</v>
      </c>
    </row>
    <row r="75" spans="1:104" ht="14.25">
      <c r="A75" t="s">
        <v>4965</v>
      </c>
      <c r="B75" t="s">
        <v>4965</v>
      </c>
      <c r="C75" t="s">
        <v>4964</v>
      </c>
      <c r="D75">
        <v>0</v>
      </c>
      <c r="E75" t="s">
        <v>2462</v>
      </c>
      <c r="F75" t="s">
        <v>2320</v>
      </c>
      <c r="G75" t="s">
        <v>2461</v>
      </c>
      <c r="H75" t="s">
        <v>2460</v>
      </c>
      <c r="I75"/>
      <c r="J75" t="s">
        <v>2460</v>
      </c>
      <c r="K75"/>
      <c r="L75"/>
      <c r="M75">
        <v>10</v>
      </c>
      <c r="N75">
        <v>4</v>
      </c>
      <c r="O75">
        <v>1</v>
      </c>
      <c r="P75">
        <v>8</v>
      </c>
      <c r="Q75"/>
      <c r="R75" t="s">
        <v>2317</v>
      </c>
      <c r="S75" t="s">
        <v>2711</v>
      </c>
      <c r="T75" t="s">
        <v>2315</v>
      </c>
      <c r="U75" t="s">
        <v>2315</v>
      </c>
      <c r="V75">
        <v>30</v>
      </c>
      <c r="W75"/>
      <c r="X75"/>
      <c r="Y75"/>
      <c r="Z75"/>
      <c r="AA75">
        <v>10</v>
      </c>
      <c r="AB75">
        <v>10</v>
      </c>
      <c r="AC75">
        <v>10</v>
      </c>
      <c r="AD75">
        <v>10</v>
      </c>
      <c r="AE75">
        <v>10</v>
      </c>
      <c r="AF75">
        <v>10</v>
      </c>
      <c r="AG75">
        <v>345</v>
      </c>
      <c r="AH75"/>
      <c r="AI75"/>
      <c r="AJ75">
        <v>56</v>
      </c>
      <c r="AK75"/>
      <c r="AL75"/>
      <c r="AM75"/>
      <c r="AN75">
        <v>54</v>
      </c>
      <c r="AO75">
        <v>393</v>
      </c>
      <c r="AP75">
        <v>7</v>
      </c>
      <c r="AQ75">
        <v>10</v>
      </c>
      <c r="AR75"/>
      <c r="AS75" t="s">
        <v>4963</v>
      </c>
      <c r="AT75"/>
      <c r="AU75"/>
      <c r="AV75" t="s">
        <v>4962</v>
      </c>
      <c r="AW75"/>
      <c r="AX75" t="s">
        <v>4961</v>
      </c>
      <c r="AY75"/>
      <c r="AZ75"/>
      <c r="BA75"/>
      <c r="BB75"/>
      <c r="BC75"/>
      <c r="BD75"/>
      <c r="BE75"/>
      <c r="BF75"/>
      <c r="BG75"/>
      <c r="BH75"/>
      <c r="BI75"/>
      <c r="BJ75"/>
      <c r="BK75"/>
      <c r="BL75"/>
      <c r="BM75"/>
      <c r="BN75"/>
      <c r="BO75"/>
      <c r="BP75" t="s">
        <v>4154</v>
      </c>
      <c r="BQ75" t="s">
        <v>4960</v>
      </c>
      <c r="BR75" t="s">
        <v>4959</v>
      </c>
      <c r="BS75"/>
      <c r="BT75"/>
      <c r="BU75"/>
      <c r="BV75"/>
      <c r="BW75"/>
      <c r="BX75"/>
      <c r="BY75"/>
      <c r="BZ75"/>
      <c r="CA75"/>
      <c r="CB75"/>
      <c r="CC75"/>
      <c r="CD75"/>
      <c r="CE75"/>
      <c r="CF75"/>
      <c r="CG75"/>
      <c r="CH75"/>
      <c r="CI75"/>
      <c r="CJ75"/>
      <c r="CK75"/>
      <c r="CL75"/>
      <c r="CM75"/>
      <c r="CN75"/>
      <c r="CO75"/>
      <c r="CP75"/>
      <c r="CQ75"/>
      <c r="CR75"/>
      <c r="CS75"/>
      <c r="CT75"/>
      <c r="CU75"/>
      <c r="CV75"/>
      <c r="CW75"/>
      <c r="CX75" t="s">
        <v>2307</v>
      </c>
      <c r="CY75">
        <v>345</v>
      </c>
      <c r="CZ75" t="s">
        <v>2306</v>
      </c>
    </row>
    <row r="76" spans="1:104" ht="14.25">
      <c r="A76" t="s">
        <v>4958</v>
      </c>
      <c r="B76" t="s">
        <v>4957</v>
      </c>
      <c r="C76" t="s">
        <v>4956</v>
      </c>
      <c r="D76">
        <v>0.25</v>
      </c>
      <c r="E76" t="s">
        <v>2533</v>
      </c>
      <c r="F76" t="s">
        <v>2342</v>
      </c>
      <c r="G76" t="s">
        <v>2543</v>
      </c>
      <c r="H76"/>
      <c r="I76"/>
      <c r="J76" t="s">
        <v>1908</v>
      </c>
      <c r="K76"/>
      <c r="L76"/>
      <c r="M76">
        <v>12</v>
      </c>
      <c r="N76">
        <v>13</v>
      </c>
      <c r="O76">
        <v>2</v>
      </c>
      <c r="P76">
        <v>10</v>
      </c>
      <c r="Q76">
        <v>2</v>
      </c>
      <c r="R76" t="s">
        <v>2317</v>
      </c>
      <c r="S76" t="s">
        <v>2458</v>
      </c>
      <c r="T76" t="s">
        <v>2611</v>
      </c>
      <c r="U76" t="s">
        <v>2315</v>
      </c>
      <c r="V76">
        <v>30</v>
      </c>
      <c r="W76"/>
      <c r="X76"/>
      <c r="Y76"/>
      <c r="Z76">
        <v>30</v>
      </c>
      <c r="AA76">
        <v>15</v>
      </c>
      <c r="AB76">
        <v>14</v>
      </c>
      <c r="AC76">
        <v>12</v>
      </c>
      <c r="AD76">
        <v>1</v>
      </c>
      <c r="AE76">
        <v>10</v>
      </c>
      <c r="AF76">
        <v>3</v>
      </c>
      <c r="AG76">
        <v>320</v>
      </c>
      <c r="AH76">
        <v>305</v>
      </c>
      <c r="AI76"/>
      <c r="AJ76"/>
      <c r="AK76"/>
      <c r="AL76"/>
      <c r="AM76"/>
      <c r="AN76">
        <v>15</v>
      </c>
      <c r="AO76">
        <v>364</v>
      </c>
      <c r="AP76"/>
      <c r="AQ76"/>
      <c r="AR76"/>
      <c r="AS76"/>
      <c r="AT76"/>
      <c r="AU76"/>
      <c r="AV76"/>
      <c r="AW76"/>
      <c r="AX76"/>
      <c r="AY76"/>
      <c r="AZ76"/>
      <c r="BA76"/>
      <c r="BB76"/>
      <c r="BC76"/>
      <c r="BD76"/>
      <c r="BE76"/>
      <c r="BF76"/>
      <c r="BG76"/>
      <c r="BH76"/>
      <c r="BI76"/>
      <c r="BJ76"/>
      <c r="BK76"/>
      <c r="BL76"/>
      <c r="BM76"/>
      <c r="BN76"/>
      <c r="BO76"/>
      <c r="BP76" t="s">
        <v>2332</v>
      </c>
      <c r="BQ76" t="s">
        <v>4494</v>
      </c>
      <c r="BR76" t="s">
        <v>3535</v>
      </c>
      <c r="BS76" t="s">
        <v>4476</v>
      </c>
      <c r="BT76" t="s">
        <v>4955</v>
      </c>
      <c r="BU76" t="s">
        <v>4954</v>
      </c>
      <c r="BV76"/>
      <c r="BW76"/>
      <c r="BX76"/>
      <c r="BY76"/>
      <c r="BZ76"/>
      <c r="CA76"/>
      <c r="CB76"/>
      <c r="CC76"/>
      <c r="CD76"/>
      <c r="CE76"/>
      <c r="CF76"/>
      <c r="CG76"/>
      <c r="CH76"/>
      <c r="CI76"/>
      <c r="CJ76"/>
      <c r="CK76"/>
      <c r="CL76"/>
      <c r="CM76"/>
      <c r="CN76"/>
      <c r="CO76"/>
      <c r="CP76"/>
      <c r="CQ76"/>
      <c r="CR76"/>
      <c r="CS76"/>
      <c r="CT76"/>
      <c r="CU76"/>
      <c r="CV76"/>
      <c r="CW76"/>
      <c r="CX76" t="s">
        <v>2307</v>
      </c>
      <c r="CY76">
        <v>320</v>
      </c>
      <c r="CZ76" t="s">
        <v>2306</v>
      </c>
    </row>
    <row r="77" spans="1:104" ht="14.25">
      <c r="A77" t="s">
        <v>4953</v>
      </c>
      <c r="B77" t="s">
        <v>4952</v>
      </c>
      <c r="C77" t="s">
        <v>4951</v>
      </c>
      <c r="D77">
        <v>1</v>
      </c>
      <c r="E77" t="s">
        <v>2321</v>
      </c>
      <c r="F77" t="s">
        <v>2320</v>
      </c>
      <c r="G77" t="s">
        <v>2341</v>
      </c>
      <c r="H77"/>
      <c r="I77"/>
      <c r="J77" t="s">
        <v>2388</v>
      </c>
      <c r="K77"/>
      <c r="L77"/>
      <c r="M77">
        <v>16</v>
      </c>
      <c r="N77">
        <v>22</v>
      </c>
      <c r="O77">
        <v>4</v>
      </c>
      <c r="P77">
        <v>8</v>
      </c>
      <c r="Q77">
        <v>4</v>
      </c>
      <c r="R77" t="s">
        <v>2494</v>
      </c>
      <c r="S77" t="s">
        <v>2494</v>
      </c>
      <c r="T77" t="s">
        <v>2494</v>
      </c>
      <c r="U77" t="s">
        <v>2494</v>
      </c>
      <c r="V77">
        <v>30</v>
      </c>
      <c r="W77"/>
      <c r="X77">
        <v>30</v>
      </c>
      <c r="Y77">
        <v>60</v>
      </c>
      <c r="Z77"/>
      <c r="AA77">
        <v>15</v>
      </c>
      <c r="AB77">
        <v>12</v>
      </c>
      <c r="AC77">
        <v>13</v>
      </c>
      <c r="AD77">
        <v>14</v>
      </c>
      <c r="AE77">
        <v>11</v>
      </c>
      <c r="AF77">
        <v>13</v>
      </c>
      <c r="AG77">
        <v>112</v>
      </c>
      <c r="AH77"/>
      <c r="AI77"/>
      <c r="AJ77"/>
      <c r="AK77"/>
      <c r="AL77"/>
      <c r="AM77"/>
      <c r="AN77"/>
      <c r="AO77">
        <v>301</v>
      </c>
      <c r="AP77"/>
      <c r="AQ77"/>
      <c r="AR77"/>
      <c r="AS77"/>
      <c r="AT77"/>
      <c r="AU77"/>
      <c r="AV77"/>
      <c r="AW77"/>
      <c r="AX77"/>
      <c r="AY77"/>
      <c r="AZ77"/>
      <c r="BA77"/>
      <c r="BB77"/>
      <c r="BC77"/>
      <c r="BD77"/>
      <c r="BE77"/>
      <c r="BF77"/>
      <c r="BG77"/>
      <c r="BH77"/>
      <c r="BI77"/>
      <c r="BJ77"/>
      <c r="BK77"/>
      <c r="BL77"/>
      <c r="BM77"/>
      <c r="BN77"/>
      <c r="BO77"/>
      <c r="BP77" t="s">
        <v>2332</v>
      </c>
      <c r="BQ77" t="s">
        <v>4950</v>
      </c>
      <c r="BR77" t="s">
        <v>4926</v>
      </c>
      <c r="BS77" t="s">
        <v>2348</v>
      </c>
      <c r="BT77" t="s">
        <v>4949</v>
      </c>
      <c r="BU77" t="s">
        <v>4948</v>
      </c>
      <c r="BV77"/>
      <c r="BW77"/>
      <c r="BX77"/>
      <c r="BY77"/>
      <c r="BZ77"/>
      <c r="CA77"/>
      <c r="CB77"/>
      <c r="CC77"/>
      <c r="CD77"/>
      <c r="CE77"/>
      <c r="CF77"/>
      <c r="CG77"/>
      <c r="CH77"/>
      <c r="CI77"/>
      <c r="CJ77"/>
      <c r="CK77"/>
      <c r="CL77"/>
      <c r="CM77"/>
      <c r="CN77"/>
      <c r="CO77"/>
      <c r="CP77"/>
      <c r="CQ77"/>
      <c r="CR77"/>
      <c r="CS77"/>
      <c r="CT77"/>
      <c r="CU77"/>
      <c r="CV77"/>
      <c r="CW77"/>
      <c r="CX77" t="s">
        <v>2307</v>
      </c>
      <c r="CY77">
        <v>112</v>
      </c>
      <c r="CZ77" t="s">
        <v>2306</v>
      </c>
    </row>
    <row r="78" spans="1:104" ht="14.25">
      <c r="A78" t="s">
        <v>4947</v>
      </c>
      <c r="B78" t="s">
        <v>4947</v>
      </c>
      <c r="C78" t="s">
        <v>4946</v>
      </c>
      <c r="D78">
        <v>4</v>
      </c>
      <c r="E78" t="s">
        <v>2321</v>
      </c>
      <c r="F78" t="s">
        <v>2320</v>
      </c>
      <c r="G78" t="s">
        <v>2826</v>
      </c>
      <c r="H78"/>
      <c r="I78"/>
      <c r="J78" t="s">
        <v>2355</v>
      </c>
      <c r="K78"/>
      <c r="L78"/>
      <c r="M78">
        <v>19</v>
      </c>
      <c r="N78">
        <v>97</v>
      </c>
      <c r="O78">
        <v>13</v>
      </c>
      <c r="P78">
        <v>8</v>
      </c>
      <c r="Q78">
        <v>39</v>
      </c>
      <c r="R78" t="s">
        <v>2825</v>
      </c>
      <c r="S78" t="s">
        <v>4945</v>
      </c>
      <c r="T78" t="s">
        <v>4944</v>
      </c>
      <c r="U78" t="s">
        <v>2315</v>
      </c>
      <c r="V78">
        <v>30</v>
      </c>
      <c r="W78"/>
      <c r="X78"/>
      <c r="Y78">
        <v>90</v>
      </c>
      <c r="Z78"/>
      <c r="AA78">
        <v>16</v>
      </c>
      <c r="AB78">
        <v>20</v>
      </c>
      <c r="AC78">
        <v>17</v>
      </c>
      <c r="AD78">
        <v>18</v>
      </c>
      <c r="AE78">
        <v>20</v>
      </c>
      <c r="AF78">
        <v>18</v>
      </c>
      <c r="AG78">
        <v>43</v>
      </c>
      <c r="AH78"/>
      <c r="AI78"/>
      <c r="AJ78"/>
      <c r="AK78"/>
      <c r="AL78"/>
      <c r="AM78"/>
      <c r="AN78"/>
      <c r="AO78">
        <v>272</v>
      </c>
      <c r="AP78"/>
      <c r="AQ78"/>
      <c r="AR78"/>
      <c r="AS78"/>
      <c r="AT78"/>
      <c r="AU78"/>
      <c r="AV78"/>
      <c r="AW78"/>
      <c r="AX78"/>
      <c r="AY78" t="s">
        <v>2488</v>
      </c>
      <c r="AZ78" t="s">
        <v>4943</v>
      </c>
      <c r="BA78" t="s">
        <v>2488</v>
      </c>
      <c r="BB78" t="s">
        <v>2819</v>
      </c>
      <c r="BC78" t="s">
        <v>4942</v>
      </c>
      <c r="BD78" t="s">
        <v>2819</v>
      </c>
      <c r="BE78" t="s">
        <v>4940</v>
      </c>
      <c r="BF78" t="s">
        <v>4941</v>
      </c>
      <c r="BG78" t="s">
        <v>4940</v>
      </c>
      <c r="BH78"/>
      <c r="BI78"/>
      <c r="BJ78"/>
      <c r="BK78"/>
      <c r="BL78"/>
      <c r="BM78"/>
      <c r="BN78"/>
      <c r="BO78"/>
      <c r="BP78" t="s">
        <v>2332</v>
      </c>
      <c r="BQ78" t="s">
        <v>4939</v>
      </c>
      <c r="BR78" t="s">
        <v>4938</v>
      </c>
      <c r="BS78" t="s">
        <v>4476</v>
      </c>
      <c r="BT78" t="s">
        <v>4937</v>
      </c>
      <c r="BU78" t="s">
        <v>4936</v>
      </c>
      <c r="BV78" t="s">
        <v>3582</v>
      </c>
      <c r="BW78" t="s">
        <v>4935</v>
      </c>
      <c r="BX78" t="s">
        <v>3582</v>
      </c>
      <c r="BY78"/>
      <c r="BZ78"/>
      <c r="CA78"/>
      <c r="CB78"/>
      <c r="CC78"/>
      <c r="CD78"/>
      <c r="CE78"/>
      <c r="CF78"/>
      <c r="CG78"/>
      <c r="CH78"/>
      <c r="CI78"/>
      <c r="CJ78"/>
      <c r="CK78"/>
      <c r="CL78"/>
      <c r="CM78"/>
      <c r="CN78"/>
      <c r="CO78"/>
      <c r="CP78"/>
      <c r="CQ78"/>
      <c r="CR78"/>
      <c r="CS78"/>
      <c r="CT78"/>
      <c r="CU78"/>
      <c r="CV78"/>
      <c r="CW78"/>
      <c r="CX78" t="s">
        <v>2307</v>
      </c>
      <c r="CY78">
        <v>43</v>
      </c>
      <c r="CZ78" t="s">
        <v>2306</v>
      </c>
    </row>
    <row r="79" spans="1:104" ht="14.25">
      <c r="A79" t="s">
        <v>4934</v>
      </c>
      <c r="B79" t="s">
        <v>4934</v>
      </c>
      <c r="C79" t="s">
        <v>4933</v>
      </c>
      <c r="D79">
        <v>0</v>
      </c>
      <c r="E79" t="s">
        <v>2533</v>
      </c>
      <c r="F79" t="s">
        <v>2572</v>
      </c>
      <c r="G79" t="s">
        <v>2543</v>
      </c>
      <c r="H79"/>
      <c r="I79"/>
      <c r="J79" t="s">
        <v>1908</v>
      </c>
      <c r="K79"/>
      <c r="L79"/>
      <c r="M79">
        <v>11</v>
      </c>
      <c r="N79">
        <v>2</v>
      </c>
      <c r="O79">
        <v>1</v>
      </c>
      <c r="P79">
        <v>4</v>
      </c>
      <c r="Q79"/>
      <c r="R79" t="s">
        <v>2317</v>
      </c>
      <c r="S79" t="s">
        <v>2679</v>
      </c>
      <c r="T79" t="s">
        <v>2315</v>
      </c>
      <c r="U79" t="s">
        <v>2315</v>
      </c>
      <c r="V79">
        <v>20</v>
      </c>
      <c r="W79"/>
      <c r="X79"/>
      <c r="Y79"/>
      <c r="Z79">
        <v>20</v>
      </c>
      <c r="AA79">
        <v>2</v>
      </c>
      <c r="AB79">
        <v>11</v>
      </c>
      <c r="AC79">
        <v>10</v>
      </c>
      <c r="AD79">
        <v>1</v>
      </c>
      <c r="AE79">
        <v>8</v>
      </c>
      <c r="AF79">
        <v>2</v>
      </c>
      <c r="AG79">
        <v>320</v>
      </c>
      <c r="AH79"/>
      <c r="AI79"/>
      <c r="AJ79"/>
      <c r="AK79"/>
      <c r="AL79"/>
      <c r="AM79"/>
      <c r="AN79">
        <v>15</v>
      </c>
      <c r="AO79">
        <v>365</v>
      </c>
      <c r="AP79"/>
      <c r="AQ79"/>
      <c r="AR79"/>
      <c r="AS79"/>
      <c r="AT79"/>
      <c r="AU79"/>
      <c r="AV79"/>
      <c r="AW79"/>
      <c r="AX79"/>
      <c r="AY79" t="s">
        <v>2373</v>
      </c>
      <c r="AZ79" t="s">
        <v>4469</v>
      </c>
      <c r="BA79" t="s">
        <v>2373</v>
      </c>
      <c r="BB79"/>
      <c r="BC79"/>
      <c r="BD79"/>
      <c r="BE79"/>
      <c r="BF79"/>
      <c r="BG79"/>
      <c r="BH79"/>
      <c r="BI79"/>
      <c r="BJ79"/>
      <c r="BK79"/>
      <c r="BL79"/>
      <c r="BM79"/>
      <c r="BN79"/>
      <c r="BO79"/>
      <c r="BP79" t="s">
        <v>2329</v>
      </c>
      <c r="BQ79" t="s">
        <v>4932</v>
      </c>
      <c r="BR79" t="s">
        <v>4931</v>
      </c>
      <c r="BS79"/>
      <c r="BT79"/>
      <c r="BU79"/>
      <c r="BV79"/>
      <c r="BW79"/>
      <c r="BX79"/>
      <c r="BY79"/>
      <c r="BZ79"/>
      <c r="CA79"/>
      <c r="CB79"/>
      <c r="CC79"/>
      <c r="CD79"/>
      <c r="CE79"/>
      <c r="CF79"/>
      <c r="CG79"/>
      <c r="CH79"/>
      <c r="CI79"/>
      <c r="CJ79"/>
      <c r="CK79"/>
      <c r="CL79"/>
      <c r="CM79"/>
      <c r="CN79"/>
      <c r="CO79"/>
      <c r="CP79"/>
      <c r="CQ79"/>
      <c r="CR79"/>
      <c r="CS79"/>
      <c r="CT79"/>
      <c r="CU79"/>
      <c r="CV79"/>
      <c r="CW79"/>
      <c r="CX79" t="s">
        <v>2307</v>
      </c>
      <c r="CY79">
        <v>320</v>
      </c>
      <c r="CZ79" t="s">
        <v>2306</v>
      </c>
    </row>
    <row r="80" spans="1:104" ht="14.25">
      <c r="A80" t="s">
        <v>4930</v>
      </c>
      <c r="B80" t="s">
        <v>4930</v>
      </c>
      <c r="C80" t="s">
        <v>4929</v>
      </c>
      <c r="D80">
        <v>0.5</v>
      </c>
      <c r="E80" t="s">
        <v>2533</v>
      </c>
      <c r="F80" t="s">
        <v>2342</v>
      </c>
      <c r="G80" t="s">
        <v>2543</v>
      </c>
      <c r="H80"/>
      <c r="I80"/>
      <c r="J80" t="s">
        <v>1908</v>
      </c>
      <c r="K80"/>
      <c r="L80"/>
      <c r="M80">
        <v>12</v>
      </c>
      <c r="N80">
        <v>19</v>
      </c>
      <c r="O80">
        <v>3</v>
      </c>
      <c r="P80">
        <v>10</v>
      </c>
      <c r="Q80">
        <v>3</v>
      </c>
      <c r="R80" t="s">
        <v>2317</v>
      </c>
      <c r="S80" t="s">
        <v>2586</v>
      </c>
      <c r="T80" t="s">
        <v>2315</v>
      </c>
      <c r="U80" t="s">
        <v>2315</v>
      </c>
      <c r="V80">
        <v>20</v>
      </c>
      <c r="W80"/>
      <c r="X80"/>
      <c r="Y80"/>
      <c r="Z80">
        <v>30</v>
      </c>
      <c r="AA80">
        <v>15</v>
      </c>
      <c r="AB80">
        <v>10</v>
      </c>
      <c r="AC80">
        <v>13</v>
      </c>
      <c r="AD80">
        <v>2</v>
      </c>
      <c r="AE80">
        <v>10</v>
      </c>
      <c r="AF80">
        <v>5</v>
      </c>
      <c r="AG80">
        <v>320</v>
      </c>
      <c r="AH80">
        <v>305</v>
      </c>
      <c r="AI80"/>
      <c r="AJ80"/>
      <c r="AK80"/>
      <c r="AL80"/>
      <c r="AM80"/>
      <c r="AN80">
        <v>15</v>
      </c>
      <c r="AO80">
        <v>365</v>
      </c>
      <c r="AP80">
        <v>7</v>
      </c>
      <c r="AQ80"/>
      <c r="AR80"/>
      <c r="AS80" t="s">
        <v>2741</v>
      </c>
      <c r="AT80"/>
      <c r="AU80"/>
      <c r="AV80" t="s">
        <v>4470</v>
      </c>
      <c r="AW80"/>
      <c r="AX80"/>
      <c r="AY80" t="s">
        <v>3487</v>
      </c>
      <c r="AZ80" t="s">
        <v>4928</v>
      </c>
      <c r="BA80" t="s">
        <v>3487</v>
      </c>
      <c r="BB80"/>
      <c r="BC80"/>
      <c r="BD80"/>
      <c r="BE80"/>
      <c r="BF80"/>
      <c r="BG80"/>
      <c r="BH80"/>
      <c r="BI80"/>
      <c r="BJ80"/>
      <c r="BK80"/>
      <c r="BL80"/>
      <c r="BM80"/>
      <c r="BN80"/>
      <c r="BO80"/>
      <c r="BP80" t="s">
        <v>2332</v>
      </c>
      <c r="BQ80" t="s">
        <v>4927</v>
      </c>
      <c r="BR80" t="s">
        <v>4926</v>
      </c>
      <c r="BS80"/>
      <c r="BT80"/>
      <c r="BU80"/>
      <c r="BV80"/>
      <c r="BW80"/>
      <c r="BX80"/>
      <c r="BY80"/>
      <c r="BZ80"/>
      <c r="CA80"/>
      <c r="CB80"/>
      <c r="CC80"/>
      <c r="CD80"/>
      <c r="CE80"/>
      <c r="CF80"/>
      <c r="CG80"/>
      <c r="CH80"/>
      <c r="CI80"/>
      <c r="CJ80"/>
      <c r="CK80"/>
      <c r="CL80"/>
      <c r="CM80"/>
      <c r="CN80"/>
      <c r="CO80"/>
      <c r="CP80"/>
      <c r="CQ80"/>
      <c r="CR80"/>
      <c r="CS80"/>
      <c r="CT80"/>
      <c r="CU80"/>
      <c r="CV80"/>
      <c r="CW80"/>
      <c r="CX80" t="s">
        <v>2307</v>
      </c>
      <c r="CY80">
        <v>320</v>
      </c>
      <c r="CZ80" t="s">
        <v>2306</v>
      </c>
    </row>
    <row r="81" spans="1:104" ht="14.25">
      <c r="A81" t="s">
        <v>4925</v>
      </c>
      <c r="B81" t="s">
        <v>4924</v>
      </c>
      <c r="C81" t="s">
        <v>4923</v>
      </c>
      <c r="D81">
        <v>2</v>
      </c>
      <c r="E81" t="s">
        <v>2462</v>
      </c>
      <c r="F81" t="s">
        <v>2320</v>
      </c>
      <c r="G81" t="s">
        <v>2461</v>
      </c>
      <c r="H81" t="s">
        <v>2460</v>
      </c>
      <c r="I81"/>
      <c r="J81" t="s">
        <v>2459</v>
      </c>
      <c r="K81">
        <v>4</v>
      </c>
      <c r="L81" t="s">
        <v>1903</v>
      </c>
      <c r="M81">
        <v>13</v>
      </c>
      <c r="N81">
        <v>33</v>
      </c>
      <c r="O81">
        <v>6</v>
      </c>
      <c r="P81">
        <v>8</v>
      </c>
      <c r="Q81">
        <v>6</v>
      </c>
      <c r="R81" t="s">
        <v>2825</v>
      </c>
      <c r="S81" t="s">
        <v>2646</v>
      </c>
      <c r="T81" t="s">
        <v>2315</v>
      </c>
      <c r="U81" t="s">
        <v>2315</v>
      </c>
      <c r="V81">
        <v>30</v>
      </c>
      <c r="W81"/>
      <c r="X81"/>
      <c r="Y81"/>
      <c r="Z81"/>
      <c r="AA81">
        <v>11</v>
      </c>
      <c r="AB81">
        <v>14</v>
      </c>
      <c r="AC81">
        <v>12</v>
      </c>
      <c r="AD81">
        <v>10</v>
      </c>
      <c r="AE81">
        <v>13</v>
      </c>
      <c r="AF81">
        <v>14</v>
      </c>
      <c r="AG81">
        <v>345</v>
      </c>
      <c r="AH81"/>
      <c r="AI81"/>
      <c r="AJ81"/>
      <c r="AK81"/>
      <c r="AL81"/>
      <c r="AM81"/>
      <c r="AN81"/>
      <c r="AO81">
        <v>393</v>
      </c>
      <c r="AP81"/>
      <c r="AQ81">
        <v>10</v>
      </c>
      <c r="AR81"/>
      <c r="AS81" t="s">
        <v>4922</v>
      </c>
      <c r="AT81">
        <v>12</v>
      </c>
      <c r="AU81"/>
      <c r="AV81" t="s">
        <v>4921</v>
      </c>
      <c r="AW81"/>
      <c r="AX81"/>
      <c r="AY81" t="s">
        <v>4911</v>
      </c>
      <c r="AZ81" t="s">
        <v>4920</v>
      </c>
      <c r="BA81" t="s">
        <v>4911</v>
      </c>
      <c r="BB81" t="s">
        <v>3088</v>
      </c>
      <c r="BC81" t="s">
        <v>4919</v>
      </c>
      <c r="BD81" t="s">
        <v>3088</v>
      </c>
      <c r="BE81"/>
      <c r="BF81"/>
      <c r="BG81"/>
      <c r="BH81"/>
      <c r="BI81"/>
      <c r="BJ81"/>
      <c r="BK81"/>
      <c r="BL81"/>
      <c r="BM81"/>
      <c r="BN81"/>
      <c r="BO81"/>
      <c r="BP81" t="s">
        <v>2333</v>
      </c>
      <c r="BQ81" t="s">
        <v>4918</v>
      </c>
      <c r="BR81" t="s">
        <v>2333</v>
      </c>
      <c r="BS81" t="s">
        <v>3858</v>
      </c>
      <c r="BT81" t="s">
        <v>4917</v>
      </c>
      <c r="BU81" t="s">
        <v>3953</v>
      </c>
      <c r="BV81"/>
      <c r="BW81"/>
      <c r="BX81"/>
      <c r="BY81"/>
      <c r="BZ81"/>
      <c r="CA81"/>
      <c r="CB81"/>
      <c r="CC81"/>
      <c r="CD81"/>
      <c r="CE81"/>
      <c r="CF81"/>
      <c r="CG81"/>
      <c r="CH81"/>
      <c r="CI81"/>
      <c r="CJ81"/>
      <c r="CK81"/>
      <c r="CL81"/>
      <c r="CM81"/>
      <c r="CN81"/>
      <c r="CO81"/>
      <c r="CP81"/>
      <c r="CQ81"/>
      <c r="CR81"/>
      <c r="CS81"/>
      <c r="CT81"/>
      <c r="CU81"/>
      <c r="CV81"/>
      <c r="CW81"/>
      <c r="CX81" t="s">
        <v>2307</v>
      </c>
      <c r="CY81">
        <v>345</v>
      </c>
      <c r="CZ81" t="s">
        <v>2306</v>
      </c>
    </row>
    <row r="82" spans="1:104" ht="14.25">
      <c r="A82" t="s">
        <v>4916</v>
      </c>
      <c r="B82" t="s">
        <v>4916</v>
      </c>
      <c r="C82" t="s">
        <v>4915</v>
      </c>
      <c r="D82">
        <v>0.125</v>
      </c>
      <c r="E82" t="s">
        <v>2462</v>
      </c>
      <c r="F82" t="s">
        <v>2320</v>
      </c>
      <c r="G82" t="s">
        <v>2461</v>
      </c>
      <c r="H82" t="s">
        <v>2460</v>
      </c>
      <c r="I82"/>
      <c r="J82" t="s">
        <v>2459</v>
      </c>
      <c r="K82"/>
      <c r="L82"/>
      <c r="M82">
        <v>12</v>
      </c>
      <c r="N82">
        <v>9</v>
      </c>
      <c r="O82">
        <v>2</v>
      </c>
      <c r="P82">
        <v>8</v>
      </c>
      <c r="Q82"/>
      <c r="R82" t="s">
        <v>2317</v>
      </c>
      <c r="S82" t="s">
        <v>2316</v>
      </c>
      <c r="T82" t="s">
        <v>2315</v>
      </c>
      <c r="U82" t="s">
        <v>2315</v>
      </c>
      <c r="V82">
        <v>30</v>
      </c>
      <c r="W82"/>
      <c r="X82"/>
      <c r="Y82"/>
      <c r="Z82"/>
      <c r="AA82">
        <v>11</v>
      </c>
      <c r="AB82">
        <v>12</v>
      </c>
      <c r="AC82">
        <v>10</v>
      </c>
      <c r="AD82">
        <v>10</v>
      </c>
      <c r="AE82">
        <v>11</v>
      </c>
      <c r="AF82">
        <v>10</v>
      </c>
      <c r="AG82">
        <v>345</v>
      </c>
      <c r="AH82"/>
      <c r="AI82"/>
      <c r="AJ82">
        <v>56</v>
      </c>
      <c r="AK82"/>
      <c r="AL82"/>
      <c r="AM82"/>
      <c r="AN82">
        <v>54</v>
      </c>
      <c r="AO82">
        <v>393</v>
      </c>
      <c r="AP82">
        <v>7</v>
      </c>
      <c r="AQ82">
        <v>10</v>
      </c>
      <c r="AR82"/>
      <c r="AS82" t="s">
        <v>4914</v>
      </c>
      <c r="AT82"/>
      <c r="AU82"/>
      <c r="AV82" t="s">
        <v>4913</v>
      </c>
      <c r="AW82"/>
      <c r="AX82" t="s">
        <v>3204</v>
      </c>
      <c r="AY82" t="s">
        <v>4911</v>
      </c>
      <c r="AZ82" t="s">
        <v>4912</v>
      </c>
      <c r="BA82" t="s">
        <v>4911</v>
      </c>
      <c r="BB82"/>
      <c r="BC82"/>
      <c r="BD82"/>
      <c r="BE82"/>
      <c r="BF82"/>
      <c r="BG82"/>
      <c r="BH82"/>
      <c r="BI82"/>
      <c r="BJ82"/>
      <c r="BK82"/>
      <c r="BL82"/>
      <c r="BM82"/>
      <c r="BN82"/>
      <c r="BO82"/>
      <c r="BP82" t="s">
        <v>4264</v>
      </c>
      <c r="BQ82" t="s">
        <v>4910</v>
      </c>
      <c r="BR82" t="s">
        <v>4909</v>
      </c>
      <c r="BS82"/>
      <c r="BT82"/>
      <c r="BU82"/>
      <c r="BV82"/>
      <c r="BW82"/>
      <c r="BX82"/>
      <c r="BY82"/>
      <c r="BZ82"/>
      <c r="CA82"/>
      <c r="CB82"/>
      <c r="CC82"/>
      <c r="CD82"/>
      <c r="CE82"/>
      <c r="CF82"/>
      <c r="CG82"/>
      <c r="CH82"/>
      <c r="CI82"/>
      <c r="CJ82"/>
      <c r="CK82"/>
      <c r="CL82"/>
      <c r="CM82"/>
      <c r="CN82"/>
      <c r="CO82"/>
      <c r="CP82"/>
      <c r="CQ82"/>
      <c r="CR82"/>
      <c r="CS82"/>
      <c r="CT82"/>
      <c r="CU82"/>
      <c r="CV82"/>
      <c r="CW82"/>
      <c r="CX82" t="s">
        <v>2307</v>
      </c>
      <c r="CY82">
        <v>345</v>
      </c>
      <c r="CZ82" t="s">
        <v>2306</v>
      </c>
    </row>
    <row r="83" spans="1:104" ht="14.25">
      <c r="A83" t="s">
        <v>4908</v>
      </c>
      <c r="B83" t="s">
        <v>4908</v>
      </c>
      <c r="C83" t="s">
        <v>4907</v>
      </c>
      <c r="D83">
        <v>6</v>
      </c>
      <c r="E83" t="s">
        <v>2321</v>
      </c>
      <c r="F83" t="s">
        <v>2838</v>
      </c>
      <c r="G83" t="s">
        <v>2858</v>
      </c>
      <c r="H83"/>
      <c r="I83"/>
      <c r="J83" t="s">
        <v>3257</v>
      </c>
      <c r="K83"/>
      <c r="L83"/>
      <c r="M83">
        <v>14</v>
      </c>
      <c r="N83">
        <v>138</v>
      </c>
      <c r="O83">
        <v>12</v>
      </c>
      <c r="P83">
        <v>12</v>
      </c>
      <c r="Q83">
        <v>60</v>
      </c>
      <c r="R83" t="s">
        <v>2317</v>
      </c>
      <c r="S83" t="s">
        <v>3036</v>
      </c>
      <c r="T83" t="s">
        <v>3035</v>
      </c>
      <c r="U83" t="s">
        <v>2315</v>
      </c>
      <c r="V83">
        <v>30</v>
      </c>
      <c r="W83"/>
      <c r="X83"/>
      <c r="Y83"/>
      <c r="Z83"/>
      <c r="AA83">
        <v>22</v>
      </c>
      <c r="AB83">
        <v>11</v>
      </c>
      <c r="AC83">
        <v>20</v>
      </c>
      <c r="AD83">
        <v>8</v>
      </c>
      <c r="AE83">
        <v>6</v>
      </c>
      <c r="AF83">
        <v>10</v>
      </c>
      <c r="AG83">
        <v>45</v>
      </c>
      <c r="AH83"/>
      <c r="AI83"/>
      <c r="AJ83"/>
      <c r="AK83"/>
      <c r="AL83"/>
      <c r="AM83"/>
      <c r="AN83">
        <v>16</v>
      </c>
      <c r="AO83"/>
      <c r="AP83"/>
      <c r="AQ83">
        <v>10</v>
      </c>
      <c r="AR83"/>
      <c r="AS83" t="s">
        <v>4906</v>
      </c>
      <c r="AT83"/>
      <c r="AU83"/>
      <c r="AV83" t="s">
        <v>4905</v>
      </c>
      <c r="AW83"/>
      <c r="AX83"/>
      <c r="AY83" t="s">
        <v>4903</v>
      </c>
      <c r="AZ83" t="s">
        <v>4904</v>
      </c>
      <c r="BA83" t="s">
        <v>4903</v>
      </c>
      <c r="BB83"/>
      <c r="BC83"/>
      <c r="BD83"/>
      <c r="BE83"/>
      <c r="BF83"/>
      <c r="BG83"/>
      <c r="BH83"/>
      <c r="BI83"/>
      <c r="BJ83"/>
      <c r="BK83"/>
      <c r="BL83"/>
      <c r="BM83"/>
      <c r="BN83"/>
      <c r="BO83"/>
      <c r="BP83" t="s">
        <v>2333</v>
      </c>
      <c r="BQ83" t="s">
        <v>4902</v>
      </c>
      <c r="BR83" t="s">
        <v>2333</v>
      </c>
      <c r="BS83" t="s">
        <v>2273</v>
      </c>
      <c r="BT83" t="s">
        <v>4901</v>
      </c>
      <c r="BU83" t="s">
        <v>3025</v>
      </c>
      <c r="BV83" t="s">
        <v>2884</v>
      </c>
      <c r="BW83" t="s">
        <v>4900</v>
      </c>
      <c r="BX83" t="s">
        <v>4569</v>
      </c>
      <c r="BY83"/>
      <c r="BZ83"/>
      <c r="CA83"/>
      <c r="CB83"/>
      <c r="CC83"/>
      <c r="CD83"/>
      <c r="CE83"/>
      <c r="CF83"/>
      <c r="CG83"/>
      <c r="CH83"/>
      <c r="CI83"/>
      <c r="CJ83"/>
      <c r="CK83"/>
      <c r="CL83"/>
      <c r="CM83"/>
      <c r="CN83"/>
      <c r="CO83"/>
      <c r="CP83"/>
      <c r="CQ83"/>
      <c r="CR83"/>
      <c r="CS83"/>
      <c r="CT83"/>
      <c r="CU83"/>
      <c r="CV83"/>
      <c r="CW83"/>
      <c r="CX83" t="s">
        <v>2307</v>
      </c>
      <c r="CY83">
        <v>45</v>
      </c>
      <c r="CZ83" t="s">
        <v>2306</v>
      </c>
    </row>
    <row r="84" spans="1:104" ht="14.25">
      <c r="A84" t="s">
        <v>4899</v>
      </c>
      <c r="B84" t="s">
        <v>4899</v>
      </c>
      <c r="C84" t="s">
        <v>4898</v>
      </c>
      <c r="D84">
        <v>0.5</v>
      </c>
      <c r="E84" t="s">
        <v>2321</v>
      </c>
      <c r="F84" t="s">
        <v>2497</v>
      </c>
      <c r="G84" t="s">
        <v>2440</v>
      </c>
      <c r="H84"/>
      <c r="I84"/>
      <c r="J84" t="s">
        <v>1908</v>
      </c>
      <c r="K84"/>
      <c r="L84"/>
      <c r="M84">
        <v>11</v>
      </c>
      <c r="N84">
        <v>22</v>
      </c>
      <c r="O84">
        <v>5</v>
      </c>
      <c r="P84">
        <v>6</v>
      </c>
      <c r="Q84">
        <v>5</v>
      </c>
      <c r="R84" t="s">
        <v>2317</v>
      </c>
      <c r="S84" t="s">
        <v>2758</v>
      </c>
      <c r="T84" t="s">
        <v>2315</v>
      </c>
      <c r="U84" t="s">
        <v>2315</v>
      </c>
      <c r="V84">
        <v>10</v>
      </c>
      <c r="W84"/>
      <c r="X84"/>
      <c r="Y84">
        <v>30</v>
      </c>
      <c r="Z84"/>
      <c r="AA84">
        <v>16</v>
      </c>
      <c r="AB84">
        <v>12</v>
      </c>
      <c r="AC84">
        <v>13</v>
      </c>
      <c r="AD84">
        <v>2</v>
      </c>
      <c r="AE84">
        <v>10</v>
      </c>
      <c r="AF84">
        <v>5</v>
      </c>
      <c r="AG84">
        <v>46</v>
      </c>
      <c r="AH84"/>
      <c r="AI84"/>
      <c r="AJ84"/>
      <c r="AK84"/>
      <c r="AL84"/>
      <c r="AM84"/>
      <c r="AN84"/>
      <c r="AO84">
        <v>272</v>
      </c>
      <c r="AP84"/>
      <c r="AQ84"/>
      <c r="AR84"/>
      <c r="AS84"/>
      <c r="AT84">
        <v>13</v>
      </c>
      <c r="AU84"/>
      <c r="AV84"/>
      <c r="AW84"/>
      <c r="AX84"/>
      <c r="AY84" t="s">
        <v>2984</v>
      </c>
      <c r="AZ84" t="s">
        <v>4897</v>
      </c>
      <c r="BA84" t="s">
        <v>2984</v>
      </c>
      <c r="BB84" t="s">
        <v>2739</v>
      </c>
      <c r="BC84" t="s">
        <v>4896</v>
      </c>
      <c r="BD84" t="s">
        <v>2739</v>
      </c>
      <c r="BE84"/>
      <c r="BF84"/>
      <c r="BG84"/>
      <c r="BH84"/>
      <c r="BI84"/>
      <c r="BJ84"/>
      <c r="BK84"/>
      <c r="BL84"/>
      <c r="BM84"/>
      <c r="BN84"/>
      <c r="BO84"/>
      <c r="BP84" t="s">
        <v>4895</v>
      </c>
      <c r="BQ84" t="s">
        <v>4894</v>
      </c>
      <c r="BR84" t="s">
        <v>4893</v>
      </c>
      <c r="BS84" t="s">
        <v>4891</v>
      </c>
      <c r="BT84" t="s">
        <v>4892</v>
      </c>
      <c r="BU84" t="s">
        <v>4891</v>
      </c>
      <c r="BV84"/>
      <c r="BW84"/>
      <c r="BX84"/>
      <c r="BY84"/>
      <c r="BZ84"/>
      <c r="CA84"/>
      <c r="CB84"/>
      <c r="CC84"/>
      <c r="CD84"/>
      <c r="CE84"/>
      <c r="CF84"/>
      <c r="CG84"/>
      <c r="CH84"/>
      <c r="CI84"/>
      <c r="CJ84"/>
      <c r="CK84"/>
      <c r="CL84"/>
      <c r="CM84"/>
      <c r="CN84"/>
      <c r="CO84"/>
      <c r="CP84"/>
      <c r="CQ84"/>
      <c r="CR84"/>
      <c r="CS84"/>
      <c r="CT84"/>
      <c r="CU84"/>
      <c r="CV84"/>
      <c r="CW84"/>
      <c r="CX84" t="s">
        <v>2307</v>
      </c>
      <c r="CY84">
        <v>46</v>
      </c>
      <c r="CZ84" t="s">
        <v>2306</v>
      </c>
    </row>
    <row r="85" spans="1:104" ht="14.25">
      <c r="A85" t="s">
        <v>4890</v>
      </c>
      <c r="B85" t="s">
        <v>4889</v>
      </c>
      <c r="C85" t="s">
        <v>4888</v>
      </c>
      <c r="D85">
        <v>1</v>
      </c>
      <c r="E85" t="s">
        <v>2533</v>
      </c>
      <c r="F85" t="s">
        <v>2320</v>
      </c>
      <c r="G85" t="s">
        <v>2440</v>
      </c>
      <c r="H85"/>
      <c r="I85"/>
      <c r="J85" t="s">
        <v>2318</v>
      </c>
      <c r="K85"/>
      <c r="L85"/>
      <c r="M85">
        <v>12</v>
      </c>
      <c r="N85">
        <v>39</v>
      </c>
      <c r="O85">
        <v>6</v>
      </c>
      <c r="P85">
        <v>8</v>
      </c>
      <c r="Q85">
        <v>12</v>
      </c>
      <c r="R85" t="s">
        <v>2317</v>
      </c>
      <c r="S85" t="s">
        <v>2458</v>
      </c>
      <c r="T85" t="s">
        <v>2315</v>
      </c>
      <c r="U85" t="s">
        <v>2315</v>
      </c>
      <c r="V85">
        <v>40</v>
      </c>
      <c r="W85"/>
      <c r="X85"/>
      <c r="Y85"/>
      <c r="Z85"/>
      <c r="AA85">
        <v>15</v>
      </c>
      <c r="AB85">
        <v>14</v>
      </c>
      <c r="AC85">
        <v>14</v>
      </c>
      <c r="AD85">
        <v>3</v>
      </c>
      <c r="AE85">
        <v>13</v>
      </c>
      <c r="AF85">
        <v>6</v>
      </c>
      <c r="AG85">
        <v>321</v>
      </c>
      <c r="AH85"/>
      <c r="AI85"/>
      <c r="AJ85"/>
      <c r="AK85"/>
      <c r="AL85"/>
      <c r="AM85"/>
      <c r="AN85">
        <v>16</v>
      </c>
      <c r="AO85">
        <v>365</v>
      </c>
      <c r="AP85"/>
      <c r="AQ85"/>
      <c r="AR85"/>
      <c r="AS85" t="s">
        <v>4887</v>
      </c>
      <c r="AT85"/>
      <c r="AU85"/>
      <c r="AV85"/>
      <c r="AW85"/>
      <c r="AX85" t="s">
        <v>2530</v>
      </c>
      <c r="AY85" t="s">
        <v>4885</v>
      </c>
      <c r="AZ85" t="s">
        <v>4886</v>
      </c>
      <c r="BA85" t="s">
        <v>4885</v>
      </c>
      <c r="BB85"/>
      <c r="BC85"/>
      <c r="BD85"/>
      <c r="BE85"/>
      <c r="BF85"/>
      <c r="BG85"/>
      <c r="BH85"/>
      <c r="BI85"/>
      <c r="BJ85"/>
      <c r="BK85"/>
      <c r="BL85"/>
      <c r="BM85"/>
      <c r="BN85"/>
      <c r="BO85"/>
      <c r="BP85" t="s">
        <v>2333</v>
      </c>
      <c r="BQ85" t="s">
        <v>4884</v>
      </c>
      <c r="BR85" t="s">
        <v>2333</v>
      </c>
      <c r="BS85" t="s">
        <v>2332</v>
      </c>
      <c r="BT85" t="s">
        <v>4883</v>
      </c>
      <c r="BU85" t="s">
        <v>3535</v>
      </c>
      <c r="BV85"/>
      <c r="BW85"/>
      <c r="BX85"/>
      <c r="BY85"/>
      <c r="BZ85"/>
      <c r="CA85"/>
      <c r="CB85"/>
      <c r="CC85"/>
      <c r="CD85"/>
      <c r="CE85"/>
      <c r="CF85"/>
      <c r="CG85"/>
      <c r="CH85"/>
      <c r="CI85"/>
      <c r="CJ85"/>
      <c r="CK85"/>
      <c r="CL85"/>
      <c r="CM85"/>
      <c r="CN85"/>
      <c r="CO85"/>
      <c r="CP85"/>
      <c r="CQ85"/>
      <c r="CR85"/>
      <c r="CS85"/>
      <c r="CT85"/>
      <c r="CU85"/>
      <c r="CV85"/>
      <c r="CW85"/>
      <c r="CX85" t="s">
        <v>2307</v>
      </c>
      <c r="CY85">
        <v>321</v>
      </c>
      <c r="CZ85" t="s">
        <v>2306</v>
      </c>
    </row>
    <row r="86" spans="1:104" ht="14.25">
      <c r="A86" t="s">
        <v>4882</v>
      </c>
      <c r="B86" t="s">
        <v>4881</v>
      </c>
      <c r="C86" t="s">
        <v>2498</v>
      </c>
      <c r="D86">
        <v>0.5</v>
      </c>
      <c r="E86" t="s">
        <v>2321</v>
      </c>
      <c r="F86" t="s">
        <v>2497</v>
      </c>
      <c r="G86" t="s">
        <v>2461</v>
      </c>
      <c r="H86" t="s">
        <v>2496</v>
      </c>
      <c r="I86"/>
      <c r="J86" t="s">
        <v>2495</v>
      </c>
      <c r="K86"/>
      <c r="L86"/>
      <c r="M86">
        <v>15</v>
      </c>
      <c r="N86">
        <v>16</v>
      </c>
      <c r="O86">
        <v>3</v>
      </c>
      <c r="P86">
        <v>6</v>
      </c>
      <c r="Q86">
        <v>6</v>
      </c>
      <c r="R86" t="s">
        <v>2494</v>
      </c>
      <c r="S86" t="s">
        <v>2494</v>
      </c>
      <c r="T86" t="s">
        <v>2494</v>
      </c>
      <c r="U86" t="s">
        <v>2494</v>
      </c>
      <c r="V86">
        <v>20</v>
      </c>
      <c r="W86"/>
      <c r="X86"/>
      <c r="Y86"/>
      <c r="Z86"/>
      <c r="AA86">
        <v>15</v>
      </c>
      <c r="AB86">
        <v>14</v>
      </c>
      <c r="AC86">
        <v>14</v>
      </c>
      <c r="AD86">
        <v>12</v>
      </c>
      <c r="AE86">
        <v>10</v>
      </c>
      <c r="AF86">
        <v>9</v>
      </c>
      <c r="AG86">
        <v>164</v>
      </c>
      <c r="AH86"/>
      <c r="AI86"/>
      <c r="AJ86"/>
      <c r="AK86"/>
      <c r="AL86"/>
      <c r="AM86"/>
      <c r="AN86"/>
      <c r="AO86">
        <v>318</v>
      </c>
      <c r="AP86"/>
      <c r="AQ86"/>
      <c r="AR86"/>
      <c r="AS86"/>
      <c r="AT86">
        <v>13</v>
      </c>
      <c r="AU86"/>
      <c r="AV86" t="s">
        <v>2493</v>
      </c>
      <c r="AW86"/>
      <c r="AX86"/>
      <c r="AY86" t="s">
        <v>2473</v>
      </c>
      <c r="AZ86" t="s">
        <v>2492</v>
      </c>
      <c r="BA86" t="s">
        <v>2473</v>
      </c>
      <c r="BB86" t="s">
        <v>2490</v>
      </c>
      <c r="BC86" t="s">
        <v>2491</v>
      </c>
      <c r="BD86" t="s">
        <v>2490</v>
      </c>
      <c r="BE86" t="s">
        <v>2488</v>
      </c>
      <c r="BF86" t="s">
        <v>2489</v>
      </c>
      <c r="BG86" t="s">
        <v>2488</v>
      </c>
      <c r="BH86"/>
      <c r="BI86"/>
      <c r="BJ86"/>
      <c r="BK86"/>
      <c r="BL86"/>
      <c r="BM86"/>
      <c r="BN86"/>
      <c r="BO86"/>
      <c r="BP86" t="s">
        <v>2487</v>
      </c>
      <c r="BQ86" t="s">
        <v>2486</v>
      </c>
      <c r="BR86" t="s">
        <v>2485</v>
      </c>
      <c r="BS86" t="s">
        <v>2484</v>
      </c>
      <c r="BT86" t="s">
        <v>2483</v>
      </c>
      <c r="BU86" t="s">
        <v>2482</v>
      </c>
      <c r="BV86"/>
      <c r="BW86"/>
      <c r="BX86"/>
      <c r="BY86"/>
      <c r="BZ86"/>
      <c r="CA86"/>
      <c r="CB86"/>
      <c r="CC86"/>
      <c r="CD86"/>
      <c r="CE86"/>
      <c r="CF86"/>
      <c r="CG86"/>
      <c r="CH86"/>
      <c r="CI86"/>
      <c r="CJ86"/>
      <c r="CK86"/>
      <c r="CL86"/>
      <c r="CM86"/>
      <c r="CN86"/>
      <c r="CO86"/>
      <c r="CP86"/>
      <c r="CQ86"/>
      <c r="CR86"/>
      <c r="CS86"/>
      <c r="CT86"/>
      <c r="CU86"/>
      <c r="CV86"/>
      <c r="CW86"/>
      <c r="CX86" t="s">
        <v>2307</v>
      </c>
      <c r="CY86">
        <v>164</v>
      </c>
      <c r="CZ86" t="s">
        <v>2306</v>
      </c>
    </row>
    <row r="87" spans="1:104" ht="14.25">
      <c r="A87" t="s">
        <v>4880</v>
      </c>
      <c r="B87" t="s">
        <v>4880</v>
      </c>
      <c r="C87" t="s">
        <v>4879</v>
      </c>
      <c r="D87">
        <v>0</v>
      </c>
      <c r="E87" t="s">
        <v>2533</v>
      </c>
      <c r="F87" t="s">
        <v>2320</v>
      </c>
      <c r="G87" t="s">
        <v>2543</v>
      </c>
      <c r="H87"/>
      <c r="I87"/>
      <c r="J87" t="s">
        <v>1908</v>
      </c>
      <c r="K87"/>
      <c r="L87"/>
      <c r="M87">
        <v>13</v>
      </c>
      <c r="N87">
        <v>4</v>
      </c>
      <c r="O87">
        <v>1</v>
      </c>
      <c r="P87">
        <v>8</v>
      </c>
      <c r="Q87"/>
      <c r="R87" t="s">
        <v>2317</v>
      </c>
      <c r="S87" t="s">
        <v>2711</v>
      </c>
      <c r="T87" t="s">
        <v>2315</v>
      </c>
      <c r="U87" t="s">
        <v>2315</v>
      </c>
      <c r="V87">
        <v>50</v>
      </c>
      <c r="W87"/>
      <c r="X87"/>
      <c r="Y87"/>
      <c r="Z87"/>
      <c r="AA87">
        <v>11</v>
      </c>
      <c r="AB87">
        <v>16</v>
      </c>
      <c r="AC87">
        <v>11</v>
      </c>
      <c r="AD87">
        <v>2</v>
      </c>
      <c r="AE87">
        <v>14</v>
      </c>
      <c r="AF87">
        <v>5</v>
      </c>
      <c r="AG87">
        <v>321</v>
      </c>
      <c r="AH87"/>
      <c r="AI87"/>
      <c r="AJ87"/>
      <c r="AK87"/>
      <c r="AL87"/>
      <c r="AM87"/>
      <c r="AN87">
        <v>16</v>
      </c>
      <c r="AO87">
        <v>365</v>
      </c>
      <c r="AP87">
        <v>7</v>
      </c>
      <c r="AQ87"/>
      <c r="AR87"/>
      <c r="AS87"/>
      <c r="AT87"/>
      <c r="AU87"/>
      <c r="AV87"/>
      <c r="AW87"/>
      <c r="AX87"/>
      <c r="AY87"/>
      <c r="AZ87"/>
      <c r="BA87"/>
      <c r="BB87"/>
      <c r="BC87"/>
      <c r="BD87"/>
      <c r="BE87"/>
      <c r="BF87"/>
      <c r="BG87"/>
      <c r="BH87"/>
      <c r="BI87"/>
      <c r="BJ87"/>
      <c r="BK87"/>
      <c r="BL87"/>
      <c r="BM87"/>
      <c r="BN87"/>
      <c r="BO87"/>
      <c r="BP87" t="s">
        <v>2332</v>
      </c>
      <c r="BQ87" t="s">
        <v>2706</v>
      </c>
      <c r="BR87" t="s">
        <v>4878</v>
      </c>
      <c r="BS87"/>
      <c r="BT87"/>
      <c r="BU87"/>
      <c r="BV87"/>
      <c r="BW87"/>
      <c r="BX87"/>
      <c r="BY87"/>
      <c r="BZ87"/>
      <c r="CA87"/>
      <c r="CB87"/>
      <c r="CC87"/>
      <c r="CD87"/>
      <c r="CE87"/>
      <c r="CF87"/>
      <c r="CG87"/>
      <c r="CH87"/>
      <c r="CI87"/>
      <c r="CJ87"/>
      <c r="CK87"/>
      <c r="CL87"/>
      <c r="CM87"/>
      <c r="CN87"/>
      <c r="CO87"/>
      <c r="CP87"/>
      <c r="CQ87"/>
      <c r="CR87"/>
      <c r="CS87"/>
      <c r="CT87"/>
      <c r="CU87"/>
      <c r="CV87"/>
      <c r="CW87"/>
      <c r="CX87" t="s">
        <v>2307</v>
      </c>
      <c r="CY87">
        <v>321</v>
      </c>
      <c r="CZ87" t="s">
        <v>2306</v>
      </c>
    </row>
    <row r="88" spans="1:104" ht="14.25">
      <c r="A88" t="s">
        <v>4877</v>
      </c>
      <c r="B88" t="s">
        <v>4877</v>
      </c>
      <c r="C88" t="s">
        <v>4876</v>
      </c>
      <c r="D88">
        <v>10</v>
      </c>
      <c r="E88" t="s">
        <v>2321</v>
      </c>
      <c r="F88" t="s">
        <v>2320</v>
      </c>
      <c r="G88" t="s">
        <v>2826</v>
      </c>
      <c r="H88"/>
      <c r="I88"/>
      <c r="J88" t="s">
        <v>2355</v>
      </c>
      <c r="K88"/>
      <c r="L88"/>
      <c r="M88">
        <v>17</v>
      </c>
      <c r="N88">
        <v>136</v>
      </c>
      <c r="O88">
        <v>16</v>
      </c>
      <c r="P88">
        <v>8</v>
      </c>
      <c r="Q88">
        <v>64</v>
      </c>
      <c r="R88" t="s">
        <v>2825</v>
      </c>
      <c r="S88" t="s">
        <v>4875</v>
      </c>
      <c r="T88" t="s">
        <v>4874</v>
      </c>
      <c r="U88" t="s">
        <v>2315</v>
      </c>
      <c r="V88">
        <v>30</v>
      </c>
      <c r="W88"/>
      <c r="X88"/>
      <c r="Y88">
        <v>90</v>
      </c>
      <c r="Z88"/>
      <c r="AA88">
        <v>18</v>
      </c>
      <c r="AB88">
        <v>18</v>
      </c>
      <c r="AC88">
        <v>18</v>
      </c>
      <c r="AD88">
        <v>17</v>
      </c>
      <c r="AE88">
        <v>20</v>
      </c>
      <c r="AF88">
        <v>20</v>
      </c>
      <c r="AG88">
        <v>16</v>
      </c>
      <c r="AH88"/>
      <c r="AI88"/>
      <c r="AJ88"/>
      <c r="AK88"/>
      <c r="AL88"/>
      <c r="AM88"/>
      <c r="AN88"/>
      <c r="AO88">
        <v>264</v>
      </c>
      <c r="AP88"/>
      <c r="AQ88"/>
      <c r="AR88"/>
      <c r="AS88"/>
      <c r="AT88"/>
      <c r="AU88"/>
      <c r="AV88"/>
      <c r="AW88"/>
      <c r="AX88"/>
      <c r="AY88" t="s">
        <v>3135</v>
      </c>
      <c r="AZ88" t="s">
        <v>4873</v>
      </c>
      <c r="BA88" t="s">
        <v>3135</v>
      </c>
      <c r="BB88" t="s">
        <v>2488</v>
      </c>
      <c r="BC88" t="s">
        <v>4872</v>
      </c>
      <c r="BD88" t="s">
        <v>2488</v>
      </c>
      <c r="BE88" t="s">
        <v>2726</v>
      </c>
      <c r="BF88" t="s">
        <v>4871</v>
      </c>
      <c r="BG88" t="s">
        <v>2726</v>
      </c>
      <c r="BH88"/>
      <c r="BI88"/>
      <c r="BJ88"/>
      <c r="BK88"/>
      <c r="BL88"/>
      <c r="BM88"/>
      <c r="BN88"/>
      <c r="BO88"/>
      <c r="BP88" t="s">
        <v>2333</v>
      </c>
      <c r="BQ88" t="s">
        <v>4870</v>
      </c>
      <c r="BR88" t="s">
        <v>2333</v>
      </c>
      <c r="BS88" t="s">
        <v>2450</v>
      </c>
      <c r="BT88" t="s">
        <v>4869</v>
      </c>
      <c r="BU88" t="s">
        <v>4868</v>
      </c>
      <c r="BV88" t="s">
        <v>2810</v>
      </c>
      <c r="BW88" t="s">
        <v>4867</v>
      </c>
      <c r="BX88" t="s">
        <v>2810</v>
      </c>
      <c r="BY88" t="s">
        <v>3582</v>
      </c>
      <c r="BZ88" t="s">
        <v>4866</v>
      </c>
      <c r="CA88" t="s">
        <v>3582</v>
      </c>
      <c r="CB88"/>
      <c r="CC88"/>
      <c r="CD88"/>
      <c r="CE88"/>
      <c r="CF88"/>
      <c r="CG88"/>
      <c r="CH88"/>
      <c r="CI88"/>
      <c r="CJ88"/>
      <c r="CK88"/>
      <c r="CL88"/>
      <c r="CM88"/>
      <c r="CN88"/>
      <c r="CO88"/>
      <c r="CP88"/>
      <c r="CQ88"/>
      <c r="CR88"/>
      <c r="CS88"/>
      <c r="CT88"/>
      <c r="CU88"/>
      <c r="CV88"/>
      <c r="CW88"/>
      <c r="CX88" t="s">
        <v>2307</v>
      </c>
      <c r="CY88">
        <v>16</v>
      </c>
      <c r="CZ88" t="s">
        <v>2306</v>
      </c>
    </row>
    <row r="89" spans="1:104" ht="14.25">
      <c r="A89" t="s">
        <v>4865</v>
      </c>
      <c r="B89" t="s">
        <v>4864</v>
      </c>
      <c r="C89" t="s">
        <v>4863</v>
      </c>
      <c r="D89">
        <v>1</v>
      </c>
      <c r="E89" t="s">
        <v>2533</v>
      </c>
      <c r="F89" t="s">
        <v>2342</v>
      </c>
      <c r="G89" t="s">
        <v>2543</v>
      </c>
      <c r="H89"/>
      <c r="I89"/>
      <c r="J89" t="s">
        <v>1908</v>
      </c>
      <c r="K89"/>
      <c r="L89"/>
      <c r="M89">
        <v>14</v>
      </c>
      <c r="N89">
        <v>37</v>
      </c>
      <c r="O89">
        <v>5</v>
      </c>
      <c r="P89">
        <v>10</v>
      </c>
      <c r="Q89">
        <v>10</v>
      </c>
      <c r="R89" t="s">
        <v>2317</v>
      </c>
      <c r="S89" t="s">
        <v>2532</v>
      </c>
      <c r="T89" t="s">
        <v>2315</v>
      </c>
      <c r="U89" t="s">
        <v>2315</v>
      </c>
      <c r="V89">
        <v>50</v>
      </c>
      <c r="W89"/>
      <c r="X89"/>
      <c r="Y89"/>
      <c r="Z89"/>
      <c r="AA89">
        <v>17</v>
      </c>
      <c r="AB89">
        <v>15</v>
      </c>
      <c r="AC89">
        <v>15</v>
      </c>
      <c r="AD89">
        <v>3</v>
      </c>
      <c r="AE89">
        <v>12</v>
      </c>
      <c r="AF89">
        <v>7</v>
      </c>
      <c r="AG89">
        <v>321</v>
      </c>
      <c r="AH89">
        <v>305</v>
      </c>
      <c r="AI89"/>
      <c r="AJ89"/>
      <c r="AK89"/>
      <c r="AL89"/>
      <c r="AM89"/>
      <c r="AN89">
        <v>16</v>
      </c>
      <c r="AO89">
        <v>366</v>
      </c>
      <c r="AP89"/>
      <c r="AQ89"/>
      <c r="AR89"/>
      <c r="AS89" t="s">
        <v>4862</v>
      </c>
      <c r="AT89"/>
      <c r="AU89"/>
      <c r="AV89"/>
      <c r="AW89"/>
      <c r="AX89"/>
      <c r="AY89" t="s">
        <v>2528</v>
      </c>
      <c r="AZ89" t="s">
        <v>2539</v>
      </c>
      <c r="BA89" t="s">
        <v>2528</v>
      </c>
      <c r="BB89" t="s">
        <v>2452</v>
      </c>
      <c r="BC89" t="s">
        <v>2538</v>
      </c>
      <c r="BD89" t="s">
        <v>2452</v>
      </c>
      <c r="BE89"/>
      <c r="BF89"/>
      <c r="BG89"/>
      <c r="BH89"/>
      <c r="BI89"/>
      <c r="BJ89"/>
      <c r="BK89"/>
      <c r="BL89"/>
      <c r="BM89"/>
      <c r="BN89"/>
      <c r="BO89"/>
      <c r="BP89" t="s">
        <v>2332</v>
      </c>
      <c r="BQ89" t="s">
        <v>2527</v>
      </c>
      <c r="BR89" t="s">
        <v>4413</v>
      </c>
      <c r="BS89"/>
      <c r="BT89"/>
      <c r="BU89"/>
      <c r="BV89"/>
      <c r="BW89"/>
      <c r="BX89"/>
      <c r="BY89"/>
      <c r="BZ89"/>
      <c r="CA89"/>
      <c r="CB89"/>
      <c r="CC89"/>
      <c r="CD89"/>
      <c r="CE89"/>
      <c r="CF89"/>
      <c r="CG89"/>
      <c r="CH89"/>
      <c r="CI89"/>
      <c r="CJ89"/>
      <c r="CK89"/>
      <c r="CL89"/>
      <c r="CM89"/>
      <c r="CN89"/>
      <c r="CO89"/>
      <c r="CP89"/>
      <c r="CQ89"/>
      <c r="CR89"/>
      <c r="CS89"/>
      <c r="CT89"/>
      <c r="CU89"/>
      <c r="CV89"/>
      <c r="CW89"/>
      <c r="CX89" t="s">
        <v>2307</v>
      </c>
      <c r="CY89">
        <v>321</v>
      </c>
      <c r="CZ89" t="s">
        <v>2306</v>
      </c>
    </row>
    <row r="90" spans="1:104" ht="14.25">
      <c r="A90" t="s">
        <v>4861</v>
      </c>
      <c r="B90" t="s">
        <v>4861</v>
      </c>
      <c r="C90" t="s">
        <v>4860</v>
      </c>
      <c r="D90">
        <v>11</v>
      </c>
      <c r="E90" t="s">
        <v>2321</v>
      </c>
      <c r="F90" t="s">
        <v>2342</v>
      </c>
      <c r="G90" t="s">
        <v>2479</v>
      </c>
      <c r="H90" t="s">
        <v>4709</v>
      </c>
      <c r="I90"/>
      <c r="J90" t="s">
        <v>2388</v>
      </c>
      <c r="K90"/>
      <c r="L90"/>
      <c r="M90">
        <v>17</v>
      </c>
      <c r="N90">
        <v>161</v>
      </c>
      <c r="O90">
        <v>14</v>
      </c>
      <c r="P90">
        <v>10</v>
      </c>
      <c r="Q90">
        <v>84</v>
      </c>
      <c r="R90" t="s">
        <v>2825</v>
      </c>
      <c r="S90" t="s">
        <v>2414</v>
      </c>
      <c r="T90" t="s">
        <v>2315</v>
      </c>
      <c r="U90" t="s">
        <v>2315</v>
      </c>
      <c r="V90">
        <v>30</v>
      </c>
      <c r="W90"/>
      <c r="X90"/>
      <c r="Y90">
        <v>90</v>
      </c>
      <c r="Z90"/>
      <c r="AA90">
        <v>21</v>
      </c>
      <c r="AB90">
        <v>15</v>
      </c>
      <c r="AC90">
        <v>22</v>
      </c>
      <c r="AD90">
        <v>15</v>
      </c>
      <c r="AE90">
        <v>16</v>
      </c>
      <c r="AF90">
        <v>20</v>
      </c>
      <c r="AG90">
        <v>144</v>
      </c>
      <c r="AH90"/>
      <c r="AI90"/>
      <c r="AJ90"/>
      <c r="AK90"/>
      <c r="AL90"/>
      <c r="AM90"/>
      <c r="AN90"/>
      <c r="AO90">
        <v>312</v>
      </c>
      <c r="AP90"/>
      <c r="AQ90"/>
      <c r="AR90"/>
      <c r="AS90"/>
      <c r="AT90">
        <v>14</v>
      </c>
      <c r="AU90"/>
      <c r="AV90"/>
      <c r="AW90"/>
      <c r="AX90"/>
      <c r="AY90" t="s">
        <v>4706</v>
      </c>
      <c r="AZ90" t="s">
        <v>4859</v>
      </c>
      <c r="BA90" t="s">
        <v>4706</v>
      </c>
      <c r="BB90" t="s">
        <v>2488</v>
      </c>
      <c r="BC90" t="s">
        <v>4858</v>
      </c>
      <c r="BD90" t="s">
        <v>2488</v>
      </c>
      <c r="BE90" t="s">
        <v>4703</v>
      </c>
      <c r="BF90" t="s">
        <v>4704</v>
      </c>
      <c r="BG90" t="s">
        <v>4703</v>
      </c>
      <c r="BH90"/>
      <c r="BI90"/>
      <c r="BJ90"/>
      <c r="BK90"/>
      <c r="BL90"/>
      <c r="BM90"/>
      <c r="BN90"/>
      <c r="BO90"/>
      <c r="BP90" t="s">
        <v>2333</v>
      </c>
      <c r="BQ90" t="s">
        <v>4857</v>
      </c>
      <c r="BR90" t="s">
        <v>2333</v>
      </c>
      <c r="BS90" t="s">
        <v>4264</v>
      </c>
      <c r="BT90" t="s">
        <v>4856</v>
      </c>
      <c r="BU90" t="s">
        <v>4855</v>
      </c>
      <c r="BV90" t="s">
        <v>4853</v>
      </c>
      <c r="BW90" t="s">
        <v>4854</v>
      </c>
      <c r="BX90" t="s">
        <v>4853</v>
      </c>
      <c r="BY90"/>
      <c r="BZ90"/>
      <c r="CA90"/>
      <c r="CB90"/>
      <c r="CC90"/>
      <c r="CD90"/>
      <c r="CE90"/>
      <c r="CF90"/>
      <c r="CG90"/>
      <c r="CH90"/>
      <c r="CI90"/>
      <c r="CJ90"/>
      <c r="CK90"/>
      <c r="CL90"/>
      <c r="CM90"/>
      <c r="CN90"/>
      <c r="CO90"/>
      <c r="CP90"/>
      <c r="CQ90"/>
      <c r="CR90"/>
      <c r="CS90"/>
      <c r="CT90"/>
      <c r="CU90"/>
      <c r="CV90"/>
      <c r="CW90"/>
      <c r="CX90" t="s">
        <v>2307</v>
      </c>
      <c r="CY90">
        <v>144</v>
      </c>
      <c r="CZ90" t="s">
        <v>2306</v>
      </c>
    </row>
    <row r="91" spans="1:104" ht="14.25">
      <c r="A91" t="s">
        <v>4852</v>
      </c>
      <c r="B91" t="s">
        <v>4852</v>
      </c>
      <c r="C91" t="s">
        <v>4851</v>
      </c>
      <c r="D91">
        <v>3</v>
      </c>
      <c r="E91" t="s">
        <v>2321</v>
      </c>
      <c r="F91" t="s">
        <v>2320</v>
      </c>
      <c r="G91" t="s">
        <v>2440</v>
      </c>
      <c r="H91"/>
      <c r="I91">
        <v>1</v>
      </c>
      <c r="J91" t="s">
        <v>1902</v>
      </c>
      <c r="K91"/>
      <c r="L91"/>
      <c r="M91">
        <v>14</v>
      </c>
      <c r="N91">
        <v>52</v>
      </c>
      <c r="O91">
        <v>8</v>
      </c>
      <c r="P91">
        <v>8</v>
      </c>
      <c r="Q91">
        <v>16</v>
      </c>
      <c r="R91" t="s">
        <v>2317</v>
      </c>
      <c r="S91" t="s">
        <v>3395</v>
      </c>
      <c r="T91" t="s">
        <v>2315</v>
      </c>
      <c r="U91" t="s">
        <v>2315</v>
      </c>
      <c r="V91">
        <v>30</v>
      </c>
      <c r="W91"/>
      <c r="X91"/>
      <c r="Y91"/>
      <c r="Z91"/>
      <c r="AA91">
        <v>11</v>
      </c>
      <c r="AB91">
        <v>18</v>
      </c>
      <c r="AC91">
        <v>14</v>
      </c>
      <c r="AD91">
        <v>11</v>
      </c>
      <c r="AE91">
        <v>12</v>
      </c>
      <c r="AF91">
        <v>14</v>
      </c>
      <c r="AG91">
        <v>82</v>
      </c>
      <c r="AH91"/>
      <c r="AI91"/>
      <c r="AJ91">
        <v>56</v>
      </c>
      <c r="AK91"/>
      <c r="AL91"/>
      <c r="AM91"/>
      <c r="AN91">
        <v>17</v>
      </c>
      <c r="AO91">
        <v>282</v>
      </c>
      <c r="AP91">
        <v>8</v>
      </c>
      <c r="AQ91"/>
      <c r="AR91"/>
      <c r="AS91"/>
      <c r="AT91"/>
      <c r="AU91"/>
      <c r="AV91" t="s">
        <v>4850</v>
      </c>
      <c r="AW91"/>
      <c r="AX91" t="s">
        <v>4849</v>
      </c>
      <c r="AY91" t="s">
        <v>2608</v>
      </c>
      <c r="AZ91" t="s">
        <v>4848</v>
      </c>
      <c r="BA91" t="s">
        <v>2608</v>
      </c>
      <c r="BB91" t="s">
        <v>4846</v>
      </c>
      <c r="BC91" t="s">
        <v>4847</v>
      </c>
      <c r="BD91" t="s">
        <v>4846</v>
      </c>
      <c r="BE91" t="s">
        <v>4845</v>
      </c>
      <c r="BF91" t="s">
        <v>4844</v>
      </c>
      <c r="BG91" t="s">
        <v>4843</v>
      </c>
      <c r="BH91"/>
      <c r="BI91"/>
      <c r="BJ91"/>
      <c r="BK91"/>
      <c r="BL91"/>
      <c r="BM91"/>
      <c r="BN91"/>
      <c r="BO91"/>
      <c r="BP91" t="s">
        <v>2333</v>
      </c>
      <c r="BQ91" t="s">
        <v>4842</v>
      </c>
      <c r="BR91" t="s">
        <v>2333</v>
      </c>
      <c r="BS91" t="s">
        <v>2310</v>
      </c>
      <c r="BT91" t="s">
        <v>4841</v>
      </c>
      <c r="BU91" t="s">
        <v>4840</v>
      </c>
      <c r="BV91" t="s">
        <v>4838</v>
      </c>
      <c r="BW91" t="s">
        <v>4839</v>
      </c>
      <c r="BX91" t="s">
        <v>4838</v>
      </c>
      <c r="BY91"/>
      <c r="BZ91"/>
      <c r="CA91"/>
      <c r="CB91"/>
      <c r="CC91"/>
      <c r="CD91"/>
      <c r="CE91"/>
      <c r="CF91"/>
      <c r="CG91"/>
      <c r="CH91"/>
      <c r="CI91"/>
      <c r="CJ91"/>
      <c r="CK91"/>
      <c r="CL91"/>
      <c r="CM91"/>
      <c r="CN91"/>
      <c r="CO91"/>
      <c r="CP91"/>
      <c r="CQ91"/>
      <c r="CR91"/>
      <c r="CS91"/>
      <c r="CT91"/>
      <c r="CU91"/>
      <c r="CV91"/>
      <c r="CW91"/>
      <c r="CX91" t="s">
        <v>2307</v>
      </c>
      <c r="CY91">
        <v>82</v>
      </c>
      <c r="CZ91" t="s">
        <v>2306</v>
      </c>
    </row>
    <row r="92" spans="1:104" ht="14.25">
      <c r="A92" t="s">
        <v>4837</v>
      </c>
      <c r="B92" t="s">
        <v>4836</v>
      </c>
      <c r="C92" t="s">
        <v>4835</v>
      </c>
      <c r="D92">
        <v>0.25</v>
      </c>
      <c r="E92" t="s">
        <v>2533</v>
      </c>
      <c r="F92" t="s">
        <v>2342</v>
      </c>
      <c r="G92" t="s">
        <v>2543</v>
      </c>
      <c r="H92"/>
      <c r="I92"/>
      <c r="J92" t="s">
        <v>1908</v>
      </c>
      <c r="K92"/>
      <c r="L92"/>
      <c r="M92">
        <v>10</v>
      </c>
      <c r="N92">
        <v>19</v>
      </c>
      <c r="O92">
        <v>3</v>
      </c>
      <c r="P92">
        <v>10</v>
      </c>
      <c r="Q92">
        <v>3</v>
      </c>
      <c r="R92" t="s">
        <v>2317</v>
      </c>
      <c r="S92" t="s">
        <v>2542</v>
      </c>
      <c r="T92" t="s">
        <v>2315</v>
      </c>
      <c r="U92" t="s">
        <v>2315</v>
      </c>
      <c r="V92">
        <v>40</v>
      </c>
      <c r="W92"/>
      <c r="X92"/>
      <c r="Y92"/>
      <c r="Z92"/>
      <c r="AA92">
        <v>18</v>
      </c>
      <c r="AB92">
        <v>10</v>
      </c>
      <c r="AC92">
        <v>12</v>
      </c>
      <c r="AD92">
        <v>2</v>
      </c>
      <c r="AE92">
        <v>11</v>
      </c>
      <c r="AF92">
        <v>7</v>
      </c>
      <c r="AG92">
        <v>321</v>
      </c>
      <c r="AH92"/>
      <c r="AI92"/>
      <c r="AJ92"/>
      <c r="AK92"/>
      <c r="AL92"/>
      <c r="AM92"/>
      <c r="AN92">
        <v>17</v>
      </c>
      <c r="AO92">
        <v>366</v>
      </c>
      <c r="AP92"/>
      <c r="AQ92"/>
      <c r="AR92"/>
      <c r="AS92"/>
      <c r="AT92"/>
      <c r="AU92"/>
      <c r="AV92"/>
      <c r="AW92"/>
      <c r="AX92" t="s">
        <v>2530</v>
      </c>
      <c r="AY92"/>
      <c r="AZ92"/>
      <c r="BA92"/>
      <c r="BB92"/>
      <c r="BC92"/>
      <c r="BD92"/>
      <c r="BE92"/>
      <c r="BF92"/>
      <c r="BG92"/>
      <c r="BH92"/>
      <c r="BI92"/>
      <c r="BJ92"/>
      <c r="BK92"/>
      <c r="BL92"/>
      <c r="BM92"/>
      <c r="BN92"/>
      <c r="BO92"/>
      <c r="BP92" t="s">
        <v>2697</v>
      </c>
      <c r="BQ92" t="s">
        <v>4834</v>
      </c>
      <c r="BR92" t="s">
        <v>4833</v>
      </c>
      <c r="BS92"/>
      <c r="BT92"/>
      <c r="BU92"/>
      <c r="BV92"/>
      <c r="BW92"/>
      <c r="BX92"/>
      <c r="BY92"/>
      <c r="BZ92"/>
      <c r="CA92"/>
      <c r="CB92"/>
      <c r="CC92"/>
      <c r="CD92"/>
      <c r="CE92"/>
      <c r="CF92"/>
      <c r="CG92"/>
      <c r="CH92"/>
      <c r="CI92"/>
      <c r="CJ92"/>
      <c r="CK92"/>
      <c r="CL92"/>
      <c r="CM92"/>
      <c r="CN92"/>
      <c r="CO92"/>
      <c r="CP92"/>
      <c r="CQ92"/>
      <c r="CR92"/>
      <c r="CS92"/>
      <c r="CT92"/>
      <c r="CU92"/>
      <c r="CV92"/>
      <c r="CW92"/>
      <c r="CX92" t="s">
        <v>2307</v>
      </c>
      <c r="CY92">
        <v>321</v>
      </c>
      <c r="CZ92" t="s">
        <v>2306</v>
      </c>
    </row>
    <row r="93" spans="1:104" ht="14.25">
      <c r="A93" t="s">
        <v>4832</v>
      </c>
      <c r="B93" t="s">
        <v>4831</v>
      </c>
      <c r="C93" t="s">
        <v>4830</v>
      </c>
      <c r="D93">
        <v>17</v>
      </c>
      <c r="E93" t="s">
        <v>2321</v>
      </c>
      <c r="F93" t="s">
        <v>2930</v>
      </c>
      <c r="G93" t="s">
        <v>2341</v>
      </c>
      <c r="H93"/>
      <c r="I93"/>
      <c r="J93" t="s">
        <v>1902</v>
      </c>
      <c r="K93"/>
      <c r="L93"/>
      <c r="M93">
        <v>20</v>
      </c>
      <c r="N93">
        <v>341</v>
      </c>
      <c r="O93">
        <v>22</v>
      </c>
      <c r="P93">
        <v>20</v>
      </c>
      <c r="Q93">
        <v>110</v>
      </c>
      <c r="R93" t="s">
        <v>2317</v>
      </c>
      <c r="S93" t="s">
        <v>4829</v>
      </c>
      <c r="T93" t="s">
        <v>4828</v>
      </c>
      <c r="U93" t="s">
        <v>2315</v>
      </c>
      <c r="V93">
        <v>20</v>
      </c>
      <c r="W93"/>
      <c r="X93"/>
      <c r="Y93"/>
      <c r="Z93">
        <v>40</v>
      </c>
      <c r="AA93">
        <v>25</v>
      </c>
      <c r="AB93">
        <v>10</v>
      </c>
      <c r="AC93">
        <v>20</v>
      </c>
      <c r="AD93">
        <v>10</v>
      </c>
      <c r="AE93">
        <v>12</v>
      </c>
      <c r="AF93">
        <v>12</v>
      </c>
      <c r="AG93">
        <v>119</v>
      </c>
      <c r="AH93"/>
      <c r="AI93"/>
      <c r="AJ93"/>
      <c r="AK93"/>
      <c r="AL93"/>
      <c r="AM93"/>
      <c r="AN93"/>
      <c r="AO93">
        <v>306</v>
      </c>
      <c r="AP93"/>
      <c r="AQ93"/>
      <c r="AR93"/>
      <c r="AS93"/>
      <c r="AT93">
        <v>14</v>
      </c>
      <c r="AU93"/>
      <c r="AV93"/>
      <c r="AW93"/>
      <c r="AX93"/>
      <c r="AY93" t="s">
        <v>2373</v>
      </c>
      <c r="AZ93" t="s">
        <v>4827</v>
      </c>
      <c r="BA93" t="s">
        <v>2373</v>
      </c>
      <c r="BB93"/>
      <c r="BC93"/>
      <c r="BD93"/>
      <c r="BE93"/>
      <c r="BF93"/>
      <c r="BG93"/>
      <c r="BH93"/>
      <c r="BI93"/>
      <c r="BJ93"/>
      <c r="BK93"/>
      <c r="BL93"/>
      <c r="BM93"/>
      <c r="BN93"/>
      <c r="BO93"/>
      <c r="BP93" t="s">
        <v>2333</v>
      </c>
      <c r="BQ93" t="s">
        <v>4826</v>
      </c>
      <c r="BR93" t="s">
        <v>2333</v>
      </c>
      <c r="BS93" t="s">
        <v>2332</v>
      </c>
      <c r="BT93" t="s">
        <v>4825</v>
      </c>
      <c r="BU93" t="s">
        <v>4824</v>
      </c>
      <c r="BV93" t="s">
        <v>2329</v>
      </c>
      <c r="BW93" t="s">
        <v>4823</v>
      </c>
      <c r="BX93" t="s">
        <v>4822</v>
      </c>
      <c r="BY93" t="s">
        <v>2831</v>
      </c>
      <c r="BZ93" t="s">
        <v>4821</v>
      </c>
      <c r="CA93" t="s">
        <v>4820</v>
      </c>
      <c r="CB93" t="s">
        <v>4819</v>
      </c>
      <c r="CC93" t="s">
        <v>4818</v>
      </c>
      <c r="CD93" t="s">
        <v>4817</v>
      </c>
      <c r="CE93"/>
      <c r="CF93"/>
      <c r="CG93"/>
      <c r="CH93"/>
      <c r="CI93"/>
      <c r="CJ93"/>
      <c r="CK93"/>
      <c r="CL93"/>
      <c r="CM93"/>
      <c r="CN93"/>
      <c r="CO93"/>
      <c r="CP93"/>
      <c r="CQ93"/>
      <c r="CR93"/>
      <c r="CS93"/>
      <c r="CT93"/>
      <c r="CU93"/>
      <c r="CV93"/>
      <c r="CW93"/>
      <c r="CX93" t="s">
        <v>2307</v>
      </c>
      <c r="CY93">
        <v>119</v>
      </c>
      <c r="CZ93" t="s">
        <v>2306</v>
      </c>
    </row>
    <row r="94" spans="1:104" ht="14.25">
      <c r="A94" t="s">
        <v>4816</v>
      </c>
      <c r="B94" t="s">
        <v>4816</v>
      </c>
      <c r="C94" t="s">
        <v>4815</v>
      </c>
      <c r="D94">
        <v>0.25</v>
      </c>
      <c r="E94" t="s">
        <v>2321</v>
      </c>
      <c r="F94" t="s">
        <v>2497</v>
      </c>
      <c r="G94" t="s">
        <v>2732</v>
      </c>
      <c r="H94" t="s">
        <v>2731</v>
      </c>
      <c r="I94"/>
      <c r="J94" t="s">
        <v>2340</v>
      </c>
      <c r="K94"/>
      <c r="L94"/>
      <c r="M94">
        <v>11</v>
      </c>
      <c r="N94">
        <v>18</v>
      </c>
      <c r="O94">
        <v>4</v>
      </c>
      <c r="P94">
        <v>6</v>
      </c>
      <c r="Q94">
        <v>4</v>
      </c>
      <c r="R94" t="s">
        <v>2317</v>
      </c>
      <c r="S94" t="s">
        <v>3112</v>
      </c>
      <c r="T94" t="s">
        <v>3059</v>
      </c>
      <c r="U94" t="s">
        <v>2315</v>
      </c>
      <c r="V94">
        <v>20</v>
      </c>
      <c r="W94"/>
      <c r="X94"/>
      <c r="Y94"/>
      <c r="Z94"/>
      <c r="AA94">
        <v>11</v>
      </c>
      <c r="AB94">
        <v>11</v>
      </c>
      <c r="AC94">
        <v>12</v>
      </c>
      <c r="AD94">
        <v>5</v>
      </c>
      <c r="AE94">
        <v>8</v>
      </c>
      <c r="AF94">
        <v>3</v>
      </c>
      <c r="AG94">
        <v>57</v>
      </c>
      <c r="AH94"/>
      <c r="AI94"/>
      <c r="AJ94"/>
      <c r="AK94"/>
      <c r="AL94"/>
      <c r="AM94"/>
      <c r="AN94"/>
      <c r="AO94">
        <v>273</v>
      </c>
      <c r="AP94"/>
      <c r="AQ94"/>
      <c r="AR94"/>
      <c r="AS94"/>
      <c r="AT94"/>
      <c r="AU94"/>
      <c r="AV94" t="s">
        <v>3424</v>
      </c>
      <c r="AW94"/>
      <c r="AX94" t="s">
        <v>4814</v>
      </c>
      <c r="AY94"/>
      <c r="AZ94"/>
      <c r="BA94"/>
      <c r="BB94"/>
      <c r="BC94"/>
      <c r="BD94"/>
      <c r="BE94"/>
      <c r="BF94"/>
      <c r="BG94"/>
      <c r="BH94"/>
      <c r="BI94"/>
      <c r="BJ94"/>
      <c r="BK94"/>
      <c r="BL94"/>
      <c r="BM94"/>
      <c r="BN94"/>
      <c r="BO94"/>
      <c r="BP94" t="s">
        <v>2333</v>
      </c>
      <c r="BQ94" t="s">
        <v>4813</v>
      </c>
      <c r="BR94" t="s">
        <v>2333</v>
      </c>
      <c r="BS94" t="s">
        <v>2332</v>
      </c>
      <c r="BT94" t="s">
        <v>4812</v>
      </c>
      <c r="BU94" t="s">
        <v>4051</v>
      </c>
      <c r="BV94" t="s">
        <v>2505</v>
      </c>
      <c r="BW94" t="s">
        <v>4811</v>
      </c>
      <c r="BX94" t="s">
        <v>4810</v>
      </c>
      <c r="BY94" t="s">
        <v>4808</v>
      </c>
      <c r="BZ94" t="s">
        <v>4809</v>
      </c>
      <c r="CA94" t="s">
        <v>4808</v>
      </c>
      <c r="CB94"/>
      <c r="CC94"/>
      <c r="CD94"/>
      <c r="CE94"/>
      <c r="CF94"/>
      <c r="CG94"/>
      <c r="CH94"/>
      <c r="CI94"/>
      <c r="CJ94"/>
      <c r="CK94"/>
      <c r="CL94"/>
      <c r="CM94"/>
      <c r="CN94"/>
      <c r="CO94"/>
      <c r="CP94"/>
      <c r="CQ94"/>
      <c r="CR94"/>
      <c r="CS94"/>
      <c r="CT94"/>
      <c r="CU94"/>
      <c r="CV94"/>
      <c r="CW94"/>
      <c r="CX94" t="s">
        <v>2307</v>
      </c>
      <c r="CY94">
        <v>57</v>
      </c>
      <c r="CZ94" t="s">
        <v>2306</v>
      </c>
    </row>
    <row r="95" spans="1:104" ht="14.25">
      <c r="A95" t="s">
        <v>4807</v>
      </c>
      <c r="B95" t="s">
        <v>4807</v>
      </c>
      <c r="C95" t="s">
        <v>4806</v>
      </c>
      <c r="D95">
        <v>6</v>
      </c>
      <c r="E95" t="s">
        <v>2321</v>
      </c>
      <c r="F95" t="s">
        <v>2342</v>
      </c>
      <c r="G95" t="s">
        <v>2440</v>
      </c>
      <c r="H95"/>
      <c r="I95"/>
      <c r="J95" t="s">
        <v>2340</v>
      </c>
      <c r="K95"/>
      <c r="L95"/>
      <c r="M95">
        <v>19</v>
      </c>
      <c r="N95">
        <v>123</v>
      </c>
      <c r="O95">
        <v>13</v>
      </c>
      <c r="P95">
        <v>10</v>
      </c>
      <c r="Q95">
        <v>52</v>
      </c>
      <c r="R95" t="s">
        <v>2825</v>
      </c>
      <c r="S95" t="s">
        <v>4805</v>
      </c>
      <c r="T95" t="s">
        <v>4804</v>
      </c>
      <c r="U95" t="s">
        <v>4803</v>
      </c>
      <c r="V95">
        <v>30</v>
      </c>
      <c r="W95"/>
      <c r="X95">
        <v>30</v>
      </c>
      <c r="Y95"/>
      <c r="Z95"/>
      <c r="AA95">
        <v>16</v>
      </c>
      <c r="AB95">
        <v>16</v>
      </c>
      <c r="AC95">
        <v>18</v>
      </c>
      <c r="AD95">
        <v>13</v>
      </c>
      <c r="AE95">
        <v>14</v>
      </c>
      <c r="AF95">
        <v>12</v>
      </c>
      <c r="AG95">
        <v>120</v>
      </c>
      <c r="AH95"/>
      <c r="AI95"/>
      <c r="AJ95"/>
      <c r="AK95"/>
      <c r="AL95"/>
      <c r="AM95"/>
      <c r="AN95"/>
      <c r="AO95">
        <v>307</v>
      </c>
      <c r="AP95"/>
      <c r="AQ95"/>
      <c r="AR95"/>
      <c r="AS95"/>
      <c r="AT95"/>
      <c r="AU95"/>
      <c r="AV95"/>
      <c r="AW95"/>
      <c r="AX95"/>
      <c r="AY95" t="s">
        <v>4785</v>
      </c>
      <c r="AZ95" t="s">
        <v>4802</v>
      </c>
      <c r="BA95" t="s">
        <v>4785</v>
      </c>
      <c r="BB95" t="s">
        <v>2488</v>
      </c>
      <c r="BC95" t="s">
        <v>4801</v>
      </c>
      <c r="BD95" t="s">
        <v>2488</v>
      </c>
      <c r="BE95" t="s">
        <v>2768</v>
      </c>
      <c r="BF95" t="s">
        <v>4800</v>
      </c>
      <c r="BG95" t="s">
        <v>2768</v>
      </c>
      <c r="BH95" t="s">
        <v>2518</v>
      </c>
      <c r="BI95" t="s">
        <v>4799</v>
      </c>
      <c r="BJ95" t="s">
        <v>3098</v>
      </c>
      <c r="BK95" t="s">
        <v>4798</v>
      </c>
      <c r="BL95"/>
      <c r="BM95"/>
      <c r="BN95"/>
      <c r="BO95"/>
      <c r="BP95" t="s">
        <v>2333</v>
      </c>
      <c r="BQ95" t="s">
        <v>4797</v>
      </c>
      <c r="BR95" t="s">
        <v>2333</v>
      </c>
      <c r="BS95" t="s">
        <v>2332</v>
      </c>
      <c r="BT95" t="s">
        <v>4796</v>
      </c>
      <c r="BU95" t="s">
        <v>4795</v>
      </c>
      <c r="BV95" t="s">
        <v>2580</v>
      </c>
      <c r="BW95" t="s">
        <v>4794</v>
      </c>
      <c r="BX95" t="s">
        <v>4793</v>
      </c>
      <c r="BY95" t="s">
        <v>2577</v>
      </c>
      <c r="BZ95" t="s">
        <v>4792</v>
      </c>
      <c r="CA95" t="s">
        <v>4791</v>
      </c>
      <c r="CB95"/>
      <c r="CC95"/>
      <c r="CD95"/>
      <c r="CE95"/>
      <c r="CF95"/>
      <c r="CG95"/>
      <c r="CH95"/>
      <c r="CI95"/>
      <c r="CJ95"/>
      <c r="CK95"/>
      <c r="CL95"/>
      <c r="CM95"/>
      <c r="CN95"/>
      <c r="CO95"/>
      <c r="CP95"/>
      <c r="CQ95"/>
      <c r="CR95"/>
      <c r="CS95"/>
      <c r="CT95"/>
      <c r="CU95"/>
      <c r="CV95"/>
      <c r="CW95"/>
      <c r="CX95" t="s">
        <v>2307</v>
      </c>
      <c r="CY95">
        <v>120</v>
      </c>
      <c r="CZ95" t="s">
        <v>2306</v>
      </c>
    </row>
    <row r="96" spans="1:104" ht="14.25">
      <c r="A96" t="s">
        <v>4790</v>
      </c>
      <c r="B96" t="s">
        <v>4790</v>
      </c>
      <c r="C96" t="s">
        <v>4789</v>
      </c>
      <c r="D96">
        <v>0.25</v>
      </c>
      <c r="E96" t="s">
        <v>2321</v>
      </c>
      <c r="F96" t="s">
        <v>2320</v>
      </c>
      <c r="G96" t="s">
        <v>2461</v>
      </c>
      <c r="H96" t="s">
        <v>4788</v>
      </c>
      <c r="I96"/>
      <c r="J96" t="s">
        <v>2318</v>
      </c>
      <c r="K96"/>
      <c r="L96"/>
      <c r="M96">
        <v>15</v>
      </c>
      <c r="N96">
        <v>13</v>
      </c>
      <c r="O96">
        <v>3</v>
      </c>
      <c r="P96">
        <v>8</v>
      </c>
      <c r="Q96"/>
      <c r="R96" t="s">
        <v>2317</v>
      </c>
      <c r="S96" t="s">
        <v>2458</v>
      </c>
      <c r="T96" t="s">
        <v>2458</v>
      </c>
      <c r="U96" t="s">
        <v>2315</v>
      </c>
      <c r="V96">
        <v>30</v>
      </c>
      <c r="W96"/>
      <c r="X96"/>
      <c r="Y96"/>
      <c r="Z96"/>
      <c r="AA96">
        <v>10</v>
      </c>
      <c r="AB96">
        <v>14</v>
      </c>
      <c r="AC96">
        <v>10</v>
      </c>
      <c r="AD96">
        <v>11</v>
      </c>
      <c r="AE96">
        <v>11</v>
      </c>
      <c r="AF96">
        <v>12</v>
      </c>
      <c r="AG96">
        <v>128</v>
      </c>
      <c r="AH96"/>
      <c r="AI96"/>
      <c r="AJ96"/>
      <c r="AK96"/>
      <c r="AL96"/>
      <c r="AM96"/>
      <c r="AN96"/>
      <c r="AO96">
        <v>310</v>
      </c>
      <c r="AP96"/>
      <c r="AQ96"/>
      <c r="AR96"/>
      <c r="AS96"/>
      <c r="AT96"/>
      <c r="AU96"/>
      <c r="AV96"/>
      <c r="AW96"/>
      <c r="AX96" t="s">
        <v>4787</v>
      </c>
      <c r="AY96" t="s">
        <v>4785</v>
      </c>
      <c r="AZ96" t="s">
        <v>4786</v>
      </c>
      <c r="BA96" t="s">
        <v>4785</v>
      </c>
      <c r="BB96" t="s">
        <v>2488</v>
      </c>
      <c r="BC96" t="s">
        <v>4784</v>
      </c>
      <c r="BD96" t="s">
        <v>2488</v>
      </c>
      <c r="BE96" t="s">
        <v>2518</v>
      </c>
      <c r="BF96" t="s">
        <v>4783</v>
      </c>
      <c r="BG96" t="s">
        <v>2518</v>
      </c>
      <c r="BH96"/>
      <c r="BI96"/>
      <c r="BJ96"/>
      <c r="BK96"/>
      <c r="BL96"/>
      <c r="BM96"/>
      <c r="BN96"/>
      <c r="BO96"/>
      <c r="BP96" t="s">
        <v>2751</v>
      </c>
      <c r="BQ96" t="s">
        <v>2638</v>
      </c>
      <c r="BR96" t="s">
        <v>2637</v>
      </c>
      <c r="BS96" t="s">
        <v>3064</v>
      </c>
      <c r="BT96" t="s">
        <v>4782</v>
      </c>
      <c r="BU96" t="s">
        <v>2634</v>
      </c>
      <c r="BV96"/>
      <c r="BW96"/>
      <c r="BX96"/>
      <c r="BY96"/>
      <c r="BZ96"/>
      <c r="CA96"/>
      <c r="CB96"/>
      <c r="CC96"/>
      <c r="CD96"/>
      <c r="CE96"/>
      <c r="CF96"/>
      <c r="CG96"/>
      <c r="CH96"/>
      <c r="CI96"/>
      <c r="CJ96"/>
      <c r="CK96"/>
      <c r="CL96"/>
      <c r="CM96"/>
      <c r="CN96"/>
      <c r="CO96"/>
      <c r="CP96"/>
      <c r="CQ96"/>
      <c r="CR96"/>
      <c r="CS96"/>
      <c r="CT96"/>
      <c r="CU96"/>
      <c r="CV96"/>
      <c r="CW96"/>
      <c r="CX96" t="s">
        <v>2307</v>
      </c>
      <c r="CY96">
        <v>128</v>
      </c>
      <c r="CZ96" t="s">
        <v>2306</v>
      </c>
    </row>
    <row r="97" spans="1:104" ht="14.25">
      <c r="A97" t="s">
        <v>4781</v>
      </c>
      <c r="B97" t="s">
        <v>4781</v>
      </c>
      <c r="C97" t="s">
        <v>4780</v>
      </c>
      <c r="D97">
        <v>2</v>
      </c>
      <c r="E97" t="s">
        <v>2462</v>
      </c>
      <c r="F97" t="s">
        <v>2320</v>
      </c>
      <c r="G97" t="s">
        <v>2461</v>
      </c>
      <c r="H97" t="s">
        <v>2460</v>
      </c>
      <c r="I97"/>
      <c r="J97" t="s">
        <v>2460</v>
      </c>
      <c r="K97">
        <v>4</v>
      </c>
      <c r="L97" t="s">
        <v>1905</v>
      </c>
      <c r="M97">
        <v>11</v>
      </c>
      <c r="N97">
        <v>27</v>
      </c>
      <c r="O97">
        <v>5</v>
      </c>
      <c r="P97">
        <v>8</v>
      </c>
      <c r="Q97">
        <v>5</v>
      </c>
      <c r="R97" t="s">
        <v>2825</v>
      </c>
      <c r="S97" t="s">
        <v>2742</v>
      </c>
      <c r="T97" t="s">
        <v>2315</v>
      </c>
      <c r="U97" t="s">
        <v>2315</v>
      </c>
      <c r="V97">
        <v>30</v>
      </c>
      <c r="W97"/>
      <c r="X97"/>
      <c r="Y97"/>
      <c r="Z97"/>
      <c r="AA97">
        <v>10</v>
      </c>
      <c r="AB97">
        <v>12</v>
      </c>
      <c r="AC97">
        <v>13</v>
      </c>
      <c r="AD97">
        <v>12</v>
      </c>
      <c r="AE97">
        <v>15</v>
      </c>
      <c r="AF97">
        <v>11</v>
      </c>
      <c r="AG97">
        <v>346</v>
      </c>
      <c r="AH97"/>
      <c r="AI97"/>
      <c r="AJ97"/>
      <c r="AK97"/>
      <c r="AL97"/>
      <c r="AM97"/>
      <c r="AN97"/>
      <c r="AO97">
        <v>393</v>
      </c>
      <c r="AP97"/>
      <c r="AQ97">
        <v>11</v>
      </c>
      <c r="AR97"/>
      <c r="AS97" t="s">
        <v>4779</v>
      </c>
      <c r="AT97">
        <v>15</v>
      </c>
      <c r="AU97"/>
      <c r="AV97" t="s">
        <v>4778</v>
      </c>
      <c r="AW97"/>
      <c r="AX97" t="s">
        <v>4777</v>
      </c>
      <c r="AY97" t="s">
        <v>3088</v>
      </c>
      <c r="AZ97" t="s">
        <v>4776</v>
      </c>
      <c r="BA97" t="s">
        <v>3088</v>
      </c>
      <c r="BB97"/>
      <c r="BC97"/>
      <c r="BD97"/>
      <c r="BE97"/>
      <c r="BF97"/>
      <c r="BG97"/>
      <c r="BH97"/>
      <c r="BI97"/>
      <c r="BJ97"/>
      <c r="BK97"/>
      <c r="BL97"/>
      <c r="BM97"/>
      <c r="BN97"/>
      <c r="BO97"/>
      <c r="BP97" t="s">
        <v>4775</v>
      </c>
      <c r="BQ97" t="s">
        <v>4774</v>
      </c>
      <c r="BR97" t="s">
        <v>4773</v>
      </c>
      <c r="BS97"/>
      <c r="BT97"/>
      <c r="BU97"/>
      <c r="BV97"/>
      <c r="BW97"/>
      <c r="BX97"/>
      <c r="BY97"/>
      <c r="BZ97"/>
      <c r="CA97"/>
      <c r="CB97"/>
      <c r="CC97"/>
      <c r="CD97"/>
      <c r="CE97"/>
      <c r="CF97"/>
      <c r="CG97"/>
      <c r="CH97"/>
      <c r="CI97"/>
      <c r="CJ97"/>
      <c r="CK97"/>
      <c r="CL97"/>
      <c r="CM97"/>
      <c r="CN97"/>
      <c r="CO97"/>
      <c r="CP97"/>
      <c r="CQ97"/>
      <c r="CR97"/>
      <c r="CS97"/>
      <c r="CT97"/>
      <c r="CU97"/>
      <c r="CV97"/>
      <c r="CW97"/>
      <c r="CX97" t="s">
        <v>2307</v>
      </c>
      <c r="CY97">
        <v>346</v>
      </c>
      <c r="CZ97" t="s">
        <v>2306</v>
      </c>
    </row>
    <row r="98" spans="1:104" ht="14.25">
      <c r="A98" t="s">
        <v>4772</v>
      </c>
      <c r="B98" t="s">
        <v>4772</v>
      </c>
      <c r="C98" t="s">
        <v>4771</v>
      </c>
      <c r="D98">
        <v>1</v>
      </c>
      <c r="E98" t="s">
        <v>2321</v>
      </c>
      <c r="F98" t="s">
        <v>2320</v>
      </c>
      <c r="G98" t="s">
        <v>3084</v>
      </c>
      <c r="H98"/>
      <c r="I98"/>
      <c r="J98" t="s">
        <v>1902</v>
      </c>
      <c r="K98"/>
      <c r="L98"/>
      <c r="M98">
        <v>11</v>
      </c>
      <c r="N98">
        <v>22</v>
      </c>
      <c r="O98">
        <v>5</v>
      </c>
      <c r="P98">
        <v>8</v>
      </c>
      <c r="Q98"/>
      <c r="R98" t="s">
        <v>2825</v>
      </c>
      <c r="S98" t="s">
        <v>3394</v>
      </c>
      <c r="T98" t="s">
        <v>2315</v>
      </c>
      <c r="U98" t="s">
        <v>2315</v>
      </c>
      <c r="V98">
        <v>30</v>
      </c>
      <c r="W98"/>
      <c r="X98"/>
      <c r="Y98"/>
      <c r="Z98"/>
      <c r="AA98">
        <v>10</v>
      </c>
      <c r="AB98">
        <v>12</v>
      </c>
      <c r="AC98">
        <v>11</v>
      </c>
      <c r="AD98">
        <v>14</v>
      </c>
      <c r="AE98">
        <v>15</v>
      </c>
      <c r="AF98">
        <v>18</v>
      </c>
      <c r="AG98">
        <v>121</v>
      </c>
      <c r="AH98"/>
      <c r="AI98"/>
      <c r="AJ98"/>
      <c r="AK98"/>
      <c r="AL98"/>
      <c r="AM98"/>
      <c r="AN98"/>
      <c r="AO98">
        <v>307</v>
      </c>
      <c r="AP98"/>
      <c r="AQ98"/>
      <c r="AR98"/>
      <c r="AS98"/>
      <c r="AT98"/>
      <c r="AU98"/>
      <c r="AV98"/>
      <c r="AW98"/>
      <c r="AX98"/>
      <c r="AY98" t="s">
        <v>2488</v>
      </c>
      <c r="AZ98" t="s">
        <v>4770</v>
      </c>
      <c r="BA98" t="s">
        <v>2488</v>
      </c>
      <c r="BB98" t="s">
        <v>2726</v>
      </c>
      <c r="BC98" t="s">
        <v>4769</v>
      </c>
      <c r="BD98" t="s">
        <v>2726</v>
      </c>
      <c r="BE98" t="s">
        <v>4767</v>
      </c>
      <c r="BF98" t="s">
        <v>4768</v>
      </c>
      <c r="BG98" t="s">
        <v>4767</v>
      </c>
      <c r="BH98" t="s">
        <v>4766</v>
      </c>
      <c r="BI98" t="s">
        <v>4765</v>
      </c>
      <c r="BJ98"/>
      <c r="BK98"/>
      <c r="BL98"/>
      <c r="BM98"/>
      <c r="BN98"/>
      <c r="BO98"/>
      <c r="BP98" t="s">
        <v>4154</v>
      </c>
      <c r="BQ98" t="s">
        <v>4764</v>
      </c>
      <c r="BR98" t="s">
        <v>4763</v>
      </c>
      <c r="BS98" t="s">
        <v>4761</v>
      </c>
      <c r="BT98" t="s">
        <v>4762</v>
      </c>
      <c r="BU98" t="s">
        <v>4761</v>
      </c>
      <c r="BV98"/>
      <c r="BW98"/>
      <c r="BX98"/>
      <c r="BY98"/>
      <c r="BZ98"/>
      <c r="CA98"/>
      <c r="CB98"/>
      <c r="CC98"/>
      <c r="CD98"/>
      <c r="CE98"/>
      <c r="CF98"/>
      <c r="CG98"/>
      <c r="CH98"/>
      <c r="CI98"/>
      <c r="CJ98"/>
      <c r="CK98"/>
      <c r="CL98"/>
      <c r="CM98"/>
      <c r="CN98"/>
      <c r="CO98"/>
      <c r="CP98"/>
      <c r="CQ98"/>
      <c r="CR98"/>
      <c r="CS98"/>
      <c r="CT98"/>
      <c r="CU98"/>
      <c r="CV98"/>
      <c r="CW98"/>
      <c r="CX98" t="s">
        <v>2307</v>
      </c>
      <c r="CY98">
        <v>121</v>
      </c>
      <c r="CZ98" t="s">
        <v>2306</v>
      </c>
    </row>
    <row r="99" spans="1:104" ht="14.25">
      <c r="A99" t="s">
        <v>4760</v>
      </c>
      <c r="B99" t="s">
        <v>4760</v>
      </c>
      <c r="C99" t="s">
        <v>4759</v>
      </c>
      <c r="D99">
        <v>1</v>
      </c>
      <c r="E99" t="s">
        <v>2321</v>
      </c>
      <c r="F99" t="s">
        <v>2320</v>
      </c>
      <c r="G99" t="s">
        <v>2461</v>
      </c>
      <c r="H99" t="s">
        <v>4758</v>
      </c>
      <c r="I99"/>
      <c r="J99" t="s">
        <v>2375</v>
      </c>
      <c r="K99"/>
      <c r="L99"/>
      <c r="M99">
        <v>16</v>
      </c>
      <c r="N99">
        <v>26</v>
      </c>
      <c r="O99">
        <v>4</v>
      </c>
      <c r="P99">
        <v>8</v>
      </c>
      <c r="Q99">
        <v>8</v>
      </c>
      <c r="R99" t="s">
        <v>2317</v>
      </c>
      <c r="S99" t="s">
        <v>2611</v>
      </c>
      <c r="T99" t="s">
        <v>2458</v>
      </c>
      <c r="U99" t="s">
        <v>2315</v>
      </c>
      <c r="V99">
        <v>25</v>
      </c>
      <c r="W99"/>
      <c r="X99"/>
      <c r="Y99"/>
      <c r="Z99"/>
      <c r="AA99">
        <v>14</v>
      </c>
      <c r="AB99">
        <v>11</v>
      </c>
      <c r="AC99">
        <v>14</v>
      </c>
      <c r="AD99">
        <v>11</v>
      </c>
      <c r="AE99">
        <v>10</v>
      </c>
      <c r="AF99">
        <v>9</v>
      </c>
      <c r="AG99">
        <v>122</v>
      </c>
      <c r="AH99"/>
      <c r="AI99"/>
      <c r="AJ99"/>
      <c r="AK99"/>
      <c r="AL99"/>
      <c r="AM99"/>
      <c r="AN99"/>
      <c r="AO99">
        <v>308</v>
      </c>
      <c r="AP99"/>
      <c r="AQ99"/>
      <c r="AR99"/>
      <c r="AS99"/>
      <c r="AT99">
        <v>16</v>
      </c>
      <c r="AU99"/>
      <c r="AV99"/>
      <c r="AW99"/>
      <c r="AX99" t="s">
        <v>4757</v>
      </c>
      <c r="AY99" t="s">
        <v>4755</v>
      </c>
      <c r="AZ99" t="s">
        <v>4756</v>
      </c>
      <c r="BA99" t="s">
        <v>4755</v>
      </c>
      <c r="BB99" t="s">
        <v>2518</v>
      </c>
      <c r="BC99" t="s">
        <v>4754</v>
      </c>
      <c r="BD99" t="s">
        <v>2518</v>
      </c>
      <c r="BE99"/>
      <c r="BF99"/>
      <c r="BG99"/>
      <c r="BH99"/>
      <c r="BI99"/>
      <c r="BJ99"/>
      <c r="BK99"/>
      <c r="BL99"/>
      <c r="BM99"/>
      <c r="BN99"/>
      <c r="BO99"/>
      <c r="BP99" t="s">
        <v>4752</v>
      </c>
      <c r="BQ99" t="s">
        <v>4753</v>
      </c>
      <c r="BR99" t="s">
        <v>4752</v>
      </c>
      <c r="BS99" t="s">
        <v>2487</v>
      </c>
      <c r="BT99" t="s">
        <v>4751</v>
      </c>
      <c r="BU99" t="s">
        <v>4750</v>
      </c>
      <c r="BV99" t="s">
        <v>3572</v>
      </c>
      <c r="BW99" t="s">
        <v>4749</v>
      </c>
      <c r="BX99" t="s">
        <v>4748</v>
      </c>
      <c r="BY99" t="s">
        <v>4746</v>
      </c>
      <c r="BZ99" t="s">
        <v>4747</v>
      </c>
      <c r="CA99" t="s">
        <v>4746</v>
      </c>
      <c r="CB99"/>
      <c r="CC99"/>
      <c r="CD99"/>
      <c r="CE99"/>
      <c r="CF99"/>
      <c r="CG99"/>
      <c r="CH99"/>
      <c r="CI99"/>
      <c r="CJ99"/>
      <c r="CK99"/>
      <c r="CL99"/>
      <c r="CM99"/>
      <c r="CN99"/>
      <c r="CO99"/>
      <c r="CP99"/>
      <c r="CQ99"/>
      <c r="CR99"/>
      <c r="CS99"/>
      <c r="CT99"/>
      <c r="CU99"/>
      <c r="CV99"/>
      <c r="CW99"/>
      <c r="CX99" t="s">
        <v>2307</v>
      </c>
      <c r="CY99">
        <v>122</v>
      </c>
      <c r="CZ99" t="s">
        <v>2306</v>
      </c>
    </row>
    <row r="100" spans="1:104" ht="14.25">
      <c r="A100" t="s">
        <v>4745</v>
      </c>
      <c r="B100" t="s">
        <v>4745</v>
      </c>
      <c r="C100"/>
      <c r="D100">
        <v>9</v>
      </c>
      <c r="E100" t="s">
        <v>2461</v>
      </c>
      <c r="F100" t="s">
        <v>2320</v>
      </c>
      <c r="G100" t="s">
        <v>3396</v>
      </c>
      <c r="H100"/>
      <c r="I100"/>
      <c r="J100" t="s">
        <v>1902</v>
      </c>
      <c r="K100"/>
      <c r="L100"/>
      <c r="M100">
        <v>16</v>
      </c>
      <c r="N100">
        <v>144</v>
      </c>
      <c r="O100">
        <v>17</v>
      </c>
      <c r="P100">
        <v>8</v>
      </c>
      <c r="Q100">
        <v>68</v>
      </c>
      <c r="R100" t="s">
        <v>2317</v>
      </c>
      <c r="S100"/>
      <c r="T100"/>
      <c r="U100"/>
      <c r="V100">
        <v>30</v>
      </c>
      <c r="W100"/>
      <c r="X100"/>
      <c r="Y100"/>
      <c r="Z100"/>
      <c r="AA100">
        <v>18</v>
      </c>
      <c r="AB100">
        <v>15</v>
      </c>
      <c r="AC100">
        <v>18</v>
      </c>
      <c r="AD100">
        <v>13</v>
      </c>
      <c r="AE100">
        <v>12</v>
      </c>
      <c r="AF100">
        <v>10</v>
      </c>
      <c r="AG100"/>
      <c r="AH100"/>
      <c r="AI100"/>
      <c r="AJ100"/>
      <c r="AK100"/>
      <c r="AL100"/>
      <c r="AM100"/>
      <c r="AN100"/>
      <c r="AO100"/>
      <c r="AP100"/>
      <c r="AQ100"/>
      <c r="AR100"/>
      <c r="AS100"/>
      <c r="AT100"/>
      <c r="AU100"/>
      <c r="AV100"/>
      <c r="AW100"/>
      <c r="AX100"/>
      <c r="AY100" t="s">
        <v>4744</v>
      </c>
      <c r="AZ100" t="s">
        <v>4743</v>
      </c>
      <c r="BA100" t="s">
        <v>4742</v>
      </c>
      <c r="BB100" t="s">
        <v>4741</v>
      </c>
      <c r="BC100" t="s">
        <v>4740</v>
      </c>
      <c r="BD100" t="s">
        <v>4739</v>
      </c>
      <c r="BE100" t="s">
        <v>4732</v>
      </c>
      <c r="BF100"/>
      <c r="BG100"/>
      <c r="BH100"/>
      <c r="BI100"/>
      <c r="BJ100"/>
      <c r="BK100"/>
      <c r="BL100"/>
      <c r="BM100"/>
      <c r="BN100"/>
      <c r="BO100"/>
      <c r="BP100" t="s">
        <v>2333</v>
      </c>
      <c r="BQ100" t="s">
        <v>4738</v>
      </c>
      <c r="BR100" t="s">
        <v>2333</v>
      </c>
      <c r="BS100" t="s">
        <v>4737</v>
      </c>
      <c r="BT100" t="s">
        <v>4736</v>
      </c>
      <c r="BU100" t="s">
        <v>4735</v>
      </c>
      <c r="BV100" t="s">
        <v>4734</v>
      </c>
      <c r="BW100" t="s">
        <v>4733</v>
      </c>
      <c r="BX100" t="s">
        <v>4732</v>
      </c>
      <c r="BY100" t="s">
        <v>4731</v>
      </c>
      <c r="BZ100" t="s">
        <v>4730</v>
      </c>
      <c r="CA100"/>
      <c r="CB100"/>
      <c r="CC100"/>
      <c r="CD100"/>
      <c r="CE100"/>
      <c r="CF100"/>
      <c r="CG100"/>
      <c r="CH100"/>
      <c r="CI100"/>
      <c r="CJ100"/>
      <c r="CK100"/>
      <c r="CL100"/>
      <c r="CM100"/>
      <c r="CN100"/>
      <c r="CO100"/>
      <c r="CP100"/>
      <c r="CQ100"/>
      <c r="CR100"/>
      <c r="CS100"/>
      <c r="CT100"/>
      <c r="CU100"/>
      <c r="CV100"/>
      <c r="CW100"/>
      <c r="CX100"/>
      <c r="CY100"/>
      <c r="CZ100"/>
    </row>
    <row r="101" spans="1:104" ht="14.25">
      <c r="A101" t="s">
        <v>4729</v>
      </c>
      <c r="B101" t="s">
        <v>4728</v>
      </c>
      <c r="C101" t="s">
        <v>4727</v>
      </c>
      <c r="D101">
        <v>0.5</v>
      </c>
      <c r="E101" t="s">
        <v>2321</v>
      </c>
      <c r="F101" t="s">
        <v>2497</v>
      </c>
      <c r="G101" t="s">
        <v>2479</v>
      </c>
      <c r="H101" t="s">
        <v>3060</v>
      </c>
      <c r="I101"/>
      <c r="J101" t="s">
        <v>2318</v>
      </c>
      <c r="K101"/>
      <c r="L101"/>
      <c r="M101">
        <v>12</v>
      </c>
      <c r="N101">
        <v>17</v>
      </c>
      <c r="O101">
        <v>5</v>
      </c>
      <c r="P101">
        <v>6</v>
      </c>
      <c r="Q101"/>
      <c r="R101" t="s">
        <v>2317</v>
      </c>
      <c r="S101" t="s">
        <v>2646</v>
      </c>
      <c r="T101" t="s">
        <v>2315</v>
      </c>
      <c r="U101" t="s">
        <v>2315</v>
      </c>
      <c r="V101">
        <v>30</v>
      </c>
      <c r="W101"/>
      <c r="X101"/>
      <c r="Y101">
        <v>30</v>
      </c>
      <c r="Z101"/>
      <c r="AA101">
        <v>5</v>
      </c>
      <c r="AB101">
        <v>14</v>
      </c>
      <c r="AC101">
        <v>10</v>
      </c>
      <c r="AD101">
        <v>9</v>
      </c>
      <c r="AE101">
        <v>11</v>
      </c>
      <c r="AF101">
        <v>10</v>
      </c>
      <c r="AG101">
        <v>215</v>
      </c>
      <c r="AH101"/>
      <c r="AI101"/>
      <c r="AJ101"/>
      <c r="AK101"/>
      <c r="AL101"/>
      <c r="AM101"/>
      <c r="AN101"/>
      <c r="AO101">
        <v>333</v>
      </c>
      <c r="AP101"/>
      <c r="AQ101"/>
      <c r="AR101"/>
      <c r="AS101"/>
      <c r="AT101">
        <v>16</v>
      </c>
      <c r="AU101"/>
      <c r="AV101" t="s">
        <v>4726</v>
      </c>
      <c r="AW101"/>
      <c r="AX101"/>
      <c r="AY101" t="s">
        <v>3057</v>
      </c>
      <c r="AZ101" t="s">
        <v>4725</v>
      </c>
      <c r="BA101" t="s">
        <v>3057</v>
      </c>
      <c r="BB101" t="s">
        <v>3053</v>
      </c>
      <c r="BC101" t="s">
        <v>4724</v>
      </c>
      <c r="BD101" t="s">
        <v>3053</v>
      </c>
      <c r="BE101"/>
      <c r="BF101"/>
      <c r="BG101"/>
      <c r="BH101"/>
      <c r="BI101"/>
      <c r="BJ101"/>
      <c r="BK101"/>
      <c r="BL101"/>
      <c r="BM101"/>
      <c r="BN101"/>
      <c r="BO101"/>
      <c r="BP101" t="s">
        <v>2505</v>
      </c>
      <c r="BQ101" t="s">
        <v>3145</v>
      </c>
      <c r="BR101" t="s">
        <v>3144</v>
      </c>
      <c r="BS101" t="s">
        <v>4722</v>
      </c>
      <c r="BT101" t="s">
        <v>4723</v>
      </c>
      <c r="BU101" t="s">
        <v>4722</v>
      </c>
      <c r="BV101" t="s">
        <v>3047</v>
      </c>
      <c r="BW101" t="s">
        <v>3048</v>
      </c>
      <c r="BX101" t="s">
        <v>3047</v>
      </c>
      <c r="BY101"/>
      <c r="BZ101"/>
      <c r="CA101"/>
      <c r="CB101"/>
      <c r="CC101"/>
      <c r="CD101"/>
      <c r="CE101"/>
      <c r="CF101"/>
      <c r="CG101"/>
      <c r="CH101"/>
      <c r="CI101"/>
      <c r="CJ101"/>
      <c r="CK101"/>
      <c r="CL101"/>
      <c r="CM101"/>
      <c r="CN101"/>
      <c r="CO101"/>
      <c r="CP101"/>
      <c r="CQ101"/>
      <c r="CR101"/>
      <c r="CS101"/>
      <c r="CT101"/>
      <c r="CU101"/>
      <c r="CV101"/>
      <c r="CW101"/>
      <c r="CX101" t="s">
        <v>2307</v>
      </c>
      <c r="CY101">
        <v>215</v>
      </c>
      <c r="CZ101" t="s">
        <v>2306</v>
      </c>
    </row>
    <row r="102" spans="1:104" ht="14.25">
      <c r="A102" t="s">
        <v>4721</v>
      </c>
      <c r="B102" t="s">
        <v>4721</v>
      </c>
      <c r="C102" t="s">
        <v>4720</v>
      </c>
      <c r="D102">
        <v>0</v>
      </c>
      <c r="E102" t="s">
        <v>2533</v>
      </c>
      <c r="F102" t="s">
        <v>2497</v>
      </c>
      <c r="G102" t="s">
        <v>2543</v>
      </c>
      <c r="H102"/>
      <c r="I102"/>
      <c r="J102" t="s">
        <v>1908</v>
      </c>
      <c r="K102"/>
      <c r="L102"/>
      <c r="M102">
        <v>12</v>
      </c>
      <c r="N102">
        <v>3</v>
      </c>
      <c r="O102">
        <v>1</v>
      </c>
      <c r="P102">
        <v>6</v>
      </c>
      <c r="Q102"/>
      <c r="R102" t="s">
        <v>2317</v>
      </c>
      <c r="S102" t="s">
        <v>2646</v>
      </c>
      <c r="T102" t="s">
        <v>2315</v>
      </c>
      <c r="U102" t="s">
        <v>2315</v>
      </c>
      <c r="V102">
        <v>10</v>
      </c>
      <c r="W102"/>
      <c r="X102"/>
      <c r="Y102">
        <v>60</v>
      </c>
      <c r="Z102"/>
      <c r="AA102">
        <v>6</v>
      </c>
      <c r="AB102">
        <v>15</v>
      </c>
      <c r="AC102">
        <v>10</v>
      </c>
      <c r="AD102">
        <v>2</v>
      </c>
      <c r="AE102">
        <v>14</v>
      </c>
      <c r="AF102">
        <v>7</v>
      </c>
      <c r="AG102">
        <v>322</v>
      </c>
      <c r="AH102"/>
      <c r="AI102"/>
      <c r="AJ102"/>
      <c r="AK102"/>
      <c r="AL102"/>
      <c r="AM102"/>
      <c r="AN102">
        <v>17</v>
      </c>
      <c r="AO102">
        <v>366</v>
      </c>
      <c r="AP102"/>
      <c r="AQ102"/>
      <c r="AR102"/>
      <c r="AS102"/>
      <c r="AT102"/>
      <c r="AU102"/>
      <c r="AV102"/>
      <c r="AW102"/>
      <c r="AX102"/>
      <c r="AY102" t="s">
        <v>3338</v>
      </c>
      <c r="AZ102" t="s">
        <v>4453</v>
      </c>
      <c r="BA102" t="s">
        <v>3338</v>
      </c>
      <c r="BB102"/>
      <c r="BC102"/>
      <c r="BD102"/>
      <c r="BE102"/>
      <c r="BF102"/>
      <c r="BG102"/>
      <c r="BH102"/>
      <c r="BI102"/>
      <c r="BJ102"/>
      <c r="BK102"/>
      <c r="BL102"/>
      <c r="BM102"/>
      <c r="BN102"/>
      <c r="BO102"/>
      <c r="BP102" t="s">
        <v>2722</v>
      </c>
      <c r="BQ102" t="s">
        <v>3534</v>
      </c>
      <c r="BR102" t="s">
        <v>4719</v>
      </c>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t="s">
        <v>2307</v>
      </c>
      <c r="CY102">
        <v>322</v>
      </c>
      <c r="CZ102" t="s">
        <v>2306</v>
      </c>
    </row>
    <row r="103" spans="1:104" ht="14.25">
      <c r="A103" t="s">
        <v>4718</v>
      </c>
      <c r="B103" t="s">
        <v>4717</v>
      </c>
      <c r="C103" t="s">
        <v>4716</v>
      </c>
      <c r="D103">
        <v>5</v>
      </c>
      <c r="E103" t="s">
        <v>2321</v>
      </c>
      <c r="F103" t="s">
        <v>2342</v>
      </c>
      <c r="G103" t="s">
        <v>2479</v>
      </c>
      <c r="H103"/>
      <c r="I103"/>
      <c r="J103" t="s">
        <v>1902</v>
      </c>
      <c r="K103"/>
      <c r="L103"/>
      <c r="M103">
        <v>17</v>
      </c>
      <c r="N103">
        <v>126</v>
      </c>
      <c r="O103">
        <v>12</v>
      </c>
      <c r="P103">
        <v>10</v>
      </c>
      <c r="Q103">
        <v>60</v>
      </c>
      <c r="R103" t="s">
        <v>2317</v>
      </c>
      <c r="S103" t="s">
        <v>4463</v>
      </c>
      <c r="T103" t="s">
        <v>2315</v>
      </c>
      <c r="U103" t="s">
        <v>2315</v>
      </c>
      <c r="V103">
        <v>30</v>
      </c>
      <c r="W103">
        <v>30</v>
      </c>
      <c r="X103"/>
      <c r="Y103"/>
      <c r="Z103"/>
      <c r="AA103">
        <v>20</v>
      </c>
      <c r="AB103">
        <v>8</v>
      </c>
      <c r="AC103">
        <v>20</v>
      </c>
      <c r="AD103">
        <v>5</v>
      </c>
      <c r="AE103">
        <v>10</v>
      </c>
      <c r="AF103">
        <v>5</v>
      </c>
      <c r="AG103">
        <v>124</v>
      </c>
      <c r="AH103"/>
      <c r="AI103"/>
      <c r="AJ103"/>
      <c r="AK103"/>
      <c r="AL103"/>
      <c r="AM103"/>
      <c r="AN103">
        <v>17</v>
      </c>
      <c r="AO103">
        <v>309</v>
      </c>
      <c r="AP103"/>
      <c r="AQ103">
        <v>12</v>
      </c>
      <c r="AR103"/>
      <c r="AS103"/>
      <c r="AT103"/>
      <c r="AU103"/>
      <c r="AV103"/>
      <c r="AW103"/>
      <c r="AX103"/>
      <c r="AY103" t="s">
        <v>2475</v>
      </c>
      <c r="AZ103" t="s">
        <v>4715</v>
      </c>
      <c r="BA103" t="s">
        <v>2475</v>
      </c>
      <c r="BB103" t="s">
        <v>2888</v>
      </c>
      <c r="BC103" t="s">
        <v>4714</v>
      </c>
      <c r="BD103" t="s">
        <v>2888</v>
      </c>
      <c r="BE103"/>
      <c r="BF103"/>
      <c r="BG103"/>
      <c r="BH103"/>
      <c r="BI103"/>
      <c r="BJ103"/>
      <c r="BK103"/>
      <c r="BL103"/>
      <c r="BM103"/>
      <c r="BN103"/>
      <c r="BO103"/>
      <c r="BP103" t="s">
        <v>2333</v>
      </c>
      <c r="BQ103" t="s">
        <v>2686</v>
      </c>
      <c r="BR103" t="s">
        <v>2333</v>
      </c>
      <c r="BS103" t="s">
        <v>2310</v>
      </c>
      <c r="BT103" t="s">
        <v>4713</v>
      </c>
      <c r="BU103" t="s">
        <v>4712</v>
      </c>
      <c r="BV103"/>
      <c r="BW103"/>
      <c r="BX103"/>
      <c r="BY103"/>
      <c r="BZ103"/>
      <c r="CA103"/>
      <c r="CB103"/>
      <c r="CC103"/>
      <c r="CD103"/>
      <c r="CE103"/>
      <c r="CF103"/>
      <c r="CG103"/>
      <c r="CH103"/>
      <c r="CI103"/>
      <c r="CJ103"/>
      <c r="CK103"/>
      <c r="CL103"/>
      <c r="CM103"/>
      <c r="CN103"/>
      <c r="CO103"/>
      <c r="CP103"/>
      <c r="CQ103"/>
      <c r="CR103"/>
      <c r="CS103"/>
      <c r="CT103"/>
      <c r="CU103"/>
      <c r="CV103"/>
      <c r="CW103"/>
      <c r="CX103" t="s">
        <v>2307</v>
      </c>
      <c r="CY103">
        <v>124</v>
      </c>
      <c r="CZ103" t="s">
        <v>2306</v>
      </c>
    </row>
    <row r="104" spans="1:104" ht="14.25">
      <c r="A104" t="s">
        <v>4711</v>
      </c>
      <c r="B104" t="s">
        <v>4711</v>
      </c>
      <c r="C104" t="s">
        <v>4710</v>
      </c>
      <c r="D104">
        <v>11</v>
      </c>
      <c r="E104" t="s">
        <v>2321</v>
      </c>
      <c r="F104" t="s">
        <v>2342</v>
      </c>
      <c r="G104" t="s">
        <v>2479</v>
      </c>
      <c r="H104" t="s">
        <v>4709</v>
      </c>
      <c r="I104"/>
      <c r="J104" t="s">
        <v>2375</v>
      </c>
      <c r="K104"/>
      <c r="L104"/>
      <c r="M104">
        <v>17</v>
      </c>
      <c r="N104">
        <v>200</v>
      </c>
      <c r="O104">
        <v>16</v>
      </c>
      <c r="P104">
        <v>10</v>
      </c>
      <c r="Q104">
        <v>112</v>
      </c>
      <c r="R104" t="s">
        <v>2825</v>
      </c>
      <c r="S104" t="s">
        <v>2353</v>
      </c>
      <c r="T104" t="s">
        <v>4708</v>
      </c>
      <c r="U104" t="s">
        <v>2315</v>
      </c>
      <c r="V104">
        <v>40</v>
      </c>
      <c r="W104"/>
      <c r="X104"/>
      <c r="Y104">
        <v>60</v>
      </c>
      <c r="Z104"/>
      <c r="AA104">
        <v>22</v>
      </c>
      <c r="AB104">
        <v>12</v>
      </c>
      <c r="AC104">
        <v>24</v>
      </c>
      <c r="AD104">
        <v>16</v>
      </c>
      <c r="AE104">
        <v>15</v>
      </c>
      <c r="AF104">
        <v>16</v>
      </c>
      <c r="AG104">
        <v>145</v>
      </c>
      <c r="AH104"/>
      <c r="AI104"/>
      <c r="AJ104"/>
      <c r="AK104"/>
      <c r="AL104"/>
      <c r="AM104"/>
      <c r="AN104"/>
      <c r="AO104">
        <v>313</v>
      </c>
      <c r="AP104"/>
      <c r="AQ104">
        <v>12</v>
      </c>
      <c r="AR104"/>
      <c r="AS104"/>
      <c r="AT104">
        <v>16</v>
      </c>
      <c r="AU104"/>
      <c r="AV104"/>
      <c r="AW104"/>
      <c r="AX104"/>
      <c r="AY104" t="s">
        <v>4706</v>
      </c>
      <c r="AZ104" t="s">
        <v>4707</v>
      </c>
      <c r="BA104" t="s">
        <v>4706</v>
      </c>
      <c r="BB104" t="s">
        <v>2488</v>
      </c>
      <c r="BC104" t="s">
        <v>4705</v>
      </c>
      <c r="BD104" t="s">
        <v>2488</v>
      </c>
      <c r="BE104" t="s">
        <v>4703</v>
      </c>
      <c r="BF104" t="s">
        <v>4704</v>
      </c>
      <c r="BG104" t="s">
        <v>4703</v>
      </c>
      <c r="BH104"/>
      <c r="BI104"/>
      <c r="BJ104"/>
      <c r="BK104"/>
      <c r="BL104"/>
      <c r="BM104"/>
      <c r="BN104"/>
      <c r="BO104"/>
      <c r="BP104" t="s">
        <v>2333</v>
      </c>
      <c r="BQ104" t="s">
        <v>4702</v>
      </c>
      <c r="BR104" t="s">
        <v>2333</v>
      </c>
      <c r="BS104" t="s">
        <v>4264</v>
      </c>
      <c r="BT104" t="s">
        <v>4701</v>
      </c>
      <c r="BU104" t="s">
        <v>4700</v>
      </c>
      <c r="BV104" t="s">
        <v>4077</v>
      </c>
      <c r="BW104" t="s">
        <v>4699</v>
      </c>
      <c r="BX104" t="s">
        <v>4698</v>
      </c>
      <c r="BY104"/>
      <c r="BZ104"/>
      <c r="CA104"/>
      <c r="CB104"/>
      <c r="CC104"/>
      <c r="CD104"/>
      <c r="CE104"/>
      <c r="CF104"/>
      <c r="CG104"/>
      <c r="CH104"/>
      <c r="CI104"/>
      <c r="CJ104"/>
      <c r="CK104"/>
      <c r="CL104"/>
      <c r="CM104"/>
      <c r="CN104"/>
      <c r="CO104"/>
      <c r="CP104"/>
      <c r="CQ104"/>
      <c r="CR104"/>
      <c r="CS104"/>
      <c r="CT104"/>
      <c r="CU104"/>
      <c r="CV104"/>
      <c r="CW104"/>
      <c r="CX104" t="s">
        <v>2307</v>
      </c>
      <c r="CY104">
        <v>145</v>
      </c>
      <c r="CZ104" t="s">
        <v>2306</v>
      </c>
    </row>
    <row r="105" spans="1:104" ht="14.25">
      <c r="A105" t="s">
        <v>4697</v>
      </c>
      <c r="B105" t="s">
        <v>4697</v>
      </c>
      <c r="C105" t="s">
        <v>4696</v>
      </c>
      <c r="D105">
        <v>4</v>
      </c>
      <c r="E105" t="s">
        <v>2533</v>
      </c>
      <c r="F105" t="s">
        <v>2838</v>
      </c>
      <c r="G105" t="s">
        <v>2543</v>
      </c>
      <c r="H105"/>
      <c r="I105"/>
      <c r="J105" t="s">
        <v>1908</v>
      </c>
      <c r="K105"/>
      <c r="L105"/>
      <c r="M105">
        <v>12</v>
      </c>
      <c r="N105">
        <v>76</v>
      </c>
      <c r="O105">
        <v>8</v>
      </c>
      <c r="P105">
        <v>12</v>
      </c>
      <c r="Q105">
        <v>24</v>
      </c>
      <c r="R105" t="s">
        <v>2317</v>
      </c>
      <c r="S105" t="s">
        <v>4695</v>
      </c>
      <c r="T105" t="s">
        <v>4694</v>
      </c>
      <c r="U105" t="s">
        <v>2315</v>
      </c>
      <c r="V105">
        <v>40</v>
      </c>
      <c r="W105"/>
      <c r="X105"/>
      <c r="Y105"/>
      <c r="Z105"/>
      <c r="AA105">
        <v>22</v>
      </c>
      <c r="AB105">
        <v>9</v>
      </c>
      <c r="AC105">
        <v>17</v>
      </c>
      <c r="AD105">
        <v>3</v>
      </c>
      <c r="AE105">
        <v>11</v>
      </c>
      <c r="AF105">
        <v>6</v>
      </c>
      <c r="AG105">
        <v>322</v>
      </c>
      <c r="AH105"/>
      <c r="AI105"/>
      <c r="AJ105"/>
      <c r="AK105"/>
      <c r="AL105"/>
      <c r="AM105"/>
      <c r="AN105">
        <v>18</v>
      </c>
      <c r="AO105">
        <v>366</v>
      </c>
      <c r="AP105"/>
      <c r="AQ105"/>
      <c r="AR105"/>
      <c r="AS105"/>
      <c r="AT105"/>
      <c r="AU105"/>
      <c r="AV105"/>
      <c r="AW105"/>
      <c r="AX105"/>
      <c r="AY105" t="s">
        <v>2701</v>
      </c>
      <c r="AZ105" t="s">
        <v>4693</v>
      </c>
      <c r="BA105" t="s">
        <v>2701</v>
      </c>
      <c r="BB105"/>
      <c r="BC105"/>
      <c r="BD105"/>
      <c r="BE105"/>
      <c r="BF105"/>
      <c r="BG105"/>
      <c r="BH105"/>
      <c r="BI105"/>
      <c r="BJ105"/>
      <c r="BK105"/>
      <c r="BL105"/>
      <c r="BM105"/>
      <c r="BN105"/>
      <c r="BO105"/>
      <c r="BP105" t="s">
        <v>2866</v>
      </c>
      <c r="BQ105" t="s">
        <v>4692</v>
      </c>
      <c r="BR105" t="s">
        <v>4691</v>
      </c>
      <c r="BS105" t="s">
        <v>2863</v>
      </c>
      <c r="BT105" t="s">
        <v>4690</v>
      </c>
      <c r="BU105" t="s">
        <v>4689</v>
      </c>
      <c r="BV105"/>
      <c r="BW105"/>
      <c r="BX105"/>
      <c r="BY105"/>
      <c r="BZ105"/>
      <c r="CA105"/>
      <c r="CB105"/>
      <c r="CC105"/>
      <c r="CD105"/>
      <c r="CE105"/>
      <c r="CF105"/>
      <c r="CG105"/>
      <c r="CH105"/>
      <c r="CI105"/>
      <c r="CJ105"/>
      <c r="CK105"/>
      <c r="CL105"/>
      <c r="CM105"/>
      <c r="CN105"/>
      <c r="CO105"/>
      <c r="CP105"/>
      <c r="CQ105"/>
      <c r="CR105"/>
      <c r="CS105"/>
      <c r="CT105"/>
      <c r="CU105"/>
      <c r="CV105"/>
      <c r="CW105"/>
      <c r="CX105" t="s">
        <v>2307</v>
      </c>
      <c r="CY105">
        <v>322</v>
      </c>
      <c r="CZ105" t="s">
        <v>2306</v>
      </c>
    </row>
    <row r="106" spans="1:104" ht="14.25">
      <c r="A106" t="s">
        <v>4688</v>
      </c>
      <c r="B106" t="s">
        <v>4688</v>
      </c>
      <c r="C106" t="s">
        <v>4687</v>
      </c>
      <c r="D106">
        <v>0.25</v>
      </c>
      <c r="E106" t="s">
        <v>2533</v>
      </c>
      <c r="F106" t="s">
        <v>2342</v>
      </c>
      <c r="G106" t="s">
        <v>2543</v>
      </c>
      <c r="H106"/>
      <c r="I106"/>
      <c r="J106" t="s">
        <v>1908</v>
      </c>
      <c r="K106"/>
      <c r="L106"/>
      <c r="M106">
        <v>10</v>
      </c>
      <c r="N106">
        <v>13</v>
      </c>
      <c r="O106">
        <v>2</v>
      </c>
      <c r="P106">
        <v>10</v>
      </c>
      <c r="Q106">
        <v>2</v>
      </c>
      <c r="R106" t="s">
        <v>2317</v>
      </c>
      <c r="S106" t="s">
        <v>2758</v>
      </c>
      <c r="T106" t="s">
        <v>3346</v>
      </c>
      <c r="U106" t="s">
        <v>2315</v>
      </c>
      <c r="V106">
        <v>50</v>
      </c>
      <c r="W106"/>
      <c r="X106"/>
      <c r="Y106"/>
      <c r="Z106"/>
      <c r="AA106">
        <v>16</v>
      </c>
      <c r="AB106">
        <v>10</v>
      </c>
      <c r="AC106">
        <v>12</v>
      </c>
      <c r="AD106">
        <v>2</v>
      </c>
      <c r="AE106">
        <v>10</v>
      </c>
      <c r="AF106">
        <v>6</v>
      </c>
      <c r="AG106">
        <v>322</v>
      </c>
      <c r="AH106"/>
      <c r="AI106"/>
      <c r="AJ106"/>
      <c r="AK106"/>
      <c r="AL106"/>
      <c r="AM106"/>
      <c r="AN106">
        <v>18</v>
      </c>
      <c r="AO106">
        <v>367</v>
      </c>
      <c r="AP106">
        <v>8</v>
      </c>
      <c r="AQ106"/>
      <c r="AR106"/>
      <c r="AS106"/>
      <c r="AT106"/>
      <c r="AU106"/>
      <c r="AV106"/>
      <c r="AW106"/>
      <c r="AX106"/>
      <c r="AY106" t="s">
        <v>2824</v>
      </c>
      <c r="AZ106" t="s">
        <v>4686</v>
      </c>
      <c r="BA106" t="s">
        <v>2658</v>
      </c>
      <c r="BB106"/>
      <c r="BC106"/>
      <c r="BD106"/>
      <c r="BE106"/>
      <c r="BF106"/>
      <c r="BG106"/>
      <c r="BH106"/>
      <c r="BI106"/>
      <c r="BJ106"/>
      <c r="BK106"/>
      <c r="BL106"/>
      <c r="BM106"/>
      <c r="BN106"/>
      <c r="BO106"/>
      <c r="BP106" t="s">
        <v>3253</v>
      </c>
      <c r="BQ106" t="s">
        <v>4685</v>
      </c>
      <c r="BR106" t="s">
        <v>4684</v>
      </c>
      <c r="BS106" t="s">
        <v>2697</v>
      </c>
      <c r="BT106" t="s">
        <v>4683</v>
      </c>
      <c r="BU106" t="s">
        <v>3344</v>
      </c>
      <c r="BV106"/>
      <c r="BW106"/>
      <c r="BX106"/>
      <c r="BY106"/>
      <c r="BZ106"/>
      <c r="CA106"/>
      <c r="CB106"/>
      <c r="CC106"/>
      <c r="CD106"/>
      <c r="CE106"/>
      <c r="CF106"/>
      <c r="CG106"/>
      <c r="CH106"/>
      <c r="CI106"/>
      <c r="CJ106"/>
      <c r="CK106"/>
      <c r="CL106"/>
      <c r="CM106"/>
      <c r="CN106"/>
      <c r="CO106"/>
      <c r="CP106"/>
      <c r="CQ106"/>
      <c r="CR106"/>
      <c r="CS106"/>
      <c r="CT106"/>
      <c r="CU106"/>
      <c r="CV106"/>
      <c r="CW106"/>
      <c r="CX106" t="s">
        <v>2307</v>
      </c>
      <c r="CY106">
        <v>322</v>
      </c>
      <c r="CZ106" t="s">
        <v>2306</v>
      </c>
    </row>
    <row r="107" spans="1:104" ht="14.25">
      <c r="A107" t="s">
        <v>4682</v>
      </c>
      <c r="B107" t="s">
        <v>4682</v>
      </c>
      <c r="C107" t="s">
        <v>4681</v>
      </c>
      <c r="D107">
        <v>12</v>
      </c>
      <c r="E107" t="s">
        <v>2321</v>
      </c>
      <c r="F107" t="s">
        <v>2320</v>
      </c>
      <c r="G107" t="s">
        <v>2732</v>
      </c>
      <c r="H107" t="s">
        <v>3520</v>
      </c>
      <c r="I107"/>
      <c r="J107" t="s">
        <v>2375</v>
      </c>
      <c r="K107"/>
      <c r="L107"/>
      <c r="M107">
        <v>18</v>
      </c>
      <c r="N107">
        <v>153</v>
      </c>
      <c r="O107">
        <v>18</v>
      </c>
      <c r="P107">
        <v>8</v>
      </c>
      <c r="Q107">
        <v>72</v>
      </c>
      <c r="R107" t="s">
        <v>2317</v>
      </c>
      <c r="S107" t="s">
        <v>4680</v>
      </c>
      <c r="T107" t="s">
        <v>4679</v>
      </c>
      <c r="U107" t="s">
        <v>4678</v>
      </c>
      <c r="V107">
        <v>30</v>
      </c>
      <c r="W107"/>
      <c r="X107"/>
      <c r="Y107">
        <v>60</v>
      </c>
      <c r="Z107"/>
      <c r="AA107">
        <v>18</v>
      </c>
      <c r="AB107">
        <v>16</v>
      </c>
      <c r="AC107">
        <v>18</v>
      </c>
      <c r="AD107">
        <v>14</v>
      </c>
      <c r="AE107">
        <v>14</v>
      </c>
      <c r="AF107">
        <v>18</v>
      </c>
      <c r="AG107">
        <v>73</v>
      </c>
      <c r="AH107"/>
      <c r="AI107"/>
      <c r="AJ107"/>
      <c r="AK107"/>
      <c r="AL107"/>
      <c r="AM107"/>
      <c r="AN107"/>
      <c r="AO107">
        <v>279</v>
      </c>
      <c r="AP107"/>
      <c r="AQ107"/>
      <c r="AR107"/>
      <c r="AS107"/>
      <c r="AT107"/>
      <c r="AU107"/>
      <c r="AV107"/>
      <c r="AW107"/>
      <c r="AX107"/>
      <c r="AY107" t="s">
        <v>4676</v>
      </c>
      <c r="AZ107" t="s">
        <v>4677</v>
      </c>
      <c r="BA107" t="s">
        <v>4676</v>
      </c>
      <c r="BB107" t="s">
        <v>2726</v>
      </c>
      <c r="BC107" t="s">
        <v>4675</v>
      </c>
      <c r="BD107" t="s">
        <v>2726</v>
      </c>
      <c r="BE107"/>
      <c r="BF107"/>
      <c r="BG107"/>
      <c r="BH107"/>
      <c r="BI107"/>
      <c r="BJ107"/>
      <c r="BK107"/>
      <c r="BL107"/>
      <c r="BM107"/>
      <c r="BN107"/>
      <c r="BO107"/>
      <c r="BP107" t="s">
        <v>2333</v>
      </c>
      <c r="BQ107" t="s">
        <v>4674</v>
      </c>
      <c r="BR107" t="s">
        <v>2333</v>
      </c>
      <c r="BS107" t="s">
        <v>2580</v>
      </c>
      <c r="BT107" t="s">
        <v>4673</v>
      </c>
      <c r="BU107" t="s">
        <v>4672</v>
      </c>
      <c r="BV107" t="s">
        <v>2577</v>
      </c>
      <c r="BW107" t="s">
        <v>4671</v>
      </c>
      <c r="BX107" t="s">
        <v>4670</v>
      </c>
      <c r="BY107" t="s">
        <v>4668</v>
      </c>
      <c r="BZ107" t="s">
        <v>4669</v>
      </c>
      <c r="CA107" t="s">
        <v>4668</v>
      </c>
      <c r="CB107"/>
      <c r="CC107"/>
      <c r="CD107"/>
      <c r="CE107"/>
      <c r="CF107"/>
      <c r="CG107"/>
      <c r="CH107"/>
      <c r="CI107"/>
      <c r="CJ107"/>
      <c r="CK107"/>
      <c r="CL107"/>
      <c r="CM107"/>
      <c r="CN107"/>
      <c r="CO107"/>
      <c r="CP107"/>
      <c r="CQ107"/>
      <c r="CR107"/>
      <c r="CS107"/>
      <c r="CT107"/>
      <c r="CU107"/>
      <c r="CV107" t="s">
        <v>3635</v>
      </c>
      <c r="CW107" t="s">
        <v>4667</v>
      </c>
      <c r="CX107" t="s">
        <v>2307</v>
      </c>
      <c r="CY107">
        <v>73</v>
      </c>
      <c r="CZ107" t="s">
        <v>2306</v>
      </c>
    </row>
    <row r="108" spans="1:104" ht="14.25">
      <c r="A108" t="s">
        <v>4666</v>
      </c>
      <c r="B108" t="s">
        <v>4666</v>
      </c>
      <c r="C108" t="s">
        <v>4665</v>
      </c>
      <c r="D108">
        <v>2</v>
      </c>
      <c r="E108" t="s">
        <v>2321</v>
      </c>
      <c r="F108" t="s">
        <v>2320</v>
      </c>
      <c r="G108" t="s">
        <v>2440</v>
      </c>
      <c r="H108"/>
      <c r="I108"/>
      <c r="J108" t="s">
        <v>2318</v>
      </c>
      <c r="K108"/>
      <c r="L108"/>
      <c r="M108">
        <v>13</v>
      </c>
      <c r="N108">
        <v>44</v>
      </c>
      <c r="O108">
        <v>8</v>
      </c>
      <c r="P108">
        <v>8</v>
      </c>
      <c r="Q108">
        <v>8</v>
      </c>
      <c r="R108" t="s">
        <v>2317</v>
      </c>
      <c r="S108" t="s">
        <v>4664</v>
      </c>
      <c r="T108" t="s">
        <v>2610</v>
      </c>
      <c r="U108" t="s">
        <v>2315</v>
      </c>
      <c r="V108">
        <v>30</v>
      </c>
      <c r="W108"/>
      <c r="X108">
        <v>30</v>
      </c>
      <c r="Y108"/>
      <c r="Z108"/>
      <c r="AA108">
        <v>14</v>
      </c>
      <c r="AB108">
        <v>15</v>
      </c>
      <c r="AC108">
        <v>13</v>
      </c>
      <c r="AD108">
        <v>7</v>
      </c>
      <c r="AE108">
        <v>12</v>
      </c>
      <c r="AF108">
        <v>8</v>
      </c>
      <c r="AG108">
        <v>131</v>
      </c>
      <c r="AH108"/>
      <c r="AI108"/>
      <c r="AJ108"/>
      <c r="AK108"/>
      <c r="AL108"/>
      <c r="AM108"/>
      <c r="AN108"/>
      <c r="AO108">
        <v>311</v>
      </c>
      <c r="AP108">
        <v>9</v>
      </c>
      <c r="AQ108">
        <v>13</v>
      </c>
      <c r="AR108"/>
      <c r="AS108"/>
      <c r="AT108"/>
      <c r="AU108"/>
      <c r="AV108"/>
      <c r="AW108"/>
      <c r="AX108"/>
      <c r="AY108" t="s">
        <v>2768</v>
      </c>
      <c r="AZ108" t="s">
        <v>4663</v>
      </c>
      <c r="BA108" t="s">
        <v>2768</v>
      </c>
      <c r="BB108" t="s">
        <v>3100</v>
      </c>
      <c r="BC108" t="s">
        <v>4662</v>
      </c>
      <c r="BD108" t="s">
        <v>3100</v>
      </c>
      <c r="BE108" t="s">
        <v>3098</v>
      </c>
      <c r="BF108" t="s">
        <v>4661</v>
      </c>
      <c r="BG108" t="s">
        <v>3098</v>
      </c>
      <c r="BH108"/>
      <c r="BI108"/>
      <c r="BJ108"/>
      <c r="BK108"/>
      <c r="BL108"/>
      <c r="BM108"/>
      <c r="BN108"/>
      <c r="BO108"/>
      <c r="BP108" t="s">
        <v>2333</v>
      </c>
      <c r="BQ108" t="s">
        <v>4660</v>
      </c>
      <c r="BR108" t="s">
        <v>2333</v>
      </c>
      <c r="BS108" t="s">
        <v>2332</v>
      </c>
      <c r="BT108" t="s">
        <v>4659</v>
      </c>
      <c r="BU108" t="s">
        <v>4658</v>
      </c>
      <c r="BV108" t="s">
        <v>2505</v>
      </c>
      <c r="BW108" t="s">
        <v>4657</v>
      </c>
      <c r="BX108" t="s">
        <v>2599</v>
      </c>
      <c r="BY108" t="s">
        <v>4358</v>
      </c>
      <c r="BZ108" t="s">
        <v>4656</v>
      </c>
      <c r="CA108" t="s">
        <v>4358</v>
      </c>
      <c r="CB108" t="s">
        <v>4655</v>
      </c>
      <c r="CC108" t="s">
        <v>4654</v>
      </c>
      <c r="CD108" t="s">
        <v>4653</v>
      </c>
      <c r="CE108"/>
      <c r="CF108"/>
      <c r="CG108"/>
      <c r="CH108"/>
      <c r="CI108"/>
      <c r="CJ108"/>
      <c r="CK108"/>
      <c r="CL108"/>
      <c r="CM108"/>
      <c r="CN108"/>
      <c r="CO108"/>
      <c r="CP108"/>
      <c r="CQ108"/>
      <c r="CR108"/>
      <c r="CS108"/>
      <c r="CT108"/>
      <c r="CU108"/>
      <c r="CV108"/>
      <c r="CW108"/>
      <c r="CX108" t="s">
        <v>2307</v>
      </c>
      <c r="CY108">
        <v>131</v>
      </c>
      <c r="CZ108" t="s">
        <v>2306</v>
      </c>
    </row>
    <row r="109" spans="1:104" ht="14.25">
      <c r="A109" t="s">
        <v>4652</v>
      </c>
      <c r="B109" t="s">
        <v>4652</v>
      </c>
      <c r="C109" t="s">
        <v>4651</v>
      </c>
      <c r="D109">
        <v>4</v>
      </c>
      <c r="E109" t="s">
        <v>2321</v>
      </c>
      <c r="F109" t="s">
        <v>2342</v>
      </c>
      <c r="G109" t="s">
        <v>2858</v>
      </c>
      <c r="H109"/>
      <c r="I109"/>
      <c r="J109" t="s">
        <v>2340</v>
      </c>
      <c r="K109"/>
      <c r="L109"/>
      <c r="M109">
        <v>12</v>
      </c>
      <c r="N109">
        <v>85</v>
      </c>
      <c r="O109">
        <v>10</v>
      </c>
      <c r="P109">
        <v>10</v>
      </c>
      <c r="Q109">
        <v>30</v>
      </c>
      <c r="R109" t="s">
        <v>2317</v>
      </c>
      <c r="S109" t="s">
        <v>3353</v>
      </c>
      <c r="T109" t="s">
        <v>3353</v>
      </c>
      <c r="U109" t="s">
        <v>2315</v>
      </c>
      <c r="V109">
        <v>40</v>
      </c>
      <c r="W109"/>
      <c r="X109"/>
      <c r="Y109"/>
      <c r="Z109"/>
      <c r="AA109">
        <v>21</v>
      </c>
      <c r="AB109">
        <v>8</v>
      </c>
      <c r="AC109">
        <v>17</v>
      </c>
      <c r="AD109">
        <v>6</v>
      </c>
      <c r="AE109">
        <v>10</v>
      </c>
      <c r="AF109">
        <v>8</v>
      </c>
      <c r="AG109">
        <v>132</v>
      </c>
      <c r="AH109"/>
      <c r="AI109"/>
      <c r="AJ109"/>
      <c r="AK109"/>
      <c r="AL109"/>
      <c r="AM109"/>
      <c r="AN109"/>
      <c r="AO109">
        <v>311</v>
      </c>
      <c r="AP109"/>
      <c r="AQ109">
        <v>13</v>
      </c>
      <c r="AR109"/>
      <c r="AS109"/>
      <c r="AT109">
        <v>17</v>
      </c>
      <c r="AU109"/>
      <c r="AV109"/>
      <c r="AW109"/>
      <c r="AX109"/>
      <c r="AY109" t="s">
        <v>4649</v>
      </c>
      <c r="AZ109" t="s">
        <v>4650</v>
      </c>
      <c r="BA109" t="s">
        <v>4649</v>
      </c>
      <c r="BB109" t="s">
        <v>4060</v>
      </c>
      <c r="BC109" t="s">
        <v>4648</v>
      </c>
      <c r="BD109" t="s">
        <v>4060</v>
      </c>
      <c r="BE109"/>
      <c r="BF109"/>
      <c r="BG109"/>
      <c r="BH109"/>
      <c r="BI109"/>
      <c r="BJ109"/>
      <c r="BK109"/>
      <c r="BL109"/>
      <c r="BM109"/>
      <c r="BN109"/>
      <c r="BO109"/>
      <c r="BP109" t="s">
        <v>2333</v>
      </c>
      <c r="BQ109" t="s">
        <v>4647</v>
      </c>
      <c r="BR109" t="s">
        <v>2333</v>
      </c>
      <c r="BS109" t="s">
        <v>4646</v>
      </c>
      <c r="BT109" t="s">
        <v>3542</v>
      </c>
      <c r="BU109" t="s">
        <v>4645</v>
      </c>
      <c r="BV109" t="s">
        <v>3598</v>
      </c>
      <c r="BW109" t="s">
        <v>4644</v>
      </c>
      <c r="BX109" t="s">
        <v>4643</v>
      </c>
      <c r="BY109"/>
      <c r="BZ109"/>
      <c r="CA109"/>
      <c r="CB109"/>
      <c r="CC109"/>
      <c r="CD109"/>
      <c r="CE109"/>
      <c r="CF109"/>
      <c r="CG109"/>
      <c r="CH109"/>
      <c r="CI109"/>
      <c r="CJ109"/>
      <c r="CK109"/>
      <c r="CL109"/>
      <c r="CM109"/>
      <c r="CN109"/>
      <c r="CO109"/>
      <c r="CP109"/>
      <c r="CQ109"/>
      <c r="CR109"/>
      <c r="CS109"/>
      <c r="CT109"/>
      <c r="CU109"/>
      <c r="CV109"/>
      <c r="CW109"/>
      <c r="CX109" t="s">
        <v>2307</v>
      </c>
      <c r="CY109">
        <v>132</v>
      </c>
      <c r="CZ109" t="s">
        <v>2306</v>
      </c>
    </row>
    <row r="110" spans="1:104" ht="14.25">
      <c r="A110" t="s">
        <v>4642</v>
      </c>
      <c r="B110" t="s">
        <v>4641</v>
      </c>
      <c r="C110" t="s">
        <v>4640</v>
      </c>
      <c r="D110">
        <v>5</v>
      </c>
      <c r="E110" t="s">
        <v>2321</v>
      </c>
      <c r="F110" t="s">
        <v>2342</v>
      </c>
      <c r="G110" t="s">
        <v>2479</v>
      </c>
      <c r="H110"/>
      <c r="I110"/>
      <c r="J110" t="s">
        <v>1902</v>
      </c>
      <c r="K110"/>
      <c r="L110"/>
      <c r="M110">
        <v>13</v>
      </c>
      <c r="N110">
        <v>102</v>
      </c>
      <c r="O110">
        <v>12</v>
      </c>
      <c r="P110">
        <v>10</v>
      </c>
      <c r="Q110">
        <v>36</v>
      </c>
      <c r="R110" t="s">
        <v>2317</v>
      </c>
      <c r="S110" t="s">
        <v>2730</v>
      </c>
      <c r="T110" t="s">
        <v>2315</v>
      </c>
      <c r="U110" t="s">
        <v>2315</v>
      </c>
      <c r="V110">
        <v>50</v>
      </c>
      <c r="W110"/>
      <c r="X110"/>
      <c r="Y110"/>
      <c r="Z110"/>
      <c r="AA110">
        <v>10</v>
      </c>
      <c r="AB110">
        <v>17</v>
      </c>
      <c r="AC110">
        <v>16</v>
      </c>
      <c r="AD110">
        <v>6</v>
      </c>
      <c r="AE110">
        <v>10</v>
      </c>
      <c r="AF110">
        <v>7</v>
      </c>
      <c r="AG110">
        <v>125</v>
      </c>
      <c r="AH110"/>
      <c r="AI110"/>
      <c r="AJ110"/>
      <c r="AK110"/>
      <c r="AL110"/>
      <c r="AM110"/>
      <c r="AN110">
        <v>18</v>
      </c>
      <c r="AO110">
        <v>309</v>
      </c>
      <c r="AP110"/>
      <c r="AQ110">
        <v>14</v>
      </c>
      <c r="AR110"/>
      <c r="AS110"/>
      <c r="AT110"/>
      <c r="AU110"/>
      <c r="AV110"/>
      <c r="AW110"/>
      <c r="AX110"/>
      <c r="AY110" t="s">
        <v>4639</v>
      </c>
      <c r="AZ110" t="s">
        <v>4638</v>
      </c>
      <c r="BA110" t="s">
        <v>4637</v>
      </c>
      <c r="BB110" t="s">
        <v>3644</v>
      </c>
      <c r="BC110" t="s">
        <v>4636</v>
      </c>
      <c r="BD110" t="s">
        <v>3644</v>
      </c>
      <c r="BE110" t="s">
        <v>4634</v>
      </c>
      <c r="BF110" t="s">
        <v>4635</v>
      </c>
      <c r="BG110" t="s">
        <v>4634</v>
      </c>
      <c r="BH110"/>
      <c r="BI110"/>
      <c r="BJ110"/>
      <c r="BK110"/>
      <c r="BL110"/>
      <c r="BM110"/>
      <c r="BN110"/>
      <c r="BO110"/>
      <c r="BP110" t="s">
        <v>2333</v>
      </c>
      <c r="BQ110" t="s">
        <v>4633</v>
      </c>
      <c r="BR110" t="s">
        <v>2333</v>
      </c>
      <c r="BS110" t="s">
        <v>3836</v>
      </c>
      <c r="BT110" t="s">
        <v>4632</v>
      </c>
      <c r="BU110" t="s">
        <v>4631</v>
      </c>
      <c r="BV110"/>
      <c r="BW110"/>
      <c r="BX110"/>
      <c r="BY110"/>
      <c r="BZ110"/>
      <c r="CA110"/>
      <c r="CB110"/>
      <c r="CC110"/>
      <c r="CD110"/>
      <c r="CE110"/>
      <c r="CF110"/>
      <c r="CG110"/>
      <c r="CH110"/>
      <c r="CI110"/>
      <c r="CJ110"/>
      <c r="CK110"/>
      <c r="CL110"/>
      <c r="CM110"/>
      <c r="CN110"/>
      <c r="CO110"/>
      <c r="CP110"/>
      <c r="CQ110"/>
      <c r="CR110"/>
      <c r="CS110"/>
      <c r="CT110"/>
      <c r="CU110"/>
      <c r="CV110"/>
      <c r="CW110"/>
      <c r="CX110" t="s">
        <v>2307</v>
      </c>
      <c r="CY110">
        <v>125</v>
      </c>
      <c r="CZ110" t="s">
        <v>2306</v>
      </c>
    </row>
    <row r="111" spans="1:104" ht="14.25">
      <c r="A111" t="s">
        <v>4630</v>
      </c>
      <c r="B111" t="s">
        <v>4629</v>
      </c>
      <c r="C111" t="s">
        <v>4628</v>
      </c>
      <c r="D111">
        <v>9</v>
      </c>
      <c r="E111" t="s">
        <v>2321</v>
      </c>
      <c r="F111" t="s">
        <v>2838</v>
      </c>
      <c r="G111" t="s">
        <v>2858</v>
      </c>
      <c r="H111"/>
      <c r="I111"/>
      <c r="J111" t="s">
        <v>2375</v>
      </c>
      <c r="K111"/>
      <c r="L111"/>
      <c r="M111">
        <v>18</v>
      </c>
      <c r="N111">
        <v>162</v>
      </c>
      <c r="O111">
        <v>13</v>
      </c>
      <c r="P111">
        <v>12</v>
      </c>
      <c r="Q111">
        <v>78</v>
      </c>
      <c r="R111" t="s">
        <v>2317</v>
      </c>
      <c r="S111" t="s">
        <v>4627</v>
      </c>
      <c r="T111" t="s">
        <v>4626</v>
      </c>
      <c r="U111" t="s">
        <v>2315</v>
      </c>
      <c r="V111">
        <v>30</v>
      </c>
      <c r="W111"/>
      <c r="X111"/>
      <c r="Y111"/>
      <c r="Z111"/>
      <c r="AA111">
        <v>25</v>
      </c>
      <c r="AB111">
        <v>9</v>
      </c>
      <c r="AC111">
        <v>23</v>
      </c>
      <c r="AD111">
        <v>10</v>
      </c>
      <c r="AE111">
        <v>14</v>
      </c>
      <c r="AF111">
        <v>13</v>
      </c>
      <c r="AG111">
        <v>154</v>
      </c>
      <c r="AH111"/>
      <c r="AI111"/>
      <c r="AJ111"/>
      <c r="AK111"/>
      <c r="AL111"/>
      <c r="AM111"/>
      <c r="AN111">
        <v>19</v>
      </c>
      <c r="AO111">
        <v>315</v>
      </c>
      <c r="AP111"/>
      <c r="AQ111"/>
      <c r="AR111"/>
      <c r="AS111"/>
      <c r="AT111"/>
      <c r="AU111"/>
      <c r="AV111"/>
      <c r="AW111"/>
      <c r="AX111" t="s">
        <v>4625</v>
      </c>
      <c r="AY111" t="s">
        <v>2888</v>
      </c>
      <c r="AZ111" t="s">
        <v>4624</v>
      </c>
      <c r="BA111" t="s">
        <v>2888</v>
      </c>
      <c r="BB111" t="s">
        <v>4622</v>
      </c>
      <c r="BC111" t="s">
        <v>4623</v>
      </c>
      <c r="BD111" t="s">
        <v>4622</v>
      </c>
      <c r="BE111"/>
      <c r="BF111"/>
      <c r="BG111"/>
      <c r="BH111"/>
      <c r="BI111"/>
      <c r="BJ111"/>
      <c r="BK111"/>
      <c r="BL111"/>
      <c r="BM111"/>
      <c r="BN111"/>
      <c r="BO111"/>
      <c r="BP111" t="s">
        <v>2333</v>
      </c>
      <c r="BQ111" t="s">
        <v>2997</v>
      </c>
      <c r="BR111" t="s">
        <v>2333</v>
      </c>
      <c r="BS111" t="s">
        <v>2996</v>
      </c>
      <c r="BT111" t="s">
        <v>4621</v>
      </c>
      <c r="BU111" t="s">
        <v>4620</v>
      </c>
      <c r="BV111" t="s">
        <v>2884</v>
      </c>
      <c r="BW111" t="s">
        <v>4619</v>
      </c>
      <c r="BX111" t="s">
        <v>4618</v>
      </c>
      <c r="BY111"/>
      <c r="BZ111"/>
      <c r="CA111"/>
      <c r="CB111"/>
      <c r="CC111"/>
      <c r="CD111"/>
      <c r="CE111"/>
      <c r="CF111"/>
      <c r="CG111"/>
      <c r="CH111"/>
      <c r="CI111"/>
      <c r="CJ111"/>
      <c r="CK111"/>
      <c r="CL111"/>
      <c r="CM111"/>
      <c r="CN111"/>
      <c r="CO111"/>
      <c r="CP111"/>
      <c r="CQ111"/>
      <c r="CR111"/>
      <c r="CS111"/>
      <c r="CT111"/>
      <c r="CU111"/>
      <c r="CV111"/>
      <c r="CW111"/>
      <c r="CX111" t="s">
        <v>2307</v>
      </c>
      <c r="CY111">
        <v>154</v>
      </c>
      <c r="CZ111" t="s">
        <v>2306</v>
      </c>
    </row>
    <row r="112" spans="1:104" ht="14.25">
      <c r="A112" t="s">
        <v>4617</v>
      </c>
      <c r="B112" t="s">
        <v>4617</v>
      </c>
      <c r="C112" t="s">
        <v>4616</v>
      </c>
      <c r="D112">
        <v>4</v>
      </c>
      <c r="E112" t="s">
        <v>2321</v>
      </c>
      <c r="F112" t="s">
        <v>2572</v>
      </c>
      <c r="G112" t="s">
        <v>2319</v>
      </c>
      <c r="H112"/>
      <c r="I112"/>
      <c r="J112" t="s">
        <v>2318</v>
      </c>
      <c r="K112">
        <v>5</v>
      </c>
      <c r="L112" t="s">
        <v>1901</v>
      </c>
      <c r="M112">
        <v>13</v>
      </c>
      <c r="N112">
        <v>40</v>
      </c>
      <c r="O112">
        <v>9</v>
      </c>
      <c r="P112">
        <v>4</v>
      </c>
      <c r="Q112">
        <v>18</v>
      </c>
      <c r="R112" t="s">
        <v>2825</v>
      </c>
      <c r="S112" t="s">
        <v>4554</v>
      </c>
      <c r="T112" t="s">
        <v>2315</v>
      </c>
      <c r="U112" t="s">
        <v>2315</v>
      </c>
      <c r="V112">
        <v>0</v>
      </c>
      <c r="W112"/>
      <c r="X112"/>
      <c r="Y112">
        <v>40</v>
      </c>
      <c r="Z112"/>
      <c r="AA112">
        <v>1</v>
      </c>
      <c r="AB112">
        <v>17</v>
      </c>
      <c r="AC112">
        <v>14</v>
      </c>
      <c r="AD112">
        <v>16</v>
      </c>
      <c r="AE112">
        <v>10</v>
      </c>
      <c r="AF112">
        <v>11</v>
      </c>
      <c r="AG112">
        <v>134</v>
      </c>
      <c r="AH112"/>
      <c r="AI112"/>
      <c r="AJ112">
        <v>57</v>
      </c>
      <c r="AK112"/>
      <c r="AL112"/>
      <c r="AM112"/>
      <c r="AN112">
        <v>19</v>
      </c>
      <c r="AO112"/>
      <c r="AP112"/>
      <c r="AQ112"/>
      <c r="AR112"/>
      <c r="AS112"/>
      <c r="AT112"/>
      <c r="AU112"/>
      <c r="AV112" t="s">
        <v>4615</v>
      </c>
      <c r="AW112"/>
      <c r="AX112"/>
      <c r="AY112" t="s">
        <v>3644</v>
      </c>
      <c r="AZ112" t="s">
        <v>4614</v>
      </c>
      <c r="BA112" t="s">
        <v>3644</v>
      </c>
      <c r="BB112" t="s">
        <v>2726</v>
      </c>
      <c r="BC112" t="s">
        <v>4613</v>
      </c>
      <c r="BD112" t="s">
        <v>2726</v>
      </c>
      <c r="BE112" t="s">
        <v>3090</v>
      </c>
      <c r="BF112" t="s">
        <v>4612</v>
      </c>
      <c r="BG112" t="s">
        <v>3090</v>
      </c>
      <c r="BH112" t="s">
        <v>3088</v>
      </c>
      <c r="BI112" t="s">
        <v>4611</v>
      </c>
      <c r="BJ112"/>
      <c r="BK112"/>
      <c r="BL112"/>
      <c r="BM112"/>
      <c r="BN112"/>
      <c r="BO112"/>
      <c r="BP112" t="s">
        <v>2333</v>
      </c>
      <c r="BQ112" t="s">
        <v>4610</v>
      </c>
      <c r="BR112" t="s">
        <v>2333</v>
      </c>
      <c r="BS112" t="s">
        <v>4609</v>
      </c>
      <c r="BT112" t="s">
        <v>4608</v>
      </c>
      <c r="BU112" t="s">
        <v>4607</v>
      </c>
      <c r="BV112"/>
      <c r="BW112"/>
      <c r="BX112"/>
      <c r="BY112"/>
      <c r="BZ112"/>
      <c r="CA112"/>
      <c r="CB112"/>
      <c r="CC112"/>
      <c r="CD112"/>
      <c r="CE112"/>
      <c r="CF112"/>
      <c r="CG112"/>
      <c r="CH112"/>
      <c r="CI112"/>
      <c r="CJ112"/>
      <c r="CK112"/>
      <c r="CL112"/>
      <c r="CM112"/>
      <c r="CN112"/>
      <c r="CO112"/>
      <c r="CP112"/>
      <c r="CQ112"/>
      <c r="CR112"/>
      <c r="CS112"/>
      <c r="CT112"/>
      <c r="CU112"/>
      <c r="CV112"/>
      <c r="CW112"/>
      <c r="CX112" t="s">
        <v>2307</v>
      </c>
      <c r="CY112">
        <v>134</v>
      </c>
      <c r="CZ112" t="s">
        <v>2306</v>
      </c>
    </row>
    <row r="113" spans="1:104" ht="14.25">
      <c r="A113" t="s">
        <v>4606</v>
      </c>
      <c r="B113" t="s">
        <v>4605</v>
      </c>
      <c r="C113" t="s">
        <v>4604</v>
      </c>
      <c r="D113">
        <v>5</v>
      </c>
      <c r="E113" t="s">
        <v>2321</v>
      </c>
      <c r="F113" t="s">
        <v>2320</v>
      </c>
      <c r="G113" t="s">
        <v>3017</v>
      </c>
      <c r="H113" t="s">
        <v>3016</v>
      </c>
      <c r="I113"/>
      <c r="J113" t="s">
        <v>1902</v>
      </c>
      <c r="K113"/>
      <c r="L113"/>
      <c r="M113">
        <v>9</v>
      </c>
      <c r="N113">
        <v>93</v>
      </c>
      <c r="O113">
        <v>11</v>
      </c>
      <c r="P113">
        <v>8</v>
      </c>
      <c r="Q113">
        <v>44</v>
      </c>
      <c r="R113" t="s">
        <v>2317</v>
      </c>
      <c r="S113" t="s">
        <v>2510</v>
      </c>
      <c r="T113" t="s">
        <v>2315</v>
      </c>
      <c r="U113" t="s">
        <v>2315</v>
      </c>
      <c r="V113">
        <v>30</v>
      </c>
      <c r="W113"/>
      <c r="X113"/>
      <c r="Y113"/>
      <c r="Z113"/>
      <c r="AA113">
        <v>19</v>
      </c>
      <c r="AB113">
        <v>9</v>
      </c>
      <c r="AC113">
        <v>18</v>
      </c>
      <c r="AD113">
        <v>6</v>
      </c>
      <c r="AE113">
        <v>10</v>
      </c>
      <c r="AF113">
        <v>5</v>
      </c>
      <c r="AG113">
        <v>169</v>
      </c>
      <c r="AH113"/>
      <c r="AI113"/>
      <c r="AJ113"/>
      <c r="AK113"/>
      <c r="AL113"/>
      <c r="AM113"/>
      <c r="AN113">
        <v>20</v>
      </c>
      <c r="AO113">
        <v>319</v>
      </c>
      <c r="AP113"/>
      <c r="AQ113"/>
      <c r="AR113"/>
      <c r="AS113" t="s">
        <v>4603</v>
      </c>
      <c r="AT113"/>
      <c r="AU113"/>
      <c r="AV113" t="s">
        <v>4602</v>
      </c>
      <c r="AW113"/>
      <c r="AX113"/>
      <c r="AY113" t="s">
        <v>4600</v>
      </c>
      <c r="AZ113" t="s">
        <v>4601</v>
      </c>
      <c r="BA113" t="s">
        <v>4600</v>
      </c>
      <c r="BB113" t="s">
        <v>4598</v>
      </c>
      <c r="BC113" t="s">
        <v>4599</v>
      </c>
      <c r="BD113" t="s">
        <v>4598</v>
      </c>
      <c r="BE113" t="s">
        <v>3012</v>
      </c>
      <c r="BF113" t="s">
        <v>3013</v>
      </c>
      <c r="BG113" t="s">
        <v>3012</v>
      </c>
      <c r="BH113" t="s">
        <v>3189</v>
      </c>
      <c r="BI113" t="s">
        <v>4597</v>
      </c>
      <c r="BJ113" t="s">
        <v>2726</v>
      </c>
      <c r="BK113" t="s">
        <v>3011</v>
      </c>
      <c r="BL113" t="s">
        <v>2819</v>
      </c>
      <c r="BM113" t="s">
        <v>3010</v>
      </c>
      <c r="BN113"/>
      <c r="BO113"/>
      <c r="BP113" t="s">
        <v>2333</v>
      </c>
      <c r="BQ113" t="s">
        <v>3009</v>
      </c>
      <c r="BR113" t="s">
        <v>2333</v>
      </c>
      <c r="BS113" t="s">
        <v>2310</v>
      </c>
      <c r="BT113" t="s">
        <v>2685</v>
      </c>
      <c r="BU113" t="s">
        <v>2684</v>
      </c>
      <c r="BV113"/>
      <c r="BW113"/>
      <c r="BX113"/>
      <c r="BY113"/>
      <c r="BZ113"/>
      <c r="CA113"/>
      <c r="CB113"/>
      <c r="CC113"/>
      <c r="CD113"/>
      <c r="CE113"/>
      <c r="CF113"/>
      <c r="CG113"/>
      <c r="CH113"/>
      <c r="CI113"/>
      <c r="CJ113"/>
      <c r="CK113"/>
      <c r="CL113"/>
      <c r="CM113"/>
      <c r="CN113"/>
      <c r="CO113"/>
      <c r="CP113"/>
      <c r="CQ113"/>
      <c r="CR113"/>
      <c r="CS113"/>
      <c r="CT113"/>
      <c r="CU113"/>
      <c r="CV113"/>
      <c r="CW113"/>
      <c r="CX113" t="s">
        <v>2307</v>
      </c>
      <c r="CY113">
        <v>169</v>
      </c>
      <c r="CZ113" t="s">
        <v>2306</v>
      </c>
    </row>
    <row r="114" spans="1:104" ht="14.25">
      <c r="A114" t="s">
        <v>4596</v>
      </c>
      <c r="B114" t="s">
        <v>4595</v>
      </c>
      <c r="C114" t="s">
        <v>4594</v>
      </c>
      <c r="D114">
        <v>0.125</v>
      </c>
      <c r="E114" t="s">
        <v>2533</v>
      </c>
      <c r="F114" t="s">
        <v>2572</v>
      </c>
      <c r="G114" t="s">
        <v>2543</v>
      </c>
      <c r="H114"/>
      <c r="I114"/>
      <c r="J114" t="s">
        <v>1908</v>
      </c>
      <c r="K114"/>
      <c r="L114"/>
      <c r="M114">
        <v>14</v>
      </c>
      <c r="N114">
        <v>5</v>
      </c>
      <c r="O114">
        <v>2</v>
      </c>
      <c r="P114">
        <v>4</v>
      </c>
      <c r="Q114"/>
      <c r="R114" t="s">
        <v>2317</v>
      </c>
      <c r="S114" t="s">
        <v>4593</v>
      </c>
      <c r="T114" t="s">
        <v>2315</v>
      </c>
      <c r="U114" t="s">
        <v>2315</v>
      </c>
      <c r="V114">
        <v>30</v>
      </c>
      <c r="W114"/>
      <c r="X114"/>
      <c r="Y114">
        <v>60</v>
      </c>
      <c r="Z114">
        <v>30</v>
      </c>
      <c r="AA114">
        <v>4</v>
      </c>
      <c r="AB114">
        <v>18</v>
      </c>
      <c r="AC114">
        <v>11</v>
      </c>
      <c r="AD114">
        <v>2</v>
      </c>
      <c r="AE114">
        <v>12</v>
      </c>
      <c r="AF114">
        <v>5</v>
      </c>
      <c r="AG114">
        <v>322</v>
      </c>
      <c r="AH114"/>
      <c r="AI114"/>
      <c r="AJ114"/>
      <c r="AK114"/>
      <c r="AL114"/>
      <c r="AM114"/>
      <c r="AN114">
        <v>20</v>
      </c>
      <c r="AO114">
        <v>367</v>
      </c>
      <c r="AP114"/>
      <c r="AQ114"/>
      <c r="AR114"/>
      <c r="AS114"/>
      <c r="AT114"/>
      <c r="AU114"/>
      <c r="AV114"/>
      <c r="AW114"/>
      <c r="AX114"/>
      <c r="AY114" t="s">
        <v>3442</v>
      </c>
      <c r="AZ114" t="s">
        <v>4592</v>
      </c>
      <c r="BA114" t="s">
        <v>3442</v>
      </c>
      <c r="BB114"/>
      <c r="BC114"/>
      <c r="BD114"/>
      <c r="BE114"/>
      <c r="BF114"/>
      <c r="BG114"/>
      <c r="BH114"/>
      <c r="BI114"/>
      <c r="BJ114"/>
      <c r="BK114"/>
      <c r="BL114"/>
      <c r="BM114"/>
      <c r="BN114"/>
      <c r="BO114"/>
      <c r="BP114" t="s">
        <v>2332</v>
      </c>
      <c r="BQ114" t="s">
        <v>4591</v>
      </c>
      <c r="BR114" t="s">
        <v>4590</v>
      </c>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t="s">
        <v>2307</v>
      </c>
      <c r="CY114">
        <v>322</v>
      </c>
      <c r="CZ114" t="s">
        <v>2306</v>
      </c>
    </row>
    <row r="115" spans="1:104" ht="14.25">
      <c r="A115" t="s">
        <v>3123</v>
      </c>
      <c r="B115" t="s">
        <v>4589</v>
      </c>
      <c r="C115" t="s">
        <v>4588</v>
      </c>
      <c r="D115">
        <v>0.25</v>
      </c>
      <c r="E115" t="s">
        <v>2321</v>
      </c>
      <c r="F115" t="s">
        <v>2497</v>
      </c>
      <c r="G115" t="s">
        <v>3017</v>
      </c>
      <c r="H115"/>
      <c r="I115"/>
      <c r="J115" t="s">
        <v>1908</v>
      </c>
      <c r="K115"/>
      <c r="L115"/>
      <c r="M115">
        <v>17</v>
      </c>
      <c r="N115">
        <v>17</v>
      </c>
      <c r="O115">
        <v>5</v>
      </c>
      <c r="P115">
        <v>6</v>
      </c>
      <c r="Q115"/>
      <c r="R115" t="s">
        <v>2317</v>
      </c>
      <c r="S115" t="s">
        <v>2876</v>
      </c>
      <c r="T115" t="s">
        <v>2315</v>
      </c>
      <c r="U115" t="s">
        <v>2315</v>
      </c>
      <c r="V115">
        <v>0</v>
      </c>
      <c r="W115"/>
      <c r="X115"/>
      <c r="Y115">
        <v>50</v>
      </c>
      <c r="Z115"/>
      <c r="AA115">
        <v>12</v>
      </c>
      <c r="AB115">
        <v>15</v>
      </c>
      <c r="AC115">
        <v>11</v>
      </c>
      <c r="AD115">
        <v>1</v>
      </c>
      <c r="AE115">
        <v>5</v>
      </c>
      <c r="AF115">
        <v>1</v>
      </c>
      <c r="AG115">
        <v>20</v>
      </c>
      <c r="AH115"/>
      <c r="AI115"/>
      <c r="AJ115"/>
      <c r="AK115"/>
      <c r="AL115"/>
      <c r="AM115"/>
      <c r="AN115">
        <v>20</v>
      </c>
      <c r="AO115">
        <v>267</v>
      </c>
      <c r="AP115"/>
      <c r="AQ115"/>
      <c r="AR115"/>
      <c r="AS115" t="s">
        <v>4587</v>
      </c>
      <c r="AT115"/>
      <c r="AU115"/>
      <c r="AV115" t="s">
        <v>3423</v>
      </c>
      <c r="AW115"/>
      <c r="AX115"/>
      <c r="AY115" t="s">
        <v>3312</v>
      </c>
      <c r="AZ115" t="s">
        <v>4586</v>
      </c>
      <c r="BA115" t="s">
        <v>3312</v>
      </c>
      <c r="BB115" t="s">
        <v>2739</v>
      </c>
      <c r="BC115" t="s">
        <v>4585</v>
      </c>
      <c r="BD115" t="s">
        <v>2739</v>
      </c>
      <c r="BE115"/>
      <c r="BF115"/>
      <c r="BG115"/>
      <c r="BH115"/>
      <c r="BI115"/>
      <c r="BJ115"/>
      <c r="BK115"/>
      <c r="BL115"/>
      <c r="BM115"/>
      <c r="BN115"/>
      <c r="BO115"/>
      <c r="BP115" t="s">
        <v>2580</v>
      </c>
      <c r="BQ115" t="s">
        <v>4584</v>
      </c>
      <c r="BR115" t="s">
        <v>4096</v>
      </c>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t="s">
        <v>2307</v>
      </c>
      <c r="CY115">
        <v>20</v>
      </c>
      <c r="CZ115" t="s">
        <v>2306</v>
      </c>
    </row>
    <row r="116" spans="1:104" ht="14.25">
      <c r="A116" t="s">
        <v>4583</v>
      </c>
      <c r="B116" t="s">
        <v>4583</v>
      </c>
      <c r="C116" t="s">
        <v>4582</v>
      </c>
      <c r="D116" t="s">
        <v>2315</v>
      </c>
      <c r="E116" t="s">
        <v>2533</v>
      </c>
      <c r="F116" t="s">
        <v>2572</v>
      </c>
      <c r="G116" t="s">
        <v>2543</v>
      </c>
      <c r="H116"/>
      <c r="I116"/>
      <c r="J116" t="s">
        <v>1908</v>
      </c>
      <c r="K116"/>
      <c r="L116"/>
      <c r="M116">
        <v>11</v>
      </c>
      <c r="N116">
        <v>1</v>
      </c>
      <c r="O116">
        <v>1</v>
      </c>
      <c r="P116">
        <v>4</v>
      </c>
      <c r="Q116">
        <v>-1</v>
      </c>
      <c r="R116" t="s">
        <v>2317</v>
      </c>
      <c r="S116" t="s">
        <v>270</v>
      </c>
      <c r="T116" t="s">
        <v>2315</v>
      </c>
      <c r="U116" t="s">
        <v>2315</v>
      </c>
      <c r="V116">
        <v>20</v>
      </c>
      <c r="W116"/>
      <c r="X116"/>
      <c r="Y116"/>
      <c r="Z116">
        <v>20</v>
      </c>
      <c r="AA116">
        <v>1</v>
      </c>
      <c r="AB116">
        <v>13</v>
      </c>
      <c r="AC116">
        <v>8</v>
      </c>
      <c r="AD116">
        <v>1</v>
      </c>
      <c r="AE116">
        <v>8</v>
      </c>
      <c r="AF116">
        <v>3</v>
      </c>
      <c r="AG116">
        <v>322</v>
      </c>
      <c r="AH116">
        <v>305</v>
      </c>
      <c r="AI116"/>
      <c r="AJ116"/>
      <c r="AK116"/>
      <c r="AL116"/>
      <c r="AM116"/>
      <c r="AN116">
        <v>21</v>
      </c>
      <c r="AO116">
        <v>367</v>
      </c>
      <c r="AP116"/>
      <c r="AQ116"/>
      <c r="AR116"/>
      <c r="AS116"/>
      <c r="AT116"/>
      <c r="AU116"/>
      <c r="AV116"/>
      <c r="AW116"/>
      <c r="AX116"/>
      <c r="AY116" t="s">
        <v>2373</v>
      </c>
      <c r="AZ116" t="s">
        <v>4429</v>
      </c>
      <c r="BA116" t="s">
        <v>2373</v>
      </c>
      <c r="BB116" t="s">
        <v>4349</v>
      </c>
      <c r="BC116" t="s">
        <v>4581</v>
      </c>
      <c r="BD116" t="s">
        <v>4349</v>
      </c>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t="s">
        <v>2307</v>
      </c>
      <c r="CY116">
        <v>322</v>
      </c>
      <c r="CZ116" t="s">
        <v>2306</v>
      </c>
    </row>
    <row r="117" spans="1:104" ht="14.25">
      <c r="A117" t="s">
        <v>4580</v>
      </c>
      <c r="B117" t="s">
        <v>4579</v>
      </c>
      <c r="C117" t="s">
        <v>4578</v>
      </c>
      <c r="D117">
        <v>8</v>
      </c>
      <c r="E117" t="s">
        <v>2321</v>
      </c>
      <c r="F117" t="s">
        <v>2838</v>
      </c>
      <c r="G117" t="s">
        <v>2858</v>
      </c>
      <c r="H117"/>
      <c r="I117"/>
      <c r="J117" t="s">
        <v>2318</v>
      </c>
      <c r="K117"/>
      <c r="L117"/>
      <c r="M117">
        <v>15</v>
      </c>
      <c r="N117">
        <v>138</v>
      </c>
      <c r="O117">
        <v>12</v>
      </c>
      <c r="P117">
        <v>12</v>
      </c>
      <c r="Q117">
        <v>60</v>
      </c>
      <c r="R117" t="s">
        <v>2317</v>
      </c>
      <c r="S117" t="s">
        <v>4577</v>
      </c>
      <c r="T117" t="s">
        <v>3035</v>
      </c>
      <c r="U117" t="s">
        <v>2315</v>
      </c>
      <c r="V117">
        <v>40</v>
      </c>
      <c r="W117"/>
      <c r="X117"/>
      <c r="Y117"/>
      <c r="Z117"/>
      <c r="AA117">
        <v>23</v>
      </c>
      <c r="AB117">
        <v>9</v>
      </c>
      <c r="AC117">
        <v>21</v>
      </c>
      <c r="AD117">
        <v>9</v>
      </c>
      <c r="AE117">
        <v>10</v>
      </c>
      <c r="AF117">
        <v>12</v>
      </c>
      <c r="AG117">
        <v>155</v>
      </c>
      <c r="AH117"/>
      <c r="AI117"/>
      <c r="AJ117"/>
      <c r="AK117"/>
      <c r="AL117"/>
      <c r="AM117"/>
      <c r="AN117">
        <v>21</v>
      </c>
      <c r="AO117">
        <v>315</v>
      </c>
      <c r="AP117"/>
      <c r="AQ117"/>
      <c r="AR117"/>
      <c r="AS117"/>
      <c r="AT117"/>
      <c r="AU117"/>
      <c r="AV117" t="s">
        <v>2551</v>
      </c>
      <c r="AW117"/>
      <c r="AX117"/>
      <c r="AY117"/>
      <c r="AZ117"/>
      <c r="BA117"/>
      <c r="BB117"/>
      <c r="BC117"/>
      <c r="BD117"/>
      <c r="BE117"/>
      <c r="BF117"/>
      <c r="BG117"/>
      <c r="BH117"/>
      <c r="BI117"/>
      <c r="BJ117"/>
      <c r="BK117"/>
      <c r="BL117"/>
      <c r="BM117"/>
      <c r="BN117"/>
      <c r="BO117"/>
      <c r="BP117" t="s">
        <v>4576</v>
      </c>
      <c r="BQ117" t="s">
        <v>4575</v>
      </c>
      <c r="BR117" t="s">
        <v>4574</v>
      </c>
      <c r="BS117" t="s">
        <v>2333</v>
      </c>
      <c r="BT117" t="s">
        <v>4573</v>
      </c>
      <c r="BU117" t="s">
        <v>2333</v>
      </c>
      <c r="BV117" t="s">
        <v>3575</v>
      </c>
      <c r="BW117" t="s">
        <v>4572</v>
      </c>
      <c r="BX117" t="s">
        <v>4571</v>
      </c>
      <c r="BY117" t="s">
        <v>2884</v>
      </c>
      <c r="BZ117" t="s">
        <v>4570</v>
      </c>
      <c r="CA117" t="s">
        <v>4569</v>
      </c>
      <c r="CB117"/>
      <c r="CC117"/>
      <c r="CD117"/>
      <c r="CE117"/>
      <c r="CF117"/>
      <c r="CG117"/>
      <c r="CH117"/>
      <c r="CI117"/>
      <c r="CJ117"/>
      <c r="CK117"/>
      <c r="CL117"/>
      <c r="CM117"/>
      <c r="CN117"/>
      <c r="CO117"/>
      <c r="CP117"/>
      <c r="CQ117"/>
      <c r="CR117"/>
      <c r="CS117"/>
      <c r="CT117"/>
      <c r="CU117"/>
      <c r="CV117"/>
      <c r="CW117"/>
      <c r="CX117" t="s">
        <v>2307</v>
      </c>
      <c r="CY117">
        <v>155</v>
      </c>
      <c r="CZ117" t="s">
        <v>2306</v>
      </c>
    </row>
    <row r="118" spans="1:104" ht="14.25">
      <c r="A118" t="s">
        <v>4568</v>
      </c>
      <c r="B118" t="s">
        <v>4568</v>
      </c>
      <c r="C118" t="s">
        <v>4567</v>
      </c>
      <c r="D118">
        <v>2</v>
      </c>
      <c r="E118" t="s">
        <v>2321</v>
      </c>
      <c r="F118" t="s">
        <v>2320</v>
      </c>
      <c r="G118" t="s">
        <v>2479</v>
      </c>
      <c r="H118"/>
      <c r="I118"/>
      <c r="J118" t="s">
        <v>2340</v>
      </c>
      <c r="K118"/>
      <c r="L118"/>
      <c r="M118">
        <v>15</v>
      </c>
      <c r="N118">
        <v>52</v>
      </c>
      <c r="O118">
        <v>7</v>
      </c>
      <c r="P118">
        <v>8</v>
      </c>
      <c r="Q118">
        <v>21</v>
      </c>
      <c r="R118" t="s">
        <v>2317</v>
      </c>
      <c r="S118" t="s">
        <v>2458</v>
      </c>
      <c r="T118" t="s">
        <v>2458</v>
      </c>
      <c r="U118" t="s">
        <v>2315</v>
      </c>
      <c r="V118">
        <v>30</v>
      </c>
      <c r="W118"/>
      <c r="X118"/>
      <c r="Y118">
        <v>60</v>
      </c>
      <c r="Z118"/>
      <c r="AA118">
        <v>15</v>
      </c>
      <c r="AB118">
        <v>11</v>
      </c>
      <c r="AC118">
        <v>16</v>
      </c>
      <c r="AD118">
        <v>6</v>
      </c>
      <c r="AE118">
        <v>11</v>
      </c>
      <c r="AF118">
        <v>7</v>
      </c>
      <c r="AG118">
        <v>140</v>
      </c>
      <c r="AH118"/>
      <c r="AI118"/>
      <c r="AJ118"/>
      <c r="AK118"/>
      <c r="AL118"/>
      <c r="AM118"/>
      <c r="AN118">
        <v>21</v>
      </c>
      <c r="AO118">
        <v>312</v>
      </c>
      <c r="AP118">
        <v>9</v>
      </c>
      <c r="AQ118"/>
      <c r="AR118"/>
      <c r="AS118"/>
      <c r="AT118"/>
      <c r="AU118"/>
      <c r="AV118" t="s">
        <v>3648</v>
      </c>
      <c r="AW118"/>
      <c r="AX118"/>
      <c r="AY118" t="s">
        <v>2739</v>
      </c>
      <c r="AZ118" t="s">
        <v>4566</v>
      </c>
      <c r="BA118" t="s">
        <v>2739</v>
      </c>
      <c r="BB118"/>
      <c r="BC118"/>
      <c r="BD118"/>
      <c r="BE118"/>
      <c r="BF118"/>
      <c r="BG118"/>
      <c r="BH118"/>
      <c r="BI118"/>
      <c r="BJ118"/>
      <c r="BK118"/>
      <c r="BL118"/>
      <c r="BM118"/>
      <c r="BN118"/>
      <c r="BO118"/>
      <c r="BP118" t="s">
        <v>2333</v>
      </c>
      <c r="BQ118" t="s">
        <v>4565</v>
      </c>
      <c r="BR118" t="s">
        <v>2333</v>
      </c>
      <c r="BS118" t="s">
        <v>2332</v>
      </c>
      <c r="BT118" t="s">
        <v>2638</v>
      </c>
      <c r="BU118" t="s">
        <v>3535</v>
      </c>
      <c r="BV118" t="s">
        <v>2505</v>
      </c>
      <c r="BW118" t="s">
        <v>4263</v>
      </c>
      <c r="BX118" t="s">
        <v>4564</v>
      </c>
      <c r="BY118"/>
      <c r="BZ118"/>
      <c r="CA118"/>
      <c r="CB118"/>
      <c r="CC118"/>
      <c r="CD118"/>
      <c r="CE118"/>
      <c r="CF118"/>
      <c r="CG118"/>
      <c r="CH118"/>
      <c r="CI118"/>
      <c r="CJ118"/>
      <c r="CK118"/>
      <c r="CL118"/>
      <c r="CM118"/>
      <c r="CN118"/>
      <c r="CO118"/>
      <c r="CP118"/>
      <c r="CQ118"/>
      <c r="CR118"/>
      <c r="CS118"/>
      <c r="CT118"/>
      <c r="CU118"/>
      <c r="CV118"/>
      <c r="CW118"/>
      <c r="CX118" t="s">
        <v>2307</v>
      </c>
      <c r="CY118">
        <v>140</v>
      </c>
      <c r="CZ118" t="s">
        <v>2306</v>
      </c>
    </row>
    <row r="119" spans="1:104" ht="14.25">
      <c r="A119" t="s">
        <v>4563</v>
      </c>
      <c r="B119" t="s">
        <v>4563</v>
      </c>
      <c r="C119"/>
      <c r="D119">
        <v>0.5</v>
      </c>
      <c r="E119" t="s">
        <v>3567</v>
      </c>
      <c r="F119" t="s">
        <v>2497</v>
      </c>
      <c r="G119" t="s">
        <v>3567</v>
      </c>
      <c r="H119"/>
      <c r="I119"/>
      <c r="J119" t="s">
        <v>2318</v>
      </c>
      <c r="K119"/>
      <c r="L119"/>
      <c r="M119">
        <v>13</v>
      </c>
      <c r="N119">
        <v>13</v>
      </c>
      <c r="O119">
        <v>3</v>
      </c>
      <c r="P119">
        <v>4</v>
      </c>
      <c r="Q119">
        <v>6</v>
      </c>
      <c r="R119"/>
      <c r="S119" t="s">
        <v>4562</v>
      </c>
      <c r="T119"/>
      <c r="U119"/>
      <c r="V119"/>
      <c r="W119"/>
      <c r="X119"/>
      <c r="Y119">
        <v>30</v>
      </c>
      <c r="Z119"/>
      <c r="AA119">
        <v>3</v>
      </c>
      <c r="AB119">
        <v>17</v>
      </c>
      <c r="AC119">
        <v>14</v>
      </c>
      <c r="AD119">
        <v>3</v>
      </c>
      <c r="AE119">
        <v>10</v>
      </c>
      <c r="AF119">
        <v>7</v>
      </c>
      <c r="AG119"/>
      <c r="AH119"/>
      <c r="AI119"/>
      <c r="AJ119"/>
      <c r="AK119"/>
      <c r="AL119"/>
      <c r="AM119"/>
      <c r="AN119"/>
      <c r="AO119"/>
      <c r="AP119"/>
      <c r="AQ119"/>
      <c r="AR119"/>
      <c r="AS119"/>
      <c r="AT119"/>
      <c r="AU119"/>
      <c r="AV119"/>
      <c r="AW119"/>
      <c r="AX119"/>
      <c r="AY119" t="s">
        <v>3576</v>
      </c>
      <c r="AZ119" t="s">
        <v>4561</v>
      </c>
      <c r="BA119" t="s">
        <v>3576</v>
      </c>
      <c r="BB119" t="s">
        <v>3380</v>
      </c>
      <c r="BC119" t="s">
        <v>4560</v>
      </c>
      <c r="BD119" t="s">
        <v>3380</v>
      </c>
      <c r="BE119"/>
      <c r="BF119"/>
      <c r="BG119"/>
      <c r="BH119"/>
      <c r="BI119"/>
      <c r="BJ119"/>
      <c r="BK119"/>
      <c r="BL119"/>
      <c r="BM119"/>
      <c r="BN119"/>
      <c r="BO119"/>
      <c r="BP119" t="s">
        <v>2332</v>
      </c>
      <c r="BQ119" t="s">
        <v>3408</v>
      </c>
      <c r="BR119" t="s">
        <v>2332</v>
      </c>
      <c r="BS119" t="s">
        <v>4558</v>
      </c>
      <c r="BT119" t="s">
        <v>4559</v>
      </c>
      <c r="BU119" t="s">
        <v>4558</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row>
    <row r="120" spans="1:104" ht="14.25">
      <c r="A120" t="s">
        <v>4557</v>
      </c>
      <c r="B120" t="s">
        <v>4556</v>
      </c>
      <c r="C120" t="s">
        <v>4555</v>
      </c>
      <c r="D120">
        <v>2</v>
      </c>
      <c r="E120" t="s">
        <v>2321</v>
      </c>
      <c r="F120" t="s">
        <v>2342</v>
      </c>
      <c r="G120" t="s">
        <v>3630</v>
      </c>
      <c r="H120"/>
      <c r="I120"/>
      <c r="J120" t="s">
        <v>1908</v>
      </c>
      <c r="K120"/>
      <c r="L120"/>
      <c r="M120">
        <v>6</v>
      </c>
      <c r="N120">
        <v>84</v>
      </c>
      <c r="O120">
        <v>8</v>
      </c>
      <c r="P120">
        <v>10</v>
      </c>
      <c r="Q120">
        <v>40</v>
      </c>
      <c r="R120" t="s">
        <v>2317</v>
      </c>
      <c r="S120" t="s">
        <v>4554</v>
      </c>
      <c r="T120" t="s">
        <v>2315</v>
      </c>
      <c r="U120" t="s">
        <v>2315</v>
      </c>
      <c r="V120">
        <v>15</v>
      </c>
      <c r="W120"/>
      <c r="X120"/>
      <c r="Y120"/>
      <c r="Z120"/>
      <c r="AA120">
        <v>14</v>
      </c>
      <c r="AB120">
        <v>3</v>
      </c>
      <c r="AC120">
        <v>20</v>
      </c>
      <c r="AD120">
        <v>1</v>
      </c>
      <c r="AE120">
        <v>6</v>
      </c>
      <c r="AF120">
        <v>1</v>
      </c>
      <c r="AG120">
        <v>242</v>
      </c>
      <c r="AH120"/>
      <c r="AI120"/>
      <c r="AJ120"/>
      <c r="AK120"/>
      <c r="AL120"/>
      <c r="AM120"/>
      <c r="AN120"/>
      <c r="AO120">
        <v>340</v>
      </c>
      <c r="AP120"/>
      <c r="AQ120"/>
      <c r="AR120"/>
      <c r="AS120"/>
      <c r="AT120"/>
      <c r="AU120"/>
      <c r="AV120"/>
      <c r="AW120"/>
      <c r="AX120"/>
      <c r="AY120" t="s">
        <v>4552</v>
      </c>
      <c r="AZ120" t="s">
        <v>4553</v>
      </c>
      <c r="BA120" t="s">
        <v>4552</v>
      </c>
      <c r="BB120" t="s">
        <v>4550</v>
      </c>
      <c r="BC120" t="s">
        <v>4551</v>
      </c>
      <c r="BD120" t="s">
        <v>4550</v>
      </c>
      <c r="BE120"/>
      <c r="BF120"/>
      <c r="BG120"/>
      <c r="BH120"/>
      <c r="BI120"/>
      <c r="BJ120"/>
      <c r="BK120"/>
      <c r="BL120"/>
      <c r="BM120"/>
      <c r="BN120"/>
      <c r="BO120"/>
      <c r="BP120" t="s">
        <v>3625</v>
      </c>
      <c r="BQ120" t="s">
        <v>4549</v>
      </c>
      <c r="BR120" t="s">
        <v>4548</v>
      </c>
      <c r="BS120" t="s">
        <v>3186</v>
      </c>
      <c r="BT120" t="s">
        <v>4547</v>
      </c>
      <c r="BU120" t="s">
        <v>3186</v>
      </c>
      <c r="BV120"/>
      <c r="BW120"/>
      <c r="BX120"/>
      <c r="BY120"/>
      <c r="BZ120"/>
      <c r="CA120"/>
      <c r="CB120"/>
      <c r="CC120"/>
      <c r="CD120"/>
      <c r="CE120"/>
      <c r="CF120"/>
      <c r="CG120"/>
      <c r="CH120"/>
      <c r="CI120"/>
      <c r="CJ120"/>
      <c r="CK120"/>
      <c r="CL120"/>
      <c r="CM120"/>
      <c r="CN120"/>
      <c r="CO120"/>
      <c r="CP120"/>
      <c r="CQ120"/>
      <c r="CR120"/>
      <c r="CS120"/>
      <c r="CT120"/>
      <c r="CU120"/>
      <c r="CV120"/>
      <c r="CW120"/>
      <c r="CX120" t="s">
        <v>2307</v>
      </c>
      <c r="CY120">
        <v>242</v>
      </c>
      <c r="CZ120" t="s">
        <v>2306</v>
      </c>
    </row>
    <row r="121" spans="1:104" ht="14.25">
      <c r="A121" t="s">
        <v>4546</v>
      </c>
      <c r="B121" t="s">
        <v>4546</v>
      </c>
      <c r="C121" t="s">
        <v>4545</v>
      </c>
      <c r="D121">
        <v>2</v>
      </c>
      <c r="E121" t="s">
        <v>2321</v>
      </c>
      <c r="F121" t="s">
        <v>2320</v>
      </c>
      <c r="G121" t="s">
        <v>2319</v>
      </c>
      <c r="H121"/>
      <c r="I121"/>
      <c r="J121" t="s">
        <v>2340</v>
      </c>
      <c r="K121"/>
      <c r="L121"/>
      <c r="M121">
        <v>13</v>
      </c>
      <c r="N121">
        <v>36</v>
      </c>
      <c r="O121">
        <v>8</v>
      </c>
      <c r="P121">
        <v>8</v>
      </c>
      <c r="Q121"/>
      <c r="R121" t="s">
        <v>2317</v>
      </c>
      <c r="S121" t="s">
        <v>3756</v>
      </c>
      <c r="T121" t="s">
        <v>2532</v>
      </c>
      <c r="U121" t="s">
        <v>2315</v>
      </c>
      <c r="V121">
        <v>30</v>
      </c>
      <c r="W121"/>
      <c r="X121"/>
      <c r="Y121"/>
      <c r="Z121"/>
      <c r="AA121">
        <v>16</v>
      </c>
      <c r="AB121">
        <v>17</v>
      </c>
      <c r="AC121">
        <v>10</v>
      </c>
      <c r="AD121">
        <v>11</v>
      </c>
      <c r="AE121">
        <v>10</v>
      </c>
      <c r="AF121">
        <v>8</v>
      </c>
      <c r="AG121">
        <v>148</v>
      </c>
      <c r="AH121"/>
      <c r="AI121"/>
      <c r="AJ121"/>
      <c r="AK121"/>
      <c r="AL121"/>
      <c r="AM121"/>
      <c r="AN121"/>
      <c r="AO121">
        <v>314</v>
      </c>
      <c r="AP121"/>
      <c r="AQ121"/>
      <c r="AR121"/>
      <c r="AS121" t="s">
        <v>4544</v>
      </c>
      <c r="AT121">
        <v>18</v>
      </c>
      <c r="AU121"/>
      <c r="AV121"/>
      <c r="AW121"/>
      <c r="AX121"/>
      <c r="AY121" t="s">
        <v>4127</v>
      </c>
      <c r="AZ121" t="s">
        <v>4543</v>
      </c>
      <c r="BA121" t="s">
        <v>4127</v>
      </c>
      <c r="BB121" t="s">
        <v>4541</v>
      </c>
      <c r="BC121" t="s">
        <v>4542</v>
      </c>
      <c r="BD121" t="s">
        <v>4541</v>
      </c>
      <c r="BE121"/>
      <c r="BF121"/>
      <c r="BG121"/>
      <c r="BH121"/>
      <c r="BI121"/>
      <c r="BJ121"/>
      <c r="BK121"/>
      <c r="BL121"/>
      <c r="BM121"/>
      <c r="BN121"/>
      <c r="BO121"/>
      <c r="BP121" t="s">
        <v>2332</v>
      </c>
      <c r="BQ121" t="s">
        <v>4540</v>
      </c>
      <c r="BR121" t="s">
        <v>4539</v>
      </c>
      <c r="BS121" t="s">
        <v>2505</v>
      </c>
      <c r="BT121" t="s">
        <v>4538</v>
      </c>
      <c r="BU121" t="s">
        <v>3217</v>
      </c>
      <c r="BV121"/>
      <c r="BW121"/>
      <c r="BX121"/>
      <c r="BY121"/>
      <c r="BZ121"/>
      <c r="CA121"/>
      <c r="CB121"/>
      <c r="CC121"/>
      <c r="CD121"/>
      <c r="CE121"/>
      <c r="CF121"/>
      <c r="CG121"/>
      <c r="CH121"/>
      <c r="CI121"/>
      <c r="CJ121"/>
      <c r="CK121"/>
      <c r="CL121"/>
      <c r="CM121"/>
      <c r="CN121"/>
      <c r="CO121"/>
      <c r="CP121"/>
      <c r="CQ121"/>
      <c r="CR121"/>
      <c r="CS121"/>
      <c r="CT121"/>
      <c r="CU121"/>
      <c r="CV121"/>
      <c r="CW121"/>
      <c r="CX121" t="s">
        <v>2307</v>
      </c>
      <c r="CY121">
        <v>148</v>
      </c>
      <c r="CZ121" t="s">
        <v>2306</v>
      </c>
    </row>
    <row r="122" spans="1:104" ht="14.25">
      <c r="A122" t="s">
        <v>4537</v>
      </c>
      <c r="B122" t="s">
        <v>4537</v>
      </c>
      <c r="C122" t="s">
        <v>4536</v>
      </c>
      <c r="D122">
        <v>4</v>
      </c>
      <c r="E122" t="s">
        <v>2321</v>
      </c>
      <c r="F122" t="s">
        <v>2320</v>
      </c>
      <c r="G122" t="s">
        <v>2319</v>
      </c>
      <c r="H122"/>
      <c r="I122"/>
      <c r="J122" t="s">
        <v>2460</v>
      </c>
      <c r="K122"/>
      <c r="L122"/>
      <c r="M122">
        <v>11</v>
      </c>
      <c r="N122">
        <v>45</v>
      </c>
      <c r="O122">
        <v>10</v>
      </c>
      <c r="P122">
        <v>8</v>
      </c>
      <c r="Q122"/>
      <c r="R122" t="s">
        <v>2317</v>
      </c>
      <c r="S122" t="s">
        <v>4535</v>
      </c>
      <c r="T122" t="s">
        <v>2315</v>
      </c>
      <c r="U122" t="s">
        <v>2315</v>
      </c>
      <c r="V122">
        <v>0</v>
      </c>
      <c r="W122"/>
      <c r="X122"/>
      <c r="Y122">
        <v>40</v>
      </c>
      <c r="Z122"/>
      <c r="AA122">
        <v>7</v>
      </c>
      <c r="AB122">
        <v>13</v>
      </c>
      <c r="AC122">
        <v>10</v>
      </c>
      <c r="AD122">
        <v>10</v>
      </c>
      <c r="AE122">
        <v>12</v>
      </c>
      <c r="AF122">
        <v>17</v>
      </c>
      <c r="AG122">
        <v>147</v>
      </c>
      <c r="AH122"/>
      <c r="AI122"/>
      <c r="AJ122"/>
      <c r="AK122"/>
      <c r="AL122"/>
      <c r="AM122"/>
      <c r="AN122">
        <v>22</v>
      </c>
      <c r="AO122">
        <v>313</v>
      </c>
      <c r="AP122"/>
      <c r="AQ122">
        <v>14</v>
      </c>
      <c r="AR122"/>
      <c r="AS122" t="s">
        <v>4534</v>
      </c>
      <c r="AT122"/>
      <c r="AU122"/>
      <c r="AV122"/>
      <c r="AW122"/>
      <c r="AX122" t="s">
        <v>4533</v>
      </c>
      <c r="AY122" t="s">
        <v>4531</v>
      </c>
      <c r="AZ122" t="s">
        <v>4532</v>
      </c>
      <c r="BA122" t="s">
        <v>4531</v>
      </c>
      <c r="BB122" t="s">
        <v>2520</v>
      </c>
      <c r="BC122" t="s">
        <v>4530</v>
      </c>
      <c r="BD122" t="s">
        <v>2520</v>
      </c>
      <c r="BE122"/>
      <c r="BF122"/>
      <c r="BG122"/>
      <c r="BH122"/>
      <c r="BI122"/>
      <c r="BJ122"/>
      <c r="BK122"/>
      <c r="BL122"/>
      <c r="BM122"/>
      <c r="BN122"/>
      <c r="BO122"/>
      <c r="BP122" t="s">
        <v>4529</v>
      </c>
      <c r="BQ122" t="s">
        <v>4528</v>
      </c>
      <c r="BR122" t="s">
        <v>4527</v>
      </c>
      <c r="BS122" t="s">
        <v>3654</v>
      </c>
      <c r="BT122" t="s">
        <v>4526</v>
      </c>
      <c r="BU122" t="s">
        <v>3654</v>
      </c>
      <c r="BV122" t="s">
        <v>4524</v>
      </c>
      <c r="BW122" t="s">
        <v>4525</v>
      </c>
      <c r="BX122" t="s">
        <v>4524</v>
      </c>
      <c r="BY122" t="s">
        <v>4522</v>
      </c>
      <c r="BZ122" t="s">
        <v>4523</v>
      </c>
      <c r="CA122" t="s">
        <v>4522</v>
      </c>
      <c r="CB122"/>
      <c r="CC122"/>
      <c r="CD122"/>
      <c r="CE122"/>
      <c r="CF122"/>
      <c r="CG122"/>
      <c r="CH122"/>
      <c r="CI122"/>
      <c r="CJ122"/>
      <c r="CK122"/>
      <c r="CL122"/>
      <c r="CM122"/>
      <c r="CN122"/>
      <c r="CO122"/>
      <c r="CP122"/>
      <c r="CQ122"/>
      <c r="CR122"/>
      <c r="CS122"/>
      <c r="CT122"/>
      <c r="CU122"/>
      <c r="CV122"/>
      <c r="CW122"/>
      <c r="CX122" t="s">
        <v>2307</v>
      </c>
      <c r="CY122">
        <v>147</v>
      </c>
      <c r="CZ122" t="s">
        <v>2306</v>
      </c>
    </row>
    <row r="123" spans="1:104" ht="14.25">
      <c r="A123" t="s">
        <v>4521</v>
      </c>
      <c r="B123" t="s">
        <v>4521</v>
      </c>
      <c r="C123" t="s">
        <v>4520</v>
      </c>
      <c r="D123">
        <v>1</v>
      </c>
      <c r="E123" t="s">
        <v>2321</v>
      </c>
      <c r="F123" t="s">
        <v>2320</v>
      </c>
      <c r="G123" t="s">
        <v>2319</v>
      </c>
      <c r="H123"/>
      <c r="I123"/>
      <c r="J123" t="s">
        <v>2340</v>
      </c>
      <c r="K123"/>
      <c r="L123"/>
      <c r="M123">
        <v>12</v>
      </c>
      <c r="N123">
        <v>22</v>
      </c>
      <c r="O123">
        <v>5</v>
      </c>
      <c r="P123">
        <v>8</v>
      </c>
      <c r="Q123"/>
      <c r="R123" t="s">
        <v>2317</v>
      </c>
      <c r="S123" t="s">
        <v>3206</v>
      </c>
      <c r="T123" t="s">
        <v>2610</v>
      </c>
      <c r="U123" t="s">
        <v>2315</v>
      </c>
      <c r="V123">
        <v>30</v>
      </c>
      <c r="W123"/>
      <c r="X123"/>
      <c r="Y123"/>
      <c r="Z123"/>
      <c r="AA123">
        <v>13</v>
      </c>
      <c r="AB123">
        <v>15</v>
      </c>
      <c r="AC123">
        <v>10</v>
      </c>
      <c r="AD123">
        <v>7</v>
      </c>
      <c r="AE123">
        <v>10</v>
      </c>
      <c r="AF123">
        <v>6</v>
      </c>
      <c r="AG123">
        <v>148</v>
      </c>
      <c r="AH123"/>
      <c r="AI123"/>
      <c r="AJ123">
        <v>58</v>
      </c>
      <c r="AK123"/>
      <c r="AL123"/>
      <c r="AM123"/>
      <c r="AN123">
        <v>22</v>
      </c>
      <c r="AO123">
        <v>315</v>
      </c>
      <c r="AP123"/>
      <c r="AQ123"/>
      <c r="AR123"/>
      <c r="AS123" t="s">
        <v>4519</v>
      </c>
      <c r="AT123"/>
      <c r="AU123"/>
      <c r="AV123"/>
      <c r="AW123"/>
      <c r="AX123"/>
      <c r="AY123"/>
      <c r="AZ123"/>
      <c r="BA123"/>
      <c r="BB123"/>
      <c r="BC123"/>
      <c r="BD123"/>
      <c r="BE123"/>
      <c r="BF123"/>
      <c r="BG123"/>
      <c r="BH123"/>
      <c r="BI123"/>
      <c r="BJ123"/>
      <c r="BK123"/>
      <c r="BL123"/>
      <c r="BM123"/>
      <c r="BN123"/>
      <c r="BO123"/>
      <c r="BP123" t="s">
        <v>2332</v>
      </c>
      <c r="BQ123" t="s">
        <v>4518</v>
      </c>
      <c r="BR123" t="s">
        <v>4517</v>
      </c>
      <c r="BS123" t="s">
        <v>2505</v>
      </c>
      <c r="BT123" t="s">
        <v>4516</v>
      </c>
      <c r="BU123" t="s">
        <v>2599</v>
      </c>
      <c r="BV123"/>
      <c r="BW123"/>
      <c r="BX123"/>
      <c r="BY123"/>
      <c r="BZ123"/>
      <c r="CA123"/>
      <c r="CB123"/>
      <c r="CC123"/>
      <c r="CD123"/>
      <c r="CE123"/>
      <c r="CF123"/>
      <c r="CG123"/>
      <c r="CH123"/>
      <c r="CI123"/>
      <c r="CJ123"/>
      <c r="CK123"/>
      <c r="CL123"/>
      <c r="CM123"/>
      <c r="CN123"/>
      <c r="CO123"/>
      <c r="CP123"/>
      <c r="CQ123"/>
      <c r="CR123"/>
      <c r="CS123"/>
      <c r="CT123"/>
      <c r="CU123"/>
      <c r="CV123"/>
      <c r="CW123"/>
      <c r="CX123" t="s">
        <v>2307</v>
      </c>
      <c r="CY123">
        <v>148</v>
      </c>
      <c r="CZ123" t="s">
        <v>2306</v>
      </c>
    </row>
    <row r="124" spans="1:104" ht="14.25">
      <c r="A124" t="s">
        <v>4515</v>
      </c>
      <c r="B124" t="s">
        <v>4514</v>
      </c>
      <c r="C124" t="s">
        <v>4513</v>
      </c>
      <c r="D124">
        <v>7</v>
      </c>
      <c r="E124" t="s">
        <v>2533</v>
      </c>
      <c r="F124" t="s">
        <v>2838</v>
      </c>
      <c r="G124" t="s">
        <v>2543</v>
      </c>
      <c r="H124"/>
      <c r="I124"/>
      <c r="J124" t="s">
        <v>1908</v>
      </c>
      <c r="K124"/>
      <c r="L124"/>
      <c r="M124">
        <v>12</v>
      </c>
      <c r="N124">
        <v>157</v>
      </c>
      <c r="O124">
        <v>15</v>
      </c>
      <c r="P124">
        <v>12</v>
      </c>
      <c r="Q124">
        <v>60</v>
      </c>
      <c r="R124" t="s">
        <v>2317</v>
      </c>
      <c r="S124" t="s">
        <v>2868</v>
      </c>
      <c r="T124" t="s">
        <v>4512</v>
      </c>
      <c r="U124" t="s">
        <v>2315</v>
      </c>
      <c r="V124">
        <v>40</v>
      </c>
      <c r="W124"/>
      <c r="X124">
        <v>40</v>
      </c>
      <c r="Y124"/>
      <c r="Z124"/>
      <c r="AA124">
        <v>23</v>
      </c>
      <c r="AB124">
        <v>14</v>
      </c>
      <c r="AC124">
        <v>18</v>
      </c>
      <c r="AD124">
        <v>7</v>
      </c>
      <c r="AE124">
        <v>12</v>
      </c>
      <c r="AF124">
        <v>7</v>
      </c>
      <c r="AG124">
        <v>323</v>
      </c>
      <c r="AH124"/>
      <c r="AI124"/>
      <c r="AJ124"/>
      <c r="AK124"/>
      <c r="AL124"/>
      <c r="AM124"/>
      <c r="AN124">
        <v>22</v>
      </c>
      <c r="AO124">
        <v>368</v>
      </c>
      <c r="AP124"/>
      <c r="AQ124"/>
      <c r="AR124"/>
      <c r="AS124"/>
      <c r="AT124"/>
      <c r="AU124"/>
      <c r="AV124"/>
      <c r="AW124"/>
      <c r="AX124"/>
      <c r="AY124"/>
      <c r="AZ124"/>
      <c r="BA124"/>
      <c r="BB124"/>
      <c r="BC124"/>
      <c r="BD124"/>
      <c r="BE124"/>
      <c r="BF124"/>
      <c r="BG124"/>
      <c r="BH124"/>
      <c r="BI124"/>
      <c r="BJ124"/>
      <c r="BK124"/>
      <c r="BL124"/>
      <c r="BM124"/>
      <c r="BN124"/>
      <c r="BO124"/>
      <c r="BP124" t="s">
        <v>2333</v>
      </c>
      <c r="BQ124" t="s">
        <v>4511</v>
      </c>
      <c r="BR124" t="s">
        <v>2333</v>
      </c>
      <c r="BS124" t="s">
        <v>3174</v>
      </c>
      <c r="BT124" t="s">
        <v>4510</v>
      </c>
      <c r="BU124" t="s">
        <v>4509</v>
      </c>
      <c r="BV124" t="s">
        <v>2884</v>
      </c>
      <c r="BW124" t="s">
        <v>4508</v>
      </c>
      <c r="BX124" t="s">
        <v>4507</v>
      </c>
      <c r="BY124"/>
      <c r="BZ124"/>
      <c r="CA124"/>
      <c r="CB124"/>
      <c r="CC124"/>
      <c r="CD124"/>
      <c r="CE124"/>
      <c r="CF124"/>
      <c r="CG124"/>
      <c r="CH124"/>
      <c r="CI124"/>
      <c r="CJ124"/>
      <c r="CK124"/>
      <c r="CL124"/>
      <c r="CM124"/>
      <c r="CN124"/>
      <c r="CO124"/>
      <c r="CP124"/>
      <c r="CQ124"/>
      <c r="CR124"/>
      <c r="CS124"/>
      <c r="CT124"/>
      <c r="CU124"/>
      <c r="CV124"/>
      <c r="CW124"/>
      <c r="CX124" t="s">
        <v>2307</v>
      </c>
      <c r="CY124">
        <v>323</v>
      </c>
      <c r="CZ124" t="s">
        <v>2306</v>
      </c>
    </row>
    <row r="125" spans="1:104" ht="14.25">
      <c r="A125" t="s">
        <v>4506</v>
      </c>
      <c r="B125" t="s">
        <v>4505</v>
      </c>
      <c r="C125" t="s">
        <v>4504</v>
      </c>
      <c r="D125">
        <v>0.25</v>
      </c>
      <c r="E125" t="s">
        <v>2533</v>
      </c>
      <c r="F125" t="s">
        <v>2320</v>
      </c>
      <c r="G125" t="s">
        <v>2543</v>
      </c>
      <c r="H125"/>
      <c r="I125"/>
      <c r="J125" t="s">
        <v>1908</v>
      </c>
      <c r="K125"/>
      <c r="L125"/>
      <c r="M125">
        <v>10</v>
      </c>
      <c r="N125">
        <v>13</v>
      </c>
      <c r="O125">
        <v>2</v>
      </c>
      <c r="P125">
        <v>8</v>
      </c>
      <c r="Q125">
        <v>4</v>
      </c>
      <c r="R125" t="s">
        <v>2317</v>
      </c>
      <c r="S125" t="s">
        <v>2316</v>
      </c>
      <c r="T125" t="s">
        <v>3256</v>
      </c>
      <c r="U125" t="s">
        <v>2315</v>
      </c>
      <c r="V125">
        <v>30</v>
      </c>
      <c r="W125">
        <v>10</v>
      </c>
      <c r="X125"/>
      <c r="Y125"/>
      <c r="Z125"/>
      <c r="AA125">
        <v>13</v>
      </c>
      <c r="AB125">
        <v>10</v>
      </c>
      <c r="AC125">
        <v>15</v>
      </c>
      <c r="AD125">
        <v>2</v>
      </c>
      <c r="AE125">
        <v>12</v>
      </c>
      <c r="AF125">
        <v>5</v>
      </c>
      <c r="AG125">
        <v>323</v>
      </c>
      <c r="AH125"/>
      <c r="AI125"/>
      <c r="AJ125"/>
      <c r="AK125"/>
      <c r="AL125"/>
      <c r="AM125"/>
      <c r="AN125">
        <v>23</v>
      </c>
      <c r="AO125">
        <v>368</v>
      </c>
      <c r="AP125"/>
      <c r="AQ125"/>
      <c r="AR125"/>
      <c r="AS125"/>
      <c r="AT125"/>
      <c r="AU125"/>
      <c r="AV125" t="s">
        <v>4503</v>
      </c>
      <c r="AW125"/>
      <c r="AX125"/>
      <c r="AY125" t="s">
        <v>2434</v>
      </c>
      <c r="AZ125" t="s">
        <v>4502</v>
      </c>
      <c r="BA125" t="s">
        <v>2434</v>
      </c>
      <c r="BB125"/>
      <c r="BC125"/>
      <c r="BD125"/>
      <c r="BE125"/>
      <c r="BF125"/>
      <c r="BG125"/>
      <c r="BH125"/>
      <c r="BI125"/>
      <c r="BJ125"/>
      <c r="BK125"/>
      <c r="BL125"/>
      <c r="BM125"/>
      <c r="BN125"/>
      <c r="BO125"/>
      <c r="BP125" t="s">
        <v>2333</v>
      </c>
      <c r="BQ125" t="s">
        <v>4501</v>
      </c>
      <c r="BR125" t="s">
        <v>2333</v>
      </c>
      <c r="BS125" t="s">
        <v>2332</v>
      </c>
      <c r="BT125" t="s">
        <v>4500</v>
      </c>
      <c r="BU125" t="s">
        <v>3790</v>
      </c>
      <c r="BV125" t="s">
        <v>2505</v>
      </c>
      <c r="BW125" t="s">
        <v>4156</v>
      </c>
      <c r="BX125" t="s">
        <v>4155</v>
      </c>
      <c r="BY125"/>
      <c r="BZ125"/>
      <c r="CA125"/>
      <c r="CB125"/>
      <c r="CC125"/>
      <c r="CD125"/>
      <c r="CE125"/>
      <c r="CF125"/>
      <c r="CG125"/>
      <c r="CH125"/>
      <c r="CI125"/>
      <c r="CJ125"/>
      <c r="CK125"/>
      <c r="CL125"/>
      <c r="CM125"/>
      <c r="CN125"/>
      <c r="CO125"/>
      <c r="CP125"/>
      <c r="CQ125"/>
      <c r="CR125"/>
      <c r="CS125"/>
      <c r="CT125"/>
      <c r="CU125"/>
      <c r="CV125"/>
      <c r="CW125"/>
      <c r="CX125" t="s">
        <v>2307</v>
      </c>
      <c r="CY125">
        <v>323</v>
      </c>
      <c r="CZ125" t="s">
        <v>2306</v>
      </c>
    </row>
    <row r="126" spans="1:104" ht="14.25">
      <c r="A126" t="s">
        <v>4499</v>
      </c>
      <c r="B126" t="s">
        <v>4498</v>
      </c>
      <c r="C126" t="s">
        <v>4497</v>
      </c>
      <c r="D126">
        <v>0.25</v>
      </c>
      <c r="E126" t="s">
        <v>2533</v>
      </c>
      <c r="F126" t="s">
        <v>2342</v>
      </c>
      <c r="G126" t="s">
        <v>2543</v>
      </c>
      <c r="H126"/>
      <c r="I126"/>
      <c r="J126" t="s">
        <v>1908</v>
      </c>
      <c r="K126"/>
      <c r="L126"/>
      <c r="M126">
        <v>13</v>
      </c>
      <c r="N126">
        <v>22</v>
      </c>
      <c r="O126">
        <v>4</v>
      </c>
      <c r="P126">
        <v>10</v>
      </c>
      <c r="Q126"/>
      <c r="R126" t="s">
        <v>2317</v>
      </c>
      <c r="S126" t="s">
        <v>2458</v>
      </c>
      <c r="T126" t="s">
        <v>2315</v>
      </c>
      <c r="U126" t="s">
        <v>2315</v>
      </c>
      <c r="V126">
        <v>10</v>
      </c>
      <c r="W126"/>
      <c r="X126"/>
      <c r="Y126">
        <v>60</v>
      </c>
      <c r="Z126"/>
      <c r="AA126">
        <v>15</v>
      </c>
      <c r="AB126">
        <v>16</v>
      </c>
      <c r="AC126">
        <v>11</v>
      </c>
      <c r="AD126">
        <v>2</v>
      </c>
      <c r="AE126">
        <v>12</v>
      </c>
      <c r="AF126">
        <v>6</v>
      </c>
      <c r="AG126">
        <v>323</v>
      </c>
      <c r="AH126"/>
      <c r="AI126"/>
      <c r="AJ126"/>
      <c r="AK126"/>
      <c r="AL126"/>
      <c r="AM126"/>
      <c r="AN126">
        <v>23</v>
      </c>
      <c r="AO126">
        <v>368</v>
      </c>
      <c r="AP126"/>
      <c r="AQ126"/>
      <c r="AR126"/>
      <c r="AS126"/>
      <c r="AT126"/>
      <c r="AU126"/>
      <c r="AV126"/>
      <c r="AW126"/>
      <c r="AX126"/>
      <c r="AY126" t="s">
        <v>2984</v>
      </c>
      <c r="AZ126" t="s">
        <v>4496</v>
      </c>
      <c r="BA126" t="s">
        <v>2984</v>
      </c>
      <c r="BB126" t="s">
        <v>2982</v>
      </c>
      <c r="BC126" t="s">
        <v>4495</v>
      </c>
      <c r="BD126" t="s">
        <v>2982</v>
      </c>
      <c r="BE126"/>
      <c r="BF126"/>
      <c r="BG126"/>
      <c r="BH126"/>
      <c r="BI126"/>
      <c r="BJ126"/>
      <c r="BK126"/>
      <c r="BL126"/>
      <c r="BM126"/>
      <c r="BN126"/>
      <c r="BO126"/>
      <c r="BP126" t="s">
        <v>2332</v>
      </c>
      <c r="BQ126" t="s">
        <v>4494</v>
      </c>
      <c r="BR126" t="s">
        <v>3535</v>
      </c>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t="s">
        <v>2307</v>
      </c>
      <c r="CY126">
        <v>323</v>
      </c>
      <c r="CZ126" t="s">
        <v>2306</v>
      </c>
    </row>
    <row r="127" spans="1:104" ht="14.25">
      <c r="A127" t="s">
        <v>4493</v>
      </c>
      <c r="B127" t="s">
        <v>4492</v>
      </c>
      <c r="C127" t="s">
        <v>4491</v>
      </c>
      <c r="D127">
        <v>2</v>
      </c>
      <c r="E127" t="s">
        <v>2533</v>
      </c>
      <c r="F127" t="s">
        <v>2342</v>
      </c>
      <c r="G127" t="s">
        <v>2543</v>
      </c>
      <c r="H127"/>
      <c r="I127"/>
      <c r="J127" t="s">
        <v>1908</v>
      </c>
      <c r="K127"/>
      <c r="L127"/>
      <c r="M127">
        <v>12</v>
      </c>
      <c r="N127">
        <v>42</v>
      </c>
      <c r="O127">
        <v>5</v>
      </c>
      <c r="P127">
        <v>10</v>
      </c>
      <c r="Q127">
        <v>15</v>
      </c>
      <c r="R127" t="s">
        <v>2317</v>
      </c>
      <c r="S127" t="s">
        <v>4490</v>
      </c>
      <c r="T127" t="s">
        <v>2315</v>
      </c>
      <c r="U127" t="s">
        <v>2315</v>
      </c>
      <c r="V127">
        <v>40</v>
      </c>
      <c r="W127"/>
      <c r="X127"/>
      <c r="Y127"/>
      <c r="Z127"/>
      <c r="AA127">
        <v>17</v>
      </c>
      <c r="AB127">
        <v>10</v>
      </c>
      <c r="AC127">
        <v>16</v>
      </c>
      <c r="AD127">
        <v>2</v>
      </c>
      <c r="AE127">
        <v>7</v>
      </c>
      <c r="AF127">
        <v>5</v>
      </c>
      <c r="AG127">
        <v>323</v>
      </c>
      <c r="AH127"/>
      <c r="AI127"/>
      <c r="AJ127"/>
      <c r="AK127"/>
      <c r="AL127"/>
      <c r="AM127"/>
      <c r="AN127">
        <v>23</v>
      </c>
      <c r="AO127">
        <v>368</v>
      </c>
      <c r="AP127"/>
      <c r="AQ127"/>
      <c r="AR127"/>
      <c r="AS127"/>
      <c r="AT127"/>
      <c r="AU127"/>
      <c r="AV127"/>
      <c r="AW127"/>
      <c r="AX127" t="s">
        <v>4118</v>
      </c>
      <c r="AY127" t="s">
        <v>2824</v>
      </c>
      <c r="AZ127" t="s">
        <v>4489</v>
      </c>
      <c r="BA127" t="s">
        <v>2658</v>
      </c>
      <c r="BB127" t="s">
        <v>2656</v>
      </c>
      <c r="BC127" t="s">
        <v>4488</v>
      </c>
      <c r="BD127" t="s">
        <v>2656</v>
      </c>
      <c r="BE127"/>
      <c r="BF127"/>
      <c r="BG127"/>
      <c r="BH127"/>
      <c r="BI127"/>
      <c r="BJ127"/>
      <c r="BK127"/>
      <c r="BL127"/>
      <c r="BM127"/>
      <c r="BN127"/>
      <c r="BO127"/>
      <c r="BP127" t="s">
        <v>4487</v>
      </c>
      <c r="BQ127" t="s">
        <v>3218</v>
      </c>
      <c r="BR127" t="s">
        <v>4486</v>
      </c>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t="s">
        <v>2307</v>
      </c>
      <c r="CY127">
        <v>323</v>
      </c>
      <c r="CZ127" t="s">
        <v>2306</v>
      </c>
    </row>
    <row r="128" spans="1:104" ht="14.25">
      <c r="A128" t="s">
        <v>4485</v>
      </c>
      <c r="B128" t="s">
        <v>4484</v>
      </c>
      <c r="C128" t="s">
        <v>4483</v>
      </c>
      <c r="D128">
        <v>0.25</v>
      </c>
      <c r="E128" t="s">
        <v>2533</v>
      </c>
      <c r="F128" t="s">
        <v>2497</v>
      </c>
      <c r="G128" t="s">
        <v>2543</v>
      </c>
      <c r="H128"/>
      <c r="I128"/>
      <c r="J128" t="s">
        <v>1908</v>
      </c>
      <c r="K128"/>
      <c r="L128"/>
      <c r="M128">
        <v>13</v>
      </c>
      <c r="N128">
        <v>4</v>
      </c>
      <c r="O128">
        <v>1</v>
      </c>
      <c r="P128">
        <v>6</v>
      </c>
      <c r="Q128">
        <v>1</v>
      </c>
      <c r="R128" t="s">
        <v>2317</v>
      </c>
      <c r="S128" t="s">
        <v>2646</v>
      </c>
      <c r="T128" t="s">
        <v>2315</v>
      </c>
      <c r="U128" t="s">
        <v>2315</v>
      </c>
      <c r="V128">
        <v>30</v>
      </c>
      <c r="W128"/>
      <c r="X128">
        <v>30</v>
      </c>
      <c r="Y128"/>
      <c r="Z128"/>
      <c r="AA128">
        <v>5</v>
      </c>
      <c r="AB128">
        <v>14</v>
      </c>
      <c r="AC128">
        <v>12</v>
      </c>
      <c r="AD128">
        <v>1</v>
      </c>
      <c r="AE128">
        <v>7</v>
      </c>
      <c r="AF128">
        <v>3</v>
      </c>
      <c r="AG128">
        <v>323</v>
      </c>
      <c r="AH128"/>
      <c r="AI128"/>
      <c r="AJ128"/>
      <c r="AK128"/>
      <c r="AL128"/>
      <c r="AM128"/>
      <c r="AN128">
        <v>23</v>
      </c>
      <c r="AO128">
        <v>369</v>
      </c>
      <c r="AP128">
        <v>9</v>
      </c>
      <c r="AQ128"/>
      <c r="AR128"/>
      <c r="AS128"/>
      <c r="AT128"/>
      <c r="AU128"/>
      <c r="AV128"/>
      <c r="AW128"/>
      <c r="AX128"/>
      <c r="AY128"/>
      <c r="AZ128"/>
      <c r="BA128"/>
      <c r="BB128"/>
      <c r="BC128"/>
      <c r="BD128"/>
      <c r="BE128"/>
      <c r="BF128"/>
      <c r="BG128"/>
      <c r="BH128"/>
      <c r="BI128"/>
      <c r="BJ128"/>
      <c r="BK128"/>
      <c r="BL128"/>
      <c r="BM128"/>
      <c r="BN128"/>
      <c r="BO128"/>
      <c r="BP128" t="s">
        <v>2332</v>
      </c>
      <c r="BQ128" t="s">
        <v>4482</v>
      </c>
      <c r="BR128" t="s">
        <v>2640</v>
      </c>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t="s">
        <v>2307</v>
      </c>
      <c r="CY128">
        <v>323</v>
      </c>
      <c r="CZ128" t="s">
        <v>2306</v>
      </c>
    </row>
    <row r="129" spans="1:104" ht="14.25">
      <c r="A129" t="s">
        <v>4481</v>
      </c>
      <c r="B129" t="s">
        <v>4480</v>
      </c>
      <c r="C129" t="s">
        <v>4479</v>
      </c>
      <c r="D129">
        <v>2</v>
      </c>
      <c r="E129" t="s">
        <v>2533</v>
      </c>
      <c r="F129" t="s">
        <v>2838</v>
      </c>
      <c r="G129" t="s">
        <v>2543</v>
      </c>
      <c r="H129"/>
      <c r="I129"/>
      <c r="J129" t="s">
        <v>1908</v>
      </c>
      <c r="K129"/>
      <c r="L129"/>
      <c r="M129">
        <v>12</v>
      </c>
      <c r="N129">
        <v>60</v>
      </c>
      <c r="O129">
        <v>8</v>
      </c>
      <c r="P129">
        <v>12</v>
      </c>
      <c r="Q129">
        <v>8</v>
      </c>
      <c r="R129" t="s">
        <v>2317</v>
      </c>
      <c r="S129" t="s">
        <v>2439</v>
      </c>
      <c r="T129" t="s">
        <v>3607</v>
      </c>
      <c r="U129" t="s">
        <v>2315</v>
      </c>
      <c r="V129">
        <v>30</v>
      </c>
      <c r="W129"/>
      <c r="X129"/>
      <c r="Y129"/>
      <c r="Z129">
        <v>30</v>
      </c>
      <c r="AA129">
        <v>19</v>
      </c>
      <c r="AB129">
        <v>14</v>
      </c>
      <c r="AC129">
        <v>12</v>
      </c>
      <c r="AD129">
        <v>1</v>
      </c>
      <c r="AE129">
        <v>10</v>
      </c>
      <c r="AF129">
        <v>3</v>
      </c>
      <c r="AG129">
        <v>324</v>
      </c>
      <c r="AH129"/>
      <c r="AI129"/>
      <c r="AJ129"/>
      <c r="AK129"/>
      <c r="AL129"/>
      <c r="AM129"/>
      <c r="AN129">
        <v>24</v>
      </c>
      <c r="AO129">
        <v>369</v>
      </c>
      <c r="AP129"/>
      <c r="AQ129"/>
      <c r="AR129"/>
      <c r="AS129"/>
      <c r="AT129"/>
      <c r="AU129"/>
      <c r="AV129"/>
      <c r="AW129"/>
      <c r="AX129"/>
      <c r="AY129"/>
      <c r="AZ129"/>
      <c r="BA129"/>
      <c r="BB129"/>
      <c r="BC129"/>
      <c r="BD129"/>
      <c r="BE129"/>
      <c r="BF129"/>
      <c r="BG129"/>
      <c r="BH129"/>
      <c r="BI129"/>
      <c r="BJ129"/>
      <c r="BK129"/>
      <c r="BL129"/>
      <c r="BM129"/>
      <c r="BN129"/>
      <c r="BO129"/>
      <c r="BP129" t="s">
        <v>2332</v>
      </c>
      <c r="BQ129" t="s">
        <v>4478</v>
      </c>
      <c r="BR129" t="s">
        <v>4477</v>
      </c>
      <c r="BS129" t="s">
        <v>4476</v>
      </c>
      <c r="BT129" t="s">
        <v>4475</v>
      </c>
      <c r="BU129" t="s">
        <v>4474</v>
      </c>
      <c r="BV129"/>
      <c r="BW129"/>
      <c r="BX129"/>
      <c r="BY129"/>
      <c r="BZ129"/>
      <c r="CA129"/>
      <c r="CB129"/>
      <c r="CC129"/>
      <c r="CD129"/>
      <c r="CE129"/>
      <c r="CF129"/>
      <c r="CG129"/>
      <c r="CH129"/>
      <c r="CI129"/>
      <c r="CJ129"/>
      <c r="CK129"/>
      <c r="CL129"/>
      <c r="CM129"/>
      <c r="CN129"/>
      <c r="CO129"/>
      <c r="CP129"/>
      <c r="CQ129"/>
      <c r="CR129"/>
      <c r="CS129"/>
      <c r="CT129"/>
      <c r="CU129"/>
      <c r="CV129"/>
      <c r="CW129"/>
      <c r="CX129" t="s">
        <v>2307</v>
      </c>
      <c r="CY129">
        <v>324</v>
      </c>
      <c r="CZ129" t="s">
        <v>2306</v>
      </c>
    </row>
    <row r="130" spans="1:104" ht="14.25">
      <c r="A130" t="s">
        <v>4473</v>
      </c>
      <c r="B130" t="s">
        <v>4472</v>
      </c>
      <c r="C130" t="s">
        <v>4471</v>
      </c>
      <c r="D130">
        <v>0.125</v>
      </c>
      <c r="E130" t="s">
        <v>2533</v>
      </c>
      <c r="F130" t="s">
        <v>2320</v>
      </c>
      <c r="G130" t="s">
        <v>2543</v>
      </c>
      <c r="H130"/>
      <c r="I130"/>
      <c r="J130" t="s">
        <v>1908</v>
      </c>
      <c r="K130"/>
      <c r="L130"/>
      <c r="M130">
        <v>15</v>
      </c>
      <c r="N130">
        <v>13</v>
      </c>
      <c r="O130">
        <v>3</v>
      </c>
      <c r="P130">
        <v>8</v>
      </c>
      <c r="Q130"/>
      <c r="R130" t="s">
        <v>2317</v>
      </c>
      <c r="S130" t="s">
        <v>2316</v>
      </c>
      <c r="T130" t="s">
        <v>2315</v>
      </c>
      <c r="U130" t="s">
        <v>2315</v>
      </c>
      <c r="V130">
        <v>30</v>
      </c>
      <c r="W130"/>
      <c r="X130"/>
      <c r="Y130"/>
      <c r="Z130">
        <v>30</v>
      </c>
      <c r="AA130">
        <v>13</v>
      </c>
      <c r="AB130">
        <v>15</v>
      </c>
      <c r="AC130">
        <v>11</v>
      </c>
      <c r="AD130">
        <v>1</v>
      </c>
      <c r="AE130">
        <v>9</v>
      </c>
      <c r="AF130">
        <v>3</v>
      </c>
      <c r="AG130">
        <v>324</v>
      </c>
      <c r="AH130"/>
      <c r="AI130"/>
      <c r="AJ130"/>
      <c r="AK130"/>
      <c r="AL130"/>
      <c r="AM130"/>
      <c r="AN130">
        <v>24</v>
      </c>
      <c r="AO130">
        <v>369</v>
      </c>
      <c r="AP130"/>
      <c r="AQ130"/>
      <c r="AR130"/>
      <c r="AS130"/>
      <c r="AT130"/>
      <c r="AU130"/>
      <c r="AV130" t="s">
        <v>4470</v>
      </c>
      <c r="AW130"/>
      <c r="AX130"/>
      <c r="AY130" t="s">
        <v>2373</v>
      </c>
      <c r="AZ130" t="s">
        <v>4469</v>
      </c>
      <c r="BA130" t="s">
        <v>2373</v>
      </c>
      <c r="BB130"/>
      <c r="BC130"/>
      <c r="BD130"/>
      <c r="BE130"/>
      <c r="BF130"/>
      <c r="BG130"/>
      <c r="BH130"/>
      <c r="BI130"/>
      <c r="BJ130"/>
      <c r="BK130"/>
      <c r="BL130"/>
      <c r="BM130"/>
      <c r="BN130"/>
      <c r="BO130"/>
      <c r="BP130" t="s">
        <v>2329</v>
      </c>
      <c r="BQ130" t="s">
        <v>4468</v>
      </c>
      <c r="BR130" t="s">
        <v>4467</v>
      </c>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t="s">
        <v>2307</v>
      </c>
      <c r="CY130">
        <v>324</v>
      </c>
      <c r="CZ130" t="s">
        <v>2306</v>
      </c>
    </row>
    <row r="131" spans="1:104" ht="14.25">
      <c r="A131" t="s">
        <v>4466</v>
      </c>
      <c r="B131" t="s">
        <v>4465</v>
      </c>
      <c r="C131" t="s">
        <v>4464</v>
      </c>
      <c r="D131">
        <v>5</v>
      </c>
      <c r="E131" t="s">
        <v>2533</v>
      </c>
      <c r="F131" t="s">
        <v>2838</v>
      </c>
      <c r="G131" t="s">
        <v>2543</v>
      </c>
      <c r="H131"/>
      <c r="I131"/>
      <c r="J131" t="s">
        <v>1908</v>
      </c>
      <c r="K131"/>
      <c r="L131"/>
      <c r="M131">
        <v>14</v>
      </c>
      <c r="N131">
        <v>85</v>
      </c>
      <c r="O131">
        <v>9</v>
      </c>
      <c r="P131">
        <v>12</v>
      </c>
      <c r="Q131">
        <v>27</v>
      </c>
      <c r="R131" t="s">
        <v>2317</v>
      </c>
      <c r="S131" t="s">
        <v>4119</v>
      </c>
      <c r="T131" t="s">
        <v>4463</v>
      </c>
      <c r="U131" t="s">
        <v>2315</v>
      </c>
      <c r="V131">
        <v>30</v>
      </c>
      <c r="W131"/>
      <c r="X131"/>
      <c r="Y131"/>
      <c r="Z131">
        <v>50</v>
      </c>
      <c r="AA131">
        <v>21</v>
      </c>
      <c r="AB131">
        <v>9</v>
      </c>
      <c r="AC131">
        <v>17</v>
      </c>
      <c r="AD131">
        <v>2</v>
      </c>
      <c r="AE131">
        <v>10</v>
      </c>
      <c r="AF131">
        <v>7</v>
      </c>
      <c r="AG131">
        <v>324</v>
      </c>
      <c r="AH131"/>
      <c r="AI131"/>
      <c r="AJ131"/>
      <c r="AK131"/>
      <c r="AL131"/>
      <c r="AM131"/>
      <c r="AN131">
        <v>24</v>
      </c>
      <c r="AO131">
        <v>369</v>
      </c>
      <c r="AP131"/>
      <c r="AQ131"/>
      <c r="AR131"/>
      <c r="AS131"/>
      <c r="AT131"/>
      <c r="AU131"/>
      <c r="AV131"/>
      <c r="AW131"/>
      <c r="AX131"/>
      <c r="AY131" t="s">
        <v>3487</v>
      </c>
      <c r="AZ131" t="s">
        <v>4462</v>
      </c>
      <c r="BA131" t="s">
        <v>3487</v>
      </c>
      <c r="BB131"/>
      <c r="BC131"/>
      <c r="BD131"/>
      <c r="BE131"/>
      <c r="BF131"/>
      <c r="BG131"/>
      <c r="BH131"/>
      <c r="BI131"/>
      <c r="BJ131"/>
      <c r="BK131"/>
      <c r="BL131"/>
      <c r="BM131"/>
      <c r="BN131"/>
      <c r="BO131"/>
      <c r="BP131" t="s">
        <v>2333</v>
      </c>
      <c r="BQ131" t="s">
        <v>4461</v>
      </c>
      <c r="BR131" t="s">
        <v>2333</v>
      </c>
      <c r="BS131" t="s">
        <v>2332</v>
      </c>
      <c r="BT131" t="s">
        <v>4460</v>
      </c>
      <c r="BU131" t="s">
        <v>4459</v>
      </c>
      <c r="BV131" t="s">
        <v>2831</v>
      </c>
      <c r="BW131" t="s">
        <v>4458</v>
      </c>
      <c r="BX131" t="s">
        <v>4457</v>
      </c>
      <c r="BY131"/>
      <c r="BZ131"/>
      <c r="CA131"/>
      <c r="CB131"/>
      <c r="CC131"/>
      <c r="CD131"/>
      <c r="CE131"/>
      <c r="CF131"/>
      <c r="CG131"/>
      <c r="CH131"/>
      <c r="CI131"/>
      <c r="CJ131"/>
      <c r="CK131"/>
      <c r="CL131"/>
      <c r="CM131"/>
      <c r="CN131"/>
      <c r="CO131"/>
      <c r="CP131"/>
      <c r="CQ131"/>
      <c r="CR131"/>
      <c r="CS131"/>
      <c r="CT131"/>
      <c r="CU131"/>
      <c r="CV131"/>
      <c r="CW131"/>
      <c r="CX131" t="s">
        <v>2307</v>
      </c>
      <c r="CY131">
        <v>324</v>
      </c>
      <c r="CZ131" t="s">
        <v>2306</v>
      </c>
    </row>
    <row r="132" spans="1:104" ht="14.25">
      <c r="A132" t="s">
        <v>4456</v>
      </c>
      <c r="B132" t="s">
        <v>4455</v>
      </c>
      <c r="C132" t="s">
        <v>4454</v>
      </c>
      <c r="D132">
        <v>1</v>
      </c>
      <c r="E132" t="s">
        <v>2533</v>
      </c>
      <c r="F132" t="s">
        <v>2342</v>
      </c>
      <c r="G132" t="s">
        <v>2543</v>
      </c>
      <c r="H132"/>
      <c r="I132"/>
      <c r="J132" t="s">
        <v>2495</v>
      </c>
      <c r="K132"/>
      <c r="L132"/>
      <c r="M132">
        <v>13</v>
      </c>
      <c r="N132">
        <v>26</v>
      </c>
      <c r="O132">
        <v>4</v>
      </c>
      <c r="P132">
        <v>10</v>
      </c>
      <c r="Q132">
        <v>4</v>
      </c>
      <c r="R132" t="s">
        <v>2317</v>
      </c>
      <c r="S132" t="s">
        <v>2758</v>
      </c>
      <c r="T132" t="s">
        <v>2532</v>
      </c>
      <c r="U132" t="s">
        <v>2315</v>
      </c>
      <c r="V132">
        <v>10</v>
      </c>
      <c r="W132"/>
      <c r="X132"/>
      <c r="Y132">
        <v>80</v>
      </c>
      <c r="Z132"/>
      <c r="AA132">
        <v>16</v>
      </c>
      <c r="AB132">
        <v>17</v>
      </c>
      <c r="AC132">
        <v>13</v>
      </c>
      <c r="AD132">
        <v>8</v>
      </c>
      <c r="AE132">
        <v>14</v>
      </c>
      <c r="AF132">
        <v>10</v>
      </c>
      <c r="AG132">
        <v>324</v>
      </c>
      <c r="AH132">
        <v>306</v>
      </c>
      <c r="AI132"/>
      <c r="AJ132"/>
      <c r="AK132"/>
      <c r="AL132"/>
      <c r="AM132"/>
      <c r="AN132">
        <v>24</v>
      </c>
      <c r="AO132">
        <v>370</v>
      </c>
      <c r="AP132"/>
      <c r="AQ132"/>
      <c r="AR132"/>
      <c r="AS132"/>
      <c r="AT132"/>
      <c r="AU132"/>
      <c r="AV132"/>
      <c r="AW132"/>
      <c r="AX132"/>
      <c r="AY132" t="s">
        <v>3338</v>
      </c>
      <c r="AZ132" t="s">
        <v>4453</v>
      </c>
      <c r="BA132" t="s">
        <v>3338</v>
      </c>
      <c r="BB132"/>
      <c r="BC132"/>
      <c r="BD132"/>
      <c r="BE132"/>
      <c r="BF132"/>
      <c r="BG132"/>
      <c r="BH132"/>
      <c r="BI132"/>
      <c r="BJ132"/>
      <c r="BK132"/>
      <c r="BL132"/>
      <c r="BM132"/>
      <c r="BN132"/>
      <c r="BO132"/>
      <c r="BP132" t="s">
        <v>2333</v>
      </c>
      <c r="BQ132" t="s">
        <v>4452</v>
      </c>
      <c r="BR132" t="s">
        <v>2333</v>
      </c>
      <c r="BS132" t="s">
        <v>2707</v>
      </c>
      <c r="BT132" t="s">
        <v>2750</v>
      </c>
      <c r="BU132" t="s">
        <v>4451</v>
      </c>
      <c r="BV132" t="s">
        <v>2722</v>
      </c>
      <c r="BW132" t="s">
        <v>3218</v>
      </c>
      <c r="BX132" t="s">
        <v>4450</v>
      </c>
      <c r="BY132"/>
      <c r="BZ132"/>
      <c r="CA132"/>
      <c r="CB132"/>
      <c r="CC132"/>
      <c r="CD132"/>
      <c r="CE132"/>
      <c r="CF132"/>
      <c r="CG132"/>
      <c r="CH132"/>
      <c r="CI132"/>
      <c r="CJ132"/>
      <c r="CK132"/>
      <c r="CL132"/>
      <c r="CM132"/>
      <c r="CN132"/>
      <c r="CO132"/>
      <c r="CP132"/>
      <c r="CQ132"/>
      <c r="CR132"/>
      <c r="CS132"/>
      <c r="CT132"/>
      <c r="CU132"/>
      <c r="CV132"/>
      <c r="CW132"/>
      <c r="CX132" t="s">
        <v>2307</v>
      </c>
      <c r="CY132">
        <v>324</v>
      </c>
      <c r="CZ132" t="s">
        <v>2306</v>
      </c>
    </row>
    <row r="133" spans="1:104" ht="14.25">
      <c r="A133" t="s">
        <v>4449</v>
      </c>
      <c r="B133" t="s">
        <v>4448</v>
      </c>
      <c r="C133" t="s">
        <v>4447</v>
      </c>
      <c r="D133">
        <v>2</v>
      </c>
      <c r="E133" t="s">
        <v>2533</v>
      </c>
      <c r="F133" t="s">
        <v>2838</v>
      </c>
      <c r="G133" t="s">
        <v>2543</v>
      </c>
      <c r="H133"/>
      <c r="I133"/>
      <c r="J133" t="s">
        <v>1908</v>
      </c>
      <c r="K133"/>
      <c r="L133"/>
      <c r="M133">
        <v>14</v>
      </c>
      <c r="N133">
        <v>42</v>
      </c>
      <c r="O133">
        <v>5</v>
      </c>
      <c r="P133">
        <v>12</v>
      </c>
      <c r="Q133">
        <v>10</v>
      </c>
      <c r="R133" t="s">
        <v>2317</v>
      </c>
      <c r="S133" t="s">
        <v>2439</v>
      </c>
      <c r="T133" t="s">
        <v>4446</v>
      </c>
      <c r="U133" t="s">
        <v>2315</v>
      </c>
      <c r="V133">
        <v>60</v>
      </c>
      <c r="W133"/>
      <c r="X133"/>
      <c r="Y133"/>
      <c r="Z133"/>
      <c r="AA133">
        <v>19</v>
      </c>
      <c r="AB133">
        <v>16</v>
      </c>
      <c r="AC133">
        <v>14</v>
      </c>
      <c r="AD133">
        <v>7</v>
      </c>
      <c r="AE133">
        <v>14</v>
      </c>
      <c r="AF133">
        <v>10</v>
      </c>
      <c r="AG133">
        <v>325</v>
      </c>
      <c r="AH133"/>
      <c r="AI133"/>
      <c r="AJ133"/>
      <c r="AK133"/>
      <c r="AL133"/>
      <c r="AM133"/>
      <c r="AN133">
        <v>25</v>
      </c>
      <c r="AO133">
        <v>370</v>
      </c>
      <c r="AP133"/>
      <c r="AQ133"/>
      <c r="AR133"/>
      <c r="AS133"/>
      <c r="AT133"/>
      <c r="AU133"/>
      <c r="AV133"/>
      <c r="AW133"/>
      <c r="AX133"/>
      <c r="AY133" t="s">
        <v>2824</v>
      </c>
      <c r="AZ133" t="s">
        <v>4445</v>
      </c>
      <c r="BA133" t="s">
        <v>2658</v>
      </c>
      <c r="BB133"/>
      <c r="BC133"/>
      <c r="BD133"/>
      <c r="BE133"/>
      <c r="BF133"/>
      <c r="BG133"/>
      <c r="BH133"/>
      <c r="BI133"/>
      <c r="BJ133"/>
      <c r="BK133"/>
      <c r="BL133"/>
      <c r="BM133"/>
      <c r="BN133"/>
      <c r="BO133"/>
      <c r="BP133" t="s">
        <v>3253</v>
      </c>
      <c r="BQ133" t="s">
        <v>4444</v>
      </c>
      <c r="BR133" t="s">
        <v>4443</v>
      </c>
      <c r="BS133" t="s">
        <v>2697</v>
      </c>
      <c r="BT133" t="s">
        <v>4442</v>
      </c>
      <c r="BU133" t="s">
        <v>4441</v>
      </c>
      <c r="BV133"/>
      <c r="BW133"/>
      <c r="BX133"/>
      <c r="BY133"/>
      <c r="BZ133"/>
      <c r="CA133"/>
      <c r="CB133"/>
      <c r="CC133"/>
      <c r="CD133"/>
      <c r="CE133"/>
      <c r="CF133"/>
      <c r="CG133"/>
      <c r="CH133"/>
      <c r="CI133"/>
      <c r="CJ133"/>
      <c r="CK133"/>
      <c r="CL133"/>
      <c r="CM133"/>
      <c r="CN133"/>
      <c r="CO133"/>
      <c r="CP133"/>
      <c r="CQ133"/>
      <c r="CR133"/>
      <c r="CS133"/>
      <c r="CT133"/>
      <c r="CU133"/>
      <c r="CV133"/>
      <c r="CW133"/>
      <c r="CX133" t="s">
        <v>2307</v>
      </c>
      <c r="CY133">
        <v>325</v>
      </c>
      <c r="CZ133" t="s">
        <v>2306</v>
      </c>
    </row>
    <row r="134" spans="1:104" ht="14.25">
      <c r="A134" t="s">
        <v>4440</v>
      </c>
      <c r="B134" t="s">
        <v>4439</v>
      </c>
      <c r="C134" t="s">
        <v>4438</v>
      </c>
      <c r="D134">
        <v>0</v>
      </c>
      <c r="E134" t="s">
        <v>2533</v>
      </c>
      <c r="F134" t="s">
        <v>2497</v>
      </c>
      <c r="G134" t="s">
        <v>2543</v>
      </c>
      <c r="H134"/>
      <c r="I134"/>
      <c r="J134" t="s">
        <v>1908</v>
      </c>
      <c r="K134"/>
      <c r="L134"/>
      <c r="M134">
        <v>13</v>
      </c>
      <c r="N134">
        <v>4</v>
      </c>
      <c r="O134">
        <v>1</v>
      </c>
      <c r="P134">
        <v>6</v>
      </c>
      <c r="Q134">
        <v>1</v>
      </c>
      <c r="R134" t="s">
        <v>2317</v>
      </c>
      <c r="S134" t="s">
        <v>4437</v>
      </c>
      <c r="T134" t="s">
        <v>2315</v>
      </c>
      <c r="U134" t="s">
        <v>2315</v>
      </c>
      <c r="V134">
        <v>30</v>
      </c>
      <c r="W134"/>
      <c r="X134"/>
      <c r="Y134"/>
      <c r="Z134"/>
      <c r="AA134">
        <v>8</v>
      </c>
      <c r="AB134">
        <v>10</v>
      </c>
      <c r="AC134">
        <v>12</v>
      </c>
      <c r="AD134">
        <v>1</v>
      </c>
      <c r="AE134">
        <v>7</v>
      </c>
      <c r="AF134">
        <v>3</v>
      </c>
      <c r="AG134">
        <v>325</v>
      </c>
      <c r="AH134"/>
      <c r="AI134"/>
      <c r="AJ134"/>
      <c r="AK134"/>
      <c r="AL134"/>
      <c r="AM134"/>
      <c r="AN134">
        <v>25</v>
      </c>
      <c r="AO134">
        <v>370</v>
      </c>
      <c r="AP134"/>
      <c r="AQ134"/>
      <c r="AR134"/>
      <c r="AS134"/>
      <c r="AT134"/>
      <c r="AU134"/>
      <c r="AV134"/>
      <c r="AW134"/>
      <c r="AX134"/>
      <c r="AY134" t="s">
        <v>3644</v>
      </c>
      <c r="AZ134" t="s">
        <v>4436</v>
      </c>
      <c r="BA134" t="s">
        <v>3644</v>
      </c>
      <c r="BB134"/>
      <c r="BC134"/>
      <c r="BD134"/>
      <c r="BE134"/>
      <c r="BF134"/>
      <c r="BG134"/>
      <c r="BH134"/>
      <c r="BI134"/>
      <c r="BJ134"/>
      <c r="BK134"/>
      <c r="BL134"/>
      <c r="BM134"/>
      <c r="BN134"/>
      <c r="BO134"/>
      <c r="BP134" t="s">
        <v>2332</v>
      </c>
      <c r="BQ134" t="s">
        <v>4435</v>
      </c>
      <c r="BR134" t="s">
        <v>4434</v>
      </c>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t="s">
        <v>2307</v>
      </c>
      <c r="CY134">
        <v>325</v>
      </c>
      <c r="CZ134" t="s">
        <v>2306</v>
      </c>
    </row>
    <row r="135" spans="1:104" ht="14.25">
      <c r="A135" t="s">
        <v>4433</v>
      </c>
      <c r="B135" t="s">
        <v>4432</v>
      </c>
      <c r="C135" t="s">
        <v>4431</v>
      </c>
      <c r="D135">
        <v>0.25</v>
      </c>
      <c r="E135" t="s">
        <v>2533</v>
      </c>
      <c r="F135" t="s">
        <v>2320</v>
      </c>
      <c r="G135" t="s">
        <v>2543</v>
      </c>
      <c r="H135"/>
      <c r="I135"/>
      <c r="J135" t="s">
        <v>1908</v>
      </c>
      <c r="K135"/>
      <c r="L135"/>
      <c r="M135">
        <v>11</v>
      </c>
      <c r="N135">
        <v>18</v>
      </c>
      <c r="O135">
        <v>4</v>
      </c>
      <c r="P135">
        <v>8</v>
      </c>
      <c r="Q135"/>
      <c r="R135" t="s">
        <v>2317</v>
      </c>
      <c r="S135" t="s">
        <v>2316</v>
      </c>
      <c r="T135" t="s">
        <v>2315</v>
      </c>
      <c r="U135" t="s">
        <v>2315</v>
      </c>
      <c r="V135">
        <v>30</v>
      </c>
      <c r="W135"/>
      <c r="X135"/>
      <c r="Y135"/>
      <c r="Z135">
        <v>30</v>
      </c>
      <c r="AA135">
        <v>12</v>
      </c>
      <c r="AB135">
        <v>13</v>
      </c>
      <c r="AC135">
        <v>11</v>
      </c>
      <c r="AD135">
        <v>2</v>
      </c>
      <c r="AE135">
        <v>10</v>
      </c>
      <c r="AF135">
        <v>3</v>
      </c>
      <c r="AG135">
        <v>325</v>
      </c>
      <c r="AH135"/>
      <c r="AI135"/>
      <c r="AJ135"/>
      <c r="AK135"/>
      <c r="AL135"/>
      <c r="AM135"/>
      <c r="AN135">
        <v>25</v>
      </c>
      <c r="AO135">
        <v>371</v>
      </c>
      <c r="AP135">
        <v>10</v>
      </c>
      <c r="AQ135"/>
      <c r="AR135"/>
      <c r="AS135"/>
      <c r="AT135"/>
      <c r="AU135"/>
      <c r="AV135" t="s">
        <v>4430</v>
      </c>
      <c r="AW135"/>
      <c r="AX135"/>
      <c r="AY135" t="s">
        <v>2373</v>
      </c>
      <c r="AZ135" t="s">
        <v>4429</v>
      </c>
      <c r="BA135" t="s">
        <v>2373</v>
      </c>
      <c r="BB135" t="s">
        <v>4349</v>
      </c>
      <c r="BC135" t="s">
        <v>4428</v>
      </c>
      <c r="BD135" t="s">
        <v>4349</v>
      </c>
      <c r="BE135"/>
      <c r="BF135"/>
      <c r="BG135"/>
      <c r="BH135"/>
      <c r="BI135"/>
      <c r="BJ135"/>
      <c r="BK135"/>
      <c r="BL135"/>
      <c r="BM135"/>
      <c r="BN135"/>
      <c r="BO135"/>
      <c r="BP135" t="s">
        <v>2332</v>
      </c>
      <c r="BQ135" t="s">
        <v>4427</v>
      </c>
      <c r="BR135" t="s">
        <v>3790</v>
      </c>
      <c r="BS135" t="s">
        <v>2908</v>
      </c>
      <c r="BT135" t="s">
        <v>4426</v>
      </c>
      <c r="BU135" t="s">
        <v>2908</v>
      </c>
      <c r="BV135"/>
      <c r="BW135"/>
      <c r="BX135"/>
      <c r="BY135"/>
      <c r="BZ135"/>
      <c r="CA135"/>
      <c r="CB135"/>
      <c r="CC135"/>
      <c r="CD135"/>
      <c r="CE135"/>
      <c r="CF135"/>
      <c r="CG135"/>
      <c r="CH135"/>
      <c r="CI135"/>
      <c r="CJ135"/>
      <c r="CK135"/>
      <c r="CL135"/>
      <c r="CM135"/>
      <c r="CN135"/>
      <c r="CO135"/>
      <c r="CP135"/>
      <c r="CQ135"/>
      <c r="CR135"/>
      <c r="CS135"/>
      <c r="CT135"/>
      <c r="CU135"/>
      <c r="CV135"/>
      <c r="CW135"/>
      <c r="CX135" t="s">
        <v>2307</v>
      </c>
      <c r="CY135">
        <v>325</v>
      </c>
      <c r="CZ135" t="s">
        <v>2306</v>
      </c>
    </row>
    <row r="136" spans="1:104" ht="14.25">
      <c r="A136" t="s">
        <v>4425</v>
      </c>
      <c r="B136" t="s">
        <v>4424</v>
      </c>
      <c r="C136" t="s">
        <v>4423</v>
      </c>
      <c r="D136">
        <v>0.25</v>
      </c>
      <c r="E136" t="s">
        <v>2533</v>
      </c>
      <c r="F136" t="s">
        <v>2342</v>
      </c>
      <c r="G136" t="s">
        <v>2543</v>
      </c>
      <c r="H136"/>
      <c r="I136"/>
      <c r="J136" t="s">
        <v>1908</v>
      </c>
      <c r="K136"/>
      <c r="L136"/>
      <c r="M136">
        <v>11</v>
      </c>
      <c r="N136">
        <v>19</v>
      </c>
      <c r="O136">
        <v>3</v>
      </c>
      <c r="P136">
        <v>10</v>
      </c>
      <c r="Q136">
        <v>3</v>
      </c>
      <c r="R136" t="s">
        <v>2317</v>
      </c>
      <c r="S136" t="s">
        <v>3346</v>
      </c>
      <c r="T136" t="s">
        <v>2315</v>
      </c>
      <c r="U136" t="s">
        <v>2315</v>
      </c>
      <c r="V136">
        <v>40</v>
      </c>
      <c r="W136"/>
      <c r="X136"/>
      <c r="Y136"/>
      <c r="Z136"/>
      <c r="AA136">
        <v>17</v>
      </c>
      <c r="AB136">
        <v>11</v>
      </c>
      <c r="AC136">
        <v>12</v>
      </c>
      <c r="AD136">
        <v>3</v>
      </c>
      <c r="AE136">
        <v>12</v>
      </c>
      <c r="AF136">
        <v>6</v>
      </c>
      <c r="AG136">
        <v>326</v>
      </c>
      <c r="AH136"/>
      <c r="AI136"/>
      <c r="AJ136"/>
      <c r="AK136"/>
      <c r="AL136"/>
      <c r="AM136"/>
      <c r="AN136">
        <v>25</v>
      </c>
      <c r="AO136">
        <v>371</v>
      </c>
      <c r="AP136"/>
      <c r="AQ136"/>
      <c r="AR136"/>
      <c r="AS136" t="s">
        <v>4422</v>
      </c>
      <c r="AT136"/>
      <c r="AU136"/>
      <c r="AV136"/>
      <c r="AW136"/>
      <c r="AX136" t="s">
        <v>3793</v>
      </c>
      <c r="AY136" t="s">
        <v>2824</v>
      </c>
      <c r="AZ136" t="s">
        <v>4421</v>
      </c>
      <c r="BA136" t="s">
        <v>4420</v>
      </c>
      <c r="BB136" t="s">
        <v>3710</v>
      </c>
      <c r="BC136" t="s">
        <v>4271</v>
      </c>
      <c r="BD136" t="s">
        <v>3710</v>
      </c>
      <c r="BE136"/>
      <c r="BF136"/>
      <c r="BG136"/>
      <c r="BH136"/>
      <c r="BI136"/>
      <c r="BJ136"/>
      <c r="BK136"/>
      <c r="BL136"/>
      <c r="BM136"/>
      <c r="BN136"/>
      <c r="BO136"/>
      <c r="BP136" t="s">
        <v>3253</v>
      </c>
      <c r="BQ136" t="s">
        <v>3345</v>
      </c>
      <c r="BR136" t="s">
        <v>4419</v>
      </c>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t="s">
        <v>2307</v>
      </c>
      <c r="CY136">
        <v>326</v>
      </c>
      <c r="CZ136" t="s">
        <v>2306</v>
      </c>
    </row>
    <row r="137" spans="1:104" ht="14.25">
      <c r="A137" t="s">
        <v>4418</v>
      </c>
      <c r="B137" t="s">
        <v>4417</v>
      </c>
      <c r="C137" t="s">
        <v>4416</v>
      </c>
      <c r="D137">
        <v>1</v>
      </c>
      <c r="E137" t="s">
        <v>2533</v>
      </c>
      <c r="F137" t="s">
        <v>2342</v>
      </c>
      <c r="G137" t="s">
        <v>2543</v>
      </c>
      <c r="H137"/>
      <c r="I137"/>
      <c r="J137" t="s">
        <v>1908</v>
      </c>
      <c r="K137"/>
      <c r="L137"/>
      <c r="M137">
        <v>12</v>
      </c>
      <c r="N137">
        <v>45</v>
      </c>
      <c r="O137">
        <v>6</v>
      </c>
      <c r="P137">
        <v>10</v>
      </c>
      <c r="Q137">
        <v>12</v>
      </c>
      <c r="R137" t="s">
        <v>2317</v>
      </c>
      <c r="S137" t="s">
        <v>2532</v>
      </c>
      <c r="T137" t="s">
        <v>2315</v>
      </c>
      <c r="U137" t="s">
        <v>2315</v>
      </c>
      <c r="V137">
        <v>50</v>
      </c>
      <c r="W137"/>
      <c r="X137"/>
      <c r="Y137"/>
      <c r="Z137"/>
      <c r="AA137">
        <v>16</v>
      </c>
      <c r="AB137">
        <v>14</v>
      </c>
      <c r="AC137">
        <v>14</v>
      </c>
      <c r="AD137">
        <v>2</v>
      </c>
      <c r="AE137">
        <v>12</v>
      </c>
      <c r="AF137">
        <v>7</v>
      </c>
      <c r="AG137">
        <v>326</v>
      </c>
      <c r="AH137"/>
      <c r="AI137"/>
      <c r="AJ137"/>
      <c r="AK137"/>
      <c r="AL137"/>
      <c r="AM137"/>
      <c r="AN137">
        <v>26</v>
      </c>
      <c r="AO137">
        <v>371</v>
      </c>
      <c r="AP137"/>
      <c r="AQ137"/>
      <c r="AR137"/>
      <c r="AS137"/>
      <c r="AT137"/>
      <c r="AU137"/>
      <c r="AV137"/>
      <c r="AW137"/>
      <c r="AX137"/>
      <c r="AY137" t="s">
        <v>4279</v>
      </c>
      <c r="AZ137" t="s">
        <v>4415</v>
      </c>
      <c r="BA137" t="s">
        <v>4279</v>
      </c>
      <c r="BB137"/>
      <c r="BC137"/>
      <c r="BD137"/>
      <c r="BE137"/>
      <c r="BF137"/>
      <c r="BG137"/>
      <c r="BH137"/>
      <c r="BI137"/>
      <c r="BJ137"/>
      <c r="BK137"/>
      <c r="BL137"/>
      <c r="BM137"/>
      <c r="BN137"/>
      <c r="BO137"/>
      <c r="BP137" t="s">
        <v>2332</v>
      </c>
      <c r="BQ137" t="s">
        <v>4414</v>
      </c>
      <c r="BR137" t="s">
        <v>4413</v>
      </c>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t="s">
        <v>2307</v>
      </c>
      <c r="CY137">
        <v>326</v>
      </c>
      <c r="CZ137" t="s">
        <v>2306</v>
      </c>
    </row>
    <row r="138" spans="1:104" ht="14.25">
      <c r="A138" t="s">
        <v>4412</v>
      </c>
      <c r="B138" t="s">
        <v>4411</v>
      </c>
      <c r="C138" t="s">
        <v>4410</v>
      </c>
      <c r="D138">
        <v>0.25</v>
      </c>
      <c r="E138" t="s">
        <v>2533</v>
      </c>
      <c r="F138" t="s">
        <v>2342</v>
      </c>
      <c r="G138" t="s">
        <v>2543</v>
      </c>
      <c r="H138"/>
      <c r="I138"/>
      <c r="J138" t="s">
        <v>1908</v>
      </c>
      <c r="K138"/>
      <c r="L138"/>
      <c r="M138">
        <v>12</v>
      </c>
      <c r="N138">
        <v>19</v>
      </c>
      <c r="O138">
        <v>3</v>
      </c>
      <c r="P138">
        <v>10</v>
      </c>
      <c r="Q138">
        <v>3</v>
      </c>
      <c r="R138" t="s">
        <v>2317</v>
      </c>
      <c r="S138" t="s">
        <v>2611</v>
      </c>
      <c r="T138" t="s">
        <v>2315</v>
      </c>
      <c r="U138" t="s">
        <v>2315</v>
      </c>
      <c r="V138">
        <v>30</v>
      </c>
      <c r="W138"/>
      <c r="X138">
        <v>30</v>
      </c>
      <c r="Y138"/>
      <c r="Z138"/>
      <c r="AA138">
        <v>15</v>
      </c>
      <c r="AB138">
        <v>12</v>
      </c>
      <c r="AC138">
        <v>13</v>
      </c>
      <c r="AD138">
        <v>2</v>
      </c>
      <c r="AE138">
        <v>10</v>
      </c>
      <c r="AF138">
        <v>5</v>
      </c>
      <c r="AG138">
        <v>326</v>
      </c>
      <c r="AH138"/>
      <c r="AI138"/>
      <c r="AJ138"/>
      <c r="AK138"/>
      <c r="AL138"/>
      <c r="AM138"/>
      <c r="AN138">
        <v>26</v>
      </c>
      <c r="AO138">
        <v>372</v>
      </c>
      <c r="AP138">
        <v>10</v>
      </c>
      <c r="AQ138"/>
      <c r="AR138"/>
      <c r="AS138"/>
      <c r="AT138"/>
      <c r="AU138"/>
      <c r="AV138"/>
      <c r="AW138"/>
      <c r="AX138"/>
      <c r="AY138" t="s">
        <v>4408</v>
      </c>
      <c r="AZ138" t="s">
        <v>4409</v>
      </c>
      <c r="BA138" t="s">
        <v>4408</v>
      </c>
      <c r="BB138" t="s">
        <v>4406</v>
      </c>
      <c r="BC138" t="s">
        <v>4407</v>
      </c>
      <c r="BD138" t="s">
        <v>4406</v>
      </c>
      <c r="BE138"/>
      <c r="BF138"/>
      <c r="BG138"/>
      <c r="BH138"/>
      <c r="BI138"/>
      <c r="BJ138"/>
      <c r="BK138"/>
      <c r="BL138"/>
      <c r="BM138"/>
      <c r="BN138"/>
      <c r="BO138"/>
      <c r="BP138" t="s">
        <v>2332</v>
      </c>
      <c r="BQ138" t="s">
        <v>2486</v>
      </c>
      <c r="BR138" t="s">
        <v>3365</v>
      </c>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t="s">
        <v>2307</v>
      </c>
      <c r="CY138">
        <v>326</v>
      </c>
      <c r="CZ138" t="s">
        <v>2306</v>
      </c>
    </row>
    <row r="139" spans="1:104" ht="14.25">
      <c r="A139" t="s">
        <v>4405</v>
      </c>
      <c r="B139" t="s">
        <v>4404</v>
      </c>
      <c r="C139" t="s">
        <v>4403</v>
      </c>
      <c r="D139">
        <v>1</v>
      </c>
      <c r="E139" t="s">
        <v>2533</v>
      </c>
      <c r="F139" t="s">
        <v>2342</v>
      </c>
      <c r="G139" t="s">
        <v>2543</v>
      </c>
      <c r="H139"/>
      <c r="I139"/>
      <c r="J139" t="s">
        <v>1908</v>
      </c>
      <c r="K139"/>
      <c r="L139"/>
      <c r="M139">
        <v>11</v>
      </c>
      <c r="N139">
        <v>52</v>
      </c>
      <c r="O139">
        <v>8</v>
      </c>
      <c r="P139">
        <v>10</v>
      </c>
      <c r="Q139">
        <v>8</v>
      </c>
      <c r="R139" t="s">
        <v>2317</v>
      </c>
      <c r="S139" t="s">
        <v>2532</v>
      </c>
      <c r="T139" t="s">
        <v>2315</v>
      </c>
      <c r="U139" t="s">
        <v>2315</v>
      </c>
      <c r="V139">
        <v>10</v>
      </c>
      <c r="W139"/>
      <c r="X139"/>
      <c r="Y139"/>
      <c r="Z139">
        <v>60</v>
      </c>
      <c r="AA139">
        <v>17</v>
      </c>
      <c r="AB139">
        <v>13</v>
      </c>
      <c r="AC139">
        <v>13</v>
      </c>
      <c r="AD139">
        <v>4</v>
      </c>
      <c r="AE139">
        <v>10</v>
      </c>
      <c r="AF139">
        <v>4</v>
      </c>
      <c r="AG139">
        <v>326</v>
      </c>
      <c r="AH139"/>
      <c r="AI139"/>
      <c r="AJ139"/>
      <c r="AK139"/>
      <c r="AL139"/>
      <c r="AM139"/>
      <c r="AN139">
        <v>26</v>
      </c>
      <c r="AO139">
        <v>372</v>
      </c>
      <c r="AP139"/>
      <c r="AQ139">
        <v>15</v>
      </c>
      <c r="AR139"/>
      <c r="AS139" t="s">
        <v>4402</v>
      </c>
      <c r="AT139"/>
      <c r="AU139"/>
      <c r="AV139"/>
      <c r="AW139"/>
      <c r="AX139" t="s">
        <v>4401</v>
      </c>
      <c r="AY139" t="s">
        <v>3487</v>
      </c>
      <c r="AZ139" t="s">
        <v>4400</v>
      </c>
      <c r="BA139" t="s">
        <v>3487</v>
      </c>
      <c r="BB139" t="s">
        <v>3616</v>
      </c>
      <c r="BC139" t="s">
        <v>3617</v>
      </c>
      <c r="BD139" t="s">
        <v>3616</v>
      </c>
      <c r="BE139" t="s">
        <v>2955</v>
      </c>
      <c r="BF139" t="s">
        <v>3615</v>
      </c>
      <c r="BG139" t="s">
        <v>2955</v>
      </c>
      <c r="BH139"/>
      <c r="BI139"/>
      <c r="BJ139"/>
      <c r="BK139"/>
      <c r="BL139"/>
      <c r="BM139"/>
      <c r="BN139"/>
      <c r="BO139"/>
      <c r="BP139" t="s">
        <v>3614</v>
      </c>
      <c r="BQ139" t="s">
        <v>4399</v>
      </c>
      <c r="BR139" t="s">
        <v>4398</v>
      </c>
      <c r="BS139" t="s">
        <v>3610</v>
      </c>
      <c r="BT139" t="s">
        <v>4397</v>
      </c>
      <c r="BU139" t="s">
        <v>3610</v>
      </c>
      <c r="BV139"/>
      <c r="BW139"/>
      <c r="BX139"/>
      <c r="BY139"/>
      <c r="BZ139"/>
      <c r="CA139"/>
      <c r="CB139"/>
      <c r="CC139"/>
      <c r="CD139"/>
      <c r="CE139"/>
      <c r="CF139"/>
      <c r="CG139"/>
      <c r="CH139"/>
      <c r="CI139"/>
      <c r="CJ139"/>
      <c r="CK139"/>
      <c r="CL139"/>
      <c r="CM139"/>
      <c r="CN139"/>
      <c r="CO139"/>
      <c r="CP139"/>
      <c r="CQ139"/>
      <c r="CR139"/>
      <c r="CS139"/>
      <c r="CT139"/>
      <c r="CU139"/>
      <c r="CV139"/>
      <c r="CW139"/>
      <c r="CX139" t="s">
        <v>2307</v>
      </c>
      <c r="CY139">
        <v>326</v>
      </c>
      <c r="CZ139" t="s">
        <v>2306</v>
      </c>
    </row>
    <row r="140" spans="1:104" ht="14.25">
      <c r="A140" t="s">
        <v>4396</v>
      </c>
      <c r="B140" t="s">
        <v>4395</v>
      </c>
      <c r="C140" t="s">
        <v>4394</v>
      </c>
      <c r="D140">
        <v>0.25</v>
      </c>
      <c r="E140" t="s">
        <v>2533</v>
      </c>
      <c r="F140" t="s">
        <v>2342</v>
      </c>
      <c r="G140" t="s">
        <v>2543</v>
      </c>
      <c r="H140"/>
      <c r="I140"/>
      <c r="J140" t="s">
        <v>1902</v>
      </c>
      <c r="K140"/>
      <c r="L140"/>
      <c r="M140">
        <v>12</v>
      </c>
      <c r="N140">
        <v>19</v>
      </c>
      <c r="O140">
        <v>3</v>
      </c>
      <c r="P140">
        <v>10</v>
      </c>
      <c r="Q140">
        <v>3</v>
      </c>
      <c r="R140" t="s">
        <v>2317</v>
      </c>
      <c r="S140" t="s">
        <v>4393</v>
      </c>
      <c r="T140" t="s">
        <v>2315</v>
      </c>
      <c r="U140" t="s">
        <v>2315</v>
      </c>
      <c r="V140">
        <v>5</v>
      </c>
      <c r="W140"/>
      <c r="X140"/>
      <c r="Y140">
        <v>60</v>
      </c>
      <c r="Z140"/>
      <c r="AA140">
        <v>13</v>
      </c>
      <c r="AB140">
        <v>15</v>
      </c>
      <c r="AC140">
        <v>12</v>
      </c>
      <c r="AD140">
        <v>8</v>
      </c>
      <c r="AE140">
        <v>13</v>
      </c>
      <c r="AF140">
        <v>10</v>
      </c>
      <c r="AG140">
        <v>327</v>
      </c>
      <c r="AH140"/>
      <c r="AI140"/>
      <c r="AJ140"/>
      <c r="AK140"/>
      <c r="AL140"/>
      <c r="AM140"/>
      <c r="AN140">
        <v>26</v>
      </c>
      <c r="AO140">
        <v>372</v>
      </c>
      <c r="AP140"/>
      <c r="AQ140"/>
      <c r="AR140"/>
      <c r="AS140"/>
      <c r="AT140"/>
      <c r="AU140"/>
      <c r="AV140"/>
      <c r="AW140"/>
      <c r="AX140"/>
      <c r="AY140" t="s">
        <v>3442</v>
      </c>
      <c r="AZ140" t="s">
        <v>3553</v>
      </c>
      <c r="BA140" t="s">
        <v>3442</v>
      </c>
      <c r="BB140" t="s">
        <v>3234</v>
      </c>
      <c r="BC140" t="s">
        <v>3552</v>
      </c>
      <c r="BD140" t="s">
        <v>3234</v>
      </c>
      <c r="BE140"/>
      <c r="BF140"/>
      <c r="BG140"/>
      <c r="BH140"/>
      <c r="BI140"/>
      <c r="BJ140"/>
      <c r="BK140"/>
      <c r="BL140"/>
      <c r="BM140"/>
      <c r="BN140"/>
      <c r="BO140"/>
      <c r="BP140" t="s">
        <v>2722</v>
      </c>
      <c r="BQ140" t="s">
        <v>4392</v>
      </c>
      <c r="BR140" t="s">
        <v>4391</v>
      </c>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t="s">
        <v>2307</v>
      </c>
      <c r="CY140">
        <v>327</v>
      </c>
      <c r="CZ140" t="s">
        <v>2306</v>
      </c>
    </row>
    <row r="141" spans="1:104" ht="14.25">
      <c r="A141" t="s">
        <v>4390</v>
      </c>
      <c r="B141" t="s">
        <v>4389</v>
      </c>
      <c r="C141" t="s">
        <v>4388</v>
      </c>
      <c r="D141">
        <v>0.25</v>
      </c>
      <c r="E141" t="s">
        <v>2533</v>
      </c>
      <c r="F141" t="s">
        <v>2320</v>
      </c>
      <c r="G141" t="s">
        <v>2543</v>
      </c>
      <c r="H141"/>
      <c r="I141"/>
      <c r="J141" t="s">
        <v>1908</v>
      </c>
      <c r="K141"/>
      <c r="L141"/>
      <c r="M141">
        <v>14</v>
      </c>
      <c r="N141">
        <v>11</v>
      </c>
      <c r="O141">
        <v>2</v>
      </c>
      <c r="P141">
        <v>8</v>
      </c>
      <c r="Q141">
        <v>2</v>
      </c>
      <c r="R141" t="s">
        <v>2317</v>
      </c>
      <c r="S141" t="s">
        <v>4387</v>
      </c>
      <c r="T141" t="s">
        <v>2315</v>
      </c>
      <c r="U141" t="s">
        <v>2315</v>
      </c>
      <c r="V141">
        <v>30</v>
      </c>
      <c r="W141"/>
      <c r="X141"/>
      <c r="Y141"/>
      <c r="Z141">
        <v>30</v>
      </c>
      <c r="AA141">
        <v>10</v>
      </c>
      <c r="AB141">
        <v>18</v>
      </c>
      <c r="AC141">
        <v>13</v>
      </c>
      <c r="AD141">
        <v>2</v>
      </c>
      <c r="AE141">
        <v>10</v>
      </c>
      <c r="AF141">
        <v>3</v>
      </c>
      <c r="AG141">
        <v>327</v>
      </c>
      <c r="AH141"/>
      <c r="AI141"/>
      <c r="AJ141"/>
      <c r="AK141"/>
      <c r="AL141"/>
      <c r="AM141"/>
      <c r="AN141">
        <v>27</v>
      </c>
      <c r="AO141">
        <v>373</v>
      </c>
      <c r="AP141"/>
      <c r="AQ141"/>
      <c r="AR141"/>
      <c r="AS141"/>
      <c r="AT141"/>
      <c r="AU141"/>
      <c r="AV141"/>
      <c r="AW141"/>
      <c r="AX141"/>
      <c r="AY141"/>
      <c r="AZ141"/>
      <c r="BA141"/>
      <c r="BB141"/>
      <c r="BC141"/>
      <c r="BD141"/>
      <c r="BE141"/>
      <c r="BF141"/>
      <c r="BG141"/>
      <c r="BH141"/>
      <c r="BI141"/>
      <c r="BJ141"/>
      <c r="BK141"/>
      <c r="BL141"/>
      <c r="BM141"/>
      <c r="BN141"/>
      <c r="BO141"/>
      <c r="BP141" t="s">
        <v>2332</v>
      </c>
      <c r="BQ141" t="s">
        <v>4386</v>
      </c>
      <c r="BR141" t="s">
        <v>4385</v>
      </c>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t="s">
        <v>2307</v>
      </c>
      <c r="CY141">
        <v>327</v>
      </c>
      <c r="CZ141" t="s">
        <v>2306</v>
      </c>
    </row>
    <row r="142" spans="1:104" ht="14.25">
      <c r="A142" t="s">
        <v>4384</v>
      </c>
      <c r="B142" t="s">
        <v>4383</v>
      </c>
      <c r="C142" t="s">
        <v>4382</v>
      </c>
      <c r="D142">
        <v>0.125</v>
      </c>
      <c r="E142" t="s">
        <v>2533</v>
      </c>
      <c r="F142" t="s">
        <v>2497</v>
      </c>
      <c r="G142" t="s">
        <v>2543</v>
      </c>
      <c r="H142"/>
      <c r="I142"/>
      <c r="J142" t="s">
        <v>1908</v>
      </c>
      <c r="K142"/>
      <c r="L142"/>
      <c r="M142">
        <v>12</v>
      </c>
      <c r="N142">
        <v>7</v>
      </c>
      <c r="O142">
        <v>2</v>
      </c>
      <c r="P142">
        <v>6</v>
      </c>
      <c r="Q142"/>
      <c r="R142" t="s">
        <v>2317</v>
      </c>
      <c r="S142" t="s">
        <v>2646</v>
      </c>
      <c r="T142" t="s">
        <v>2315</v>
      </c>
      <c r="U142" t="s">
        <v>2315</v>
      </c>
      <c r="V142">
        <v>30</v>
      </c>
      <c r="W142"/>
      <c r="X142"/>
      <c r="Y142"/>
      <c r="Z142"/>
      <c r="AA142">
        <v>7</v>
      </c>
      <c r="AB142">
        <v>15</v>
      </c>
      <c r="AC142">
        <v>11</v>
      </c>
      <c r="AD142">
        <v>2</v>
      </c>
      <c r="AE142">
        <v>10</v>
      </c>
      <c r="AF142">
        <v>4</v>
      </c>
      <c r="AG142">
        <v>327</v>
      </c>
      <c r="AH142"/>
      <c r="AI142"/>
      <c r="AJ142"/>
      <c r="AK142"/>
      <c r="AL142"/>
      <c r="AM142"/>
      <c r="AN142">
        <v>27</v>
      </c>
      <c r="AO142">
        <v>373</v>
      </c>
      <c r="AP142"/>
      <c r="AQ142"/>
      <c r="AR142"/>
      <c r="AS142"/>
      <c r="AT142"/>
      <c r="AU142"/>
      <c r="AV142"/>
      <c r="AW142"/>
      <c r="AX142" t="s">
        <v>2948</v>
      </c>
      <c r="AY142" t="s">
        <v>2434</v>
      </c>
      <c r="AZ142" t="s">
        <v>3386</v>
      </c>
      <c r="BA142" t="s">
        <v>2434</v>
      </c>
      <c r="BB142" t="s">
        <v>2452</v>
      </c>
      <c r="BC142" t="s">
        <v>4381</v>
      </c>
      <c r="BD142" t="s">
        <v>2452</v>
      </c>
      <c r="BE142"/>
      <c r="BF142"/>
      <c r="BG142"/>
      <c r="BH142"/>
      <c r="BI142"/>
      <c r="BJ142"/>
      <c r="BK142"/>
      <c r="BL142"/>
      <c r="BM142"/>
      <c r="BN142"/>
      <c r="BO142"/>
      <c r="BP142" t="s">
        <v>2332</v>
      </c>
      <c r="BQ142" t="s">
        <v>3448</v>
      </c>
      <c r="BR142" t="s">
        <v>2640</v>
      </c>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t="s">
        <v>2307</v>
      </c>
      <c r="CY142">
        <v>327</v>
      </c>
      <c r="CZ142" t="s">
        <v>2306</v>
      </c>
    </row>
    <row r="143" spans="1:104" ht="14.25">
      <c r="A143" t="s">
        <v>4380</v>
      </c>
      <c r="B143" t="s">
        <v>4379</v>
      </c>
      <c r="C143" t="s">
        <v>4378</v>
      </c>
      <c r="D143">
        <v>3</v>
      </c>
      <c r="E143" t="s">
        <v>2533</v>
      </c>
      <c r="F143" t="s">
        <v>2342</v>
      </c>
      <c r="G143" t="s">
        <v>2543</v>
      </c>
      <c r="H143"/>
      <c r="I143"/>
      <c r="J143" t="s">
        <v>1908</v>
      </c>
      <c r="K143"/>
      <c r="L143"/>
      <c r="M143">
        <v>15</v>
      </c>
      <c r="N143">
        <v>52</v>
      </c>
      <c r="O143">
        <v>7</v>
      </c>
      <c r="P143">
        <v>10</v>
      </c>
      <c r="Q143">
        <v>14</v>
      </c>
      <c r="R143" t="s">
        <v>2317</v>
      </c>
      <c r="S143" t="s">
        <v>2611</v>
      </c>
      <c r="T143" t="s">
        <v>2586</v>
      </c>
      <c r="U143" t="s">
        <v>2315</v>
      </c>
      <c r="V143">
        <v>40</v>
      </c>
      <c r="W143"/>
      <c r="X143"/>
      <c r="Y143"/>
      <c r="Z143"/>
      <c r="AA143">
        <v>15</v>
      </c>
      <c r="AB143">
        <v>13</v>
      </c>
      <c r="AC143">
        <v>15</v>
      </c>
      <c r="AD143">
        <v>1</v>
      </c>
      <c r="AE143">
        <v>9</v>
      </c>
      <c r="AF143">
        <v>3</v>
      </c>
      <c r="AG143">
        <v>327</v>
      </c>
      <c r="AH143"/>
      <c r="AI143"/>
      <c r="AJ143"/>
      <c r="AK143"/>
      <c r="AL143"/>
      <c r="AM143"/>
      <c r="AN143">
        <v>27</v>
      </c>
      <c r="AO143">
        <v>373</v>
      </c>
      <c r="AP143"/>
      <c r="AQ143"/>
      <c r="AR143"/>
      <c r="AS143"/>
      <c r="AT143"/>
      <c r="AU143"/>
      <c r="AV143"/>
      <c r="AW143"/>
      <c r="AX143"/>
      <c r="AY143"/>
      <c r="AZ143"/>
      <c r="BA143"/>
      <c r="BB143"/>
      <c r="BC143"/>
      <c r="BD143"/>
      <c r="BE143"/>
      <c r="BF143"/>
      <c r="BG143"/>
      <c r="BH143"/>
      <c r="BI143"/>
      <c r="BJ143"/>
      <c r="BK143"/>
      <c r="BL143"/>
      <c r="BM143"/>
      <c r="BN143"/>
      <c r="BO143"/>
      <c r="BP143" t="s">
        <v>2329</v>
      </c>
      <c r="BQ143" t="s">
        <v>4377</v>
      </c>
      <c r="BR143" t="s">
        <v>4376</v>
      </c>
      <c r="BS143" t="s">
        <v>2333</v>
      </c>
      <c r="BT143" t="s">
        <v>4375</v>
      </c>
      <c r="BU143" t="s">
        <v>2333</v>
      </c>
      <c r="BV143" t="s">
        <v>3243</v>
      </c>
      <c r="BW143" t="s">
        <v>4374</v>
      </c>
      <c r="BX143" t="s">
        <v>4373</v>
      </c>
      <c r="BY143"/>
      <c r="BZ143"/>
      <c r="CA143"/>
      <c r="CB143"/>
      <c r="CC143"/>
      <c r="CD143"/>
      <c r="CE143"/>
      <c r="CF143"/>
      <c r="CG143"/>
      <c r="CH143"/>
      <c r="CI143"/>
      <c r="CJ143"/>
      <c r="CK143"/>
      <c r="CL143"/>
      <c r="CM143"/>
      <c r="CN143"/>
      <c r="CO143"/>
      <c r="CP143"/>
      <c r="CQ143"/>
      <c r="CR143"/>
      <c r="CS143"/>
      <c r="CT143"/>
      <c r="CU143"/>
      <c r="CV143"/>
      <c r="CW143"/>
      <c r="CX143" t="s">
        <v>2307</v>
      </c>
      <c r="CY143">
        <v>327</v>
      </c>
      <c r="CZ143" t="s">
        <v>2306</v>
      </c>
    </row>
    <row r="144" spans="1:104" ht="14.25">
      <c r="A144" t="s">
        <v>4372</v>
      </c>
      <c r="B144" t="s">
        <v>4371</v>
      </c>
      <c r="C144" t="s">
        <v>4370</v>
      </c>
      <c r="D144">
        <v>0.5</v>
      </c>
      <c r="E144" t="s">
        <v>2533</v>
      </c>
      <c r="F144" t="s">
        <v>2342</v>
      </c>
      <c r="G144" t="s">
        <v>2543</v>
      </c>
      <c r="H144"/>
      <c r="I144"/>
      <c r="J144" t="s">
        <v>1908</v>
      </c>
      <c r="K144"/>
      <c r="L144"/>
      <c r="M144">
        <v>13</v>
      </c>
      <c r="N144">
        <v>16</v>
      </c>
      <c r="O144">
        <v>3</v>
      </c>
      <c r="P144">
        <v>10</v>
      </c>
      <c r="Q144"/>
      <c r="R144" t="s">
        <v>2317</v>
      </c>
      <c r="S144" t="s">
        <v>2316</v>
      </c>
      <c r="T144" t="s">
        <v>2315</v>
      </c>
      <c r="U144" t="s">
        <v>2315</v>
      </c>
      <c r="V144">
        <v>0</v>
      </c>
      <c r="W144"/>
      <c r="X144"/>
      <c r="Y144"/>
      <c r="Z144">
        <v>40</v>
      </c>
      <c r="AA144">
        <v>12</v>
      </c>
      <c r="AB144">
        <v>15</v>
      </c>
      <c r="AC144">
        <v>11</v>
      </c>
      <c r="AD144">
        <v>2</v>
      </c>
      <c r="AE144">
        <v>12</v>
      </c>
      <c r="AF144">
        <v>5</v>
      </c>
      <c r="AG144">
        <v>328</v>
      </c>
      <c r="AH144"/>
      <c r="AI144"/>
      <c r="AJ144"/>
      <c r="AK144"/>
      <c r="AL144"/>
      <c r="AM144"/>
      <c r="AN144">
        <v>27</v>
      </c>
      <c r="AO144">
        <v>373</v>
      </c>
      <c r="AP144"/>
      <c r="AQ144"/>
      <c r="AR144"/>
      <c r="AS144"/>
      <c r="AT144"/>
      <c r="AU144"/>
      <c r="AV144"/>
      <c r="AW144"/>
      <c r="AX144"/>
      <c r="AY144" t="s">
        <v>2824</v>
      </c>
      <c r="AZ144" t="s">
        <v>4369</v>
      </c>
      <c r="BA144" t="s">
        <v>2658</v>
      </c>
      <c r="BB144" t="s">
        <v>2955</v>
      </c>
      <c r="BC144" t="s">
        <v>3209</v>
      </c>
      <c r="BD144" t="s">
        <v>2955</v>
      </c>
      <c r="BE144"/>
      <c r="BF144"/>
      <c r="BG144"/>
      <c r="BH144"/>
      <c r="BI144"/>
      <c r="BJ144"/>
      <c r="BK144"/>
      <c r="BL144"/>
      <c r="BM144"/>
      <c r="BN144"/>
      <c r="BO144"/>
      <c r="BP144" t="s">
        <v>3253</v>
      </c>
      <c r="BQ144" t="s">
        <v>2309</v>
      </c>
      <c r="BR144" t="s">
        <v>4368</v>
      </c>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t="s">
        <v>2307</v>
      </c>
      <c r="CY144">
        <v>328</v>
      </c>
      <c r="CZ144" t="s">
        <v>2306</v>
      </c>
    </row>
    <row r="145" spans="1:104" ht="14.25">
      <c r="A145" t="s">
        <v>4367</v>
      </c>
      <c r="B145" t="s">
        <v>4366</v>
      </c>
      <c r="C145" t="s">
        <v>4365</v>
      </c>
      <c r="D145">
        <v>5</v>
      </c>
      <c r="E145" t="s">
        <v>2533</v>
      </c>
      <c r="F145" t="s">
        <v>2838</v>
      </c>
      <c r="G145" t="s">
        <v>2543</v>
      </c>
      <c r="H145"/>
      <c r="I145"/>
      <c r="J145" t="s">
        <v>1908</v>
      </c>
      <c r="K145"/>
      <c r="L145"/>
      <c r="M145">
        <v>13</v>
      </c>
      <c r="N145">
        <v>126</v>
      </c>
      <c r="O145">
        <v>11</v>
      </c>
      <c r="P145">
        <v>12</v>
      </c>
      <c r="Q145">
        <v>55</v>
      </c>
      <c r="R145" t="s">
        <v>2317</v>
      </c>
      <c r="S145" t="s">
        <v>2868</v>
      </c>
      <c r="T145" t="s">
        <v>2315</v>
      </c>
      <c r="U145" t="s">
        <v>2315</v>
      </c>
      <c r="V145">
        <v>0</v>
      </c>
      <c r="W145"/>
      <c r="X145"/>
      <c r="Y145"/>
      <c r="Z145">
        <v>50</v>
      </c>
      <c r="AA145">
        <v>23</v>
      </c>
      <c r="AB145">
        <v>11</v>
      </c>
      <c r="AC145">
        <v>21</v>
      </c>
      <c r="AD145">
        <v>1</v>
      </c>
      <c r="AE145">
        <v>10</v>
      </c>
      <c r="AF145">
        <v>5</v>
      </c>
      <c r="AG145">
        <v>328</v>
      </c>
      <c r="AH145"/>
      <c r="AI145"/>
      <c r="AJ145"/>
      <c r="AK145"/>
      <c r="AL145"/>
      <c r="AM145"/>
      <c r="AN145">
        <v>28</v>
      </c>
      <c r="AO145">
        <v>374</v>
      </c>
      <c r="AP145"/>
      <c r="AQ145"/>
      <c r="AR145"/>
      <c r="AS145"/>
      <c r="AT145"/>
      <c r="AU145"/>
      <c r="AV145"/>
      <c r="AW145"/>
      <c r="AX145"/>
      <c r="AY145" t="s">
        <v>2958</v>
      </c>
      <c r="AZ145" t="s">
        <v>4071</v>
      </c>
      <c r="BA145" t="s">
        <v>2958</v>
      </c>
      <c r="BB145" t="s">
        <v>2955</v>
      </c>
      <c r="BC145" t="s">
        <v>3366</v>
      </c>
      <c r="BD145" t="s">
        <v>2955</v>
      </c>
      <c r="BE145"/>
      <c r="BF145"/>
      <c r="BG145"/>
      <c r="BH145"/>
      <c r="BI145"/>
      <c r="BJ145"/>
      <c r="BK145"/>
      <c r="BL145"/>
      <c r="BM145"/>
      <c r="BN145"/>
      <c r="BO145"/>
      <c r="BP145" t="s">
        <v>2332</v>
      </c>
      <c r="BQ145" t="s">
        <v>4364</v>
      </c>
      <c r="BR145" t="s">
        <v>4363</v>
      </c>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t="s">
        <v>2307</v>
      </c>
      <c r="CY145">
        <v>328</v>
      </c>
      <c r="CZ145" t="s">
        <v>2306</v>
      </c>
    </row>
    <row r="146" spans="1:104" ht="14.25">
      <c r="A146" t="s">
        <v>4362</v>
      </c>
      <c r="B146" t="s">
        <v>4361</v>
      </c>
      <c r="C146" t="s">
        <v>4360</v>
      </c>
      <c r="D146">
        <v>1</v>
      </c>
      <c r="E146" t="s">
        <v>2533</v>
      </c>
      <c r="F146" t="s">
        <v>2342</v>
      </c>
      <c r="G146" t="s">
        <v>2543</v>
      </c>
      <c r="H146" t="s">
        <v>3104</v>
      </c>
      <c r="I146"/>
      <c r="J146" t="s">
        <v>1908</v>
      </c>
      <c r="K146"/>
      <c r="L146"/>
      <c r="M146">
        <v>14</v>
      </c>
      <c r="N146">
        <v>26</v>
      </c>
      <c r="O146">
        <v>4</v>
      </c>
      <c r="P146">
        <v>10</v>
      </c>
      <c r="Q146">
        <v>4</v>
      </c>
      <c r="R146" t="s">
        <v>2317</v>
      </c>
      <c r="S146" t="s">
        <v>2630</v>
      </c>
      <c r="T146" t="s">
        <v>2315</v>
      </c>
      <c r="U146" t="s">
        <v>2315</v>
      </c>
      <c r="V146">
        <v>30</v>
      </c>
      <c r="W146"/>
      <c r="X146">
        <v>30</v>
      </c>
      <c r="Y146"/>
      <c r="Z146"/>
      <c r="AA146">
        <v>14</v>
      </c>
      <c r="AB146">
        <v>16</v>
      </c>
      <c r="AC146">
        <v>12</v>
      </c>
      <c r="AD146">
        <v>2</v>
      </c>
      <c r="AE146">
        <v>11</v>
      </c>
      <c r="AF146">
        <v>4</v>
      </c>
      <c r="AG146">
        <v>328</v>
      </c>
      <c r="AH146">
        <v>306</v>
      </c>
      <c r="AI146"/>
      <c r="AJ146">
        <v>58</v>
      </c>
      <c r="AK146"/>
      <c r="AL146"/>
      <c r="AM146"/>
      <c r="AN146">
        <v>28</v>
      </c>
      <c r="AO146">
        <v>374</v>
      </c>
      <c r="AP146">
        <v>10</v>
      </c>
      <c r="AQ146"/>
      <c r="AR146"/>
      <c r="AS146"/>
      <c r="AT146"/>
      <c r="AU146"/>
      <c r="AV146" t="s">
        <v>2569</v>
      </c>
      <c r="AW146"/>
      <c r="AX146"/>
      <c r="AY146" t="s">
        <v>2768</v>
      </c>
      <c r="AZ146" t="s">
        <v>3102</v>
      </c>
      <c r="BA146" t="s">
        <v>2768</v>
      </c>
      <c r="BB146" t="s">
        <v>3100</v>
      </c>
      <c r="BC146" t="s">
        <v>3101</v>
      </c>
      <c r="BD146" t="s">
        <v>3100</v>
      </c>
      <c r="BE146" t="s">
        <v>3098</v>
      </c>
      <c r="BF146" t="s">
        <v>3099</v>
      </c>
      <c r="BG146" t="s">
        <v>3098</v>
      </c>
      <c r="BH146"/>
      <c r="BI146"/>
      <c r="BJ146"/>
      <c r="BK146"/>
      <c r="BL146"/>
      <c r="BM146"/>
      <c r="BN146"/>
      <c r="BO146"/>
      <c r="BP146" t="s">
        <v>2332</v>
      </c>
      <c r="BQ146" t="s">
        <v>4359</v>
      </c>
      <c r="BR146" t="s">
        <v>3817</v>
      </c>
      <c r="BS146" t="s">
        <v>4358</v>
      </c>
      <c r="BT146" t="s">
        <v>4357</v>
      </c>
      <c r="BU146" t="s">
        <v>4356</v>
      </c>
      <c r="BV146"/>
      <c r="BW146"/>
      <c r="BX146"/>
      <c r="BY146"/>
      <c r="BZ146"/>
      <c r="CA146"/>
      <c r="CB146"/>
      <c r="CC146"/>
      <c r="CD146"/>
      <c r="CE146"/>
      <c r="CF146"/>
      <c r="CG146"/>
      <c r="CH146"/>
      <c r="CI146"/>
      <c r="CJ146"/>
      <c r="CK146"/>
      <c r="CL146"/>
      <c r="CM146"/>
      <c r="CN146"/>
      <c r="CO146"/>
      <c r="CP146"/>
      <c r="CQ146"/>
      <c r="CR146"/>
      <c r="CS146"/>
      <c r="CT146"/>
      <c r="CU146"/>
      <c r="CV146"/>
      <c r="CW146"/>
      <c r="CX146" t="s">
        <v>2307</v>
      </c>
      <c r="CY146">
        <v>328</v>
      </c>
      <c r="CZ146" t="s">
        <v>2306</v>
      </c>
    </row>
    <row r="147" spans="1:104" ht="14.25">
      <c r="A147" t="s">
        <v>4355</v>
      </c>
      <c r="B147" t="s">
        <v>4354</v>
      </c>
      <c r="C147" t="s">
        <v>4353</v>
      </c>
      <c r="D147">
        <v>1</v>
      </c>
      <c r="E147" t="s">
        <v>2533</v>
      </c>
      <c r="F147" t="s">
        <v>2342</v>
      </c>
      <c r="G147" t="s">
        <v>2543</v>
      </c>
      <c r="H147"/>
      <c r="I147"/>
      <c r="J147" t="s">
        <v>1908</v>
      </c>
      <c r="K147"/>
      <c r="L147"/>
      <c r="M147">
        <v>11</v>
      </c>
      <c r="N147">
        <v>39</v>
      </c>
      <c r="O147">
        <v>6</v>
      </c>
      <c r="P147">
        <v>10</v>
      </c>
      <c r="Q147">
        <v>6</v>
      </c>
      <c r="R147" t="s">
        <v>2317</v>
      </c>
      <c r="S147" t="s">
        <v>4352</v>
      </c>
      <c r="T147" t="s">
        <v>2315</v>
      </c>
      <c r="U147" t="s">
        <v>2315</v>
      </c>
      <c r="V147">
        <v>20</v>
      </c>
      <c r="W147"/>
      <c r="X147"/>
      <c r="Y147"/>
      <c r="Z147">
        <v>40</v>
      </c>
      <c r="AA147">
        <v>15</v>
      </c>
      <c r="AB147">
        <v>13</v>
      </c>
      <c r="AC147">
        <v>13</v>
      </c>
      <c r="AD147">
        <v>2</v>
      </c>
      <c r="AE147">
        <v>10</v>
      </c>
      <c r="AF147">
        <v>3</v>
      </c>
      <c r="AG147">
        <v>329</v>
      </c>
      <c r="AH147"/>
      <c r="AI147"/>
      <c r="AJ147"/>
      <c r="AK147"/>
      <c r="AL147"/>
      <c r="AM147"/>
      <c r="AN147">
        <v>28</v>
      </c>
      <c r="AO147">
        <v>375</v>
      </c>
      <c r="AP147"/>
      <c r="AQ147"/>
      <c r="AR147"/>
      <c r="AS147" t="s">
        <v>2741</v>
      </c>
      <c r="AT147"/>
      <c r="AU147"/>
      <c r="AV147"/>
      <c r="AW147"/>
      <c r="AX147"/>
      <c r="AY147" t="s">
        <v>2373</v>
      </c>
      <c r="AZ147" t="s">
        <v>4351</v>
      </c>
      <c r="BA147" t="s">
        <v>2373</v>
      </c>
      <c r="BB147" t="s">
        <v>4349</v>
      </c>
      <c r="BC147" t="s">
        <v>4350</v>
      </c>
      <c r="BD147" t="s">
        <v>4349</v>
      </c>
      <c r="BE147"/>
      <c r="BF147"/>
      <c r="BG147"/>
      <c r="BH147"/>
      <c r="BI147"/>
      <c r="BJ147"/>
      <c r="BK147"/>
      <c r="BL147"/>
      <c r="BM147"/>
      <c r="BN147"/>
      <c r="BO147"/>
      <c r="BP147" t="s">
        <v>2332</v>
      </c>
      <c r="BQ147" t="s">
        <v>4348</v>
      </c>
      <c r="BR147" t="s">
        <v>4347</v>
      </c>
      <c r="BS147" t="s">
        <v>2908</v>
      </c>
      <c r="BT147" t="s">
        <v>4346</v>
      </c>
      <c r="BU147" t="s">
        <v>2908</v>
      </c>
      <c r="BV147"/>
      <c r="BW147"/>
      <c r="BX147"/>
      <c r="BY147"/>
      <c r="BZ147"/>
      <c r="CA147"/>
      <c r="CB147"/>
      <c r="CC147"/>
      <c r="CD147"/>
      <c r="CE147"/>
      <c r="CF147"/>
      <c r="CG147"/>
      <c r="CH147"/>
      <c r="CI147"/>
      <c r="CJ147"/>
      <c r="CK147"/>
      <c r="CL147"/>
      <c r="CM147"/>
      <c r="CN147"/>
      <c r="CO147"/>
      <c r="CP147"/>
      <c r="CQ147"/>
      <c r="CR147"/>
      <c r="CS147"/>
      <c r="CT147"/>
      <c r="CU147"/>
      <c r="CV147"/>
      <c r="CW147"/>
      <c r="CX147" t="s">
        <v>2307</v>
      </c>
      <c r="CY147">
        <v>329</v>
      </c>
      <c r="CZ147" t="s">
        <v>2306</v>
      </c>
    </row>
    <row r="148" spans="1:104" ht="14.25">
      <c r="A148" t="s">
        <v>4345</v>
      </c>
      <c r="B148" t="s">
        <v>4344</v>
      </c>
      <c r="C148" t="s">
        <v>4343</v>
      </c>
      <c r="D148">
        <v>1</v>
      </c>
      <c r="E148" t="s">
        <v>2533</v>
      </c>
      <c r="F148" t="s">
        <v>2342</v>
      </c>
      <c r="G148" t="s">
        <v>2543</v>
      </c>
      <c r="H148"/>
      <c r="I148"/>
      <c r="J148" t="s">
        <v>2318</v>
      </c>
      <c r="K148"/>
      <c r="L148"/>
      <c r="M148">
        <v>10</v>
      </c>
      <c r="N148">
        <v>22</v>
      </c>
      <c r="O148">
        <v>3</v>
      </c>
      <c r="P148">
        <v>10</v>
      </c>
      <c r="Q148">
        <v>6</v>
      </c>
      <c r="R148" t="s">
        <v>2317</v>
      </c>
      <c r="S148" t="s">
        <v>2542</v>
      </c>
      <c r="T148" t="s">
        <v>4342</v>
      </c>
      <c r="U148" t="s">
        <v>2315</v>
      </c>
      <c r="V148">
        <v>10</v>
      </c>
      <c r="W148"/>
      <c r="X148"/>
      <c r="Y148">
        <v>60</v>
      </c>
      <c r="Z148"/>
      <c r="AA148">
        <v>15</v>
      </c>
      <c r="AB148">
        <v>10</v>
      </c>
      <c r="AC148">
        <v>15</v>
      </c>
      <c r="AD148">
        <v>6</v>
      </c>
      <c r="AE148">
        <v>12</v>
      </c>
      <c r="AF148">
        <v>7</v>
      </c>
      <c r="AG148">
        <v>329</v>
      </c>
      <c r="AH148"/>
      <c r="AI148"/>
      <c r="AJ148"/>
      <c r="AK148"/>
      <c r="AL148"/>
      <c r="AM148"/>
      <c r="AN148">
        <v>29</v>
      </c>
      <c r="AO148">
        <v>375</v>
      </c>
      <c r="AP148"/>
      <c r="AQ148"/>
      <c r="AR148"/>
      <c r="AS148"/>
      <c r="AT148"/>
      <c r="AU148"/>
      <c r="AV148"/>
      <c r="AW148"/>
      <c r="AX148"/>
      <c r="AY148" t="s">
        <v>2709</v>
      </c>
      <c r="AZ148" t="s">
        <v>2710</v>
      </c>
      <c r="BA148" t="s">
        <v>2709</v>
      </c>
      <c r="BB148" t="s">
        <v>2452</v>
      </c>
      <c r="BC148" t="s">
        <v>2708</v>
      </c>
      <c r="BD148" t="s">
        <v>2452</v>
      </c>
      <c r="BE148"/>
      <c r="BF148"/>
      <c r="BG148"/>
      <c r="BH148"/>
      <c r="BI148"/>
      <c r="BJ148"/>
      <c r="BK148"/>
      <c r="BL148"/>
      <c r="BM148"/>
      <c r="BN148"/>
      <c r="BO148"/>
      <c r="BP148" t="s">
        <v>2333</v>
      </c>
      <c r="BQ148" t="s">
        <v>4341</v>
      </c>
      <c r="BR148" t="s">
        <v>2333</v>
      </c>
      <c r="BS148" t="s">
        <v>2707</v>
      </c>
      <c r="BT148" t="s">
        <v>4340</v>
      </c>
      <c r="BU148" t="s">
        <v>4339</v>
      </c>
      <c r="BV148" t="s">
        <v>2722</v>
      </c>
      <c r="BW148" t="s">
        <v>4211</v>
      </c>
      <c r="BX148" t="s">
        <v>4338</v>
      </c>
      <c r="BY148"/>
      <c r="BZ148"/>
      <c r="CA148"/>
      <c r="CB148"/>
      <c r="CC148"/>
      <c r="CD148"/>
      <c r="CE148"/>
      <c r="CF148"/>
      <c r="CG148"/>
      <c r="CH148"/>
      <c r="CI148"/>
      <c r="CJ148"/>
      <c r="CK148"/>
      <c r="CL148"/>
      <c r="CM148"/>
      <c r="CN148"/>
      <c r="CO148"/>
      <c r="CP148"/>
      <c r="CQ148"/>
      <c r="CR148"/>
      <c r="CS148"/>
      <c r="CT148"/>
      <c r="CU148"/>
      <c r="CV148"/>
      <c r="CW148"/>
      <c r="CX148" t="s">
        <v>2307</v>
      </c>
      <c r="CY148">
        <v>329</v>
      </c>
      <c r="CZ148" t="s">
        <v>2306</v>
      </c>
    </row>
    <row r="149" spans="1:104" ht="14.25">
      <c r="A149" t="s">
        <v>4337</v>
      </c>
      <c r="B149" t="s">
        <v>4336</v>
      </c>
      <c r="C149" t="s">
        <v>4335</v>
      </c>
      <c r="D149">
        <v>0.5</v>
      </c>
      <c r="E149" t="s">
        <v>2533</v>
      </c>
      <c r="F149" t="s">
        <v>2320</v>
      </c>
      <c r="G149" t="s">
        <v>2543</v>
      </c>
      <c r="H149"/>
      <c r="I149"/>
      <c r="J149" t="s">
        <v>1908</v>
      </c>
      <c r="K149"/>
      <c r="L149"/>
      <c r="M149">
        <v>12</v>
      </c>
      <c r="N149">
        <v>13</v>
      </c>
      <c r="O149">
        <v>3</v>
      </c>
      <c r="P149">
        <v>8</v>
      </c>
      <c r="Q149"/>
      <c r="R149" t="s">
        <v>2317</v>
      </c>
      <c r="S149" t="s">
        <v>2458</v>
      </c>
      <c r="T149" t="s">
        <v>2315</v>
      </c>
      <c r="U149" t="s">
        <v>2315</v>
      </c>
      <c r="V149">
        <v>10</v>
      </c>
      <c r="W149"/>
      <c r="X149"/>
      <c r="Y149">
        <v>50</v>
      </c>
      <c r="Z149"/>
      <c r="AA149">
        <v>10</v>
      </c>
      <c r="AB149">
        <v>14</v>
      </c>
      <c r="AC149">
        <v>10</v>
      </c>
      <c r="AD149">
        <v>1</v>
      </c>
      <c r="AE149">
        <v>10</v>
      </c>
      <c r="AF149">
        <v>3</v>
      </c>
      <c r="AG149">
        <v>329</v>
      </c>
      <c r="AH149"/>
      <c r="AI149"/>
      <c r="AJ149"/>
      <c r="AK149"/>
      <c r="AL149"/>
      <c r="AM149"/>
      <c r="AN149">
        <v>29</v>
      </c>
      <c r="AO149">
        <v>375</v>
      </c>
      <c r="AP149"/>
      <c r="AQ149"/>
      <c r="AR149"/>
      <c r="AS149"/>
      <c r="AT149"/>
      <c r="AU149"/>
      <c r="AV149" t="s">
        <v>2741</v>
      </c>
      <c r="AW149"/>
      <c r="AX149"/>
      <c r="AY149"/>
      <c r="AZ149"/>
      <c r="BA149"/>
      <c r="BB149"/>
      <c r="BC149"/>
      <c r="BD149"/>
      <c r="BE149"/>
      <c r="BF149"/>
      <c r="BG149"/>
      <c r="BH149"/>
      <c r="BI149"/>
      <c r="BJ149"/>
      <c r="BK149"/>
      <c r="BL149"/>
      <c r="BM149"/>
      <c r="BN149"/>
      <c r="BO149"/>
      <c r="BP149" t="s">
        <v>3243</v>
      </c>
      <c r="BQ149" t="s">
        <v>4334</v>
      </c>
      <c r="BR149" t="s">
        <v>4333</v>
      </c>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t="s">
        <v>2307</v>
      </c>
      <c r="CY149">
        <v>329</v>
      </c>
      <c r="CZ149" t="s">
        <v>2306</v>
      </c>
    </row>
    <row r="150" spans="1:104" ht="14.25">
      <c r="A150" t="s">
        <v>4332</v>
      </c>
      <c r="B150" t="s">
        <v>4331</v>
      </c>
      <c r="C150" t="s">
        <v>4330</v>
      </c>
      <c r="D150">
        <v>0.125</v>
      </c>
      <c r="E150" t="s">
        <v>2533</v>
      </c>
      <c r="F150" t="s">
        <v>2320</v>
      </c>
      <c r="G150" t="s">
        <v>2543</v>
      </c>
      <c r="H150"/>
      <c r="I150"/>
      <c r="J150" t="s">
        <v>1908</v>
      </c>
      <c r="K150"/>
      <c r="L150"/>
      <c r="M150">
        <v>13</v>
      </c>
      <c r="N150">
        <v>9</v>
      </c>
      <c r="O150">
        <v>2</v>
      </c>
      <c r="P150">
        <v>8</v>
      </c>
      <c r="Q150"/>
      <c r="R150" t="s">
        <v>2317</v>
      </c>
      <c r="S150" t="s">
        <v>3044</v>
      </c>
      <c r="T150" t="s">
        <v>2315</v>
      </c>
      <c r="U150" t="s">
        <v>2315</v>
      </c>
      <c r="V150">
        <v>40</v>
      </c>
      <c r="W150"/>
      <c r="X150"/>
      <c r="Y150"/>
      <c r="Z150"/>
      <c r="AA150">
        <v>11</v>
      </c>
      <c r="AB150">
        <v>16</v>
      </c>
      <c r="AC150">
        <v>10</v>
      </c>
      <c r="AD150">
        <v>4</v>
      </c>
      <c r="AE150">
        <v>12</v>
      </c>
      <c r="AF150">
        <v>5</v>
      </c>
      <c r="AG150">
        <v>329</v>
      </c>
      <c r="AH150"/>
      <c r="AI150"/>
      <c r="AJ150"/>
      <c r="AK150"/>
      <c r="AL150"/>
      <c r="AM150"/>
      <c r="AN150">
        <v>29</v>
      </c>
      <c r="AO150">
        <v>376</v>
      </c>
      <c r="AP150"/>
      <c r="AQ150"/>
      <c r="AR150"/>
      <c r="AS150" t="s">
        <v>2540</v>
      </c>
      <c r="AT150"/>
      <c r="AU150"/>
      <c r="AV150"/>
      <c r="AW150"/>
      <c r="AX150"/>
      <c r="AY150" t="s">
        <v>2528</v>
      </c>
      <c r="AZ150" t="s">
        <v>2678</v>
      </c>
      <c r="BA150" t="s">
        <v>2528</v>
      </c>
      <c r="BB150"/>
      <c r="BC150"/>
      <c r="BD150"/>
      <c r="BE150"/>
      <c r="BF150"/>
      <c r="BG150"/>
      <c r="BH150"/>
      <c r="BI150"/>
      <c r="BJ150"/>
      <c r="BK150"/>
      <c r="BL150"/>
      <c r="BM150"/>
      <c r="BN150"/>
      <c r="BO150"/>
      <c r="BP150" t="s">
        <v>2332</v>
      </c>
      <c r="BQ150" t="s">
        <v>4329</v>
      </c>
      <c r="BR150" t="s">
        <v>4328</v>
      </c>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t="s">
        <v>2307</v>
      </c>
      <c r="CY150">
        <v>329</v>
      </c>
      <c r="CZ150" t="s">
        <v>2306</v>
      </c>
    </row>
    <row r="151" spans="1:104" ht="14.25">
      <c r="A151" t="s">
        <v>4327</v>
      </c>
      <c r="B151" t="s">
        <v>4326</v>
      </c>
      <c r="C151" t="s">
        <v>4325</v>
      </c>
      <c r="D151">
        <v>0.25</v>
      </c>
      <c r="E151" t="s">
        <v>2533</v>
      </c>
      <c r="F151" t="s">
        <v>2320</v>
      </c>
      <c r="G151" t="s">
        <v>2543</v>
      </c>
      <c r="H151" t="s">
        <v>3104</v>
      </c>
      <c r="I151"/>
      <c r="J151" t="s">
        <v>1908</v>
      </c>
      <c r="K151"/>
      <c r="L151"/>
      <c r="M151">
        <v>13</v>
      </c>
      <c r="N151">
        <v>11</v>
      </c>
      <c r="O151">
        <v>2</v>
      </c>
      <c r="P151">
        <v>8</v>
      </c>
      <c r="Q151">
        <v>2</v>
      </c>
      <c r="R151" t="s">
        <v>2317</v>
      </c>
      <c r="S151" t="s">
        <v>2316</v>
      </c>
      <c r="T151" t="s">
        <v>2315</v>
      </c>
      <c r="U151" t="s">
        <v>2315</v>
      </c>
      <c r="V151">
        <v>40</v>
      </c>
      <c r="W151"/>
      <c r="X151">
        <v>40</v>
      </c>
      <c r="Y151"/>
      <c r="Z151"/>
      <c r="AA151">
        <v>12</v>
      </c>
      <c r="AB151">
        <v>16</v>
      </c>
      <c r="AC151">
        <v>13</v>
      </c>
      <c r="AD151">
        <v>3</v>
      </c>
      <c r="AE151">
        <v>12</v>
      </c>
      <c r="AF151">
        <v>4</v>
      </c>
      <c r="AG151">
        <v>330</v>
      </c>
      <c r="AH151"/>
      <c r="AI151"/>
      <c r="AJ151"/>
      <c r="AK151"/>
      <c r="AL151"/>
      <c r="AM151"/>
      <c r="AN151">
        <v>29</v>
      </c>
      <c r="AO151">
        <v>376</v>
      </c>
      <c r="AP151"/>
      <c r="AQ151"/>
      <c r="AR151"/>
      <c r="AS151"/>
      <c r="AT151"/>
      <c r="AU151"/>
      <c r="AV151"/>
      <c r="AW151"/>
      <c r="AX151"/>
      <c r="AY151" t="s">
        <v>2768</v>
      </c>
      <c r="AZ151" t="s">
        <v>3102</v>
      </c>
      <c r="BA151" t="s">
        <v>2768</v>
      </c>
      <c r="BB151" t="s">
        <v>3100</v>
      </c>
      <c r="BC151" t="s">
        <v>3101</v>
      </c>
      <c r="BD151" t="s">
        <v>3100</v>
      </c>
      <c r="BE151" t="s">
        <v>3098</v>
      </c>
      <c r="BF151" t="s">
        <v>3099</v>
      </c>
      <c r="BG151" t="s">
        <v>3098</v>
      </c>
      <c r="BH151"/>
      <c r="BI151"/>
      <c r="BJ151"/>
      <c r="BK151"/>
      <c r="BL151"/>
      <c r="BM151"/>
      <c r="BN151"/>
      <c r="BO151"/>
      <c r="BP151" t="s">
        <v>2332</v>
      </c>
      <c r="BQ151" t="s">
        <v>4324</v>
      </c>
      <c r="BR151" t="s">
        <v>3790</v>
      </c>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t="s">
        <v>2307</v>
      </c>
      <c r="CY151">
        <v>330</v>
      </c>
      <c r="CZ151" t="s">
        <v>2306</v>
      </c>
    </row>
    <row r="152" spans="1:104" ht="14.25">
      <c r="A152" t="s">
        <v>4323</v>
      </c>
      <c r="B152" t="s">
        <v>4322</v>
      </c>
      <c r="C152" t="s">
        <v>4321</v>
      </c>
      <c r="D152">
        <v>2</v>
      </c>
      <c r="E152" t="s">
        <v>2321</v>
      </c>
      <c r="F152" t="s">
        <v>2320</v>
      </c>
      <c r="G152" t="s">
        <v>3567</v>
      </c>
      <c r="H152"/>
      <c r="I152"/>
      <c r="J152" t="s">
        <v>1902</v>
      </c>
      <c r="K152"/>
      <c r="L152"/>
      <c r="M152">
        <v>9</v>
      </c>
      <c r="N152">
        <v>67</v>
      </c>
      <c r="O152">
        <v>9</v>
      </c>
      <c r="P152">
        <v>8</v>
      </c>
      <c r="Q152">
        <v>27</v>
      </c>
      <c r="R152" t="s">
        <v>2317</v>
      </c>
      <c r="S152" t="s">
        <v>4320</v>
      </c>
      <c r="T152" t="s">
        <v>2315</v>
      </c>
      <c r="U152" t="s">
        <v>2315</v>
      </c>
      <c r="V152">
        <v>10</v>
      </c>
      <c r="W152"/>
      <c r="X152"/>
      <c r="Y152"/>
      <c r="Z152">
        <v>10</v>
      </c>
      <c r="AA152">
        <v>10</v>
      </c>
      <c r="AB152">
        <v>8</v>
      </c>
      <c r="AC152">
        <v>16</v>
      </c>
      <c r="AD152">
        <v>3</v>
      </c>
      <c r="AE152">
        <v>10</v>
      </c>
      <c r="AF152">
        <v>6</v>
      </c>
      <c r="AG152">
        <v>157</v>
      </c>
      <c r="AH152"/>
      <c r="AI152"/>
      <c r="AJ152"/>
      <c r="AK152"/>
      <c r="AL152"/>
      <c r="AM152"/>
      <c r="AN152"/>
      <c r="AO152">
        <v>317</v>
      </c>
      <c r="AP152"/>
      <c r="AQ152"/>
      <c r="AR152"/>
      <c r="AS152"/>
      <c r="AT152"/>
      <c r="AU152"/>
      <c r="AV152"/>
      <c r="AW152"/>
      <c r="AX152"/>
      <c r="AY152" t="s">
        <v>4318</v>
      </c>
      <c r="AZ152" t="s">
        <v>4319</v>
      </c>
      <c r="BA152" t="s">
        <v>4318</v>
      </c>
      <c r="BB152" t="s">
        <v>4316</v>
      </c>
      <c r="BC152" t="s">
        <v>4317</v>
      </c>
      <c r="BD152" t="s">
        <v>4316</v>
      </c>
      <c r="BE152"/>
      <c r="BF152"/>
      <c r="BG152"/>
      <c r="BH152"/>
      <c r="BI152"/>
      <c r="BJ152"/>
      <c r="BK152"/>
      <c r="BL152"/>
      <c r="BM152"/>
      <c r="BN152"/>
      <c r="BO152"/>
      <c r="BP152" t="s">
        <v>2333</v>
      </c>
      <c r="BQ152" t="s">
        <v>4315</v>
      </c>
      <c r="BR152" t="s">
        <v>2333</v>
      </c>
      <c r="BS152" t="s">
        <v>2945</v>
      </c>
      <c r="BT152" t="s">
        <v>4314</v>
      </c>
      <c r="BU152" t="s">
        <v>4313</v>
      </c>
      <c r="BV152" t="s">
        <v>4311</v>
      </c>
      <c r="BW152" t="s">
        <v>4312</v>
      </c>
      <c r="BX152" t="s">
        <v>4311</v>
      </c>
      <c r="BY152"/>
      <c r="BZ152"/>
      <c r="CA152"/>
      <c r="CB152"/>
      <c r="CC152"/>
      <c r="CD152"/>
      <c r="CE152"/>
      <c r="CF152"/>
      <c r="CG152"/>
      <c r="CH152"/>
      <c r="CI152"/>
      <c r="CJ152"/>
      <c r="CK152"/>
      <c r="CL152"/>
      <c r="CM152"/>
      <c r="CN152"/>
      <c r="CO152"/>
      <c r="CP152"/>
      <c r="CQ152"/>
      <c r="CR152"/>
      <c r="CS152"/>
      <c r="CT152"/>
      <c r="CU152"/>
      <c r="CV152"/>
      <c r="CW152"/>
      <c r="CX152" t="s">
        <v>2307</v>
      </c>
      <c r="CY152">
        <v>157</v>
      </c>
      <c r="CZ152" t="s">
        <v>2306</v>
      </c>
    </row>
    <row r="153" spans="1:104" ht="14.25">
      <c r="A153" t="s">
        <v>4310</v>
      </c>
      <c r="B153" t="s">
        <v>4310</v>
      </c>
      <c r="C153" t="s">
        <v>4309</v>
      </c>
      <c r="D153">
        <v>9</v>
      </c>
      <c r="E153" t="s">
        <v>2321</v>
      </c>
      <c r="F153" t="s">
        <v>2342</v>
      </c>
      <c r="G153" t="s">
        <v>2732</v>
      </c>
      <c r="H153" t="s">
        <v>2731</v>
      </c>
      <c r="I153"/>
      <c r="J153" t="s">
        <v>2340</v>
      </c>
      <c r="K153"/>
      <c r="L153"/>
      <c r="M153">
        <v>17</v>
      </c>
      <c r="N153">
        <v>157</v>
      </c>
      <c r="O153">
        <v>15</v>
      </c>
      <c r="P153">
        <v>10</v>
      </c>
      <c r="Q153">
        <v>75</v>
      </c>
      <c r="R153" t="s">
        <v>2825</v>
      </c>
      <c r="S153" t="s">
        <v>4308</v>
      </c>
      <c r="T153" t="s">
        <v>4307</v>
      </c>
      <c r="U153" t="s">
        <v>2315</v>
      </c>
      <c r="V153">
        <v>40</v>
      </c>
      <c r="W153"/>
      <c r="X153"/>
      <c r="Y153"/>
      <c r="Z153"/>
      <c r="AA153">
        <v>20</v>
      </c>
      <c r="AB153">
        <v>15</v>
      </c>
      <c r="AC153">
        <v>21</v>
      </c>
      <c r="AD153">
        <v>19</v>
      </c>
      <c r="AE153">
        <v>17</v>
      </c>
      <c r="AF153">
        <v>16</v>
      </c>
      <c r="AG153">
        <v>58</v>
      </c>
      <c r="AH153"/>
      <c r="AI153"/>
      <c r="AJ153"/>
      <c r="AK153"/>
      <c r="AL153"/>
      <c r="AM153"/>
      <c r="AN153"/>
      <c r="AO153">
        <v>274</v>
      </c>
      <c r="AP153"/>
      <c r="AQ153"/>
      <c r="AR153"/>
      <c r="AS153"/>
      <c r="AT153"/>
      <c r="AU153"/>
      <c r="AV153"/>
      <c r="AW153"/>
      <c r="AX153" t="s">
        <v>4306</v>
      </c>
      <c r="AY153" t="s">
        <v>2488</v>
      </c>
      <c r="AZ153" t="s">
        <v>4305</v>
      </c>
      <c r="BA153" t="s">
        <v>2488</v>
      </c>
      <c r="BB153" t="s">
        <v>2726</v>
      </c>
      <c r="BC153" t="s">
        <v>4304</v>
      </c>
      <c r="BD153" t="s">
        <v>2726</v>
      </c>
      <c r="BE153"/>
      <c r="BF153"/>
      <c r="BG153"/>
      <c r="BH153"/>
      <c r="BI153"/>
      <c r="BJ153"/>
      <c r="BK153"/>
      <c r="BL153"/>
      <c r="BM153"/>
      <c r="BN153"/>
      <c r="BO153"/>
      <c r="BP153" t="s">
        <v>2333</v>
      </c>
      <c r="BQ153" t="s">
        <v>4303</v>
      </c>
      <c r="BR153" t="s">
        <v>2333</v>
      </c>
      <c r="BS153" t="s">
        <v>4302</v>
      </c>
      <c r="BT153" t="s">
        <v>4301</v>
      </c>
      <c r="BU153" t="s">
        <v>4300</v>
      </c>
      <c r="BV153" t="s">
        <v>3174</v>
      </c>
      <c r="BW153" t="s">
        <v>4299</v>
      </c>
      <c r="BX153" t="s">
        <v>4298</v>
      </c>
      <c r="BY153" t="s">
        <v>2714</v>
      </c>
      <c r="BZ153" t="s">
        <v>4297</v>
      </c>
      <c r="CA153" t="s">
        <v>2714</v>
      </c>
      <c r="CB153"/>
      <c r="CC153"/>
      <c r="CD153"/>
      <c r="CE153"/>
      <c r="CF153"/>
      <c r="CG153"/>
      <c r="CH153"/>
      <c r="CI153"/>
      <c r="CJ153"/>
      <c r="CK153"/>
      <c r="CL153"/>
      <c r="CM153"/>
      <c r="CN153"/>
      <c r="CO153"/>
      <c r="CP153"/>
      <c r="CQ153"/>
      <c r="CR153"/>
      <c r="CS153"/>
      <c r="CT153"/>
      <c r="CU153"/>
      <c r="CV153"/>
      <c r="CW153"/>
      <c r="CX153" t="s">
        <v>2307</v>
      </c>
      <c r="CY153">
        <v>58</v>
      </c>
      <c r="CZ153" t="s">
        <v>2306</v>
      </c>
    </row>
    <row r="154" spans="1:104" ht="14.25">
      <c r="A154" t="s">
        <v>4296</v>
      </c>
      <c r="B154" t="s">
        <v>4296</v>
      </c>
      <c r="C154" t="s">
        <v>4295</v>
      </c>
      <c r="D154">
        <v>5</v>
      </c>
      <c r="E154" t="s">
        <v>2462</v>
      </c>
      <c r="F154" t="s">
        <v>2320</v>
      </c>
      <c r="G154" t="s">
        <v>2461</v>
      </c>
      <c r="H154" t="s">
        <v>2460</v>
      </c>
      <c r="I154"/>
      <c r="J154" t="s">
        <v>2460</v>
      </c>
      <c r="K154"/>
      <c r="L154"/>
      <c r="M154">
        <v>16</v>
      </c>
      <c r="N154">
        <v>112</v>
      </c>
      <c r="O154">
        <v>15</v>
      </c>
      <c r="P154">
        <v>8</v>
      </c>
      <c r="Q154">
        <v>45</v>
      </c>
      <c r="R154" t="s">
        <v>2317</v>
      </c>
      <c r="S154" t="s">
        <v>2510</v>
      </c>
      <c r="T154" t="s">
        <v>4294</v>
      </c>
      <c r="U154" t="s">
        <v>2315</v>
      </c>
      <c r="V154">
        <v>30</v>
      </c>
      <c r="W154"/>
      <c r="X154"/>
      <c r="Y154"/>
      <c r="Z154"/>
      <c r="AA154">
        <v>18</v>
      </c>
      <c r="AB154">
        <v>15</v>
      </c>
      <c r="AC154">
        <v>16</v>
      </c>
      <c r="AD154">
        <v>10</v>
      </c>
      <c r="AE154">
        <v>12</v>
      </c>
      <c r="AF154">
        <v>15</v>
      </c>
      <c r="AG154">
        <v>346</v>
      </c>
      <c r="AH154"/>
      <c r="AI154"/>
      <c r="AJ154"/>
      <c r="AK154"/>
      <c r="AL154"/>
      <c r="AM154"/>
      <c r="AN154"/>
      <c r="AO154">
        <v>394</v>
      </c>
      <c r="AP154"/>
      <c r="AQ154">
        <v>15</v>
      </c>
      <c r="AR154"/>
      <c r="AS154" t="s">
        <v>4293</v>
      </c>
      <c r="AT154"/>
      <c r="AU154"/>
      <c r="AV154"/>
      <c r="AW154"/>
      <c r="AX154"/>
      <c r="AY154" t="s">
        <v>3964</v>
      </c>
      <c r="AZ154" t="s">
        <v>4292</v>
      </c>
      <c r="BA154" t="s">
        <v>3964</v>
      </c>
      <c r="BB154" t="s">
        <v>4290</v>
      </c>
      <c r="BC154" t="s">
        <v>4291</v>
      </c>
      <c r="BD154" t="s">
        <v>4290</v>
      </c>
      <c r="BE154"/>
      <c r="BF154"/>
      <c r="BG154"/>
      <c r="BH154"/>
      <c r="BI154"/>
      <c r="BJ154"/>
      <c r="BK154"/>
      <c r="BL154"/>
      <c r="BM154"/>
      <c r="BN154"/>
      <c r="BO154"/>
      <c r="BP154" t="s">
        <v>2333</v>
      </c>
      <c r="BQ154" t="s">
        <v>4289</v>
      </c>
      <c r="BR154" t="s">
        <v>2333</v>
      </c>
      <c r="BS154" t="s">
        <v>2255</v>
      </c>
      <c r="BT154" t="s">
        <v>4288</v>
      </c>
      <c r="BU154" t="s">
        <v>4287</v>
      </c>
      <c r="BV154" t="s">
        <v>4286</v>
      </c>
      <c r="BW154" t="s">
        <v>4285</v>
      </c>
      <c r="BX154" t="s">
        <v>4284</v>
      </c>
      <c r="BY154"/>
      <c r="BZ154"/>
      <c r="CA154"/>
      <c r="CB154"/>
      <c r="CC154"/>
      <c r="CD154"/>
      <c r="CE154"/>
      <c r="CF154"/>
      <c r="CG154"/>
      <c r="CH154"/>
      <c r="CI154"/>
      <c r="CJ154"/>
      <c r="CK154"/>
      <c r="CL154"/>
      <c r="CM154"/>
      <c r="CN154"/>
      <c r="CO154"/>
      <c r="CP154"/>
      <c r="CQ154"/>
      <c r="CR154"/>
      <c r="CS154"/>
      <c r="CT154"/>
      <c r="CU154"/>
      <c r="CV154" t="s">
        <v>3635</v>
      </c>
      <c r="CW154" t="s">
        <v>4283</v>
      </c>
      <c r="CX154" t="s">
        <v>2307</v>
      </c>
      <c r="CY154">
        <v>346</v>
      </c>
      <c r="CZ154" t="s">
        <v>2306</v>
      </c>
    </row>
    <row r="155" spans="1:104" ht="14.25">
      <c r="A155" t="s">
        <v>4281</v>
      </c>
      <c r="B155" t="s">
        <v>4281</v>
      </c>
      <c r="C155" t="s">
        <v>4282</v>
      </c>
      <c r="D155">
        <v>0.5</v>
      </c>
      <c r="E155" t="s">
        <v>2321</v>
      </c>
      <c r="F155" t="s">
        <v>2320</v>
      </c>
      <c r="G155" t="s">
        <v>2461</v>
      </c>
      <c r="H155" t="s">
        <v>4281</v>
      </c>
      <c r="I155"/>
      <c r="J155" t="s">
        <v>2340</v>
      </c>
      <c r="K155"/>
      <c r="L155"/>
      <c r="M155">
        <v>15</v>
      </c>
      <c r="N155">
        <v>22</v>
      </c>
      <c r="O155">
        <v>5</v>
      </c>
      <c r="P155">
        <v>8</v>
      </c>
      <c r="Q155"/>
      <c r="R155" t="s">
        <v>2317</v>
      </c>
      <c r="S155" t="s">
        <v>2646</v>
      </c>
      <c r="T155" t="s">
        <v>2611</v>
      </c>
      <c r="U155" t="s">
        <v>2315</v>
      </c>
      <c r="V155">
        <v>30</v>
      </c>
      <c r="W155"/>
      <c r="X155"/>
      <c r="Y155"/>
      <c r="Z155"/>
      <c r="AA155">
        <v>14</v>
      </c>
      <c r="AB155">
        <v>12</v>
      </c>
      <c r="AC155">
        <v>11</v>
      </c>
      <c r="AD155">
        <v>6</v>
      </c>
      <c r="AE155">
        <v>10</v>
      </c>
      <c r="AF155">
        <v>7</v>
      </c>
      <c r="AG155">
        <v>163</v>
      </c>
      <c r="AH155"/>
      <c r="AI155"/>
      <c r="AJ155"/>
      <c r="AK155"/>
      <c r="AL155"/>
      <c r="AM155"/>
      <c r="AN155">
        <v>30</v>
      </c>
      <c r="AO155">
        <v>317</v>
      </c>
      <c r="AP155"/>
      <c r="AQ155"/>
      <c r="AR155"/>
      <c r="AS155"/>
      <c r="AT155"/>
      <c r="AU155"/>
      <c r="AV155"/>
      <c r="AW155"/>
      <c r="AX155"/>
      <c r="AY155" t="s">
        <v>4279</v>
      </c>
      <c r="AZ155" t="s">
        <v>4280</v>
      </c>
      <c r="BA155" t="s">
        <v>4279</v>
      </c>
      <c r="BB155"/>
      <c r="BC155"/>
      <c r="BD155"/>
      <c r="BE155"/>
      <c r="BF155"/>
      <c r="BG155"/>
      <c r="BH155"/>
      <c r="BI155"/>
      <c r="BJ155"/>
      <c r="BK155"/>
      <c r="BL155"/>
      <c r="BM155"/>
      <c r="BN155"/>
      <c r="BO155"/>
      <c r="BP155" t="s">
        <v>2332</v>
      </c>
      <c r="BQ155" t="s">
        <v>4278</v>
      </c>
      <c r="BR155" t="s">
        <v>2640</v>
      </c>
      <c r="BS155" t="s">
        <v>2255</v>
      </c>
      <c r="BT155" t="s">
        <v>4277</v>
      </c>
      <c r="BU155" t="s">
        <v>4276</v>
      </c>
      <c r="BV155" t="s">
        <v>2577</v>
      </c>
      <c r="BW155" t="s">
        <v>4095</v>
      </c>
      <c r="BX155" t="s">
        <v>4094</v>
      </c>
      <c r="BY155"/>
      <c r="BZ155"/>
      <c r="CA155"/>
      <c r="CB155"/>
      <c r="CC155"/>
      <c r="CD155"/>
      <c r="CE155"/>
      <c r="CF155"/>
      <c r="CG155"/>
      <c r="CH155"/>
      <c r="CI155"/>
      <c r="CJ155"/>
      <c r="CK155"/>
      <c r="CL155"/>
      <c r="CM155"/>
      <c r="CN155"/>
      <c r="CO155"/>
      <c r="CP155"/>
      <c r="CQ155"/>
      <c r="CR155"/>
      <c r="CS155"/>
      <c r="CT155"/>
      <c r="CU155"/>
      <c r="CV155"/>
      <c r="CW155"/>
      <c r="CX155" t="s">
        <v>2307</v>
      </c>
      <c r="CY155">
        <v>163</v>
      </c>
      <c r="CZ155" t="s">
        <v>2306</v>
      </c>
    </row>
    <row r="156" spans="1:104" ht="14.25">
      <c r="A156" t="s">
        <v>4275</v>
      </c>
      <c r="B156" t="s">
        <v>4275</v>
      </c>
      <c r="C156" t="s">
        <v>4274</v>
      </c>
      <c r="D156">
        <v>0</v>
      </c>
      <c r="E156" t="s">
        <v>2533</v>
      </c>
      <c r="F156" t="s">
        <v>2320</v>
      </c>
      <c r="G156" t="s">
        <v>2543</v>
      </c>
      <c r="H156"/>
      <c r="I156"/>
      <c r="J156" t="s">
        <v>1908</v>
      </c>
      <c r="K156"/>
      <c r="L156"/>
      <c r="M156">
        <v>10</v>
      </c>
      <c r="N156">
        <v>4</v>
      </c>
      <c r="O156">
        <v>1</v>
      </c>
      <c r="P156">
        <v>8</v>
      </c>
      <c r="Q156"/>
      <c r="R156" t="s">
        <v>2317</v>
      </c>
      <c r="S156" t="s">
        <v>2845</v>
      </c>
      <c r="T156" t="s">
        <v>2315</v>
      </c>
      <c r="U156" t="s">
        <v>2315</v>
      </c>
      <c r="V156">
        <v>40</v>
      </c>
      <c r="W156"/>
      <c r="X156"/>
      <c r="Y156"/>
      <c r="Z156"/>
      <c r="AA156">
        <v>12</v>
      </c>
      <c r="AB156">
        <v>10</v>
      </c>
      <c r="AC156">
        <v>11</v>
      </c>
      <c r="AD156">
        <v>2</v>
      </c>
      <c r="AE156">
        <v>10</v>
      </c>
      <c r="AF156">
        <v>5</v>
      </c>
      <c r="AG156">
        <v>330</v>
      </c>
      <c r="AH156"/>
      <c r="AI156"/>
      <c r="AJ156"/>
      <c r="AK156"/>
      <c r="AL156"/>
      <c r="AM156"/>
      <c r="AN156">
        <v>30</v>
      </c>
      <c r="AO156">
        <v>376</v>
      </c>
      <c r="AP156"/>
      <c r="AQ156"/>
      <c r="AR156"/>
      <c r="AS156"/>
      <c r="AT156"/>
      <c r="AU156"/>
      <c r="AV156"/>
      <c r="AW156"/>
      <c r="AX156" t="s">
        <v>3793</v>
      </c>
      <c r="AY156" t="s">
        <v>2824</v>
      </c>
      <c r="AZ156" t="s">
        <v>4273</v>
      </c>
      <c r="BA156" t="s">
        <v>4272</v>
      </c>
      <c r="BB156" t="s">
        <v>3710</v>
      </c>
      <c r="BC156" t="s">
        <v>4271</v>
      </c>
      <c r="BD156" t="s">
        <v>3710</v>
      </c>
      <c r="BE156"/>
      <c r="BF156"/>
      <c r="BG156"/>
      <c r="BH156"/>
      <c r="BI156"/>
      <c r="BJ156"/>
      <c r="BK156"/>
      <c r="BL156"/>
      <c r="BM156"/>
      <c r="BN156"/>
      <c r="BO156"/>
      <c r="BP156" t="s">
        <v>3253</v>
      </c>
      <c r="BQ156" t="s">
        <v>4153</v>
      </c>
      <c r="BR156" t="s">
        <v>4270</v>
      </c>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t="s">
        <v>2307</v>
      </c>
      <c r="CY156">
        <v>330</v>
      </c>
      <c r="CZ156" t="s">
        <v>2306</v>
      </c>
    </row>
    <row r="157" spans="1:104" ht="14.25">
      <c r="A157" t="s">
        <v>4269</v>
      </c>
      <c r="B157" t="s">
        <v>4269</v>
      </c>
      <c r="C157" t="s">
        <v>4268</v>
      </c>
      <c r="D157">
        <v>0.25</v>
      </c>
      <c r="E157" t="s">
        <v>2321</v>
      </c>
      <c r="F157" t="s">
        <v>2497</v>
      </c>
      <c r="G157" t="s">
        <v>2461</v>
      </c>
      <c r="H157" t="s">
        <v>4102</v>
      </c>
      <c r="I157"/>
      <c r="J157" t="s">
        <v>2318</v>
      </c>
      <c r="K157"/>
      <c r="L157"/>
      <c r="M157">
        <v>15</v>
      </c>
      <c r="N157">
        <v>7</v>
      </c>
      <c r="O157">
        <v>2</v>
      </c>
      <c r="P157">
        <v>6</v>
      </c>
      <c r="Q157"/>
      <c r="R157" t="s">
        <v>2317</v>
      </c>
      <c r="S157" t="s">
        <v>2458</v>
      </c>
      <c r="T157" t="s">
        <v>2458</v>
      </c>
      <c r="U157" t="s">
        <v>2315</v>
      </c>
      <c r="V157">
        <v>30</v>
      </c>
      <c r="W157"/>
      <c r="X157"/>
      <c r="Y157"/>
      <c r="Z157"/>
      <c r="AA157">
        <v>8</v>
      </c>
      <c r="AB157">
        <v>14</v>
      </c>
      <c r="AC157">
        <v>10</v>
      </c>
      <c r="AD157">
        <v>10</v>
      </c>
      <c r="AE157">
        <v>8</v>
      </c>
      <c r="AF157">
        <v>8</v>
      </c>
      <c r="AG157">
        <v>166</v>
      </c>
      <c r="AH157"/>
      <c r="AI157"/>
      <c r="AJ157">
        <v>58</v>
      </c>
      <c r="AK157"/>
      <c r="AL157"/>
      <c r="AM157"/>
      <c r="AN157">
        <v>30</v>
      </c>
      <c r="AO157">
        <v>318</v>
      </c>
      <c r="AP157"/>
      <c r="AQ157"/>
      <c r="AR157"/>
      <c r="AS157" t="s">
        <v>4267</v>
      </c>
      <c r="AT157"/>
      <c r="AU157"/>
      <c r="AV157"/>
      <c r="AW157"/>
      <c r="AX157"/>
      <c r="AY157" t="s">
        <v>4265</v>
      </c>
      <c r="AZ157" t="s">
        <v>4266</v>
      </c>
      <c r="BA157" t="s">
        <v>4265</v>
      </c>
      <c r="BB157"/>
      <c r="BC157"/>
      <c r="BD157"/>
      <c r="BE157"/>
      <c r="BF157"/>
      <c r="BG157"/>
      <c r="BH157"/>
      <c r="BI157"/>
      <c r="BJ157"/>
      <c r="BK157"/>
      <c r="BL157"/>
      <c r="BM157"/>
      <c r="BN157"/>
      <c r="BO157"/>
      <c r="BP157" t="s">
        <v>4264</v>
      </c>
      <c r="BQ157" t="s">
        <v>4263</v>
      </c>
      <c r="BR157" t="s">
        <v>4262</v>
      </c>
      <c r="BS157" t="s">
        <v>3081</v>
      </c>
      <c r="BT157" t="s">
        <v>3153</v>
      </c>
      <c r="BU157" t="s">
        <v>3152</v>
      </c>
      <c r="BV157"/>
      <c r="BW157"/>
      <c r="BX157"/>
      <c r="BY157"/>
      <c r="BZ157"/>
      <c r="CA157"/>
      <c r="CB157"/>
      <c r="CC157"/>
      <c r="CD157"/>
      <c r="CE157"/>
      <c r="CF157"/>
      <c r="CG157"/>
      <c r="CH157"/>
      <c r="CI157"/>
      <c r="CJ157"/>
      <c r="CK157"/>
      <c r="CL157"/>
      <c r="CM157"/>
      <c r="CN157"/>
      <c r="CO157"/>
      <c r="CP157"/>
      <c r="CQ157"/>
      <c r="CR157"/>
      <c r="CS157"/>
      <c r="CT157"/>
      <c r="CU157"/>
      <c r="CV157"/>
      <c r="CW157"/>
      <c r="CX157" t="s">
        <v>2307</v>
      </c>
      <c r="CY157">
        <v>166</v>
      </c>
      <c r="CZ157" t="s">
        <v>2306</v>
      </c>
    </row>
    <row r="158" spans="1:104" ht="14.25">
      <c r="A158" t="s">
        <v>4261</v>
      </c>
      <c r="B158" t="s">
        <v>4260</v>
      </c>
      <c r="C158" t="s">
        <v>4259</v>
      </c>
      <c r="D158">
        <v>3</v>
      </c>
      <c r="E158" t="s">
        <v>2321</v>
      </c>
      <c r="F158" t="s">
        <v>2320</v>
      </c>
      <c r="G158" t="s">
        <v>2341</v>
      </c>
      <c r="H158"/>
      <c r="I158"/>
      <c r="J158" t="s">
        <v>2355</v>
      </c>
      <c r="K158"/>
      <c r="L158"/>
      <c r="M158">
        <v>17</v>
      </c>
      <c r="N158">
        <v>60</v>
      </c>
      <c r="O158">
        <v>8</v>
      </c>
      <c r="P158">
        <v>8</v>
      </c>
      <c r="Q158">
        <v>24</v>
      </c>
      <c r="R158" t="s">
        <v>2494</v>
      </c>
      <c r="S158" t="s">
        <v>2494</v>
      </c>
      <c r="T158" t="s">
        <v>2494</v>
      </c>
      <c r="U158" t="s">
        <v>2494</v>
      </c>
      <c r="V158">
        <v>30</v>
      </c>
      <c r="W158"/>
      <c r="X158"/>
      <c r="Y158">
        <v>60</v>
      </c>
      <c r="Z158">
        <v>30</v>
      </c>
      <c r="AA158">
        <v>19</v>
      </c>
      <c r="AB158">
        <v>14</v>
      </c>
      <c r="AC158">
        <v>17</v>
      </c>
      <c r="AD158">
        <v>14</v>
      </c>
      <c r="AE158">
        <v>11</v>
      </c>
      <c r="AF158">
        <v>16</v>
      </c>
      <c r="AG158">
        <v>115</v>
      </c>
      <c r="AH158"/>
      <c r="AI158"/>
      <c r="AJ158"/>
      <c r="AK158"/>
      <c r="AL158"/>
      <c r="AM158"/>
      <c r="AN158"/>
      <c r="AO158">
        <v>303</v>
      </c>
      <c r="AP158"/>
      <c r="AQ158"/>
      <c r="AR158"/>
      <c r="AS158"/>
      <c r="AT158"/>
      <c r="AU158"/>
      <c r="AV158"/>
      <c r="AW158"/>
      <c r="AX158"/>
      <c r="AY158" t="s">
        <v>2373</v>
      </c>
      <c r="AZ158" t="s">
        <v>2374</v>
      </c>
      <c r="BA158" t="s">
        <v>2373</v>
      </c>
      <c r="BB158"/>
      <c r="BC158"/>
      <c r="BD158"/>
      <c r="BE158"/>
      <c r="BF158"/>
      <c r="BG158"/>
      <c r="BH158"/>
      <c r="BI158"/>
      <c r="BJ158"/>
      <c r="BK158"/>
      <c r="BL158"/>
      <c r="BM158"/>
      <c r="BN158"/>
      <c r="BO158"/>
      <c r="BP158" t="s">
        <v>2332</v>
      </c>
      <c r="BQ158" t="s">
        <v>3161</v>
      </c>
      <c r="BR158" t="s">
        <v>3160</v>
      </c>
      <c r="BS158" t="s">
        <v>2348</v>
      </c>
      <c r="BT158" t="s">
        <v>4258</v>
      </c>
      <c r="BU158" t="s">
        <v>4257</v>
      </c>
      <c r="BV158"/>
      <c r="BW158"/>
      <c r="BX158"/>
      <c r="BY158"/>
      <c r="BZ158"/>
      <c r="CA158"/>
      <c r="CB158"/>
      <c r="CC158"/>
      <c r="CD158"/>
      <c r="CE158"/>
      <c r="CF158"/>
      <c r="CG158"/>
      <c r="CH158"/>
      <c r="CI158"/>
      <c r="CJ158"/>
      <c r="CK158"/>
      <c r="CL158"/>
      <c r="CM158"/>
      <c r="CN158"/>
      <c r="CO158"/>
      <c r="CP158"/>
      <c r="CQ158"/>
      <c r="CR158"/>
      <c r="CS158"/>
      <c r="CT158"/>
      <c r="CU158"/>
      <c r="CV158"/>
      <c r="CW158"/>
      <c r="CX158" t="s">
        <v>2307</v>
      </c>
      <c r="CY158">
        <v>115</v>
      </c>
      <c r="CZ158" t="s">
        <v>2306</v>
      </c>
    </row>
    <row r="159" spans="1:104" ht="14.25">
      <c r="A159" t="s">
        <v>4256</v>
      </c>
      <c r="B159" t="s">
        <v>4256</v>
      </c>
      <c r="C159" t="s">
        <v>4255</v>
      </c>
      <c r="D159">
        <v>5</v>
      </c>
      <c r="E159" t="s">
        <v>2321</v>
      </c>
      <c r="F159" t="s">
        <v>2342</v>
      </c>
      <c r="G159" t="s">
        <v>2440</v>
      </c>
      <c r="H159"/>
      <c r="I159"/>
      <c r="J159" t="s">
        <v>1908</v>
      </c>
      <c r="K159"/>
      <c r="L159"/>
      <c r="M159">
        <v>19</v>
      </c>
      <c r="N159">
        <v>114</v>
      </c>
      <c r="O159">
        <v>12</v>
      </c>
      <c r="P159">
        <v>10</v>
      </c>
      <c r="Q159">
        <v>48</v>
      </c>
      <c r="R159" t="s">
        <v>2317</v>
      </c>
      <c r="S159" t="s">
        <v>4254</v>
      </c>
      <c r="T159" t="s">
        <v>2399</v>
      </c>
      <c r="U159" t="s">
        <v>2315</v>
      </c>
      <c r="V159">
        <v>40</v>
      </c>
      <c r="W159"/>
      <c r="X159"/>
      <c r="Y159"/>
      <c r="Z159"/>
      <c r="AA159">
        <v>20</v>
      </c>
      <c r="AB159">
        <v>11</v>
      </c>
      <c r="AC159">
        <v>18</v>
      </c>
      <c r="AD159">
        <v>2</v>
      </c>
      <c r="AE159">
        <v>12</v>
      </c>
      <c r="AF159">
        <v>7</v>
      </c>
      <c r="AG159">
        <v>171</v>
      </c>
      <c r="AH159"/>
      <c r="AI159"/>
      <c r="AJ159"/>
      <c r="AK159"/>
      <c r="AL159"/>
      <c r="AM159"/>
      <c r="AN159"/>
      <c r="AO159">
        <v>320</v>
      </c>
      <c r="AP159"/>
      <c r="AQ159">
        <v>16</v>
      </c>
      <c r="AR159"/>
      <c r="AS159"/>
      <c r="AT159"/>
      <c r="AU159"/>
      <c r="AV159"/>
      <c r="AW159"/>
      <c r="AX159"/>
      <c r="AY159" t="s">
        <v>2701</v>
      </c>
      <c r="AZ159" t="s">
        <v>4253</v>
      </c>
      <c r="BA159" t="s">
        <v>2701</v>
      </c>
      <c r="BB159"/>
      <c r="BC159"/>
      <c r="BD159"/>
      <c r="BE159"/>
      <c r="BF159"/>
      <c r="BG159"/>
      <c r="BH159"/>
      <c r="BI159"/>
      <c r="BJ159"/>
      <c r="BK159"/>
      <c r="BL159"/>
      <c r="BM159"/>
      <c r="BN159"/>
      <c r="BO159"/>
      <c r="BP159" t="s">
        <v>2866</v>
      </c>
      <c r="BQ159" t="s">
        <v>4252</v>
      </c>
      <c r="BR159" t="s">
        <v>4251</v>
      </c>
      <c r="BS159" t="s">
        <v>2697</v>
      </c>
      <c r="BT159" t="s">
        <v>4250</v>
      </c>
      <c r="BU159" t="s">
        <v>4249</v>
      </c>
      <c r="BV159" t="s">
        <v>4247</v>
      </c>
      <c r="BW159" t="s">
        <v>4248</v>
      </c>
      <c r="BX159" t="s">
        <v>4247</v>
      </c>
      <c r="BY159"/>
      <c r="BZ159"/>
      <c r="CA159"/>
      <c r="CB159"/>
      <c r="CC159"/>
      <c r="CD159"/>
      <c r="CE159"/>
      <c r="CF159"/>
      <c r="CG159"/>
      <c r="CH159"/>
      <c r="CI159"/>
      <c r="CJ159"/>
      <c r="CK159"/>
      <c r="CL159"/>
      <c r="CM159"/>
      <c r="CN159"/>
      <c r="CO159"/>
      <c r="CP159"/>
      <c r="CQ159"/>
      <c r="CR159"/>
      <c r="CS159"/>
      <c r="CT159"/>
      <c r="CU159"/>
      <c r="CV159"/>
      <c r="CW159"/>
      <c r="CX159" t="s">
        <v>2307</v>
      </c>
      <c r="CY159">
        <v>171</v>
      </c>
      <c r="CZ159" t="s">
        <v>2306</v>
      </c>
    </row>
    <row r="160" spans="1:104" ht="14.25">
      <c r="A160" t="s">
        <v>4246</v>
      </c>
      <c r="B160" t="s">
        <v>4245</v>
      </c>
      <c r="C160" t="s">
        <v>4244</v>
      </c>
      <c r="D160">
        <v>0.5</v>
      </c>
      <c r="E160" t="s">
        <v>2321</v>
      </c>
      <c r="F160" t="s">
        <v>2320</v>
      </c>
      <c r="G160" t="s">
        <v>3630</v>
      </c>
      <c r="H160"/>
      <c r="I160"/>
      <c r="J160" t="s">
        <v>1908</v>
      </c>
      <c r="K160"/>
      <c r="L160"/>
      <c r="M160">
        <v>8</v>
      </c>
      <c r="N160">
        <v>22</v>
      </c>
      <c r="O160">
        <v>3</v>
      </c>
      <c r="P160">
        <v>8</v>
      </c>
      <c r="Q160">
        <v>9</v>
      </c>
      <c r="R160" t="s">
        <v>2317</v>
      </c>
      <c r="S160" t="s">
        <v>4243</v>
      </c>
      <c r="T160" t="s">
        <v>2315</v>
      </c>
      <c r="U160" t="s">
        <v>2315</v>
      </c>
      <c r="V160">
        <v>10</v>
      </c>
      <c r="W160"/>
      <c r="X160">
        <v>10</v>
      </c>
      <c r="Y160"/>
      <c r="Z160"/>
      <c r="AA160">
        <v>12</v>
      </c>
      <c r="AB160">
        <v>6</v>
      </c>
      <c r="AC160">
        <v>16</v>
      </c>
      <c r="AD160">
        <v>1</v>
      </c>
      <c r="AE160">
        <v>6</v>
      </c>
      <c r="AF160">
        <v>2</v>
      </c>
      <c r="AG160">
        <v>243</v>
      </c>
      <c r="AH160"/>
      <c r="AI160"/>
      <c r="AJ160"/>
      <c r="AK160"/>
      <c r="AL160"/>
      <c r="AM160"/>
      <c r="AN160"/>
      <c r="AO160">
        <v>341</v>
      </c>
      <c r="AP160">
        <v>11</v>
      </c>
      <c r="AQ160"/>
      <c r="AR160"/>
      <c r="AS160" t="s">
        <v>4242</v>
      </c>
      <c r="AT160"/>
      <c r="AU160"/>
      <c r="AV160" t="s">
        <v>4241</v>
      </c>
      <c r="AW160"/>
      <c r="AX160"/>
      <c r="AY160" t="s">
        <v>3202</v>
      </c>
      <c r="AZ160" t="s">
        <v>4240</v>
      </c>
      <c r="BA160" t="s">
        <v>3202</v>
      </c>
      <c r="BB160" t="s">
        <v>4238</v>
      </c>
      <c r="BC160" t="s">
        <v>4239</v>
      </c>
      <c r="BD160" t="s">
        <v>4238</v>
      </c>
      <c r="BE160" t="s">
        <v>2739</v>
      </c>
      <c r="BF160" t="s">
        <v>4237</v>
      </c>
      <c r="BG160" t="s">
        <v>2739</v>
      </c>
      <c r="BH160"/>
      <c r="BI160"/>
      <c r="BJ160"/>
      <c r="BK160"/>
      <c r="BL160"/>
      <c r="BM160"/>
      <c r="BN160"/>
      <c r="BO160"/>
      <c r="BP160" t="s">
        <v>3625</v>
      </c>
      <c r="BQ160" t="s">
        <v>4236</v>
      </c>
      <c r="BR160" t="s">
        <v>4235</v>
      </c>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t="s">
        <v>2307</v>
      </c>
      <c r="CY160">
        <v>243</v>
      </c>
      <c r="CZ160" t="s">
        <v>2306</v>
      </c>
    </row>
    <row r="161" spans="1:104" ht="14.25">
      <c r="A161" t="s">
        <v>4234</v>
      </c>
      <c r="B161" t="s">
        <v>4233</v>
      </c>
      <c r="C161" t="s">
        <v>4232</v>
      </c>
      <c r="D161">
        <v>2</v>
      </c>
      <c r="E161" t="s">
        <v>2321</v>
      </c>
      <c r="F161" t="s">
        <v>2320</v>
      </c>
      <c r="G161" t="s">
        <v>2341</v>
      </c>
      <c r="H161"/>
      <c r="I161"/>
      <c r="J161" t="s">
        <v>2375</v>
      </c>
      <c r="K161"/>
      <c r="L161"/>
      <c r="M161">
        <v>17</v>
      </c>
      <c r="N161">
        <v>38</v>
      </c>
      <c r="O161">
        <v>7</v>
      </c>
      <c r="P161">
        <v>8</v>
      </c>
      <c r="Q161">
        <v>7</v>
      </c>
      <c r="R161" t="s">
        <v>2494</v>
      </c>
      <c r="S161" t="s">
        <v>2494</v>
      </c>
      <c r="T161" t="s">
        <v>2494</v>
      </c>
      <c r="U161" t="s">
        <v>2494</v>
      </c>
      <c r="V161">
        <v>30</v>
      </c>
      <c r="W161"/>
      <c r="X161"/>
      <c r="Y161">
        <v>60</v>
      </c>
      <c r="Z161">
        <v>30</v>
      </c>
      <c r="AA161">
        <v>15</v>
      </c>
      <c r="AB161">
        <v>12</v>
      </c>
      <c r="AC161">
        <v>13</v>
      </c>
      <c r="AD161">
        <v>14</v>
      </c>
      <c r="AE161">
        <v>11</v>
      </c>
      <c r="AF161">
        <v>13</v>
      </c>
      <c r="AG161">
        <v>95</v>
      </c>
      <c r="AH161"/>
      <c r="AI161"/>
      <c r="AJ161"/>
      <c r="AK161"/>
      <c r="AL161"/>
      <c r="AM161"/>
      <c r="AN161"/>
      <c r="AO161">
        <v>289</v>
      </c>
      <c r="AP161"/>
      <c r="AQ161"/>
      <c r="AR161"/>
      <c r="AS161"/>
      <c r="AT161"/>
      <c r="AU161"/>
      <c r="AV161"/>
      <c r="AW161"/>
      <c r="AX161"/>
      <c r="AY161" t="s">
        <v>2373</v>
      </c>
      <c r="AZ161" t="s">
        <v>2374</v>
      </c>
      <c r="BA161" t="s">
        <v>2373</v>
      </c>
      <c r="BB161"/>
      <c r="BC161"/>
      <c r="BD161"/>
      <c r="BE161"/>
      <c r="BF161"/>
      <c r="BG161"/>
      <c r="BH161"/>
      <c r="BI161"/>
      <c r="BJ161"/>
      <c r="BK161"/>
      <c r="BL161"/>
      <c r="BM161"/>
      <c r="BN161"/>
      <c r="BO161"/>
      <c r="BP161" t="s">
        <v>2332</v>
      </c>
      <c r="BQ161" t="s">
        <v>4231</v>
      </c>
      <c r="BR161" t="s">
        <v>4230</v>
      </c>
      <c r="BS161" t="s">
        <v>2370</v>
      </c>
      <c r="BT161" t="s">
        <v>4229</v>
      </c>
      <c r="BU161" t="s">
        <v>4228</v>
      </c>
      <c r="BV161"/>
      <c r="BW161"/>
      <c r="BX161"/>
      <c r="BY161"/>
      <c r="BZ161"/>
      <c r="CA161"/>
      <c r="CB161"/>
      <c r="CC161"/>
      <c r="CD161"/>
      <c r="CE161"/>
      <c r="CF161"/>
      <c r="CG161"/>
      <c r="CH161"/>
      <c r="CI161"/>
      <c r="CJ161"/>
      <c r="CK161"/>
      <c r="CL161"/>
      <c r="CM161"/>
      <c r="CN161"/>
      <c r="CO161"/>
      <c r="CP161"/>
      <c r="CQ161"/>
      <c r="CR161"/>
      <c r="CS161"/>
      <c r="CT161"/>
      <c r="CU161"/>
      <c r="CV161"/>
      <c r="CW161"/>
      <c r="CX161" t="s">
        <v>2307</v>
      </c>
      <c r="CY161">
        <v>95</v>
      </c>
      <c r="CZ161" t="s">
        <v>2306</v>
      </c>
    </row>
    <row r="162" spans="1:104" ht="14.25">
      <c r="A162" t="s">
        <v>4227</v>
      </c>
      <c r="B162" t="s">
        <v>4226</v>
      </c>
      <c r="C162" t="s">
        <v>4225</v>
      </c>
      <c r="D162">
        <v>3</v>
      </c>
      <c r="E162" t="s">
        <v>2321</v>
      </c>
      <c r="F162" t="s">
        <v>2320</v>
      </c>
      <c r="G162" t="s">
        <v>3084</v>
      </c>
      <c r="H162" t="s">
        <v>3228</v>
      </c>
      <c r="I162"/>
      <c r="J162" t="s">
        <v>2318</v>
      </c>
      <c r="K162"/>
      <c r="L162"/>
      <c r="M162">
        <v>17</v>
      </c>
      <c r="N162">
        <v>82</v>
      </c>
      <c r="O162">
        <v>11</v>
      </c>
      <c r="P162">
        <v>8</v>
      </c>
      <c r="Q162">
        <v>33</v>
      </c>
      <c r="R162" t="s">
        <v>2825</v>
      </c>
      <c r="S162" t="s">
        <v>3607</v>
      </c>
      <c r="T162" t="s">
        <v>2315</v>
      </c>
      <c r="U162" t="s">
        <v>2315</v>
      </c>
      <c r="V162">
        <v>30</v>
      </c>
      <c r="W162"/>
      <c r="X162"/>
      <c r="Y162"/>
      <c r="Z162"/>
      <c r="AA162">
        <v>18</v>
      </c>
      <c r="AB162">
        <v>12</v>
      </c>
      <c r="AC162">
        <v>16</v>
      </c>
      <c r="AD162">
        <v>13</v>
      </c>
      <c r="AE162">
        <v>14</v>
      </c>
      <c r="AF162">
        <v>14</v>
      </c>
      <c r="AG162">
        <v>177</v>
      </c>
      <c r="AH162"/>
      <c r="AI162"/>
      <c r="AJ162"/>
      <c r="AK162"/>
      <c r="AL162"/>
      <c r="AM162"/>
      <c r="AN162"/>
      <c r="AO162">
        <v>322</v>
      </c>
      <c r="AP162"/>
      <c r="AQ162"/>
      <c r="AR162"/>
      <c r="AS162" t="s">
        <v>4224</v>
      </c>
      <c r="AT162"/>
      <c r="AU162"/>
      <c r="AV162"/>
      <c r="AW162"/>
      <c r="AX162"/>
      <c r="AY162" t="s">
        <v>2373</v>
      </c>
      <c r="AZ162" t="s">
        <v>3227</v>
      </c>
      <c r="BA162" t="s">
        <v>2373</v>
      </c>
      <c r="BB162" t="s">
        <v>2488</v>
      </c>
      <c r="BC162" t="s">
        <v>4223</v>
      </c>
      <c r="BD162" t="s">
        <v>2488</v>
      </c>
      <c r="BE162" t="s">
        <v>3380</v>
      </c>
      <c r="BF162" t="s">
        <v>4222</v>
      </c>
      <c r="BG162" t="s">
        <v>3380</v>
      </c>
      <c r="BH162" t="s">
        <v>3223</v>
      </c>
      <c r="BI162" t="s">
        <v>3224</v>
      </c>
      <c r="BJ162" t="s">
        <v>3222</v>
      </c>
      <c r="BK162" t="s">
        <v>3658</v>
      </c>
      <c r="BL162" t="s">
        <v>3220</v>
      </c>
      <c r="BM162" t="s">
        <v>3219</v>
      </c>
      <c r="BN162"/>
      <c r="BO162"/>
      <c r="BP162" t="s">
        <v>2505</v>
      </c>
      <c r="BQ162" t="s">
        <v>4221</v>
      </c>
      <c r="BR162" t="s">
        <v>4220</v>
      </c>
      <c r="BS162" t="s">
        <v>3213</v>
      </c>
      <c r="BT162" t="s">
        <v>4219</v>
      </c>
      <c r="BU162" t="s">
        <v>3213</v>
      </c>
      <c r="BV162" t="s">
        <v>4217</v>
      </c>
      <c r="BW162" t="s">
        <v>4218</v>
      </c>
      <c r="BX162" t="s">
        <v>4217</v>
      </c>
      <c r="BY162"/>
      <c r="BZ162"/>
      <c r="CA162"/>
      <c r="CB162"/>
      <c r="CC162"/>
      <c r="CD162"/>
      <c r="CE162"/>
      <c r="CF162"/>
      <c r="CG162"/>
      <c r="CH162"/>
      <c r="CI162"/>
      <c r="CJ162"/>
      <c r="CK162"/>
      <c r="CL162"/>
      <c r="CM162"/>
      <c r="CN162"/>
      <c r="CO162"/>
      <c r="CP162"/>
      <c r="CQ162"/>
      <c r="CR162"/>
      <c r="CS162"/>
      <c r="CT162"/>
      <c r="CU162"/>
      <c r="CV162"/>
      <c r="CW162"/>
      <c r="CX162" t="s">
        <v>2307</v>
      </c>
      <c r="CY162">
        <v>177</v>
      </c>
      <c r="CZ162" t="s">
        <v>2306</v>
      </c>
    </row>
    <row r="163" spans="1:104" ht="14.25">
      <c r="A163" t="s">
        <v>4216</v>
      </c>
      <c r="B163" t="s">
        <v>4216</v>
      </c>
      <c r="C163" t="s">
        <v>4215</v>
      </c>
      <c r="D163">
        <v>2</v>
      </c>
      <c r="E163" t="s">
        <v>2321</v>
      </c>
      <c r="F163" t="s">
        <v>2320</v>
      </c>
      <c r="G163" t="s">
        <v>2440</v>
      </c>
      <c r="H163"/>
      <c r="I163"/>
      <c r="J163" t="s">
        <v>1902</v>
      </c>
      <c r="K163"/>
      <c r="L163"/>
      <c r="M163">
        <v>14</v>
      </c>
      <c r="N163">
        <v>27</v>
      </c>
      <c r="O163">
        <v>6</v>
      </c>
      <c r="P163">
        <v>8</v>
      </c>
      <c r="Q163"/>
      <c r="R163" t="s">
        <v>2317</v>
      </c>
      <c r="S163" t="s">
        <v>3206</v>
      </c>
      <c r="T163" t="s">
        <v>2458</v>
      </c>
      <c r="U163" t="s">
        <v>2315</v>
      </c>
      <c r="V163">
        <v>30</v>
      </c>
      <c r="W163"/>
      <c r="X163">
        <v>30</v>
      </c>
      <c r="Y163"/>
      <c r="Z163"/>
      <c r="AA163">
        <v>14</v>
      </c>
      <c r="AB163">
        <v>14</v>
      </c>
      <c r="AC163">
        <v>11</v>
      </c>
      <c r="AD163">
        <v>3</v>
      </c>
      <c r="AE163">
        <v>14</v>
      </c>
      <c r="AF163">
        <v>5</v>
      </c>
      <c r="AG163">
        <v>173</v>
      </c>
      <c r="AH163"/>
      <c r="AI163"/>
      <c r="AJ163">
        <v>58</v>
      </c>
      <c r="AK163"/>
      <c r="AL163"/>
      <c r="AM163"/>
      <c r="AN163">
        <v>30</v>
      </c>
      <c r="AO163">
        <v>321</v>
      </c>
      <c r="AP163"/>
      <c r="AQ163"/>
      <c r="AR163"/>
      <c r="AS163" t="s">
        <v>4214</v>
      </c>
      <c r="AT163"/>
      <c r="AU163"/>
      <c r="AV163"/>
      <c r="AW163"/>
      <c r="AX163"/>
      <c r="AY163" t="s">
        <v>2473</v>
      </c>
      <c r="AZ163" t="s">
        <v>4213</v>
      </c>
      <c r="BA163" t="s">
        <v>2473</v>
      </c>
      <c r="BB163"/>
      <c r="BC163"/>
      <c r="BD163"/>
      <c r="BE163"/>
      <c r="BF163"/>
      <c r="BG163"/>
      <c r="BH163"/>
      <c r="BI163"/>
      <c r="BJ163"/>
      <c r="BK163"/>
      <c r="BL163"/>
      <c r="BM163"/>
      <c r="BN163"/>
      <c r="BO163"/>
      <c r="BP163" t="s">
        <v>2333</v>
      </c>
      <c r="BQ163" t="s">
        <v>4212</v>
      </c>
      <c r="BR163" t="s">
        <v>2333</v>
      </c>
      <c r="BS163" t="s">
        <v>3614</v>
      </c>
      <c r="BT163" t="s">
        <v>4211</v>
      </c>
      <c r="BU163" t="s">
        <v>4210</v>
      </c>
      <c r="BV163" t="s">
        <v>2707</v>
      </c>
      <c r="BW163" t="s">
        <v>2638</v>
      </c>
      <c r="BX163" t="s">
        <v>4209</v>
      </c>
      <c r="BY163"/>
      <c r="BZ163"/>
      <c r="CA163"/>
      <c r="CB163"/>
      <c r="CC163"/>
      <c r="CD163"/>
      <c r="CE163"/>
      <c r="CF163"/>
      <c r="CG163"/>
      <c r="CH163"/>
      <c r="CI163"/>
      <c r="CJ163"/>
      <c r="CK163"/>
      <c r="CL163"/>
      <c r="CM163"/>
      <c r="CN163"/>
      <c r="CO163"/>
      <c r="CP163"/>
      <c r="CQ163"/>
      <c r="CR163"/>
      <c r="CS163"/>
      <c r="CT163"/>
      <c r="CU163"/>
      <c r="CV163"/>
      <c r="CW163"/>
      <c r="CX163" t="s">
        <v>2307</v>
      </c>
      <c r="CY163">
        <v>173</v>
      </c>
      <c r="CZ163" t="s">
        <v>2306</v>
      </c>
    </row>
    <row r="164" spans="1:104" ht="14.25">
      <c r="A164" t="s">
        <v>4208</v>
      </c>
      <c r="B164" t="s">
        <v>4208</v>
      </c>
      <c r="C164" t="s">
        <v>4207</v>
      </c>
      <c r="D164">
        <v>2</v>
      </c>
      <c r="E164" t="s">
        <v>2321</v>
      </c>
      <c r="F164" t="s">
        <v>2342</v>
      </c>
      <c r="G164" t="s">
        <v>2440</v>
      </c>
      <c r="H164"/>
      <c r="I164"/>
      <c r="J164" t="s">
        <v>1908</v>
      </c>
      <c r="K164"/>
      <c r="L164"/>
      <c r="M164">
        <v>12</v>
      </c>
      <c r="N164">
        <v>59</v>
      </c>
      <c r="O164">
        <v>7</v>
      </c>
      <c r="P164">
        <v>10</v>
      </c>
      <c r="Q164">
        <v>21</v>
      </c>
      <c r="R164" t="s">
        <v>2317</v>
      </c>
      <c r="S164" t="s">
        <v>3394</v>
      </c>
      <c r="T164" t="s">
        <v>2439</v>
      </c>
      <c r="U164" t="s">
        <v>2315</v>
      </c>
      <c r="V164">
        <v>30</v>
      </c>
      <c r="W164"/>
      <c r="X164"/>
      <c r="Y164">
        <v>80</v>
      </c>
      <c r="Z164"/>
      <c r="AA164">
        <v>18</v>
      </c>
      <c r="AB164">
        <v>15</v>
      </c>
      <c r="AC164">
        <v>16</v>
      </c>
      <c r="AD164">
        <v>2</v>
      </c>
      <c r="AE164">
        <v>13</v>
      </c>
      <c r="AF164">
        <v>8</v>
      </c>
      <c r="AG164">
        <v>174</v>
      </c>
      <c r="AH164"/>
      <c r="AI164"/>
      <c r="AJ164"/>
      <c r="AK164"/>
      <c r="AL164"/>
      <c r="AM164"/>
      <c r="AN164">
        <v>31</v>
      </c>
      <c r="AO164">
        <v>321</v>
      </c>
      <c r="AP164">
        <v>11</v>
      </c>
      <c r="AQ164"/>
      <c r="AR164"/>
      <c r="AS164"/>
      <c r="AT164"/>
      <c r="AU164"/>
      <c r="AV164" t="s">
        <v>4206</v>
      </c>
      <c r="AW164"/>
      <c r="AX164"/>
      <c r="AY164" t="s">
        <v>3338</v>
      </c>
      <c r="AZ164" t="s">
        <v>4205</v>
      </c>
      <c r="BA164" t="s">
        <v>3338</v>
      </c>
      <c r="BB164"/>
      <c r="BC164"/>
      <c r="BD164"/>
      <c r="BE164"/>
      <c r="BF164"/>
      <c r="BG164"/>
      <c r="BH164"/>
      <c r="BI164"/>
      <c r="BJ164"/>
      <c r="BK164"/>
      <c r="BL164"/>
      <c r="BM164"/>
      <c r="BN164"/>
      <c r="BO164"/>
      <c r="BP164" t="s">
        <v>2333</v>
      </c>
      <c r="BQ164" t="s">
        <v>4204</v>
      </c>
      <c r="BR164" t="s">
        <v>2333</v>
      </c>
      <c r="BS164" t="s">
        <v>2707</v>
      </c>
      <c r="BT164" t="s">
        <v>3765</v>
      </c>
      <c r="BU164" t="s">
        <v>4203</v>
      </c>
      <c r="BV164" t="s">
        <v>2505</v>
      </c>
      <c r="BW164" t="s">
        <v>4202</v>
      </c>
      <c r="BX164" t="s">
        <v>4201</v>
      </c>
      <c r="BY164"/>
      <c r="BZ164"/>
      <c r="CA164"/>
      <c r="CB164"/>
      <c r="CC164"/>
      <c r="CD164"/>
      <c r="CE164"/>
      <c r="CF164"/>
      <c r="CG164"/>
      <c r="CH164"/>
      <c r="CI164"/>
      <c r="CJ164"/>
      <c r="CK164"/>
      <c r="CL164"/>
      <c r="CM164"/>
      <c r="CN164"/>
      <c r="CO164"/>
      <c r="CP164"/>
      <c r="CQ164"/>
      <c r="CR164"/>
      <c r="CS164"/>
      <c r="CT164"/>
      <c r="CU164"/>
      <c r="CV164"/>
      <c r="CW164"/>
      <c r="CX164" t="s">
        <v>2307</v>
      </c>
      <c r="CY164">
        <v>174</v>
      </c>
      <c r="CZ164" t="s">
        <v>2306</v>
      </c>
    </row>
    <row r="165" spans="1:104" ht="14.25">
      <c r="A165" t="s">
        <v>4199</v>
      </c>
      <c r="B165" t="s">
        <v>4199</v>
      </c>
      <c r="C165" t="s">
        <v>4200</v>
      </c>
      <c r="D165">
        <v>0.25</v>
      </c>
      <c r="E165" t="s">
        <v>2321</v>
      </c>
      <c r="F165" t="s">
        <v>2320</v>
      </c>
      <c r="G165" t="s">
        <v>2461</v>
      </c>
      <c r="H165" t="s">
        <v>4199</v>
      </c>
      <c r="I165"/>
      <c r="J165" t="s">
        <v>2318</v>
      </c>
      <c r="K165"/>
      <c r="L165"/>
      <c r="M165">
        <v>11</v>
      </c>
      <c r="N165">
        <v>11</v>
      </c>
      <c r="O165">
        <v>2</v>
      </c>
      <c r="P165">
        <v>8</v>
      </c>
      <c r="Q165">
        <v>2</v>
      </c>
      <c r="R165" t="s">
        <v>2317</v>
      </c>
      <c r="S165" t="s">
        <v>3346</v>
      </c>
      <c r="T165" t="s">
        <v>2315</v>
      </c>
      <c r="U165" t="s">
        <v>2315</v>
      </c>
      <c r="V165">
        <v>30</v>
      </c>
      <c r="W165"/>
      <c r="X165"/>
      <c r="Y165"/>
      <c r="Z165"/>
      <c r="AA165">
        <v>16</v>
      </c>
      <c r="AB165">
        <v>12</v>
      </c>
      <c r="AC165">
        <v>12</v>
      </c>
      <c r="AD165">
        <v>9</v>
      </c>
      <c r="AE165">
        <v>8</v>
      </c>
      <c r="AF165">
        <v>6</v>
      </c>
      <c r="AG165">
        <v>175</v>
      </c>
      <c r="AH165"/>
      <c r="AI165"/>
      <c r="AJ165"/>
      <c r="AK165"/>
      <c r="AL165"/>
      <c r="AM165"/>
      <c r="AN165"/>
      <c r="AO165">
        <v>321</v>
      </c>
      <c r="AP165"/>
      <c r="AQ165"/>
      <c r="AR165"/>
      <c r="AS165"/>
      <c r="AT165"/>
      <c r="AU165"/>
      <c r="AV165"/>
      <c r="AW165"/>
      <c r="AX165"/>
      <c r="AY165" t="s">
        <v>4197</v>
      </c>
      <c r="AZ165" t="s">
        <v>4198</v>
      </c>
      <c r="BA165" t="s">
        <v>4197</v>
      </c>
      <c r="BB165" t="s">
        <v>2528</v>
      </c>
      <c r="BC165" t="s">
        <v>4196</v>
      </c>
      <c r="BD165" t="s">
        <v>2528</v>
      </c>
      <c r="BE165" t="s">
        <v>2473</v>
      </c>
      <c r="BF165" t="s">
        <v>4195</v>
      </c>
      <c r="BG165" t="s">
        <v>2473</v>
      </c>
      <c r="BH165"/>
      <c r="BI165"/>
      <c r="BJ165"/>
      <c r="BK165"/>
      <c r="BL165"/>
      <c r="BM165"/>
      <c r="BN165"/>
      <c r="BO165"/>
      <c r="BP165" t="s">
        <v>4194</v>
      </c>
      <c r="BQ165" t="s">
        <v>4193</v>
      </c>
      <c r="BR165" t="s">
        <v>4192</v>
      </c>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t="s">
        <v>2307</v>
      </c>
      <c r="CY165">
        <v>175</v>
      </c>
      <c r="CZ165" t="s">
        <v>2306</v>
      </c>
    </row>
    <row r="166" spans="1:104" ht="14.25">
      <c r="A166" t="s">
        <v>4191</v>
      </c>
      <c r="B166" t="s">
        <v>4191</v>
      </c>
      <c r="C166" t="s">
        <v>4190</v>
      </c>
      <c r="D166">
        <v>0.125</v>
      </c>
      <c r="E166" t="s">
        <v>2462</v>
      </c>
      <c r="F166" t="s">
        <v>2320</v>
      </c>
      <c r="G166" t="s">
        <v>2461</v>
      </c>
      <c r="H166" t="s">
        <v>2460</v>
      </c>
      <c r="I166"/>
      <c r="J166" t="s">
        <v>2460</v>
      </c>
      <c r="K166"/>
      <c r="L166"/>
      <c r="M166">
        <v>16</v>
      </c>
      <c r="N166">
        <v>11</v>
      </c>
      <c r="O166">
        <v>2</v>
      </c>
      <c r="P166">
        <v>8</v>
      </c>
      <c r="Q166">
        <v>2</v>
      </c>
      <c r="R166" t="s">
        <v>2317</v>
      </c>
      <c r="S166" t="s">
        <v>2316</v>
      </c>
      <c r="T166" t="s">
        <v>2315</v>
      </c>
      <c r="U166" t="s">
        <v>2315</v>
      </c>
      <c r="V166">
        <v>30</v>
      </c>
      <c r="W166"/>
      <c r="X166"/>
      <c r="Y166"/>
      <c r="Z166"/>
      <c r="AA166">
        <v>13</v>
      </c>
      <c r="AB166">
        <v>12</v>
      </c>
      <c r="AC166">
        <v>12</v>
      </c>
      <c r="AD166">
        <v>10</v>
      </c>
      <c r="AE166">
        <v>11</v>
      </c>
      <c r="AF166">
        <v>10</v>
      </c>
      <c r="AG166">
        <v>347</v>
      </c>
      <c r="AH166"/>
      <c r="AI166"/>
      <c r="AJ166"/>
      <c r="AK166"/>
      <c r="AL166"/>
      <c r="AM166"/>
      <c r="AN166">
        <v>54</v>
      </c>
      <c r="AO166">
        <v>394</v>
      </c>
      <c r="AP166">
        <v>11</v>
      </c>
      <c r="AQ166">
        <v>16</v>
      </c>
      <c r="AR166"/>
      <c r="AS166" t="s">
        <v>4189</v>
      </c>
      <c r="AT166"/>
      <c r="AU166"/>
      <c r="AV166" t="s">
        <v>4188</v>
      </c>
      <c r="AW166"/>
      <c r="AX166" t="s">
        <v>4187</v>
      </c>
      <c r="AY166"/>
      <c r="AZ166"/>
      <c r="BA166"/>
      <c r="BB166"/>
      <c r="BC166"/>
      <c r="BD166"/>
      <c r="BE166"/>
      <c r="BF166"/>
      <c r="BG166"/>
      <c r="BH166"/>
      <c r="BI166"/>
      <c r="BJ166"/>
      <c r="BK166"/>
      <c r="BL166"/>
      <c r="BM166"/>
      <c r="BN166"/>
      <c r="BO166"/>
      <c r="BP166" t="s">
        <v>2255</v>
      </c>
      <c r="BQ166" t="s">
        <v>4186</v>
      </c>
      <c r="BR166" t="s">
        <v>2872</v>
      </c>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t="s">
        <v>2307</v>
      </c>
      <c r="CY166">
        <v>347</v>
      </c>
      <c r="CZ166" t="s">
        <v>2306</v>
      </c>
    </row>
    <row r="167" spans="1:104" ht="14.25">
      <c r="A167" t="s">
        <v>4185</v>
      </c>
      <c r="B167" t="s">
        <v>4184</v>
      </c>
      <c r="C167" t="s">
        <v>4183</v>
      </c>
      <c r="D167">
        <v>10</v>
      </c>
      <c r="E167" t="s">
        <v>2321</v>
      </c>
      <c r="F167" t="s">
        <v>2342</v>
      </c>
      <c r="G167" t="s">
        <v>2440</v>
      </c>
      <c r="H167" t="s">
        <v>3092</v>
      </c>
      <c r="I167"/>
      <c r="J167" t="s">
        <v>2355</v>
      </c>
      <c r="K167">
        <v>11</v>
      </c>
      <c r="L167" t="s">
        <v>1903</v>
      </c>
      <c r="M167">
        <v>18</v>
      </c>
      <c r="N167">
        <v>127</v>
      </c>
      <c r="O167">
        <v>15</v>
      </c>
      <c r="P167">
        <v>10</v>
      </c>
      <c r="Q167">
        <v>45</v>
      </c>
      <c r="R167" t="s">
        <v>2825</v>
      </c>
      <c r="S167" t="s">
        <v>4182</v>
      </c>
      <c r="T167" t="s">
        <v>2315</v>
      </c>
      <c r="U167" t="s">
        <v>2315</v>
      </c>
      <c r="V167">
        <v>40</v>
      </c>
      <c r="W167"/>
      <c r="X167"/>
      <c r="Y167"/>
      <c r="Z167"/>
      <c r="AA167">
        <v>19</v>
      </c>
      <c r="AB167">
        <v>18</v>
      </c>
      <c r="AC167">
        <v>16</v>
      </c>
      <c r="AD167">
        <v>16</v>
      </c>
      <c r="AE167">
        <v>19</v>
      </c>
      <c r="AF167">
        <v>18</v>
      </c>
      <c r="AG167">
        <v>234</v>
      </c>
      <c r="AH167"/>
      <c r="AI167"/>
      <c r="AJ167"/>
      <c r="AK167"/>
      <c r="AL167"/>
      <c r="AM167"/>
      <c r="AN167"/>
      <c r="AO167">
        <v>338</v>
      </c>
      <c r="AP167"/>
      <c r="AQ167"/>
      <c r="AR167"/>
      <c r="AS167"/>
      <c r="AT167"/>
      <c r="AU167"/>
      <c r="AV167"/>
      <c r="AW167"/>
      <c r="AX167"/>
      <c r="AY167" t="s">
        <v>3090</v>
      </c>
      <c r="AZ167" t="s">
        <v>3091</v>
      </c>
      <c r="BA167" t="s">
        <v>3090</v>
      </c>
      <c r="BB167" t="s">
        <v>3088</v>
      </c>
      <c r="BC167" t="s">
        <v>4181</v>
      </c>
      <c r="BD167" t="s">
        <v>3088</v>
      </c>
      <c r="BE167"/>
      <c r="BF167"/>
      <c r="BG167"/>
      <c r="BH167"/>
      <c r="BI167"/>
      <c r="BJ167"/>
      <c r="BK167"/>
      <c r="BL167"/>
      <c r="BM167"/>
      <c r="BN167"/>
      <c r="BO167"/>
      <c r="BP167" t="s">
        <v>2332</v>
      </c>
      <c r="BQ167" t="s">
        <v>4180</v>
      </c>
      <c r="BR167" t="s">
        <v>4179</v>
      </c>
      <c r="BS167" t="s">
        <v>4178</v>
      </c>
      <c r="BT167" t="s">
        <v>4177</v>
      </c>
      <c r="BU167" t="s">
        <v>4176</v>
      </c>
      <c r="BV167"/>
      <c r="BW167"/>
      <c r="BX167"/>
      <c r="BY167"/>
      <c r="BZ167"/>
      <c r="CA167"/>
      <c r="CB167"/>
      <c r="CC167"/>
      <c r="CD167"/>
      <c r="CE167"/>
      <c r="CF167"/>
      <c r="CG167"/>
      <c r="CH167"/>
      <c r="CI167"/>
      <c r="CJ167"/>
      <c r="CK167"/>
      <c r="CL167"/>
      <c r="CM167"/>
      <c r="CN167"/>
      <c r="CO167"/>
      <c r="CP167"/>
      <c r="CQ167"/>
      <c r="CR167"/>
      <c r="CS167"/>
      <c r="CT167"/>
      <c r="CU167"/>
      <c r="CV167"/>
      <c r="CW167"/>
      <c r="CX167" t="s">
        <v>2307</v>
      </c>
      <c r="CY167">
        <v>234</v>
      </c>
      <c r="CZ167" t="s">
        <v>2306</v>
      </c>
    </row>
    <row r="168" spans="1:104" ht="14.25">
      <c r="A168" t="s">
        <v>4175</v>
      </c>
      <c r="B168" t="s">
        <v>4175</v>
      </c>
      <c r="C168" t="s">
        <v>4174</v>
      </c>
      <c r="D168">
        <v>11</v>
      </c>
      <c r="E168" t="s">
        <v>2321</v>
      </c>
      <c r="F168" t="s">
        <v>2342</v>
      </c>
      <c r="G168" t="s">
        <v>2440</v>
      </c>
      <c r="H168"/>
      <c r="I168"/>
      <c r="J168" t="s">
        <v>4173</v>
      </c>
      <c r="K168">
        <v>9</v>
      </c>
      <c r="L168" t="s">
        <v>1901</v>
      </c>
      <c r="M168">
        <v>17</v>
      </c>
      <c r="N168">
        <v>136</v>
      </c>
      <c r="O168">
        <v>16</v>
      </c>
      <c r="P168">
        <v>10</v>
      </c>
      <c r="Q168">
        <v>48</v>
      </c>
      <c r="R168" t="s">
        <v>2825</v>
      </c>
      <c r="S168" t="s">
        <v>4172</v>
      </c>
      <c r="T168" t="s">
        <v>2315</v>
      </c>
      <c r="U168" t="s">
        <v>2315</v>
      </c>
      <c r="V168">
        <v>40</v>
      </c>
      <c r="W168"/>
      <c r="X168"/>
      <c r="Y168">
        <v>60</v>
      </c>
      <c r="Z168"/>
      <c r="AA168">
        <v>18</v>
      </c>
      <c r="AB168">
        <v>15</v>
      </c>
      <c r="AC168">
        <v>16</v>
      </c>
      <c r="AD168">
        <v>18</v>
      </c>
      <c r="AE168">
        <v>18</v>
      </c>
      <c r="AF168">
        <v>18</v>
      </c>
      <c r="AG168">
        <v>282</v>
      </c>
      <c r="AH168"/>
      <c r="AI168"/>
      <c r="AJ168"/>
      <c r="AK168"/>
      <c r="AL168"/>
      <c r="AM168"/>
      <c r="AN168"/>
      <c r="AO168">
        <v>351</v>
      </c>
      <c r="AP168"/>
      <c r="AQ168"/>
      <c r="AR168"/>
      <c r="AS168"/>
      <c r="AT168"/>
      <c r="AU168"/>
      <c r="AV168"/>
      <c r="AW168"/>
      <c r="AX168"/>
      <c r="AY168" t="s">
        <v>4170</v>
      </c>
      <c r="AZ168" t="s">
        <v>4171</v>
      </c>
      <c r="BA168" t="s">
        <v>4170</v>
      </c>
      <c r="BB168" t="s">
        <v>2819</v>
      </c>
      <c r="BC168" t="s">
        <v>4169</v>
      </c>
      <c r="BD168" t="s">
        <v>2819</v>
      </c>
      <c r="BE168" t="s">
        <v>3088</v>
      </c>
      <c r="BF168" t="s">
        <v>4168</v>
      </c>
      <c r="BG168" t="s">
        <v>3088</v>
      </c>
      <c r="BH168"/>
      <c r="BI168"/>
      <c r="BJ168"/>
      <c r="BK168"/>
      <c r="BL168"/>
      <c r="BM168"/>
      <c r="BN168"/>
      <c r="BO168"/>
      <c r="BP168" t="s">
        <v>2333</v>
      </c>
      <c r="BQ168" t="s">
        <v>4167</v>
      </c>
      <c r="BR168" t="s">
        <v>2333</v>
      </c>
      <c r="BS168" t="s">
        <v>2329</v>
      </c>
      <c r="BT168" t="s">
        <v>3803</v>
      </c>
      <c r="BU168" t="s">
        <v>4166</v>
      </c>
      <c r="BV168"/>
      <c r="BW168"/>
      <c r="BX168"/>
      <c r="BY168"/>
      <c r="BZ168"/>
      <c r="CA168"/>
      <c r="CB168"/>
      <c r="CC168"/>
      <c r="CD168"/>
      <c r="CE168"/>
      <c r="CF168"/>
      <c r="CG168"/>
      <c r="CH168"/>
      <c r="CI168"/>
      <c r="CJ168"/>
      <c r="CK168" t="s">
        <v>4165</v>
      </c>
      <c r="CL168" t="s">
        <v>4164</v>
      </c>
      <c r="CM168" t="s">
        <v>4163</v>
      </c>
      <c r="CN168" t="s">
        <v>4162</v>
      </c>
      <c r="CO168" t="s">
        <v>4161</v>
      </c>
      <c r="CP168" t="s">
        <v>4160</v>
      </c>
      <c r="CQ168"/>
      <c r="CR168"/>
      <c r="CS168"/>
      <c r="CT168"/>
      <c r="CU168"/>
      <c r="CV168"/>
      <c r="CW168"/>
      <c r="CX168" t="s">
        <v>2307</v>
      </c>
      <c r="CY168">
        <v>282</v>
      </c>
      <c r="CZ168" t="s">
        <v>2306</v>
      </c>
    </row>
    <row r="169" spans="1:104" ht="14.25">
      <c r="A169" t="s">
        <v>4159</v>
      </c>
      <c r="B169" t="s">
        <v>4159</v>
      </c>
      <c r="C169" t="s">
        <v>4158</v>
      </c>
      <c r="D169">
        <v>1</v>
      </c>
      <c r="E169" t="s">
        <v>2321</v>
      </c>
      <c r="F169" t="s">
        <v>2320</v>
      </c>
      <c r="G169" t="s">
        <v>2440</v>
      </c>
      <c r="H169"/>
      <c r="I169"/>
      <c r="J169" t="s">
        <v>2340</v>
      </c>
      <c r="K169"/>
      <c r="L169"/>
      <c r="M169">
        <v>11</v>
      </c>
      <c r="N169">
        <v>38</v>
      </c>
      <c r="O169">
        <v>7</v>
      </c>
      <c r="P169">
        <v>8</v>
      </c>
      <c r="Q169">
        <v>7</v>
      </c>
      <c r="R169" t="s">
        <v>2317</v>
      </c>
      <c r="S169" t="s">
        <v>3256</v>
      </c>
      <c r="T169" t="s">
        <v>2845</v>
      </c>
      <c r="U169" t="s">
        <v>2315</v>
      </c>
      <c r="V169">
        <v>20</v>
      </c>
      <c r="W169"/>
      <c r="X169"/>
      <c r="Y169">
        <v>40</v>
      </c>
      <c r="Z169"/>
      <c r="AA169">
        <v>12</v>
      </c>
      <c r="AB169">
        <v>13</v>
      </c>
      <c r="AC169">
        <v>12</v>
      </c>
      <c r="AD169">
        <v>7</v>
      </c>
      <c r="AE169">
        <v>10</v>
      </c>
      <c r="AF169">
        <v>13</v>
      </c>
      <c r="AG169">
        <v>181</v>
      </c>
      <c r="AH169"/>
      <c r="AI169"/>
      <c r="AJ169"/>
      <c r="AK169"/>
      <c r="AL169"/>
      <c r="AM169"/>
      <c r="AN169">
        <v>31</v>
      </c>
      <c r="AO169">
        <v>324</v>
      </c>
      <c r="AP169"/>
      <c r="AQ169"/>
      <c r="AR169"/>
      <c r="AS169"/>
      <c r="AT169"/>
      <c r="AU169"/>
      <c r="AV169"/>
      <c r="AW169"/>
      <c r="AX169"/>
      <c r="AY169"/>
      <c r="AZ169"/>
      <c r="BA169"/>
      <c r="BB169"/>
      <c r="BC169"/>
      <c r="BD169"/>
      <c r="BE169"/>
      <c r="BF169"/>
      <c r="BG169"/>
      <c r="BH169"/>
      <c r="BI169"/>
      <c r="BJ169"/>
      <c r="BK169"/>
      <c r="BL169"/>
      <c r="BM169"/>
      <c r="BN169"/>
      <c r="BO169"/>
      <c r="BP169" t="s">
        <v>2333</v>
      </c>
      <c r="BQ169" t="s">
        <v>4157</v>
      </c>
      <c r="BR169" t="s">
        <v>2333</v>
      </c>
      <c r="BS169" t="s">
        <v>2505</v>
      </c>
      <c r="BT169" t="s">
        <v>4156</v>
      </c>
      <c r="BU169" t="s">
        <v>4155</v>
      </c>
      <c r="BV169" t="s">
        <v>4154</v>
      </c>
      <c r="BW169" t="s">
        <v>4153</v>
      </c>
      <c r="BX169" t="s">
        <v>4152</v>
      </c>
      <c r="BY169" t="s">
        <v>4150</v>
      </c>
      <c r="BZ169" t="s">
        <v>4151</v>
      </c>
      <c r="CA169" t="s">
        <v>4150</v>
      </c>
      <c r="CB169"/>
      <c r="CC169"/>
      <c r="CD169"/>
      <c r="CE169"/>
      <c r="CF169"/>
      <c r="CG169"/>
      <c r="CH169"/>
      <c r="CI169"/>
      <c r="CJ169"/>
      <c r="CK169"/>
      <c r="CL169"/>
      <c r="CM169"/>
      <c r="CN169"/>
      <c r="CO169"/>
      <c r="CP169"/>
      <c r="CQ169"/>
      <c r="CR169"/>
      <c r="CS169"/>
      <c r="CT169"/>
      <c r="CU169"/>
      <c r="CV169"/>
      <c r="CW169"/>
      <c r="CX169" t="s">
        <v>2307</v>
      </c>
      <c r="CY169">
        <v>181</v>
      </c>
      <c r="CZ169" t="s">
        <v>2306</v>
      </c>
    </row>
    <row r="170" spans="1:104" ht="14.25">
      <c r="A170" t="s">
        <v>4149</v>
      </c>
      <c r="B170" t="s">
        <v>4149</v>
      </c>
      <c r="C170" t="s">
        <v>4148</v>
      </c>
      <c r="D170">
        <v>0</v>
      </c>
      <c r="E170" t="s">
        <v>2533</v>
      </c>
      <c r="F170" t="s">
        <v>2572</v>
      </c>
      <c r="G170" t="s">
        <v>2543</v>
      </c>
      <c r="H170"/>
      <c r="I170"/>
      <c r="J170" t="s">
        <v>1908</v>
      </c>
      <c r="K170"/>
      <c r="L170"/>
      <c r="M170">
        <v>13</v>
      </c>
      <c r="N170">
        <v>1</v>
      </c>
      <c r="O170">
        <v>1</v>
      </c>
      <c r="P170">
        <v>4</v>
      </c>
      <c r="Q170">
        <v>-1</v>
      </c>
      <c r="R170" t="s">
        <v>2317</v>
      </c>
      <c r="S170" t="s">
        <v>2679</v>
      </c>
      <c r="T170" t="s">
        <v>2315</v>
      </c>
      <c r="U170" t="s">
        <v>2315</v>
      </c>
      <c r="V170">
        <v>10</v>
      </c>
      <c r="W170"/>
      <c r="X170"/>
      <c r="Y170">
        <v>60</v>
      </c>
      <c r="Z170"/>
      <c r="AA170">
        <v>5</v>
      </c>
      <c r="AB170">
        <v>16</v>
      </c>
      <c r="AC170">
        <v>8</v>
      </c>
      <c r="AD170">
        <v>2</v>
      </c>
      <c r="AE170">
        <v>14</v>
      </c>
      <c r="AF170">
        <v>6</v>
      </c>
      <c r="AG170">
        <v>330</v>
      </c>
      <c r="AH170">
        <v>306</v>
      </c>
      <c r="AI170"/>
      <c r="AJ170"/>
      <c r="AK170"/>
      <c r="AL170"/>
      <c r="AM170"/>
      <c r="AN170">
        <v>31</v>
      </c>
      <c r="AO170">
        <v>377</v>
      </c>
      <c r="AP170"/>
      <c r="AQ170"/>
      <c r="AR170"/>
      <c r="AS170"/>
      <c r="AT170"/>
      <c r="AU170"/>
      <c r="AV170"/>
      <c r="AW170"/>
      <c r="AX170"/>
      <c r="AY170" t="s">
        <v>3338</v>
      </c>
      <c r="AZ170" t="s">
        <v>4147</v>
      </c>
      <c r="BA170" t="s">
        <v>3338</v>
      </c>
      <c r="BB170"/>
      <c r="BC170"/>
      <c r="BD170"/>
      <c r="BE170"/>
      <c r="BF170"/>
      <c r="BG170"/>
      <c r="BH170"/>
      <c r="BI170"/>
      <c r="BJ170"/>
      <c r="BK170"/>
      <c r="BL170"/>
      <c r="BM170"/>
      <c r="BN170"/>
      <c r="BO170"/>
      <c r="BP170" t="s">
        <v>2722</v>
      </c>
      <c r="BQ170" t="s">
        <v>4146</v>
      </c>
      <c r="BR170" t="s">
        <v>4145</v>
      </c>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t="s">
        <v>2307</v>
      </c>
      <c r="CY170">
        <v>330</v>
      </c>
      <c r="CZ170" t="s">
        <v>2306</v>
      </c>
    </row>
    <row r="171" spans="1:104" ht="14.25">
      <c r="A171" t="s">
        <v>4144</v>
      </c>
      <c r="B171" t="s">
        <v>4143</v>
      </c>
      <c r="C171" t="s">
        <v>4142</v>
      </c>
      <c r="D171">
        <v>3</v>
      </c>
      <c r="E171" t="s">
        <v>2321</v>
      </c>
      <c r="F171" t="s">
        <v>2320</v>
      </c>
      <c r="G171" t="s">
        <v>2732</v>
      </c>
      <c r="H171"/>
      <c r="I171"/>
      <c r="J171" t="s">
        <v>2375</v>
      </c>
      <c r="K171"/>
      <c r="L171"/>
      <c r="M171">
        <v>15</v>
      </c>
      <c r="N171">
        <v>45</v>
      </c>
      <c r="O171">
        <v>7</v>
      </c>
      <c r="P171">
        <v>8</v>
      </c>
      <c r="Q171">
        <v>14</v>
      </c>
      <c r="R171" t="s">
        <v>2317</v>
      </c>
      <c r="S171" t="s">
        <v>2630</v>
      </c>
      <c r="T171" t="s">
        <v>4141</v>
      </c>
      <c r="U171" t="s">
        <v>4140</v>
      </c>
      <c r="V171">
        <v>50</v>
      </c>
      <c r="W171"/>
      <c r="X171"/>
      <c r="Y171"/>
      <c r="Z171"/>
      <c r="AA171">
        <v>17</v>
      </c>
      <c r="AB171">
        <v>12</v>
      </c>
      <c r="AC171">
        <v>14</v>
      </c>
      <c r="AD171">
        <v>6</v>
      </c>
      <c r="AE171">
        <v>13</v>
      </c>
      <c r="AF171">
        <v>6</v>
      </c>
      <c r="AG171">
        <v>182</v>
      </c>
      <c r="AH171"/>
      <c r="AI171"/>
      <c r="AJ171"/>
      <c r="AK171"/>
      <c r="AL171"/>
      <c r="AM171"/>
      <c r="AN171">
        <v>32</v>
      </c>
      <c r="AO171">
        <v>324</v>
      </c>
      <c r="AP171"/>
      <c r="AQ171"/>
      <c r="AR171"/>
      <c r="AS171" t="s">
        <v>4139</v>
      </c>
      <c r="AT171"/>
      <c r="AU171"/>
      <c r="AV171"/>
      <c r="AW171"/>
      <c r="AX171" t="s">
        <v>3606</v>
      </c>
      <c r="AY171" t="s">
        <v>2528</v>
      </c>
      <c r="AZ171" t="s">
        <v>4138</v>
      </c>
      <c r="BA171" t="s">
        <v>2528</v>
      </c>
      <c r="BB171" t="s">
        <v>2452</v>
      </c>
      <c r="BC171" t="s">
        <v>4137</v>
      </c>
      <c r="BD171" t="s">
        <v>2452</v>
      </c>
      <c r="BE171"/>
      <c r="BF171"/>
      <c r="BG171"/>
      <c r="BH171"/>
      <c r="BI171"/>
      <c r="BJ171"/>
      <c r="BK171"/>
      <c r="BL171"/>
      <c r="BM171"/>
      <c r="BN171"/>
      <c r="BO171"/>
      <c r="BP171" t="s">
        <v>2332</v>
      </c>
      <c r="BQ171" t="s">
        <v>4136</v>
      </c>
      <c r="BR171" t="s">
        <v>4135</v>
      </c>
      <c r="BS171" t="s">
        <v>2361</v>
      </c>
      <c r="BT171" t="s">
        <v>4134</v>
      </c>
      <c r="BU171" t="s">
        <v>4133</v>
      </c>
      <c r="BV171"/>
      <c r="BW171"/>
      <c r="BX171"/>
      <c r="BY171"/>
      <c r="BZ171"/>
      <c r="CA171"/>
      <c r="CB171"/>
      <c r="CC171"/>
      <c r="CD171"/>
      <c r="CE171"/>
      <c r="CF171"/>
      <c r="CG171"/>
      <c r="CH171"/>
      <c r="CI171"/>
      <c r="CJ171"/>
      <c r="CK171"/>
      <c r="CL171"/>
      <c r="CM171"/>
      <c r="CN171"/>
      <c r="CO171"/>
      <c r="CP171"/>
      <c r="CQ171"/>
      <c r="CR171"/>
      <c r="CS171"/>
      <c r="CT171"/>
      <c r="CU171"/>
      <c r="CV171"/>
      <c r="CW171"/>
      <c r="CX171" t="s">
        <v>2307</v>
      </c>
      <c r="CY171">
        <v>182</v>
      </c>
      <c r="CZ171" t="s">
        <v>2306</v>
      </c>
    </row>
    <row r="172" spans="1:104" ht="14.25">
      <c r="A172" t="s">
        <v>4132</v>
      </c>
      <c r="B172" t="s">
        <v>4132</v>
      </c>
      <c r="C172" t="s">
        <v>4131</v>
      </c>
      <c r="D172">
        <v>8</v>
      </c>
      <c r="E172" t="s">
        <v>2321</v>
      </c>
      <c r="F172" t="s">
        <v>2342</v>
      </c>
      <c r="G172" t="s">
        <v>2732</v>
      </c>
      <c r="H172" t="s">
        <v>2731</v>
      </c>
      <c r="I172"/>
      <c r="J172" t="s">
        <v>2340</v>
      </c>
      <c r="K172"/>
      <c r="L172"/>
      <c r="M172">
        <v>16</v>
      </c>
      <c r="N172">
        <v>136</v>
      </c>
      <c r="O172">
        <v>13</v>
      </c>
      <c r="P172">
        <v>10</v>
      </c>
      <c r="Q172">
        <v>65</v>
      </c>
      <c r="R172" t="s">
        <v>2317</v>
      </c>
      <c r="S172" t="s">
        <v>2339</v>
      </c>
      <c r="T172" t="s">
        <v>2338</v>
      </c>
      <c r="U172" t="s">
        <v>2315</v>
      </c>
      <c r="V172">
        <v>30</v>
      </c>
      <c r="W172"/>
      <c r="X172"/>
      <c r="Y172"/>
      <c r="Z172"/>
      <c r="AA172">
        <v>19</v>
      </c>
      <c r="AB172">
        <v>17</v>
      </c>
      <c r="AC172">
        <v>20</v>
      </c>
      <c r="AD172">
        <v>5</v>
      </c>
      <c r="AE172">
        <v>12</v>
      </c>
      <c r="AF172">
        <v>13</v>
      </c>
      <c r="AG172">
        <v>60</v>
      </c>
      <c r="AH172"/>
      <c r="AI172"/>
      <c r="AJ172"/>
      <c r="AK172"/>
      <c r="AL172"/>
      <c r="AM172"/>
      <c r="AN172"/>
      <c r="AO172">
        <v>274</v>
      </c>
      <c r="AP172"/>
      <c r="AQ172"/>
      <c r="AR172"/>
      <c r="AS172"/>
      <c r="AT172">
        <v>19</v>
      </c>
      <c r="AU172"/>
      <c r="AV172"/>
      <c r="AW172"/>
      <c r="AX172" t="s">
        <v>4130</v>
      </c>
      <c r="AY172" t="s">
        <v>2726</v>
      </c>
      <c r="AZ172" t="s">
        <v>4129</v>
      </c>
      <c r="BA172" t="s">
        <v>2726</v>
      </c>
      <c r="BB172" t="s">
        <v>4127</v>
      </c>
      <c r="BC172" t="s">
        <v>4128</v>
      </c>
      <c r="BD172" t="s">
        <v>4127</v>
      </c>
      <c r="BE172"/>
      <c r="BF172"/>
      <c r="BG172"/>
      <c r="BH172"/>
      <c r="BI172"/>
      <c r="BJ172"/>
      <c r="BK172"/>
      <c r="BL172"/>
      <c r="BM172"/>
      <c r="BN172"/>
      <c r="BO172"/>
      <c r="BP172" t="s">
        <v>2333</v>
      </c>
      <c r="BQ172" t="s">
        <v>4126</v>
      </c>
      <c r="BR172" t="s">
        <v>2333</v>
      </c>
      <c r="BS172" t="s">
        <v>2332</v>
      </c>
      <c r="BT172" t="s">
        <v>4125</v>
      </c>
      <c r="BU172" t="s">
        <v>2386</v>
      </c>
      <c r="BV172" t="s">
        <v>2505</v>
      </c>
      <c r="BW172" t="s">
        <v>2328</v>
      </c>
      <c r="BX172" t="s">
        <v>2327</v>
      </c>
      <c r="BY172" t="s">
        <v>2714</v>
      </c>
      <c r="BZ172" t="s">
        <v>4124</v>
      </c>
      <c r="CA172" t="s">
        <v>2714</v>
      </c>
      <c r="CB172"/>
      <c r="CC172"/>
      <c r="CD172"/>
      <c r="CE172"/>
      <c r="CF172"/>
      <c r="CG172"/>
      <c r="CH172"/>
      <c r="CI172"/>
      <c r="CJ172"/>
      <c r="CK172"/>
      <c r="CL172"/>
      <c r="CM172"/>
      <c r="CN172"/>
      <c r="CO172"/>
      <c r="CP172"/>
      <c r="CQ172"/>
      <c r="CR172"/>
      <c r="CS172"/>
      <c r="CT172"/>
      <c r="CU172"/>
      <c r="CV172"/>
      <c r="CW172"/>
      <c r="CX172" t="s">
        <v>2307</v>
      </c>
      <c r="CY172">
        <v>60</v>
      </c>
      <c r="CZ172" t="s">
        <v>2306</v>
      </c>
    </row>
    <row r="173" spans="1:104" ht="14.25">
      <c r="A173" t="s">
        <v>4123</v>
      </c>
      <c r="B173" t="s">
        <v>4122</v>
      </c>
      <c r="C173" t="s">
        <v>4121</v>
      </c>
      <c r="D173">
        <v>5</v>
      </c>
      <c r="E173" t="s">
        <v>2321</v>
      </c>
      <c r="F173" t="s">
        <v>2838</v>
      </c>
      <c r="G173" t="s">
        <v>2858</v>
      </c>
      <c r="H173"/>
      <c r="I173"/>
      <c r="J173" t="s">
        <v>2340</v>
      </c>
      <c r="K173"/>
      <c r="L173"/>
      <c r="M173">
        <v>13</v>
      </c>
      <c r="N173">
        <v>105</v>
      </c>
      <c r="O173">
        <v>10</v>
      </c>
      <c r="P173">
        <v>12</v>
      </c>
      <c r="Q173">
        <v>40</v>
      </c>
      <c r="R173" t="s">
        <v>2317</v>
      </c>
      <c r="S173" t="s">
        <v>4120</v>
      </c>
      <c r="T173" t="s">
        <v>4119</v>
      </c>
      <c r="U173" t="s">
        <v>2315</v>
      </c>
      <c r="V173">
        <v>40</v>
      </c>
      <c r="W173"/>
      <c r="X173"/>
      <c r="Y173"/>
      <c r="Z173"/>
      <c r="AA173">
        <v>21</v>
      </c>
      <c r="AB173">
        <v>8</v>
      </c>
      <c r="AC173">
        <v>19</v>
      </c>
      <c r="AD173">
        <v>5</v>
      </c>
      <c r="AE173">
        <v>9</v>
      </c>
      <c r="AF173">
        <v>6</v>
      </c>
      <c r="AG173">
        <v>155</v>
      </c>
      <c r="AH173"/>
      <c r="AI173"/>
      <c r="AJ173"/>
      <c r="AK173"/>
      <c r="AL173"/>
      <c r="AM173"/>
      <c r="AN173">
        <v>32</v>
      </c>
      <c r="AO173">
        <v>316</v>
      </c>
      <c r="AP173"/>
      <c r="AQ173"/>
      <c r="AR173"/>
      <c r="AS173"/>
      <c r="AT173"/>
      <c r="AU173"/>
      <c r="AV173"/>
      <c r="AW173"/>
      <c r="AX173" t="s">
        <v>4118</v>
      </c>
      <c r="AY173"/>
      <c r="AZ173"/>
      <c r="BA173"/>
      <c r="BB173"/>
      <c r="BC173"/>
      <c r="BD173"/>
      <c r="BE173"/>
      <c r="BF173"/>
      <c r="BG173"/>
      <c r="BH173"/>
      <c r="BI173"/>
      <c r="BJ173"/>
      <c r="BK173"/>
      <c r="BL173"/>
      <c r="BM173"/>
      <c r="BN173"/>
      <c r="BO173"/>
      <c r="BP173" t="s">
        <v>4117</v>
      </c>
      <c r="BQ173" t="s">
        <v>4116</v>
      </c>
      <c r="BR173" t="s">
        <v>4115</v>
      </c>
      <c r="BS173" t="s">
        <v>2333</v>
      </c>
      <c r="BT173" t="s">
        <v>3027</v>
      </c>
      <c r="BU173" t="s">
        <v>2333</v>
      </c>
      <c r="BV173" t="s">
        <v>2273</v>
      </c>
      <c r="BW173" t="s">
        <v>4114</v>
      </c>
      <c r="BX173" t="s">
        <v>4113</v>
      </c>
      <c r="BY173" t="s">
        <v>2884</v>
      </c>
      <c r="BZ173" t="s">
        <v>4112</v>
      </c>
      <c r="CA173" t="s">
        <v>4111</v>
      </c>
      <c r="CB173"/>
      <c r="CC173"/>
      <c r="CD173"/>
      <c r="CE173"/>
      <c r="CF173"/>
      <c r="CG173"/>
      <c r="CH173"/>
      <c r="CI173"/>
      <c r="CJ173"/>
      <c r="CK173"/>
      <c r="CL173"/>
      <c r="CM173"/>
      <c r="CN173"/>
      <c r="CO173"/>
      <c r="CP173"/>
      <c r="CQ173"/>
      <c r="CR173"/>
      <c r="CS173"/>
      <c r="CT173"/>
      <c r="CU173"/>
      <c r="CV173"/>
      <c r="CW173"/>
      <c r="CX173" t="s">
        <v>2307</v>
      </c>
      <c r="CY173">
        <v>155</v>
      </c>
      <c r="CZ173" t="s">
        <v>2306</v>
      </c>
    </row>
    <row r="174" spans="1:104" ht="14.25">
      <c r="A174" t="s">
        <v>4110</v>
      </c>
      <c r="B174" t="s">
        <v>4110</v>
      </c>
      <c r="C174" t="s">
        <v>4109</v>
      </c>
      <c r="D174">
        <v>1</v>
      </c>
      <c r="E174" t="s">
        <v>2321</v>
      </c>
      <c r="F174" t="s">
        <v>2342</v>
      </c>
      <c r="G174" t="s">
        <v>2440</v>
      </c>
      <c r="H174"/>
      <c r="I174"/>
      <c r="J174" t="s">
        <v>1908</v>
      </c>
      <c r="K174"/>
      <c r="L174"/>
      <c r="M174">
        <v>11</v>
      </c>
      <c r="N174">
        <v>19</v>
      </c>
      <c r="O174">
        <v>3</v>
      </c>
      <c r="P174">
        <v>10</v>
      </c>
      <c r="Q174">
        <v>3</v>
      </c>
      <c r="R174" t="s">
        <v>2317</v>
      </c>
      <c r="S174" t="s">
        <v>2631</v>
      </c>
      <c r="T174" t="s">
        <v>2532</v>
      </c>
      <c r="U174" t="s">
        <v>2315</v>
      </c>
      <c r="V174">
        <v>40</v>
      </c>
      <c r="W174"/>
      <c r="X174"/>
      <c r="Y174">
        <v>60</v>
      </c>
      <c r="Z174"/>
      <c r="AA174">
        <v>17</v>
      </c>
      <c r="AB174">
        <v>13</v>
      </c>
      <c r="AC174">
        <v>13</v>
      </c>
      <c r="AD174">
        <v>2</v>
      </c>
      <c r="AE174">
        <v>12</v>
      </c>
      <c r="AF174">
        <v>8</v>
      </c>
      <c r="AG174">
        <v>184</v>
      </c>
      <c r="AH174"/>
      <c r="AI174"/>
      <c r="AJ174"/>
      <c r="AK174"/>
      <c r="AL174"/>
      <c r="AM174"/>
      <c r="AN174">
        <v>32</v>
      </c>
      <c r="AO174">
        <v>325</v>
      </c>
      <c r="AP174"/>
      <c r="AQ174"/>
      <c r="AR174"/>
      <c r="AS174"/>
      <c r="AT174"/>
      <c r="AU174"/>
      <c r="AV174" t="s">
        <v>4108</v>
      </c>
      <c r="AW174"/>
      <c r="AX174"/>
      <c r="AY174" t="s">
        <v>3338</v>
      </c>
      <c r="AZ174" t="s">
        <v>4107</v>
      </c>
      <c r="BA174" t="s">
        <v>3338</v>
      </c>
      <c r="BB174"/>
      <c r="BC174"/>
      <c r="BD174"/>
      <c r="BE174"/>
      <c r="BF174"/>
      <c r="BG174"/>
      <c r="BH174"/>
      <c r="BI174"/>
      <c r="BJ174"/>
      <c r="BK174"/>
      <c r="BL174"/>
      <c r="BM174"/>
      <c r="BN174"/>
      <c r="BO174"/>
      <c r="BP174" t="s">
        <v>2333</v>
      </c>
      <c r="BQ174" t="s">
        <v>4106</v>
      </c>
      <c r="BR174" t="s">
        <v>2333</v>
      </c>
      <c r="BS174" t="s">
        <v>2707</v>
      </c>
      <c r="BT174" t="s">
        <v>2896</v>
      </c>
      <c r="BU174" t="s">
        <v>4105</v>
      </c>
      <c r="BV174" t="s">
        <v>2505</v>
      </c>
      <c r="BW174" t="s">
        <v>3218</v>
      </c>
      <c r="BX174" t="s">
        <v>3217</v>
      </c>
      <c r="BY174"/>
      <c r="BZ174"/>
      <c r="CA174"/>
      <c r="CB174"/>
      <c r="CC174"/>
      <c r="CD174"/>
      <c r="CE174"/>
      <c r="CF174"/>
      <c r="CG174"/>
      <c r="CH174"/>
      <c r="CI174"/>
      <c r="CJ174"/>
      <c r="CK174"/>
      <c r="CL174"/>
      <c r="CM174"/>
      <c r="CN174"/>
      <c r="CO174"/>
      <c r="CP174"/>
      <c r="CQ174"/>
      <c r="CR174"/>
      <c r="CS174"/>
      <c r="CT174"/>
      <c r="CU174"/>
      <c r="CV174"/>
      <c r="CW174"/>
      <c r="CX174" t="s">
        <v>2307</v>
      </c>
      <c r="CY174">
        <v>184</v>
      </c>
      <c r="CZ174" t="s">
        <v>2306</v>
      </c>
    </row>
    <row r="175" spans="1:104" ht="14.25">
      <c r="A175" t="s">
        <v>4104</v>
      </c>
      <c r="B175" t="s">
        <v>4104</v>
      </c>
      <c r="C175" t="s">
        <v>4103</v>
      </c>
      <c r="D175">
        <v>0.5</v>
      </c>
      <c r="E175" t="s">
        <v>2321</v>
      </c>
      <c r="F175" t="s">
        <v>2320</v>
      </c>
      <c r="G175" t="s">
        <v>2461</v>
      </c>
      <c r="H175" t="s">
        <v>4102</v>
      </c>
      <c r="I175"/>
      <c r="J175" t="s">
        <v>2375</v>
      </c>
      <c r="K175"/>
      <c r="L175"/>
      <c r="M175">
        <v>18</v>
      </c>
      <c r="N175">
        <v>11</v>
      </c>
      <c r="O175">
        <v>2</v>
      </c>
      <c r="P175">
        <v>8</v>
      </c>
      <c r="Q175">
        <v>2</v>
      </c>
      <c r="R175" t="s">
        <v>2317</v>
      </c>
      <c r="S175" t="s">
        <v>4101</v>
      </c>
      <c r="T175" t="s">
        <v>2876</v>
      </c>
      <c r="U175" t="s">
        <v>2315</v>
      </c>
      <c r="V175">
        <v>30</v>
      </c>
      <c r="W175"/>
      <c r="X175"/>
      <c r="Y175"/>
      <c r="Z175"/>
      <c r="AA175">
        <v>13</v>
      </c>
      <c r="AB175">
        <v>12</v>
      </c>
      <c r="AC175">
        <v>12</v>
      </c>
      <c r="AD175">
        <v>10</v>
      </c>
      <c r="AE175">
        <v>10</v>
      </c>
      <c r="AF175">
        <v>9</v>
      </c>
      <c r="AG175">
        <v>186</v>
      </c>
      <c r="AH175"/>
      <c r="AI175"/>
      <c r="AJ175">
        <v>59</v>
      </c>
      <c r="AK175"/>
      <c r="AL175"/>
      <c r="AM175"/>
      <c r="AN175">
        <v>32</v>
      </c>
      <c r="AO175">
        <v>325</v>
      </c>
      <c r="AP175">
        <v>12</v>
      </c>
      <c r="AQ175"/>
      <c r="AR175"/>
      <c r="AS175"/>
      <c r="AT175"/>
      <c r="AU175"/>
      <c r="AV175"/>
      <c r="AW175"/>
      <c r="AX175"/>
      <c r="AY175" t="s">
        <v>4100</v>
      </c>
      <c r="AZ175" t="s">
        <v>4099</v>
      </c>
      <c r="BA175" t="s">
        <v>4098</v>
      </c>
      <c r="BB175"/>
      <c r="BC175"/>
      <c r="BD175"/>
      <c r="BE175"/>
      <c r="BF175"/>
      <c r="BG175"/>
      <c r="BH175"/>
      <c r="BI175"/>
      <c r="BJ175"/>
      <c r="BK175"/>
      <c r="BL175"/>
      <c r="BM175"/>
      <c r="BN175"/>
      <c r="BO175"/>
      <c r="BP175" t="s">
        <v>2580</v>
      </c>
      <c r="BQ175" t="s">
        <v>4097</v>
      </c>
      <c r="BR175" t="s">
        <v>4096</v>
      </c>
      <c r="BS175" t="s">
        <v>2577</v>
      </c>
      <c r="BT175" t="s">
        <v>4095</v>
      </c>
      <c r="BU175" t="s">
        <v>4094</v>
      </c>
      <c r="BV175"/>
      <c r="BW175"/>
      <c r="BX175"/>
      <c r="BY175"/>
      <c r="BZ175"/>
      <c r="CA175"/>
      <c r="CB175"/>
      <c r="CC175"/>
      <c r="CD175"/>
      <c r="CE175"/>
      <c r="CF175"/>
      <c r="CG175"/>
      <c r="CH175"/>
      <c r="CI175"/>
      <c r="CJ175"/>
      <c r="CK175"/>
      <c r="CL175"/>
      <c r="CM175"/>
      <c r="CN175"/>
      <c r="CO175"/>
      <c r="CP175"/>
      <c r="CQ175"/>
      <c r="CR175"/>
      <c r="CS175"/>
      <c r="CT175"/>
      <c r="CU175"/>
      <c r="CV175"/>
      <c r="CW175"/>
      <c r="CX175" t="s">
        <v>2307</v>
      </c>
      <c r="CY175">
        <v>186</v>
      </c>
      <c r="CZ175" t="s">
        <v>2306</v>
      </c>
    </row>
    <row r="176" spans="1:104" ht="14.25">
      <c r="A176" t="s">
        <v>4093</v>
      </c>
      <c r="B176" t="s">
        <v>4093</v>
      </c>
      <c r="C176" t="s">
        <v>4092</v>
      </c>
      <c r="D176">
        <v>0</v>
      </c>
      <c r="E176" t="s">
        <v>2321</v>
      </c>
      <c r="F176" t="s">
        <v>2572</v>
      </c>
      <c r="G176" t="s">
        <v>3017</v>
      </c>
      <c r="H176"/>
      <c r="I176"/>
      <c r="J176" t="s">
        <v>1902</v>
      </c>
      <c r="K176"/>
      <c r="L176"/>
      <c r="M176">
        <v>13</v>
      </c>
      <c r="N176">
        <v>5</v>
      </c>
      <c r="O176">
        <v>2</v>
      </c>
      <c r="P176">
        <v>4</v>
      </c>
      <c r="Q176"/>
      <c r="R176" t="s">
        <v>2317</v>
      </c>
      <c r="S176" t="s">
        <v>2679</v>
      </c>
      <c r="T176" t="s">
        <v>2315</v>
      </c>
      <c r="U176" t="s">
        <v>2315</v>
      </c>
      <c r="V176">
        <v>20</v>
      </c>
      <c r="W176"/>
      <c r="X176"/>
      <c r="Y176">
        <v>40</v>
      </c>
      <c r="Z176"/>
      <c r="AA176">
        <v>4</v>
      </c>
      <c r="AB176">
        <v>15</v>
      </c>
      <c r="AC176">
        <v>11</v>
      </c>
      <c r="AD176">
        <v>10</v>
      </c>
      <c r="AE176">
        <v>10</v>
      </c>
      <c r="AF176">
        <v>7</v>
      </c>
      <c r="AG176">
        <v>188</v>
      </c>
      <c r="AH176"/>
      <c r="AI176"/>
      <c r="AJ176"/>
      <c r="AK176"/>
      <c r="AL176"/>
      <c r="AM176"/>
      <c r="AN176"/>
      <c r="AO176">
        <v>325</v>
      </c>
      <c r="AP176"/>
      <c r="AQ176"/>
      <c r="AR176"/>
      <c r="AS176"/>
      <c r="AT176"/>
      <c r="AU176"/>
      <c r="AV176"/>
      <c r="AW176"/>
      <c r="AX176"/>
      <c r="AY176" t="s">
        <v>4090</v>
      </c>
      <c r="AZ176" t="s">
        <v>4091</v>
      </c>
      <c r="BA176" t="s">
        <v>4090</v>
      </c>
      <c r="BB176"/>
      <c r="BC176"/>
      <c r="BD176"/>
      <c r="BE176"/>
      <c r="BF176"/>
      <c r="BG176"/>
      <c r="BH176"/>
      <c r="BI176"/>
      <c r="BJ176"/>
      <c r="BK176"/>
      <c r="BL176"/>
      <c r="BM176"/>
      <c r="BN176"/>
      <c r="BO176"/>
      <c r="BP176" t="s">
        <v>2332</v>
      </c>
      <c r="BQ176" t="s">
        <v>4089</v>
      </c>
      <c r="BR176" t="s">
        <v>3096</v>
      </c>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t="s">
        <v>2307</v>
      </c>
      <c r="CY176">
        <v>188</v>
      </c>
      <c r="CZ176" t="s">
        <v>2306</v>
      </c>
    </row>
    <row r="177" spans="1:104" ht="14.25">
      <c r="A177" t="s">
        <v>4088</v>
      </c>
      <c r="B177" t="s">
        <v>4087</v>
      </c>
      <c r="C177" t="s">
        <v>4086</v>
      </c>
      <c r="D177">
        <v>11</v>
      </c>
      <c r="E177" t="s">
        <v>2321</v>
      </c>
      <c r="F177" t="s">
        <v>2342</v>
      </c>
      <c r="G177" t="s">
        <v>2732</v>
      </c>
      <c r="H177" t="s">
        <v>3520</v>
      </c>
      <c r="I177"/>
      <c r="J177" t="s">
        <v>2375</v>
      </c>
      <c r="K177"/>
      <c r="L177"/>
      <c r="M177">
        <v>18</v>
      </c>
      <c r="N177">
        <v>178</v>
      </c>
      <c r="O177">
        <v>17</v>
      </c>
      <c r="P177">
        <v>10</v>
      </c>
      <c r="Q177">
        <v>55</v>
      </c>
      <c r="R177" t="s">
        <v>2317</v>
      </c>
      <c r="S177" t="s">
        <v>4085</v>
      </c>
      <c r="T177" t="s">
        <v>4084</v>
      </c>
      <c r="U177" t="s">
        <v>2315</v>
      </c>
      <c r="V177">
        <v>20</v>
      </c>
      <c r="W177"/>
      <c r="X177"/>
      <c r="Y177">
        <v>60</v>
      </c>
      <c r="Z177"/>
      <c r="AA177">
        <v>22</v>
      </c>
      <c r="AB177">
        <v>17</v>
      </c>
      <c r="AC177">
        <v>21</v>
      </c>
      <c r="AD177">
        <v>12</v>
      </c>
      <c r="AE177">
        <v>16</v>
      </c>
      <c r="AF177">
        <v>17</v>
      </c>
      <c r="AG177">
        <v>74</v>
      </c>
      <c r="AH177"/>
      <c r="AI177"/>
      <c r="AJ177"/>
      <c r="AK177"/>
      <c r="AL177"/>
      <c r="AM177"/>
      <c r="AN177"/>
      <c r="AO177">
        <v>279</v>
      </c>
      <c r="AP177"/>
      <c r="AQ177"/>
      <c r="AR177"/>
      <c r="AS177"/>
      <c r="AT177"/>
      <c r="AU177"/>
      <c r="AV177"/>
      <c r="AW177"/>
      <c r="AX177"/>
      <c r="AY177" t="s">
        <v>3911</v>
      </c>
      <c r="AZ177" t="s">
        <v>4045</v>
      </c>
      <c r="BA177" t="s">
        <v>3911</v>
      </c>
      <c r="BB177" t="s">
        <v>2726</v>
      </c>
      <c r="BC177" t="s">
        <v>4044</v>
      </c>
      <c r="BD177" t="s">
        <v>2726</v>
      </c>
      <c r="BE177"/>
      <c r="BF177"/>
      <c r="BG177"/>
      <c r="BH177"/>
      <c r="BI177"/>
      <c r="BJ177"/>
      <c r="BK177"/>
      <c r="BL177"/>
      <c r="BM177"/>
      <c r="BN177"/>
      <c r="BO177"/>
      <c r="BP177" t="s">
        <v>2333</v>
      </c>
      <c r="BQ177" t="s">
        <v>4083</v>
      </c>
      <c r="BR177" t="s">
        <v>2333</v>
      </c>
      <c r="BS177" t="s">
        <v>4082</v>
      </c>
      <c r="BT177" t="s">
        <v>4081</v>
      </c>
      <c r="BU177" t="s">
        <v>4080</v>
      </c>
      <c r="BV177" t="s">
        <v>2831</v>
      </c>
      <c r="BW177" t="s">
        <v>4079</v>
      </c>
      <c r="BX177" t="s">
        <v>4078</v>
      </c>
      <c r="BY177" t="s">
        <v>4077</v>
      </c>
      <c r="BZ177" t="s">
        <v>4076</v>
      </c>
      <c r="CA177" t="s">
        <v>4075</v>
      </c>
      <c r="CB177"/>
      <c r="CC177"/>
      <c r="CD177"/>
      <c r="CE177"/>
      <c r="CF177"/>
      <c r="CG177"/>
      <c r="CH177"/>
      <c r="CI177"/>
      <c r="CJ177"/>
      <c r="CK177"/>
      <c r="CL177"/>
      <c r="CM177"/>
      <c r="CN177"/>
      <c r="CO177"/>
      <c r="CP177"/>
      <c r="CQ177"/>
      <c r="CR177"/>
      <c r="CS177"/>
      <c r="CT177"/>
      <c r="CU177"/>
      <c r="CV177"/>
      <c r="CW177"/>
      <c r="CX177" t="s">
        <v>2307</v>
      </c>
      <c r="CY177">
        <v>74</v>
      </c>
      <c r="CZ177" t="s">
        <v>2306</v>
      </c>
    </row>
    <row r="178" spans="1:104" ht="14.25">
      <c r="A178" t="s">
        <v>4074</v>
      </c>
      <c r="B178" t="s">
        <v>4073</v>
      </c>
      <c r="C178" t="s">
        <v>4072</v>
      </c>
      <c r="D178">
        <v>2</v>
      </c>
      <c r="E178" t="s">
        <v>2533</v>
      </c>
      <c r="F178" t="s">
        <v>2342</v>
      </c>
      <c r="G178" t="s">
        <v>2543</v>
      </c>
      <c r="H178"/>
      <c r="I178"/>
      <c r="J178" t="s">
        <v>1908</v>
      </c>
      <c r="K178"/>
      <c r="L178"/>
      <c r="M178">
        <v>12</v>
      </c>
      <c r="N178">
        <v>45</v>
      </c>
      <c r="O178">
        <v>6</v>
      </c>
      <c r="P178">
        <v>10</v>
      </c>
      <c r="Q178">
        <v>12</v>
      </c>
      <c r="R178" t="s">
        <v>2317</v>
      </c>
      <c r="S178" t="s">
        <v>3607</v>
      </c>
      <c r="T178" t="s">
        <v>2315</v>
      </c>
      <c r="U178" t="s">
        <v>2315</v>
      </c>
      <c r="V178">
        <v>0</v>
      </c>
      <c r="W178"/>
      <c r="X178"/>
      <c r="Y178"/>
      <c r="Z178">
        <v>40</v>
      </c>
      <c r="AA178">
        <v>18</v>
      </c>
      <c r="AB178">
        <v>13</v>
      </c>
      <c r="AC178">
        <v>15</v>
      </c>
      <c r="AD178">
        <v>1</v>
      </c>
      <c r="AE178">
        <v>10</v>
      </c>
      <c r="AF178">
        <v>4</v>
      </c>
      <c r="AG178">
        <v>330</v>
      </c>
      <c r="AH178"/>
      <c r="AI178"/>
      <c r="AJ178"/>
      <c r="AK178"/>
      <c r="AL178"/>
      <c r="AM178"/>
      <c r="AN178">
        <v>33</v>
      </c>
      <c r="AO178">
        <v>377</v>
      </c>
      <c r="AP178"/>
      <c r="AQ178"/>
      <c r="AR178"/>
      <c r="AS178"/>
      <c r="AT178"/>
      <c r="AU178"/>
      <c r="AV178"/>
      <c r="AW178"/>
      <c r="AX178"/>
      <c r="AY178" t="s">
        <v>2958</v>
      </c>
      <c r="AZ178" t="s">
        <v>4071</v>
      </c>
      <c r="BA178" t="s">
        <v>2958</v>
      </c>
      <c r="BB178" t="s">
        <v>2955</v>
      </c>
      <c r="BC178" t="s">
        <v>3366</v>
      </c>
      <c r="BD178" t="s">
        <v>2955</v>
      </c>
      <c r="BE178"/>
      <c r="BF178"/>
      <c r="BG178"/>
      <c r="BH178"/>
      <c r="BI178"/>
      <c r="BJ178"/>
      <c r="BK178"/>
      <c r="BL178"/>
      <c r="BM178"/>
      <c r="BN178"/>
      <c r="BO178"/>
      <c r="BP178" t="s">
        <v>2332</v>
      </c>
      <c r="BQ178" t="s">
        <v>3728</v>
      </c>
      <c r="BR178" t="s">
        <v>4070</v>
      </c>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t="s">
        <v>2307</v>
      </c>
      <c r="CY178">
        <v>330</v>
      </c>
      <c r="CZ178" t="s">
        <v>2306</v>
      </c>
    </row>
    <row r="179" spans="1:104" ht="14.25">
      <c r="A179" t="s">
        <v>4069</v>
      </c>
      <c r="B179" t="s">
        <v>4069</v>
      </c>
      <c r="C179" t="s">
        <v>4068</v>
      </c>
      <c r="D179">
        <v>8</v>
      </c>
      <c r="E179" t="s">
        <v>2321</v>
      </c>
      <c r="F179" t="s">
        <v>2838</v>
      </c>
      <c r="G179" t="s">
        <v>2440</v>
      </c>
      <c r="H179"/>
      <c r="I179"/>
      <c r="J179" t="s">
        <v>1908</v>
      </c>
      <c r="K179"/>
      <c r="L179"/>
      <c r="M179">
        <v>15</v>
      </c>
      <c r="N179">
        <v>172</v>
      </c>
      <c r="O179">
        <v>15</v>
      </c>
      <c r="P179">
        <v>12</v>
      </c>
      <c r="Q179">
        <v>75</v>
      </c>
      <c r="R179" t="s">
        <v>2317</v>
      </c>
      <c r="S179" t="s">
        <v>4067</v>
      </c>
      <c r="T179" t="s">
        <v>2315</v>
      </c>
      <c r="U179" t="s">
        <v>2315</v>
      </c>
      <c r="V179">
        <v>30</v>
      </c>
      <c r="W179"/>
      <c r="X179"/>
      <c r="Y179"/>
      <c r="Z179">
        <v>30</v>
      </c>
      <c r="AA179">
        <v>20</v>
      </c>
      <c r="AB179">
        <v>12</v>
      </c>
      <c r="AC179">
        <v>20</v>
      </c>
      <c r="AD179">
        <v>2</v>
      </c>
      <c r="AE179">
        <v>10</v>
      </c>
      <c r="AF179">
        <v>7</v>
      </c>
      <c r="AG179">
        <v>190</v>
      </c>
      <c r="AH179"/>
      <c r="AI179"/>
      <c r="AJ179"/>
      <c r="AK179"/>
      <c r="AL179"/>
      <c r="AM179"/>
      <c r="AN179">
        <v>33</v>
      </c>
      <c r="AO179">
        <v>326</v>
      </c>
      <c r="AP179"/>
      <c r="AQ179"/>
      <c r="AR179"/>
      <c r="AS179"/>
      <c r="AT179"/>
      <c r="AU179"/>
      <c r="AV179" t="s">
        <v>4066</v>
      </c>
      <c r="AW179"/>
      <c r="AX179"/>
      <c r="AY179" t="s">
        <v>3487</v>
      </c>
      <c r="AZ179" t="s">
        <v>4065</v>
      </c>
      <c r="BA179" t="s">
        <v>3487</v>
      </c>
      <c r="BB179" t="s">
        <v>4063</v>
      </c>
      <c r="BC179" t="s">
        <v>4064</v>
      </c>
      <c r="BD179" t="s">
        <v>4063</v>
      </c>
      <c r="BE179" t="s">
        <v>4061</v>
      </c>
      <c r="BF179" t="s">
        <v>4062</v>
      </c>
      <c r="BG179" t="s">
        <v>4061</v>
      </c>
      <c r="BH179" t="s">
        <v>4060</v>
      </c>
      <c r="BI179" t="s">
        <v>4059</v>
      </c>
      <c r="BJ179"/>
      <c r="BK179"/>
      <c r="BL179"/>
      <c r="BM179"/>
      <c r="BN179"/>
      <c r="BO179"/>
      <c r="BP179" t="s">
        <v>2333</v>
      </c>
      <c r="BQ179" t="s">
        <v>4058</v>
      </c>
      <c r="BR179" t="s">
        <v>2333</v>
      </c>
      <c r="BS179" t="s">
        <v>2332</v>
      </c>
      <c r="BT179" t="s">
        <v>4057</v>
      </c>
      <c r="BU179" t="s">
        <v>4056</v>
      </c>
      <c r="BV179"/>
      <c r="BW179"/>
      <c r="BX179"/>
      <c r="BY179"/>
      <c r="BZ179"/>
      <c r="CA179"/>
      <c r="CB179"/>
      <c r="CC179"/>
      <c r="CD179"/>
      <c r="CE179"/>
      <c r="CF179"/>
      <c r="CG179"/>
      <c r="CH179"/>
      <c r="CI179"/>
      <c r="CJ179"/>
      <c r="CK179"/>
      <c r="CL179"/>
      <c r="CM179"/>
      <c r="CN179"/>
      <c r="CO179"/>
      <c r="CP179"/>
      <c r="CQ179"/>
      <c r="CR179"/>
      <c r="CS179"/>
      <c r="CT179"/>
      <c r="CU179"/>
      <c r="CV179"/>
      <c r="CW179"/>
      <c r="CX179" t="s">
        <v>2307</v>
      </c>
      <c r="CY179">
        <v>190</v>
      </c>
      <c r="CZ179" t="s">
        <v>2306</v>
      </c>
    </row>
    <row r="180" spans="1:104" ht="14.25">
      <c r="A180" t="s">
        <v>4055</v>
      </c>
      <c r="B180" t="s">
        <v>4055</v>
      </c>
      <c r="C180" t="s">
        <v>4054</v>
      </c>
      <c r="D180">
        <v>0</v>
      </c>
      <c r="E180" t="s">
        <v>2533</v>
      </c>
      <c r="F180" t="s">
        <v>2320</v>
      </c>
      <c r="G180" t="s">
        <v>2543</v>
      </c>
      <c r="H180"/>
      <c r="I180"/>
      <c r="J180" t="s">
        <v>1908</v>
      </c>
      <c r="K180"/>
      <c r="L180"/>
      <c r="M180">
        <v>11</v>
      </c>
      <c r="N180">
        <v>5</v>
      </c>
      <c r="O180">
        <v>1</v>
      </c>
      <c r="P180">
        <v>8</v>
      </c>
      <c r="Q180">
        <v>1</v>
      </c>
      <c r="R180" t="s">
        <v>2317</v>
      </c>
      <c r="S180" t="s">
        <v>3112</v>
      </c>
      <c r="T180" t="s">
        <v>2315</v>
      </c>
      <c r="U180" t="s">
        <v>2315</v>
      </c>
      <c r="V180">
        <v>50</v>
      </c>
      <c r="W180"/>
      <c r="X180"/>
      <c r="Y180"/>
      <c r="Z180"/>
      <c r="AA180">
        <v>11</v>
      </c>
      <c r="AB180">
        <v>13</v>
      </c>
      <c r="AC180">
        <v>12</v>
      </c>
      <c r="AD180">
        <v>2</v>
      </c>
      <c r="AE180">
        <v>12</v>
      </c>
      <c r="AF180">
        <v>5</v>
      </c>
      <c r="AG180">
        <v>331</v>
      </c>
      <c r="AH180"/>
      <c r="AI180"/>
      <c r="AJ180"/>
      <c r="AK180"/>
      <c r="AL180"/>
      <c r="AM180"/>
      <c r="AN180">
        <v>33</v>
      </c>
      <c r="AO180">
        <v>377</v>
      </c>
      <c r="AP180"/>
      <c r="AQ180"/>
      <c r="AR180"/>
      <c r="AS180"/>
      <c r="AT180"/>
      <c r="AU180"/>
      <c r="AV180"/>
      <c r="AW180"/>
      <c r="AX180"/>
      <c r="AY180" t="s">
        <v>2452</v>
      </c>
      <c r="AZ180" t="s">
        <v>4053</v>
      </c>
      <c r="BA180" t="s">
        <v>2452</v>
      </c>
      <c r="BB180"/>
      <c r="BC180"/>
      <c r="BD180"/>
      <c r="BE180"/>
      <c r="BF180"/>
      <c r="BG180"/>
      <c r="BH180"/>
      <c r="BI180"/>
      <c r="BJ180"/>
      <c r="BK180"/>
      <c r="BL180"/>
      <c r="BM180"/>
      <c r="BN180"/>
      <c r="BO180"/>
      <c r="BP180" t="s">
        <v>2332</v>
      </c>
      <c r="BQ180" t="s">
        <v>4052</v>
      </c>
      <c r="BR180" t="s">
        <v>4051</v>
      </c>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t="s">
        <v>2307</v>
      </c>
      <c r="CY180">
        <v>331</v>
      </c>
      <c r="CZ180" t="s">
        <v>2306</v>
      </c>
    </row>
    <row r="181" spans="1:104" ht="14.25">
      <c r="A181" t="s">
        <v>4050</v>
      </c>
      <c r="B181" t="s">
        <v>4049</v>
      </c>
      <c r="C181" t="s">
        <v>4048</v>
      </c>
      <c r="D181">
        <v>14</v>
      </c>
      <c r="E181" t="s">
        <v>2321</v>
      </c>
      <c r="F181" t="s">
        <v>2342</v>
      </c>
      <c r="G181" t="s">
        <v>2732</v>
      </c>
      <c r="H181" t="s">
        <v>3520</v>
      </c>
      <c r="I181"/>
      <c r="J181" t="s">
        <v>2375</v>
      </c>
      <c r="K181"/>
      <c r="L181"/>
      <c r="M181">
        <v>18</v>
      </c>
      <c r="N181">
        <v>180</v>
      </c>
      <c r="O181">
        <v>19</v>
      </c>
      <c r="P181">
        <v>10</v>
      </c>
      <c r="Q181">
        <v>76</v>
      </c>
      <c r="R181" t="s">
        <v>2317</v>
      </c>
      <c r="S181" t="s">
        <v>4047</v>
      </c>
      <c r="T181" t="s">
        <v>4046</v>
      </c>
      <c r="U181" t="s">
        <v>2315</v>
      </c>
      <c r="V181">
        <v>40</v>
      </c>
      <c r="W181"/>
      <c r="X181"/>
      <c r="Y181"/>
      <c r="Z181"/>
      <c r="AA181">
        <v>21</v>
      </c>
      <c r="AB181">
        <v>14</v>
      </c>
      <c r="AC181">
        <v>18</v>
      </c>
      <c r="AD181">
        <v>18</v>
      </c>
      <c r="AE181">
        <v>15</v>
      </c>
      <c r="AF181">
        <v>18</v>
      </c>
      <c r="AG181">
        <v>75</v>
      </c>
      <c r="AH181"/>
      <c r="AI181"/>
      <c r="AJ181"/>
      <c r="AK181"/>
      <c r="AL181"/>
      <c r="AM181"/>
      <c r="AN181"/>
      <c r="AO181">
        <v>280</v>
      </c>
      <c r="AP181"/>
      <c r="AQ181"/>
      <c r="AR181"/>
      <c r="AS181"/>
      <c r="AT181"/>
      <c r="AU181"/>
      <c r="AV181"/>
      <c r="AW181"/>
      <c r="AX181"/>
      <c r="AY181" t="s">
        <v>3911</v>
      </c>
      <c r="AZ181" t="s">
        <v>4045</v>
      </c>
      <c r="BA181" t="s">
        <v>3911</v>
      </c>
      <c r="BB181" t="s">
        <v>2726</v>
      </c>
      <c r="BC181" t="s">
        <v>4044</v>
      </c>
      <c r="BD181" t="s">
        <v>2726</v>
      </c>
      <c r="BE181"/>
      <c r="BF181"/>
      <c r="BG181"/>
      <c r="BH181"/>
      <c r="BI181"/>
      <c r="BJ181"/>
      <c r="BK181"/>
      <c r="BL181"/>
      <c r="BM181"/>
      <c r="BN181"/>
      <c r="BO181"/>
      <c r="BP181" t="s">
        <v>2333</v>
      </c>
      <c r="BQ181" t="s">
        <v>4043</v>
      </c>
      <c r="BR181" t="s">
        <v>2333</v>
      </c>
      <c r="BS181" t="s">
        <v>2332</v>
      </c>
      <c r="BT181" t="s">
        <v>4042</v>
      </c>
      <c r="BU181" t="s">
        <v>4041</v>
      </c>
      <c r="BV181" t="s">
        <v>2505</v>
      </c>
      <c r="BW181" t="s">
        <v>4040</v>
      </c>
      <c r="BX181" t="s">
        <v>4039</v>
      </c>
      <c r="BY181" t="s">
        <v>2831</v>
      </c>
      <c r="BZ181" t="s">
        <v>4038</v>
      </c>
      <c r="CA181" t="s">
        <v>4037</v>
      </c>
      <c r="CB181" t="s">
        <v>4035</v>
      </c>
      <c r="CC181" t="s">
        <v>4036</v>
      </c>
      <c r="CD181" t="s">
        <v>4035</v>
      </c>
      <c r="CE181"/>
      <c r="CF181"/>
      <c r="CG181"/>
      <c r="CH181"/>
      <c r="CI181"/>
      <c r="CJ181"/>
      <c r="CK181"/>
      <c r="CL181"/>
      <c r="CM181"/>
      <c r="CN181"/>
      <c r="CO181"/>
      <c r="CP181"/>
      <c r="CQ181"/>
      <c r="CR181"/>
      <c r="CS181"/>
      <c r="CT181"/>
      <c r="CU181"/>
      <c r="CV181"/>
      <c r="CW181"/>
      <c r="CX181" t="s">
        <v>2307</v>
      </c>
      <c r="CY181">
        <v>75</v>
      </c>
      <c r="CZ181" t="s">
        <v>2306</v>
      </c>
    </row>
    <row r="182" spans="1:104" ht="14.25">
      <c r="A182" t="s">
        <v>4034</v>
      </c>
      <c r="B182" t="s">
        <v>4033</v>
      </c>
      <c r="C182" t="s">
        <v>4032</v>
      </c>
      <c r="D182">
        <v>0.5</v>
      </c>
      <c r="E182" t="s">
        <v>2321</v>
      </c>
      <c r="F182" t="s">
        <v>2497</v>
      </c>
      <c r="G182" t="s">
        <v>2479</v>
      </c>
      <c r="H182" t="s">
        <v>3060</v>
      </c>
      <c r="I182"/>
      <c r="J182" t="s">
        <v>2318</v>
      </c>
      <c r="K182"/>
      <c r="L182"/>
      <c r="M182">
        <v>11</v>
      </c>
      <c r="N182">
        <v>21</v>
      </c>
      <c r="O182">
        <v>6</v>
      </c>
      <c r="P182">
        <v>6</v>
      </c>
      <c r="Q182"/>
      <c r="R182" t="s">
        <v>2825</v>
      </c>
      <c r="S182" t="s">
        <v>3256</v>
      </c>
      <c r="T182" t="s">
        <v>4031</v>
      </c>
      <c r="U182" t="s">
        <v>2315</v>
      </c>
      <c r="V182">
        <v>30</v>
      </c>
      <c r="W182"/>
      <c r="X182"/>
      <c r="Y182">
        <v>30</v>
      </c>
      <c r="Z182"/>
      <c r="AA182">
        <v>7</v>
      </c>
      <c r="AB182">
        <v>13</v>
      </c>
      <c r="AC182">
        <v>10</v>
      </c>
      <c r="AD182">
        <v>9</v>
      </c>
      <c r="AE182">
        <v>11</v>
      </c>
      <c r="AF182">
        <v>12</v>
      </c>
      <c r="AG182">
        <v>215</v>
      </c>
      <c r="AH182"/>
      <c r="AI182"/>
      <c r="AJ182"/>
      <c r="AK182"/>
      <c r="AL182"/>
      <c r="AM182"/>
      <c r="AN182"/>
      <c r="AO182">
        <v>334</v>
      </c>
      <c r="AP182"/>
      <c r="AQ182"/>
      <c r="AR182"/>
      <c r="AS182"/>
      <c r="AT182">
        <v>20</v>
      </c>
      <c r="AU182"/>
      <c r="AV182" t="s">
        <v>4030</v>
      </c>
      <c r="AW182"/>
      <c r="AX182"/>
      <c r="AY182" t="s">
        <v>3057</v>
      </c>
      <c r="AZ182" t="s">
        <v>4029</v>
      </c>
      <c r="BA182" t="s">
        <v>3055</v>
      </c>
      <c r="BB182" t="s">
        <v>2739</v>
      </c>
      <c r="BC182" t="s">
        <v>4028</v>
      </c>
      <c r="BD182" t="s">
        <v>2739</v>
      </c>
      <c r="BE182" t="s">
        <v>3053</v>
      </c>
      <c r="BF182" t="s">
        <v>4027</v>
      </c>
      <c r="BG182" t="s">
        <v>3053</v>
      </c>
      <c r="BH182"/>
      <c r="BI182"/>
      <c r="BJ182"/>
      <c r="BK182"/>
      <c r="BL182"/>
      <c r="BM182"/>
      <c r="BN182"/>
      <c r="BO182"/>
      <c r="BP182" t="s">
        <v>2505</v>
      </c>
      <c r="BQ182" t="s">
        <v>4026</v>
      </c>
      <c r="BR182" t="s">
        <v>3847</v>
      </c>
      <c r="BS182" t="s">
        <v>4024</v>
      </c>
      <c r="BT182" t="s">
        <v>4025</v>
      </c>
      <c r="BU182" t="s">
        <v>4024</v>
      </c>
      <c r="BV182" t="s">
        <v>3047</v>
      </c>
      <c r="BW182" t="s">
        <v>3048</v>
      </c>
      <c r="BX182" t="s">
        <v>3047</v>
      </c>
      <c r="BY182"/>
      <c r="BZ182"/>
      <c r="CA182"/>
      <c r="CB182"/>
      <c r="CC182"/>
      <c r="CD182"/>
      <c r="CE182"/>
      <c r="CF182"/>
      <c r="CG182"/>
      <c r="CH182"/>
      <c r="CI182"/>
      <c r="CJ182"/>
      <c r="CK182"/>
      <c r="CL182"/>
      <c r="CM182"/>
      <c r="CN182"/>
      <c r="CO182"/>
      <c r="CP182"/>
      <c r="CQ182"/>
      <c r="CR182"/>
      <c r="CS182"/>
      <c r="CT182"/>
      <c r="CU182"/>
      <c r="CV182"/>
      <c r="CW182"/>
      <c r="CX182" t="s">
        <v>2307</v>
      </c>
      <c r="CY182">
        <v>215</v>
      </c>
      <c r="CZ182" t="s">
        <v>2306</v>
      </c>
    </row>
    <row r="183" spans="1:104" ht="14.25">
      <c r="A183" t="s">
        <v>4023</v>
      </c>
      <c r="B183" t="s">
        <v>4023</v>
      </c>
      <c r="C183" t="s">
        <v>4022</v>
      </c>
      <c r="D183">
        <v>1</v>
      </c>
      <c r="E183" t="s">
        <v>2321</v>
      </c>
      <c r="F183" t="s">
        <v>2572</v>
      </c>
      <c r="G183" t="s">
        <v>2732</v>
      </c>
      <c r="H183" t="s">
        <v>3520</v>
      </c>
      <c r="I183">
        <v>1</v>
      </c>
      <c r="J183" t="s">
        <v>2375</v>
      </c>
      <c r="K183"/>
      <c r="L183"/>
      <c r="M183">
        <v>13</v>
      </c>
      <c r="N183">
        <v>10</v>
      </c>
      <c r="O183">
        <v>3</v>
      </c>
      <c r="P183">
        <v>4</v>
      </c>
      <c r="Q183">
        <v>3</v>
      </c>
      <c r="R183" t="s">
        <v>2317</v>
      </c>
      <c r="S183" t="s">
        <v>3044</v>
      </c>
      <c r="T183" t="s">
        <v>2315</v>
      </c>
      <c r="U183" t="s">
        <v>2315</v>
      </c>
      <c r="V183">
        <v>20</v>
      </c>
      <c r="W183"/>
      <c r="X183"/>
      <c r="Y183">
        <v>40</v>
      </c>
      <c r="Z183"/>
      <c r="AA183">
        <v>6</v>
      </c>
      <c r="AB183">
        <v>17</v>
      </c>
      <c r="AC183">
        <v>13</v>
      </c>
      <c r="AD183">
        <v>11</v>
      </c>
      <c r="AE183">
        <v>12</v>
      </c>
      <c r="AF183">
        <v>14</v>
      </c>
      <c r="AG183">
        <v>76</v>
      </c>
      <c r="AH183">
        <v>306</v>
      </c>
      <c r="AI183"/>
      <c r="AJ183"/>
      <c r="AK183"/>
      <c r="AL183"/>
      <c r="AM183"/>
      <c r="AN183"/>
      <c r="AO183">
        <v>280</v>
      </c>
      <c r="AP183"/>
      <c r="AQ183"/>
      <c r="AR183"/>
      <c r="AS183" t="s">
        <v>3538</v>
      </c>
      <c r="AT183"/>
      <c r="AU183"/>
      <c r="AV183"/>
      <c r="AW183"/>
      <c r="AX183"/>
      <c r="AY183" t="s">
        <v>2608</v>
      </c>
      <c r="AZ183" t="s">
        <v>4021</v>
      </c>
      <c r="BA183" t="s">
        <v>2608</v>
      </c>
      <c r="BB183" t="s">
        <v>3911</v>
      </c>
      <c r="BC183" t="s">
        <v>4020</v>
      </c>
      <c r="BD183" t="s">
        <v>3911</v>
      </c>
      <c r="BE183" t="s">
        <v>2726</v>
      </c>
      <c r="BF183" t="s">
        <v>4019</v>
      </c>
      <c r="BG183" t="s">
        <v>2726</v>
      </c>
      <c r="BH183" t="s">
        <v>3419</v>
      </c>
      <c r="BI183" t="s">
        <v>4018</v>
      </c>
      <c r="BJ183"/>
      <c r="BK183"/>
      <c r="BL183"/>
      <c r="BM183"/>
      <c r="BN183"/>
      <c r="BO183"/>
      <c r="BP183" t="s">
        <v>4017</v>
      </c>
      <c r="BQ183" t="s">
        <v>4016</v>
      </c>
      <c r="BR183" t="s">
        <v>4015</v>
      </c>
      <c r="BS183" t="s">
        <v>2556</v>
      </c>
      <c r="BT183" t="s">
        <v>4014</v>
      </c>
      <c r="BU183" t="s">
        <v>2556</v>
      </c>
      <c r="BV183"/>
      <c r="BW183"/>
      <c r="BX183"/>
      <c r="BY183"/>
      <c r="BZ183"/>
      <c r="CA183"/>
      <c r="CB183"/>
      <c r="CC183"/>
      <c r="CD183"/>
      <c r="CE183"/>
      <c r="CF183"/>
      <c r="CG183"/>
      <c r="CH183"/>
      <c r="CI183"/>
      <c r="CJ183"/>
      <c r="CK183"/>
      <c r="CL183"/>
      <c r="CM183"/>
      <c r="CN183"/>
      <c r="CO183"/>
      <c r="CP183"/>
      <c r="CQ183"/>
      <c r="CR183"/>
      <c r="CS183"/>
      <c r="CT183"/>
      <c r="CU183"/>
      <c r="CV183"/>
      <c r="CW183"/>
      <c r="CX183" t="s">
        <v>2307</v>
      </c>
      <c r="CY183">
        <v>76</v>
      </c>
      <c r="CZ183" t="s">
        <v>2306</v>
      </c>
    </row>
    <row r="184" spans="1:104" ht="14.25">
      <c r="A184" t="s">
        <v>4013</v>
      </c>
      <c r="B184" t="s">
        <v>4012</v>
      </c>
      <c r="C184" t="s">
        <v>4011</v>
      </c>
      <c r="D184">
        <v>6</v>
      </c>
      <c r="E184" t="s">
        <v>2321</v>
      </c>
      <c r="F184" t="s">
        <v>2320</v>
      </c>
      <c r="G184" t="s">
        <v>2479</v>
      </c>
      <c r="H184"/>
      <c r="I184"/>
      <c r="J184" t="s">
        <v>1902</v>
      </c>
      <c r="K184"/>
      <c r="L184"/>
      <c r="M184">
        <v>14</v>
      </c>
      <c r="N184">
        <v>104</v>
      </c>
      <c r="O184">
        <v>16</v>
      </c>
      <c r="P184">
        <v>8</v>
      </c>
      <c r="Q184">
        <v>32</v>
      </c>
      <c r="R184" t="s">
        <v>2317</v>
      </c>
      <c r="S184" t="s">
        <v>2730</v>
      </c>
      <c r="T184" t="s">
        <v>2315</v>
      </c>
      <c r="U184" t="s">
        <v>2315</v>
      </c>
      <c r="V184">
        <v>50</v>
      </c>
      <c r="W184"/>
      <c r="X184"/>
      <c r="Y184">
        <v>50</v>
      </c>
      <c r="Z184"/>
      <c r="AA184">
        <v>16</v>
      </c>
      <c r="AB184">
        <v>19</v>
      </c>
      <c r="AC184">
        <v>14</v>
      </c>
      <c r="AD184">
        <v>10</v>
      </c>
      <c r="AE184">
        <v>15</v>
      </c>
      <c r="AF184">
        <v>11</v>
      </c>
      <c r="AG184">
        <v>192</v>
      </c>
      <c r="AH184"/>
      <c r="AI184"/>
      <c r="AJ184"/>
      <c r="AK184"/>
      <c r="AL184"/>
      <c r="AM184"/>
      <c r="AN184"/>
      <c r="AO184">
        <v>326</v>
      </c>
      <c r="AP184"/>
      <c r="AQ184"/>
      <c r="AR184"/>
      <c r="AS184"/>
      <c r="AT184">
        <v>21</v>
      </c>
      <c r="AU184"/>
      <c r="AV184" t="s">
        <v>4010</v>
      </c>
      <c r="AW184"/>
      <c r="AX184"/>
      <c r="AY184" t="s">
        <v>2556</v>
      </c>
      <c r="AZ184" t="s">
        <v>4009</v>
      </c>
      <c r="BA184" t="s">
        <v>2556</v>
      </c>
      <c r="BB184" t="s">
        <v>4007</v>
      </c>
      <c r="BC184" t="s">
        <v>4008</v>
      </c>
      <c r="BD184" t="s">
        <v>4007</v>
      </c>
      <c r="BE184"/>
      <c r="BF184"/>
      <c r="BG184"/>
      <c r="BH184"/>
      <c r="BI184"/>
      <c r="BJ184"/>
      <c r="BK184"/>
      <c r="BL184"/>
      <c r="BM184"/>
      <c r="BN184"/>
      <c r="BO184"/>
      <c r="BP184" t="s">
        <v>2333</v>
      </c>
      <c r="BQ184" t="s">
        <v>4006</v>
      </c>
      <c r="BR184" t="s">
        <v>2333</v>
      </c>
      <c r="BS184" t="s">
        <v>2310</v>
      </c>
      <c r="BT184" t="s">
        <v>4005</v>
      </c>
      <c r="BU184" t="s">
        <v>4004</v>
      </c>
      <c r="BV184"/>
      <c r="BW184"/>
      <c r="BX184"/>
      <c r="BY184"/>
      <c r="BZ184"/>
      <c r="CA184"/>
      <c r="CB184"/>
      <c r="CC184"/>
      <c r="CD184"/>
      <c r="CE184"/>
      <c r="CF184"/>
      <c r="CG184"/>
      <c r="CH184"/>
      <c r="CI184"/>
      <c r="CJ184"/>
      <c r="CK184"/>
      <c r="CL184"/>
      <c r="CM184"/>
      <c r="CN184"/>
      <c r="CO184"/>
      <c r="CP184"/>
      <c r="CQ184"/>
      <c r="CR184"/>
      <c r="CS184"/>
      <c r="CT184"/>
      <c r="CU184"/>
      <c r="CV184"/>
      <c r="CW184"/>
      <c r="CX184" t="s">
        <v>2307</v>
      </c>
      <c r="CY184">
        <v>192</v>
      </c>
      <c r="CZ184" t="s">
        <v>2306</v>
      </c>
    </row>
    <row r="185" spans="1:104" ht="14.25">
      <c r="A185" t="s">
        <v>4003</v>
      </c>
      <c r="B185" t="s">
        <v>4002</v>
      </c>
      <c r="C185" t="s">
        <v>4001</v>
      </c>
      <c r="D185">
        <v>16</v>
      </c>
      <c r="E185" t="s">
        <v>2321</v>
      </c>
      <c r="F185" t="s">
        <v>2342</v>
      </c>
      <c r="G185" t="s">
        <v>3017</v>
      </c>
      <c r="H185" t="s">
        <v>3016</v>
      </c>
      <c r="I185"/>
      <c r="J185" t="s">
        <v>1908</v>
      </c>
      <c r="K185"/>
      <c r="L185"/>
      <c r="M185">
        <v>20</v>
      </c>
      <c r="N185">
        <v>210</v>
      </c>
      <c r="O185">
        <v>20</v>
      </c>
      <c r="P185">
        <v>10</v>
      </c>
      <c r="Q185">
        <v>100</v>
      </c>
      <c r="R185" t="s">
        <v>2317</v>
      </c>
      <c r="S185" t="s">
        <v>4000</v>
      </c>
      <c r="T185" t="s">
        <v>3999</v>
      </c>
      <c r="U185" t="s">
        <v>2315</v>
      </c>
      <c r="V185">
        <v>30</v>
      </c>
      <c r="W185"/>
      <c r="X185"/>
      <c r="Y185"/>
      <c r="Z185"/>
      <c r="AA185">
        <v>24</v>
      </c>
      <c r="AB185">
        <v>9</v>
      </c>
      <c r="AC185">
        <v>20</v>
      </c>
      <c r="AD185">
        <v>3</v>
      </c>
      <c r="AE185">
        <v>11</v>
      </c>
      <c r="AF185">
        <v>1</v>
      </c>
      <c r="AG185">
        <v>170</v>
      </c>
      <c r="AH185"/>
      <c r="AI185"/>
      <c r="AJ185"/>
      <c r="AK185"/>
      <c r="AL185"/>
      <c r="AM185"/>
      <c r="AN185"/>
      <c r="AO185">
        <v>319</v>
      </c>
      <c r="AP185"/>
      <c r="AQ185"/>
      <c r="AR185"/>
      <c r="AS185"/>
      <c r="AT185"/>
      <c r="AU185"/>
      <c r="AV185"/>
      <c r="AW185"/>
      <c r="AX185"/>
      <c r="AY185" t="s">
        <v>3997</v>
      </c>
      <c r="AZ185" t="s">
        <v>3998</v>
      </c>
      <c r="BA185" t="s">
        <v>3997</v>
      </c>
      <c r="BB185" t="s">
        <v>3012</v>
      </c>
      <c r="BC185" t="s">
        <v>3013</v>
      </c>
      <c r="BD185" t="s">
        <v>3012</v>
      </c>
      <c r="BE185" t="s">
        <v>2726</v>
      </c>
      <c r="BF185" t="s">
        <v>3011</v>
      </c>
      <c r="BG185" t="s">
        <v>2726</v>
      </c>
      <c r="BH185" t="s">
        <v>2819</v>
      </c>
      <c r="BI185" t="s">
        <v>3010</v>
      </c>
      <c r="BJ185"/>
      <c r="BK185"/>
      <c r="BL185"/>
      <c r="BM185"/>
      <c r="BN185"/>
      <c r="BO185"/>
      <c r="BP185" t="s">
        <v>2333</v>
      </c>
      <c r="BQ185" t="s">
        <v>3996</v>
      </c>
      <c r="BR185" t="s">
        <v>2333</v>
      </c>
      <c r="BS185" t="s">
        <v>2310</v>
      </c>
      <c r="BT185" t="s">
        <v>3995</v>
      </c>
      <c r="BU185" t="s">
        <v>3994</v>
      </c>
      <c r="BV185" t="s">
        <v>3993</v>
      </c>
      <c r="BW185" t="s">
        <v>3992</v>
      </c>
      <c r="BX185" t="s">
        <v>3991</v>
      </c>
      <c r="BY185" t="s">
        <v>2370</v>
      </c>
      <c r="BZ185" t="s">
        <v>3990</v>
      </c>
      <c r="CA185" t="s">
        <v>3989</v>
      </c>
      <c r="CB185"/>
      <c r="CC185"/>
      <c r="CD185"/>
      <c r="CE185"/>
      <c r="CF185"/>
      <c r="CG185"/>
      <c r="CH185"/>
      <c r="CI185"/>
      <c r="CJ185"/>
      <c r="CK185"/>
      <c r="CL185"/>
      <c r="CM185"/>
      <c r="CN185"/>
      <c r="CO185"/>
      <c r="CP185"/>
      <c r="CQ185"/>
      <c r="CR185"/>
      <c r="CS185"/>
      <c r="CT185"/>
      <c r="CU185"/>
      <c r="CV185"/>
      <c r="CW185"/>
      <c r="CX185" t="s">
        <v>2307</v>
      </c>
      <c r="CY185">
        <v>170</v>
      </c>
      <c r="CZ185" t="s">
        <v>2306</v>
      </c>
    </row>
    <row r="186" spans="1:104" ht="14.25">
      <c r="A186" t="s">
        <v>3988</v>
      </c>
      <c r="B186" t="s">
        <v>3988</v>
      </c>
      <c r="C186" t="s">
        <v>3987</v>
      </c>
      <c r="D186">
        <v>0</v>
      </c>
      <c r="E186" t="s">
        <v>2533</v>
      </c>
      <c r="F186" t="s">
        <v>2497</v>
      </c>
      <c r="G186" t="s">
        <v>2543</v>
      </c>
      <c r="H186"/>
      <c r="I186"/>
      <c r="J186" t="s">
        <v>1908</v>
      </c>
      <c r="K186"/>
      <c r="L186"/>
      <c r="M186">
        <v>12</v>
      </c>
      <c r="N186">
        <v>3</v>
      </c>
      <c r="O186">
        <v>1</v>
      </c>
      <c r="P186">
        <v>6</v>
      </c>
      <c r="Q186"/>
      <c r="R186" t="s">
        <v>2317</v>
      </c>
      <c r="S186" t="s">
        <v>3986</v>
      </c>
      <c r="T186" t="s">
        <v>2315</v>
      </c>
      <c r="U186" t="s">
        <v>2315</v>
      </c>
      <c r="V186">
        <v>40</v>
      </c>
      <c r="W186"/>
      <c r="X186"/>
      <c r="Y186"/>
      <c r="Z186"/>
      <c r="AA186">
        <v>8</v>
      </c>
      <c r="AB186">
        <v>15</v>
      </c>
      <c r="AC186">
        <v>11</v>
      </c>
      <c r="AD186">
        <v>3</v>
      </c>
      <c r="AE186">
        <v>12</v>
      </c>
      <c r="AF186">
        <v>6</v>
      </c>
      <c r="AG186">
        <v>331</v>
      </c>
      <c r="AH186"/>
      <c r="AI186"/>
      <c r="AJ186"/>
      <c r="AK186"/>
      <c r="AL186"/>
      <c r="AM186"/>
      <c r="AN186">
        <v>33</v>
      </c>
      <c r="AO186">
        <v>377</v>
      </c>
      <c r="AP186"/>
      <c r="AQ186"/>
      <c r="AR186"/>
      <c r="AS186"/>
      <c r="AT186"/>
      <c r="AU186"/>
      <c r="AV186"/>
      <c r="AW186"/>
      <c r="AX186" t="s">
        <v>3985</v>
      </c>
      <c r="AY186" t="s">
        <v>2528</v>
      </c>
      <c r="AZ186" t="s">
        <v>3984</v>
      </c>
      <c r="BA186" t="s">
        <v>2528</v>
      </c>
      <c r="BB186" t="s">
        <v>2452</v>
      </c>
      <c r="BC186" t="s">
        <v>3983</v>
      </c>
      <c r="BD186" t="s">
        <v>2452</v>
      </c>
      <c r="BE186"/>
      <c r="BF186"/>
      <c r="BG186"/>
      <c r="BH186"/>
      <c r="BI186"/>
      <c r="BJ186"/>
      <c r="BK186"/>
      <c r="BL186"/>
      <c r="BM186"/>
      <c r="BN186"/>
      <c r="BO186"/>
      <c r="BP186" t="s">
        <v>2332</v>
      </c>
      <c r="BQ186" t="s">
        <v>3982</v>
      </c>
      <c r="BR186" t="s">
        <v>3981</v>
      </c>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t="s">
        <v>2307</v>
      </c>
      <c r="CY186">
        <v>331</v>
      </c>
      <c r="CZ186" t="s">
        <v>2306</v>
      </c>
    </row>
    <row r="187" spans="1:104" ht="14.25">
      <c r="A187" t="s">
        <v>3980</v>
      </c>
      <c r="B187" t="s">
        <v>3979</v>
      </c>
      <c r="C187" t="s">
        <v>3978</v>
      </c>
      <c r="D187">
        <v>3</v>
      </c>
      <c r="E187" t="s">
        <v>2533</v>
      </c>
      <c r="F187" t="s">
        <v>2838</v>
      </c>
      <c r="G187" t="s">
        <v>2543</v>
      </c>
      <c r="H187"/>
      <c r="I187"/>
      <c r="J187" t="s">
        <v>1908</v>
      </c>
      <c r="K187"/>
      <c r="L187"/>
      <c r="M187">
        <v>12</v>
      </c>
      <c r="N187">
        <v>90</v>
      </c>
      <c r="O187">
        <v>12</v>
      </c>
      <c r="P187">
        <v>12</v>
      </c>
      <c r="Q187">
        <v>12</v>
      </c>
      <c r="R187" t="s">
        <v>2317</v>
      </c>
      <c r="S187" t="s">
        <v>3977</v>
      </c>
      <c r="T187" t="s">
        <v>2315</v>
      </c>
      <c r="U187" t="s">
        <v>2315</v>
      </c>
      <c r="V187">
        <v>0</v>
      </c>
      <c r="W187"/>
      <c r="X187"/>
      <c r="Y187"/>
      <c r="Z187">
        <v>60</v>
      </c>
      <c r="AA187">
        <v>19</v>
      </c>
      <c r="AB187">
        <v>10</v>
      </c>
      <c r="AC187">
        <v>13</v>
      </c>
      <c r="AD187">
        <v>3</v>
      </c>
      <c r="AE187">
        <v>12</v>
      </c>
      <c r="AF187">
        <v>7</v>
      </c>
      <c r="AG187">
        <v>331</v>
      </c>
      <c r="AH187"/>
      <c r="AI187"/>
      <c r="AJ187"/>
      <c r="AK187"/>
      <c r="AL187"/>
      <c r="AM187"/>
      <c r="AN187">
        <v>34</v>
      </c>
      <c r="AO187">
        <v>378</v>
      </c>
      <c r="AP187"/>
      <c r="AQ187"/>
      <c r="AR187"/>
      <c r="AS187"/>
      <c r="AT187"/>
      <c r="AU187"/>
      <c r="AV187"/>
      <c r="AW187"/>
      <c r="AX187"/>
      <c r="AY187" t="s">
        <v>2984</v>
      </c>
      <c r="AZ187" t="s">
        <v>3976</v>
      </c>
      <c r="BA187" t="s">
        <v>2984</v>
      </c>
      <c r="BB187" t="s">
        <v>3487</v>
      </c>
      <c r="BC187" t="s">
        <v>3975</v>
      </c>
      <c r="BD187" t="s">
        <v>3487</v>
      </c>
      <c r="BE187" t="s">
        <v>2982</v>
      </c>
      <c r="BF187" t="s">
        <v>3974</v>
      </c>
      <c r="BG187" t="s">
        <v>2982</v>
      </c>
      <c r="BH187"/>
      <c r="BI187"/>
      <c r="BJ187"/>
      <c r="BK187"/>
      <c r="BL187"/>
      <c r="BM187"/>
      <c r="BN187"/>
      <c r="BO187"/>
      <c r="BP187" t="s">
        <v>2332</v>
      </c>
      <c r="BQ187" t="s">
        <v>3973</v>
      </c>
      <c r="BR187" t="s">
        <v>3972</v>
      </c>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t="s">
        <v>2307</v>
      </c>
      <c r="CY187">
        <v>331</v>
      </c>
      <c r="CZ187" t="s">
        <v>2306</v>
      </c>
    </row>
    <row r="188" spans="1:104" ht="14.25">
      <c r="A188" t="s">
        <v>3971</v>
      </c>
      <c r="B188" t="s">
        <v>3971</v>
      </c>
      <c r="C188" t="s">
        <v>3970</v>
      </c>
      <c r="D188">
        <v>3</v>
      </c>
      <c r="E188" t="s">
        <v>2462</v>
      </c>
      <c r="F188" t="s">
        <v>2320</v>
      </c>
      <c r="G188" t="s">
        <v>2461</v>
      </c>
      <c r="H188" t="s">
        <v>2460</v>
      </c>
      <c r="I188"/>
      <c r="J188" t="s">
        <v>2460</v>
      </c>
      <c r="K188"/>
      <c r="L188"/>
      <c r="M188">
        <v>18</v>
      </c>
      <c r="N188">
        <v>52</v>
      </c>
      <c r="O188">
        <v>8</v>
      </c>
      <c r="P188">
        <v>8</v>
      </c>
      <c r="Q188">
        <v>16</v>
      </c>
      <c r="R188" t="s">
        <v>2317</v>
      </c>
      <c r="S188" t="s">
        <v>2532</v>
      </c>
      <c r="T188" t="s">
        <v>3969</v>
      </c>
      <c r="U188" t="s">
        <v>2315</v>
      </c>
      <c r="V188">
        <v>30</v>
      </c>
      <c r="W188"/>
      <c r="X188"/>
      <c r="Y188"/>
      <c r="Z188"/>
      <c r="AA188">
        <v>16</v>
      </c>
      <c r="AB188">
        <v>11</v>
      </c>
      <c r="AC188">
        <v>14</v>
      </c>
      <c r="AD188">
        <v>11</v>
      </c>
      <c r="AE188">
        <v>11</v>
      </c>
      <c r="AF188">
        <v>15</v>
      </c>
      <c r="AG188">
        <v>347</v>
      </c>
      <c r="AH188"/>
      <c r="AI188"/>
      <c r="AJ188"/>
      <c r="AK188"/>
      <c r="AL188"/>
      <c r="AM188"/>
      <c r="AN188">
        <v>54</v>
      </c>
      <c r="AO188">
        <v>395</v>
      </c>
      <c r="AP188">
        <v>12</v>
      </c>
      <c r="AQ188">
        <v>17</v>
      </c>
      <c r="AR188"/>
      <c r="AS188" t="s">
        <v>3968</v>
      </c>
      <c r="AT188"/>
      <c r="AU188"/>
      <c r="AV188" t="s">
        <v>3967</v>
      </c>
      <c r="AW188"/>
      <c r="AX188" t="s">
        <v>3966</v>
      </c>
      <c r="AY188" t="s">
        <v>3964</v>
      </c>
      <c r="AZ188" t="s">
        <v>3965</v>
      </c>
      <c r="BA188" t="s">
        <v>3964</v>
      </c>
      <c r="BB188"/>
      <c r="BC188"/>
      <c r="BD188"/>
      <c r="BE188"/>
      <c r="BF188"/>
      <c r="BG188"/>
      <c r="BH188"/>
      <c r="BI188"/>
      <c r="BJ188"/>
      <c r="BK188"/>
      <c r="BL188"/>
      <c r="BM188"/>
      <c r="BN188"/>
      <c r="BO188"/>
      <c r="BP188" t="s">
        <v>2333</v>
      </c>
      <c r="BQ188" t="s">
        <v>3963</v>
      </c>
      <c r="BR188" t="s">
        <v>2333</v>
      </c>
      <c r="BS188" t="s">
        <v>2996</v>
      </c>
      <c r="BT188" t="s">
        <v>3218</v>
      </c>
      <c r="BU188" t="s">
        <v>3962</v>
      </c>
      <c r="BV188" t="s">
        <v>2447</v>
      </c>
      <c r="BW188" t="s">
        <v>2446</v>
      </c>
      <c r="BX188" t="s">
        <v>2445</v>
      </c>
      <c r="BY188" t="s">
        <v>3960</v>
      </c>
      <c r="BZ188" t="s">
        <v>3961</v>
      </c>
      <c r="CA188" t="s">
        <v>3960</v>
      </c>
      <c r="CB188"/>
      <c r="CC188"/>
      <c r="CD188"/>
      <c r="CE188"/>
      <c r="CF188"/>
      <c r="CG188"/>
      <c r="CH188"/>
      <c r="CI188"/>
      <c r="CJ188"/>
      <c r="CK188"/>
      <c r="CL188"/>
      <c r="CM188"/>
      <c r="CN188"/>
      <c r="CO188"/>
      <c r="CP188"/>
      <c r="CQ188"/>
      <c r="CR188"/>
      <c r="CS188"/>
      <c r="CT188"/>
      <c r="CU188"/>
      <c r="CV188" t="s">
        <v>3635</v>
      </c>
      <c r="CW188" t="s">
        <v>3959</v>
      </c>
      <c r="CX188" t="s">
        <v>2307</v>
      </c>
      <c r="CY188">
        <v>347</v>
      </c>
      <c r="CZ188" t="s">
        <v>2306</v>
      </c>
    </row>
    <row r="189" spans="1:104" ht="14.25">
      <c r="A189" t="s">
        <v>3957</v>
      </c>
      <c r="B189" t="s">
        <v>3957</v>
      </c>
      <c r="C189" t="s">
        <v>3958</v>
      </c>
      <c r="D189">
        <v>0.125</v>
      </c>
      <c r="E189" t="s">
        <v>2321</v>
      </c>
      <c r="F189" t="s">
        <v>2497</v>
      </c>
      <c r="G189" t="s">
        <v>2461</v>
      </c>
      <c r="H189" t="s">
        <v>3957</v>
      </c>
      <c r="I189"/>
      <c r="J189" t="s">
        <v>2375</v>
      </c>
      <c r="K189"/>
      <c r="L189"/>
      <c r="M189">
        <v>12</v>
      </c>
      <c r="N189">
        <v>5</v>
      </c>
      <c r="O189">
        <v>2</v>
      </c>
      <c r="P189">
        <v>6</v>
      </c>
      <c r="Q189">
        <v>-2</v>
      </c>
      <c r="R189" t="s">
        <v>2317</v>
      </c>
      <c r="S189" t="s">
        <v>2646</v>
      </c>
      <c r="T189" t="s">
        <v>2646</v>
      </c>
      <c r="U189" t="s">
        <v>2315</v>
      </c>
      <c r="V189">
        <v>30</v>
      </c>
      <c r="W189"/>
      <c r="X189"/>
      <c r="Y189"/>
      <c r="Z189"/>
      <c r="AA189">
        <v>7</v>
      </c>
      <c r="AB189">
        <v>15</v>
      </c>
      <c r="AC189">
        <v>9</v>
      </c>
      <c r="AD189">
        <v>8</v>
      </c>
      <c r="AE189">
        <v>7</v>
      </c>
      <c r="AF189">
        <v>8</v>
      </c>
      <c r="AG189">
        <v>195</v>
      </c>
      <c r="AH189"/>
      <c r="AI189"/>
      <c r="AJ189"/>
      <c r="AK189"/>
      <c r="AL189"/>
      <c r="AM189"/>
      <c r="AN189">
        <v>34</v>
      </c>
      <c r="AO189">
        <v>326</v>
      </c>
      <c r="AP189">
        <v>13</v>
      </c>
      <c r="AQ189">
        <v>18</v>
      </c>
      <c r="AR189"/>
      <c r="AS189" t="s">
        <v>3956</v>
      </c>
      <c r="AT189"/>
      <c r="AU189"/>
      <c r="AV189"/>
      <c r="AW189"/>
      <c r="AX189"/>
      <c r="AY189" t="s">
        <v>2518</v>
      </c>
      <c r="AZ189" t="s">
        <v>3955</v>
      </c>
      <c r="BA189" t="s">
        <v>2518</v>
      </c>
      <c r="BB189" t="s">
        <v>2452</v>
      </c>
      <c r="BC189" t="s">
        <v>3954</v>
      </c>
      <c r="BD189" t="s">
        <v>2452</v>
      </c>
      <c r="BE189"/>
      <c r="BF189"/>
      <c r="BG189"/>
      <c r="BH189"/>
      <c r="BI189"/>
      <c r="BJ189"/>
      <c r="BK189"/>
      <c r="BL189"/>
      <c r="BM189"/>
      <c r="BN189"/>
      <c r="BO189"/>
      <c r="BP189" t="s">
        <v>3858</v>
      </c>
      <c r="BQ189" t="s">
        <v>3448</v>
      </c>
      <c r="BR189" t="s">
        <v>3953</v>
      </c>
      <c r="BS189" t="s">
        <v>3952</v>
      </c>
      <c r="BT189" t="s">
        <v>3951</v>
      </c>
      <c r="BU189" t="s">
        <v>3950</v>
      </c>
      <c r="BV189"/>
      <c r="BW189"/>
      <c r="BX189"/>
      <c r="BY189"/>
      <c r="BZ189"/>
      <c r="CA189"/>
      <c r="CB189"/>
      <c r="CC189"/>
      <c r="CD189"/>
      <c r="CE189"/>
      <c r="CF189"/>
      <c r="CG189"/>
      <c r="CH189"/>
      <c r="CI189"/>
      <c r="CJ189"/>
      <c r="CK189"/>
      <c r="CL189"/>
      <c r="CM189"/>
      <c r="CN189"/>
      <c r="CO189"/>
      <c r="CP189"/>
      <c r="CQ189"/>
      <c r="CR189"/>
      <c r="CS189"/>
      <c r="CT189"/>
      <c r="CU189"/>
      <c r="CV189"/>
      <c r="CW189"/>
      <c r="CX189" t="s">
        <v>2307</v>
      </c>
      <c r="CY189">
        <v>195</v>
      </c>
      <c r="CZ189" t="s">
        <v>2306</v>
      </c>
    </row>
    <row r="190" spans="1:104" ht="14.25">
      <c r="A190" t="s">
        <v>3949</v>
      </c>
      <c r="B190" t="s">
        <v>3949</v>
      </c>
      <c r="C190" t="s">
        <v>3948</v>
      </c>
      <c r="D190">
        <v>23</v>
      </c>
      <c r="E190" t="s">
        <v>2321</v>
      </c>
      <c r="F190" t="s">
        <v>2930</v>
      </c>
      <c r="G190" t="s">
        <v>2440</v>
      </c>
      <c r="H190" t="s">
        <v>2929</v>
      </c>
      <c r="I190"/>
      <c r="J190" t="s">
        <v>2340</v>
      </c>
      <c r="K190"/>
      <c r="L190"/>
      <c r="M190">
        <v>18</v>
      </c>
      <c r="N190">
        <v>472</v>
      </c>
      <c r="O190">
        <v>27</v>
      </c>
      <c r="P190">
        <v>20</v>
      </c>
      <c r="Q190">
        <v>189</v>
      </c>
      <c r="R190" t="s">
        <v>2317</v>
      </c>
      <c r="S190" t="s">
        <v>3947</v>
      </c>
      <c r="T190" t="s">
        <v>3946</v>
      </c>
      <c r="U190" t="s">
        <v>2315</v>
      </c>
      <c r="V190">
        <v>20</v>
      </c>
      <c r="W190"/>
      <c r="X190"/>
      <c r="Y190">
        <v>60</v>
      </c>
      <c r="Z190"/>
      <c r="AA190">
        <v>30</v>
      </c>
      <c r="AB190">
        <v>11</v>
      </c>
      <c r="AC190">
        <v>25</v>
      </c>
      <c r="AD190">
        <v>22</v>
      </c>
      <c r="AE190">
        <v>18</v>
      </c>
      <c r="AF190">
        <v>20</v>
      </c>
      <c r="AG190">
        <v>197</v>
      </c>
      <c r="AH190"/>
      <c r="AI190"/>
      <c r="AJ190"/>
      <c r="AK190"/>
      <c r="AL190"/>
      <c r="AM190"/>
      <c r="AN190"/>
      <c r="AO190">
        <v>327</v>
      </c>
      <c r="AP190"/>
      <c r="AQ190"/>
      <c r="AR190"/>
      <c r="AS190"/>
      <c r="AT190"/>
      <c r="AU190"/>
      <c r="AV190"/>
      <c r="AW190"/>
      <c r="AX190"/>
      <c r="AY190" t="s">
        <v>2373</v>
      </c>
      <c r="AZ190" t="s">
        <v>3945</v>
      </c>
      <c r="BA190" t="s">
        <v>2373</v>
      </c>
      <c r="BB190" t="s">
        <v>3943</v>
      </c>
      <c r="BC190" t="s">
        <v>3944</v>
      </c>
      <c r="BD190" t="s">
        <v>3943</v>
      </c>
      <c r="BE190" t="s">
        <v>2888</v>
      </c>
      <c r="BF190" t="s">
        <v>3942</v>
      </c>
      <c r="BG190" t="s">
        <v>2888</v>
      </c>
      <c r="BH190"/>
      <c r="BI190"/>
      <c r="BJ190"/>
      <c r="BK190"/>
      <c r="BL190"/>
      <c r="BM190"/>
      <c r="BN190"/>
      <c r="BO190"/>
      <c r="BP190" t="s">
        <v>2333</v>
      </c>
      <c r="BQ190" t="s">
        <v>3941</v>
      </c>
      <c r="BR190" t="s">
        <v>2333</v>
      </c>
      <c r="BS190" t="s">
        <v>2332</v>
      </c>
      <c r="BT190" t="s">
        <v>3940</v>
      </c>
      <c r="BU190" t="s">
        <v>3939</v>
      </c>
      <c r="BV190" t="s">
        <v>3560</v>
      </c>
      <c r="BW190" t="s">
        <v>3938</v>
      </c>
      <c r="BX190" t="s">
        <v>3937</v>
      </c>
      <c r="BY190" t="s">
        <v>3031</v>
      </c>
      <c r="BZ190" t="s">
        <v>3936</v>
      </c>
      <c r="CA190" t="s">
        <v>3031</v>
      </c>
      <c r="CB190" t="s">
        <v>3935</v>
      </c>
      <c r="CC190" t="s">
        <v>3934</v>
      </c>
      <c r="CD190" t="s">
        <v>3933</v>
      </c>
      <c r="CE190"/>
      <c r="CF190"/>
      <c r="CG190"/>
      <c r="CH190"/>
      <c r="CI190"/>
      <c r="CJ190"/>
      <c r="CK190" t="s">
        <v>3932</v>
      </c>
      <c r="CL190" t="s">
        <v>3931</v>
      </c>
      <c r="CM190" t="s">
        <v>3930</v>
      </c>
      <c r="CN190" t="s">
        <v>3929</v>
      </c>
      <c r="CO190" t="s">
        <v>3928</v>
      </c>
      <c r="CP190" t="s">
        <v>3927</v>
      </c>
      <c r="CQ190"/>
      <c r="CR190"/>
      <c r="CS190"/>
      <c r="CT190"/>
      <c r="CU190"/>
      <c r="CV190"/>
      <c r="CW190"/>
      <c r="CX190" t="s">
        <v>2307</v>
      </c>
      <c r="CY190">
        <v>197</v>
      </c>
      <c r="CZ190" t="s">
        <v>2306</v>
      </c>
    </row>
    <row r="191" spans="1:104" ht="14.25">
      <c r="A191" t="s">
        <v>3926</v>
      </c>
      <c r="B191" t="s">
        <v>3926</v>
      </c>
      <c r="C191" t="s">
        <v>3925</v>
      </c>
      <c r="D191">
        <v>4</v>
      </c>
      <c r="E191" t="s">
        <v>2321</v>
      </c>
      <c r="F191" t="s">
        <v>2342</v>
      </c>
      <c r="G191" t="s">
        <v>2440</v>
      </c>
      <c r="H191"/>
      <c r="I191"/>
      <c r="J191" t="s">
        <v>2340</v>
      </c>
      <c r="K191"/>
      <c r="L191"/>
      <c r="M191">
        <v>13</v>
      </c>
      <c r="N191">
        <v>97</v>
      </c>
      <c r="O191">
        <v>13</v>
      </c>
      <c r="P191">
        <v>10</v>
      </c>
      <c r="Q191">
        <v>26</v>
      </c>
      <c r="R191" t="s">
        <v>2825</v>
      </c>
      <c r="S191" t="s">
        <v>3924</v>
      </c>
      <c r="T191" t="s">
        <v>3044</v>
      </c>
      <c r="U191" t="s">
        <v>2315</v>
      </c>
      <c r="V191">
        <v>30</v>
      </c>
      <c r="W191"/>
      <c r="X191"/>
      <c r="Y191"/>
      <c r="Z191"/>
      <c r="AA191">
        <v>16</v>
      </c>
      <c r="AB191">
        <v>13</v>
      </c>
      <c r="AC191">
        <v>15</v>
      </c>
      <c r="AD191">
        <v>14</v>
      </c>
      <c r="AE191">
        <v>15</v>
      </c>
      <c r="AF191">
        <v>16</v>
      </c>
      <c r="AG191">
        <v>201</v>
      </c>
      <c r="AH191"/>
      <c r="AI191"/>
      <c r="AJ191"/>
      <c r="AK191"/>
      <c r="AL191"/>
      <c r="AM191"/>
      <c r="AN191"/>
      <c r="AO191">
        <v>328</v>
      </c>
      <c r="AP191"/>
      <c r="AQ191"/>
      <c r="AR191"/>
      <c r="AS191"/>
      <c r="AT191"/>
      <c r="AU191"/>
      <c r="AV191"/>
      <c r="AW191"/>
      <c r="AX191"/>
      <c r="AY191" t="s">
        <v>2488</v>
      </c>
      <c r="AZ191" t="s">
        <v>3923</v>
      </c>
      <c r="BA191" t="s">
        <v>2488</v>
      </c>
      <c r="BB191"/>
      <c r="BC191"/>
      <c r="BD191"/>
      <c r="BE191"/>
      <c r="BF191"/>
      <c r="BG191"/>
      <c r="BH191"/>
      <c r="BI191"/>
      <c r="BJ191"/>
      <c r="BK191"/>
      <c r="BL191"/>
      <c r="BM191"/>
      <c r="BN191"/>
      <c r="BO191"/>
      <c r="BP191" t="s">
        <v>2333</v>
      </c>
      <c r="BQ191" t="s">
        <v>3922</v>
      </c>
      <c r="BR191" t="s">
        <v>2333</v>
      </c>
      <c r="BS191" t="s">
        <v>2505</v>
      </c>
      <c r="BT191" t="s">
        <v>3921</v>
      </c>
      <c r="BU191" t="s">
        <v>3920</v>
      </c>
      <c r="BV191" t="s">
        <v>3858</v>
      </c>
      <c r="BW191" t="s">
        <v>3919</v>
      </c>
      <c r="BX191" t="s">
        <v>3918</v>
      </c>
      <c r="BY191" t="s">
        <v>3916</v>
      </c>
      <c r="BZ191" t="s">
        <v>3917</v>
      </c>
      <c r="CA191" t="s">
        <v>3916</v>
      </c>
      <c r="CB191"/>
      <c r="CC191"/>
      <c r="CD191"/>
      <c r="CE191"/>
      <c r="CF191"/>
      <c r="CG191"/>
      <c r="CH191"/>
      <c r="CI191"/>
      <c r="CJ191"/>
      <c r="CK191"/>
      <c r="CL191"/>
      <c r="CM191"/>
      <c r="CN191"/>
      <c r="CO191"/>
      <c r="CP191"/>
      <c r="CQ191"/>
      <c r="CR191"/>
      <c r="CS191"/>
      <c r="CT191"/>
      <c r="CU191"/>
      <c r="CV191"/>
      <c r="CW191"/>
      <c r="CX191" t="s">
        <v>2307</v>
      </c>
      <c r="CY191">
        <v>201</v>
      </c>
      <c r="CZ191" t="s">
        <v>2306</v>
      </c>
    </row>
    <row r="192" spans="1:104" ht="14.25">
      <c r="A192" t="s">
        <v>3915</v>
      </c>
      <c r="B192" t="s">
        <v>3915</v>
      </c>
      <c r="C192" t="s">
        <v>3914</v>
      </c>
      <c r="D192">
        <v>0</v>
      </c>
      <c r="E192" t="s">
        <v>2321</v>
      </c>
      <c r="F192" t="s">
        <v>2320</v>
      </c>
      <c r="G192" t="s">
        <v>2732</v>
      </c>
      <c r="H192" t="s">
        <v>3520</v>
      </c>
      <c r="I192"/>
      <c r="J192" t="s">
        <v>2375</v>
      </c>
      <c r="K192"/>
      <c r="L192"/>
      <c r="M192">
        <v>7</v>
      </c>
      <c r="N192">
        <v>13</v>
      </c>
      <c r="O192">
        <v>3</v>
      </c>
      <c r="P192">
        <v>8</v>
      </c>
      <c r="Q192"/>
      <c r="R192" t="s">
        <v>2317</v>
      </c>
      <c r="S192" t="s">
        <v>2711</v>
      </c>
      <c r="T192" t="s">
        <v>2315</v>
      </c>
      <c r="U192" t="s">
        <v>2315</v>
      </c>
      <c r="V192">
        <v>15</v>
      </c>
      <c r="W192"/>
      <c r="X192"/>
      <c r="Y192"/>
      <c r="Z192"/>
      <c r="AA192">
        <v>10</v>
      </c>
      <c r="AB192">
        <v>5</v>
      </c>
      <c r="AC192">
        <v>11</v>
      </c>
      <c r="AD192">
        <v>1</v>
      </c>
      <c r="AE192">
        <v>11</v>
      </c>
      <c r="AF192">
        <v>3</v>
      </c>
      <c r="AG192">
        <v>76</v>
      </c>
      <c r="AH192"/>
      <c r="AI192"/>
      <c r="AJ192"/>
      <c r="AK192"/>
      <c r="AL192"/>
      <c r="AM192"/>
      <c r="AN192"/>
      <c r="AO192">
        <v>281</v>
      </c>
      <c r="AP192"/>
      <c r="AQ192"/>
      <c r="AR192"/>
      <c r="AS192" t="s">
        <v>3913</v>
      </c>
      <c r="AT192"/>
      <c r="AU192"/>
      <c r="AV192"/>
      <c r="AW192"/>
      <c r="AX192"/>
      <c r="AY192" t="s">
        <v>3911</v>
      </c>
      <c r="AZ192" t="s">
        <v>3912</v>
      </c>
      <c r="BA192" t="s">
        <v>3911</v>
      </c>
      <c r="BB192" t="s">
        <v>3909</v>
      </c>
      <c r="BC192" t="s">
        <v>3910</v>
      </c>
      <c r="BD192" t="s">
        <v>3909</v>
      </c>
      <c r="BE192"/>
      <c r="BF192"/>
      <c r="BG192"/>
      <c r="BH192"/>
      <c r="BI192"/>
      <c r="BJ192"/>
      <c r="BK192"/>
      <c r="BL192"/>
      <c r="BM192"/>
      <c r="BN192"/>
      <c r="BO192"/>
      <c r="BP192" t="s">
        <v>3174</v>
      </c>
      <c r="BQ192" t="s">
        <v>3908</v>
      </c>
      <c r="BR192" t="s">
        <v>3907</v>
      </c>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t="s">
        <v>2307</v>
      </c>
      <c r="CY192">
        <v>76</v>
      </c>
      <c r="CZ192" t="s">
        <v>2306</v>
      </c>
    </row>
    <row r="193" spans="1:104" ht="14.25">
      <c r="A193" t="s">
        <v>3906</v>
      </c>
      <c r="B193" t="s">
        <v>3906</v>
      </c>
      <c r="C193" t="s">
        <v>3905</v>
      </c>
      <c r="D193">
        <v>21</v>
      </c>
      <c r="E193" t="s">
        <v>2321</v>
      </c>
      <c r="F193" t="s">
        <v>2320</v>
      </c>
      <c r="G193" t="s">
        <v>2319</v>
      </c>
      <c r="H193"/>
      <c r="I193"/>
      <c r="J193" t="s">
        <v>3904</v>
      </c>
      <c r="K193">
        <v>18</v>
      </c>
      <c r="L193" t="s">
        <v>1901</v>
      </c>
      <c r="M193">
        <v>17</v>
      </c>
      <c r="N193">
        <v>135</v>
      </c>
      <c r="O193">
        <v>18</v>
      </c>
      <c r="P193">
        <v>8</v>
      </c>
      <c r="Q193">
        <v>54</v>
      </c>
      <c r="R193" t="s">
        <v>2825</v>
      </c>
      <c r="S193" t="s">
        <v>3903</v>
      </c>
      <c r="T193" t="s">
        <v>2315</v>
      </c>
      <c r="U193" t="s">
        <v>2315</v>
      </c>
      <c r="V193">
        <v>30</v>
      </c>
      <c r="W193"/>
      <c r="X193"/>
      <c r="Y193"/>
      <c r="Z193"/>
      <c r="AA193">
        <v>11</v>
      </c>
      <c r="AB193">
        <v>16</v>
      </c>
      <c r="AC193">
        <v>16</v>
      </c>
      <c r="AD193">
        <v>20</v>
      </c>
      <c r="AE193">
        <v>14</v>
      </c>
      <c r="AF193">
        <v>16</v>
      </c>
      <c r="AG193">
        <v>202</v>
      </c>
      <c r="AH193"/>
      <c r="AI193"/>
      <c r="AJ193"/>
      <c r="AK193"/>
      <c r="AL193"/>
      <c r="AM193"/>
      <c r="AN193"/>
      <c r="AO193">
        <v>328</v>
      </c>
      <c r="AP193"/>
      <c r="AQ193"/>
      <c r="AR193"/>
      <c r="AS193"/>
      <c r="AT193">
        <v>23</v>
      </c>
      <c r="AU193"/>
      <c r="AV193"/>
      <c r="AW193"/>
      <c r="AX193"/>
      <c r="AY193" t="s">
        <v>2798</v>
      </c>
      <c r="AZ193" t="s">
        <v>3902</v>
      </c>
      <c r="BA193" t="s">
        <v>2798</v>
      </c>
      <c r="BB193" t="s">
        <v>3090</v>
      </c>
      <c r="BC193" t="s">
        <v>3901</v>
      </c>
      <c r="BD193" t="s">
        <v>3090</v>
      </c>
      <c r="BE193" t="s">
        <v>3088</v>
      </c>
      <c r="BF193" t="s">
        <v>3900</v>
      </c>
      <c r="BG193" t="s">
        <v>3088</v>
      </c>
      <c r="BH193" t="s">
        <v>3899</v>
      </c>
      <c r="BI193" t="s">
        <v>3898</v>
      </c>
      <c r="BJ193"/>
      <c r="BK193"/>
      <c r="BL193"/>
      <c r="BM193"/>
      <c r="BN193"/>
      <c r="BO193"/>
      <c r="BP193" t="s">
        <v>3897</v>
      </c>
      <c r="BQ193" t="s">
        <v>3896</v>
      </c>
      <c r="BR193" t="s">
        <v>3895</v>
      </c>
      <c r="BS193"/>
      <c r="BT193"/>
      <c r="BU193"/>
      <c r="BV193"/>
      <c r="BW193"/>
      <c r="BX193"/>
      <c r="BY193"/>
      <c r="BZ193"/>
      <c r="CA193"/>
      <c r="CB193"/>
      <c r="CC193"/>
      <c r="CD193"/>
      <c r="CE193"/>
      <c r="CF193"/>
      <c r="CG193"/>
      <c r="CH193"/>
      <c r="CI193"/>
      <c r="CJ193"/>
      <c r="CK193" t="s">
        <v>3894</v>
      </c>
      <c r="CL193" t="s">
        <v>3893</v>
      </c>
      <c r="CM193" t="s">
        <v>3892</v>
      </c>
      <c r="CN193" t="s">
        <v>3891</v>
      </c>
      <c r="CO193" t="s">
        <v>3890</v>
      </c>
      <c r="CP193" t="s">
        <v>3889</v>
      </c>
      <c r="CQ193" t="s">
        <v>3888</v>
      </c>
      <c r="CR193" t="s">
        <v>3887</v>
      </c>
      <c r="CS193" t="s">
        <v>3886</v>
      </c>
      <c r="CT193"/>
      <c r="CU193"/>
      <c r="CV193"/>
      <c r="CW193"/>
      <c r="CX193" t="s">
        <v>2307</v>
      </c>
      <c r="CY193">
        <v>202</v>
      </c>
      <c r="CZ193" t="s">
        <v>2306</v>
      </c>
    </row>
    <row r="194" spans="1:104" ht="14.25">
      <c r="A194" t="s">
        <v>3885</v>
      </c>
      <c r="B194" t="s">
        <v>3885</v>
      </c>
      <c r="C194" t="s">
        <v>3884</v>
      </c>
      <c r="D194">
        <v>1</v>
      </c>
      <c r="E194" t="s">
        <v>2533</v>
      </c>
      <c r="F194" t="s">
        <v>2342</v>
      </c>
      <c r="G194" t="s">
        <v>2543</v>
      </c>
      <c r="H194"/>
      <c r="I194"/>
      <c r="J194" t="s">
        <v>1908</v>
      </c>
      <c r="K194"/>
      <c r="L194"/>
      <c r="M194">
        <v>12</v>
      </c>
      <c r="N194">
        <v>26</v>
      </c>
      <c r="O194">
        <v>4</v>
      </c>
      <c r="P194">
        <v>10</v>
      </c>
      <c r="Q194">
        <v>4</v>
      </c>
      <c r="R194" t="s">
        <v>2317</v>
      </c>
      <c r="S194" t="s">
        <v>2630</v>
      </c>
      <c r="T194" t="s">
        <v>2758</v>
      </c>
      <c r="U194" t="s">
        <v>2315</v>
      </c>
      <c r="V194">
        <v>50</v>
      </c>
      <c r="W194"/>
      <c r="X194"/>
      <c r="Y194"/>
      <c r="Z194"/>
      <c r="AA194">
        <v>17</v>
      </c>
      <c r="AB194">
        <v>15</v>
      </c>
      <c r="AC194">
        <v>13</v>
      </c>
      <c r="AD194">
        <v>3</v>
      </c>
      <c r="AE194">
        <v>12</v>
      </c>
      <c r="AF194">
        <v>8</v>
      </c>
      <c r="AG194">
        <v>331</v>
      </c>
      <c r="AH194">
        <v>307</v>
      </c>
      <c r="AI194"/>
      <c r="AJ194"/>
      <c r="AK194"/>
      <c r="AL194"/>
      <c r="AM194"/>
      <c r="AN194">
        <v>34</v>
      </c>
      <c r="AO194">
        <v>378</v>
      </c>
      <c r="AP194"/>
      <c r="AQ194"/>
      <c r="AR194"/>
      <c r="AS194"/>
      <c r="AT194"/>
      <c r="AU194"/>
      <c r="AV194" t="s">
        <v>3883</v>
      </c>
      <c r="AW194"/>
      <c r="AX194" t="s">
        <v>3793</v>
      </c>
      <c r="AY194" t="s">
        <v>2434</v>
      </c>
      <c r="AZ194" t="s">
        <v>3882</v>
      </c>
      <c r="BA194" t="s">
        <v>2434</v>
      </c>
      <c r="BB194" t="s">
        <v>2452</v>
      </c>
      <c r="BC194" t="s">
        <v>3881</v>
      </c>
      <c r="BD194" t="s">
        <v>2452</v>
      </c>
      <c r="BE194" t="s">
        <v>2897</v>
      </c>
      <c r="BF194" t="s">
        <v>3880</v>
      </c>
      <c r="BG194" t="s">
        <v>2897</v>
      </c>
      <c r="BH194" t="s">
        <v>3879</v>
      </c>
      <c r="BI194" t="s">
        <v>3878</v>
      </c>
      <c r="BJ194"/>
      <c r="BK194"/>
      <c r="BL194"/>
      <c r="BM194"/>
      <c r="BN194"/>
      <c r="BO194"/>
      <c r="BP194" t="s">
        <v>2332</v>
      </c>
      <c r="BQ194" t="s">
        <v>3818</v>
      </c>
      <c r="BR194" t="s">
        <v>3817</v>
      </c>
      <c r="BS194" t="s">
        <v>2329</v>
      </c>
      <c r="BT194" t="s">
        <v>2617</v>
      </c>
      <c r="BU194" t="s">
        <v>3816</v>
      </c>
      <c r="BV194"/>
      <c r="BW194"/>
      <c r="BX194"/>
      <c r="BY194"/>
      <c r="BZ194"/>
      <c r="CA194"/>
      <c r="CB194"/>
      <c r="CC194"/>
      <c r="CD194"/>
      <c r="CE194"/>
      <c r="CF194"/>
      <c r="CG194"/>
      <c r="CH194"/>
      <c r="CI194"/>
      <c r="CJ194"/>
      <c r="CK194"/>
      <c r="CL194"/>
      <c r="CM194"/>
      <c r="CN194"/>
      <c r="CO194"/>
      <c r="CP194"/>
      <c r="CQ194"/>
      <c r="CR194"/>
      <c r="CS194"/>
      <c r="CT194"/>
      <c r="CU194"/>
      <c r="CV194"/>
      <c r="CW194"/>
      <c r="CX194" t="s">
        <v>2307</v>
      </c>
      <c r="CY194">
        <v>331</v>
      </c>
      <c r="CZ194" t="s">
        <v>2306</v>
      </c>
    </row>
    <row r="195" spans="1:104" ht="14.25">
      <c r="A195" t="s">
        <v>3877</v>
      </c>
      <c r="B195" t="s">
        <v>3877</v>
      </c>
      <c r="C195" t="s">
        <v>3876</v>
      </c>
      <c r="D195">
        <v>0</v>
      </c>
      <c r="E195" t="s">
        <v>2533</v>
      </c>
      <c r="F195" t="s">
        <v>2572</v>
      </c>
      <c r="G195" t="s">
        <v>2543</v>
      </c>
      <c r="H195"/>
      <c r="I195"/>
      <c r="J195" t="s">
        <v>1908</v>
      </c>
      <c r="K195"/>
      <c r="L195"/>
      <c r="M195">
        <v>10</v>
      </c>
      <c r="N195">
        <v>2</v>
      </c>
      <c r="O195">
        <v>1</v>
      </c>
      <c r="P195">
        <v>4</v>
      </c>
      <c r="Q195"/>
      <c r="R195" t="s">
        <v>2317</v>
      </c>
      <c r="S195" t="s">
        <v>2679</v>
      </c>
      <c r="T195" t="s">
        <v>2315</v>
      </c>
      <c r="U195" t="s">
        <v>2315</v>
      </c>
      <c r="V195">
        <v>20</v>
      </c>
      <c r="W195"/>
      <c r="X195">
        <v>20</v>
      </c>
      <c r="Y195"/>
      <c r="Z195"/>
      <c r="AA195">
        <v>2</v>
      </c>
      <c r="AB195">
        <v>11</v>
      </c>
      <c r="AC195">
        <v>10</v>
      </c>
      <c r="AD195">
        <v>1</v>
      </c>
      <c r="AE195">
        <v>8</v>
      </c>
      <c r="AF195">
        <v>3</v>
      </c>
      <c r="AG195">
        <v>332</v>
      </c>
      <c r="AH195"/>
      <c r="AI195"/>
      <c r="AJ195"/>
      <c r="AK195"/>
      <c r="AL195"/>
      <c r="AM195"/>
      <c r="AN195">
        <v>34</v>
      </c>
      <c r="AO195">
        <v>378</v>
      </c>
      <c r="AP195"/>
      <c r="AQ195"/>
      <c r="AR195"/>
      <c r="AS195"/>
      <c r="AT195"/>
      <c r="AU195"/>
      <c r="AV195"/>
      <c r="AW195"/>
      <c r="AX195"/>
      <c r="AY195"/>
      <c r="AZ195"/>
      <c r="BA195"/>
      <c r="BB195"/>
      <c r="BC195"/>
      <c r="BD195"/>
      <c r="BE195"/>
      <c r="BF195"/>
      <c r="BG195"/>
      <c r="BH195"/>
      <c r="BI195"/>
      <c r="BJ195"/>
      <c r="BK195"/>
      <c r="BL195"/>
      <c r="BM195"/>
      <c r="BN195"/>
      <c r="BO195"/>
      <c r="BP195" t="s">
        <v>2332</v>
      </c>
      <c r="BQ195" t="s">
        <v>3385</v>
      </c>
      <c r="BR195" t="s">
        <v>3384</v>
      </c>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t="s">
        <v>2307</v>
      </c>
      <c r="CY195">
        <v>332</v>
      </c>
      <c r="CZ195" t="s">
        <v>2306</v>
      </c>
    </row>
    <row r="196" spans="1:104" ht="14.25">
      <c r="A196" t="s">
        <v>3874</v>
      </c>
      <c r="B196" t="s">
        <v>3874</v>
      </c>
      <c r="C196" t="s">
        <v>3875</v>
      </c>
      <c r="D196">
        <v>0.5</v>
      </c>
      <c r="E196" t="s">
        <v>2321</v>
      </c>
      <c r="F196" t="s">
        <v>2320</v>
      </c>
      <c r="G196" t="s">
        <v>2461</v>
      </c>
      <c r="H196" t="s">
        <v>3874</v>
      </c>
      <c r="I196"/>
      <c r="J196" t="s">
        <v>1902</v>
      </c>
      <c r="K196"/>
      <c r="L196"/>
      <c r="M196">
        <v>15</v>
      </c>
      <c r="N196">
        <v>22</v>
      </c>
      <c r="O196">
        <v>4</v>
      </c>
      <c r="P196">
        <v>8</v>
      </c>
      <c r="Q196">
        <v>4</v>
      </c>
      <c r="R196" t="s">
        <v>2317</v>
      </c>
      <c r="S196" t="s">
        <v>2458</v>
      </c>
      <c r="T196" t="s">
        <v>2458</v>
      </c>
      <c r="U196" t="s">
        <v>2315</v>
      </c>
      <c r="V196">
        <v>30</v>
      </c>
      <c r="W196"/>
      <c r="X196"/>
      <c r="Y196"/>
      <c r="Z196">
        <v>30</v>
      </c>
      <c r="AA196">
        <v>15</v>
      </c>
      <c r="AB196">
        <v>10</v>
      </c>
      <c r="AC196">
        <v>13</v>
      </c>
      <c r="AD196">
        <v>7</v>
      </c>
      <c r="AE196">
        <v>12</v>
      </c>
      <c r="AF196">
        <v>7</v>
      </c>
      <c r="AG196">
        <v>204</v>
      </c>
      <c r="AH196"/>
      <c r="AI196"/>
      <c r="AJ196"/>
      <c r="AK196"/>
      <c r="AL196"/>
      <c r="AM196"/>
      <c r="AN196">
        <v>35</v>
      </c>
      <c r="AO196">
        <v>329</v>
      </c>
      <c r="AP196">
        <v>13</v>
      </c>
      <c r="AQ196">
        <v>18</v>
      </c>
      <c r="AR196"/>
      <c r="AS196" t="s">
        <v>3873</v>
      </c>
      <c r="AT196"/>
      <c r="AU196"/>
      <c r="AV196" t="s">
        <v>3872</v>
      </c>
      <c r="AW196"/>
      <c r="AX196"/>
      <c r="AY196" t="s">
        <v>3487</v>
      </c>
      <c r="AZ196" t="s">
        <v>3871</v>
      </c>
      <c r="BA196" t="s">
        <v>3487</v>
      </c>
      <c r="BB196"/>
      <c r="BC196"/>
      <c r="BD196"/>
      <c r="BE196"/>
      <c r="BF196"/>
      <c r="BG196"/>
      <c r="BH196"/>
      <c r="BI196"/>
      <c r="BJ196"/>
      <c r="BK196"/>
      <c r="BL196"/>
      <c r="BM196"/>
      <c r="BN196"/>
      <c r="BO196"/>
      <c r="BP196" t="s">
        <v>2333</v>
      </c>
      <c r="BQ196" t="s">
        <v>3870</v>
      </c>
      <c r="BR196" t="s">
        <v>2333</v>
      </c>
      <c r="BS196" t="s">
        <v>2332</v>
      </c>
      <c r="BT196" t="s">
        <v>2638</v>
      </c>
      <c r="BU196" t="s">
        <v>3535</v>
      </c>
      <c r="BV196" t="s">
        <v>3869</v>
      </c>
      <c r="BW196" t="s">
        <v>3868</v>
      </c>
      <c r="BX196" t="s">
        <v>3867</v>
      </c>
      <c r="BY196" t="s">
        <v>3572</v>
      </c>
      <c r="BZ196" t="s">
        <v>3866</v>
      </c>
      <c r="CA196" t="s">
        <v>3865</v>
      </c>
      <c r="CB196" t="s">
        <v>3864</v>
      </c>
      <c r="CC196" t="s">
        <v>2638</v>
      </c>
      <c r="CD196" t="s">
        <v>3863</v>
      </c>
      <c r="CE196"/>
      <c r="CF196"/>
      <c r="CG196"/>
      <c r="CH196"/>
      <c r="CI196"/>
      <c r="CJ196"/>
      <c r="CK196"/>
      <c r="CL196"/>
      <c r="CM196"/>
      <c r="CN196"/>
      <c r="CO196"/>
      <c r="CP196"/>
      <c r="CQ196"/>
      <c r="CR196"/>
      <c r="CS196"/>
      <c r="CT196"/>
      <c r="CU196"/>
      <c r="CV196"/>
      <c r="CW196"/>
      <c r="CX196" t="s">
        <v>2307</v>
      </c>
      <c r="CY196">
        <v>204</v>
      </c>
      <c r="CZ196" t="s">
        <v>2306</v>
      </c>
    </row>
    <row r="197" spans="1:104" ht="14.25">
      <c r="A197" t="s">
        <v>922</v>
      </c>
      <c r="B197" t="s">
        <v>922</v>
      </c>
      <c r="C197" t="s">
        <v>3862</v>
      </c>
      <c r="D197">
        <v>6</v>
      </c>
      <c r="E197" t="s">
        <v>2462</v>
      </c>
      <c r="F197" t="s">
        <v>2320</v>
      </c>
      <c r="G197" t="s">
        <v>2461</v>
      </c>
      <c r="H197" t="s">
        <v>2460</v>
      </c>
      <c r="I197"/>
      <c r="J197" t="s">
        <v>2460</v>
      </c>
      <c r="K197">
        <v>9</v>
      </c>
      <c r="L197" t="s">
        <v>1901</v>
      </c>
      <c r="M197">
        <v>12</v>
      </c>
      <c r="N197">
        <v>40</v>
      </c>
      <c r="O197">
        <v>9</v>
      </c>
      <c r="P197">
        <v>8</v>
      </c>
      <c r="Q197"/>
      <c r="R197" t="s">
        <v>2825</v>
      </c>
      <c r="S197" t="s">
        <v>3787</v>
      </c>
      <c r="T197" t="s">
        <v>2315</v>
      </c>
      <c r="U197" t="s">
        <v>2315</v>
      </c>
      <c r="V197">
        <v>30</v>
      </c>
      <c r="W197"/>
      <c r="X197"/>
      <c r="Y197"/>
      <c r="Z197"/>
      <c r="AA197">
        <v>9</v>
      </c>
      <c r="AB197">
        <v>14</v>
      </c>
      <c r="AC197">
        <v>11</v>
      </c>
      <c r="AD197">
        <v>17</v>
      </c>
      <c r="AE197">
        <v>12</v>
      </c>
      <c r="AF197">
        <v>11</v>
      </c>
      <c r="AG197">
        <v>347</v>
      </c>
      <c r="AH197"/>
      <c r="AI197"/>
      <c r="AJ197"/>
      <c r="AK197"/>
      <c r="AL197"/>
      <c r="AM197"/>
      <c r="AN197">
        <v>55</v>
      </c>
      <c r="AO197">
        <v>395</v>
      </c>
      <c r="AP197">
        <v>13</v>
      </c>
      <c r="AQ197">
        <v>18</v>
      </c>
      <c r="AR197"/>
      <c r="AS197" t="s">
        <v>3861</v>
      </c>
      <c r="AT197"/>
      <c r="AU197"/>
      <c r="AV197"/>
      <c r="AW197"/>
      <c r="AX197" t="s">
        <v>3860</v>
      </c>
      <c r="AY197" t="s">
        <v>3088</v>
      </c>
      <c r="AZ197" t="s">
        <v>3859</v>
      </c>
      <c r="BA197" t="s">
        <v>3088</v>
      </c>
      <c r="BB197"/>
      <c r="BC197"/>
      <c r="BD197"/>
      <c r="BE197"/>
      <c r="BF197"/>
      <c r="BG197"/>
      <c r="BH197"/>
      <c r="BI197"/>
      <c r="BJ197"/>
      <c r="BK197"/>
      <c r="BL197"/>
      <c r="BM197"/>
      <c r="BN197"/>
      <c r="BO197"/>
      <c r="BP197" t="s">
        <v>3858</v>
      </c>
      <c r="BQ197" t="s">
        <v>3857</v>
      </c>
      <c r="BR197" t="s">
        <v>3856</v>
      </c>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t="s">
        <v>2307</v>
      </c>
      <c r="CY197">
        <v>347</v>
      </c>
      <c r="CZ197" t="s">
        <v>2306</v>
      </c>
    </row>
    <row r="198" spans="1:104" ht="14.25">
      <c r="A198" t="s">
        <v>3855</v>
      </c>
      <c r="B198" t="s">
        <v>3854</v>
      </c>
      <c r="C198" t="s">
        <v>3853</v>
      </c>
      <c r="D198">
        <v>0.5</v>
      </c>
      <c r="E198" t="s">
        <v>2321</v>
      </c>
      <c r="F198" t="s">
        <v>2497</v>
      </c>
      <c r="G198" t="s">
        <v>2479</v>
      </c>
      <c r="H198" t="s">
        <v>3060</v>
      </c>
      <c r="I198"/>
      <c r="J198" t="s">
        <v>2318</v>
      </c>
      <c r="K198"/>
      <c r="L198"/>
      <c r="M198">
        <v>11</v>
      </c>
      <c r="N198">
        <v>22</v>
      </c>
      <c r="O198">
        <v>5</v>
      </c>
      <c r="P198">
        <v>6</v>
      </c>
      <c r="Q198">
        <v>5</v>
      </c>
      <c r="R198" t="s">
        <v>2825</v>
      </c>
      <c r="S198" t="s">
        <v>3256</v>
      </c>
      <c r="T198" t="s">
        <v>2315</v>
      </c>
      <c r="U198" t="s">
        <v>2315</v>
      </c>
      <c r="V198">
        <v>30</v>
      </c>
      <c r="W198"/>
      <c r="X198"/>
      <c r="Y198">
        <v>30</v>
      </c>
      <c r="Z198"/>
      <c r="AA198">
        <v>8</v>
      </c>
      <c r="AB198">
        <v>12</v>
      </c>
      <c r="AC198">
        <v>12</v>
      </c>
      <c r="AD198">
        <v>7</v>
      </c>
      <c r="AE198">
        <v>10</v>
      </c>
      <c r="AF198">
        <v>10</v>
      </c>
      <c r="AG198">
        <v>216</v>
      </c>
      <c r="AH198"/>
      <c r="AI198"/>
      <c r="AJ198"/>
      <c r="AK198"/>
      <c r="AL198"/>
      <c r="AM198"/>
      <c r="AN198"/>
      <c r="AO198">
        <v>334</v>
      </c>
      <c r="AP198"/>
      <c r="AQ198"/>
      <c r="AR198"/>
      <c r="AS198"/>
      <c r="AT198">
        <v>25</v>
      </c>
      <c r="AU198"/>
      <c r="AV198" t="s">
        <v>3852</v>
      </c>
      <c r="AW198"/>
      <c r="AX198"/>
      <c r="AY198" t="s">
        <v>3057</v>
      </c>
      <c r="AZ198" t="s">
        <v>3851</v>
      </c>
      <c r="BA198" t="s">
        <v>3839</v>
      </c>
      <c r="BB198" t="s">
        <v>2739</v>
      </c>
      <c r="BC198" t="s">
        <v>3850</v>
      </c>
      <c r="BD198" t="s">
        <v>2739</v>
      </c>
      <c r="BE198" t="s">
        <v>3053</v>
      </c>
      <c r="BF198" t="s">
        <v>3849</v>
      </c>
      <c r="BG198" t="s">
        <v>3053</v>
      </c>
      <c r="BH198"/>
      <c r="BI198"/>
      <c r="BJ198"/>
      <c r="BK198"/>
      <c r="BL198"/>
      <c r="BM198"/>
      <c r="BN198"/>
      <c r="BO198"/>
      <c r="BP198" t="s">
        <v>2505</v>
      </c>
      <c r="BQ198" t="s">
        <v>3848</v>
      </c>
      <c r="BR198" t="s">
        <v>3847</v>
      </c>
      <c r="BS198" t="s">
        <v>3845</v>
      </c>
      <c r="BT198" t="s">
        <v>3846</v>
      </c>
      <c r="BU198" t="s">
        <v>3845</v>
      </c>
      <c r="BV198" t="s">
        <v>3047</v>
      </c>
      <c r="BW198" t="s">
        <v>3048</v>
      </c>
      <c r="BX198" t="s">
        <v>3047</v>
      </c>
      <c r="BY198"/>
      <c r="BZ198"/>
      <c r="CA198"/>
      <c r="CB198"/>
      <c r="CC198"/>
      <c r="CD198"/>
      <c r="CE198"/>
      <c r="CF198"/>
      <c r="CG198"/>
      <c r="CH198"/>
      <c r="CI198"/>
      <c r="CJ198"/>
      <c r="CK198"/>
      <c r="CL198"/>
      <c r="CM198"/>
      <c r="CN198"/>
      <c r="CO198"/>
      <c r="CP198"/>
      <c r="CQ198"/>
      <c r="CR198"/>
      <c r="CS198"/>
      <c r="CT198"/>
      <c r="CU198"/>
      <c r="CV198"/>
      <c r="CW198"/>
      <c r="CX198" t="s">
        <v>2307</v>
      </c>
      <c r="CY198">
        <v>216</v>
      </c>
      <c r="CZ198" t="s">
        <v>2306</v>
      </c>
    </row>
    <row r="199" spans="1:104" ht="14.25">
      <c r="A199" t="s">
        <v>3844</v>
      </c>
      <c r="B199" t="s">
        <v>3844</v>
      </c>
      <c r="C199" t="s">
        <v>3843</v>
      </c>
      <c r="D199">
        <v>0.5</v>
      </c>
      <c r="E199" t="s">
        <v>2321</v>
      </c>
      <c r="F199" t="s">
        <v>2497</v>
      </c>
      <c r="G199" t="s">
        <v>2479</v>
      </c>
      <c r="H199"/>
      <c r="I199"/>
      <c r="J199" t="s">
        <v>3257</v>
      </c>
      <c r="K199"/>
      <c r="L199"/>
      <c r="M199">
        <v>14</v>
      </c>
      <c r="N199">
        <v>9</v>
      </c>
      <c r="O199">
        <v>2</v>
      </c>
      <c r="P199">
        <v>6</v>
      </c>
      <c r="Q199">
        <v>2</v>
      </c>
      <c r="R199" t="s">
        <v>2317</v>
      </c>
      <c r="S199" t="s">
        <v>3842</v>
      </c>
      <c r="T199" t="s">
        <v>2315</v>
      </c>
      <c r="U199" t="s">
        <v>2315</v>
      </c>
      <c r="V199">
        <v>30</v>
      </c>
      <c r="W199"/>
      <c r="X199"/>
      <c r="Y199"/>
      <c r="Z199"/>
      <c r="AA199">
        <v>7</v>
      </c>
      <c r="AB199">
        <v>15</v>
      </c>
      <c r="AC199">
        <v>12</v>
      </c>
      <c r="AD199">
        <v>8</v>
      </c>
      <c r="AE199">
        <v>11</v>
      </c>
      <c r="AF199">
        <v>10</v>
      </c>
      <c r="AG199">
        <v>212</v>
      </c>
      <c r="AH199"/>
      <c r="AI199"/>
      <c r="AJ199"/>
      <c r="AK199"/>
      <c r="AL199"/>
      <c r="AM199"/>
      <c r="AN199"/>
      <c r="AO199">
        <v>332</v>
      </c>
      <c r="AP199"/>
      <c r="AQ199"/>
      <c r="AR199"/>
      <c r="AS199"/>
      <c r="AT199">
        <v>25</v>
      </c>
      <c r="AU199"/>
      <c r="AV199" t="s">
        <v>3841</v>
      </c>
      <c r="AW199"/>
      <c r="AX199"/>
      <c r="AY199" t="s">
        <v>3057</v>
      </c>
      <c r="AZ199" t="s">
        <v>3840</v>
      </c>
      <c r="BA199" t="s">
        <v>3839</v>
      </c>
      <c r="BB199" t="s">
        <v>3837</v>
      </c>
      <c r="BC199" t="s">
        <v>3838</v>
      </c>
      <c r="BD199" t="s">
        <v>3837</v>
      </c>
      <c r="BE199"/>
      <c r="BF199"/>
      <c r="BG199"/>
      <c r="BH199"/>
      <c r="BI199"/>
      <c r="BJ199"/>
      <c r="BK199"/>
      <c r="BL199"/>
      <c r="BM199"/>
      <c r="BN199"/>
      <c r="BO199"/>
      <c r="BP199" t="s">
        <v>3836</v>
      </c>
      <c r="BQ199" t="s">
        <v>3835</v>
      </c>
      <c r="BR199" t="s">
        <v>3834</v>
      </c>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t="s">
        <v>2307</v>
      </c>
      <c r="CY199">
        <v>212</v>
      </c>
      <c r="CZ199" t="s">
        <v>2306</v>
      </c>
    </row>
    <row r="200" spans="1:104" ht="14.25">
      <c r="A200" t="s">
        <v>3833</v>
      </c>
      <c r="B200" t="s">
        <v>3833</v>
      </c>
      <c r="C200" t="s">
        <v>3832</v>
      </c>
      <c r="D200">
        <v>6</v>
      </c>
      <c r="E200" t="s">
        <v>2533</v>
      </c>
      <c r="F200" t="s">
        <v>2838</v>
      </c>
      <c r="G200" t="s">
        <v>2543</v>
      </c>
      <c r="H200"/>
      <c r="I200"/>
      <c r="J200" t="s">
        <v>1908</v>
      </c>
      <c r="K200"/>
      <c r="L200"/>
      <c r="M200">
        <v>13</v>
      </c>
      <c r="N200">
        <v>126</v>
      </c>
      <c r="O200">
        <v>11</v>
      </c>
      <c r="P200">
        <v>12</v>
      </c>
      <c r="Q200">
        <v>55</v>
      </c>
      <c r="R200" t="s">
        <v>2317</v>
      </c>
      <c r="S200" t="s">
        <v>3831</v>
      </c>
      <c r="T200" t="s">
        <v>3830</v>
      </c>
      <c r="U200" t="s">
        <v>2315</v>
      </c>
      <c r="V200">
        <v>40</v>
      </c>
      <c r="W200"/>
      <c r="X200"/>
      <c r="Y200"/>
      <c r="Z200"/>
      <c r="AA200">
        <v>24</v>
      </c>
      <c r="AB200">
        <v>9</v>
      </c>
      <c r="AC200">
        <v>21</v>
      </c>
      <c r="AD200">
        <v>3</v>
      </c>
      <c r="AE200">
        <v>11</v>
      </c>
      <c r="AF200">
        <v>6</v>
      </c>
      <c r="AG200">
        <v>332</v>
      </c>
      <c r="AH200"/>
      <c r="AI200"/>
      <c r="AJ200"/>
      <c r="AK200"/>
      <c r="AL200"/>
      <c r="AM200"/>
      <c r="AN200">
        <v>35</v>
      </c>
      <c r="AO200">
        <v>379</v>
      </c>
      <c r="AP200"/>
      <c r="AQ200"/>
      <c r="AR200"/>
      <c r="AS200"/>
      <c r="AT200"/>
      <c r="AU200"/>
      <c r="AV200"/>
      <c r="AW200"/>
      <c r="AX200"/>
      <c r="AY200" t="s">
        <v>2701</v>
      </c>
      <c r="AZ200" t="s">
        <v>3829</v>
      </c>
      <c r="BA200" t="s">
        <v>2701</v>
      </c>
      <c r="BB200"/>
      <c r="BC200"/>
      <c r="BD200"/>
      <c r="BE200"/>
      <c r="BF200"/>
      <c r="BG200"/>
      <c r="BH200"/>
      <c r="BI200"/>
      <c r="BJ200"/>
      <c r="BK200"/>
      <c r="BL200"/>
      <c r="BM200"/>
      <c r="BN200"/>
      <c r="BO200"/>
      <c r="BP200" t="s">
        <v>2866</v>
      </c>
      <c r="BQ200" t="s">
        <v>3828</v>
      </c>
      <c r="BR200" t="s">
        <v>3827</v>
      </c>
      <c r="BS200" t="s">
        <v>2863</v>
      </c>
      <c r="BT200" t="s">
        <v>3826</v>
      </c>
      <c r="BU200" t="s">
        <v>3825</v>
      </c>
      <c r="BV200"/>
      <c r="BW200"/>
      <c r="BX200"/>
      <c r="BY200"/>
      <c r="BZ200"/>
      <c r="CA200"/>
      <c r="CB200"/>
      <c r="CC200"/>
      <c r="CD200"/>
      <c r="CE200"/>
      <c r="CF200"/>
      <c r="CG200"/>
      <c r="CH200"/>
      <c r="CI200"/>
      <c r="CJ200"/>
      <c r="CK200"/>
      <c r="CL200"/>
      <c r="CM200"/>
      <c r="CN200"/>
      <c r="CO200"/>
      <c r="CP200"/>
      <c r="CQ200"/>
      <c r="CR200"/>
      <c r="CS200"/>
      <c r="CT200"/>
      <c r="CU200"/>
      <c r="CV200"/>
      <c r="CW200"/>
      <c r="CX200" t="s">
        <v>2307</v>
      </c>
      <c r="CY200">
        <v>332</v>
      </c>
      <c r="CZ200" t="s">
        <v>2306</v>
      </c>
    </row>
    <row r="201" spans="1:104" ht="14.25">
      <c r="A201" t="s">
        <v>3824</v>
      </c>
      <c r="B201" t="s">
        <v>3824</v>
      </c>
      <c r="C201" t="s">
        <v>3823</v>
      </c>
      <c r="D201">
        <v>3</v>
      </c>
      <c r="E201" t="s">
        <v>2321</v>
      </c>
      <c r="F201" t="s">
        <v>2342</v>
      </c>
      <c r="G201" t="s">
        <v>2440</v>
      </c>
      <c r="H201"/>
      <c r="I201"/>
      <c r="J201" t="s">
        <v>2375</v>
      </c>
      <c r="K201"/>
      <c r="L201"/>
      <c r="M201">
        <v>14</v>
      </c>
      <c r="N201">
        <v>68</v>
      </c>
      <c r="O201">
        <v>8</v>
      </c>
      <c r="P201">
        <v>10</v>
      </c>
      <c r="Q201">
        <v>24</v>
      </c>
      <c r="R201" t="s">
        <v>2317</v>
      </c>
      <c r="S201" t="s">
        <v>2630</v>
      </c>
      <c r="T201" t="s">
        <v>2758</v>
      </c>
      <c r="U201" t="s">
        <v>2315</v>
      </c>
      <c r="V201">
        <v>30</v>
      </c>
      <c r="W201"/>
      <c r="X201"/>
      <c r="Y201">
        <v>50</v>
      </c>
      <c r="Z201"/>
      <c r="AA201">
        <v>17</v>
      </c>
      <c r="AB201">
        <v>16</v>
      </c>
      <c r="AC201">
        <v>17</v>
      </c>
      <c r="AD201">
        <v>7</v>
      </c>
      <c r="AE201">
        <v>12</v>
      </c>
      <c r="AF201">
        <v>8</v>
      </c>
      <c r="AG201">
        <v>213</v>
      </c>
      <c r="AH201"/>
      <c r="AI201"/>
      <c r="AJ201"/>
      <c r="AK201"/>
      <c r="AL201"/>
      <c r="AM201"/>
      <c r="AN201">
        <v>35</v>
      </c>
      <c r="AO201">
        <v>332</v>
      </c>
      <c r="AP201"/>
      <c r="AQ201"/>
      <c r="AR201"/>
      <c r="AS201"/>
      <c r="AT201"/>
      <c r="AU201"/>
      <c r="AV201" t="s">
        <v>3822</v>
      </c>
      <c r="AW201"/>
      <c r="AX201"/>
      <c r="AY201" t="s">
        <v>3820</v>
      </c>
      <c r="AZ201" t="s">
        <v>3821</v>
      </c>
      <c r="BA201" t="s">
        <v>3820</v>
      </c>
      <c r="BB201"/>
      <c r="BC201"/>
      <c r="BD201"/>
      <c r="BE201"/>
      <c r="BF201"/>
      <c r="BG201"/>
      <c r="BH201"/>
      <c r="BI201"/>
      <c r="BJ201"/>
      <c r="BK201"/>
      <c r="BL201"/>
      <c r="BM201"/>
      <c r="BN201"/>
      <c r="BO201"/>
      <c r="BP201" t="s">
        <v>2333</v>
      </c>
      <c r="BQ201" t="s">
        <v>3819</v>
      </c>
      <c r="BR201" t="s">
        <v>2333</v>
      </c>
      <c r="BS201" t="s">
        <v>2332</v>
      </c>
      <c r="BT201" t="s">
        <v>3818</v>
      </c>
      <c r="BU201" t="s">
        <v>3817</v>
      </c>
      <c r="BV201" t="s">
        <v>2329</v>
      </c>
      <c r="BW201" t="s">
        <v>2617</v>
      </c>
      <c r="BX201" t="s">
        <v>3816</v>
      </c>
      <c r="BY201" t="s">
        <v>3815</v>
      </c>
      <c r="BZ201" t="s">
        <v>3814</v>
      </c>
      <c r="CA201" t="s">
        <v>3813</v>
      </c>
      <c r="CB201"/>
      <c r="CC201"/>
      <c r="CD201"/>
      <c r="CE201"/>
      <c r="CF201"/>
      <c r="CG201"/>
      <c r="CH201"/>
      <c r="CI201"/>
      <c r="CJ201"/>
      <c r="CK201"/>
      <c r="CL201"/>
      <c r="CM201"/>
      <c r="CN201"/>
      <c r="CO201"/>
      <c r="CP201"/>
      <c r="CQ201"/>
      <c r="CR201"/>
      <c r="CS201"/>
      <c r="CT201"/>
      <c r="CU201"/>
      <c r="CV201"/>
      <c r="CW201"/>
      <c r="CX201" t="s">
        <v>2307</v>
      </c>
      <c r="CY201">
        <v>213</v>
      </c>
      <c r="CZ201" t="s">
        <v>2306</v>
      </c>
    </row>
    <row r="202" spans="1:104" ht="14.25">
      <c r="A202" t="s">
        <v>3812</v>
      </c>
      <c r="B202" t="s">
        <v>3812</v>
      </c>
      <c r="C202" t="s">
        <v>3811</v>
      </c>
      <c r="D202">
        <v>16</v>
      </c>
      <c r="E202" t="s">
        <v>2321</v>
      </c>
      <c r="F202" t="s">
        <v>2342</v>
      </c>
      <c r="G202" t="s">
        <v>2732</v>
      </c>
      <c r="H202" t="s">
        <v>2731</v>
      </c>
      <c r="I202"/>
      <c r="J202" t="s">
        <v>2340</v>
      </c>
      <c r="K202"/>
      <c r="L202"/>
      <c r="M202">
        <v>18</v>
      </c>
      <c r="N202">
        <v>189</v>
      </c>
      <c r="O202">
        <v>18</v>
      </c>
      <c r="P202">
        <v>10</v>
      </c>
      <c r="Q202">
        <v>90</v>
      </c>
      <c r="R202" t="s">
        <v>2317</v>
      </c>
      <c r="S202" t="s">
        <v>3810</v>
      </c>
      <c r="T202" t="s">
        <v>3809</v>
      </c>
      <c r="U202" t="s">
        <v>2315</v>
      </c>
      <c r="V202">
        <v>40</v>
      </c>
      <c r="W202"/>
      <c r="X202"/>
      <c r="Y202"/>
      <c r="Z202"/>
      <c r="AA202">
        <v>18</v>
      </c>
      <c r="AB202">
        <v>20</v>
      </c>
      <c r="AC202">
        <v>20</v>
      </c>
      <c r="AD202">
        <v>18</v>
      </c>
      <c r="AE202">
        <v>16</v>
      </c>
      <c r="AF202">
        <v>20</v>
      </c>
      <c r="AG202">
        <v>61</v>
      </c>
      <c r="AH202"/>
      <c r="AI202"/>
      <c r="AJ202"/>
      <c r="AK202"/>
      <c r="AL202"/>
      <c r="AM202"/>
      <c r="AN202"/>
      <c r="AO202">
        <v>275</v>
      </c>
      <c r="AP202"/>
      <c r="AQ202"/>
      <c r="AR202"/>
      <c r="AS202"/>
      <c r="AT202"/>
      <c r="AU202"/>
      <c r="AV202"/>
      <c r="AW202"/>
      <c r="AX202"/>
      <c r="AY202" t="s">
        <v>2726</v>
      </c>
      <c r="AZ202" t="s">
        <v>3808</v>
      </c>
      <c r="BA202" t="s">
        <v>2726</v>
      </c>
      <c r="BB202" t="s">
        <v>2819</v>
      </c>
      <c r="BC202" t="s">
        <v>3807</v>
      </c>
      <c r="BD202" t="s">
        <v>2819</v>
      </c>
      <c r="BE202" t="s">
        <v>3805</v>
      </c>
      <c r="BF202" t="s">
        <v>3806</v>
      </c>
      <c r="BG202" t="s">
        <v>3805</v>
      </c>
      <c r="BH202"/>
      <c r="BI202"/>
      <c r="BJ202"/>
      <c r="BK202"/>
      <c r="BL202"/>
      <c r="BM202"/>
      <c r="BN202"/>
      <c r="BO202"/>
      <c r="BP202" t="s">
        <v>2333</v>
      </c>
      <c r="BQ202" t="s">
        <v>3804</v>
      </c>
      <c r="BR202" t="s">
        <v>2333</v>
      </c>
      <c r="BS202" t="s">
        <v>2580</v>
      </c>
      <c r="BT202" t="s">
        <v>3803</v>
      </c>
      <c r="BU202" t="s">
        <v>3802</v>
      </c>
      <c r="BV202" t="s">
        <v>2831</v>
      </c>
      <c r="BW202" t="s">
        <v>3801</v>
      </c>
      <c r="BX202" t="s">
        <v>3800</v>
      </c>
      <c r="BY202" t="s">
        <v>3120</v>
      </c>
      <c r="BZ202" t="s">
        <v>3799</v>
      </c>
      <c r="CA202" t="s">
        <v>3120</v>
      </c>
      <c r="CB202" t="s">
        <v>2714</v>
      </c>
      <c r="CC202" t="s">
        <v>3798</v>
      </c>
      <c r="CD202" t="s">
        <v>2714</v>
      </c>
      <c r="CE202"/>
      <c r="CF202"/>
      <c r="CG202"/>
      <c r="CH202"/>
      <c r="CI202"/>
      <c r="CJ202"/>
      <c r="CK202"/>
      <c r="CL202"/>
      <c r="CM202"/>
      <c r="CN202"/>
      <c r="CO202"/>
      <c r="CP202"/>
      <c r="CQ202"/>
      <c r="CR202"/>
      <c r="CS202"/>
      <c r="CT202"/>
      <c r="CU202"/>
      <c r="CV202" t="s">
        <v>3635</v>
      </c>
      <c r="CW202" t="s">
        <v>3797</v>
      </c>
      <c r="CX202" t="s">
        <v>2307</v>
      </c>
      <c r="CY202">
        <v>61</v>
      </c>
      <c r="CZ202" t="s">
        <v>2306</v>
      </c>
    </row>
    <row r="203" spans="1:104" ht="14.25">
      <c r="A203" t="s">
        <v>3796</v>
      </c>
      <c r="B203" t="s">
        <v>3796</v>
      </c>
      <c r="C203" t="s">
        <v>3795</v>
      </c>
      <c r="D203">
        <v>0.125</v>
      </c>
      <c r="E203" t="s">
        <v>2533</v>
      </c>
      <c r="F203" t="s">
        <v>2320</v>
      </c>
      <c r="G203" t="s">
        <v>2543</v>
      </c>
      <c r="H203"/>
      <c r="I203"/>
      <c r="J203" t="s">
        <v>1908</v>
      </c>
      <c r="K203"/>
      <c r="L203"/>
      <c r="M203">
        <v>12</v>
      </c>
      <c r="N203">
        <v>5</v>
      </c>
      <c r="O203">
        <v>1</v>
      </c>
      <c r="P203">
        <v>8</v>
      </c>
      <c r="Q203">
        <v>1</v>
      </c>
      <c r="R203" t="s">
        <v>2317</v>
      </c>
      <c r="S203" t="s">
        <v>2316</v>
      </c>
      <c r="T203" t="s">
        <v>2315</v>
      </c>
      <c r="U203" t="s">
        <v>2315</v>
      </c>
      <c r="V203">
        <v>40</v>
      </c>
      <c r="W203"/>
      <c r="X203"/>
      <c r="Y203"/>
      <c r="Z203"/>
      <c r="AA203">
        <v>13</v>
      </c>
      <c r="AB203">
        <v>14</v>
      </c>
      <c r="AC203">
        <v>12</v>
      </c>
      <c r="AD203">
        <v>3</v>
      </c>
      <c r="AE203">
        <v>12</v>
      </c>
      <c r="AF203">
        <v>7</v>
      </c>
      <c r="AG203">
        <v>332</v>
      </c>
      <c r="AH203">
        <v>307</v>
      </c>
      <c r="AI203"/>
      <c r="AJ203"/>
      <c r="AK203"/>
      <c r="AL203"/>
      <c r="AM203"/>
      <c r="AN203">
        <v>35</v>
      </c>
      <c r="AO203">
        <v>379</v>
      </c>
      <c r="AP203"/>
      <c r="AQ203"/>
      <c r="AR203"/>
      <c r="AS203"/>
      <c r="AT203"/>
      <c r="AU203"/>
      <c r="AV203" t="s">
        <v>3794</v>
      </c>
      <c r="AW203"/>
      <c r="AX203" t="s">
        <v>3793</v>
      </c>
      <c r="AY203" t="s">
        <v>2528</v>
      </c>
      <c r="AZ203" t="s">
        <v>3792</v>
      </c>
      <c r="BA203" t="s">
        <v>2528</v>
      </c>
      <c r="BB203"/>
      <c r="BC203"/>
      <c r="BD203"/>
      <c r="BE203"/>
      <c r="BF203"/>
      <c r="BG203"/>
      <c r="BH203"/>
      <c r="BI203"/>
      <c r="BJ203"/>
      <c r="BK203"/>
      <c r="BL203"/>
      <c r="BM203"/>
      <c r="BN203"/>
      <c r="BO203"/>
      <c r="BP203" t="s">
        <v>2332</v>
      </c>
      <c r="BQ203" t="s">
        <v>3791</v>
      </c>
      <c r="BR203" t="s">
        <v>3790</v>
      </c>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t="s">
        <v>2307</v>
      </c>
      <c r="CY203">
        <v>332</v>
      </c>
      <c r="CZ203" t="s">
        <v>2306</v>
      </c>
    </row>
    <row r="204" spans="1:104" ht="14.25">
      <c r="A204" t="s">
        <v>3789</v>
      </c>
      <c r="B204" t="s">
        <v>3789</v>
      </c>
      <c r="C204" t="s">
        <v>3788</v>
      </c>
      <c r="D204">
        <v>6</v>
      </c>
      <c r="E204" t="s">
        <v>2321</v>
      </c>
      <c r="F204" t="s">
        <v>2320</v>
      </c>
      <c r="G204" t="s">
        <v>2440</v>
      </c>
      <c r="H204"/>
      <c r="I204"/>
      <c r="J204" t="s">
        <v>2375</v>
      </c>
      <c r="K204"/>
      <c r="L204"/>
      <c r="M204">
        <v>15</v>
      </c>
      <c r="N204">
        <v>127</v>
      </c>
      <c r="O204">
        <v>17</v>
      </c>
      <c r="P204">
        <v>8</v>
      </c>
      <c r="Q204">
        <v>51</v>
      </c>
      <c r="R204" t="s">
        <v>2317</v>
      </c>
      <c r="S204" t="s">
        <v>3787</v>
      </c>
      <c r="T204" t="s">
        <v>3786</v>
      </c>
      <c r="U204" t="s">
        <v>3785</v>
      </c>
      <c r="V204">
        <v>30</v>
      </c>
      <c r="W204"/>
      <c r="X204"/>
      <c r="Y204"/>
      <c r="Z204"/>
      <c r="AA204">
        <v>10</v>
      </c>
      <c r="AB204">
        <v>15</v>
      </c>
      <c r="AC204">
        <v>16</v>
      </c>
      <c r="AD204">
        <v>12</v>
      </c>
      <c r="AE204">
        <v>13</v>
      </c>
      <c r="AF204">
        <v>15</v>
      </c>
      <c r="AG204">
        <v>214</v>
      </c>
      <c r="AH204"/>
      <c r="AI204"/>
      <c r="AJ204"/>
      <c r="AK204"/>
      <c r="AL204"/>
      <c r="AM204"/>
      <c r="AN204">
        <v>36</v>
      </c>
      <c r="AO204">
        <v>333</v>
      </c>
      <c r="AP204"/>
      <c r="AQ204"/>
      <c r="AR204"/>
      <c r="AS204"/>
      <c r="AT204"/>
      <c r="AU204"/>
      <c r="AV204" t="s">
        <v>3648</v>
      </c>
      <c r="AW204"/>
      <c r="AX204"/>
      <c r="AY204" t="s">
        <v>3783</v>
      </c>
      <c r="AZ204" t="s">
        <v>3784</v>
      </c>
      <c r="BA204" t="s">
        <v>3783</v>
      </c>
      <c r="BB204"/>
      <c r="BC204"/>
      <c r="BD204"/>
      <c r="BE204"/>
      <c r="BF204"/>
      <c r="BG204"/>
      <c r="BH204"/>
      <c r="BI204"/>
      <c r="BJ204"/>
      <c r="BK204"/>
      <c r="BL204"/>
      <c r="BM204"/>
      <c r="BN204"/>
      <c r="BO204"/>
      <c r="BP204" t="s">
        <v>2333</v>
      </c>
      <c r="BQ204" t="s">
        <v>3782</v>
      </c>
      <c r="BR204" t="s">
        <v>2333</v>
      </c>
      <c r="BS204" t="s">
        <v>3781</v>
      </c>
      <c r="BT204" t="s">
        <v>3780</v>
      </c>
      <c r="BU204" t="s">
        <v>3779</v>
      </c>
      <c r="BV204" t="s">
        <v>2751</v>
      </c>
      <c r="BW204" t="s">
        <v>3778</v>
      </c>
      <c r="BX204" t="s">
        <v>3777</v>
      </c>
      <c r="BY204" t="s">
        <v>2577</v>
      </c>
      <c r="BZ204" t="s">
        <v>3776</v>
      </c>
      <c r="CA204" t="s">
        <v>3775</v>
      </c>
      <c r="CB204"/>
      <c r="CC204"/>
      <c r="CD204"/>
      <c r="CE204"/>
      <c r="CF204"/>
      <c r="CG204"/>
      <c r="CH204"/>
      <c r="CI204"/>
      <c r="CJ204"/>
      <c r="CK204"/>
      <c r="CL204"/>
      <c r="CM204"/>
      <c r="CN204"/>
      <c r="CO204"/>
      <c r="CP204"/>
      <c r="CQ204"/>
      <c r="CR204"/>
      <c r="CS204"/>
      <c r="CT204"/>
      <c r="CU204"/>
      <c r="CV204"/>
      <c r="CW204"/>
      <c r="CX204" t="s">
        <v>2307</v>
      </c>
      <c r="CY204">
        <v>214</v>
      </c>
      <c r="CZ204" t="s">
        <v>2306</v>
      </c>
    </row>
    <row r="205" spans="1:104" ht="14.25">
      <c r="A205" t="s">
        <v>3773</v>
      </c>
      <c r="B205" t="s">
        <v>3773</v>
      </c>
      <c r="C205" t="s">
        <v>3774</v>
      </c>
      <c r="D205">
        <v>0.125</v>
      </c>
      <c r="E205" t="s">
        <v>2321</v>
      </c>
      <c r="F205" t="s">
        <v>2320</v>
      </c>
      <c r="G205" t="s">
        <v>2461</v>
      </c>
      <c r="H205" t="s">
        <v>3773</v>
      </c>
      <c r="I205"/>
      <c r="J205" t="s">
        <v>1902</v>
      </c>
      <c r="K205"/>
      <c r="L205"/>
      <c r="M205">
        <v>11</v>
      </c>
      <c r="N205">
        <v>11</v>
      </c>
      <c r="O205">
        <v>2</v>
      </c>
      <c r="P205">
        <v>8</v>
      </c>
      <c r="Q205">
        <v>2</v>
      </c>
      <c r="R205" t="s">
        <v>2317</v>
      </c>
      <c r="S205" t="s">
        <v>2742</v>
      </c>
      <c r="T205" t="s">
        <v>2315</v>
      </c>
      <c r="U205" t="s">
        <v>2315</v>
      </c>
      <c r="V205">
        <v>10</v>
      </c>
      <c r="W205"/>
      <c r="X205"/>
      <c r="Y205"/>
      <c r="Z205">
        <v>40</v>
      </c>
      <c r="AA205">
        <v>10</v>
      </c>
      <c r="AB205">
        <v>13</v>
      </c>
      <c r="AC205">
        <v>12</v>
      </c>
      <c r="AD205">
        <v>11</v>
      </c>
      <c r="AE205">
        <v>11</v>
      </c>
      <c r="AF205">
        <v>12</v>
      </c>
      <c r="AG205">
        <v>218</v>
      </c>
      <c r="AH205"/>
      <c r="AI205"/>
      <c r="AJ205"/>
      <c r="AK205"/>
      <c r="AL205"/>
      <c r="AM205"/>
      <c r="AN205">
        <v>36</v>
      </c>
      <c r="AO205">
        <v>335</v>
      </c>
      <c r="AP205"/>
      <c r="AQ205"/>
      <c r="AR205"/>
      <c r="AS205"/>
      <c r="AT205"/>
      <c r="AU205"/>
      <c r="AV205"/>
      <c r="AW205"/>
      <c r="AX205"/>
      <c r="AY205" t="s">
        <v>2373</v>
      </c>
      <c r="AZ205" t="s">
        <v>3772</v>
      </c>
      <c r="BA205" t="s">
        <v>2373</v>
      </c>
      <c r="BB205"/>
      <c r="BC205"/>
      <c r="BD205"/>
      <c r="BE205"/>
      <c r="BF205"/>
      <c r="BG205"/>
      <c r="BH205"/>
      <c r="BI205"/>
      <c r="BJ205"/>
      <c r="BK205"/>
      <c r="BL205"/>
      <c r="BM205"/>
      <c r="BN205"/>
      <c r="BO205"/>
      <c r="BP205" t="s">
        <v>2255</v>
      </c>
      <c r="BQ205" t="s">
        <v>3771</v>
      </c>
      <c r="BR205" t="s">
        <v>3770</v>
      </c>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t="s">
        <v>2307</v>
      </c>
      <c r="CY205">
        <v>218</v>
      </c>
      <c r="CZ205" t="s">
        <v>2306</v>
      </c>
    </row>
    <row r="206" spans="1:104" ht="14.25">
      <c r="A206" t="s">
        <v>3769</v>
      </c>
      <c r="B206" t="s">
        <v>3769</v>
      </c>
      <c r="C206" t="s">
        <v>3768</v>
      </c>
      <c r="D206">
        <v>2</v>
      </c>
      <c r="E206" t="s">
        <v>2321</v>
      </c>
      <c r="F206" t="s">
        <v>2342</v>
      </c>
      <c r="G206" t="s">
        <v>2440</v>
      </c>
      <c r="H206"/>
      <c r="I206"/>
      <c r="J206" t="s">
        <v>2340</v>
      </c>
      <c r="K206"/>
      <c r="L206"/>
      <c r="M206">
        <v>13</v>
      </c>
      <c r="N206">
        <v>45</v>
      </c>
      <c r="O206">
        <v>6</v>
      </c>
      <c r="P206">
        <v>10</v>
      </c>
      <c r="Q206">
        <v>12</v>
      </c>
      <c r="R206" t="s">
        <v>2317</v>
      </c>
      <c r="S206" t="s">
        <v>3394</v>
      </c>
      <c r="T206" t="s">
        <v>2542</v>
      </c>
      <c r="U206" t="s">
        <v>2315</v>
      </c>
      <c r="V206">
        <v>10</v>
      </c>
      <c r="W206"/>
      <c r="X206"/>
      <c r="Y206"/>
      <c r="Z206">
        <v>40</v>
      </c>
      <c r="AA206">
        <v>18</v>
      </c>
      <c r="AB206">
        <v>10</v>
      </c>
      <c r="AC206">
        <v>15</v>
      </c>
      <c r="AD206">
        <v>8</v>
      </c>
      <c r="AE206">
        <v>10</v>
      </c>
      <c r="AF206">
        <v>9</v>
      </c>
      <c r="AG206">
        <v>219</v>
      </c>
      <c r="AH206"/>
      <c r="AI206"/>
      <c r="AJ206"/>
      <c r="AK206"/>
      <c r="AL206"/>
      <c r="AM206"/>
      <c r="AN206"/>
      <c r="AO206">
        <v>335</v>
      </c>
      <c r="AP206"/>
      <c r="AQ206">
        <v>18</v>
      </c>
      <c r="AR206"/>
      <c r="AS206"/>
      <c r="AT206">
        <v>25</v>
      </c>
      <c r="AU206"/>
      <c r="AV206" t="s">
        <v>2313</v>
      </c>
      <c r="AW206"/>
      <c r="AX206"/>
      <c r="AY206" t="s">
        <v>2373</v>
      </c>
      <c r="AZ206" t="s">
        <v>3767</v>
      </c>
      <c r="BA206" t="s">
        <v>2373</v>
      </c>
      <c r="BB206"/>
      <c r="BC206"/>
      <c r="BD206"/>
      <c r="BE206"/>
      <c r="BF206"/>
      <c r="BG206"/>
      <c r="BH206"/>
      <c r="BI206"/>
      <c r="BJ206"/>
      <c r="BK206"/>
      <c r="BL206"/>
      <c r="BM206"/>
      <c r="BN206"/>
      <c r="BO206"/>
      <c r="BP206" t="s">
        <v>2333</v>
      </c>
      <c r="BQ206" t="s">
        <v>3766</v>
      </c>
      <c r="BR206" t="s">
        <v>2333</v>
      </c>
      <c r="BS206" t="s">
        <v>2332</v>
      </c>
      <c r="BT206" t="s">
        <v>3765</v>
      </c>
      <c r="BU206" t="s">
        <v>3764</v>
      </c>
      <c r="BV206" t="s">
        <v>2505</v>
      </c>
      <c r="BW206" t="s">
        <v>3763</v>
      </c>
      <c r="BX206" t="s">
        <v>3762</v>
      </c>
      <c r="BY206" t="s">
        <v>3761</v>
      </c>
      <c r="BZ206" t="s">
        <v>3760</v>
      </c>
      <c r="CA206" t="s">
        <v>3759</v>
      </c>
      <c r="CB206"/>
      <c r="CC206"/>
      <c r="CD206"/>
      <c r="CE206"/>
      <c r="CF206"/>
      <c r="CG206"/>
      <c r="CH206"/>
      <c r="CI206"/>
      <c r="CJ206"/>
      <c r="CK206"/>
      <c r="CL206"/>
      <c r="CM206"/>
      <c r="CN206"/>
      <c r="CO206"/>
      <c r="CP206"/>
      <c r="CQ206"/>
      <c r="CR206"/>
      <c r="CS206"/>
      <c r="CT206"/>
      <c r="CU206"/>
      <c r="CV206"/>
      <c r="CW206"/>
      <c r="CX206" t="s">
        <v>2307</v>
      </c>
      <c r="CY206">
        <v>219</v>
      </c>
      <c r="CZ206" t="s">
        <v>2306</v>
      </c>
    </row>
    <row r="207" spans="1:104" ht="14.25">
      <c r="A207" t="s">
        <v>3758</v>
      </c>
      <c r="B207" t="s">
        <v>3758</v>
      </c>
      <c r="C207" t="s">
        <v>3757</v>
      </c>
      <c r="D207">
        <v>2</v>
      </c>
      <c r="E207" t="s">
        <v>2321</v>
      </c>
      <c r="F207" t="s">
        <v>2320</v>
      </c>
      <c r="G207" t="s">
        <v>2440</v>
      </c>
      <c r="H207"/>
      <c r="I207">
        <v>1</v>
      </c>
      <c r="J207" t="s">
        <v>1902</v>
      </c>
      <c r="K207"/>
      <c r="L207"/>
      <c r="M207">
        <v>12</v>
      </c>
      <c r="N207">
        <v>58</v>
      </c>
      <c r="O207">
        <v>9</v>
      </c>
      <c r="P207">
        <v>8</v>
      </c>
      <c r="Q207">
        <v>18</v>
      </c>
      <c r="R207" t="s">
        <v>2317</v>
      </c>
      <c r="S207" t="s">
        <v>2630</v>
      </c>
      <c r="T207" t="s">
        <v>3756</v>
      </c>
      <c r="U207" t="s">
        <v>2315</v>
      </c>
      <c r="V207">
        <v>15</v>
      </c>
      <c r="W207"/>
      <c r="X207"/>
      <c r="Y207"/>
      <c r="Z207"/>
      <c r="AA207">
        <v>17</v>
      </c>
      <c r="AB207">
        <v>12</v>
      </c>
      <c r="AC207">
        <v>15</v>
      </c>
      <c r="AD207">
        <v>5</v>
      </c>
      <c r="AE207">
        <v>13</v>
      </c>
      <c r="AF207">
        <v>8</v>
      </c>
      <c r="AG207">
        <v>220</v>
      </c>
      <c r="AH207"/>
      <c r="AI207"/>
      <c r="AJ207"/>
      <c r="AK207"/>
      <c r="AL207"/>
      <c r="AM207"/>
      <c r="AN207"/>
      <c r="AO207">
        <v>335</v>
      </c>
      <c r="AP207"/>
      <c r="AQ207"/>
      <c r="AR207"/>
      <c r="AS207"/>
      <c r="AT207"/>
      <c r="AU207"/>
      <c r="AV207"/>
      <c r="AW207"/>
      <c r="AX207"/>
      <c r="AY207" t="s">
        <v>2608</v>
      </c>
      <c r="AZ207" t="s">
        <v>3755</v>
      </c>
      <c r="BA207" t="s">
        <v>2608</v>
      </c>
      <c r="BB207" t="s">
        <v>3753</v>
      </c>
      <c r="BC207" t="s">
        <v>3754</v>
      </c>
      <c r="BD207" t="s">
        <v>3753</v>
      </c>
      <c r="BE207" t="s">
        <v>3751</v>
      </c>
      <c r="BF207" t="s">
        <v>3752</v>
      </c>
      <c r="BG207" t="s">
        <v>3751</v>
      </c>
      <c r="BH207" t="s">
        <v>3750</v>
      </c>
      <c r="BI207" t="s">
        <v>3749</v>
      </c>
      <c r="BJ207"/>
      <c r="BK207"/>
      <c r="BL207"/>
      <c r="BM207"/>
      <c r="BN207"/>
      <c r="BO207"/>
      <c r="BP207" t="s">
        <v>3625</v>
      </c>
      <c r="BQ207" t="s">
        <v>3748</v>
      </c>
      <c r="BR207" t="s">
        <v>3747</v>
      </c>
      <c r="BS207" t="s">
        <v>2332</v>
      </c>
      <c r="BT207" t="s">
        <v>3746</v>
      </c>
      <c r="BU207" t="s">
        <v>3745</v>
      </c>
      <c r="BV207"/>
      <c r="BW207"/>
      <c r="BX207"/>
      <c r="BY207"/>
      <c r="BZ207"/>
      <c r="CA207"/>
      <c r="CB207"/>
      <c r="CC207"/>
      <c r="CD207"/>
      <c r="CE207"/>
      <c r="CF207"/>
      <c r="CG207"/>
      <c r="CH207"/>
      <c r="CI207"/>
      <c r="CJ207"/>
      <c r="CK207"/>
      <c r="CL207"/>
      <c r="CM207"/>
      <c r="CN207"/>
      <c r="CO207"/>
      <c r="CP207"/>
      <c r="CQ207"/>
      <c r="CR207"/>
      <c r="CS207"/>
      <c r="CT207"/>
      <c r="CU207"/>
      <c r="CV207"/>
      <c r="CW207"/>
      <c r="CX207" t="s">
        <v>2307</v>
      </c>
      <c r="CY207">
        <v>220</v>
      </c>
      <c r="CZ207" t="s">
        <v>2306</v>
      </c>
    </row>
    <row r="208" spans="1:104" ht="14.25">
      <c r="A208" t="s">
        <v>3744</v>
      </c>
      <c r="B208" t="s">
        <v>3744</v>
      </c>
      <c r="C208" t="s">
        <v>3743</v>
      </c>
      <c r="D208">
        <v>3</v>
      </c>
      <c r="E208" t="s">
        <v>2321</v>
      </c>
      <c r="F208" t="s">
        <v>2342</v>
      </c>
      <c r="G208" t="s">
        <v>2440</v>
      </c>
      <c r="H208"/>
      <c r="I208"/>
      <c r="J208" t="s">
        <v>2340</v>
      </c>
      <c r="K208"/>
      <c r="L208"/>
      <c r="M208">
        <v>14</v>
      </c>
      <c r="N208">
        <v>76</v>
      </c>
      <c r="O208">
        <v>9</v>
      </c>
      <c r="P208">
        <v>10</v>
      </c>
      <c r="Q208">
        <v>27</v>
      </c>
      <c r="R208" t="s">
        <v>2317</v>
      </c>
      <c r="S208" t="s">
        <v>3733</v>
      </c>
      <c r="T208" t="s">
        <v>3607</v>
      </c>
      <c r="U208" t="s">
        <v>2315</v>
      </c>
      <c r="V208">
        <v>40</v>
      </c>
      <c r="W208"/>
      <c r="X208"/>
      <c r="Y208"/>
      <c r="Z208"/>
      <c r="AA208">
        <v>18</v>
      </c>
      <c r="AB208">
        <v>11</v>
      </c>
      <c r="AC208">
        <v>16</v>
      </c>
      <c r="AD208">
        <v>6</v>
      </c>
      <c r="AE208">
        <v>16</v>
      </c>
      <c r="AF208">
        <v>9</v>
      </c>
      <c r="AG208">
        <v>223</v>
      </c>
      <c r="AH208"/>
      <c r="AI208"/>
      <c r="AJ208"/>
      <c r="AK208"/>
      <c r="AL208"/>
      <c r="AM208"/>
      <c r="AN208">
        <v>36</v>
      </c>
      <c r="AO208">
        <v>336</v>
      </c>
      <c r="AP208"/>
      <c r="AQ208"/>
      <c r="AR208"/>
      <c r="AS208" t="s">
        <v>3742</v>
      </c>
      <c r="AT208"/>
      <c r="AU208"/>
      <c r="AV208"/>
      <c r="AW208"/>
      <c r="AX208"/>
      <c r="AY208" t="s">
        <v>2824</v>
      </c>
      <c r="AZ208" t="s">
        <v>3741</v>
      </c>
      <c r="BA208" t="s">
        <v>2822</v>
      </c>
      <c r="BB208" t="s">
        <v>3739</v>
      </c>
      <c r="BC208" t="s">
        <v>3740</v>
      </c>
      <c r="BD208" t="s">
        <v>3739</v>
      </c>
      <c r="BE208" t="s">
        <v>3737</v>
      </c>
      <c r="BF208" t="s">
        <v>3738</v>
      </c>
      <c r="BG208" t="s">
        <v>3737</v>
      </c>
      <c r="BH208"/>
      <c r="BI208"/>
      <c r="BJ208"/>
      <c r="BK208"/>
      <c r="BL208"/>
      <c r="BM208"/>
      <c r="BN208"/>
      <c r="BO208"/>
      <c r="BP208" t="s">
        <v>3575</v>
      </c>
      <c r="BQ208" t="s">
        <v>3730</v>
      </c>
      <c r="BR208" t="s">
        <v>3729</v>
      </c>
      <c r="BS208" t="s">
        <v>2866</v>
      </c>
      <c r="BT208" t="s">
        <v>3728</v>
      </c>
      <c r="BU208" t="s">
        <v>3727</v>
      </c>
      <c r="BV208"/>
      <c r="BW208"/>
      <c r="BX208"/>
      <c r="BY208"/>
      <c r="BZ208"/>
      <c r="CA208"/>
      <c r="CB208"/>
      <c r="CC208"/>
      <c r="CD208"/>
      <c r="CE208"/>
      <c r="CF208"/>
      <c r="CG208"/>
      <c r="CH208"/>
      <c r="CI208"/>
      <c r="CJ208"/>
      <c r="CK208"/>
      <c r="CL208"/>
      <c r="CM208"/>
      <c r="CN208"/>
      <c r="CO208"/>
      <c r="CP208"/>
      <c r="CQ208"/>
      <c r="CR208"/>
      <c r="CS208"/>
      <c r="CT208"/>
      <c r="CU208"/>
      <c r="CV208"/>
      <c r="CW208"/>
      <c r="CX208" t="s">
        <v>2307</v>
      </c>
      <c r="CY208">
        <v>223</v>
      </c>
      <c r="CZ208" t="s">
        <v>2306</v>
      </c>
    </row>
    <row r="209" spans="1:104" ht="14.25">
      <c r="A209" t="s">
        <v>3736</v>
      </c>
      <c r="B209" t="s">
        <v>3735</v>
      </c>
      <c r="C209" t="s">
        <v>3734</v>
      </c>
      <c r="D209">
        <v>2</v>
      </c>
      <c r="E209" t="s">
        <v>2321</v>
      </c>
      <c r="F209" t="s">
        <v>2342</v>
      </c>
      <c r="G209" t="s">
        <v>2319</v>
      </c>
      <c r="H209"/>
      <c r="I209"/>
      <c r="J209" t="s">
        <v>2375</v>
      </c>
      <c r="K209"/>
      <c r="L209"/>
      <c r="M209">
        <v>12</v>
      </c>
      <c r="N209">
        <v>67</v>
      </c>
      <c r="O209">
        <v>9</v>
      </c>
      <c r="P209">
        <v>10</v>
      </c>
      <c r="Q209">
        <v>18</v>
      </c>
      <c r="R209" t="s">
        <v>2317</v>
      </c>
      <c r="S209" t="s">
        <v>3733</v>
      </c>
      <c r="T209" t="s">
        <v>3607</v>
      </c>
      <c r="U209" t="s">
        <v>2315</v>
      </c>
      <c r="V209">
        <v>40</v>
      </c>
      <c r="W209"/>
      <c r="X209"/>
      <c r="Y209"/>
      <c r="Z209"/>
      <c r="AA209">
        <v>18</v>
      </c>
      <c r="AB209">
        <v>11</v>
      </c>
      <c r="AC209">
        <v>15</v>
      </c>
      <c r="AD209">
        <v>6</v>
      </c>
      <c r="AE209">
        <v>8</v>
      </c>
      <c r="AF209">
        <v>5</v>
      </c>
      <c r="AG209">
        <v>273</v>
      </c>
      <c r="AH209"/>
      <c r="AI209"/>
      <c r="AJ209"/>
      <c r="AK209"/>
      <c r="AL209"/>
      <c r="AM209"/>
      <c r="AN209"/>
      <c r="AO209">
        <v>349</v>
      </c>
      <c r="AP209"/>
      <c r="AQ209"/>
      <c r="AR209"/>
      <c r="AS209" t="s">
        <v>3732</v>
      </c>
      <c r="AT209"/>
      <c r="AU209"/>
      <c r="AV209"/>
      <c r="AW209"/>
      <c r="AX209"/>
      <c r="AY209" t="s">
        <v>2824</v>
      </c>
      <c r="AZ209" t="s">
        <v>3731</v>
      </c>
      <c r="BA209" t="s">
        <v>2822</v>
      </c>
      <c r="BB209"/>
      <c r="BC209"/>
      <c r="BD209"/>
      <c r="BE209"/>
      <c r="BF209"/>
      <c r="BG209"/>
      <c r="BH209"/>
      <c r="BI209"/>
      <c r="BJ209"/>
      <c r="BK209"/>
      <c r="BL209"/>
      <c r="BM209"/>
      <c r="BN209"/>
      <c r="BO209"/>
      <c r="BP209" t="s">
        <v>3575</v>
      </c>
      <c r="BQ209" t="s">
        <v>3730</v>
      </c>
      <c r="BR209" t="s">
        <v>3729</v>
      </c>
      <c r="BS209" t="s">
        <v>2866</v>
      </c>
      <c r="BT209" t="s">
        <v>3728</v>
      </c>
      <c r="BU209" t="s">
        <v>3727</v>
      </c>
      <c r="BV209"/>
      <c r="BW209"/>
      <c r="BX209"/>
      <c r="BY209"/>
      <c r="BZ209"/>
      <c r="CA209"/>
      <c r="CB209"/>
      <c r="CC209"/>
      <c r="CD209"/>
      <c r="CE209"/>
      <c r="CF209"/>
      <c r="CG209"/>
      <c r="CH209"/>
      <c r="CI209"/>
      <c r="CJ209"/>
      <c r="CK209"/>
      <c r="CL209"/>
      <c r="CM209"/>
      <c r="CN209"/>
      <c r="CO209"/>
      <c r="CP209"/>
      <c r="CQ209"/>
      <c r="CR209"/>
      <c r="CS209"/>
      <c r="CT209"/>
      <c r="CU209"/>
      <c r="CV209"/>
      <c r="CW209"/>
      <c r="CX209" t="s">
        <v>2307</v>
      </c>
      <c r="CY209">
        <v>273</v>
      </c>
      <c r="CZ209" t="s">
        <v>2306</v>
      </c>
    </row>
    <row r="210" spans="1:104" ht="14.25">
      <c r="A210" t="s">
        <v>3726</v>
      </c>
      <c r="B210" t="s">
        <v>3725</v>
      </c>
      <c r="C210" t="s">
        <v>3724</v>
      </c>
      <c r="D210">
        <v>0.25</v>
      </c>
      <c r="E210" t="s">
        <v>2321</v>
      </c>
      <c r="F210" t="s">
        <v>2497</v>
      </c>
      <c r="G210" t="s">
        <v>2479</v>
      </c>
      <c r="H210" t="s">
        <v>3060</v>
      </c>
      <c r="I210"/>
      <c r="J210" t="s">
        <v>2318</v>
      </c>
      <c r="K210"/>
      <c r="L210"/>
      <c r="M210">
        <v>11</v>
      </c>
      <c r="N210">
        <v>27</v>
      </c>
      <c r="O210">
        <v>6</v>
      </c>
      <c r="P210">
        <v>6</v>
      </c>
      <c r="Q210">
        <v>6</v>
      </c>
      <c r="R210" t="s">
        <v>2317</v>
      </c>
      <c r="S210" t="s">
        <v>2316</v>
      </c>
      <c r="T210" t="s">
        <v>2315</v>
      </c>
      <c r="U210" t="s">
        <v>2315</v>
      </c>
      <c r="V210">
        <v>20</v>
      </c>
      <c r="W210"/>
      <c r="X210"/>
      <c r="Y210">
        <v>20</v>
      </c>
      <c r="Z210">
        <v>20</v>
      </c>
      <c r="AA210">
        <v>8</v>
      </c>
      <c r="AB210">
        <v>12</v>
      </c>
      <c r="AC210">
        <v>12</v>
      </c>
      <c r="AD210">
        <v>9</v>
      </c>
      <c r="AE210">
        <v>11</v>
      </c>
      <c r="AF210">
        <v>7</v>
      </c>
      <c r="AG210">
        <v>216</v>
      </c>
      <c r="AH210"/>
      <c r="AI210"/>
      <c r="AJ210"/>
      <c r="AK210"/>
      <c r="AL210"/>
      <c r="AM210"/>
      <c r="AN210"/>
      <c r="AO210"/>
      <c r="AP210"/>
      <c r="AQ210"/>
      <c r="AR210"/>
      <c r="AS210"/>
      <c r="AT210">
        <v>26</v>
      </c>
      <c r="AU210"/>
      <c r="AV210" t="s">
        <v>3723</v>
      </c>
      <c r="AW210"/>
      <c r="AX210"/>
      <c r="AY210" t="s">
        <v>3057</v>
      </c>
      <c r="AZ210" t="s">
        <v>3722</v>
      </c>
      <c r="BA210" t="s">
        <v>3057</v>
      </c>
      <c r="BB210" t="s">
        <v>2739</v>
      </c>
      <c r="BC210" t="s">
        <v>3721</v>
      </c>
      <c r="BD210" t="s">
        <v>2739</v>
      </c>
      <c r="BE210"/>
      <c r="BF210"/>
      <c r="BG210"/>
      <c r="BH210"/>
      <c r="BI210"/>
      <c r="BJ210"/>
      <c r="BK210"/>
      <c r="BL210"/>
      <c r="BM210"/>
      <c r="BN210"/>
      <c r="BO210"/>
      <c r="BP210" t="s">
        <v>3720</v>
      </c>
      <c r="BQ210" t="s">
        <v>3719</v>
      </c>
      <c r="BR210" t="s">
        <v>3718</v>
      </c>
      <c r="BS210" t="s">
        <v>3716</v>
      </c>
      <c r="BT210" t="s">
        <v>3717</v>
      </c>
      <c r="BU210" t="s">
        <v>3716</v>
      </c>
      <c r="BV210" t="s">
        <v>3047</v>
      </c>
      <c r="BW210" t="s">
        <v>3048</v>
      </c>
      <c r="BX210" t="s">
        <v>3047</v>
      </c>
      <c r="BY210"/>
      <c r="BZ210"/>
      <c r="CA210"/>
      <c r="CB210"/>
      <c r="CC210"/>
      <c r="CD210"/>
      <c r="CE210"/>
      <c r="CF210"/>
      <c r="CG210"/>
      <c r="CH210"/>
      <c r="CI210"/>
      <c r="CJ210"/>
      <c r="CK210"/>
      <c r="CL210"/>
      <c r="CM210"/>
      <c r="CN210"/>
      <c r="CO210"/>
      <c r="CP210"/>
      <c r="CQ210"/>
      <c r="CR210"/>
      <c r="CS210"/>
      <c r="CT210"/>
      <c r="CU210"/>
      <c r="CV210"/>
      <c r="CW210"/>
      <c r="CX210" t="s">
        <v>2307</v>
      </c>
      <c r="CY210">
        <v>216</v>
      </c>
      <c r="CZ210" t="s">
        <v>2306</v>
      </c>
    </row>
    <row r="211" spans="1:104" ht="14.25">
      <c r="A211" t="s">
        <v>3715</v>
      </c>
      <c r="B211" t="s">
        <v>3715</v>
      </c>
      <c r="C211" t="s">
        <v>3714</v>
      </c>
      <c r="D211">
        <v>0.125</v>
      </c>
      <c r="E211" t="s">
        <v>2533</v>
      </c>
      <c r="F211" t="s">
        <v>2320</v>
      </c>
      <c r="G211" t="s">
        <v>2543</v>
      </c>
      <c r="H211"/>
      <c r="I211"/>
      <c r="J211" t="s">
        <v>1908</v>
      </c>
      <c r="K211"/>
      <c r="L211"/>
      <c r="M211">
        <v>10</v>
      </c>
      <c r="N211">
        <v>11</v>
      </c>
      <c r="O211">
        <v>2</v>
      </c>
      <c r="P211">
        <v>8</v>
      </c>
      <c r="Q211">
        <v>2</v>
      </c>
      <c r="R211" t="s">
        <v>2317</v>
      </c>
      <c r="S211" t="s">
        <v>2646</v>
      </c>
      <c r="T211" t="s">
        <v>2315</v>
      </c>
      <c r="U211" t="s">
        <v>2315</v>
      </c>
      <c r="V211">
        <v>40</v>
      </c>
      <c r="W211"/>
      <c r="X211"/>
      <c r="Y211"/>
      <c r="Z211"/>
      <c r="AA211">
        <v>14</v>
      </c>
      <c r="AB211">
        <v>10</v>
      </c>
      <c r="AC211">
        <v>13</v>
      </c>
      <c r="AD211">
        <v>2</v>
      </c>
      <c r="AE211">
        <v>10</v>
      </c>
      <c r="AF211">
        <v>5</v>
      </c>
      <c r="AG211">
        <v>333</v>
      </c>
      <c r="AH211">
        <v>307</v>
      </c>
      <c r="AI211"/>
      <c r="AJ211"/>
      <c r="AK211"/>
      <c r="AL211"/>
      <c r="AM211"/>
      <c r="AN211">
        <v>37</v>
      </c>
      <c r="AO211">
        <v>379</v>
      </c>
      <c r="AP211"/>
      <c r="AQ211"/>
      <c r="AR211"/>
      <c r="AS211"/>
      <c r="AT211"/>
      <c r="AU211"/>
      <c r="AV211"/>
      <c r="AW211"/>
      <c r="AX211"/>
      <c r="AY211" t="s">
        <v>3712</v>
      </c>
      <c r="AZ211" t="s">
        <v>3713</v>
      </c>
      <c r="BA211" t="s">
        <v>3712</v>
      </c>
      <c r="BB211" t="s">
        <v>3710</v>
      </c>
      <c r="BC211" t="s">
        <v>3711</v>
      </c>
      <c r="BD211" t="s">
        <v>3710</v>
      </c>
      <c r="BE211"/>
      <c r="BF211"/>
      <c r="BG211"/>
      <c r="BH211"/>
      <c r="BI211"/>
      <c r="BJ211"/>
      <c r="BK211"/>
      <c r="BL211"/>
      <c r="BM211"/>
      <c r="BN211"/>
      <c r="BO211"/>
      <c r="BP211" t="s">
        <v>2697</v>
      </c>
      <c r="BQ211" t="s">
        <v>3709</v>
      </c>
      <c r="BR211" t="s">
        <v>3708</v>
      </c>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t="s">
        <v>2307</v>
      </c>
      <c r="CY211">
        <v>333</v>
      </c>
      <c r="CZ211" t="s">
        <v>2306</v>
      </c>
    </row>
    <row r="212" spans="1:104" ht="14.25">
      <c r="A212" t="s">
        <v>3707</v>
      </c>
      <c r="B212" t="s">
        <v>3707</v>
      </c>
      <c r="C212" t="s">
        <v>3706</v>
      </c>
      <c r="D212">
        <v>3</v>
      </c>
      <c r="E212" t="s">
        <v>2321</v>
      </c>
      <c r="F212" t="s">
        <v>2320</v>
      </c>
      <c r="G212" t="s">
        <v>2319</v>
      </c>
      <c r="H212"/>
      <c r="I212"/>
      <c r="J212" t="s">
        <v>2375</v>
      </c>
      <c r="K212"/>
      <c r="L212"/>
      <c r="M212">
        <v>11</v>
      </c>
      <c r="N212">
        <v>58</v>
      </c>
      <c r="O212">
        <v>9</v>
      </c>
      <c r="P212">
        <v>8</v>
      </c>
      <c r="Q212">
        <v>18</v>
      </c>
      <c r="R212" t="s">
        <v>2317</v>
      </c>
      <c r="S212" t="s">
        <v>3705</v>
      </c>
      <c r="T212" t="s">
        <v>2315</v>
      </c>
      <c r="U212" t="s">
        <v>2315</v>
      </c>
      <c r="V212">
        <v>20</v>
      </c>
      <c r="W212"/>
      <c r="X212"/>
      <c r="Y212"/>
      <c r="Z212"/>
      <c r="AA212">
        <v>16</v>
      </c>
      <c r="AB212">
        <v>8</v>
      </c>
      <c r="AC212">
        <v>15</v>
      </c>
      <c r="AD212">
        <v>6</v>
      </c>
      <c r="AE212">
        <v>10</v>
      </c>
      <c r="AF212">
        <v>12</v>
      </c>
      <c r="AG212">
        <v>228</v>
      </c>
      <c r="AH212"/>
      <c r="AI212"/>
      <c r="AJ212"/>
      <c r="AK212"/>
      <c r="AL212"/>
      <c r="AM212"/>
      <c r="AN212">
        <v>37</v>
      </c>
      <c r="AO212">
        <v>336</v>
      </c>
      <c r="AP212"/>
      <c r="AQ212">
        <v>19</v>
      </c>
      <c r="AR212"/>
      <c r="AS212"/>
      <c r="AT212"/>
      <c r="AU212"/>
      <c r="AV212"/>
      <c r="AW212"/>
      <c r="AX212"/>
      <c r="AY212"/>
      <c r="AZ212"/>
      <c r="BA212"/>
      <c r="BB212"/>
      <c r="BC212"/>
      <c r="BD212"/>
      <c r="BE212"/>
      <c r="BF212"/>
      <c r="BG212"/>
      <c r="BH212"/>
      <c r="BI212"/>
      <c r="BJ212"/>
      <c r="BK212"/>
      <c r="BL212"/>
      <c r="BM212"/>
      <c r="BN212"/>
      <c r="BO212"/>
      <c r="BP212" t="s">
        <v>2333</v>
      </c>
      <c r="BQ212" t="s">
        <v>3694</v>
      </c>
      <c r="BR212" t="s">
        <v>2333</v>
      </c>
      <c r="BS212" t="s">
        <v>3693</v>
      </c>
      <c r="BT212" t="s">
        <v>3704</v>
      </c>
      <c r="BU212" t="s">
        <v>3703</v>
      </c>
      <c r="BV212" t="s">
        <v>3689</v>
      </c>
      <c r="BW212" t="s">
        <v>3702</v>
      </c>
      <c r="BX212" t="s">
        <v>3689</v>
      </c>
      <c r="BY212"/>
      <c r="BZ212"/>
      <c r="CA212"/>
      <c r="CB212"/>
      <c r="CC212"/>
      <c r="CD212"/>
      <c r="CE212"/>
      <c r="CF212"/>
      <c r="CG212"/>
      <c r="CH212"/>
      <c r="CI212"/>
      <c r="CJ212"/>
      <c r="CK212"/>
      <c r="CL212"/>
      <c r="CM212"/>
      <c r="CN212"/>
      <c r="CO212"/>
      <c r="CP212"/>
      <c r="CQ212"/>
      <c r="CR212"/>
      <c r="CS212"/>
      <c r="CT212"/>
      <c r="CU212"/>
      <c r="CV212"/>
      <c r="CW212"/>
      <c r="CX212" t="s">
        <v>2307</v>
      </c>
      <c r="CY212">
        <v>228</v>
      </c>
      <c r="CZ212" t="s">
        <v>2306</v>
      </c>
    </row>
    <row r="213" spans="1:104" ht="14.25">
      <c r="A213" t="s">
        <v>3701</v>
      </c>
      <c r="B213" t="s">
        <v>3700</v>
      </c>
      <c r="C213" t="s">
        <v>3699</v>
      </c>
      <c r="D213">
        <v>15</v>
      </c>
      <c r="E213" t="s">
        <v>2321</v>
      </c>
      <c r="F213" t="s">
        <v>2320</v>
      </c>
      <c r="G213" t="s">
        <v>2319</v>
      </c>
      <c r="H213"/>
      <c r="I213"/>
      <c r="J213" t="s">
        <v>2375</v>
      </c>
      <c r="K213">
        <v>10</v>
      </c>
      <c r="L213" t="s">
        <v>1903</v>
      </c>
      <c r="M213">
        <v>17</v>
      </c>
      <c r="N213">
        <v>97</v>
      </c>
      <c r="O213">
        <v>13</v>
      </c>
      <c r="P213">
        <v>8</v>
      </c>
      <c r="Q213">
        <v>39</v>
      </c>
      <c r="R213" t="s">
        <v>2825</v>
      </c>
      <c r="S213" t="s">
        <v>3698</v>
      </c>
      <c r="T213" t="s">
        <v>2315</v>
      </c>
      <c r="U213" t="s">
        <v>2315</v>
      </c>
      <c r="V213">
        <v>20</v>
      </c>
      <c r="W213"/>
      <c r="X213"/>
      <c r="Y213"/>
      <c r="Z213"/>
      <c r="AA213">
        <v>18</v>
      </c>
      <c r="AB213">
        <v>10</v>
      </c>
      <c r="AC213">
        <v>17</v>
      </c>
      <c r="AD213">
        <v>11</v>
      </c>
      <c r="AE213">
        <v>18</v>
      </c>
      <c r="AF213">
        <v>16</v>
      </c>
      <c r="AG213">
        <v>229</v>
      </c>
      <c r="AH213"/>
      <c r="AI213"/>
      <c r="AJ213"/>
      <c r="AK213"/>
      <c r="AL213"/>
      <c r="AM213"/>
      <c r="AN213"/>
      <c r="AO213">
        <v>337</v>
      </c>
      <c r="AP213"/>
      <c r="AQ213">
        <v>19</v>
      </c>
      <c r="AR213"/>
      <c r="AS213"/>
      <c r="AT213"/>
      <c r="AU213"/>
      <c r="AV213"/>
      <c r="AW213"/>
      <c r="AX213"/>
      <c r="AY213" t="s">
        <v>2726</v>
      </c>
      <c r="AZ213" t="s">
        <v>3697</v>
      </c>
      <c r="BA213" t="s">
        <v>2726</v>
      </c>
      <c r="BB213" t="s">
        <v>3090</v>
      </c>
      <c r="BC213" t="s">
        <v>3696</v>
      </c>
      <c r="BD213" t="s">
        <v>3090</v>
      </c>
      <c r="BE213" t="s">
        <v>3088</v>
      </c>
      <c r="BF213" t="s">
        <v>3695</v>
      </c>
      <c r="BG213" t="s">
        <v>3088</v>
      </c>
      <c r="BH213"/>
      <c r="BI213"/>
      <c r="BJ213"/>
      <c r="BK213"/>
      <c r="BL213"/>
      <c r="BM213"/>
      <c r="BN213"/>
      <c r="BO213"/>
      <c r="BP213" t="s">
        <v>2333</v>
      </c>
      <c r="BQ213" t="s">
        <v>3694</v>
      </c>
      <c r="BR213" t="s">
        <v>2333</v>
      </c>
      <c r="BS213" t="s">
        <v>3693</v>
      </c>
      <c r="BT213" t="s">
        <v>3692</v>
      </c>
      <c r="BU213" t="s">
        <v>3691</v>
      </c>
      <c r="BV213" t="s">
        <v>3689</v>
      </c>
      <c r="BW213" t="s">
        <v>3690</v>
      </c>
      <c r="BX213" t="s">
        <v>3689</v>
      </c>
      <c r="BY213"/>
      <c r="BZ213"/>
      <c r="CA213"/>
      <c r="CB213"/>
      <c r="CC213"/>
      <c r="CD213"/>
      <c r="CE213"/>
      <c r="CF213"/>
      <c r="CG213"/>
      <c r="CH213"/>
      <c r="CI213"/>
      <c r="CJ213"/>
      <c r="CK213" t="s">
        <v>2907</v>
      </c>
      <c r="CL213" t="s">
        <v>3688</v>
      </c>
      <c r="CM213" t="s">
        <v>3687</v>
      </c>
      <c r="CN213" t="s">
        <v>3686</v>
      </c>
      <c r="CO213" t="s">
        <v>3685</v>
      </c>
      <c r="CP213" t="s">
        <v>3684</v>
      </c>
      <c r="CQ213" t="s">
        <v>3683</v>
      </c>
      <c r="CR213" t="s">
        <v>3682</v>
      </c>
      <c r="CS213"/>
      <c r="CT213" t="s">
        <v>3681</v>
      </c>
      <c r="CU213" t="s">
        <v>3680</v>
      </c>
      <c r="CV213"/>
      <c r="CW213"/>
      <c r="CX213" t="s">
        <v>2307</v>
      </c>
      <c r="CY213">
        <v>229</v>
      </c>
      <c r="CZ213" t="s">
        <v>2306</v>
      </c>
    </row>
    <row r="214" spans="1:104" ht="14.25">
      <c r="A214" t="s">
        <v>3679</v>
      </c>
      <c r="B214" t="s">
        <v>3679</v>
      </c>
      <c r="C214" t="s">
        <v>3678</v>
      </c>
      <c r="D214">
        <v>13</v>
      </c>
      <c r="E214" t="s">
        <v>2321</v>
      </c>
      <c r="F214" t="s">
        <v>2342</v>
      </c>
      <c r="G214" t="s">
        <v>2732</v>
      </c>
      <c r="H214" t="s">
        <v>2731</v>
      </c>
      <c r="I214"/>
      <c r="J214" t="s">
        <v>2340</v>
      </c>
      <c r="K214"/>
      <c r="L214"/>
      <c r="M214">
        <v>18</v>
      </c>
      <c r="N214">
        <v>184</v>
      </c>
      <c r="O214">
        <v>16</v>
      </c>
      <c r="P214">
        <v>10</v>
      </c>
      <c r="Q214">
        <v>96</v>
      </c>
      <c r="R214" t="s">
        <v>2317</v>
      </c>
      <c r="S214" t="s">
        <v>3677</v>
      </c>
      <c r="T214" t="s">
        <v>3676</v>
      </c>
      <c r="U214" t="s">
        <v>2315</v>
      </c>
      <c r="V214">
        <v>20</v>
      </c>
      <c r="W214"/>
      <c r="X214"/>
      <c r="Y214">
        <v>30</v>
      </c>
      <c r="Z214"/>
      <c r="AA214">
        <v>21</v>
      </c>
      <c r="AB214">
        <v>10</v>
      </c>
      <c r="AC214">
        <v>22</v>
      </c>
      <c r="AD214">
        <v>19</v>
      </c>
      <c r="AE214">
        <v>12</v>
      </c>
      <c r="AF214">
        <v>15</v>
      </c>
      <c r="AG214">
        <v>62</v>
      </c>
      <c r="AH214"/>
      <c r="AI214"/>
      <c r="AJ214"/>
      <c r="AK214"/>
      <c r="AL214"/>
      <c r="AM214"/>
      <c r="AN214"/>
      <c r="AO214">
        <v>275</v>
      </c>
      <c r="AP214"/>
      <c r="AQ214"/>
      <c r="AR214"/>
      <c r="AS214"/>
      <c r="AT214"/>
      <c r="AU214"/>
      <c r="AV214"/>
      <c r="AW214"/>
      <c r="AX214" t="s">
        <v>2728</v>
      </c>
      <c r="AY214" t="s">
        <v>2726</v>
      </c>
      <c r="AZ214" t="s">
        <v>3675</v>
      </c>
      <c r="BA214" t="s">
        <v>2726</v>
      </c>
      <c r="BB214"/>
      <c r="BC214"/>
      <c r="BD214"/>
      <c r="BE214"/>
      <c r="BF214"/>
      <c r="BG214"/>
      <c r="BH214"/>
      <c r="BI214"/>
      <c r="BJ214"/>
      <c r="BK214"/>
      <c r="BL214"/>
      <c r="BM214"/>
      <c r="BN214"/>
      <c r="BO214"/>
      <c r="BP214" t="s">
        <v>2333</v>
      </c>
      <c r="BQ214" t="s">
        <v>3674</v>
      </c>
      <c r="BR214" t="s">
        <v>2333</v>
      </c>
      <c r="BS214" t="s">
        <v>2332</v>
      </c>
      <c r="BT214" t="s">
        <v>3673</v>
      </c>
      <c r="BU214" t="s">
        <v>3672</v>
      </c>
      <c r="BV214" t="s">
        <v>2329</v>
      </c>
      <c r="BW214" t="s">
        <v>3671</v>
      </c>
      <c r="BX214" t="s">
        <v>3670</v>
      </c>
      <c r="BY214" t="s">
        <v>3668</v>
      </c>
      <c r="BZ214" t="s">
        <v>3669</v>
      </c>
      <c r="CA214" t="s">
        <v>3668</v>
      </c>
      <c r="CB214" t="s">
        <v>3120</v>
      </c>
      <c r="CC214" t="s">
        <v>3667</v>
      </c>
      <c r="CD214" t="s">
        <v>3120</v>
      </c>
      <c r="CE214" t="s">
        <v>2714</v>
      </c>
      <c r="CF214" t="s">
        <v>3666</v>
      </c>
      <c r="CG214" t="s">
        <v>2714</v>
      </c>
      <c r="CH214"/>
      <c r="CI214"/>
      <c r="CJ214"/>
      <c r="CK214"/>
      <c r="CL214"/>
      <c r="CM214"/>
      <c r="CN214"/>
      <c r="CO214"/>
      <c r="CP214"/>
      <c r="CQ214"/>
      <c r="CR214"/>
      <c r="CS214"/>
      <c r="CT214"/>
      <c r="CU214"/>
      <c r="CV214"/>
      <c r="CW214"/>
      <c r="CX214" t="s">
        <v>2307</v>
      </c>
      <c r="CY214">
        <v>62</v>
      </c>
      <c r="CZ214" t="s">
        <v>2306</v>
      </c>
    </row>
    <row r="215" spans="1:104" ht="14.25">
      <c r="A215" t="s">
        <v>3665</v>
      </c>
      <c r="B215" t="s">
        <v>3664</v>
      </c>
      <c r="C215" t="s">
        <v>3663</v>
      </c>
      <c r="D215">
        <v>5</v>
      </c>
      <c r="E215" t="s">
        <v>2321</v>
      </c>
      <c r="F215" t="s">
        <v>2320</v>
      </c>
      <c r="G215" t="s">
        <v>2732</v>
      </c>
      <c r="H215" t="s">
        <v>3228</v>
      </c>
      <c r="I215"/>
      <c r="J215" t="s">
        <v>2318</v>
      </c>
      <c r="K215"/>
      <c r="L215"/>
      <c r="M215">
        <v>17</v>
      </c>
      <c r="N215">
        <v>112</v>
      </c>
      <c r="O215">
        <v>15</v>
      </c>
      <c r="P215">
        <v>8</v>
      </c>
      <c r="Q215">
        <v>45</v>
      </c>
      <c r="R215" t="s">
        <v>2825</v>
      </c>
      <c r="S215" t="s">
        <v>2510</v>
      </c>
      <c r="T215" t="s">
        <v>2315</v>
      </c>
      <c r="U215" t="s">
        <v>2315</v>
      </c>
      <c r="V215">
        <v>30</v>
      </c>
      <c r="W215"/>
      <c r="X215"/>
      <c r="Y215"/>
      <c r="Z215"/>
      <c r="AA215">
        <v>18</v>
      </c>
      <c r="AB215">
        <v>15</v>
      </c>
      <c r="AC215">
        <v>16</v>
      </c>
      <c r="AD215">
        <v>16</v>
      </c>
      <c r="AE215">
        <v>14</v>
      </c>
      <c r="AF215">
        <v>16</v>
      </c>
      <c r="AG215">
        <v>178</v>
      </c>
      <c r="AH215"/>
      <c r="AI215"/>
      <c r="AJ215"/>
      <c r="AK215"/>
      <c r="AL215"/>
      <c r="AM215"/>
      <c r="AN215"/>
      <c r="AO215">
        <v>322</v>
      </c>
      <c r="AP215"/>
      <c r="AQ215"/>
      <c r="AR215"/>
      <c r="AS215"/>
      <c r="AT215"/>
      <c r="AU215"/>
      <c r="AV215"/>
      <c r="AW215"/>
      <c r="AX215"/>
      <c r="AY215" t="s">
        <v>2488</v>
      </c>
      <c r="AZ215" t="s">
        <v>3662</v>
      </c>
      <c r="BA215" t="s">
        <v>2488</v>
      </c>
      <c r="BB215" t="s">
        <v>2726</v>
      </c>
      <c r="BC215" t="s">
        <v>3661</v>
      </c>
      <c r="BD215" t="s">
        <v>2726</v>
      </c>
      <c r="BE215" t="s">
        <v>3659</v>
      </c>
      <c r="BF215" t="s">
        <v>3660</v>
      </c>
      <c r="BG215" t="s">
        <v>3659</v>
      </c>
      <c r="BH215" t="s">
        <v>3223</v>
      </c>
      <c r="BI215" t="s">
        <v>3224</v>
      </c>
      <c r="BJ215" t="s">
        <v>3222</v>
      </c>
      <c r="BK215" t="s">
        <v>3658</v>
      </c>
      <c r="BL215" t="s">
        <v>3220</v>
      </c>
      <c r="BM215" t="s">
        <v>3219</v>
      </c>
      <c r="BN215"/>
      <c r="BO215"/>
      <c r="BP215" t="s">
        <v>3657</v>
      </c>
      <c r="BQ215" t="s">
        <v>2504</v>
      </c>
      <c r="BR215" t="s">
        <v>2503</v>
      </c>
      <c r="BS215" t="s">
        <v>3582</v>
      </c>
      <c r="BT215" t="s">
        <v>3656</v>
      </c>
      <c r="BU215" t="s">
        <v>3582</v>
      </c>
      <c r="BV215" t="s">
        <v>3654</v>
      </c>
      <c r="BW215" t="s">
        <v>3655</v>
      </c>
      <c r="BX215" t="s">
        <v>3654</v>
      </c>
      <c r="BY215" t="s">
        <v>3652</v>
      </c>
      <c r="BZ215" t="s">
        <v>3653</v>
      </c>
      <c r="CA215" t="s">
        <v>3652</v>
      </c>
      <c r="CB215"/>
      <c r="CC215"/>
      <c r="CD215"/>
      <c r="CE215"/>
      <c r="CF215"/>
      <c r="CG215"/>
      <c r="CH215"/>
      <c r="CI215"/>
      <c r="CJ215"/>
      <c r="CK215"/>
      <c r="CL215"/>
      <c r="CM215"/>
      <c r="CN215"/>
      <c r="CO215"/>
      <c r="CP215"/>
      <c r="CQ215"/>
      <c r="CR215"/>
      <c r="CS215"/>
      <c r="CT215"/>
      <c r="CU215"/>
      <c r="CV215"/>
      <c r="CW215"/>
      <c r="CX215" t="s">
        <v>2307</v>
      </c>
      <c r="CY215">
        <v>178</v>
      </c>
      <c r="CZ215" t="s">
        <v>2306</v>
      </c>
    </row>
    <row r="216" spans="1:104" ht="14.25">
      <c r="A216" t="s">
        <v>3651</v>
      </c>
      <c r="B216" t="s">
        <v>3651</v>
      </c>
      <c r="C216" t="s">
        <v>3650</v>
      </c>
      <c r="D216">
        <v>3</v>
      </c>
      <c r="E216" t="s">
        <v>2321</v>
      </c>
      <c r="F216" t="s">
        <v>2342</v>
      </c>
      <c r="G216" t="s">
        <v>2732</v>
      </c>
      <c r="H216"/>
      <c r="I216"/>
      <c r="J216" t="s">
        <v>2318</v>
      </c>
      <c r="K216"/>
      <c r="L216"/>
      <c r="M216">
        <v>13</v>
      </c>
      <c r="N216">
        <v>68</v>
      </c>
      <c r="O216">
        <v>8</v>
      </c>
      <c r="P216">
        <v>10</v>
      </c>
      <c r="Q216">
        <v>24</v>
      </c>
      <c r="R216" t="s">
        <v>2317</v>
      </c>
      <c r="S216" t="s">
        <v>3607</v>
      </c>
      <c r="T216" t="s">
        <v>2315</v>
      </c>
      <c r="U216" t="s">
        <v>3649</v>
      </c>
      <c r="V216">
        <v>60</v>
      </c>
      <c r="W216"/>
      <c r="X216"/>
      <c r="Y216">
        <v>90</v>
      </c>
      <c r="Z216"/>
      <c r="AA216">
        <v>18</v>
      </c>
      <c r="AB216">
        <v>15</v>
      </c>
      <c r="AC216">
        <v>16</v>
      </c>
      <c r="AD216">
        <v>10</v>
      </c>
      <c r="AE216">
        <v>13</v>
      </c>
      <c r="AF216">
        <v>15</v>
      </c>
      <c r="AG216">
        <v>235</v>
      </c>
      <c r="AH216"/>
      <c r="AI216"/>
      <c r="AJ216"/>
      <c r="AK216"/>
      <c r="AL216"/>
      <c r="AM216"/>
      <c r="AN216"/>
      <c r="AO216">
        <v>339</v>
      </c>
      <c r="AP216"/>
      <c r="AQ216"/>
      <c r="AR216"/>
      <c r="AS216"/>
      <c r="AT216"/>
      <c r="AU216"/>
      <c r="AV216" t="s">
        <v>3648</v>
      </c>
      <c r="AW216"/>
      <c r="AX216"/>
      <c r="AY216" t="s">
        <v>3646</v>
      </c>
      <c r="AZ216" t="s">
        <v>3647</v>
      </c>
      <c r="BA216" t="s">
        <v>3646</v>
      </c>
      <c r="BB216" t="s">
        <v>3644</v>
      </c>
      <c r="BC216" t="s">
        <v>3645</v>
      </c>
      <c r="BD216" t="s">
        <v>3644</v>
      </c>
      <c r="BE216"/>
      <c r="BF216"/>
      <c r="BG216"/>
      <c r="BH216"/>
      <c r="BI216"/>
      <c r="BJ216"/>
      <c r="BK216"/>
      <c r="BL216"/>
      <c r="BM216"/>
      <c r="BN216"/>
      <c r="BO216"/>
      <c r="BP216" t="s">
        <v>2697</v>
      </c>
      <c r="BQ216" t="s">
        <v>3643</v>
      </c>
      <c r="BR216" t="s">
        <v>3642</v>
      </c>
      <c r="BS216" t="s">
        <v>3640</v>
      </c>
      <c r="BT216" t="s">
        <v>3641</v>
      </c>
      <c r="BU216" t="s">
        <v>3640</v>
      </c>
      <c r="BV216"/>
      <c r="BW216"/>
      <c r="BX216"/>
      <c r="BY216"/>
      <c r="BZ216"/>
      <c r="CA216"/>
      <c r="CB216"/>
      <c r="CC216"/>
      <c r="CD216"/>
      <c r="CE216"/>
      <c r="CF216"/>
      <c r="CG216"/>
      <c r="CH216"/>
      <c r="CI216"/>
      <c r="CJ216"/>
      <c r="CK216"/>
      <c r="CL216"/>
      <c r="CM216"/>
      <c r="CN216"/>
      <c r="CO216"/>
      <c r="CP216"/>
      <c r="CQ216"/>
      <c r="CR216"/>
      <c r="CS216"/>
      <c r="CT216"/>
      <c r="CU216"/>
      <c r="CV216"/>
      <c r="CW216"/>
      <c r="CX216" t="s">
        <v>2307</v>
      </c>
      <c r="CY216">
        <v>235</v>
      </c>
      <c r="CZ216" t="s">
        <v>2306</v>
      </c>
    </row>
    <row r="217" spans="1:104" ht="14.25">
      <c r="A217" t="s">
        <v>974</v>
      </c>
      <c r="B217" t="s">
        <v>974</v>
      </c>
      <c r="C217" t="s">
        <v>3639</v>
      </c>
      <c r="D217">
        <v>0.125</v>
      </c>
      <c r="E217" t="s">
        <v>2462</v>
      </c>
      <c r="F217" t="s">
        <v>2320</v>
      </c>
      <c r="G217" t="s">
        <v>2461</v>
      </c>
      <c r="H217" t="s">
        <v>2460</v>
      </c>
      <c r="I217"/>
      <c r="J217" t="s">
        <v>2460</v>
      </c>
      <c r="K217"/>
      <c r="L217"/>
      <c r="M217">
        <v>15</v>
      </c>
      <c r="N217">
        <v>9</v>
      </c>
      <c r="O217">
        <v>2</v>
      </c>
      <c r="P217">
        <v>8</v>
      </c>
      <c r="Q217"/>
      <c r="R217" t="s">
        <v>2317</v>
      </c>
      <c r="S217" t="s">
        <v>2876</v>
      </c>
      <c r="T217" t="s">
        <v>2315</v>
      </c>
      <c r="U217" t="s">
        <v>2315</v>
      </c>
      <c r="V217">
        <v>30</v>
      </c>
      <c r="W217"/>
      <c r="X217"/>
      <c r="Y217"/>
      <c r="Z217"/>
      <c r="AA217">
        <v>11</v>
      </c>
      <c r="AB217">
        <v>12</v>
      </c>
      <c r="AC217">
        <v>11</v>
      </c>
      <c r="AD217">
        <v>12</v>
      </c>
      <c r="AE217">
        <v>14</v>
      </c>
      <c r="AF217">
        <v>16</v>
      </c>
      <c r="AG217">
        <v>348</v>
      </c>
      <c r="AH217"/>
      <c r="AI217"/>
      <c r="AJ217"/>
      <c r="AK217"/>
      <c r="AL217"/>
      <c r="AM217"/>
      <c r="AN217"/>
      <c r="AO217">
        <v>396</v>
      </c>
      <c r="AP217">
        <v>13</v>
      </c>
      <c r="AQ217">
        <v>20</v>
      </c>
      <c r="AR217"/>
      <c r="AS217"/>
      <c r="AT217">
        <v>26</v>
      </c>
      <c r="AU217"/>
      <c r="AV217" t="s">
        <v>3638</v>
      </c>
      <c r="AW217"/>
      <c r="AX217"/>
      <c r="AY217"/>
      <c r="AZ217"/>
      <c r="BA217"/>
      <c r="BB217"/>
      <c r="BC217"/>
      <c r="BD217"/>
      <c r="BE217"/>
      <c r="BF217"/>
      <c r="BG217"/>
      <c r="BH217"/>
      <c r="BI217"/>
      <c r="BJ217"/>
      <c r="BK217"/>
      <c r="BL217"/>
      <c r="BM217"/>
      <c r="BN217"/>
      <c r="BO217"/>
      <c r="BP217" t="s">
        <v>3637</v>
      </c>
      <c r="BQ217" t="s">
        <v>3298</v>
      </c>
      <c r="BR217" t="s">
        <v>3636</v>
      </c>
      <c r="BS217"/>
      <c r="BT217"/>
      <c r="BU217"/>
      <c r="BV217"/>
      <c r="BW217"/>
      <c r="BX217"/>
      <c r="BY217"/>
      <c r="BZ217"/>
      <c r="CA217"/>
      <c r="CB217"/>
      <c r="CC217"/>
      <c r="CD217"/>
      <c r="CE217"/>
      <c r="CF217"/>
      <c r="CG217"/>
      <c r="CH217"/>
      <c r="CI217"/>
      <c r="CJ217"/>
      <c r="CK217"/>
      <c r="CL217"/>
      <c r="CM217"/>
      <c r="CN217"/>
      <c r="CO217"/>
      <c r="CP217"/>
      <c r="CQ217"/>
      <c r="CR217"/>
      <c r="CS217"/>
      <c r="CT217"/>
      <c r="CU217"/>
      <c r="CV217" t="s">
        <v>3635</v>
      </c>
      <c r="CW217" t="s">
        <v>3634</v>
      </c>
      <c r="CX217" t="s">
        <v>2307</v>
      </c>
      <c r="CY217">
        <v>348</v>
      </c>
      <c r="CZ217" t="s">
        <v>2306</v>
      </c>
    </row>
    <row r="218" spans="1:104" ht="14.25">
      <c r="A218" t="s">
        <v>3633</v>
      </c>
      <c r="B218" t="s">
        <v>3632</v>
      </c>
      <c r="C218" t="s">
        <v>3631</v>
      </c>
      <c r="D218">
        <v>2</v>
      </c>
      <c r="E218" t="s">
        <v>2321</v>
      </c>
      <c r="F218" t="s">
        <v>2342</v>
      </c>
      <c r="G218" t="s">
        <v>3630</v>
      </c>
      <c r="H218"/>
      <c r="I218"/>
      <c r="J218" t="s">
        <v>1908</v>
      </c>
      <c r="K218"/>
      <c r="L218"/>
      <c r="M218">
        <v>8</v>
      </c>
      <c r="N218">
        <v>45</v>
      </c>
      <c r="O218">
        <v>6</v>
      </c>
      <c r="P218">
        <v>10</v>
      </c>
      <c r="Q218">
        <v>12</v>
      </c>
      <c r="R218" t="s">
        <v>2317</v>
      </c>
      <c r="S218" t="s">
        <v>3629</v>
      </c>
      <c r="T218" t="s">
        <v>2315</v>
      </c>
      <c r="U218" t="s">
        <v>2315</v>
      </c>
      <c r="V218">
        <v>10</v>
      </c>
      <c r="W218"/>
      <c r="X218">
        <v>10</v>
      </c>
      <c r="Y218"/>
      <c r="Z218"/>
      <c r="AA218">
        <v>15</v>
      </c>
      <c r="AB218">
        <v>6</v>
      </c>
      <c r="AC218">
        <v>14</v>
      </c>
      <c r="AD218">
        <v>2</v>
      </c>
      <c r="AE218">
        <v>6</v>
      </c>
      <c r="AF218">
        <v>1</v>
      </c>
      <c r="AG218">
        <v>243</v>
      </c>
      <c r="AH218"/>
      <c r="AI218"/>
      <c r="AJ218">
        <v>60</v>
      </c>
      <c r="AK218"/>
      <c r="AL218"/>
      <c r="AM218"/>
      <c r="AN218">
        <v>38</v>
      </c>
      <c r="AO218">
        <v>341</v>
      </c>
      <c r="AP218"/>
      <c r="AQ218"/>
      <c r="AR218"/>
      <c r="AS218" t="s">
        <v>3628</v>
      </c>
      <c r="AT218"/>
      <c r="AU218"/>
      <c r="AV218"/>
      <c r="AW218"/>
      <c r="AX218" t="s">
        <v>2568</v>
      </c>
      <c r="AY218" t="s">
        <v>3202</v>
      </c>
      <c r="AZ218" t="s">
        <v>3627</v>
      </c>
      <c r="BA218" t="s">
        <v>3202</v>
      </c>
      <c r="BB218" t="s">
        <v>2768</v>
      </c>
      <c r="BC218" t="s">
        <v>3626</v>
      </c>
      <c r="BD218" t="s">
        <v>2768</v>
      </c>
      <c r="BE218"/>
      <c r="BF218"/>
      <c r="BG218"/>
      <c r="BH218"/>
      <c r="BI218"/>
      <c r="BJ218"/>
      <c r="BK218"/>
      <c r="BL218"/>
      <c r="BM218"/>
      <c r="BN218"/>
      <c r="BO218"/>
      <c r="BP218" t="s">
        <v>3625</v>
      </c>
      <c r="BQ218" t="s">
        <v>3624</v>
      </c>
      <c r="BR218" t="s">
        <v>3623</v>
      </c>
      <c r="BS218"/>
      <c r="BT218"/>
      <c r="BU218"/>
      <c r="BV218"/>
      <c r="BW218"/>
      <c r="BX218"/>
      <c r="BY218"/>
      <c r="BZ218"/>
      <c r="CA218"/>
      <c r="CB218"/>
      <c r="CC218"/>
      <c r="CD218"/>
      <c r="CE218"/>
      <c r="CF218"/>
      <c r="CG218"/>
      <c r="CH218"/>
      <c r="CI218"/>
      <c r="CJ218"/>
      <c r="CK218"/>
      <c r="CL218"/>
      <c r="CM218"/>
      <c r="CN218"/>
      <c r="CO218"/>
      <c r="CP218"/>
      <c r="CQ218"/>
      <c r="CR218"/>
      <c r="CS218"/>
      <c r="CT218"/>
      <c r="CU218"/>
      <c r="CV218" t="s">
        <v>3622</v>
      </c>
      <c r="CW218" t="s">
        <v>3621</v>
      </c>
      <c r="CX218" t="s">
        <v>2307</v>
      </c>
      <c r="CY218">
        <v>243</v>
      </c>
      <c r="CZ218" t="s">
        <v>2306</v>
      </c>
    </row>
    <row r="219" spans="1:104" ht="14.25">
      <c r="A219" t="s">
        <v>3620</v>
      </c>
      <c r="B219" t="s">
        <v>3620</v>
      </c>
      <c r="C219" t="s">
        <v>3619</v>
      </c>
      <c r="D219">
        <v>0</v>
      </c>
      <c r="E219" t="s">
        <v>2533</v>
      </c>
      <c r="F219" t="s">
        <v>2497</v>
      </c>
      <c r="G219" t="s">
        <v>2543</v>
      </c>
      <c r="H219"/>
      <c r="I219"/>
      <c r="J219" t="s">
        <v>1908</v>
      </c>
      <c r="K219"/>
      <c r="L219"/>
      <c r="M219">
        <v>12</v>
      </c>
      <c r="N219">
        <v>3</v>
      </c>
      <c r="O219">
        <v>1</v>
      </c>
      <c r="P219">
        <v>6</v>
      </c>
      <c r="Q219"/>
      <c r="R219" t="s">
        <v>2317</v>
      </c>
      <c r="S219" t="s">
        <v>2679</v>
      </c>
      <c r="T219" t="s">
        <v>2315</v>
      </c>
      <c r="U219" t="s">
        <v>2315</v>
      </c>
      <c r="V219">
        <v>5</v>
      </c>
      <c r="W219"/>
      <c r="X219"/>
      <c r="Y219"/>
      <c r="Z219">
        <v>30</v>
      </c>
      <c r="AA219">
        <v>4</v>
      </c>
      <c r="AB219">
        <v>15</v>
      </c>
      <c r="AC219">
        <v>11</v>
      </c>
      <c r="AD219">
        <v>3</v>
      </c>
      <c r="AE219">
        <v>10</v>
      </c>
      <c r="AF219">
        <v>4</v>
      </c>
      <c r="AG219">
        <v>333</v>
      </c>
      <c r="AH219"/>
      <c r="AI219"/>
      <c r="AJ219"/>
      <c r="AK219"/>
      <c r="AL219"/>
      <c r="AM219"/>
      <c r="AN219">
        <v>38</v>
      </c>
      <c r="AO219">
        <v>379</v>
      </c>
      <c r="AP219"/>
      <c r="AQ219"/>
      <c r="AR219"/>
      <c r="AS219"/>
      <c r="AT219"/>
      <c r="AU219"/>
      <c r="AV219"/>
      <c r="AW219"/>
      <c r="AX219"/>
      <c r="AY219" t="s">
        <v>3487</v>
      </c>
      <c r="AZ219" t="s">
        <v>3618</v>
      </c>
      <c r="BA219" t="s">
        <v>3487</v>
      </c>
      <c r="BB219" t="s">
        <v>3616</v>
      </c>
      <c r="BC219" t="s">
        <v>3617</v>
      </c>
      <c r="BD219" t="s">
        <v>3616</v>
      </c>
      <c r="BE219" t="s">
        <v>2955</v>
      </c>
      <c r="BF219" t="s">
        <v>3615</v>
      </c>
      <c r="BG219" t="s">
        <v>2955</v>
      </c>
      <c r="BH219"/>
      <c r="BI219"/>
      <c r="BJ219"/>
      <c r="BK219"/>
      <c r="BL219"/>
      <c r="BM219"/>
      <c r="BN219"/>
      <c r="BO219"/>
      <c r="BP219" t="s">
        <v>3614</v>
      </c>
      <c r="BQ219" t="s">
        <v>3613</v>
      </c>
      <c r="BR219" t="s">
        <v>3612</v>
      </c>
      <c r="BS219" t="s">
        <v>3610</v>
      </c>
      <c r="BT219" t="s">
        <v>3611</v>
      </c>
      <c r="BU219" t="s">
        <v>3610</v>
      </c>
      <c r="BV219"/>
      <c r="BW219"/>
      <c r="BX219"/>
      <c r="BY219"/>
      <c r="BZ219"/>
      <c r="CA219"/>
      <c r="CB219"/>
      <c r="CC219"/>
      <c r="CD219"/>
      <c r="CE219"/>
      <c r="CF219"/>
      <c r="CG219"/>
      <c r="CH219"/>
      <c r="CI219"/>
      <c r="CJ219"/>
      <c r="CK219"/>
      <c r="CL219"/>
      <c r="CM219"/>
      <c r="CN219"/>
      <c r="CO219"/>
      <c r="CP219"/>
      <c r="CQ219"/>
      <c r="CR219"/>
      <c r="CS219"/>
      <c r="CT219"/>
      <c r="CU219"/>
      <c r="CV219"/>
      <c r="CW219"/>
      <c r="CX219" t="s">
        <v>2307</v>
      </c>
      <c r="CY219">
        <v>333</v>
      </c>
      <c r="CZ219" t="s">
        <v>2306</v>
      </c>
    </row>
    <row r="220" spans="1:104" ht="14.25">
      <c r="A220" t="s">
        <v>3609</v>
      </c>
      <c r="B220" t="s">
        <v>3609</v>
      </c>
      <c r="C220" t="s">
        <v>3608</v>
      </c>
      <c r="D220">
        <v>2</v>
      </c>
      <c r="E220" t="s">
        <v>2321</v>
      </c>
      <c r="F220" t="s">
        <v>2342</v>
      </c>
      <c r="G220" t="s">
        <v>2858</v>
      </c>
      <c r="H220"/>
      <c r="I220"/>
      <c r="J220" t="s">
        <v>2340</v>
      </c>
      <c r="K220"/>
      <c r="L220"/>
      <c r="M220">
        <v>11</v>
      </c>
      <c r="N220">
        <v>59</v>
      </c>
      <c r="O220">
        <v>7</v>
      </c>
      <c r="P220">
        <v>10</v>
      </c>
      <c r="Q220">
        <v>21</v>
      </c>
      <c r="R220" t="s">
        <v>2317</v>
      </c>
      <c r="S220" t="s">
        <v>3607</v>
      </c>
      <c r="T220" t="s">
        <v>2439</v>
      </c>
      <c r="U220" t="s">
        <v>2315</v>
      </c>
      <c r="V220">
        <v>40</v>
      </c>
      <c r="W220"/>
      <c r="X220"/>
      <c r="Y220"/>
      <c r="Z220"/>
      <c r="AA220">
        <v>19</v>
      </c>
      <c r="AB220">
        <v>8</v>
      </c>
      <c r="AC220">
        <v>16</v>
      </c>
      <c r="AD220">
        <v>5</v>
      </c>
      <c r="AE220">
        <v>7</v>
      </c>
      <c r="AF220">
        <v>7</v>
      </c>
      <c r="AG220">
        <v>237</v>
      </c>
      <c r="AH220"/>
      <c r="AI220"/>
      <c r="AJ220">
        <v>60</v>
      </c>
      <c r="AK220"/>
      <c r="AL220"/>
      <c r="AM220"/>
      <c r="AN220">
        <v>38</v>
      </c>
      <c r="AO220">
        <v>339</v>
      </c>
      <c r="AP220">
        <v>14</v>
      </c>
      <c r="AQ220">
        <v>20</v>
      </c>
      <c r="AR220"/>
      <c r="AS220"/>
      <c r="AT220"/>
      <c r="AU220"/>
      <c r="AV220"/>
      <c r="AW220"/>
      <c r="AX220" t="s">
        <v>3606</v>
      </c>
      <c r="AY220"/>
      <c r="AZ220"/>
      <c r="BA220"/>
      <c r="BB220"/>
      <c r="BC220"/>
      <c r="BD220"/>
      <c r="BE220"/>
      <c r="BF220"/>
      <c r="BG220"/>
      <c r="BH220"/>
      <c r="BI220"/>
      <c r="BJ220"/>
      <c r="BK220"/>
      <c r="BL220"/>
      <c r="BM220"/>
      <c r="BN220"/>
      <c r="BO220"/>
      <c r="BP220" t="s">
        <v>2273</v>
      </c>
      <c r="BQ220" t="s">
        <v>3597</v>
      </c>
      <c r="BR220" t="s">
        <v>3605</v>
      </c>
      <c r="BS220" t="s">
        <v>3572</v>
      </c>
      <c r="BT220" t="s">
        <v>3604</v>
      </c>
      <c r="BU220" t="s">
        <v>3603</v>
      </c>
      <c r="BV220"/>
      <c r="BW220"/>
      <c r="BX220"/>
      <c r="BY220"/>
      <c r="BZ220"/>
      <c r="CA220"/>
      <c r="CB220"/>
      <c r="CC220"/>
      <c r="CD220"/>
      <c r="CE220"/>
      <c r="CF220"/>
      <c r="CG220"/>
      <c r="CH220"/>
      <c r="CI220"/>
      <c r="CJ220"/>
      <c r="CK220"/>
      <c r="CL220"/>
      <c r="CM220"/>
      <c r="CN220"/>
      <c r="CO220"/>
      <c r="CP220"/>
      <c r="CQ220"/>
      <c r="CR220"/>
      <c r="CS220"/>
      <c r="CT220"/>
      <c r="CU220"/>
      <c r="CV220"/>
      <c r="CW220"/>
      <c r="CX220" t="s">
        <v>2307</v>
      </c>
      <c r="CY220">
        <v>237</v>
      </c>
      <c r="CZ220" t="s">
        <v>2306</v>
      </c>
    </row>
    <row r="221" spans="1:104" ht="14.25">
      <c r="A221" t="s">
        <v>3602</v>
      </c>
      <c r="B221" t="s">
        <v>3601</v>
      </c>
      <c r="C221" t="s">
        <v>3600</v>
      </c>
      <c r="D221">
        <v>2</v>
      </c>
      <c r="E221" t="s">
        <v>2321</v>
      </c>
      <c r="F221" t="s">
        <v>2342</v>
      </c>
      <c r="G221" t="s">
        <v>2319</v>
      </c>
      <c r="H221"/>
      <c r="I221"/>
      <c r="J221" t="s">
        <v>2318</v>
      </c>
      <c r="K221"/>
      <c r="L221"/>
      <c r="M221">
        <v>8</v>
      </c>
      <c r="N221">
        <v>85</v>
      </c>
      <c r="O221">
        <v>9</v>
      </c>
      <c r="P221">
        <v>10</v>
      </c>
      <c r="Q221">
        <v>36</v>
      </c>
      <c r="R221" t="s">
        <v>2317</v>
      </c>
      <c r="S221" t="s">
        <v>3599</v>
      </c>
      <c r="T221" t="s">
        <v>2315</v>
      </c>
      <c r="U221" t="s">
        <v>2315</v>
      </c>
      <c r="V221">
        <v>30</v>
      </c>
      <c r="W221"/>
      <c r="X221"/>
      <c r="Y221"/>
      <c r="Z221"/>
      <c r="AA221">
        <v>19</v>
      </c>
      <c r="AB221">
        <v>6</v>
      </c>
      <c r="AC221">
        <v>18</v>
      </c>
      <c r="AD221">
        <v>3</v>
      </c>
      <c r="AE221">
        <v>6</v>
      </c>
      <c r="AF221">
        <v>5</v>
      </c>
      <c r="AG221">
        <v>316</v>
      </c>
      <c r="AH221"/>
      <c r="AI221"/>
      <c r="AJ221"/>
      <c r="AK221"/>
      <c r="AL221"/>
      <c r="AM221"/>
      <c r="AN221"/>
      <c r="AO221">
        <v>360</v>
      </c>
      <c r="AP221"/>
      <c r="AQ221"/>
      <c r="AR221"/>
      <c r="AS221"/>
      <c r="AT221"/>
      <c r="AU221"/>
      <c r="AV221"/>
      <c r="AW221"/>
      <c r="AX221"/>
      <c r="AY221" t="s">
        <v>2311</v>
      </c>
      <c r="AZ221" t="s">
        <v>2312</v>
      </c>
      <c r="BA221" t="s">
        <v>2311</v>
      </c>
      <c r="BB221"/>
      <c r="BC221"/>
      <c r="BD221"/>
      <c r="BE221"/>
      <c r="BF221"/>
      <c r="BG221"/>
      <c r="BH221"/>
      <c r="BI221"/>
      <c r="BJ221"/>
      <c r="BK221"/>
      <c r="BL221"/>
      <c r="BM221"/>
      <c r="BN221"/>
      <c r="BO221"/>
      <c r="BP221" t="s">
        <v>3598</v>
      </c>
      <c r="BQ221" t="s">
        <v>3597</v>
      </c>
      <c r="BR221" t="s">
        <v>3596</v>
      </c>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t="s">
        <v>2307</v>
      </c>
      <c r="CY221">
        <v>316</v>
      </c>
      <c r="CZ221" t="s">
        <v>2306</v>
      </c>
    </row>
    <row r="222" spans="1:104" ht="14.25">
      <c r="A222" t="s">
        <v>3595</v>
      </c>
      <c r="B222" t="s">
        <v>3595</v>
      </c>
      <c r="C222" t="s">
        <v>3594</v>
      </c>
      <c r="D222">
        <v>7</v>
      </c>
      <c r="E222" t="s">
        <v>2321</v>
      </c>
      <c r="F222" t="s">
        <v>2342</v>
      </c>
      <c r="G222" t="s">
        <v>2858</v>
      </c>
      <c r="H222"/>
      <c r="I222"/>
      <c r="J222" t="s">
        <v>2375</v>
      </c>
      <c r="K222"/>
      <c r="L222"/>
      <c r="M222">
        <v>16</v>
      </c>
      <c r="N222">
        <v>110</v>
      </c>
      <c r="O222">
        <v>13</v>
      </c>
      <c r="P222">
        <v>10</v>
      </c>
      <c r="Q222">
        <v>39</v>
      </c>
      <c r="R222" t="s">
        <v>2825</v>
      </c>
      <c r="S222" t="s">
        <v>2337</v>
      </c>
      <c r="T222" t="s">
        <v>2339</v>
      </c>
      <c r="U222" t="s">
        <v>2315</v>
      </c>
      <c r="V222">
        <v>30</v>
      </c>
      <c r="W222"/>
      <c r="X222"/>
      <c r="Y222">
        <v>30</v>
      </c>
      <c r="Z222"/>
      <c r="AA222">
        <v>19</v>
      </c>
      <c r="AB222">
        <v>11</v>
      </c>
      <c r="AC222">
        <v>16</v>
      </c>
      <c r="AD222">
        <v>14</v>
      </c>
      <c r="AE222">
        <v>12</v>
      </c>
      <c r="AF222">
        <v>15</v>
      </c>
      <c r="AG222">
        <v>239</v>
      </c>
      <c r="AH222"/>
      <c r="AI222"/>
      <c r="AJ222"/>
      <c r="AK222"/>
      <c r="AL222"/>
      <c r="AM222"/>
      <c r="AN222"/>
      <c r="AO222">
        <v>339</v>
      </c>
      <c r="AP222"/>
      <c r="AQ222"/>
      <c r="AR222"/>
      <c r="AS222"/>
      <c r="AT222">
        <v>27</v>
      </c>
      <c r="AU222"/>
      <c r="AV222"/>
      <c r="AW222"/>
      <c r="AX222"/>
      <c r="AY222" t="s">
        <v>2488</v>
      </c>
      <c r="AZ222" t="s">
        <v>3593</v>
      </c>
      <c r="BA222" t="s">
        <v>2488</v>
      </c>
      <c r="BB222" t="s">
        <v>2819</v>
      </c>
      <c r="BC222" t="s">
        <v>3592</v>
      </c>
      <c r="BD222" t="s">
        <v>2819</v>
      </c>
      <c r="BE222" t="s">
        <v>2770</v>
      </c>
      <c r="BF222" t="s">
        <v>3591</v>
      </c>
      <c r="BG222" t="s">
        <v>2770</v>
      </c>
      <c r="BH222"/>
      <c r="BI222"/>
      <c r="BJ222"/>
      <c r="BK222"/>
      <c r="BL222"/>
      <c r="BM222"/>
      <c r="BN222"/>
      <c r="BO222"/>
      <c r="BP222" t="s">
        <v>2333</v>
      </c>
      <c r="BQ222" t="s">
        <v>3590</v>
      </c>
      <c r="BR222" t="s">
        <v>2333</v>
      </c>
      <c r="BS222" t="s">
        <v>3589</v>
      </c>
      <c r="BT222" t="s">
        <v>3588</v>
      </c>
      <c r="BU222" t="s">
        <v>3587</v>
      </c>
      <c r="BV222" t="s">
        <v>3586</v>
      </c>
      <c r="BW222" t="s">
        <v>3585</v>
      </c>
      <c r="BX222" t="s">
        <v>3584</v>
      </c>
      <c r="BY222" t="s">
        <v>3582</v>
      </c>
      <c r="BZ222" t="s">
        <v>3583</v>
      </c>
      <c r="CA222" t="s">
        <v>3582</v>
      </c>
      <c r="CB222"/>
      <c r="CC222"/>
      <c r="CD222"/>
      <c r="CE222"/>
      <c r="CF222"/>
      <c r="CG222"/>
      <c r="CH222"/>
      <c r="CI222"/>
      <c r="CJ222"/>
      <c r="CK222"/>
      <c r="CL222"/>
      <c r="CM222"/>
      <c r="CN222"/>
      <c r="CO222"/>
      <c r="CP222"/>
      <c r="CQ222"/>
      <c r="CR222"/>
      <c r="CS222"/>
      <c r="CT222"/>
      <c r="CU222"/>
      <c r="CV222"/>
      <c r="CW222"/>
      <c r="CX222" t="s">
        <v>2307</v>
      </c>
      <c r="CY222">
        <v>239</v>
      </c>
      <c r="CZ222" t="s">
        <v>2306</v>
      </c>
    </row>
    <row r="223" spans="1:104" ht="14.25">
      <c r="A223" t="s">
        <v>3580</v>
      </c>
      <c r="B223" t="s">
        <v>3580</v>
      </c>
      <c r="C223" t="s">
        <v>3581</v>
      </c>
      <c r="D223">
        <v>0.5</v>
      </c>
      <c r="E223" t="s">
        <v>2321</v>
      </c>
      <c r="F223" t="s">
        <v>2320</v>
      </c>
      <c r="G223" t="s">
        <v>2461</v>
      </c>
      <c r="H223" t="s">
        <v>3580</v>
      </c>
      <c r="I223"/>
      <c r="J223" t="s">
        <v>2340</v>
      </c>
      <c r="K223"/>
      <c r="L223"/>
      <c r="M223">
        <v>13</v>
      </c>
      <c r="N223">
        <v>15</v>
      </c>
      <c r="O223">
        <v>2</v>
      </c>
      <c r="P223">
        <v>8</v>
      </c>
      <c r="Q223">
        <v>6</v>
      </c>
      <c r="R223" t="s">
        <v>2317</v>
      </c>
      <c r="S223" t="s">
        <v>3579</v>
      </c>
      <c r="T223" t="s">
        <v>2758</v>
      </c>
      <c r="U223" t="s">
        <v>2315</v>
      </c>
      <c r="V223">
        <v>30</v>
      </c>
      <c r="W223"/>
      <c r="X223"/>
      <c r="Y223"/>
      <c r="Z223"/>
      <c r="AA223">
        <v>16</v>
      </c>
      <c r="AB223">
        <v>12</v>
      </c>
      <c r="AC223">
        <v>16</v>
      </c>
      <c r="AD223">
        <v>7</v>
      </c>
      <c r="AE223">
        <v>11</v>
      </c>
      <c r="AF223">
        <v>10</v>
      </c>
      <c r="AG223">
        <v>246</v>
      </c>
      <c r="AH223"/>
      <c r="AI223"/>
      <c r="AJ223">
        <v>61</v>
      </c>
      <c r="AK223"/>
      <c r="AL223"/>
      <c r="AM223"/>
      <c r="AN223">
        <v>39</v>
      </c>
      <c r="AO223">
        <v>342</v>
      </c>
      <c r="AP223">
        <v>14</v>
      </c>
      <c r="AQ223"/>
      <c r="AR223"/>
      <c r="AS223" t="s">
        <v>3578</v>
      </c>
      <c r="AT223"/>
      <c r="AU223"/>
      <c r="AV223"/>
      <c r="AW223"/>
      <c r="AX223"/>
      <c r="AY223" t="s">
        <v>3576</v>
      </c>
      <c r="AZ223" t="s">
        <v>3577</v>
      </c>
      <c r="BA223" t="s">
        <v>3576</v>
      </c>
      <c r="BB223"/>
      <c r="BC223"/>
      <c r="BD223"/>
      <c r="BE223"/>
      <c r="BF223"/>
      <c r="BG223"/>
      <c r="BH223"/>
      <c r="BI223"/>
      <c r="BJ223"/>
      <c r="BK223"/>
      <c r="BL223"/>
      <c r="BM223"/>
      <c r="BN223"/>
      <c r="BO223"/>
      <c r="BP223" t="s">
        <v>3575</v>
      </c>
      <c r="BQ223" t="s">
        <v>3574</v>
      </c>
      <c r="BR223" t="s">
        <v>3573</v>
      </c>
      <c r="BS223" t="s">
        <v>3572</v>
      </c>
      <c r="BT223" t="s">
        <v>3571</v>
      </c>
      <c r="BU223" t="s">
        <v>3570</v>
      </c>
      <c r="BV223"/>
      <c r="BW223"/>
      <c r="BX223"/>
      <c r="BY223"/>
      <c r="BZ223"/>
      <c r="CA223"/>
      <c r="CB223"/>
      <c r="CC223"/>
      <c r="CD223"/>
      <c r="CE223"/>
      <c r="CF223"/>
      <c r="CG223"/>
      <c r="CH223"/>
      <c r="CI223"/>
      <c r="CJ223"/>
      <c r="CK223"/>
      <c r="CL223"/>
      <c r="CM223"/>
      <c r="CN223"/>
      <c r="CO223"/>
      <c r="CP223"/>
      <c r="CQ223"/>
      <c r="CR223"/>
      <c r="CS223"/>
      <c r="CT223"/>
      <c r="CU223"/>
      <c r="CV223"/>
      <c r="CW223"/>
      <c r="CX223" t="s">
        <v>2307</v>
      </c>
      <c r="CY223">
        <v>246</v>
      </c>
      <c r="CZ223" t="s">
        <v>2306</v>
      </c>
    </row>
    <row r="224" spans="1:104" ht="14.25">
      <c r="A224" t="s">
        <v>3569</v>
      </c>
      <c r="B224" t="s">
        <v>3569</v>
      </c>
      <c r="C224" t="s">
        <v>3568</v>
      </c>
      <c r="D224">
        <v>5</v>
      </c>
      <c r="E224" t="s">
        <v>2321</v>
      </c>
      <c r="F224" t="s">
        <v>2342</v>
      </c>
      <c r="G224" t="s">
        <v>3567</v>
      </c>
      <c r="H224"/>
      <c r="I224"/>
      <c r="J224" t="s">
        <v>1902</v>
      </c>
      <c r="K224"/>
      <c r="L224"/>
      <c r="M224">
        <v>14</v>
      </c>
      <c r="N224">
        <v>114</v>
      </c>
      <c r="O224">
        <v>12</v>
      </c>
      <c r="P224">
        <v>10</v>
      </c>
      <c r="Q224">
        <v>48</v>
      </c>
      <c r="R224" t="s">
        <v>2317</v>
      </c>
      <c r="S224" t="s">
        <v>3566</v>
      </c>
      <c r="T224" t="s">
        <v>3566</v>
      </c>
      <c r="U224" t="s">
        <v>2315</v>
      </c>
      <c r="V224">
        <v>30</v>
      </c>
      <c r="W224"/>
      <c r="X224"/>
      <c r="Y224"/>
      <c r="Z224"/>
      <c r="AA224">
        <v>16</v>
      </c>
      <c r="AB224">
        <v>11</v>
      </c>
      <c r="AC224">
        <v>19</v>
      </c>
      <c r="AD224">
        <v>6</v>
      </c>
      <c r="AE224">
        <v>13</v>
      </c>
      <c r="AF224">
        <v>6</v>
      </c>
      <c r="AG224">
        <v>248</v>
      </c>
      <c r="AH224"/>
      <c r="AI224"/>
      <c r="AJ224"/>
      <c r="AK224"/>
      <c r="AL224"/>
      <c r="AM224"/>
      <c r="AN224"/>
      <c r="AO224">
        <v>342</v>
      </c>
      <c r="AP224">
        <v>14</v>
      </c>
      <c r="AQ224">
        <v>20</v>
      </c>
      <c r="AR224"/>
      <c r="AS224"/>
      <c r="AT224"/>
      <c r="AU224"/>
      <c r="AV224" t="s">
        <v>3565</v>
      </c>
      <c r="AW224"/>
      <c r="AX224"/>
      <c r="AY224" t="s">
        <v>3450</v>
      </c>
      <c r="AZ224" t="s">
        <v>3564</v>
      </c>
      <c r="BA224" t="s">
        <v>3450</v>
      </c>
      <c r="BB224"/>
      <c r="BC224"/>
      <c r="BD224"/>
      <c r="BE224"/>
      <c r="BF224"/>
      <c r="BG224"/>
      <c r="BH224"/>
      <c r="BI224"/>
      <c r="BJ224"/>
      <c r="BK224"/>
      <c r="BL224"/>
      <c r="BM224"/>
      <c r="BN224"/>
      <c r="BO224"/>
      <c r="BP224" t="s">
        <v>2333</v>
      </c>
      <c r="BQ224" t="s">
        <v>3563</v>
      </c>
      <c r="BR224" t="s">
        <v>2333</v>
      </c>
      <c r="BS224" t="s">
        <v>2332</v>
      </c>
      <c r="BT224" t="s">
        <v>3562</v>
      </c>
      <c r="BU224" t="s">
        <v>3561</v>
      </c>
      <c r="BV224" t="s">
        <v>3560</v>
      </c>
      <c r="BW224" t="s">
        <v>3559</v>
      </c>
      <c r="BX224" t="s">
        <v>3558</v>
      </c>
      <c r="BY224" t="s">
        <v>3556</v>
      </c>
      <c r="BZ224" t="s">
        <v>3557</v>
      </c>
      <c r="CA224" t="s">
        <v>3556</v>
      </c>
      <c r="CB224"/>
      <c r="CC224"/>
      <c r="CD224"/>
      <c r="CE224"/>
      <c r="CF224"/>
      <c r="CG224"/>
      <c r="CH224"/>
      <c r="CI224"/>
      <c r="CJ224"/>
      <c r="CK224"/>
      <c r="CL224"/>
      <c r="CM224"/>
      <c r="CN224"/>
      <c r="CO224"/>
      <c r="CP224"/>
      <c r="CQ224"/>
      <c r="CR224"/>
      <c r="CS224"/>
      <c r="CT224"/>
      <c r="CU224"/>
      <c r="CV224"/>
      <c r="CW224"/>
      <c r="CX224" t="s">
        <v>2307</v>
      </c>
      <c r="CY224">
        <v>248</v>
      </c>
      <c r="CZ224" t="s">
        <v>2306</v>
      </c>
    </row>
    <row r="225" spans="1:104" ht="14.25">
      <c r="A225" t="s">
        <v>3555</v>
      </c>
      <c r="B225" t="s">
        <v>3555</v>
      </c>
      <c r="C225" t="s">
        <v>3554</v>
      </c>
      <c r="D225">
        <v>0</v>
      </c>
      <c r="E225" t="s">
        <v>2533</v>
      </c>
      <c r="F225" t="s">
        <v>2572</v>
      </c>
      <c r="G225" t="s">
        <v>2543</v>
      </c>
      <c r="H225"/>
      <c r="I225"/>
      <c r="J225" t="s">
        <v>1908</v>
      </c>
      <c r="K225"/>
      <c r="L225"/>
      <c r="M225">
        <v>11</v>
      </c>
      <c r="N225">
        <v>1</v>
      </c>
      <c r="O225">
        <v>1</v>
      </c>
      <c r="P225">
        <v>4</v>
      </c>
      <c r="Q225">
        <v>-1</v>
      </c>
      <c r="R225" t="s">
        <v>2317</v>
      </c>
      <c r="S225" t="s">
        <v>2679</v>
      </c>
      <c r="T225" t="s">
        <v>2315</v>
      </c>
      <c r="U225" t="s">
        <v>2315</v>
      </c>
      <c r="V225">
        <v>5</v>
      </c>
      <c r="W225"/>
      <c r="X225"/>
      <c r="Y225">
        <v>60</v>
      </c>
      <c r="Z225"/>
      <c r="AA225">
        <v>3</v>
      </c>
      <c r="AB225">
        <v>13</v>
      </c>
      <c r="AC225">
        <v>8</v>
      </c>
      <c r="AD225">
        <v>2</v>
      </c>
      <c r="AE225">
        <v>12</v>
      </c>
      <c r="AF225">
        <v>7</v>
      </c>
      <c r="AG225">
        <v>333</v>
      </c>
      <c r="AH225">
        <v>308</v>
      </c>
      <c r="AI225"/>
      <c r="AJ225"/>
      <c r="AK225"/>
      <c r="AL225"/>
      <c r="AM225"/>
      <c r="AN225">
        <v>39</v>
      </c>
      <c r="AO225">
        <v>380</v>
      </c>
      <c r="AP225"/>
      <c r="AQ225"/>
      <c r="AR225"/>
      <c r="AS225"/>
      <c r="AT225"/>
      <c r="AU225"/>
      <c r="AV225"/>
      <c r="AW225"/>
      <c r="AX225"/>
      <c r="AY225" t="s">
        <v>3442</v>
      </c>
      <c r="AZ225" t="s">
        <v>3553</v>
      </c>
      <c r="BA225" t="s">
        <v>3442</v>
      </c>
      <c r="BB225" t="s">
        <v>3234</v>
      </c>
      <c r="BC225" t="s">
        <v>3552</v>
      </c>
      <c r="BD225" t="s">
        <v>3234</v>
      </c>
      <c r="BE225"/>
      <c r="BF225"/>
      <c r="BG225"/>
      <c r="BH225"/>
      <c r="BI225"/>
      <c r="BJ225"/>
      <c r="BK225"/>
      <c r="BL225"/>
      <c r="BM225"/>
      <c r="BN225"/>
      <c r="BO225"/>
      <c r="BP225" t="s">
        <v>2722</v>
      </c>
      <c r="BQ225" t="s">
        <v>3551</v>
      </c>
      <c r="BR225" t="s">
        <v>3550</v>
      </c>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t="s">
        <v>2307</v>
      </c>
      <c r="CY225">
        <v>333</v>
      </c>
      <c r="CZ225" t="s">
        <v>2306</v>
      </c>
    </row>
    <row r="226" spans="1:104" ht="14.25">
      <c r="A226" t="s">
        <v>3549</v>
      </c>
      <c r="B226" t="s">
        <v>3549</v>
      </c>
      <c r="C226" t="s">
        <v>3548</v>
      </c>
      <c r="D226">
        <v>3</v>
      </c>
      <c r="E226" t="s">
        <v>2321</v>
      </c>
      <c r="F226" t="s">
        <v>2342</v>
      </c>
      <c r="G226" t="s">
        <v>2440</v>
      </c>
      <c r="H226"/>
      <c r="I226"/>
      <c r="J226" t="s">
        <v>1908</v>
      </c>
      <c r="K226"/>
      <c r="L226"/>
      <c r="M226">
        <v>13</v>
      </c>
      <c r="N226">
        <v>59</v>
      </c>
      <c r="O226">
        <v>7</v>
      </c>
      <c r="P226">
        <v>10</v>
      </c>
      <c r="Q226">
        <v>21</v>
      </c>
      <c r="R226" t="s">
        <v>2317</v>
      </c>
      <c r="S226" t="s">
        <v>3291</v>
      </c>
      <c r="T226" t="s">
        <v>3353</v>
      </c>
      <c r="U226" t="s">
        <v>2315</v>
      </c>
      <c r="V226">
        <v>40</v>
      </c>
      <c r="W226"/>
      <c r="X226"/>
      <c r="Y226"/>
      <c r="Z226"/>
      <c r="AA226">
        <v>20</v>
      </c>
      <c r="AB226">
        <v>12</v>
      </c>
      <c r="AC226">
        <v>17</v>
      </c>
      <c r="AD226">
        <v>3</v>
      </c>
      <c r="AE226">
        <v>12</v>
      </c>
      <c r="AF226">
        <v>7</v>
      </c>
      <c r="AG226">
        <v>249</v>
      </c>
      <c r="AH226"/>
      <c r="AI226"/>
      <c r="AJ226">
        <v>61</v>
      </c>
      <c r="AK226"/>
      <c r="AL226"/>
      <c r="AM226"/>
      <c r="AN226">
        <v>39</v>
      </c>
      <c r="AO226">
        <v>342</v>
      </c>
      <c r="AP226"/>
      <c r="AQ226"/>
      <c r="AR226"/>
      <c r="AS226" t="s">
        <v>3547</v>
      </c>
      <c r="AT226"/>
      <c r="AU226"/>
      <c r="AV226"/>
      <c r="AW226"/>
      <c r="AX226"/>
      <c r="AY226" t="s">
        <v>2709</v>
      </c>
      <c r="AZ226" t="s">
        <v>3546</v>
      </c>
      <c r="BA226" t="s">
        <v>2709</v>
      </c>
      <c r="BB226"/>
      <c r="BC226"/>
      <c r="BD226"/>
      <c r="BE226"/>
      <c r="BF226"/>
      <c r="BG226"/>
      <c r="BH226"/>
      <c r="BI226"/>
      <c r="BJ226"/>
      <c r="BK226"/>
      <c r="BL226"/>
      <c r="BM226"/>
      <c r="BN226"/>
      <c r="BO226"/>
      <c r="BP226" t="s">
        <v>2333</v>
      </c>
      <c r="BQ226" t="s">
        <v>3545</v>
      </c>
      <c r="BR226" t="s">
        <v>2333</v>
      </c>
      <c r="BS226" t="s">
        <v>2707</v>
      </c>
      <c r="BT226" t="s">
        <v>3544</v>
      </c>
      <c r="BU226" t="s">
        <v>3543</v>
      </c>
      <c r="BV226" t="s">
        <v>2505</v>
      </c>
      <c r="BW226" t="s">
        <v>3542</v>
      </c>
      <c r="BX226" t="s">
        <v>3541</v>
      </c>
      <c r="BY226"/>
      <c r="BZ226"/>
      <c r="CA226"/>
      <c r="CB226"/>
      <c r="CC226"/>
      <c r="CD226"/>
      <c r="CE226"/>
      <c r="CF226"/>
      <c r="CG226"/>
      <c r="CH226"/>
      <c r="CI226"/>
      <c r="CJ226"/>
      <c r="CK226"/>
      <c r="CL226"/>
      <c r="CM226"/>
      <c r="CN226"/>
      <c r="CO226"/>
      <c r="CP226"/>
      <c r="CQ226"/>
      <c r="CR226"/>
      <c r="CS226"/>
      <c r="CT226"/>
      <c r="CU226"/>
      <c r="CV226"/>
      <c r="CW226"/>
      <c r="CX226" t="s">
        <v>2307</v>
      </c>
      <c r="CY226">
        <v>249</v>
      </c>
      <c r="CZ226" t="s">
        <v>2306</v>
      </c>
    </row>
    <row r="227" spans="1:104" ht="14.25">
      <c r="A227" t="s">
        <v>3540</v>
      </c>
      <c r="B227" t="s">
        <v>3540</v>
      </c>
      <c r="C227" t="s">
        <v>3539</v>
      </c>
      <c r="D227">
        <v>0.25</v>
      </c>
      <c r="E227" t="s">
        <v>2533</v>
      </c>
      <c r="F227" t="s">
        <v>2320</v>
      </c>
      <c r="G227" t="s">
        <v>2543</v>
      </c>
      <c r="H227"/>
      <c r="I227"/>
      <c r="J227" t="s">
        <v>1908</v>
      </c>
      <c r="K227"/>
      <c r="L227"/>
      <c r="M227">
        <v>12</v>
      </c>
      <c r="N227">
        <v>13</v>
      </c>
      <c r="O227">
        <v>3</v>
      </c>
      <c r="P227">
        <v>8</v>
      </c>
      <c r="Q227"/>
      <c r="R227" t="s">
        <v>2317</v>
      </c>
      <c r="S227" t="s">
        <v>2458</v>
      </c>
      <c r="T227" t="s">
        <v>2646</v>
      </c>
      <c r="U227" t="s">
        <v>2315</v>
      </c>
      <c r="V227">
        <v>50</v>
      </c>
      <c r="W227"/>
      <c r="X227">
        <v>40</v>
      </c>
      <c r="Y227"/>
      <c r="Z227"/>
      <c r="AA227">
        <v>14</v>
      </c>
      <c r="AB227">
        <v>15</v>
      </c>
      <c r="AC227">
        <v>10</v>
      </c>
      <c r="AD227">
        <v>3</v>
      </c>
      <c r="AE227">
        <v>14</v>
      </c>
      <c r="AF227">
        <v>7</v>
      </c>
      <c r="AG227">
        <v>333</v>
      </c>
      <c r="AH227">
        <v>308</v>
      </c>
      <c r="AI227"/>
      <c r="AJ227"/>
      <c r="AK227"/>
      <c r="AL227"/>
      <c r="AM227"/>
      <c r="AN227">
        <v>39</v>
      </c>
      <c r="AO227">
        <v>380</v>
      </c>
      <c r="AP227"/>
      <c r="AQ227"/>
      <c r="AR227"/>
      <c r="AS227" t="s">
        <v>3538</v>
      </c>
      <c r="AT227"/>
      <c r="AU227"/>
      <c r="AV227"/>
      <c r="AW227"/>
      <c r="AX227"/>
      <c r="AY227" t="s">
        <v>2434</v>
      </c>
      <c r="AZ227" t="s">
        <v>3537</v>
      </c>
      <c r="BA227" t="s">
        <v>2434</v>
      </c>
      <c r="BB227" t="s">
        <v>2897</v>
      </c>
      <c r="BC227" t="s">
        <v>3536</v>
      </c>
      <c r="BD227" t="s">
        <v>2897</v>
      </c>
      <c r="BE227"/>
      <c r="BF227"/>
      <c r="BG227"/>
      <c r="BH227"/>
      <c r="BI227"/>
      <c r="BJ227"/>
      <c r="BK227"/>
      <c r="BL227"/>
      <c r="BM227"/>
      <c r="BN227"/>
      <c r="BO227"/>
      <c r="BP227" t="s">
        <v>2332</v>
      </c>
      <c r="BQ227" t="s">
        <v>2638</v>
      </c>
      <c r="BR227" t="s">
        <v>3535</v>
      </c>
      <c r="BS227" t="s">
        <v>2329</v>
      </c>
      <c r="BT227" t="s">
        <v>3534</v>
      </c>
      <c r="BU227" t="s">
        <v>3533</v>
      </c>
      <c r="BV227"/>
      <c r="BW227"/>
      <c r="BX227"/>
      <c r="BY227"/>
      <c r="BZ227"/>
      <c r="CA227"/>
      <c r="CB227"/>
      <c r="CC227"/>
      <c r="CD227"/>
      <c r="CE227"/>
      <c r="CF227"/>
      <c r="CG227"/>
      <c r="CH227"/>
      <c r="CI227"/>
      <c r="CJ227"/>
      <c r="CK227"/>
      <c r="CL227"/>
      <c r="CM227"/>
      <c r="CN227"/>
      <c r="CO227"/>
      <c r="CP227"/>
      <c r="CQ227"/>
      <c r="CR227"/>
      <c r="CS227"/>
      <c r="CT227"/>
      <c r="CU227"/>
      <c r="CV227"/>
      <c r="CW227"/>
      <c r="CX227" t="s">
        <v>2307</v>
      </c>
      <c r="CY227">
        <v>333</v>
      </c>
      <c r="CZ227" t="s">
        <v>2306</v>
      </c>
    </row>
    <row r="228" spans="1:104" ht="14.25">
      <c r="A228" t="s">
        <v>3532</v>
      </c>
      <c r="B228" t="s">
        <v>3532</v>
      </c>
      <c r="C228" t="s">
        <v>3531</v>
      </c>
      <c r="D228">
        <v>2</v>
      </c>
      <c r="E228" t="s">
        <v>2321</v>
      </c>
      <c r="F228" t="s">
        <v>2342</v>
      </c>
      <c r="G228" t="s">
        <v>2826</v>
      </c>
      <c r="H228"/>
      <c r="I228"/>
      <c r="J228" t="s">
        <v>2388</v>
      </c>
      <c r="K228"/>
      <c r="L228"/>
      <c r="M228">
        <v>12</v>
      </c>
      <c r="N228">
        <v>59</v>
      </c>
      <c r="O228">
        <v>7</v>
      </c>
      <c r="P228">
        <v>10</v>
      </c>
      <c r="Q228">
        <v>21</v>
      </c>
      <c r="R228" t="s">
        <v>2317</v>
      </c>
      <c r="S228" t="s">
        <v>2439</v>
      </c>
      <c r="T228" t="s">
        <v>2315</v>
      </c>
      <c r="U228" t="s">
        <v>2315</v>
      </c>
      <c r="V228">
        <v>60</v>
      </c>
      <c r="W228"/>
      <c r="X228"/>
      <c r="Y228">
        <v>90</v>
      </c>
      <c r="Z228"/>
      <c r="AA228">
        <v>18</v>
      </c>
      <c r="AB228">
        <v>15</v>
      </c>
      <c r="AC228">
        <v>16</v>
      </c>
      <c r="AD228">
        <v>10</v>
      </c>
      <c r="AE228">
        <v>15</v>
      </c>
      <c r="AF228">
        <v>13</v>
      </c>
      <c r="AG228">
        <v>250</v>
      </c>
      <c r="AH228"/>
      <c r="AI228"/>
      <c r="AJ228"/>
      <c r="AK228"/>
      <c r="AL228"/>
      <c r="AM228"/>
      <c r="AN228">
        <v>40</v>
      </c>
      <c r="AO228">
        <v>343</v>
      </c>
      <c r="AP228"/>
      <c r="AQ228"/>
      <c r="AR228"/>
      <c r="AS228"/>
      <c r="AT228"/>
      <c r="AU228"/>
      <c r="AV228"/>
      <c r="AW228"/>
      <c r="AX228"/>
      <c r="AY228"/>
      <c r="AZ228"/>
      <c r="BA228"/>
      <c r="BB228"/>
      <c r="BC228"/>
      <c r="BD228"/>
      <c r="BE228"/>
      <c r="BF228"/>
      <c r="BG228"/>
      <c r="BH228"/>
      <c r="BI228"/>
      <c r="BJ228"/>
      <c r="BK228"/>
      <c r="BL228"/>
      <c r="BM228"/>
      <c r="BN228"/>
      <c r="BO228"/>
      <c r="BP228" t="s">
        <v>2697</v>
      </c>
      <c r="BQ228" t="s">
        <v>2696</v>
      </c>
      <c r="BR228" t="s">
        <v>2695</v>
      </c>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t="s">
        <v>2307</v>
      </c>
      <c r="CY228">
        <v>250</v>
      </c>
      <c r="CZ228" t="s">
        <v>2306</v>
      </c>
    </row>
    <row r="229" spans="1:104" ht="14.25">
      <c r="A229" t="s">
        <v>3530</v>
      </c>
      <c r="B229" t="s">
        <v>3529</v>
      </c>
      <c r="C229" t="s">
        <v>3528</v>
      </c>
      <c r="D229">
        <v>3</v>
      </c>
      <c r="E229" t="s">
        <v>2533</v>
      </c>
      <c r="F229" t="s">
        <v>2342</v>
      </c>
      <c r="G229" t="s">
        <v>2440</v>
      </c>
      <c r="H229" t="s">
        <v>3104</v>
      </c>
      <c r="I229"/>
      <c r="J229" t="s">
        <v>1908</v>
      </c>
      <c r="K229"/>
      <c r="L229"/>
      <c r="M229">
        <v>13</v>
      </c>
      <c r="N229">
        <v>32</v>
      </c>
      <c r="O229">
        <v>5</v>
      </c>
      <c r="P229">
        <v>10</v>
      </c>
      <c r="Q229">
        <v>5</v>
      </c>
      <c r="R229" t="s">
        <v>2317</v>
      </c>
      <c r="S229" t="s">
        <v>2586</v>
      </c>
      <c r="T229" t="s">
        <v>2315</v>
      </c>
      <c r="U229" t="s">
        <v>2315</v>
      </c>
      <c r="V229">
        <v>30</v>
      </c>
      <c r="W229"/>
      <c r="X229">
        <v>30</v>
      </c>
      <c r="Y229"/>
      <c r="Z229"/>
      <c r="AA229">
        <v>15</v>
      </c>
      <c r="AB229">
        <v>15</v>
      </c>
      <c r="AC229">
        <v>12</v>
      </c>
      <c r="AD229">
        <v>6</v>
      </c>
      <c r="AE229">
        <v>10</v>
      </c>
      <c r="AF229">
        <v>6</v>
      </c>
      <c r="AG229">
        <v>334</v>
      </c>
      <c r="AH229"/>
      <c r="AI229"/>
      <c r="AJ229"/>
      <c r="AK229"/>
      <c r="AL229"/>
      <c r="AM229"/>
      <c r="AN229">
        <v>40</v>
      </c>
      <c r="AO229">
        <v>380</v>
      </c>
      <c r="AP229"/>
      <c r="AQ229"/>
      <c r="AR229"/>
      <c r="AS229"/>
      <c r="AT229"/>
      <c r="AU229"/>
      <c r="AV229"/>
      <c r="AW229"/>
      <c r="AX229"/>
      <c r="AY229" t="s">
        <v>3526</v>
      </c>
      <c r="AZ229" t="s">
        <v>3527</v>
      </c>
      <c r="BA229" t="s">
        <v>3526</v>
      </c>
      <c r="BB229" t="s">
        <v>2768</v>
      </c>
      <c r="BC229" t="s">
        <v>3102</v>
      </c>
      <c r="BD229" t="s">
        <v>2768</v>
      </c>
      <c r="BE229" t="s">
        <v>3098</v>
      </c>
      <c r="BF229" t="s">
        <v>3099</v>
      </c>
      <c r="BG229" t="s">
        <v>3098</v>
      </c>
      <c r="BH229"/>
      <c r="BI229"/>
      <c r="BJ229"/>
      <c r="BK229"/>
      <c r="BL229"/>
      <c r="BM229"/>
      <c r="BN229"/>
      <c r="BO229"/>
      <c r="BP229" t="s">
        <v>2332</v>
      </c>
      <c r="BQ229" t="s">
        <v>3525</v>
      </c>
      <c r="BR229" t="s">
        <v>3524</v>
      </c>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t="s">
        <v>2307</v>
      </c>
      <c r="CY229">
        <v>334</v>
      </c>
      <c r="CZ229" t="s">
        <v>2306</v>
      </c>
    </row>
    <row r="230" spans="1:104" ht="14.25">
      <c r="A230" t="s">
        <v>3523</v>
      </c>
      <c r="B230" t="s">
        <v>3522</v>
      </c>
      <c r="C230" t="s">
        <v>3521</v>
      </c>
      <c r="D230">
        <v>20</v>
      </c>
      <c r="E230" t="s">
        <v>2321</v>
      </c>
      <c r="F230" t="s">
        <v>2342</v>
      </c>
      <c r="G230" t="s">
        <v>2732</v>
      </c>
      <c r="H230" t="s">
        <v>3520</v>
      </c>
      <c r="I230"/>
      <c r="J230" t="s">
        <v>2375</v>
      </c>
      <c r="K230"/>
      <c r="L230"/>
      <c r="M230">
        <v>19</v>
      </c>
      <c r="N230">
        <v>300</v>
      </c>
      <c r="O230">
        <v>24</v>
      </c>
      <c r="P230">
        <v>10</v>
      </c>
      <c r="Q230">
        <v>168</v>
      </c>
      <c r="R230" t="s">
        <v>2825</v>
      </c>
      <c r="S230" t="s">
        <v>3519</v>
      </c>
      <c r="T230" t="s">
        <v>3518</v>
      </c>
      <c r="U230" t="s">
        <v>2315</v>
      </c>
      <c r="V230">
        <v>30</v>
      </c>
      <c r="W230"/>
      <c r="X230"/>
      <c r="Y230">
        <v>60</v>
      </c>
      <c r="Z230"/>
      <c r="AA230">
        <v>26</v>
      </c>
      <c r="AB230">
        <v>14</v>
      </c>
      <c r="AC230">
        <v>24</v>
      </c>
      <c r="AD230">
        <v>22</v>
      </c>
      <c r="AE230">
        <v>18</v>
      </c>
      <c r="AF230">
        <v>24</v>
      </c>
      <c r="AG230">
        <v>77</v>
      </c>
      <c r="AH230"/>
      <c r="AI230"/>
      <c r="AJ230"/>
      <c r="AK230"/>
      <c r="AL230"/>
      <c r="AM230"/>
      <c r="AN230"/>
      <c r="AO230">
        <v>281</v>
      </c>
      <c r="AP230"/>
      <c r="AQ230"/>
      <c r="AR230"/>
      <c r="AS230"/>
      <c r="AT230"/>
      <c r="AU230"/>
      <c r="AV230"/>
      <c r="AW230"/>
      <c r="AX230"/>
      <c r="AY230" t="s">
        <v>3516</v>
      </c>
      <c r="AZ230" t="s">
        <v>3517</v>
      </c>
      <c r="BA230" t="s">
        <v>3516</v>
      </c>
      <c r="BB230" t="s">
        <v>2726</v>
      </c>
      <c r="BC230" t="s">
        <v>3515</v>
      </c>
      <c r="BD230" t="s">
        <v>2726</v>
      </c>
      <c r="BE230" t="s">
        <v>2819</v>
      </c>
      <c r="BF230" t="s">
        <v>3514</v>
      </c>
      <c r="BG230" t="s">
        <v>2819</v>
      </c>
      <c r="BH230" t="s">
        <v>2488</v>
      </c>
      <c r="BI230" t="s">
        <v>3513</v>
      </c>
      <c r="BJ230"/>
      <c r="BK230"/>
      <c r="BL230"/>
      <c r="BM230"/>
      <c r="BN230"/>
      <c r="BO230"/>
      <c r="BP230" t="s">
        <v>2333</v>
      </c>
      <c r="BQ230" t="s">
        <v>3512</v>
      </c>
      <c r="BR230" t="s">
        <v>2333</v>
      </c>
      <c r="BS230" t="s">
        <v>2332</v>
      </c>
      <c r="BT230" t="s">
        <v>3511</v>
      </c>
      <c r="BU230" t="s">
        <v>3510</v>
      </c>
      <c r="BV230" t="s">
        <v>2329</v>
      </c>
      <c r="BW230" t="s">
        <v>3509</v>
      </c>
      <c r="BX230" t="s">
        <v>3508</v>
      </c>
      <c r="BY230" t="s">
        <v>2450</v>
      </c>
      <c r="BZ230" t="s">
        <v>3507</v>
      </c>
      <c r="CA230" t="s">
        <v>3506</v>
      </c>
      <c r="CB230" t="s">
        <v>2831</v>
      </c>
      <c r="CC230" t="s">
        <v>3505</v>
      </c>
      <c r="CD230" t="s">
        <v>3504</v>
      </c>
      <c r="CE230"/>
      <c r="CF230"/>
      <c r="CG230"/>
      <c r="CH230"/>
      <c r="CI230"/>
      <c r="CJ230"/>
      <c r="CK230"/>
      <c r="CL230"/>
      <c r="CM230"/>
      <c r="CN230"/>
      <c r="CO230"/>
      <c r="CP230"/>
      <c r="CQ230"/>
      <c r="CR230"/>
      <c r="CS230"/>
      <c r="CT230"/>
      <c r="CU230"/>
      <c r="CV230"/>
      <c r="CW230"/>
      <c r="CX230" t="s">
        <v>2307</v>
      </c>
      <c r="CY230">
        <v>77</v>
      </c>
      <c r="CZ230" t="s">
        <v>2306</v>
      </c>
    </row>
    <row r="231" spans="1:104" ht="14.25">
      <c r="A231" t="s">
        <v>3503</v>
      </c>
      <c r="B231" t="s">
        <v>3503</v>
      </c>
      <c r="C231" t="s">
        <v>3502</v>
      </c>
      <c r="D231">
        <v>16</v>
      </c>
      <c r="E231" t="s">
        <v>2321</v>
      </c>
      <c r="F231" t="s">
        <v>2342</v>
      </c>
      <c r="G231" t="s">
        <v>2826</v>
      </c>
      <c r="H231"/>
      <c r="I231"/>
      <c r="J231" t="s">
        <v>2355</v>
      </c>
      <c r="K231"/>
      <c r="L231"/>
      <c r="M231">
        <v>19</v>
      </c>
      <c r="N231">
        <v>200</v>
      </c>
      <c r="O231">
        <v>16</v>
      </c>
      <c r="P231">
        <v>10</v>
      </c>
      <c r="Q231">
        <v>112</v>
      </c>
      <c r="R231" t="s">
        <v>2825</v>
      </c>
      <c r="S231" t="s">
        <v>3501</v>
      </c>
      <c r="T231" t="s">
        <v>2315</v>
      </c>
      <c r="U231" t="s">
        <v>3500</v>
      </c>
      <c r="V231">
        <v>40</v>
      </c>
      <c r="W231"/>
      <c r="X231"/>
      <c r="Y231">
        <v>120</v>
      </c>
      <c r="Z231"/>
      <c r="AA231">
        <v>24</v>
      </c>
      <c r="AB231">
        <v>20</v>
      </c>
      <c r="AC231">
        <v>24</v>
      </c>
      <c r="AD231">
        <v>19</v>
      </c>
      <c r="AE231">
        <v>22</v>
      </c>
      <c r="AF231">
        <v>25</v>
      </c>
      <c r="AG231">
        <v>17</v>
      </c>
      <c r="AH231"/>
      <c r="AI231"/>
      <c r="AJ231"/>
      <c r="AK231"/>
      <c r="AL231"/>
      <c r="AM231"/>
      <c r="AN231"/>
      <c r="AO231">
        <v>265</v>
      </c>
      <c r="AP231"/>
      <c r="AQ231"/>
      <c r="AR231"/>
      <c r="AS231"/>
      <c r="AT231"/>
      <c r="AU231"/>
      <c r="AV231"/>
      <c r="AW231"/>
      <c r="AX231"/>
      <c r="AY231" t="s">
        <v>3135</v>
      </c>
      <c r="AZ231" t="s">
        <v>3499</v>
      </c>
      <c r="BA231" t="s">
        <v>3135</v>
      </c>
      <c r="BB231" t="s">
        <v>3133</v>
      </c>
      <c r="BC231" t="s">
        <v>3498</v>
      </c>
      <c r="BD231" t="s">
        <v>3133</v>
      </c>
      <c r="BE231" t="s">
        <v>2488</v>
      </c>
      <c r="BF231" t="s">
        <v>3497</v>
      </c>
      <c r="BG231" t="s">
        <v>2488</v>
      </c>
      <c r="BH231" t="s">
        <v>2726</v>
      </c>
      <c r="BI231" t="s">
        <v>3496</v>
      </c>
      <c r="BJ231"/>
      <c r="BK231"/>
      <c r="BL231"/>
      <c r="BM231"/>
      <c r="BN231"/>
      <c r="BO231"/>
      <c r="BP231" t="s">
        <v>2333</v>
      </c>
      <c r="BQ231" t="s">
        <v>3495</v>
      </c>
      <c r="BR231" t="s">
        <v>2333</v>
      </c>
      <c r="BS231" t="s">
        <v>2996</v>
      </c>
      <c r="BT231" t="s">
        <v>3494</v>
      </c>
      <c r="BU231" t="s">
        <v>3493</v>
      </c>
      <c r="BV231" t="s">
        <v>3121</v>
      </c>
      <c r="BW231" t="s">
        <v>3492</v>
      </c>
      <c r="BX231" t="s">
        <v>3121</v>
      </c>
      <c r="BY231"/>
      <c r="BZ231"/>
      <c r="CA231"/>
      <c r="CB231"/>
      <c r="CC231"/>
      <c r="CD231"/>
      <c r="CE231"/>
      <c r="CF231"/>
      <c r="CG231"/>
      <c r="CH231"/>
      <c r="CI231"/>
      <c r="CJ231"/>
      <c r="CK231"/>
      <c r="CL231"/>
      <c r="CM231"/>
      <c r="CN231"/>
      <c r="CO231"/>
      <c r="CP231"/>
      <c r="CQ231"/>
      <c r="CR231"/>
      <c r="CS231"/>
      <c r="CT231"/>
      <c r="CU231"/>
      <c r="CV231"/>
      <c r="CW231"/>
      <c r="CX231" t="s">
        <v>2307</v>
      </c>
      <c r="CY231">
        <v>17</v>
      </c>
      <c r="CZ231" t="s">
        <v>2306</v>
      </c>
    </row>
    <row r="232" spans="1:104" ht="14.25">
      <c r="A232" t="s">
        <v>3491</v>
      </c>
      <c r="B232" t="s">
        <v>3491</v>
      </c>
      <c r="C232" t="s">
        <v>3490</v>
      </c>
      <c r="D232">
        <v>2</v>
      </c>
      <c r="E232" t="s">
        <v>2321</v>
      </c>
      <c r="F232" t="s">
        <v>2342</v>
      </c>
      <c r="G232" t="s">
        <v>2543</v>
      </c>
      <c r="H232" t="s">
        <v>2837</v>
      </c>
      <c r="I232"/>
      <c r="J232" t="s">
        <v>1908</v>
      </c>
      <c r="K232"/>
      <c r="L232"/>
      <c r="M232">
        <v>13</v>
      </c>
      <c r="N232">
        <v>68</v>
      </c>
      <c r="O232">
        <v>8</v>
      </c>
      <c r="P232">
        <v>10</v>
      </c>
      <c r="Q232">
        <v>24</v>
      </c>
      <c r="R232" t="s">
        <v>2317</v>
      </c>
      <c r="S232" t="s">
        <v>3489</v>
      </c>
      <c r="T232" t="s">
        <v>2315</v>
      </c>
      <c r="U232" t="s">
        <v>2315</v>
      </c>
      <c r="V232">
        <v>20</v>
      </c>
      <c r="W232"/>
      <c r="X232"/>
      <c r="Y232"/>
      <c r="Z232">
        <v>40</v>
      </c>
      <c r="AA232">
        <v>18</v>
      </c>
      <c r="AB232">
        <v>15</v>
      </c>
      <c r="AC232">
        <v>16</v>
      </c>
      <c r="AD232">
        <v>2</v>
      </c>
      <c r="AE232">
        <v>12</v>
      </c>
      <c r="AF232">
        <v>5</v>
      </c>
      <c r="AG232">
        <v>80</v>
      </c>
      <c r="AH232"/>
      <c r="AI232"/>
      <c r="AJ232"/>
      <c r="AK232"/>
      <c r="AL232"/>
      <c r="AM232"/>
      <c r="AN232">
        <v>40</v>
      </c>
      <c r="AO232">
        <v>282</v>
      </c>
      <c r="AP232"/>
      <c r="AQ232"/>
      <c r="AR232"/>
      <c r="AS232"/>
      <c r="AT232"/>
      <c r="AU232"/>
      <c r="AV232"/>
      <c r="AW232"/>
      <c r="AX232"/>
      <c r="AY232" t="s">
        <v>3487</v>
      </c>
      <c r="AZ232" t="s">
        <v>3488</v>
      </c>
      <c r="BA232" t="s">
        <v>3487</v>
      </c>
      <c r="BB232"/>
      <c r="BC232"/>
      <c r="BD232"/>
      <c r="BE232"/>
      <c r="BF232"/>
      <c r="BG232"/>
      <c r="BH232"/>
      <c r="BI232"/>
      <c r="BJ232"/>
      <c r="BK232"/>
      <c r="BL232"/>
      <c r="BM232"/>
      <c r="BN232"/>
      <c r="BO232"/>
      <c r="BP232" t="s">
        <v>2332</v>
      </c>
      <c r="BQ232" t="s">
        <v>3486</v>
      </c>
      <c r="BR232" t="s">
        <v>3485</v>
      </c>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t="s">
        <v>2307</v>
      </c>
      <c r="CY232">
        <v>80</v>
      </c>
      <c r="CZ232" t="s">
        <v>2306</v>
      </c>
    </row>
    <row r="233" spans="1:104" ht="14.25">
      <c r="A233" t="s">
        <v>3484</v>
      </c>
      <c r="B233" t="s">
        <v>3483</v>
      </c>
      <c r="C233" t="s">
        <v>3482</v>
      </c>
      <c r="D233">
        <v>0.125</v>
      </c>
      <c r="E233" t="s">
        <v>2533</v>
      </c>
      <c r="F233" t="s">
        <v>2572</v>
      </c>
      <c r="G233" t="s">
        <v>2543</v>
      </c>
      <c r="H233"/>
      <c r="I233"/>
      <c r="J233" t="s">
        <v>1908</v>
      </c>
      <c r="K233"/>
      <c r="L233"/>
      <c r="M233">
        <v>13</v>
      </c>
      <c r="N233">
        <v>2</v>
      </c>
      <c r="O233">
        <v>1</v>
      </c>
      <c r="P233">
        <v>4</v>
      </c>
      <c r="Q233"/>
      <c r="R233" t="s">
        <v>2317</v>
      </c>
      <c r="S233" t="s">
        <v>2679</v>
      </c>
      <c r="T233" t="s">
        <v>2315</v>
      </c>
      <c r="U233" t="s">
        <v>2315</v>
      </c>
      <c r="V233">
        <v>30</v>
      </c>
      <c r="W233"/>
      <c r="X233"/>
      <c r="Y233"/>
      <c r="Z233">
        <v>30</v>
      </c>
      <c r="AA233">
        <v>2</v>
      </c>
      <c r="AB233">
        <v>16</v>
      </c>
      <c r="AC233">
        <v>11</v>
      </c>
      <c r="AD233">
        <v>1</v>
      </c>
      <c r="AE233">
        <v>10</v>
      </c>
      <c r="AF233">
        <v>3</v>
      </c>
      <c r="AG233">
        <v>334</v>
      </c>
      <c r="AH233">
        <v>308</v>
      </c>
      <c r="AI233"/>
      <c r="AJ233"/>
      <c r="AK233"/>
      <c r="AL233"/>
      <c r="AM233"/>
      <c r="AN233">
        <v>40</v>
      </c>
      <c r="AO233">
        <v>381</v>
      </c>
      <c r="AP233"/>
      <c r="AQ233"/>
      <c r="AR233"/>
      <c r="AS233"/>
      <c r="AT233"/>
      <c r="AU233"/>
      <c r="AV233"/>
      <c r="AW233"/>
      <c r="AX233"/>
      <c r="AY233"/>
      <c r="AZ233"/>
      <c r="BA233"/>
      <c r="BB233"/>
      <c r="BC233"/>
      <c r="BD233"/>
      <c r="BE233"/>
      <c r="BF233"/>
      <c r="BG233"/>
      <c r="BH233"/>
      <c r="BI233"/>
      <c r="BJ233"/>
      <c r="BK233"/>
      <c r="BL233"/>
      <c r="BM233"/>
      <c r="BN233"/>
      <c r="BO233"/>
      <c r="BP233" t="s">
        <v>2332</v>
      </c>
      <c r="BQ233" t="s">
        <v>3481</v>
      </c>
      <c r="BR233" t="s">
        <v>2676</v>
      </c>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t="s">
        <v>2307</v>
      </c>
      <c r="CY233">
        <v>334</v>
      </c>
      <c r="CZ233" t="s">
        <v>2306</v>
      </c>
    </row>
    <row r="234" spans="1:104" ht="14.25">
      <c r="A234" t="s">
        <v>3480</v>
      </c>
      <c r="B234" t="s">
        <v>3479</v>
      </c>
      <c r="C234" t="s">
        <v>3478</v>
      </c>
      <c r="D234">
        <v>2</v>
      </c>
      <c r="E234" t="s">
        <v>2533</v>
      </c>
      <c r="F234" t="s">
        <v>2342</v>
      </c>
      <c r="G234" t="s">
        <v>2543</v>
      </c>
      <c r="H234"/>
      <c r="I234"/>
      <c r="J234" t="s">
        <v>1908</v>
      </c>
      <c r="K234"/>
      <c r="L234"/>
      <c r="M234">
        <v>12</v>
      </c>
      <c r="N234">
        <v>42</v>
      </c>
      <c r="O234">
        <v>5</v>
      </c>
      <c r="P234">
        <v>10</v>
      </c>
      <c r="Q234">
        <v>15</v>
      </c>
      <c r="R234" t="s">
        <v>2317</v>
      </c>
      <c r="S234" t="s">
        <v>3477</v>
      </c>
      <c r="T234" t="s">
        <v>3290</v>
      </c>
      <c r="U234" t="s">
        <v>2315</v>
      </c>
      <c r="V234">
        <v>40</v>
      </c>
      <c r="W234"/>
      <c r="X234"/>
      <c r="Y234"/>
      <c r="Z234">
        <v>30</v>
      </c>
      <c r="AA234">
        <v>20</v>
      </c>
      <c r="AB234">
        <v>10</v>
      </c>
      <c r="AC234">
        <v>16</v>
      </c>
      <c r="AD234">
        <v>2</v>
      </c>
      <c r="AE234">
        <v>13</v>
      </c>
      <c r="AF234">
        <v>7</v>
      </c>
      <c r="AG234">
        <v>334</v>
      </c>
      <c r="AH234"/>
      <c r="AI234"/>
      <c r="AJ234"/>
      <c r="AK234"/>
      <c r="AL234"/>
      <c r="AM234"/>
      <c r="AN234">
        <v>41</v>
      </c>
      <c r="AO234">
        <v>381</v>
      </c>
      <c r="AP234"/>
      <c r="AQ234">
        <v>21</v>
      </c>
      <c r="AR234"/>
      <c r="AS234"/>
      <c r="AT234"/>
      <c r="AU234"/>
      <c r="AV234" t="s">
        <v>3476</v>
      </c>
      <c r="AW234"/>
      <c r="AX234"/>
      <c r="AY234" t="s">
        <v>2434</v>
      </c>
      <c r="AZ234" t="s">
        <v>3475</v>
      </c>
      <c r="BA234" t="s">
        <v>2434</v>
      </c>
      <c r="BB234"/>
      <c r="BC234"/>
      <c r="BD234"/>
      <c r="BE234"/>
      <c r="BF234"/>
      <c r="BG234"/>
      <c r="BH234"/>
      <c r="BI234"/>
      <c r="BJ234"/>
      <c r="BK234"/>
      <c r="BL234"/>
      <c r="BM234"/>
      <c r="BN234"/>
      <c r="BO234"/>
      <c r="BP234" t="s">
        <v>2333</v>
      </c>
      <c r="BQ234" t="s">
        <v>3474</v>
      </c>
      <c r="BR234" t="s">
        <v>2333</v>
      </c>
      <c r="BS234" t="s">
        <v>2332</v>
      </c>
      <c r="BT234" t="s">
        <v>3473</v>
      </c>
      <c r="BU234" t="s">
        <v>3472</v>
      </c>
      <c r="BV234" t="s">
        <v>2505</v>
      </c>
      <c r="BW234" t="s">
        <v>3471</v>
      </c>
      <c r="BX234" t="s">
        <v>3470</v>
      </c>
      <c r="BY234"/>
      <c r="BZ234"/>
      <c r="CA234"/>
      <c r="CB234"/>
      <c r="CC234"/>
      <c r="CD234"/>
      <c r="CE234"/>
      <c r="CF234"/>
      <c r="CG234"/>
      <c r="CH234"/>
      <c r="CI234"/>
      <c r="CJ234"/>
      <c r="CK234"/>
      <c r="CL234"/>
      <c r="CM234"/>
      <c r="CN234"/>
      <c r="CO234"/>
      <c r="CP234"/>
      <c r="CQ234"/>
      <c r="CR234"/>
      <c r="CS234"/>
      <c r="CT234"/>
      <c r="CU234"/>
      <c r="CV234"/>
      <c r="CW234"/>
      <c r="CX234" t="s">
        <v>2307</v>
      </c>
      <c r="CY234">
        <v>334</v>
      </c>
      <c r="CZ234" t="s">
        <v>2306</v>
      </c>
    </row>
    <row r="235" spans="1:104" ht="14.25">
      <c r="A235" t="s">
        <v>3469</v>
      </c>
      <c r="B235" t="s">
        <v>3469</v>
      </c>
      <c r="C235" t="s">
        <v>3468</v>
      </c>
      <c r="D235">
        <v>0.125</v>
      </c>
      <c r="E235" t="s">
        <v>2533</v>
      </c>
      <c r="F235" t="s">
        <v>2320</v>
      </c>
      <c r="G235" t="s">
        <v>2543</v>
      </c>
      <c r="H235"/>
      <c r="I235"/>
      <c r="J235" t="s">
        <v>1908</v>
      </c>
      <c r="K235"/>
      <c r="L235"/>
      <c r="M235">
        <v>10</v>
      </c>
      <c r="N235">
        <v>11</v>
      </c>
      <c r="O235">
        <v>2</v>
      </c>
      <c r="P235">
        <v>8</v>
      </c>
      <c r="Q235">
        <v>2</v>
      </c>
      <c r="R235" t="s">
        <v>2317</v>
      </c>
      <c r="S235" t="s">
        <v>2610</v>
      </c>
      <c r="T235" t="s">
        <v>2315</v>
      </c>
      <c r="U235" t="s">
        <v>2315</v>
      </c>
      <c r="V235">
        <v>40</v>
      </c>
      <c r="W235"/>
      <c r="X235"/>
      <c r="Y235"/>
      <c r="Z235"/>
      <c r="AA235">
        <v>15</v>
      </c>
      <c r="AB235">
        <v>10</v>
      </c>
      <c r="AC235">
        <v>13</v>
      </c>
      <c r="AD235">
        <v>2</v>
      </c>
      <c r="AE235">
        <v>11</v>
      </c>
      <c r="AF235">
        <v>7</v>
      </c>
      <c r="AG235">
        <v>335</v>
      </c>
      <c r="AH235"/>
      <c r="AI235"/>
      <c r="AJ235"/>
      <c r="AK235"/>
      <c r="AL235"/>
      <c r="AM235"/>
      <c r="AN235">
        <v>41</v>
      </c>
      <c r="AO235">
        <v>381</v>
      </c>
      <c r="AP235"/>
      <c r="AQ235"/>
      <c r="AR235"/>
      <c r="AS235"/>
      <c r="AT235"/>
      <c r="AU235"/>
      <c r="AV235"/>
      <c r="AW235"/>
      <c r="AX235"/>
      <c r="AY235"/>
      <c r="AZ235"/>
      <c r="BA235"/>
      <c r="BB235"/>
      <c r="BC235"/>
      <c r="BD235"/>
      <c r="BE235"/>
      <c r="BF235"/>
      <c r="BG235"/>
      <c r="BH235"/>
      <c r="BI235"/>
      <c r="BJ235"/>
      <c r="BK235"/>
      <c r="BL235"/>
      <c r="BM235"/>
      <c r="BN235"/>
      <c r="BO235"/>
      <c r="BP235" t="s">
        <v>2697</v>
      </c>
      <c r="BQ235" t="s">
        <v>3467</v>
      </c>
      <c r="BR235" t="s">
        <v>3466</v>
      </c>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t="s">
        <v>2307</v>
      </c>
      <c r="CY235">
        <v>335</v>
      </c>
      <c r="CZ235" t="s">
        <v>2306</v>
      </c>
    </row>
    <row r="236" spans="1:104" ht="14.25">
      <c r="A236" t="s">
        <v>3465</v>
      </c>
      <c r="B236" t="s">
        <v>3465</v>
      </c>
      <c r="C236" t="s">
        <v>3464</v>
      </c>
      <c r="D236">
        <v>2</v>
      </c>
      <c r="E236" t="s">
        <v>2462</v>
      </c>
      <c r="F236" t="s">
        <v>2320</v>
      </c>
      <c r="G236" t="s">
        <v>2461</v>
      </c>
      <c r="H236" t="s">
        <v>2460</v>
      </c>
      <c r="I236"/>
      <c r="J236" t="s">
        <v>2460</v>
      </c>
      <c r="K236">
        <v>5</v>
      </c>
      <c r="L236" t="s">
        <v>1903</v>
      </c>
      <c r="M236">
        <v>13</v>
      </c>
      <c r="N236">
        <v>27</v>
      </c>
      <c r="O236">
        <v>5</v>
      </c>
      <c r="P236">
        <v>8</v>
      </c>
      <c r="Q236">
        <v>5</v>
      </c>
      <c r="R236" t="s">
        <v>2825</v>
      </c>
      <c r="S236" t="s">
        <v>3112</v>
      </c>
      <c r="T236" t="s">
        <v>2315</v>
      </c>
      <c r="U236" t="s">
        <v>2315</v>
      </c>
      <c r="V236">
        <v>25</v>
      </c>
      <c r="W236"/>
      <c r="X236"/>
      <c r="Y236"/>
      <c r="Z236"/>
      <c r="AA236">
        <v>10</v>
      </c>
      <c r="AB236">
        <v>10</v>
      </c>
      <c r="AC236">
        <v>12</v>
      </c>
      <c r="AD236">
        <v>13</v>
      </c>
      <c r="AE236">
        <v>16</v>
      </c>
      <c r="AF236">
        <v>13</v>
      </c>
      <c r="AG236">
        <v>348</v>
      </c>
      <c r="AH236"/>
      <c r="AI236"/>
      <c r="AJ236"/>
      <c r="AK236"/>
      <c r="AL236"/>
      <c r="AM236"/>
      <c r="AN236">
        <v>55</v>
      </c>
      <c r="AO236">
        <v>396</v>
      </c>
      <c r="AP236">
        <v>15</v>
      </c>
      <c r="AQ236"/>
      <c r="AR236"/>
      <c r="AS236" t="s">
        <v>3463</v>
      </c>
      <c r="AT236"/>
      <c r="AU236"/>
      <c r="AV236"/>
      <c r="AW236"/>
      <c r="AX236"/>
      <c r="AY236" t="s">
        <v>3462</v>
      </c>
      <c r="AZ236" t="s">
        <v>3461</v>
      </c>
      <c r="BA236" t="s">
        <v>3460</v>
      </c>
      <c r="BB236" t="s">
        <v>3088</v>
      </c>
      <c r="BC236" t="s">
        <v>3459</v>
      </c>
      <c r="BD236" t="s">
        <v>3088</v>
      </c>
      <c r="BE236"/>
      <c r="BF236"/>
      <c r="BG236"/>
      <c r="BH236"/>
      <c r="BI236"/>
      <c r="BJ236"/>
      <c r="BK236"/>
      <c r="BL236"/>
      <c r="BM236"/>
      <c r="BN236"/>
      <c r="BO236"/>
      <c r="BP236" t="s">
        <v>2450</v>
      </c>
      <c r="BQ236" t="s">
        <v>3458</v>
      </c>
      <c r="BR236" t="s">
        <v>3457</v>
      </c>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t="s">
        <v>2307</v>
      </c>
      <c r="CY236">
        <v>348</v>
      </c>
      <c r="CZ236" t="s">
        <v>2306</v>
      </c>
    </row>
    <row r="237" spans="1:104" ht="14.25">
      <c r="A237" t="s">
        <v>3456</v>
      </c>
      <c r="B237" t="s">
        <v>3456</v>
      </c>
      <c r="C237" t="s">
        <v>3455</v>
      </c>
      <c r="D237">
        <v>0.25</v>
      </c>
      <c r="E237" t="s">
        <v>2321</v>
      </c>
      <c r="F237" t="s">
        <v>2572</v>
      </c>
      <c r="G237" t="s">
        <v>2341</v>
      </c>
      <c r="H237"/>
      <c r="I237"/>
      <c r="J237" t="s">
        <v>2495</v>
      </c>
      <c r="K237"/>
      <c r="L237"/>
      <c r="M237">
        <v>13</v>
      </c>
      <c r="N237">
        <v>7</v>
      </c>
      <c r="O237">
        <v>2</v>
      </c>
      <c r="P237">
        <v>4</v>
      </c>
      <c r="Q237">
        <v>2</v>
      </c>
      <c r="R237" t="s">
        <v>2317</v>
      </c>
      <c r="S237" t="s">
        <v>2646</v>
      </c>
      <c r="T237" t="s">
        <v>2646</v>
      </c>
      <c r="U237" t="s">
        <v>2315</v>
      </c>
      <c r="V237">
        <v>15</v>
      </c>
      <c r="W237"/>
      <c r="X237"/>
      <c r="Y237">
        <v>60</v>
      </c>
      <c r="Z237"/>
      <c r="AA237">
        <v>6</v>
      </c>
      <c r="AB237">
        <v>15</v>
      </c>
      <c r="AC237">
        <v>13</v>
      </c>
      <c r="AD237">
        <v>10</v>
      </c>
      <c r="AE237">
        <v>12</v>
      </c>
      <c r="AF237">
        <v>10</v>
      </c>
      <c r="AG237">
        <v>254</v>
      </c>
      <c r="AH237">
        <v>308</v>
      </c>
      <c r="AI237"/>
      <c r="AJ237"/>
      <c r="AK237"/>
      <c r="AL237"/>
      <c r="AM237"/>
      <c r="AN237"/>
      <c r="AO237">
        <v>343</v>
      </c>
      <c r="AP237"/>
      <c r="AQ237">
        <v>21</v>
      </c>
      <c r="AR237"/>
      <c r="AS237"/>
      <c r="AT237"/>
      <c r="AU237"/>
      <c r="AV237"/>
      <c r="AW237"/>
      <c r="AX237"/>
      <c r="AY237" t="s">
        <v>3453</v>
      </c>
      <c r="AZ237" t="s">
        <v>3454</v>
      </c>
      <c r="BA237" t="s">
        <v>3453</v>
      </c>
      <c r="BB237" t="s">
        <v>2726</v>
      </c>
      <c r="BC237" t="s">
        <v>3452</v>
      </c>
      <c r="BD237" t="s">
        <v>2726</v>
      </c>
      <c r="BE237" t="s">
        <v>3450</v>
      </c>
      <c r="BF237" t="s">
        <v>3451</v>
      </c>
      <c r="BG237" t="s">
        <v>3450</v>
      </c>
      <c r="BH237" t="s">
        <v>3419</v>
      </c>
      <c r="BI237" t="s">
        <v>3449</v>
      </c>
      <c r="BJ237"/>
      <c r="BK237"/>
      <c r="BL237"/>
      <c r="BM237"/>
      <c r="BN237"/>
      <c r="BO237"/>
      <c r="BP237" t="s">
        <v>2332</v>
      </c>
      <c r="BQ237" t="s">
        <v>3448</v>
      </c>
      <c r="BR237" t="s">
        <v>2640</v>
      </c>
      <c r="BS237" t="s">
        <v>3243</v>
      </c>
      <c r="BT237" t="s">
        <v>3447</v>
      </c>
      <c r="BU237" t="s">
        <v>3446</v>
      </c>
      <c r="BV237"/>
      <c r="BW237"/>
      <c r="BX237"/>
      <c r="BY237"/>
      <c r="BZ237"/>
      <c r="CA237"/>
      <c r="CB237"/>
      <c r="CC237"/>
      <c r="CD237"/>
      <c r="CE237"/>
      <c r="CF237"/>
      <c r="CG237"/>
      <c r="CH237"/>
      <c r="CI237"/>
      <c r="CJ237"/>
      <c r="CK237"/>
      <c r="CL237"/>
      <c r="CM237"/>
      <c r="CN237"/>
      <c r="CO237"/>
      <c r="CP237"/>
      <c r="CQ237"/>
      <c r="CR237"/>
      <c r="CS237"/>
      <c r="CT237"/>
      <c r="CU237"/>
      <c r="CV237"/>
      <c r="CW237"/>
      <c r="CX237" t="s">
        <v>2307</v>
      </c>
      <c r="CY237">
        <v>254</v>
      </c>
      <c r="CZ237" t="s">
        <v>2306</v>
      </c>
    </row>
    <row r="238" spans="1:104" ht="14.25">
      <c r="A238" t="s">
        <v>3445</v>
      </c>
      <c r="B238" t="s">
        <v>3445</v>
      </c>
      <c r="C238" t="s">
        <v>3444</v>
      </c>
      <c r="D238">
        <v>0.25</v>
      </c>
      <c r="E238" t="s">
        <v>2321</v>
      </c>
      <c r="F238" t="s">
        <v>2320</v>
      </c>
      <c r="G238" t="s">
        <v>2543</v>
      </c>
      <c r="H238" t="s">
        <v>2837</v>
      </c>
      <c r="I238"/>
      <c r="J238" t="s">
        <v>1908</v>
      </c>
      <c r="K238"/>
      <c r="L238"/>
      <c r="M238">
        <v>13</v>
      </c>
      <c r="N238">
        <v>13</v>
      </c>
      <c r="O238">
        <v>3</v>
      </c>
      <c r="P238">
        <v>8</v>
      </c>
      <c r="Q238"/>
      <c r="R238" t="s">
        <v>2317</v>
      </c>
      <c r="S238" t="s">
        <v>3256</v>
      </c>
      <c r="T238" t="s">
        <v>2315</v>
      </c>
      <c r="U238" t="s">
        <v>2315</v>
      </c>
      <c r="V238">
        <v>10</v>
      </c>
      <c r="W238"/>
      <c r="X238"/>
      <c r="Y238">
        <v>60</v>
      </c>
      <c r="Z238"/>
      <c r="AA238">
        <v>12</v>
      </c>
      <c r="AB238">
        <v>15</v>
      </c>
      <c r="AC238">
        <v>10</v>
      </c>
      <c r="AD238">
        <v>2</v>
      </c>
      <c r="AE238">
        <v>9</v>
      </c>
      <c r="AF238">
        <v>5</v>
      </c>
      <c r="AG238">
        <v>80</v>
      </c>
      <c r="AH238"/>
      <c r="AI238"/>
      <c r="AJ238"/>
      <c r="AK238"/>
      <c r="AL238"/>
      <c r="AM238"/>
      <c r="AN238">
        <v>41</v>
      </c>
      <c r="AO238"/>
      <c r="AP238"/>
      <c r="AQ238"/>
      <c r="AR238"/>
      <c r="AS238"/>
      <c r="AT238"/>
      <c r="AU238"/>
      <c r="AV238"/>
      <c r="AW238"/>
      <c r="AX238"/>
      <c r="AY238" t="s">
        <v>3442</v>
      </c>
      <c r="AZ238" t="s">
        <v>3443</v>
      </c>
      <c r="BA238" t="s">
        <v>3442</v>
      </c>
      <c r="BB238"/>
      <c r="BC238"/>
      <c r="BD238"/>
      <c r="BE238"/>
      <c r="BF238"/>
      <c r="BG238"/>
      <c r="BH238"/>
      <c r="BI238"/>
      <c r="BJ238"/>
      <c r="BK238"/>
      <c r="BL238"/>
      <c r="BM238"/>
      <c r="BN238"/>
      <c r="BO238"/>
      <c r="BP238" t="s">
        <v>2332</v>
      </c>
      <c r="BQ238" t="s">
        <v>3441</v>
      </c>
      <c r="BR238" t="s">
        <v>3440</v>
      </c>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t="s">
        <v>2307</v>
      </c>
      <c r="CY238">
        <v>80</v>
      </c>
      <c r="CZ238" t="s">
        <v>2306</v>
      </c>
    </row>
    <row r="239" spans="1:104" ht="14.25">
      <c r="A239" t="s">
        <v>3439</v>
      </c>
      <c r="B239" t="s">
        <v>3438</v>
      </c>
      <c r="C239" t="s">
        <v>3437</v>
      </c>
      <c r="D239">
        <v>15</v>
      </c>
      <c r="E239" t="s">
        <v>2321</v>
      </c>
      <c r="F239" t="s">
        <v>2930</v>
      </c>
      <c r="G239" t="s">
        <v>2440</v>
      </c>
      <c r="H239"/>
      <c r="I239"/>
      <c r="J239" t="s">
        <v>1908</v>
      </c>
      <c r="K239"/>
      <c r="L239"/>
      <c r="M239">
        <v>18</v>
      </c>
      <c r="N239">
        <v>247</v>
      </c>
      <c r="O239">
        <v>15</v>
      </c>
      <c r="P239">
        <v>20</v>
      </c>
      <c r="Q239">
        <v>90</v>
      </c>
      <c r="R239" t="s">
        <v>2317</v>
      </c>
      <c r="S239" t="s">
        <v>3436</v>
      </c>
      <c r="T239" t="s">
        <v>3435</v>
      </c>
      <c r="U239" t="s">
        <v>2315</v>
      </c>
      <c r="V239">
        <v>50</v>
      </c>
      <c r="W239">
        <v>30</v>
      </c>
      <c r="X239"/>
      <c r="Y239"/>
      <c r="Z239"/>
      <c r="AA239">
        <v>28</v>
      </c>
      <c r="AB239">
        <v>7</v>
      </c>
      <c r="AC239">
        <v>22</v>
      </c>
      <c r="AD239">
        <v>1</v>
      </c>
      <c r="AE239">
        <v>8</v>
      </c>
      <c r="AF239">
        <v>4</v>
      </c>
      <c r="AG239">
        <v>255</v>
      </c>
      <c r="AH239"/>
      <c r="AI239"/>
      <c r="AJ239"/>
      <c r="AK239"/>
      <c r="AL239"/>
      <c r="AM239"/>
      <c r="AN239"/>
      <c r="AO239">
        <v>343</v>
      </c>
      <c r="AP239"/>
      <c r="AQ239"/>
      <c r="AR239"/>
      <c r="AS239"/>
      <c r="AT239">
        <v>29</v>
      </c>
      <c r="AU239"/>
      <c r="AV239"/>
      <c r="AW239"/>
      <c r="AX239"/>
      <c r="AY239" t="s">
        <v>3433</v>
      </c>
      <c r="AZ239" t="s">
        <v>3434</v>
      </c>
      <c r="BA239" t="s">
        <v>3433</v>
      </c>
      <c r="BB239"/>
      <c r="BC239"/>
      <c r="BD239"/>
      <c r="BE239"/>
      <c r="BF239"/>
      <c r="BG239"/>
      <c r="BH239"/>
      <c r="BI239"/>
      <c r="BJ239"/>
      <c r="BK239"/>
      <c r="BL239"/>
      <c r="BM239"/>
      <c r="BN239"/>
      <c r="BO239"/>
      <c r="BP239" t="s">
        <v>2333</v>
      </c>
      <c r="BQ239" t="s">
        <v>3432</v>
      </c>
      <c r="BR239" t="s">
        <v>2333</v>
      </c>
      <c r="BS239" t="s">
        <v>2332</v>
      </c>
      <c r="BT239" t="s">
        <v>3431</v>
      </c>
      <c r="BU239" t="s">
        <v>3430</v>
      </c>
      <c r="BV239" t="s">
        <v>3429</v>
      </c>
      <c r="BW239" t="s">
        <v>3428</v>
      </c>
      <c r="BX239" t="s">
        <v>3427</v>
      </c>
      <c r="BY239"/>
      <c r="BZ239"/>
      <c r="CA239"/>
      <c r="CB239"/>
      <c r="CC239"/>
      <c r="CD239"/>
      <c r="CE239"/>
      <c r="CF239"/>
      <c r="CG239"/>
      <c r="CH239"/>
      <c r="CI239"/>
      <c r="CJ239"/>
      <c r="CK239"/>
      <c r="CL239"/>
      <c r="CM239"/>
      <c r="CN239"/>
      <c r="CO239"/>
      <c r="CP239"/>
      <c r="CQ239"/>
      <c r="CR239"/>
      <c r="CS239"/>
      <c r="CT239"/>
      <c r="CU239"/>
      <c r="CV239"/>
      <c r="CW239"/>
      <c r="CX239" t="s">
        <v>2307</v>
      </c>
      <c r="CY239">
        <v>255</v>
      </c>
      <c r="CZ239" t="s">
        <v>2306</v>
      </c>
    </row>
    <row r="240" spans="1:104" ht="14.25">
      <c r="A240" t="s">
        <v>3426</v>
      </c>
      <c r="B240" t="s">
        <v>3426</v>
      </c>
      <c r="C240" t="s">
        <v>3425</v>
      </c>
      <c r="D240">
        <v>1</v>
      </c>
      <c r="E240" t="s">
        <v>2321</v>
      </c>
      <c r="F240" t="s">
        <v>2572</v>
      </c>
      <c r="G240" t="s">
        <v>2732</v>
      </c>
      <c r="H240" t="s">
        <v>2731</v>
      </c>
      <c r="I240">
        <v>1</v>
      </c>
      <c r="J240" t="s">
        <v>2340</v>
      </c>
      <c r="K240"/>
      <c r="L240"/>
      <c r="M240">
        <v>13</v>
      </c>
      <c r="N240">
        <v>7</v>
      </c>
      <c r="O240">
        <v>3</v>
      </c>
      <c r="P240">
        <v>4</v>
      </c>
      <c r="Q240"/>
      <c r="R240" t="s">
        <v>2317</v>
      </c>
      <c r="S240" t="s">
        <v>3044</v>
      </c>
      <c r="T240" t="s">
        <v>2315</v>
      </c>
      <c r="U240" t="s">
        <v>2315</v>
      </c>
      <c r="V240">
        <v>40</v>
      </c>
      <c r="W240"/>
      <c r="X240"/>
      <c r="Y240"/>
      <c r="Z240"/>
      <c r="AA240">
        <v>5</v>
      </c>
      <c r="AB240">
        <v>17</v>
      </c>
      <c r="AC240">
        <v>10</v>
      </c>
      <c r="AD240">
        <v>7</v>
      </c>
      <c r="AE240">
        <v>10</v>
      </c>
      <c r="AF240">
        <v>10</v>
      </c>
      <c r="AG240">
        <v>63</v>
      </c>
      <c r="AH240">
        <v>309</v>
      </c>
      <c r="AI240"/>
      <c r="AJ240"/>
      <c r="AK240"/>
      <c r="AL240"/>
      <c r="AM240"/>
      <c r="AN240"/>
      <c r="AO240">
        <v>276</v>
      </c>
      <c r="AP240"/>
      <c r="AQ240"/>
      <c r="AR240"/>
      <c r="AS240"/>
      <c r="AT240"/>
      <c r="AU240"/>
      <c r="AV240" t="s">
        <v>3424</v>
      </c>
      <c r="AW240"/>
      <c r="AX240" t="s">
        <v>3423</v>
      </c>
      <c r="AY240" t="s">
        <v>2608</v>
      </c>
      <c r="AZ240" t="s">
        <v>3422</v>
      </c>
      <c r="BA240" t="s">
        <v>2608</v>
      </c>
      <c r="BB240" t="s">
        <v>2726</v>
      </c>
      <c r="BC240" t="s">
        <v>3421</v>
      </c>
      <c r="BD240" t="s">
        <v>2726</v>
      </c>
      <c r="BE240" t="s">
        <v>3419</v>
      </c>
      <c r="BF240" t="s">
        <v>3420</v>
      </c>
      <c r="BG240" t="s">
        <v>3419</v>
      </c>
      <c r="BH240"/>
      <c r="BI240"/>
      <c r="BJ240"/>
      <c r="BK240"/>
      <c r="BL240"/>
      <c r="BM240"/>
      <c r="BN240"/>
      <c r="BO240"/>
      <c r="BP240" t="s">
        <v>3418</v>
      </c>
      <c r="BQ240" t="s">
        <v>3417</v>
      </c>
      <c r="BR240" t="s">
        <v>3416</v>
      </c>
      <c r="BS240" t="s">
        <v>3414</v>
      </c>
      <c r="BT240" t="s">
        <v>3415</v>
      </c>
      <c r="BU240" t="s">
        <v>3414</v>
      </c>
      <c r="BV240" t="s">
        <v>2556</v>
      </c>
      <c r="BW240" t="s">
        <v>3413</v>
      </c>
      <c r="BX240" t="s">
        <v>2556</v>
      </c>
      <c r="BY240"/>
      <c r="BZ240"/>
      <c r="CA240"/>
      <c r="CB240"/>
      <c r="CC240"/>
      <c r="CD240"/>
      <c r="CE240"/>
      <c r="CF240"/>
      <c r="CG240"/>
      <c r="CH240"/>
      <c r="CI240"/>
      <c r="CJ240"/>
      <c r="CK240"/>
      <c r="CL240"/>
      <c r="CM240"/>
      <c r="CN240"/>
      <c r="CO240"/>
      <c r="CP240"/>
      <c r="CQ240"/>
      <c r="CR240"/>
      <c r="CS240"/>
      <c r="CT240"/>
      <c r="CU240"/>
      <c r="CV240"/>
      <c r="CW240"/>
      <c r="CX240" t="s">
        <v>2307</v>
      </c>
      <c r="CY240">
        <v>63</v>
      </c>
      <c r="CZ240" t="s">
        <v>2306</v>
      </c>
    </row>
    <row r="241" spans="1:104" ht="14.25">
      <c r="A241" t="s">
        <v>3412</v>
      </c>
      <c r="B241" t="s">
        <v>3412</v>
      </c>
      <c r="C241" t="s">
        <v>3411</v>
      </c>
      <c r="D241">
        <v>0</v>
      </c>
      <c r="E241" t="s">
        <v>2533</v>
      </c>
      <c r="F241" t="s">
        <v>2572</v>
      </c>
      <c r="G241" t="s">
        <v>2543</v>
      </c>
      <c r="H241"/>
      <c r="I241"/>
      <c r="J241" t="s">
        <v>1908</v>
      </c>
      <c r="K241"/>
      <c r="L241"/>
      <c r="M241">
        <v>13</v>
      </c>
      <c r="N241">
        <v>1</v>
      </c>
      <c r="O241">
        <v>1</v>
      </c>
      <c r="P241">
        <v>4</v>
      </c>
      <c r="Q241">
        <v>-1</v>
      </c>
      <c r="R241" t="s">
        <v>2317</v>
      </c>
      <c r="S241" t="s">
        <v>2679</v>
      </c>
      <c r="T241" t="s">
        <v>2315</v>
      </c>
      <c r="U241" t="s">
        <v>2315</v>
      </c>
      <c r="V241">
        <v>0</v>
      </c>
      <c r="W241"/>
      <c r="X241"/>
      <c r="Y241"/>
      <c r="Z241">
        <v>40</v>
      </c>
      <c r="AA241">
        <v>2</v>
      </c>
      <c r="AB241">
        <v>16</v>
      </c>
      <c r="AC241">
        <v>9</v>
      </c>
      <c r="AD241">
        <v>1</v>
      </c>
      <c r="AE241">
        <v>7</v>
      </c>
      <c r="AF241">
        <v>2</v>
      </c>
      <c r="AG241">
        <v>335</v>
      </c>
      <c r="AH241"/>
      <c r="AI241"/>
      <c r="AJ241"/>
      <c r="AK241"/>
      <c r="AL241"/>
      <c r="AM241"/>
      <c r="AN241">
        <v>41</v>
      </c>
      <c r="AO241">
        <v>382</v>
      </c>
      <c r="AP241"/>
      <c r="AQ241"/>
      <c r="AR241"/>
      <c r="AS241"/>
      <c r="AT241"/>
      <c r="AU241"/>
      <c r="AV241"/>
      <c r="AW241"/>
      <c r="AX241"/>
      <c r="AY241" t="s">
        <v>2958</v>
      </c>
      <c r="AZ241" t="s">
        <v>3410</v>
      </c>
      <c r="BA241" t="s">
        <v>2958</v>
      </c>
      <c r="BB241" t="s">
        <v>2955</v>
      </c>
      <c r="BC241" t="s">
        <v>3409</v>
      </c>
      <c r="BD241" t="s">
        <v>2955</v>
      </c>
      <c r="BE241"/>
      <c r="BF241"/>
      <c r="BG241"/>
      <c r="BH241"/>
      <c r="BI241"/>
      <c r="BJ241"/>
      <c r="BK241"/>
      <c r="BL241"/>
      <c r="BM241"/>
      <c r="BN241"/>
      <c r="BO241"/>
      <c r="BP241" t="s">
        <v>2332</v>
      </c>
      <c r="BQ241" t="s">
        <v>3408</v>
      </c>
      <c r="BR241" t="s">
        <v>2676</v>
      </c>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t="s">
        <v>2307</v>
      </c>
      <c r="CY241">
        <v>335</v>
      </c>
      <c r="CZ241" t="s">
        <v>2306</v>
      </c>
    </row>
    <row r="242" spans="1:104" ht="14.25">
      <c r="A242" t="s">
        <v>3407</v>
      </c>
      <c r="B242" t="s">
        <v>3407</v>
      </c>
      <c r="C242" t="s">
        <v>3406</v>
      </c>
      <c r="D242">
        <v>13</v>
      </c>
      <c r="E242" t="s">
        <v>2321</v>
      </c>
      <c r="F242" t="s">
        <v>2320</v>
      </c>
      <c r="G242" t="s">
        <v>2732</v>
      </c>
      <c r="H242"/>
      <c r="I242"/>
      <c r="J242" t="s">
        <v>2375</v>
      </c>
      <c r="K242"/>
      <c r="L242"/>
      <c r="M242">
        <v>16</v>
      </c>
      <c r="N242">
        <v>110</v>
      </c>
      <c r="O242">
        <v>13</v>
      </c>
      <c r="P242">
        <v>8</v>
      </c>
      <c r="Q242">
        <v>52</v>
      </c>
      <c r="R242" t="s">
        <v>2825</v>
      </c>
      <c r="S242" t="s">
        <v>3405</v>
      </c>
      <c r="T242" t="s">
        <v>2315</v>
      </c>
      <c r="U242" t="s">
        <v>2315</v>
      </c>
      <c r="V242">
        <v>40</v>
      </c>
      <c r="W242"/>
      <c r="X242"/>
      <c r="Y242"/>
      <c r="Z242"/>
      <c r="AA242">
        <v>14</v>
      </c>
      <c r="AB242">
        <v>17</v>
      </c>
      <c r="AC242">
        <v>18</v>
      </c>
      <c r="AD242">
        <v>13</v>
      </c>
      <c r="AE242">
        <v>16</v>
      </c>
      <c r="AF242">
        <v>20</v>
      </c>
      <c r="AG242">
        <v>257</v>
      </c>
      <c r="AH242"/>
      <c r="AI242"/>
      <c r="AJ242"/>
      <c r="AK242"/>
      <c r="AL242"/>
      <c r="AM242"/>
      <c r="AN242"/>
      <c r="AO242">
        <v>344</v>
      </c>
      <c r="AP242"/>
      <c r="AQ242"/>
      <c r="AR242"/>
      <c r="AS242"/>
      <c r="AT242"/>
      <c r="AU242"/>
      <c r="AV242"/>
      <c r="AW242"/>
      <c r="AX242"/>
      <c r="AY242" t="s">
        <v>3403</v>
      </c>
      <c r="AZ242" t="s">
        <v>3404</v>
      </c>
      <c r="BA242" t="s">
        <v>3403</v>
      </c>
      <c r="BB242" t="s">
        <v>2488</v>
      </c>
      <c r="BC242" t="s">
        <v>3402</v>
      </c>
      <c r="BD242" t="s">
        <v>2488</v>
      </c>
      <c r="BE242"/>
      <c r="BF242"/>
      <c r="BG242"/>
      <c r="BH242"/>
      <c r="BI242"/>
      <c r="BJ242"/>
      <c r="BK242"/>
      <c r="BL242"/>
      <c r="BM242"/>
      <c r="BN242"/>
      <c r="BO242"/>
      <c r="BP242" t="s">
        <v>2333</v>
      </c>
      <c r="BQ242" t="s">
        <v>3401</v>
      </c>
      <c r="BR242" t="s">
        <v>2333</v>
      </c>
      <c r="BS242" t="s">
        <v>2329</v>
      </c>
      <c r="BT242" t="s">
        <v>3400</v>
      </c>
      <c r="BU242" t="s">
        <v>3399</v>
      </c>
      <c r="BV242"/>
      <c r="BW242"/>
      <c r="BX242"/>
      <c r="BY242"/>
      <c r="BZ242"/>
      <c r="CA242"/>
      <c r="CB242"/>
      <c r="CC242"/>
      <c r="CD242"/>
      <c r="CE242"/>
      <c r="CF242"/>
      <c r="CG242"/>
      <c r="CH242"/>
      <c r="CI242"/>
      <c r="CJ242"/>
      <c r="CK242"/>
      <c r="CL242"/>
      <c r="CM242"/>
      <c r="CN242"/>
      <c r="CO242"/>
      <c r="CP242"/>
      <c r="CQ242"/>
      <c r="CR242"/>
      <c r="CS242"/>
      <c r="CT242"/>
      <c r="CU242"/>
      <c r="CV242"/>
      <c r="CW242"/>
      <c r="CX242" t="s">
        <v>2307</v>
      </c>
      <c r="CY242">
        <v>257</v>
      </c>
      <c r="CZ242" t="s">
        <v>2306</v>
      </c>
    </row>
    <row r="243" spans="1:104" ht="14.25">
      <c r="A243" t="s">
        <v>3398</v>
      </c>
      <c r="B243" t="s">
        <v>3397</v>
      </c>
      <c r="C243"/>
      <c r="D243">
        <v>3</v>
      </c>
      <c r="E243" t="s">
        <v>2461</v>
      </c>
      <c r="F243" t="s">
        <v>2320</v>
      </c>
      <c r="G243" t="s">
        <v>3396</v>
      </c>
      <c r="H243"/>
      <c r="I243"/>
      <c r="J243" t="s">
        <v>2388</v>
      </c>
      <c r="K243"/>
      <c r="L243"/>
      <c r="M243">
        <v>17</v>
      </c>
      <c r="N243">
        <v>66</v>
      </c>
      <c r="O243">
        <v>12</v>
      </c>
      <c r="P243">
        <v>8</v>
      </c>
      <c r="Q243">
        <v>12</v>
      </c>
      <c r="R243" t="s">
        <v>2317</v>
      </c>
      <c r="S243" t="s">
        <v>3395</v>
      </c>
      <c r="T243" t="s">
        <v>3394</v>
      </c>
      <c r="U243"/>
      <c r="V243">
        <v>30</v>
      </c>
      <c r="W243"/>
      <c r="X243"/>
      <c r="Y243"/>
      <c r="Z243"/>
      <c r="AA243">
        <v>12</v>
      </c>
      <c r="AB243">
        <v>18</v>
      </c>
      <c r="AC243">
        <v>12</v>
      </c>
      <c r="AD243">
        <v>14</v>
      </c>
      <c r="AE243">
        <v>11</v>
      </c>
      <c r="AF243">
        <v>15</v>
      </c>
      <c r="AG243"/>
      <c r="AH243"/>
      <c r="AI243"/>
      <c r="AJ243"/>
      <c r="AK243"/>
      <c r="AL243"/>
      <c r="AM243"/>
      <c r="AN243"/>
      <c r="AO243"/>
      <c r="AP243"/>
      <c r="AQ243"/>
      <c r="AR243"/>
      <c r="AS243"/>
      <c r="AT243"/>
      <c r="AU243"/>
      <c r="AV243"/>
      <c r="AW243"/>
      <c r="AX243"/>
      <c r="AY243" t="s">
        <v>3392</v>
      </c>
      <c r="AZ243" t="s">
        <v>3393</v>
      </c>
      <c r="BA243" t="s">
        <v>3392</v>
      </c>
      <c r="BB243" t="s">
        <v>3390</v>
      </c>
      <c r="BC243" t="s">
        <v>3391</v>
      </c>
      <c r="BD243" t="s">
        <v>3390</v>
      </c>
      <c r="BE243"/>
      <c r="BF243"/>
      <c r="BG243"/>
      <c r="BH243"/>
      <c r="BI243"/>
      <c r="BJ243"/>
      <c r="BK243"/>
      <c r="BL243"/>
      <c r="BM243"/>
      <c r="BN243"/>
      <c r="BO243"/>
      <c r="BP243" t="s">
        <v>2333</v>
      </c>
      <c r="BQ243" t="s">
        <v>3389</v>
      </c>
      <c r="BR243" t="s">
        <v>2333</v>
      </c>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row>
    <row r="244" spans="1:104" ht="14.25">
      <c r="A244" t="s">
        <v>3388</v>
      </c>
      <c r="B244" t="s">
        <v>3388</v>
      </c>
      <c r="C244" t="s">
        <v>3387</v>
      </c>
      <c r="D244">
        <v>0</v>
      </c>
      <c r="E244" t="s">
        <v>2533</v>
      </c>
      <c r="F244" t="s">
        <v>2572</v>
      </c>
      <c r="G244" t="s">
        <v>2543</v>
      </c>
      <c r="H244"/>
      <c r="I244"/>
      <c r="J244" t="s">
        <v>1908</v>
      </c>
      <c r="K244"/>
      <c r="L244"/>
      <c r="M244">
        <v>10</v>
      </c>
      <c r="N244">
        <v>1</v>
      </c>
      <c r="O244">
        <v>1</v>
      </c>
      <c r="P244">
        <v>4</v>
      </c>
      <c r="Q244">
        <v>-1</v>
      </c>
      <c r="R244" t="s">
        <v>2317</v>
      </c>
      <c r="S244" t="s">
        <v>270</v>
      </c>
      <c r="T244" t="s">
        <v>2315</v>
      </c>
      <c r="U244" t="s">
        <v>2315</v>
      </c>
      <c r="V244">
        <v>20</v>
      </c>
      <c r="W244"/>
      <c r="X244"/>
      <c r="Y244"/>
      <c r="Z244"/>
      <c r="AA244">
        <v>2</v>
      </c>
      <c r="AB244">
        <v>11</v>
      </c>
      <c r="AC244">
        <v>9</v>
      </c>
      <c r="AD244">
        <v>2</v>
      </c>
      <c r="AE244">
        <v>10</v>
      </c>
      <c r="AF244">
        <v>4</v>
      </c>
      <c r="AG244">
        <v>335</v>
      </c>
      <c r="AH244">
        <v>309</v>
      </c>
      <c r="AI244"/>
      <c r="AJ244"/>
      <c r="AK244"/>
      <c r="AL244"/>
      <c r="AM244"/>
      <c r="AN244">
        <v>41</v>
      </c>
      <c r="AO244">
        <v>382</v>
      </c>
      <c r="AP244"/>
      <c r="AQ244"/>
      <c r="AR244"/>
      <c r="AS244"/>
      <c r="AT244"/>
      <c r="AU244"/>
      <c r="AV244"/>
      <c r="AW244"/>
      <c r="AX244"/>
      <c r="AY244" t="s">
        <v>2434</v>
      </c>
      <c r="AZ244" t="s">
        <v>3386</v>
      </c>
      <c r="BA244" t="s">
        <v>2434</v>
      </c>
      <c r="BB244"/>
      <c r="BC244"/>
      <c r="BD244"/>
      <c r="BE244"/>
      <c r="BF244"/>
      <c r="BG244"/>
      <c r="BH244"/>
      <c r="BI244"/>
      <c r="BJ244"/>
      <c r="BK244"/>
      <c r="BL244"/>
      <c r="BM244"/>
      <c r="BN244"/>
      <c r="BO244"/>
      <c r="BP244" t="s">
        <v>2332</v>
      </c>
      <c r="BQ244" t="s">
        <v>3385</v>
      </c>
      <c r="BR244" t="s">
        <v>3384</v>
      </c>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t="s">
        <v>2307</v>
      </c>
      <c r="CY244">
        <v>335</v>
      </c>
      <c r="CZ244" t="s">
        <v>2306</v>
      </c>
    </row>
    <row r="245" spans="1:104" ht="14.25">
      <c r="A245" t="s">
        <v>3383</v>
      </c>
      <c r="B245" t="s">
        <v>3383</v>
      </c>
      <c r="C245" t="s">
        <v>3382</v>
      </c>
      <c r="D245">
        <v>0</v>
      </c>
      <c r="E245" t="s">
        <v>2533</v>
      </c>
      <c r="F245" t="s">
        <v>2572</v>
      </c>
      <c r="G245" t="s">
        <v>2543</v>
      </c>
      <c r="H245"/>
      <c r="I245"/>
      <c r="J245" t="s">
        <v>1908</v>
      </c>
      <c r="K245"/>
      <c r="L245"/>
      <c r="M245">
        <v>12</v>
      </c>
      <c r="N245">
        <v>1</v>
      </c>
      <c r="O245">
        <v>1</v>
      </c>
      <c r="P245">
        <v>4</v>
      </c>
      <c r="Q245">
        <v>-1</v>
      </c>
      <c r="R245" t="s">
        <v>2317</v>
      </c>
      <c r="S245" t="s">
        <v>2679</v>
      </c>
      <c r="T245" t="s">
        <v>2315</v>
      </c>
      <c r="U245" t="s">
        <v>2315</v>
      </c>
      <c r="V245">
        <v>10</v>
      </c>
      <c r="W245"/>
      <c r="X245"/>
      <c r="Y245">
        <v>50</v>
      </c>
      <c r="Z245"/>
      <c r="AA245">
        <v>2</v>
      </c>
      <c r="AB245">
        <v>14</v>
      </c>
      <c r="AC245">
        <v>8</v>
      </c>
      <c r="AD245">
        <v>2</v>
      </c>
      <c r="AE245">
        <v>12</v>
      </c>
      <c r="AF245">
        <v>6</v>
      </c>
      <c r="AG245">
        <v>335</v>
      </c>
      <c r="AH245">
        <v>309</v>
      </c>
      <c r="AI245"/>
      <c r="AJ245"/>
      <c r="AK245"/>
      <c r="AL245"/>
      <c r="AM245"/>
      <c r="AN245">
        <v>42</v>
      </c>
      <c r="AO245">
        <v>382</v>
      </c>
      <c r="AP245"/>
      <c r="AQ245"/>
      <c r="AR245"/>
      <c r="AS245"/>
      <c r="AT245"/>
      <c r="AU245"/>
      <c r="AV245"/>
      <c r="AW245"/>
      <c r="AX245"/>
      <c r="AY245" t="s">
        <v>3380</v>
      </c>
      <c r="AZ245" t="s">
        <v>3381</v>
      </c>
      <c r="BA245" t="s">
        <v>3380</v>
      </c>
      <c r="BB245"/>
      <c r="BC245"/>
      <c r="BD245"/>
      <c r="BE245"/>
      <c r="BF245"/>
      <c r="BG245"/>
      <c r="BH245"/>
      <c r="BI245"/>
      <c r="BJ245"/>
      <c r="BK245"/>
      <c r="BL245"/>
      <c r="BM245"/>
      <c r="BN245"/>
      <c r="BO245"/>
      <c r="BP245" t="s">
        <v>2707</v>
      </c>
      <c r="BQ245" t="s">
        <v>3379</v>
      </c>
      <c r="BR245" t="s">
        <v>3378</v>
      </c>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t="s">
        <v>2307</v>
      </c>
      <c r="CY245">
        <v>335</v>
      </c>
      <c r="CZ245" t="s">
        <v>2306</v>
      </c>
    </row>
    <row r="246" spans="1:104" ht="14.25">
      <c r="A246" t="s">
        <v>3377</v>
      </c>
      <c r="B246" t="s">
        <v>3376</v>
      </c>
      <c r="C246" t="s">
        <v>3375</v>
      </c>
      <c r="D246">
        <v>4</v>
      </c>
      <c r="E246" t="s">
        <v>2321</v>
      </c>
      <c r="F246" t="s">
        <v>2320</v>
      </c>
      <c r="G246" t="s">
        <v>2341</v>
      </c>
      <c r="H246"/>
      <c r="I246"/>
      <c r="J246" t="s">
        <v>2340</v>
      </c>
      <c r="K246"/>
      <c r="L246"/>
      <c r="M246">
        <v>17</v>
      </c>
      <c r="N246">
        <v>75</v>
      </c>
      <c r="O246">
        <v>10</v>
      </c>
      <c r="P246">
        <v>8</v>
      </c>
      <c r="Q246">
        <v>30</v>
      </c>
      <c r="R246" t="s">
        <v>2494</v>
      </c>
      <c r="S246" t="s">
        <v>2494</v>
      </c>
      <c r="T246" t="s">
        <v>2494</v>
      </c>
      <c r="U246" t="s">
        <v>2494</v>
      </c>
      <c r="V246">
        <v>30</v>
      </c>
      <c r="W246"/>
      <c r="X246">
        <v>30</v>
      </c>
      <c r="Y246">
        <v>60</v>
      </c>
      <c r="Z246"/>
      <c r="AA246">
        <v>19</v>
      </c>
      <c r="AB246">
        <v>10</v>
      </c>
      <c r="AC246">
        <v>17</v>
      </c>
      <c r="AD246">
        <v>12</v>
      </c>
      <c r="AE246">
        <v>11</v>
      </c>
      <c r="AF246">
        <v>15</v>
      </c>
      <c r="AG246">
        <v>98</v>
      </c>
      <c r="AH246"/>
      <c r="AI246"/>
      <c r="AJ246"/>
      <c r="AK246"/>
      <c r="AL246"/>
      <c r="AM246"/>
      <c r="AN246"/>
      <c r="AO246">
        <v>291</v>
      </c>
      <c r="AP246"/>
      <c r="AQ246"/>
      <c r="AR246"/>
      <c r="AS246"/>
      <c r="AT246"/>
      <c r="AU246"/>
      <c r="AV246"/>
      <c r="AW246"/>
      <c r="AX246"/>
      <c r="AY246"/>
      <c r="AZ246"/>
      <c r="BA246"/>
      <c r="BB246"/>
      <c r="BC246"/>
      <c r="BD246"/>
      <c r="BE246"/>
      <c r="BF246"/>
      <c r="BG246"/>
      <c r="BH246"/>
      <c r="BI246"/>
      <c r="BJ246"/>
      <c r="BK246"/>
      <c r="BL246"/>
      <c r="BM246"/>
      <c r="BN246"/>
      <c r="BO246"/>
      <c r="BP246" t="s">
        <v>2332</v>
      </c>
      <c r="BQ246" t="s">
        <v>3374</v>
      </c>
      <c r="BR246" t="s">
        <v>3373</v>
      </c>
      <c r="BS246" t="s">
        <v>2361</v>
      </c>
      <c r="BT246" t="s">
        <v>3372</v>
      </c>
      <c r="BU246" t="s">
        <v>3371</v>
      </c>
      <c r="BV246"/>
      <c r="BW246"/>
      <c r="BX246"/>
      <c r="BY246"/>
      <c r="BZ246"/>
      <c r="CA246"/>
      <c r="CB246"/>
      <c r="CC246"/>
      <c r="CD246"/>
      <c r="CE246"/>
      <c r="CF246"/>
      <c r="CG246"/>
      <c r="CH246"/>
      <c r="CI246"/>
      <c r="CJ246"/>
      <c r="CK246"/>
      <c r="CL246"/>
      <c r="CM246"/>
      <c r="CN246"/>
      <c r="CO246"/>
      <c r="CP246"/>
      <c r="CQ246"/>
      <c r="CR246"/>
      <c r="CS246"/>
      <c r="CT246"/>
      <c r="CU246"/>
      <c r="CV246"/>
      <c r="CW246"/>
      <c r="CX246" t="s">
        <v>2307</v>
      </c>
      <c r="CY246">
        <v>98</v>
      </c>
      <c r="CZ246" t="s">
        <v>2306</v>
      </c>
    </row>
    <row r="247" spans="1:104" ht="14.25">
      <c r="A247" t="s">
        <v>3370</v>
      </c>
      <c r="B247" t="s">
        <v>3369</v>
      </c>
      <c r="C247" t="s">
        <v>3368</v>
      </c>
      <c r="D247">
        <v>0.5</v>
      </c>
      <c r="E247" t="s">
        <v>2533</v>
      </c>
      <c r="F247" t="s">
        <v>2320</v>
      </c>
      <c r="G247" t="s">
        <v>2543</v>
      </c>
      <c r="H247"/>
      <c r="I247"/>
      <c r="J247" t="s">
        <v>1908</v>
      </c>
      <c r="K247"/>
      <c r="L247"/>
      <c r="M247">
        <v>12</v>
      </c>
      <c r="N247">
        <v>22</v>
      </c>
      <c r="O247">
        <v>4</v>
      </c>
      <c r="P247">
        <v>8</v>
      </c>
      <c r="Q247">
        <v>4</v>
      </c>
      <c r="R247" t="s">
        <v>2317</v>
      </c>
      <c r="S247" t="s">
        <v>2611</v>
      </c>
      <c r="T247" t="s">
        <v>2315</v>
      </c>
      <c r="U247" t="s">
        <v>2315</v>
      </c>
      <c r="V247">
        <v>0</v>
      </c>
      <c r="W247"/>
      <c r="X247"/>
      <c r="Y247"/>
      <c r="Z247">
        <v>40</v>
      </c>
      <c r="AA247">
        <v>14</v>
      </c>
      <c r="AB247">
        <v>13</v>
      </c>
      <c r="AC247">
        <v>13</v>
      </c>
      <c r="AD247">
        <v>1</v>
      </c>
      <c r="AE247">
        <v>10</v>
      </c>
      <c r="AF247">
        <v>4</v>
      </c>
      <c r="AG247">
        <v>336</v>
      </c>
      <c r="AH247">
        <v>309</v>
      </c>
      <c r="AI247"/>
      <c r="AJ247"/>
      <c r="AK247"/>
      <c r="AL247"/>
      <c r="AM247"/>
      <c r="AN247">
        <v>42</v>
      </c>
      <c r="AO247">
        <v>382</v>
      </c>
      <c r="AP247"/>
      <c r="AQ247"/>
      <c r="AR247"/>
      <c r="AS247"/>
      <c r="AT247"/>
      <c r="AU247"/>
      <c r="AV247"/>
      <c r="AW247"/>
      <c r="AX247"/>
      <c r="AY247" t="s">
        <v>2452</v>
      </c>
      <c r="AZ247" t="s">
        <v>3367</v>
      </c>
      <c r="BA247" t="s">
        <v>2452</v>
      </c>
      <c r="BB247" t="s">
        <v>2955</v>
      </c>
      <c r="BC247" t="s">
        <v>3366</v>
      </c>
      <c r="BD247" t="s">
        <v>2955</v>
      </c>
      <c r="BE247"/>
      <c r="BF247"/>
      <c r="BG247"/>
      <c r="BH247"/>
      <c r="BI247"/>
      <c r="BJ247"/>
      <c r="BK247"/>
      <c r="BL247"/>
      <c r="BM247"/>
      <c r="BN247"/>
      <c r="BO247"/>
      <c r="BP247" t="s">
        <v>2332</v>
      </c>
      <c r="BQ247" t="s">
        <v>2486</v>
      </c>
      <c r="BR247" t="s">
        <v>3365</v>
      </c>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t="s">
        <v>2307</v>
      </c>
      <c r="CY247">
        <v>336</v>
      </c>
      <c r="CZ247" t="s">
        <v>2306</v>
      </c>
    </row>
    <row r="248" spans="1:104" ht="14.25">
      <c r="A248" t="s">
        <v>3364</v>
      </c>
      <c r="B248" t="s">
        <v>3364</v>
      </c>
      <c r="C248" t="s">
        <v>3363</v>
      </c>
      <c r="D248">
        <v>11</v>
      </c>
      <c r="E248" t="s">
        <v>2321</v>
      </c>
      <c r="F248" t="s">
        <v>2838</v>
      </c>
      <c r="G248" t="s">
        <v>2440</v>
      </c>
      <c r="H248"/>
      <c r="I248"/>
      <c r="J248" t="s">
        <v>1908</v>
      </c>
      <c r="K248"/>
      <c r="L248"/>
      <c r="M248">
        <v>17</v>
      </c>
      <c r="N248">
        <v>195</v>
      </c>
      <c r="O248">
        <v>17</v>
      </c>
      <c r="P248">
        <v>12</v>
      </c>
      <c r="Q248">
        <v>85</v>
      </c>
      <c r="R248" t="s">
        <v>2317</v>
      </c>
      <c r="S248" t="s">
        <v>3362</v>
      </c>
      <c r="T248" t="s">
        <v>2315</v>
      </c>
      <c r="U248" t="s">
        <v>3361</v>
      </c>
      <c r="V248">
        <v>30</v>
      </c>
      <c r="W248">
        <v>20</v>
      </c>
      <c r="X248"/>
      <c r="Y248"/>
      <c r="Z248"/>
      <c r="AA248">
        <v>24</v>
      </c>
      <c r="AB248">
        <v>13</v>
      </c>
      <c r="AC248">
        <v>21</v>
      </c>
      <c r="AD248">
        <v>4</v>
      </c>
      <c r="AE248">
        <v>10</v>
      </c>
      <c r="AF248">
        <v>5</v>
      </c>
      <c r="AG248">
        <v>258</v>
      </c>
      <c r="AH248"/>
      <c r="AI248"/>
      <c r="AJ248"/>
      <c r="AK248"/>
      <c r="AL248"/>
      <c r="AM248"/>
      <c r="AN248"/>
      <c r="AO248">
        <v>344</v>
      </c>
      <c r="AP248"/>
      <c r="AQ248"/>
      <c r="AR248"/>
      <c r="AS248"/>
      <c r="AT248"/>
      <c r="AU248"/>
      <c r="AV248"/>
      <c r="AW248"/>
      <c r="AX248"/>
      <c r="AY248" t="s">
        <v>3269</v>
      </c>
      <c r="AZ248" t="s">
        <v>3360</v>
      </c>
      <c r="BA248" t="s">
        <v>3359</v>
      </c>
      <c r="BB248"/>
      <c r="BC248"/>
      <c r="BD248"/>
      <c r="BE248"/>
      <c r="BF248"/>
      <c r="BG248"/>
      <c r="BH248"/>
      <c r="BI248"/>
      <c r="BJ248"/>
      <c r="BK248"/>
      <c r="BL248"/>
      <c r="BM248"/>
      <c r="BN248"/>
      <c r="BO248"/>
      <c r="BP248" t="s">
        <v>2332</v>
      </c>
      <c r="BQ248" t="s">
        <v>3358</v>
      </c>
      <c r="BR248" t="s">
        <v>3357</v>
      </c>
      <c r="BS248" t="s">
        <v>2908</v>
      </c>
      <c r="BT248" t="s">
        <v>3356</v>
      </c>
      <c r="BU248" t="s">
        <v>2908</v>
      </c>
      <c r="BV248"/>
      <c r="BW248"/>
      <c r="BX248"/>
      <c r="BY248"/>
      <c r="BZ248"/>
      <c r="CA248"/>
      <c r="CB248"/>
      <c r="CC248"/>
      <c r="CD248"/>
      <c r="CE248"/>
      <c r="CF248"/>
      <c r="CG248"/>
      <c r="CH248"/>
      <c r="CI248"/>
      <c r="CJ248"/>
      <c r="CK248"/>
      <c r="CL248"/>
      <c r="CM248"/>
      <c r="CN248"/>
      <c r="CO248"/>
      <c r="CP248"/>
      <c r="CQ248"/>
      <c r="CR248"/>
      <c r="CS248"/>
      <c r="CT248"/>
      <c r="CU248"/>
      <c r="CV248"/>
      <c r="CW248"/>
      <c r="CX248" t="s">
        <v>2307</v>
      </c>
      <c r="CY248">
        <v>258</v>
      </c>
      <c r="CZ248" t="s">
        <v>2306</v>
      </c>
    </row>
    <row r="249" spans="1:104" ht="14.25">
      <c r="A249" t="s">
        <v>3355</v>
      </c>
      <c r="B249" t="s">
        <v>3355</v>
      </c>
      <c r="C249" t="s">
        <v>3354</v>
      </c>
      <c r="D249">
        <v>2</v>
      </c>
      <c r="E249" t="s">
        <v>2533</v>
      </c>
      <c r="F249" t="s">
        <v>2342</v>
      </c>
      <c r="G249" t="s">
        <v>2543</v>
      </c>
      <c r="H249"/>
      <c r="I249"/>
      <c r="J249" t="s">
        <v>1908</v>
      </c>
      <c r="K249"/>
      <c r="L249"/>
      <c r="M249">
        <v>11</v>
      </c>
      <c r="N249">
        <v>45</v>
      </c>
      <c r="O249">
        <v>6</v>
      </c>
      <c r="P249">
        <v>10</v>
      </c>
      <c r="Q249">
        <v>12</v>
      </c>
      <c r="R249" t="s">
        <v>2317</v>
      </c>
      <c r="S249" t="s">
        <v>3353</v>
      </c>
      <c r="T249" t="s">
        <v>2315</v>
      </c>
      <c r="U249" t="s">
        <v>2315</v>
      </c>
      <c r="V249">
        <v>40</v>
      </c>
      <c r="W249"/>
      <c r="X249"/>
      <c r="Y249"/>
      <c r="Z249"/>
      <c r="AA249">
        <v>21</v>
      </c>
      <c r="AB249">
        <v>8</v>
      </c>
      <c r="AC249">
        <v>15</v>
      </c>
      <c r="AD249">
        <v>2</v>
      </c>
      <c r="AE249">
        <v>12</v>
      </c>
      <c r="AF249">
        <v>6</v>
      </c>
      <c r="AG249">
        <v>336</v>
      </c>
      <c r="AH249"/>
      <c r="AI249"/>
      <c r="AJ249"/>
      <c r="AK249"/>
      <c r="AL249"/>
      <c r="AM249"/>
      <c r="AN249">
        <v>42</v>
      </c>
      <c r="AO249">
        <v>383</v>
      </c>
      <c r="AP249"/>
      <c r="AQ249"/>
      <c r="AR249"/>
      <c r="AS249"/>
      <c r="AT249"/>
      <c r="AU249"/>
      <c r="AV249"/>
      <c r="AW249"/>
      <c r="AX249"/>
      <c r="AY249" t="s">
        <v>2824</v>
      </c>
      <c r="AZ249" t="s">
        <v>3352</v>
      </c>
      <c r="BA249" t="s">
        <v>2822</v>
      </c>
      <c r="BB249"/>
      <c r="BC249"/>
      <c r="BD249"/>
      <c r="BE249"/>
      <c r="BF249"/>
      <c r="BG249"/>
      <c r="BH249"/>
      <c r="BI249"/>
      <c r="BJ249"/>
      <c r="BK249"/>
      <c r="BL249"/>
      <c r="BM249"/>
      <c r="BN249"/>
      <c r="BO249"/>
      <c r="BP249" t="s">
        <v>2866</v>
      </c>
      <c r="BQ249" t="s">
        <v>3351</v>
      </c>
      <c r="BR249" t="s">
        <v>3350</v>
      </c>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t="s">
        <v>2307</v>
      </c>
      <c r="CY249">
        <v>336</v>
      </c>
      <c r="CZ249" t="s">
        <v>2306</v>
      </c>
    </row>
    <row r="250" spans="1:104" ht="14.25">
      <c r="A250" t="s">
        <v>3349</v>
      </c>
      <c r="B250" t="s">
        <v>3348</v>
      </c>
      <c r="C250" t="s">
        <v>3347</v>
      </c>
      <c r="D250">
        <v>0.25</v>
      </c>
      <c r="E250" t="s">
        <v>2533</v>
      </c>
      <c r="F250" t="s">
        <v>2342</v>
      </c>
      <c r="G250" t="s">
        <v>2543</v>
      </c>
      <c r="H250"/>
      <c r="I250"/>
      <c r="J250" t="s">
        <v>1908</v>
      </c>
      <c r="K250"/>
      <c r="L250"/>
      <c r="M250">
        <v>10</v>
      </c>
      <c r="N250">
        <v>13</v>
      </c>
      <c r="O250">
        <v>2</v>
      </c>
      <c r="P250">
        <v>10</v>
      </c>
      <c r="Q250">
        <v>2</v>
      </c>
      <c r="R250" t="s">
        <v>2317</v>
      </c>
      <c r="S250" t="s">
        <v>3346</v>
      </c>
      <c r="T250" t="s">
        <v>2315</v>
      </c>
      <c r="U250" t="s">
        <v>2315</v>
      </c>
      <c r="V250">
        <v>60</v>
      </c>
      <c r="W250"/>
      <c r="X250"/>
      <c r="Y250"/>
      <c r="Z250"/>
      <c r="AA250">
        <v>16</v>
      </c>
      <c r="AB250">
        <v>10</v>
      </c>
      <c r="AC250">
        <v>12</v>
      </c>
      <c r="AD250">
        <v>2</v>
      </c>
      <c r="AE250">
        <v>11</v>
      </c>
      <c r="AF250">
        <v>7</v>
      </c>
      <c r="AG250">
        <v>336</v>
      </c>
      <c r="AH250">
        <v>310</v>
      </c>
      <c r="AI250"/>
      <c r="AJ250"/>
      <c r="AK250"/>
      <c r="AL250"/>
      <c r="AM250"/>
      <c r="AN250">
        <v>42</v>
      </c>
      <c r="AO250">
        <v>383</v>
      </c>
      <c r="AP250"/>
      <c r="AQ250"/>
      <c r="AR250"/>
      <c r="AS250"/>
      <c r="AT250"/>
      <c r="AU250"/>
      <c r="AV250"/>
      <c r="AW250"/>
      <c r="AX250" t="s">
        <v>2530</v>
      </c>
      <c r="AY250"/>
      <c r="AZ250"/>
      <c r="BA250"/>
      <c r="BB250"/>
      <c r="BC250"/>
      <c r="BD250"/>
      <c r="BE250"/>
      <c r="BF250"/>
      <c r="BG250"/>
      <c r="BH250"/>
      <c r="BI250"/>
      <c r="BJ250"/>
      <c r="BK250"/>
      <c r="BL250"/>
      <c r="BM250"/>
      <c r="BN250"/>
      <c r="BO250"/>
      <c r="BP250" t="s">
        <v>2697</v>
      </c>
      <c r="BQ250" t="s">
        <v>3345</v>
      </c>
      <c r="BR250" t="s">
        <v>3344</v>
      </c>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t="s">
        <v>2307</v>
      </c>
      <c r="CY250">
        <v>336</v>
      </c>
      <c r="CZ250" t="s">
        <v>2306</v>
      </c>
    </row>
    <row r="251" spans="1:104" ht="14.25">
      <c r="A251" t="s">
        <v>3343</v>
      </c>
      <c r="B251" t="s">
        <v>3343</v>
      </c>
      <c r="C251" t="s">
        <v>3342</v>
      </c>
      <c r="D251">
        <v>11</v>
      </c>
      <c r="E251" t="s">
        <v>2321</v>
      </c>
      <c r="F251" t="s">
        <v>2930</v>
      </c>
      <c r="G251" t="s">
        <v>2440</v>
      </c>
      <c r="H251"/>
      <c r="I251"/>
      <c r="J251" t="s">
        <v>1908</v>
      </c>
      <c r="K251"/>
      <c r="L251"/>
      <c r="M251">
        <v>15</v>
      </c>
      <c r="N251">
        <v>248</v>
      </c>
      <c r="O251">
        <v>16</v>
      </c>
      <c r="P251">
        <v>20</v>
      </c>
      <c r="Q251">
        <v>80</v>
      </c>
      <c r="R251" t="s">
        <v>2317</v>
      </c>
      <c r="S251" t="s">
        <v>3341</v>
      </c>
      <c r="T251" t="s">
        <v>3340</v>
      </c>
      <c r="U251" t="s">
        <v>2315</v>
      </c>
      <c r="V251">
        <v>20</v>
      </c>
      <c r="W251"/>
      <c r="X251"/>
      <c r="Y251">
        <v>120</v>
      </c>
      <c r="Z251"/>
      <c r="AA251">
        <v>28</v>
      </c>
      <c r="AB251">
        <v>10</v>
      </c>
      <c r="AC251">
        <v>20</v>
      </c>
      <c r="AD251">
        <v>3</v>
      </c>
      <c r="AE251">
        <v>10</v>
      </c>
      <c r="AF251">
        <v>9</v>
      </c>
      <c r="AG251">
        <v>260</v>
      </c>
      <c r="AH251"/>
      <c r="AI251"/>
      <c r="AJ251"/>
      <c r="AK251"/>
      <c r="AL251"/>
      <c r="AM251"/>
      <c r="AN251"/>
      <c r="AO251">
        <v>345</v>
      </c>
      <c r="AP251"/>
      <c r="AQ251"/>
      <c r="AR251"/>
      <c r="AS251"/>
      <c r="AT251"/>
      <c r="AU251"/>
      <c r="AV251"/>
      <c r="AW251"/>
      <c r="AX251"/>
      <c r="AY251" t="s">
        <v>3338</v>
      </c>
      <c r="AZ251" t="s">
        <v>3339</v>
      </c>
      <c r="BA251" t="s">
        <v>3338</v>
      </c>
      <c r="BB251"/>
      <c r="BC251"/>
      <c r="BD251"/>
      <c r="BE251"/>
      <c r="BF251"/>
      <c r="BG251"/>
      <c r="BH251"/>
      <c r="BI251"/>
      <c r="BJ251"/>
      <c r="BK251"/>
      <c r="BL251"/>
      <c r="BM251"/>
      <c r="BN251"/>
      <c r="BO251"/>
      <c r="BP251" t="s">
        <v>2333</v>
      </c>
      <c r="BQ251" t="s">
        <v>3337</v>
      </c>
      <c r="BR251" t="s">
        <v>2333</v>
      </c>
      <c r="BS251" t="s">
        <v>2707</v>
      </c>
      <c r="BT251" t="s">
        <v>3336</v>
      </c>
      <c r="BU251" t="s">
        <v>3335</v>
      </c>
      <c r="BV251" t="s">
        <v>2722</v>
      </c>
      <c r="BW251" t="s">
        <v>3334</v>
      </c>
      <c r="BX251" t="s">
        <v>3333</v>
      </c>
      <c r="BY251"/>
      <c r="BZ251"/>
      <c r="CA251"/>
      <c r="CB251"/>
      <c r="CC251"/>
      <c r="CD251"/>
      <c r="CE251"/>
      <c r="CF251"/>
      <c r="CG251"/>
      <c r="CH251"/>
      <c r="CI251"/>
      <c r="CJ251"/>
      <c r="CK251"/>
      <c r="CL251"/>
      <c r="CM251"/>
      <c r="CN251"/>
      <c r="CO251"/>
      <c r="CP251"/>
      <c r="CQ251"/>
      <c r="CR251"/>
      <c r="CS251"/>
      <c r="CT251"/>
      <c r="CU251"/>
      <c r="CV251"/>
      <c r="CW251"/>
      <c r="CX251" t="s">
        <v>2307</v>
      </c>
      <c r="CY251">
        <v>260</v>
      </c>
      <c r="CZ251" t="s">
        <v>2306</v>
      </c>
    </row>
    <row r="252" spans="1:104" ht="14.25">
      <c r="A252" t="s">
        <v>3332</v>
      </c>
      <c r="B252" t="s">
        <v>3332</v>
      </c>
      <c r="C252" t="s">
        <v>3331</v>
      </c>
      <c r="D252">
        <v>5</v>
      </c>
      <c r="E252" t="s">
        <v>2321</v>
      </c>
      <c r="F252" t="s">
        <v>2342</v>
      </c>
      <c r="G252" t="s">
        <v>2440</v>
      </c>
      <c r="H252"/>
      <c r="I252"/>
      <c r="J252" t="s">
        <v>2318</v>
      </c>
      <c r="K252"/>
      <c r="L252"/>
      <c r="M252">
        <v>20</v>
      </c>
      <c r="N252">
        <v>93</v>
      </c>
      <c r="O252">
        <v>11</v>
      </c>
      <c r="P252">
        <v>10</v>
      </c>
      <c r="Q252">
        <v>33</v>
      </c>
      <c r="R252" t="s">
        <v>2317</v>
      </c>
      <c r="S252" t="s">
        <v>3330</v>
      </c>
      <c r="T252" t="s">
        <v>2315</v>
      </c>
      <c r="U252" t="s">
        <v>2315</v>
      </c>
      <c r="V252">
        <v>10</v>
      </c>
      <c r="W252"/>
      <c r="X252">
        <v>10</v>
      </c>
      <c r="Y252"/>
      <c r="Z252"/>
      <c r="AA252">
        <v>18</v>
      </c>
      <c r="AB252">
        <v>8</v>
      </c>
      <c r="AC252">
        <v>17</v>
      </c>
      <c r="AD252">
        <v>7</v>
      </c>
      <c r="AE252">
        <v>16</v>
      </c>
      <c r="AF252">
        <v>6</v>
      </c>
      <c r="AG252">
        <v>261</v>
      </c>
      <c r="AH252"/>
      <c r="AI252"/>
      <c r="AJ252"/>
      <c r="AK252"/>
      <c r="AL252"/>
      <c r="AM252"/>
      <c r="AN252"/>
      <c r="AO252">
        <v>345</v>
      </c>
      <c r="AP252">
        <v>15</v>
      </c>
      <c r="AQ252"/>
      <c r="AR252"/>
      <c r="AS252"/>
      <c r="AT252">
        <v>30</v>
      </c>
      <c r="AU252"/>
      <c r="AV252"/>
      <c r="AW252"/>
      <c r="AX252" t="s">
        <v>3329</v>
      </c>
      <c r="AY252" t="s">
        <v>2739</v>
      </c>
      <c r="AZ252" t="s">
        <v>3328</v>
      </c>
      <c r="BA252" t="s">
        <v>2739</v>
      </c>
      <c r="BB252" t="s">
        <v>3326</v>
      </c>
      <c r="BC252" t="s">
        <v>3327</v>
      </c>
      <c r="BD252" t="s">
        <v>3326</v>
      </c>
      <c r="BE252" t="s">
        <v>2768</v>
      </c>
      <c r="BF252" t="s">
        <v>3325</v>
      </c>
      <c r="BG252" t="s">
        <v>2768</v>
      </c>
      <c r="BH252"/>
      <c r="BI252"/>
      <c r="BJ252"/>
      <c r="BK252"/>
      <c r="BL252"/>
      <c r="BM252"/>
      <c r="BN252"/>
      <c r="BO252"/>
      <c r="BP252" t="s">
        <v>2333</v>
      </c>
      <c r="BQ252" t="s">
        <v>3324</v>
      </c>
      <c r="BR252" t="s">
        <v>2333</v>
      </c>
      <c r="BS252" t="s">
        <v>2332</v>
      </c>
      <c r="BT252" t="s">
        <v>3323</v>
      </c>
      <c r="BU252" t="s">
        <v>3322</v>
      </c>
      <c r="BV252" t="s">
        <v>3321</v>
      </c>
      <c r="BW252" t="s">
        <v>3320</v>
      </c>
      <c r="BX252" t="s">
        <v>3319</v>
      </c>
      <c r="BY252" t="s">
        <v>3317</v>
      </c>
      <c r="BZ252" t="s">
        <v>3318</v>
      </c>
      <c r="CA252" t="s">
        <v>3317</v>
      </c>
      <c r="CB252"/>
      <c r="CC252"/>
      <c r="CD252"/>
      <c r="CE252"/>
      <c r="CF252"/>
      <c r="CG252"/>
      <c r="CH252"/>
      <c r="CI252"/>
      <c r="CJ252"/>
      <c r="CK252"/>
      <c r="CL252"/>
      <c r="CM252"/>
      <c r="CN252"/>
      <c r="CO252"/>
      <c r="CP252"/>
      <c r="CQ252"/>
      <c r="CR252"/>
      <c r="CS252"/>
      <c r="CT252"/>
      <c r="CU252"/>
      <c r="CV252"/>
      <c r="CW252"/>
      <c r="CX252" t="s">
        <v>2307</v>
      </c>
      <c r="CY252">
        <v>261</v>
      </c>
      <c r="CZ252" t="s">
        <v>2306</v>
      </c>
    </row>
    <row r="253" spans="1:104" ht="14.25">
      <c r="A253" t="s">
        <v>3316</v>
      </c>
      <c r="B253" t="s">
        <v>3315</v>
      </c>
      <c r="C253" t="s">
        <v>3314</v>
      </c>
      <c r="D253">
        <v>2</v>
      </c>
      <c r="E253" t="s">
        <v>2321</v>
      </c>
      <c r="F253" t="s">
        <v>2342</v>
      </c>
      <c r="G253" t="s">
        <v>3017</v>
      </c>
      <c r="H253"/>
      <c r="I253"/>
      <c r="J253" t="s">
        <v>1908</v>
      </c>
      <c r="K253"/>
      <c r="L253"/>
      <c r="M253">
        <v>12</v>
      </c>
      <c r="N253">
        <v>33</v>
      </c>
      <c r="O253">
        <v>6</v>
      </c>
      <c r="P253">
        <v>10</v>
      </c>
      <c r="Q253"/>
      <c r="R253" t="s">
        <v>2317</v>
      </c>
      <c r="S253" t="s">
        <v>2532</v>
      </c>
      <c r="T253" t="s">
        <v>2315</v>
      </c>
      <c r="U253" t="s">
        <v>2315</v>
      </c>
      <c r="V253">
        <v>10</v>
      </c>
      <c r="W253"/>
      <c r="X253"/>
      <c r="Y253"/>
      <c r="Z253"/>
      <c r="AA253">
        <v>17</v>
      </c>
      <c r="AB253">
        <v>14</v>
      </c>
      <c r="AC253">
        <v>10</v>
      </c>
      <c r="AD253">
        <v>1</v>
      </c>
      <c r="AE253">
        <v>3</v>
      </c>
      <c r="AF253">
        <v>1</v>
      </c>
      <c r="AG253">
        <v>20</v>
      </c>
      <c r="AH253"/>
      <c r="AI253"/>
      <c r="AJ253"/>
      <c r="AK253"/>
      <c r="AL253"/>
      <c r="AM253"/>
      <c r="AN253"/>
      <c r="AO253">
        <v>267</v>
      </c>
      <c r="AP253">
        <v>16</v>
      </c>
      <c r="AQ253"/>
      <c r="AR253"/>
      <c r="AS253"/>
      <c r="AT253"/>
      <c r="AU253"/>
      <c r="AV253"/>
      <c r="AW253"/>
      <c r="AX253"/>
      <c r="AY253" t="s">
        <v>3312</v>
      </c>
      <c r="AZ253" t="s">
        <v>3313</v>
      </c>
      <c r="BA253" t="s">
        <v>3312</v>
      </c>
      <c r="BB253" t="s">
        <v>3310</v>
      </c>
      <c r="BC253" t="s">
        <v>3311</v>
      </c>
      <c r="BD253" t="s">
        <v>3310</v>
      </c>
      <c r="BE253" t="s">
        <v>2739</v>
      </c>
      <c r="BF253" t="s">
        <v>3309</v>
      </c>
      <c r="BG253" t="s">
        <v>2739</v>
      </c>
      <c r="BH253"/>
      <c r="BI253"/>
      <c r="BJ253"/>
      <c r="BK253"/>
      <c r="BL253"/>
      <c r="BM253"/>
      <c r="BN253"/>
      <c r="BO253"/>
      <c r="BP253" t="s">
        <v>3308</v>
      </c>
      <c r="BQ253" t="s">
        <v>3307</v>
      </c>
      <c r="BR253" t="s">
        <v>3306</v>
      </c>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t="s">
        <v>2307</v>
      </c>
      <c r="CY253">
        <v>20</v>
      </c>
      <c r="CZ253" t="s">
        <v>2306</v>
      </c>
    </row>
    <row r="254" spans="1:104" ht="14.25">
      <c r="A254" t="s">
        <v>3305</v>
      </c>
      <c r="B254" t="s">
        <v>3304</v>
      </c>
      <c r="C254" t="s">
        <v>3303</v>
      </c>
      <c r="D254">
        <v>0.5</v>
      </c>
      <c r="E254" t="s">
        <v>2321</v>
      </c>
      <c r="F254" t="s">
        <v>2320</v>
      </c>
      <c r="G254" t="s">
        <v>2440</v>
      </c>
      <c r="H254"/>
      <c r="I254"/>
      <c r="J254" t="s">
        <v>1908</v>
      </c>
      <c r="K254"/>
      <c r="L254"/>
      <c r="M254">
        <v>14</v>
      </c>
      <c r="N254">
        <v>27</v>
      </c>
      <c r="O254">
        <v>5</v>
      </c>
      <c r="P254">
        <v>8</v>
      </c>
      <c r="Q254">
        <v>5</v>
      </c>
      <c r="R254" t="s">
        <v>2317</v>
      </c>
      <c r="S254" t="s">
        <v>2876</v>
      </c>
      <c r="T254" t="s">
        <v>2315</v>
      </c>
      <c r="U254" t="s">
        <v>2315</v>
      </c>
      <c r="V254">
        <v>40</v>
      </c>
      <c r="W254"/>
      <c r="X254"/>
      <c r="Y254"/>
      <c r="Z254"/>
      <c r="AA254">
        <v>13</v>
      </c>
      <c r="AB254">
        <v>12</v>
      </c>
      <c r="AC254">
        <v>13</v>
      </c>
      <c r="AD254">
        <v>2</v>
      </c>
      <c r="AE254">
        <v>13</v>
      </c>
      <c r="AF254">
        <v>6</v>
      </c>
      <c r="AG254">
        <v>262</v>
      </c>
      <c r="AH254"/>
      <c r="AI254"/>
      <c r="AJ254"/>
      <c r="AK254"/>
      <c r="AL254"/>
      <c r="AM254"/>
      <c r="AN254"/>
      <c r="AO254">
        <v>346</v>
      </c>
      <c r="AP254"/>
      <c r="AQ254"/>
      <c r="AR254"/>
      <c r="AS254"/>
      <c r="AT254">
        <v>30</v>
      </c>
      <c r="AU254"/>
      <c r="AV254"/>
      <c r="AW254"/>
      <c r="AX254"/>
      <c r="AY254" t="s">
        <v>3301</v>
      </c>
      <c r="AZ254" t="s">
        <v>3302</v>
      </c>
      <c r="BA254" t="s">
        <v>3301</v>
      </c>
      <c r="BB254" t="s">
        <v>3299</v>
      </c>
      <c r="BC254" t="s">
        <v>3300</v>
      </c>
      <c r="BD254" t="s">
        <v>3299</v>
      </c>
      <c r="BE254"/>
      <c r="BF254"/>
      <c r="BG254"/>
      <c r="BH254"/>
      <c r="BI254"/>
      <c r="BJ254"/>
      <c r="BK254"/>
      <c r="BL254"/>
      <c r="BM254"/>
      <c r="BN254"/>
      <c r="BO254"/>
      <c r="BP254" t="s">
        <v>2332</v>
      </c>
      <c r="BQ254" t="s">
        <v>3298</v>
      </c>
      <c r="BR254" t="s">
        <v>3297</v>
      </c>
      <c r="BS254" t="s">
        <v>3295</v>
      </c>
      <c r="BT254" t="s">
        <v>3296</v>
      </c>
      <c r="BU254" t="s">
        <v>3295</v>
      </c>
      <c r="BV254"/>
      <c r="BW254"/>
      <c r="BX254"/>
      <c r="BY254"/>
      <c r="BZ254"/>
      <c r="CA254"/>
      <c r="CB254"/>
      <c r="CC254"/>
      <c r="CD254"/>
      <c r="CE254"/>
      <c r="CF254"/>
      <c r="CG254"/>
      <c r="CH254"/>
      <c r="CI254"/>
      <c r="CJ254"/>
      <c r="CK254"/>
      <c r="CL254"/>
      <c r="CM254"/>
      <c r="CN254"/>
      <c r="CO254"/>
      <c r="CP254"/>
      <c r="CQ254"/>
      <c r="CR254"/>
      <c r="CS254"/>
      <c r="CT254"/>
      <c r="CU254"/>
      <c r="CV254"/>
      <c r="CW254"/>
      <c r="CX254" t="s">
        <v>2307</v>
      </c>
      <c r="CY254">
        <v>262</v>
      </c>
      <c r="CZ254" t="s">
        <v>2306</v>
      </c>
    </row>
    <row r="255" spans="1:104" ht="14.25">
      <c r="A255" t="s">
        <v>3294</v>
      </c>
      <c r="B255" t="s">
        <v>3293</v>
      </c>
      <c r="C255" t="s">
        <v>3292</v>
      </c>
      <c r="D255">
        <v>2</v>
      </c>
      <c r="E255" t="s">
        <v>2533</v>
      </c>
      <c r="F255" t="s">
        <v>2342</v>
      </c>
      <c r="G255" t="s">
        <v>2543</v>
      </c>
      <c r="H255"/>
      <c r="I255"/>
      <c r="J255" t="s">
        <v>1908</v>
      </c>
      <c r="K255"/>
      <c r="L255"/>
      <c r="M255">
        <v>12</v>
      </c>
      <c r="N255">
        <v>52</v>
      </c>
      <c r="O255">
        <v>7</v>
      </c>
      <c r="P255">
        <v>10</v>
      </c>
      <c r="Q255">
        <v>14</v>
      </c>
      <c r="R255" t="s">
        <v>2317</v>
      </c>
      <c r="S255" t="s">
        <v>3291</v>
      </c>
      <c r="T255" t="s">
        <v>3290</v>
      </c>
      <c r="U255" t="s">
        <v>2315</v>
      </c>
      <c r="V255">
        <v>40</v>
      </c>
      <c r="W255"/>
      <c r="X255"/>
      <c r="Y255"/>
      <c r="Z255"/>
      <c r="AA255">
        <v>18</v>
      </c>
      <c r="AB255">
        <v>14</v>
      </c>
      <c r="AC255">
        <v>15</v>
      </c>
      <c r="AD255">
        <v>3</v>
      </c>
      <c r="AE255">
        <v>12</v>
      </c>
      <c r="AF255">
        <v>8</v>
      </c>
      <c r="AG255">
        <v>336</v>
      </c>
      <c r="AH255"/>
      <c r="AI255"/>
      <c r="AJ255"/>
      <c r="AK255"/>
      <c r="AL255"/>
      <c r="AM255"/>
      <c r="AN255">
        <v>43</v>
      </c>
      <c r="AO255">
        <v>383</v>
      </c>
      <c r="AP255"/>
      <c r="AQ255"/>
      <c r="AR255"/>
      <c r="AS255" t="s">
        <v>3289</v>
      </c>
      <c r="AT255"/>
      <c r="AU255"/>
      <c r="AV255"/>
      <c r="AW255"/>
      <c r="AX255"/>
      <c r="AY255" t="s">
        <v>2434</v>
      </c>
      <c r="AZ255" t="s">
        <v>2899</v>
      </c>
      <c r="BA255" t="s">
        <v>2434</v>
      </c>
      <c r="BB255" t="s">
        <v>2897</v>
      </c>
      <c r="BC255" t="s">
        <v>3288</v>
      </c>
      <c r="BD255" t="s">
        <v>2897</v>
      </c>
      <c r="BE255"/>
      <c r="BF255"/>
      <c r="BG255"/>
      <c r="BH255"/>
      <c r="BI255"/>
      <c r="BJ255"/>
      <c r="BK255"/>
      <c r="BL255"/>
      <c r="BM255"/>
      <c r="BN255"/>
      <c r="BO255"/>
      <c r="BP255" t="s">
        <v>2332</v>
      </c>
      <c r="BQ255" t="s">
        <v>3287</v>
      </c>
      <c r="BR255" t="s">
        <v>3286</v>
      </c>
      <c r="BS255" t="s">
        <v>2329</v>
      </c>
      <c r="BT255" t="s">
        <v>3285</v>
      </c>
      <c r="BU255" t="s">
        <v>3284</v>
      </c>
      <c r="BV255"/>
      <c r="BW255"/>
      <c r="BX255"/>
      <c r="BY255"/>
      <c r="BZ255"/>
      <c r="CA255"/>
      <c r="CB255"/>
      <c r="CC255"/>
      <c r="CD255"/>
      <c r="CE255"/>
      <c r="CF255"/>
      <c r="CG255"/>
      <c r="CH255"/>
      <c r="CI255"/>
      <c r="CJ255"/>
      <c r="CK255"/>
      <c r="CL255"/>
      <c r="CM255"/>
      <c r="CN255"/>
      <c r="CO255"/>
      <c r="CP255"/>
      <c r="CQ255"/>
      <c r="CR255"/>
      <c r="CS255"/>
      <c r="CT255"/>
      <c r="CU255"/>
      <c r="CV255"/>
      <c r="CW255"/>
      <c r="CX255" t="s">
        <v>2307</v>
      </c>
      <c r="CY255">
        <v>336</v>
      </c>
      <c r="CZ255" t="s">
        <v>2306</v>
      </c>
    </row>
    <row r="256" spans="1:104" ht="14.25">
      <c r="A256" t="s">
        <v>3282</v>
      </c>
      <c r="B256" t="s">
        <v>3282</v>
      </c>
      <c r="C256" t="s">
        <v>3283</v>
      </c>
      <c r="D256">
        <v>0.5</v>
      </c>
      <c r="E256" t="s">
        <v>2321</v>
      </c>
      <c r="F256" t="s">
        <v>2320</v>
      </c>
      <c r="G256" t="s">
        <v>2461</v>
      </c>
      <c r="H256" t="s">
        <v>3282</v>
      </c>
      <c r="I256"/>
      <c r="J256" t="s">
        <v>2375</v>
      </c>
      <c r="K256"/>
      <c r="L256"/>
      <c r="M256">
        <v>12</v>
      </c>
      <c r="N256">
        <v>22</v>
      </c>
      <c r="O256">
        <v>4</v>
      </c>
      <c r="P256">
        <v>8</v>
      </c>
      <c r="Q256">
        <v>4</v>
      </c>
      <c r="R256" t="s">
        <v>2317</v>
      </c>
      <c r="S256" t="s">
        <v>2845</v>
      </c>
      <c r="T256" t="s">
        <v>2845</v>
      </c>
      <c r="U256" t="s">
        <v>2315</v>
      </c>
      <c r="V256">
        <v>30</v>
      </c>
      <c r="W256"/>
      <c r="X256"/>
      <c r="Y256"/>
      <c r="Z256">
        <v>40</v>
      </c>
      <c r="AA256">
        <v>13</v>
      </c>
      <c r="AB256">
        <v>11</v>
      </c>
      <c r="AC256">
        <v>12</v>
      </c>
      <c r="AD256">
        <v>12</v>
      </c>
      <c r="AE256">
        <v>13</v>
      </c>
      <c r="AF256">
        <v>9</v>
      </c>
      <c r="AG256">
        <v>263</v>
      </c>
      <c r="AH256"/>
      <c r="AI256"/>
      <c r="AJ256"/>
      <c r="AK256"/>
      <c r="AL256"/>
      <c r="AM256"/>
      <c r="AN256"/>
      <c r="AO256">
        <v>346</v>
      </c>
      <c r="AP256"/>
      <c r="AQ256"/>
      <c r="AR256"/>
      <c r="AS256" t="s">
        <v>3281</v>
      </c>
      <c r="AT256"/>
      <c r="AU256"/>
      <c r="AV256"/>
      <c r="AW256"/>
      <c r="AX256"/>
      <c r="AY256" t="s">
        <v>2958</v>
      </c>
      <c r="AZ256" t="s">
        <v>3280</v>
      </c>
      <c r="BA256" t="s">
        <v>2958</v>
      </c>
      <c r="BB256" t="s">
        <v>3278</v>
      </c>
      <c r="BC256" t="s">
        <v>3279</v>
      </c>
      <c r="BD256" t="s">
        <v>3278</v>
      </c>
      <c r="BE256" t="s">
        <v>3276</v>
      </c>
      <c r="BF256" t="s">
        <v>3277</v>
      </c>
      <c r="BG256" t="s">
        <v>3276</v>
      </c>
      <c r="BH256"/>
      <c r="BI256"/>
      <c r="BJ256"/>
      <c r="BK256"/>
      <c r="BL256"/>
      <c r="BM256"/>
      <c r="BN256"/>
      <c r="BO256"/>
      <c r="BP256" t="s">
        <v>2333</v>
      </c>
      <c r="BQ256" t="s">
        <v>3275</v>
      </c>
      <c r="BR256" t="s">
        <v>2333</v>
      </c>
      <c r="BS256" t="s">
        <v>2332</v>
      </c>
      <c r="BT256" t="s">
        <v>2843</v>
      </c>
      <c r="BU256" t="s">
        <v>3274</v>
      </c>
      <c r="BV256" t="s">
        <v>2505</v>
      </c>
      <c r="BW256" t="s">
        <v>3273</v>
      </c>
      <c r="BX256" t="s">
        <v>2842</v>
      </c>
      <c r="BY256" t="s">
        <v>2255</v>
      </c>
      <c r="BZ256" t="s">
        <v>2873</v>
      </c>
      <c r="CA256" t="s">
        <v>2872</v>
      </c>
      <c r="CB256"/>
      <c r="CC256"/>
      <c r="CD256"/>
      <c r="CE256"/>
      <c r="CF256"/>
      <c r="CG256"/>
      <c r="CH256"/>
      <c r="CI256"/>
      <c r="CJ256"/>
      <c r="CK256"/>
      <c r="CL256"/>
      <c r="CM256"/>
      <c r="CN256"/>
      <c r="CO256"/>
      <c r="CP256"/>
      <c r="CQ256"/>
      <c r="CR256"/>
      <c r="CS256"/>
      <c r="CT256"/>
      <c r="CU256"/>
      <c r="CV256"/>
      <c r="CW256"/>
      <c r="CX256" t="s">
        <v>2307</v>
      </c>
      <c r="CY256">
        <v>263</v>
      </c>
      <c r="CZ256" t="s">
        <v>2306</v>
      </c>
    </row>
    <row r="257" spans="1:104" ht="14.25">
      <c r="A257" t="s">
        <v>3272</v>
      </c>
      <c r="B257" t="s">
        <v>3272</v>
      </c>
      <c r="C257" t="s">
        <v>3271</v>
      </c>
      <c r="D257">
        <v>5</v>
      </c>
      <c r="E257" t="s">
        <v>2321</v>
      </c>
      <c r="F257" t="s">
        <v>2342</v>
      </c>
      <c r="G257" t="s">
        <v>2479</v>
      </c>
      <c r="H257"/>
      <c r="I257"/>
      <c r="J257" t="s">
        <v>2318</v>
      </c>
      <c r="K257"/>
      <c r="L257"/>
      <c r="M257">
        <v>15</v>
      </c>
      <c r="N257">
        <v>90</v>
      </c>
      <c r="O257">
        <v>12</v>
      </c>
      <c r="P257">
        <v>10</v>
      </c>
      <c r="Q257">
        <v>24</v>
      </c>
      <c r="R257" t="s">
        <v>2317</v>
      </c>
      <c r="S257" t="s">
        <v>2510</v>
      </c>
      <c r="T257" t="s">
        <v>3270</v>
      </c>
      <c r="U257" t="s">
        <v>2857</v>
      </c>
      <c r="V257">
        <v>30</v>
      </c>
      <c r="W257"/>
      <c r="X257"/>
      <c r="Y257"/>
      <c r="Z257"/>
      <c r="AA257">
        <v>18</v>
      </c>
      <c r="AB257">
        <v>14</v>
      </c>
      <c r="AC257">
        <v>15</v>
      </c>
      <c r="AD257">
        <v>11</v>
      </c>
      <c r="AE257">
        <v>10</v>
      </c>
      <c r="AF257">
        <v>12</v>
      </c>
      <c r="AG257">
        <v>266</v>
      </c>
      <c r="AH257"/>
      <c r="AI257"/>
      <c r="AJ257"/>
      <c r="AK257"/>
      <c r="AL257"/>
      <c r="AM257"/>
      <c r="AN257"/>
      <c r="AO257">
        <v>346</v>
      </c>
      <c r="AP257"/>
      <c r="AQ257"/>
      <c r="AR257"/>
      <c r="AS257"/>
      <c r="AT257">
        <v>30</v>
      </c>
      <c r="AU257"/>
      <c r="AV257"/>
      <c r="AW257"/>
      <c r="AX257"/>
      <c r="AY257" t="s">
        <v>3269</v>
      </c>
      <c r="AZ257" t="s">
        <v>3268</v>
      </c>
      <c r="BA257" t="s">
        <v>3267</v>
      </c>
      <c r="BB257" t="s">
        <v>3265</v>
      </c>
      <c r="BC257" t="s">
        <v>3266</v>
      </c>
      <c r="BD257" t="s">
        <v>3265</v>
      </c>
      <c r="BE257"/>
      <c r="BF257"/>
      <c r="BG257"/>
      <c r="BH257"/>
      <c r="BI257"/>
      <c r="BJ257"/>
      <c r="BK257"/>
      <c r="BL257"/>
      <c r="BM257"/>
      <c r="BN257"/>
      <c r="BO257"/>
      <c r="BP257" t="s">
        <v>2333</v>
      </c>
      <c r="BQ257" t="s">
        <v>3264</v>
      </c>
      <c r="BR257" t="s">
        <v>2333</v>
      </c>
      <c r="BS257" t="s">
        <v>2255</v>
      </c>
      <c r="BT257" t="s">
        <v>3263</v>
      </c>
      <c r="BU257" t="s">
        <v>3262</v>
      </c>
      <c r="BV257" t="s">
        <v>2831</v>
      </c>
      <c r="BW257" t="s">
        <v>3261</v>
      </c>
      <c r="BX257" t="s">
        <v>3260</v>
      </c>
      <c r="BY257"/>
      <c r="BZ257"/>
      <c r="CA257"/>
      <c r="CB257"/>
      <c r="CC257"/>
      <c r="CD257"/>
      <c r="CE257"/>
      <c r="CF257"/>
      <c r="CG257"/>
      <c r="CH257"/>
      <c r="CI257"/>
      <c r="CJ257"/>
      <c r="CK257"/>
      <c r="CL257"/>
      <c r="CM257"/>
      <c r="CN257"/>
      <c r="CO257"/>
      <c r="CP257"/>
      <c r="CQ257"/>
      <c r="CR257"/>
      <c r="CS257"/>
      <c r="CT257"/>
      <c r="CU257"/>
      <c r="CV257"/>
      <c r="CW257"/>
      <c r="CX257" t="s">
        <v>2307</v>
      </c>
      <c r="CY257">
        <v>266</v>
      </c>
      <c r="CZ257" t="s">
        <v>2306</v>
      </c>
    </row>
    <row r="258" spans="1:104" ht="14.25">
      <c r="A258" t="s">
        <v>3259</v>
      </c>
      <c r="B258" t="s">
        <v>3259</v>
      </c>
      <c r="C258" t="s">
        <v>3258</v>
      </c>
      <c r="D258">
        <v>0.5</v>
      </c>
      <c r="E258" t="s">
        <v>2321</v>
      </c>
      <c r="F258" t="s">
        <v>2320</v>
      </c>
      <c r="G258" t="s">
        <v>3084</v>
      </c>
      <c r="H258"/>
      <c r="I258"/>
      <c r="J258" t="s">
        <v>3257</v>
      </c>
      <c r="K258"/>
      <c r="L258"/>
      <c r="M258">
        <v>14</v>
      </c>
      <c r="N258">
        <v>31</v>
      </c>
      <c r="O258">
        <v>7</v>
      </c>
      <c r="P258">
        <v>8</v>
      </c>
      <c r="Q258"/>
      <c r="R258" t="s">
        <v>2317</v>
      </c>
      <c r="S258" t="s">
        <v>3256</v>
      </c>
      <c r="T258" t="s">
        <v>3255</v>
      </c>
      <c r="U258" t="s">
        <v>2315</v>
      </c>
      <c r="V258">
        <v>40</v>
      </c>
      <c r="W258"/>
      <c r="X258"/>
      <c r="Y258"/>
      <c r="Z258"/>
      <c r="AA258">
        <v>12</v>
      </c>
      <c r="AB258">
        <v>16</v>
      </c>
      <c r="AC258">
        <v>11</v>
      </c>
      <c r="AD258">
        <v>12</v>
      </c>
      <c r="AE258">
        <v>10</v>
      </c>
      <c r="AF258">
        <v>14</v>
      </c>
      <c r="AG258">
        <v>267</v>
      </c>
      <c r="AH258"/>
      <c r="AI258"/>
      <c r="AJ258"/>
      <c r="AK258"/>
      <c r="AL258"/>
      <c r="AM258"/>
      <c r="AN258">
        <v>43</v>
      </c>
      <c r="AO258">
        <v>347</v>
      </c>
      <c r="AP258"/>
      <c r="AQ258"/>
      <c r="AR258"/>
      <c r="AS258"/>
      <c r="AT258"/>
      <c r="AU258"/>
      <c r="AV258"/>
      <c r="AW258"/>
      <c r="AX258"/>
      <c r="AY258" t="s">
        <v>2726</v>
      </c>
      <c r="AZ258" t="s">
        <v>3254</v>
      </c>
      <c r="BA258" t="s">
        <v>2726</v>
      </c>
      <c r="BB258"/>
      <c r="BC258"/>
      <c r="BD258"/>
      <c r="BE258"/>
      <c r="BF258"/>
      <c r="BG258"/>
      <c r="BH258"/>
      <c r="BI258"/>
      <c r="BJ258"/>
      <c r="BK258"/>
      <c r="BL258"/>
      <c r="BM258"/>
      <c r="BN258"/>
      <c r="BO258"/>
      <c r="BP258" t="s">
        <v>3253</v>
      </c>
      <c r="BQ258" t="s">
        <v>3252</v>
      </c>
      <c r="BR258" t="s">
        <v>3251</v>
      </c>
      <c r="BS258" t="s">
        <v>2751</v>
      </c>
      <c r="BT258" t="s">
        <v>3250</v>
      </c>
      <c r="BU258" t="s">
        <v>2749</v>
      </c>
      <c r="BV258" t="s">
        <v>3081</v>
      </c>
      <c r="BW258" t="s">
        <v>3249</v>
      </c>
      <c r="BX258" t="s">
        <v>3248</v>
      </c>
      <c r="BY258" t="s">
        <v>3246</v>
      </c>
      <c r="BZ258" t="s">
        <v>3247</v>
      </c>
      <c r="CA258" t="s">
        <v>3246</v>
      </c>
      <c r="CB258"/>
      <c r="CC258"/>
      <c r="CD258"/>
      <c r="CE258"/>
      <c r="CF258"/>
      <c r="CG258"/>
      <c r="CH258"/>
      <c r="CI258"/>
      <c r="CJ258"/>
      <c r="CK258"/>
      <c r="CL258"/>
      <c r="CM258"/>
      <c r="CN258"/>
      <c r="CO258"/>
      <c r="CP258"/>
      <c r="CQ258"/>
      <c r="CR258"/>
      <c r="CS258"/>
      <c r="CT258"/>
      <c r="CU258"/>
      <c r="CV258"/>
      <c r="CW258"/>
      <c r="CX258" t="s">
        <v>2307</v>
      </c>
      <c r="CY258">
        <v>267</v>
      </c>
      <c r="CZ258" t="s">
        <v>2306</v>
      </c>
    </row>
    <row r="259" spans="1:104" ht="14.25">
      <c r="A259" t="s">
        <v>3245</v>
      </c>
      <c r="B259" t="s">
        <v>3245</v>
      </c>
      <c r="C259" t="s">
        <v>3244</v>
      </c>
      <c r="D259">
        <v>0</v>
      </c>
      <c r="E259" t="s">
        <v>2533</v>
      </c>
      <c r="F259" t="s">
        <v>2572</v>
      </c>
      <c r="G259" t="s">
        <v>2543</v>
      </c>
      <c r="H259"/>
      <c r="I259"/>
      <c r="J259" t="s">
        <v>1908</v>
      </c>
      <c r="K259"/>
      <c r="L259"/>
      <c r="M259">
        <v>11</v>
      </c>
      <c r="N259">
        <v>1</v>
      </c>
      <c r="O259">
        <v>1</v>
      </c>
      <c r="P259">
        <v>4</v>
      </c>
      <c r="Q259">
        <v>-1</v>
      </c>
      <c r="R259" t="s">
        <v>2317</v>
      </c>
      <c r="S259" t="s">
        <v>2679</v>
      </c>
      <c r="T259" t="s">
        <v>2315</v>
      </c>
      <c r="U259" t="s">
        <v>2315</v>
      </c>
      <c r="V259">
        <v>10</v>
      </c>
      <c r="W259"/>
      <c r="X259"/>
      <c r="Y259"/>
      <c r="Z259"/>
      <c r="AA259">
        <v>2</v>
      </c>
      <c r="AB259">
        <v>11</v>
      </c>
      <c r="AC259">
        <v>8</v>
      </c>
      <c r="AD259">
        <v>1</v>
      </c>
      <c r="AE259">
        <v>8</v>
      </c>
      <c r="AF259">
        <v>2</v>
      </c>
      <c r="AG259">
        <v>337</v>
      </c>
      <c r="AH259"/>
      <c r="AI259"/>
      <c r="AJ259"/>
      <c r="AK259"/>
      <c r="AL259"/>
      <c r="AM259"/>
      <c r="AN259">
        <v>43</v>
      </c>
      <c r="AO259">
        <v>383</v>
      </c>
      <c r="AP259"/>
      <c r="AQ259"/>
      <c r="AR259"/>
      <c r="AS259"/>
      <c r="AT259"/>
      <c r="AU259"/>
      <c r="AV259"/>
      <c r="AW259"/>
      <c r="AX259"/>
      <c r="AY259"/>
      <c r="AZ259"/>
      <c r="BA259"/>
      <c r="BB259"/>
      <c r="BC259"/>
      <c r="BD259"/>
      <c r="BE259"/>
      <c r="BF259"/>
      <c r="BG259"/>
      <c r="BH259"/>
      <c r="BI259"/>
      <c r="BJ259"/>
      <c r="BK259"/>
      <c r="BL259"/>
      <c r="BM259"/>
      <c r="BN259"/>
      <c r="BO259"/>
      <c r="BP259" t="s">
        <v>3243</v>
      </c>
      <c r="BQ259" t="s">
        <v>3242</v>
      </c>
      <c r="BR259" t="s">
        <v>3241</v>
      </c>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t="s">
        <v>2307</v>
      </c>
      <c r="CY259">
        <v>337</v>
      </c>
      <c r="CZ259" t="s">
        <v>2306</v>
      </c>
    </row>
    <row r="260" spans="1:104" ht="14.25">
      <c r="A260" t="s">
        <v>3240</v>
      </c>
      <c r="B260" t="s">
        <v>3240</v>
      </c>
      <c r="C260" t="s">
        <v>3239</v>
      </c>
      <c r="D260">
        <v>0.5</v>
      </c>
      <c r="E260" t="s">
        <v>2462</v>
      </c>
      <c r="F260" t="s">
        <v>2320</v>
      </c>
      <c r="G260" t="s">
        <v>2461</v>
      </c>
      <c r="H260" t="s">
        <v>2460</v>
      </c>
      <c r="I260"/>
      <c r="J260" t="s">
        <v>2460</v>
      </c>
      <c r="K260"/>
      <c r="L260"/>
      <c r="M260">
        <v>13</v>
      </c>
      <c r="N260">
        <v>16</v>
      </c>
      <c r="O260">
        <v>3</v>
      </c>
      <c r="P260">
        <v>8</v>
      </c>
      <c r="Q260">
        <v>3</v>
      </c>
      <c r="R260" t="s">
        <v>2317</v>
      </c>
      <c r="S260" t="s">
        <v>2458</v>
      </c>
      <c r="T260" t="s">
        <v>2611</v>
      </c>
      <c r="U260" t="s">
        <v>2315</v>
      </c>
      <c r="V260">
        <v>30</v>
      </c>
      <c r="W260"/>
      <c r="X260"/>
      <c r="Y260"/>
      <c r="Z260"/>
      <c r="AA260">
        <v>11</v>
      </c>
      <c r="AB260">
        <v>14</v>
      </c>
      <c r="AC260">
        <v>12</v>
      </c>
      <c r="AD260">
        <v>11</v>
      </c>
      <c r="AE260">
        <v>13</v>
      </c>
      <c r="AF260">
        <v>11</v>
      </c>
      <c r="AG260">
        <v>349</v>
      </c>
      <c r="AH260"/>
      <c r="AI260"/>
      <c r="AJ260"/>
      <c r="AK260"/>
      <c r="AL260"/>
      <c r="AM260"/>
      <c r="AN260"/>
      <c r="AO260">
        <v>396</v>
      </c>
      <c r="AP260">
        <v>16</v>
      </c>
      <c r="AQ260"/>
      <c r="AR260"/>
      <c r="AS260" t="s">
        <v>3238</v>
      </c>
      <c r="AT260">
        <v>31</v>
      </c>
      <c r="AU260"/>
      <c r="AV260" t="s">
        <v>3237</v>
      </c>
      <c r="AW260"/>
      <c r="AX260" t="s">
        <v>3236</v>
      </c>
      <c r="AY260" t="s">
        <v>3234</v>
      </c>
      <c r="AZ260" t="s">
        <v>3235</v>
      </c>
      <c r="BA260" t="s">
        <v>3234</v>
      </c>
      <c r="BB260"/>
      <c r="BC260"/>
      <c r="BD260"/>
      <c r="BE260"/>
      <c r="BF260"/>
      <c r="BG260"/>
      <c r="BH260"/>
      <c r="BI260"/>
      <c r="BJ260"/>
      <c r="BK260"/>
      <c r="BL260"/>
      <c r="BM260"/>
      <c r="BN260"/>
      <c r="BO260"/>
      <c r="BP260" t="s">
        <v>2333</v>
      </c>
      <c r="BQ260" t="s">
        <v>3233</v>
      </c>
      <c r="BR260" t="s">
        <v>2333</v>
      </c>
      <c r="BS260" t="s">
        <v>2751</v>
      </c>
      <c r="BT260" t="s">
        <v>2638</v>
      </c>
      <c r="BU260" t="s">
        <v>2637</v>
      </c>
      <c r="BV260" t="s">
        <v>2577</v>
      </c>
      <c r="BW260" t="s">
        <v>3232</v>
      </c>
      <c r="BX260" t="s">
        <v>2575</v>
      </c>
      <c r="BY260"/>
      <c r="BZ260"/>
      <c r="CA260"/>
      <c r="CB260"/>
      <c r="CC260"/>
      <c r="CD260"/>
      <c r="CE260"/>
      <c r="CF260"/>
      <c r="CG260"/>
      <c r="CH260"/>
      <c r="CI260"/>
      <c r="CJ260"/>
      <c r="CK260"/>
      <c r="CL260"/>
      <c r="CM260"/>
      <c r="CN260"/>
      <c r="CO260"/>
      <c r="CP260"/>
      <c r="CQ260"/>
      <c r="CR260"/>
      <c r="CS260"/>
      <c r="CT260"/>
      <c r="CU260"/>
      <c r="CV260"/>
      <c r="CW260"/>
      <c r="CX260" t="s">
        <v>2307</v>
      </c>
      <c r="CY260">
        <v>349</v>
      </c>
      <c r="CZ260" t="s">
        <v>2306</v>
      </c>
    </row>
    <row r="261" spans="1:104" ht="14.25">
      <c r="A261" t="s">
        <v>3231</v>
      </c>
      <c r="B261" t="s">
        <v>3230</v>
      </c>
      <c r="C261" t="s">
        <v>3229</v>
      </c>
      <c r="D261">
        <v>2</v>
      </c>
      <c r="E261" t="s">
        <v>2321</v>
      </c>
      <c r="F261" t="s">
        <v>2320</v>
      </c>
      <c r="G261" t="s">
        <v>3084</v>
      </c>
      <c r="H261" t="s">
        <v>3228</v>
      </c>
      <c r="I261"/>
      <c r="J261" t="s">
        <v>2340</v>
      </c>
      <c r="K261"/>
      <c r="L261"/>
      <c r="M261">
        <v>14</v>
      </c>
      <c r="N261">
        <v>52</v>
      </c>
      <c r="O261">
        <v>7</v>
      </c>
      <c r="P261">
        <v>8</v>
      </c>
      <c r="Q261">
        <v>21</v>
      </c>
      <c r="R261" t="s">
        <v>2317</v>
      </c>
      <c r="S261" t="s">
        <v>2532</v>
      </c>
      <c r="T261" t="s">
        <v>2315</v>
      </c>
      <c r="U261" t="s">
        <v>2315</v>
      </c>
      <c r="V261">
        <v>30</v>
      </c>
      <c r="W261"/>
      <c r="X261"/>
      <c r="Y261"/>
      <c r="Z261">
        <v>40</v>
      </c>
      <c r="AA261">
        <v>16</v>
      </c>
      <c r="AB261">
        <v>13</v>
      </c>
      <c r="AC261">
        <v>16</v>
      </c>
      <c r="AD261">
        <v>12</v>
      </c>
      <c r="AE261">
        <v>12</v>
      </c>
      <c r="AF261">
        <v>13</v>
      </c>
      <c r="AG261">
        <v>179</v>
      </c>
      <c r="AH261"/>
      <c r="AI261"/>
      <c r="AJ261"/>
      <c r="AK261"/>
      <c r="AL261"/>
      <c r="AM261"/>
      <c r="AN261"/>
      <c r="AO261">
        <v>323</v>
      </c>
      <c r="AP261"/>
      <c r="AQ261"/>
      <c r="AR261"/>
      <c r="AS261"/>
      <c r="AT261">
        <v>31</v>
      </c>
      <c r="AU261"/>
      <c r="AV261"/>
      <c r="AW261"/>
      <c r="AX261"/>
      <c r="AY261" t="s">
        <v>2373</v>
      </c>
      <c r="AZ261" t="s">
        <v>3227</v>
      </c>
      <c r="BA261" t="s">
        <v>2373</v>
      </c>
      <c r="BB261" t="s">
        <v>3225</v>
      </c>
      <c r="BC261" t="s">
        <v>3226</v>
      </c>
      <c r="BD261" t="s">
        <v>3225</v>
      </c>
      <c r="BE261" t="s">
        <v>3223</v>
      </c>
      <c r="BF261" t="s">
        <v>3224</v>
      </c>
      <c r="BG261" t="s">
        <v>3223</v>
      </c>
      <c r="BH261" t="s">
        <v>3222</v>
      </c>
      <c r="BI261" t="s">
        <v>3221</v>
      </c>
      <c r="BJ261" t="s">
        <v>3220</v>
      </c>
      <c r="BK261" t="s">
        <v>3219</v>
      </c>
      <c r="BL261"/>
      <c r="BM261"/>
      <c r="BN261"/>
      <c r="BO261"/>
      <c r="BP261" t="s">
        <v>2505</v>
      </c>
      <c r="BQ261" t="s">
        <v>3218</v>
      </c>
      <c r="BR261" t="s">
        <v>3217</v>
      </c>
      <c r="BS261" t="s">
        <v>3215</v>
      </c>
      <c r="BT261" t="s">
        <v>3216</v>
      </c>
      <c r="BU261" t="s">
        <v>3215</v>
      </c>
      <c r="BV261" t="s">
        <v>3213</v>
      </c>
      <c r="BW261" t="s">
        <v>3214</v>
      </c>
      <c r="BX261" t="s">
        <v>3213</v>
      </c>
      <c r="BY261"/>
      <c r="BZ261"/>
      <c r="CA261"/>
      <c r="CB261"/>
      <c r="CC261"/>
      <c r="CD261"/>
      <c r="CE261"/>
      <c r="CF261"/>
      <c r="CG261"/>
      <c r="CH261"/>
      <c r="CI261"/>
      <c r="CJ261"/>
      <c r="CK261"/>
      <c r="CL261"/>
      <c r="CM261"/>
      <c r="CN261"/>
      <c r="CO261"/>
      <c r="CP261"/>
      <c r="CQ261"/>
      <c r="CR261"/>
      <c r="CS261"/>
      <c r="CT261"/>
      <c r="CU261"/>
      <c r="CV261"/>
      <c r="CW261"/>
      <c r="CX261" t="s">
        <v>2307</v>
      </c>
      <c r="CY261">
        <v>179</v>
      </c>
      <c r="CZ261" t="s">
        <v>2306</v>
      </c>
    </row>
    <row r="262" spans="1:104" ht="14.25">
      <c r="A262" t="s">
        <v>3212</v>
      </c>
      <c r="B262" t="s">
        <v>3211</v>
      </c>
      <c r="C262" t="s">
        <v>3210</v>
      </c>
      <c r="D262" t="s">
        <v>2315</v>
      </c>
      <c r="E262" t="s">
        <v>2533</v>
      </c>
      <c r="F262" t="s">
        <v>2572</v>
      </c>
      <c r="G262" t="s">
        <v>2543</v>
      </c>
      <c r="H262"/>
      <c r="I262"/>
      <c r="J262" t="s">
        <v>1908</v>
      </c>
      <c r="K262"/>
      <c r="L262"/>
      <c r="M262">
        <v>11</v>
      </c>
      <c r="N262">
        <v>1</v>
      </c>
      <c r="O262">
        <v>1</v>
      </c>
      <c r="P262">
        <v>4</v>
      </c>
      <c r="Q262">
        <v>-1</v>
      </c>
      <c r="R262" t="s">
        <v>2317</v>
      </c>
      <c r="S262" t="s">
        <v>270</v>
      </c>
      <c r="T262" t="s">
        <v>2315</v>
      </c>
      <c r="U262" t="s">
        <v>2315</v>
      </c>
      <c r="V262">
        <v>0</v>
      </c>
      <c r="W262"/>
      <c r="X262"/>
      <c r="Y262"/>
      <c r="Z262">
        <v>20</v>
      </c>
      <c r="AA262">
        <v>1</v>
      </c>
      <c r="AB262">
        <v>12</v>
      </c>
      <c r="AC262">
        <v>8</v>
      </c>
      <c r="AD262">
        <v>1</v>
      </c>
      <c r="AE262">
        <v>10</v>
      </c>
      <c r="AF262">
        <v>2</v>
      </c>
      <c r="AG262">
        <v>337</v>
      </c>
      <c r="AH262"/>
      <c r="AI262"/>
      <c r="AJ262"/>
      <c r="AK262"/>
      <c r="AL262"/>
      <c r="AM262"/>
      <c r="AN262">
        <v>43</v>
      </c>
      <c r="AO262">
        <v>384</v>
      </c>
      <c r="AP262"/>
      <c r="AQ262"/>
      <c r="AR262"/>
      <c r="AS262"/>
      <c r="AT262"/>
      <c r="AU262"/>
      <c r="AV262"/>
      <c r="AW262"/>
      <c r="AX262"/>
      <c r="AY262" t="s">
        <v>2955</v>
      </c>
      <c r="AZ262" t="s">
        <v>3209</v>
      </c>
      <c r="BA262" t="s">
        <v>2955</v>
      </c>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t="s">
        <v>2307</v>
      </c>
      <c r="CY262">
        <v>337</v>
      </c>
      <c r="CZ262" t="s">
        <v>2306</v>
      </c>
    </row>
    <row r="263" spans="1:104" ht="14.25">
      <c r="A263" t="s">
        <v>3208</v>
      </c>
      <c r="B263" t="s">
        <v>3208</v>
      </c>
      <c r="C263" t="s">
        <v>3207</v>
      </c>
      <c r="D263">
        <v>0.5</v>
      </c>
      <c r="E263" t="s">
        <v>2321</v>
      </c>
      <c r="F263" t="s">
        <v>2320</v>
      </c>
      <c r="G263" t="s">
        <v>2319</v>
      </c>
      <c r="H263"/>
      <c r="I263"/>
      <c r="J263" t="s">
        <v>2340</v>
      </c>
      <c r="K263"/>
      <c r="L263"/>
      <c r="M263">
        <v>12</v>
      </c>
      <c r="N263">
        <v>16</v>
      </c>
      <c r="O263">
        <v>3</v>
      </c>
      <c r="P263">
        <v>8</v>
      </c>
      <c r="Q263">
        <v>3</v>
      </c>
      <c r="R263" t="s">
        <v>2317</v>
      </c>
      <c r="S263" t="s">
        <v>3206</v>
      </c>
      <c r="T263" t="s">
        <v>2315</v>
      </c>
      <c r="U263" t="s">
        <v>2315</v>
      </c>
      <c r="V263">
        <v>40</v>
      </c>
      <c r="W263"/>
      <c r="X263"/>
      <c r="Y263"/>
      <c r="Z263"/>
      <c r="AA263">
        <v>6</v>
      </c>
      <c r="AB263">
        <v>14</v>
      </c>
      <c r="AC263">
        <v>13</v>
      </c>
      <c r="AD263">
        <v>6</v>
      </c>
      <c r="AE263">
        <v>10</v>
      </c>
      <c r="AF263">
        <v>8</v>
      </c>
      <c r="AG263">
        <v>269</v>
      </c>
      <c r="AH263"/>
      <c r="AI263"/>
      <c r="AJ263"/>
      <c r="AK263"/>
      <c r="AL263"/>
      <c r="AM263"/>
      <c r="AN263"/>
      <c r="AO263">
        <v>347</v>
      </c>
      <c r="AP263"/>
      <c r="AQ263"/>
      <c r="AR263"/>
      <c r="AS263" t="s">
        <v>3205</v>
      </c>
      <c r="AT263">
        <v>31</v>
      </c>
      <c r="AU263"/>
      <c r="AV263" t="s">
        <v>3110</v>
      </c>
      <c r="AW263"/>
      <c r="AX263" t="s">
        <v>3204</v>
      </c>
      <c r="AY263" t="s">
        <v>3202</v>
      </c>
      <c r="AZ263" t="s">
        <v>3203</v>
      </c>
      <c r="BA263" t="s">
        <v>3202</v>
      </c>
      <c r="BB263" t="s">
        <v>3200</v>
      </c>
      <c r="BC263" t="s">
        <v>3201</v>
      </c>
      <c r="BD263" t="s">
        <v>3200</v>
      </c>
      <c r="BE263" t="s">
        <v>3198</v>
      </c>
      <c r="BF263" t="s">
        <v>3199</v>
      </c>
      <c r="BG263" t="s">
        <v>3198</v>
      </c>
      <c r="BH263"/>
      <c r="BI263"/>
      <c r="BJ263"/>
      <c r="BK263"/>
      <c r="BL263"/>
      <c r="BM263"/>
      <c r="BN263"/>
      <c r="BO263"/>
      <c r="BP263" t="s">
        <v>3197</v>
      </c>
      <c r="BQ263" t="s">
        <v>3196</v>
      </c>
      <c r="BR263" t="s">
        <v>3195</v>
      </c>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t="s">
        <v>2307</v>
      </c>
      <c r="CY263">
        <v>269</v>
      </c>
      <c r="CZ263" t="s">
        <v>2306</v>
      </c>
    </row>
    <row r="264" spans="1:104" ht="14.25">
      <c r="A264" t="s">
        <v>3194</v>
      </c>
      <c r="B264" t="s">
        <v>3193</v>
      </c>
      <c r="C264" t="s">
        <v>3192</v>
      </c>
      <c r="D264">
        <v>5</v>
      </c>
      <c r="E264" t="s">
        <v>2321</v>
      </c>
      <c r="F264" t="s">
        <v>2342</v>
      </c>
      <c r="G264" t="s">
        <v>2743</v>
      </c>
      <c r="H264"/>
      <c r="I264"/>
      <c r="J264" t="s">
        <v>1908</v>
      </c>
      <c r="K264"/>
      <c r="L264"/>
      <c r="M264">
        <v>15</v>
      </c>
      <c r="N264">
        <v>136</v>
      </c>
      <c r="O264">
        <v>16</v>
      </c>
      <c r="P264">
        <v>10</v>
      </c>
      <c r="Q264">
        <v>48</v>
      </c>
      <c r="R264" t="s">
        <v>2317</v>
      </c>
      <c r="S264" t="s">
        <v>2510</v>
      </c>
      <c r="T264" t="s">
        <v>2315</v>
      </c>
      <c r="U264" t="s">
        <v>2315</v>
      </c>
      <c r="V264">
        <v>20</v>
      </c>
      <c r="W264"/>
      <c r="X264"/>
      <c r="Y264"/>
      <c r="Z264">
        <v>20</v>
      </c>
      <c r="AA264">
        <v>18</v>
      </c>
      <c r="AB264">
        <v>8</v>
      </c>
      <c r="AC264">
        <v>16</v>
      </c>
      <c r="AD264">
        <v>5</v>
      </c>
      <c r="AE264">
        <v>10</v>
      </c>
      <c r="AF264">
        <v>5</v>
      </c>
      <c r="AG264">
        <v>270</v>
      </c>
      <c r="AH264"/>
      <c r="AI264"/>
      <c r="AJ264"/>
      <c r="AK264"/>
      <c r="AL264"/>
      <c r="AM264"/>
      <c r="AN264"/>
      <c r="AO264">
        <v>348</v>
      </c>
      <c r="AP264">
        <v>16</v>
      </c>
      <c r="AQ264"/>
      <c r="AR264"/>
      <c r="AS264" t="s">
        <v>3191</v>
      </c>
      <c r="AT264"/>
      <c r="AU264"/>
      <c r="AV264"/>
      <c r="AW264"/>
      <c r="AX264"/>
      <c r="AY264" t="s">
        <v>3189</v>
      </c>
      <c r="AZ264" t="s">
        <v>3190</v>
      </c>
      <c r="BA264" t="s">
        <v>3189</v>
      </c>
      <c r="BB264"/>
      <c r="BC264"/>
      <c r="BD264"/>
      <c r="BE264"/>
      <c r="BF264"/>
      <c r="BG264"/>
      <c r="BH264"/>
      <c r="BI264"/>
      <c r="BJ264"/>
      <c r="BK264"/>
      <c r="BL264"/>
      <c r="BM264"/>
      <c r="BN264"/>
      <c r="BO264"/>
      <c r="BP264" t="s">
        <v>2333</v>
      </c>
      <c r="BQ264" t="s">
        <v>3188</v>
      </c>
      <c r="BR264" t="s">
        <v>2333</v>
      </c>
      <c r="BS264" t="s">
        <v>2310</v>
      </c>
      <c r="BT264" t="s">
        <v>2685</v>
      </c>
      <c r="BU264" t="s">
        <v>2684</v>
      </c>
      <c r="BV264" t="s">
        <v>3186</v>
      </c>
      <c r="BW264" t="s">
        <v>3187</v>
      </c>
      <c r="BX264" t="s">
        <v>3186</v>
      </c>
      <c r="BY264"/>
      <c r="BZ264"/>
      <c r="CA264"/>
      <c r="CB264"/>
      <c r="CC264"/>
      <c r="CD264"/>
      <c r="CE264"/>
      <c r="CF264"/>
      <c r="CG264"/>
      <c r="CH264"/>
      <c r="CI264"/>
      <c r="CJ264"/>
      <c r="CK264"/>
      <c r="CL264"/>
      <c r="CM264"/>
      <c r="CN264"/>
      <c r="CO264"/>
      <c r="CP264"/>
      <c r="CQ264"/>
      <c r="CR264"/>
      <c r="CS264"/>
      <c r="CT264"/>
      <c r="CU264"/>
      <c r="CV264"/>
      <c r="CW264"/>
      <c r="CX264" t="s">
        <v>2307</v>
      </c>
      <c r="CY264">
        <v>270</v>
      </c>
      <c r="CZ264" t="s">
        <v>2306</v>
      </c>
    </row>
    <row r="265" spans="1:104" ht="14.25">
      <c r="A265" t="s">
        <v>3185</v>
      </c>
      <c r="B265" t="s">
        <v>3184</v>
      </c>
      <c r="C265" t="s">
        <v>3183</v>
      </c>
      <c r="D265">
        <v>7</v>
      </c>
      <c r="E265" t="s">
        <v>2321</v>
      </c>
      <c r="F265" t="s">
        <v>2342</v>
      </c>
      <c r="G265" t="s">
        <v>3017</v>
      </c>
      <c r="H265"/>
      <c r="I265"/>
      <c r="J265" t="s">
        <v>1908</v>
      </c>
      <c r="K265"/>
      <c r="L265"/>
      <c r="M265">
        <v>17</v>
      </c>
      <c r="N265">
        <v>142</v>
      </c>
      <c r="O265">
        <v>15</v>
      </c>
      <c r="P265">
        <v>10</v>
      </c>
      <c r="Q265">
        <v>60</v>
      </c>
      <c r="R265" t="s">
        <v>2317</v>
      </c>
      <c r="S265" t="s">
        <v>2338</v>
      </c>
      <c r="T265" t="s">
        <v>2315</v>
      </c>
      <c r="U265" t="s">
        <v>2315</v>
      </c>
      <c r="V265">
        <v>30</v>
      </c>
      <c r="W265"/>
      <c r="X265"/>
      <c r="Y265"/>
      <c r="Z265"/>
      <c r="AA265">
        <v>18</v>
      </c>
      <c r="AB265">
        <v>8</v>
      </c>
      <c r="AC265">
        <v>18</v>
      </c>
      <c r="AD265">
        <v>7</v>
      </c>
      <c r="AE265">
        <v>10</v>
      </c>
      <c r="AF265">
        <v>3</v>
      </c>
      <c r="AG265">
        <v>271</v>
      </c>
      <c r="AH265"/>
      <c r="AI265"/>
      <c r="AJ265"/>
      <c r="AK265"/>
      <c r="AL265"/>
      <c r="AM265"/>
      <c r="AN265"/>
      <c r="AO265">
        <v>348</v>
      </c>
      <c r="AP265"/>
      <c r="AQ265"/>
      <c r="AR265"/>
      <c r="AS265" t="s">
        <v>3182</v>
      </c>
      <c r="AT265">
        <v>32</v>
      </c>
      <c r="AU265"/>
      <c r="AV265"/>
      <c r="AW265"/>
      <c r="AX265" t="s">
        <v>3181</v>
      </c>
      <c r="AY265" t="s">
        <v>3179</v>
      </c>
      <c r="AZ265" t="s">
        <v>3180</v>
      </c>
      <c r="BA265" t="s">
        <v>3179</v>
      </c>
      <c r="BB265" t="s">
        <v>2770</v>
      </c>
      <c r="BC265" t="s">
        <v>3178</v>
      </c>
      <c r="BD265" t="s">
        <v>2770</v>
      </c>
      <c r="BE265" t="s">
        <v>3176</v>
      </c>
      <c r="BF265" t="s">
        <v>3177</v>
      </c>
      <c r="BG265" t="s">
        <v>3176</v>
      </c>
      <c r="BH265"/>
      <c r="BI265"/>
      <c r="BJ265"/>
      <c r="BK265"/>
      <c r="BL265"/>
      <c r="BM265"/>
      <c r="BN265"/>
      <c r="BO265"/>
      <c r="BP265" t="s">
        <v>2333</v>
      </c>
      <c r="BQ265" t="s">
        <v>3175</v>
      </c>
      <c r="BR265" t="s">
        <v>2333</v>
      </c>
      <c r="BS265" t="s">
        <v>3174</v>
      </c>
      <c r="BT265" t="s">
        <v>3173</v>
      </c>
      <c r="BU265" t="s">
        <v>3172</v>
      </c>
      <c r="BV265"/>
      <c r="BW265"/>
      <c r="BX265"/>
      <c r="BY265"/>
      <c r="BZ265"/>
      <c r="CA265"/>
      <c r="CB265"/>
      <c r="CC265"/>
      <c r="CD265"/>
      <c r="CE265"/>
      <c r="CF265"/>
      <c r="CG265"/>
      <c r="CH265"/>
      <c r="CI265"/>
      <c r="CJ265"/>
      <c r="CK265"/>
      <c r="CL265"/>
      <c r="CM265"/>
      <c r="CN265"/>
      <c r="CO265"/>
      <c r="CP265"/>
      <c r="CQ265"/>
      <c r="CR265"/>
      <c r="CS265"/>
      <c r="CT265"/>
      <c r="CU265"/>
      <c r="CV265" t="s">
        <v>3171</v>
      </c>
      <c r="CW265" t="s">
        <v>3170</v>
      </c>
      <c r="CX265" t="s">
        <v>2307</v>
      </c>
      <c r="CY265">
        <v>271</v>
      </c>
      <c r="CZ265" t="s">
        <v>2306</v>
      </c>
    </row>
    <row r="266" spans="1:104" ht="14.25">
      <c r="A266" t="s">
        <v>3169</v>
      </c>
      <c r="B266" t="s">
        <v>3169</v>
      </c>
      <c r="C266" t="s">
        <v>3168</v>
      </c>
      <c r="D266">
        <v>0</v>
      </c>
      <c r="E266" t="s">
        <v>2321</v>
      </c>
      <c r="F266" t="s">
        <v>2320</v>
      </c>
      <c r="G266" t="s">
        <v>2743</v>
      </c>
      <c r="H266"/>
      <c r="I266"/>
      <c r="J266" t="s">
        <v>1908</v>
      </c>
      <c r="K266"/>
      <c r="L266"/>
      <c r="M266">
        <v>5</v>
      </c>
      <c r="N266">
        <v>13</v>
      </c>
      <c r="O266">
        <v>3</v>
      </c>
      <c r="P266">
        <v>8</v>
      </c>
      <c r="Q266"/>
      <c r="R266" t="s">
        <v>2317</v>
      </c>
      <c r="S266" t="s">
        <v>270</v>
      </c>
      <c r="T266" t="s">
        <v>2315</v>
      </c>
      <c r="U266" t="s">
        <v>2315</v>
      </c>
      <c r="V266">
        <v>0</v>
      </c>
      <c r="W266"/>
      <c r="X266"/>
      <c r="Y266"/>
      <c r="Z266"/>
      <c r="AA266">
        <v>1</v>
      </c>
      <c r="AB266">
        <v>1</v>
      </c>
      <c r="AC266">
        <v>10</v>
      </c>
      <c r="AD266">
        <v>1</v>
      </c>
      <c r="AE266">
        <v>3</v>
      </c>
      <c r="AF266">
        <v>1</v>
      </c>
      <c r="AG266">
        <v>138</v>
      </c>
      <c r="AH266"/>
      <c r="AI266"/>
      <c r="AJ266"/>
      <c r="AK266"/>
      <c r="AL266"/>
      <c r="AM266"/>
      <c r="AN266"/>
      <c r="AO266">
        <v>311</v>
      </c>
      <c r="AP266"/>
      <c r="AQ266"/>
      <c r="AR266"/>
      <c r="AS266"/>
      <c r="AT266"/>
      <c r="AU266"/>
      <c r="AV266"/>
      <c r="AW266"/>
      <c r="AX266"/>
      <c r="AY266" t="s">
        <v>2739</v>
      </c>
      <c r="AZ266" t="s">
        <v>3167</v>
      </c>
      <c r="BA266" t="s">
        <v>2739</v>
      </c>
      <c r="BB266"/>
      <c r="BC266"/>
      <c r="BD266"/>
      <c r="BE266"/>
      <c r="BF266"/>
      <c r="BG266"/>
      <c r="BH266"/>
      <c r="BI266"/>
      <c r="BJ266"/>
      <c r="BK266"/>
      <c r="BL266"/>
      <c r="BM266"/>
      <c r="BN266"/>
      <c r="BO266"/>
      <c r="BP266" t="s">
        <v>3165</v>
      </c>
      <c r="BQ266" t="s">
        <v>3166</v>
      </c>
      <c r="BR266" t="s">
        <v>3165</v>
      </c>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t="s">
        <v>2307</v>
      </c>
      <c r="CY266">
        <v>138</v>
      </c>
      <c r="CZ266" t="s">
        <v>2306</v>
      </c>
    </row>
    <row r="267" spans="1:104" ht="14.25">
      <c r="A267" t="s">
        <v>3164</v>
      </c>
      <c r="B267" t="s">
        <v>3163</v>
      </c>
      <c r="C267" t="s">
        <v>3162</v>
      </c>
      <c r="D267">
        <v>2</v>
      </c>
      <c r="E267" t="s">
        <v>2321</v>
      </c>
      <c r="F267" t="s">
        <v>2320</v>
      </c>
      <c r="G267" t="s">
        <v>2341</v>
      </c>
      <c r="H267"/>
      <c r="I267"/>
      <c r="J267" t="s">
        <v>2355</v>
      </c>
      <c r="K267"/>
      <c r="L267"/>
      <c r="M267">
        <v>17</v>
      </c>
      <c r="N267">
        <v>45</v>
      </c>
      <c r="O267">
        <v>6</v>
      </c>
      <c r="P267">
        <v>8</v>
      </c>
      <c r="Q267">
        <v>18</v>
      </c>
      <c r="R267" t="s">
        <v>2494</v>
      </c>
      <c r="S267" t="s">
        <v>2494</v>
      </c>
      <c r="T267" t="s">
        <v>2494</v>
      </c>
      <c r="U267" t="s">
        <v>2494</v>
      </c>
      <c r="V267">
        <v>30</v>
      </c>
      <c r="W267"/>
      <c r="X267"/>
      <c r="Y267">
        <v>60</v>
      </c>
      <c r="Z267"/>
      <c r="AA267">
        <v>19</v>
      </c>
      <c r="AB267">
        <v>10</v>
      </c>
      <c r="AC267">
        <v>17</v>
      </c>
      <c r="AD267">
        <v>12</v>
      </c>
      <c r="AE267">
        <v>11</v>
      </c>
      <c r="AF267">
        <v>15</v>
      </c>
      <c r="AG267">
        <v>118</v>
      </c>
      <c r="AH267"/>
      <c r="AI267"/>
      <c r="AJ267"/>
      <c r="AK267"/>
      <c r="AL267"/>
      <c r="AM267"/>
      <c r="AN267"/>
      <c r="AO267">
        <v>306</v>
      </c>
      <c r="AP267"/>
      <c r="AQ267"/>
      <c r="AR267"/>
      <c r="AS267"/>
      <c r="AT267"/>
      <c r="AU267"/>
      <c r="AV267"/>
      <c r="AW267"/>
      <c r="AX267"/>
      <c r="AY267"/>
      <c r="AZ267"/>
      <c r="BA267"/>
      <c r="BB267"/>
      <c r="BC267"/>
      <c r="BD267"/>
      <c r="BE267"/>
      <c r="BF267"/>
      <c r="BG267"/>
      <c r="BH267"/>
      <c r="BI267"/>
      <c r="BJ267"/>
      <c r="BK267"/>
      <c r="BL267"/>
      <c r="BM267"/>
      <c r="BN267"/>
      <c r="BO267"/>
      <c r="BP267" t="s">
        <v>2332</v>
      </c>
      <c r="BQ267" t="s">
        <v>3161</v>
      </c>
      <c r="BR267" t="s">
        <v>3160</v>
      </c>
      <c r="BS267" t="s">
        <v>2348</v>
      </c>
      <c r="BT267" t="s">
        <v>3159</v>
      </c>
      <c r="BU267" t="s">
        <v>3158</v>
      </c>
      <c r="BV267"/>
      <c r="BW267"/>
      <c r="BX267"/>
      <c r="BY267"/>
      <c r="BZ267"/>
      <c r="CA267"/>
      <c r="CB267"/>
      <c r="CC267"/>
      <c r="CD267"/>
      <c r="CE267"/>
      <c r="CF267"/>
      <c r="CG267"/>
      <c r="CH267"/>
      <c r="CI267"/>
      <c r="CJ267"/>
      <c r="CK267"/>
      <c r="CL267"/>
      <c r="CM267"/>
      <c r="CN267"/>
      <c r="CO267"/>
      <c r="CP267"/>
      <c r="CQ267"/>
      <c r="CR267"/>
      <c r="CS267"/>
      <c r="CT267"/>
      <c r="CU267"/>
      <c r="CV267"/>
      <c r="CW267"/>
      <c r="CX267" t="s">
        <v>2307</v>
      </c>
      <c r="CY267">
        <v>118</v>
      </c>
      <c r="CZ267" t="s">
        <v>2306</v>
      </c>
    </row>
    <row r="268" spans="1:104" ht="14.25">
      <c r="A268" t="s">
        <v>3157</v>
      </c>
      <c r="B268" t="s">
        <v>3157</v>
      </c>
      <c r="C268" t="s">
        <v>3156</v>
      </c>
      <c r="D268">
        <v>0.25</v>
      </c>
      <c r="E268" t="s">
        <v>2321</v>
      </c>
      <c r="F268" t="s">
        <v>2320</v>
      </c>
      <c r="G268" t="s">
        <v>2319</v>
      </c>
      <c r="H268"/>
      <c r="I268"/>
      <c r="J268" t="s">
        <v>2375</v>
      </c>
      <c r="K268"/>
      <c r="L268"/>
      <c r="M268">
        <v>13</v>
      </c>
      <c r="N268">
        <v>13</v>
      </c>
      <c r="O268">
        <v>2</v>
      </c>
      <c r="P268">
        <v>8</v>
      </c>
      <c r="Q268">
        <v>4</v>
      </c>
      <c r="R268" t="s">
        <v>2317</v>
      </c>
      <c r="S268" t="s">
        <v>2458</v>
      </c>
      <c r="T268" t="s">
        <v>2458</v>
      </c>
      <c r="U268" t="s">
        <v>2315</v>
      </c>
      <c r="V268">
        <v>30</v>
      </c>
      <c r="W268"/>
      <c r="X268"/>
      <c r="Y268"/>
      <c r="Z268"/>
      <c r="AA268">
        <v>10</v>
      </c>
      <c r="AB268">
        <v>14</v>
      </c>
      <c r="AC268">
        <v>15</v>
      </c>
      <c r="AD268">
        <v>6</v>
      </c>
      <c r="AE268">
        <v>8</v>
      </c>
      <c r="AF268">
        <v>5</v>
      </c>
      <c r="AG268">
        <v>272</v>
      </c>
      <c r="AH268">
        <v>310</v>
      </c>
      <c r="AI268"/>
      <c r="AJ268">
        <v>62</v>
      </c>
      <c r="AK268"/>
      <c r="AL268"/>
      <c r="AM268"/>
      <c r="AN268">
        <v>43</v>
      </c>
      <c r="AO268">
        <v>349</v>
      </c>
      <c r="AP268"/>
      <c r="AQ268"/>
      <c r="AR268"/>
      <c r="AS268" t="s">
        <v>3155</v>
      </c>
      <c r="AT268"/>
      <c r="AU268"/>
      <c r="AV268" t="s">
        <v>3154</v>
      </c>
      <c r="AW268"/>
      <c r="AX268"/>
      <c r="AY268"/>
      <c r="AZ268"/>
      <c r="BA268"/>
      <c r="BB268"/>
      <c r="BC268"/>
      <c r="BD268"/>
      <c r="BE268"/>
      <c r="BF268"/>
      <c r="BG268"/>
      <c r="BH268"/>
      <c r="BI268"/>
      <c r="BJ268"/>
      <c r="BK268"/>
      <c r="BL268"/>
      <c r="BM268"/>
      <c r="BN268"/>
      <c r="BO268"/>
      <c r="BP268" t="s">
        <v>2751</v>
      </c>
      <c r="BQ268" t="s">
        <v>2638</v>
      </c>
      <c r="BR268" t="s">
        <v>2637</v>
      </c>
      <c r="BS268" t="s">
        <v>3081</v>
      </c>
      <c r="BT268" t="s">
        <v>3153</v>
      </c>
      <c r="BU268" t="s">
        <v>3152</v>
      </c>
      <c r="BV268"/>
      <c r="BW268"/>
      <c r="BX268"/>
      <c r="BY268"/>
      <c r="BZ268"/>
      <c r="CA268"/>
      <c r="CB268"/>
      <c r="CC268"/>
      <c r="CD268"/>
      <c r="CE268"/>
      <c r="CF268"/>
      <c r="CG268"/>
      <c r="CH268"/>
      <c r="CI268"/>
      <c r="CJ268"/>
      <c r="CK268"/>
      <c r="CL268"/>
      <c r="CM268"/>
      <c r="CN268"/>
      <c r="CO268"/>
      <c r="CP268"/>
      <c r="CQ268"/>
      <c r="CR268"/>
      <c r="CS268"/>
      <c r="CT268"/>
      <c r="CU268"/>
      <c r="CV268"/>
      <c r="CW268"/>
      <c r="CX268" t="s">
        <v>2307</v>
      </c>
      <c r="CY268">
        <v>272</v>
      </c>
      <c r="CZ268" t="s">
        <v>2306</v>
      </c>
    </row>
    <row r="269" spans="1:104" ht="14.25">
      <c r="A269" t="s">
        <v>3151</v>
      </c>
      <c r="B269" t="s">
        <v>3150</v>
      </c>
      <c r="C269" t="s">
        <v>3149</v>
      </c>
      <c r="D269">
        <v>0.25</v>
      </c>
      <c r="E269" t="s">
        <v>2321</v>
      </c>
      <c r="F269" t="s">
        <v>2497</v>
      </c>
      <c r="G269" t="s">
        <v>2479</v>
      </c>
      <c r="H269" t="s">
        <v>3060</v>
      </c>
      <c r="I269"/>
      <c r="J269" t="s">
        <v>2318</v>
      </c>
      <c r="K269"/>
      <c r="L269"/>
      <c r="M269">
        <v>12</v>
      </c>
      <c r="N269">
        <v>22</v>
      </c>
      <c r="O269">
        <v>5</v>
      </c>
      <c r="P269">
        <v>6</v>
      </c>
      <c r="Q269">
        <v>5</v>
      </c>
      <c r="R269" t="s">
        <v>2825</v>
      </c>
      <c r="S269" t="s">
        <v>2646</v>
      </c>
      <c r="T269" t="s">
        <v>2315</v>
      </c>
      <c r="U269" t="s">
        <v>2315</v>
      </c>
      <c r="V269">
        <v>30</v>
      </c>
      <c r="W269"/>
      <c r="X269"/>
      <c r="Y269">
        <v>30</v>
      </c>
      <c r="Z269"/>
      <c r="AA269">
        <v>6</v>
      </c>
      <c r="AB269">
        <v>14</v>
      </c>
      <c r="AC269">
        <v>12</v>
      </c>
      <c r="AD269">
        <v>10</v>
      </c>
      <c r="AE269">
        <v>10</v>
      </c>
      <c r="AF269">
        <v>11</v>
      </c>
      <c r="AG269">
        <v>217</v>
      </c>
      <c r="AH269"/>
      <c r="AI269"/>
      <c r="AJ269"/>
      <c r="AK269"/>
      <c r="AL269"/>
      <c r="AM269"/>
      <c r="AN269"/>
      <c r="AO269"/>
      <c r="AP269"/>
      <c r="AQ269"/>
      <c r="AR269"/>
      <c r="AS269"/>
      <c r="AT269">
        <v>32</v>
      </c>
      <c r="AU269"/>
      <c r="AV269" t="s">
        <v>3148</v>
      </c>
      <c r="AW269"/>
      <c r="AX269"/>
      <c r="AY269" t="s">
        <v>3057</v>
      </c>
      <c r="AZ269" t="s">
        <v>3147</v>
      </c>
      <c r="BA269" t="s">
        <v>3057</v>
      </c>
      <c r="BB269" t="s">
        <v>3053</v>
      </c>
      <c r="BC269" t="s">
        <v>3146</v>
      </c>
      <c r="BD269" t="s">
        <v>3053</v>
      </c>
      <c r="BE269"/>
      <c r="BF269"/>
      <c r="BG269"/>
      <c r="BH269"/>
      <c r="BI269"/>
      <c r="BJ269"/>
      <c r="BK269"/>
      <c r="BL269"/>
      <c r="BM269"/>
      <c r="BN269"/>
      <c r="BO269"/>
      <c r="BP269" t="s">
        <v>2505</v>
      </c>
      <c r="BQ269" t="s">
        <v>3145</v>
      </c>
      <c r="BR269" t="s">
        <v>3144</v>
      </c>
      <c r="BS269" t="s">
        <v>3142</v>
      </c>
      <c r="BT269" t="s">
        <v>3143</v>
      </c>
      <c r="BU269" t="s">
        <v>3142</v>
      </c>
      <c r="BV269" t="s">
        <v>3047</v>
      </c>
      <c r="BW269" t="s">
        <v>3048</v>
      </c>
      <c r="BX269" t="s">
        <v>3047</v>
      </c>
      <c r="BY269"/>
      <c r="BZ269"/>
      <c r="CA269"/>
      <c r="CB269"/>
      <c r="CC269"/>
      <c r="CD269"/>
      <c r="CE269"/>
      <c r="CF269"/>
      <c r="CG269"/>
      <c r="CH269"/>
      <c r="CI269"/>
      <c r="CJ269"/>
      <c r="CK269"/>
      <c r="CL269"/>
      <c r="CM269"/>
      <c r="CN269"/>
      <c r="CO269"/>
      <c r="CP269"/>
      <c r="CQ269"/>
      <c r="CR269"/>
      <c r="CS269"/>
      <c r="CT269"/>
      <c r="CU269"/>
      <c r="CV269"/>
      <c r="CW269"/>
      <c r="CX269" t="s">
        <v>2307</v>
      </c>
      <c r="CY269">
        <v>217</v>
      </c>
      <c r="CZ269" t="s">
        <v>2306</v>
      </c>
    </row>
    <row r="270" spans="1:104" ht="14.25">
      <c r="A270" t="s">
        <v>3141</v>
      </c>
      <c r="B270" t="s">
        <v>3141</v>
      </c>
      <c r="C270" t="s">
        <v>3140</v>
      </c>
      <c r="D270">
        <v>21</v>
      </c>
      <c r="E270" t="s">
        <v>2321</v>
      </c>
      <c r="F270" t="s">
        <v>2342</v>
      </c>
      <c r="G270" t="s">
        <v>2826</v>
      </c>
      <c r="H270"/>
      <c r="I270"/>
      <c r="J270" t="s">
        <v>2355</v>
      </c>
      <c r="K270"/>
      <c r="L270"/>
      <c r="M270">
        <v>21</v>
      </c>
      <c r="N270">
        <v>243</v>
      </c>
      <c r="O270">
        <v>18</v>
      </c>
      <c r="P270">
        <v>10</v>
      </c>
      <c r="Q270">
        <v>144</v>
      </c>
      <c r="R270" t="s">
        <v>2825</v>
      </c>
      <c r="S270" t="s">
        <v>3139</v>
      </c>
      <c r="T270" t="s">
        <v>3138</v>
      </c>
      <c r="U270" t="s">
        <v>3137</v>
      </c>
      <c r="V270">
        <v>50</v>
      </c>
      <c r="W270"/>
      <c r="X270"/>
      <c r="Y270">
        <v>150</v>
      </c>
      <c r="Z270"/>
      <c r="AA270">
        <v>26</v>
      </c>
      <c r="AB270">
        <v>22</v>
      </c>
      <c r="AC270">
        <v>26</v>
      </c>
      <c r="AD270">
        <v>25</v>
      </c>
      <c r="AE270">
        <v>25</v>
      </c>
      <c r="AF270">
        <v>30</v>
      </c>
      <c r="AG270">
        <v>18</v>
      </c>
      <c r="AH270"/>
      <c r="AI270"/>
      <c r="AJ270"/>
      <c r="AK270"/>
      <c r="AL270"/>
      <c r="AM270"/>
      <c r="AN270"/>
      <c r="AO270">
        <v>265</v>
      </c>
      <c r="AP270"/>
      <c r="AQ270"/>
      <c r="AR270"/>
      <c r="AS270"/>
      <c r="AT270"/>
      <c r="AU270"/>
      <c r="AV270"/>
      <c r="AW270"/>
      <c r="AX270"/>
      <c r="AY270" t="s">
        <v>3135</v>
      </c>
      <c r="AZ270" t="s">
        <v>3136</v>
      </c>
      <c r="BA270" t="s">
        <v>3135</v>
      </c>
      <c r="BB270" t="s">
        <v>3133</v>
      </c>
      <c r="BC270" t="s">
        <v>3134</v>
      </c>
      <c r="BD270" t="s">
        <v>3133</v>
      </c>
      <c r="BE270" t="s">
        <v>2488</v>
      </c>
      <c r="BF270" t="s">
        <v>3132</v>
      </c>
      <c r="BG270" t="s">
        <v>2488</v>
      </c>
      <c r="BH270" t="s">
        <v>2726</v>
      </c>
      <c r="BI270" t="s">
        <v>3131</v>
      </c>
      <c r="BJ270"/>
      <c r="BK270"/>
      <c r="BL270"/>
      <c r="BM270"/>
      <c r="BN270"/>
      <c r="BO270"/>
      <c r="BP270" t="s">
        <v>2333</v>
      </c>
      <c r="BQ270" t="s">
        <v>3130</v>
      </c>
      <c r="BR270" t="s">
        <v>2333</v>
      </c>
      <c r="BS270" t="s">
        <v>2996</v>
      </c>
      <c r="BT270" t="s">
        <v>3129</v>
      </c>
      <c r="BU270" t="s">
        <v>3128</v>
      </c>
      <c r="BV270" t="s">
        <v>3127</v>
      </c>
      <c r="BW270" t="s">
        <v>3126</v>
      </c>
      <c r="BX270" t="s">
        <v>3125</v>
      </c>
      <c r="BY270" t="s">
        <v>3123</v>
      </c>
      <c r="BZ270" t="s">
        <v>3124</v>
      </c>
      <c r="CA270" t="s">
        <v>3123</v>
      </c>
      <c r="CB270" t="s">
        <v>3121</v>
      </c>
      <c r="CC270" t="s">
        <v>3122</v>
      </c>
      <c r="CD270" t="s">
        <v>3121</v>
      </c>
      <c r="CE270"/>
      <c r="CF270"/>
      <c r="CG270"/>
      <c r="CH270"/>
      <c r="CI270"/>
      <c r="CJ270"/>
      <c r="CK270" t="s">
        <v>3120</v>
      </c>
      <c r="CL270" t="s">
        <v>3119</v>
      </c>
      <c r="CM270" t="s">
        <v>3118</v>
      </c>
      <c r="CN270" t="s">
        <v>3117</v>
      </c>
      <c r="CO270" t="s">
        <v>3116</v>
      </c>
      <c r="CP270" t="s">
        <v>3115</v>
      </c>
      <c r="CQ270"/>
      <c r="CR270"/>
      <c r="CS270"/>
      <c r="CT270"/>
      <c r="CU270"/>
      <c r="CV270"/>
      <c r="CW270"/>
      <c r="CX270" t="s">
        <v>2307</v>
      </c>
      <c r="CY270">
        <v>18</v>
      </c>
      <c r="CZ270" t="s">
        <v>2306</v>
      </c>
    </row>
    <row r="271" spans="1:104" ht="14.25">
      <c r="A271" t="s">
        <v>3114</v>
      </c>
      <c r="B271" t="s">
        <v>3114</v>
      </c>
      <c r="C271" t="s">
        <v>3113</v>
      </c>
      <c r="D271">
        <v>1</v>
      </c>
      <c r="E271" t="s">
        <v>2321</v>
      </c>
      <c r="F271" t="s">
        <v>2320</v>
      </c>
      <c r="G271" t="s">
        <v>2319</v>
      </c>
      <c r="H271"/>
      <c r="I271"/>
      <c r="J271" t="s">
        <v>2340</v>
      </c>
      <c r="K271"/>
      <c r="L271"/>
      <c r="M271">
        <v>12</v>
      </c>
      <c r="N271">
        <v>22</v>
      </c>
      <c r="O271">
        <v>5</v>
      </c>
      <c r="P271">
        <v>8</v>
      </c>
      <c r="Q271"/>
      <c r="R271" t="s">
        <v>2317</v>
      </c>
      <c r="S271" t="s">
        <v>3112</v>
      </c>
      <c r="T271" t="s">
        <v>2315</v>
      </c>
      <c r="U271" t="s">
        <v>2315</v>
      </c>
      <c r="V271">
        <v>0</v>
      </c>
      <c r="W271"/>
      <c r="X271"/>
      <c r="Y271">
        <v>50</v>
      </c>
      <c r="Z271"/>
      <c r="AA271">
        <v>1</v>
      </c>
      <c r="AB271">
        <v>14</v>
      </c>
      <c r="AC271">
        <v>11</v>
      </c>
      <c r="AD271">
        <v>10</v>
      </c>
      <c r="AE271">
        <v>10</v>
      </c>
      <c r="AF271">
        <v>11</v>
      </c>
      <c r="AG271">
        <v>279</v>
      </c>
      <c r="AH271"/>
      <c r="AI271"/>
      <c r="AJ271"/>
      <c r="AK271"/>
      <c r="AL271"/>
      <c r="AM271"/>
      <c r="AN271"/>
      <c r="AO271">
        <v>349</v>
      </c>
      <c r="AP271">
        <v>17</v>
      </c>
      <c r="AQ271">
        <v>21</v>
      </c>
      <c r="AR271"/>
      <c r="AS271" t="s">
        <v>3111</v>
      </c>
      <c r="AT271">
        <v>33</v>
      </c>
      <c r="AU271"/>
      <c r="AV271" t="s">
        <v>3110</v>
      </c>
      <c r="AW271"/>
      <c r="AX271"/>
      <c r="AY271" t="s">
        <v>2520</v>
      </c>
      <c r="AZ271" t="s">
        <v>3109</v>
      </c>
      <c r="BA271" t="s">
        <v>2520</v>
      </c>
      <c r="BB271" t="s">
        <v>2518</v>
      </c>
      <c r="BC271" t="s">
        <v>3108</v>
      </c>
      <c r="BD271" t="s">
        <v>2518</v>
      </c>
      <c r="BE271"/>
      <c r="BF271"/>
      <c r="BG271"/>
      <c r="BH271"/>
      <c r="BI271"/>
      <c r="BJ271"/>
      <c r="BK271"/>
      <c r="BL271"/>
      <c r="BM271"/>
      <c r="BN271"/>
      <c r="BO271"/>
      <c r="BP271" t="s">
        <v>2517</v>
      </c>
      <c r="BQ271" t="s">
        <v>3107</v>
      </c>
      <c r="BR271" t="s">
        <v>3106</v>
      </c>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t="s">
        <v>2307</v>
      </c>
      <c r="CY271">
        <v>279</v>
      </c>
      <c r="CZ271" t="s">
        <v>2306</v>
      </c>
    </row>
    <row r="272" spans="1:104" ht="14.25">
      <c r="A272" t="s">
        <v>3104</v>
      </c>
      <c r="B272" t="s">
        <v>3104</v>
      </c>
      <c r="C272" t="s">
        <v>3105</v>
      </c>
      <c r="D272">
        <v>0</v>
      </c>
      <c r="E272" t="s">
        <v>2533</v>
      </c>
      <c r="F272" t="s">
        <v>2572</v>
      </c>
      <c r="G272" t="s">
        <v>2543</v>
      </c>
      <c r="H272" t="s">
        <v>3104</v>
      </c>
      <c r="I272"/>
      <c r="J272" t="s">
        <v>1908</v>
      </c>
      <c r="K272"/>
      <c r="L272"/>
      <c r="M272">
        <v>12</v>
      </c>
      <c r="N272">
        <v>1</v>
      </c>
      <c r="O272">
        <v>1</v>
      </c>
      <c r="P272">
        <v>4</v>
      </c>
      <c r="Q272">
        <v>-1</v>
      </c>
      <c r="R272" t="s">
        <v>2317</v>
      </c>
      <c r="S272" t="s">
        <v>2679</v>
      </c>
      <c r="T272" t="s">
        <v>2315</v>
      </c>
      <c r="U272" t="s">
        <v>2315</v>
      </c>
      <c r="V272">
        <v>20</v>
      </c>
      <c r="W272"/>
      <c r="X272">
        <v>20</v>
      </c>
      <c r="Y272"/>
      <c r="Z272"/>
      <c r="AA272">
        <v>2</v>
      </c>
      <c r="AB272">
        <v>14</v>
      </c>
      <c r="AC272">
        <v>8</v>
      </c>
      <c r="AD272">
        <v>1</v>
      </c>
      <c r="AE272">
        <v>10</v>
      </c>
      <c r="AF272">
        <v>2</v>
      </c>
      <c r="AG272">
        <v>337</v>
      </c>
      <c r="AH272"/>
      <c r="AI272"/>
      <c r="AJ272"/>
      <c r="AK272"/>
      <c r="AL272"/>
      <c r="AM272"/>
      <c r="AN272">
        <v>44</v>
      </c>
      <c r="AO272">
        <v>384</v>
      </c>
      <c r="AP272"/>
      <c r="AQ272"/>
      <c r="AR272"/>
      <c r="AS272" t="s">
        <v>3103</v>
      </c>
      <c r="AT272"/>
      <c r="AU272"/>
      <c r="AV272"/>
      <c r="AW272"/>
      <c r="AX272"/>
      <c r="AY272" t="s">
        <v>2768</v>
      </c>
      <c r="AZ272" t="s">
        <v>3102</v>
      </c>
      <c r="BA272" t="s">
        <v>2768</v>
      </c>
      <c r="BB272" t="s">
        <v>3100</v>
      </c>
      <c r="BC272" t="s">
        <v>3101</v>
      </c>
      <c r="BD272" t="s">
        <v>3100</v>
      </c>
      <c r="BE272" t="s">
        <v>3098</v>
      </c>
      <c r="BF272" t="s">
        <v>3099</v>
      </c>
      <c r="BG272" t="s">
        <v>3098</v>
      </c>
      <c r="BH272"/>
      <c r="BI272"/>
      <c r="BJ272"/>
      <c r="BK272"/>
      <c r="BL272"/>
      <c r="BM272"/>
      <c r="BN272"/>
      <c r="BO272"/>
      <c r="BP272" t="s">
        <v>2332</v>
      </c>
      <c r="BQ272" t="s">
        <v>3097</v>
      </c>
      <c r="BR272" t="s">
        <v>3096</v>
      </c>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t="s">
        <v>2307</v>
      </c>
      <c r="CY272">
        <v>337</v>
      </c>
      <c r="CZ272" t="s">
        <v>2306</v>
      </c>
    </row>
    <row r="273" spans="1:104" ht="14.25">
      <c r="A273" t="s">
        <v>3095</v>
      </c>
      <c r="B273" t="s">
        <v>3094</v>
      </c>
      <c r="C273" t="s">
        <v>3093</v>
      </c>
      <c r="D273">
        <v>8</v>
      </c>
      <c r="E273" t="s">
        <v>2321</v>
      </c>
      <c r="F273" t="s">
        <v>2342</v>
      </c>
      <c r="G273" t="s">
        <v>2440</v>
      </c>
      <c r="H273" t="s">
        <v>3092</v>
      </c>
      <c r="I273"/>
      <c r="J273" t="s">
        <v>2340</v>
      </c>
      <c r="K273">
        <v>10</v>
      </c>
      <c r="L273" t="s">
        <v>1901</v>
      </c>
      <c r="M273">
        <v>15</v>
      </c>
      <c r="N273">
        <v>75</v>
      </c>
      <c r="O273">
        <v>10</v>
      </c>
      <c r="P273">
        <v>10</v>
      </c>
      <c r="Q273">
        <v>20</v>
      </c>
      <c r="R273" t="s">
        <v>2825</v>
      </c>
      <c r="S273" t="s">
        <v>2857</v>
      </c>
      <c r="T273" t="s">
        <v>2315</v>
      </c>
      <c r="U273" t="s">
        <v>2315</v>
      </c>
      <c r="V273">
        <v>40</v>
      </c>
      <c r="W273"/>
      <c r="X273"/>
      <c r="Y273"/>
      <c r="Z273"/>
      <c r="AA273">
        <v>18</v>
      </c>
      <c r="AB273">
        <v>17</v>
      </c>
      <c r="AC273">
        <v>14</v>
      </c>
      <c r="AD273">
        <v>16</v>
      </c>
      <c r="AE273">
        <v>15</v>
      </c>
      <c r="AF273">
        <v>16</v>
      </c>
      <c r="AG273">
        <v>234</v>
      </c>
      <c r="AH273"/>
      <c r="AI273"/>
      <c r="AJ273"/>
      <c r="AK273"/>
      <c r="AL273"/>
      <c r="AM273"/>
      <c r="AN273"/>
      <c r="AO273">
        <v>338</v>
      </c>
      <c r="AP273"/>
      <c r="AQ273"/>
      <c r="AR273"/>
      <c r="AS273"/>
      <c r="AT273"/>
      <c r="AU273"/>
      <c r="AV273"/>
      <c r="AW273"/>
      <c r="AX273"/>
      <c r="AY273" t="s">
        <v>3090</v>
      </c>
      <c r="AZ273" t="s">
        <v>3091</v>
      </c>
      <c r="BA273" t="s">
        <v>3090</v>
      </c>
      <c r="BB273" t="s">
        <v>3088</v>
      </c>
      <c r="BC273" t="s">
        <v>3089</v>
      </c>
      <c r="BD273" t="s">
        <v>3088</v>
      </c>
      <c r="BE273"/>
      <c r="BF273"/>
      <c r="BG273"/>
      <c r="BH273"/>
      <c r="BI273"/>
      <c r="BJ273"/>
      <c r="BK273"/>
      <c r="BL273"/>
      <c r="BM273"/>
      <c r="BN273"/>
      <c r="BO273"/>
      <c r="BP273" t="s">
        <v>2332</v>
      </c>
      <c r="BQ273" t="s">
        <v>3087</v>
      </c>
      <c r="BR273" t="s">
        <v>2849</v>
      </c>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t="s">
        <v>2307</v>
      </c>
      <c r="CY273">
        <v>234</v>
      </c>
      <c r="CZ273" t="s">
        <v>2306</v>
      </c>
    </row>
    <row r="274" spans="1:104" ht="14.25">
      <c r="A274" t="s">
        <v>3086</v>
      </c>
      <c r="B274" t="s">
        <v>3086</v>
      </c>
      <c r="C274" t="s">
        <v>3085</v>
      </c>
      <c r="D274">
        <v>0.25</v>
      </c>
      <c r="E274" t="s">
        <v>2321</v>
      </c>
      <c r="F274" t="s">
        <v>2572</v>
      </c>
      <c r="G274" t="s">
        <v>3084</v>
      </c>
      <c r="H274"/>
      <c r="I274"/>
      <c r="J274" t="s">
        <v>2495</v>
      </c>
      <c r="K274"/>
      <c r="L274"/>
      <c r="M274">
        <v>15</v>
      </c>
      <c r="N274">
        <v>2</v>
      </c>
      <c r="O274">
        <v>1</v>
      </c>
      <c r="P274">
        <v>4</v>
      </c>
      <c r="Q274"/>
      <c r="R274" t="s">
        <v>2317</v>
      </c>
      <c r="S274" t="s">
        <v>2679</v>
      </c>
      <c r="T274" t="s">
        <v>2315</v>
      </c>
      <c r="U274" t="s">
        <v>2315</v>
      </c>
      <c r="V274">
        <v>10</v>
      </c>
      <c r="W274"/>
      <c r="X274"/>
      <c r="Y274">
        <v>40</v>
      </c>
      <c r="Z274"/>
      <c r="AA274">
        <v>3</v>
      </c>
      <c r="AB274">
        <v>18</v>
      </c>
      <c r="AC274">
        <v>10</v>
      </c>
      <c r="AD274">
        <v>14</v>
      </c>
      <c r="AE274">
        <v>13</v>
      </c>
      <c r="AF274">
        <v>11</v>
      </c>
      <c r="AG274">
        <v>283</v>
      </c>
      <c r="AH274">
        <v>310</v>
      </c>
      <c r="AI274"/>
      <c r="AJ274"/>
      <c r="AK274"/>
      <c r="AL274"/>
      <c r="AM274"/>
      <c r="AN274"/>
      <c r="AO274">
        <v>351</v>
      </c>
      <c r="AP274"/>
      <c r="AQ274"/>
      <c r="AR274"/>
      <c r="AS274"/>
      <c r="AT274">
        <v>33</v>
      </c>
      <c r="AU274"/>
      <c r="AV274"/>
      <c r="AW274"/>
      <c r="AX274"/>
      <c r="AY274"/>
      <c r="AZ274"/>
      <c r="BA274"/>
      <c r="BB274"/>
      <c r="BC274"/>
      <c r="BD274"/>
      <c r="BE274"/>
      <c r="BF274"/>
      <c r="BG274"/>
      <c r="BH274"/>
      <c r="BI274"/>
      <c r="BJ274"/>
      <c r="BK274"/>
      <c r="BL274"/>
      <c r="BM274"/>
      <c r="BN274"/>
      <c r="BO274"/>
      <c r="BP274" t="s">
        <v>2580</v>
      </c>
      <c r="BQ274" t="s">
        <v>3083</v>
      </c>
      <c r="BR274" t="s">
        <v>3082</v>
      </c>
      <c r="BS274" t="s">
        <v>3081</v>
      </c>
      <c r="BT274" t="s">
        <v>3080</v>
      </c>
      <c r="BU274" t="s">
        <v>3079</v>
      </c>
      <c r="BV274" t="s">
        <v>3077</v>
      </c>
      <c r="BW274" t="s">
        <v>3078</v>
      </c>
      <c r="BX274" t="s">
        <v>3077</v>
      </c>
      <c r="BY274" t="s">
        <v>2556</v>
      </c>
      <c r="BZ274" t="s">
        <v>3076</v>
      </c>
      <c r="CA274" t="s">
        <v>2556</v>
      </c>
      <c r="CB274"/>
      <c r="CC274"/>
      <c r="CD274"/>
      <c r="CE274"/>
      <c r="CF274"/>
      <c r="CG274"/>
      <c r="CH274"/>
      <c r="CI274"/>
      <c r="CJ274"/>
      <c r="CK274"/>
      <c r="CL274"/>
      <c r="CM274"/>
      <c r="CN274"/>
      <c r="CO274"/>
      <c r="CP274"/>
      <c r="CQ274"/>
      <c r="CR274"/>
      <c r="CS274"/>
      <c r="CT274"/>
      <c r="CU274"/>
      <c r="CV274"/>
      <c r="CW274"/>
      <c r="CX274" t="s">
        <v>2307</v>
      </c>
      <c r="CY274">
        <v>283</v>
      </c>
      <c r="CZ274" t="s">
        <v>2306</v>
      </c>
    </row>
    <row r="275" spans="1:104" ht="14.25">
      <c r="A275" t="s">
        <v>3075</v>
      </c>
      <c r="B275" t="s">
        <v>3075</v>
      </c>
      <c r="C275" t="s">
        <v>3074</v>
      </c>
      <c r="D275">
        <v>1</v>
      </c>
      <c r="E275" t="s">
        <v>2462</v>
      </c>
      <c r="F275" t="s">
        <v>2320</v>
      </c>
      <c r="G275" t="s">
        <v>2461</v>
      </c>
      <c r="H275" t="s">
        <v>2460</v>
      </c>
      <c r="I275"/>
      <c r="J275" t="s">
        <v>2460</v>
      </c>
      <c r="K275"/>
      <c r="L275"/>
      <c r="M275">
        <v>12</v>
      </c>
      <c r="N275">
        <v>27</v>
      </c>
      <c r="O275">
        <v>6</v>
      </c>
      <c r="P275">
        <v>8</v>
      </c>
      <c r="Q275"/>
      <c r="R275" t="s">
        <v>2317</v>
      </c>
      <c r="S275" t="s">
        <v>2458</v>
      </c>
      <c r="T275" t="s">
        <v>2458</v>
      </c>
      <c r="U275" t="s">
        <v>2315</v>
      </c>
      <c r="V275">
        <v>30</v>
      </c>
      <c r="W275"/>
      <c r="X275"/>
      <c r="Y275"/>
      <c r="Z275"/>
      <c r="AA275">
        <v>10</v>
      </c>
      <c r="AB275">
        <v>15</v>
      </c>
      <c r="AC275">
        <v>10</v>
      </c>
      <c r="AD275">
        <v>12</v>
      </c>
      <c r="AE275">
        <v>14</v>
      </c>
      <c r="AF275">
        <v>16</v>
      </c>
      <c r="AG275">
        <v>349</v>
      </c>
      <c r="AH275"/>
      <c r="AI275"/>
      <c r="AJ275"/>
      <c r="AK275"/>
      <c r="AL275"/>
      <c r="AM275"/>
      <c r="AN275"/>
      <c r="AO275">
        <v>397</v>
      </c>
      <c r="AP275">
        <v>17</v>
      </c>
      <c r="AQ275"/>
      <c r="AR275"/>
      <c r="AS275" t="s">
        <v>3073</v>
      </c>
      <c r="AT275">
        <v>33</v>
      </c>
      <c r="AU275"/>
      <c r="AV275" t="s">
        <v>3072</v>
      </c>
      <c r="AW275"/>
      <c r="AX275" t="s">
        <v>3071</v>
      </c>
      <c r="AY275" t="s">
        <v>3069</v>
      </c>
      <c r="AZ275" t="s">
        <v>3070</v>
      </c>
      <c r="BA275" t="s">
        <v>3069</v>
      </c>
      <c r="BB275" t="s">
        <v>3068</v>
      </c>
      <c r="BC275" t="s">
        <v>3067</v>
      </c>
      <c r="BD275" t="s">
        <v>3066</v>
      </c>
      <c r="BE275"/>
      <c r="BF275"/>
      <c r="BG275"/>
      <c r="BH275"/>
      <c r="BI275"/>
      <c r="BJ275"/>
      <c r="BK275"/>
      <c r="BL275"/>
      <c r="BM275"/>
      <c r="BN275"/>
      <c r="BO275"/>
      <c r="BP275" t="s">
        <v>2333</v>
      </c>
      <c r="BQ275" t="s">
        <v>3065</v>
      </c>
      <c r="BR275" t="s">
        <v>2333</v>
      </c>
      <c r="BS275" t="s">
        <v>2751</v>
      </c>
      <c r="BT275" t="s">
        <v>2638</v>
      </c>
      <c r="BU275" t="s">
        <v>2637</v>
      </c>
      <c r="BV275" t="s">
        <v>3064</v>
      </c>
      <c r="BW275" t="s">
        <v>2635</v>
      </c>
      <c r="BX275" t="s">
        <v>2634</v>
      </c>
      <c r="BY275"/>
      <c r="BZ275"/>
      <c r="CA275"/>
      <c r="CB275"/>
      <c r="CC275"/>
      <c r="CD275"/>
      <c r="CE275"/>
      <c r="CF275"/>
      <c r="CG275"/>
      <c r="CH275"/>
      <c r="CI275"/>
      <c r="CJ275"/>
      <c r="CK275"/>
      <c r="CL275"/>
      <c r="CM275"/>
      <c r="CN275"/>
      <c r="CO275"/>
      <c r="CP275"/>
      <c r="CQ275"/>
      <c r="CR275"/>
      <c r="CS275"/>
      <c r="CT275"/>
      <c r="CU275"/>
      <c r="CV275"/>
      <c r="CW275"/>
      <c r="CX275" t="s">
        <v>2307</v>
      </c>
      <c r="CY275">
        <v>349</v>
      </c>
      <c r="CZ275" t="s">
        <v>2306</v>
      </c>
    </row>
    <row r="276" spans="1:104" ht="14.25">
      <c r="A276" t="s">
        <v>3063</v>
      </c>
      <c r="B276" t="s">
        <v>3062</v>
      </c>
      <c r="C276" t="s">
        <v>3061</v>
      </c>
      <c r="D276">
        <v>0.25</v>
      </c>
      <c r="E276" t="s">
        <v>2321</v>
      </c>
      <c r="F276" t="s">
        <v>2497</v>
      </c>
      <c r="G276" t="s">
        <v>2479</v>
      </c>
      <c r="H276" t="s">
        <v>3060</v>
      </c>
      <c r="I276"/>
      <c r="J276" t="s">
        <v>2318</v>
      </c>
      <c r="K276"/>
      <c r="L276"/>
      <c r="M276">
        <v>10</v>
      </c>
      <c r="N276">
        <v>21</v>
      </c>
      <c r="O276">
        <v>6</v>
      </c>
      <c r="P276">
        <v>6</v>
      </c>
      <c r="Q276"/>
      <c r="R276" t="s">
        <v>2825</v>
      </c>
      <c r="S276" t="s">
        <v>3059</v>
      </c>
      <c r="T276" t="s">
        <v>2315</v>
      </c>
      <c r="U276" t="s">
        <v>2315</v>
      </c>
      <c r="V276">
        <v>30</v>
      </c>
      <c r="W276"/>
      <c r="X276"/>
      <c r="Y276">
        <v>30</v>
      </c>
      <c r="Z276"/>
      <c r="AA276">
        <v>5</v>
      </c>
      <c r="AB276">
        <v>11</v>
      </c>
      <c r="AC276">
        <v>10</v>
      </c>
      <c r="AD276">
        <v>11</v>
      </c>
      <c r="AE276">
        <v>10</v>
      </c>
      <c r="AF276">
        <v>12</v>
      </c>
      <c r="AG276">
        <v>217</v>
      </c>
      <c r="AH276"/>
      <c r="AI276"/>
      <c r="AJ276"/>
      <c r="AK276"/>
      <c r="AL276"/>
      <c r="AM276"/>
      <c r="AN276"/>
      <c r="AO276">
        <v>334</v>
      </c>
      <c r="AP276"/>
      <c r="AQ276"/>
      <c r="AR276"/>
      <c r="AS276"/>
      <c r="AT276">
        <v>34</v>
      </c>
      <c r="AU276"/>
      <c r="AV276" t="s">
        <v>3058</v>
      </c>
      <c r="AW276"/>
      <c r="AX276"/>
      <c r="AY276" t="s">
        <v>3057</v>
      </c>
      <c r="AZ276" t="s">
        <v>3056</v>
      </c>
      <c r="BA276" t="s">
        <v>3055</v>
      </c>
      <c r="BB276" t="s">
        <v>3053</v>
      </c>
      <c r="BC276" t="s">
        <v>3054</v>
      </c>
      <c r="BD276" t="s">
        <v>3053</v>
      </c>
      <c r="BE276"/>
      <c r="BF276"/>
      <c r="BG276"/>
      <c r="BH276"/>
      <c r="BI276"/>
      <c r="BJ276"/>
      <c r="BK276"/>
      <c r="BL276"/>
      <c r="BM276"/>
      <c r="BN276"/>
      <c r="BO276"/>
      <c r="BP276" t="s">
        <v>2505</v>
      </c>
      <c r="BQ276" t="s">
        <v>3052</v>
      </c>
      <c r="BR276" t="s">
        <v>3051</v>
      </c>
      <c r="BS276" t="s">
        <v>3049</v>
      </c>
      <c r="BT276" t="s">
        <v>3050</v>
      </c>
      <c r="BU276" t="s">
        <v>3049</v>
      </c>
      <c r="BV276" t="s">
        <v>3047</v>
      </c>
      <c r="BW276" t="s">
        <v>3048</v>
      </c>
      <c r="BX276" t="s">
        <v>3047</v>
      </c>
      <c r="BY276"/>
      <c r="BZ276"/>
      <c r="CA276"/>
      <c r="CB276"/>
      <c r="CC276"/>
      <c r="CD276"/>
      <c r="CE276"/>
      <c r="CF276"/>
      <c r="CG276"/>
      <c r="CH276"/>
      <c r="CI276"/>
      <c r="CJ276"/>
      <c r="CK276"/>
      <c r="CL276"/>
      <c r="CM276"/>
      <c r="CN276"/>
      <c r="CO276"/>
      <c r="CP276"/>
      <c r="CQ276"/>
      <c r="CR276"/>
      <c r="CS276"/>
      <c r="CT276"/>
      <c r="CU276"/>
      <c r="CV276"/>
      <c r="CW276"/>
      <c r="CX276" t="s">
        <v>2307</v>
      </c>
      <c r="CY276">
        <v>217</v>
      </c>
      <c r="CZ276" t="s">
        <v>2306</v>
      </c>
    </row>
    <row r="277" spans="1:104" ht="14.25">
      <c r="A277" t="s">
        <v>3046</v>
      </c>
      <c r="B277" t="s">
        <v>3046</v>
      </c>
      <c r="C277" t="s">
        <v>3045</v>
      </c>
      <c r="D277">
        <v>0.125</v>
      </c>
      <c r="E277" t="s">
        <v>2321</v>
      </c>
      <c r="F277" t="s">
        <v>2572</v>
      </c>
      <c r="G277" t="s">
        <v>2543</v>
      </c>
      <c r="H277"/>
      <c r="I277"/>
      <c r="J277" t="s">
        <v>1908</v>
      </c>
      <c r="K277"/>
      <c r="L277"/>
      <c r="M277">
        <v>14</v>
      </c>
      <c r="N277">
        <v>2</v>
      </c>
      <c r="O277">
        <v>1</v>
      </c>
      <c r="P277">
        <v>4</v>
      </c>
      <c r="Q277"/>
      <c r="R277" t="s">
        <v>2317</v>
      </c>
      <c r="S277" t="s">
        <v>3044</v>
      </c>
      <c r="T277" t="s">
        <v>2315</v>
      </c>
      <c r="U277" t="s">
        <v>2315</v>
      </c>
      <c r="V277">
        <v>10</v>
      </c>
      <c r="W277"/>
      <c r="X277"/>
      <c r="Y277">
        <v>40</v>
      </c>
      <c r="Z277"/>
      <c r="AA277">
        <v>4</v>
      </c>
      <c r="AB277">
        <v>16</v>
      </c>
      <c r="AC277">
        <v>11</v>
      </c>
      <c r="AD277">
        <v>2</v>
      </c>
      <c r="AE277">
        <v>8</v>
      </c>
      <c r="AF277">
        <v>6</v>
      </c>
      <c r="AG277">
        <v>284</v>
      </c>
      <c r="AH277"/>
      <c r="AI277"/>
      <c r="AJ277">
        <v>62</v>
      </c>
      <c r="AK277"/>
      <c r="AL277"/>
      <c r="AM277"/>
      <c r="AN277">
        <v>44</v>
      </c>
      <c r="AO277">
        <v>352</v>
      </c>
      <c r="AP277">
        <v>17</v>
      </c>
      <c r="AQ277"/>
      <c r="AR277"/>
      <c r="AS277"/>
      <c r="AT277"/>
      <c r="AU277"/>
      <c r="AV277" t="s">
        <v>3043</v>
      </c>
      <c r="AW277"/>
      <c r="AX277"/>
      <c r="AY277"/>
      <c r="AZ277"/>
      <c r="BA277"/>
      <c r="BB277"/>
      <c r="BC277"/>
      <c r="BD277"/>
      <c r="BE277"/>
      <c r="BF277"/>
      <c r="BG277"/>
      <c r="BH277"/>
      <c r="BI277"/>
      <c r="BJ277"/>
      <c r="BK277"/>
      <c r="BL277"/>
      <c r="BM277"/>
      <c r="BN277"/>
      <c r="BO277"/>
      <c r="BP277" t="s">
        <v>3042</v>
      </c>
      <c r="BQ277" t="s">
        <v>3041</v>
      </c>
      <c r="BR277" t="s">
        <v>3040</v>
      </c>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t="s">
        <v>2307</v>
      </c>
      <c r="CY277">
        <v>284</v>
      </c>
      <c r="CZ277" t="s">
        <v>2306</v>
      </c>
    </row>
    <row r="278" spans="1:104" ht="14.25">
      <c r="A278" t="s">
        <v>3039</v>
      </c>
      <c r="B278" t="s">
        <v>3038</v>
      </c>
      <c r="C278" t="s">
        <v>3037</v>
      </c>
      <c r="D278">
        <v>7</v>
      </c>
      <c r="E278" t="s">
        <v>2321</v>
      </c>
      <c r="F278" t="s">
        <v>2838</v>
      </c>
      <c r="G278" t="s">
        <v>2858</v>
      </c>
      <c r="H278"/>
      <c r="I278"/>
      <c r="J278" t="s">
        <v>1902</v>
      </c>
      <c r="K278"/>
      <c r="L278"/>
      <c r="M278">
        <v>17</v>
      </c>
      <c r="N278">
        <v>126</v>
      </c>
      <c r="O278">
        <v>11</v>
      </c>
      <c r="P278">
        <v>12</v>
      </c>
      <c r="Q278">
        <v>55</v>
      </c>
      <c r="R278" t="s">
        <v>2317</v>
      </c>
      <c r="S278" t="s">
        <v>3036</v>
      </c>
      <c r="T278" t="s">
        <v>3035</v>
      </c>
      <c r="U278" t="s">
        <v>2315</v>
      </c>
      <c r="V278">
        <v>40</v>
      </c>
      <c r="W278"/>
      <c r="X278"/>
      <c r="Y278"/>
      <c r="Z278"/>
      <c r="AA278">
        <v>23</v>
      </c>
      <c r="AB278">
        <v>15</v>
      </c>
      <c r="AC278">
        <v>20</v>
      </c>
      <c r="AD278">
        <v>10</v>
      </c>
      <c r="AE278">
        <v>12</v>
      </c>
      <c r="AF278">
        <v>9</v>
      </c>
      <c r="AG278">
        <v>156</v>
      </c>
      <c r="AH278"/>
      <c r="AI278"/>
      <c r="AJ278"/>
      <c r="AK278"/>
      <c r="AL278"/>
      <c r="AM278"/>
      <c r="AN278"/>
      <c r="AO278">
        <v>316</v>
      </c>
      <c r="AP278">
        <v>18</v>
      </c>
      <c r="AQ278"/>
      <c r="AR278"/>
      <c r="AS278" t="s">
        <v>3034</v>
      </c>
      <c r="AT278"/>
      <c r="AU278"/>
      <c r="AV278"/>
      <c r="AW278"/>
      <c r="AX278"/>
      <c r="AY278" t="s">
        <v>2473</v>
      </c>
      <c r="AZ278" t="s">
        <v>3033</v>
      </c>
      <c r="BA278" t="s">
        <v>2473</v>
      </c>
      <c r="BB278"/>
      <c r="BC278"/>
      <c r="BD278"/>
      <c r="BE278"/>
      <c r="BF278"/>
      <c r="BG278"/>
      <c r="BH278"/>
      <c r="BI278"/>
      <c r="BJ278"/>
      <c r="BK278"/>
      <c r="BL278"/>
      <c r="BM278"/>
      <c r="BN278"/>
      <c r="BO278"/>
      <c r="BP278" t="s">
        <v>3031</v>
      </c>
      <c r="BQ278" t="s">
        <v>3032</v>
      </c>
      <c r="BR278" t="s">
        <v>3031</v>
      </c>
      <c r="BS278" t="s">
        <v>3030</v>
      </c>
      <c r="BT278" t="s">
        <v>3029</v>
      </c>
      <c r="BU278" t="s">
        <v>3028</v>
      </c>
      <c r="BV278" t="s">
        <v>2333</v>
      </c>
      <c r="BW278" t="s">
        <v>3027</v>
      </c>
      <c r="BX278" t="s">
        <v>2333</v>
      </c>
      <c r="BY278" t="s">
        <v>2273</v>
      </c>
      <c r="BZ278" t="s">
        <v>3026</v>
      </c>
      <c r="CA278" t="s">
        <v>3025</v>
      </c>
      <c r="CB278" t="s">
        <v>2884</v>
      </c>
      <c r="CC278" t="s">
        <v>3024</v>
      </c>
      <c r="CD278" t="s">
        <v>3023</v>
      </c>
      <c r="CE278"/>
      <c r="CF278"/>
      <c r="CG278"/>
      <c r="CH278"/>
      <c r="CI278"/>
      <c r="CJ278"/>
      <c r="CK278"/>
      <c r="CL278"/>
      <c r="CM278"/>
      <c r="CN278"/>
      <c r="CO278"/>
      <c r="CP278"/>
      <c r="CQ278"/>
      <c r="CR278"/>
      <c r="CS278"/>
      <c r="CT278"/>
      <c r="CU278"/>
      <c r="CV278" t="s">
        <v>3022</v>
      </c>
      <c r="CW278" t="s">
        <v>3021</v>
      </c>
      <c r="CX278" t="s">
        <v>2307</v>
      </c>
      <c r="CY278">
        <v>156</v>
      </c>
      <c r="CZ278" t="s">
        <v>2306</v>
      </c>
    </row>
    <row r="279" spans="1:104" ht="14.25">
      <c r="A279" t="s">
        <v>3020</v>
      </c>
      <c r="B279" t="s">
        <v>3019</v>
      </c>
      <c r="C279" t="s">
        <v>3018</v>
      </c>
      <c r="D279">
        <v>10</v>
      </c>
      <c r="E279" t="s">
        <v>2321</v>
      </c>
      <c r="F279" t="s">
        <v>2342</v>
      </c>
      <c r="G279" t="s">
        <v>3017</v>
      </c>
      <c r="H279" t="s">
        <v>3016</v>
      </c>
      <c r="I279"/>
      <c r="J279" t="s">
        <v>1908</v>
      </c>
      <c r="K279"/>
      <c r="L279"/>
      <c r="M279">
        <v>17</v>
      </c>
      <c r="N279">
        <v>178</v>
      </c>
      <c r="O279">
        <v>17</v>
      </c>
      <c r="P279">
        <v>10</v>
      </c>
      <c r="Q279">
        <v>85</v>
      </c>
      <c r="R279" t="s">
        <v>2317</v>
      </c>
      <c r="S279" t="s">
        <v>3015</v>
      </c>
      <c r="T279" t="s">
        <v>2315</v>
      </c>
      <c r="U279" t="s">
        <v>2315</v>
      </c>
      <c r="V279">
        <v>30</v>
      </c>
      <c r="W279"/>
      <c r="X279"/>
      <c r="Y279"/>
      <c r="Z279"/>
      <c r="AA279">
        <v>22</v>
      </c>
      <c r="AB279">
        <v>9</v>
      </c>
      <c r="AC279">
        <v>20</v>
      </c>
      <c r="AD279">
        <v>3</v>
      </c>
      <c r="AE279">
        <v>11</v>
      </c>
      <c r="AF279">
        <v>1</v>
      </c>
      <c r="AG279">
        <v>170</v>
      </c>
      <c r="AH279"/>
      <c r="AI279"/>
      <c r="AJ279"/>
      <c r="AK279"/>
      <c r="AL279"/>
      <c r="AM279"/>
      <c r="AN279">
        <v>45</v>
      </c>
      <c r="AO279">
        <v>320</v>
      </c>
      <c r="AP279">
        <v>18</v>
      </c>
      <c r="AQ279"/>
      <c r="AR279"/>
      <c r="AS279"/>
      <c r="AT279"/>
      <c r="AU279"/>
      <c r="AV279"/>
      <c r="AW279"/>
      <c r="AX279" t="s">
        <v>3014</v>
      </c>
      <c r="AY279" t="s">
        <v>3012</v>
      </c>
      <c r="AZ279" t="s">
        <v>3013</v>
      </c>
      <c r="BA279" t="s">
        <v>3012</v>
      </c>
      <c r="BB279" t="s">
        <v>2726</v>
      </c>
      <c r="BC279" t="s">
        <v>3011</v>
      </c>
      <c r="BD279" t="s">
        <v>2726</v>
      </c>
      <c r="BE279" t="s">
        <v>2819</v>
      </c>
      <c r="BF279" t="s">
        <v>3010</v>
      </c>
      <c r="BG279" t="s">
        <v>2819</v>
      </c>
      <c r="BH279"/>
      <c r="BI279"/>
      <c r="BJ279"/>
      <c r="BK279"/>
      <c r="BL279"/>
      <c r="BM279"/>
      <c r="BN279"/>
      <c r="BO279"/>
      <c r="BP279" t="s">
        <v>2333</v>
      </c>
      <c r="BQ279" t="s">
        <v>3009</v>
      </c>
      <c r="BR279" t="s">
        <v>2333</v>
      </c>
      <c r="BS279" t="s">
        <v>2310</v>
      </c>
      <c r="BT279" t="s">
        <v>3008</v>
      </c>
      <c r="BU279" t="s">
        <v>3007</v>
      </c>
      <c r="BV279" t="s">
        <v>3005</v>
      </c>
      <c r="BW279" t="s">
        <v>3006</v>
      </c>
      <c r="BX279" t="s">
        <v>3005</v>
      </c>
      <c r="BY279"/>
      <c r="BZ279"/>
      <c r="CA279"/>
      <c r="CB279"/>
      <c r="CC279"/>
      <c r="CD279"/>
      <c r="CE279"/>
      <c r="CF279"/>
      <c r="CG279"/>
      <c r="CH279"/>
      <c r="CI279"/>
      <c r="CJ279"/>
      <c r="CK279"/>
      <c r="CL279"/>
      <c r="CM279"/>
      <c r="CN279"/>
      <c r="CO279"/>
      <c r="CP279"/>
      <c r="CQ279"/>
      <c r="CR279"/>
      <c r="CS279"/>
      <c r="CT279"/>
      <c r="CU279"/>
      <c r="CV279"/>
      <c r="CW279"/>
      <c r="CX279" t="s">
        <v>2307</v>
      </c>
      <c r="CY279">
        <v>170</v>
      </c>
      <c r="CZ279" t="s">
        <v>2306</v>
      </c>
    </row>
    <row r="280" spans="1:104" ht="14.25">
      <c r="A280" t="s">
        <v>3004</v>
      </c>
      <c r="B280" t="s">
        <v>3003</v>
      </c>
      <c r="C280" t="s">
        <v>3002</v>
      </c>
      <c r="D280">
        <v>13</v>
      </c>
      <c r="E280" t="s">
        <v>2321</v>
      </c>
      <c r="F280" t="s">
        <v>2838</v>
      </c>
      <c r="G280" t="s">
        <v>2858</v>
      </c>
      <c r="H280"/>
      <c r="I280"/>
      <c r="J280" t="s">
        <v>2355</v>
      </c>
      <c r="K280"/>
      <c r="L280"/>
      <c r="M280">
        <v>16</v>
      </c>
      <c r="N280">
        <v>230</v>
      </c>
      <c r="O280">
        <v>20</v>
      </c>
      <c r="P280">
        <v>12</v>
      </c>
      <c r="Q280">
        <v>100</v>
      </c>
      <c r="R280" t="s">
        <v>2825</v>
      </c>
      <c r="S280" t="s">
        <v>3001</v>
      </c>
      <c r="T280" t="s">
        <v>3000</v>
      </c>
      <c r="U280" t="s">
        <v>2315</v>
      </c>
      <c r="V280">
        <v>50</v>
      </c>
      <c r="W280"/>
      <c r="X280"/>
      <c r="Y280"/>
      <c r="Z280">
        <v>50</v>
      </c>
      <c r="AA280">
        <v>29</v>
      </c>
      <c r="AB280">
        <v>14</v>
      </c>
      <c r="AC280">
        <v>20</v>
      </c>
      <c r="AD280">
        <v>16</v>
      </c>
      <c r="AE280">
        <v>18</v>
      </c>
      <c r="AF280">
        <v>18</v>
      </c>
      <c r="AG280">
        <v>156</v>
      </c>
      <c r="AH280"/>
      <c r="AI280"/>
      <c r="AJ280"/>
      <c r="AK280"/>
      <c r="AL280"/>
      <c r="AM280"/>
      <c r="AN280"/>
      <c r="AO280">
        <v>316</v>
      </c>
      <c r="AP280"/>
      <c r="AQ280"/>
      <c r="AR280"/>
      <c r="AS280"/>
      <c r="AT280"/>
      <c r="AU280"/>
      <c r="AV280"/>
      <c r="AW280"/>
      <c r="AX280"/>
      <c r="AY280" t="s">
        <v>2373</v>
      </c>
      <c r="AZ280" t="s">
        <v>2999</v>
      </c>
      <c r="BA280" t="s">
        <v>2373</v>
      </c>
      <c r="BB280" t="s">
        <v>2488</v>
      </c>
      <c r="BC280" t="s">
        <v>2998</v>
      </c>
      <c r="BD280" t="s">
        <v>2488</v>
      </c>
      <c r="BE280"/>
      <c r="BF280"/>
      <c r="BG280"/>
      <c r="BH280"/>
      <c r="BI280"/>
      <c r="BJ280"/>
      <c r="BK280"/>
      <c r="BL280"/>
      <c r="BM280"/>
      <c r="BN280"/>
      <c r="BO280"/>
      <c r="BP280" t="s">
        <v>2333</v>
      </c>
      <c r="BQ280" t="s">
        <v>2997</v>
      </c>
      <c r="BR280" t="s">
        <v>2333</v>
      </c>
      <c r="BS280" t="s">
        <v>2996</v>
      </c>
      <c r="BT280" t="s">
        <v>2995</v>
      </c>
      <c r="BU280" t="s">
        <v>2994</v>
      </c>
      <c r="BV280" t="s">
        <v>2884</v>
      </c>
      <c r="BW280" t="s">
        <v>2993</v>
      </c>
      <c r="BX280" t="s">
        <v>2992</v>
      </c>
      <c r="BY280" t="s">
        <v>2991</v>
      </c>
      <c r="BZ280" t="s">
        <v>2990</v>
      </c>
      <c r="CA280" t="s">
        <v>2989</v>
      </c>
      <c r="CB280"/>
      <c r="CC280"/>
      <c r="CD280"/>
      <c r="CE280"/>
      <c r="CF280"/>
      <c r="CG280"/>
      <c r="CH280"/>
      <c r="CI280"/>
      <c r="CJ280"/>
      <c r="CK280"/>
      <c r="CL280"/>
      <c r="CM280"/>
      <c r="CN280"/>
      <c r="CO280"/>
      <c r="CP280"/>
      <c r="CQ280"/>
      <c r="CR280"/>
      <c r="CS280"/>
      <c r="CT280"/>
      <c r="CU280"/>
      <c r="CV280"/>
      <c r="CW280"/>
      <c r="CX280" t="s">
        <v>2307</v>
      </c>
      <c r="CY280">
        <v>156</v>
      </c>
      <c r="CZ280" t="s">
        <v>2306</v>
      </c>
    </row>
    <row r="281" spans="1:104" ht="14.25">
      <c r="A281" t="s">
        <v>2988</v>
      </c>
      <c r="B281" t="s">
        <v>2987</v>
      </c>
      <c r="C281" t="s">
        <v>2986</v>
      </c>
      <c r="D281">
        <v>0.25</v>
      </c>
      <c r="E281" t="s">
        <v>2533</v>
      </c>
      <c r="F281" t="s">
        <v>2320</v>
      </c>
      <c r="G281" t="s">
        <v>2543</v>
      </c>
      <c r="H281" t="s">
        <v>2936</v>
      </c>
      <c r="I281"/>
      <c r="J281" t="s">
        <v>1908</v>
      </c>
      <c r="K281"/>
      <c r="L281"/>
      <c r="M281">
        <v>12</v>
      </c>
      <c r="N281">
        <v>22</v>
      </c>
      <c r="O281">
        <v>5</v>
      </c>
      <c r="P281">
        <v>8</v>
      </c>
      <c r="Q281"/>
      <c r="R281" t="s">
        <v>2317</v>
      </c>
      <c r="S281" t="s">
        <v>2939</v>
      </c>
      <c r="T281" t="s">
        <v>2315</v>
      </c>
      <c r="U281" t="s">
        <v>2315</v>
      </c>
      <c r="V281">
        <v>0</v>
      </c>
      <c r="W281"/>
      <c r="X281"/>
      <c r="Y281">
        <v>30</v>
      </c>
      <c r="Z281"/>
      <c r="AA281">
        <v>5</v>
      </c>
      <c r="AB281">
        <v>15</v>
      </c>
      <c r="AC281">
        <v>10</v>
      </c>
      <c r="AD281">
        <v>2</v>
      </c>
      <c r="AE281">
        <v>12</v>
      </c>
      <c r="AF281">
        <v>4</v>
      </c>
      <c r="AG281">
        <v>337</v>
      </c>
      <c r="AH281"/>
      <c r="AI281"/>
      <c r="AJ281"/>
      <c r="AK281"/>
      <c r="AL281"/>
      <c r="AM281"/>
      <c r="AN281">
        <v>45</v>
      </c>
      <c r="AO281">
        <v>384</v>
      </c>
      <c r="AP281"/>
      <c r="AQ281"/>
      <c r="AR281"/>
      <c r="AS281"/>
      <c r="AT281"/>
      <c r="AU281"/>
      <c r="AV281"/>
      <c r="AW281"/>
      <c r="AX281"/>
      <c r="AY281" t="s">
        <v>2984</v>
      </c>
      <c r="AZ281" t="s">
        <v>2985</v>
      </c>
      <c r="BA281" t="s">
        <v>2984</v>
      </c>
      <c r="BB281" t="s">
        <v>2982</v>
      </c>
      <c r="BC281" t="s">
        <v>2983</v>
      </c>
      <c r="BD281" t="s">
        <v>2982</v>
      </c>
      <c r="BE281" t="s">
        <v>2936</v>
      </c>
      <c r="BF281" t="s">
        <v>2981</v>
      </c>
      <c r="BG281" t="s">
        <v>2936</v>
      </c>
      <c r="BH281"/>
      <c r="BI281"/>
      <c r="BJ281"/>
      <c r="BK281"/>
      <c r="BL281"/>
      <c r="BM281"/>
      <c r="BN281"/>
      <c r="BO281"/>
      <c r="BP281" t="s">
        <v>2945</v>
      </c>
      <c r="BQ281" t="s">
        <v>2980</v>
      </c>
      <c r="BR281" t="s">
        <v>2979</v>
      </c>
      <c r="BS281"/>
      <c r="BT281" t="s">
        <v>2315</v>
      </c>
      <c r="BU281"/>
      <c r="BV281"/>
      <c r="BW281"/>
      <c r="BX281"/>
      <c r="BY281"/>
      <c r="BZ281"/>
      <c r="CA281"/>
      <c r="CB281"/>
      <c r="CC281"/>
      <c r="CD281"/>
      <c r="CE281"/>
      <c r="CF281"/>
      <c r="CG281"/>
      <c r="CH281"/>
      <c r="CI281"/>
      <c r="CJ281"/>
      <c r="CK281"/>
      <c r="CL281"/>
      <c r="CM281"/>
      <c r="CN281"/>
      <c r="CO281"/>
      <c r="CP281"/>
      <c r="CQ281"/>
      <c r="CR281"/>
      <c r="CS281"/>
      <c r="CT281"/>
      <c r="CU281"/>
      <c r="CV281"/>
      <c r="CW281"/>
      <c r="CX281" t="s">
        <v>2307</v>
      </c>
      <c r="CY281">
        <v>337</v>
      </c>
      <c r="CZ281" t="s">
        <v>2306</v>
      </c>
    </row>
    <row r="282" spans="1:104" ht="14.25">
      <c r="A282" t="s">
        <v>2978</v>
      </c>
      <c r="B282" t="s">
        <v>2977</v>
      </c>
      <c r="C282" t="s">
        <v>2976</v>
      </c>
      <c r="D282">
        <v>0.5</v>
      </c>
      <c r="E282" t="s">
        <v>2533</v>
      </c>
      <c r="F282" t="s">
        <v>2320</v>
      </c>
      <c r="G282" t="s">
        <v>2543</v>
      </c>
      <c r="H282" t="s">
        <v>2936</v>
      </c>
      <c r="I282"/>
      <c r="J282" t="s">
        <v>1908</v>
      </c>
      <c r="K282"/>
      <c r="L282"/>
      <c r="M282">
        <v>12</v>
      </c>
      <c r="N282">
        <v>22</v>
      </c>
      <c r="O282">
        <v>5</v>
      </c>
      <c r="P282">
        <v>8</v>
      </c>
      <c r="Q282"/>
      <c r="R282" t="s">
        <v>2317</v>
      </c>
      <c r="S282" t="s">
        <v>2939</v>
      </c>
      <c r="T282" t="s">
        <v>2315</v>
      </c>
      <c r="U282" t="s">
        <v>2315</v>
      </c>
      <c r="V282">
        <v>20</v>
      </c>
      <c r="W282"/>
      <c r="X282">
        <v>20</v>
      </c>
      <c r="Y282"/>
      <c r="Z282"/>
      <c r="AA282">
        <v>3</v>
      </c>
      <c r="AB282">
        <v>13</v>
      </c>
      <c r="AC282">
        <v>10</v>
      </c>
      <c r="AD282">
        <v>1</v>
      </c>
      <c r="AE282">
        <v>7</v>
      </c>
      <c r="AF282">
        <v>1</v>
      </c>
      <c r="AG282">
        <v>338</v>
      </c>
      <c r="AH282"/>
      <c r="AI282"/>
      <c r="AJ282"/>
      <c r="AK282"/>
      <c r="AL282"/>
      <c r="AM282"/>
      <c r="AN282">
        <v>45</v>
      </c>
      <c r="AO282">
        <v>384</v>
      </c>
      <c r="AP282">
        <v>18</v>
      </c>
      <c r="AQ282"/>
      <c r="AR282"/>
      <c r="AS282"/>
      <c r="AT282"/>
      <c r="AU282"/>
      <c r="AV282" t="s">
        <v>2975</v>
      </c>
      <c r="AW282"/>
      <c r="AX282"/>
      <c r="AY282" t="s">
        <v>2936</v>
      </c>
      <c r="AZ282" t="s">
        <v>2974</v>
      </c>
      <c r="BA282" t="s">
        <v>2936</v>
      </c>
      <c r="BB282"/>
      <c r="BC282"/>
      <c r="BD282"/>
      <c r="BE282"/>
      <c r="BF282"/>
      <c r="BG282"/>
      <c r="BH282"/>
      <c r="BI282"/>
      <c r="BJ282"/>
      <c r="BK282"/>
      <c r="BL282"/>
      <c r="BM282"/>
      <c r="BN282"/>
      <c r="BO282"/>
      <c r="BP282" t="s">
        <v>2945</v>
      </c>
      <c r="BQ282" t="s">
        <v>2973</v>
      </c>
      <c r="BR282" t="s">
        <v>2972</v>
      </c>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t="s">
        <v>2307</v>
      </c>
      <c r="CY282">
        <v>338</v>
      </c>
      <c r="CZ282" t="s">
        <v>2306</v>
      </c>
    </row>
    <row r="283" spans="1:104" ht="14.25">
      <c r="A283" t="s">
        <v>2971</v>
      </c>
      <c r="B283" t="s">
        <v>2970</v>
      </c>
      <c r="C283" t="s">
        <v>2969</v>
      </c>
      <c r="D283">
        <v>2</v>
      </c>
      <c r="E283" t="s">
        <v>2533</v>
      </c>
      <c r="F283" t="s">
        <v>2320</v>
      </c>
      <c r="G283" t="s">
        <v>2543</v>
      </c>
      <c r="H283" t="s">
        <v>2936</v>
      </c>
      <c r="I283"/>
      <c r="J283" t="s">
        <v>1908</v>
      </c>
      <c r="K283"/>
      <c r="L283"/>
      <c r="M283">
        <v>14</v>
      </c>
      <c r="N283">
        <v>36</v>
      </c>
      <c r="O283">
        <v>8</v>
      </c>
      <c r="P283">
        <v>8</v>
      </c>
      <c r="Q283"/>
      <c r="R283" t="s">
        <v>2317</v>
      </c>
      <c r="S283" t="s">
        <v>2939</v>
      </c>
      <c r="T283" t="s">
        <v>2315</v>
      </c>
      <c r="U283" t="s">
        <v>2315</v>
      </c>
      <c r="V283">
        <v>30</v>
      </c>
      <c r="W283"/>
      <c r="X283"/>
      <c r="Y283"/>
      <c r="Z283">
        <v>30</v>
      </c>
      <c r="AA283">
        <v>8</v>
      </c>
      <c r="AB283">
        <v>18</v>
      </c>
      <c r="AC283">
        <v>11</v>
      </c>
      <c r="AD283">
        <v>1</v>
      </c>
      <c r="AE283">
        <v>10</v>
      </c>
      <c r="AF283">
        <v>3</v>
      </c>
      <c r="AG283">
        <v>338</v>
      </c>
      <c r="AH283"/>
      <c r="AI283"/>
      <c r="AJ283"/>
      <c r="AK283"/>
      <c r="AL283"/>
      <c r="AM283"/>
      <c r="AN283">
        <v>46</v>
      </c>
      <c r="AO283">
        <v>385</v>
      </c>
      <c r="AP283"/>
      <c r="AQ283">
        <v>22</v>
      </c>
      <c r="AR283"/>
      <c r="AS283"/>
      <c r="AT283"/>
      <c r="AU283"/>
      <c r="AV283"/>
      <c r="AW283"/>
      <c r="AX283"/>
      <c r="AY283" t="s">
        <v>2936</v>
      </c>
      <c r="AZ283" t="s">
        <v>2968</v>
      </c>
      <c r="BA283" t="s">
        <v>2936</v>
      </c>
      <c r="BB283"/>
      <c r="BC283"/>
      <c r="BD283"/>
      <c r="BE283"/>
      <c r="BF283"/>
      <c r="BG283"/>
      <c r="BH283"/>
      <c r="BI283"/>
      <c r="BJ283"/>
      <c r="BK283"/>
      <c r="BL283"/>
      <c r="BM283"/>
      <c r="BN283"/>
      <c r="BO283"/>
      <c r="BP283" t="s">
        <v>2945</v>
      </c>
      <c r="BQ283" t="s">
        <v>2967</v>
      </c>
      <c r="BR283" t="s">
        <v>2966</v>
      </c>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t="s">
        <v>2307</v>
      </c>
      <c r="CY283">
        <v>338</v>
      </c>
      <c r="CZ283" t="s">
        <v>2306</v>
      </c>
    </row>
    <row r="284" spans="1:104" ht="14.25">
      <c r="A284" t="s">
        <v>2965</v>
      </c>
      <c r="B284" t="s">
        <v>2964</v>
      </c>
      <c r="C284" t="s">
        <v>2963</v>
      </c>
      <c r="D284">
        <v>1</v>
      </c>
      <c r="E284" t="s">
        <v>2533</v>
      </c>
      <c r="F284" t="s">
        <v>2320</v>
      </c>
      <c r="G284" t="s">
        <v>2543</v>
      </c>
      <c r="H284" t="s">
        <v>2936</v>
      </c>
      <c r="I284"/>
      <c r="J284" t="s">
        <v>1908</v>
      </c>
      <c r="K284"/>
      <c r="L284"/>
      <c r="M284">
        <v>13</v>
      </c>
      <c r="N284">
        <v>28</v>
      </c>
      <c r="O284">
        <v>8</v>
      </c>
      <c r="P284">
        <v>8</v>
      </c>
      <c r="Q284">
        <v>-8</v>
      </c>
      <c r="R284" t="s">
        <v>2317</v>
      </c>
      <c r="S284" t="s">
        <v>2939</v>
      </c>
      <c r="T284" t="s">
        <v>2315</v>
      </c>
      <c r="U284" t="s">
        <v>2315</v>
      </c>
      <c r="V284">
        <v>0</v>
      </c>
      <c r="W284"/>
      <c r="X284"/>
      <c r="Y284"/>
      <c r="Z284">
        <v>40</v>
      </c>
      <c r="AA284">
        <v>13</v>
      </c>
      <c r="AB284">
        <v>16</v>
      </c>
      <c r="AC284">
        <v>9</v>
      </c>
      <c r="AD284">
        <v>1</v>
      </c>
      <c r="AE284">
        <v>7</v>
      </c>
      <c r="AF284">
        <v>2</v>
      </c>
      <c r="AG284">
        <v>338</v>
      </c>
      <c r="AH284"/>
      <c r="AI284"/>
      <c r="AJ284"/>
      <c r="AK284"/>
      <c r="AL284"/>
      <c r="AM284"/>
      <c r="AN284">
        <v>46</v>
      </c>
      <c r="AO284">
        <v>385</v>
      </c>
      <c r="AP284"/>
      <c r="AQ284"/>
      <c r="AR284"/>
      <c r="AS284" t="s">
        <v>2962</v>
      </c>
      <c r="AT284"/>
      <c r="AU284"/>
      <c r="AV284" t="s">
        <v>2961</v>
      </c>
      <c r="AW284"/>
      <c r="AX284" t="s">
        <v>2960</v>
      </c>
      <c r="AY284" t="s">
        <v>2958</v>
      </c>
      <c r="AZ284" t="s">
        <v>2959</v>
      </c>
      <c r="BA284" t="s">
        <v>2958</v>
      </c>
      <c r="BB284" t="s">
        <v>2936</v>
      </c>
      <c r="BC284" t="s">
        <v>2957</v>
      </c>
      <c r="BD284" t="s">
        <v>2936</v>
      </c>
      <c r="BE284" t="s">
        <v>2955</v>
      </c>
      <c r="BF284" t="s">
        <v>2956</v>
      </c>
      <c r="BG284" t="s">
        <v>2955</v>
      </c>
      <c r="BH284"/>
      <c r="BI284"/>
      <c r="BJ284"/>
      <c r="BK284"/>
      <c r="BL284"/>
      <c r="BM284"/>
      <c r="BN284"/>
      <c r="BO284"/>
      <c r="BP284" t="s">
        <v>2945</v>
      </c>
      <c r="BQ284" t="s">
        <v>2954</v>
      </c>
      <c r="BR284" t="s">
        <v>2953</v>
      </c>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t="s">
        <v>2307</v>
      </c>
      <c r="CY284">
        <v>338</v>
      </c>
      <c r="CZ284" t="s">
        <v>2306</v>
      </c>
    </row>
    <row r="285" spans="1:104" ht="14.25">
      <c r="A285" t="s">
        <v>2952</v>
      </c>
      <c r="B285" t="s">
        <v>2951</v>
      </c>
      <c r="C285" t="s">
        <v>2950</v>
      </c>
      <c r="D285">
        <v>0.25</v>
      </c>
      <c r="E285" t="s">
        <v>2533</v>
      </c>
      <c r="F285" t="s">
        <v>2320</v>
      </c>
      <c r="G285" t="s">
        <v>2543</v>
      </c>
      <c r="H285" t="s">
        <v>2936</v>
      </c>
      <c r="I285"/>
      <c r="J285" t="s">
        <v>1908</v>
      </c>
      <c r="K285"/>
      <c r="L285"/>
      <c r="M285">
        <v>10</v>
      </c>
      <c r="N285">
        <v>24</v>
      </c>
      <c r="O285">
        <v>7</v>
      </c>
      <c r="P285">
        <v>8</v>
      </c>
      <c r="Q285">
        <v>-7</v>
      </c>
      <c r="R285" t="s">
        <v>2317</v>
      </c>
      <c r="S285" t="s">
        <v>2939</v>
      </c>
      <c r="T285" t="s">
        <v>2315</v>
      </c>
      <c r="U285" t="s">
        <v>2315</v>
      </c>
      <c r="V285">
        <v>30</v>
      </c>
      <c r="W285"/>
      <c r="X285"/>
      <c r="Y285"/>
      <c r="Z285"/>
      <c r="AA285">
        <v>9</v>
      </c>
      <c r="AB285">
        <v>11</v>
      </c>
      <c r="AC285">
        <v>9</v>
      </c>
      <c r="AD285">
        <v>2</v>
      </c>
      <c r="AE285">
        <v>10</v>
      </c>
      <c r="AF285">
        <v>3</v>
      </c>
      <c r="AG285">
        <v>339</v>
      </c>
      <c r="AH285"/>
      <c r="AI285"/>
      <c r="AJ285"/>
      <c r="AK285"/>
      <c r="AL285"/>
      <c r="AM285"/>
      <c r="AN285">
        <v>46</v>
      </c>
      <c r="AO285">
        <v>385</v>
      </c>
      <c r="AP285">
        <v>19</v>
      </c>
      <c r="AQ285"/>
      <c r="AR285"/>
      <c r="AS285"/>
      <c r="AT285"/>
      <c r="AU285"/>
      <c r="AV285" t="s">
        <v>2949</v>
      </c>
      <c r="AW285"/>
      <c r="AX285" t="s">
        <v>2948</v>
      </c>
      <c r="AY285" t="s">
        <v>2434</v>
      </c>
      <c r="AZ285" t="s">
        <v>2947</v>
      </c>
      <c r="BA285" t="s">
        <v>2434</v>
      </c>
      <c r="BB285" t="s">
        <v>2936</v>
      </c>
      <c r="BC285" t="s">
        <v>2946</v>
      </c>
      <c r="BD285" t="s">
        <v>2936</v>
      </c>
      <c r="BE285"/>
      <c r="BF285"/>
      <c r="BG285"/>
      <c r="BH285"/>
      <c r="BI285"/>
      <c r="BJ285"/>
      <c r="BK285"/>
      <c r="BL285"/>
      <c r="BM285"/>
      <c r="BN285"/>
      <c r="BO285"/>
      <c r="BP285" t="s">
        <v>2945</v>
      </c>
      <c r="BQ285" t="s">
        <v>2944</v>
      </c>
      <c r="BR285" t="s">
        <v>2943</v>
      </c>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t="s">
        <v>2307</v>
      </c>
      <c r="CY285">
        <v>339</v>
      </c>
      <c r="CZ285" t="s">
        <v>2306</v>
      </c>
    </row>
    <row r="286" spans="1:104" ht="14.25">
      <c r="A286" t="s">
        <v>2942</v>
      </c>
      <c r="B286" t="s">
        <v>2941</v>
      </c>
      <c r="C286" t="s">
        <v>2940</v>
      </c>
      <c r="D286">
        <v>0.25</v>
      </c>
      <c r="E286" t="s">
        <v>2533</v>
      </c>
      <c r="F286" t="s">
        <v>2320</v>
      </c>
      <c r="G286" t="s">
        <v>2543</v>
      </c>
      <c r="H286" t="s">
        <v>2936</v>
      </c>
      <c r="I286"/>
      <c r="J286" t="s">
        <v>1908</v>
      </c>
      <c r="K286"/>
      <c r="L286"/>
      <c r="M286">
        <v>12</v>
      </c>
      <c r="N286">
        <v>24</v>
      </c>
      <c r="O286">
        <v>7</v>
      </c>
      <c r="P286">
        <v>8</v>
      </c>
      <c r="Q286">
        <v>-7</v>
      </c>
      <c r="R286" t="s">
        <v>2317</v>
      </c>
      <c r="S286" t="s">
        <v>2939</v>
      </c>
      <c r="T286" t="s">
        <v>2315</v>
      </c>
      <c r="U286" t="s">
        <v>2315</v>
      </c>
      <c r="V286">
        <v>10</v>
      </c>
      <c r="W286"/>
      <c r="X286"/>
      <c r="Y286">
        <v>50</v>
      </c>
      <c r="Z286"/>
      <c r="AA286">
        <v>6</v>
      </c>
      <c r="AB286">
        <v>14</v>
      </c>
      <c r="AC286">
        <v>8</v>
      </c>
      <c r="AD286">
        <v>3</v>
      </c>
      <c r="AE286">
        <v>12</v>
      </c>
      <c r="AF286">
        <v>6</v>
      </c>
      <c r="AG286">
        <v>339</v>
      </c>
      <c r="AH286"/>
      <c r="AI286"/>
      <c r="AJ286"/>
      <c r="AK286"/>
      <c r="AL286"/>
      <c r="AM286"/>
      <c r="AN286">
        <v>46</v>
      </c>
      <c r="AO286">
        <v>386</v>
      </c>
      <c r="AP286"/>
      <c r="AQ286">
        <v>22</v>
      </c>
      <c r="AR286"/>
      <c r="AS286"/>
      <c r="AT286"/>
      <c r="AU286"/>
      <c r="AV286" t="s">
        <v>2938</v>
      </c>
      <c r="AW286"/>
      <c r="AX286"/>
      <c r="AY286" t="s">
        <v>2936</v>
      </c>
      <c r="AZ286" t="s">
        <v>2937</v>
      </c>
      <c r="BA286" t="s">
        <v>2936</v>
      </c>
      <c r="BB286"/>
      <c r="BC286"/>
      <c r="BD286"/>
      <c r="BE286"/>
      <c r="BF286"/>
      <c r="BG286"/>
      <c r="BH286"/>
      <c r="BI286"/>
      <c r="BJ286"/>
      <c r="BK286"/>
      <c r="BL286"/>
      <c r="BM286"/>
      <c r="BN286"/>
      <c r="BO286"/>
      <c r="BP286" t="s">
        <v>2935</v>
      </c>
      <c r="BQ286" t="s">
        <v>2934</v>
      </c>
      <c r="BR286" t="s">
        <v>2933</v>
      </c>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t="s">
        <v>2307</v>
      </c>
      <c r="CY286">
        <v>339</v>
      </c>
      <c r="CZ286" t="s">
        <v>2306</v>
      </c>
    </row>
    <row r="287" spans="1:104" ht="14.25">
      <c r="A287" t="s">
        <v>2932</v>
      </c>
      <c r="B287" t="s">
        <v>2932</v>
      </c>
      <c r="C287" t="s">
        <v>2931</v>
      </c>
      <c r="D287">
        <v>30</v>
      </c>
      <c r="E287" t="s">
        <v>2321</v>
      </c>
      <c r="F287" t="s">
        <v>2930</v>
      </c>
      <c r="G287" t="s">
        <v>2440</v>
      </c>
      <c r="H287" t="s">
        <v>2929</v>
      </c>
      <c r="I287"/>
      <c r="J287" t="s">
        <v>1908</v>
      </c>
      <c r="K287"/>
      <c r="L287"/>
      <c r="M287">
        <v>25</v>
      </c>
      <c r="N287">
        <v>676</v>
      </c>
      <c r="O287">
        <v>33</v>
      </c>
      <c r="P287">
        <v>20</v>
      </c>
      <c r="Q287">
        <v>330</v>
      </c>
      <c r="R287" t="s">
        <v>2317</v>
      </c>
      <c r="S287" t="s">
        <v>2928</v>
      </c>
      <c r="T287" t="s">
        <v>2927</v>
      </c>
      <c r="U287" t="s">
        <v>2315</v>
      </c>
      <c r="V287">
        <v>40</v>
      </c>
      <c r="W287"/>
      <c r="X287"/>
      <c r="Y287"/>
      <c r="Z287"/>
      <c r="AA287">
        <v>30</v>
      </c>
      <c r="AB287">
        <v>11</v>
      </c>
      <c r="AC287">
        <v>30</v>
      </c>
      <c r="AD287">
        <v>3</v>
      </c>
      <c r="AE287">
        <v>11</v>
      </c>
      <c r="AF287">
        <v>11</v>
      </c>
      <c r="AG287">
        <v>286</v>
      </c>
      <c r="AH287"/>
      <c r="AI287"/>
      <c r="AJ287"/>
      <c r="AK287"/>
      <c r="AL287"/>
      <c r="AM287"/>
      <c r="AN287"/>
      <c r="AO287">
        <v>353</v>
      </c>
      <c r="AP287"/>
      <c r="AQ287"/>
      <c r="AR287"/>
      <c r="AS287"/>
      <c r="AT287"/>
      <c r="AU287"/>
      <c r="AV287"/>
      <c r="AW287"/>
      <c r="AX287"/>
      <c r="AY287" t="s">
        <v>2798</v>
      </c>
      <c r="AZ287" t="s">
        <v>2926</v>
      </c>
      <c r="BA287" t="s">
        <v>2798</v>
      </c>
      <c r="BB287" t="s">
        <v>2726</v>
      </c>
      <c r="BC287" t="s">
        <v>2925</v>
      </c>
      <c r="BD287" t="s">
        <v>2726</v>
      </c>
      <c r="BE287" t="s">
        <v>2923</v>
      </c>
      <c r="BF287" t="s">
        <v>2924</v>
      </c>
      <c r="BG287" t="s">
        <v>2923</v>
      </c>
      <c r="BH287" t="s">
        <v>2888</v>
      </c>
      <c r="BI287" t="s">
        <v>2922</v>
      </c>
      <c r="BJ287"/>
      <c r="BK287"/>
      <c r="BL287"/>
      <c r="BM287"/>
      <c r="BN287"/>
      <c r="BO287"/>
      <c r="BP287" t="s">
        <v>2333</v>
      </c>
      <c r="BQ287" t="s">
        <v>2921</v>
      </c>
      <c r="BR287" t="s">
        <v>2333</v>
      </c>
      <c r="BS287" t="s">
        <v>2332</v>
      </c>
      <c r="BT287" t="s">
        <v>2920</v>
      </c>
      <c r="BU287" t="s">
        <v>2919</v>
      </c>
      <c r="BV287" t="s">
        <v>2329</v>
      </c>
      <c r="BW287" t="s">
        <v>2918</v>
      </c>
      <c r="BX287" t="s">
        <v>2917</v>
      </c>
      <c r="BY287" t="s">
        <v>2916</v>
      </c>
      <c r="BZ287" t="s">
        <v>2915</v>
      </c>
      <c r="CA287" t="s">
        <v>2914</v>
      </c>
      <c r="CB287" t="s">
        <v>2831</v>
      </c>
      <c r="CC287" t="s">
        <v>2913</v>
      </c>
      <c r="CD287" t="s">
        <v>2912</v>
      </c>
      <c r="CE287" t="s">
        <v>2910</v>
      </c>
      <c r="CF287" t="s">
        <v>2911</v>
      </c>
      <c r="CG287" t="s">
        <v>2910</v>
      </c>
      <c r="CH287" t="s">
        <v>2908</v>
      </c>
      <c r="CI287" t="s">
        <v>2909</v>
      </c>
      <c r="CJ287" t="s">
        <v>2908</v>
      </c>
      <c r="CK287" t="s">
        <v>2907</v>
      </c>
      <c r="CL287" t="s">
        <v>2906</v>
      </c>
      <c r="CM287" t="s">
        <v>2782</v>
      </c>
      <c r="CN287" t="s">
        <v>2905</v>
      </c>
      <c r="CO287" t="s">
        <v>2904</v>
      </c>
      <c r="CP287" t="s">
        <v>2903</v>
      </c>
      <c r="CQ287"/>
      <c r="CR287"/>
      <c r="CS287"/>
      <c r="CT287"/>
      <c r="CU287"/>
      <c r="CV287"/>
      <c r="CW287"/>
      <c r="CX287" t="s">
        <v>2307</v>
      </c>
      <c r="CY287">
        <v>286</v>
      </c>
      <c r="CZ287" t="s">
        <v>2306</v>
      </c>
    </row>
    <row r="288" spans="1:104" ht="14.25">
      <c r="A288" t="s">
        <v>2902</v>
      </c>
      <c r="B288" t="s">
        <v>2902</v>
      </c>
      <c r="C288" t="s">
        <v>2463</v>
      </c>
      <c r="D288">
        <v>0.5</v>
      </c>
      <c r="E288" t="s">
        <v>2462</v>
      </c>
      <c r="F288" t="s">
        <v>2320</v>
      </c>
      <c r="G288" t="s">
        <v>2461</v>
      </c>
      <c r="H288" t="s">
        <v>2460</v>
      </c>
      <c r="I288"/>
      <c r="J288" t="s">
        <v>2459</v>
      </c>
      <c r="K288"/>
      <c r="L288"/>
      <c r="M288">
        <v>11</v>
      </c>
      <c r="N288">
        <v>32</v>
      </c>
      <c r="O288">
        <v>5</v>
      </c>
      <c r="P288">
        <v>8</v>
      </c>
      <c r="Q288">
        <v>10</v>
      </c>
      <c r="R288" t="s">
        <v>2317</v>
      </c>
      <c r="S288" t="s">
        <v>2458</v>
      </c>
      <c r="T288" t="s">
        <v>2457</v>
      </c>
      <c r="U288" t="s">
        <v>2315</v>
      </c>
      <c r="V288">
        <v>30</v>
      </c>
      <c r="W288"/>
      <c r="X288"/>
      <c r="Y288"/>
      <c r="Z288"/>
      <c r="AA288">
        <v>15</v>
      </c>
      <c r="AB288">
        <v>11</v>
      </c>
      <c r="AC288">
        <v>14</v>
      </c>
      <c r="AD288">
        <v>10</v>
      </c>
      <c r="AE288">
        <v>10</v>
      </c>
      <c r="AF288">
        <v>11</v>
      </c>
      <c r="AG288">
        <v>350</v>
      </c>
      <c r="AH288"/>
      <c r="AI288"/>
      <c r="AJ288"/>
      <c r="AK288"/>
      <c r="AL288"/>
      <c r="AM288"/>
      <c r="AN288">
        <v>55</v>
      </c>
      <c r="AO288">
        <v>397</v>
      </c>
      <c r="AP288"/>
      <c r="AQ288"/>
      <c r="AR288"/>
      <c r="AS288" t="s">
        <v>2456</v>
      </c>
      <c r="AT288"/>
      <c r="AU288"/>
      <c r="AV288" t="s">
        <v>2455</v>
      </c>
      <c r="AW288"/>
      <c r="AX288" t="s">
        <v>2454</v>
      </c>
      <c r="AY288" t="s">
        <v>2452</v>
      </c>
      <c r="AZ288" t="s">
        <v>2453</v>
      </c>
      <c r="BA288" t="s">
        <v>2452</v>
      </c>
      <c r="BB288"/>
      <c r="BC288"/>
      <c r="BD288"/>
      <c r="BE288"/>
      <c r="BF288"/>
      <c r="BG288"/>
      <c r="BH288"/>
      <c r="BI288"/>
      <c r="BJ288"/>
      <c r="BK288"/>
      <c r="BL288"/>
      <c r="BM288"/>
      <c r="BN288"/>
      <c r="BO288"/>
      <c r="BP288" t="s">
        <v>2333</v>
      </c>
      <c r="BQ288" t="s">
        <v>2451</v>
      </c>
      <c r="BR288" t="s">
        <v>2333</v>
      </c>
      <c r="BS288" t="s">
        <v>2450</v>
      </c>
      <c r="BT288" t="s">
        <v>2449</v>
      </c>
      <c r="BU288" t="s">
        <v>2448</v>
      </c>
      <c r="BV288" t="s">
        <v>2447</v>
      </c>
      <c r="BW288" t="s">
        <v>2446</v>
      </c>
      <c r="BX288" t="s">
        <v>2445</v>
      </c>
      <c r="BY288"/>
      <c r="BZ288"/>
      <c r="CA288"/>
      <c r="CB288"/>
      <c r="CC288"/>
      <c r="CD288"/>
      <c r="CE288"/>
      <c r="CF288"/>
      <c r="CG288"/>
      <c r="CH288"/>
      <c r="CI288"/>
      <c r="CJ288"/>
      <c r="CK288"/>
      <c r="CL288"/>
      <c r="CM288"/>
      <c r="CN288"/>
      <c r="CO288"/>
      <c r="CP288"/>
      <c r="CQ288"/>
      <c r="CR288"/>
      <c r="CS288"/>
      <c r="CT288"/>
      <c r="CU288"/>
      <c r="CV288"/>
      <c r="CW288"/>
      <c r="CX288" t="s">
        <v>2307</v>
      </c>
      <c r="CY288">
        <v>350</v>
      </c>
      <c r="CZ288" t="s">
        <v>2306</v>
      </c>
    </row>
    <row r="289" spans="1:104" ht="14.25">
      <c r="A289" t="s">
        <v>2901</v>
      </c>
      <c r="B289" t="s">
        <v>2901</v>
      </c>
      <c r="C289" t="s">
        <v>2900</v>
      </c>
      <c r="D289">
        <v>1</v>
      </c>
      <c r="E289" t="s">
        <v>2533</v>
      </c>
      <c r="F289" t="s">
        <v>2342</v>
      </c>
      <c r="G289" t="s">
        <v>2543</v>
      </c>
      <c r="H289"/>
      <c r="I289"/>
      <c r="J289" t="s">
        <v>1908</v>
      </c>
      <c r="K289"/>
      <c r="L289"/>
      <c r="M289">
        <v>12</v>
      </c>
      <c r="N289">
        <v>37</v>
      </c>
      <c r="O289">
        <v>5</v>
      </c>
      <c r="P289">
        <v>10</v>
      </c>
      <c r="Q289">
        <v>10</v>
      </c>
      <c r="R289" t="s">
        <v>2317</v>
      </c>
      <c r="S289" t="s">
        <v>2631</v>
      </c>
      <c r="T289" t="s">
        <v>2630</v>
      </c>
      <c r="U289" t="s">
        <v>2315</v>
      </c>
      <c r="V289">
        <v>40</v>
      </c>
      <c r="W289"/>
      <c r="X289"/>
      <c r="Y289"/>
      <c r="Z289"/>
      <c r="AA289">
        <v>17</v>
      </c>
      <c r="AB289">
        <v>15</v>
      </c>
      <c r="AC289">
        <v>14</v>
      </c>
      <c r="AD289">
        <v>3</v>
      </c>
      <c r="AE289">
        <v>12</v>
      </c>
      <c r="AF289">
        <v>8</v>
      </c>
      <c r="AG289">
        <v>339</v>
      </c>
      <c r="AH289">
        <v>311</v>
      </c>
      <c r="AI289"/>
      <c r="AJ289"/>
      <c r="AK289"/>
      <c r="AL289"/>
      <c r="AM289"/>
      <c r="AN289">
        <v>47</v>
      </c>
      <c r="AO289">
        <v>386</v>
      </c>
      <c r="AP289"/>
      <c r="AQ289"/>
      <c r="AR289"/>
      <c r="AS289"/>
      <c r="AT289"/>
      <c r="AU289"/>
      <c r="AV289"/>
      <c r="AW289"/>
      <c r="AX289"/>
      <c r="AY289" t="s">
        <v>2434</v>
      </c>
      <c r="AZ289" t="s">
        <v>2899</v>
      </c>
      <c r="BA289" t="s">
        <v>2434</v>
      </c>
      <c r="BB289" t="s">
        <v>2897</v>
      </c>
      <c r="BC289" t="s">
        <v>2898</v>
      </c>
      <c r="BD289" t="s">
        <v>2897</v>
      </c>
      <c r="BE289"/>
      <c r="BF289"/>
      <c r="BG289"/>
      <c r="BH289"/>
      <c r="BI289"/>
      <c r="BJ289"/>
      <c r="BK289"/>
      <c r="BL289"/>
      <c r="BM289"/>
      <c r="BN289"/>
      <c r="BO289"/>
      <c r="BP289" t="s">
        <v>2332</v>
      </c>
      <c r="BQ289" t="s">
        <v>2896</v>
      </c>
      <c r="BR289" t="s">
        <v>2622</v>
      </c>
      <c r="BS289" t="s">
        <v>2329</v>
      </c>
      <c r="BT289" t="s">
        <v>2620</v>
      </c>
      <c r="BU289" t="s">
        <v>2619</v>
      </c>
      <c r="BV289"/>
      <c r="BW289"/>
      <c r="BX289"/>
      <c r="BY289"/>
      <c r="BZ289"/>
      <c r="CA289"/>
      <c r="CB289"/>
      <c r="CC289"/>
      <c r="CD289"/>
      <c r="CE289"/>
      <c r="CF289"/>
      <c r="CG289"/>
      <c r="CH289"/>
      <c r="CI289"/>
      <c r="CJ289"/>
      <c r="CK289"/>
      <c r="CL289"/>
      <c r="CM289"/>
      <c r="CN289"/>
      <c r="CO289"/>
      <c r="CP289"/>
      <c r="CQ289"/>
      <c r="CR289"/>
      <c r="CS289"/>
      <c r="CT289"/>
      <c r="CU289"/>
      <c r="CV289"/>
      <c r="CW289"/>
      <c r="CX289" t="s">
        <v>2307</v>
      </c>
      <c r="CY289">
        <v>339</v>
      </c>
      <c r="CZ289" t="s">
        <v>2306</v>
      </c>
    </row>
    <row r="290" spans="1:104" ht="14.25">
      <c r="A290" t="s">
        <v>2895</v>
      </c>
      <c r="B290" t="s">
        <v>2895</v>
      </c>
      <c r="C290" t="s">
        <v>2894</v>
      </c>
      <c r="D290">
        <v>9</v>
      </c>
      <c r="E290" t="s">
        <v>2321</v>
      </c>
      <c r="F290" t="s">
        <v>2838</v>
      </c>
      <c r="G290" t="s">
        <v>2743</v>
      </c>
      <c r="H290"/>
      <c r="I290"/>
      <c r="J290" t="s">
        <v>2388</v>
      </c>
      <c r="K290"/>
      <c r="L290"/>
      <c r="M290">
        <v>16</v>
      </c>
      <c r="N290">
        <v>138</v>
      </c>
      <c r="O290">
        <v>12</v>
      </c>
      <c r="P290">
        <v>12</v>
      </c>
      <c r="Q290">
        <v>60</v>
      </c>
      <c r="R290" t="s">
        <v>2317</v>
      </c>
      <c r="S290" t="s">
        <v>2893</v>
      </c>
      <c r="T290" t="s">
        <v>2892</v>
      </c>
      <c r="U290" t="s">
        <v>2315</v>
      </c>
      <c r="V290">
        <v>30</v>
      </c>
      <c r="W290"/>
      <c r="X290"/>
      <c r="Y290"/>
      <c r="Z290"/>
      <c r="AA290">
        <v>23</v>
      </c>
      <c r="AB290">
        <v>8</v>
      </c>
      <c r="AC290">
        <v>21</v>
      </c>
      <c r="AD290">
        <v>12</v>
      </c>
      <c r="AE290">
        <v>16</v>
      </c>
      <c r="AF290">
        <v>12</v>
      </c>
      <c r="AG290">
        <v>289</v>
      </c>
      <c r="AH290"/>
      <c r="AI290"/>
      <c r="AJ290"/>
      <c r="AK290"/>
      <c r="AL290"/>
      <c r="AM290"/>
      <c r="AN290"/>
      <c r="AO290">
        <v>354</v>
      </c>
      <c r="AP290"/>
      <c r="AQ290"/>
      <c r="AR290"/>
      <c r="AS290"/>
      <c r="AT290"/>
      <c r="AU290"/>
      <c r="AV290"/>
      <c r="AW290"/>
      <c r="AX290" t="s">
        <v>2891</v>
      </c>
      <c r="AY290" t="s">
        <v>2739</v>
      </c>
      <c r="AZ290" t="s">
        <v>2890</v>
      </c>
      <c r="BA290" t="s">
        <v>2739</v>
      </c>
      <c r="BB290" t="s">
        <v>2888</v>
      </c>
      <c r="BC290" t="s">
        <v>2889</v>
      </c>
      <c r="BD290" t="s">
        <v>2888</v>
      </c>
      <c r="BE290"/>
      <c r="BF290"/>
      <c r="BG290"/>
      <c r="BH290"/>
      <c r="BI290"/>
      <c r="BJ290"/>
      <c r="BK290"/>
      <c r="BL290"/>
      <c r="BM290"/>
      <c r="BN290"/>
      <c r="BO290"/>
      <c r="BP290" t="s">
        <v>2333</v>
      </c>
      <c r="BQ290" t="s">
        <v>2887</v>
      </c>
      <c r="BR290" t="s">
        <v>2333</v>
      </c>
      <c r="BS290" t="s">
        <v>2310</v>
      </c>
      <c r="BT290" t="s">
        <v>2886</v>
      </c>
      <c r="BU290" t="s">
        <v>2885</v>
      </c>
      <c r="BV290" t="s">
        <v>2884</v>
      </c>
      <c r="BW290" t="s">
        <v>2883</v>
      </c>
      <c r="BX290" t="s">
        <v>2882</v>
      </c>
      <c r="BY290" t="s">
        <v>2880</v>
      </c>
      <c r="BZ290" t="s">
        <v>2881</v>
      </c>
      <c r="CA290" t="s">
        <v>2880</v>
      </c>
      <c r="CB290"/>
      <c r="CC290"/>
      <c r="CD290"/>
      <c r="CE290"/>
      <c r="CF290"/>
      <c r="CG290"/>
      <c r="CH290"/>
      <c r="CI290"/>
      <c r="CJ290"/>
      <c r="CK290"/>
      <c r="CL290"/>
      <c r="CM290"/>
      <c r="CN290"/>
      <c r="CO290"/>
      <c r="CP290"/>
      <c r="CQ290"/>
      <c r="CR290"/>
      <c r="CS290"/>
      <c r="CT290"/>
      <c r="CU290"/>
      <c r="CV290"/>
      <c r="CW290"/>
      <c r="CX290" t="s">
        <v>2307</v>
      </c>
      <c r="CY290">
        <v>289</v>
      </c>
      <c r="CZ290" t="s">
        <v>2306</v>
      </c>
    </row>
    <row r="291" spans="1:104" ht="14.25">
      <c r="A291" t="s">
        <v>2879</v>
      </c>
      <c r="B291" t="s">
        <v>2878</v>
      </c>
      <c r="C291" t="s">
        <v>2877</v>
      </c>
      <c r="D291">
        <v>0.125</v>
      </c>
      <c r="E291" t="s">
        <v>2462</v>
      </c>
      <c r="F291" t="s">
        <v>2320</v>
      </c>
      <c r="G291" t="s">
        <v>2461</v>
      </c>
      <c r="H291" t="s">
        <v>2460</v>
      </c>
      <c r="I291"/>
      <c r="J291" t="s">
        <v>2460</v>
      </c>
      <c r="K291"/>
      <c r="L291"/>
      <c r="M291">
        <v>12</v>
      </c>
      <c r="N291">
        <v>11</v>
      </c>
      <c r="O291">
        <v>2</v>
      </c>
      <c r="P291">
        <v>8</v>
      </c>
      <c r="Q291">
        <v>2</v>
      </c>
      <c r="R291" t="s">
        <v>2317</v>
      </c>
      <c r="S291" t="s">
        <v>2876</v>
      </c>
      <c r="T291" t="s">
        <v>2315</v>
      </c>
      <c r="U291" t="s">
        <v>2315</v>
      </c>
      <c r="V291">
        <v>30</v>
      </c>
      <c r="W291"/>
      <c r="X291"/>
      <c r="Y291"/>
      <c r="Z291"/>
      <c r="AA291">
        <v>13</v>
      </c>
      <c r="AB291">
        <v>11</v>
      </c>
      <c r="AC291">
        <v>12</v>
      </c>
      <c r="AD291">
        <v>8</v>
      </c>
      <c r="AE291">
        <v>11</v>
      </c>
      <c r="AF291">
        <v>8</v>
      </c>
      <c r="AG291">
        <v>350</v>
      </c>
      <c r="AH291"/>
      <c r="AI291"/>
      <c r="AJ291"/>
      <c r="AK291"/>
      <c r="AL291"/>
      <c r="AM291"/>
      <c r="AN291"/>
      <c r="AO291">
        <v>397</v>
      </c>
      <c r="AP291"/>
      <c r="AQ291">
        <v>23</v>
      </c>
      <c r="AR291"/>
      <c r="AS291" t="s">
        <v>2875</v>
      </c>
      <c r="AT291">
        <v>34</v>
      </c>
      <c r="AU291"/>
      <c r="AV291"/>
      <c r="AW291"/>
      <c r="AX291"/>
      <c r="AY291" t="s">
        <v>2452</v>
      </c>
      <c r="AZ291" t="s">
        <v>2874</v>
      </c>
      <c r="BA291" t="s">
        <v>2452</v>
      </c>
      <c r="BB291"/>
      <c r="BC291"/>
      <c r="BD291"/>
      <c r="BE291"/>
      <c r="BF291"/>
      <c r="BG291"/>
      <c r="BH291"/>
      <c r="BI291"/>
      <c r="BJ291"/>
      <c r="BK291"/>
      <c r="BL291"/>
      <c r="BM291"/>
      <c r="BN291"/>
      <c r="BO291"/>
      <c r="BP291" t="s">
        <v>2255</v>
      </c>
      <c r="BQ291" t="s">
        <v>2873</v>
      </c>
      <c r="BR291" t="s">
        <v>2872</v>
      </c>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t="s">
        <v>2307</v>
      </c>
      <c r="CY291">
        <v>350</v>
      </c>
      <c r="CZ291" t="s">
        <v>2306</v>
      </c>
    </row>
    <row r="292" spans="1:104" ht="14.25">
      <c r="A292" t="s">
        <v>2871</v>
      </c>
      <c r="B292" t="s">
        <v>2871</v>
      </c>
      <c r="C292" t="s">
        <v>2870</v>
      </c>
      <c r="D292">
        <v>5</v>
      </c>
      <c r="E292" t="s">
        <v>2321</v>
      </c>
      <c r="F292" t="s">
        <v>2838</v>
      </c>
      <c r="G292" t="s">
        <v>2543</v>
      </c>
      <c r="H292" t="s">
        <v>2837</v>
      </c>
      <c r="I292"/>
      <c r="J292" t="s">
        <v>1908</v>
      </c>
      <c r="K292"/>
      <c r="L292"/>
      <c r="M292">
        <v>13</v>
      </c>
      <c r="N292">
        <v>95</v>
      </c>
      <c r="O292">
        <v>10</v>
      </c>
      <c r="P292">
        <v>12</v>
      </c>
      <c r="Q292">
        <v>30</v>
      </c>
      <c r="R292" t="s">
        <v>2317</v>
      </c>
      <c r="S292" t="s">
        <v>2869</v>
      </c>
      <c r="T292" t="s">
        <v>2868</v>
      </c>
      <c r="U292" t="s">
        <v>2315</v>
      </c>
      <c r="V292">
        <v>50</v>
      </c>
      <c r="W292"/>
      <c r="X292"/>
      <c r="Y292"/>
      <c r="Z292"/>
      <c r="AA292">
        <v>22</v>
      </c>
      <c r="AB292">
        <v>9</v>
      </c>
      <c r="AC292">
        <v>17</v>
      </c>
      <c r="AD292">
        <v>2</v>
      </c>
      <c r="AE292">
        <v>11</v>
      </c>
      <c r="AF292">
        <v>5</v>
      </c>
      <c r="AG292">
        <v>80</v>
      </c>
      <c r="AH292"/>
      <c r="AI292"/>
      <c r="AJ292"/>
      <c r="AK292"/>
      <c r="AL292"/>
      <c r="AM292"/>
      <c r="AN292">
        <v>47</v>
      </c>
      <c r="AO292"/>
      <c r="AP292"/>
      <c r="AQ292"/>
      <c r="AR292"/>
      <c r="AS292"/>
      <c r="AT292"/>
      <c r="AU292"/>
      <c r="AV292"/>
      <c r="AW292"/>
      <c r="AX292"/>
      <c r="AY292" t="s">
        <v>2701</v>
      </c>
      <c r="AZ292" t="s">
        <v>2867</v>
      </c>
      <c r="BA292" t="s">
        <v>2701</v>
      </c>
      <c r="BB292"/>
      <c r="BC292"/>
      <c r="BD292"/>
      <c r="BE292"/>
      <c r="BF292"/>
      <c r="BG292"/>
      <c r="BH292"/>
      <c r="BI292"/>
      <c r="BJ292"/>
      <c r="BK292"/>
      <c r="BL292"/>
      <c r="BM292"/>
      <c r="BN292"/>
      <c r="BO292"/>
      <c r="BP292" t="s">
        <v>2866</v>
      </c>
      <c r="BQ292" t="s">
        <v>2865</v>
      </c>
      <c r="BR292" t="s">
        <v>2864</v>
      </c>
      <c r="BS292" t="s">
        <v>2863</v>
      </c>
      <c r="BT292" t="s">
        <v>2862</v>
      </c>
      <c r="BU292" t="s">
        <v>2861</v>
      </c>
      <c r="BV292"/>
      <c r="BW292"/>
      <c r="BX292"/>
      <c r="BY292"/>
      <c r="BZ292"/>
      <c r="CA292"/>
      <c r="CB292"/>
      <c r="CC292"/>
      <c r="CD292"/>
      <c r="CE292"/>
      <c r="CF292"/>
      <c r="CG292"/>
      <c r="CH292"/>
      <c r="CI292"/>
      <c r="CJ292"/>
      <c r="CK292"/>
      <c r="CL292"/>
      <c r="CM292"/>
      <c r="CN292"/>
      <c r="CO292"/>
      <c r="CP292"/>
      <c r="CQ292"/>
      <c r="CR292"/>
      <c r="CS292"/>
      <c r="CT292"/>
      <c r="CU292"/>
      <c r="CV292"/>
      <c r="CW292"/>
      <c r="CX292" t="s">
        <v>2307</v>
      </c>
      <c r="CY292">
        <v>80</v>
      </c>
      <c r="CZ292" t="s">
        <v>2306</v>
      </c>
    </row>
    <row r="293" spans="1:104" ht="14.25">
      <c r="A293" t="s">
        <v>2860</v>
      </c>
      <c r="B293" t="s">
        <v>2860</v>
      </c>
      <c r="C293" t="s">
        <v>2859</v>
      </c>
      <c r="D293">
        <v>5</v>
      </c>
      <c r="E293" t="s">
        <v>2321</v>
      </c>
      <c r="F293" t="s">
        <v>2342</v>
      </c>
      <c r="G293" t="s">
        <v>2858</v>
      </c>
      <c r="H293"/>
      <c r="I293"/>
      <c r="J293" t="s">
        <v>2340</v>
      </c>
      <c r="K293"/>
      <c r="L293"/>
      <c r="M293">
        <v>15</v>
      </c>
      <c r="N293">
        <v>84</v>
      </c>
      <c r="O293">
        <v>8</v>
      </c>
      <c r="P293">
        <v>10</v>
      </c>
      <c r="Q293">
        <v>40</v>
      </c>
      <c r="R293" t="s">
        <v>2317</v>
      </c>
      <c r="S293" t="s">
        <v>2857</v>
      </c>
      <c r="T293" t="s">
        <v>2338</v>
      </c>
      <c r="U293" t="s">
        <v>2315</v>
      </c>
      <c r="V293">
        <v>30</v>
      </c>
      <c r="W293"/>
      <c r="X293"/>
      <c r="Y293"/>
      <c r="Z293"/>
      <c r="AA293">
        <v>18</v>
      </c>
      <c r="AB293">
        <v>13</v>
      </c>
      <c r="AC293">
        <v>20</v>
      </c>
      <c r="AD293">
        <v>7</v>
      </c>
      <c r="AE293">
        <v>9</v>
      </c>
      <c r="AF293">
        <v>7</v>
      </c>
      <c r="AG293">
        <v>291</v>
      </c>
      <c r="AH293"/>
      <c r="AI293"/>
      <c r="AJ293"/>
      <c r="AK293"/>
      <c r="AL293"/>
      <c r="AM293"/>
      <c r="AN293">
        <v>47</v>
      </c>
      <c r="AO293">
        <v>354</v>
      </c>
      <c r="AP293">
        <v>19</v>
      </c>
      <c r="AQ293">
        <v>23</v>
      </c>
      <c r="AR293"/>
      <c r="AS293" t="s">
        <v>2856</v>
      </c>
      <c r="AT293"/>
      <c r="AU293"/>
      <c r="AV293"/>
      <c r="AW293"/>
      <c r="AX293"/>
      <c r="AY293" t="s">
        <v>2434</v>
      </c>
      <c r="AZ293" t="s">
        <v>2855</v>
      </c>
      <c r="BA293" t="s">
        <v>2434</v>
      </c>
      <c r="BB293" t="s">
        <v>2770</v>
      </c>
      <c r="BC293" t="s">
        <v>2854</v>
      </c>
      <c r="BD293" t="s">
        <v>2770</v>
      </c>
      <c r="BE293" t="s">
        <v>2852</v>
      </c>
      <c r="BF293" t="s">
        <v>2853</v>
      </c>
      <c r="BG293" t="s">
        <v>2852</v>
      </c>
      <c r="BH293"/>
      <c r="BI293"/>
      <c r="BJ293"/>
      <c r="BK293"/>
      <c r="BL293"/>
      <c r="BM293"/>
      <c r="BN293"/>
      <c r="BO293"/>
      <c r="BP293" t="s">
        <v>2333</v>
      </c>
      <c r="BQ293" t="s">
        <v>2851</v>
      </c>
      <c r="BR293" t="s">
        <v>2333</v>
      </c>
      <c r="BS293" t="s">
        <v>2332</v>
      </c>
      <c r="BT293" t="s">
        <v>2850</v>
      </c>
      <c r="BU293" t="s">
        <v>2849</v>
      </c>
      <c r="BV293" t="s">
        <v>2329</v>
      </c>
      <c r="BW293" t="s">
        <v>2328</v>
      </c>
      <c r="BX293" t="s">
        <v>2327</v>
      </c>
      <c r="BY293"/>
      <c r="BZ293"/>
      <c r="CA293"/>
      <c r="CB293"/>
      <c r="CC293"/>
      <c r="CD293"/>
      <c r="CE293"/>
      <c r="CF293"/>
      <c r="CG293"/>
      <c r="CH293"/>
      <c r="CI293"/>
      <c r="CJ293"/>
      <c r="CK293"/>
      <c r="CL293"/>
      <c r="CM293"/>
      <c r="CN293"/>
      <c r="CO293"/>
      <c r="CP293"/>
      <c r="CQ293"/>
      <c r="CR293"/>
      <c r="CS293"/>
      <c r="CT293"/>
      <c r="CU293"/>
      <c r="CV293"/>
      <c r="CW293"/>
      <c r="CX293" t="s">
        <v>2307</v>
      </c>
      <c r="CY293">
        <v>291</v>
      </c>
      <c r="CZ293" t="s">
        <v>2306</v>
      </c>
    </row>
    <row r="294" spans="1:104" ht="14.25">
      <c r="A294" t="s">
        <v>2848</v>
      </c>
      <c r="B294" t="s">
        <v>2847</v>
      </c>
      <c r="C294" t="s">
        <v>2846</v>
      </c>
      <c r="D294">
        <v>0.125</v>
      </c>
      <c r="E294" t="s">
        <v>2321</v>
      </c>
      <c r="F294" t="s">
        <v>2497</v>
      </c>
      <c r="G294" t="s">
        <v>2743</v>
      </c>
      <c r="H294"/>
      <c r="I294"/>
      <c r="J294" t="s">
        <v>2318</v>
      </c>
      <c r="K294"/>
      <c r="L294"/>
      <c r="M294">
        <v>13</v>
      </c>
      <c r="N294">
        <v>4</v>
      </c>
      <c r="O294">
        <v>1</v>
      </c>
      <c r="P294">
        <v>6</v>
      </c>
      <c r="Q294">
        <v>1</v>
      </c>
      <c r="R294" t="s">
        <v>2317</v>
      </c>
      <c r="S294" t="s">
        <v>2845</v>
      </c>
      <c r="T294" t="s">
        <v>2315</v>
      </c>
      <c r="U294" t="s">
        <v>2315</v>
      </c>
      <c r="V294">
        <v>20</v>
      </c>
      <c r="W294"/>
      <c r="X294"/>
      <c r="Y294"/>
      <c r="Z294"/>
      <c r="AA294">
        <v>6</v>
      </c>
      <c r="AB294">
        <v>13</v>
      </c>
      <c r="AC294">
        <v>12</v>
      </c>
      <c r="AD294">
        <v>4</v>
      </c>
      <c r="AE294">
        <v>8</v>
      </c>
      <c r="AF294">
        <v>3</v>
      </c>
      <c r="AG294">
        <v>32</v>
      </c>
      <c r="AH294"/>
      <c r="AI294"/>
      <c r="AJ294">
        <v>63</v>
      </c>
      <c r="AK294"/>
      <c r="AL294"/>
      <c r="AM294"/>
      <c r="AN294">
        <v>47</v>
      </c>
      <c r="AO294"/>
      <c r="AP294"/>
      <c r="AQ294"/>
      <c r="AR294"/>
      <c r="AS294"/>
      <c r="AT294"/>
      <c r="AU294"/>
      <c r="AV294"/>
      <c r="AW294"/>
      <c r="AX294"/>
      <c r="AY294" t="s">
        <v>2739</v>
      </c>
      <c r="AZ294" t="s">
        <v>2844</v>
      </c>
      <c r="BA294" t="s">
        <v>2739</v>
      </c>
      <c r="BB294"/>
      <c r="BC294"/>
      <c r="BD294"/>
      <c r="BE294"/>
      <c r="BF294"/>
      <c r="BG294"/>
      <c r="BH294"/>
      <c r="BI294"/>
      <c r="BJ294"/>
      <c r="BK294"/>
      <c r="BL294"/>
      <c r="BM294"/>
      <c r="BN294"/>
      <c r="BO294"/>
      <c r="BP294" t="s">
        <v>2505</v>
      </c>
      <c r="BQ294" t="s">
        <v>2843</v>
      </c>
      <c r="BR294" t="s">
        <v>2842</v>
      </c>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t="s">
        <v>2307</v>
      </c>
      <c r="CY294">
        <v>32</v>
      </c>
      <c r="CZ294" t="s">
        <v>2306</v>
      </c>
    </row>
    <row r="295" spans="1:104" ht="14.25">
      <c r="A295" t="s">
        <v>2841</v>
      </c>
      <c r="B295" t="s">
        <v>2840</v>
      </c>
      <c r="C295" t="s">
        <v>2839</v>
      </c>
      <c r="D295">
        <v>8</v>
      </c>
      <c r="E295" t="s">
        <v>2321</v>
      </c>
      <c r="F295" t="s">
        <v>2838</v>
      </c>
      <c r="G295" t="s">
        <v>2543</v>
      </c>
      <c r="H295" t="s">
        <v>2837</v>
      </c>
      <c r="I295"/>
      <c r="J295" t="s">
        <v>1908</v>
      </c>
      <c r="K295"/>
      <c r="L295"/>
      <c r="M295">
        <v>13</v>
      </c>
      <c r="N295">
        <v>136</v>
      </c>
      <c r="O295">
        <v>13</v>
      </c>
      <c r="P295">
        <v>12</v>
      </c>
      <c r="Q295">
        <v>52</v>
      </c>
      <c r="R295" t="s">
        <v>2317</v>
      </c>
      <c r="S295" t="s">
        <v>2836</v>
      </c>
      <c r="T295" t="s">
        <v>2835</v>
      </c>
      <c r="U295" t="s">
        <v>2315</v>
      </c>
      <c r="V295">
        <v>50</v>
      </c>
      <c r="W295"/>
      <c r="X295"/>
      <c r="Y295"/>
      <c r="Z295"/>
      <c r="AA295">
        <v>25</v>
      </c>
      <c r="AB295">
        <v>10</v>
      </c>
      <c r="AC295">
        <v>19</v>
      </c>
      <c r="AD295">
        <v>2</v>
      </c>
      <c r="AE295">
        <v>12</v>
      </c>
      <c r="AF295">
        <v>9</v>
      </c>
      <c r="AG295">
        <v>80</v>
      </c>
      <c r="AH295"/>
      <c r="AI295"/>
      <c r="AJ295"/>
      <c r="AK295"/>
      <c r="AL295"/>
      <c r="AM295"/>
      <c r="AN295">
        <v>48</v>
      </c>
      <c r="AO295">
        <v>282</v>
      </c>
      <c r="AP295"/>
      <c r="AQ295"/>
      <c r="AR295"/>
      <c r="AS295"/>
      <c r="AT295"/>
      <c r="AU295"/>
      <c r="AV295"/>
      <c r="AW295"/>
      <c r="AX295"/>
      <c r="AY295"/>
      <c r="AZ295"/>
      <c r="BA295"/>
      <c r="BB295"/>
      <c r="BC295"/>
      <c r="BD295"/>
      <c r="BE295"/>
      <c r="BF295"/>
      <c r="BG295"/>
      <c r="BH295"/>
      <c r="BI295"/>
      <c r="BJ295"/>
      <c r="BK295"/>
      <c r="BL295"/>
      <c r="BM295"/>
      <c r="BN295"/>
      <c r="BO295"/>
      <c r="BP295" t="s">
        <v>2333</v>
      </c>
      <c r="BQ295" t="s">
        <v>2834</v>
      </c>
      <c r="BR295" t="s">
        <v>2333</v>
      </c>
      <c r="BS295" t="s">
        <v>2332</v>
      </c>
      <c r="BT295" t="s">
        <v>2833</v>
      </c>
      <c r="BU295" t="s">
        <v>2832</v>
      </c>
      <c r="BV295" t="s">
        <v>2831</v>
      </c>
      <c r="BW295" t="s">
        <v>2830</v>
      </c>
      <c r="BX295" t="s">
        <v>2829</v>
      </c>
      <c r="BY295"/>
      <c r="BZ295"/>
      <c r="CA295"/>
      <c r="CB295"/>
      <c r="CC295"/>
      <c r="CD295"/>
      <c r="CE295"/>
      <c r="CF295"/>
      <c r="CG295"/>
      <c r="CH295"/>
      <c r="CI295"/>
      <c r="CJ295"/>
      <c r="CK295"/>
      <c r="CL295"/>
      <c r="CM295"/>
      <c r="CN295"/>
      <c r="CO295"/>
      <c r="CP295"/>
      <c r="CQ295"/>
      <c r="CR295"/>
      <c r="CS295"/>
      <c r="CT295"/>
      <c r="CU295"/>
      <c r="CV295"/>
      <c r="CW295"/>
      <c r="CX295" t="s">
        <v>2307</v>
      </c>
      <c r="CY295">
        <v>80</v>
      </c>
      <c r="CZ295" t="s">
        <v>2306</v>
      </c>
    </row>
    <row r="296" spans="1:104" ht="14.25">
      <c r="A296" t="s">
        <v>2828</v>
      </c>
      <c r="B296" t="s">
        <v>2828</v>
      </c>
      <c r="C296" t="s">
        <v>2827</v>
      </c>
      <c r="D296">
        <v>5</v>
      </c>
      <c r="E296" t="s">
        <v>2321</v>
      </c>
      <c r="F296" t="s">
        <v>2342</v>
      </c>
      <c r="G296" t="s">
        <v>2826</v>
      </c>
      <c r="H296"/>
      <c r="I296"/>
      <c r="J296" t="s">
        <v>2355</v>
      </c>
      <c r="K296"/>
      <c r="L296"/>
      <c r="M296">
        <v>12</v>
      </c>
      <c r="N296">
        <v>67</v>
      </c>
      <c r="O296">
        <v>9</v>
      </c>
      <c r="P296">
        <v>10</v>
      </c>
      <c r="Q296">
        <v>18</v>
      </c>
      <c r="R296" t="s">
        <v>2825</v>
      </c>
      <c r="S296" t="s">
        <v>2338</v>
      </c>
      <c r="T296" t="s">
        <v>2337</v>
      </c>
      <c r="U296" t="s">
        <v>2315</v>
      </c>
      <c r="V296">
        <v>50</v>
      </c>
      <c r="W296"/>
      <c r="X296"/>
      <c r="Y296"/>
      <c r="Z296"/>
      <c r="AA296">
        <v>18</v>
      </c>
      <c r="AB296">
        <v>14</v>
      </c>
      <c r="AC296">
        <v>15</v>
      </c>
      <c r="AD296">
        <v>11</v>
      </c>
      <c r="AE296">
        <v>17</v>
      </c>
      <c r="AF296">
        <v>16</v>
      </c>
      <c r="AG296">
        <v>294</v>
      </c>
      <c r="AH296"/>
      <c r="AI296"/>
      <c r="AJ296"/>
      <c r="AK296"/>
      <c r="AL296"/>
      <c r="AM296"/>
      <c r="AN296"/>
      <c r="AO296">
        <v>354</v>
      </c>
      <c r="AP296"/>
      <c r="AQ296"/>
      <c r="AR296"/>
      <c r="AS296"/>
      <c r="AT296"/>
      <c r="AU296"/>
      <c r="AV296"/>
      <c r="AW296"/>
      <c r="AX296"/>
      <c r="AY296" t="s">
        <v>2824</v>
      </c>
      <c r="AZ296" t="s">
        <v>2823</v>
      </c>
      <c r="BA296" t="s">
        <v>2822</v>
      </c>
      <c r="BB296" t="s">
        <v>2488</v>
      </c>
      <c r="BC296" t="s">
        <v>2821</v>
      </c>
      <c r="BD296" t="s">
        <v>2488</v>
      </c>
      <c r="BE296" t="s">
        <v>2726</v>
      </c>
      <c r="BF296" t="s">
        <v>2820</v>
      </c>
      <c r="BG296" t="s">
        <v>2726</v>
      </c>
      <c r="BH296" t="s">
        <v>2819</v>
      </c>
      <c r="BI296" t="s">
        <v>2818</v>
      </c>
      <c r="BJ296"/>
      <c r="BK296"/>
      <c r="BL296"/>
      <c r="BM296"/>
      <c r="BN296"/>
      <c r="BO296"/>
      <c r="BP296" t="s">
        <v>2333</v>
      </c>
      <c r="BQ296" t="s">
        <v>2817</v>
      </c>
      <c r="BR296" t="s">
        <v>2333</v>
      </c>
      <c r="BS296" t="s">
        <v>2697</v>
      </c>
      <c r="BT296" t="s">
        <v>2816</v>
      </c>
      <c r="BU296" t="s">
        <v>2815</v>
      </c>
      <c r="BV296" t="s">
        <v>2814</v>
      </c>
      <c r="BW296" t="s">
        <v>2813</v>
      </c>
      <c r="BX296" t="s">
        <v>2812</v>
      </c>
      <c r="BY296" t="s">
        <v>2810</v>
      </c>
      <c r="BZ296" t="s">
        <v>2811</v>
      </c>
      <c r="CA296" t="s">
        <v>2810</v>
      </c>
      <c r="CB296" t="s">
        <v>2808</v>
      </c>
      <c r="CC296" t="s">
        <v>2809</v>
      </c>
      <c r="CD296" t="s">
        <v>2808</v>
      </c>
      <c r="CE296"/>
      <c r="CF296"/>
      <c r="CG296"/>
      <c r="CH296"/>
      <c r="CI296"/>
      <c r="CJ296"/>
      <c r="CK296" t="s">
        <v>2697</v>
      </c>
      <c r="CL296" t="s">
        <v>2807</v>
      </c>
      <c r="CM296" t="s">
        <v>2806</v>
      </c>
      <c r="CN296" t="s">
        <v>2805</v>
      </c>
      <c r="CO296" t="s">
        <v>2804</v>
      </c>
      <c r="CP296" t="s">
        <v>2803</v>
      </c>
      <c r="CQ296"/>
      <c r="CR296"/>
      <c r="CS296"/>
      <c r="CT296"/>
      <c r="CU296"/>
      <c r="CV296"/>
      <c r="CW296"/>
      <c r="CX296" t="s">
        <v>2307</v>
      </c>
      <c r="CY296">
        <v>294</v>
      </c>
      <c r="CZ296" t="s">
        <v>2306</v>
      </c>
    </row>
    <row r="297" spans="1:104" ht="14.25">
      <c r="A297" t="s">
        <v>2773</v>
      </c>
      <c r="B297" t="s">
        <v>2773</v>
      </c>
      <c r="C297" t="s">
        <v>2802</v>
      </c>
      <c r="D297">
        <v>13</v>
      </c>
      <c r="E297" t="s">
        <v>2321</v>
      </c>
      <c r="F297" t="s">
        <v>2320</v>
      </c>
      <c r="G297" t="s">
        <v>2319</v>
      </c>
      <c r="H297" t="s">
        <v>2773</v>
      </c>
      <c r="I297">
        <v>1</v>
      </c>
      <c r="J297" t="s">
        <v>2375</v>
      </c>
      <c r="K297"/>
      <c r="L297"/>
      <c r="M297">
        <v>16</v>
      </c>
      <c r="N297">
        <v>144</v>
      </c>
      <c r="O297">
        <v>17</v>
      </c>
      <c r="P297">
        <v>8</v>
      </c>
      <c r="Q297">
        <v>68</v>
      </c>
      <c r="R297" t="s">
        <v>2317</v>
      </c>
      <c r="S297" t="s">
        <v>2801</v>
      </c>
      <c r="T297" t="s">
        <v>2315</v>
      </c>
      <c r="U297" t="s">
        <v>2315</v>
      </c>
      <c r="V297">
        <v>30</v>
      </c>
      <c r="W297"/>
      <c r="X297"/>
      <c r="Y297"/>
      <c r="Z297"/>
      <c r="AA297">
        <v>18</v>
      </c>
      <c r="AB297">
        <v>18</v>
      </c>
      <c r="AC297">
        <v>18</v>
      </c>
      <c r="AD297">
        <v>17</v>
      </c>
      <c r="AE297">
        <v>15</v>
      </c>
      <c r="AF297">
        <v>18</v>
      </c>
      <c r="AG297">
        <v>297</v>
      </c>
      <c r="AH297"/>
      <c r="AI297"/>
      <c r="AJ297"/>
      <c r="AK297"/>
      <c r="AL297"/>
      <c r="AM297"/>
      <c r="AN297"/>
      <c r="AO297">
        <v>355</v>
      </c>
      <c r="AP297">
        <v>20</v>
      </c>
      <c r="AQ297">
        <v>24</v>
      </c>
      <c r="AR297"/>
      <c r="AS297"/>
      <c r="AT297"/>
      <c r="AU297"/>
      <c r="AV297"/>
      <c r="AW297"/>
      <c r="AX297"/>
      <c r="AY297" t="s">
        <v>2608</v>
      </c>
      <c r="AZ297" t="s">
        <v>2800</v>
      </c>
      <c r="BA297" t="s">
        <v>2608</v>
      </c>
      <c r="BB297" t="s">
        <v>2798</v>
      </c>
      <c r="BC297" t="s">
        <v>2799</v>
      </c>
      <c r="BD297" t="s">
        <v>2798</v>
      </c>
      <c r="BE297" t="s">
        <v>2796</v>
      </c>
      <c r="BF297" t="s">
        <v>2797</v>
      </c>
      <c r="BG297" t="s">
        <v>2796</v>
      </c>
      <c r="BH297" t="s">
        <v>2770</v>
      </c>
      <c r="BI297" t="s">
        <v>2795</v>
      </c>
      <c r="BJ297" t="s">
        <v>2768</v>
      </c>
      <c r="BK297" t="s">
        <v>2769</v>
      </c>
      <c r="BL297" t="s">
        <v>2766</v>
      </c>
      <c r="BM297" t="s">
        <v>2794</v>
      </c>
      <c r="BN297"/>
      <c r="BO297"/>
      <c r="BP297" t="s">
        <v>2793</v>
      </c>
      <c r="BQ297" t="s">
        <v>2765</v>
      </c>
      <c r="BR297" t="s">
        <v>2793</v>
      </c>
      <c r="BS297" t="s">
        <v>2792</v>
      </c>
      <c r="BT297" t="s">
        <v>2791</v>
      </c>
      <c r="BU297" t="s">
        <v>2790</v>
      </c>
      <c r="BV297" t="s">
        <v>2789</v>
      </c>
      <c r="BW297" t="s">
        <v>2788</v>
      </c>
      <c r="BX297" t="s">
        <v>2787</v>
      </c>
      <c r="BY297" t="s">
        <v>2785</v>
      </c>
      <c r="BZ297" t="s">
        <v>2786</v>
      </c>
      <c r="CA297" t="s">
        <v>2785</v>
      </c>
      <c r="CB297" t="s">
        <v>2783</v>
      </c>
      <c r="CC297" t="s">
        <v>2784</v>
      </c>
      <c r="CD297" t="s">
        <v>2783</v>
      </c>
      <c r="CE297"/>
      <c r="CF297"/>
      <c r="CG297"/>
      <c r="CH297"/>
      <c r="CI297"/>
      <c r="CJ297"/>
      <c r="CK297" t="s">
        <v>2782</v>
      </c>
      <c r="CL297" t="s">
        <v>2781</v>
      </c>
      <c r="CM297" t="s">
        <v>2780</v>
      </c>
      <c r="CN297" t="s">
        <v>2779</v>
      </c>
      <c r="CO297" t="s">
        <v>2778</v>
      </c>
      <c r="CP297" t="s">
        <v>2777</v>
      </c>
      <c r="CQ297"/>
      <c r="CR297"/>
      <c r="CS297"/>
      <c r="CT297"/>
      <c r="CU297"/>
      <c r="CV297"/>
      <c r="CW297"/>
      <c r="CX297" t="s">
        <v>2307</v>
      </c>
      <c r="CY297">
        <v>297</v>
      </c>
      <c r="CZ297" t="s">
        <v>2306</v>
      </c>
    </row>
    <row r="298" spans="1:104" ht="14.25">
      <c r="A298" t="s">
        <v>2776</v>
      </c>
      <c r="B298" t="s">
        <v>2775</v>
      </c>
      <c r="C298" t="s">
        <v>2774</v>
      </c>
      <c r="D298">
        <v>5</v>
      </c>
      <c r="E298" t="s">
        <v>2321</v>
      </c>
      <c r="F298" t="s">
        <v>2320</v>
      </c>
      <c r="G298" t="s">
        <v>2319</v>
      </c>
      <c r="H298" t="s">
        <v>2773</v>
      </c>
      <c r="I298"/>
      <c r="J298" t="s">
        <v>2318</v>
      </c>
      <c r="K298"/>
      <c r="L298"/>
      <c r="M298">
        <v>15</v>
      </c>
      <c r="N298">
        <v>82</v>
      </c>
      <c r="O298">
        <v>11</v>
      </c>
      <c r="P298">
        <v>8</v>
      </c>
      <c r="Q298">
        <v>33</v>
      </c>
      <c r="R298" t="s">
        <v>2317</v>
      </c>
      <c r="S298" t="s">
        <v>2772</v>
      </c>
      <c r="T298" t="s">
        <v>2477</v>
      </c>
      <c r="U298" t="s">
        <v>2315</v>
      </c>
      <c r="V298">
        <v>30</v>
      </c>
      <c r="W298"/>
      <c r="X298"/>
      <c r="Y298"/>
      <c r="Z298"/>
      <c r="AA298">
        <v>16</v>
      </c>
      <c r="AB298">
        <v>16</v>
      </c>
      <c r="AC298">
        <v>16</v>
      </c>
      <c r="AD298">
        <v>11</v>
      </c>
      <c r="AE298">
        <v>10</v>
      </c>
      <c r="AF298">
        <v>12</v>
      </c>
      <c r="AG298">
        <v>298</v>
      </c>
      <c r="AH298"/>
      <c r="AI298"/>
      <c r="AJ298"/>
      <c r="AK298"/>
      <c r="AL298"/>
      <c r="AM298"/>
      <c r="AN298"/>
      <c r="AO298">
        <v>357</v>
      </c>
      <c r="AP298">
        <v>21</v>
      </c>
      <c r="AQ298">
        <v>23</v>
      </c>
      <c r="AR298"/>
      <c r="AS298"/>
      <c r="AT298">
        <v>35</v>
      </c>
      <c r="AU298"/>
      <c r="AV298"/>
      <c r="AW298"/>
      <c r="AX298"/>
      <c r="AY298" t="s">
        <v>2770</v>
      </c>
      <c r="AZ298" t="s">
        <v>2771</v>
      </c>
      <c r="BA298" t="s">
        <v>2770</v>
      </c>
      <c r="BB298" t="s">
        <v>2768</v>
      </c>
      <c r="BC298" t="s">
        <v>2769</v>
      </c>
      <c r="BD298" t="s">
        <v>2768</v>
      </c>
      <c r="BE298" t="s">
        <v>2766</v>
      </c>
      <c r="BF298" t="s">
        <v>2767</v>
      </c>
      <c r="BG298" t="s">
        <v>2766</v>
      </c>
      <c r="BH298"/>
      <c r="BI298"/>
      <c r="BJ298"/>
      <c r="BK298"/>
      <c r="BL298"/>
      <c r="BM298"/>
      <c r="BN298"/>
      <c r="BO298"/>
      <c r="BP298" t="s">
        <v>2333</v>
      </c>
      <c r="BQ298" t="s">
        <v>2765</v>
      </c>
      <c r="BR298" t="s">
        <v>2333</v>
      </c>
      <c r="BS298" t="s">
        <v>2332</v>
      </c>
      <c r="BT298" t="s">
        <v>2764</v>
      </c>
      <c r="BU298" t="s">
        <v>2763</v>
      </c>
      <c r="BV298" t="s">
        <v>2505</v>
      </c>
      <c r="BW298" t="s">
        <v>2762</v>
      </c>
      <c r="BX298" t="s">
        <v>2761</v>
      </c>
      <c r="BY298"/>
      <c r="BZ298"/>
      <c r="CA298"/>
      <c r="CB298"/>
      <c r="CC298"/>
      <c r="CD298"/>
      <c r="CE298"/>
      <c r="CF298"/>
      <c r="CG298"/>
      <c r="CH298"/>
      <c r="CI298"/>
      <c r="CJ298"/>
      <c r="CK298"/>
      <c r="CL298"/>
      <c r="CM298"/>
      <c r="CN298"/>
      <c r="CO298"/>
      <c r="CP298"/>
      <c r="CQ298"/>
      <c r="CR298"/>
      <c r="CS298"/>
      <c r="CT298"/>
      <c r="CU298"/>
      <c r="CV298"/>
      <c r="CW298"/>
      <c r="CX298" t="s">
        <v>2307</v>
      </c>
      <c r="CY298">
        <v>298</v>
      </c>
      <c r="CZ298" t="s">
        <v>2306</v>
      </c>
    </row>
    <row r="299" spans="1:104" ht="14.25">
      <c r="A299" t="s">
        <v>2760</v>
      </c>
      <c r="B299" t="s">
        <v>2760</v>
      </c>
      <c r="C299" t="s">
        <v>2759</v>
      </c>
      <c r="D299">
        <v>3</v>
      </c>
      <c r="E299" t="s">
        <v>2462</v>
      </c>
      <c r="F299" t="s">
        <v>2320</v>
      </c>
      <c r="G299" t="s">
        <v>2461</v>
      </c>
      <c r="H299" t="s">
        <v>2460</v>
      </c>
      <c r="I299"/>
      <c r="J299" t="s">
        <v>2460</v>
      </c>
      <c r="K299"/>
      <c r="L299"/>
      <c r="M299">
        <v>17</v>
      </c>
      <c r="N299">
        <v>58</v>
      </c>
      <c r="O299">
        <v>9</v>
      </c>
      <c r="P299">
        <v>8</v>
      </c>
      <c r="Q299">
        <v>18</v>
      </c>
      <c r="R299" t="s">
        <v>2317</v>
      </c>
      <c r="S299" t="s">
        <v>2631</v>
      </c>
      <c r="T299" t="s">
        <v>2758</v>
      </c>
      <c r="U299" t="s">
        <v>2315</v>
      </c>
      <c r="V299">
        <v>30</v>
      </c>
      <c r="W299"/>
      <c r="X299"/>
      <c r="Y299"/>
      <c r="Z299"/>
      <c r="AA299">
        <v>16</v>
      </c>
      <c r="AB299">
        <v>13</v>
      </c>
      <c r="AC299">
        <v>14</v>
      </c>
      <c r="AD299">
        <v>10</v>
      </c>
      <c r="AE299">
        <v>11</v>
      </c>
      <c r="AF299">
        <v>10</v>
      </c>
      <c r="AG299">
        <v>350</v>
      </c>
      <c r="AH299"/>
      <c r="AI299"/>
      <c r="AJ299"/>
      <c r="AK299"/>
      <c r="AL299"/>
      <c r="AM299"/>
      <c r="AN299"/>
      <c r="AO299">
        <v>398</v>
      </c>
      <c r="AP299">
        <v>21</v>
      </c>
      <c r="AQ299"/>
      <c r="AR299"/>
      <c r="AS299" t="s">
        <v>2757</v>
      </c>
      <c r="AT299">
        <v>35</v>
      </c>
      <c r="AU299"/>
      <c r="AV299" t="s">
        <v>2756</v>
      </c>
      <c r="AW299"/>
      <c r="AX299" t="s">
        <v>2755</v>
      </c>
      <c r="AY299"/>
      <c r="AZ299"/>
      <c r="BA299"/>
      <c r="BB299"/>
      <c r="BC299"/>
      <c r="BD299"/>
      <c r="BE299"/>
      <c r="BF299"/>
      <c r="BG299"/>
      <c r="BH299"/>
      <c r="BI299"/>
      <c r="BJ299"/>
      <c r="BK299"/>
      <c r="BL299"/>
      <c r="BM299"/>
      <c r="BN299"/>
      <c r="BO299"/>
      <c r="BP299" t="s">
        <v>2333</v>
      </c>
      <c r="BQ299" t="s">
        <v>2754</v>
      </c>
      <c r="BR299" t="s">
        <v>2333</v>
      </c>
      <c r="BS299" t="s">
        <v>2580</v>
      </c>
      <c r="BT299" t="s">
        <v>2753</v>
      </c>
      <c r="BU299" t="s">
        <v>2752</v>
      </c>
      <c r="BV299" t="s">
        <v>2751</v>
      </c>
      <c r="BW299" t="s">
        <v>2750</v>
      </c>
      <c r="BX299" t="s">
        <v>2749</v>
      </c>
      <c r="BY299" t="s">
        <v>2447</v>
      </c>
      <c r="BZ299" t="s">
        <v>2748</v>
      </c>
      <c r="CA299" t="s">
        <v>2747</v>
      </c>
      <c r="CB299"/>
      <c r="CC299"/>
      <c r="CD299"/>
      <c r="CE299"/>
      <c r="CF299"/>
      <c r="CG299"/>
      <c r="CH299"/>
      <c r="CI299"/>
      <c r="CJ299"/>
      <c r="CK299"/>
      <c r="CL299"/>
      <c r="CM299"/>
      <c r="CN299"/>
      <c r="CO299"/>
      <c r="CP299"/>
      <c r="CQ299"/>
      <c r="CR299"/>
      <c r="CS299"/>
      <c r="CT299"/>
      <c r="CU299"/>
      <c r="CV299"/>
      <c r="CW299"/>
      <c r="CX299" t="s">
        <v>2307</v>
      </c>
      <c r="CY299">
        <v>350</v>
      </c>
      <c r="CZ299" t="s">
        <v>2306</v>
      </c>
    </row>
    <row r="300" spans="1:104" ht="14.25">
      <c r="A300" t="s">
        <v>2746</v>
      </c>
      <c r="B300" t="s">
        <v>2745</v>
      </c>
      <c r="C300" t="s">
        <v>2744</v>
      </c>
      <c r="D300">
        <v>0.25</v>
      </c>
      <c r="E300" t="s">
        <v>2321</v>
      </c>
      <c r="F300" t="s">
        <v>2320</v>
      </c>
      <c r="G300" t="s">
        <v>2743</v>
      </c>
      <c r="H300"/>
      <c r="I300"/>
      <c r="J300" t="s">
        <v>1908</v>
      </c>
      <c r="K300"/>
      <c r="L300"/>
      <c r="M300">
        <v>5</v>
      </c>
      <c r="N300">
        <v>18</v>
      </c>
      <c r="O300">
        <v>4</v>
      </c>
      <c r="P300">
        <v>8</v>
      </c>
      <c r="Q300"/>
      <c r="R300" t="s">
        <v>2317</v>
      </c>
      <c r="S300" t="s">
        <v>2742</v>
      </c>
      <c r="T300" t="s">
        <v>2315</v>
      </c>
      <c r="U300" t="s">
        <v>2315</v>
      </c>
      <c r="V300">
        <v>5</v>
      </c>
      <c r="W300"/>
      <c r="X300"/>
      <c r="Y300"/>
      <c r="Z300"/>
      <c r="AA300">
        <v>3</v>
      </c>
      <c r="AB300">
        <v>1</v>
      </c>
      <c r="AC300">
        <v>10</v>
      </c>
      <c r="AD300">
        <v>1</v>
      </c>
      <c r="AE300">
        <v>3</v>
      </c>
      <c r="AF300">
        <v>1</v>
      </c>
      <c r="AG300">
        <v>138</v>
      </c>
      <c r="AH300"/>
      <c r="AI300"/>
      <c r="AJ300"/>
      <c r="AK300"/>
      <c r="AL300"/>
      <c r="AM300"/>
      <c r="AN300"/>
      <c r="AO300">
        <v>312</v>
      </c>
      <c r="AP300">
        <v>21</v>
      </c>
      <c r="AQ300"/>
      <c r="AR300"/>
      <c r="AS300"/>
      <c r="AT300">
        <v>36</v>
      </c>
      <c r="AU300"/>
      <c r="AV300" t="s">
        <v>2741</v>
      </c>
      <c r="AW300"/>
      <c r="AX300"/>
      <c r="AY300" t="s">
        <v>2739</v>
      </c>
      <c r="AZ300" t="s">
        <v>2740</v>
      </c>
      <c r="BA300" t="s">
        <v>2739</v>
      </c>
      <c r="BB300"/>
      <c r="BC300"/>
      <c r="BD300"/>
      <c r="BE300"/>
      <c r="BF300"/>
      <c r="BG300"/>
      <c r="BH300"/>
      <c r="BI300"/>
      <c r="BJ300"/>
      <c r="BK300"/>
      <c r="BL300"/>
      <c r="BM300"/>
      <c r="BN300"/>
      <c r="BO300"/>
      <c r="BP300" t="s">
        <v>2333</v>
      </c>
      <c r="BQ300" t="s">
        <v>2738</v>
      </c>
      <c r="BR300" t="s">
        <v>2333</v>
      </c>
      <c r="BS300" t="s">
        <v>2737</v>
      </c>
      <c r="BT300" t="s">
        <v>2736</v>
      </c>
      <c r="BU300" t="s">
        <v>2735</v>
      </c>
      <c r="BV300"/>
      <c r="BW300"/>
      <c r="BX300"/>
      <c r="BY300"/>
      <c r="BZ300"/>
      <c r="CA300"/>
      <c r="CB300"/>
      <c r="CC300"/>
      <c r="CD300"/>
      <c r="CE300"/>
      <c r="CF300"/>
      <c r="CG300"/>
      <c r="CH300"/>
      <c r="CI300"/>
      <c r="CJ300"/>
      <c r="CK300"/>
      <c r="CL300"/>
      <c r="CM300"/>
      <c r="CN300"/>
      <c r="CO300"/>
      <c r="CP300"/>
      <c r="CQ300"/>
      <c r="CR300"/>
      <c r="CS300"/>
      <c r="CT300"/>
      <c r="CU300"/>
      <c r="CV300"/>
      <c r="CW300"/>
      <c r="CX300" t="s">
        <v>2307</v>
      </c>
      <c r="CY300">
        <v>138</v>
      </c>
      <c r="CZ300" t="s">
        <v>2306</v>
      </c>
    </row>
    <row r="301" spans="1:104" ht="14.25">
      <c r="A301" t="s">
        <v>2734</v>
      </c>
      <c r="B301" t="s">
        <v>2734</v>
      </c>
      <c r="C301" t="s">
        <v>2733</v>
      </c>
      <c r="D301">
        <v>6</v>
      </c>
      <c r="E301" t="s">
        <v>2321</v>
      </c>
      <c r="F301" t="s">
        <v>2342</v>
      </c>
      <c r="G301" t="s">
        <v>2732</v>
      </c>
      <c r="H301" t="s">
        <v>2731</v>
      </c>
      <c r="I301"/>
      <c r="J301" t="s">
        <v>2340</v>
      </c>
      <c r="K301"/>
      <c r="L301"/>
      <c r="M301">
        <v>15</v>
      </c>
      <c r="N301">
        <v>104</v>
      </c>
      <c r="O301">
        <v>11</v>
      </c>
      <c r="P301">
        <v>10</v>
      </c>
      <c r="Q301">
        <v>44</v>
      </c>
      <c r="R301" t="s">
        <v>2317</v>
      </c>
      <c r="S301" t="s">
        <v>2730</v>
      </c>
      <c r="T301" t="s">
        <v>2729</v>
      </c>
      <c r="U301" t="s">
        <v>2315</v>
      </c>
      <c r="V301">
        <v>40</v>
      </c>
      <c r="W301"/>
      <c r="X301"/>
      <c r="Y301">
        <v>60</v>
      </c>
      <c r="Z301"/>
      <c r="AA301">
        <v>17</v>
      </c>
      <c r="AB301">
        <v>15</v>
      </c>
      <c r="AC301">
        <v>18</v>
      </c>
      <c r="AD301">
        <v>8</v>
      </c>
      <c r="AE301">
        <v>13</v>
      </c>
      <c r="AF301">
        <v>8</v>
      </c>
      <c r="AG301">
        <v>64</v>
      </c>
      <c r="AH301"/>
      <c r="AI301"/>
      <c r="AJ301"/>
      <c r="AK301"/>
      <c r="AL301"/>
      <c r="AM301"/>
      <c r="AN301"/>
      <c r="AO301">
        <v>276</v>
      </c>
      <c r="AP301"/>
      <c r="AQ301"/>
      <c r="AR301"/>
      <c r="AS301"/>
      <c r="AT301">
        <v>36</v>
      </c>
      <c r="AU301"/>
      <c r="AV301"/>
      <c r="AW301"/>
      <c r="AX301" t="s">
        <v>2728</v>
      </c>
      <c r="AY301" t="s">
        <v>2726</v>
      </c>
      <c r="AZ301" t="s">
        <v>2727</v>
      </c>
      <c r="BA301" t="s">
        <v>2726</v>
      </c>
      <c r="BB301"/>
      <c r="BC301"/>
      <c r="BD301"/>
      <c r="BE301"/>
      <c r="BF301"/>
      <c r="BG301"/>
      <c r="BH301"/>
      <c r="BI301"/>
      <c r="BJ301"/>
      <c r="BK301"/>
      <c r="BL301"/>
      <c r="BM301"/>
      <c r="BN301"/>
      <c r="BO301"/>
      <c r="BP301" t="s">
        <v>2333</v>
      </c>
      <c r="BQ301" t="s">
        <v>2725</v>
      </c>
      <c r="BR301" t="s">
        <v>2333</v>
      </c>
      <c r="BS301" t="s">
        <v>2707</v>
      </c>
      <c r="BT301" t="s">
        <v>2724</v>
      </c>
      <c r="BU301" t="s">
        <v>2723</v>
      </c>
      <c r="BV301" t="s">
        <v>2722</v>
      </c>
      <c r="BW301" t="s">
        <v>2721</v>
      </c>
      <c r="BX301" t="s">
        <v>2720</v>
      </c>
      <c r="BY301" t="s">
        <v>2718</v>
      </c>
      <c r="BZ301" t="s">
        <v>2719</v>
      </c>
      <c r="CA301" t="s">
        <v>2718</v>
      </c>
      <c r="CB301" t="s">
        <v>2716</v>
      </c>
      <c r="CC301" t="s">
        <v>2717</v>
      </c>
      <c r="CD301" t="s">
        <v>2716</v>
      </c>
      <c r="CE301" t="s">
        <v>2714</v>
      </c>
      <c r="CF301" t="s">
        <v>2715</v>
      </c>
      <c r="CG301" t="s">
        <v>2714</v>
      </c>
      <c r="CH301"/>
      <c r="CI301"/>
      <c r="CJ301"/>
      <c r="CK301"/>
      <c r="CL301"/>
      <c r="CM301"/>
      <c r="CN301"/>
      <c r="CO301"/>
      <c r="CP301"/>
      <c r="CQ301"/>
      <c r="CR301"/>
      <c r="CS301"/>
      <c r="CT301"/>
      <c r="CU301"/>
      <c r="CV301"/>
      <c r="CW301"/>
      <c r="CX301" t="s">
        <v>2307</v>
      </c>
      <c r="CY301">
        <v>64</v>
      </c>
      <c r="CZ301" t="s">
        <v>2306</v>
      </c>
    </row>
    <row r="302" spans="1:104" ht="14.25">
      <c r="A302" t="s">
        <v>2713</v>
      </c>
      <c r="B302" t="s">
        <v>2713</v>
      </c>
      <c r="C302" t="s">
        <v>2712</v>
      </c>
      <c r="D302">
        <v>0</v>
      </c>
      <c r="E302" t="s">
        <v>2533</v>
      </c>
      <c r="F302" t="s">
        <v>2320</v>
      </c>
      <c r="G302" t="s">
        <v>2543</v>
      </c>
      <c r="H302"/>
      <c r="I302"/>
      <c r="J302" t="s">
        <v>1908</v>
      </c>
      <c r="K302"/>
      <c r="L302"/>
      <c r="M302">
        <v>10</v>
      </c>
      <c r="N302">
        <v>5</v>
      </c>
      <c r="O302">
        <v>1</v>
      </c>
      <c r="P302">
        <v>8</v>
      </c>
      <c r="Q302">
        <v>1</v>
      </c>
      <c r="R302" t="s">
        <v>2317</v>
      </c>
      <c r="S302" t="s">
        <v>2711</v>
      </c>
      <c r="T302" t="s">
        <v>2315</v>
      </c>
      <c r="U302" t="s">
        <v>2315</v>
      </c>
      <c r="V302">
        <v>10</v>
      </c>
      <c r="W302"/>
      <c r="X302"/>
      <c r="Y302">
        <v>50</v>
      </c>
      <c r="Z302"/>
      <c r="AA302">
        <v>7</v>
      </c>
      <c r="AB302">
        <v>10</v>
      </c>
      <c r="AC302">
        <v>13</v>
      </c>
      <c r="AD302">
        <v>2</v>
      </c>
      <c r="AE302">
        <v>12</v>
      </c>
      <c r="AF302">
        <v>4</v>
      </c>
      <c r="AG302">
        <v>339</v>
      </c>
      <c r="AH302"/>
      <c r="AI302"/>
      <c r="AJ302"/>
      <c r="AK302"/>
      <c r="AL302"/>
      <c r="AM302"/>
      <c r="AN302">
        <v>48</v>
      </c>
      <c r="AO302">
        <v>387</v>
      </c>
      <c r="AP302"/>
      <c r="AQ302"/>
      <c r="AR302"/>
      <c r="AS302"/>
      <c r="AT302"/>
      <c r="AU302"/>
      <c r="AV302"/>
      <c r="AW302"/>
      <c r="AX302"/>
      <c r="AY302" t="s">
        <v>2709</v>
      </c>
      <c r="AZ302" t="s">
        <v>2710</v>
      </c>
      <c r="BA302" t="s">
        <v>2709</v>
      </c>
      <c r="BB302" t="s">
        <v>2452</v>
      </c>
      <c r="BC302" t="s">
        <v>2708</v>
      </c>
      <c r="BD302" t="s">
        <v>2452</v>
      </c>
      <c r="BE302"/>
      <c r="BF302"/>
      <c r="BG302"/>
      <c r="BH302"/>
      <c r="BI302"/>
      <c r="BJ302"/>
      <c r="BK302"/>
      <c r="BL302"/>
      <c r="BM302"/>
      <c r="BN302"/>
      <c r="BO302"/>
      <c r="BP302" t="s">
        <v>2707</v>
      </c>
      <c r="BQ302" t="s">
        <v>2706</v>
      </c>
      <c r="BR302" t="s">
        <v>2705</v>
      </c>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t="s">
        <v>2307</v>
      </c>
      <c r="CY302">
        <v>339</v>
      </c>
      <c r="CZ302" t="s">
        <v>2306</v>
      </c>
    </row>
    <row r="303" spans="1:104" ht="14.25">
      <c r="A303" t="s">
        <v>2704</v>
      </c>
      <c r="B303" t="s">
        <v>2704</v>
      </c>
      <c r="C303" t="s">
        <v>2703</v>
      </c>
      <c r="D303">
        <v>0.5</v>
      </c>
      <c r="E303" t="s">
        <v>2533</v>
      </c>
      <c r="F303" t="s">
        <v>2342</v>
      </c>
      <c r="G303" t="s">
        <v>2543</v>
      </c>
      <c r="H303"/>
      <c r="I303"/>
      <c r="J303" t="s">
        <v>1908</v>
      </c>
      <c r="K303"/>
      <c r="L303"/>
      <c r="M303">
        <v>11</v>
      </c>
      <c r="N303">
        <v>19</v>
      </c>
      <c r="O303">
        <v>3</v>
      </c>
      <c r="P303">
        <v>10</v>
      </c>
      <c r="Q303">
        <v>3</v>
      </c>
      <c r="R303" t="s">
        <v>2317</v>
      </c>
      <c r="S303" t="s">
        <v>2439</v>
      </c>
      <c r="T303" t="s">
        <v>2315</v>
      </c>
      <c r="U303" t="s">
        <v>2315</v>
      </c>
      <c r="V303">
        <v>60</v>
      </c>
      <c r="W303"/>
      <c r="X303"/>
      <c r="Y303"/>
      <c r="Z303"/>
      <c r="AA303">
        <v>18</v>
      </c>
      <c r="AB303">
        <v>12</v>
      </c>
      <c r="AC303">
        <v>13</v>
      </c>
      <c r="AD303">
        <v>2</v>
      </c>
      <c r="AE303">
        <v>12</v>
      </c>
      <c r="AF303">
        <v>7</v>
      </c>
      <c r="AG303">
        <v>340</v>
      </c>
      <c r="AH303">
        <v>311</v>
      </c>
      <c r="AI303"/>
      <c r="AJ303"/>
      <c r="AK303"/>
      <c r="AL303"/>
      <c r="AM303"/>
      <c r="AN303">
        <v>48</v>
      </c>
      <c r="AO303">
        <v>387</v>
      </c>
      <c r="AP303"/>
      <c r="AQ303">
        <v>25</v>
      </c>
      <c r="AR303"/>
      <c r="AS303"/>
      <c r="AT303"/>
      <c r="AU303"/>
      <c r="AV303"/>
      <c r="AW303"/>
      <c r="AX303"/>
      <c r="AY303" t="s">
        <v>2701</v>
      </c>
      <c r="AZ303" t="s">
        <v>2702</v>
      </c>
      <c r="BA303" t="s">
        <v>2701</v>
      </c>
      <c r="BB303"/>
      <c r="BC303"/>
      <c r="BD303"/>
      <c r="BE303"/>
      <c r="BF303"/>
      <c r="BG303"/>
      <c r="BH303"/>
      <c r="BI303"/>
      <c r="BJ303"/>
      <c r="BK303"/>
      <c r="BL303"/>
      <c r="BM303"/>
      <c r="BN303"/>
      <c r="BO303"/>
      <c r="BP303" t="s">
        <v>2697</v>
      </c>
      <c r="BQ303" t="s">
        <v>2696</v>
      </c>
      <c r="BR303" t="s">
        <v>2695</v>
      </c>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t="s">
        <v>2307</v>
      </c>
      <c r="CY303">
        <v>340</v>
      </c>
      <c r="CZ303" t="s">
        <v>2306</v>
      </c>
    </row>
    <row r="304" spans="1:104" ht="14.25">
      <c r="A304" t="s">
        <v>2700</v>
      </c>
      <c r="B304" t="s">
        <v>2699</v>
      </c>
      <c r="C304" t="s">
        <v>2698</v>
      </c>
      <c r="D304">
        <v>0.5</v>
      </c>
      <c r="E304" t="s">
        <v>2321</v>
      </c>
      <c r="F304" t="s">
        <v>2342</v>
      </c>
      <c r="G304" t="s">
        <v>2319</v>
      </c>
      <c r="H304"/>
      <c r="I304"/>
      <c r="J304" t="s">
        <v>2375</v>
      </c>
      <c r="K304"/>
      <c r="L304"/>
      <c r="M304">
        <v>13</v>
      </c>
      <c r="N304">
        <v>22</v>
      </c>
      <c r="O304">
        <v>3</v>
      </c>
      <c r="P304">
        <v>10</v>
      </c>
      <c r="Q304">
        <v>6</v>
      </c>
      <c r="R304" t="s">
        <v>2317</v>
      </c>
      <c r="S304" t="s">
        <v>2439</v>
      </c>
      <c r="T304" t="s">
        <v>2315</v>
      </c>
      <c r="U304" t="s">
        <v>2315</v>
      </c>
      <c r="V304">
        <v>60</v>
      </c>
      <c r="W304"/>
      <c r="X304"/>
      <c r="Y304"/>
      <c r="Z304"/>
      <c r="AA304">
        <v>18</v>
      </c>
      <c r="AB304">
        <v>12</v>
      </c>
      <c r="AC304">
        <v>15</v>
      </c>
      <c r="AD304">
        <v>2</v>
      </c>
      <c r="AE304">
        <v>8</v>
      </c>
      <c r="AF304">
        <v>5</v>
      </c>
      <c r="AG304">
        <v>273</v>
      </c>
      <c r="AH304"/>
      <c r="AI304"/>
      <c r="AJ304"/>
      <c r="AK304"/>
      <c r="AL304"/>
      <c r="AM304"/>
      <c r="AN304"/>
      <c r="AO304">
        <v>349</v>
      </c>
      <c r="AP304"/>
      <c r="AQ304"/>
      <c r="AR304"/>
      <c r="AS304"/>
      <c r="AT304"/>
      <c r="AU304"/>
      <c r="AV304"/>
      <c r="AW304"/>
      <c r="AX304"/>
      <c r="AY304"/>
      <c r="AZ304"/>
      <c r="BA304"/>
      <c r="BB304"/>
      <c r="BC304"/>
      <c r="BD304"/>
      <c r="BE304"/>
      <c r="BF304"/>
      <c r="BG304"/>
      <c r="BH304"/>
      <c r="BI304"/>
      <c r="BJ304"/>
      <c r="BK304"/>
      <c r="BL304"/>
      <c r="BM304"/>
      <c r="BN304"/>
      <c r="BO304"/>
      <c r="BP304" t="s">
        <v>2697</v>
      </c>
      <c r="BQ304" t="s">
        <v>2696</v>
      </c>
      <c r="BR304" t="s">
        <v>2695</v>
      </c>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t="s">
        <v>2307</v>
      </c>
      <c r="CY304">
        <v>273</v>
      </c>
      <c r="CZ304" t="s">
        <v>2306</v>
      </c>
    </row>
    <row r="305" spans="1:104" ht="14.25">
      <c r="A305" t="s">
        <v>2694</v>
      </c>
      <c r="B305" t="s">
        <v>2693</v>
      </c>
      <c r="C305" t="s">
        <v>2692</v>
      </c>
      <c r="D305">
        <v>5</v>
      </c>
      <c r="E305" t="s">
        <v>2321</v>
      </c>
      <c r="F305" t="s">
        <v>2342</v>
      </c>
      <c r="G305" t="s">
        <v>2479</v>
      </c>
      <c r="H305"/>
      <c r="I305"/>
      <c r="J305" t="s">
        <v>1902</v>
      </c>
      <c r="K305"/>
      <c r="L305"/>
      <c r="M305">
        <v>14</v>
      </c>
      <c r="N305">
        <v>114</v>
      </c>
      <c r="O305">
        <v>12</v>
      </c>
      <c r="P305">
        <v>10</v>
      </c>
      <c r="Q305">
        <v>48</v>
      </c>
      <c r="R305" t="s">
        <v>2317</v>
      </c>
      <c r="S305" t="s">
        <v>2510</v>
      </c>
      <c r="T305" t="s">
        <v>2315</v>
      </c>
      <c r="U305" t="s">
        <v>2315</v>
      </c>
      <c r="V305">
        <v>30</v>
      </c>
      <c r="W305"/>
      <c r="X305"/>
      <c r="Y305"/>
      <c r="Z305">
        <v>90</v>
      </c>
      <c r="AA305">
        <v>18</v>
      </c>
      <c r="AB305">
        <v>14</v>
      </c>
      <c r="AC305">
        <v>18</v>
      </c>
      <c r="AD305">
        <v>5</v>
      </c>
      <c r="AE305">
        <v>10</v>
      </c>
      <c r="AF305">
        <v>8</v>
      </c>
      <c r="AG305">
        <v>125</v>
      </c>
      <c r="AH305"/>
      <c r="AI305"/>
      <c r="AJ305"/>
      <c r="AK305"/>
      <c r="AL305"/>
      <c r="AM305"/>
      <c r="AN305">
        <v>49</v>
      </c>
      <c r="AO305">
        <v>310</v>
      </c>
      <c r="AP305"/>
      <c r="AQ305">
        <v>25</v>
      </c>
      <c r="AR305"/>
      <c r="AS305"/>
      <c r="AT305"/>
      <c r="AU305"/>
      <c r="AV305" t="s">
        <v>2691</v>
      </c>
      <c r="AW305"/>
      <c r="AX305"/>
      <c r="AY305" t="s">
        <v>2689</v>
      </c>
      <c r="AZ305" t="s">
        <v>2690</v>
      </c>
      <c r="BA305" t="s">
        <v>2689</v>
      </c>
      <c r="BB305" t="s">
        <v>2687</v>
      </c>
      <c r="BC305" t="s">
        <v>2688</v>
      </c>
      <c r="BD305" t="s">
        <v>2687</v>
      </c>
      <c r="BE305"/>
      <c r="BF305"/>
      <c r="BG305"/>
      <c r="BH305"/>
      <c r="BI305"/>
      <c r="BJ305"/>
      <c r="BK305"/>
      <c r="BL305"/>
      <c r="BM305"/>
      <c r="BN305"/>
      <c r="BO305"/>
      <c r="BP305" t="s">
        <v>2333</v>
      </c>
      <c r="BQ305" t="s">
        <v>2686</v>
      </c>
      <c r="BR305" t="s">
        <v>2333</v>
      </c>
      <c r="BS305" t="s">
        <v>2310</v>
      </c>
      <c r="BT305" t="s">
        <v>2685</v>
      </c>
      <c r="BU305" t="s">
        <v>2684</v>
      </c>
      <c r="BV305" t="s">
        <v>2682</v>
      </c>
      <c r="BW305" t="s">
        <v>2683</v>
      </c>
      <c r="BX305" t="s">
        <v>2682</v>
      </c>
      <c r="BY305"/>
      <c r="BZ305"/>
      <c r="CA305"/>
      <c r="CB305"/>
      <c r="CC305"/>
      <c r="CD305"/>
      <c r="CE305"/>
      <c r="CF305"/>
      <c r="CG305"/>
      <c r="CH305"/>
      <c r="CI305"/>
      <c r="CJ305"/>
      <c r="CK305"/>
      <c r="CL305"/>
      <c r="CM305"/>
      <c r="CN305"/>
      <c r="CO305"/>
      <c r="CP305"/>
      <c r="CQ305"/>
      <c r="CR305"/>
      <c r="CS305"/>
      <c r="CT305"/>
      <c r="CU305"/>
      <c r="CV305"/>
      <c r="CW305"/>
      <c r="CX305" t="s">
        <v>2307</v>
      </c>
      <c r="CY305">
        <v>125</v>
      </c>
      <c r="CZ305" t="s">
        <v>2306</v>
      </c>
    </row>
    <row r="306" spans="1:104" ht="14.25">
      <c r="A306" t="s">
        <v>2681</v>
      </c>
      <c r="B306" t="s">
        <v>2681</v>
      </c>
      <c r="C306" t="s">
        <v>2680</v>
      </c>
      <c r="D306">
        <v>0</v>
      </c>
      <c r="E306" t="s">
        <v>2533</v>
      </c>
      <c r="F306" t="s">
        <v>2572</v>
      </c>
      <c r="G306" t="s">
        <v>2543</v>
      </c>
      <c r="H306"/>
      <c r="I306"/>
      <c r="J306" t="s">
        <v>1908</v>
      </c>
      <c r="K306"/>
      <c r="L306"/>
      <c r="M306">
        <v>13</v>
      </c>
      <c r="N306">
        <v>1</v>
      </c>
      <c r="O306">
        <v>1</v>
      </c>
      <c r="P306">
        <v>4</v>
      </c>
      <c r="Q306">
        <v>-1</v>
      </c>
      <c r="R306" t="s">
        <v>2317</v>
      </c>
      <c r="S306" t="s">
        <v>2679</v>
      </c>
      <c r="T306" t="s">
        <v>2315</v>
      </c>
      <c r="U306" t="s">
        <v>2315</v>
      </c>
      <c r="V306">
        <v>30</v>
      </c>
      <c r="W306"/>
      <c r="X306"/>
      <c r="Y306"/>
      <c r="Z306"/>
      <c r="AA306">
        <v>3</v>
      </c>
      <c r="AB306">
        <v>16</v>
      </c>
      <c r="AC306">
        <v>8</v>
      </c>
      <c r="AD306">
        <v>2</v>
      </c>
      <c r="AE306">
        <v>12</v>
      </c>
      <c r="AF306">
        <v>3</v>
      </c>
      <c r="AG306">
        <v>340</v>
      </c>
      <c r="AH306"/>
      <c r="AI306"/>
      <c r="AJ306"/>
      <c r="AK306"/>
      <c r="AL306"/>
      <c r="AM306"/>
      <c r="AN306">
        <v>49</v>
      </c>
      <c r="AO306">
        <v>387</v>
      </c>
      <c r="AP306"/>
      <c r="AQ306"/>
      <c r="AR306"/>
      <c r="AS306"/>
      <c r="AT306"/>
      <c r="AU306"/>
      <c r="AV306"/>
      <c r="AW306"/>
      <c r="AX306"/>
      <c r="AY306" t="s">
        <v>2528</v>
      </c>
      <c r="AZ306" t="s">
        <v>2678</v>
      </c>
      <c r="BA306" t="s">
        <v>2528</v>
      </c>
      <c r="BB306"/>
      <c r="BC306"/>
      <c r="BD306"/>
      <c r="BE306"/>
      <c r="BF306"/>
      <c r="BG306"/>
      <c r="BH306"/>
      <c r="BI306"/>
      <c r="BJ306"/>
      <c r="BK306"/>
      <c r="BL306"/>
      <c r="BM306"/>
      <c r="BN306"/>
      <c r="BO306"/>
      <c r="BP306" t="s">
        <v>2332</v>
      </c>
      <c r="BQ306" t="s">
        <v>2677</v>
      </c>
      <c r="BR306" t="s">
        <v>2676</v>
      </c>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t="s">
        <v>2307</v>
      </c>
      <c r="CY306">
        <v>340</v>
      </c>
      <c r="CZ306" t="s">
        <v>2306</v>
      </c>
    </row>
    <row r="307" spans="1:104" ht="14.25">
      <c r="A307" t="s">
        <v>2675</v>
      </c>
      <c r="B307" t="s">
        <v>2675</v>
      </c>
      <c r="C307" t="s">
        <v>2674</v>
      </c>
      <c r="D307">
        <v>5</v>
      </c>
      <c r="E307" t="s">
        <v>2321</v>
      </c>
      <c r="F307" t="s">
        <v>2320</v>
      </c>
      <c r="G307" t="s">
        <v>2461</v>
      </c>
      <c r="H307" t="s">
        <v>2612</v>
      </c>
      <c r="I307">
        <v>1</v>
      </c>
      <c r="J307" t="s">
        <v>2495</v>
      </c>
      <c r="K307"/>
      <c r="L307"/>
      <c r="M307">
        <v>11</v>
      </c>
      <c r="N307">
        <v>135</v>
      </c>
      <c r="O307">
        <v>18</v>
      </c>
      <c r="P307">
        <v>8</v>
      </c>
      <c r="Q307">
        <v>54</v>
      </c>
      <c r="R307" t="s">
        <v>2317</v>
      </c>
      <c r="S307" t="s">
        <v>2339</v>
      </c>
      <c r="T307" t="s">
        <v>2315</v>
      </c>
      <c r="U307" t="s">
        <v>2315</v>
      </c>
      <c r="V307">
        <v>40</v>
      </c>
      <c r="W307"/>
      <c r="X307">
        <v>30</v>
      </c>
      <c r="Y307"/>
      <c r="Z307"/>
      <c r="AA307">
        <v>19</v>
      </c>
      <c r="AB307">
        <v>10</v>
      </c>
      <c r="AC307">
        <v>17</v>
      </c>
      <c r="AD307">
        <v>11</v>
      </c>
      <c r="AE307">
        <v>12</v>
      </c>
      <c r="AF307">
        <v>12</v>
      </c>
      <c r="AG307">
        <v>208</v>
      </c>
      <c r="AH307"/>
      <c r="AI307"/>
      <c r="AJ307"/>
      <c r="AK307"/>
      <c r="AL307"/>
      <c r="AM307"/>
      <c r="AN307"/>
      <c r="AO307">
        <v>329</v>
      </c>
      <c r="AP307"/>
      <c r="AQ307"/>
      <c r="AR307"/>
      <c r="AS307"/>
      <c r="AT307"/>
      <c r="AU307"/>
      <c r="AV307"/>
      <c r="AW307"/>
      <c r="AX307"/>
      <c r="AY307" t="s">
        <v>2608</v>
      </c>
      <c r="AZ307" t="s">
        <v>2673</v>
      </c>
      <c r="BA307" t="s">
        <v>2608</v>
      </c>
      <c r="BB307" t="s">
        <v>2434</v>
      </c>
      <c r="BC307" t="s">
        <v>2672</v>
      </c>
      <c r="BD307" t="s">
        <v>2434</v>
      </c>
      <c r="BE307"/>
      <c r="BF307"/>
      <c r="BG307"/>
      <c r="BH307"/>
      <c r="BI307"/>
      <c r="BJ307"/>
      <c r="BK307"/>
      <c r="BL307"/>
      <c r="BM307"/>
      <c r="BN307"/>
      <c r="BO307"/>
      <c r="BP307" t="s">
        <v>2333</v>
      </c>
      <c r="BQ307" t="s">
        <v>2671</v>
      </c>
      <c r="BR307" t="s">
        <v>2333</v>
      </c>
      <c r="BS307" t="s">
        <v>2670</v>
      </c>
      <c r="BT307" t="s">
        <v>2669</v>
      </c>
      <c r="BU307" t="s">
        <v>2386</v>
      </c>
      <c r="BV307" t="s">
        <v>2668</v>
      </c>
      <c r="BW307" t="s">
        <v>2504</v>
      </c>
      <c r="BX307" t="s">
        <v>2667</v>
      </c>
      <c r="BY307" t="s">
        <v>2666</v>
      </c>
      <c r="BZ307" t="s">
        <v>2665</v>
      </c>
      <c r="CA307" t="s">
        <v>2664</v>
      </c>
      <c r="CB307"/>
      <c r="CC307"/>
      <c r="CD307"/>
      <c r="CE307"/>
      <c r="CF307"/>
      <c r="CG307"/>
      <c r="CH307"/>
      <c r="CI307"/>
      <c r="CJ307"/>
      <c r="CK307"/>
      <c r="CL307"/>
      <c r="CM307"/>
      <c r="CN307"/>
      <c r="CO307"/>
      <c r="CP307"/>
      <c r="CQ307"/>
      <c r="CR307"/>
      <c r="CS307"/>
      <c r="CT307"/>
      <c r="CU307"/>
      <c r="CV307"/>
      <c r="CW307"/>
      <c r="CX307" t="s">
        <v>2307</v>
      </c>
      <c r="CY307">
        <v>208</v>
      </c>
      <c r="CZ307" t="s">
        <v>2306</v>
      </c>
    </row>
    <row r="308" spans="1:104" ht="14.25">
      <c r="A308" t="s">
        <v>2663</v>
      </c>
      <c r="B308" t="s">
        <v>2663</v>
      </c>
      <c r="C308" t="s">
        <v>2662</v>
      </c>
      <c r="D308">
        <v>4</v>
      </c>
      <c r="E308" t="s">
        <v>2321</v>
      </c>
      <c r="F308" t="s">
        <v>2320</v>
      </c>
      <c r="G308" t="s">
        <v>2461</v>
      </c>
      <c r="H308" t="s">
        <v>2612</v>
      </c>
      <c r="I308">
        <v>1</v>
      </c>
      <c r="J308" t="s">
        <v>2318</v>
      </c>
      <c r="K308"/>
      <c r="L308"/>
      <c r="M308">
        <v>11</v>
      </c>
      <c r="N308">
        <v>78</v>
      </c>
      <c r="O308">
        <v>12</v>
      </c>
      <c r="P308">
        <v>8</v>
      </c>
      <c r="Q308">
        <v>24</v>
      </c>
      <c r="R308" t="s">
        <v>2317</v>
      </c>
      <c r="S308" t="s">
        <v>2532</v>
      </c>
      <c r="T308" t="s">
        <v>2532</v>
      </c>
      <c r="U308" t="s">
        <v>2315</v>
      </c>
      <c r="V308">
        <v>30</v>
      </c>
      <c r="W308"/>
      <c r="X308"/>
      <c r="Y308"/>
      <c r="Z308"/>
      <c r="AA308">
        <v>17</v>
      </c>
      <c r="AB308">
        <v>10</v>
      </c>
      <c r="AC308">
        <v>15</v>
      </c>
      <c r="AD308">
        <v>10</v>
      </c>
      <c r="AE308">
        <v>11</v>
      </c>
      <c r="AF308">
        <v>8</v>
      </c>
      <c r="AG308">
        <v>209</v>
      </c>
      <c r="AH308"/>
      <c r="AI308"/>
      <c r="AJ308"/>
      <c r="AK308"/>
      <c r="AL308"/>
      <c r="AM308"/>
      <c r="AN308"/>
      <c r="AO308">
        <v>330</v>
      </c>
      <c r="AP308"/>
      <c r="AQ308"/>
      <c r="AR308"/>
      <c r="AS308"/>
      <c r="AT308">
        <v>37</v>
      </c>
      <c r="AU308"/>
      <c r="AV308"/>
      <c r="AW308"/>
      <c r="AX308"/>
      <c r="AY308" t="s">
        <v>2608</v>
      </c>
      <c r="AZ308" t="s">
        <v>2661</v>
      </c>
      <c r="BA308" t="s">
        <v>2608</v>
      </c>
      <c r="BB308" t="s">
        <v>2660</v>
      </c>
      <c r="BC308" t="s">
        <v>2659</v>
      </c>
      <c r="BD308" t="s">
        <v>2658</v>
      </c>
      <c r="BE308" t="s">
        <v>2656</v>
      </c>
      <c r="BF308" t="s">
        <v>2657</v>
      </c>
      <c r="BG308" t="s">
        <v>2656</v>
      </c>
      <c r="BH308"/>
      <c r="BI308"/>
      <c r="BJ308"/>
      <c r="BK308"/>
      <c r="BL308"/>
      <c r="BM308"/>
      <c r="BN308"/>
      <c r="BO308"/>
      <c r="BP308" t="s">
        <v>2605</v>
      </c>
      <c r="BQ308" t="s">
        <v>2655</v>
      </c>
      <c r="BR308" t="s">
        <v>2605</v>
      </c>
      <c r="BS308" t="s">
        <v>2654</v>
      </c>
      <c r="BT308" t="s">
        <v>2653</v>
      </c>
      <c r="BU308" t="s">
        <v>2652</v>
      </c>
      <c r="BV308" t="s">
        <v>2651</v>
      </c>
      <c r="BW308" t="s">
        <v>2650</v>
      </c>
      <c r="BX308" t="s">
        <v>2649</v>
      </c>
      <c r="BY308"/>
      <c r="BZ308"/>
      <c r="CA308"/>
      <c r="CB308"/>
      <c r="CC308"/>
      <c r="CD308"/>
      <c r="CE308"/>
      <c r="CF308"/>
      <c r="CG308"/>
      <c r="CH308"/>
      <c r="CI308"/>
      <c r="CJ308"/>
      <c r="CK308"/>
      <c r="CL308"/>
      <c r="CM308"/>
      <c r="CN308"/>
      <c r="CO308"/>
      <c r="CP308"/>
      <c r="CQ308"/>
      <c r="CR308"/>
      <c r="CS308"/>
      <c r="CT308"/>
      <c r="CU308"/>
      <c r="CV308"/>
      <c r="CW308"/>
      <c r="CX308" t="s">
        <v>2307</v>
      </c>
      <c r="CY308">
        <v>209</v>
      </c>
      <c r="CZ308" t="s">
        <v>2306</v>
      </c>
    </row>
    <row r="309" spans="1:104" ht="14.25">
      <c r="A309" t="s">
        <v>2648</v>
      </c>
      <c r="B309" t="s">
        <v>2648</v>
      </c>
      <c r="C309" t="s">
        <v>2647</v>
      </c>
      <c r="D309">
        <v>2</v>
      </c>
      <c r="E309" t="s">
        <v>2321</v>
      </c>
      <c r="F309" t="s">
        <v>2320</v>
      </c>
      <c r="G309" t="s">
        <v>2461</v>
      </c>
      <c r="H309" t="s">
        <v>2612</v>
      </c>
      <c r="I309">
        <v>1</v>
      </c>
      <c r="J309" t="s">
        <v>2375</v>
      </c>
      <c r="K309"/>
      <c r="L309"/>
      <c r="M309">
        <v>12</v>
      </c>
      <c r="N309">
        <v>33</v>
      </c>
      <c r="O309">
        <v>6</v>
      </c>
      <c r="P309">
        <v>8</v>
      </c>
      <c r="Q309">
        <v>6</v>
      </c>
      <c r="R309" t="s">
        <v>2317</v>
      </c>
      <c r="S309" t="s">
        <v>2646</v>
      </c>
      <c r="T309" t="s">
        <v>2458</v>
      </c>
      <c r="U309" t="s">
        <v>2315</v>
      </c>
      <c r="V309">
        <v>30</v>
      </c>
      <c r="W309"/>
      <c r="X309"/>
      <c r="Y309"/>
      <c r="Z309"/>
      <c r="AA309">
        <v>10</v>
      </c>
      <c r="AB309">
        <v>15</v>
      </c>
      <c r="AC309">
        <v>12</v>
      </c>
      <c r="AD309">
        <v>11</v>
      </c>
      <c r="AE309">
        <v>10</v>
      </c>
      <c r="AF309">
        <v>8</v>
      </c>
      <c r="AG309">
        <v>209</v>
      </c>
      <c r="AH309"/>
      <c r="AI309"/>
      <c r="AJ309"/>
      <c r="AK309"/>
      <c r="AL309"/>
      <c r="AM309"/>
      <c r="AN309"/>
      <c r="AO309">
        <v>330</v>
      </c>
      <c r="AP309"/>
      <c r="AQ309"/>
      <c r="AR309"/>
      <c r="AS309"/>
      <c r="AT309"/>
      <c r="AU309"/>
      <c r="AV309"/>
      <c r="AW309"/>
      <c r="AX309"/>
      <c r="AY309" t="s">
        <v>2608</v>
      </c>
      <c r="AZ309" t="s">
        <v>2645</v>
      </c>
      <c r="BA309" t="s">
        <v>2608</v>
      </c>
      <c r="BB309" t="s">
        <v>2434</v>
      </c>
      <c r="BC309" t="s">
        <v>2644</v>
      </c>
      <c r="BD309" t="s">
        <v>2434</v>
      </c>
      <c r="BE309"/>
      <c r="BF309"/>
      <c r="BG309"/>
      <c r="BH309"/>
      <c r="BI309"/>
      <c r="BJ309"/>
      <c r="BK309"/>
      <c r="BL309"/>
      <c r="BM309"/>
      <c r="BN309"/>
      <c r="BO309"/>
      <c r="BP309" t="s">
        <v>2605</v>
      </c>
      <c r="BQ309" t="s">
        <v>2643</v>
      </c>
      <c r="BR309" t="s">
        <v>2605</v>
      </c>
      <c r="BS309" t="s">
        <v>2642</v>
      </c>
      <c r="BT309" t="s">
        <v>2641</v>
      </c>
      <c r="BU309" t="s">
        <v>2640</v>
      </c>
      <c r="BV309" t="s">
        <v>2639</v>
      </c>
      <c r="BW309" t="s">
        <v>2638</v>
      </c>
      <c r="BX309" t="s">
        <v>2637</v>
      </c>
      <c r="BY309" t="s">
        <v>2636</v>
      </c>
      <c r="BZ309" t="s">
        <v>2635</v>
      </c>
      <c r="CA309" t="s">
        <v>2634</v>
      </c>
      <c r="CB309"/>
      <c r="CC309"/>
      <c r="CD309"/>
      <c r="CE309"/>
      <c r="CF309"/>
      <c r="CG309"/>
      <c r="CH309"/>
      <c r="CI309"/>
      <c r="CJ309"/>
      <c r="CK309"/>
      <c r="CL309"/>
      <c r="CM309"/>
      <c r="CN309"/>
      <c r="CO309"/>
      <c r="CP309"/>
      <c r="CQ309"/>
      <c r="CR309"/>
      <c r="CS309"/>
      <c r="CT309"/>
      <c r="CU309"/>
      <c r="CV309"/>
      <c r="CW309"/>
      <c r="CX309" t="s">
        <v>2307</v>
      </c>
      <c r="CY309">
        <v>209</v>
      </c>
      <c r="CZ309" t="s">
        <v>2306</v>
      </c>
    </row>
    <row r="310" spans="1:104" ht="14.25">
      <c r="A310" t="s">
        <v>2633</v>
      </c>
      <c r="B310" t="s">
        <v>2633</v>
      </c>
      <c r="C310" t="s">
        <v>2632</v>
      </c>
      <c r="D310">
        <v>4</v>
      </c>
      <c r="E310" t="s">
        <v>2321</v>
      </c>
      <c r="F310" t="s">
        <v>2320</v>
      </c>
      <c r="G310" t="s">
        <v>2461</v>
      </c>
      <c r="H310" t="s">
        <v>2612</v>
      </c>
      <c r="I310">
        <v>1</v>
      </c>
      <c r="J310" t="s">
        <v>1902</v>
      </c>
      <c r="K310"/>
      <c r="L310"/>
      <c r="M310">
        <v>12</v>
      </c>
      <c r="N310">
        <v>120</v>
      </c>
      <c r="O310">
        <v>16</v>
      </c>
      <c r="P310">
        <v>8</v>
      </c>
      <c r="Q310">
        <v>48</v>
      </c>
      <c r="R310" t="s">
        <v>2317</v>
      </c>
      <c r="S310" t="s">
        <v>2631</v>
      </c>
      <c r="T310" t="s">
        <v>2630</v>
      </c>
      <c r="U310" t="s">
        <v>2315</v>
      </c>
      <c r="V310">
        <v>30</v>
      </c>
      <c r="W310"/>
      <c r="X310"/>
      <c r="Y310"/>
      <c r="Z310"/>
      <c r="AA310">
        <v>17</v>
      </c>
      <c r="AB310">
        <v>15</v>
      </c>
      <c r="AC310">
        <v>16</v>
      </c>
      <c r="AD310">
        <v>10</v>
      </c>
      <c r="AE310">
        <v>13</v>
      </c>
      <c r="AF310">
        <v>11</v>
      </c>
      <c r="AG310">
        <v>210</v>
      </c>
      <c r="AH310"/>
      <c r="AI310"/>
      <c r="AJ310"/>
      <c r="AK310"/>
      <c r="AL310"/>
      <c r="AM310"/>
      <c r="AN310"/>
      <c r="AO310">
        <v>331</v>
      </c>
      <c r="AP310"/>
      <c r="AQ310"/>
      <c r="AR310"/>
      <c r="AS310"/>
      <c r="AT310"/>
      <c r="AU310"/>
      <c r="AV310"/>
      <c r="AW310"/>
      <c r="AX310"/>
      <c r="AY310" t="s">
        <v>2608</v>
      </c>
      <c r="AZ310" t="s">
        <v>2629</v>
      </c>
      <c r="BA310" t="s">
        <v>2608</v>
      </c>
      <c r="BB310" t="s">
        <v>2528</v>
      </c>
      <c r="BC310" t="s">
        <v>2628</v>
      </c>
      <c r="BD310" t="s">
        <v>2528</v>
      </c>
      <c r="BE310" t="s">
        <v>2626</v>
      </c>
      <c r="BF310" t="s">
        <v>2627</v>
      </c>
      <c r="BG310" t="s">
        <v>2626</v>
      </c>
      <c r="BH310"/>
      <c r="BI310"/>
      <c r="BJ310"/>
      <c r="BK310"/>
      <c r="BL310"/>
      <c r="BM310"/>
      <c r="BN310"/>
      <c r="BO310"/>
      <c r="BP310" t="s">
        <v>2605</v>
      </c>
      <c r="BQ310" t="s">
        <v>2625</v>
      </c>
      <c r="BR310" t="s">
        <v>2605</v>
      </c>
      <c r="BS310" t="s">
        <v>2624</v>
      </c>
      <c r="BT310" t="s">
        <v>2623</v>
      </c>
      <c r="BU310" t="s">
        <v>2622</v>
      </c>
      <c r="BV310" t="s">
        <v>2621</v>
      </c>
      <c r="BW310" t="s">
        <v>2620</v>
      </c>
      <c r="BX310" t="s">
        <v>2619</v>
      </c>
      <c r="BY310" t="s">
        <v>2618</v>
      </c>
      <c r="BZ310" t="s">
        <v>2617</v>
      </c>
      <c r="CA310" t="s">
        <v>2616</v>
      </c>
      <c r="CB310" t="s">
        <v>2615</v>
      </c>
      <c r="CC310" t="s">
        <v>2576</v>
      </c>
      <c r="CD310" t="s">
        <v>2575</v>
      </c>
      <c r="CE310"/>
      <c r="CF310"/>
      <c r="CG310"/>
      <c r="CH310"/>
      <c r="CI310"/>
      <c r="CJ310"/>
      <c r="CK310"/>
      <c r="CL310"/>
      <c r="CM310"/>
      <c r="CN310"/>
      <c r="CO310"/>
      <c r="CP310"/>
      <c r="CQ310"/>
      <c r="CR310"/>
      <c r="CS310"/>
      <c r="CT310"/>
      <c r="CU310"/>
      <c r="CV310"/>
      <c r="CW310"/>
      <c r="CX310" t="s">
        <v>2307</v>
      </c>
      <c r="CY310">
        <v>210</v>
      </c>
      <c r="CZ310" t="s">
        <v>2306</v>
      </c>
    </row>
    <row r="311" spans="1:104" ht="14.25">
      <c r="A311" t="s">
        <v>2614</v>
      </c>
      <c r="B311" t="s">
        <v>2614</v>
      </c>
      <c r="C311" t="s">
        <v>2613</v>
      </c>
      <c r="D311">
        <v>3</v>
      </c>
      <c r="E311" t="s">
        <v>2321</v>
      </c>
      <c r="F311" t="s">
        <v>2320</v>
      </c>
      <c r="G311" t="s">
        <v>2461</v>
      </c>
      <c r="H311" t="s">
        <v>2612</v>
      </c>
      <c r="I311">
        <v>1</v>
      </c>
      <c r="J311" t="s">
        <v>2340</v>
      </c>
      <c r="K311"/>
      <c r="L311"/>
      <c r="M311">
        <v>12</v>
      </c>
      <c r="N311">
        <v>58</v>
      </c>
      <c r="O311">
        <v>9</v>
      </c>
      <c r="P311">
        <v>8</v>
      </c>
      <c r="Q311">
        <v>18</v>
      </c>
      <c r="R311" t="s">
        <v>2317</v>
      </c>
      <c r="S311" t="s">
        <v>2611</v>
      </c>
      <c r="T311" t="s">
        <v>2610</v>
      </c>
      <c r="U311" t="s">
        <v>2315</v>
      </c>
      <c r="V311">
        <v>30</v>
      </c>
      <c r="W311"/>
      <c r="X311"/>
      <c r="Y311"/>
      <c r="Z311"/>
      <c r="AA311">
        <v>15</v>
      </c>
      <c r="AB311">
        <v>13</v>
      </c>
      <c r="AC311">
        <v>14</v>
      </c>
      <c r="AD311">
        <v>10</v>
      </c>
      <c r="AE311">
        <v>11</v>
      </c>
      <c r="AF311">
        <v>10</v>
      </c>
      <c r="AG311">
        <v>211</v>
      </c>
      <c r="AH311"/>
      <c r="AI311"/>
      <c r="AJ311"/>
      <c r="AK311"/>
      <c r="AL311"/>
      <c r="AM311"/>
      <c r="AN311">
        <v>49</v>
      </c>
      <c r="AO311">
        <v>331</v>
      </c>
      <c r="AP311"/>
      <c r="AQ311"/>
      <c r="AR311"/>
      <c r="AS311"/>
      <c r="AT311"/>
      <c r="AU311"/>
      <c r="AV311"/>
      <c r="AW311"/>
      <c r="AX311"/>
      <c r="AY311" t="s">
        <v>2608</v>
      </c>
      <c r="AZ311" t="s">
        <v>2609</v>
      </c>
      <c r="BA311" t="s">
        <v>2608</v>
      </c>
      <c r="BB311" t="s">
        <v>2528</v>
      </c>
      <c r="BC311" t="s">
        <v>2607</v>
      </c>
      <c r="BD311" t="s">
        <v>2528</v>
      </c>
      <c r="BE311"/>
      <c r="BF311"/>
      <c r="BG311"/>
      <c r="BH311"/>
      <c r="BI311"/>
      <c r="BJ311"/>
      <c r="BK311"/>
      <c r="BL311"/>
      <c r="BM311"/>
      <c r="BN311"/>
      <c r="BO311"/>
      <c r="BP311" t="s">
        <v>2605</v>
      </c>
      <c r="BQ311" t="s">
        <v>2606</v>
      </c>
      <c r="BR311" t="s">
        <v>2605</v>
      </c>
      <c r="BS311" t="s">
        <v>2604</v>
      </c>
      <c r="BT311" t="s">
        <v>2603</v>
      </c>
      <c r="BU311" t="s">
        <v>2602</v>
      </c>
      <c r="BV311" t="s">
        <v>2601</v>
      </c>
      <c r="BW311" t="s">
        <v>2600</v>
      </c>
      <c r="BX311" t="s">
        <v>2599</v>
      </c>
      <c r="BY311" t="s">
        <v>2598</v>
      </c>
      <c r="BZ311" t="s">
        <v>2597</v>
      </c>
      <c r="CA311" t="s">
        <v>2596</v>
      </c>
      <c r="CB311"/>
      <c r="CC311"/>
      <c r="CD311"/>
      <c r="CE311"/>
      <c r="CF311"/>
      <c r="CG311"/>
      <c r="CH311"/>
      <c r="CI311"/>
      <c r="CJ311"/>
      <c r="CK311"/>
      <c r="CL311"/>
      <c r="CM311"/>
      <c r="CN311"/>
      <c r="CO311"/>
      <c r="CP311"/>
      <c r="CQ311"/>
      <c r="CR311"/>
      <c r="CS311"/>
      <c r="CT311"/>
      <c r="CU311"/>
      <c r="CV311"/>
      <c r="CW311"/>
      <c r="CX311" t="s">
        <v>2307</v>
      </c>
      <c r="CY311">
        <v>211</v>
      </c>
      <c r="CZ311" t="s">
        <v>2306</v>
      </c>
    </row>
    <row r="312" spans="1:104" ht="14.25">
      <c r="A312" t="s">
        <v>2595</v>
      </c>
      <c r="B312" t="s">
        <v>2594</v>
      </c>
      <c r="C312" t="s">
        <v>2593</v>
      </c>
      <c r="D312">
        <v>2</v>
      </c>
      <c r="E312" t="s">
        <v>2321</v>
      </c>
      <c r="F312" t="s">
        <v>2320</v>
      </c>
      <c r="G312" t="s">
        <v>2341</v>
      </c>
      <c r="H312"/>
      <c r="I312"/>
      <c r="J312" t="s">
        <v>2340</v>
      </c>
      <c r="K312"/>
      <c r="L312"/>
      <c r="M312">
        <v>16</v>
      </c>
      <c r="N312">
        <v>32</v>
      </c>
      <c r="O312">
        <v>5</v>
      </c>
      <c r="P312">
        <v>8</v>
      </c>
      <c r="Q312">
        <v>10</v>
      </c>
      <c r="R312" t="s">
        <v>2494</v>
      </c>
      <c r="S312" t="s">
        <v>2494</v>
      </c>
      <c r="T312" t="s">
        <v>2494</v>
      </c>
      <c r="U312" t="s">
        <v>2494</v>
      </c>
      <c r="V312">
        <v>30</v>
      </c>
      <c r="W312">
        <v>15</v>
      </c>
      <c r="X312"/>
      <c r="Y312">
        <v>60</v>
      </c>
      <c r="Z312">
        <v>30</v>
      </c>
      <c r="AA312">
        <v>14</v>
      </c>
      <c r="AB312">
        <v>10</v>
      </c>
      <c r="AC312">
        <v>14</v>
      </c>
      <c r="AD312">
        <v>5</v>
      </c>
      <c r="AE312">
        <v>10</v>
      </c>
      <c r="AF312">
        <v>11</v>
      </c>
      <c r="AG312">
        <v>102</v>
      </c>
      <c r="AH312"/>
      <c r="AI312"/>
      <c r="AJ312"/>
      <c r="AK312"/>
      <c r="AL312"/>
      <c r="AM312"/>
      <c r="AN312"/>
      <c r="AO312">
        <v>293</v>
      </c>
      <c r="AP312"/>
      <c r="AQ312"/>
      <c r="AR312"/>
      <c r="AS312"/>
      <c r="AT312"/>
      <c r="AU312"/>
      <c r="AV312"/>
      <c r="AW312"/>
      <c r="AX312"/>
      <c r="AY312"/>
      <c r="AZ312"/>
      <c r="BA312"/>
      <c r="BB312"/>
      <c r="BC312"/>
      <c r="BD312"/>
      <c r="BE312"/>
      <c r="BF312"/>
      <c r="BG312"/>
      <c r="BH312"/>
      <c r="BI312"/>
      <c r="BJ312"/>
      <c r="BK312"/>
      <c r="BL312"/>
      <c r="BM312"/>
      <c r="BN312"/>
      <c r="BO312"/>
      <c r="BP312" t="s">
        <v>2332</v>
      </c>
      <c r="BQ312" t="s">
        <v>2592</v>
      </c>
      <c r="BR312" t="s">
        <v>2591</v>
      </c>
      <c r="BS312" t="s">
        <v>2326</v>
      </c>
      <c r="BT312" t="s">
        <v>2590</v>
      </c>
      <c r="BU312" t="s">
        <v>2589</v>
      </c>
      <c r="BV312"/>
      <c r="BW312"/>
      <c r="BX312"/>
      <c r="BY312"/>
      <c r="BZ312"/>
      <c r="CA312"/>
      <c r="CB312"/>
      <c r="CC312"/>
      <c r="CD312"/>
      <c r="CE312"/>
      <c r="CF312"/>
      <c r="CG312"/>
      <c r="CH312"/>
      <c r="CI312"/>
      <c r="CJ312"/>
      <c r="CK312"/>
      <c r="CL312"/>
      <c r="CM312"/>
      <c r="CN312"/>
      <c r="CO312"/>
      <c r="CP312"/>
      <c r="CQ312"/>
      <c r="CR312"/>
      <c r="CS312"/>
      <c r="CT312"/>
      <c r="CU312"/>
      <c r="CV312"/>
      <c r="CW312"/>
      <c r="CX312" t="s">
        <v>2307</v>
      </c>
      <c r="CY312">
        <v>102</v>
      </c>
      <c r="CZ312" t="s">
        <v>2306</v>
      </c>
    </row>
    <row r="313" spans="1:104" ht="14.25">
      <c r="A313" t="s">
        <v>2588</v>
      </c>
      <c r="B313" t="s">
        <v>2588</v>
      </c>
      <c r="C313" t="s">
        <v>2587</v>
      </c>
      <c r="D313">
        <v>3</v>
      </c>
      <c r="E313" t="s">
        <v>2321</v>
      </c>
      <c r="F313" t="s">
        <v>2320</v>
      </c>
      <c r="G313" t="s">
        <v>2319</v>
      </c>
      <c r="H313"/>
      <c r="I313"/>
      <c r="J313" t="s">
        <v>2318</v>
      </c>
      <c r="K313"/>
      <c r="L313"/>
      <c r="M313">
        <v>14</v>
      </c>
      <c r="N313">
        <v>45</v>
      </c>
      <c r="O313">
        <v>6</v>
      </c>
      <c r="P313">
        <v>8</v>
      </c>
      <c r="Q313">
        <v>18</v>
      </c>
      <c r="R313" t="s">
        <v>2317</v>
      </c>
      <c r="S313" t="s">
        <v>2458</v>
      </c>
      <c r="T313" t="s">
        <v>2586</v>
      </c>
      <c r="U313" t="s">
        <v>2315</v>
      </c>
      <c r="V313">
        <v>30</v>
      </c>
      <c r="W313"/>
      <c r="X313"/>
      <c r="Y313"/>
      <c r="Z313"/>
      <c r="AA313">
        <v>15</v>
      </c>
      <c r="AB313">
        <v>14</v>
      </c>
      <c r="AC313">
        <v>16</v>
      </c>
      <c r="AD313">
        <v>10</v>
      </c>
      <c r="AE313">
        <v>13</v>
      </c>
      <c r="AF313">
        <v>15</v>
      </c>
      <c r="AG313">
        <v>300</v>
      </c>
      <c r="AH313"/>
      <c r="AI313"/>
      <c r="AJ313"/>
      <c r="AK313"/>
      <c r="AL313"/>
      <c r="AM313"/>
      <c r="AN313">
        <v>50</v>
      </c>
      <c r="AO313">
        <v>357</v>
      </c>
      <c r="AP313"/>
      <c r="AQ313">
        <v>26</v>
      </c>
      <c r="AR313"/>
      <c r="AS313" t="s">
        <v>2585</v>
      </c>
      <c r="AT313"/>
      <c r="AU313"/>
      <c r="AV313"/>
      <c r="AW313"/>
      <c r="AX313"/>
      <c r="AY313" t="s">
        <v>2518</v>
      </c>
      <c r="AZ313" t="s">
        <v>2584</v>
      </c>
      <c r="BA313" t="s">
        <v>2518</v>
      </c>
      <c r="BB313"/>
      <c r="BC313"/>
      <c r="BD313"/>
      <c r="BE313"/>
      <c r="BF313"/>
      <c r="BG313"/>
      <c r="BH313"/>
      <c r="BI313"/>
      <c r="BJ313"/>
      <c r="BK313"/>
      <c r="BL313"/>
      <c r="BM313"/>
      <c r="BN313"/>
      <c r="BO313"/>
      <c r="BP313" t="s">
        <v>2333</v>
      </c>
      <c r="BQ313" t="s">
        <v>2583</v>
      </c>
      <c r="BR313" t="s">
        <v>2333</v>
      </c>
      <c r="BS313" t="s">
        <v>2517</v>
      </c>
      <c r="BT313" t="s">
        <v>2582</v>
      </c>
      <c r="BU313" t="s">
        <v>2581</v>
      </c>
      <c r="BV313" t="s">
        <v>2580</v>
      </c>
      <c r="BW313" t="s">
        <v>2579</v>
      </c>
      <c r="BX313" t="s">
        <v>2578</v>
      </c>
      <c r="BY313" t="s">
        <v>2577</v>
      </c>
      <c r="BZ313" t="s">
        <v>2576</v>
      </c>
      <c r="CA313" t="s">
        <v>2575</v>
      </c>
      <c r="CB313"/>
      <c r="CC313"/>
      <c r="CD313"/>
      <c r="CE313"/>
      <c r="CF313"/>
      <c r="CG313"/>
      <c r="CH313"/>
      <c r="CI313"/>
      <c r="CJ313"/>
      <c r="CK313"/>
      <c r="CL313"/>
      <c r="CM313"/>
      <c r="CN313"/>
      <c r="CO313"/>
      <c r="CP313"/>
      <c r="CQ313"/>
      <c r="CR313"/>
      <c r="CS313"/>
      <c r="CT313"/>
      <c r="CU313"/>
      <c r="CV313"/>
      <c r="CW313"/>
      <c r="CX313" t="s">
        <v>2307</v>
      </c>
      <c r="CY313">
        <v>300</v>
      </c>
      <c r="CZ313" t="s">
        <v>2306</v>
      </c>
    </row>
    <row r="314" spans="1:104" ht="14.25">
      <c r="A314" t="s">
        <v>2574</v>
      </c>
      <c r="B314" t="s">
        <v>2574</v>
      </c>
      <c r="C314" t="s">
        <v>2573</v>
      </c>
      <c r="D314">
        <v>2</v>
      </c>
      <c r="E314" t="s">
        <v>2321</v>
      </c>
      <c r="F314" t="s">
        <v>2572</v>
      </c>
      <c r="G314" t="s">
        <v>2319</v>
      </c>
      <c r="H314"/>
      <c r="I314"/>
      <c r="J314" t="s">
        <v>2340</v>
      </c>
      <c r="K314"/>
      <c r="L314"/>
      <c r="M314">
        <v>19</v>
      </c>
      <c r="N314">
        <v>22</v>
      </c>
      <c r="O314">
        <v>9</v>
      </c>
      <c r="P314">
        <v>4</v>
      </c>
      <c r="Q314"/>
      <c r="R314" t="s">
        <v>2317</v>
      </c>
      <c r="S314" t="s">
        <v>2571</v>
      </c>
      <c r="T314" t="s">
        <v>2315</v>
      </c>
      <c r="U314" t="s">
        <v>2315</v>
      </c>
      <c r="V314">
        <v>0</v>
      </c>
      <c r="W314"/>
      <c r="X314"/>
      <c r="Y314">
        <v>50</v>
      </c>
      <c r="Z314"/>
      <c r="AA314">
        <v>1</v>
      </c>
      <c r="AB314">
        <v>28</v>
      </c>
      <c r="AC314">
        <v>10</v>
      </c>
      <c r="AD314">
        <v>13</v>
      </c>
      <c r="AE314">
        <v>14</v>
      </c>
      <c r="AF314">
        <v>11</v>
      </c>
      <c r="AG314">
        <v>301</v>
      </c>
      <c r="AH314"/>
      <c r="AI314"/>
      <c r="AJ314"/>
      <c r="AK314"/>
      <c r="AL314"/>
      <c r="AM314"/>
      <c r="AN314"/>
      <c r="AO314">
        <v>358</v>
      </c>
      <c r="AP314">
        <v>22</v>
      </c>
      <c r="AQ314"/>
      <c r="AR314"/>
      <c r="AS314" t="s">
        <v>2570</v>
      </c>
      <c r="AT314">
        <v>37</v>
      </c>
      <c r="AU314"/>
      <c r="AV314" t="s">
        <v>2569</v>
      </c>
      <c r="AW314"/>
      <c r="AX314" t="s">
        <v>2568</v>
      </c>
      <c r="AY314" t="s">
        <v>2566</v>
      </c>
      <c r="AZ314" t="s">
        <v>2567</v>
      </c>
      <c r="BA314" t="s">
        <v>2566</v>
      </c>
      <c r="BB314" t="s">
        <v>2564</v>
      </c>
      <c r="BC314" t="s">
        <v>2565</v>
      </c>
      <c r="BD314" t="s">
        <v>2564</v>
      </c>
      <c r="BE314" t="s">
        <v>2520</v>
      </c>
      <c r="BF314" t="s">
        <v>2563</v>
      </c>
      <c r="BG314" t="s">
        <v>2520</v>
      </c>
      <c r="BH314" t="s">
        <v>2562</v>
      </c>
      <c r="BI314" t="s">
        <v>2561</v>
      </c>
      <c r="BJ314"/>
      <c r="BK314"/>
      <c r="BL314"/>
      <c r="BM314"/>
      <c r="BN314"/>
      <c r="BO314"/>
      <c r="BP314" t="s">
        <v>2560</v>
      </c>
      <c r="BQ314" t="s">
        <v>2559</v>
      </c>
      <c r="BR314" t="s">
        <v>2558</v>
      </c>
      <c r="BS314" t="s">
        <v>2556</v>
      </c>
      <c r="BT314" t="s">
        <v>2557</v>
      </c>
      <c r="BU314" t="s">
        <v>2556</v>
      </c>
      <c r="BV314"/>
      <c r="BW314"/>
      <c r="BX314"/>
      <c r="BY314"/>
      <c r="BZ314"/>
      <c r="CA314"/>
      <c r="CB314"/>
      <c r="CC314"/>
      <c r="CD314"/>
      <c r="CE314"/>
      <c r="CF314"/>
      <c r="CG314"/>
      <c r="CH314"/>
      <c r="CI314"/>
      <c r="CJ314"/>
      <c r="CK314"/>
      <c r="CL314"/>
      <c r="CM314"/>
      <c r="CN314"/>
      <c r="CO314"/>
      <c r="CP314"/>
      <c r="CQ314"/>
      <c r="CR314"/>
      <c r="CS314"/>
      <c r="CT314"/>
      <c r="CU314"/>
      <c r="CV314"/>
      <c r="CW314"/>
      <c r="CX314" t="s">
        <v>2307</v>
      </c>
      <c r="CY314">
        <v>301</v>
      </c>
      <c r="CZ314" t="s">
        <v>2306</v>
      </c>
    </row>
    <row r="315" spans="1:104" ht="14.25">
      <c r="A315" t="s">
        <v>2555</v>
      </c>
      <c r="B315" t="s">
        <v>2554</v>
      </c>
      <c r="C315" t="s">
        <v>2553</v>
      </c>
      <c r="D315">
        <v>3</v>
      </c>
      <c r="E315" t="s">
        <v>2533</v>
      </c>
      <c r="F315" t="s">
        <v>2342</v>
      </c>
      <c r="G315" t="s">
        <v>2440</v>
      </c>
      <c r="H315"/>
      <c r="I315"/>
      <c r="J315" t="s">
        <v>2318</v>
      </c>
      <c r="K315"/>
      <c r="L315"/>
      <c r="M315">
        <v>13</v>
      </c>
      <c r="N315">
        <v>75</v>
      </c>
      <c r="O315">
        <v>10</v>
      </c>
      <c r="P315">
        <v>10</v>
      </c>
      <c r="Q315">
        <v>20</v>
      </c>
      <c r="R315" t="s">
        <v>2317</v>
      </c>
      <c r="S315" t="s">
        <v>2439</v>
      </c>
      <c r="T315" t="s">
        <v>2552</v>
      </c>
      <c r="U315" t="s">
        <v>2315</v>
      </c>
      <c r="V315">
        <v>50</v>
      </c>
      <c r="W315"/>
      <c r="X315"/>
      <c r="Y315"/>
      <c r="Z315"/>
      <c r="AA315">
        <v>18</v>
      </c>
      <c r="AB315">
        <v>13</v>
      </c>
      <c r="AC315">
        <v>14</v>
      </c>
      <c r="AD315">
        <v>7</v>
      </c>
      <c r="AE315">
        <v>12</v>
      </c>
      <c r="AF315">
        <v>8</v>
      </c>
      <c r="AG315">
        <v>340</v>
      </c>
      <c r="AH315"/>
      <c r="AI315"/>
      <c r="AJ315"/>
      <c r="AK315"/>
      <c r="AL315"/>
      <c r="AM315"/>
      <c r="AN315">
        <v>50</v>
      </c>
      <c r="AO315">
        <v>387</v>
      </c>
      <c r="AP315"/>
      <c r="AQ315"/>
      <c r="AR315"/>
      <c r="AS315"/>
      <c r="AT315"/>
      <c r="AU315"/>
      <c r="AV315" t="s">
        <v>2551</v>
      </c>
      <c r="AW315"/>
      <c r="AX315"/>
      <c r="AY315" t="s">
        <v>2528</v>
      </c>
      <c r="AZ315" t="s">
        <v>2539</v>
      </c>
      <c r="BA315" t="s">
        <v>2528</v>
      </c>
      <c r="BB315" t="s">
        <v>2452</v>
      </c>
      <c r="BC315" t="s">
        <v>2538</v>
      </c>
      <c r="BD315" t="s">
        <v>2452</v>
      </c>
      <c r="BE315" t="s">
        <v>2432</v>
      </c>
      <c r="BF315" t="s">
        <v>2550</v>
      </c>
      <c r="BG315" t="s">
        <v>2432</v>
      </c>
      <c r="BH315"/>
      <c r="BI315"/>
      <c r="BJ315"/>
      <c r="BK315"/>
      <c r="BL315"/>
      <c r="BM315"/>
      <c r="BN315"/>
      <c r="BO315"/>
      <c r="BP315" t="s">
        <v>2332</v>
      </c>
      <c r="BQ315" t="s">
        <v>2549</v>
      </c>
      <c r="BR315" t="s">
        <v>2548</v>
      </c>
      <c r="BS315" t="s">
        <v>2326</v>
      </c>
      <c r="BT315" t="s">
        <v>2547</v>
      </c>
      <c r="BU315" t="s">
        <v>2546</v>
      </c>
      <c r="BV315"/>
      <c r="BW315"/>
      <c r="BX315"/>
      <c r="BY315"/>
      <c r="BZ315"/>
      <c r="CA315"/>
      <c r="CB315"/>
      <c r="CC315"/>
      <c r="CD315"/>
      <c r="CE315"/>
      <c r="CF315"/>
      <c r="CG315"/>
      <c r="CH315"/>
      <c r="CI315"/>
      <c r="CJ315"/>
      <c r="CK315"/>
      <c r="CL315"/>
      <c r="CM315"/>
      <c r="CN315"/>
      <c r="CO315"/>
      <c r="CP315"/>
      <c r="CQ315"/>
      <c r="CR315"/>
      <c r="CS315"/>
      <c r="CT315"/>
      <c r="CU315"/>
      <c r="CV315"/>
      <c r="CW315"/>
      <c r="CX315" t="s">
        <v>2307</v>
      </c>
      <c r="CY315">
        <v>340</v>
      </c>
      <c r="CZ315" t="s">
        <v>2306</v>
      </c>
    </row>
    <row r="316" spans="1:104" ht="14.25">
      <c r="A316" t="s">
        <v>2545</v>
      </c>
      <c r="B316" t="s">
        <v>2545</v>
      </c>
      <c r="C316" t="s">
        <v>2544</v>
      </c>
      <c r="D316">
        <v>0.25</v>
      </c>
      <c r="E316" t="s">
        <v>2533</v>
      </c>
      <c r="F316" t="s">
        <v>2320</v>
      </c>
      <c r="G316" t="s">
        <v>2543</v>
      </c>
      <c r="H316"/>
      <c r="I316"/>
      <c r="J316" t="s">
        <v>1908</v>
      </c>
      <c r="K316"/>
      <c r="L316"/>
      <c r="M316">
        <v>13</v>
      </c>
      <c r="N316">
        <v>11</v>
      </c>
      <c r="O316">
        <v>2</v>
      </c>
      <c r="P316">
        <v>8</v>
      </c>
      <c r="Q316">
        <v>2</v>
      </c>
      <c r="R316" t="s">
        <v>2317</v>
      </c>
      <c r="S316" t="s">
        <v>2542</v>
      </c>
      <c r="T316" t="s">
        <v>2315</v>
      </c>
      <c r="U316" t="s">
        <v>2315</v>
      </c>
      <c r="V316">
        <v>40</v>
      </c>
      <c r="W316"/>
      <c r="X316"/>
      <c r="Y316"/>
      <c r="Z316"/>
      <c r="AA316">
        <v>12</v>
      </c>
      <c r="AB316">
        <v>15</v>
      </c>
      <c r="AC316">
        <v>12</v>
      </c>
      <c r="AD316">
        <v>3</v>
      </c>
      <c r="AE316">
        <v>12</v>
      </c>
      <c r="AF316">
        <v>6</v>
      </c>
      <c r="AG316">
        <v>341</v>
      </c>
      <c r="AH316">
        <v>311</v>
      </c>
      <c r="AI316"/>
      <c r="AJ316">
        <v>63</v>
      </c>
      <c r="AK316"/>
      <c r="AL316"/>
      <c r="AM316"/>
      <c r="AN316">
        <v>50</v>
      </c>
      <c r="AO316">
        <v>388</v>
      </c>
      <c r="AP316"/>
      <c r="AQ316">
        <v>26</v>
      </c>
      <c r="AR316"/>
      <c r="AS316" t="s">
        <v>2541</v>
      </c>
      <c r="AT316"/>
      <c r="AU316"/>
      <c r="AV316"/>
      <c r="AW316"/>
      <c r="AX316" t="s">
        <v>2540</v>
      </c>
      <c r="AY316" t="s">
        <v>2528</v>
      </c>
      <c r="AZ316" t="s">
        <v>2539</v>
      </c>
      <c r="BA316" t="s">
        <v>2528</v>
      </c>
      <c r="BB316" t="s">
        <v>2452</v>
      </c>
      <c r="BC316" t="s">
        <v>2538</v>
      </c>
      <c r="BD316" t="s">
        <v>2452</v>
      </c>
      <c r="BE316"/>
      <c r="BF316"/>
      <c r="BG316"/>
      <c r="BH316"/>
      <c r="BI316"/>
      <c r="BJ316"/>
      <c r="BK316"/>
      <c r="BL316"/>
      <c r="BM316"/>
      <c r="BN316"/>
      <c r="BO316"/>
      <c r="BP316" t="s">
        <v>2332</v>
      </c>
      <c r="BQ316" t="s">
        <v>2537</v>
      </c>
      <c r="BR316" t="s">
        <v>2536</v>
      </c>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t="s">
        <v>2307</v>
      </c>
      <c r="CY316">
        <v>341</v>
      </c>
      <c r="CZ316" t="s">
        <v>2306</v>
      </c>
    </row>
    <row r="317" spans="1:104" ht="14.25">
      <c r="A317" t="s">
        <v>2535</v>
      </c>
      <c r="B317" t="s">
        <v>2535</v>
      </c>
      <c r="C317" t="s">
        <v>2534</v>
      </c>
      <c r="D317">
        <v>0.5</v>
      </c>
      <c r="E317" t="s">
        <v>2533</v>
      </c>
      <c r="F317" t="s">
        <v>2342</v>
      </c>
      <c r="G317" t="s">
        <v>2440</v>
      </c>
      <c r="H317"/>
      <c r="I317"/>
      <c r="J317" t="s">
        <v>2318</v>
      </c>
      <c r="K317"/>
      <c r="L317"/>
      <c r="M317">
        <v>13</v>
      </c>
      <c r="N317">
        <v>26</v>
      </c>
      <c r="O317">
        <v>4</v>
      </c>
      <c r="P317">
        <v>10</v>
      </c>
      <c r="Q317">
        <v>4</v>
      </c>
      <c r="R317" t="s">
        <v>2317</v>
      </c>
      <c r="S317" t="s">
        <v>2532</v>
      </c>
      <c r="T317" t="s">
        <v>2315</v>
      </c>
      <c r="U317" t="s">
        <v>2315</v>
      </c>
      <c r="V317">
        <v>50</v>
      </c>
      <c r="W317"/>
      <c r="X317"/>
      <c r="Y317"/>
      <c r="Z317"/>
      <c r="AA317">
        <v>16</v>
      </c>
      <c r="AB317">
        <v>13</v>
      </c>
      <c r="AC317">
        <v>13</v>
      </c>
      <c r="AD317">
        <v>7</v>
      </c>
      <c r="AE317">
        <v>11</v>
      </c>
      <c r="AF317">
        <v>8</v>
      </c>
      <c r="AG317">
        <v>341</v>
      </c>
      <c r="AH317"/>
      <c r="AI317"/>
      <c r="AJ317"/>
      <c r="AK317"/>
      <c r="AL317"/>
      <c r="AM317"/>
      <c r="AN317">
        <v>51</v>
      </c>
      <c r="AO317">
        <v>388</v>
      </c>
      <c r="AP317"/>
      <c r="AQ317"/>
      <c r="AR317"/>
      <c r="AS317" t="s">
        <v>2531</v>
      </c>
      <c r="AT317"/>
      <c r="AU317"/>
      <c r="AV317"/>
      <c r="AW317"/>
      <c r="AX317" t="s">
        <v>2530</v>
      </c>
      <c r="AY317" t="s">
        <v>2528</v>
      </c>
      <c r="AZ317" t="s">
        <v>2529</v>
      </c>
      <c r="BA317" t="s">
        <v>2528</v>
      </c>
      <c r="BB317"/>
      <c r="BC317"/>
      <c r="BD317"/>
      <c r="BE317"/>
      <c r="BF317"/>
      <c r="BG317"/>
      <c r="BH317"/>
      <c r="BI317"/>
      <c r="BJ317"/>
      <c r="BK317"/>
      <c r="BL317"/>
      <c r="BM317"/>
      <c r="BN317"/>
      <c r="BO317"/>
      <c r="BP317" t="s">
        <v>2332</v>
      </c>
      <c r="BQ317" t="s">
        <v>2527</v>
      </c>
      <c r="BR317" t="s">
        <v>2526</v>
      </c>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t="s">
        <v>2307</v>
      </c>
      <c r="CY317">
        <v>341</v>
      </c>
      <c r="CZ317" t="s">
        <v>2306</v>
      </c>
    </row>
    <row r="318" spans="1:104" ht="14.25">
      <c r="A318" t="s">
        <v>2525</v>
      </c>
      <c r="B318" t="s">
        <v>2525</v>
      </c>
      <c r="C318" t="s">
        <v>2524</v>
      </c>
      <c r="D318">
        <v>5</v>
      </c>
      <c r="E318" t="s">
        <v>2321</v>
      </c>
      <c r="F318" t="s">
        <v>2320</v>
      </c>
      <c r="G318" t="s">
        <v>2319</v>
      </c>
      <c r="H318"/>
      <c r="I318"/>
      <c r="J318" t="s">
        <v>2318</v>
      </c>
      <c r="K318"/>
      <c r="L318"/>
      <c r="M318">
        <v>13</v>
      </c>
      <c r="N318">
        <v>67</v>
      </c>
      <c r="O318">
        <v>9</v>
      </c>
      <c r="P318">
        <v>8</v>
      </c>
      <c r="Q318">
        <v>27</v>
      </c>
      <c r="R318" t="s">
        <v>2317</v>
      </c>
      <c r="S318" t="s">
        <v>2523</v>
      </c>
      <c r="T318" t="s">
        <v>2315</v>
      </c>
      <c r="U318" t="s">
        <v>2315</v>
      </c>
      <c r="V318">
        <v>0</v>
      </c>
      <c r="W318"/>
      <c r="X318"/>
      <c r="Y318">
        <v>60</v>
      </c>
      <c r="Z318"/>
      <c r="AA318">
        <v>6</v>
      </c>
      <c r="AB318">
        <v>16</v>
      </c>
      <c r="AC318">
        <v>16</v>
      </c>
      <c r="AD318">
        <v>12</v>
      </c>
      <c r="AE318">
        <v>14</v>
      </c>
      <c r="AF318">
        <v>15</v>
      </c>
      <c r="AG318">
        <v>302</v>
      </c>
      <c r="AH318"/>
      <c r="AI318"/>
      <c r="AJ318"/>
      <c r="AK318"/>
      <c r="AL318"/>
      <c r="AM318"/>
      <c r="AN318"/>
      <c r="AO318">
        <v>358</v>
      </c>
      <c r="AP318"/>
      <c r="AQ318">
        <v>27</v>
      </c>
      <c r="AR318"/>
      <c r="AS318"/>
      <c r="AT318"/>
      <c r="AU318"/>
      <c r="AV318"/>
      <c r="AW318"/>
      <c r="AX318" t="s">
        <v>2522</v>
      </c>
      <c r="AY318" t="s">
        <v>2520</v>
      </c>
      <c r="AZ318" t="s">
        <v>2521</v>
      </c>
      <c r="BA318" t="s">
        <v>2520</v>
      </c>
      <c r="BB318" t="s">
        <v>2518</v>
      </c>
      <c r="BC318" t="s">
        <v>2519</v>
      </c>
      <c r="BD318" t="s">
        <v>2518</v>
      </c>
      <c r="BE318"/>
      <c r="BF318"/>
      <c r="BG318"/>
      <c r="BH318"/>
      <c r="BI318"/>
      <c r="BJ318"/>
      <c r="BK318"/>
      <c r="BL318"/>
      <c r="BM318"/>
      <c r="BN318"/>
      <c r="BO318"/>
      <c r="BP318" t="s">
        <v>2517</v>
      </c>
      <c r="BQ318" t="s">
        <v>2516</v>
      </c>
      <c r="BR318" t="s">
        <v>2515</v>
      </c>
      <c r="BS318" t="s">
        <v>2513</v>
      </c>
      <c r="BT318" t="s">
        <v>2514</v>
      </c>
      <c r="BU318" t="s">
        <v>2513</v>
      </c>
      <c r="BV318"/>
      <c r="BW318"/>
      <c r="BX318"/>
      <c r="BY318"/>
      <c r="BZ318"/>
      <c r="CA318"/>
      <c r="CB318"/>
      <c r="CC318"/>
      <c r="CD318"/>
      <c r="CE318"/>
      <c r="CF318"/>
      <c r="CG318"/>
      <c r="CH318"/>
      <c r="CI318"/>
      <c r="CJ318"/>
      <c r="CK318"/>
      <c r="CL318"/>
      <c r="CM318"/>
      <c r="CN318"/>
      <c r="CO318"/>
      <c r="CP318"/>
      <c r="CQ318"/>
      <c r="CR318"/>
      <c r="CS318"/>
      <c r="CT318"/>
      <c r="CU318"/>
      <c r="CV318"/>
      <c r="CW318"/>
      <c r="CX318" t="s">
        <v>2307</v>
      </c>
      <c r="CY318">
        <v>302</v>
      </c>
      <c r="CZ318" t="s">
        <v>2306</v>
      </c>
    </row>
    <row r="319" spans="1:104" ht="14.25">
      <c r="A319" t="s">
        <v>2512</v>
      </c>
      <c r="B319" t="s">
        <v>2512</v>
      </c>
      <c r="C319" t="s">
        <v>2511</v>
      </c>
      <c r="D319">
        <v>6</v>
      </c>
      <c r="E319" t="s">
        <v>2321</v>
      </c>
      <c r="F319" t="s">
        <v>2342</v>
      </c>
      <c r="G319" t="s">
        <v>2341</v>
      </c>
      <c r="H319"/>
      <c r="I319"/>
      <c r="J319" t="s">
        <v>1908</v>
      </c>
      <c r="K319"/>
      <c r="L319"/>
      <c r="M319">
        <v>13</v>
      </c>
      <c r="N319">
        <v>110</v>
      </c>
      <c r="O319">
        <v>13</v>
      </c>
      <c r="P319">
        <v>10</v>
      </c>
      <c r="Q319">
        <v>39</v>
      </c>
      <c r="R319" t="s">
        <v>2317</v>
      </c>
      <c r="S319" t="s">
        <v>2338</v>
      </c>
      <c r="T319" t="s">
        <v>2510</v>
      </c>
      <c r="U319" t="s">
        <v>2315</v>
      </c>
      <c r="V319">
        <v>20</v>
      </c>
      <c r="W319"/>
      <c r="X319"/>
      <c r="Y319">
        <v>80</v>
      </c>
      <c r="Z319"/>
      <c r="AA319">
        <v>19</v>
      </c>
      <c r="AB319">
        <v>10</v>
      </c>
      <c r="AC319">
        <v>16</v>
      </c>
      <c r="AD319">
        <v>5</v>
      </c>
      <c r="AE319">
        <v>12</v>
      </c>
      <c r="AF319">
        <v>6</v>
      </c>
      <c r="AG319">
        <v>303</v>
      </c>
      <c r="AH319"/>
      <c r="AI319"/>
      <c r="AJ319"/>
      <c r="AK319"/>
      <c r="AL319"/>
      <c r="AM319"/>
      <c r="AN319">
        <v>51</v>
      </c>
      <c r="AO319">
        <v>359</v>
      </c>
      <c r="AP319">
        <v>22</v>
      </c>
      <c r="AQ319"/>
      <c r="AR319"/>
      <c r="AS319" t="s">
        <v>2509</v>
      </c>
      <c r="AT319"/>
      <c r="AU319"/>
      <c r="AV319"/>
      <c r="AW319"/>
      <c r="AX319"/>
      <c r="AY319"/>
      <c r="AZ319"/>
      <c r="BA319"/>
      <c r="BB319"/>
      <c r="BC319"/>
      <c r="BD319"/>
      <c r="BE319"/>
      <c r="BF319"/>
      <c r="BG319"/>
      <c r="BH319"/>
      <c r="BI319"/>
      <c r="BJ319"/>
      <c r="BK319"/>
      <c r="BL319"/>
      <c r="BM319"/>
      <c r="BN319"/>
      <c r="BO319"/>
      <c r="BP319" t="s">
        <v>2333</v>
      </c>
      <c r="BQ319" t="s">
        <v>2508</v>
      </c>
      <c r="BR319" t="s">
        <v>2333</v>
      </c>
      <c r="BS319" t="s">
        <v>2332</v>
      </c>
      <c r="BT319" t="s">
        <v>2507</v>
      </c>
      <c r="BU319" t="s">
        <v>2506</v>
      </c>
      <c r="BV319" t="s">
        <v>2505</v>
      </c>
      <c r="BW319" t="s">
        <v>2504</v>
      </c>
      <c r="BX319" t="s">
        <v>2503</v>
      </c>
      <c r="BY319" t="s">
        <v>2502</v>
      </c>
      <c r="BZ319" t="s">
        <v>2501</v>
      </c>
      <c r="CA319" t="s">
        <v>2500</v>
      </c>
      <c r="CB319"/>
      <c r="CC319"/>
      <c r="CD319"/>
      <c r="CE319"/>
      <c r="CF319"/>
      <c r="CG319"/>
      <c r="CH319"/>
      <c r="CI319"/>
      <c r="CJ319"/>
      <c r="CK319"/>
      <c r="CL319"/>
      <c r="CM319"/>
      <c r="CN319"/>
      <c r="CO319"/>
      <c r="CP319"/>
      <c r="CQ319"/>
      <c r="CR319"/>
      <c r="CS319"/>
      <c r="CT319"/>
      <c r="CU319"/>
      <c r="CV319"/>
      <c r="CW319"/>
      <c r="CX319" t="s">
        <v>2307</v>
      </c>
      <c r="CY319">
        <v>303</v>
      </c>
      <c r="CZ319" t="s">
        <v>2306</v>
      </c>
    </row>
    <row r="320" spans="1:104" ht="14.25">
      <c r="A320" t="s">
        <v>2499</v>
      </c>
      <c r="B320" t="s">
        <v>2499</v>
      </c>
      <c r="C320" t="s">
        <v>2498</v>
      </c>
      <c r="D320">
        <v>0.5</v>
      </c>
      <c r="E320" t="s">
        <v>2321</v>
      </c>
      <c r="F320" t="s">
        <v>2497</v>
      </c>
      <c r="G320" t="s">
        <v>2461</v>
      </c>
      <c r="H320" t="s">
        <v>2496</v>
      </c>
      <c r="I320"/>
      <c r="J320" t="s">
        <v>2495</v>
      </c>
      <c r="K320"/>
      <c r="L320"/>
      <c r="M320">
        <v>15</v>
      </c>
      <c r="N320">
        <v>16</v>
      </c>
      <c r="O320">
        <v>3</v>
      </c>
      <c r="P320">
        <v>6</v>
      </c>
      <c r="Q320">
        <v>6</v>
      </c>
      <c r="R320" t="s">
        <v>2494</v>
      </c>
      <c r="S320" t="s">
        <v>2494</v>
      </c>
      <c r="T320" t="s">
        <v>2494</v>
      </c>
      <c r="U320" t="s">
        <v>2494</v>
      </c>
      <c r="V320">
        <v>20</v>
      </c>
      <c r="W320"/>
      <c r="X320"/>
      <c r="Y320"/>
      <c r="Z320"/>
      <c r="AA320">
        <v>15</v>
      </c>
      <c r="AB320">
        <v>14</v>
      </c>
      <c r="AC320">
        <v>14</v>
      </c>
      <c r="AD320">
        <v>12</v>
      </c>
      <c r="AE320">
        <v>10</v>
      </c>
      <c r="AF320">
        <v>9</v>
      </c>
      <c r="AG320">
        <v>164</v>
      </c>
      <c r="AH320"/>
      <c r="AI320"/>
      <c r="AJ320"/>
      <c r="AK320"/>
      <c r="AL320"/>
      <c r="AM320"/>
      <c r="AN320"/>
      <c r="AO320">
        <v>318</v>
      </c>
      <c r="AP320"/>
      <c r="AQ320"/>
      <c r="AR320"/>
      <c r="AS320"/>
      <c r="AT320">
        <v>13</v>
      </c>
      <c r="AU320"/>
      <c r="AV320" t="s">
        <v>2493</v>
      </c>
      <c r="AW320"/>
      <c r="AX320"/>
      <c r="AY320" t="s">
        <v>2473</v>
      </c>
      <c r="AZ320" t="s">
        <v>2492</v>
      </c>
      <c r="BA320" t="s">
        <v>2473</v>
      </c>
      <c r="BB320" t="s">
        <v>2490</v>
      </c>
      <c r="BC320" t="s">
        <v>2491</v>
      </c>
      <c r="BD320" t="s">
        <v>2490</v>
      </c>
      <c r="BE320" t="s">
        <v>2488</v>
      </c>
      <c r="BF320" t="s">
        <v>2489</v>
      </c>
      <c r="BG320" t="s">
        <v>2488</v>
      </c>
      <c r="BH320"/>
      <c r="BI320"/>
      <c r="BJ320"/>
      <c r="BK320"/>
      <c r="BL320"/>
      <c r="BM320"/>
      <c r="BN320"/>
      <c r="BO320"/>
      <c r="BP320" t="s">
        <v>2487</v>
      </c>
      <c r="BQ320" t="s">
        <v>2486</v>
      </c>
      <c r="BR320" t="s">
        <v>2485</v>
      </c>
      <c r="BS320" t="s">
        <v>2484</v>
      </c>
      <c r="BT320" t="s">
        <v>2483</v>
      </c>
      <c r="BU320" t="s">
        <v>2482</v>
      </c>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row>
    <row r="321" spans="1:104" ht="14.25">
      <c r="A321" t="s">
        <v>2481</v>
      </c>
      <c r="B321" t="s">
        <v>2481</v>
      </c>
      <c r="C321" t="s">
        <v>2480</v>
      </c>
      <c r="D321">
        <v>5</v>
      </c>
      <c r="E321" t="s">
        <v>2321</v>
      </c>
      <c r="F321" t="s">
        <v>2320</v>
      </c>
      <c r="G321" t="s">
        <v>2479</v>
      </c>
      <c r="H321"/>
      <c r="I321"/>
      <c r="J321" t="s">
        <v>1902</v>
      </c>
      <c r="K321"/>
      <c r="L321"/>
      <c r="M321">
        <v>19</v>
      </c>
      <c r="N321">
        <v>73</v>
      </c>
      <c r="O321">
        <v>7</v>
      </c>
      <c r="P321">
        <v>8</v>
      </c>
      <c r="Q321">
        <v>42</v>
      </c>
      <c r="R321" t="s">
        <v>2317</v>
      </c>
      <c r="S321" t="s">
        <v>2478</v>
      </c>
      <c r="T321" t="s">
        <v>2477</v>
      </c>
      <c r="U321" t="s">
        <v>2315</v>
      </c>
      <c r="V321">
        <v>20</v>
      </c>
      <c r="W321">
        <v>20</v>
      </c>
      <c r="X321"/>
      <c r="Y321"/>
      <c r="Z321"/>
      <c r="AA321">
        <v>17</v>
      </c>
      <c r="AB321">
        <v>10</v>
      </c>
      <c r="AC321">
        <v>22</v>
      </c>
      <c r="AD321">
        <v>11</v>
      </c>
      <c r="AE321">
        <v>10</v>
      </c>
      <c r="AF321">
        <v>11</v>
      </c>
      <c r="AG321">
        <v>304</v>
      </c>
      <c r="AH321"/>
      <c r="AI321"/>
      <c r="AJ321"/>
      <c r="AK321"/>
      <c r="AL321"/>
      <c r="AM321"/>
      <c r="AN321"/>
      <c r="AO321">
        <v>359</v>
      </c>
      <c r="AP321"/>
      <c r="AQ321"/>
      <c r="AR321"/>
      <c r="AS321"/>
      <c r="AT321">
        <v>38</v>
      </c>
      <c r="AU321"/>
      <c r="AV321"/>
      <c r="AW321"/>
      <c r="AX321"/>
      <c r="AY321" t="s">
        <v>2475</v>
      </c>
      <c r="AZ321" t="s">
        <v>2476</v>
      </c>
      <c r="BA321" t="s">
        <v>2475</v>
      </c>
      <c r="BB321" t="s">
        <v>2473</v>
      </c>
      <c r="BC321" t="s">
        <v>2474</v>
      </c>
      <c r="BD321" t="s">
        <v>2473</v>
      </c>
      <c r="BE321" t="s">
        <v>2471</v>
      </c>
      <c r="BF321" t="s">
        <v>2472</v>
      </c>
      <c r="BG321" t="s">
        <v>2471</v>
      </c>
      <c r="BH321"/>
      <c r="BI321"/>
      <c r="BJ321"/>
      <c r="BK321"/>
      <c r="BL321"/>
      <c r="BM321"/>
      <c r="BN321"/>
      <c r="BO321"/>
      <c r="BP321" t="s">
        <v>2333</v>
      </c>
      <c r="BQ321" t="s">
        <v>2470</v>
      </c>
      <c r="BR321" t="s">
        <v>2333</v>
      </c>
      <c r="BS321" t="s">
        <v>2332</v>
      </c>
      <c r="BT321" t="s">
        <v>2469</v>
      </c>
      <c r="BU321" t="s">
        <v>2468</v>
      </c>
      <c r="BV321" t="s">
        <v>2329</v>
      </c>
      <c r="BW321" t="s">
        <v>2467</v>
      </c>
      <c r="BX321" t="s">
        <v>2466</v>
      </c>
      <c r="BY321"/>
      <c r="BZ321"/>
      <c r="CA321"/>
      <c r="CB321"/>
      <c r="CC321"/>
      <c r="CD321"/>
      <c r="CE321"/>
      <c r="CF321"/>
      <c r="CG321"/>
      <c r="CH321"/>
      <c r="CI321"/>
      <c r="CJ321"/>
      <c r="CK321"/>
      <c r="CL321"/>
      <c r="CM321"/>
      <c r="CN321"/>
      <c r="CO321"/>
      <c r="CP321"/>
      <c r="CQ321"/>
      <c r="CR321"/>
      <c r="CS321"/>
      <c r="CT321"/>
      <c r="CU321"/>
      <c r="CV321"/>
      <c r="CW321"/>
      <c r="CX321" t="s">
        <v>2307</v>
      </c>
      <c r="CY321">
        <v>304</v>
      </c>
      <c r="CZ321" t="s">
        <v>2306</v>
      </c>
    </row>
    <row r="322" spans="1:104" ht="14.25">
      <c r="A322" t="s">
        <v>2465</v>
      </c>
      <c r="B322" t="s">
        <v>2464</v>
      </c>
      <c r="C322" t="s">
        <v>2463</v>
      </c>
      <c r="D322">
        <v>0.5</v>
      </c>
      <c r="E322" t="s">
        <v>2462</v>
      </c>
      <c r="F322" t="s">
        <v>2320</v>
      </c>
      <c r="G322" t="s">
        <v>2461</v>
      </c>
      <c r="H322" t="s">
        <v>2460</v>
      </c>
      <c r="I322"/>
      <c r="J322" t="s">
        <v>2459</v>
      </c>
      <c r="K322"/>
      <c r="L322"/>
      <c r="M322">
        <v>11</v>
      </c>
      <c r="N322">
        <v>32</v>
      </c>
      <c r="O322">
        <v>5</v>
      </c>
      <c r="P322">
        <v>8</v>
      </c>
      <c r="Q322">
        <v>10</v>
      </c>
      <c r="R322" t="s">
        <v>2317</v>
      </c>
      <c r="S322" t="s">
        <v>2458</v>
      </c>
      <c r="T322" t="s">
        <v>2457</v>
      </c>
      <c r="U322" t="s">
        <v>2315</v>
      </c>
      <c r="V322">
        <v>30</v>
      </c>
      <c r="W322"/>
      <c r="X322"/>
      <c r="Y322"/>
      <c r="Z322"/>
      <c r="AA322">
        <v>15</v>
      </c>
      <c r="AB322">
        <v>11</v>
      </c>
      <c r="AC322">
        <v>14</v>
      </c>
      <c r="AD322">
        <v>10</v>
      </c>
      <c r="AE322">
        <v>10</v>
      </c>
      <c r="AF322">
        <v>11</v>
      </c>
      <c r="AG322">
        <v>350</v>
      </c>
      <c r="AH322"/>
      <c r="AI322"/>
      <c r="AJ322"/>
      <c r="AK322"/>
      <c r="AL322"/>
      <c r="AM322"/>
      <c r="AN322">
        <v>55</v>
      </c>
      <c r="AO322">
        <v>397</v>
      </c>
      <c r="AP322"/>
      <c r="AQ322"/>
      <c r="AR322"/>
      <c r="AS322" t="s">
        <v>2456</v>
      </c>
      <c r="AT322"/>
      <c r="AU322"/>
      <c r="AV322" t="s">
        <v>2455</v>
      </c>
      <c r="AW322"/>
      <c r="AX322" t="s">
        <v>2454</v>
      </c>
      <c r="AY322" t="s">
        <v>2452</v>
      </c>
      <c r="AZ322" t="s">
        <v>2453</v>
      </c>
      <c r="BA322" t="s">
        <v>2452</v>
      </c>
      <c r="BB322"/>
      <c r="BC322"/>
      <c r="BD322"/>
      <c r="BE322"/>
      <c r="BF322"/>
      <c r="BG322"/>
      <c r="BH322"/>
      <c r="BI322"/>
      <c r="BJ322"/>
      <c r="BK322"/>
      <c r="BL322"/>
      <c r="BM322"/>
      <c r="BN322"/>
      <c r="BO322"/>
      <c r="BP322" t="s">
        <v>2333</v>
      </c>
      <c r="BQ322" t="s">
        <v>2451</v>
      </c>
      <c r="BR322" t="s">
        <v>2333</v>
      </c>
      <c r="BS322" t="s">
        <v>2450</v>
      </c>
      <c r="BT322" t="s">
        <v>2449</v>
      </c>
      <c r="BU322" t="s">
        <v>2448</v>
      </c>
      <c r="BV322" t="s">
        <v>2447</v>
      </c>
      <c r="BW322" t="s">
        <v>2446</v>
      </c>
      <c r="BX322" t="s">
        <v>2445</v>
      </c>
      <c r="BY322"/>
      <c r="BZ322"/>
      <c r="CA322"/>
      <c r="CB322"/>
      <c r="CC322"/>
      <c r="CD322"/>
      <c r="CE322"/>
      <c r="CF322"/>
      <c r="CG322"/>
      <c r="CH322"/>
      <c r="CI322"/>
      <c r="CJ322"/>
      <c r="CK322"/>
      <c r="CL322"/>
      <c r="CM322"/>
      <c r="CN322"/>
      <c r="CO322"/>
      <c r="CP322"/>
      <c r="CQ322"/>
      <c r="CR322"/>
      <c r="CS322"/>
      <c r="CT322"/>
      <c r="CU322"/>
      <c r="CV322"/>
      <c r="CW322"/>
      <c r="CX322"/>
      <c r="CY322" t="s">
        <v>2444</v>
      </c>
      <c r="CZ322" t="s">
        <v>2443</v>
      </c>
    </row>
    <row r="323" spans="1:104" ht="14.25">
      <c r="A323" t="s">
        <v>2442</v>
      </c>
      <c r="B323" t="s">
        <v>2442</v>
      </c>
      <c r="C323" t="s">
        <v>2441</v>
      </c>
      <c r="D323">
        <v>3</v>
      </c>
      <c r="E323" t="s">
        <v>2321</v>
      </c>
      <c r="F323" t="s">
        <v>2342</v>
      </c>
      <c r="G323" t="s">
        <v>2440</v>
      </c>
      <c r="H323"/>
      <c r="I323"/>
      <c r="J323" t="s">
        <v>2340</v>
      </c>
      <c r="K323"/>
      <c r="L323"/>
      <c r="M323">
        <v>12</v>
      </c>
      <c r="N323">
        <v>51</v>
      </c>
      <c r="O323">
        <v>6</v>
      </c>
      <c r="P323">
        <v>10</v>
      </c>
      <c r="Q323">
        <v>18</v>
      </c>
      <c r="R323" t="s">
        <v>2317</v>
      </c>
      <c r="S323" t="s">
        <v>2439</v>
      </c>
      <c r="T323" t="s">
        <v>2315</v>
      </c>
      <c r="U323" t="s">
        <v>2315</v>
      </c>
      <c r="V323">
        <v>40</v>
      </c>
      <c r="W323"/>
      <c r="X323">
        <v>40</v>
      </c>
      <c r="Y323"/>
      <c r="Z323"/>
      <c r="AA323">
        <v>18</v>
      </c>
      <c r="AB323">
        <v>13</v>
      </c>
      <c r="AC323">
        <v>16</v>
      </c>
      <c r="AD323">
        <v>8</v>
      </c>
      <c r="AE323">
        <v>12</v>
      </c>
      <c r="AF323">
        <v>7</v>
      </c>
      <c r="AG323">
        <v>305</v>
      </c>
      <c r="AH323"/>
      <c r="AI323"/>
      <c r="AJ323"/>
      <c r="AK323"/>
      <c r="AL323"/>
      <c r="AM323"/>
      <c r="AN323">
        <v>51</v>
      </c>
      <c r="AO323"/>
      <c r="AP323"/>
      <c r="AQ323"/>
      <c r="AR323"/>
      <c r="AS323"/>
      <c r="AT323"/>
      <c r="AU323"/>
      <c r="AV323" t="s">
        <v>2438</v>
      </c>
      <c r="AW323"/>
      <c r="AX323"/>
      <c r="AY323" t="s">
        <v>2436</v>
      </c>
      <c r="AZ323" t="s">
        <v>2437</v>
      </c>
      <c r="BA323" t="s">
        <v>2436</v>
      </c>
      <c r="BB323" t="s">
        <v>2434</v>
      </c>
      <c r="BC323" t="s">
        <v>2435</v>
      </c>
      <c r="BD323" t="s">
        <v>2434</v>
      </c>
      <c r="BE323" t="s">
        <v>2432</v>
      </c>
      <c r="BF323" t="s">
        <v>2433</v>
      </c>
      <c r="BG323" t="s">
        <v>2432</v>
      </c>
      <c r="BH323"/>
      <c r="BI323"/>
      <c r="BJ323"/>
      <c r="BK323"/>
      <c r="BL323"/>
      <c r="BM323"/>
      <c r="BN323"/>
      <c r="BO323"/>
      <c r="BP323" t="s">
        <v>2333</v>
      </c>
      <c r="BQ323" t="s">
        <v>2431</v>
      </c>
      <c r="BR323" t="s">
        <v>2333</v>
      </c>
      <c r="BS323" t="s">
        <v>2329</v>
      </c>
      <c r="BT323" t="s">
        <v>2430</v>
      </c>
      <c r="BU323" t="s">
        <v>2429</v>
      </c>
      <c r="BV323" t="s">
        <v>2427</v>
      </c>
      <c r="BW323" t="s">
        <v>2428</v>
      </c>
      <c r="BX323" t="s">
        <v>2427</v>
      </c>
      <c r="BY323"/>
      <c r="BZ323"/>
      <c r="CA323"/>
      <c r="CB323"/>
      <c r="CC323"/>
      <c r="CD323"/>
      <c r="CE323"/>
      <c r="CF323"/>
      <c r="CG323"/>
      <c r="CH323"/>
      <c r="CI323"/>
      <c r="CJ323"/>
      <c r="CK323"/>
      <c r="CL323"/>
      <c r="CM323"/>
      <c r="CN323"/>
      <c r="CO323"/>
      <c r="CP323"/>
      <c r="CQ323"/>
      <c r="CR323"/>
      <c r="CS323"/>
      <c r="CT323"/>
      <c r="CU323"/>
      <c r="CV323"/>
      <c r="CW323"/>
      <c r="CX323" t="s">
        <v>2307</v>
      </c>
      <c r="CY323">
        <v>305</v>
      </c>
      <c r="CZ323" t="s">
        <v>2306</v>
      </c>
    </row>
    <row r="324" spans="1:104" ht="14.25">
      <c r="A324" t="s">
        <v>2426</v>
      </c>
      <c r="B324" t="s">
        <v>2425</v>
      </c>
      <c r="C324" t="s">
        <v>2424</v>
      </c>
      <c r="D324">
        <v>7</v>
      </c>
      <c r="E324" t="s">
        <v>2321</v>
      </c>
      <c r="F324" t="s">
        <v>2342</v>
      </c>
      <c r="G324" t="s">
        <v>2341</v>
      </c>
      <c r="H324"/>
      <c r="I324"/>
      <c r="J324" t="s">
        <v>2340</v>
      </c>
      <c r="K324"/>
      <c r="L324"/>
      <c r="M324">
        <v>18</v>
      </c>
      <c r="N324">
        <v>127</v>
      </c>
      <c r="O324">
        <v>15</v>
      </c>
      <c r="P324">
        <v>10</v>
      </c>
      <c r="Q324">
        <v>45</v>
      </c>
      <c r="R324" t="s">
        <v>2317</v>
      </c>
      <c r="S324" t="s">
        <v>2339</v>
      </c>
      <c r="T324" t="s">
        <v>2338</v>
      </c>
      <c r="U324" t="s">
        <v>2337</v>
      </c>
      <c r="V324">
        <v>40</v>
      </c>
      <c r="W324"/>
      <c r="X324"/>
      <c r="Y324">
        <v>80</v>
      </c>
      <c r="Z324">
        <v>40</v>
      </c>
      <c r="AA324">
        <v>19</v>
      </c>
      <c r="AB324">
        <v>14</v>
      </c>
      <c r="AC324">
        <v>17</v>
      </c>
      <c r="AD324">
        <v>12</v>
      </c>
      <c r="AE324">
        <v>11</v>
      </c>
      <c r="AF324">
        <v>15</v>
      </c>
      <c r="AG324">
        <v>88</v>
      </c>
      <c r="AH324"/>
      <c r="AI324"/>
      <c r="AJ324"/>
      <c r="AK324"/>
      <c r="AL324"/>
      <c r="AM324"/>
      <c r="AN324"/>
      <c r="AO324">
        <v>284</v>
      </c>
      <c r="AP324"/>
      <c r="AQ324"/>
      <c r="AR324"/>
      <c r="AS324" t="s">
        <v>2423</v>
      </c>
      <c r="AT324"/>
      <c r="AU324"/>
      <c r="AV324"/>
      <c r="AW324"/>
      <c r="AX324"/>
      <c r="AY324" t="s">
        <v>2373</v>
      </c>
      <c r="AZ324" t="s">
        <v>2374</v>
      </c>
      <c r="BA324" t="s">
        <v>2373</v>
      </c>
      <c r="BB324"/>
      <c r="BC324"/>
      <c r="BD324"/>
      <c r="BE324"/>
      <c r="BF324"/>
      <c r="BG324"/>
      <c r="BH324"/>
      <c r="BI324"/>
      <c r="BJ324"/>
      <c r="BK324"/>
      <c r="BL324"/>
      <c r="BM324"/>
      <c r="BN324"/>
      <c r="BO324"/>
      <c r="BP324" t="s">
        <v>2333</v>
      </c>
      <c r="BQ324" t="s">
        <v>2334</v>
      </c>
      <c r="BR324" t="s">
        <v>2333</v>
      </c>
      <c r="BS324" t="s">
        <v>2332</v>
      </c>
      <c r="BT324" t="s">
        <v>2422</v>
      </c>
      <c r="BU324" t="s">
        <v>2330</v>
      </c>
      <c r="BV324" t="s">
        <v>2329</v>
      </c>
      <c r="BW324" t="s">
        <v>2328</v>
      </c>
      <c r="BX324" t="s">
        <v>2327</v>
      </c>
      <c r="BY324" t="s">
        <v>2421</v>
      </c>
      <c r="BZ324" t="s">
        <v>2420</v>
      </c>
      <c r="CA324" t="s">
        <v>2419</v>
      </c>
      <c r="CB324"/>
      <c r="CC324"/>
      <c r="CD324"/>
      <c r="CE324"/>
      <c r="CF324"/>
      <c r="CG324"/>
      <c r="CH324"/>
      <c r="CI324"/>
      <c r="CJ324"/>
      <c r="CK324"/>
      <c r="CL324"/>
      <c r="CM324"/>
      <c r="CN324"/>
      <c r="CO324"/>
      <c r="CP324"/>
      <c r="CQ324"/>
      <c r="CR324"/>
      <c r="CS324"/>
      <c r="CT324"/>
      <c r="CU324"/>
      <c r="CV324"/>
      <c r="CW324"/>
      <c r="CX324" t="s">
        <v>2307</v>
      </c>
      <c r="CY324">
        <v>88</v>
      </c>
      <c r="CZ324" t="s">
        <v>2306</v>
      </c>
    </row>
    <row r="325" spans="1:104" ht="14.25">
      <c r="A325" t="s">
        <v>2418</v>
      </c>
      <c r="B325" t="s">
        <v>2417</v>
      </c>
      <c r="C325" t="s">
        <v>2416</v>
      </c>
      <c r="D325">
        <v>9</v>
      </c>
      <c r="E325" t="s">
        <v>2321</v>
      </c>
      <c r="F325" t="s">
        <v>2342</v>
      </c>
      <c r="G325" t="s">
        <v>2341</v>
      </c>
      <c r="H325"/>
      <c r="I325"/>
      <c r="J325" t="s">
        <v>2375</v>
      </c>
      <c r="K325"/>
      <c r="L325"/>
      <c r="M325">
        <v>18</v>
      </c>
      <c r="N325">
        <v>152</v>
      </c>
      <c r="O325">
        <v>16</v>
      </c>
      <c r="P325">
        <v>10</v>
      </c>
      <c r="Q325">
        <v>64</v>
      </c>
      <c r="R325" t="s">
        <v>2317</v>
      </c>
      <c r="S325" t="s">
        <v>2415</v>
      </c>
      <c r="T325" t="s">
        <v>2414</v>
      </c>
      <c r="U325" t="s">
        <v>2315</v>
      </c>
      <c r="V325">
        <v>40</v>
      </c>
      <c r="W325">
        <v>20</v>
      </c>
      <c r="X325"/>
      <c r="Y325">
        <v>80</v>
      </c>
      <c r="Z325"/>
      <c r="AA325">
        <v>21</v>
      </c>
      <c r="AB325">
        <v>10</v>
      </c>
      <c r="AC325">
        <v>19</v>
      </c>
      <c r="AD325">
        <v>14</v>
      </c>
      <c r="AE325">
        <v>13</v>
      </c>
      <c r="AF325">
        <v>17</v>
      </c>
      <c r="AG325">
        <v>91</v>
      </c>
      <c r="AH325"/>
      <c r="AI325"/>
      <c r="AJ325"/>
      <c r="AK325"/>
      <c r="AL325"/>
      <c r="AM325"/>
      <c r="AN325"/>
      <c r="AO325">
        <v>286</v>
      </c>
      <c r="AP325"/>
      <c r="AQ325"/>
      <c r="AR325"/>
      <c r="AS325"/>
      <c r="AT325"/>
      <c r="AU325"/>
      <c r="AV325"/>
      <c r="AW325"/>
      <c r="AX325"/>
      <c r="AY325"/>
      <c r="AZ325"/>
      <c r="BA325"/>
      <c r="BB325"/>
      <c r="BC325"/>
      <c r="BD325"/>
      <c r="BE325"/>
      <c r="BF325"/>
      <c r="BG325"/>
      <c r="BH325"/>
      <c r="BI325"/>
      <c r="BJ325"/>
      <c r="BK325"/>
      <c r="BL325"/>
      <c r="BM325"/>
      <c r="BN325"/>
      <c r="BO325"/>
      <c r="BP325" t="s">
        <v>2333</v>
      </c>
      <c r="BQ325" t="s">
        <v>2334</v>
      </c>
      <c r="BR325" t="s">
        <v>2333</v>
      </c>
      <c r="BS325" t="s">
        <v>2332</v>
      </c>
      <c r="BT325" t="s">
        <v>2413</v>
      </c>
      <c r="BU325" t="s">
        <v>2412</v>
      </c>
      <c r="BV325" t="s">
        <v>2329</v>
      </c>
      <c r="BW325" t="s">
        <v>2411</v>
      </c>
      <c r="BX325" t="s">
        <v>2410</v>
      </c>
      <c r="BY325" t="s">
        <v>2409</v>
      </c>
      <c r="BZ325" t="s">
        <v>2408</v>
      </c>
      <c r="CA325" t="s">
        <v>2392</v>
      </c>
      <c r="CB325"/>
      <c r="CC325"/>
      <c r="CD325"/>
      <c r="CE325"/>
      <c r="CF325"/>
      <c r="CG325"/>
      <c r="CH325"/>
      <c r="CI325"/>
      <c r="CJ325"/>
      <c r="CK325"/>
      <c r="CL325"/>
      <c r="CM325"/>
      <c r="CN325"/>
      <c r="CO325"/>
      <c r="CP325"/>
      <c r="CQ325"/>
      <c r="CR325"/>
      <c r="CS325"/>
      <c r="CT325"/>
      <c r="CU325"/>
      <c r="CV325"/>
      <c r="CW325"/>
      <c r="CX325" t="s">
        <v>2307</v>
      </c>
      <c r="CY325">
        <v>91</v>
      </c>
      <c r="CZ325" t="s">
        <v>2306</v>
      </c>
    </row>
    <row r="326" spans="1:104" ht="14.25">
      <c r="A326" t="s">
        <v>2407</v>
      </c>
      <c r="B326" t="s">
        <v>2406</v>
      </c>
      <c r="C326" t="s">
        <v>2405</v>
      </c>
      <c r="D326">
        <v>6</v>
      </c>
      <c r="E326" t="s">
        <v>2321</v>
      </c>
      <c r="F326" t="s">
        <v>2342</v>
      </c>
      <c r="G326" t="s">
        <v>2341</v>
      </c>
      <c r="H326"/>
      <c r="I326"/>
      <c r="J326" t="s">
        <v>2388</v>
      </c>
      <c r="K326"/>
      <c r="L326"/>
      <c r="M326">
        <v>17</v>
      </c>
      <c r="N326">
        <v>110</v>
      </c>
      <c r="O326">
        <v>13</v>
      </c>
      <c r="P326">
        <v>10</v>
      </c>
      <c r="Q326">
        <v>39</v>
      </c>
      <c r="R326" t="s">
        <v>2317</v>
      </c>
      <c r="S326" t="s">
        <v>2339</v>
      </c>
      <c r="T326" t="s">
        <v>2338</v>
      </c>
      <c r="U326" t="s">
        <v>2315</v>
      </c>
      <c r="V326">
        <v>40</v>
      </c>
      <c r="W326">
        <v>20</v>
      </c>
      <c r="X326"/>
      <c r="Y326">
        <v>80</v>
      </c>
      <c r="Z326"/>
      <c r="AA326">
        <v>19</v>
      </c>
      <c r="AB326">
        <v>10</v>
      </c>
      <c r="AC326">
        <v>17</v>
      </c>
      <c r="AD326">
        <v>12</v>
      </c>
      <c r="AE326">
        <v>11</v>
      </c>
      <c r="AF326">
        <v>15</v>
      </c>
      <c r="AG326">
        <v>105</v>
      </c>
      <c r="AH326"/>
      <c r="AI326"/>
      <c r="AJ326"/>
      <c r="AK326"/>
      <c r="AL326"/>
      <c r="AM326"/>
      <c r="AN326"/>
      <c r="AO326">
        <v>295</v>
      </c>
      <c r="AP326"/>
      <c r="AQ326"/>
      <c r="AR326"/>
      <c r="AS326"/>
      <c r="AT326"/>
      <c r="AU326"/>
      <c r="AV326"/>
      <c r="AW326"/>
      <c r="AX326"/>
      <c r="AY326"/>
      <c r="AZ326"/>
      <c r="BA326"/>
      <c r="BB326"/>
      <c r="BC326"/>
      <c r="BD326"/>
      <c r="BE326"/>
      <c r="BF326"/>
      <c r="BG326"/>
      <c r="BH326"/>
      <c r="BI326"/>
      <c r="BJ326"/>
      <c r="BK326"/>
      <c r="BL326"/>
      <c r="BM326"/>
      <c r="BN326"/>
      <c r="BO326"/>
      <c r="BP326" t="s">
        <v>2333</v>
      </c>
      <c r="BQ326" t="s">
        <v>2334</v>
      </c>
      <c r="BR326" t="s">
        <v>2333</v>
      </c>
      <c r="BS326" t="s">
        <v>2332</v>
      </c>
      <c r="BT326" t="s">
        <v>2387</v>
      </c>
      <c r="BU326" t="s">
        <v>2386</v>
      </c>
      <c r="BV326" t="s">
        <v>2329</v>
      </c>
      <c r="BW326" t="s">
        <v>2328</v>
      </c>
      <c r="BX326" t="s">
        <v>2327</v>
      </c>
      <c r="BY326" t="s">
        <v>2348</v>
      </c>
      <c r="BZ326" t="s">
        <v>2404</v>
      </c>
      <c r="CA326" t="s">
        <v>2403</v>
      </c>
      <c r="CB326"/>
      <c r="CC326"/>
      <c r="CD326"/>
      <c r="CE326"/>
      <c r="CF326"/>
      <c r="CG326"/>
      <c r="CH326"/>
      <c r="CI326"/>
      <c r="CJ326"/>
      <c r="CK326"/>
      <c r="CL326"/>
      <c r="CM326"/>
      <c r="CN326"/>
      <c r="CO326"/>
      <c r="CP326"/>
      <c r="CQ326"/>
      <c r="CR326"/>
      <c r="CS326"/>
      <c r="CT326"/>
      <c r="CU326"/>
      <c r="CV326"/>
      <c r="CW326"/>
      <c r="CX326" t="s">
        <v>2307</v>
      </c>
      <c r="CY326">
        <v>105</v>
      </c>
      <c r="CZ326" t="s">
        <v>2306</v>
      </c>
    </row>
    <row r="327" spans="1:104" ht="14.25">
      <c r="A327" t="s">
        <v>2402</v>
      </c>
      <c r="B327" t="s">
        <v>2401</v>
      </c>
      <c r="C327" t="s">
        <v>2400</v>
      </c>
      <c r="D327">
        <v>8</v>
      </c>
      <c r="E327" t="s">
        <v>2321</v>
      </c>
      <c r="F327" t="s">
        <v>2342</v>
      </c>
      <c r="G327" t="s">
        <v>2341</v>
      </c>
      <c r="H327"/>
      <c r="I327"/>
      <c r="J327" t="s">
        <v>2355</v>
      </c>
      <c r="K327"/>
      <c r="L327"/>
      <c r="M327">
        <v>18</v>
      </c>
      <c r="N327">
        <v>142</v>
      </c>
      <c r="O327">
        <v>15</v>
      </c>
      <c r="P327">
        <v>10</v>
      </c>
      <c r="Q327">
        <v>60</v>
      </c>
      <c r="R327" t="s">
        <v>2317</v>
      </c>
      <c r="S327" t="s">
        <v>2399</v>
      </c>
      <c r="T327" t="s">
        <v>2398</v>
      </c>
      <c r="U327" t="s">
        <v>2315</v>
      </c>
      <c r="V327">
        <v>40</v>
      </c>
      <c r="W327"/>
      <c r="X327"/>
      <c r="Y327">
        <v>80</v>
      </c>
      <c r="Z327">
        <v>40</v>
      </c>
      <c r="AA327">
        <v>21</v>
      </c>
      <c r="AB327">
        <v>10</v>
      </c>
      <c r="AC327">
        <v>19</v>
      </c>
      <c r="AD327">
        <v>14</v>
      </c>
      <c r="AE327">
        <v>13</v>
      </c>
      <c r="AF327">
        <v>17</v>
      </c>
      <c r="AG327">
        <v>108</v>
      </c>
      <c r="AH327"/>
      <c r="AI327"/>
      <c r="AJ327"/>
      <c r="AK327"/>
      <c r="AL327"/>
      <c r="AM327"/>
      <c r="AN327"/>
      <c r="AO327">
        <v>298</v>
      </c>
      <c r="AP327"/>
      <c r="AQ327"/>
      <c r="AR327"/>
      <c r="AS327"/>
      <c r="AT327"/>
      <c r="AU327"/>
      <c r="AV327"/>
      <c r="AW327"/>
      <c r="AX327"/>
      <c r="AY327" t="s">
        <v>2373</v>
      </c>
      <c r="AZ327" t="s">
        <v>2374</v>
      </c>
      <c r="BA327" t="s">
        <v>2373</v>
      </c>
      <c r="BB327"/>
      <c r="BC327"/>
      <c r="BD327"/>
      <c r="BE327"/>
      <c r="BF327"/>
      <c r="BG327"/>
      <c r="BH327"/>
      <c r="BI327"/>
      <c r="BJ327"/>
      <c r="BK327"/>
      <c r="BL327"/>
      <c r="BM327"/>
      <c r="BN327"/>
      <c r="BO327"/>
      <c r="BP327" t="s">
        <v>2333</v>
      </c>
      <c r="BQ327" t="s">
        <v>2334</v>
      </c>
      <c r="BR327" t="s">
        <v>2333</v>
      </c>
      <c r="BS327" t="s">
        <v>2332</v>
      </c>
      <c r="BT327" t="s">
        <v>2397</v>
      </c>
      <c r="BU327" t="s">
        <v>2396</v>
      </c>
      <c r="BV327" t="s">
        <v>2329</v>
      </c>
      <c r="BW327" t="s">
        <v>2395</v>
      </c>
      <c r="BX327" t="s">
        <v>2394</v>
      </c>
      <c r="BY327" t="s">
        <v>2348</v>
      </c>
      <c r="BZ327" t="s">
        <v>2393</v>
      </c>
      <c r="CA327" t="s">
        <v>2392</v>
      </c>
      <c r="CB327"/>
      <c r="CC327"/>
      <c r="CD327"/>
      <c r="CE327"/>
      <c r="CF327"/>
      <c r="CG327"/>
      <c r="CH327"/>
      <c r="CI327"/>
      <c r="CJ327"/>
      <c r="CK327"/>
      <c r="CL327"/>
      <c r="CM327"/>
      <c r="CN327"/>
      <c r="CO327"/>
      <c r="CP327"/>
      <c r="CQ327"/>
      <c r="CR327"/>
      <c r="CS327"/>
      <c r="CT327"/>
      <c r="CU327"/>
      <c r="CV327"/>
      <c r="CW327"/>
      <c r="CX327" t="s">
        <v>2307</v>
      </c>
      <c r="CY327">
        <v>108</v>
      </c>
      <c r="CZ327" t="s">
        <v>2306</v>
      </c>
    </row>
    <row r="328" spans="1:104" ht="14.25">
      <c r="A328" t="s">
        <v>2391</v>
      </c>
      <c r="B328" t="s">
        <v>2390</v>
      </c>
      <c r="C328" t="s">
        <v>2389</v>
      </c>
      <c r="D328">
        <v>7</v>
      </c>
      <c r="E328" t="s">
        <v>2321</v>
      </c>
      <c r="F328" t="s">
        <v>2342</v>
      </c>
      <c r="G328" t="s">
        <v>2341</v>
      </c>
      <c r="H328"/>
      <c r="I328"/>
      <c r="J328" t="s">
        <v>2388</v>
      </c>
      <c r="K328"/>
      <c r="L328"/>
      <c r="M328">
        <v>17</v>
      </c>
      <c r="N328">
        <v>119</v>
      </c>
      <c r="O328">
        <v>14</v>
      </c>
      <c r="P328">
        <v>10</v>
      </c>
      <c r="Q328">
        <v>42</v>
      </c>
      <c r="R328" t="s">
        <v>2317</v>
      </c>
      <c r="S328" t="s">
        <v>2339</v>
      </c>
      <c r="T328" t="s">
        <v>2338</v>
      </c>
      <c r="U328" t="s">
        <v>2315</v>
      </c>
      <c r="V328">
        <v>40</v>
      </c>
      <c r="W328"/>
      <c r="X328">
        <v>40</v>
      </c>
      <c r="Y328">
        <v>80</v>
      </c>
      <c r="Z328"/>
      <c r="AA328">
        <v>19</v>
      </c>
      <c r="AB328">
        <v>12</v>
      </c>
      <c r="AC328">
        <v>17</v>
      </c>
      <c r="AD328">
        <v>16</v>
      </c>
      <c r="AE328">
        <v>13</v>
      </c>
      <c r="AF328">
        <v>15</v>
      </c>
      <c r="AG328">
        <v>111</v>
      </c>
      <c r="AH328"/>
      <c r="AI328"/>
      <c r="AJ328"/>
      <c r="AK328"/>
      <c r="AL328"/>
      <c r="AM328"/>
      <c r="AN328"/>
      <c r="AO328">
        <v>300</v>
      </c>
      <c r="AP328"/>
      <c r="AQ328"/>
      <c r="AR328"/>
      <c r="AS328"/>
      <c r="AT328"/>
      <c r="AU328"/>
      <c r="AV328"/>
      <c r="AW328"/>
      <c r="AX328"/>
      <c r="AY328"/>
      <c r="AZ328"/>
      <c r="BA328"/>
      <c r="BB328"/>
      <c r="BC328"/>
      <c r="BD328"/>
      <c r="BE328"/>
      <c r="BF328"/>
      <c r="BG328"/>
      <c r="BH328"/>
      <c r="BI328"/>
      <c r="BJ328"/>
      <c r="BK328"/>
      <c r="BL328"/>
      <c r="BM328"/>
      <c r="BN328"/>
      <c r="BO328"/>
      <c r="BP328" t="s">
        <v>2333</v>
      </c>
      <c r="BQ328" t="s">
        <v>2334</v>
      </c>
      <c r="BR328" t="s">
        <v>2333</v>
      </c>
      <c r="BS328" t="s">
        <v>2332</v>
      </c>
      <c r="BT328" t="s">
        <v>2387</v>
      </c>
      <c r="BU328" t="s">
        <v>2386</v>
      </c>
      <c r="BV328" t="s">
        <v>2329</v>
      </c>
      <c r="BW328" t="s">
        <v>2328</v>
      </c>
      <c r="BX328" t="s">
        <v>2327</v>
      </c>
      <c r="BY328" t="s">
        <v>2348</v>
      </c>
      <c r="BZ328" t="s">
        <v>2385</v>
      </c>
      <c r="CA328" t="s">
        <v>2384</v>
      </c>
      <c r="CB328"/>
      <c r="CC328"/>
      <c r="CD328"/>
      <c r="CE328"/>
      <c r="CF328"/>
      <c r="CG328"/>
      <c r="CH328"/>
      <c r="CI328"/>
      <c r="CJ328"/>
      <c r="CK328"/>
      <c r="CL328"/>
      <c r="CM328"/>
      <c r="CN328"/>
      <c r="CO328"/>
      <c r="CP328"/>
      <c r="CQ328"/>
      <c r="CR328"/>
      <c r="CS328"/>
      <c r="CT328"/>
      <c r="CU328"/>
      <c r="CV328"/>
      <c r="CW328"/>
      <c r="CX328" t="s">
        <v>2307</v>
      </c>
      <c r="CY328">
        <v>111</v>
      </c>
      <c r="CZ328" t="s">
        <v>2306</v>
      </c>
    </row>
    <row r="329" spans="1:104" ht="14.25">
      <c r="A329" t="s">
        <v>2383</v>
      </c>
      <c r="B329" t="s">
        <v>2382</v>
      </c>
      <c r="C329" t="s">
        <v>2381</v>
      </c>
      <c r="D329">
        <v>10</v>
      </c>
      <c r="E329" t="s">
        <v>2321</v>
      </c>
      <c r="F329" t="s">
        <v>2342</v>
      </c>
      <c r="G329" t="s">
        <v>2341</v>
      </c>
      <c r="H329"/>
      <c r="I329"/>
      <c r="J329" t="s">
        <v>2355</v>
      </c>
      <c r="K329"/>
      <c r="L329"/>
      <c r="M329">
        <v>18</v>
      </c>
      <c r="N329">
        <v>178</v>
      </c>
      <c r="O329">
        <v>17</v>
      </c>
      <c r="P329">
        <v>10</v>
      </c>
      <c r="Q329">
        <v>85</v>
      </c>
      <c r="R329" t="s">
        <v>2317</v>
      </c>
      <c r="S329" t="s">
        <v>2354</v>
      </c>
      <c r="T329" t="s">
        <v>2353</v>
      </c>
      <c r="U329" t="s">
        <v>2315</v>
      </c>
      <c r="V329">
        <v>40</v>
      </c>
      <c r="W329"/>
      <c r="X329"/>
      <c r="Y329">
        <v>80</v>
      </c>
      <c r="Z329">
        <v>40</v>
      </c>
      <c r="AA329">
        <v>23</v>
      </c>
      <c r="AB329">
        <v>14</v>
      </c>
      <c r="AC329">
        <v>21</v>
      </c>
      <c r="AD329">
        <v>16</v>
      </c>
      <c r="AE329">
        <v>13</v>
      </c>
      <c r="AF329">
        <v>20</v>
      </c>
      <c r="AG329">
        <v>115</v>
      </c>
      <c r="AH329"/>
      <c r="AI329"/>
      <c r="AJ329"/>
      <c r="AK329"/>
      <c r="AL329"/>
      <c r="AM329"/>
      <c r="AN329"/>
      <c r="AO329">
        <v>303</v>
      </c>
      <c r="AP329"/>
      <c r="AQ329"/>
      <c r="AR329"/>
      <c r="AS329"/>
      <c r="AT329"/>
      <c r="AU329"/>
      <c r="AV329"/>
      <c r="AW329"/>
      <c r="AX329"/>
      <c r="AY329" t="s">
        <v>2373</v>
      </c>
      <c r="AZ329" t="s">
        <v>2374</v>
      </c>
      <c r="BA329" t="s">
        <v>2373</v>
      </c>
      <c r="BB329"/>
      <c r="BC329"/>
      <c r="BD329"/>
      <c r="BE329"/>
      <c r="BF329"/>
      <c r="BG329"/>
      <c r="BH329"/>
      <c r="BI329"/>
      <c r="BJ329"/>
      <c r="BK329"/>
      <c r="BL329"/>
      <c r="BM329"/>
      <c r="BN329"/>
      <c r="BO329"/>
      <c r="BP329" t="s">
        <v>2333</v>
      </c>
      <c r="BQ329" t="s">
        <v>2334</v>
      </c>
      <c r="BR329" t="s">
        <v>2333</v>
      </c>
      <c r="BS329" t="s">
        <v>2332</v>
      </c>
      <c r="BT329" t="s">
        <v>2352</v>
      </c>
      <c r="BU329" t="s">
        <v>2351</v>
      </c>
      <c r="BV329" t="s">
        <v>2329</v>
      </c>
      <c r="BW329" t="s">
        <v>2350</v>
      </c>
      <c r="BX329" t="s">
        <v>2349</v>
      </c>
      <c r="BY329" t="s">
        <v>2348</v>
      </c>
      <c r="BZ329" t="s">
        <v>2380</v>
      </c>
      <c r="CA329" t="s">
        <v>2379</v>
      </c>
      <c r="CB329"/>
      <c r="CC329"/>
      <c r="CD329"/>
      <c r="CE329"/>
      <c r="CF329"/>
      <c r="CG329"/>
      <c r="CH329"/>
      <c r="CI329"/>
      <c r="CJ329"/>
      <c r="CK329"/>
      <c r="CL329"/>
      <c r="CM329"/>
      <c r="CN329"/>
      <c r="CO329"/>
      <c r="CP329"/>
      <c r="CQ329"/>
      <c r="CR329"/>
      <c r="CS329"/>
      <c r="CT329"/>
      <c r="CU329"/>
      <c r="CV329"/>
      <c r="CW329"/>
      <c r="CX329" t="s">
        <v>2307</v>
      </c>
      <c r="CY329">
        <v>115</v>
      </c>
      <c r="CZ329" t="s">
        <v>2306</v>
      </c>
    </row>
    <row r="330" spans="1:104" ht="14.25">
      <c r="A330" t="s">
        <v>2378</v>
      </c>
      <c r="B330" t="s">
        <v>2377</v>
      </c>
      <c r="C330" t="s">
        <v>2376</v>
      </c>
      <c r="D330">
        <v>8</v>
      </c>
      <c r="E330" t="s">
        <v>2321</v>
      </c>
      <c r="F330" t="s">
        <v>2342</v>
      </c>
      <c r="G330" t="s">
        <v>2341</v>
      </c>
      <c r="H330"/>
      <c r="I330"/>
      <c r="J330" t="s">
        <v>2375</v>
      </c>
      <c r="K330"/>
      <c r="L330"/>
      <c r="M330">
        <v>18</v>
      </c>
      <c r="N330">
        <v>136</v>
      </c>
      <c r="O330">
        <v>16</v>
      </c>
      <c r="P330">
        <v>10</v>
      </c>
      <c r="Q330">
        <v>48</v>
      </c>
      <c r="R330" t="s">
        <v>2317</v>
      </c>
      <c r="S330" t="s">
        <v>2339</v>
      </c>
      <c r="T330" t="s">
        <v>2338</v>
      </c>
      <c r="U330" t="s">
        <v>2338</v>
      </c>
      <c r="V330">
        <v>40</v>
      </c>
      <c r="W330"/>
      <c r="X330"/>
      <c r="Y330">
        <v>80</v>
      </c>
      <c r="Z330">
        <v>40</v>
      </c>
      <c r="AA330">
        <v>19</v>
      </c>
      <c r="AB330">
        <v>12</v>
      </c>
      <c r="AC330">
        <v>17</v>
      </c>
      <c r="AD330">
        <v>16</v>
      </c>
      <c r="AE330">
        <v>13</v>
      </c>
      <c r="AF330">
        <v>15</v>
      </c>
      <c r="AG330">
        <v>94</v>
      </c>
      <c r="AH330"/>
      <c r="AI330"/>
      <c r="AJ330">
        <v>63</v>
      </c>
      <c r="AK330"/>
      <c r="AL330"/>
      <c r="AM330"/>
      <c r="AN330">
        <v>52</v>
      </c>
      <c r="AO330">
        <v>288</v>
      </c>
      <c r="AP330"/>
      <c r="AQ330"/>
      <c r="AR330"/>
      <c r="AS330"/>
      <c r="AT330"/>
      <c r="AU330"/>
      <c r="AV330"/>
      <c r="AW330"/>
      <c r="AX330"/>
      <c r="AY330" t="s">
        <v>2373</v>
      </c>
      <c r="AZ330" t="s">
        <v>2374</v>
      </c>
      <c r="BA330" t="s">
        <v>2373</v>
      </c>
      <c r="BB330"/>
      <c r="BC330"/>
      <c r="BD330"/>
      <c r="BE330"/>
      <c r="BF330"/>
      <c r="BG330"/>
      <c r="BH330"/>
      <c r="BI330"/>
      <c r="BJ330"/>
      <c r="BK330"/>
      <c r="BL330"/>
      <c r="BM330"/>
      <c r="BN330"/>
      <c r="BO330"/>
      <c r="BP330" t="s">
        <v>2333</v>
      </c>
      <c r="BQ330" t="s">
        <v>2334</v>
      </c>
      <c r="BR330" t="s">
        <v>2333</v>
      </c>
      <c r="BS330" t="s">
        <v>2332</v>
      </c>
      <c r="BT330" t="s">
        <v>2372</v>
      </c>
      <c r="BU330" t="s">
        <v>2371</v>
      </c>
      <c r="BV330" t="s">
        <v>2329</v>
      </c>
      <c r="BW330" t="s">
        <v>2328</v>
      </c>
      <c r="BX330" t="s">
        <v>2327</v>
      </c>
      <c r="BY330" t="s">
        <v>2370</v>
      </c>
      <c r="BZ330" t="s">
        <v>2369</v>
      </c>
      <c r="CA330" t="s">
        <v>2368</v>
      </c>
      <c r="CB330"/>
      <c r="CC330"/>
      <c r="CD330"/>
      <c r="CE330"/>
      <c r="CF330"/>
      <c r="CG330"/>
      <c r="CH330"/>
      <c r="CI330"/>
      <c r="CJ330"/>
      <c r="CK330"/>
      <c r="CL330"/>
      <c r="CM330"/>
      <c r="CN330"/>
      <c r="CO330"/>
      <c r="CP330"/>
      <c r="CQ330"/>
      <c r="CR330"/>
      <c r="CS330"/>
      <c r="CT330"/>
      <c r="CU330"/>
      <c r="CV330"/>
      <c r="CW330"/>
      <c r="CX330" t="s">
        <v>2307</v>
      </c>
      <c r="CY330">
        <v>94</v>
      </c>
      <c r="CZ330" t="s">
        <v>2306</v>
      </c>
    </row>
    <row r="331" spans="1:104" ht="14.25">
      <c r="A331" t="s">
        <v>2367</v>
      </c>
      <c r="B331" t="s">
        <v>2366</v>
      </c>
      <c r="C331" t="s">
        <v>2365</v>
      </c>
      <c r="D331">
        <v>10</v>
      </c>
      <c r="E331" t="s">
        <v>2321</v>
      </c>
      <c r="F331" t="s">
        <v>2342</v>
      </c>
      <c r="G331" t="s">
        <v>2341</v>
      </c>
      <c r="H331"/>
      <c r="I331"/>
      <c r="J331" t="s">
        <v>2340</v>
      </c>
      <c r="K331"/>
      <c r="L331"/>
      <c r="M331">
        <v>18</v>
      </c>
      <c r="N331">
        <v>178</v>
      </c>
      <c r="O331">
        <v>17</v>
      </c>
      <c r="P331">
        <v>10</v>
      </c>
      <c r="Q331">
        <v>85</v>
      </c>
      <c r="R331" t="s">
        <v>2317</v>
      </c>
      <c r="S331" t="s">
        <v>2354</v>
      </c>
      <c r="T331" t="s">
        <v>2353</v>
      </c>
      <c r="U331" t="s">
        <v>2364</v>
      </c>
      <c r="V331">
        <v>40</v>
      </c>
      <c r="W331"/>
      <c r="X331">
        <v>40</v>
      </c>
      <c r="Y331">
        <v>80</v>
      </c>
      <c r="Z331"/>
      <c r="AA331">
        <v>23</v>
      </c>
      <c r="AB331">
        <v>10</v>
      </c>
      <c r="AC331">
        <v>21</v>
      </c>
      <c r="AD331">
        <v>14</v>
      </c>
      <c r="AE331">
        <v>11</v>
      </c>
      <c r="AF331">
        <v>19</v>
      </c>
      <c r="AG331">
        <v>98</v>
      </c>
      <c r="AH331"/>
      <c r="AI331"/>
      <c r="AJ331"/>
      <c r="AK331"/>
      <c r="AL331"/>
      <c r="AM331"/>
      <c r="AN331"/>
      <c r="AO331">
        <v>291</v>
      </c>
      <c r="AP331"/>
      <c r="AQ331"/>
      <c r="AR331"/>
      <c r="AS331"/>
      <c r="AT331">
        <v>38</v>
      </c>
      <c r="AU331"/>
      <c r="AV331"/>
      <c r="AW331"/>
      <c r="AX331"/>
      <c r="AY331"/>
      <c r="AZ331"/>
      <c r="BA331"/>
      <c r="BB331"/>
      <c r="BC331"/>
      <c r="BD331"/>
      <c r="BE331"/>
      <c r="BF331"/>
      <c r="BG331"/>
      <c r="BH331"/>
      <c r="BI331"/>
      <c r="BJ331"/>
      <c r="BK331"/>
      <c r="BL331"/>
      <c r="BM331"/>
      <c r="BN331"/>
      <c r="BO331"/>
      <c r="BP331" t="s">
        <v>2333</v>
      </c>
      <c r="BQ331" t="s">
        <v>2334</v>
      </c>
      <c r="BR331" t="s">
        <v>2333</v>
      </c>
      <c r="BS331" t="s">
        <v>2332</v>
      </c>
      <c r="BT331" t="s">
        <v>2363</v>
      </c>
      <c r="BU331" t="s">
        <v>2362</v>
      </c>
      <c r="BV331" t="s">
        <v>2329</v>
      </c>
      <c r="BW331" t="s">
        <v>2350</v>
      </c>
      <c r="BX331" t="s">
        <v>2349</v>
      </c>
      <c r="BY331" t="s">
        <v>2361</v>
      </c>
      <c r="BZ331" t="s">
        <v>2360</v>
      </c>
      <c r="CA331" t="s">
        <v>2359</v>
      </c>
      <c r="CB331"/>
      <c r="CC331"/>
      <c r="CD331"/>
      <c r="CE331"/>
      <c r="CF331"/>
      <c r="CG331"/>
      <c r="CH331"/>
      <c r="CI331"/>
      <c r="CJ331"/>
      <c r="CK331"/>
      <c r="CL331"/>
      <c r="CM331"/>
      <c r="CN331"/>
      <c r="CO331"/>
      <c r="CP331"/>
      <c r="CQ331"/>
      <c r="CR331"/>
      <c r="CS331"/>
      <c r="CT331"/>
      <c r="CU331"/>
      <c r="CV331"/>
      <c r="CW331"/>
      <c r="CX331" t="s">
        <v>2307</v>
      </c>
      <c r="CY331">
        <v>98</v>
      </c>
      <c r="CZ331" t="s">
        <v>2306</v>
      </c>
    </row>
    <row r="332" spans="1:104" ht="14.25">
      <c r="A332" t="s">
        <v>2358</v>
      </c>
      <c r="B332" t="s">
        <v>2357</v>
      </c>
      <c r="C332" t="s">
        <v>2356</v>
      </c>
      <c r="D332">
        <v>9</v>
      </c>
      <c r="E332" t="s">
        <v>2321</v>
      </c>
      <c r="F332" t="s">
        <v>2342</v>
      </c>
      <c r="G332" t="s">
        <v>2341</v>
      </c>
      <c r="H332"/>
      <c r="I332"/>
      <c r="J332" t="s">
        <v>2355</v>
      </c>
      <c r="K332"/>
      <c r="L332"/>
      <c r="M332">
        <v>18</v>
      </c>
      <c r="N332">
        <v>168</v>
      </c>
      <c r="O332">
        <v>16</v>
      </c>
      <c r="P332">
        <v>10</v>
      </c>
      <c r="Q332">
        <v>80</v>
      </c>
      <c r="R332" t="s">
        <v>2317</v>
      </c>
      <c r="S332" t="s">
        <v>2354</v>
      </c>
      <c r="T332" t="s">
        <v>2353</v>
      </c>
      <c r="U332" t="s">
        <v>2315</v>
      </c>
      <c r="V332">
        <v>40</v>
      </c>
      <c r="W332"/>
      <c r="X332"/>
      <c r="Y332">
        <v>80</v>
      </c>
      <c r="Z332"/>
      <c r="AA332">
        <v>23</v>
      </c>
      <c r="AB332">
        <v>10</v>
      </c>
      <c r="AC332">
        <v>21</v>
      </c>
      <c r="AD332">
        <v>14</v>
      </c>
      <c r="AE332">
        <v>11</v>
      </c>
      <c r="AF332">
        <v>19</v>
      </c>
      <c r="AG332">
        <v>118</v>
      </c>
      <c r="AH332"/>
      <c r="AI332"/>
      <c r="AJ332"/>
      <c r="AK332"/>
      <c r="AL332"/>
      <c r="AM332"/>
      <c r="AN332"/>
      <c r="AO332">
        <v>306</v>
      </c>
      <c r="AP332"/>
      <c r="AQ332"/>
      <c r="AR332"/>
      <c r="AS332"/>
      <c r="AT332"/>
      <c r="AU332"/>
      <c r="AV332"/>
      <c r="AW332"/>
      <c r="AX332"/>
      <c r="AY332"/>
      <c r="AZ332"/>
      <c r="BA332"/>
      <c r="BB332"/>
      <c r="BC332"/>
      <c r="BD332"/>
      <c r="BE332"/>
      <c r="BF332"/>
      <c r="BG332"/>
      <c r="BH332"/>
      <c r="BI332"/>
      <c r="BJ332"/>
      <c r="BK332"/>
      <c r="BL332"/>
      <c r="BM332"/>
      <c r="BN332"/>
      <c r="BO332"/>
      <c r="BP332" t="s">
        <v>2333</v>
      </c>
      <c r="BQ332" t="s">
        <v>2334</v>
      </c>
      <c r="BR332" t="s">
        <v>2333</v>
      </c>
      <c r="BS332" t="s">
        <v>2332</v>
      </c>
      <c r="BT332" t="s">
        <v>2352</v>
      </c>
      <c r="BU332" t="s">
        <v>2351</v>
      </c>
      <c r="BV332" t="s">
        <v>2329</v>
      </c>
      <c r="BW332" t="s">
        <v>2350</v>
      </c>
      <c r="BX332" t="s">
        <v>2349</v>
      </c>
      <c r="BY332" t="s">
        <v>2348</v>
      </c>
      <c r="BZ332" t="s">
        <v>2347</v>
      </c>
      <c r="CA332" t="s">
        <v>2346</v>
      </c>
      <c r="CB332"/>
      <c r="CC332"/>
      <c r="CD332"/>
      <c r="CE332"/>
      <c r="CF332"/>
      <c r="CG332"/>
      <c r="CH332"/>
      <c r="CI332"/>
      <c r="CJ332"/>
      <c r="CK332"/>
      <c r="CL332"/>
      <c r="CM332"/>
      <c r="CN332"/>
      <c r="CO332"/>
      <c r="CP332"/>
      <c r="CQ332"/>
      <c r="CR332"/>
      <c r="CS332"/>
      <c r="CT332"/>
      <c r="CU332"/>
      <c r="CV332"/>
      <c r="CW332"/>
      <c r="CX332" t="s">
        <v>2307</v>
      </c>
      <c r="CY332">
        <v>118</v>
      </c>
      <c r="CZ332" t="s">
        <v>2306</v>
      </c>
    </row>
    <row r="333" spans="1:104" ht="14.25">
      <c r="A333" t="s">
        <v>2345</v>
      </c>
      <c r="B333" t="s">
        <v>2344</v>
      </c>
      <c r="C333" t="s">
        <v>2343</v>
      </c>
      <c r="D333">
        <v>6</v>
      </c>
      <c r="E333" t="s">
        <v>2321</v>
      </c>
      <c r="F333" t="s">
        <v>2342</v>
      </c>
      <c r="G333" t="s">
        <v>2341</v>
      </c>
      <c r="H333"/>
      <c r="I333"/>
      <c r="J333" t="s">
        <v>2340</v>
      </c>
      <c r="K333"/>
      <c r="L333"/>
      <c r="M333">
        <v>17</v>
      </c>
      <c r="N333">
        <v>133</v>
      </c>
      <c r="O333">
        <v>14</v>
      </c>
      <c r="P333">
        <v>10</v>
      </c>
      <c r="Q333">
        <v>56</v>
      </c>
      <c r="R333" t="s">
        <v>2317</v>
      </c>
      <c r="S333" t="s">
        <v>2339</v>
      </c>
      <c r="T333" t="s">
        <v>2338</v>
      </c>
      <c r="U333" t="s">
        <v>2337</v>
      </c>
      <c r="V333">
        <v>40</v>
      </c>
      <c r="W333">
        <v>20</v>
      </c>
      <c r="X333"/>
      <c r="Y333">
        <v>80</v>
      </c>
      <c r="Z333">
        <v>40</v>
      </c>
      <c r="AA333">
        <v>18</v>
      </c>
      <c r="AB333">
        <v>10</v>
      </c>
      <c r="AC333">
        <v>18</v>
      </c>
      <c r="AD333">
        <v>6</v>
      </c>
      <c r="AE333">
        <v>11</v>
      </c>
      <c r="AF333">
        <v>12</v>
      </c>
      <c r="AG333">
        <v>101</v>
      </c>
      <c r="AH333"/>
      <c r="AI333"/>
      <c r="AJ333"/>
      <c r="AK333"/>
      <c r="AL333"/>
      <c r="AM333"/>
      <c r="AN333"/>
      <c r="AO333">
        <v>293</v>
      </c>
      <c r="AP333"/>
      <c r="AQ333"/>
      <c r="AR333"/>
      <c r="AS333"/>
      <c r="AT333"/>
      <c r="AU333"/>
      <c r="AV333"/>
      <c r="AW333"/>
      <c r="AX333"/>
      <c r="AY333" t="s">
        <v>2335</v>
      </c>
      <c r="AZ333" t="s">
        <v>2336</v>
      </c>
      <c r="BA333" t="s">
        <v>2335</v>
      </c>
      <c r="BB333"/>
      <c r="BC333"/>
      <c r="BD333"/>
      <c r="BE333"/>
      <c r="BF333"/>
      <c r="BG333"/>
      <c r="BH333"/>
      <c r="BI333"/>
      <c r="BJ333"/>
      <c r="BK333"/>
      <c r="BL333"/>
      <c r="BM333"/>
      <c r="BN333"/>
      <c r="BO333"/>
      <c r="BP333" t="s">
        <v>2333</v>
      </c>
      <c r="BQ333" t="s">
        <v>2334</v>
      </c>
      <c r="BR333" t="s">
        <v>2333</v>
      </c>
      <c r="BS333" t="s">
        <v>2332</v>
      </c>
      <c r="BT333" t="s">
        <v>2331</v>
      </c>
      <c r="BU333" t="s">
        <v>2330</v>
      </c>
      <c r="BV333" t="s">
        <v>2329</v>
      </c>
      <c r="BW333" t="s">
        <v>2328</v>
      </c>
      <c r="BX333" t="s">
        <v>2327</v>
      </c>
      <c r="BY333" t="s">
        <v>2326</v>
      </c>
      <c r="BZ333" t="s">
        <v>2325</v>
      </c>
      <c r="CA333" t="s">
        <v>2324</v>
      </c>
      <c r="CB333"/>
      <c r="CC333"/>
      <c r="CD333"/>
      <c r="CE333"/>
      <c r="CF333"/>
      <c r="CG333"/>
      <c r="CH333"/>
      <c r="CI333"/>
      <c r="CJ333"/>
      <c r="CK333"/>
      <c r="CL333"/>
      <c r="CM333"/>
      <c r="CN333"/>
      <c r="CO333"/>
      <c r="CP333"/>
      <c r="CQ333"/>
      <c r="CR333"/>
      <c r="CS333"/>
      <c r="CT333"/>
      <c r="CU333"/>
      <c r="CV333"/>
      <c r="CW333"/>
      <c r="CX333" t="s">
        <v>2307</v>
      </c>
      <c r="CY333">
        <v>101</v>
      </c>
      <c r="CZ333" t="s">
        <v>2306</v>
      </c>
    </row>
    <row r="334" spans="1:104" ht="14.25">
      <c r="A334" t="s">
        <v>2323</v>
      </c>
      <c r="B334" t="s">
        <v>2323</v>
      </c>
      <c r="C334" t="s">
        <v>2322</v>
      </c>
      <c r="D334">
        <v>0.25</v>
      </c>
      <c r="E334" t="s">
        <v>2321</v>
      </c>
      <c r="F334" t="s">
        <v>2320</v>
      </c>
      <c r="G334" t="s">
        <v>2319</v>
      </c>
      <c r="H334"/>
      <c r="I334"/>
      <c r="J334" t="s">
        <v>2318</v>
      </c>
      <c r="K334"/>
      <c r="L334"/>
      <c r="M334">
        <v>8</v>
      </c>
      <c r="N334">
        <v>22</v>
      </c>
      <c r="O334">
        <v>3</v>
      </c>
      <c r="P334">
        <v>8</v>
      </c>
      <c r="Q334">
        <v>9</v>
      </c>
      <c r="R334" t="s">
        <v>2317</v>
      </c>
      <c r="S334" t="s">
        <v>2316</v>
      </c>
      <c r="T334" t="s">
        <v>2315</v>
      </c>
      <c r="U334" t="s">
        <v>2315</v>
      </c>
      <c r="V334">
        <v>20</v>
      </c>
      <c r="W334"/>
      <c r="X334"/>
      <c r="Y334"/>
      <c r="Z334"/>
      <c r="AA334">
        <v>13</v>
      </c>
      <c r="AB334">
        <v>6</v>
      </c>
      <c r="AC334">
        <v>16</v>
      </c>
      <c r="AD334">
        <v>3</v>
      </c>
      <c r="AE334">
        <v>6</v>
      </c>
      <c r="AF334">
        <v>5</v>
      </c>
      <c r="AG334">
        <v>316</v>
      </c>
      <c r="AH334">
        <v>311</v>
      </c>
      <c r="AI334"/>
      <c r="AJ334">
        <v>63</v>
      </c>
      <c r="AK334"/>
      <c r="AL334"/>
      <c r="AM334"/>
      <c r="AN334">
        <v>52</v>
      </c>
      <c r="AO334">
        <v>359</v>
      </c>
      <c r="AP334"/>
      <c r="AQ334"/>
      <c r="AR334"/>
      <c r="AS334" t="s">
        <v>2314</v>
      </c>
      <c r="AT334"/>
      <c r="AU334"/>
      <c r="AV334" t="s">
        <v>2313</v>
      </c>
      <c r="AW334"/>
      <c r="AX334"/>
      <c r="AY334" t="s">
        <v>2311</v>
      </c>
      <c r="AZ334" t="s">
        <v>2312</v>
      </c>
      <c r="BA334" t="s">
        <v>2311</v>
      </c>
      <c r="BB334"/>
      <c r="BC334"/>
      <c r="BD334"/>
      <c r="BE334"/>
      <c r="BF334"/>
      <c r="BG334"/>
      <c r="BH334"/>
      <c r="BI334"/>
      <c r="BJ334"/>
      <c r="BK334"/>
      <c r="BL334"/>
      <c r="BM334"/>
      <c r="BN334"/>
      <c r="BO334"/>
      <c r="BP334" t="s">
        <v>2310</v>
      </c>
      <c r="BQ334" t="s">
        <v>2309</v>
      </c>
      <c r="BR334" t="s">
        <v>2308</v>
      </c>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t="s">
        <v>2307</v>
      </c>
      <c r="CY334">
        <v>316</v>
      </c>
      <c r="CZ334" t="s">
        <v>2306</v>
      </c>
    </row>
  </sheetData>
  <hyperlinks>
    <hyperlink ref="C4" r:id="rId1" xr:uid="{4B511CE7-E8FB-4701-A397-E852C89FFB13}"/>
    <hyperlink ref="C5" r:id="rId2" xr:uid="{0D0767E9-BEE8-4118-9568-6706DCD3493C}"/>
    <hyperlink ref="C6" r:id="rId3" xr:uid="{FDB8CD2C-ECA4-49E7-BAF0-5A747586E2A7}"/>
    <hyperlink ref="C7" r:id="rId4" xr:uid="{753E9E68-F0CE-418A-91E9-C66AF374202C}"/>
    <hyperlink ref="C8" r:id="rId5" xr:uid="{564BF413-580C-4FFC-BD8B-AE37024074FA}"/>
    <hyperlink ref="C9" r:id="rId6" xr:uid="{DA239DB6-0E82-41FB-A557-4CBD5AD9373D}"/>
    <hyperlink ref="C10" r:id="rId7" xr:uid="{B76B69A7-411B-472E-A30D-2EF166588081}"/>
    <hyperlink ref="C11" r:id="rId8" xr:uid="{B411E468-7F58-4EF9-8720-6F5B27A33B1C}"/>
    <hyperlink ref="C12" r:id="rId9" xr:uid="{A5B77F7D-A22A-483F-9020-F6E89E6765DA}"/>
    <hyperlink ref="C13" r:id="rId10" xr:uid="{5E98CA22-3F1A-463E-9B17-68EDFBDA8317}"/>
    <hyperlink ref="C14" r:id="rId11" xr:uid="{3C7D2D5C-0958-4500-A9B7-ADEA1F819610}"/>
    <hyperlink ref="C15" r:id="rId12" xr:uid="{2FE80D74-211B-4C32-9BB5-A514845B9983}"/>
    <hyperlink ref="C16" r:id="rId13" xr:uid="{26A9F1D1-5310-40A2-9C61-7F93885E2579}"/>
    <hyperlink ref="C17" r:id="rId14" xr:uid="{C0173D71-7077-44FA-8728-55061DB8FD48}"/>
    <hyperlink ref="C18" r:id="rId15" xr:uid="{D1E2D317-2487-474F-9735-42F1309CA0E1}"/>
    <hyperlink ref="C19" r:id="rId16" xr:uid="{B285B6CA-D466-4797-9E3F-92E9B11CA11B}"/>
    <hyperlink ref="C20" r:id="rId17" xr:uid="{FC41D073-7E2D-419B-AE73-551EE201F2AF}"/>
    <hyperlink ref="C21" r:id="rId18" xr:uid="{BDEBE0ED-88CC-4689-B640-0AB80FDB204F}"/>
    <hyperlink ref="C22" r:id="rId19" xr:uid="{A72B19B0-3DE9-47C2-90BB-95234FF1291E}"/>
    <hyperlink ref="C23" r:id="rId20" xr:uid="{0BCDCE59-1E7A-4ED6-B005-09F70F89295A}"/>
    <hyperlink ref="C24" r:id="rId21" xr:uid="{6E33E128-A28D-4EE8-9532-F98E1C2C1320}"/>
    <hyperlink ref="C25" r:id="rId22" xr:uid="{A777EC5C-674A-465A-8FA3-BF93F4E7C335}"/>
    <hyperlink ref="C26" r:id="rId23" xr:uid="{69D53F26-1467-4915-8A4F-16F834A18069}"/>
    <hyperlink ref="C27" r:id="rId24" xr:uid="{8F8A8BFF-C340-403C-9057-9F5931B66068}"/>
    <hyperlink ref="C28" r:id="rId25" xr:uid="{59B883C0-FCFD-4818-AD0A-7130DC9A0FFE}"/>
    <hyperlink ref="C29" r:id="rId26" xr:uid="{E0DD9CC2-7038-438C-92CD-D3E79D8CDA5E}"/>
    <hyperlink ref="C30" r:id="rId27" xr:uid="{6EC6CF50-5346-494B-AA43-C6790017351C}"/>
    <hyperlink ref="C31" r:id="rId28" xr:uid="{1735542D-3012-41D7-81B0-4FC7A8E1D80D}"/>
    <hyperlink ref="C32" r:id="rId29" xr:uid="{B82DB814-FDD7-4D9A-BDE8-F6C492BB6CB2}"/>
    <hyperlink ref="C34" r:id="rId30" xr:uid="{57339680-A28B-4269-BA33-20868DDF6577}"/>
    <hyperlink ref="C35" r:id="rId31" xr:uid="{57C713E5-D37D-47D9-8AC8-AD074A71999A}"/>
    <hyperlink ref="C36" r:id="rId32" xr:uid="{1BFD2E28-ADCF-41A8-B00B-AF2D6A54E1CF}"/>
    <hyperlink ref="C37" r:id="rId33" xr:uid="{3DF2C261-8C93-4CF8-93CC-C0D05E1CDFC9}"/>
    <hyperlink ref="C38" r:id="rId34" xr:uid="{BAF36D95-922B-41B9-AE45-7D67D5FA6DDE}"/>
    <hyperlink ref="C39" r:id="rId35" xr:uid="{2EF8BAE3-DC1A-4F91-A799-7A01D7E51E9E}"/>
    <hyperlink ref="C40" r:id="rId36" xr:uid="{84D78556-0EC2-46A1-9D96-30021110A785}"/>
    <hyperlink ref="C41" r:id="rId37" xr:uid="{F79D51DA-C709-4B76-BCF3-16896E587D3A}"/>
    <hyperlink ref="C42" r:id="rId38" xr:uid="{A3B89AB5-CFAC-4E7B-904F-21A13B681561}"/>
    <hyperlink ref="C43" r:id="rId39" xr:uid="{BC1690C8-15BB-46F4-B7FE-CBC002DAF663}"/>
    <hyperlink ref="C44" r:id="rId40" xr:uid="{4642DF8D-BF07-4A7A-B33E-6026BEE1C75F}"/>
    <hyperlink ref="C45" r:id="rId41" xr:uid="{E70BF7B6-8E36-4160-812A-5C9C3257B458}"/>
    <hyperlink ref="C46" r:id="rId42" xr:uid="{056FAE53-B996-4018-8F41-C78B98BE713B}"/>
    <hyperlink ref="C47" r:id="rId43" xr:uid="{46140A72-1E71-4D64-9915-7BADA42EF9E8}"/>
    <hyperlink ref="C48" r:id="rId44" xr:uid="{36A7E90A-F32C-4E7B-9C2D-2C312B66BC36}"/>
    <hyperlink ref="C49" r:id="rId45" xr:uid="{0C3915AA-F6BA-457F-BBAA-6808A3C6776B}"/>
    <hyperlink ref="C50" r:id="rId46" xr:uid="{25040A45-1146-41E3-A88E-01B579D210FC}"/>
    <hyperlink ref="C51" r:id="rId47" xr:uid="{A46CD914-4A64-4FF4-A347-83271E8B57C7}"/>
    <hyperlink ref="C52" r:id="rId48" xr:uid="{666A162A-44E1-4BD6-B0FC-B9DE8CC39CDB}"/>
    <hyperlink ref="C53" r:id="rId49" xr:uid="{7AE185FD-702E-4D1D-B752-C46878BD3815}"/>
    <hyperlink ref="C54" r:id="rId50" xr:uid="{26FEEB73-E2A8-4957-96C1-4AF7870933E0}"/>
    <hyperlink ref="C55" r:id="rId51" xr:uid="{6B6350F5-2CB6-42C9-BF39-629E081EB505}"/>
    <hyperlink ref="C56" r:id="rId52" xr:uid="{DB9EDB51-40BC-4B86-93A5-D458942F2FCF}"/>
    <hyperlink ref="C57" r:id="rId53" xr:uid="{AB41308D-EB97-4F7D-8DAC-2C43566C1D9A}"/>
    <hyperlink ref="C58" r:id="rId54" xr:uid="{07574F42-B0EA-4AC0-BCE0-916989E3B37C}"/>
    <hyperlink ref="C59" r:id="rId55" xr:uid="{9CBB8E51-A4B0-4ECF-85A8-4F1FC8E7FFCB}"/>
    <hyperlink ref="C60" r:id="rId56" xr:uid="{2132AF75-3001-48E0-ADDC-2683C220EF36}"/>
    <hyperlink ref="C61" r:id="rId57" xr:uid="{3A378DA7-7A3B-43C6-B760-30CFE696B28E}"/>
    <hyperlink ref="C62" r:id="rId58" xr:uid="{60109DE0-C035-4594-BE62-B5AAFFE00889}"/>
    <hyperlink ref="C63" r:id="rId59" xr:uid="{741D1D18-D31A-45F5-9DC2-3F1D4FE09A09}"/>
    <hyperlink ref="C64" r:id="rId60" xr:uid="{8A7BB481-423D-4BAD-82EB-77BDDAC03E70}"/>
    <hyperlink ref="C65" r:id="rId61" xr:uid="{6E453160-FDBF-4EF4-A405-F602A2C08BE5}"/>
    <hyperlink ref="C66" r:id="rId62" xr:uid="{D4C73306-C034-4538-A363-160AD5E5220D}"/>
    <hyperlink ref="C67" r:id="rId63" xr:uid="{286B8D67-6DB1-4D59-815B-8BA34EDC0CD0}"/>
    <hyperlink ref="C68" r:id="rId64" xr:uid="{B3BC7A27-407A-4A00-8CF3-41D87E460BB0}"/>
    <hyperlink ref="C69" r:id="rId65" xr:uid="{B8ED86AE-AC8C-439C-8295-2012DD032D3B}"/>
    <hyperlink ref="C70" r:id="rId66" xr:uid="{D1D752D8-BA45-4DB2-B401-1F6A00E2FDD7}"/>
    <hyperlink ref="C71" r:id="rId67" xr:uid="{FAFEBCE4-539C-4F0C-A7EA-64C285660868}"/>
    <hyperlink ref="C72" r:id="rId68" xr:uid="{1E23B997-41A8-4E15-8D83-1510AF9C2172}"/>
    <hyperlink ref="C73" r:id="rId69" xr:uid="{6A4CE15B-C24C-4CCF-9785-3023439EB2C2}"/>
    <hyperlink ref="C74" r:id="rId70" xr:uid="{3781FF1B-BA54-4482-A94D-638273B12014}"/>
    <hyperlink ref="C75" r:id="rId71" xr:uid="{A99934D0-8407-4578-AE28-C5BEE864D69D}"/>
    <hyperlink ref="C76" r:id="rId72" xr:uid="{D3AFAA84-953E-4629-9FFA-43BAB4976C4E}"/>
    <hyperlink ref="C77" r:id="rId73" xr:uid="{0D92495F-C7B8-4CBA-A87A-765D0CC145B9}"/>
    <hyperlink ref="C78" r:id="rId74" xr:uid="{DC884B85-50CF-45EC-B11C-6974A2B579E3}"/>
    <hyperlink ref="C79" r:id="rId75" xr:uid="{59DAE24B-F28A-4C4D-9392-7D2295B5CFC9}"/>
    <hyperlink ref="C80" r:id="rId76" xr:uid="{BF63B0F7-590A-4131-B681-ADAD5C32A7E6}"/>
    <hyperlink ref="C81" r:id="rId77" xr:uid="{38FCF167-E602-458B-BF1E-1CD791AA3705}"/>
    <hyperlink ref="C82" r:id="rId78" xr:uid="{9361FFC2-E0E7-444E-B67A-2E8436388E87}"/>
    <hyperlink ref="C83" r:id="rId79" xr:uid="{9FEB3823-2743-45DD-986C-49B255F650E5}"/>
    <hyperlink ref="C84" r:id="rId80" xr:uid="{274FB196-2F43-44E4-BF1D-8BE122F7F145}"/>
    <hyperlink ref="C85" r:id="rId81" xr:uid="{2BF46471-78CE-4F85-9F4A-DA2F9B7C12BA}"/>
    <hyperlink ref="C86" r:id="rId82" xr:uid="{FF17D9BD-6CFA-4B58-87A4-005AC9886653}"/>
    <hyperlink ref="C87" r:id="rId83" xr:uid="{5CECB3B3-3B65-4449-98AD-F0EDF293FC5E}"/>
    <hyperlink ref="C88" r:id="rId84" xr:uid="{B56EE2A5-BF59-4069-A698-4FB3610C2C88}"/>
    <hyperlink ref="C89" r:id="rId85" xr:uid="{808A80BB-2804-4B1A-936B-0B81222F0F92}"/>
    <hyperlink ref="C90" r:id="rId86" xr:uid="{31918DED-DE92-4771-BBE2-5A317D152787}"/>
    <hyperlink ref="C91" r:id="rId87" xr:uid="{9C850104-8BDA-4804-A2BB-061CE097D4C9}"/>
    <hyperlink ref="C92" r:id="rId88" xr:uid="{03CA193E-36E1-4CDA-8E94-010FD8A453C2}"/>
    <hyperlink ref="C93" r:id="rId89" xr:uid="{15D0AF03-BE9F-4B11-B7F3-CAC7D09FAD62}"/>
    <hyperlink ref="C94" r:id="rId90" xr:uid="{2CEDE144-09CF-4B3B-9A76-1D8BDD62369E}"/>
    <hyperlink ref="C95" r:id="rId91" xr:uid="{203885C7-06BD-4E7A-B04B-A62EDDA7A7AF}"/>
    <hyperlink ref="C96" r:id="rId92" xr:uid="{A0D5A297-BAC1-44E3-AFC5-2CD84D0EA390}"/>
    <hyperlink ref="C97" r:id="rId93" xr:uid="{20F596F8-FBE4-4527-BD7C-8E5AAA2D388E}"/>
    <hyperlink ref="C98" r:id="rId94" xr:uid="{0B4635B7-D480-44AF-B4A1-452F9711F383}"/>
    <hyperlink ref="C99" r:id="rId95" xr:uid="{663C72B6-240A-4DAD-9285-A2D9983FEFC6}"/>
    <hyperlink ref="C101" r:id="rId96" xr:uid="{0FB37E0E-7306-4896-91CA-D3013BB88624}"/>
    <hyperlink ref="C102" r:id="rId97" xr:uid="{CBCED206-EA53-4707-861A-33EA8922E4ED}"/>
    <hyperlink ref="C103" r:id="rId98" xr:uid="{C34B4029-9B91-46CE-9868-A25202A62E1C}"/>
    <hyperlink ref="C104" r:id="rId99" xr:uid="{87395AA5-C8FC-42EC-81F9-BCA629714F04}"/>
    <hyperlink ref="C105" r:id="rId100" xr:uid="{6D4A3399-088C-4203-805C-83C66A587FA8}"/>
    <hyperlink ref="C106" r:id="rId101" xr:uid="{B83A8E2C-8451-428F-BDA0-EA45CBA1ED95}"/>
    <hyperlink ref="C107" r:id="rId102" xr:uid="{92E81D98-6E6E-4DA8-9293-C2F231CEEF96}"/>
    <hyperlink ref="C108" r:id="rId103" xr:uid="{9D268DA4-87F4-4389-95D5-C4C421D2C90F}"/>
    <hyperlink ref="C109" r:id="rId104" xr:uid="{51D286D1-2D05-4CC1-AB44-8C979C611C70}"/>
    <hyperlink ref="C110" r:id="rId105" xr:uid="{21203459-63A0-426C-8B63-0997FBAB4FEA}"/>
    <hyperlink ref="C111" r:id="rId106" xr:uid="{60C2D5FF-6AAA-4256-96DF-A1B7C5B746B0}"/>
    <hyperlink ref="C112" r:id="rId107" xr:uid="{1AD4EE04-4F29-41B5-9954-BEDCC0A69D10}"/>
    <hyperlink ref="C113" r:id="rId108" xr:uid="{D1182BE1-AA51-4FE7-B2CD-E849A79FBA4D}"/>
    <hyperlink ref="C114" r:id="rId109" xr:uid="{5C93B5CA-725F-478D-8087-622CB1BAA34A}"/>
    <hyperlink ref="C115" r:id="rId110" xr:uid="{0D561D8A-596F-42F0-BE1F-F01A745E2DAF}"/>
    <hyperlink ref="C116" r:id="rId111" xr:uid="{B0DE3A14-4933-4D92-B832-0746C063081E}"/>
    <hyperlink ref="C117" r:id="rId112" xr:uid="{ECA38255-A52A-4B9E-A43D-C7E492E88598}"/>
    <hyperlink ref="C118" r:id="rId113" xr:uid="{9EE10DC0-57CF-4BD8-AF4E-5A663EBE1E5E}"/>
    <hyperlink ref="C120" r:id="rId114" xr:uid="{88E415F9-4076-49B5-BD28-4C334C4CA299}"/>
    <hyperlink ref="C121" r:id="rId115" xr:uid="{675CB963-2543-46D3-85A3-5FE37E0A2A31}"/>
    <hyperlink ref="C122" r:id="rId116" xr:uid="{F5EA2710-CA58-4E72-A0AA-D9B2BC609BAF}"/>
    <hyperlink ref="C123" r:id="rId117" xr:uid="{FF77553F-E4C3-45EB-967C-7955491E8AFE}"/>
    <hyperlink ref="C124" r:id="rId118" xr:uid="{5AA7786C-731F-4DFD-B041-C445A83F84C4}"/>
    <hyperlink ref="C125" r:id="rId119" xr:uid="{F2909519-45B7-4956-BAF9-00C0DEAE7799}"/>
    <hyperlink ref="C126" r:id="rId120" xr:uid="{DDC69EF6-328B-4C3B-BD40-97D4368731AE}"/>
    <hyperlink ref="C127" r:id="rId121" xr:uid="{95D4F707-3F08-4C1A-88D7-82677559E596}"/>
    <hyperlink ref="C128" r:id="rId122" xr:uid="{1185EB1E-312E-4F50-A7B8-540C0D7AD91F}"/>
    <hyperlink ref="C129" r:id="rId123" xr:uid="{5D500B79-DE7B-4573-B1AE-E8207471ED4D}"/>
    <hyperlink ref="C130" r:id="rId124" xr:uid="{9A1F0266-BED0-4816-ADE8-4A5498686425}"/>
    <hyperlink ref="C131" r:id="rId125" xr:uid="{0B403CC4-4A85-429A-8C0C-C66645F39825}"/>
    <hyperlink ref="C132" r:id="rId126" xr:uid="{1D7D5940-8943-4205-96C2-7C220AD3DB2C}"/>
    <hyperlink ref="C133" r:id="rId127" xr:uid="{296229B2-7189-41FB-8A39-7C01FE6ED8C7}"/>
    <hyperlink ref="C134" r:id="rId128" xr:uid="{0EE19F19-1DA8-4B17-B4D4-7381823B9E13}"/>
    <hyperlink ref="C135" r:id="rId129" xr:uid="{01447899-A897-4E96-BA8A-19CE0639F4CD}"/>
    <hyperlink ref="C136" r:id="rId130" xr:uid="{23EEF2F0-15C5-4273-BA64-0F997E8DFF94}"/>
    <hyperlink ref="C137" r:id="rId131" xr:uid="{FE3313F1-1FE6-4E4E-A634-A23728F6F5C1}"/>
    <hyperlink ref="C138" r:id="rId132" xr:uid="{16CCDABD-D2A5-4CD9-8681-2EE840F8051B}"/>
    <hyperlink ref="C139" r:id="rId133" xr:uid="{6A1C2B22-35B9-42DA-9B6A-4B1C7EA10119}"/>
    <hyperlink ref="C140" r:id="rId134" xr:uid="{86ED480E-3B42-495B-B9FE-C01F8E06B994}"/>
    <hyperlink ref="C141" r:id="rId135" xr:uid="{037B92AB-BC87-4D63-8E73-72AE301BCE3C}"/>
    <hyperlink ref="C142" r:id="rId136" xr:uid="{BA740C20-8A73-4763-A0A1-5C44118149F5}"/>
    <hyperlink ref="C143" r:id="rId137" xr:uid="{CBC11988-DA0F-417F-ADB7-AADB2151D487}"/>
    <hyperlink ref="C144" r:id="rId138" xr:uid="{24FEC0DC-0C34-43BD-8620-6FCF8E063175}"/>
    <hyperlink ref="C145" r:id="rId139" xr:uid="{839A3491-0CF2-4B90-B640-EF5327287D59}"/>
    <hyperlink ref="C146" r:id="rId140" xr:uid="{1E987E23-B9E5-4267-8F39-41F22356BF68}"/>
    <hyperlink ref="C147" r:id="rId141" xr:uid="{E2B3ECF3-8258-4E80-A19F-1AEE42176099}"/>
    <hyperlink ref="C148" r:id="rId142" xr:uid="{91FE83F2-3BCE-49F1-8139-531D6F7133C4}"/>
    <hyperlink ref="C149" r:id="rId143" xr:uid="{763173C6-829A-4AB2-96FB-92D450EB0A9A}"/>
    <hyperlink ref="C150" r:id="rId144" xr:uid="{22B64102-81A3-4A94-B1B6-CB58D9A7585A}"/>
    <hyperlink ref="C151" r:id="rId145" xr:uid="{AAEBE990-A101-4395-AC5C-B7FE8212F3FF}"/>
    <hyperlink ref="C152" r:id="rId146" xr:uid="{FE443C63-A4AE-4462-8EFC-10FB87D50F38}"/>
    <hyperlink ref="C153" r:id="rId147" xr:uid="{81F5A9C5-D8F8-4273-815D-B52728835BCE}"/>
    <hyperlink ref="C154" r:id="rId148" xr:uid="{EC3C1604-DE9C-4BC6-8795-871EBE90C2D2}"/>
    <hyperlink ref="C155" r:id="rId149" xr:uid="{36672853-9C6B-49EB-8E74-D7837DFA6050}"/>
    <hyperlink ref="C156" r:id="rId150" xr:uid="{1705FCF0-E21E-48E9-AEB0-733392A5B8CE}"/>
    <hyperlink ref="C157" r:id="rId151" xr:uid="{ABDF3E9F-99FA-452B-98CF-FAB6606B7F19}"/>
    <hyperlink ref="C158" r:id="rId152" xr:uid="{A4B9D2BB-42B9-4818-AD9E-CD83F78530B2}"/>
    <hyperlink ref="C159" r:id="rId153" xr:uid="{A5C1F9C0-5E2E-4E73-B83B-19978E7C9BD2}"/>
    <hyperlink ref="C160" r:id="rId154" xr:uid="{AA840D87-522D-4986-A98E-AC357DF2E900}"/>
    <hyperlink ref="C161" r:id="rId155" xr:uid="{8002CA7D-22E3-4123-A322-13F12628AF61}"/>
    <hyperlink ref="C162" r:id="rId156" xr:uid="{E5BA33C8-EB98-4364-AF30-4F4DD8B5F61D}"/>
    <hyperlink ref="C163" r:id="rId157" xr:uid="{2D8EC6B1-00A5-4C2C-A44D-C730092CBBDC}"/>
    <hyperlink ref="C164" r:id="rId158" xr:uid="{EB74252E-953E-4950-A19F-8A3EAB3E56E0}"/>
    <hyperlink ref="C165" r:id="rId159" xr:uid="{C61EE8CE-15C8-469F-AD52-1D82D7BC6AFD}"/>
    <hyperlink ref="C166" r:id="rId160" xr:uid="{228A2CF3-0265-4C2E-912C-9133F04F2AB5}"/>
    <hyperlink ref="C167" r:id="rId161" xr:uid="{97AEC308-9F09-459D-912A-E18BA1A033BA}"/>
    <hyperlink ref="C168" r:id="rId162" xr:uid="{21945A13-DF4A-4BC4-BD3B-19A58AF3D290}"/>
    <hyperlink ref="C169" r:id="rId163" xr:uid="{84AF2933-D83F-427D-B797-DE71D0CA0858}"/>
    <hyperlink ref="C170" r:id="rId164" xr:uid="{F61980E5-1A0F-4A20-B433-A071F2523AEE}"/>
    <hyperlink ref="C171" r:id="rId165" xr:uid="{EA91EBD7-E0F6-4D4E-9793-5E29E964A6B6}"/>
    <hyperlink ref="C172" r:id="rId166" xr:uid="{75FB47DF-F419-4FB6-8215-F56CBBCBB853}"/>
    <hyperlink ref="C173" r:id="rId167" xr:uid="{AF08E6FB-3C59-475F-B587-1B516075DADB}"/>
    <hyperlink ref="C174" r:id="rId168" xr:uid="{B82E78E1-904B-493D-8BF4-B179ADE350A7}"/>
    <hyperlink ref="C175" r:id="rId169" xr:uid="{64D471FA-9658-4166-B9B1-7757E3CBB2DB}"/>
    <hyperlink ref="C176" r:id="rId170" xr:uid="{1A37C01A-863C-4C94-B42C-D276C8517B18}"/>
    <hyperlink ref="C177" r:id="rId171" xr:uid="{900791C0-6091-43FB-AFDF-C4082A0A672B}"/>
    <hyperlink ref="C178" r:id="rId172" xr:uid="{3D12D6FF-BDF6-4386-9BDD-1AB1B8584F57}"/>
    <hyperlink ref="C179" r:id="rId173" xr:uid="{74457C93-F526-44A2-B185-0E11507B1734}"/>
    <hyperlink ref="C180" r:id="rId174" xr:uid="{45711FAA-328F-43DF-848E-FF5087406E54}"/>
    <hyperlink ref="C181" r:id="rId175" xr:uid="{184A2D77-03D3-42F9-B401-8B0B92F1DA88}"/>
    <hyperlink ref="C182" r:id="rId176" xr:uid="{35313F6B-A0A7-42E4-A81A-23A4EA57C8BA}"/>
    <hyperlink ref="C183" r:id="rId177" xr:uid="{B7F4E2A4-D5AE-4D41-858A-E950046AD794}"/>
    <hyperlink ref="C184" r:id="rId178" xr:uid="{CEFF12EF-BEEB-44AC-838E-B57FAF3BCE31}"/>
    <hyperlink ref="C185" r:id="rId179" xr:uid="{273EEB0A-F209-49C0-B96D-7F194DBCE01C}"/>
    <hyperlink ref="C186" r:id="rId180" xr:uid="{E90D3A9C-DEBA-4C28-9067-24EEB8C6AE53}"/>
    <hyperlink ref="C187" r:id="rId181" xr:uid="{77158CDA-B9BD-4F81-AE3D-D67B6683E92D}"/>
    <hyperlink ref="C188" r:id="rId182" xr:uid="{61BE3017-A134-458C-9629-DA69E116D276}"/>
    <hyperlink ref="C189" r:id="rId183" xr:uid="{2B7E97C8-5544-477E-AEEE-7962F416F5D6}"/>
    <hyperlink ref="C190" r:id="rId184" xr:uid="{9EC5E1C7-A6EC-4533-BB99-30B4C92D9AB0}"/>
    <hyperlink ref="C191" r:id="rId185" xr:uid="{16EEF17E-2494-480E-8259-A685E130F04F}"/>
    <hyperlink ref="C192" r:id="rId186" xr:uid="{266E61A7-C8FD-4DD1-99DF-48650C871DC6}"/>
    <hyperlink ref="C193" r:id="rId187" xr:uid="{07D521BA-A13D-4AC5-B697-478EB8D58929}"/>
    <hyperlink ref="C194" r:id="rId188" xr:uid="{BCCB0651-6E9C-4186-927C-9ACEFDA80E84}"/>
    <hyperlink ref="C195" r:id="rId189" xr:uid="{37460DEA-D56B-41AA-8B72-CA21AFD57723}"/>
    <hyperlink ref="C196" r:id="rId190" xr:uid="{BBBAB7A3-FB26-427B-B161-FE541B2A02EE}"/>
    <hyperlink ref="C197" r:id="rId191" xr:uid="{22D2C9A9-CC9F-4BD1-ACFA-D4839A935D65}"/>
    <hyperlink ref="C198" r:id="rId192" xr:uid="{A62CBCB2-B815-4F50-AB8D-19D4A38F41DD}"/>
    <hyperlink ref="C199" r:id="rId193" xr:uid="{716AA4AA-9282-4B1C-B0CF-679D59C0A151}"/>
    <hyperlink ref="C200" r:id="rId194" xr:uid="{B0DF0BE2-D59E-4A7C-88C5-29E3E0FE76C0}"/>
    <hyperlink ref="C201" r:id="rId195" xr:uid="{CB352F17-1D81-4B20-B9E8-F05E35FFDF2C}"/>
    <hyperlink ref="C202" r:id="rId196" xr:uid="{939777FA-A7B9-4207-8D6F-04C6EF62F58D}"/>
    <hyperlink ref="C203" r:id="rId197" xr:uid="{80A6B26A-AA5B-4FB3-A31D-70CAF3E0CA04}"/>
    <hyperlink ref="C204" r:id="rId198" xr:uid="{12559B9A-1626-4C89-BD32-4CD6973A0B16}"/>
    <hyperlink ref="C205" r:id="rId199" xr:uid="{7EC96A73-32BE-4146-8984-6039429786D5}"/>
    <hyperlink ref="C206" r:id="rId200" xr:uid="{BB6DE339-8D5E-474C-A324-C6ACEA4C485F}"/>
    <hyperlink ref="C207" r:id="rId201" xr:uid="{2DA771F1-8C5F-4C89-A17C-2C7D3334193C}"/>
    <hyperlink ref="C208" r:id="rId202" xr:uid="{017263CF-3018-42E5-812B-4E0ACF511C2B}"/>
    <hyperlink ref="C209" r:id="rId203" xr:uid="{FC354F9C-E5F0-40C2-92D0-0ED01BA57240}"/>
    <hyperlink ref="C210" r:id="rId204" xr:uid="{9DC9549A-FE1C-4BF6-909D-605A04E45F39}"/>
    <hyperlink ref="C211" r:id="rId205" xr:uid="{A29EFF63-BE0B-4C87-8BB2-8607D543D23E}"/>
    <hyperlink ref="C212" r:id="rId206" xr:uid="{EAB7C704-C573-4C55-AC59-E5127EFD145E}"/>
    <hyperlink ref="C213" r:id="rId207" xr:uid="{E3AB632E-3E5E-4CCD-A70E-C768467C9118}"/>
    <hyperlink ref="C214" r:id="rId208" xr:uid="{A59C65AC-E5C4-4833-96CA-922391E5C6E7}"/>
    <hyperlink ref="C215" r:id="rId209" xr:uid="{41FE5D76-B7BE-4D3E-9117-C86D44C622E3}"/>
    <hyperlink ref="C216" r:id="rId210" xr:uid="{61687F70-F4F8-4319-90D4-0CA6F079B0ED}"/>
    <hyperlink ref="C217" r:id="rId211" xr:uid="{5AB3BD80-1683-4101-A6D3-0367DCE6ED82}"/>
    <hyperlink ref="C218" r:id="rId212" xr:uid="{E0CC1C00-9A7A-4AED-B0A9-A2D5544E74A0}"/>
    <hyperlink ref="C219" r:id="rId213" xr:uid="{16122636-BC62-4668-BB0A-75B31795C74E}"/>
    <hyperlink ref="C220" r:id="rId214" xr:uid="{77190ACC-B1CE-4941-B0E2-82B7B5E90E9F}"/>
    <hyperlink ref="C221" r:id="rId215" xr:uid="{2B7C047A-6970-483E-B055-423B2AAD0BF5}"/>
    <hyperlink ref="C222" r:id="rId216" xr:uid="{8CE34396-E79D-4CB7-B5C4-BD1D0C3A22FA}"/>
    <hyperlink ref="C223" r:id="rId217" xr:uid="{E919ED65-4261-4FC7-8DE9-8CB4F6EC410B}"/>
    <hyperlink ref="C224" r:id="rId218" xr:uid="{6214028E-2470-43DF-85A9-B71D50A9E5BC}"/>
    <hyperlink ref="C225" r:id="rId219" xr:uid="{AB0C5AA8-CF1A-4CFE-A346-8B451389E48C}"/>
    <hyperlink ref="C226" r:id="rId220" xr:uid="{36684370-CB09-4EAD-8A7B-33F1F044D4B1}"/>
    <hyperlink ref="C227" r:id="rId221" xr:uid="{B0C4432A-3FEE-4E3A-8EF9-60BC13D9B0D2}"/>
    <hyperlink ref="C228" r:id="rId222" xr:uid="{38310324-8DDF-4762-9CE6-657CCE02201F}"/>
    <hyperlink ref="C229" r:id="rId223" xr:uid="{7B01AEF0-C2A9-46AA-9E3D-4065513B7594}"/>
    <hyperlink ref="C230" r:id="rId224" xr:uid="{E7EB5EC4-61AF-4444-839B-455BCF7A004A}"/>
    <hyperlink ref="C231" r:id="rId225" xr:uid="{4717F751-9E17-458F-82F5-2486CEFCEEBA}"/>
    <hyperlink ref="C232" r:id="rId226" xr:uid="{AD14BDC6-B9FF-495C-B591-4DF01AA27EF8}"/>
    <hyperlink ref="C233" r:id="rId227" xr:uid="{1C1EF375-2CDA-4953-9DC7-E70CAC3881CD}"/>
    <hyperlink ref="C234" r:id="rId228" xr:uid="{2C1382B6-0A38-45C7-9D88-28B5BC097583}"/>
    <hyperlink ref="C235" r:id="rId229" xr:uid="{00C2F49F-5AE0-4958-B8EE-C497989725A9}"/>
    <hyperlink ref="C236" r:id="rId230" xr:uid="{1282993B-0859-40E7-AB56-18894A7B1365}"/>
    <hyperlink ref="C237" r:id="rId231" xr:uid="{A942E6C5-A8B0-474D-BCC8-CF08DA6AD3B3}"/>
    <hyperlink ref="C238" r:id="rId232" xr:uid="{BA25AFA5-8A3A-466D-A1A2-C4DD14D0A6E9}"/>
    <hyperlink ref="C239" r:id="rId233" xr:uid="{AE985CA7-BACA-424C-9A51-16D3A5563BBD}"/>
    <hyperlink ref="C240" r:id="rId234" xr:uid="{B608B0A5-C9C0-45D4-BAA3-C1F94FB8FB14}"/>
    <hyperlink ref="C241" r:id="rId235" xr:uid="{183FCFFD-6A92-4A7E-AE58-26CC71CA2700}"/>
    <hyperlink ref="C242" r:id="rId236" xr:uid="{0DBD4709-0F2E-45E7-A0D4-02B2B35F7235}"/>
    <hyperlink ref="C244" r:id="rId237" xr:uid="{80DDD660-7241-4FF8-8BC5-7DA34A8730CF}"/>
    <hyperlink ref="C245" r:id="rId238" xr:uid="{F5A2644B-7059-4A65-9D67-637868EE60CF}"/>
    <hyperlink ref="C246" r:id="rId239" xr:uid="{BE89903B-5647-4AB0-86EF-8ABF2B9831B3}"/>
    <hyperlink ref="C247" r:id="rId240" xr:uid="{A56047AA-B3BA-415E-8A92-FE122C4C7F8E}"/>
    <hyperlink ref="C248" r:id="rId241" xr:uid="{510402BD-096D-484E-9F08-0F7BDB4D46C5}"/>
    <hyperlink ref="C249" r:id="rId242" xr:uid="{9252B1B9-37DC-47E7-89CD-19799E8DE417}"/>
    <hyperlink ref="C250" r:id="rId243" xr:uid="{1D3EF1FA-69C4-423D-8361-FAE62B3E2BE0}"/>
    <hyperlink ref="C251" r:id="rId244" xr:uid="{4A0A88CE-8067-4B01-BE8B-849C7E865B3B}"/>
    <hyperlink ref="C252" r:id="rId245" xr:uid="{47D179DA-AC75-4336-A03F-6F56DC7E35C4}"/>
    <hyperlink ref="C253" r:id="rId246" xr:uid="{78872B90-2FE9-49A8-BF70-4BBE7E4D199C}"/>
    <hyperlink ref="C254" r:id="rId247" xr:uid="{9DEF6DF4-0BDC-46CA-A867-6A632B6DAF0B}"/>
    <hyperlink ref="C255" r:id="rId248" xr:uid="{400BDD9B-5ED7-4B06-AD9D-E352F8C25F53}"/>
    <hyperlink ref="C256" r:id="rId249" xr:uid="{8A4E1550-71DA-4440-B059-1E9FAE623234}"/>
    <hyperlink ref="C257" r:id="rId250" xr:uid="{934677C7-0566-4224-BE8B-4C9EC56DA0D4}"/>
    <hyperlink ref="C258" r:id="rId251" xr:uid="{07ACFF4F-042F-4C6A-909B-43D11AFB764F}"/>
    <hyperlink ref="C259" r:id="rId252" xr:uid="{6000F64C-9E5B-4076-82AB-6BEF2588D209}"/>
    <hyperlink ref="C260" r:id="rId253" xr:uid="{6BB78B94-CB81-470A-841B-5D5BD737C17A}"/>
    <hyperlink ref="C261" r:id="rId254" xr:uid="{4A098613-4FE2-468F-BCF8-A61B8142A1F3}"/>
    <hyperlink ref="C262" r:id="rId255" xr:uid="{E1E48DA2-1A1A-46BA-9D7A-AA339A67F898}"/>
    <hyperlink ref="C263" r:id="rId256" xr:uid="{8083AF30-783E-4939-99CA-CF295BF97D8A}"/>
    <hyperlink ref="C264" r:id="rId257" xr:uid="{C08B43AB-A699-424F-A510-82825191ED03}"/>
    <hyperlink ref="C265" r:id="rId258" xr:uid="{42A6244A-E2E1-4514-888F-5027F6CBD443}"/>
    <hyperlink ref="C266" r:id="rId259" xr:uid="{4C33357B-4641-435B-8AA3-E5A070B1D62D}"/>
    <hyperlink ref="C267" r:id="rId260" xr:uid="{3ED35955-EE43-4518-985A-6F144A5CE0C9}"/>
    <hyperlink ref="C268" r:id="rId261" xr:uid="{0ACBC73F-F90E-4FF0-8E8C-6535C89BE0B2}"/>
    <hyperlink ref="C269" r:id="rId262" xr:uid="{5236F4BF-4CD2-4961-A732-1A641AF20257}"/>
    <hyperlink ref="C270" r:id="rId263" xr:uid="{5BD8DEC1-6F6C-4650-9A3D-D2BB1994F0A7}"/>
    <hyperlink ref="C271" r:id="rId264" xr:uid="{6F3636F6-3E37-4841-A3EA-6AAD26D5B0D1}"/>
    <hyperlink ref="C272" r:id="rId265" xr:uid="{5C6CBC00-CED7-460C-BFBC-B42FA8527EBA}"/>
    <hyperlink ref="C273" r:id="rId266" xr:uid="{368DB8CD-40AD-407B-AF7B-EA8E341C33EA}"/>
    <hyperlink ref="C274" r:id="rId267" xr:uid="{694156F1-0868-4E4C-8578-6275C86A2D82}"/>
    <hyperlink ref="C275" r:id="rId268" xr:uid="{B9493F6E-CB5C-4764-BA8E-FF51181C5988}"/>
    <hyperlink ref="C276" r:id="rId269" xr:uid="{EB118999-8AFB-4E06-AC9C-9CCF06B69F3A}"/>
    <hyperlink ref="C277" r:id="rId270" xr:uid="{1700650F-20CE-492B-95DB-5B25D2D4F469}"/>
    <hyperlink ref="C278" r:id="rId271" xr:uid="{7637C76F-6057-4AD4-A060-29ABBD714F0B}"/>
    <hyperlink ref="C279" r:id="rId272" xr:uid="{6EAC791B-760E-400F-AD80-D90224EAB668}"/>
    <hyperlink ref="C280" r:id="rId273" xr:uid="{3AF27066-5D46-4E40-AB23-7F488A9D91F9}"/>
    <hyperlink ref="C281" r:id="rId274" xr:uid="{CB185680-AB55-4611-9E92-FFDA859BFB1C}"/>
    <hyperlink ref="C282" r:id="rId275" xr:uid="{953363CE-56C3-40F4-BB0D-C2C97707D743}"/>
    <hyperlink ref="C283" r:id="rId276" xr:uid="{A0B7C367-0DA7-4C40-A6E4-B3F52A90363F}"/>
    <hyperlink ref="C284" r:id="rId277" xr:uid="{8BE26451-C3DF-486A-877C-10C212F3F11A}"/>
    <hyperlink ref="C285" r:id="rId278" xr:uid="{3CAA4BAA-1FAF-473A-9FDB-4514665CE995}"/>
    <hyperlink ref="C286" r:id="rId279" xr:uid="{887CBDE8-7A98-45AD-88DB-85A5F3697C05}"/>
    <hyperlink ref="C287" r:id="rId280" xr:uid="{43D11DD5-2205-4207-B516-5FCC30026A6D}"/>
    <hyperlink ref="C288" r:id="rId281" xr:uid="{7E073198-2FD5-439D-A252-80146D2B9E83}"/>
    <hyperlink ref="C289" r:id="rId282" xr:uid="{89602A13-6041-4AF3-9768-5F684C157276}"/>
    <hyperlink ref="C290" r:id="rId283" xr:uid="{162D1F36-B307-482C-8E13-535D264579D7}"/>
    <hyperlink ref="C291" r:id="rId284" xr:uid="{18EAEA9C-CD0B-4E95-A03F-F36CABC2338D}"/>
    <hyperlink ref="C292" r:id="rId285" xr:uid="{872109FC-CD8E-48F7-A4D7-B411169F6A66}"/>
    <hyperlink ref="C293" r:id="rId286" xr:uid="{183A7A58-F574-4CFF-92D4-8C06EF32BC38}"/>
    <hyperlink ref="C294" r:id="rId287" xr:uid="{87C49BAF-DF1E-475E-9613-24B88919CF19}"/>
    <hyperlink ref="C295" r:id="rId288" xr:uid="{7B89ACC8-7FD1-4315-AA1F-F2DA3ED1515D}"/>
    <hyperlink ref="C296" r:id="rId289" xr:uid="{08A324E0-6901-447D-9E27-739F691C57C7}"/>
    <hyperlink ref="C297" r:id="rId290" xr:uid="{FA1EBB93-21CD-4128-AF3D-7A85337E50D5}"/>
    <hyperlink ref="C298" r:id="rId291" xr:uid="{54CF8F87-C463-4409-990D-424DAFE89DF6}"/>
    <hyperlink ref="C299" r:id="rId292" xr:uid="{6D1B3B35-5EB9-4822-B924-C8907CC81F1B}"/>
    <hyperlink ref="C300" r:id="rId293" xr:uid="{066514E6-1A91-4F24-8E25-46FFFB1EA45C}"/>
    <hyperlink ref="C301" r:id="rId294" xr:uid="{EC21BE7F-3974-4C0B-B56C-D38A123E4B55}"/>
    <hyperlink ref="C302" r:id="rId295" xr:uid="{7F3CC323-9B23-4832-9AAB-7477A504DB22}"/>
    <hyperlink ref="C303" r:id="rId296" xr:uid="{9A918DD7-AE72-4951-9514-5FDEC2FE63DF}"/>
    <hyperlink ref="C304" r:id="rId297" xr:uid="{15C2012D-6F2F-4DB7-81D7-081876C13251}"/>
    <hyperlink ref="C305" r:id="rId298" xr:uid="{2B654F4B-C5BD-4AF2-B4BF-7D662CB75C1C}"/>
    <hyperlink ref="C306" r:id="rId299" xr:uid="{BE63E539-E5FC-47DA-A8E2-9B83402DC49A}"/>
    <hyperlink ref="C307" r:id="rId300" xr:uid="{E3DDA139-8E9F-49B2-8E58-603DCA473B11}"/>
    <hyperlink ref="C308" r:id="rId301" xr:uid="{8E5D4045-E5BB-4743-AA97-E5BA23BA3F24}"/>
    <hyperlink ref="C309" r:id="rId302" xr:uid="{E4C13D9E-C2C5-445E-97EC-7BD91AE81C94}"/>
    <hyperlink ref="C310" r:id="rId303" xr:uid="{453F8132-CFE6-4EFE-9118-10D81C1AD6B3}"/>
    <hyperlink ref="C311" r:id="rId304" xr:uid="{65842F97-A964-408D-8D4B-7A24CA04E782}"/>
    <hyperlink ref="C312" r:id="rId305" xr:uid="{397672C1-2965-480D-9060-30C78F49C77D}"/>
    <hyperlink ref="C313" r:id="rId306" xr:uid="{3A4CB465-A7C1-4840-AF3E-8FF1CBC0BC37}"/>
    <hyperlink ref="C314" r:id="rId307" xr:uid="{CE2A36A7-8A9F-4C7C-9C51-554580EC4B9A}"/>
    <hyperlink ref="C315" r:id="rId308" xr:uid="{48745EF2-3A8C-440E-BAA2-4550A7175C8A}"/>
    <hyperlink ref="C316" r:id="rId309" xr:uid="{713ACCAC-EE3E-4380-8F8B-D41023C7BC5F}"/>
    <hyperlink ref="C317" r:id="rId310" xr:uid="{C871475B-F98B-481F-AA5C-210D26BBDF63}"/>
    <hyperlink ref="C318" r:id="rId311" xr:uid="{A6AA5939-849B-4128-898B-2FDF4866D2C8}"/>
    <hyperlink ref="C319" r:id="rId312" xr:uid="{986860BD-8978-4CEE-AFF3-0027DAC8BEB4}"/>
    <hyperlink ref="C320" r:id="rId313" xr:uid="{1EFCEA29-AA9A-4245-91DA-1DF4AD7DDC1D}"/>
    <hyperlink ref="C321" r:id="rId314" xr:uid="{DC353F55-0E55-470F-AD65-5AAFE98BC405}"/>
    <hyperlink ref="C322" r:id="rId315" xr:uid="{E7D0FF19-29DB-4DE1-92AB-B2A715F773CC}"/>
    <hyperlink ref="C323" r:id="rId316" xr:uid="{9B48E414-415B-4A33-93E6-C328A1F03D09}"/>
    <hyperlink ref="C324" r:id="rId317" xr:uid="{F35DDED0-0AC0-49D4-A28C-3DB8B70E83C1}"/>
    <hyperlink ref="C325" r:id="rId318" xr:uid="{22EF775D-9BCE-4D61-B8B1-279CB3DA2E26}"/>
    <hyperlink ref="C326" r:id="rId319" xr:uid="{FC0FC0A4-BE17-4747-BE98-FB48792CA74A}"/>
    <hyperlink ref="C327" r:id="rId320" xr:uid="{1DFD5935-0EFE-4AFF-97D6-0D8B8E0C0AEA}"/>
    <hyperlink ref="C328" r:id="rId321" xr:uid="{B1F6DA1D-D7E2-45E2-B8C6-F3B139779D20}"/>
    <hyperlink ref="C329" r:id="rId322" xr:uid="{0E950D77-F731-4234-8726-06DFAD1C9C58}"/>
    <hyperlink ref="C330" r:id="rId323" xr:uid="{165ADB4B-B090-4439-B3A4-3591DC3DCADB}"/>
    <hyperlink ref="C331" r:id="rId324" xr:uid="{F5DDC342-917A-49FE-9B57-70F92AB63E3D}"/>
    <hyperlink ref="C332" r:id="rId325" xr:uid="{72B09D8C-981E-4EC7-AD88-6DBF73FC7B93}"/>
    <hyperlink ref="C333" r:id="rId326" xr:uid="{DDE77D2D-1D1D-402C-AFCF-0E4B52CB613F}"/>
    <hyperlink ref="C334" r:id="rId327" xr:uid="{5E808BBC-33C0-4D53-A577-11AF68EAA87A}"/>
  </hyperlinks>
  <pageMargins left="0.7" right="0.7" top="0.75" bottom="0.75" header="0" footer="0"/>
  <pageSetup paperSize="9" orientation="portrait"/>
  <legacyDrawing r:id="rId328"/>
  <tableParts count="1">
    <tablePart r:id="rId329"/>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003E4-3A64-4C3B-B3E2-C2735BF5C355}">
  <sheetPr codeName="Аркуш26">
    <tabColor rgb="FFFFC000"/>
  </sheetPr>
  <dimension ref="A1:AV785"/>
  <sheetViews>
    <sheetView topLeftCell="B1" workbookViewId="0">
      <selection activeCell="BB9" sqref="AT1:BB9"/>
    </sheetView>
  </sheetViews>
  <sheetFormatPr defaultColWidth="9" defaultRowHeight="18"/>
  <cols>
    <col min="1" max="1" width="36.6640625" style="61" bestFit="1" customWidth="1"/>
    <col min="2" max="2" width="11.21875" style="61" bestFit="1" customWidth="1"/>
    <col min="3" max="3" width="6.6640625" style="61" bestFit="1" customWidth="1"/>
    <col min="4" max="4" width="15.88671875" style="61" bestFit="1" customWidth="1"/>
    <col min="5" max="5" width="2.21875" style="61" bestFit="1" customWidth="1"/>
    <col min="6" max="6" width="6.33203125" style="86" bestFit="1" customWidth="1"/>
    <col min="7" max="7" width="2.88671875" style="61" bestFit="1" customWidth="1"/>
    <col min="8" max="8" width="3.5546875" style="86" bestFit="1" customWidth="1"/>
    <col min="9" max="9" width="2.77734375" style="61" bestFit="1" customWidth="1"/>
    <col min="10" max="10" width="3.5546875" style="87" bestFit="1" customWidth="1"/>
    <col min="11" max="11" width="2.77734375" style="61" bestFit="1" customWidth="1"/>
    <col min="12" max="12" width="7" style="61" bestFit="1" customWidth="1"/>
    <col min="13" max="13" width="16.33203125" style="61" bestFit="1" customWidth="1"/>
    <col min="14" max="14" width="3.109375" style="86" bestFit="1" customWidth="1"/>
    <col min="15" max="15" width="6.5546875" style="61" bestFit="1" customWidth="1"/>
    <col min="16" max="16" width="9.109375" style="61" bestFit="1" customWidth="1"/>
    <col min="17" max="17" width="9" style="61"/>
    <col min="18" max="18" width="2.77734375" style="61" bestFit="1" customWidth="1"/>
    <col min="19" max="19" width="9" style="61"/>
    <col min="20" max="20" width="2.77734375" style="61" bestFit="1" customWidth="1"/>
    <col min="21" max="45" width="9" style="61"/>
    <col min="46" max="46" width="16" style="61" bestFit="1" customWidth="1"/>
    <col min="47" max="249" width="9" style="61"/>
    <col min="250" max="250" width="36.6640625" style="61" bestFit="1" customWidth="1"/>
    <col min="251" max="251" width="11.21875" style="61" bestFit="1" customWidth="1"/>
    <col min="252" max="252" width="6.6640625" style="61" bestFit="1" customWidth="1"/>
    <col min="253" max="253" width="15.88671875" style="61" bestFit="1" customWidth="1"/>
    <col min="254" max="254" width="2.21875" style="61" bestFit="1" customWidth="1"/>
    <col min="255" max="255" width="6.33203125" style="61" bestFit="1" customWidth="1"/>
    <col min="256" max="256" width="2.88671875" style="61" bestFit="1" customWidth="1"/>
    <col min="257" max="257" width="3.5546875" style="61" bestFit="1" customWidth="1"/>
    <col min="258" max="258" width="2.77734375" style="61" bestFit="1" customWidth="1"/>
    <col min="259" max="259" width="3.5546875" style="61" bestFit="1" customWidth="1"/>
    <col min="260" max="260" width="2.77734375" style="61" bestFit="1" customWidth="1"/>
    <col min="261" max="261" width="7" style="61" bestFit="1" customWidth="1"/>
    <col min="262" max="262" width="16.33203125" style="61" bestFit="1" customWidth="1"/>
    <col min="263" max="263" width="3.109375" style="61" bestFit="1" customWidth="1"/>
    <col min="264" max="264" width="6.5546875" style="61" bestFit="1" customWidth="1"/>
    <col min="265" max="265" width="9.109375" style="61" bestFit="1" customWidth="1"/>
    <col min="266" max="266" width="9" style="61"/>
    <col min="267" max="267" width="2.77734375" style="61" bestFit="1" customWidth="1"/>
    <col min="268" max="268" width="9" style="61"/>
    <col min="269" max="269" width="2.77734375" style="61" bestFit="1" customWidth="1"/>
    <col min="270" max="505" width="9" style="61"/>
    <col min="506" max="506" width="36.6640625" style="61" bestFit="1" customWidth="1"/>
    <col min="507" max="507" width="11.21875" style="61" bestFit="1" customWidth="1"/>
    <col min="508" max="508" width="6.6640625" style="61" bestFit="1" customWidth="1"/>
    <col min="509" max="509" width="15.88671875" style="61" bestFit="1" customWidth="1"/>
    <col min="510" max="510" width="2.21875" style="61" bestFit="1" customWidth="1"/>
    <col min="511" max="511" width="6.33203125" style="61" bestFit="1" customWidth="1"/>
    <col min="512" max="512" width="2.88671875" style="61" bestFit="1" customWidth="1"/>
    <col min="513" max="513" width="3.5546875" style="61" bestFit="1" customWidth="1"/>
    <col min="514" max="514" width="2.77734375" style="61" bestFit="1" customWidth="1"/>
    <col min="515" max="515" width="3.5546875" style="61" bestFit="1" customWidth="1"/>
    <col min="516" max="516" width="2.77734375" style="61" bestFit="1" customWidth="1"/>
    <col min="517" max="517" width="7" style="61" bestFit="1" customWidth="1"/>
    <col min="518" max="518" width="16.33203125" style="61" bestFit="1" customWidth="1"/>
    <col min="519" max="519" width="3.109375" style="61" bestFit="1" customWidth="1"/>
    <col min="520" max="520" width="6.5546875" style="61" bestFit="1" customWidth="1"/>
    <col min="521" max="521" width="9.109375" style="61" bestFit="1" customWidth="1"/>
    <col min="522" max="522" width="9" style="61"/>
    <col min="523" max="523" width="2.77734375" style="61" bestFit="1" customWidth="1"/>
    <col min="524" max="524" width="9" style="61"/>
    <col min="525" max="525" width="2.77734375" style="61" bestFit="1" customWidth="1"/>
    <col min="526" max="761" width="9" style="61"/>
    <col min="762" max="762" width="36.6640625" style="61" bestFit="1" customWidth="1"/>
    <col min="763" max="763" width="11.21875" style="61" bestFit="1" customWidth="1"/>
    <col min="764" max="764" width="6.6640625" style="61" bestFit="1" customWidth="1"/>
    <col min="765" max="765" width="15.88671875" style="61" bestFit="1" customWidth="1"/>
    <col min="766" max="766" width="2.21875" style="61" bestFit="1" customWidth="1"/>
    <col min="767" max="767" width="6.33203125" style="61" bestFit="1" customWidth="1"/>
    <col min="768" max="768" width="2.88671875" style="61" bestFit="1" customWidth="1"/>
    <col min="769" max="769" width="3.5546875" style="61" bestFit="1" customWidth="1"/>
    <col min="770" max="770" width="2.77734375" style="61" bestFit="1" customWidth="1"/>
    <col min="771" max="771" width="3.5546875" style="61" bestFit="1" customWidth="1"/>
    <col min="772" max="772" width="2.77734375" style="61" bestFit="1" customWidth="1"/>
    <col min="773" max="773" width="7" style="61" bestFit="1" customWidth="1"/>
    <col min="774" max="774" width="16.33203125" style="61" bestFit="1" customWidth="1"/>
    <col min="775" max="775" width="3.109375" style="61" bestFit="1" customWidth="1"/>
    <col min="776" max="776" width="6.5546875" style="61" bestFit="1" customWidth="1"/>
    <col min="777" max="777" width="9.109375" style="61" bestFit="1" customWidth="1"/>
    <col min="778" max="778" width="9" style="61"/>
    <col min="779" max="779" width="2.77734375" style="61" bestFit="1" customWidth="1"/>
    <col min="780" max="780" width="9" style="61"/>
    <col min="781" max="781" width="2.77734375" style="61" bestFit="1" customWidth="1"/>
    <col min="782" max="1017" width="9" style="61"/>
    <col min="1018" max="1018" width="36.6640625" style="61" bestFit="1" customWidth="1"/>
    <col min="1019" max="1019" width="11.21875" style="61" bestFit="1" customWidth="1"/>
    <col min="1020" max="1020" width="6.6640625" style="61" bestFit="1" customWidth="1"/>
    <col min="1021" max="1021" width="15.88671875" style="61" bestFit="1" customWidth="1"/>
    <col min="1022" max="1022" width="2.21875" style="61" bestFit="1" customWidth="1"/>
    <col min="1023" max="1023" width="6.33203125" style="61" bestFit="1" customWidth="1"/>
    <col min="1024" max="1024" width="2.88671875" style="61" bestFit="1" customWidth="1"/>
    <col min="1025" max="1025" width="3.5546875" style="61" bestFit="1" customWidth="1"/>
    <col min="1026" max="1026" width="2.77734375" style="61" bestFit="1" customWidth="1"/>
    <col min="1027" max="1027" width="3.5546875" style="61" bestFit="1" customWidth="1"/>
    <col min="1028" max="1028" width="2.77734375" style="61" bestFit="1" customWidth="1"/>
    <col min="1029" max="1029" width="7" style="61" bestFit="1" customWidth="1"/>
    <col min="1030" max="1030" width="16.33203125" style="61" bestFit="1" customWidth="1"/>
    <col min="1031" max="1031" width="3.109375" style="61" bestFit="1" customWidth="1"/>
    <col min="1032" max="1032" width="6.5546875" style="61" bestFit="1" customWidth="1"/>
    <col min="1033" max="1033" width="9.109375" style="61" bestFit="1" customWidth="1"/>
    <col min="1034" max="1034" width="9" style="61"/>
    <col min="1035" max="1035" width="2.77734375" style="61" bestFit="1" customWidth="1"/>
    <col min="1036" max="1036" width="9" style="61"/>
    <col min="1037" max="1037" width="2.77734375" style="61" bestFit="1" customWidth="1"/>
    <col min="1038" max="1273" width="9" style="61"/>
    <col min="1274" max="1274" width="36.6640625" style="61" bestFit="1" customWidth="1"/>
    <col min="1275" max="1275" width="11.21875" style="61" bestFit="1" customWidth="1"/>
    <col min="1276" max="1276" width="6.6640625" style="61" bestFit="1" customWidth="1"/>
    <col min="1277" max="1277" width="15.88671875" style="61" bestFit="1" customWidth="1"/>
    <col min="1278" max="1278" width="2.21875" style="61" bestFit="1" customWidth="1"/>
    <col min="1279" max="1279" width="6.33203125" style="61" bestFit="1" customWidth="1"/>
    <col min="1280" max="1280" width="2.88671875" style="61" bestFit="1" customWidth="1"/>
    <col min="1281" max="1281" width="3.5546875" style="61" bestFit="1" customWidth="1"/>
    <col min="1282" max="1282" width="2.77734375" style="61" bestFit="1" customWidth="1"/>
    <col min="1283" max="1283" width="3.5546875" style="61" bestFit="1" customWidth="1"/>
    <col min="1284" max="1284" width="2.77734375" style="61" bestFit="1" customWidth="1"/>
    <col min="1285" max="1285" width="7" style="61" bestFit="1" customWidth="1"/>
    <col min="1286" max="1286" width="16.33203125" style="61" bestFit="1" customWidth="1"/>
    <col min="1287" max="1287" width="3.109375" style="61" bestFit="1" customWidth="1"/>
    <col min="1288" max="1288" width="6.5546875" style="61" bestFit="1" customWidth="1"/>
    <col min="1289" max="1289" width="9.109375" style="61" bestFit="1" customWidth="1"/>
    <col min="1290" max="1290" width="9" style="61"/>
    <col min="1291" max="1291" width="2.77734375" style="61" bestFit="1" customWidth="1"/>
    <col min="1292" max="1292" width="9" style="61"/>
    <col min="1293" max="1293" width="2.77734375" style="61" bestFit="1" customWidth="1"/>
    <col min="1294" max="1529" width="9" style="61"/>
    <col min="1530" max="1530" width="36.6640625" style="61" bestFit="1" customWidth="1"/>
    <col min="1531" max="1531" width="11.21875" style="61" bestFit="1" customWidth="1"/>
    <col min="1532" max="1532" width="6.6640625" style="61" bestFit="1" customWidth="1"/>
    <col min="1533" max="1533" width="15.88671875" style="61" bestFit="1" customWidth="1"/>
    <col min="1534" max="1534" width="2.21875" style="61" bestFit="1" customWidth="1"/>
    <col min="1535" max="1535" width="6.33203125" style="61" bestFit="1" customWidth="1"/>
    <col min="1536" max="1536" width="2.88671875" style="61" bestFit="1" customWidth="1"/>
    <col min="1537" max="1537" width="3.5546875" style="61" bestFit="1" customWidth="1"/>
    <col min="1538" max="1538" width="2.77734375" style="61" bestFit="1" customWidth="1"/>
    <col min="1539" max="1539" width="3.5546875" style="61" bestFit="1" customWidth="1"/>
    <col min="1540" max="1540" width="2.77734375" style="61" bestFit="1" customWidth="1"/>
    <col min="1541" max="1541" width="7" style="61" bestFit="1" customWidth="1"/>
    <col min="1542" max="1542" width="16.33203125" style="61" bestFit="1" customWidth="1"/>
    <col min="1543" max="1543" width="3.109375" style="61" bestFit="1" customWidth="1"/>
    <col min="1544" max="1544" width="6.5546875" style="61" bestFit="1" customWidth="1"/>
    <col min="1545" max="1545" width="9.109375" style="61" bestFit="1" customWidth="1"/>
    <col min="1546" max="1546" width="9" style="61"/>
    <col min="1547" max="1547" width="2.77734375" style="61" bestFit="1" customWidth="1"/>
    <col min="1548" max="1548" width="9" style="61"/>
    <col min="1549" max="1549" width="2.77734375" style="61" bestFit="1" customWidth="1"/>
    <col min="1550" max="1785" width="9" style="61"/>
    <col min="1786" max="1786" width="36.6640625" style="61" bestFit="1" customWidth="1"/>
    <col min="1787" max="1787" width="11.21875" style="61" bestFit="1" customWidth="1"/>
    <col min="1788" max="1788" width="6.6640625" style="61" bestFit="1" customWidth="1"/>
    <col min="1789" max="1789" width="15.88671875" style="61" bestFit="1" customWidth="1"/>
    <col min="1790" max="1790" width="2.21875" style="61" bestFit="1" customWidth="1"/>
    <col min="1791" max="1791" width="6.33203125" style="61" bestFit="1" customWidth="1"/>
    <col min="1792" max="1792" width="2.88671875" style="61" bestFit="1" customWidth="1"/>
    <col min="1793" max="1793" width="3.5546875" style="61" bestFit="1" customWidth="1"/>
    <col min="1794" max="1794" width="2.77734375" style="61" bestFit="1" customWidth="1"/>
    <col min="1795" max="1795" width="3.5546875" style="61" bestFit="1" customWidth="1"/>
    <col min="1796" max="1796" width="2.77734375" style="61" bestFit="1" customWidth="1"/>
    <col min="1797" max="1797" width="7" style="61" bestFit="1" customWidth="1"/>
    <col min="1798" max="1798" width="16.33203125" style="61" bestFit="1" customWidth="1"/>
    <col min="1799" max="1799" width="3.109375" style="61" bestFit="1" customWidth="1"/>
    <col min="1800" max="1800" width="6.5546875" style="61" bestFit="1" customWidth="1"/>
    <col min="1801" max="1801" width="9.109375" style="61" bestFit="1" customWidth="1"/>
    <col min="1802" max="1802" width="9" style="61"/>
    <col min="1803" max="1803" width="2.77734375" style="61" bestFit="1" customWidth="1"/>
    <col min="1804" max="1804" width="9" style="61"/>
    <col min="1805" max="1805" width="2.77734375" style="61" bestFit="1" customWidth="1"/>
    <col min="1806" max="2041" width="9" style="61"/>
    <col min="2042" max="2042" width="36.6640625" style="61" bestFit="1" customWidth="1"/>
    <col min="2043" max="2043" width="11.21875" style="61" bestFit="1" customWidth="1"/>
    <col min="2044" max="2044" width="6.6640625" style="61" bestFit="1" customWidth="1"/>
    <col min="2045" max="2045" width="15.88671875" style="61" bestFit="1" customWidth="1"/>
    <col min="2046" max="2046" width="2.21875" style="61" bestFit="1" customWidth="1"/>
    <col min="2047" max="2047" width="6.33203125" style="61" bestFit="1" customWidth="1"/>
    <col min="2048" max="2048" width="2.88671875" style="61" bestFit="1" customWidth="1"/>
    <col min="2049" max="2049" width="3.5546875" style="61" bestFit="1" customWidth="1"/>
    <col min="2050" max="2050" width="2.77734375" style="61" bestFit="1" customWidth="1"/>
    <col min="2051" max="2051" width="3.5546875" style="61" bestFit="1" customWidth="1"/>
    <col min="2052" max="2052" width="2.77734375" style="61" bestFit="1" customWidth="1"/>
    <col min="2053" max="2053" width="7" style="61" bestFit="1" customWidth="1"/>
    <col min="2054" max="2054" width="16.33203125" style="61" bestFit="1" customWidth="1"/>
    <col min="2055" max="2055" width="3.109375" style="61" bestFit="1" customWidth="1"/>
    <col min="2056" max="2056" width="6.5546875" style="61" bestFit="1" customWidth="1"/>
    <col min="2057" max="2057" width="9.109375" style="61" bestFit="1" customWidth="1"/>
    <col min="2058" max="2058" width="9" style="61"/>
    <col min="2059" max="2059" width="2.77734375" style="61" bestFit="1" customWidth="1"/>
    <col min="2060" max="2060" width="9" style="61"/>
    <col min="2061" max="2061" width="2.77734375" style="61" bestFit="1" customWidth="1"/>
    <col min="2062" max="2297" width="9" style="61"/>
    <col min="2298" max="2298" width="36.6640625" style="61" bestFit="1" customWidth="1"/>
    <col min="2299" max="2299" width="11.21875" style="61" bestFit="1" customWidth="1"/>
    <col min="2300" max="2300" width="6.6640625" style="61" bestFit="1" customWidth="1"/>
    <col min="2301" max="2301" width="15.88671875" style="61" bestFit="1" customWidth="1"/>
    <col min="2302" max="2302" width="2.21875" style="61" bestFit="1" customWidth="1"/>
    <col min="2303" max="2303" width="6.33203125" style="61" bestFit="1" customWidth="1"/>
    <col min="2304" max="2304" width="2.88671875" style="61" bestFit="1" customWidth="1"/>
    <col min="2305" max="2305" width="3.5546875" style="61" bestFit="1" customWidth="1"/>
    <col min="2306" max="2306" width="2.77734375" style="61" bestFit="1" customWidth="1"/>
    <col min="2307" max="2307" width="3.5546875" style="61" bestFit="1" customWidth="1"/>
    <col min="2308" max="2308" width="2.77734375" style="61" bestFit="1" customWidth="1"/>
    <col min="2309" max="2309" width="7" style="61" bestFit="1" customWidth="1"/>
    <col min="2310" max="2310" width="16.33203125" style="61" bestFit="1" customWidth="1"/>
    <col min="2311" max="2311" width="3.109375" style="61" bestFit="1" customWidth="1"/>
    <col min="2312" max="2312" width="6.5546875" style="61" bestFit="1" customWidth="1"/>
    <col min="2313" max="2313" width="9.109375" style="61" bestFit="1" customWidth="1"/>
    <col min="2314" max="2314" width="9" style="61"/>
    <col min="2315" max="2315" width="2.77734375" style="61" bestFit="1" customWidth="1"/>
    <col min="2316" max="2316" width="9" style="61"/>
    <col min="2317" max="2317" width="2.77734375" style="61" bestFit="1" customWidth="1"/>
    <col min="2318" max="2553" width="9" style="61"/>
    <col min="2554" max="2554" width="36.6640625" style="61" bestFit="1" customWidth="1"/>
    <col min="2555" max="2555" width="11.21875" style="61" bestFit="1" customWidth="1"/>
    <col min="2556" max="2556" width="6.6640625" style="61" bestFit="1" customWidth="1"/>
    <col min="2557" max="2557" width="15.88671875" style="61" bestFit="1" customWidth="1"/>
    <col min="2558" max="2558" width="2.21875" style="61" bestFit="1" customWidth="1"/>
    <col min="2559" max="2559" width="6.33203125" style="61" bestFit="1" customWidth="1"/>
    <col min="2560" max="2560" width="2.88671875" style="61" bestFit="1" customWidth="1"/>
    <col min="2561" max="2561" width="3.5546875" style="61" bestFit="1" customWidth="1"/>
    <col min="2562" max="2562" width="2.77734375" style="61" bestFit="1" customWidth="1"/>
    <col min="2563" max="2563" width="3.5546875" style="61" bestFit="1" customWidth="1"/>
    <col min="2564" max="2564" width="2.77734375" style="61" bestFit="1" customWidth="1"/>
    <col min="2565" max="2565" width="7" style="61" bestFit="1" customWidth="1"/>
    <col min="2566" max="2566" width="16.33203125" style="61" bestFit="1" customWidth="1"/>
    <col min="2567" max="2567" width="3.109375" style="61" bestFit="1" customWidth="1"/>
    <col min="2568" max="2568" width="6.5546875" style="61" bestFit="1" customWidth="1"/>
    <col min="2569" max="2569" width="9.109375" style="61" bestFit="1" customWidth="1"/>
    <col min="2570" max="2570" width="9" style="61"/>
    <col min="2571" max="2571" width="2.77734375" style="61" bestFit="1" customWidth="1"/>
    <col min="2572" max="2572" width="9" style="61"/>
    <col min="2573" max="2573" width="2.77734375" style="61" bestFit="1" customWidth="1"/>
    <col min="2574" max="2809" width="9" style="61"/>
    <col min="2810" max="2810" width="36.6640625" style="61" bestFit="1" customWidth="1"/>
    <col min="2811" max="2811" width="11.21875" style="61" bestFit="1" customWidth="1"/>
    <col min="2812" max="2812" width="6.6640625" style="61" bestFit="1" customWidth="1"/>
    <col min="2813" max="2813" width="15.88671875" style="61" bestFit="1" customWidth="1"/>
    <col min="2814" max="2814" width="2.21875" style="61" bestFit="1" customWidth="1"/>
    <col min="2815" max="2815" width="6.33203125" style="61" bestFit="1" customWidth="1"/>
    <col min="2816" max="2816" width="2.88671875" style="61" bestFit="1" customWidth="1"/>
    <col min="2817" max="2817" width="3.5546875" style="61" bestFit="1" customWidth="1"/>
    <col min="2818" max="2818" width="2.77734375" style="61" bestFit="1" customWidth="1"/>
    <col min="2819" max="2819" width="3.5546875" style="61" bestFit="1" customWidth="1"/>
    <col min="2820" max="2820" width="2.77734375" style="61" bestFit="1" customWidth="1"/>
    <col min="2821" max="2821" width="7" style="61" bestFit="1" customWidth="1"/>
    <col min="2822" max="2822" width="16.33203125" style="61" bestFit="1" customWidth="1"/>
    <col min="2823" max="2823" width="3.109375" style="61" bestFit="1" customWidth="1"/>
    <col min="2824" max="2824" width="6.5546875" style="61" bestFit="1" customWidth="1"/>
    <col min="2825" max="2825" width="9.109375" style="61" bestFit="1" customWidth="1"/>
    <col min="2826" max="2826" width="9" style="61"/>
    <col min="2827" max="2827" width="2.77734375" style="61" bestFit="1" customWidth="1"/>
    <col min="2828" max="2828" width="9" style="61"/>
    <col min="2829" max="2829" width="2.77734375" style="61" bestFit="1" customWidth="1"/>
    <col min="2830" max="3065" width="9" style="61"/>
    <col min="3066" max="3066" width="36.6640625" style="61" bestFit="1" customWidth="1"/>
    <col min="3067" max="3067" width="11.21875" style="61" bestFit="1" customWidth="1"/>
    <col min="3068" max="3068" width="6.6640625" style="61" bestFit="1" customWidth="1"/>
    <col min="3069" max="3069" width="15.88671875" style="61" bestFit="1" customWidth="1"/>
    <col min="3070" max="3070" width="2.21875" style="61" bestFit="1" customWidth="1"/>
    <col min="3071" max="3071" width="6.33203125" style="61" bestFit="1" customWidth="1"/>
    <col min="3072" max="3072" width="2.88671875" style="61" bestFit="1" customWidth="1"/>
    <col min="3073" max="3073" width="3.5546875" style="61" bestFit="1" customWidth="1"/>
    <col min="3074" max="3074" width="2.77734375" style="61" bestFit="1" customWidth="1"/>
    <col min="3075" max="3075" width="3.5546875" style="61" bestFit="1" customWidth="1"/>
    <col min="3076" max="3076" width="2.77734375" style="61" bestFit="1" customWidth="1"/>
    <col min="3077" max="3077" width="7" style="61" bestFit="1" customWidth="1"/>
    <col min="3078" max="3078" width="16.33203125" style="61" bestFit="1" customWidth="1"/>
    <col min="3079" max="3079" width="3.109375" style="61" bestFit="1" customWidth="1"/>
    <col min="3080" max="3080" width="6.5546875" style="61" bestFit="1" customWidth="1"/>
    <col min="3081" max="3081" width="9.109375" style="61" bestFit="1" customWidth="1"/>
    <col min="3082" max="3082" width="9" style="61"/>
    <col min="3083" max="3083" width="2.77734375" style="61" bestFit="1" customWidth="1"/>
    <col min="3084" max="3084" width="9" style="61"/>
    <col min="3085" max="3085" width="2.77734375" style="61" bestFit="1" customWidth="1"/>
    <col min="3086" max="3321" width="9" style="61"/>
    <col min="3322" max="3322" width="36.6640625" style="61" bestFit="1" customWidth="1"/>
    <col min="3323" max="3323" width="11.21875" style="61" bestFit="1" customWidth="1"/>
    <col min="3324" max="3324" width="6.6640625" style="61" bestFit="1" customWidth="1"/>
    <col min="3325" max="3325" width="15.88671875" style="61" bestFit="1" customWidth="1"/>
    <col min="3326" max="3326" width="2.21875" style="61" bestFit="1" customWidth="1"/>
    <col min="3327" max="3327" width="6.33203125" style="61" bestFit="1" customWidth="1"/>
    <col min="3328" max="3328" width="2.88671875" style="61" bestFit="1" customWidth="1"/>
    <col min="3329" max="3329" width="3.5546875" style="61" bestFit="1" customWidth="1"/>
    <col min="3330" max="3330" width="2.77734375" style="61" bestFit="1" customWidth="1"/>
    <col min="3331" max="3331" width="3.5546875" style="61" bestFit="1" customWidth="1"/>
    <col min="3332" max="3332" width="2.77734375" style="61" bestFit="1" customWidth="1"/>
    <col min="3333" max="3333" width="7" style="61" bestFit="1" customWidth="1"/>
    <col min="3334" max="3334" width="16.33203125" style="61" bestFit="1" customWidth="1"/>
    <col min="3335" max="3335" width="3.109375" style="61" bestFit="1" customWidth="1"/>
    <col min="3336" max="3336" width="6.5546875" style="61" bestFit="1" customWidth="1"/>
    <col min="3337" max="3337" width="9.109375" style="61" bestFit="1" customWidth="1"/>
    <col min="3338" max="3338" width="9" style="61"/>
    <col min="3339" max="3339" width="2.77734375" style="61" bestFit="1" customWidth="1"/>
    <col min="3340" max="3340" width="9" style="61"/>
    <col min="3341" max="3341" width="2.77734375" style="61" bestFit="1" customWidth="1"/>
    <col min="3342" max="3577" width="9" style="61"/>
    <col min="3578" max="3578" width="36.6640625" style="61" bestFit="1" customWidth="1"/>
    <col min="3579" max="3579" width="11.21875" style="61" bestFit="1" customWidth="1"/>
    <col min="3580" max="3580" width="6.6640625" style="61" bestFit="1" customWidth="1"/>
    <col min="3581" max="3581" width="15.88671875" style="61" bestFit="1" customWidth="1"/>
    <col min="3582" max="3582" width="2.21875" style="61" bestFit="1" customWidth="1"/>
    <col min="3583" max="3583" width="6.33203125" style="61" bestFit="1" customWidth="1"/>
    <col min="3584" max="3584" width="2.88671875" style="61" bestFit="1" customWidth="1"/>
    <col min="3585" max="3585" width="3.5546875" style="61" bestFit="1" customWidth="1"/>
    <col min="3586" max="3586" width="2.77734375" style="61" bestFit="1" customWidth="1"/>
    <col min="3587" max="3587" width="3.5546875" style="61" bestFit="1" customWidth="1"/>
    <col min="3588" max="3588" width="2.77734375" style="61" bestFit="1" customWidth="1"/>
    <col min="3589" max="3589" width="7" style="61" bestFit="1" customWidth="1"/>
    <col min="3590" max="3590" width="16.33203125" style="61" bestFit="1" customWidth="1"/>
    <col min="3591" max="3591" width="3.109375" style="61" bestFit="1" customWidth="1"/>
    <col min="3592" max="3592" width="6.5546875" style="61" bestFit="1" customWidth="1"/>
    <col min="3593" max="3593" width="9.109375" style="61" bestFit="1" customWidth="1"/>
    <col min="3594" max="3594" width="9" style="61"/>
    <col min="3595" max="3595" width="2.77734375" style="61" bestFit="1" customWidth="1"/>
    <col min="3596" max="3596" width="9" style="61"/>
    <col min="3597" max="3597" width="2.77734375" style="61" bestFit="1" customWidth="1"/>
    <col min="3598" max="3833" width="9" style="61"/>
    <col min="3834" max="3834" width="36.6640625" style="61" bestFit="1" customWidth="1"/>
    <col min="3835" max="3835" width="11.21875" style="61" bestFit="1" customWidth="1"/>
    <col min="3836" max="3836" width="6.6640625" style="61" bestFit="1" customWidth="1"/>
    <col min="3837" max="3837" width="15.88671875" style="61" bestFit="1" customWidth="1"/>
    <col min="3838" max="3838" width="2.21875" style="61" bestFit="1" customWidth="1"/>
    <col min="3839" max="3839" width="6.33203125" style="61" bestFit="1" customWidth="1"/>
    <col min="3840" max="3840" width="2.88671875" style="61" bestFit="1" customWidth="1"/>
    <col min="3841" max="3841" width="3.5546875" style="61" bestFit="1" customWidth="1"/>
    <col min="3842" max="3842" width="2.77734375" style="61" bestFit="1" customWidth="1"/>
    <col min="3843" max="3843" width="3.5546875" style="61" bestFit="1" customWidth="1"/>
    <col min="3844" max="3844" width="2.77734375" style="61" bestFit="1" customWidth="1"/>
    <col min="3845" max="3845" width="7" style="61" bestFit="1" customWidth="1"/>
    <col min="3846" max="3846" width="16.33203125" style="61" bestFit="1" customWidth="1"/>
    <col min="3847" max="3847" width="3.109375" style="61" bestFit="1" customWidth="1"/>
    <col min="3848" max="3848" width="6.5546875" style="61" bestFit="1" customWidth="1"/>
    <col min="3849" max="3849" width="9.109375" style="61" bestFit="1" customWidth="1"/>
    <col min="3850" max="3850" width="9" style="61"/>
    <col min="3851" max="3851" width="2.77734375" style="61" bestFit="1" customWidth="1"/>
    <col min="3852" max="3852" width="9" style="61"/>
    <col min="3853" max="3853" width="2.77734375" style="61" bestFit="1" customWidth="1"/>
    <col min="3854" max="4089" width="9" style="61"/>
    <col min="4090" max="4090" width="36.6640625" style="61" bestFit="1" customWidth="1"/>
    <col min="4091" max="4091" width="11.21875" style="61" bestFit="1" customWidth="1"/>
    <col min="4092" max="4092" width="6.6640625" style="61" bestFit="1" customWidth="1"/>
    <col min="4093" max="4093" width="15.88671875" style="61" bestFit="1" customWidth="1"/>
    <col min="4094" max="4094" width="2.21875" style="61" bestFit="1" customWidth="1"/>
    <col min="4095" max="4095" width="6.33203125" style="61" bestFit="1" customWidth="1"/>
    <col min="4096" max="4096" width="2.88671875" style="61" bestFit="1" customWidth="1"/>
    <col min="4097" max="4097" width="3.5546875" style="61" bestFit="1" customWidth="1"/>
    <col min="4098" max="4098" width="2.77734375" style="61" bestFit="1" customWidth="1"/>
    <col min="4099" max="4099" width="3.5546875" style="61" bestFit="1" customWidth="1"/>
    <col min="4100" max="4100" width="2.77734375" style="61" bestFit="1" customWidth="1"/>
    <col min="4101" max="4101" width="7" style="61" bestFit="1" customWidth="1"/>
    <col min="4102" max="4102" width="16.33203125" style="61" bestFit="1" customWidth="1"/>
    <col min="4103" max="4103" width="3.109375" style="61" bestFit="1" customWidth="1"/>
    <col min="4104" max="4104" width="6.5546875" style="61" bestFit="1" customWidth="1"/>
    <col min="4105" max="4105" width="9.109375" style="61" bestFit="1" customWidth="1"/>
    <col min="4106" max="4106" width="9" style="61"/>
    <col min="4107" max="4107" width="2.77734375" style="61" bestFit="1" customWidth="1"/>
    <col min="4108" max="4108" width="9" style="61"/>
    <col min="4109" max="4109" width="2.77734375" style="61" bestFit="1" customWidth="1"/>
    <col min="4110" max="4345" width="9" style="61"/>
    <col min="4346" max="4346" width="36.6640625" style="61" bestFit="1" customWidth="1"/>
    <col min="4347" max="4347" width="11.21875" style="61" bestFit="1" customWidth="1"/>
    <col min="4348" max="4348" width="6.6640625" style="61" bestFit="1" customWidth="1"/>
    <col min="4349" max="4349" width="15.88671875" style="61" bestFit="1" customWidth="1"/>
    <col min="4350" max="4350" width="2.21875" style="61" bestFit="1" customWidth="1"/>
    <col min="4351" max="4351" width="6.33203125" style="61" bestFit="1" customWidth="1"/>
    <col min="4352" max="4352" width="2.88671875" style="61" bestFit="1" customWidth="1"/>
    <col min="4353" max="4353" width="3.5546875" style="61" bestFit="1" customWidth="1"/>
    <col min="4354" max="4354" width="2.77734375" style="61" bestFit="1" customWidth="1"/>
    <col min="4355" max="4355" width="3.5546875" style="61" bestFit="1" customWidth="1"/>
    <col min="4356" max="4356" width="2.77734375" style="61" bestFit="1" customWidth="1"/>
    <col min="4357" max="4357" width="7" style="61" bestFit="1" customWidth="1"/>
    <col min="4358" max="4358" width="16.33203125" style="61" bestFit="1" customWidth="1"/>
    <col min="4359" max="4359" width="3.109375" style="61" bestFit="1" customWidth="1"/>
    <col min="4360" max="4360" width="6.5546875" style="61" bestFit="1" customWidth="1"/>
    <col min="4361" max="4361" width="9.109375" style="61" bestFit="1" customWidth="1"/>
    <col min="4362" max="4362" width="9" style="61"/>
    <col min="4363" max="4363" width="2.77734375" style="61" bestFit="1" customWidth="1"/>
    <col min="4364" max="4364" width="9" style="61"/>
    <col min="4365" max="4365" width="2.77734375" style="61" bestFit="1" customWidth="1"/>
    <col min="4366" max="4601" width="9" style="61"/>
    <col min="4602" max="4602" width="36.6640625" style="61" bestFit="1" customWidth="1"/>
    <col min="4603" max="4603" width="11.21875" style="61" bestFit="1" customWidth="1"/>
    <col min="4604" max="4604" width="6.6640625" style="61" bestFit="1" customWidth="1"/>
    <col min="4605" max="4605" width="15.88671875" style="61" bestFit="1" customWidth="1"/>
    <col min="4606" max="4606" width="2.21875" style="61" bestFit="1" customWidth="1"/>
    <col min="4607" max="4607" width="6.33203125" style="61" bestFit="1" customWidth="1"/>
    <col min="4608" max="4608" width="2.88671875" style="61" bestFit="1" customWidth="1"/>
    <col min="4609" max="4609" width="3.5546875" style="61" bestFit="1" customWidth="1"/>
    <col min="4610" max="4610" width="2.77734375" style="61" bestFit="1" customWidth="1"/>
    <col min="4611" max="4611" width="3.5546875" style="61" bestFit="1" customWidth="1"/>
    <col min="4612" max="4612" width="2.77734375" style="61" bestFit="1" customWidth="1"/>
    <col min="4613" max="4613" width="7" style="61" bestFit="1" customWidth="1"/>
    <col min="4614" max="4614" width="16.33203125" style="61" bestFit="1" customWidth="1"/>
    <col min="4615" max="4615" width="3.109375" style="61" bestFit="1" customWidth="1"/>
    <col min="4616" max="4616" width="6.5546875" style="61" bestFit="1" customWidth="1"/>
    <col min="4617" max="4617" width="9.109375" style="61" bestFit="1" customWidth="1"/>
    <col min="4618" max="4618" width="9" style="61"/>
    <col min="4619" max="4619" width="2.77734375" style="61" bestFit="1" customWidth="1"/>
    <col min="4620" max="4620" width="9" style="61"/>
    <col min="4621" max="4621" width="2.77734375" style="61" bestFit="1" customWidth="1"/>
    <col min="4622" max="4857" width="9" style="61"/>
    <col min="4858" max="4858" width="36.6640625" style="61" bestFit="1" customWidth="1"/>
    <col min="4859" max="4859" width="11.21875" style="61" bestFit="1" customWidth="1"/>
    <col min="4860" max="4860" width="6.6640625" style="61" bestFit="1" customWidth="1"/>
    <col min="4861" max="4861" width="15.88671875" style="61" bestFit="1" customWidth="1"/>
    <col min="4862" max="4862" width="2.21875" style="61" bestFit="1" customWidth="1"/>
    <col min="4863" max="4863" width="6.33203125" style="61" bestFit="1" customWidth="1"/>
    <col min="4864" max="4864" width="2.88671875" style="61" bestFit="1" customWidth="1"/>
    <col min="4865" max="4865" width="3.5546875" style="61" bestFit="1" customWidth="1"/>
    <col min="4866" max="4866" width="2.77734375" style="61" bestFit="1" customWidth="1"/>
    <col min="4867" max="4867" width="3.5546875" style="61" bestFit="1" customWidth="1"/>
    <col min="4868" max="4868" width="2.77734375" style="61" bestFit="1" customWidth="1"/>
    <col min="4869" max="4869" width="7" style="61" bestFit="1" customWidth="1"/>
    <col min="4870" max="4870" width="16.33203125" style="61" bestFit="1" customWidth="1"/>
    <col min="4871" max="4871" width="3.109375" style="61" bestFit="1" customWidth="1"/>
    <col min="4872" max="4872" width="6.5546875" style="61" bestFit="1" customWidth="1"/>
    <col min="4873" max="4873" width="9.109375" style="61" bestFit="1" customWidth="1"/>
    <col min="4874" max="4874" width="9" style="61"/>
    <col min="4875" max="4875" width="2.77734375" style="61" bestFit="1" customWidth="1"/>
    <col min="4876" max="4876" width="9" style="61"/>
    <col min="4877" max="4877" width="2.77734375" style="61" bestFit="1" customWidth="1"/>
    <col min="4878" max="5113" width="9" style="61"/>
    <col min="5114" max="5114" width="36.6640625" style="61" bestFit="1" customWidth="1"/>
    <col min="5115" max="5115" width="11.21875" style="61" bestFit="1" customWidth="1"/>
    <col min="5116" max="5116" width="6.6640625" style="61" bestFit="1" customWidth="1"/>
    <col min="5117" max="5117" width="15.88671875" style="61" bestFit="1" customWidth="1"/>
    <col min="5118" max="5118" width="2.21875" style="61" bestFit="1" customWidth="1"/>
    <col min="5119" max="5119" width="6.33203125" style="61" bestFit="1" customWidth="1"/>
    <col min="5120" max="5120" width="2.88671875" style="61" bestFit="1" customWidth="1"/>
    <col min="5121" max="5121" width="3.5546875" style="61" bestFit="1" customWidth="1"/>
    <col min="5122" max="5122" width="2.77734375" style="61" bestFit="1" customWidth="1"/>
    <col min="5123" max="5123" width="3.5546875" style="61" bestFit="1" customWidth="1"/>
    <col min="5124" max="5124" width="2.77734375" style="61" bestFit="1" customWidth="1"/>
    <col min="5125" max="5125" width="7" style="61" bestFit="1" customWidth="1"/>
    <col min="5126" max="5126" width="16.33203125" style="61" bestFit="1" customWidth="1"/>
    <col min="5127" max="5127" width="3.109375" style="61" bestFit="1" customWidth="1"/>
    <col min="5128" max="5128" width="6.5546875" style="61" bestFit="1" customWidth="1"/>
    <col min="5129" max="5129" width="9.109375" style="61" bestFit="1" customWidth="1"/>
    <col min="5130" max="5130" width="9" style="61"/>
    <col min="5131" max="5131" width="2.77734375" style="61" bestFit="1" customWidth="1"/>
    <col min="5132" max="5132" width="9" style="61"/>
    <col min="5133" max="5133" width="2.77734375" style="61" bestFit="1" customWidth="1"/>
    <col min="5134" max="5369" width="9" style="61"/>
    <col min="5370" max="5370" width="36.6640625" style="61" bestFit="1" customWidth="1"/>
    <col min="5371" max="5371" width="11.21875" style="61" bestFit="1" customWidth="1"/>
    <col min="5372" max="5372" width="6.6640625" style="61" bestFit="1" customWidth="1"/>
    <col min="5373" max="5373" width="15.88671875" style="61" bestFit="1" customWidth="1"/>
    <col min="5374" max="5374" width="2.21875" style="61" bestFit="1" customWidth="1"/>
    <col min="5375" max="5375" width="6.33203125" style="61" bestFit="1" customWidth="1"/>
    <col min="5376" max="5376" width="2.88671875" style="61" bestFit="1" customWidth="1"/>
    <col min="5377" max="5377" width="3.5546875" style="61" bestFit="1" customWidth="1"/>
    <col min="5378" max="5378" width="2.77734375" style="61" bestFit="1" customWidth="1"/>
    <col min="5379" max="5379" width="3.5546875" style="61" bestFit="1" customWidth="1"/>
    <col min="5380" max="5380" width="2.77734375" style="61" bestFit="1" customWidth="1"/>
    <col min="5381" max="5381" width="7" style="61" bestFit="1" customWidth="1"/>
    <col min="5382" max="5382" width="16.33203125" style="61" bestFit="1" customWidth="1"/>
    <col min="5383" max="5383" width="3.109375" style="61" bestFit="1" customWidth="1"/>
    <col min="5384" max="5384" width="6.5546875" style="61" bestFit="1" customWidth="1"/>
    <col min="5385" max="5385" width="9.109375" style="61" bestFit="1" customWidth="1"/>
    <col min="5386" max="5386" width="9" style="61"/>
    <col min="5387" max="5387" width="2.77734375" style="61" bestFit="1" customWidth="1"/>
    <col min="5388" max="5388" width="9" style="61"/>
    <col min="5389" max="5389" width="2.77734375" style="61" bestFit="1" customWidth="1"/>
    <col min="5390" max="5625" width="9" style="61"/>
    <col min="5626" max="5626" width="36.6640625" style="61" bestFit="1" customWidth="1"/>
    <col min="5627" max="5627" width="11.21875" style="61" bestFit="1" customWidth="1"/>
    <col min="5628" max="5628" width="6.6640625" style="61" bestFit="1" customWidth="1"/>
    <col min="5629" max="5629" width="15.88671875" style="61" bestFit="1" customWidth="1"/>
    <col min="5630" max="5630" width="2.21875" style="61" bestFit="1" customWidth="1"/>
    <col min="5631" max="5631" width="6.33203125" style="61" bestFit="1" customWidth="1"/>
    <col min="5632" max="5632" width="2.88671875" style="61" bestFit="1" customWidth="1"/>
    <col min="5633" max="5633" width="3.5546875" style="61" bestFit="1" customWidth="1"/>
    <col min="5634" max="5634" width="2.77734375" style="61" bestFit="1" customWidth="1"/>
    <col min="5635" max="5635" width="3.5546875" style="61" bestFit="1" customWidth="1"/>
    <col min="5636" max="5636" width="2.77734375" style="61" bestFit="1" customWidth="1"/>
    <col min="5637" max="5637" width="7" style="61" bestFit="1" customWidth="1"/>
    <col min="5638" max="5638" width="16.33203125" style="61" bestFit="1" customWidth="1"/>
    <col min="5639" max="5639" width="3.109375" style="61" bestFit="1" customWidth="1"/>
    <col min="5640" max="5640" width="6.5546875" style="61" bestFit="1" customWidth="1"/>
    <col min="5641" max="5641" width="9.109375" style="61" bestFit="1" customWidth="1"/>
    <col min="5642" max="5642" width="9" style="61"/>
    <col min="5643" max="5643" width="2.77734375" style="61" bestFit="1" customWidth="1"/>
    <col min="5644" max="5644" width="9" style="61"/>
    <col min="5645" max="5645" width="2.77734375" style="61" bestFit="1" customWidth="1"/>
    <col min="5646" max="5881" width="9" style="61"/>
    <col min="5882" max="5882" width="36.6640625" style="61" bestFit="1" customWidth="1"/>
    <col min="5883" max="5883" width="11.21875" style="61" bestFit="1" customWidth="1"/>
    <col min="5884" max="5884" width="6.6640625" style="61" bestFit="1" customWidth="1"/>
    <col min="5885" max="5885" width="15.88671875" style="61" bestFit="1" customWidth="1"/>
    <col min="5886" max="5886" width="2.21875" style="61" bestFit="1" customWidth="1"/>
    <col min="5887" max="5887" width="6.33203125" style="61" bestFit="1" customWidth="1"/>
    <col min="5888" max="5888" width="2.88671875" style="61" bestFit="1" customWidth="1"/>
    <col min="5889" max="5889" width="3.5546875" style="61" bestFit="1" customWidth="1"/>
    <col min="5890" max="5890" width="2.77734375" style="61" bestFit="1" customWidth="1"/>
    <col min="5891" max="5891" width="3.5546875" style="61" bestFit="1" customWidth="1"/>
    <col min="5892" max="5892" width="2.77734375" style="61" bestFit="1" customWidth="1"/>
    <col min="5893" max="5893" width="7" style="61" bestFit="1" customWidth="1"/>
    <col min="5894" max="5894" width="16.33203125" style="61" bestFit="1" customWidth="1"/>
    <col min="5895" max="5895" width="3.109375" style="61" bestFit="1" customWidth="1"/>
    <col min="5896" max="5896" width="6.5546875" style="61" bestFit="1" customWidth="1"/>
    <col min="5897" max="5897" width="9.109375" style="61" bestFit="1" customWidth="1"/>
    <col min="5898" max="5898" width="9" style="61"/>
    <col min="5899" max="5899" width="2.77734375" style="61" bestFit="1" customWidth="1"/>
    <col min="5900" max="5900" width="9" style="61"/>
    <col min="5901" max="5901" width="2.77734375" style="61" bestFit="1" customWidth="1"/>
    <col min="5902" max="6137" width="9" style="61"/>
    <col min="6138" max="6138" width="36.6640625" style="61" bestFit="1" customWidth="1"/>
    <col min="6139" max="6139" width="11.21875" style="61" bestFit="1" customWidth="1"/>
    <col min="6140" max="6140" width="6.6640625" style="61" bestFit="1" customWidth="1"/>
    <col min="6141" max="6141" width="15.88671875" style="61" bestFit="1" customWidth="1"/>
    <col min="6142" max="6142" width="2.21875" style="61" bestFit="1" customWidth="1"/>
    <col min="6143" max="6143" width="6.33203125" style="61" bestFit="1" customWidth="1"/>
    <col min="6144" max="6144" width="2.88671875" style="61" bestFit="1" customWidth="1"/>
    <col min="6145" max="6145" width="3.5546875" style="61" bestFit="1" customWidth="1"/>
    <col min="6146" max="6146" width="2.77734375" style="61" bestFit="1" customWidth="1"/>
    <col min="6147" max="6147" width="3.5546875" style="61" bestFit="1" customWidth="1"/>
    <col min="6148" max="6148" width="2.77734375" style="61" bestFit="1" customWidth="1"/>
    <col min="6149" max="6149" width="7" style="61" bestFit="1" customWidth="1"/>
    <col min="6150" max="6150" width="16.33203125" style="61" bestFit="1" customWidth="1"/>
    <col min="6151" max="6151" width="3.109375" style="61" bestFit="1" customWidth="1"/>
    <col min="6152" max="6152" width="6.5546875" style="61" bestFit="1" customWidth="1"/>
    <col min="6153" max="6153" width="9.109375" style="61" bestFit="1" customWidth="1"/>
    <col min="6154" max="6154" width="9" style="61"/>
    <col min="6155" max="6155" width="2.77734375" style="61" bestFit="1" customWidth="1"/>
    <col min="6156" max="6156" width="9" style="61"/>
    <col min="6157" max="6157" width="2.77734375" style="61" bestFit="1" customWidth="1"/>
    <col min="6158" max="6393" width="9" style="61"/>
    <col min="6394" max="6394" width="36.6640625" style="61" bestFit="1" customWidth="1"/>
    <col min="6395" max="6395" width="11.21875" style="61" bestFit="1" customWidth="1"/>
    <col min="6396" max="6396" width="6.6640625" style="61" bestFit="1" customWidth="1"/>
    <col min="6397" max="6397" width="15.88671875" style="61" bestFit="1" customWidth="1"/>
    <col min="6398" max="6398" width="2.21875" style="61" bestFit="1" customWidth="1"/>
    <col min="6399" max="6399" width="6.33203125" style="61" bestFit="1" customWidth="1"/>
    <col min="6400" max="6400" width="2.88671875" style="61" bestFit="1" customWidth="1"/>
    <col min="6401" max="6401" width="3.5546875" style="61" bestFit="1" customWidth="1"/>
    <col min="6402" max="6402" width="2.77734375" style="61" bestFit="1" customWidth="1"/>
    <col min="6403" max="6403" width="3.5546875" style="61" bestFit="1" customWidth="1"/>
    <col min="6404" max="6404" width="2.77734375" style="61" bestFit="1" customWidth="1"/>
    <col min="6405" max="6405" width="7" style="61" bestFit="1" customWidth="1"/>
    <col min="6406" max="6406" width="16.33203125" style="61" bestFit="1" customWidth="1"/>
    <col min="6407" max="6407" width="3.109375" style="61" bestFit="1" customWidth="1"/>
    <col min="6408" max="6408" width="6.5546875" style="61" bestFit="1" customWidth="1"/>
    <col min="6409" max="6409" width="9.109375" style="61" bestFit="1" customWidth="1"/>
    <col min="6410" max="6410" width="9" style="61"/>
    <col min="6411" max="6411" width="2.77734375" style="61" bestFit="1" customWidth="1"/>
    <col min="6412" max="6412" width="9" style="61"/>
    <col min="6413" max="6413" width="2.77734375" style="61" bestFit="1" customWidth="1"/>
    <col min="6414" max="6649" width="9" style="61"/>
    <col min="6650" max="6650" width="36.6640625" style="61" bestFit="1" customWidth="1"/>
    <col min="6651" max="6651" width="11.21875" style="61" bestFit="1" customWidth="1"/>
    <col min="6652" max="6652" width="6.6640625" style="61" bestFit="1" customWidth="1"/>
    <col min="6653" max="6653" width="15.88671875" style="61" bestFit="1" customWidth="1"/>
    <col min="6654" max="6654" width="2.21875" style="61" bestFit="1" customWidth="1"/>
    <col min="6655" max="6655" width="6.33203125" style="61" bestFit="1" customWidth="1"/>
    <col min="6656" max="6656" width="2.88671875" style="61" bestFit="1" customWidth="1"/>
    <col min="6657" max="6657" width="3.5546875" style="61" bestFit="1" customWidth="1"/>
    <col min="6658" max="6658" width="2.77734375" style="61" bestFit="1" customWidth="1"/>
    <col min="6659" max="6659" width="3.5546875" style="61" bestFit="1" customWidth="1"/>
    <col min="6660" max="6660" width="2.77734375" style="61" bestFit="1" customWidth="1"/>
    <col min="6661" max="6661" width="7" style="61" bestFit="1" customWidth="1"/>
    <col min="6662" max="6662" width="16.33203125" style="61" bestFit="1" customWidth="1"/>
    <col min="6663" max="6663" width="3.109375" style="61" bestFit="1" customWidth="1"/>
    <col min="6664" max="6664" width="6.5546875" style="61" bestFit="1" customWidth="1"/>
    <col min="6665" max="6665" width="9.109375" style="61" bestFit="1" customWidth="1"/>
    <col min="6666" max="6666" width="9" style="61"/>
    <col min="6667" max="6667" width="2.77734375" style="61" bestFit="1" customWidth="1"/>
    <col min="6668" max="6668" width="9" style="61"/>
    <col min="6669" max="6669" width="2.77734375" style="61" bestFit="1" customWidth="1"/>
    <col min="6670" max="6905" width="9" style="61"/>
    <col min="6906" max="6906" width="36.6640625" style="61" bestFit="1" customWidth="1"/>
    <col min="6907" max="6907" width="11.21875" style="61" bestFit="1" customWidth="1"/>
    <col min="6908" max="6908" width="6.6640625" style="61" bestFit="1" customWidth="1"/>
    <col min="6909" max="6909" width="15.88671875" style="61" bestFit="1" customWidth="1"/>
    <col min="6910" max="6910" width="2.21875" style="61" bestFit="1" customWidth="1"/>
    <col min="6911" max="6911" width="6.33203125" style="61" bestFit="1" customWidth="1"/>
    <col min="6912" max="6912" width="2.88671875" style="61" bestFit="1" customWidth="1"/>
    <col min="6913" max="6913" width="3.5546875" style="61" bestFit="1" customWidth="1"/>
    <col min="6914" max="6914" width="2.77734375" style="61" bestFit="1" customWidth="1"/>
    <col min="6915" max="6915" width="3.5546875" style="61" bestFit="1" customWidth="1"/>
    <col min="6916" max="6916" width="2.77734375" style="61" bestFit="1" customWidth="1"/>
    <col min="6917" max="6917" width="7" style="61" bestFit="1" customWidth="1"/>
    <col min="6918" max="6918" width="16.33203125" style="61" bestFit="1" customWidth="1"/>
    <col min="6919" max="6919" width="3.109375" style="61" bestFit="1" customWidth="1"/>
    <col min="6920" max="6920" width="6.5546875" style="61" bestFit="1" customWidth="1"/>
    <col min="6921" max="6921" width="9.109375" style="61" bestFit="1" customWidth="1"/>
    <col min="6922" max="6922" width="9" style="61"/>
    <col min="6923" max="6923" width="2.77734375" style="61" bestFit="1" customWidth="1"/>
    <col min="6924" max="6924" width="9" style="61"/>
    <col min="6925" max="6925" width="2.77734375" style="61" bestFit="1" customWidth="1"/>
    <col min="6926" max="7161" width="9" style="61"/>
    <col min="7162" max="7162" width="36.6640625" style="61" bestFit="1" customWidth="1"/>
    <col min="7163" max="7163" width="11.21875" style="61" bestFit="1" customWidth="1"/>
    <col min="7164" max="7164" width="6.6640625" style="61" bestFit="1" customWidth="1"/>
    <col min="7165" max="7165" width="15.88671875" style="61" bestFit="1" customWidth="1"/>
    <col min="7166" max="7166" width="2.21875" style="61" bestFit="1" customWidth="1"/>
    <col min="7167" max="7167" width="6.33203125" style="61" bestFit="1" customWidth="1"/>
    <col min="7168" max="7168" width="2.88671875" style="61" bestFit="1" customWidth="1"/>
    <col min="7169" max="7169" width="3.5546875" style="61" bestFit="1" customWidth="1"/>
    <col min="7170" max="7170" width="2.77734375" style="61" bestFit="1" customWidth="1"/>
    <col min="7171" max="7171" width="3.5546875" style="61" bestFit="1" customWidth="1"/>
    <col min="7172" max="7172" width="2.77734375" style="61" bestFit="1" customWidth="1"/>
    <col min="7173" max="7173" width="7" style="61" bestFit="1" customWidth="1"/>
    <col min="7174" max="7174" width="16.33203125" style="61" bestFit="1" customWidth="1"/>
    <col min="7175" max="7175" width="3.109375" style="61" bestFit="1" customWidth="1"/>
    <col min="7176" max="7176" width="6.5546875" style="61" bestFit="1" customWidth="1"/>
    <col min="7177" max="7177" width="9.109375" style="61" bestFit="1" customWidth="1"/>
    <col min="7178" max="7178" width="9" style="61"/>
    <col min="7179" max="7179" width="2.77734375" style="61" bestFit="1" customWidth="1"/>
    <col min="7180" max="7180" width="9" style="61"/>
    <col min="7181" max="7181" width="2.77734375" style="61" bestFit="1" customWidth="1"/>
    <col min="7182" max="7417" width="9" style="61"/>
    <col min="7418" max="7418" width="36.6640625" style="61" bestFit="1" customWidth="1"/>
    <col min="7419" max="7419" width="11.21875" style="61" bestFit="1" customWidth="1"/>
    <col min="7420" max="7420" width="6.6640625" style="61" bestFit="1" customWidth="1"/>
    <col min="7421" max="7421" width="15.88671875" style="61" bestFit="1" customWidth="1"/>
    <col min="7422" max="7422" width="2.21875" style="61" bestFit="1" customWidth="1"/>
    <col min="7423" max="7423" width="6.33203125" style="61" bestFit="1" customWidth="1"/>
    <col min="7424" max="7424" width="2.88671875" style="61" bestFit="1" customWidth="1"/>
    <col min="7425" max="7425" width="3.5546875" style="61" bestFit="1" customWidth="1"/>
    <col min="7426" max="7426" width="2.77734375" style="61" bestFit="1" customWidth="1"/>
    <col min="7427" max="7427" width="3.5546875" style="61" bestFit="1" customWidth="1"/>
    <col min="7428" max="7428" width="2.77734375" style="61" bestFit="1" customWidth="1"/>
    <col min="7429" max="7429" width="7" style="61" bestFit="1" customWidth="1"/>
    <col min="7430" max="7430" width="16.33203125" style="61" bestFit="1" customWidth="1"/>
    <col min="7431" max="7431" width="3.109375" style="61" bestFit="1" customWidth="1"/>
    <col min="7432" max="7432" width="6.5546875" style="61" bestFit="1" customWidth="1"/>
    <col min="7433" max="7433" width="9.109375" style="61" bestFit="1" customWidth="1"/>
    <col min="7434" max="7434" width="9" style="61"/>
    <col min="7435" max="7435" width="2.77734375" style="61" bestFit="1" customWidth="1"/>
    <col min="7436" max="7436" width="9" style="61"/>
    <col min="7437" max="7437" width="2.77734375" style="61" bestFit="1" customWidth="1"/>
    <col min="7438" max="7673" width="9" style="61"/>
    <col min="7674" max="7674" width="36.6640625" style="61" bestFit="1" customWidth="1"/>
    <col min="7675" max="7675" width="11.21875" style="61" bestFit="1" customWidth="1"/>
    <col min="7676" max="7676" width="6.6640625" style="61" bestFit="1" customWidth="1"/>
    <col min="7677" max="7677" width="15.88671875" style="61" bestFit="1" customWidth="1"/>
    <col min="7678" max="7678" width="2.21875" style="61" bestFit="1" customWidth="1"/>
    <col min="7679" max="7679" width="6.33203125" style="61" bestFit="1" customWidth="1"/>
    <col min="7680" max="7680" width="2.88671875" style="61" bestFit="1" customWidth="1"/>
    <col min="7681" max="7681" width="3.5546875" style="61" bestFit="1" customWidth="1"/>
    <col min="7682" max="7682" width="2.77734375" style="61" bestFit="1" customWidth="1"/>
    <col min="7683" max="7683" width="3.5546875" style="61" bestFit="1" customWidth="1"/>
    <col min="7684" max="7684" width="2.77734375" style="61" bestFit="1" customWidth="1"/>
    <col min="7685" max="7685" width="7" style="61" bestFit="1" customWidth="1"/>
    <col min="7686" max="7686" width="16.33203125" style="61" bestFit="1" customWidth="1"/>
    <col min="7687" max="7687" width="3.109375" style="61" bestFit="1" customWidth="1"/>
    <col min="7688" max="7688" width="6.5546875" style="61" bestFit="1" customWidth="1"/>
    <col min="7689" max="7689" width="9.109375" style="61" bestFit="1" customWidth="1"/>
    <col min="7690" max="7690" width="9" style="61"/>
    <col min="7691" max="7691" width="2.77734375" style="61" bestFit="1" customWidth="1"/>
    <col min="7692" max="7692" width="9" style="61"/>
    <col min="7693" max="7693" width="2.77734375" style="61" bestFit="1" customWidth="1"/>
    <col min="7694" max="7929" width="9" style="61"/>
    <col min="7930" max="7930" width="36.6640625" style="61" bestFit="1" customWidth="1"/>
    <col min="7931" max="7931" width="11.21875" style="61" bestFit="1" customWidth="1"/>
    <col min="7932" max="7932" width="6.6640625" style="61" bestFit="1" customWidth="1"/>
    <col min="7933" max="7933" width="15.88671875" style="61" bestFit="1" customWidth="1"/>
    <col min="7934" max="7934" width="2.21875" style="61" bestFit="1" customWidth="1"/>
    <col min="7935" max="7935" width="6.33203125" style="61" bestFit="1" customWidth="1"/>
    <col min="7936" max="7936" width="2.88671875" style="61" bestFit="1" customWidth="1"/>
    <col min="7937" max="7937" width="3.5546875" style="61" bestFit="1" customWidth="1"/>
    <col min="7938" max="7938" width="2.77734375" style="61" bestFit="1" customWidth="1"/>
    <col min="7939" max="7939" width="3.5546875" style="61" bestFit="1" customWidth="1"/>
    <col min="7940" max="7940" width="2.77734375" style="61" bestFit="1" customWidth="1"/>
    <col min="7941" max="7941" width="7" style="61" bestFit="1" customWidth="1"/>
    <col min="7942" max="7942" width="16.33203125" style="61" bestFit="1" customWidth="1"/>
    <col min="7943" max="7943" width="3.109375" style="61" bestFit="1" customWidth="1"/>
    <col min="7944" max="7944" width="6.5546875" style="61" bestFit="1" customWidth="1"/>
    <col min="7945" max="7945" width="9.109375" style="61" bestFit="1" customWidth="1"/>
    <col min="7946" max="7946" width="9" style="61"/>
    <col min="7947" max="7947" width="2.77734375" style="61" bestFit="1" customWidth="1"/>
    <col min="7948" max="7948" width="9" style="61"/>
    <col min="7949" max="7949" width="2.77734375" style="61" bestFit="1" customWidth="1"/>
    <col min="7950" max="8185" width="9" style="61"/>
    <col min="8186" max="8186" width="36.6640625" style="61" bestFit="1" customWidth="1"/>
    <col min="8187" max="8187" width="11.21875" style="61" bestFit="1" customWidth="1"/>
    <col min="8188" max="8188" width="6.6640625" style="61" bestFit="1" customWidth="1"/>
    <col min="8189" max="8189" width="15.88671875" style="61" bestFit="1" customWidth="1"/>
    <col min="8190" max="8190" width="2.21875" style="61" bestFit="1" customWidth="1"/>
    <col min="8191" max="8191" width="6.33203125" style="61" bestFit="1" customWidth="1"/>
    <col min="8192" max="8192" width="2.88671875" style="61" bestFit="1" customWidth="1"/>
    <col min="8193" max="8193" width="3.5546875" style="61" bestFit="1" customWidth="1"/>
    <col min="8194" max="8194" width="2.77734375" style="61" bestFit="1" customWidth="1"/>
    <col min="8195" max="8195" width="3.5546875" style="61" bestFit="1" customWidth="1"/>
    <col min="8196" max="8196" width="2.77734375" style="61" bestFit="1" customWidth="1"/>
    <col min="8197" max="8197" width="7" style="61" bestFit="1" customWidth="1"/>
    <col min="8198" max="8198" width="16.33203125" style="61" bestFit="1" customWidth="1"/>
    <col min="8199" max="8199" width="3.109375" style="61" bestFit="1" customWidth="1"/>
    <col min="8200" max="8200" width="6.5546875" style="61" bestFit="1" customWidth="1"/>
    <col min="8201" max="8201" width="9.109375" style="61" bestFit="1" customWidth="1"/>
    <col min="8202" max="8202" width="9" style="61"/>
    <col min="8203" max="8203" width="2.77734375" style="61" bestFit="1" customWidth="1"/>
    <col min="8204" max="8204" width="9" style="61"/>
    <col min="8205" max="8205" width="2.77734375" style="61" bestFit="1" customWidth="1"/>
    <col min="8206" max="8441" width="9" style="61"/>
    <col min="8442" max="8442" width="36.6640625" style="61" bestFit="1" customWidth="1"/>
    <col min="8443" max="8443" width="11.21875" style="61" bestFit="1" customWidth="1"/>
    <col min="8444" max="8444" width="6.6640625" style="61" bestFit="1" customWidth="1"/>
    <col min="8445" max="8445" width="15.88671875" style="61" bestFit="1" customWidth="1"/>
    <col min="8446" max="8446" width="2.21875" style="61" bestFit="1" customWidth="1"/>
    <col min="8447" max="8447" width="6.33203125" style="61" bestFit="1" customWidth="1"/>
    <col min="8448" max="8448" width="2.88671875" style="61" bestFit="1" customWidth="1"/>
    <col min="8449" max="8449" width="3.5546875" style="61" bestFit="1" customWidth="1"/>
    <col min="8450" max="8450" width="2.77734375" style="61" bestFit="1" customWidth="1"/>
    <col min="8451" max="8451" width="3.5546875" style="61" bestFit="1" customWidth="1"/>
    <col min="8452" max="8452" width="2.77734375" style="61" bestFit="1" customWidth="1"/>
    <col min="8453" max="8453" width="7" style="61" bestFit="1" customWidth="1"/>
    <col min="8454" max="8454" width="16.33203125" style="61" bestFit="1" customWidth="1"/>
    <col min="8455" max="8455" width="3.109375" style="61" bestFit="1" customWidth="1"/>
    <col min="8456" max="8456" width="6.5546875" style="61" bestFit="1" customWidth="1"/>
    <col min="8457" max="8457" width="9.109375" style="61" bestFit="1" customWidth="1"/>
    <col min="8458" max="8458" width="9" style="61"/>
    <col min="8459" max="8459" width="2.77734375" style="61" bestFit="1" customWidth="1"/>
    <col min="8460" max="8460" width="9" style="61"/>
    <col min="8461" max="8461" width="2.77734375" style="61" bestFit="1" customWidth="1"/>
    <col min="8462" max="8697" width="9" style="61"/>
    <col min="8698" max="8698" width="36.6640625" style="61" bestFit="1" customWidth="1"/>
    <col min="8699" max="8699" width="11.21875" style="61" bestFit="1" customWidth="1"/>
    <col min="8700" max="8700" width="6.6640625" style="61" bestFit="1" customWidth="1"/>
    <col min="8701" max="8701" width="15.88671875" style="61" bestFit="1" customWidth="1"/>
    <col min="8702" max="8702" width="2.21875" style="61" bestFit="1" customWidth="1"/>
    <col min="8703" max="8703" width="6.33203125" style="61" bestFit="1" customWidth="1"/>
    <col min="8704" max="8704" width="2.88671875" style="61" bestFit="1" customWidth="1"/>
    <col min="8705" max="8705" width="3.5546875" style="61" bestFit="1" customWidth="1"/>
    <col min="8706" max="8706" width="2.77734375" style="61" bestFit="1" customWidth="1"/>
    <col min="8707" max="8707" width="3.5546875" style="61" bestFit="1" customWidth="1"/>
    <col min="8708" max="8708" width="2.77734375" style="61" bestFit="1" customWidth="1"/>
    <col min="8709" max="8709" width="7" style="61" bestFit="1" customWidth="1"/>
    <col min="8710" max="8710" width="16.33203125" style="61" bestFit="1" customWidth="1"/>
    <col min="8711" max="8711" width="3.109375" style="61" bestFit="1" customWidth="1"/>
    <col min="8712" max="8712" width="6.5546875" style="61" bestFit="1" customWidth="1"/>
    <col min="8713" max="8713" width="9.109375" style="61" bestFit="1" customWidth="1"/>
    <col min="8714" max="8714" width="9" style="61"/>
    <col min="8715" max="8715" width="2.77734375" style="61" bestFit="1" customWidth="1"/>
    <col min="8716" max="8716" width="9" style="61"/>
    <col min="8717" max="8717" width="2.77734375" style="61" bestFit="1" customWidth="1"/>
    <col min="8718" max="8953" width="9" style="61"/>
    <col min="8954" max="8954" width="36.6640625" style="61" bestFit="1" customWidth="1"/>
    <col min="8955" max="8955" width="11.21875" style="61" bestFit="1" customWidth="1"/>
    <col min="8956" max="8956" width="6.6640625" style="61" bestFit="1" customWidth="1"/>
    <col min="8957" max="8957" width="15.88671875" style="61" bestFit="1" customWidth="1"/>
    <col min="8958" max="8958" width="2.21875" style="61" bestFit="1" customWidth="1"/>
    <col min="8959" max="8959" width="6.33203125" style="61" bestFit="1" customWidth="1"/>
    <col min="8960" max="8960" width="2.88671875" style="61" bestFit="1" customWidth="1"/>
    <col min="8961" max="8961" width="3.5546875" style="61" bestFit="1" customWidth="1"/>
    <col min="8962" max="8962" width="2.77734375" style="61" bestFit="1" customWidth="1"/>
    <col min="8963" max="8963" width="3.5546875" style="61" bestFit="1" customWidth="1"/>
    <col min="8964" max="8964" width="2.77734375" style="61" bestFit="1" customWidth="1"/>
    <col min="8965" max="8965" width="7" style="61" bestFit="1" customWidth="1"/>
    <col min="8966" max="8966" width="16.33203125" style="61" bestFit="1" customWidth="1"/>
    <col min="8967" max="8967" width="3.109375" style="61" bestFit="1" customWidth="1"/>
    <col min="8968" max="8968" width="6.5546875" style="61" bestFit="1" customWidth="1"/>
    <col min="8969" max="8969" width="9.109375" style="61" bestFit="1" customWidth="1"/>
    <col min="8970" max="8970" width="9" style="61"/>
    <col min="8971" max="8971" width="2.77734375" style="61" bestFit="1" customWidth="1"/>
    <col min="8972" max="8972" width="9" style="61"/>
    <col min="8973" max="8973" width="2.77734375" style="61" bestFit="1" customWidth="1"/>
    <col min="8974" max="9209" width="9" style="61"/>
    <col min="9210" max="9210" width="36.6640625" style="61" bestFit="1" customWidth="1"/>
    <col min="9211" max="9211" width="11.21875" style="61" bestFit="1" customWidth="1"/>
    <col min="9212" max="9212" width="6.6640625" style="61" bestFit="1" customWidth="1"/>
    <col min="9213" max="9213" width="15.88671875" style="61" bestFit="1" customWidth="1"/>
    <col min="9214" max="9214" width="2.21875" style="61" bestFit="1" customWidth="1"/>
    <col min="9215" max="9215" width="6.33203125" style="61" bestFit="1" customWidth="1"/>
    <col min="9216" max="9216" width="2.88671875" style="61" bestFit="1" customWidth="1"/>
    <col min="9217" max="9217" width="3.5546875" style="61" bestFit="1" customWidth="1"/>
    <col min="9218" max="9218" width="2.77734375" style="61" bestFit="1" customWidth="1"/>
    <col min="9219" max="9219" width="3.5546875" style="61" bestFit="1" customWidth="1"/>
    <col min="9220" max="9220" width="2.77734375" style="61" bestFit="1" customWidth="1"/>
    <col min="9221" max="9221" width="7" style="61" bestFit="1" customWidth="1"/>
    <col min="9222" max="9222" width="16.33203125" style="61" bestFit="1" customWidth="1"/>
    <col min="9223" max="9223" width="3.109375" style="61" bestFit="1" customWidth="1"/>
    <col min="9224" max="9224" width="6.5546875" style="61" bestFit="1" customWidth="1"/>
    <col min="9225" max="9225" width="9.109375" style="61" bestFit="1" customWidth="1"/>
    <col min="9226" max="9226" width="9" style="61"/>
    <col min="9227" max="9227" width="2.77734375" style="61" bestFit="1" customWidth="1"/>
    <col min="9228" max="9228" width="9" style="61"/>
    <col min="9229" max="9229" width="2.77734375" style="61" bestFit="1" customWidth="1"/>
    <col min="9230" max="9465" width="9" style="61"/>
    <col min="9466" max="9466" width="36.6640625" style="61" bestFit="1" customWidth="1"/>
    <col min="9467" max="9467" width="11.21875" style="61" bestFit="1" customWidth="1"/>
    <col min="9468" max="9468" width="6.6640625" style="61" bestFit="1" customWidth="1"/>
    <col min="9469" max="9469" width="15.88671875" style="61" bestFit="1" customWidth="1"/>
    <col min="9470" max="9470" width="2.21875" style="61" bestFit="1" customWidth="1"/>
    <col min="9471" max="9471" width="6.33203125" style="61" bestFit="1" customWidth="1"/>
    <col min="9472" max="9472" width="2.88671875" style="61" bestFit="1" customWidth="1"/>
    <col min="9473" max="9473" width="3.5546875" style="61" bestFit="1" customWidth="1"/>
    <col min="9474" max="9474" width="2.77734375" style="61" bestFit="1" customWidth="1"/>
    <col min="9475" max="9475" width="3.5546875" style="61" bestFit="1" customWidth="1"/>
    <col min="9476" max="9476" width="2.77734375" style="61" bestFit="1" customWidth="1"/>
    <col min="9477" max="9477" width="7" style="61" bestFit="1" customWidth="1"/>
    <col min="9478" max="9478" width="16.33203125" style="61" bestFit="1" customWidth="1"/>
    <col min="9479" max="9479" width="3.109375" style="61" bestFit="1" customWidth="1"/>
    <col min="9480" max="9480" width="6.5546875" style="61" bestFit="1" customWidth="1"/>
    <col min="9481" max="9481" width="9.109375" style="61" bestFit="1" customWidth="1"/>
    <col min="9482" max="9482" width="9" style="61"/>
    <col min="9483" max="9483" width="2.77734375" style="61" bestFit="1" customWidth="1"/>
    <col min="9484" max="9484" width="9" style="61"/>
    <col min="9485" max="9485" width="2.77734375" style="61" bestFit="1" customWidth="1"/>
    <col min="9486" max="9721" width="9" style="61"/>
    <col min="9722" max="9722" width="36.6640625" style="61" bestFit="1" customWidth="1"/>
    <col min="9723" max="9723" width="11.21875" style="61" bestFit="1" customWidth="1"/>
    <col min="9724" max="9724" width="6.6640625" style="61" bestFit="1" customWidth="1"/>
    <col min="9725" max="9725" width="15.88671875" style="61" bestFit="1" customWidth="1"/>
    <col min="9726" max="9726" width="2.21875" style="61" bestFit="1" customWidth="1"/>
    <col min="9727" max="9727" width="6.33203125" style="61" bestFit="1" customWidth="1"/>
    <col min="9728" max="9728" width="2.88671875" style="61" bestFit="1" customWidth="1"/>
    <col min="9729" max="9729" width="3.5546875" style="61" bestFit="1" customWidth="1"/>
    <col min="9730" max="9730" width="2.77734375" style="61" bestFit="1" customWidth="1"/>
    <col min="9731" max="9731" width="3.5546875" style="61" bestFit="1" customWidth="1"/>
    <col min="9732" max="9732" width="2.77734375" style="61" bestFit="1" customWidth="1"/>
    <col min="9733" max="9733" width="7" style="61" bestFit="1" customWidth="1"/>
    <col min="9734" max="9734" width="16.33203125" style="61" bestFit="1" customWidth="1"/>
    <col min="9735" max="9735" width="3.109375" style="61" bestFit="1" customWidth="1"/>
    <col min="9736" max="9736" width="6.5546875" style="61" bestFit="1" customWidth="1"/>
    <col min="9737" max="9737" width="9.109375" style="61" bestFit="1" customWidth="1"/>
    <col min="9738" max="9738" width="9" style="61"/>
    <col min="9739" max="9739" width="2.77734375" style="61" bestFit="1" customWidth="1"/>
    <col min="9740" max="9740" width="9" style="61"/>
    <col min="9741" max="9741" width="2.77734375" style="61" bestFit="1" customWidth="1"/>
    <col min="9742" max="9977" width="9" style="61"/>
    <col min="9978" max="9978" width="36.6640625" style="61" bestFit="1" customWidth="1"/>
    <col min="9979" max="9979" width="11.21875" style="61" bestFit="1" customWidth="1"/>
    <col min="9980" max="9980" width="6.6640625" style="61" bestFit="1" customWidth="1"/>
    <col min="9981" max="9981" width="15.88671875" style="61" bestFit="1" customWidth="1"/>
    <col min="9982" max="9982" width="2.21875" style="61" bestFit="1" customWidth="1"/>
    <col min="9983" max="9983" width="6.33203125" style="61" bestFit="1" customWidth="1"/>
    <col min="9984" max="9984" width="2.88671875" style="61" bestFit="1" customWidth="1"/>
    <col min="9985" max="9985" width="3.5546875" style="61" bestFit="1" customWidth="1"/>
    <col min="9986" max="9986" width="2.77734375" style="61" bestFit="1" customWidth="1"/>
    <col min="9987" max="9987" width="3.5546875" style="61" bestFit="1" customWidth="1"/>
    <col min="9988" max="9988" width="2.77734375" style="61" bestFit="1" customWidth="1"/>
    <col min="9989" max="9989" width="7" style="61" bestFit="1" customWidth="1"/>
    <col min="9990" max="9990" width="16.33203125" style="61" bestFit="1" customWidth="1"/>
    <col min="9991" max="9991" width="3.109375" style="61" bestFit="1" customWidth="1"/>
    <col min="9992" max="9992" width="6.5546875" style="61" bestFit="1" customWidth="1"/>
    <col min="9993" max="9993" width="9.109375" style="61" bestFit="1" customWidth="1"/>
    <col min="9994" max="9994" width="9" style="61"/>
    <col min="9995" max="9995" width="2.77734375" style="61" bestFit="1" customWidth="1"/>
    <col min="9996" max="9996" width="9" style="61"/>
    <col min="9997" max="9997" width="2.77734375" style="61" bestFit="1" customWidth="1"/>
    <col min="9998" max="10233" width="9" style="61"/>
    <col min="10234" max="10234" width="36.6640625" style="61" bestFit="1" customWidth="1"/>
    <col min="10235" max="10235" width="11.21875" style="61" bestFit="1" customWidth="1"/>
    <col min="10236" max="10236" width="6.6640625" style="61" bestFit="1" customWidth="1"/>
    <col min="10237" max="10237" width="15.88671875" style="61" bestFit="1" customWidth="1"/>
    <col min="10238" max="10238" width="2.21875" style="61" bestFit="1" customWidth="1"/>
    <col min="10239" max="10239" width="6.33203125" style="61" bestFit="1" customWidth="1"/>
    <col min="10240" max="10240" width="2.88671875" style="61" bestFit="1" customWidth="1"/>
    <col min="10241" max="10241" width="3.5546875" style="61" bestFit="1" customWidth="1"/>
    <col min="10242" max="10242" width="2.77734375" style="61" bestFit="1" customWidth="1"/>
    <col min="10243" max="10243" width="3.5546875" style="61" bestFit="1" customWidth="1"/>
    <col min="10244" max="10244" width="2.77734375" style="61" bestFit="1" customWidth="1"/>
    <col min="10245" max="10245" width="7" style="61" bestFit="1" customWidth="1"/>
    <col min="10246" max="10246" width="16.33203125" style="61" bestFit="1" customWidth="1"/>
    <col min="10247" max="10247" width="3.109375" style="61" bestFit="1" customWidth="1"/>
    <col min="10248" max="10248" width="6.5546875" style="61" bestFit="1" customWidth="1"/>
    <col min="10249" max="10249" width="9.109375" style="61" bestFit="1" customWidth="1"/>
    <col min="10250" max="10250" width="9" style="61"/>
    <col min="10251" max="10251" width="2.77734375" style="61" bestFit="1" customWidth="1"/>
    <col min="10252" max="10252" width="9" style="61"/>
    <col min="10253" max="10253" width="2.77734375" style="61" bestFit="1" customWidth="1"/>
    <col min="10254" max="10489" width="9" style="61"/>
    <col min="10490" max="10490" width="36.6640625" style="61" bestFit="1" customWidth="1"/>
    <col min="10491" max="10491" width="11.21875" style="61" bestFit="1" customWidth="1"/>
    <col min="10492" max="10492" width="6.6640625" style="61" bestFit="1" customWidth="1"/>
    <col min="10493" max="10493" width="15.88671875" style="61" bestFit="1" customWidth="1"/>
    <col min="10494" max="10494" width="2.21875" style="61" bestFit="1" customWidth="1"/>
    <col min="10495" max="10495" width="6.33203125" style="61" bestFit="1" customWidth="1"/>
    <col min="10496" max="10496" width="2.88671875" style="61" bestFit="1" customWidth="1"/>
    <col min="10497" max="10497" width="3.5546875" style="61" bestFit="1" customWidth="1"/>
    <col min="10498" max="10498" width="2.77734375" style="61" bestFit="1" customWidth="1"/>
    <col min="10499" max="10499" width="3.5546875" style="61" bestFit="1" customWidth="1"/>
    <col min="10500" max="10500" width="2.77734375" style="61" bestFit="1" customWidth="1"/>
    <col min="10501" max="10501" width="7" style="61" bestFit="1" customWidth="1"/>
    <col min="10502" max="10502" width="16.33203125" style="61" bestFit="1" customWidth="1"/>
    <col min="10503" max="10503" width="3.109375" style="61" bestFit="1" customWidth="1"/>
    <col min="10504" max="10504" width="6.5546875" style="61" bestFit="1" customWidth="1"/>
    <col min="10505" max="10505" width="9.109375" style="61" bestFit="1" customWidth="1"/>
    <col min="10506" max="10506" width="9" style="61"/>
    <col min="10507" max="10507" width="2.77734375" style="61" bestFit="1" customWidth="1"/>
    <col min="10508" max="10508" width="9" style="61"/>
    <col min="10509" max="10509" width="2.77734375" style="61" bestFit="1" customWidth="1"/>
    <col min="10510" max="10745" width="9" style="61"/>
    <col min="10746" max="10746" width="36.6640625" style="61" bestFit="1" customWidth="1"/>
    <col min="10747" max="10747" width="11.21875" style="61" bestFit="1" customWidth="1"/>
    <col min="10748" max="10748" width="6.6640625" style="61" bestFit="1" customWidth="1"/>
    <col min="10749" max="10749" width="15.88671875" style="61" bestFit="1" customWidth="1"/>
    <col min="10750" max="10750" width="2.21875" style="61" bestFit="1" customWidth="1"/>
    <col min="10751" max="10751" width="6.33203125" style="61" bestFit="1" customWidth="1"/>
    <col min="10752" max="10752" width="2.88671875" style="61" bestFit="1" customWidth="1"/>
    <col min="10753" max="10753" width="3.5546875" style="61" bestFit="1" customWidth="1"/>
    <col min="10754" max="10754" width="2.77734375" style="61" bestFit="1" customWidth="1"/>
    <col min="10755" max="10755" width="3.5546875" style="61" bestFit="1" customWidth="1"/>
    <col min="10756" max="10756" width="2.77734375" style="61" bestFit="1" customWidth="1"/>
    <col min="10757" max="10757" width="7" style="61" bestFit="1" customWidth="1"/>
    <col min="10758" max="10758" width="16.33203125" style="61" bestFit="1" customWidth="1"/>
    <col min="10759" max="10759" width="3.109375" style="61" bestFit="1" customWidth="1"/>
    <col min="10760" max="10760" width="6.5546875" style="61" bestFit="1" customWidth="1"/>
    <col min="10761" max="10761" width="9.109375" style="61" bestFit="1" customWidth="1"/>
    <col min="10762" max="10762" width="9" style="61"/>
    <col min="10763" max="10763" width="2.77734375" style="61" bestFit="1" customWidth="1"/>
    <col min="10764" max="10764" width="9" style="61"/>
    <col min="10765" max="10765" width="2.77734375" style="61" bestFit="1" customWidth="1"/>
    <col min="10766" max="11001" width="9" style="61"/>
    <col min="11002" max="11002" width="36.6640625" style="61" bestFit="1" customWidth="1"/>
    <col min="11003" max="11003" width="11.21875" style="61" bestFit="1" customWidth="1"/>
    <col min="11004" max="11004" width="6.6640625" style="61" bestFit="1" customWidth="1"/>
    <col min="11005" max="11005" width="15.88671875" style="61" bestFit="1" customWidth="1"/>
    <col min="11006" max="11006" width="2.21875" style="61" bestFit="1" customWidth="1"/>
    <col min="11007" max="11007" width="6.33203125" style="61" bestFit="1" customWidth="1"/>
    <col min="11008" max="11008" width="2.88671875" style="61" bestFit="1" customWidth="1"/>
    <col min="11009" max="11009" width="3.5546875" style="61" bestFit="1" customWidth="1"/>
    <col min="11010" max="11010" width="2.77734375" style="61" bestFit="1" customWidth="1"/>
    <col min="11011" max="11011" width="3.5546875" style="61" bestFit="1" customWidth="1"/>
    <col min="11012" max="11012" width="2.77734375" style="61" bestFit="1" customWidth="1"/>
    <col min="11013" max="11013" width="7" style="61" bestFit="1" customWidth="1"/>
    <col min="11014" max="11014" width="16.33203125" style="61" bestFit="1" customWidth="1"/>
    <col min="11015" max="11015" width="3.109375" style="61" bestFit="1" customWidth="1"/>
    <col min="11016" max="11016" width="6.5546875" style="61" bestFit="1" customWidth="1"/>
    <col min="11017" max="11017" width="9.109375" style="61" bestFit="1" customWidth="1"/>
    <col min="11018" max="11018" width="9" style="61"/>
    <col min="11019" max="11019" width="2.77734375" style="61" bestFit="1" customWidth="1"/>
    <col min="11020" max="11020" width="9" style="61"/>
    <col min="11021" max="11021" width="2.77734375" style="61" bestFit="1" customWidth="1"/>
    <col min="11022" max="11257" width="9" style="61"/>
    <col min="11258" max="11258" width="36.6640625" style="61" bestFit="1" customWidth="1"/>
    <col min="11259" max="11259" width="11.21875" style="61" bestFit="1" customWidth="1"/>
    <col min="11260" max="11260" width="6.6640625" style="61" bestFit="1" customWidth="1"/>
    <col min="11261" max="11261" width="15.88671875" style="61" bestFit="1" customWidth="1"/>
    <col min="11262" max="11262" width="2.21875" style="61" bestFit="1" customWidth="1"/>
    <col min="11263" max="11263" width="6.33203125" style="61" bestFit="1" customWidth="1"/>
    <col min="11264" max="11264" width="2.88671875" style="61" bestFit="1" customWidth="1"/>
    <col min="11265" max="11265" width="3.5546875" style="61" bestFit="1" customWidth="1"/>
    <col min="11266" max="11266" width="2.77734375" style="61" bestFit="1" customWidth="1"/>
    <col min="11267" max="11267" width="3.5546875" style="61" bestFit="1" customWidth="1"/>
    <col min="11268" max="11268" width="2.77734375" style="61" bestFit="1" customWidth="1"/>
    <col min="11269" max="11269" width="7" style="61" bestFit="1" customWidth="1"/>
    <col min="11270" max="11270" width="16.33203125" style="61" bestFit="1" customWidth="1"/>
    <col min="11271" max="11271" width="3.109375" style="61" bestFit="1" customWidth="1"/>
    <col min="11272" max="11272" width="6.5546875" style="61" bestFit="1" customWidth="1"/>
    <col min="11273" max="11273" width="9.109375" style="61" bestFit="1" customWidth="1"/>
    <col min="11274" max="11274" width="9" style="61"/>
    <col min="11275" max="11275" width="2.77734375" style="61" bestFit="1" customWidth="1"/>
    <col min="11276" max="11276" width="9" style="61"/>
    <col min="11277" max="11277" width="2.77734375" style="61" bestFit="1" customWidth="1"/>
    <col min="11278" max="11513" width="9" style="61"/>
    <col min="11514" max="11514" width="36.6640625" style="61" bestFit="1" customWidth="1"/>
    <col min="11515" max="11515" width="11.21875" style="61" bestFit="1" customWidth="1"/>
    <col min="11516" max="11516" width="6.6640625" style="61" bestFit="1" customWidth="1"/>
    <col min="11517" max="11517" width="15.88671875" style="61" bestFit="1" customWidth="1"/>
    <col min="11518" max="11518" width="2.21875" style="61" bestFit="1" customWidth="1"/>
    <col min="11519" max="11519" width="6.33203125" style="61" bestFit="1" customWidth="1"/>
    <col min="11520" max="11520" width="2.88671875" style="61" bestFit="1" customWidth="1"/>
    <col min="11521" max="11521" width="3.5546875" style="61" bestFit="1" customWidth="1"/>
    <col min="11522" max="11522" width="2.77734375" style="61" bestFit="1" customWidth="1"/>
    <col min="11523" max="11523" width="3.5546875" style="61" bestFit="1" customWidth="1"/>
    <col min="11524" max="11524" width="2.77734375" style="61" bestFit="1" customWidth="1"/>
    <col min="11525" max="11525" width="7" style="61" bestFit="1" customWidth="1"/>
    <col min="11526" max="11526" width="16.33203125" style="61" bestFit="1" customWidth="1"/>
    <col min="11527" max="11527" width="3.109375" style="61" bestFit="1" customWidth="1"/>
    <col min="11528" max="11528" width="6.5546875" style="61" bestFit="1" customWidth="1"/>
    <col min="11529" max="11529" width="9.109375" style="61" bestFit="1" customWidth="1"/>
    <col min="11530" max="11530" width="9" style="61"/>
    <col min="11531" max="11531" width="2.77734375" style="61" bestFit="1" customWidth="1"/>
    <col min="11532" max="11532" width="9" style="61"/>
    <col min="11533" max="11533" width="2.77734375" style="61" bestFit="1" customWidth="1"/>
    <col min="11534" max="11769" width="9" style="61"/>
    <col min="11770" max="11770" width="36.6640625" style="61" bestFit="1" customWidth="1"/>
    <col min="11771" max="11771" width="11.21875" style="61" bestFit="1" customWidth="1"/>
    <col min="11772" max="11772" width="6.6640625" style="61" bestFit="1" customWidth="1"/>
    <col min="11773" max="11773" width="15.88671875" style="61" bestFit="1" customWidth="1"/>
    <col min="11774" max="11774" width="2.21875" style="61" bestFit="1" customWidth="1"/>
    <col min="11775" max="11775" width="6.33203125" style="61" bestFit="1" customWidth="1"/>
    <col min="11776" max="11776" width="2.88671875" style="61" bestFit="1" customWidth="1"/>
    <col min="11777" max="11777" width="3.5546875" style="61" bestFit="1" customWidth="1"/>
    <col min="11778" max="11778" width="2.77734375" style="61" bestFit="1" customWidth="1"/>
    <col min="11779" max="11779" width="3.5546875" style="61" bestFit="1" customWidth="1"/>
    <col min="11780" max="11780" width="2.77734375" style="61" bestFit="1" customWidth="1"/>
    <col min="11781" max="11781" width="7" style="61" bestFit="1" customWidth="1"/>
    <col min="11782" max="11782" width="16.33203125" style="61" bestFit="1" customWidth="1"/>
    <col min="11783" max="11783" width="3.109375" style="61" bestFit="1" customWidth="1"/>
    <col min="11784" max="11784" width="6.5546875" style="61" bestFit="1" customWidth="1"/>
    <col min="11785" max="11785" width="9.109375" style="61" bestFit="1" customWidth="1"/>
    <col min="11786" max="11786" width="9" style="61"/>
    <col min="11787" max="11787" width="2.77734375" style="61" bestFit="1" customWidth="1"/>
    <col min="11788" max="11788" width="9" style="61"/>
    <col min="11789" max="11789" width="2.77734375" style="61" bestFit="1" customWidth="1"/>
    <col min="11790" max="12025" width="9" style="61"/>
    <col min="12026" max="12026" width="36.6640625" style="61" bestFit="1" customWidth="1"/>
    <col min="12027" max="12027" width="11.21875" style="61" bestFit="1" customWidth="1"/>
    <col min="12028" max="12028" width="6.6640625" style="61" bestFit="1" customWidth="1"/>
    <col min="12029" max="12029" width="15.88671875" style="61" bestFit="1" customWidth="1"/>
    <col min="12030" max="12030" width="2.21875" style="61" bestFit="1" customWidth="1"/>
    <col min="12031" max="12031" width="6.33203125" style="61" bestFit="1" customWidth="1"/>
    <col min="12032" max="12032" width="2.88671875" style="61" bestFit="1" customWidth="1"/>
    <col min="12033" max="12033" width="3.5546875" style="61" bestFit="1" customWidth="1"/>
    <col min="12034" max="12034" width="2.77734375" style="61" bestFit="1" customWidth="1"/>
    <col min="12035" max="12035" width="3.5546875" style="61" bestFit="1" customWidth="1"/>
    <col min="12036" max="12036" width="2.77734375" style="61" bestFit="1" customWidth="1"/>
    <col min="12037" max="12037" width="7" style="61" bestFit="1" customWidth="1"/>
    <col min="12038" max="12038" width="16.33203125" style="61" bestFit="1" customWidth="1"/>
    <col min="12039" max="12039" width="3.109375" style="61" bestFit="1" customWidth="1"/>
    <col min="12040" max="12040" width="6.5546875" style="61" bestFit="1" customWidth="1"/>
    <col min="12041" max="12041" width="9.109375" style="61" bestFit="1" customWidth="1"/>
    <col min="12042" max="12042" width="9" style="61"/>
    <col min="12043" max="12043" width="2.77734375" style="61" bestFit="1" customWidth="1"/>
    <col min="12044" max="12044" width="9" style="61"/>
    <col min="12045" max="12045" width="2.77734375" style="61" bestFit="1" customWidth="1"/>
    <col min="12046" max="12281" width="9" style="61"/>
    <col min="12282" max="12282" width="36.6640625" style="61" bestFit="1" customWidth="1"/>
    <col min="12283" max="12283" width="11.21875" style="61" bestFit="1" customWidth="1"/>
    <col min="12284" max="12284" width="6.6640625" style="61" bestFit="1" customWidth="1"/>
    <col min="12285" max="12285" width="15.88671875" style="61" bestFit="1" customWidth="1"/>
    <col min="12286" max="12286" width="2.21875" style="61" bestFit="1" customWidth="1"/>
    <col min="12287" max="12287" width="6.33203125" style="61" bestFit="1" customWidth="1"/>
    <col min="12288" max="12288" width="2.88671875" style="61" bestFit="1" customWidth="1"/>
    <col min="12289" max="12289" width="3.5546875" style="61" bestFit="1" customWidth="1"/>
    <col min="12290" max="12290" width="2.77734375" style="61" bestFit="1" customWidth="1"/>
    <col min="12291" max="12291" width="3.5546875" style="61" bestFit="1" customWidth="1"/>
    <col min="12292" max="12292" width="2.77734375" style="61" bestFit="1" customWidth="1"/>
    <col min="12293" max="12293" width="7" style="61" bestFit="1" customWidth="1"/>
    <col min="12294" max="12294" width="16.33203125" style="61" bestFit="1" customWidth="1"/>
    <col min="12295" max="12295" width="3.109375" style="61" bestFit="1" customWidth="1"/>
    <col min="12296" max="12296" width="6.5546875" style="61" bestFit="1" customWidth="1"/>
    <col min="12297" max="12297" width="9.109375" style="61" bestFit="1" customWidth="1"/>
    <col min="12298" max="12298" width="9" style="61"/>
    <col min="12299" max="12299" width="2.77734375" style="61" bestFit="1" customWidth="1"/>
    <col min="12300" max="12300" width="9" style="61"/>
    <col min="12301" max="12301" width="2.77734375" style="61" bestFit="1" customWidth="1"/>
    <col min="12302" max="12537" width="9" style="61"/>
    <col min="12538" max="12538" width="36.6640625" style="61" bestFit="1" customWidth="1"/>
    <col min="12539" max="12539" width="11.21875" style="61" bestFit="1" customWidth="1"/>
    <col min="12540" max="12540" width="6.6640625" style="61" bestFit="1" customWidth="1"/>
    <col min="12541" max="12541" width="15.88671875" style="61" bestFit="1" customWidth="1"/>
    <col min="12542" max="12542" width="2.21875" style="61" bestFit="1" customWidth="1"/>
    <col min="12543" max="12543" width="6.33203125" style="61" bestFit="1" customWidth="1"/>
    <col min="12544" max="12544" width="2.88671875" style="61" bestFit="1" customWidth="1"/>
    <col min="12545" max="12545" width="3.5546875" style="61" bestFit="1" customWidth="1"/>
    <col min="12546" max="12546" width="2.77734375" style="61" bestFit="1" customWidth="1"/>
    <col min="12547" max="12547" width="3.5546875" style="61" bestFit="1" customWidth="1"/>
    <col min="12548" max="12548" width="2.77734375" style="61" bestFit="1" customWidth="1"/>
    <col min="12549" max="12549" width="7" style="61" bestFit="1" customWidth="1"/>
    <col min="12550" max="12550" width="16.33203125" style="61" bestFit="1" customWidth="1"/>
    <col min="12551" max="12551" width="3.109375" style="61" bestFit="1" customWidth="1"/>
    <col min="12552" max="12552" width="6.5546875" style="61" bestFit="1" customWidth="1"/>
    <col min="12553" max="12553" width="9.109375" style="61" bestFit="1" customWidth="1"/>
    <col min="12554" max="12554" width="9" style="61"/>
    <col min="12555" max="12555" width="2.77734375" style="61" bestFit="1" customWidth="1"/>
    <col min="12556" max="12556" width="9" style="61"/>
    <col min="12557" max="12557" width="2.77734375" style="61" bestFit="1" customWidth="1"/>
    <col min="12558" max="12793" width="9" style="61"/>
    <col min="12794" max="12794" width="36.6640625" style="61" bestFit="1" customWidth="1"/>
    <col min="12795" max="12795" width="11.21875" style="61" bestFit="1" customWidth="1"/>
    <col min="12796" max="12796" width="6.6640625" style="61" bestFit="1" customWidth="1"/>
    <col min="12797" max="12797" width="15.88671875" style="61" bestFit="1" customWidth="1"/>
    <col min="12798" max="12798" width="2.21875" style="61" bestFit="1" customWidth="1"/>
    <col min="12799" max="12799" width="6.33203125" style="61" bestFit="1" customWidth="1"/>
    <col min="12800" max="12800" width="2.88671875" style="61" bestFit="1" customWidth="1"/>
    <col min="12801" max="12801" width="3.5546875" style="61" bestFit="1" customWidth="1"/>
    <col min="12802" max="12802" width="2.77734375" style="61" bestFit="1" customWidth="1"/>
    <col min="12803" max="12803" width="3.5546875" style="61" bestFit="1" customWidth="1"/>
    <col min="12804" max="12804" width="2.77734375" style="61" bestFit="1" customWidth="1"/>
    <col min="12805" max="12805" width="7" style="61" bestFit="1" customWidth="1"/>
    <col min="12806" max="12806" width="16.33203125" style="61" bestFit="1" customWidth="1"/>
    <col min="12807" max="12807" width="3.109375" style="61" bestFit="1" customWidth="1"/>
    <col min="12808" max="12808" width="6.5546875" style="61" bestFit="1" customWidth="1"/>
    <col min="12809" max="12809" width="9.109375" style="61" bestFit="1" customWidth="1"/>
    <col min="12810" max="12810" width="9" style="61"/>
    <col min="12811" max="12811" width="2.77734375" style="61" bestFit="1" customWidth="1"/>
    <col min="12812" max="12812" width="9" style="61"/>
    <col min="12813" max="12813" width="2.77734375" style="61" bestFit="1" customWidth="1"/>
    <col min="12814" max="13049" width="9" style="61"/>
    <col min="13050" max="13050" width="36.6640625" style="61" bestFit="1" customWidth="1"/>
    <col min="13051" max="13051" width="11.21875" style="61" bestFit="1" customWidth="1"/>
    <col min="13052" max="13052" width="6.6640625" style="61" bestFit="1" customWidth="1"/>
    <col min="13053" max="13053" width="15.88671875" style="61" bestFit="1" customWidth="1"/>
    <col min="13054" max="13054" width="2.21875" style="61" bestFit="1" customWidth="1"/>
    <col min="13055" max="13055" width="6.33203125" style="61" bestFit="1" customWidth="1"/>
    <col min="13056" max="13056" width="2.88671875" style="61" bestFit="1" customWidth="1"/>
    <col min="13057" max="13057" width="3.5546875" style="61" bestFit="1" customWidth="1"/>
    <col min="13058" max="13058" width="2.77734375" style="61" bestFit="1" customWidth="1"/>
    <col min="13059" max="13059" width="3.5546875" style="61" bestFit="1" customWidth="1"/>
    <col min="13060" max="13060" width="2.77734375" style="61" bestFit="1" customWidth="1"/>
    <col min="13061" max="13061" width="7" style="61" bestFit="1" customWidth="1"/>
    <col min="13062" max="13062" width="16.33203125" style="61" bestFit="1" customWidth="1"/>
    <col min="13063" max="13063" width="3.109375" style="61" bestFit="1" customWidth="1"/>
    <col min="13064" max="13064" width="6.5546875" style="61" bestFit="1" customWidth="1"/>
    <col min="13065" max="13065" width="9.109375" style="61" bestFit="1" customWidth="1"/>
    <col min="13066" max="13066" width="9" style="61"/>
    <col min="13067" max="13067" width="2.77734375" style="61" bestFit="1" customWidth="1"/>
    <col min="13068" max="13068" width="9" style="61"/>
    <col min="13069" max="13069" width="2.77734375" style="61" bestFit="1" customWidth="1"/>
    <col min="13070" max="13305" width="9" style="61"/>
    <col min="13306" max="13306" width="36.6640625" style="61" bestFit="1" customWidth="1"/>
    <col min="13307" max="13307" width="11.21875" style="61" bestFit="1" customWidth="1"/>
    <col min="13308" max="13308" width="6.6640625" style="61" bestFit="1" customWidth="1"/>
    <col min="13309" max="13309" width="15.88671875" style="61" bestFit="1" customWidth="1"/>
    <col min="13310" max="13310" width="2.21875" style="61" bestFit="1" customWidth="1"/>
    <col min="13311" max="13311" width="6.33203125" style="61" bestFit="1" customWidth="1"/>
    <col min="13312" max="13312" width="2.88671875" style="61" bestFit="1" customWidth="1"/>
    <col min="13313" max="13313" width="3.5546875" style="61" bestFit="1" customWidth="1"/>
    <col min="13314" max="13314" width="2.77734375" style="61" bestFit="1" customWidth="1"/>
    <col min="13315" max="13315" width="3.5546875" style="61" bestFit="1" customWidth="1"/>
    <col min="13316" max="13316" width="2.77734375" style="61" bestFit="1" customWidth="1"/>
    <col min="13317" max="13317" width="7" style="61" bestFit="1" customWidth="1"/>
    <col min="13318" max="13318" width="16.33203125" style="61" bestFit="1" customWidth="1"/>
    <col min="13319" max="13319" width="3.109375" style="61" bestFit="1" customWidth="1"/>
    <col min="13320" max="13320" width="6.5546875" style="61" bestFit="1" customWidth="1"/>
    <col min="13321" max="13321" width="9.109375" style="61" bestFit="1" customWidth="1"/>
    <col min="13322" max="13322" width="9" style="61"/>
    <col min="13323" max="13323" width="2.77734375" style="61" bestFit="1" customWidth="1"/>
    <col min="13324" max="13324" width="9" style="61"/>
    <col min="13325" max="13325" width="2.77734375" style="61" bestFit="1" customWidth="1"/>
    <col min="13326" max="13561" width="9" style="61"/>
    <col min="13562" max="13562" width="36.6640625" style="61" bestFit="1" customWidth="1"/>
    <col min="13563" max="13563" width="11.21875" style="61" bestFit="1" customWidth="1"/>
    <col min="13564" max="13564" width="6.6640625" style="61" bestFit="1" customWidth="1"/>
    <col min="13565" max="13565" width="15.88671875" style="61" bestFit="1" customWidth="1"/>
    <col min="13566" max="13566" width="2.21875" style="61" bestFit="1" customWidth="1"/>
    <col min="13567" max="13567" width="6.33203125" style="61" bestFit="1" customWidth="1"/>
    <col min="13568" max="13568" width="2.88671875" style="61" bestFit="1" customWidth="1"/>
    <col min="13569" max="13569" width="3.5546875" style="61" bestFit="1" customWidth="1"/>
    <col min="13570" max="13570" width="2.77734375" style="61" bestFit="1" customWidth="1"/>
    <col min="13571" max="13571" width="3.5546875" style="61" bestFit="1" customWidth="1"/>
    <col min="13572" max="13572" width="2.77734375" style="61" bestFit="1" customWidth="1"/>
    <col min="13573" max="13573" width="7" style="61" bestFit="1" customWidth="1"/>
    <col min="13574" max="13574" width="16.33203125" style="61" bestFit="1" customWidth="1"/>
    <col min="13575" max="13575" width="3.109375" style="61" bestFit="1" customWidth="1"/>
    <col min="13576" max="13576" width="6.5546875" style="61" bestFit="1" customWidth="1"/>
    <col min="13577" max="13577" width="9.109375" style="61" bestFit="1" customWidth="1"/>
    <col min="13578" max="13578" width="9" style="61"/>
    <col min="13579" max="13579" width="2.77734375" style="61" bestFit="1" customWidth="1"/>
    <col min="13580" max="13580" width="9" style="61"/>
    <col min="13581" max="13581" width="2.77734375" style="61" bestFit="1" customWidth="1"/>
    <col min="13582" max="13817" width="9" style="61"/>
    <col min="13818" max="13818" width="36.6640625" style="61" bestFit="1" customWidth="1"/>
    <col min="13819" max="13819" width="11.21875" style="61" bestFit="1" customWidth="1"/>
    <col min="13820" max="13820" width="6.6640625" style="61" bestFit="1" customWidth="1"/>
    <col min="13821" max="13821" width="15.88671875" style="61" bestFit="1" customWidth="1"/>
    <col min="13822" max="13822" width="2.21875" style="61" bestFit="1" customWidth="1"/>
    <col min="13823" max="13823" width="6.33203125" style="61" bestFit="1" customWidth="1"/>
    <col min="13824" max="13824" width="2.88671875" style="61" bestFit="1" customWidth="1"/>
    <col min="13825" max="13825" width="3.5546875" style="61" bestFit="1" customWidth="1"/>
    <col min="13826" max="13826" width="2.77734375" style="61" bestFit="1" customWidth="1"/>
    <col min="13827" max="13827" width="3.5546875" style="61" bestFit="1" customWidth="1"/>
    <col min="13828" max="13828" width="2.77734375" style="61" bestFit="1" customWidth="1"/>
    <col min="13829" max="13829" width="7" style="61" bestFit="1" customWidth="1"/>
    <col min="13830" max="13830" width="16.33203125" style="61" bestFit="1" customWidth="1"/>
    <col min="13831" max="13831" width="3.109375" style="61" bestFit="1" customWidth="1"/>
    <col min="13832" max="13832" width="6.5546875" style="61" bestFit="1" customWidth="1"/>
    <col min="13833" max="13833" width="9.109375" style="61" bestFit="1" customWidth="1"/>
    <col min="13834" max="13834" width="9" style="61"/>
    <col min="13835" max="13835" width="2.77734375" style="61" bestFit="1" customWidth="1"/>
    <col min="13836" max="13836" width="9" style="61"/>
    <col min="13837" max="13837" width="2.77734375" style="61" bestFit="1" customWidth="1"/>
    <col min="13838" max="14073" width="9" style="61"/>
    <col min="14074" max="14074" width="36.6640625" style="61" bestFit="1" customWidth="1"/>
    <col min="14075" max="14075" width="11.21875" style="61" bestFit="1" customWidth="1"/>
    <col min="14076" max="14076" width="6.6640625" style="61" bestFit="1" customWidth="1"/>
    <col min="14077" max="14077" width="15.88671875" style="61" bestFit="1" customWidth="1"/>
    <col min="14078" max="14078" width="2.21875" style="61" bestFit="1" customWidth="1"/>
    <col min="14079" max="14079" width="6.33203125" style="61" bestFit="1" customWidth="1"/>
    <col min="14080" max="14080" width="2.88671875" style="61" bestFit="1" customWidth="1"/>
    <col min="14081" max="14081" width="3.5546875" style="61" bestFit="1" customWidth="1"/>
    <col min="14082" max="14082" width="2.77734375" style="61" bestFit="1" customWidth="1"/>
    <col min="14083" max="14083" width="3.5546875" style="61" bestFit="1" customWidth="1"/>
    <col min="14084" max="14084" width="2.77734375" style="61" bestFit="1" customWidth="1"/>
    <col min="14085" max="14085" width="7" style="61" bestFit="1" customWidth="1"/>
    <col min="14086" max="14086" width="16.33203125" style="61" bestFit="1" customWidth="1"/>
    <col min="14087" max="14087" width="3.109375" style="61" bestFit="1" customWidth="1"/>
    <col min="14088" max="14088" width="6.5546875" style="61" bestFit="1" customWidth="1"/>
    <col min="14089" max="14089" width="9.109375" style="61" bestFit="1" customWidth="1"/>
    <col min="14090" max="14090" width="9" style="61"/>
    <col min="14091" max="14091" width="2.77734375" style="61" bestFit="1" customWidth="1"/>
    <col min="14092" max="14092" width="9" style="61"/>
    <col min="14093" max="14093" width="2.77734375" style="61" bestFit="1" customWidth="1"/>
    <col min="14094" max="14329" width="9" style="61"/>
    <col min="14330" max="14330" width="36.6640625" style="61" bestFit="1" customWidth="1"/>
    <col min="14331" max="14331" width="11.21875" style="61" bestFit="1" customWidth="1"/>
    <col min="14332" max="14332" width="6.6640625" style="61" bestFit="1" customWidth="1"/>
    <col min="14333" max="14333" width="15.88671875" style="61" bestFit="1" customWidth="1"/>
    <col min="14334" max="14334" width="2.21875" style="61" bestFit="1" customWidth="1"/>
    <col min="14335" max="14335" width="6.33203125" style="61" bestFit="1" customWidth="1"/>
    <col min="14336" max="14336" width="2.88671875" style="61" bestFit="1" customWidth="1"/>
    <col min="14337" max="14337" width="3.5546875" style="61" bestFit="1" customWidth="1"/>
    <col min="14338" max="14338" width="2.77734375" style="61" bestFit="1" customWidth="1"/>
    <col min="14339" max="14339" width="3.5546875" style="61" bestFit="1" customWidth="1"/>
    <col min="14340" max="14340" width="2.77734375" style="61" bestFit="1" customWidth="1"/>
    <col min="14341" max="14341" width="7" style="61" bestFit="1" customWidth="1"/>
    <col min="14342" max="14342" width="16.33203125" style="61" bestFit="1" customWidth="1"/>
    <col min="14343" max="14343" width="3.109375" style="61" bestFit="1" customWidth="1"/>
    <col min="14344" max="14344" width="6.5546875" style="61" bestFit="1" customWidth="1"/>
    <col min="14345" max="14345" width="9.109375" style="61" bestFit="1" customWidth="1"/>
    <col min="14346" max="14346" width="9" style="61"/>
    <col min="14347" max="14347" width="2.77734375" style="61" bestFit="1" customWidth="1"/>
    <col min="14348" max="14348" width="9" style="61"/>
    <col min="14349" max="14349" width="2.77734375" style="61" bestFit="1" customWidth="1"/>
    <col min="14350" max="14585" width="9" style="61"/>
    <col min="14586" max="14586" width="36.6640625" style="61" bestFit="1" customWidth="1"/>
    <col min="14587" max="14587" width="11.21875" style="61" bestFit="1" customWidth="1"/>
    <col min="14588" max="14588" width="6.6640625" style="61" bestFit="1" customWidth="1"/>
    <col min="14589" max="14589" width="15.88671875" style="61" bestFit="1" customWidth="1"/>
    <col min="14590" max="14590" width="2.21875" style="61" bestFit="1" customWidth="1"/>
    <col min="14591" max="14591" width="6.33203125" style="61" bestFit="1" customWidth="1"/>
    <col min="14592" max="14592" width="2.88671875" style="61" bestFit="1" customWidth="1"/>
    <col min="14593" max="14593" width="3.5546875" style="61" bestFit="1" customWidth="1"/>
    <col min="14594" max="14594" width="2.77734375" style="61" bestFit="1" customWidth="1"/>
    <col min="14595" max="14595" width="3.5546875" style="61" bestFit="1" customWidth="1"/>
    <col min="14596" max="14596" width="2.77734375" style="61" bestFit="1" customWidth="1"/>
    <col min="14597" max="14597" width="7" style="61" bestFit="1" customWidth="1"/>
    <col min="14598" max="14598" width="16.33203125" style="61" bestFit="1" customWidth="1"/>
    <col min="14599" max="14599" width="3.109375" style="61" bestFit="1" customWidth="1"/>
    <col min="14600" max="14600" width="6.5546875" style="61" bestFit="1" customWidth="1"/>
    <col min="14601" max="14601" width="9.109375" style="61" bestFit="1" customWidth="1"/>
    <col min="14602" max="14602" width="9" style="61"/>
    <col min="14603" max="14603" width="2.77734375" style="61" bestFit="1" customWidth="1"/>
    <col min="14604" max="14604" width="9" style="61"/>
    <col min="14605" max="14605" width="2.77734375" style="61" bestFit="1" customWidth="1"/>
    <col min="14606" max="14841" width="9" style="61"/>
    <col min="14842" max="14842" width="36.6640625" style="61" bestFit="1" customWidth="1"/>
    <col min="14843" max="14843" width="11.21875" style="61" bestFit="1" customWidth="1"/>
    <col min="14844" max="14844" width="6.6640625" style="61" bestFit="1" customWidth="1"/>
    <col min="14845" max="14845" width="15.88671875" style="61" bestFit="1" customWidth="1"/>
    <col min="14846" max="14846" width="2.21875" style="61" bestFit="1" customWidth="1"/>
    <col min="14847" max="14847" width="6.33203125" style="61" bestFit="1" customWidth="1"/>
    <col min="14848" max="14848" width="2.88671875" style="61" bestFit="1" customWidth="1"/>
    <col min="14849" max="14849" width="3.5546875" style="61" bestFit="1" customWidth="1"/>
    <col min="14850" max="14850" width="2.77734375" style="61" bestFit="1" customWidth="1"/>
    <col min="14851" max="14851" width="3.5546875" style="61" bestFit="1" customWidth="1"/>
    <col min="14852" max="14852" width="2.77734375" style="61" bestFit="1" customWidth="1"/>
    <col min="14853" max="14853" width="7" style="61" bestFit="1" customWidth="1"/>
    <col min="14854" max="14854" width="16.33203125" style="61" bestFit="1" customWidth="1"/>
    <col min="14855" max="14855" width="3.109375" style="61" bestFit="1" customWidth="1"/>
    <col min="14856" max="14856" width="6.5546875" style="61" bestFit="1" customWidth="1"/>
    <col min="14857" max="14857" width="9.109375" style="61" bestFit="1" customWidth="1"/>
    <col min="14858" max="14858" width="9" style="61"/>
    <col min="14859" max="14859" width="2.77734375" style="61" bestFit="1" customWidth="1"/>
    <col min="14860" max="14860" width="9" style="61"/>
    <col min="14861" max="14861" width="2.77734375" style="61" bestFit="1" customWidth="1"/>
    <col min="14862" max="15097" width="9" style="61"/>
    <col min="15098" max="15098" width="36.6640625" style="61" bestFit="1" customWidth="1"/>
    <col min="15099" max="15099" width="11.21875" style="61" bestFit="1" customWidth="1"/>
    <col min="15100" max="15100" width="6.6640625" style="61" bestFit="1" customWidth="1"/>
    <col min="15101" max="15101" width="15.88671875" style="61" bestFit="1" customWidth="1"/>
    <col min="15102" max="15102" width="2.21875" style="61" bestFit="1" customWidth="1"/>
    <col min="15103" max="15103" width="6.33203125" style="61" bestFit="1" customWidth="1"/>
    <col min="15104" max="15104" width="2.88671875" style="61" bestFit="1" customWidth="1"/>
    <col min="15105" max="15105" width="3.5546875" style="61" bestFit="1" customWidth="1"/>
    <col min="15106" max="15106" width="2.77734375" style="61" bestFit="1" customWidth="1"/>
    <col min="15107" max="15107" width="3.5546875" style="61" bestFit="1" customWidth="1"/>
    <col min="15108" max="15108" width="2.77734375" style="61" bestFit="1" customWidth="1"/>
    <col min="15109" max="15109" width="7" style="61" bestFit="1" customWidth="1"/>
    <col min="15110" max="15110" width="16.33203125" style="61" bestFit="1" customWidth="1"/>
    <col min="15111" max="15111" width="3.109375" style="61" bestFit="1" customWidth="1"/>
    <col min="15112" max="15112" width="6.5546875" style="61" bestFit="1" customWidth="1"/>
    <col min="15113" max="15113" width="9.109375" style="61" bestFit="1" customWidth="1"/>
    <col min="15114" max="15114" width="9" style="61"/>
    <col min="15115" max="15115" width="2.77734375" style="61" bestFit="1" customWidth="1"/>
    <col min="15116" max="15116" width="9" style="61"/>
    <col min="15117" max="15117" width="2.77734375" style="61" bestFit="1" customWidth="1"/>
    <col min="15118" max="15353" width="9" style="61"/>
    <col min="15354" max="15354" width="36.6640625" style="61" bestFit="1" customWidth="1"/>
    <col min="15355" max="15355" width="11.21875" style="61" bestFit="1" customWidth="1"/>
    <col min="15356" max="15356" width="6.6640625" style="61" bestFit="1" customWidth="1"/>
    <col min="15357" max="15357" width="15.88671875" style="61" bestFit="1" customWidth="1"/>
    <col min="15358" max="15358" width="2.21875" style="61" bestFit="1" customWidth="1"/>
    <col min="15359" max="15359" width="6.33203125" style="61" bestFit="1" customWidth="1"/>
    <col min="15360" max="15360" width="2.88671875" style="61" bestFit="1" customWidth="1"/>
    <col min="15361" max="15361" width="3.5546875" style="61" bestFit="1" customWidth="1"/>
    <col min="15362" max="15362" width="2.77734375" style="61" bestFit="1" customWidth="1"/>
    <col min="15363" max="15363" width="3.5546875" style="61" bestFit="1" customWidth="1"/>
    <col min="15364" max="15364" width="2.77734375" style="61" bestFit="1" customWidth="1"/>
    <col min="15365" max="15365" width="7" style="61" bestFit="1" customWidth="1"/>
    <col min="15366" max="15366" width="16.33203125" style="61" bestFit="1" customWidth="1"/>
    <col min="15367" max="15367" width="3.109375" style="61" bestFit="1" customWidth="1"/>
    <col min="15368" max="15368" width="6.5546875" style="61" bestFit="1" customWidth="1"/>
    <col min="15369" max="15369" width="9.109375" style="61" bestFit="1" customWidth="1"/>
    <col min="15370" max="15370" width="9" style="61"/>
    <col min="15371" max="15371" width="2.77734375" style="61" bestFit="1" customWidth="1"/>
    <col min="15372" max="15372" width="9" style="61"/>
    <col min="15373" max="15373" width="2.77734375" style="61" bestFit="1" customWidth="1"/>
    <col min="15374" max="15609" width="9" style="61"/>
    <col min="15610" max="15610" width="36.6640625" style="61" bestFit="1" customWidth="1"/>
    <col min="15611" max="15611" width="11.21875" style="61" bestFit="1" customWidth="1"/>
    <col min="15612" max="15612" width="6.6640625" style="61" bestFit="1" customWidth="1"/>
    <col min="15613" max="15613" width="15.88671875" style="61" bestFit="1" customWidth="1"/>
    <col min="15614" max="15614" width="2.21875" style="61" bestFit="1" customWidth="1"/>
    <col min="15615" max="15615" width="6.33203125" style="61" bestFit="1" customWidth="1"/>
    <col min="15616" max="15616" width="2.88671875" style="61" bestFit="1" customWidth="1"/>
    <col min="15617" max="15617" width="3.5546875" style="61" bestFit="1" customWidth="1"/>
    <col min="15618" max="15618" width="2.77734375" style="61" bestFit="1" customWidth="1"/>
    <col min="15619" max="15619" width="3.5546875" style="61" bestFit="1" customWidth="1"/>
    <col min="15620" max="15620" width="2.77734375" style="61" bestFit="1" customWidth="1"/>
    <col min="15621" max="15621" width="7" style="61" bestFit="1" customWidth="1"/>
    <col min="15622" max="15622" width="16.33203125" style="61" bestFit="1" customWidth="1"/>
    <col min="15623" max="15623" width="3.109375" style="61" bestFit="1" customWidth="1"/>
    <col min="15624" max="15624" width="6.5546875" style="61" bestFit="1" customWidth="1"/>
    <col min="15625" max="15625" width="9.109375" style="61" bestFit="1" customWidth="1"/>
    <col min="15626" max="15626" width="9" style="61"/>
    <col min="15627" max="15627" width="2.77734375" style="61" bestFit="1" customWidth="1"/>
    <col min="15628" max="15628" width="9" style="61"/>
    <col min="15629" max="15629" width="2.77734375" style="61" bestFit="1" customWidth="1"/>
    <col min="15630" max="15865" width="9" style="61"/>
    <col min="15866" max="15866" width="36.6640625" style="61" bestFit="1" customWidth="1"/>
    <col min="15867" max="15867" width="11.21875" style="61" bestFit="1" customWidth="1"/>
    <col min="15868" max="15868" width="6.6640625" style="61" bestFit="1" customWidth="1"/>
    <col min="15869" max="15869" width="15.88671875" style="61" bestFit="1" customWidth="1"/>
    <col min="15870" max="15870" width="2.21875" style="61" bestFit="1" customWidth="1"/>
    <col min="15871" max="15871" width="6.33203125" style="61" bestFit="1" customWidth="1"/>
    <col min="15872" max="15872" width="2.88671875" style="61" bestFit="1" customWidth="1"/>
    <col min="15873" max="15873" width="3.5546875" style="61" bestFit="1" customWidth="1"/>
    <col min="15874" max="15874" width="2.77734375" style="61" bestFit="1" customWidth="1"/>
    <col min="15875" max="15875" width="3.5546875" style="61" bestFit="1" customWidth="1"/>
    <col min="15876" max="15876" width="2.77734375" style="61" bestFit="1" customWidth="1"/>
    <col min="15877" max="15877" width="7" style="61" bestFit="1" customWidth="1"/>
    <col min="15878" max="15878" width="16.33203125" style="61" bestFit="1" customWidth="1"/>
    <col min="15879" max="15879" width="3.109375" style="61" bestFit="1" customWidth="1"/>
    <col min="15880" max="15880" width="6.5546875" style="61" bestFit="1" customWidth="1"/>
    <col min="15881" max="15881" width="9.109375" style="61" bestFit="1" customWidth="1"/>
    <col min="15882" max="15882" width="9" style="61"/>
    <col min="15883" max="15883" width="2.77734375" style="61" bestFit="1" customWidth="1"/>
    <col min="15884" max="15884" width="9" style="61"/>
    <col min="15885" max="15885" width="2.77734375" style="61" bestFit="1" customWidth="1"/>
    <col min="15886" max="16121" width="9" style="61"/>
    <col min="16122" max="16122" width="36.6640625" style="61" bestFit="1" customWidth="1"/>
    <col min="16123" max="16123" width="11.21875" style="61" bestFit="1" customWidth="1"/>
    <col min="16124" max="16124" width="6.6640625" style="61" bestFit="1" customWidth="1"/>
    <col min="16125" max="16125" width="15.88671875" style="61" bestFit="1" customWidth="1"/>
    <col min="16126" max="16126" width="2.21875" style="61" bestFit="1" customWidth="1"/>
    <col min="16127" max="16127" width="6.33203125" style="61" bestFit="1" customWidth="1"/>
    <col min="16128" max="16128" width="2.88671875" style="61" bestFit="1" customWidth="1"/>
    <col min="16129" max="16129" width="3.5546875" style="61" bestFit="1" customWidth="1"/>
    <col min="16130" max="16130" width="2.77734375" style="61" bestFit="1" customWidth="1"/>
    <col min="16131" max="16131" width="3.5546875" style="61" bestFit="1" customWidth="1"/>
    <col min="16132" max="16132" width="2.77734375" style="61" bestFit="1" customWidth="1"/>
    <col min="16133" max="16133" width="7" style="61" bestFit="1" customWidth="1"/>
    <col min="16134" max="16134" width="16.33203125" style="61" bestFit="1" customWidth="1"/>
    <col min="16135" max="16135" width="3.109375" style="61" bestFit="1" customWidth="1"/>
    <col min="16136" max="16136" width="6.5546875" style="61" bestFit="1" customWidth="1"/>
    <col min="16137" max="16137" width="9.109375" style="61" bestFit="1" customWidth="1"/>
    <col min="16138" max="16138" width="9" style="61"/>
    <col min="16139" max="16139" width="2.77734375" style="61" bestFit="1" customWidth="1"/>
    <col min="16140" max="16140" width="9" style="61"/>
    <col min="16141" max="16141" width="2.77734375" style="61" bestFit="1" customWidth="1"/>
    <col min="16142" max="16384" width="9" style="61"/>
  </cols>
  <sheetData>
    <row r="1" spans="1:43" ht="31.5">
      <c r="A1" s="2162" t="s">
        <v>2111</v>
      </c>
      <c r="B1" s="2162"/>
      <c r="C1" s="2162"/>
      <c r="D1" s="2162"/>
      <c r="E1" s="2162"/>
      <c r="F1" s="2162"/>
      <c r="G1" s="2162"/>
      <c r="H1" s="2162"/>
      <c r="I1" s="2162"/>
      <c r="J1" s="2162"/>
      <c r="K1" s="2162"/>
      <c r="L1" s="2162"/>
      <c r="M1" s="2162"/>
      <c r="N1" s="2162"/>
      <c r="O1" s="2162"/>
      <c r="P1" s="2162"/>
      <c r="Q1" s="2162"/>
      <c r="R1" s="2162"/>
      <c r="S1" s="2162"/>
      <c r="T1" s="2162"/>
      <c r="U1" s="2162"/>
      <c r="X1" s="2177" t="s">
        <v>2110</v>
      </c>
      <c r="Y1" s="2177"/>
      <c r="Z1" s="2177"/>
      <c r="AA1" s="2177"/>
      <c r="AB1" s="2177"/>
      <c r="AC1" s="2177"/>
      <c r="AD1" s="2177"/>
      <c r="AE1" s="2177"/>
      <c r="AF1" s="2177"/>
      <c r="AG1" s="2177"/>
      <c r="AH1" s="2177"/>
      <c r="AI1" s="2177"/>
      <c r="AJ1" s="2177"/>
      <c r="AK1" s="2177"/>
      <c r="AL1" s="2177"/>
      <c r="AM1" s="2177"/>
      <c r="AN1" s="2177"/>
      <c r="AO1" s="2177"/>
      <c r="AP1" s="2177"/>
      <c r="AQ1" s="2177"/>
    </row>
    <row r="2" spans="1:43">
      <c r="A2" s="65" t="s">
        <v>721</v>
      </c>
      <c r="B2" s="65" t="s">
        <v>2109</v>
      </c>
      <c r="C2" s="65" t="s">
        <v>2112</v>
      </c>
      <c r="D2" s="65" t="s">
        <v>2108</v>
      </c>
      <c r="E2" s="65" t="s">
        <v>2082</v>
      </c>
      <c r="F2" s="66" t="s">
        <v>2107</v>
      </c>
      <c r="G2" s="65" t="s">
        <v>1910</v>
      </c>
      <c r="H2" s="66" t="s">
        <v>2106</v>
      </c>
      <c r="I2" s="65" t="s">
        <v>1909</v>
      </c>
      <c r="J2" s="85" t="s">
        <v>2105</v>
      </c>
      <c r="K2" s="65" t="s">
        <v>1903</v>
      </c>
      <c r="L2" s="65" t="s">
        <v>2104</v>
      </c>
      <c r="M2" s="2163" t="s">
        <v>2103</v>
      </c>
      <c r="N2" s="2163"/>
      <c r="O2" s="71" t="s">
        <v>2097</v>
      </c>
      <c r="P2" s="72" t="s">
        <v>2096</v>
      </c>
      <c r="Q2" s="2164" t="s">
        <v>2093</v>
      </c>
      <c r="R2" s="2165"/>
      <c r="S2" s="2165"/>
      <c r="T2" s="2165"/>
      <c r="U2" s="2166"/>
      <c r="X2" s="77" t="s">
        <v>721</v>
      </c>
      <c r="Y2" s="77" t="s">
        <v>2109</v>
      </c>
      <c r="Z2" s="77" t="s">
        <v>2108</v>
      </c>
      <c r="AA2" s="77" t="s">
        <v>2082</v>
      </c>
      <c r="AB2" s="77" t="s">
        <v>2107</v>
      </c>
      <c r="AC2" s="77" t="s">
        <v>1910</v>
      </c>
      <c r="AD2" s="77" t="s">
        <v>2106</v>
      </c>
      <c r="AE2" s="77" t="s">
        <v>1909</v>
      </c>
      <c r="AF2" s="78" t="s">
        <v>2105</v>
      </c>
      <c r="AG2" s="77" t="s">
        <v>1903</v>
      </c>
      <c r="AH2" s="77" t="s">
        <v>2104</v>
      </c>
      <c r="AI2" s="2163" t="s">
        <v>2103</v>
      </c>
      <c r="AJ2" s="2163"/>
      <c r="AK2" s="71" t="s">
        <v>2097</v>
      </c>
      <c r="AL2" s="72" t="s">
        <v>2096</v>
      </c>
      <c r="AM2" s="2164" t="s">
        <v>2093</v>
      </c>
      <c r="AN2" s="2165"/>
      <c r="AO2" s="2165"/>
      <c r="AP2" s="2165"/>
      <c r="AQ2" s="2166"/>
    </row>
    <row r="3" spans="1:43" ht="18.75">
      <c r="A3" s="89" t="s">
        <v>2113</v>
      </c>
      <c r="B3" s="89">
        <v>1500</v>
      </c>
      <c r="C3" s="89">
        <v>65</v>
      </c>
      <c r="D3" s="88">
        <f t="shared" ref="D3:D66" si="0">B3*$O$6</f>
        <v>1500</v>
      </c>
      <c r="E3" s="89" t="s">
        <v>2082</v>
      </c>
      <c r="F3" s="90">
        <f t="shared" ref="F3:F66" si="1">_xlfn.FLOOR.MATH(D3,1)</f>
        <v>1500</v>
      </c>
      <c r="G3" s="89" t="s">
        <v>2081</v>
      </c>
      <c r="H3" s="90">
        <f t="shared" ref="H3:H66" si="2">_xlfn.FLOOR.MATH(((D3-F3)*10), 1)</f>
        <v>0</v>
      </c>
      <c r="I3" s="89" t="s">
        <v>2080</v>
      </c>
      <c r="J3" s="90">
        <f t="shared" ref="J3:J66" si="3">((D3-F3)*10-H3)*10</f>
        <v>0</v>
      </c>
      <c r="K3" s="89" t="s">
        <v>2079</v>
      </c>
      <c r="L3" s="88">
        <v>60</v>
      </c>
      <c r="M3" s="84" t="s">
        <v>2102</v>
      </c>
      <c r="N3" s="63">
        <v>0</v>
      </c>
      <c r="O3" s="73">
        <f>IF(N3=-3,CONFIG000!DD5,IF(N3=-2,CONFIG000!DE5,IF(N3=-1,CONFIG000!DF5,IF(N3=0,CONFIG000!DG5,IF(N3=1,CONFIG000!DH5,IF(N3=2,CONFIG000!DI5,IF(N3=3,CONFIG000!DJ5,IF(N3=4,CONFIG000!DK5))))))))</f>
        <v>1</v>
      </c>
      <c r="P3" s="74">
        <f>1-O3</f>
        <v>0</v>
      </c>
      <c r="Q3" s="2167" t="s">
        <v>2101</v>
      </c>
      <c r="R3" s="2168"/>
      <c r="S3" s="2168"/>
      <c r="T3" s="2168"/>
      <c r="U3" s="2169"/>
      <c r="X3" s="79" t="s">
        <v>10442</v>
      </c>
      <c r="Y3" s="80">
        <v>31250.25</v>
      </c>
      <c r="Z3" s="81">
        <f t="shared" ref="Z3:Z66" si="4">Y3*$AK$6*$AK$11</f>
        <v>31250.25</v>
      </c>
      <c r="AA3" s="79" t="s">
        <v>2082</v>
      </c>
      <c r="AB3" s="82">
        <f t="shared" ref="AB3:AB66" si="5">_xlfn.FLOOR.MATH(Z3,1)</f>
        <v>31250</v>
      </c>
      <c r="AC3" s="79" t="s">
        <v>2081</v>
      </c>
      <c r="AD3" s="82">
        <f t="shared" ref="AD3:AD66" si="6">_xlfn.FLOOR.MATH(((Z3-AB3)*10), 1)</f>
        <v>2</v>
      </c>
      <c r="AE3" s="79" t="s">
        <v>2080</v>
      </c>
      <c r="AF3" s="82">
        <f t="shared" ref="AF3:AF66" si="7">((Z3-AB3)*10-AD3)*10</f>
        <v>5</v>
      </c>
      <c r="AG3" s="79" t="s">
        <v>2079</v>
      </c>
      <c r="AH3" s="81">
        <v>1250.01</v>
      </c>
      <c r="AI3" s="84" t="s">
        <v>2102</v>
      </c>
      <c r="AJ3" s="63">
        <v>0</v>
      </c>
      <c r="AK3" s="73">
        <f>IF(AJ3=-3,CONFIG000!$DD$5,IF($AJ$3=-2,CONFIG000!$DE$5,IF($AJ$3=-1,CONFIG000!DF5,IF(AJ3=0,CONFIG000!DG5,IF(AJ3=1,CONFIG000!DH5,IF(AJ3=2,CONFIG000!DI5,IF(AJ3=3,CONFIG000!DJ5,IF(AJ3=4,CONFIG000!DK5))))))))</f>
        <v>1</v>
      </c>
      <c r="AL3" s="74">
        <f>1-AK3</f>
        <v>0</v>
      </c>
      <c r="AM3" s="2179" t="s">
        <v>2101</v>
      </c>
      <c r="AN3" s="2179"/>
      <c r="AO3" s="2179"/>
      <c r="AP3" s="2179"/>
      <c r="AQ3" s="2179"/>
    </row>
    <row r="4" spans="1:43" ht="18.75">
      <c r="A4" s="89" t="s">
        <v>2114</v>
      </c>
      <c r="B4" s="91">
        <v>1000</v>
      </c>
      <c r="C4" s="89">
        <v>1</v>
      </c>
      <c r="D4" s="88">
        <f t="shared" si="0"/>
        <v>1000</v>
      </c>
      <c r="E4" s="89" t="s">
        <v>2082</v>
      </c>
      <c r="F4" s="90">
        <f t="shared" si="1"/>
        <v>1000</v>
      </c>
      <c r="G4" s="89" t="s">
        <v>2081</v>
      </c>
      <c r="H4" s="90">
        <f t="shared" si="2"/>
        <v>0</v>
      </c>
      <c r="I4" s="89" t="s">
        <v>2080</v>
      </c>
      <c r="J4" s="90">
        <f t="shared" si="3"/>
        <v>0</v>
      </c>
      <c r="K4" s="89" t="s">
        <v>2079</v>
      </c>
      <c r="L4" s="88">
        <v>40</v>
      </c>
      <c r="M4" s="84" t="s">
        <v>2084</v>
      </c>
      <c r="N4" s="63">
        <v>0</v>
      </c>
      <c r="O4" s="73">
        <f>IF(N4=-3,CONFIG000!DD4,IF(N4=-2,CONFIG000!DE4,IF(N4=-1,CONFIG000!DF4,IF(N4=0,CONFIG000!DG4,IF(N4=1,CONFIG000!DH4,IF(N4=2,CONFIG000!DI4,IF(N4=3,CONFIG000!DJ4,IF(N4=4,CONFIG000!DK4))))))))</f>
        <v>1</v>
      </c>
      <c r="P4" s="74">
        <f>1-O4</f>
        <v>0</v>
      </c>
      <c r="Q4" s="2167" t="s">
        <v>2084</v>
      </c>
      <c r="R4" s="2168"/>
      <c r="S4" s="2168"/>
      <c r="T4" s="2168"/>
      <c r="U4" s="2169"/>
      <c r="X4" s="79" t="s">
        <v>10443</v>
      </c>
      <c r="Y4" s="80">
        <v>31250.25</v>
      </c>
      <c r="Z4" s="81">
        <f t="shared" si="4"/>
        <v>31250.25</v>
      </c>
      <c r="AA4" s="79" t="s">
        <v>2082</v>
      </c>
      <c r="AB4" s="82">
        <f t="shared" si="5"/>
        <v>31250</v>
      </c>
      <c r="AC4" s="79" t="s">
        <v>2081</v>
      </c>
      <c r="AD4" s="82">
        <f t="shared" si="6"/>
        <v>2</v>
      </c>
      <c r="AE4" s="79" t="s">
        <v>2080</v>
      </c>
      <c r="AF4" s="82">
        <f t="shared" si="7"/>
        <v>5</v>
      </c>
      <c r="AG4" s="79" t="s">
        <v>2079</v>
      </c>
      <c r="AH4" s="81">
        <v>1250.01</v>
      </c>
      <c r="AI4" s="84" t="s">
        <v>2084</v>
      </c>
      <c r="AJ4" s="63">
        <v>0</v>
      </c>
      <c r="AK4" s="73">
        <f>IF(AJ4=-3,CONFIG000!DD4,IF(AJ4=-2,CONFIG000!DE4,IF(AJ4=-1,CONFIG000!DF4,IF(AJ4=0,CONFIG000!DG4,IF(AJ4=1,CONFIG000!DH4,IF(AJ4=2,CONFIG000!DI4,IF(AJ4=3,CONFIG000!DJ4,IF(AJ4=4,CONFIG000!DK4))))))))</f>
        <v>1</v>
      </c>
      <c r="AL4" s="74">
        <f>1-AK4</f>
        <v>0</v>
      </c>
      <c r="AM4" s="2179" t="s">
        <v>2084</v>
      </c>
      <c r="AN4" s="2179"/>
      <c r="AO4" s="2179"/>
      <c r="AP4" s="2179"/>
      <c r="AQ4" s="2179"/>
    </row>
    <row r="5" spans="1:43" ht="18" customHeight="1">
      <c r="A5" s="89" t="s">
        <v>2115</v>
      </c>
      <c r="B5" s="89">
        <v>750</v>
      </c>
      <c r="C5" s="89">
        <v>40</v>
      </c>
      <c r="D5" s="88">
        <f t="shared" si="0"/>
        <v>750</v>
      </c>
      <c r="E5" s="89" t="s">
        <v>2082</v>
      </c>
      <c r="F5" s="90">
        <f t="shared" si="1"/>
        <v>750</v>
      </c>
      <c r="G5" s="89" t="s">
        <v>2081</v>
      </c>
      <c r="H5" s="90">
        <f t="shared" si="2"/>
        <v>0</v>
      </c>
      <c r="I5" s="89" t="s">
        <v>2080</v>
      </c>
      <c r="J5" s="90">
        <f t="shared" si="3"/>
        <v>0</v>
      </c>
      <c r="K5" s="89" t="s">
        <v>2079</v>
      </c>
      <c r="L5" s="88">
        <v>30</v>
      </c>
      <c r="M5" s="84" t="s">
        <v>2100</v>
      </c>
      <c r="N5" s="63" t="s">
        <v>1902</v>
      </c>
      <c r="O5" s="75" t="str">
        <f>IF(N5="Y", CONFIG000!DD6, IF(N5="N","1"))</f>
        <v>1</v>
      </c>
      <c r="P5" s="74">
        <f>1-O5</f>
        <v>0</v>
      </c>
      <c r="Q5" s="2156" t="s">
        <v>2099</v>
      </c>
      <c r="R5" s="2157"/>
      <c r="S5" s="2157"/>
      <c r="T5" s="2157"/>
      <c r="U5" s="2158"/>
      <c r="X5" s="79" t="s">
        <v>10444</v>
      </c>
      <c r="Y5" s="80">
        <v>3887.625</v>
      </c>
      <c r="Z5" s="81">
        <f t="shared" si="4"/>
        <v>3887.625</v>
      </c>
      <c r="AA5" s="79" t="s">
        <v>2082</v>
      </c>
      <c r="AB5" s="82">
        <f t="shared" si="5"/>
        <v>3887</v>
      </c>
      <c r="AC5" s="79" t="s">
        <v>2081</v>
      </c>
      <c r="AD5" s="82">
        <f t="shared" si="6"/>
        <v>6</v>
      </c>
      <c r="AE5" s="79" t="s">
        <v>2080</v>
      </c>
      <c r="AF5" s="82">
        <f t="shared" si="7"/>
        <v>2.5</v>
      </c>
      <c r="AG5" s="79" t="s">
        <v>2079</v>
      </c>
      <c r="AH5" s="81">
        <v>155.5</v>
      </c>
      <c r="AI5" s="84" t="s">
        <v>2100</v>
      </c>
      <c r="AJ5" s="63" t="s">
        <v>1902</v>
      </c>
      <c r="AK5" s="75" t="str">
        <f>IF(AJ5="Y", CONFIG000!DD6, IF(AJ5="N","1"))</f>
        <v>1</v>
      </c>
      <c r="AL5" s="74">
        <f>1-AK5</f>
        <v>0</v>
      </c>
      <c r="AM5" s="2178" t="s">
        <v>2099</v>
      </c>
      <c r="AN5" s="2178"/>
      <c r="AO5" s="2178"/>
      <c r="AP5" s="2178"/>
      <c r="AQ5" s="2178"/>
    </row>
    <row r="6" spans="1:43" ht="18.75">
      <c r="A6" s="89" t="s">
        <v>2116</v>
      </c>
      <c r="B6" s="89">
        <v>400</v>
      </c>
      <c r="C6" s="89">
        <v>20</v>
      </c>
      <c r="D6" s="88">
        <f t="shared" si="0"/>
        <v>400</v>
      </c>
      <c r="E6" s="89" t="s">
        <v>2082</v>
      </c>
      <c r="F6" s="90">
        <f t="shared" si="1"/>
        <v>400</v>
      </c>
      <c r="G6" s="89" t="s">
        <v>2081</v>
      </c>
      <c r="H6" s="90">
        <f t="shared" si="2"/>
        <v>0</v>
      </c>
      <c r="I6" s="89" t="s">
        <v>2080</v>
      </c>
      <c r="J6" s="90">
        <f t="shared" si="3"/>
        <v>0</v>
      </c>
      <c r="K6" s="89" t="s">
        <v>2079</v>
      </c>
      <c r="L6" s="88">
        <v>16</v>
      </c>
      <c r="M6" s="84" t="s">
        <v>2093</v>
      </c>
      <c r="N6" s="62"/>
      <c r="O6" s="73">
        <f>O3*O4*O5</f>
        <v>1</v>
      </c>
      <c r="P6" s="74">
        <f>1-O6</f>
        <v>0</v>
      </c>
      <c r="Q6" s="2159"/>
      <c r="R6" s="2160"/>
      <c r="S6" s="2160"/>
      <c r="T6" s="2160"/>
      <c r="U6" s="2161"/>
      <c r="X6" s="79" t="s">
        <v>6732</v>
      </c>
      <c r="Y6" s="80">
        <v>500</v>
      </c>
      <c r="Z6" s="81">
        <f t="shared" si="4"/>
        <v>500</v>
      </c>
      <c r="AA6" s="79" t="s">
        <v>2082</v>
      </c>
      <c r="AB6" s="82">
        <f t="shared" si="5"/>
        <v>500</v>
      </c>
      <c r="AC6" s="79" t="s">
        <v>2081</v>
      </c>
      <c r="AD6" s="82">
        <f t="shared" si="6"/>
        <v>0</v>
      </c>
      <c r="AE6" s="79" t="s">
        <v>2080</v>
      </c>
      <c r="AF6" s="82">
        <f t="shared" si="7"/>
        <v>0</v>
      </c>
      <c r="AG6" s="79" t="s">
        <v>2079</v>
      </c>
      <c r="AH6" s="81">
        <v>20</v>
      </c>
      <c r="AI6" s="84" t="s">
        <v>2093</v>
      </c>
      <c r="AJ6" s="62"/>
      <c r="AK6" s="73">
        <f>AK3*AK4*AK5</f>
        <v>1</v>
      </c>
      <c r="AL6" s="74">
        <f>1-AK6</f>
        <v>0</v>
      </c>
      <c r="AM6" s="2178"/>
      <c r="AN6" s="2178"/>
      <c r="AO6" s="2178"/>
      <c r="AP6" s="2178"/>
      <c r="AQ6" s="2178"/>
    </row>
    <row r="7" spans="1:43" ht="18.75">
      <c r="A7" s="89" t="s">
        <v>2117</v>
      </c>
      <c r="B7" s="89">
        <v>200</v>
      </c>
      <c r="C7" s="89">
        <v>60</v>
      </c>
      <c r="D7" s="88">
        <f t="shared" si="0"/>
        <v>200</v>
      </c>
      <c r="E7" s="89" t="s">
        <v>2082</v>
      </c>
      <c r="F7" s="90">
        <f t="shared" si="1"/>
        <v>200</v>
      </c>
      <c r="G7" s="89" t="s">
        <v>2081</v>
      </c>
      <c r="H7" s="90">
        <f t="shared" si="2"/>
        <v>0</v>
      </c>
      <c r="I7" s="89" t="s">
        <v>2080</v>
      </c>
      <c r="J7" s="90">
        <f t="shared" si="3"/>
        <v>0</v>
      </c>
      <c r="K7" s="89" t="s">
        <v>2079</v>
      </c>
      <c r="L7" s="88">
        <v>8</v>
      </c>
      <c r="M7" s="65"/>
      <c r="N7" s="66"/>
      <c r="O7" s="65"/>
      <c r="P7" s="65"/>
      <c r="Q7" s="65"/>
      <c r="R7" s="65"/>
      <c r="S7" s="65"/>
      <c r="T7" s="65"/>
      <c r="U7" s="65"/>
      <c r="X7" s="79" t="s">
        <v>10445</v>
      </c>
      <c r="Y7" s="80">
        <v>6875.25</v>
      </c>
      <c r="Z7" s="81">
        <f t="shared" si="4"/>
        <v>6875.25</v>
      </c>
      <c r="AA7" s="79" t="s">
        <v>2082</v>
      </c>
      <c r="AB7" s="82">
        <f t="shared" si="5"/>
        <v>6875</v>
      </c>
      <c r="AC7" s="79" t="s">
        <v>2081</v>
      </c>
      <c r="AD7" s="82">
        <f t="shared" si="6"/>
        <v>2</v>
      </c>
      <c r="AE7" s="79" t="s">
        <v>2080</v>
      </c>
      <c r="AF7" s="82">
        <f t="shared" si="7"/>
        <v>5</v>
      </c>
      <c r="AG7" s="79" t="s">
        <v>2079</v>
      </c>
      <c r="AH7" s="81">
        <v>275.01</v>
      </c>
      <c r="AI7" s="65"/>
      <c r="AJ7" s="66"/>
      <c r="AK7" s="65"/>
      <c r="AL7" s="65"/>
      <c r="AM7" s="65"/>
      <c r="AN7" s="65"/>
      <c r="AO7" s="65"/>
      <c r="AP7" s="65"/>
      <c r="AQ7" s="65"/>
    </row>
    <row r="8" spans="1:43" ht="18.75">
      <c r="A8" s="89" t="s">
        <v>2118</v>
      </c>
      <c r="B8" s="89">
        <v>100</v>
      </c>
      <c r="C8" s="89">
        <v>0</v>
      </c>
      <c r="D8" s="88">
        <f t="shared" si="0"/>
        <v>100</v>
      </c>
      <c r="E8" s="89" t="s">
        <v>2082</v>
      </c>
      <c r="F8" s="90">
        <f t="shared" si="1"/>
        <v>100</v>
      </c>
      <c r="G8" s="89" t="s">
        <v>2081</v>
      </c>
      <c r="H8" s="90">
        <f t="shared" si="2"/>
        <v>0</v>
      </c>
      <c r="I8" s="89" t="s">
        <v>2080</v>
      </c>
      <c r="J8" s="90">
        <f t="shared" si="3"/>
        <v>0</v>
      </c>
      <c r="K8" s="89" t="s">
        <v>2079</v>
      </c>
      <c r="L8" s="88">
        <v>4</v>
      </c>
      <c r="M8" s="2173" t="s">
        <v>2091</v>
      </c>
      <c r="N8" s="2174"/>
      <c r="O8" s="2174"/>
      <c r="P8" s="2174"/>
      <c r="Q8" s="2174"/>
      <c r="R8" s="2174"/>
      <c r="S8" s="2174"/>
      <c r="T8" s="2174"/>
      <c r="U8" s="2174"/>
      <c r="X8" s="79" t="s">
        <v>6833</v>
      </c>
      <c r="Y8" s="80">
        <v>3050</v>
      </c>
      <c r="Z8" s="81">
        <f t="shared" si="4"/>
        <v>3050</v>
      </c>
      <c r="AA8" s="79" t="s">
        <v>2082</v>
      </c>
      <c r="AB8" s="82">
        <f t="shared" si="5"/>
        <v>3050</v>
      </c>
      <c r="AC8" s="79" t="s">
        <v>2081</v>
      </c>
      <c r="AD8" s="82">
        <f t="shared" si="6"/>
        <v>0</v>
      </c>
      <c r="AE8" s="79" t="s">
        <v>2080</v>
      </c>
      <c r="AF8" s="82">
        <f t="shared" si="7"/>
        <v>0</v>
      </c>
      <c r="AG8" s="79" t="s">
        <v>2079</v>
      </c>
      <c r="AH8" s="81">
        <v>122</v>
      </c>
      <c r="AI8" s="2163" t="s">
        <v>2098</v>
      </c>
      <c r="AJ8" s="2163"/>
      <c r="AK8" s="71" t="s">
        <v>2097</v>
      </c>
      <c r="AL8" s="72" t="s">
        <v>2096</v>
      </c>
      <c r="AM8" s="2180" t="s">
        <v>2093</v>
      </c>
      <c r="AN8" s="2180"/>
      <c r="AO8" s="2180"/>
      <c r="AP8" s="2180"/>
      <c r="AQ8" s="2180"/>
    </row>
    <row r="9" spans="1:43" ht="18.75">
      <c r="A9" s="89" t="s">
        <v>2119</v>
      </c>
      <c r="B9" s="89">
        <v>100</v>
      </c>
      <c r="C9" s="89">
        <v>0</v>
      </c>
      <c r="D9" s="88">
        <f t="shared" si="0"/>
        <v>100</v>
      </c>
      <c r="E9" s="89" t="s">
        <v>2082</v>
      </c>
      <c r="F9" s="90">
        <f t="shared" si="1"/>
        <v>100</v>
      </c>
      <c r="G9" s="89" t="s">
        <v>2081</v>
      </c>
      <c r="H9" s="90">
        <f t="shared" si="2"/>
        <v>0</v>
      </c>
      <c r="I9" s="89" t="s">
        <v>2080</v>
      </c>
      <c r="J9" s="90">
        <f t="shared" si="3"/>
        <v>0</v>
      </c>
      <c r="K9" s="89" t="s">
        <v>2079</v>
      </c>
      <c r="L9" s="88">
        <v>4</v>
      </c>
      <c r="M9" s="2173"/>
      <c r="N9" s="2174"/>
      <c r="O9" s="2174"/>
      <c r="P9" s="2174"/>
      <c r="Q9" s="2174"/>
      <c r="R9" s="2174"/>
      <c r="S9" s="2174"/>
      <c r="T9" s="2174"/>
      <c r="U9" s="2174"/>
      <c r="X9" s="79" t="s">
        <v>10446</v>
      </c>
      <c r="Y9" s="80">
        <v>37.5</v>
      </c>
      <c r="Z9" s="81">
        <f t="shared" si="4"/>
        <v>37.5</v>
      </c>
      <c r="AA9" s="79" t="s">
        <v>2082</v>
      </c>
      <c r="AB9" s="82">
        <f t="shared" si="5"/>
        <v>37</v>
      </c>
      <c r="AC9" s="79" t="s">
        <v>2081</v>
      </c>
      <c r="AD9" s="82">
        <f t="shared" si="6"/>
        <v>5</v>
      </c>
      <c r="AE9" s="79" t="s">
        <v>2080</v>
      </c>
      <c r="AF9" s="82">
        <f t="shared" si="7"/>
        <v>0</v>
      </c>
      <c r="AG9" s="79" t="s">
        <v>2079</v>
      </c>
      <c r="AH9" s="81">
        <v>1.5</v>
      </c>
      <c r="AI9" s="84" t="s">
        <v>2065</v>
      </c>
      <c r="AJ9" s="67">
        <v>0</v>
      </c>
      <c r="AK9" s="73">
        <f>IF(AJ9=-2,CONFIG000!DD8,IF(AJ9=-1,CONFIG000!DE8,IF(AJ9=0,CONFIG000!DF8,IF(AJ9=1,CONFIG000!DG8,IF(AJ9=2,CONFIG000!DH8)))))</f>
        <v>1</v>
      </c>
      <c r="AL9" s="74">
        <f>1-AK9</f>
        <v>0</v>
      </c>
      <c r="AM9" s="2179" t="s">
        <v>2095</v>
      </c>
      <c r="AN9" s="2179"/>
      <c r="AO9" s="2179"/>
      <c r="AP9" s="2179"/>
      <c r="AQ9" s="2179"/>
    </row>
    <row r="10" spans="1:43" ht="18.75">
      <c r="A10" s="89" t="s">
        <v>2120</v>
      </c>
      <c r="B10" s="89">
        <v>75</v>
      </c>
      <c r="C10" s="89">
        <v>55</v>
      </c>
      <c r="D10" s="88">
        <f t="shared" si="0"/>
        <v>75</v>
      </c>
      <c r="E10" s="89" t="s">
        <v>2082</v>
      </c>
      <c r="F10" s="90">
        <f t="shared" si="1"/>
        <v>75</v>
      </c>
      <c r="G10" s="89" t="s">
        <v>2081</v>
      </c>
      <c r="H10" s="90">
        <f t="shared" si="2"/>
        <v>0</v>
      </c>
      <c r="I10" s="89" t="s">
        <v>2080</v>
      </c>
      <c r="J10" s="90">
        <f t="shared" si="3"/>
        <v>0</v>
      </c>
      <c r="K10" s="89" t="s">
        <v>2079</v>
      </c>
      <c r="L10" s="88">
        <v>3</v>
      </c>
      <c r="M10" s="65"/>
      <c r="N10" s="66"/>
      <c r="O10" s="65"/>
      <c r="P10" s="65"/>
      <c r="Q10" s="65"/>
      <c r="R10" s="65"/>
      <c r="S10" s="65"/>
      <c r="T10" s="65"/>
      <c r="U10" s="65"/>
      <c r="X10" s="79" t="s">
        <v>10447</v>
      </c>
      <c r="Y10" s="80">
        <v>175</v>
      </c>
      <c r="Z10" s="81">
        <f t="shared" si="4"/>
        <v>175</v>
      </c>
      <c r="AA10" s="79" t="s">
        <v>2082</v>
      </c>
      <c r="AB10" s="82">
        <f t="shared" si="5"/>
        <v>175</v>
      </c>
      <c r="AC10" s="79" t="s">
        <v>2081</v>
      </c>
      <c r="AD10" s="82">
        <f t="shared" si="6"/>
        <v>0</v>
      </c>
      <c r="AE10" s="79" t="s">
        <v>2080</v>
      </c>
      <c r="AF10" s="82">
        <f t="shared" si="7"/>
        <v>0</v>
      </c>
      <c r="AG10" s="79" t="s">
        <v>2079</v>
      </c>
      <c r="AH10" s="81">
        <v>7</v>
      </c>
      <c r="AI10" s="84" t="s">
        <v>2063</v>
      </c>
      <c r="AJ10" s="67">
        <v>0</v>
      </c>
      <c r="AK10" s="73">
        <f>IF(AJ10=-2,CONFIG000!DD10,IF(AJ10=-1,CONFIG000!DE10,IF(AJ10=0,CONFIG000!DF10,IF(AJ10=1,CONFIG000!DG10,IF(AJ10=2,CONFIG000!DH10)))))</f>
        <v>1</v>
      </c>
      <c r="AL10" s="74">
        <f>1-AK10</f>
        <v>0</v>
      </c>
      <c r="AM10" s="2179" t="s">
        <v>2094</v>
      </c>
      <c r="AN10" s="2179"/>
      <c r="AO10" s="2179"/>
      <c r="AP10" s="2179"/>
      <c r="AQ10" s="2179"/>
    </row>
    <row r="11" spans="1:43" ht="18.75">
      <c r="A11" s="89" t="s">
        <v>2121</v>
      </c>
      <c r="B11" s="89">
        <v>75</v>
      </c>
      <c r="C11" s="89">
        <v>3</v>
      </c>
      <c r="D11" s="88">
        <f t="shared" si="0"/>
        <v>75</v>
      </c>
      <c r="E11" s="89" t="s">
        <v>2082</v>
      </c>
      <c r="F11" s="90">
        <f t="shared" si="1"/>
        <v>75</v>
      </c>
      <c r="G11" s="89" t="s">
        <v>2081</v>
      </c>
      <c r="H11" s="90">
        <f t="shared" si="2"/>
        <v>0</v>
      </c>
      <c r="I11" s="89" t="s">
        <v>2080</v>
      </c>
      <c r="J11" s="90">
        <f t="shared" si="3"/>
        <v>0</v>
      </c>
      <c r="K11" s="89" t="s">
        <v>2079</v>
      </c>
      <c r="L11" s="88">
        <v>3</v>
      </c>
      <c r="M11" s="2163" t="s">
        <v>2090</v>
      </c>
      <c r="N11" s="2163"/>
      <c r="O11" s="2163"/>
      <c r="P11" s="65"/>
      <c r="Q11" s="65"/>
      <c r="R11" s="65"/>
      <c r="S11" s="65"/>
      <c r="T11" s="65"/>
      <c r="U11" s="65"/>
      <c r="X11" s="79" t="s">
        <v>10448</v>
      </c>
      <c r="Y11" s="80">
        <v>1450</v>
      </c>
      <c r="Z11" s="81">
        <f t="shared" si="4"/>
        <v>1450</v>
      </c>
      <c r="AA11" s="79" t="s">
        <v>2082</v>
      </c>
      <c r="AB11" s="82">
        <f t="shared" si="5"/>
        <v>1450</v>
      </c>
      <c r="AC11" s="79" t="s">
        <v>2081</v>
      </c>
      <c r="AD11" s="82">
        <f t="shared" si="6"/>
        <v>0</v>
      </c>
      <c r="AE11" s="79" t="s">
        <v>2080</v>
      </c>
      <c r="AF11" s="82">
        <f t="shared" si="7"/>
        <v>0</v>
      </c>
      <c r="AG11" s="79" t="s">
        <v>2079</v>
      </c>
      <c r="AH11" s="81">
        <v>58</v>
      </c>
      <c r="AI11" s="84" t="s">
        <v>2093</v>
      </c>
      <c r="AJ11" s="64"/>
      <c r="AK11" s="75">
        <f>AK9*AK10</f>
        <v>1</v>
      </c>
      <c r="AL11" s="74"/>
      <c r="AM11" s="2179" t="s">
        <v>2092</v>
      </c>
      <c r="AN11" s="2179"/>
      <c r="AO11" s="2179"/>
      <c r="AP11" s="2179"/>
      <c r="AQ11" s="2179"/>
    </row>
    <row r="12" spans="1:43" ht="18.75">
      <c r="A12" s="89" t="s">
        <v>2122</v>
      </c>
      <c r="B12" s="89">
        <v>50</v>
      </c>
      <c r="C12" s="89">
        <v>1</v>
      </c>
      <c r="D12" s="88">
        <f t="shared" si="0"/>
        <v>50</v>
      </c>
      <c r="E12" s="89" t="s">
        <v>2082</v>
      </c>
      <c r="F12" s="90">
        <f t="shared" si="1"/>
        <v>50</v>
      </c>
      <c r="G12" s="89" t="s">
        <v>2081</v>
      </c>
      <c r="H12" s="90">
        <f t="shared" si="2"/>
        <v>0</v>
      </c>
      <c r="I12" s="89" t="s">
        <v>2080</v>
      </c>
      <c r="J12" s="90">
        <f t="shared" si="3"/>
        <v>0</v>
      </c>
      <c r="K12" s="89" t="s">
        <v>2079</v>
      </c>
      <c r="L12" s="88">
        <v>2</v>
      </c>
      <c r="M12" s="84" t="s">
        <v>2089</v>
      </c>
      <c r="N12" s="84"/>
      <c r="O12" s="68"/>
      <c r="P12" s="65"/>
      <c r="Q12" s="65"/>
      <c r="R12" s="65"/>
      <c r="S12" s="65"/>
      <c r="T12" s="65"/>
      <c r="U12" s="65"/>
      <c r="X12" s="79" t="s">
        <v>10449</v>
      </c>
      <c r="Y12" s="80">
        <v>6000</v>
      </c>
      <c r="Z12" s="81">
        <f t="shared" si="4"/>
        <v>6000</v>
      </c>
      <c r="AA12" s="79" t="s">
        <v>2082</v>
      </c>
      <c r="AB12" s="82">
        <f t="shared" si="5"/>
        <v>6000</v>
      </c>
      <c r="AC12" s="79" t="s">
        <v>2081</v>
      </c>
      <c r="AD12" s="82">
        <f t="shared" si="6"/>
        <v>0</v>
      </c>
      <c r="AE12" s="79" t="s">
        <v>2080</v>
      </c>
      <c r="AF12" s="82">
        <f t="shared" si="7"/>
        <v>0</v>
      </c>
      <c r="AG12" s="79" t="s">
        <v>2079</v>
      </c>
      <c r="AH12" s="81">
        <v>240</v>
      </c>
      <c r="AI12"/>
      <c r="AJ12"/>
      <c r="AK12"/>
      <c r="AL12"/>
      <c r="AM12"/>
      <c r="AN12"/>
      <c r="AO12"/>
      <c r="AP12"/>
      <c r="AQ12"/>
    </row>
    <row r="13" spans="1:43" ht="18.75">
      <c r="A13" s="89" t="s">
        <v>2123</v>
      </c>
      <c r="B13" s="89">
        <v>50</v>
      </c>
      <c r="C13" s="89">
        <v>8</v>
      </c>
      <c r="D13" s="88">
        <f t="shared" si="0"/>
        <v>50</v>
      </c>
      <c r="E13" s="89" t="s">
        <v>2082</v>
      </c>
      <c r="F13" s="90">
        <f t="shared" si="1"/>
        <v>50</v>
      </c>
      <c r="G13" s="89" t="s">
        <v>2081</v>
      </c>
      <c r="H13" s="90">
        <f t="shared" si="2"/>
        <v>0</v>
      </c>
      <c r="I13" s="89" t="s">
        <v>2080</v>
      </c>
      <c r="J13" s="90">
        <f t="shared" si="3"/>
        <v>0</v>
      </c>
      <c r="K13" s="89" t="s">
        <v>2079</v>
      </c>
      <c r="L13" s="88">
        <v>2</v>
      </c>
      <c r="M13" s="84" t="s">
        <v>2088</v>
      </c>
      <c r="N13" s="84"/>
      <c r="O13" s="68"/>
      <c r="P13" s="65"/>
      <c r="Q13" s="65"/>
      <c r="R13" s="65"/>
      <c r="S13" s="65"/>
      <c r="T13" s="65"/>
      <c r="U13" s="65"/>
      <c r="X13" s="79" t="s">
        <v>10450</v>
      </c>
      <c r="Y13" s="80">
        <v>10200</v>
      </c>
      <c r="Z13" s="81">
        <f t="shared" si="4"/>
        <v>10200</v>
      </c>
      <c r="AA13" s="79" t="s">
        <v>2082</v>
      </c>
      <c r="AB13" s="82">
        <f t="shared" si="5"/>
        <v>10200</v>
      </c>
      <c r="AC13" s="79" t="s">
        <v>2081</v>
      </c>
      <c r="AD13" s="82">
        <f t="shared" si="6"/>
        <v>0</v>
      </c>
      <c r="AE13" s="79" t="s">
        <v>2080</v>
      </c>
      <c r="AF13" s="82">
        <f t="shared" si="7"/>
        <v>0</v>
      </c>
      <c r="AG13" s="79" t="s">
        <v>2079</v>
      </c>
      <c r="AH13" s="81">
        <v>408</v>
      </c>
      <c r="AI13"/>
      <c r="AJ13"/>
      <c r="AK13"/>
      <c r="AL13"/>
      <c r="AM13"/>
      <c r="AN13"/>
      <c r="AO13"/>
      <c r="AP13"/>
      <c r="AQ13"/>
    </row>
    <row r="14" spans="1:43" ht="18.75">
      <c r="A14" s="89" t="s">
        <v>2124</v>
      </c>
      <c r="B14" s="89">
        <v>50</v>
      </c>
      <c r="C14" s="89">
        <v>0</v>
      </c>
      <c r="D14" s="88">
        <f t="shared" si="0"/>
        <v>50</v>
      </c>
      <c r="E14" s="89" t="s">
        <v>2082</v>
      </c>
      <c r="F14" s="90">
        <f t="shared" si="1"/>
        <v>50</v>
      </c>
      <c r="G14" s="89" t="s">
        <v>2081</v>
      </c>
      <c r="H14" s="90">
        <f t="shared" si="2"/>
        <v>0</v>
      </c>
      <c r="I14" s="89" t="s">
        <v>2080</v>
      </c>
      <c r="J14" s="90">
        <f t="shared" si="3"/>
        <v>0</v>
      </c>
      <c r="K14" s="89" t="s">
        <v>2079</v>
      </c>
      <c r="L14" s="88">
        <v>2</v>
      </c>
      <c r="M14" s="84" t="s">
        <v>2087</v>
      </c>
      <c r="N14" s="84"/>
      <c r="O14" s="73">
        <f>O12-O13</f>
        <v>0</v>
      </c>
      <c r="P14" s="65"/>
      <c r="Q14" s="65"/>
      <c r="R14" s="65"/>
      <c r="S14" s="65"/>
      <c r="T14" s="65"/>
      <c r="U14" s="65"/>
      <c r="X14" s="79" t="s">
        <v>10451</v>
      </c>
      <c r="Y14" s="80">
        <v>5237.625</v>
      </c>
      <c r="Z14" s="81">
        <f t="shared" si="4"/>
        <v>5237.625</v>
      </c>
      <c r="AA14" s="79" t="s">
        <v>2082</v>
      </c>
      <c r="AB14" s="82">
        <f t="shared" si="5"/>
        <v>5237</v>
      </c>
      <c r="AC14" s="79" t="s">
        <v>2081</v>
      </c>
      <c r="AD14" s="82">
        <f t="shared" si="6"/>
        <v>6</v>
      </c>
      <c r="AE14" s="79" t="s">
        <v>2080</v>
      </c>
      <c r="AF14" s="82">
        <f t="shared" si="7"/>
        <v>2.5</v>
      </c>
      <c r="AG14" s="79" t="s">
        <v>2079</v>
      </c>
      <c r="AH14" s="81">
        <v>209.5</v>
      </c>
      <c r="AI14"/>
      <c r="AJ14"/>
      <c r="AK14"/>
      <c r="AL14"/>
      <c r="AM14"/>
      <c r="AN14"/>
      <c r="AO14"/>
      <c r="AP14"/>
      <c r="AQ14"/>
    </row>
    <row r="15" spans="1:43" ht="18.75">
      <c r="A15" s="89" t="s">
        <v>2125</v>
      </c>
      <c r="B15" s="89">
        <v>50</v>
      </c>
      <c r="C15" s="89">
        <v>20</v>
      </c>
      <c r="D15" s="88">
        <f t="shared" si="0"/>
        <v>50</v>
      </c>
      <c r="E15" s="89" t="s">
        <v>2082</v>
      </c>
      <c r="F15" s="90">
        <f t="shared" si="1"/>
        <v>50</v>
      </c>
      <c r="G15" s="89" t="s">
        <v>2081</v>
      </c>
      <c r="H15" s="90">
        <f t="shared" si="2"/>
        <v>0</v>
      </c>
      <c r="I15" s="89" t="s">
        <v>2080</v>
      </c>
      <c r="J15" s="90">
        <f t="shared" si="3"/>
        <v>0</v>
      </c>
      <c r="K15" s="89" t="s">
        <v>2079</v>
      </c>
      <c r="L15" s="88">
        <v>2</v>
      </c>
      <c r="M15" s="65"/>
      <c r="N15" s="66"/>
      <c r="O15" s="65"/>
      <c r="P15" s="65"/>
      <c r="Q15" s="65"/>
      <c r="R15" s="65"/>
      <c r="S15" s="65"/>
      <c r="T15" s="65"/>
      <c r="U15" s="65"/>
      <c r="X15" s="79" t="s">
        <v>10452</v>
      </c>
      <c r="Y15" s="80">
        <v>18825.125</v>
      </c>
      <c r="Z15" s="81">
        <f t="shared" si="4"/>
        <v>18825.125</v>
      </c>
      <c r="AA15" s="79" t="s">
        <v>2082</v>
      </c>
      <c r="AB15" s="82">
        <f t="shared" si="5"/>
        <v>18825</v>
      </c>
      <c r="AC15" s="79" t="s">
        <v>2081</v>
      </c>
      <c r="AD15" s="82">
        <f t="shared" si="6"/>
        <v>1</v>
      </c>
      <c r="AE15" s="79" t="s">
        <v>2080</v>
      </c>
      <c r="AF15" s="82">
        <f t="shared" si="7"/>
        <v>2.5</v>
      </c>
      <c r="AG15" s="79" t="s">
        <v>2079</v>
      </c>
      <c r="AH15" s="81">
        <v>753</v>
      </c>
      <c r="AI15"/>
      <c r="AJ15"/>
      <c r="AK15"/>
      <c r="AL15"/>
      <c r="AM15"/>
      <c r="AN15"/>
      <c r="AO15"/>
      <c r="AP15"/>
      <c r="AQ15"/>
    </row>
    <row r="16" spans="1:43" ht="18.75">
      <c r="A16" s="89" t="s">
        <v>2126</v>
      </c>
      <c r="B16" s="89">
        <v>50</v>
      </c>
      <c r="C16" s="89">
        <v>18</v>
      </c>
      <c r="D16" s="88">
        <f t="shared" si="0"/>
        <v>50</v>
      </c>
      <c r="E16" s="89" t="s">
        <v>2082</v>
      </c>
      <c r="F16" s="90">
        <f t="shared" si="1"/>
        <v>50</v>
      </c>
      <c r="G16" s="89" t="s">
        <v>2081</v>
      </c>
      <c r="H16" s="90">
        <f t="shared" si="2"/>
        <v>0</v>
      </c>
      <c r="I16" s="89" t="s">
        <v>2080</v>
      </c>
      <c r="J16" s="90">
        <f t="shared" si="3"/>
        <v>0</v>
      </c>
      <c r="K16" s="89" t="s">
        <v>2079</v>
      </c>
      <c r="L16" s="88">
        <v>2</v>
      </c>
      <c r="M16" s="65"/>
      <c r="N16" s="66"/>
      <c r="O16" s="65"/>
      <c r="P16" s="65"/>
      <c r="Q16" s="65"/>
      <c r="R16" s="65"/>
      <c r="S16" s="65"/>
      <c r="T16" s="65"/>
      <c r="U16" s="65"/>
      <c r="X16" s="79" t="s">
        <v>10453</v>
      </c>
      <c r="Y16" s="80">
        <v>412.625</v>
      </c>
      <c r="Z16" s="81">
        <f t="shared" si="4"/>
        <v>412.625</v>
      </c>
      <c r="AA16" s="79" t="s">
        <v>2082</v>
      </c>
      <c r="AB16" s="82">
        <f t="shared" si="5"/>
        <v>412</v>
      </c>
      <c r="AC16" s="79" t="s">
        <v>2081</v>
      </c>
      <c r="AD16" s="82">
        <f t="shared" si="6"/>
        <v>6</v>
      </c>
      <c r="AE16" s="79" t="s">
        <v>2080</v>
      </c>
      <c r="AF16" s="82">
        <f t="shared" si="7"/>
        <v>2.5</v>
      </c>
      <c r="AG16" s="79" t="s">
        <v>2079</v>
      </c>
      <c r="AH16" s="81">
        <v>16.5</v>
      </c>
      <c r="AI16" s="2163" t="s">
        <v>2090</v>
      </c>
      <c r="AJ16" s="2163"/>
      <c r="AK16" s="2163"/>
      <c r="AL16" s="65"/>
      <c r="AM16" s="65"/>
      <c r="AN16" s="65"/>
      <c r="AO16" s="65"/>
      <c r="AP16" s="65"/>
      <c r="AQ16" s="65"/>
    </row>
    <row r="17" spans="1:48" ht="18.75">
      <c r="A17" s="89" t="s">
        <v>2127</v>
      </c>
      <c r="B17" s="89">
        <v>50</v>
      </c>
      <c r="C17" s="89">
        <v>6</v>
      </c>
      <c r="D17" s="88">
        <f t="shared" si="0"/>
        <v>50</v>
      </c>
      <c r="E17" s="89" t="s">
        <v>2082</v>
      </c>
      <c r="F17" s="90">
        <f t="shared" si="1"/>
        <v>50</v>
      </c>
      <c r="G17" s="89" t="s">
        <v>2081</v>
      </c>
      <c r="H17" s="90">
        <f t="shared" si="2"/>
        <v>0</v>
      </c>
      <c r="I17" s="89" t="s">
        <v>2080</v>
      </c>
      <c r="J17" s="90">
        <f t="shared" si="3"/>
        <v>0</v>
      </c>
      <c r="K17" s="89" t="s">
        <v>2079</v>
      </c>
      <c r="L17" s="88">
        <v>2</v>
      </c>
      <c r="M17" s="2170" t="s">
        <v>2086</v>
      </c>
      <c r="N17" s="2171"/>
      <c r="O17" s="2171"/>
      <c r="P17" s="2172"/>
      <c r="X17" s="79" t="s">
        <v>10454</v>
      </c>
      <c r="Y17" s="80">
        <v>101500</v>
      </c>
      <c r="Z17" s="81">
        <f t="shared" si="4"/>
        <v>101500</v>
      </c>
      <c r="AA17" s="79" t="s">
        <v>2082</v>
      </c>
      <c r="AB17" s="82">
        <f t="shared" si="5"/>
        <v>101500</v>
      </c>
      <c r="AC17" s="79" t="s">
        <v>2081</v>
      </c>
      <c r="AD17" s="82">
        <f t="shared" si="6"/>
        <v>0</v>
      </c>
      <c r="AE17" s="79" t="s">
        <v>2080</v>
      </c>
      <c r="AF17" s="82">
        <f t="shared" si="7"/>
        <v>0</v>
      </c>
      <c r="AG17" s="79" t="s">
        <v>2079</v>
      </c>
      <c r="AH17" s="81">
        <v>4060</v>
      </c>
      <c r="AI17" s="2175" t="s">
        <v>2089</v>
      </c>
      <c r="AJ17" s="2176"/>
      <c r="AK17" s="76"/>
      <c r="AL17" s="65"/>
      <c r="AM17" s="65"/>
      <c r="AN17" s="65"/>
      <c r="AO17" s="65"/>
      <c r="AP17" s="65"/>
      <c r="AQ17" s="65"/>
    </row>
    <row r="18" spans="1:48" ht="18.75">
      <c r="A18" s="89" t="s">
        <v>2128</v>
      </c>
      <c r="B18" s="89">
        <v>50</v>
      </c>
      <c r="C18" s="89">
        <v>2</v>
      </c>
      <c r="D18" s="88">
        <f t="shared" si="0"/>
        <v>50</v>
      </c>
      <c r="E18" s="89" t="s">
        <v>2082</v>
      </c>
      <c r="F18" s="90">
        <f t="shared" si="1"/>
        <v>50</v>
      </c>
      <c r="G18" s="89" t="s">
        <v>2081</v>
      </c>
      <c r="H18" s="90">
        <f t="shared" si="2"/>
        <v>0</v>
      </c>
      <c r="I18" s="89" t="s">
        <v>2080</v>
      </c>
      <c r="J18" s="90">
        <f t="shared" si="3"/>
        <v>0</v>
      </c>
      <c r="K18" s="89" t="s">
        <v>2079</v>
      </c>
      <c r="L18" s="88">
        <v>2</v>
      </c>
      <c r="M18" s="2170" t="s">
        <v>2083</v>
      </c>
      <c r="N18" s="2171"/>
      <c r="O18" s="2171"/>
      <c r="P18" s="2172"/>
      <c r="X18" s="79" t="s">
        <v>7233</v>
      </c>
      <c r="Y18" s="80">
        <v>6000</v>
      </c>
      <c r="Z18" s="81">
        <f t="shared" si="4"/>
        <v>6000</v>
      </c>
      <c r="AA18" s="79" t="s">
        <v>2082</v>
      </c>
      <c r="AB18" s="82">
        <f t="shared" si="5"/>
        <v>6000</v>
      </c>
      <c r="AC18" s="79" t="s">
        <v>2081</v>
      </c>
      <c r="AD18" s="82">
        <f t="shared" si="6"/>
        <v>0</v>
      </c>
      <c r="AE18" s="79" t="s">
        <v>2080</v>
      </c>
      <c r="AF18" s="82">
        <f t="shared" si="7"/>
        <v>0</v>
      </c>
      <c r="AG18" s="79" t="s">
        <v>2079</v>
      </c>
      <c r="AH18" s="81">
        <v>240</v>
      </c>
      <c r="AI18" s="2175" t="s">
        <v>2088</v>
      </c>
      <c r="AJ18" s="2176"/>
      <c r="AK18" s="76"/>
      <c r="AL18" s="65"/>
      <c r="AM18" s="65"/>
      <c r="AN18" s="65"/>
      <c r="AO18" s="65"/>
      <c r="AP18" s="65"/>
      <c r="AQ18" s="65"/>
    </row>
    <row r="19" spans="1:48" ht="18.75">
      <c r="A19" s="89" t="s">
        <v>2129</v>
      </c>
      <c r="B19" s="89">
        <v>50</v>
      </c>
      <c r="C19" s="89">
        <v>2</v>
      </c>
      <c r="D19" s="88">
        <f t="shared" si="0"/>
        <v>50</v>
      </c>
      <c r="E19" s="89" t="s">
        <v>2082</v>
      </c>
      <c r="F19" s="90">
        <f t="shared" si="1"/>
        <v>50</v>
      </c>
      <c r="G19" s="89" t="s">
        <v>2081</v>
      </c>
      <c r="H19" s="90">
        <f t="shared" si="2"/>
        <v>0</v>
      </c>
      <c r="I19" s="89" t="s">
        <v>2080</v>
      </c>
      <c r="J19" s="90">
        <f t="shared" si="3"/>
        <v>0</v>
      </c>
      <c r="K19" s="89" t="s">
        <v>2079</v>
      </c>
      <c r="L19" s="88">
        <v>2</v>
      </c>
      <c r="M19" s="2170" t="s">
        <v>2085</v>
      </c>
      <c r="N19" s="2171"/>
      <c r="O19" s="2171"/>
      <c r="P19" s="2172"/>
      <c r="X19" s="79" t="s">
        <v>10455</v>
      </c>
      <c r="Y19" s="80">
        <v>50000</v>
      </c>
      <c r="Z19" s="81">
        <f t="shared" si="4"/>
        <v>50000</v>
      </c>
      <c r="AA19" s="79" t="s">
        <v>2082</v>
      </c>
      <c r="AB19" s="82">
        <f t="shared" si="5"/>
        <v>50000</v>
      </c>
      <c r="AC19" s="79" t="s">
        <v>2081</v>
      </c>
      <c r="AD19" s="82">
        <f t="shared" si="6"/>
        <v>0</v>
      </c>
      <c r="AE19" s="79" t="s">
        <v>2080</v>
      </c>
      <c r="AF19" s="82">
        <f t="shared" si="7"/>
        <v>0</v>
      </c>
      <c r="AG19" s="79" t="s">
        <v>2079</v>
      </c>
      <c r="AH19" s="81">
        <v>2000</v>
      </c>
      <c r="AI19" s="2175" t="s">
        <v>2087</v>
      </c>
      <c r="AJ19" s="2176"/>
      <c r="AK19" s="75">
        <f>AK17-AK18</f>
        <v>0</v>
      </c>
      <c r="AL19" s="65"/>
      <c r="AM19" s="65"/>
      <c r="AN19" s="65"/>
      <c r="AO19" s="65"/>
      <c r="AP19" s="65"/>
      <c r="AQ19" s="65"/>
    </row>
    <row r="20" spans="1:48" ht="18.75">
      <c r="A20" s="89" t="s">
        <v>2130</v>
      </c>
      <c r="B20" s="89">
        <v>50</v>
      </c>
      <c r="C20" s="89">
        <v>0.5</v>
      </c>
      <c r="D20" s="88">
        <f t="shared" si="0"/>
        <v>50</v>
      </c>
      <c r="E20" s="89" t="s">
        <v>2082</v>
      </c>
      <c r="F20" s="90">
        <f t="shared" si="1"/>
        <v>50</v>
      </c>
      <c r="G20" s="89" t="s">
        <v>2081</v>
      </c>
      <c r="H20" s="90">
        <f t="shared" si="2"/>
        <v>0</v>
      </c>
      <c r="I20" s="89" t="s">
        <v>2080</v>
      </c>
      <c r="J20" s="90">
        <f t="shared" si="3"/>
        <v>0</v>
      </c>
      <c r="K20" s="89" t="s">
        <v>2079</v>
      </c>
      <c r="L20" s="88">
        <v>2</v>
      </c>
      <c r="M20" s="2170" t="s">
        <v>2084</v>
      </c>
      <c r="N20" s="2171"/>
      <c r="O20" s="2171"/>
      <c r="P20" s="2172"/>
      <c r="X20" s="79" t="s">
        <v>10456</v>
      </c>
      <c r="Y20" s="80">
        <v>50000</v>
      </c>
      <c r="Z20" s="81">
        <f t="shared" si="4"/>
        <v>50000</v>
      </c>
      <c r="AA20" s="79" t="s">
        <v>2082</v>
      </c>
      <c r="AB20" s="82">
        <f t="shared" si="5"/>
        <v>50000</v>
      </c>
      <c r="AC20" s="79" t="s">
        <v>2081</v>
      </c>
      <c r="AD20" s="82">
        <f t="shared" si="6"/>
        <v>0</v>
      </c>
      <c r="AE20" s="79" t="s">
        <v>2080</v>
      </c>
      <c r="AF20" s="82">
        <f t="shared" si="7"/>
        <v>0</v>
      </c>
      <c r="AG20" s="79" t="s">
        <v>2079</v>
      </c>
      <c r="AH20" s="81">
        <v>2000</v>
      </c>
      <c r="AI20" s="65"/>
      <c r="AJ20" s="66"/>
      <c r="AK20" s="65"/>
      <c r="AL20" s="65"/>
      <c r="AM20" s="65"/>
      <c r="AN20" s="65"/>
      <c r="AO20" s="65"/>
      <c r="AP20" s="65"/>
      <c r="AQ20" s="65"/>
    </row>
    <row r="21" spans="1:48" ht="18.75">
      <c r="A21" s="89" t="s">
        <v>2131</v>
      </c>
      <c r="B21" s="89">
        <v>50</v>
      </c>
      <c r="C21" s="89">
        <v>45</v>
      </c>
      <c r="D21" s="88">
        <f t="shared" si="0"/>
        <v>50</v>
      </c>
      <c r="E21" s="89" t="s">
        <v>2082</v>
      </c>
      <c r="F21" s="90">
        <f t="shared" si="1"/>
        <v>50</v>
      </c>
      <c r="G21" s="89" t="s">
        <v>2081</v>
      </c>
      <c r="H21" s="90">
        <f t="shared" si="2"/>
        <v>0</v>
      </c>
      <c r="I21" s="89" t="s">
        <v>2080</v>
      </c>
      <c r="J21" s="90">
        <f t="shared" si="3"/>
        <v>0</v>
      </c>
      <c r="K21" s="89" t="s">
        <v>2079</v>
      </c>
      <c r="L21" s="88">
        <v>2</v>
      </c>
      <c r="N21" s="61"/>
      <c r="X21" s="79" t="s">
        <v>10457</v>
      </c>
      <c r="Y21" s="80">
        <v>18875.125</v>
      </c>
      <c r="Z21" s="81">
        <f t="shared" si="4"/>
        <v>18875.125</v>
      </c>
      <c r="AA21" s="79" t="s">
        <v>2082</v>
      </c>
      <c r="AB21" s="82">
        <f t="shared" si="5"/>
        <v>18875</v>
      </c>
      <c r="AC21" s="79" t="s">
        <v>2081</v>
      </c>
      <c r="AD21" s="82">
        <f t="shared" si="6"/>
        <v>1</v>
      </c>
      <c r="AE21" s="79" t="s">
        <v>2080</v>
      </c>
      <c r="AF21" s="82">
        <f t="shared" si="7"/>
        <v>2.5</v>
      </c>
      <c r="AG21" s="79" t="s">
        <v>2079</v>
      </c>
      <c r="AH21" s="81">
        <v>755</v>
      </c>
      <c r="AI21" s="65"/>
      <c r="AJ21" s="65"/>
      <c r="AK21" s="65"/>
      <c r="AL21" s="65"/>
      <c r="AM21" s="65"/>
      <c r="AN21" s="65"/>
      <c r="AO21" s="65"/>
      <c r="AP21" s="65"/>
      <c r="AQ21" s="65"/>
      <c r="AR21" s="65"/>
      <c r="AS21" s="65"/>
      <c r="AT21" s="65"/>
      <c r="AU21" s="65"/>
      <c r="AV21" s="65"/>
    </row>
    <row r="22" spans="1:48" ht="18.75">
      <c r="A22" s="89" t="s">
        <v>2132</v>
      </c>
      <c r="B22" s="89">
        <v>50</v>
      </c>
      <c r="C22" s="89">
        <v>3</v>
      </c>
      <c r="D22" s="88">
        <f t="shared" si="0"/>
        <v>50</v>
      </c>
      <c r="E22" s="89" t="s">
        <v>2082</v>
      </c>
      <c r="F22" s="90">
        <f t="shared" si="1"/>
        <v>50</v>
      </c>
      <c r="G22" s="89" t="s">
        <v>2081</v>
      </c>
      <c r="H22" s="90">
        <f t="shared" si="2"/>
        <v>0</v>
      </c>
      <c r="I22" s="89" t="s">
        <v>2080</v>
      </c>
      <c r="J22" s="90">
        <f t="shared" si="3"/>
        <v>0</v>
      </c>
      <c r="K22" s="89" t="s">
        <v>2079</v>
      </c>
      <c r="L22" s="88">
        <v>2</v>
      </c>
      <c r="N22" s="61"/>
      <c r="X22" s="79" t="s">
        <v>10458</v>
      </c>
      <c r="Y22" s="80">
        <v>18175.125</v>
      </c>
      <c r="Z22" s="81">
        <f t="shared" si="4"/>
        <v>18175.125</v>
      </c>
      <c r="AA22" s="79" t="s">
        <v>2082</v>
      </c>
      <c r="AB22" s="82">
        <f t="shared" si="5"/>
        <v>18175</v>
      </c>
      <c r="AC22" s="79" t="s">
        <v>2081</v>
      </c>
      <c r="AD22" s="82">
        <f t="shared" si="6"/>
        <v>1</v>
      </c>
      <c r="AE22" s="79" t="s">
        <v>2080</v>
      </c>
      <c r="AF22" s="82">
        <f t="shared" si="7"/>
        <v>2.5</v>
      </c>
      <c r="AG22" s="79" t="s">
        <v>2079</v>
      </c>
      <c r="AH22" s="81">
        <v>727</v>
      </c>
      <c r="AI22" s="65"/>
      <c r="AJ22" s="65"/>
      <c r="AK22" s="65"/>
      <c r="AL22" s="65"/>
      <c r="AM22" s="65"/>
      <c r="AN22" s="65"/>
      <c r="AO22" s="65"/>
      <c r="AP22" s="65"/>
      <c r="AQ22" s="65"/>
      <c r="AR22" s="65"/>
      <c r="AS22" s="65"/>
      <c r="AT22" s="65"/>
      <c r="AU22" s="65"/>
      <c r="AV22" s="65"/>
    </row>
    <row r="23" spans="1:48" ht="18.75">
      <c r="A23" s="89" t="s">
        <v>2133</v>
      </c>
      <c r="B23" s="89">
        <v>50</v>
      </c>
      <c r="C23" s="89">
        <v>10</v>
      </c>
      <c r="D23" s="88">
        <f t="shared" si="0"/>
        <v>50</v>
      </c>
      <c r="E23" s="89" t="s">
        <v>2082</v>
      </c>
      <c r="F23" s="90">
        <f t="shared" si="1"/>
        <v>50</v>
      </c>
      <c r="G23" s="89" t="s">
        <v>2081</v>
      </c>
      <c r="H23" s="90">
        <f t="shared" si="2"/>
        <v>0</v>
      </c>
      <c r="I23" s="89" t="s">
        <v>2080</v>
      </c>
      <c r="J23" s="90">
        <f t="shared" si="3"/>
        <v>0</v>
      </c>
      <c r="K23" s="89" t="s">
        <v>2079</v>
      </c>
      <c r="L23" s="88">
        <v>2</v>
      </c>
      <c r="N23" s="61"/>
      <c r="X23" s="79" t="s">
        <v>10459</v>
      </c>
      <c r="Y23" s="80">
        <v>6875.25</v>
      </c>
      <c r="Z23" s="81">
        <f t="shared" si="4"/>
        <v>6875.25</v>
      </c>
      <c r="AA23" s="79" t="s">
        <v>2082</v>
      </c>
      <c r="AB23" s="82">
        <f t="shared" si="5"/>
        <v>6875</v>
      </c>
      <c r="AC23" s="79" t="s">
        <v>2081</v>
      </c>
      <c r="AD23" s="82">
        <f t="shared" si="6"/>
        <v>2</v>
      </c>
      <c r="AE23" s="79" t="s">
        <v>2080</v>
      </c>
      <c r="AF23" s="82">
        <f t="shared" si="7"/>
        <v>5</v>
      </c>
      <c r="AG23" s="79" t="s">
        <v>2079</v>
      </c>
      <c r="AH23" s="81">
        <v>275.01</v>
      </c>
      <c r="AI23" s="65"/>
      <c r="AJ23" s="65"/>
      <c r="AK23" s="65"/>
      <c r="AL23" s="65"/>
      <c r="AM23" s="65"/>
      <c r="AN23" s="65"/>
      <c r="AO23" s="65"/>
      <c r="AP23" s="65"/>
      <c r="AQ23" s="65"/>
      <c r="AR23" s="65"/>
      <c r="AS23" s="65"/>
      <c r="AT23" s="65"/>
      <c r="AU23" s="65"/>
      <c r="AV23" s="65"/>
    </row>
    <row r="24" spans="1:48" ht="18.75">
      <c r="A24" s="89" t="s">
        <v>2134</v>
      </c>
      <c r="B24" s="89">
        <v>45</v>
      </c>
      <c r="C24" s="89">
        <v>13</v>
      </c>
      <c r="D24" s="88">
        <f t="shared" si="0"/>
        <v>45</v>
      </c>
      <c r="E24" s="89" t="s">
        <v>2082</v>
      </c>
      <c r="F24" s="90">
        <f t="shared" si="1"/>
        <v>45</v>
      </c>
      <c r="G24" s="89" t="s">
        <v>2081</v>
      </c>
      <c r="H24" s="90">
        <f t="shared" si="2"/>
        <v>0</v>
      </c>
      <c r="I24" s="89" t="s">
        <v>2080</v>
      </c>
      <c r="J24" s="90">
        <f t="shared" si="3"/>
        <v>0</v>
      </c>
      <c r="K24" s="89" t="s">
        <v>2079</v>
      </c>
      <c r="L24" s="88">
        <v>1.8</v>
      </c>
      <c r="N24" s="61"/>
      <c r="X24" s="79" t="s">
        <v>10460</v>
      </c>
      <c r="Y24" s="80">
        <v>80</v>
      </c>
      <c r="Z24" s="81">
        <f t="shared" si="4"/>
        <v>80</v>
      </c>
      <c r="AA24" s="79" t="s">
        <v>2082</v>
      </c>
      <c r="AB24" s="82">
        <f t="shared" si="5"/>
        <v>80</v>
      </c>
      <c r="AC24" s="79" t="s">
        <v>2081</v>
      </c>
      <c r="AD24" s="82">
        <f t="shared" si="6"/>
        <v>0</v>
      </c>
      <c r="AE24" s="79" t="s">
        <v>2080</v>
      </c>
      <c r="AF24" s="82">
        <f t="shared" si="7"/>
        <v>0</v>
      </c>
      <c r="AG24" s="79" t="s">
        <v>2079</v>
      </c>
      <c r="AH24" s="81">
        <v>3.2</v>
      </c>
      <c r="AI24" s="65"/>
      <c r="AJ24" s="65"/>
      <c r="AK24" s="65"/>
      <c r="AL24" s="65"/>
      <c r="AM24" s="65"/>
      <c r="AN24" s="65"/>
      <c r="AO24" s="65"/>
      <c r="AP24" s="65"/>
      <c r="AQ24" s="65"/>
      <c r="AR24" s="65"/>
      <c r="AS24" s="65"/>
      <c r="AT24" s="65"/>
      <c r="AU24" s="65"/>
      <c r="AV24" s="65"/>
    </row>
    <row r="25" spans="1:48" ht="18.75">
      <c r="A25" s="89" t="s">
        <v>2135</v>
      </c>
      <c r="B25" s="89">
        <v>35</v>
      </c>
      <c r="C25" s="89">
        <v>2</v>
      </c>
      <c r="D25" s="88">
        <f t="shared" si="0"/>
        <v>35</v>
      </c>
      <c r="E25" s="89" t="s">
        <v>2082</v>
      </c>
      <c r="F25" s="90">
        <f t="shared" si="1"/>
        <v>35</v>
      </c>
      <c r="G25" s="89" t="s">
        <v>2081</v>
      </c>
      <c r="H25" s="90">
        <f t="shared" si="2"/>
        <v>0</v>
      </c>
      <c r="I25" s="89" t="s">
        <v>2080</v>
      </c>
      <c r="J25" s="90">
        <f t="shared" si="3"/>
        <v>0</v>
      </c>
      <c r="K25" s="89" t="s">
        <v>2079</v>
      </c>
      <c r="L25" s="88">
        <v>1.4000000000000001</v>
      </c>
      <c r="N25" s="61"/>
      <c r="X25" s="79" t="s">
        <v>10460</v>
      </c>
      <c r="Y25" s="80">
        <v>80</v>
      </c>
      <c r="Z25" s="81">
        <f t="shared" si="4"/>
        <v>80</v>
      </c>
      <c r="AA25" s="79" t="s">
        <v>2082</v>
      </c>
      <c r="AB25" s="82">
        <f t="shared" si="5"/>
        <v>80</v>
      </c>
      <c r="AC25" s="79" t="s">
        <v>2081</v>
      </c>
      <c r="AD25" s="82">
        <f t="shared" si="6"/>
        <v>0</v>
      </c>
      <c r="AE25" s="79" t="s">
        <v>2080</v>
      </c>
      <c r="AF25" s="82">
        <f t="shared" si="7"/>
        <v>0</v>
      </c>
      <c r="AG25" s="79" t="s">
        <v>2079</v>
      </c>
      <c r="AH25" s="81">
        <v>3.2</v>
      </c>
      <c r="AI25" s="65"/>
      <c r="AJ25" s="65"/>
      <c r="AK25" s="65"/>
      <c r="AL25" s="65"/>
      <c r="AM25" s="65"/>
      <c r="AN25" s="65"/>
      <c r="AO25" s="65"/>
      <c r="AP25" s="65"/>
      <c r="AQ25" s="65"/>
      <c r="AR25" s="65"/>
      <c r="AS25" s="65"/>
      <c r="AT25" s="65"/>
      <c r="AU25" s="65"/>
      <c r="AV25" s="65"/>
    </row>
    <row r="26" spans="1:48" ht="18.75">
      <c r="A26" s="89" t="s">
        <v>2136</v>
      </c>
      <c r="B26" s="89">
        <v>30</v>
      </c>
      <c r="C26" s="89">
        <v>6</v>
      </c>
      <c r="D26" s="88">
        <f t="shared" si="0"/>
        <v>30</v>
      </c>
      <c r="E26" s="89" t="s">
        <v>2082</v>
      </c>
      <c r="F26" s="90">
        <f t="shared" si="1"/>
        <v>30</v>
      </c>
      <c r="G26" s="89" t="s">
        <v>2081</v>
      </c>
      <c r="H26" s="90">
        <f t="shared" si="2"/>
        <v>0</v>
      </c>
      <c r="I26" s="89" t="s">
        <v>2080</v>
      </c>
      <c r="J26" s="90">
        <f t="shared" si="3"/>
        <v>0</v>
      </c>
      <c r="K26" s="89" t="s">
        <v>2079</v>
      </c>
      <c r="L26" s="88">
        <v>1.2</v>
      </c>
      <c r="N26" s="61"/>
      <c r="U26" s="65"/>
      <c r="V26" s="65"/>
      <c r="X26" s="79" t="s">
        <v>10461</v>
      </c>
      <c r="Y26" s="80">
        <v>67.5</v>
      </c>
      <c r="Z26" s="81">
        <f t="shared" si="4"/>
        <v>67.5</v>
      </c>
      <c r="AA26" s="79" t="s">
        <v>2082</v>
      </c>
      <c r="AB26" s="82">
        <f t="shared" si="5"/>
        <v>67</v>
      </c>
      <c r="AC26" s="79" t="s">
        <v>2081</v>
      </c>
      <c r="AD26" s="82">
        <f t="shared" si="6"/>
        <v>5</v>
      </c>
      <c r="AE26" s="79" t="s">
        <v>2080</v>
      </c>
      <c r="AF26" s="82">
        <f t="shared" si="7"/>
        <v>0</v>
      </c>
      <c r="AG26" s="79" t="s">
        <v>2079</v>
      </c>
      <c r="AH26" s="81">
        <v>2.7</v>
      </c>
      <c r="AI26" s="65"/>
      <c r="AJ26" s="65"/>
      <c r="AK26" s="65"/>
      <c r="AL26" s="65"/>
      <c r="AM26" s="65"/>
      <c r="AN26" s="65"/>
      <c r="AO26" s="65"/>
      <c r="AP26" s="65"/>
      <c r="AQ26" s="65"/>
      <c r="AR26" s="65"/>
      <c r="AS26" s="65"/>
      <c r="AT26" s="65"/>
      <c r="AU26" s="65"/>
      <c r="AV26" s="65"/>
    </row>
    <row r="27" spans="1:48" ht="18.75">
      <c r="A27" s="89" t="s">
        <v>2137</v>
      </c>
      <c r="B27" s="89">
        <v>30</v>
      </c>
      <c r="C27" s="89">
        <v>5</v>
      </c>
      <c r="D27" s="88">
        <f t="shared" si="0"/>
        <v>30</v>
      </c>
      <c r="E27" s="89" t="s">
        <v>2082</v>
      </c>
      <c r="F27" s="90">
        <f t="shared" si="1"/>
        <v>30</v>
      </c>
      <c r="G27" s="89" t="s">
        <v>2081</v>
      </c>
      <c r="H27" s="90">
        <f t="shared" si="2"/>
        <v>0</v>
      </c>
      <c r="I27" s="89" t="s">
        <v>2080</v>
      </c>
      <c r="J27" s="90">
        <f t="shared" si="3"/>
        <v>0</v>
      </c>
      <c r="K27" s="89" t="s">
        <v>2079</v>
      </c>
      <c r="L27" s="88">
        <v>1.2</v>
      </c>
      <c r="N27" s="61"/>
      <c r="X27" s="79" t="s">
        <v>10462</v>
      </c>
      <c r="Y27" s="80">
        <v>44000</v>
      </c>
      <c r="Z27" s="81">
        <f t="shared" si="4"/>
        <v>44000</v>
      </c>
      <c r="AA27" s="79" t="s">
        <v>2082</v>
      </c>
      <c r="AB27" s="82">
        <f t="shared" si="5"/>
        <v>44000</v>
      </c>
      <c r="AC27" s="79" t="s">
        <v>2081</v>
      </c>
      <c r="AD27" s="82">
        <f t="shared" si="6"/>
        <v>0</v>
      </c>
      <c r="AE27" s="79" t="s">
        <v>2080</v>
      </c>
      <c r="AF27" s="82">
        <f t="shared" si="7"/>
        <v>0</v>
      </c>
      <c r="AG27" s="79" t="s">
        <v>2079</v>
      </c>
      <c r="AH27" s="81">
        <v>1760</v>
      </c>
      <c r="AI27" s="65"/>
      <c r="AJ27" s="65"/>
      <c r="AK27" s="65"/>
      <c r="AL27" s="65"/>
      <c r="AM27" s="65"/>
      <c r="AN27" s="65"/>
      <c r="AO27" s="65"/>
      <c r="AP27" s="65"/>
      <c r="AQ27" s="65"/>
      <c r="AR27" s="65"/>
      <c r="AS27" s="65"/>
      <c r="AT27" s="65"/>
      <c r="AU27" s="65"/>
      <c r="AV27" s="65"/>
    </row>
    <row r="28" spans="1:48" ht="18.75">
      <c r="A28" s="89" t="s">
        <v>2138</v>
      </c>
      <c r="B28" s="89">
        <v>30</v>
      </c>
      <c r="C28" s="89">
        <v>7</v>
      </c>
      <c r="D28" s="88">
        <f t="shared" si="0"/>
        <v>30</v>
      </c>
      <c r="E28" s="89" t="s">
        <v>2082</v>
      </c>
      <c r="F28" s="90">
        <f t="shared" si="1"/>
        <v>30</v>
      </c>
      <c r="G28" s="89" t="s">
        <v>2081</v>
      </c>
      <c r="H28" s="90">
        <f t="shared" si="2"/>
        <v>0</v>
      </c>
      <c r="I28" s="89" t="s">
        <v>2080</v>
      </c>
      <c r="J28" s="90">
        <f t="shared" si="3"/>
        <v>0</v>
      </c>
      <c r="K28" s="89" t="s">
        <v>2079</v>
      </c>
      <c r="L28" s="88">
        <v>1.2</v>
      </c>
      <c r="N28" s="61"/>
      <c r="X28" s="79" t="s">
        <v>10463</v>
      </c>
      <c r="Y28" s="80">
        <v>4500</v>
      </c>
      <c r="Z28" s="81">
        <f t="shared" si="4"/>
        <v>4500</v>
      </c>
      <c r="AA28" s="79" t="s">
        <v>2082</v>
      </c>
      <c r="AB28" s="82">
        <f t="shared" si="5"/>
        <v>4500</v>
      </c>
      <c r="AC28" s="79" t="s">
        <v>2081</v>
      </c>
      <c r="AD28" s="82">
        <f t="shared" si="6"/>
        <v>0</v>
      </c>
      <c r="AE28" s="79" t="s">
        <v>2080</v>
      </c>
      <c r="AF28" s="82">
        <f t="shared" si="7"/>
        <v>0</v>
      </c>
      <c r="AG28" s="79" t="s">
        <v>2079</v>
      </c>
      <c r="AH28" s="81">
        <v>180</v>
      </c>
      <c r="AI28" s="65"/>
      <c r="AJ28" s="65"/>
      <c r="AK28" s="65"/>
      <c r="AL28" s="65"/>
      <c r="AM28" s="65"/>
      <c r="AN28" s="65"/>
      <c r="AO28" s="65"/>
      <c r="AP28" s="65"/>
      <c r="AQ28" s="65"/>
      <c r="AR28" s="65"/>
      <c r="AS28" s="65"/>
      <c r="AT28" s="65"/>
      <c r="AU28" s="65"/>
      <c r="AV28" s="65"/>
    </row>
    <row r="29" spans="1:48" ht="18.75">
      <c r="A29" s="89" t="s">
        <v>2139</v>
      </c>
      <c r="B29" s="89">
        <v>30</v>
      </c>
      <c r="C29" s="89">
        <v>2</v>
      </c>
      <c r="D29" s="88">
        <f t="shared" si="0"/>
        <v>30</v>
      </c>
      <c r="E29" s="89" t="s">
        <v>2082</v>
      </c>
      <c r="F29" s="90">
        <f t="shared" si="1"/>
        <v>30</v>
      </c>
      <c r="G29" s="89" t="s">
        <v>2081</v>
      </c>
      <c r="H29" s="90">
        <f t="shared" si="2"/>
        <v>0</v>
      </c>
      <c r="I29" s="89" t="s">
        <v>2080</v>
      </c>
      <c r="J29" s="90">
        <f t="shared" si="3"/>
        <v>0</v>
      </c>
      <c r="K29" s="89" t="s">
        <v>2079</v>
      </c>
      <c r="L29" s="88">
        <v>1.2</v>
      </c>
      <c r="N29" s="61"/>
      <c r="X29" s="79" t="s">
        <v>10464</v>
      </c>
      <c r="Y29" s="80">
        <v>4187.625</v>
      </c>
      <c r="Z29" s="81">
        <f t="shared" si="4"/>
        <v>4187.625</v>
      </c>
      <c r="AA29" s="79" t="s">
        <v>2082</v>
      </c>
      <c r="AB29" s="82">
        <f t="shared" si="5"/>
        <v>4187</v>
      </c>
      <c r="AC29" s="79" t="s">
        <v>2081</v>
      </c>
      <c r="AD29" s="82">
        <f t="shared" si="6"/>
        <v>6</v>
      </c>
      <c r="AE29" s="79" t="s">
        <v>2080</v>
      </c>
      <c r="AF29" s="82">
        <f t="shared" si="7"/>
        <v>2.5</v>
      </c>
      <c r="AG29" s="79" t="s">
        <v>2079</v>
      </c>
      <c r="AH29" s="81">
        <v>167.5</v>
      </c>
      <c r="AI29" s="65"/>
      <c r="AJ29" s="65"/>
      <c r="AK29" s="65"/>
      <c r="AL29" s="65"/>
      <c r="AM29" s="65"/>
      <c r="AN29" s="65"/>
      <c r="AO29" s="65"/>
      <c r="AP29" s="65"/>
      <c r="AQ29" s="65"/>
      <c r="AR29" s="65"/>
      <c r="AS29" s="65"/>
      <c r="AT29" s="65"/>
      <c r="AU29" s="65"/>
      <c r="AV29" s="65"/>
    </row>
    <row r="30" spans="1:48" ht="18.75">
      <c r="A30" s="89" t="s">
        <v>2140</v>
      </c>
      <c r="B30" s="89">
        <v>30</v>
      </c>
      <c r="C30" s="89">
        <v>40</v>
      </c>
      <c r="D30" s="88">
        <f t="shared" si="0"/>
        <v>30</v>
      </c>
      <c r="E30" s="89" t="s">
        <v>2082</v>
      </c>
      <c r="F30" s="90">
        <f t="shared" si="1"/>
        <v>30</v>
      </c>
      <c r="G30" s="89" t="s">
        <v>2081</v>
      </c>
      <c r="H30" s="90">
        <f t="shared" si="2"/>
        <v>0</v>
      </c>
      <c r="I30" s="89" t="s">
        <v>2080</v>
      </c>
      <c r="J30" s="90">
        <f t="shared" si="3"/>
        <v>0</v>
      </c>
      <c r="K30" s="89" t="s">
        <v>2079</v>
      </c>
      <c r="L30" s="88">
        <v>1.2</v>
      </c>
      <c r="N30" s="61"/>
      <c r="X30" s="79" t="s">
        <v>10465</v>
      </c>
      <c r="Y30" s="80">
        <v>2250</v>
      </c>
      <c r="Z30" s="81">
        <f t="shared" si="4"/>
        <v>2250</v>
      </c>
      <c r="AA30" s="79" t="s">
        <v>2082</v>
      </c>
      <c r="AB30" s="82">
        <f t="shared" si="5"/>
        <v>2250</v>
      </c>
      <c r="AC30" s="79" t="s">
        <v>2081</v>
      </c>
      <c r="AD30" s="82">
        <f t="shared" si="6"/>
        <v>0</v>
      </c>
      <c r="AE30" s="79" t="s">
        <v>2080</v>
      </c>
      <c r="AF30" s="82">
        <f t="shared" si="7"/>
        <v>0</v>
      </c>
      <c r="AG30" s="79" t="s">
        <v>2079</v>
      </c>
      <c r="AH30" s="81">
        <v>90</v>
      </c>
      <c r="AI30" s="65"/>
      <c r="AJ30" s="65"/>
      <c r="AK30" s="65"/>
      <c r="AL30" s="65"/>
      <c r="AM30" s="65"/>
      <c r="AN30" s="65"/>
      <c r="AO30" s="65"/>
      <c r="AP30" s="65"/>
      <c r="AQ30" s="65"/>
      <c r="AR30" s="65"/>
      <c r="AS30" s="65"/>
      <c r="AT30" s="65"/>
      <c r="AU30" s="65"/>
      <c r="AV30" s="65"/>
    </row>
    <row r="31" spans="1:48" ht="18.75">
      <c r="A31" s="89" t="s">
        <v>2141</v>
      </c>
      <c r="B31" s="89">
        <v>30</v>
      </c>
      <c r="C31" s="89">
        <v>1</v>
      </c>
      <c r="D31" s="88">
        <f t="shared" si="0"/>
        <v>30</v>
      </c>
      <c r="E31" s="89" t="s">
        <v>2082</v>
      </c>
      <c r="F31" s="90">
        <f t="shared" si="1"/>
        <v>30</v>
      </c>
      <c r="G31" s="89" t="s">
        <v>2081</v>
      </c>
      <c r="H31" s="90">
        <f t="shared" si="2"/>
        <v>0</v>
      </c>
      <c r="I31" s="89" t="s">
        <v>2080</v>
      </c>
      <c r="J31" s="90">
        <f t="shared" si="3"/>
        <v>0</v>
      </c>
      <c r="K31" s="89" t="s">
        <v>2079</v>
      </c>
      <c r="L31" s="88">
        <v>1.2</v>
      </c>
      <c r="N31" s="61"/>
      <c r="X31" s="79" t="s">
        <v>7235</v>
      </c>
      <c r="Y31" s="80">
        <v>13000</v>
      </c>
      <c r="Z31" s="81">
        <f t="shared" si="4"/>
        <v>13000</v>
      </c>
      <c r="AA31" s="79" t="s">
        <v>2082</v>
      </c>
      <c r="AB31" s="82">
        <f t="shared" si="5"/>
        <v>13000</v>
      </c>
      <c r="AC31" s="79" t="s">
        <v>2081</v>
      </c>
      <c r="AD31" s="82">
        <f t="shared" si="6"/>
        <v>0</v>
      </c>
      <c r="AE31" s="79" t="s">
        <v>2080</v>
      </c>
      <c r="AF31" s="82">
        <f t="shared" si="7"/>
        <v>0</v>
      </c>
      <c r="AG31" s="79" t="s">
        <v>2079</v>
      </c>
      <c r="AH31" s="81">
        <v>520</v>
      </c>
      <c r="AI31" s="65"/>
      <c r="AJ31" s="65"/>
      <c r="AK31" s="65"/>
      <c r="AL31" s="65"/>
      <c r="AM31" s="65"/>
      <c r="AN31" s="65"/>
      <c r="AO31" s="65"/>
      <c r="AP31" s="65"/>
      <c r="AQ31" s="65"/>
      <c r="AR31" s="65"/>
      <c r="AS31" s="65"/>
      <c r="AT31" s="65"/>
      <c r="AU31" s="65"/>
      <c r="AV31" s="65"/>
    </row>
    <row r="32" spans="1:48" ht="18.75">
      <c r="A32" s="89" t="s">
        <v>2142</v>
      </c>
      <c r="B32" s="89">
        <v>25</v>
      </c>
      <c r="C32" s="89">
        <v>1</v>
      </c>
      <c r="D32" s="88">
        <f t="shared" si="0"/>
        <v>25</v>
      </c>
      <c r="E32" s="89" t="s">
        <v>2082</v>
      </c>
      <c r="F32" s="90">
        <f t="shared" si="1"/>
        <v>25</v>
      </c>
      <c r="G32" s="89" t="s">
        <v>2081</v>
      </c>
      <c r="H32" s="90">
        <f t="shared" si="2"/>
        <v>0</v>
      </c>
      <c r="I32" s="89" t="s">
        <v>2080</v>
      </c>
      <c r="J32" s="90">
        <f t="shared" si="3"/>
        <v>0</v>
      </c>
      <c r="K32" s="89" t="s">
        <v>2079</v>
      </c>
      <c r="L32" s="88">
        <v>1</v>
      </c>
      <c r="N32" s="61"/>
      <c r="X32" s="79" t="s">
        <v>7277</v>
      </c>
      <c r="Y32" s="80">
        <v>37500</v>
      </c>
      <c r="Z32" s="81">
        <f t="shared" si="4"/>
        <v>37500</v>
      </c>
      <c r="AA32" s="79" t="s">
        <v>2082</v>
      </c>
      <c r="AB32" s="82">
        <f t="shared" si="5"/>
        <v>37500</v>
      </c>
      <c r="AC32" s="79" t="s">
        <v>2081</v>
      </c>
      <c r="AD32" s="82">
        <f t="shared" si="6"/>
        <v>0</v>
      </c>
      <c r="AE32" s="79" t="s">
        <v>2080</v>
      </c>
      <c r="AF32" s="82">
        <f t="shared" si="7"/>
        <v>0</v>
      </c>
      <c r="AG32" s="79" t="s">
        <v>2079</v>
      </c>
      <c r="AH32" s="81">
        <v>1500</v>
      </c>
      <c r="AI32" s="65"/>
      <c r="AJ32" s="65"/>
      <c r="AK32" s="65"/>
      <c r="AL32" s="65"/>
      <c r="AM32" s="65"/>
      <c r="AN32" s="65"/>
      <c r="AO32" s="65"/>
      <c r="AP32" s="65"/>
      <c r="AQ32" s="65"/>
      <c r="AR32" s="65"/>
      <c r="AS32" s="65"/>
      <c r="AT32" s="65"/>
      <c r="AU32" s="65"/>
      <c r="AV32" s="65"/>
    </row>
    <row r="33" spans="1:48" ht="18.75">
      <c r="A33" s="89" t="s">
        <v>2143</v>
      </c>
      <c r="B33" s="89">
        <v>25</v>
      </c>
      <c r="C33" s="89">
        <v>5</v>
      </c>
      <c r="D33" s="88">
        <f t="shared" si="0"/>
        <v>25</v>
      </c>
      <c r="E33" s="89" t="s">
        <v>2082</v>
      </c>
      <c r="F33" s="90">
        <f t="shared" si="1"/>
        <v>25</v>
      </c>
      <c r="G33" s="89" t="s">
        <v>2081</v>
      </c>
      <c r="H33" s="90">
        <f t="shared" si="2"/>
        <v>0</v>
      </c>
      <c r="I33" s="89" t="s">
        <v>2080</v>
      </c>
      <c r="J33" s="90">
        <f t="shared" si="3"/>
        <v>0</v>
      </c>
      <c r="K33" s="89" t="s">
        <v>2079</v>
      </c>
      <c r="L33" s="88">
        <v>1</v>
      </c>
      <c r="M33" s="65"/>
      <c r="N33" s="66"/>
      <c r="O33" s="65"/>
      <c r="P33" s="65"/>
      <c r="Q33" s="65"/>
      <c r="R33" s="66"/>
      <c r="X33" s="79" t="s">
        <v>10466</v>
      </c>
      <c r="Y33" s="80">
        <v>800</v>
      </c>
      <c r="Z33" s="81">
        <f t="shared" si="4"/>
        <v>800</v>
      </c>
      <c r="AA33" s="79" t="s">
        <v>2082</v>
      </c>
      <c r="AB33" s="82">
        <f t="shared" si="5"/>
        <v>800</v>
      </c>
      <c r="AC33" s="79" t="s">
        <v>2081</v>
      </c>
      <c r="AD33" s="82">
        <f t="shared" si="6"/>
        <v>0</v>
      </c>
      <c r="AE33" s="79" t="s">
        <v>2080</v>
      </c>
      <c r="AF33" s="82">
        <f t="shared" si="7"/>
        <v>0</v>
      </c>
      <c r="AG33" s="79" t="s">
        <v>2079</v>
      </c>
      <c r="AH33" s="81">
        <v>32</v>
      </c>
      <c r="AI33" s="65"/>
      <c r="AJ33" s="65"/>
      <c r="AK33" s="65"/>
      <c r="AL33" s="65"/>
      <c r="AM33" s="65"/>
      <c r="AN33" s="65"/>
      <c r="AO33" s="65"/>
      <c r="AP33" s="65"/>
      <c r="AQ33" s="65"/>
      <c r="AR33" s="65"/>
      <c r="AS33" s="65"/>
      <c r="AT33" s="65"/>
      <c r="AU33" s="65"/>
      <c r="AV33" s="65"/>
    </row>
    <row r="34" spans="1:48" ht="18.75">
      <c r="A34" s="89" t="s">
        <v>2144</v>
      </c>
      <c r="B34" s="89">
        <v>25</v>
      </c>
      <c r="C34" s="89">
        <v>12</v>
      </c>
      <c r="D34" s="88">
        <f t="shared" si="0"/>
        <v>25</v>
      </c>
      <c r="E34" s="89" t="s">
        <v>2082</v>
      </c>
      <c r="F34" s="90">
        <f t="shared" si="1"/>
        <v>25</v>
      </c>
      <c r="G34" s="89" t="s">
        <v>2081</v>
      </c>
      <c r="H34" s="90">
        <f t="shared" si="2"/>
        <v>0</v>
      </c>
      <c r="I34" s="89" t="s">
        <v>2080</v>
      </c>
      <c r="J34" s="90">
        <f t="shared" si="3"/>
        <v>0</v>
      </c>
      <c r="K34" s="89" t="s">
        <v>2079</v>
      </c>
      <c r="L34" s="88">
        <v>1</v>
      </c>
      <c r="X34" s="79" t="s">
        <v>9685</v>
      </c>
      <c r="Y34" s="80">
        <v>5250</v>
      </c>
      <c r="Z34" s="81">
        <f t="shared" si="4"/>
        <v>5250</v>
      </c>
      <c r="AA34" s="79" t="s">
        <v>2082</v>
      </c>
      <c r="AB34" s="82">
        <f t="shared" si="5"/>
        <v>5250</v>
      </c>
      <c r="AC34" s="79" t="s">
        <v>2081</v>
      </c>
      <c r="AD34" s="82">
        <f t="shared" si="6"/>
        <v>0</v>
      </c>
      <c r="AE34" s="79" t="s">
        <v>2080</v>
      </c>
      <c r="AF34" s="82">
        <f t="shared" si="7"/>
        <v>0</v>
      </c>
      <c r="AG34" s="79" t="s">
        <v>2079</v>
      </c>
      <c r="AH34" s="81">
        <v>210</v>
      </c>
      <c r="AI34" s="65"/>
      <c r="AJ34" s="65"/>
      <c r="AK34" s="65"/>
      <c r="AL34" s="65"/>
      <c r="AM34" s="65"/>
      <c r="AN34" s="65"/>
      <c r="AO34" s="65"/>
      <c r="AP34" s="65"/>
      <c r="AQ34" s="65"/>
      <c r="AR34" s="65"/>
      <c r="AS34" s="65"/>
      <c r="AT34" s="65"/>
      <c r="AU34" s="65"/>
      <c r="AV34" s="65"/>
    </row>
    <row r="35" spans="1:48" ht="18.75">
      <c r="A35" s="89" t="s">
        <v>2145</v>
      </c>
      <c r="B35" s="89">
        <v>25</v>
      </c>
      <c r="C35" s="89">
        <v>2</v>
      </c>
      <c r="D35" s="88">
        <f t="shared" si="0"/>
        <v>25</v>
      </c>
      <c r="E35" s="89" t="s">
        <v>2082</v>
      </c>
      <c r="F35" s="90">
        <f t="shared" si="1"/>
        <v>25</v>
      </c>
      <c r="G35" s="89" t="s">
        <v>2081</v>
      </c>
      <c r="H35" s="90">
        <f t="shared" si="2"/>
        <v>0</v>
      </c>
      <c r="I35" s="89" t="s">
        <v>2080</v>
      </c>
      <c r="J35" s="90">
        <f t="shared" si="3"/>
        <v>0</v>
      </c>
      <c r="K35" s="89" t="s">
        <v>2079</v>
      </c>
      <c r="L35" s="88">
        <v>1</v>
      </c>
      <c r="X35" s="79" t="s">
        <v>10467</v>
      </c>
      <c r="Y35" s="80">
        <v>6875.25</v>
      </c>
      <c r="Z35" s="81">
        <f t="shared" si="4"/>
        <v>6875.25</v>
      </c>
      <c r="AA35" s="79" t="s">
        <v>2082</v>
      </c>
      <c r="AB35" s="82">
        <f t="shared" si="5"/>
        <v>6875</v>
      </c>
      <c r="AC35" s="79" t="s">
        <v>2081</v>
      </c>
      <c r="AD35" s="82">
        <f t="shared" si="6"/>
        <v>2</v>
      </c>
      <c r="AE35" s="79" t="s">
        <v>2080</v>
      </c>
      <c r="AF35" s="82">
        <f t="shared" si="7"/>
        <v>5</v>
      </c>
      <c r="AG35" s="79" t="s">
        <v>2079</v>
      </c>
      <c r="AH35" s="81">
        <v>275.01</v>
      </c>
      <c r="AI35" s="65"/>
      <c r="AJ35" s="65"/>
      <c r="AK35" s="65"/>
      <c r="AL35" s="65"/>
      <c r="AM35" s="65"/>
      <c r="AN35" s="65"/>
      <c r="AO35" s="65"/>
      <c r="AP35" s="65"/>
      <c r="AQ35" s="65"/>
      <c r="AR35" s="65"/>
      <c r="AS35" s="65"/>
      <c r="AT35" s="65"/>
      <c r="AU35" s="65"/>
      <c r="AV35" s="65"/>
    </row>
    <row r="36" spans="1:48" ht="18.75">
      <c r="A36" s="89" t="s">
        <v>2146</v>
      </c>
      <c r="B36" s="89">
        <v>25</v>
      </c>
      <c r="C36" s="89">
        <v>5</v>
      </c>
      <c r="D36" s="88">
        <f t="shared" si="0"/>
        <v>25</v>
      </c>
      <c r="E36" s="89" t="s">
        <v>2082</v>
      </c>
      <c r="F36" s="90">
        <f t="shared" si="1"/>
        <v>25</v>
      </c>
      <c r="G36" s="89" t="s">
        <v>2081</v>
      </c>
      <c r="H36" s="90">
        <f t="shared" si="2"/>
        <v>0</v>
      </c>
      <c r="I36" s="89" t="s">
        <v>2080</v>
      </c>
      <c r="J36" s="90">
        <f t="shared" si="3"/>
        <v>0</v>
      </c>
      <c r="K36" s="89" t="s">
        <v>2079</v>
      </c>
      <c r="L36" s="88">
        <v>1</v>
      </c>
      <c r="X36" s="79" t="s">
        <v>10468</v>
      </c>
      <c r="Y36" s="80">
        <v>6875.25</v>
      </c>
      <c r="Z36" s="81">
        <f t="shared" si="4"/>
        <v>6875.25</v>
      </c>
      <c r="AA36" s="79" t="s">
        <v>2082</v>
      </c>
      <c r="AB36" s="82">
        <f t="shared" si="5"/>
        <v>6875</v>
      </c>
      <c r="AC36" s="79" t="s">
        <v>2081</v>
      </c>
      <c r="AD36" s="82">
        <f t="shared" si="6"/>
        <v>2</v>
      </c>
      <c r="AE36" s="79" t="s">
        <v>2080</v>
      </c>
      <c r="AF36" s="82">
        <f t="shared" si="7"/>
        <v>5</v>
      </c>
      <c r="AG36" s="79" t="s">
        <v>2079</v>
      </c>
      <c r="AH36" s="81">
        <v>275.01</v>
      </c>
      <c r="AI36" s="65"/>
      <c r="AJ36" s="65"/>
      <c r="AK36" s="65"/>
      <c r="AL36" s="65"/>
      <c r="AM36" s="65"/>
      <c r="AN36" s="65"/>
      <c r="AO36" s="65"/>
      <c r="AP36" s="65"/>
      <c r="AQ36" s="65"/>
      <c r="AR36" s="65"/>
      <c r="AS36" s="65"/>
      <c r="AT36" s="65"/>
      <c r="AU36" s="65"/>
      <c r="AV36" s="65"/>
    </row>
    <row r="37" spans="1:48" ht="18.75">
      <c r="A37" s="89" t="s">
        <v>2147</v>
      </c>
      <c r="B37" s="89">
        <v>25</v>
      </c>
      <c r="C37" s="89">
        <v>3</v>
      </c>
      <c r="D37" s="88">
        <f t="shared" si="0"/>
        <v>25</v>
      </c>
      <c r="E37" s="89" t="s">
        <v>2082</v>
      </c>
      <c r="F37" s="90">
        <f t="shared" si="1"/>
        <v>25</v>
      </c>
      <c r="G37" s="89" t="s">
        <v>2081</v>
      </c>
      <c r="H37" s="90">
        <f t="shared" si="2"/>
        <v>0</v>
      </c>
      <c r="I37" s="89" t="s">
        <v>2080</v>
      </c>
      <c r="J37" s="90">
        <f t="shared" si="3"/>
        <v>0</v>
      </c>
      <c r="K37" s="89" t="s">
        <v>2079</v>
      </c>
      <c r="L37" s="88">
        <v>1</v>
      </c>
      <c r="X37" s="79" t="s">
        <v>10469</v>
      </c>
      <c r="Y37" s="80">
        <v>6875.25</v>
      </c>
      <c r="Z37" s="81">
        <f t="shared" si="4"/>
        <v>6875.25</v>
      </c>
      <c r="AA37" s="79" t="s">
        <v>2082</v>
      </c>
      <c r="AB37" s="82">
        <f t="shared" si="5"/>
        <v>6875</v>
      </c>
      <c r="AC37" s="79" t="s">
        <v>2081</v>
      </c>
      <c r="AD37" s="82">
        <f t="shared" si="6"/>
        <v>2</v>
      </c>
      <c r="AE37" s="79" t="s">
        <v>2080</v>
      </c>
      <c r="AF37" s="82">
        <f t="shared" si="7"/>
        <v>5</v>
      </c>
      <c r="AG37" s="79" t="s">
        <v>2079</v>
      </c>
      <c r="AH37" s="81">
        <v>275.01</v>
      </c>
      <c r="AI37" s="65"/>
      <c r="AJ37" s="65"/>
      <c r="AK37" s="65"/>
      <c r="AL37" s="65"/>
      <c r="AM37" s="65"/>
      <c r="AN37" s="65"/>
      <c r="AO37" s="65"/>
      <c r="AP37" s="65"/>
      <c r="AQ37" s="65"/>
      <c r="AR37" s="65"/>
      <c r="AS37" s="65"/>
      <c r="AT37" s="65"/>
      <c r="AU37" s="65"/>
      <c r="AV37" s="65"/>
    </row>
    <row r="38" spans="1:48" ht="18.75">
      <c r="A38" s="89" t="s">
        <v>2148</v>
      </c>
      <c r="B38" s="89">
        <v>25</v>
      </c>
      <c r="C38" s="89">
        <v>10</v>
      </c>
      <c r="D38" s="88">
        <f t="shared" si="0"/>
        <v>25</v>
      </c>
      <c r="E38" s="89" t="s">
        <v>2082</v>
      </c>
      <c r="F38" s="90">
        <f t="shared" si="1"/>
        <v>25</v>
      </c>
      <c r="G38" s="89" t="s">
        <v>2081</v>
      </c>
      <c r="H38" s="90">
        <f t="shared" si="2"/>
        <v>0</v>
      </c>
      <c r="I38" s="89" t="s">
        <v>2080</v>
      </c>
      <c r="J38" s="90">
        <f t="shared" si="3"/>
        <v>0</v>
      </c>
      <c r="K38" s="89" t="s">
        <v>2079</v>
      </c>
      <c r="L38" s="88">
        <v>1</v>
      </c>
      <c r="U38" s="65"/>
      <c r="X38" s="79" t="s">
        <v>10470</v>
      </c>
      <c r="Y38" s="80">
        <v>82750.25</v>
      </c>
      <c r="Z38" s="81">
        <f t="shared" si="4"/>
        <v>82750.25</v>
      </c>
      <c r="AA38" s="79" t="s">
        <v>2082</v>
      </c>
      <c r="AB38" s="82">
        <f t="shared" si="5"/>
        <v>82750</v>
      </c>
      <c r="AC38" s="79" t="s">
        <v>2081</v>
      </c>
      <c r="AD38" s="82">
        <f t="shared" si="6"/>
        <v>2</v>
      </c>
      <c r="AE38" s="79" t="s">
        <v>2080</v>
      </c>
      <c r="AF38" s="82">
        <f t="shared" si="7"/>
        <v>5</v>
      </c>
      <c r="AG38" s="79" t="s">
        <v>2079</v>
      </c>
      <c r="AH38" s="81">
        <v>3310.01</v>
      </c>
      <c r="AI38" s="65"/>
      <c r="AJ38" s="65"/>
      <c r="AK38" s="65"/>
      <c r="AL38" s="65"/>
      <c r="AM38" s="65"/>
      <c r="AN38" s="65"/>
      <c r="AO38" s="65"/>
      <c r="AP38" s="65"/>
      <c r="AQ38" s="65"/>
      <c r="AR38" s="65"/>
      <c r="AS38" s="65"/>
      <c r="AT38" s="65"/>
      <c r="AU38" s="65"/>
      <c r="AV38" s="65"/>
    </row>
    <row r="39" spans="1:48" ht="18.75">
      <c r="A39" s="89" t="s">
        <v>2149</v>
      </c>
      <c r="B39" s="89">
        <v>25</v>
      </c>
      <c r="C39" s="89">
        <v>1</v>
      </c>
      <c r="D39" s="88">
        <f t="shared" si="0"/>
        <v>25</v>
      </c>
      <c r="E39" s="89" t="s">
        <v>2082</v>
      </c>
      <c r="F39" s="90">
        <f t="shared" si="1"/>
        <v>25</v>
      </c>
      <c r="G39" s="89" t="s">
        <v>2081</v>
      </c>
      <c r="H39" s="90">
        <f t="shared" si="2"/>
        <v>0</v>
      </c>
      <c r="I39" s="89" t="s">
        <v>2080</v>
      </c>
      <c r="J39" s="90">
        <f t="shared" si="3"/>
        <v>0</v>
      </c>
      <c r="K39" s="89" t="s">
        <v>2079</v>
      </c>
      <c r="L39" s="88">
        <v>1</v>
      </c>
      <c r="U39" s="65"/>
      <c r="X39" s="79" t="s">
        <v>10471</v>
      </c>
      <c r="Y39" s="80">
        <v>5062.625</v>
      </c>
      <c r="Z39" s="81">
        <f t="shared" si="4"/>
        <v>5062.625</v>
      </c>
      <c r="AA39" s="79" t="s">
        <v>2082</v>
      </c>
      <c r="AB39" s="82">
        <f t="shared" si="5"/>
        <v>5062</v>
      </c>
      <c r="AC39" s="79" t="s">
        <v>2081</v>
      </c>
      <c r="AD39" s="82">
        <f t="shared" si="6"/>
        <v>6</v>
      </c>
      <c r="AE39" s="79" t="s">
        <v>2080</v>
      </c>
      <c r="AF39" s="82">
        <f t="shared" si="7"/>
        <v>2.5</v>
      </c>
      <c r="AG39" s="79" t="s">
        <v>2079</v>
      </c>
      <c r="AH39" s="81">
        <v>202.5</v>
      </c>
      <c r="AI39" s="65"/>
      <c r="AJ39" s="65"/>
      <c r="AK39" s="65"/>
      <c r="AL39" s="65"/>
      <c r="AM39" s="65"/>
      <c r="AN39" s="65"/>
      <c r="AO39" s="65"/>
      <c r="AP39" s="65"/>
      <c r="AQ39" s="65"/>
      <c r="AR39" s="65"/>
      <c r="AS39" s="65"/>
      <c r="AT39" s="65"/>
      <c r="AU39" s="65"/>
      <c r="AV39" s="65"/>
    </row>
    <row r="40" spans="1:48" ht="18.75">
      <c r="A40" s="89" t="s">
        <v>2150</v>
      </c>
      <c r="B40" s="89">
        <v>25</v>
      </c>
      <c r="C40" s="89">
        <v>1</v>
      </c>
      <c r="D40" s="88">
        <f t="shared" si="0"/>
        <v>25</v>
      </c>
      <c r="E40" s="89" t="s">
        <v>2082</v>
      </c>
      <c r="F40" s="90">
        <f t="shared" si="1"/>
        <v>25</v>
      </c>
      <c r="G40" s="89" t="s">
        <v>2081</v>
      </c>
      <c r="H40" s="90">
        <f t="shared" si="2"/>
        <v>0</v>
      </c>
      <c r="I40" s="89" t="s">
        <v>2080</v>
      </c>
      <c r="J40" s="90">
        <f t="shared" si="3"/>
        <v>0</v>
      </c>
      <c r="K40" s="89" t="s">
        <v>2079</v>
      </c>
      <c r="L40" s="88">
        <v>1</v>
      </c>
      <c r="U40" s="65"/>
      <c r="X40" s="79" t="s">
        <v>10472</v>
      </c>
      <c r="Y40" s="80">
        <v>5537.625</v>
      </c>
      <c r="Z40" s="81">
        <f t="shared" si="4"/>
        <v>5537.625</v>
      </c>
      <c r="AA40" s="79" t="s">
        <v>2082</v>
      </c>
      <c r="AB40" s="82">
        <f t="shared" si="5"/>
        <v>5537</v>
      </c>
      <c r="AC40" s="79" t="s">
        <v>2081</v>
      </c>
      <c r="AD40" s="82">
        <f t="shared" si="6"/>
        <v>6</v>
      </c>
      <c r="AE40" s="79" t="s">
        <v>2080</v>
      </c>
      <c r="AF40" s="82">
        <f t="shared" si="7"/>
        <v>2.5</v>
      </c>
      <c r="AG40" s="79" t="s">
        <v>2079</v>
      </c>
      <c r="AH40" s="81">
        <v>221.5</v>
      </c>
      <c r="AI40" s="65"/>
      <c r="AJ40" s="65"/>
      <c r="AK40" s="65"/>
      <c r="AL40" s="65"/>
      <c r="AM40" s="65"/>
      <c r="AN40" s="65"/>
      <c r="AO40" s="65"/>
      <c r="AP40" s="65"/>
      <c r="AQ40" s="65"/>
      <c r="AR40" s="65"/>
      <c r="AS40" s="65"/>
      <c r="AT40" s="65"/>
      <c r="AU40" s="65"/>
      <c r="AV40" s="65"/>
    </row>
    <row r="41" spans="1:48" ht="18.75">
      <c r="A41" s="89" t="s">
        <v>2151</v>
      </c>
      <c r="B41" s="89">
        <v>25</v>
      </c>
      <c r="C41" s="89">
        <v>2</v>
      </c>
      <c r="D41" s="88">
        <f t="shared" si="0"/>
        <v>25</v>
      </c>
      <c r="E41" s="89" t="s">
        <v>2082</v>
      </c>
      <c r="F41" s="90">
        <f t="shared" si="1"/>
        <v>25</v>
      </c>
      <c r="G41" s="89" t="s">
        <v>2081</v>
      </c>
      <c r="H41" s="90">
        <f t="shared" si="2"/>
        <v>0</v>
      </c>
      <c r="I41" s="89" t="s">
        <v>2080</v>
      </c>
      <c r="J41" s="90">
        <f t="shared" si="3"/>
        <v>0</v>
      </c>
      <c r="K41" s="89" t="s">
        <v>2079</v>
      </c>
      <c r="L41" s="88">
        <v>1</v>
      </c>
      <c r="U41" s="65"/>
      <c r="X41" s="79" t="s">
        <v>10473</v>
      </c>
      <c r="Y41" s="80">
        <v>325.25</v>
      </c>
      <c r="Z41" s="81">
        <f t="shared" si="4"/>
        <v>325.25</v>
      </c>
      <c r="AA41" s="79" t="s">
        <v>2082</v>
      </c>
      <c r="AB41" s="82">
        <f t="shared" si="5"/>
        <v>325</v>
      </c>
      <c r="AC41" s="79" t="s">
        <v>2081</v>
      </c>
      <c r="AD41" s="82">
        <f t="shared" si="6"/>
        <v>2</v>
      </c>
      <c r="AE41" s="79" t="s">
        <v>2080</v>
      </c>
      <c r="AF41" s="82">
        <f t="shared" si="7"/>
        <v>5</v>
      </c>
      <c r="AG41" s="79" t="s">
        <v>2079</v>
      </c>
      <c r="AH41" s="81">
        <v>13.01</v>
      </c>
      <c r="AI41" s="65"/>
      <c r="AJ41" s="65"/>
      <c r="AK41" s="65"/>
      <c r="AL41" s="65"/>
      <c r="AM41" s="65"/>
      <c r="AN41" s="65"/>
      <c r="AO41" s="65"/>
      <c r="AP41" s="65"/>
      <c r="AQ41" s="65"/>
      <c r="AR41" s="65"/>
      <c r="AS41" s="65"/>
      <c r="AT41" s="65"/>
      <c r="AU41" s="65"/>
      <c r="AV41" s="65"/>
    </row>
    <row r="42" spans="1:48" ht="18.75">
      <c r="A42" s="89" t="s">
        <v>2152</v>
      </c>
      <c r="B42" s="89">
        <v>25</v>
      </c>
      <c r="C42" s="89">
        <v>2</v>
      </c>
      <c r="D42" s="88">
        <f t="shared" si="0"/>
        <v>25</v>
      </c>
      <c r="E42" s="89" t="s">
        <v>2082</v>
      </c>
      <c r="F42" s="90">
        <f t="shared" si="1"/>
        <v>25</v>
      </c>
      <c r="G42" s="89" t="s">
        <v>2081</v>
      </c>
      <c r="H42" s="90">
        <f t="shared" si="2"/>
        <v>0</v>
      </c>
      <c r="I42" s="89" t="s">
        <v>2080</v>
      </c>
      <c r="J42" s="90">
        <f t="shared" si="3"/>
        <v>0</v>
      </c>
      <c r="K42" s="89" t="s">
        <v>2079</v>
      </c>
      <c r="L42" s="88">
        <v>1</v>
      </c>
      <c r="U42" s="65"/>
      <c r="X42" s="79" t="s">
        <v>10473</v>
      </c>
      <c r="Y42" s="80">
        <v>325.25</v>
      </c>
      <c r="Z42" s="81">
        <f t="shared" si="4"/>
        <v>325.25</v>
      </c>
      <c r="AA42" s="79" t="s">
        <v>2082</v>
      </c>
      <c r="AB42" s="82">
        <f t="shared" si="5"/>
        <v>325</v>
      </c>
      <c r="AC42" s="79" t="s">
        <v>2081</v>
      </c>
      <c r="AD42" s="82">
        <f t="shared" si="6"/>
        <v>2</v>
      </c>
      <c r="AE42" s="79" t="s">
        <v>2080</v>
      </c>
      <c r="AF42" s="82">
        <f t="shared" si="7"/>
        <v>5</v>
      </c>
      <c r="AG42" s="79" t="s">
        <v>2079</v>
      </c>
      <c r="AH42" s="81">
        <v>13.01</v>
      </c>
      <c r="AI42" s="65"/>
      <c r="AJ42" s="65"/>
      <c r="AK42" s="65"/>
      <c r="AL42" s="65"/>
      <c r="AM42" s="65"/>
      <c r="AN42" s="65"/>
      <c r="AO42" s="65"/>
      <c r="AP42" s="65"/>
      <c r="AQ42" s="65"/>
      <c r="AR42" s="65"/>
      <c r="AS42" s="65"/>
      <c r="AT42" s="65"/>
      <c r="AU42" s="65"/>
      <c r="AV42" s="65"/>
    </row>
    <row r="43" spans="1:48" ht="18.75">
      <c r="A43" s="89" t="s">
        <v>2153</v>
      </c>
      <c r="B43" s="89">
        <v>25</v>
      </c>
      <c r="C43" s="89">
        <v>2</v>
      </c>
      <c r="D43" s="88">
        <f t="shared" si="0"/>
        <v>25</v>
      </c>
      <c r="E43" s="89" t="s">
        <v>2082</v>
      </c>
      <c r="F43" s="90">
        <f t="shared" si="1"/>
        <v>25</v>
      </c>
      <c r="G43" s="89" t="s">
        <v>2081</v>
      </c>
      <c r="H43" s="90">
        <f t="shared" si="2"/>
        <v>0</v>
      </c>
      <c r="I43" s="89" t="s">
        <v>2080</v>
      </c>
      <c r="J43" s="90">
        <f t="shared" si="3"/>
        <v>0</v>
      </c>
      <c r="K43" s="89" t="s">
        <v>2079</v>
      </c>
      <c r="L43" s="88">
        <v>1</v>
      </c>
      <c r="U43" s="65"/>
      <c r="X43" s="79" t="s">
        <v>10474</v>
      </c>
      <c r="Y43" s="80">
        <v>21625.125</v>
      </c>
      <c r="Z43" s="81">
        <f t="shared" si="4"/>
        <v>21625.125</v>
      </c>
      <c r="AA43" s="79" t="s">
        <v>2082</v>
      </c>
      <c r="AB43" s="82">
        <f t="shared" si="5"/>
        <v>21625</v>
      </c>
      <c r="AC43" s="79" t="s">
        <v>2081</v>
      </c>
      <c r="AD43" s="82">
        <f t="shared" si="6"/>
        <v>1</v>
      </c>
      <c r="AE43" s="79" t="s">
        <v>2080</v>
      </c>
      <c r="AF43" s="82">
        <f t="shared" si="7"/>
        <v>2.5</v>
      </c>
      <c r="AG43" s="79" t="s">
        <v>2079</v>
      </c>
      <c r="AH43" s="81">
        <v>865</v>
      </c>
      <c r="AI43" s="65"/>
      <c r="AJ43" s="65"/>
      <c r="AK43" s="65"/>
      <c r="AL43" s="65"/>
      <c r="AM43" s="65"/>
      <c r="AN43" s="65"/>
      <c r="AO43" s="65"/>
      <c r="AP43" s="65"/>
      <c r="AQ43" s="65"/>
      <c r="AR43" s="65"/>
      <c r="AS43" s="65"/>
      <c r="AT43" s="65"/>
      <c r="AU43" s="65"/>
      <c r="AV43" s="65"/>
    </row>
    <row r="44" spans="1:48" ht="18.75">
      <c r="A44" s="89" t="s">
        <v>2154</v>
      </c>
      <c r="B44" s="89">
        <v>25</v>
      </c>
      <c r="C44" s="89">
        <v>3</v>
      </c>
      <c r="D44" s="88">
        <f t="shared" si="0"/>
        <v>25</v>
      </c>
      <c r="E44" s="89" t="s">
        <v>2082</v>
      </c>
      <c r="F44" s="90">
        <f t="shared" si="1"/>
        <v>25</v>
      </c>
      <c r="G44" s="89" t="s">
        <v>2081</v>
      </c>
      <c r="H44" s="90">
        <f t="shared" si="2"/>
        <v>0</v>
      </c>
      <c r="I44" s="89" t="s">
        <v>2080</v>
      </c>
      <c r="J44" s="90">
        <f t="shared" si="3"/>
        <v>0</v>
      </c>
      <c r="K44" s="89" t="s">
        <v>2079</v>
      </c>
      <c r="L44" s="88">
        <v>1</v>
      </c>
      <c r="U44" s="65"/>
      <c r="X44" s="79" t="s">
        <v>10475</v>
      </c>
      <c r="Y44" s="80">
        <v>2250</v>
      </c>
      <c r="Z44" s="81">
        <f t="shared" si="4"/>
        <v>2250</v>
      </c>
      <c r="AA44" s="79" t="s">
        <v>2082</v>
      </c>
      <c r="AB44" s="82">
        <f t="shared" si="5"/>
        <v>2250</v>
      </c>
      <c r="AC44" s="79" t="s">
        <v>2081</v>
      </c>
      <c r="AD44" s="82">
        <f t="shared" si="6"/>
        <v>0</v>
      </c>
      <c r="AE44" s="79" t="s">
        <v>2080</v>
      </c>
      <c r="AF44" s="82">
        <f t="shared" si="7"/>
        <v>0</v>
      </c>
      <c r="AG44" s="79" t="s">
        <v>2079</v>
      </c>
      <c r="AH44" s="81">
        <v>90</v>
      </c>
      <c r="AI44" s="65"/>
      <c r="AJ44" s="65"/>
      <c r="AK44" s="65"/>
      <c r="AL44" s="65"/>
      <c r="AM44" s="65"/>
      <c r="AN44" s="65"/>
      <c r="AO44" s="65"/>
      <c r="AP44" s="65"/>
      <c r="AQ44" s="65"/>
      <c r="AR44" s="65"/>
      <c r="AS44" s="65"/>
      <c r="AT44" s="65"/>
      <c r="AU44" s="65"/>
      <c r="AV44" s="65"/>
    </row>
    <row r="45" spans="1:48" ht="18.75">
      <c r="A45" s="89" t="s">
        <v>2155</v>
      </c>
      <c r="B45" s="89">
        <v>25</v>
      </c>
      <c r="C45" s="89">
        <v>2</v>
      </c>
      <c r="D45" s="88">
        <f t="shared" si="0"/>
        <v>25</v>
      </c>
      <c r="E45" s="89" t="s">
        <v>2082</v>
      </c>
      <c r="F45" s="90">
        <f t="shared" si="1"/>
        <v>25</v>
      </c>
      <c r="G45" s="89" t="s">
        <v>2081</v>
      </c>
      <c r="H45" s="90">
        <f t="shared" si="2"/>
        <v>0</v>
      </c>
      <c r="I45" s="89" t="s">
        <v>2080</v>
      </c>
      <c r="J45" s="90">
        <f t="shared" si="3"/>
        <v>0</v>
      </c>
      <c r="K45" s="89" t="s">
        <v>2079</v>
      </c>
      <c r="L45" s="88">
        <v>1</v>
      </c>
      <c r="U45" s="65"/>
      <c r="X45" s="79" t="s">
        <v>10476</v>
      </c>
      <c r="Y45" s="80">
        <v>337.625</v>
      </c>
      <c r="Z45" s="81">
        <f t="shared" si="4"/>
        <v>337.625</v>
      </c>
      <c r="AA45" s="79" t="s">
        <v>2082</v>
      </c>
      <c r="AB45" s="82">
        <f t="shared" si="5"/>
        <v>337</v>
      </c>
      <c r="AC45" s="79" t="s">
        <v>2081</v>
      </c>
      <c r="AD45" s="82">
        <f t="shared" si="6"/>
        <v>6</v>
      </c>
      <c r="AE45" s="79" t="s">
        <v>2080</v>
      </c>
      <c r="AF45" s="82">
        <f t="shared" si="7"/>
        <v>2.5</v>
      </c>
      <c r="AG45" s="79" t="s">
        <v>2079</v>
      </c>
      <c r="AH45" s="81">
        <v>13.5</v>
      </c>
      <c r="AI45" s="65"/>
      <c r="AJ45" s="65"/>
      <c r="AK45" s="65"/>
      <c r="AL45" s="65"/>
      <c r="AM45" s="65"/>
      <c r="AN45" s="65"/>
      <c r="AO45" s="65"/>
      <c r="AP45" s="65"/>
      <c r="AQ45" s="65"/>
      <c r="AR45" s="65"/>
      <c r="AS45" s="65"/>
      <c r="AT45" s="65"/>
      <c r="AU45" s="65"/>
      <c r="AV45" s="65"/>
    </row>
    <row r="46" spans="1:48" ht="18.75">
      <c r="A46" s="89" t="s">
        <v>2156</v>
      </c>
      <c r="B46" s="89">
        <v>25</v>
      </c>
      <c r="C46" s="89">
        <v>1</v>
      </c>
      <c r="D46" s="88">
        <f t="shared" si="0"/>
        <v>25</v>
      </c>
      <c r="E46" s="89" t="s">
        <v>2082</v>
      </c>
      <c r="F46" s="90">
        <f t="shared" si="1"/>
        <v>25</v>
      </c>
      <c r="G46" s="89" t="s">
        <v>2081</v>
      </c>
      <c r="H46" s="90">
        <f t="shared" si="2"/>
        <v>0</v>
      </c>
      <c r="I46" s="89" t="s">
        <v>2080</v>
      </c>
      <c r="J46" s="90">
        <f t="shared" si="3"/>
        <v>0</v>
      </c>
      <c r="K46" s="89" t="s">
        <v>2079</v>
      </c>
      <c r="L46" s="88">
        <v>1</v>
      </c>
      <c r="U46" s="65"/>
      <c r="X46" s="79" t="s">
        <v>10477</v>
      </c>
      <c r="Y46" s="80">
        <v>262.625</v>
      </c>
      <c r="Z46" s="81">
        <f t="shared" si="4"/>
        <v>262.625</v>
      </c>
      <c r="AA46" s="79" t="s">
        <v>2082</v>
      </c>
      <c r="AB46" s="82">
        <f t="shared" si="5"/>
        <v>262</v>
      </c>
      <c r="AC46" s="79" t="s">
        <v>2081</v>
      </c>
      <c r="AD46" s="82">
        <f t="shared" si="6"/>
        <v>6</v>
      </c>
      <c r="AE46" s="79" t="s">
        <v>2080</v>
      </c>
      <c r="AF46" s="82">
        <f t="shared" si="7"/>
        <v>2.5</v>
      </c>
      <c r="AG46" s="79" t="s">
        <v>2079</v>
      </c>
      <c r="AH46" s="81">
        <v>10.5</v>
      </c>
      <c r="AI46" s="65"/>
      <c r="AJ46" s="65"/>
      <c r="AK46" s="65"/>
      <c r="AL46" s="65"/>
      <c r="AM46" s="65"/>
      <c r="AN46" s="65"/>
      <c r="AO46" s="65"/>
      <c r="AP46" s="65"/>
      <c r="AQ46" s="65"/>
      <c r="AR46" s="65"/>
      <c r="AS46" s="65"/>
      <c r="AT46" s="65"/>
      <c r="AU46" s="65"/>
      <c r="AV46" s="65"/>
    </row>
    <row r="47" spans="1:48" ht="18.75">
      <c r="A47" s="89" t="s">
        <v>2157</v>
      </c>
      <c r="B47" s="89">
        <v>20</v>
      </c>
      <c r="C47" s="89">
        <v>9</v>
      </c>
      <c r="D47" s="88">
        <f t="shared" si="0"/>
        <v>20</v>
      </c>
      <c r="E47" s="89" t="s">
        <v>2082</v>
      </c>
      <c r="F47" s="90">
        <f t="shared" si="1"/>
        <v>20</v>
      </c>
      <c r="G47" s="89" t="s">
        <v>2081</v>
      </c>
      <c r="H47" s="90">
        <f t="shared" si="2"/>
        <v>0</v>
      </c>
      <c r="I47" s="89" t="s">
        <v>2080</v>
      </c>
      <c r="J47" s="90">
        <f t="shared" si="3"/>
        <v>0</v>
      </c>
      <c r="K47" s="89" t="s">
        <v>2079</v>
      </c>
      <c r="L47" s="88">
        <v>0.8</v>
      </c>
      <c r="U47" s="65"/>
      <c r="X47" s="79" t="s">
        <v>10478</v>
      </c>
      <c r="Y47" s="80">
        <v>300.125</v>
      </c>
      <c r="Z47" s="81">
        <f t="shared" si="4"/>
        <v>300.125</v>
      </c>
      <c r="AA47" s="79" t="s">
        <v>2082</v>
      </c>
      <c r="AB47" s="82">
        <f t="shared" si="5"/>
        <v>300</v>
      </c>
      <c r="AC47" s="79" t="s">
        <v>2081</v>
      </c>
      <c r="AD47" s="82">
        <f t="shared" si="6"/>
        <v>1</v>
      </c>
      <c r="AE47" s="79" t="s">
        <v>2080</v>
      </c>
      <c r="AF47" s="82">
        <f t="shared" si="7"/>
        <v>2.5</v>
      </c>
      <c r="AG47" s="79" t="s">
        <v>2079</v>
      </c>
      <c r="AH47" s="81">
        <v>12</v>
      </c>
      <c r="AI47" s="65"/>
      <c r="AJ47" s="65"/>
      <c r="AK47" s="65"/>
      <c r="AL47" s="65"/>
      <c r="AM47" s="65"/>
      <c r="AN47" s="65"/>
      <c r="AO47" s="65"/>
      <c r="AP47" s="65"/>
      <c r="AQ47" s="65"/>
      <c r="AR47" s="65"/>
      <c r="AS47" s="65"/>
      <c r="AT47" s="65"/>
      <c r="AU47" s="65"/>
      <c r="AV47" s="65"/>
    </row>
    <row r="48" spans="1:48" ht="18.75">
      <c r="A48" s="89" t="s">
        <v>2158</v>
      </c>
      <c r="B48" s="89">
        <v>20</v>
      </c>
      <c r="C48" s="89">
        <v>6</v>
      </c>
      <c r="D48" s="88">
        <f t="shared" si="0"/>
        <v>20</v>
      </c>
      <c r="E48" s="89" t="s">
        <v>2082</v>
      </c>
      <c r="F48" s="90">
        <f t="shared" si="1"/>
        <v>20</v>
      </c>
      <c r="G48" s="89" t="s">
        <v>2081</v>
      </c>
      <c r="H48" s="90">
        <f t="shared" si="2"/>
        <v>0</v>
      </c>
      <c r="I48" s="89" t="s">
        <v>2080</v>
      </c>
      <c r="J48" s="90">
        <f t="shared" si="3"/>
        <v>0</v>
      </c>
      <c r="K48" s="89" t="s">
        <v>2079</v>
      </c>
      <c r="L48" s="88">
        <v>0.8</v>
      </c>
      <c r="U48" s="65"/>
      <c r="X48" s="79" t="s">
        <v>10479</v>
      </c>
      <c r="Y48" s="80">
        <v>325.25</v>
      </c>
      <c r="Z48" s="81">
        <f t="shared" si="4"/>
        <v>325.25</v>
      </c>
      <c r="AA48" s="79" t="s">
        <v>2082</v>
      </c>
      <c r="AB48" s="82">
        <f t="shared" si="5"/>
        <v>325</v>
      </c>
      <c r="AC48" s="79" t="s">
        <v>2081</v>
      </c>
      <c r="AD48" s="82">
        <f t="shared" si="6"/>
        <v>2</v>
      </c>
      <c r="AE48" s="79" t="s">
        <v>2080</v>
      </c>
      <c r="AF48" s="82">
        <f t="shared" si="7"/>
        <v>5</v>
      </c>
      <c r="AG48" s="79" t="s">
        <v>2079</v>
      </c>
      <c r="AH48" s="81">
        <v>13.01</v>
      </c>
      <c r="AI48" s="65"/>
      <c r="AJ48" s="65"/>
      <c r="AK48" s="65"/>
      <c r="AL48" s="65"/>
      <c r="AM48" s="65"/>
      <c r="AN48" s="65"/>
      <c r="AO48" s="65"/>
      <c r="AP48" s="65"/>
      <c r="AQ48" s="65"/>
      <c r="AR48" s="65"/>
      <c r="AS48" s="65"/>
      <c r="AT48" s="65"/>
      <c r="AU48" s="65"/>
      <c r="AV48" s="65"/>
    </row>
    <row r="49" spans="1:48" ht="18.75">
      <c r="A49" s="89" t="s">
        <v>2159</v>
      </c>
      <c r="B49" s="89">
        <v>20</v>
      </c>
      <c r="C49" s="89">
        <v>6</v>
      </c>
      <c r="D49" s="88">
        <f t="shared" si="0"/>
        <v>20</v>
      </c>
      <c r="E49" s="89" t="s">
        <v>2082</v>
      </c>
      <c r="F49" s="90">
        <f t="shared" si="1"/>
        <v>20</v>
      </c>
      <c r="G49" s="89" t="s">
        <v>2081</v>
      </c>
      <c r="H49" s="90">
        <f t="shared" si="2"/>
        <v>0</v>
      </c>
      <c r="I49" s="89" t="s">
        <v>2080</v>
      </c>
      <c r="J49" s="90">
        <f t="shared" si="3"/>
        <v>0</v>
      </c>
      <c r="K49" s="89" t="s">
        <v>2079</v>
      </c>
      <c r="L49" s="88">
        <v>0.8</v>
      </c>
      <c r="Q49" s="65"/>
      <c r="R49" s="65"/>
      <c r="S49" s="65"/>
      <c r="T49" s="65"/>
      <c r="U49" s="65"/>
      <c r="X49" s="79" t="s">
        <v>10479</v>
      </c>
      <c r="Y49" s="80">
        <v>60</v>
      </c>
      <c r="Z49" s="81">
        <f t="shared" si="4"/>
        <v>60</v>
      </c>
      <c r="AA49" s="79" t="s">
        <v>2082</v>
      </c>
      <c r="AB49" s="82">
        <f t="shared" si="5"/>
        <v>60</v>
      </c>
      <c r="AC49" s="79" t="s">
        <v>2081</v>
      </c>
      <c r="AD49" s="82">
        <f t="shared" si="6"/>
        <v>0</v>
      </c>
      <c r="AE49" s="79" t="s">
        <v>2080</v>
      </c>
      <c r="AF49" s="82">
        <f t="shared" si="7"/>
        <v>0</v>
      </c>
      <c r="AG49" s="79" t="s">
        <v>2079</v>
      </c>
      <c r="AH49" s="81">
        <v>2.4</v>
      </c>
      <c r="AI49" s="65"/>
      <c r="AJ49" s="65"/>
      <c r="AK49" s="65"/>
      <c r="AL49" s="65"/>
      <c r="AM49" s="65"/>
      <c r="AN49" s="65"/>
      <c r="AO49" s="65"/>
      <c r="AP49" s="65"/>
      <c r="AQ49" s="65"/>
      <c r="AR49" s="65"/>
      <c r="AS49" s="65"/>
      <c r="AT49" s="65"/>
      <c r="AU49" s="65"/>
      <c r="AV49" s="65"/>
    </row>
    <row r="50" spans="1:48" ht="18.75">
      <c r="A50" s="89" t="s">
        <v>2160</v>
      </c>
      <c r="B50" s="89">
        <v>20</v>
      </c>
      <c r="C50" s="89">
        <v>3</v>
      </c>
      <c r="D50" s="88">
        <f t="shared" si="0"/>
        <v>20</v>
      </c>
      <c r="E50" s="89" t="s">
        <v>2082</v>
      </c>
      <c r="F50" s="90">
        <f t="shared" si="1"/>
        <v>20</v>
      </c>
      <c r="G50" s="89" t="s">
        <v>2081</v>
      </c>
      <c r="H50" s="90">
        <f t="shared" si="2"/>
        <v>0</v>
      </c>
      <c r="I50" s="89" t="s">
        <v>2080</v>
      </c>
      <c r="J50" s="90">
        <f t="shared" si="3"/>
        <v>0</v>
      </c>
      <c r="K50" s="89" t="s">
        <v>2079</v>
      </c>
      <c r="L50" s="88">
        <v>0.8</v>
      </c>
      <c r="Q50" s="65"/>
      <c r="R50" s="65"/>
      <c r="S50" s="65"/>
      <c r="T50" s="65"/>
      <c r="U50" s="65"/>
      <c r="X50" s="79" t="s">
        <v>10480</v>
      </c>
      <c r="Y50" s="80">
        <v>5637.625</v>
      </c>
      <c r="Z50" s="81">
        <f t="shared" si="4"/>
        <v>5637.625</v>
      </c>
      <c r="AA50" s="79" t="s">
        <v>2082</v>
      </c>
      <c r="AB50" s="82">
        <f t="shared" si="5"/>
        <v>5637</v>
      </c>
      <c r="AC50" s="79" t="s">
        <v>2081</v>
      </c>
      <c r="AD50" s="82">
        <f t="shared" si="6"/>
        <v>6</v>
      </c>
      <c r="AE50" s="79" t="s">
        <v>2080</v>
      </c>
      <c r="AF50" s="82">
        <f t="shared" si="7"/>
        <v>2.5</v>
      </c>
      <c r="AG50" s="79" t="s">
        <v>2079</v>
      </c>
      <c r="AH50" s="81">
        <v>225.5</v>
      </c>
      <c r="AI50" s="65"/>
      <c r="AJ50" s="65"/>
      <c r="AK50" s="65"/>
      <c r="AL50" s="65"/>
      <c r="AM50" s="65"/>
      <c r="AN50" s="65"/>
      <c r="AO50" s="65"/>
      <c r="AP50" s="65"/>
      <c r="AQ50" s="65"/>
      <c r="AR50" s="65"/>
      <c r="AS50" s="65"/>
      <c r="AT50" s="65"/>
      <c r="AU50" s="65"/>
      <c r="AV50" s="65"/>
    </row>
    <row r="51" spans="1:48" ht="18.75">
      <c r="A51" s="89" t="s">
        <v>2161</v>
      </c>
      <c r="B51" s="89">
        <v>20</v>
      </c>
      <c r="C51" s="89">
        <v>8</v>
      </c>
      <c r="D51" s="88">
        <f t="shared" si="0"/>
        <v>20</v>
      </c>
      <c r="E51" s="89" t="s">
        <v>2082</v>
      </c>
      <c r="F51" s="90">
        <f t="shared" si="1"/>
        <v>20</v>
      </c>
      <c r="G51" s="89" t="s">
        <v>2081</v>
      </c>
      <c r="H51" s="90">
        <f t="shared" si="2"/>
        <v>0</v>
      </c>
      <c r="I51" s="89" t="s">
        <v>2080</v>
      </c>
      <c r="J51" s="90">
        <f t="shared" si="3"/>
        <v>0</v>
      </c>
      <c r="K51" s="89" t="s">
        <v>2079</v>
      </c>
      <c r="L51" s="88">
        <v>0.8</v>
      </c>
      <c r="Q51" s="65"/>
      <c r="R51" s="65"/>
      <c r="S51" s="65"/>
      <c r="T51" s="65"/>
      <c r="U51" s="65"/>
      <c r="X51" s="79" t="s">
        <v>10481</v>
      </c>
      <c r="Y51" s="80">
        <v>3862.625</v>
      </c>
      <c r="Z51" s="81">
        <f t="shared" si="4"/>
        <v>3862.625</v>
      </c>
      <c r="AA51" s="79" t="s">
        <v>2082</v>
      </c>
      <c r="AB51" s="82">
        <f t="shared" si="5"/>
        <v>3862</v>
      </c>
      <c r="AC51" s="79" t="s">
        <v>2081</v>
      </c>
      <c r="AD51" s="82">
        <f t="shared" si="6"/>
        <v>6</v>
      </c>
      <c r="AE51" s="79" t="s">
        <v>2080</v>
      </c>
      <c r="AF51" s="82">
        <f t="shared" si="7"/>
        <v>2.5</v>
      </c>
      <c r="AG51" s="79" t="s">
        <v>2079</v>
      </c>
      <c r="AH51" s="81">
        <v>154.5</v>
      </c>
      <c r="AI51" s="65"/>
      <c r="AJ51" s="65"/>
      <c r="AK51" s="65"/>
      <c r="AL51" s="65"/>
      <c r="AM51" s="65"/>
      <c r="AN51" s="65"/>
      <c r="AO51" s="65"/>
      <c r="AP51" s="65"/>
      <c r="AQ51" s="65"/>
      <c r="AR51" s="65"/>
      <c r="AS51" s="65"/>
      <c r="AT51" s="65"/>
      <c r="AU51" s="65"/>
      <c r="AV51" s="65"/>
    </row>
    <row r="52" spans="1:48" ht="18.75">
      <c r="A52" s="89" t="s">
        <v>2162</v>
      </c>
      <c r="B52" s="89">
        <v>15</v>
      </c>
      <c r="C52" s="89">
        <v>6</v>
      </c>
      <c r="D52" s="88">
        <f t="shared" si="0"/>
        <v>15</v>
      </c>
      <c r="E52" s="89" t="s">
        <v>2082</v>
      </c>
      <c r="F52" s="90">
        <f t="shared" si="1"/>
        <v>15</v>
      </c>
      <c r="G52" s="89" t="s">
        <v>2081</v>
      </c>
      <c r="H52" s="90">
        <f t="shared" si="2"/>
        <v>0</v>
      </c>
      <c r="I52" s="89" t="s">
        <v>2080</v>
      </c>
      <c r="J52" s="90">
        <f t="shared" si="3"/>
        <v>0</v>
      </c>
      <c r="K52" s="89" t="s">
        <v>2079</v>
      </c>
      <c r="L52" s="88">
        <v>0.6</v>
      </c>
      <c r="Q52" s="65"/>
      <c r="R52" s="65"/>
      <c r="S52" s="65"/>
      <c r="T52" s="65"/>
      <c r="U52" s="65"/>
      <c r="X52" s="79" t="s">
        <v>10482</v>
      </c>
      <c r="Y52" s="80">
        <v>18625.125</v>
      </c>
      <c r="Z52" s="81">
        <f t="shared" si="4"/>
        <v>18625.125</v>
      </c>
      <c r="AA52" s="79" t="s">
        <v>2082</v>
      </c>
      <c r="AB52" s="82">
        <f t="shared" si="5"/>
        <v>18625</v>
      </c>
      <c r="AC52" s="79" t="s">
        <v>2081</v>
      </c>
      <c r="AD52" s="82">
        <f t="shared" si="6"/>
        <v>1</v>
      </c>
      <c r="AE52" s="79" t="s">
        <v>2080</v>
      </c>
      <c r="AF52" s="82">
        <f t="shared" si="7"/>
        <v>2.5</v>
      </c>
      <c r="AG52" s="79" t="s">
        <v>2079</v>
      </c>
      <c r="AH52" s="81">
        <v>745</v>
      </c>
      <c r="AI52" s="65"/>
      <c r="AJ52" s="65"/>
      <c r="AK52" s="65"/>
      <c r="AL52" s="65"/>
      <c r="AM52" s="65"/>
      <c r="AN52" s="65"/>
      <c r="AO52" s="65"/>
      <c r="AP52" s="65"/>
      <c r="AQ52" s="65"/>
      <c r="AR52" s="65"/>
      <c r="AS52" s="65"/>
      <c r="AT52" s="65"/>
      <c r="AU52" s="65"/>
      <c r="AV52" s="65"/>
    </row>
    <row r="53" spans="1:48" ht="18.75">
      <c r="A53" s="89" t="s">
        <v>2163</v>
      </c>
      <c r="B53" s="89">
        <v>15</v>
      </c>
      <c r="C53" s="89">
        <v>6</v>
      </c>
      <c r="D53" s="88">
        <f t="shared" si="0"/>
        <v>15</v>
      </c>
      <c r="E53" s="89" t="s">
        <v>2082</v>
      </c>
      <c r="F53" s="90">
        <f t="shared" si="1"/>
        <v>15</v>
      </c>
      <c r="G53" s="89" t="s">
        <v>2081</v>
      </c>
      <c r="H53" s="90">
        <f t="shared" si="2"/>
        <v>0</v>
      </c>
      <c r="I53" s="89" t="s">
        <v>2080</v>
      </c>
      <c r="J53" s="90">
        <f t="shared" si="3"/>
        <v>0</v>
      </c>
      <c r="K53" s="89" t="s">
        <v>2079</v>
      </c>
      <c r="L53" s="88">
        <v>0.6</v>
      </c>
      <c r="Q53" s="65"/>
      <c r="R53" s="65"/>
      <c r="S53" s="65"/>
      <c r="T53" s="65"/>
      <c r="U53" s="65"/>
      <c r="X53" s="79" t="s">
        <v>10483</v>
      </c>
      <c r="Y53" s="80">
        <v>1980</v>
      </c>
      <c r="Z53" s="81">
        <f t="shared" si="4"/>
        <v>1980</v>
      </c>
      <c r="AA53" s="79" t="s">
        <v>2082</v>
      </c>
      <c r="AB53" s="82">
        <f t="shared" si="5"/>
        <v>1980</v>
      </c>
      <c r="AC53" s="79" t="s">
        <v>2081</v>
      </c>
      <c r="AD53" s="82">
        <f t="shared" si="6"/>
        <v>0</v>
      </c>
      <c r="AE53" s="79" t="s">
        <v>2080</v>
      </c>
      <c r="AF53" s="82">
        <f t="shared" si="7"/>
        <v>0</v>
      </c>
      <c r="AG53" s="79" t="s">
        <v>2079</v>
      </c>
      <c r="AH53" s="81">
        <v>79.2</v>
      </c>
      <c r="AI53" s="65"/>
      <c r="AJ53" s="65"/>
      <c r="AK53" s="65"/>
      <c r="AL53" s="65"/>
      <c r="AM53" s="65"/>
      <c r="AN53" s="65"/>
      <c r="AO53" s="65"/>
      <c r="AP53" s="65"/>
      <c r="AQ53" s="65"/>
      <c r="AR53" s="65"/>
      <c r="AS53" s="65"/>
      <c r="AT53" s="65"/>
      <c r="AU53" s="65"/>
      <c r="AV53" s="65"/>
    </row>
    <row r="54" spans="1:48" ht="18.75">
      <c r="A54" s="89" t="s">
        <v>2164</v>
      </c>
      <c r="B54" s="89">
        <v>15</v>
      </c>
      <c r="C54" s="89">
        <v>5</v>
      </c>
      <c r="D54" s="88">
        <f t="shared" si="0"/>
        <v>15</v>
      </c>
      <c r="E54" s="89" t="s">
        <v>2082</v>
      </c>
      <c r="F54" s="90">
        <f t="shared" si="1"/>
        <v>15</v>
      </c>
      <c r="G54" s="89" t="s">
        <v>2081</v>
      </c>
      <c r="H54" s="90">
        <f t="shared" si="2"/>
        <v>0</v>
      </c>
      <c r="I54" s="89" t="s">
        <v>2080</v>
      </c>
      <c r="J54" s="90">
        <f t="shared" si="3"/>
        <v>0</v>
      </c>
      <c r="K54" s="89" t="s">
        <v>2079</v>
      </c>
      <c r="L54" s="88">
        <v>0.6</v>
      </c>
      <c r="Q54" s="65"/>
      <c r="R54" s="65"/>
      <c r="S54" s="65"/>
      <c r="T54" s="65"/>
      <c r="U54" s="65"/>
      <c r="X54" s="79" t="s">
        <v>10484</v>
      </c>
      <c r="Y54" s="80">
        <v>42.5</v>
      </c>
      <c r="Z54" s="81">
        <f t="shared" si="4"/>
        <v>42.5</v>
      </c>
      <c r="AA54" s="79" t="s">
        <v>2082</v>
      </c>
      <c r="AB54" s="82">
        <f t="shared" si="5"/>
        <v>42</v>
      </c>
      <c r="AC54" s="79" t="s">
        <v>2081</v>
      </c>
      <c r="AD54" s="82">
        <f t="shared" si="6"/>
        <v>5</v>
      </c>
      <c r="AE54" s="79" t="s">
        <v>2080</v>
      </c>
      <c r="AF54" s="82">
        <f t="shared" si="7"/>
        <v>0</v>
      </c>
      <c r="AG54" s="79" t="s">
        <v>2079</v>
      </c>
      <c r="AH54" s="81">
        <v>1.7</v>
      </c>
      <c r="AI54" s="65"/>
      <c r="AJ54" s="65"/>
      <c r="AK54" s="65"/>
      <c r="AL54" s="65"/>
      <c r="AM54" s="65"/>
      <c r="AN54" s="65"/>
      <c r="AO54" s="65"/>
      <c r="AP54" s="65"/>
      <c r="AQ54" s="65"/>
      <c r="AR54" s="65"/>
      <c r="AS54" s="65"/>
      <c r="AT54" s="65"/>
      <c r="AU54" s="65"/>
      <c r="AV54" s="65"/>
    </row>
    <row r="55" spans="1:48" ht="18.75">
      <c r="A55" s="89" t="s">
        <v>2165</v>
      </c>
      <c r="B55" s="89">
        <v>15</v>
      </c>
      <c r="C55" s="89">
        <v>3</v>
      </c>
      <c r="D55" s="88">
        <f t="shared" si="0"/>
        <v>15</v>
      </c>
      <c r="E55" s="89" t="s">
        <v>2082</v>
      </c>
      <c r="F55" s="90">
        <f t="shared" si="1"/>
        <v>15</v>
      </c>
      <c r="G55" s="89" t="s">
        <v>2081</v>
      </c>
      <c r="H55" s="90">
        <f t="shared" si="2"/>
        <v>0</v>
      </c>
      <c r="I55" s="89" t="s">
        <v>2080</v>
      </c>
      <c r="J55" s="90">
        <f t="shared" si="3"/>
        <v>0</v>
      </c>
      <c r="K55" s="89" t="s">
        <v>2079</v>
      </c>
      <c r="L55" s="88">
        <v>0.6</v>
      </c>
      <c r="Q55" s="65"/>
      <c r="R55" s="65"/>
      <c r="S55" s="65"/>
      <c r="T55" s="65"/>
      <c r="U55" s="65"/>
      <c r="X55" s="79" t="s">
        <v>10485</v>
      </c>
      <c r="Y55" s="80">
        <v>42.5</v>
      </c>
      <c r="Z55" s="81">
        <f t="shared" si="4"/>
        <v>42.5</v>
      </c>
      <c r="AA55" s="79" t="s">
        <v>2082</v>
      </c>
      <c r="AB55" s="82">
        <f t="shared" si="5"/>
        <v>42</v>
      </c>
      <c r="AC55" s="79" t="s">
        <v>2081</v>
      </c>
      <c r="AD55" s="82">
        <f t="shared" si="6"/>
        <v>5</v>
      </c>
      <c r="AE55" s="79" t="s">
        <v>2080</v>
      </c>
      <c r="AF55" s="82">
        <f t="shared" si="7"/>
        <v>0</v>
      </c>
      <c r="AG55" s="79" t="s">
        <v>2079</v>
      </c>
      <c r="AH55" s="81">
        <v>1.7</v>
      </c>
      <c r="AI55" s="65"/>
      <c r="AJ55" s="65"/>
      <c r="AK55" s="65"/>
      <c r="AL55" s="65"/>
      <c r="AM55" s="65"/>
      <c r="AN55" s="65"/>
      <c r="AO55" s="65"/>
      <c r="AP55" s="65"/>
      <c r="AQ55" s="65"/>
      <c r="AR55" s="65"/>
      <c r="AS55" s="65"/>
      <c r="AT55" s="65"/>
      <c r="AU55" s="65"/>
      <c r="AV55" s="65"/>
    </row>
    <row r="56" spans="1:48" ht="18.75">
      <c r="A56" s="89" t="s">
        <v>2166</v>
      </c>
      <c r="B56" s="89">
        <v>15</v>
      </c>
      <c r="C56" s="89">
        <v>4</v>
      </c>
      <c r="D56" s="88">
        <f t="shared" si="0"/>
        <v>15</v>
      </c>
      <c r="E56" s="89" t="s">
        <v>2082</v>
      </c>
      <c r="F56" s="90">
        <f t="shared" si="1"/>
        <v>15</v>
      </c>
      <c r="G56" s="89" t="s">
        <v>2081</v>
      </c>
      <c r="H56" s="90">
        <f t="shared" si="2"/>
        <v>0</v>
      </c>
      <c r="I56" s="89" t="s">
        <v>2080</v>
      </c>
      <c r="J56" s="90">
        <f t="shared" si="3"/>
        <v>0</v>
      </c>
      <c r="K56" s="89" t="s">
        <v>2079</v>
      </c>
      <c r="L56" s="88">
        <v>0.6</v>
      </c>
      <c r="Q56" s="65"/>
      <c r="R56" s="65"/>
      <c r="S56" s="65"/>
      <c r="T56" s="65"/>
      <c r="U56" s="65"/>
      <c r="X56" s="79" t="s">
        <v>10486</v>
      </c>
      <c r="Y56" s="80">
        <v>81750.25</v>
      </c>
      <c r="Z56" s="81">
        <f t="shared" si="4"/>
        <v>81750.25</v>
      </c>
      <c r="AA56" s="79" t="s">
        <v>2082</v>
      </c>
      <c r="AB56" s="82">
        <f t="shared" si="5"/>
        <v>81750</v>
      </c>
      <c r="AC56" s="79" t="s">
        <v>2081</v>
      </c>
      <c r="AD56" s="82">
        <f t="shared" si="6"/>
        <v>2</v>
      </c>
      <c r="AE56" s="79" t="s">
        <v>2080</v>
      </c>
      <c r="AF56" s="82">
        <f t="shared" si="7"/>
        <v>5</v>
      </c>
      <c r="AG56" s="79" t="s">
        <v>2079</v>
      </c>
      <c r="AH56" s="81">
        <v>3270.01</v>
      </c>
      <c r="AI56" s="65"/>
      <c r="AJ56" s="65"/>
      <c r="AK56" s="65"/>
      <c r="AL56" s="65"/>
      <c r="AM56" s="65"/>
      <c r="AN56" s="65"/>
      <c r="AO56" s="65"/>
      <c r="AP56" s="65"/>
      <c r="AQ56" s="65"/>
      <c r="AR56" s="65"/>
      <c r="AS56" s="65"/>
      <c r="AT56" s="65"/>
      <c r="AU56" s="65"/>
      <c r="AV56" s="65"/>
    </row>
    <row r="57" spans="1:48" ht="18.75">
      <c r="A57" s="89" t="s">
        <v>2167</v>
      </c>
      <c r="B57" s="89">
        <v>15</v>
      </c>
      <c r="C57" s="89">
        <v>2</v>
      </c>
      <c r="D57" s="88">
        <f t="shared" si="0"/>
        <v>15</v>
      </c>
      <c r="E57" s="89" t="s">
        <v>2082</v>
      </c>
      <c r="F57" s="90">
        <f t="shared" si="1"/>
        <v>15</v>
      </c>
      <c r="G57" s="89" t="s">
        <v>2081</v>
      </c>
      <c r="H57" s="90">
        <f t="shared" si="2"/>
        <v>0</v>
      </c>
      <c r="I57" s="89" t="s">
        <v>2080</v>
      </c>
      <c r="J57" s="90">
        <f t="shared" si="3"/>
        <v>0</v>
      </c>
      <c r="K57" s="89" t="s">
        <v>2079</v>
      </c>
      <c r="L57" s="88">
        <v>0.6</v>
      </c>
      <c r="Q57" s="65"/>
      <c r="R57" s="65"/>
      <c r="S57" s="65"/>
      <c r="T57" s="65"/>
      <c r="U57" s="65"/>
      <c r="X57" s="79" t="s">
        <v>10487</v>
      </c>
      <c r="Y57" s="80">
        <v>6875.25</v>
      </c>
      <c r="Z57" s="81">
        <f t="shared" si="4"/>
        <v>6875.25</v>
      </c>
      <c r="AA57" s="79" t="s">
        <v>2082</v>
      </c>
      <c r="AB57" s="82">
        <f t="shared" si="5"/>
        <v>6875</v>
      </c>
      <c r="AC57" s="79" t="s">
        <v>2081</v>
      </c>
      <c r="AD57" s="82">
        <f t="shared" si="6"/>
        <v>2</v>
      </c>
      <c r="AE57" s="79" t="s">
        <v>2080</v>
      </c>
      <c r="AF57" s="82">
        <f t="shared" si="7"/>
        <v>5</v>
      </c>
      <c r="AG57" s="79" t="s">
        <v>2079</v>
      </c>
      <c r="AH57" s="81">
        <v>275.01</v>
      </c>
      <c r="AI57" s="65"/>
      <c r="AJ57" s="65"/>
      <c r="AK57" s="65"/>
      <c r="AL57" s="65"/>
      <c r="AM57" s="65"/>
      <c r="AN57" s="65"/>
      <c r="AO57" s="65"/>
      <c r="AP57" s="65"/>
      <c r="AQ57" s="65"/>
      <c r="AR57" s="65"/>
      <c r="AS57" s="65"/>
      <c r="AT57" s="65"/>
      <c r="AU57" s="65"/>
      <c r="AV57" s="65"/>
    </row>
    <row r="58" spans="1:48" ht="18.75">
      <c r="A58" s="89" t="s">
        <v>2168</v>
      </c>
      <c r="B58" s="89">
        <v>12</v>
      </c>
      <c r="C58" s="89">
        <v>2</v>
      </c>
      <c r="D58" s="88">
        <f t="shared" si="0"/>
        <v>12</v>
      </c>
      <c r="E58" s="89" t="s">
        <v>2082</v>
      </c>
      <c r="F58" s="90">
        <f t="shared" si="1"/>
        <v>12</v>
      </c>
      <c r="G58" s="89" t="s">
        <v>2081</v>
      </c>
      <c r="H58" s="90">
        <f t="shared" si="2"/>
        <v>0</v>
      </c>
      <c r="I58" s="89" t="s">
        <v>2080</v>
      </c>
      <c r="J58" s="90">
        <f t="shared" si="3"/>
        <v>0</v>
      </c>
      <c r="K58" s="89" t="s">
        <v>2079</v>
      </c>
      <c r="L58" s="88">
        <v>0.48</v>
      </c>
      <c r="Q58" s="65"/>
      <c r="R58" s="65"/>
      <c r="S58" s="65"/>
      <c r="T58" s="65"/>
      <c r="U58" s="65"/>
      <c r="X58" s="79" t="s">
        <v>10488</v>
      </c>
      <c r="Y58" s="80">
        <v>5500</v>
      </c>
      <c r="Z58" s="81">
        <f t="shared" si="4"/>
        <v>5500</v>
      </c>
      <c r="AA58" s="79" t="s">
        <v>2082</v>
      </c>
      <c r="AB58" s="82">
        <f t="shared" si="5"/>
        <v>5500</v>
      </c>
      <c r="AC58" s="79" t="s">
        <v>2081</v>
      </c>
      <c r="AD58" s="82">
        <f t="shared" si="6"/>
        <v>0</v>
      </c>
      <c r="AE58" s="79" t="s">
        <v>2080</v>
      </c>
      <c r="AF58" s="82">
        <f t="shared" si="7"/>
        <v>0</v>
      </c>
      <c r="AG58" s="79" t="s">
        <v>2079</v>
      </c>
      <c r="AH58" s="81">
        <v>220</v>
      </c>
      <c r="AI58" s="65"/>
      <c r="AJ58" s="65"/>
      <c r="AK58" s="65"/>
      <c r="AL58" s="65"/>
      <c r="AM58" s="65"/>
      <c r="AN58" s="65"/>
      <c r="AO58" s="65"/>
      <c r="AP58" s="65"/>
      <c r="AQ58" s="65"/>
      <c r="AR58" s="65"/>
      <c r="AS58" s="65"/>
      <c r="AT58" s="65"/>
      <c r="AU58" s="65"/>
      <c r="AV58" s="65"/>
    </row>
    <row r="59" spans="1:48" ht="18.75">
      <c r="A59" s="89" t="s">
        <v>2169</v>
      </c>
      <c r="B59" s="89">
        <v>10</v>
      </c>
      <c r="C59" s="89">
        <v>4</v>
      </c>
      <c r="D59" s="88">
        <f t="shared" si="0"/>
        <v>10</v>
      </c>
      <c r="E59" s="89" t="s">
        <v>2082</v>
      </c>
      <c r="F59" s="90">
        <f t="shared" si="1"/>
        <v>10</v>
      </c>
      <c r="G59" s="89" t="s">
        <v>2081</v>
      </c>
      <c r="H59" s="90">
        <f t="shared" si="2"/>
        <v>0</v>
      </c>
      <c r="I59" s="89" t="s">
        <v>2080</v>
      </c>
      <c r="J59" s="90">
        <f t="shared" si="3"/>
        <v>0</v>
      </c>
      <c r="K59" s="89" t="s">
        <v>2079</v>
      </c>
      <c r="L59" s="88">
        <v>0.4</v>
      </c>
      <c r="Q59" s="65"/>
      <c r="R59" s="65"/>
      <c r="S59" s="65"/>
      <c r="T59" s="65"/>
      <c r="U59" s="65"/>
      <c r="X59" s="79" t="s">
        <v>10489</v>
      </c>
      <c r="Y59" s="80">
        <v>89250.25</v>
      </c>
      <c r="Z59" s="81">
        <f t="shared" si="4"/>
        <v>89250.25</v>
      </c>
      <c r="AA59" s="79" t="s">
        <v>2082</v>
      </c>
      <c r="AB59" s="82">
        <f t="shared" si="5"/>
        <v>89250</v>
      </c>
      <c r="AC59" s="79" t="s">
        <v>2081</v>
      </c>
      <c r="AD59" s="82">
        <f t="shared" si="6"/>
        <v>2</v>
      </c>
      <c r="AE59" s="79" t="s">
        <v>2080</v>
      </c>
      <c r="AF59" s="82">
        <f t="shared" si="7"/>
        <v>5</v>
      </c>
      <c r="AG59" s="79" t="s">
        <v>2079</v>
      </c>
      <c r="AH59" s="81">
        <v>3570.01</v>
      </c>
      <c r="AI59" s="65"/>
      <c r="AJ59" s="65"/>
      <c r="AK59" s="65"/>
      <c r="AL59" s="65"/>
      <c r="AM59" s="65"/>
      <c r="AN59" s="65"/>
      <c r="AO59" s="65"/>
      <c r="AP59" s="65"/>
      <c r="AQ59" s="65"/>
      <c r="AR59" s="65"/>
      <c r="AS59" s="65"/>
      <c r="AT59" s="65"/>
      <c r="AU59" s="65"/>
      <c r="AV59" s="65"/>
    </row>
    <row r="60" spans="1:48" ht="18.75">
      <c r="A60" s="89" t="s">
        <v>2170</v>
      </c>
      <c r="B60" s="89">
        <v>10</v>
      </c>
      <c r="C60" s="89">
        <v>1</v>
      </c>
      <c r="D60" s="88">
        <f t="shared" si="0"/>
        <v>10</v>
      </c>
      <c r="E60" s="89" t="s">
        <v>2082</v>
      </c>
      <c r="F60" s="90">
        <f t="shared" si="1"/>
        <v>10</v>
      </c>
      <c r="G60" s="89" t="s">
        <v>2081</v>
      </c>
      <c r="H60" s="90">
        <f t="shared" si="2"/>
        <v>0</v>
      </c>
      <c r="I60" s="89" t="s">
        <v>2080</v>
      </c>
      <c r="J60" s="90">
        <f t="shared" si="3"/>
        <v>0</v>
      </c>
      <c r="K60" s="89" t="s">
        <v>2079</v>
      </c>
      <c r="L60" s="88">
        <v>0.4</v>
      </c>
      <c r="Q60" s="65"/>
      <c r="R60" s="65"/>
      <c r="S60" s="65"/>
      <c r="T60" s="65"/>
      <c r="U60" s="65"/>
      <c r="X60" s="79" t="s">
        <v>10490</v>
      </c>
      <c r="Y60" s="80">
        <v>33625.125</v>
      </c>
      <c r="Z60" s="81">
        <f t="shared" si="4"/>
        <v>33625.125</v>
      </c>
      <c r="AA60" s="79" t="s">
        <v>2082</v>
      </c>
      <c r="AB60" s="82">
        <f t="shared" si="5"/>
        <v>33625</v>
      </c>
      <c r="AC60" s="79" t="s">
        <v>2081</v>
      </c>
      <c r="AD60" s="82">
        <f t="shared" si="6"/>
        <v>1</v>
      </c>
      <c r="AE60" s="79" t="s">
        <v>2080</v>
      </c>
      <c r="AF60" s="82">
        <f t="shared" si="7"/>
        <v>2.5</v>
      </c>
      <c r="AG60" s="79" t="s">
        <v>2079</v>
      </c>
      <c r="AH60" s="81">
        <v>1345</v>
      </c>
      <c r="AI60" s="65"/>
      <c r="AJ60" s="65"/>
      <c r="AK60" s="65"/>
      <c r="AL60" s="65"/>
      <c r="AM60" s="65"/>
      <c r="AN60" s="65"/>
      <c r="AO60" s="65"/>
      <c r="AP60" s="65"/>
      <c r="AQ60" s="65"/>
      <c r="AR60" s="65"/>
      <c r="AS60" s="65"/>
      <c r="AT60" s="65"/>
      <c r="AU60" s="65"/>
      <c r="AV60" s="65"/>
    </row>
    <row r="61" spans="1:48" ht="18.75">
      <c r="A61" s="89" t="s">
        <v>2171</v>
      </c>
      <c r="B61" s="89">
        <v>10</v>
      </c>
      <c r="C61" s="89">
        <v>5</v>
      </c>
      <c r="D61" s="88">
        <f t="shared" si="0"/>
        <v>10</v>
      </c>
      <c r="E61" s="89" t="s">
        <v>2082</v>
      </c>
      <c r="F61" s="90">
        <f t="shared" si="1"/>
        <v>10</v>
      </c>
      <c r="G61" s="89" t="s">
        <v>2081</v>
      </c>
      <c r="H61" s="90">
        <f t="shared" si="2"/>
        <v>0</v>
      </c>
      <c r="I61" s="89" t="s">
        <v>2080</v>
      </c>
      <c r="J61" s="90">
        <f t="shared" si="3"/>
        <v>0</v>
      </c>
      <c r="K61" s="89" t="s">
        <v>2079</v>
      </c>
      <c r="L61" s="88">
        <v>0.4</v>
      </c>
      <c r="Q61" s="65"/>
      <c r="R61" s="65"/>
      <c r="S61" s="65"/>
      <c r="T61" s="65"/>
      <c r="U61" s="65"/>
      <c r="X61" s="79" t="s">
        <v>10491</v>
      </c>
      <c r="Y61" s="80">
        <v>5437.625</v>
      </c>
      <c r="Z61" s="81">
        <f t="shared" si="4"/>
        <v>5437.625</v>
      </c>
      <c r="AA61" s="79" t="s">
        <v>2082</v>
      </c>
      <c r="AB61" s="82">
        <f t="shared" si="5"/>
        <v>5437</v>
      </c>
      <c r="AC61" s="79" t="s">
        <v>2081</v>
      </c>
      <c r="AD61" s="82">
        <f t="shared" si="6"/>
        <v>6</v>
      </c>
      <c r="AE61" s="79" t="s">
        <v>2080</v>
      </c>
      <c r="AF61" s="82">
        <f t="shared" si="7"/>
        <v>2.5</v>
      </c>
      <c r="AG61" s="79" t="s">
        <v>2079</v>
      </c>
      <c r="AH61" s="81">
        <v>217.5</v>
      </c>
      <c r="AI61" s="65"/>
      <c r="AJ61" s="65"/>
      <c r="AK61" s="65"/>
      <c r="AL61" s="65"/>
      <c r="AM61" s="65"/>
      <c r="AN61" s="65"/>
      <c r="AO61" s="65"/>
      <c r="AP61" s="65"/>
      <c r="AQ61" s="65"/>
      <c r="AR61" s="65"/>
      <c r="AS61" s="65"/>
      <c r="AT61" s="65"/>
      <c r="AU61" s="65"/>
      <c r="AV61" s="65"/>
    </row>
    <row r="62" spans="1:48" ht="18.75">
      <c r="A62" s="89" t="s">
        <v>2172</v>
      </c>
      <c r="B62" s="89">
        <v>10</v>
      </c>
      <c r="C62" s="89">
        <v>1</v>
      </c>
      <c r="D62" s="88">
        <f t="shared" si="0"/>
        <v>10</v>
      </c>
      <c r="E62" s="89" t="s">
        <v>2082</v>
      </c>
      <c r="F62" s="90">
        <f t="shared" si="1"/>
        <v>10</v>
      </c>
      <c r="G62" s="89" t="s">
        <v>2081</v>
      </c>
      <c r="H62" s="90">
        <f t="shared" si="2"/>
        <v>0</v>
      </c>
      <c r="I62" s="89" t="s">
        <v>2080</v>
      </c>
      <c r="J62" s="90">
        <f t="shared" si="3"/>
        <v>0</v>
      </c>
      <c r="K62" s="89" t="s">
        <v>2079</v>
      </c>
      <c r="L62" s="88">
        <v>0.4</v>
      </c>
      <c r="Q62" s="65"/>
      <c r="R62" s="65"/>
      <c r="S62" s="65"/>
      <c r="T62" s="65"/>
      <c r="U62" s="65"/>
      <c r="X62" s="79" t="s">
        <v>10492</v>
      </c>
      <c r="Y62" s="80">
        <v>21625.125</v>
      </c>
      <c r="Z62" s="81">
        <f t="shared" si="4"/>
        <v>21625.125</v>
      </c>
      <c r="AA62" s="79" t="s">
        <v>2082</v>
      </c>
      <c r="AB62" s="82">
        <f t="shared" si="5"/>
        <v>21625</v>
      </c>
      <c r="AC62" s="79" t="s">
        <v>2081</v>
      </c>
      <c r="AD62" s="82">
        <f t="shared" si="6"/>
        <v>1</v>
      </c>
      <c r="AE62" s="79" t="s">
        <v>2080</v>
      </c>
      <c r="AF62" s="82">
        <f t="shared" si="7"/>
        <v>2.5</v>
      </c>
      <c r="AG62" s="79" t="s">
        <v>2079</v>
      </c>
      <c r="AH62" s="81">
        <v>865</v>
      </c>
      <c r="AI62" s="65"/>
      <c r="AJ62" s="65"/>
      <c r="AK62" s="65"/>
      <c r="AL62" s="65"/>
      <c r="AM62" s="65"/>
      <c r="AN62" s="65"/>
      <c r="AO62" s="65"/>
      <c r="AP62" s="65"/>
      <c r="AQ62" s="65"/>
      <c r="AR62" s="65"/>
      <c r="AS62" s="65"/>
      <c r="AT62" s="65"/>
      <c r="AU62" s="65"/>
      <c r="AV62" s="65"/>
    </row>
    <row r="63" spans="1:48" ht="18.75">
      <c r="A63" s="89" t="s">
        <v>2173</v>
      </c>
      <c r="B63" s="89">
        <v>10</v>
      </c>
      <c r="C63" s="89">
        <v>2</v>
      </c>
      <c r="D63" s="88">
        <f t="shared" si="0"/>
        <v>10</v>
      </c>
      <c r="E63" s="89" t="s">
        <v>2082</v>
      </c>
      <c r="F63" s="90">
        <f t="shared" si="1"/>
        <v>10</v>
      </c>
      <c r="G63" s="89" t="s">
        <v>2081</v>
      </c>
      <c r="H63" s="90">
        <f t="shared" si="2"/>
        <v>0</v>
      </c>
      <c r="I63" s="89" t="s">
        <v>2080</v>
      </c>
      <c r="J63" s="90">
        <f t="shared" si="3"/>
        <v>0</v>
      </c>
      <c r="K63" s="89" t="s">
        <v>2079</v>
      </c>
      <c r="L63" s="88">
        <v>0.4</v>
      </c>
      <c r="Q63" s="65"/>
      <c r="R63" s="65"/>
      <c r="S63" s="65"/>
      <c r="T63" s="65"/>
      <c r="U63" s="65"/>
      <c r="X63" s="79" t="s">
        <v>10493</v>
      </c>
      <c r="Y63" s="80">
        <v>106250.25</v>
      </c>
      <c r="Z63" s="81">
        <f t="shared" si="4"/>
        <v>106250.25</v>
      </c>
      <c r="AA63" s="79" t="s">
        <v>2082</v>
      </c>
      <c r="AB63" s="82">
        <f t="shared" si="5"/>
        <v>106250</v>
      </c>
      <c r="AC63" s="79" t="s">
        <v>2081</v>
      </c>
      <c r="AD63" s="82">
        <f t="shared" si="6"/>
        <v>2</v>
      </c>
      <c r="AE63" s="79" t="s">
        <v>2080</v>
      </c>
      <c r="AF63" s="82">
        <f t="shared" si="7"/>
        <v>5</v>
      </c>
      <c r="AG63" s="79" t="s">
        <v>2079</v>
      </c>
      <c r="AH63" s="81">
        <v>4250.01</v>
      </c>
      <c r="AI63" s="65"/>
      <c r="AJ63" s="65"/>
      <c r="AK63" s="65"/>
      <c r="AL63" s="65"/>
      <c r="AM63" s="65"/>
      <c r="AN63" s="65"/>
      <c r="AO63" s="65"/>
      <c r="AP63" s="65"/>
      <c r="AQ63" s="65"/>
      <c r="AR63" s="65"/>
      <c r="AS63" s="65"/>
      <c r="AT63" s="65"/>
      <c r="AU63" s="65"/>
      <c r="AV63" s="65"/>
    </row>
    <row r="64" spans="1:48" ht="18.75">
      <c r="A64" s="89" t="s">
        <v>2174</v>
      </c>
      <c r="B64" s="89">
        <v>10</v>
      </c>
      <c r="C64" s="89">
        <v>12</v>
      </c>
      <c r="D64" s="88">
        <f t="shared" si="0"/>
        <v>10</v>
      </c>
      <c r="E64" s="89" t="s">
        <v>2082</v>
      </c>
      <c r="F64" s="90">
        <f t="shared" si="1"/>
        <v>10</v>
      </c>
      <c r="G64" s="89" t="s">
        <v>2081</v>
      </c>
      <c r="H64" s="90">
        <f t="shared" si="2"/>
        <v>0</v>
      </c>
      <c r="I64" s="89" t="s">
        <v>2080</v>
      </c>
      <c r="J64" s="90">
        <f t="shared" si="3"/>
        <v>0</v>
      </c>
      <c r="K64" s="89" t="s">
        <v>2079</v>
      </c>
      <c r="L64" s="88">
        <v>0.4</v>
      </c>
      <c r="Q64" s="65"/>
      <c r="R64" s="65"/>
      <c r="S64" s="65"/>
      <c r="T64" s="65"/>
      <c r="U64" s="65"/>
      <c r="X64" s="79" t="s">
        <v>10494</v>
      </c>
      <c r="Y64" s="80">
        <v>4437.625</v>
      </c>
      <c r="Z64" s="81">
        <f t="shared" si="4"/>
        <v>4437.625</v>
      </c>
      <c r="AA64" s="79" t="s">
        <v>2082</v>
      </c>
      <c r="AB64" s="82">
        <f t="shared" si="5"/>
        <v>4437</v>
      </c>
      <c r="AC64" s="79" t="s">
        <v>2081</v>
      </c>
      <c r="AD64" s="82">
        <f t="shared" si="6"/>
        <v>6</v>
      </c>
      <c r="AE64" s="79" t="s">
        <v>2080</v>
      </c>
      <c r="AF64" s="82">
        <f t="shared" si="7"/>
        <v>2.5</v>
      </c>
      <c r="AG64" s="79" t="s">
        <v>2079</v>
      </c>
      <c r="AH64" s="81">
        <v>177.5</v>
      </c>
      <c r="AI64" s="65"/>
      <c r="AJ64" s="65"/>
      <c r="AK64" s="65"/>
      <c r="AL64" s="65"/>
      <c r="AM64" s="65"/>
      <c r="AN64" s="65"/>
      <c r="AO64" s="65"/>
      <c r="AP64" s="65"/>
      <c r="AQ64" s="65"/>
      <c r="AR64" s="65"/>
      <c r="AS64" s="65"/>
      <c r="AT64" s="65"/>
      <c r="AU64" s="65"/>
      <c r="AV64" s="65"/>
    </row>
    <row r="65" spans="1:48" ht="18.75">
      <c r="A65" s="89" t="s">
        <v>2175</v>
      </c>
      <c r="B65" s="89">
        <v>10</v>
      </c>
      <c r="C65" s="89">
        <v>0</v>
      </c>
      <c r="D65" s="88">
        <f t="shared" si="0"/>
        <v>10</v>
      </c>
      <c r="E65" s="89" t="s">
        <v>2082</v>
      </c>
      <c r="F65" s="90">
        <f t="shared" si="1"/>
        <v>10</v>
      </c>
      <c r="G65" s="89" t="s">
        <v>2081</v>
      </c>
      <c r="H65" s="90">
        <f t="shared" si="2"/>
        <v>0</v>
      </c>
      <c r="I65" s="89" t="s">
        <v>2080</v>
      </c>
      <c r="J65" s="90">
        <f t="shared" si="3"/>
        <v>0</v>
      </c>
      <c r="K65" s="89" t="s">
        <v>2079</v>
      </c>
      <c r="L65" s="88">
        <v>0.4</v>
      </c>
      <c r="Q65" s="65"/>
      <c r="R65" s="65"/>
      <c r="S65" s="65"/>
      <c r="T65" s="65"/>
      <c r="U65" s="65"/>
      <c r="X65" s="79" t="s">
        <v>10495</v>
      </c>
      <c r="Y65" s="80">
        <v>112500.5</v>
      </c>
      <c r="Z65" s="81">
        <f t="shared" si="4"/>
        <v>112500.5</v>
      </c>
      <c r="AA65" s="79" t="s">
        <v>2082</v>
      </c>
      <c r="AB65" s="82">
        <f t="shared" si="5"/>
        <v>112500</v>
      </c>
      <c r="AC65" s="79" t="s">
        <v>2081</v>
      </c>
      <c r="AD65" s="82">
        <f t="shared" si="6"/>
        <v>5</v>
      </c>
      <c r="AE65" s="79" t="s">
        <v>2080</v>
      </c>
      <c r="AF65" s="82">
        <f t="shared" si="7"/>
        <v>0</v>
      </c>
      <c r="AG65" s="79" t="s">
        <v>2079</v>
      </c>
      <c r="AH65" s="81">
        <v>4500.0200000000004</v>
      </c>
      <c r="AI65" s="65"/>
      <c r="AJ65" s="65"/>
      <c r="AK65" s="65"/>
      <c r="AL65" s="65"/>
      <c r="AM65" s="65"/>
      <c r="AN65" s="65"/>
      <c r="AO65" s="65"/>
      <c r="AP65" s="65"/>
      <c r="AQ65" s="65"/>
      <c r="AR65" s="65"/>
      <c r="AS65" s="65"/>
      <c r="AT65" s="65"/>
      <c r="AU65" s="65"/>
      <c r="AV65" s="65"/>
    </row>
    <row r="66" spans="1:48" ht="18.75">
      <c r="A66" s="89" t="s">
        <v>2176</v>
      </c>
      <c r="B66" s="89">
        <v>10</v>
      </c>
      <c r="C66" s="89">
        <v>6</v>
      </c>
      <c r="D66" s="88">
        <f t="shared" si="0"/>
        <v>10</v>
      </c>
      <c r="E66" s="89" t="s">
        <v>2082</v>
      </c>
      <c r="F66" s="90">
        <f t="shared" si="1"/>
        <v>10</v>
      </c>
      <c r="G66" s="89" t="s">
        <v>2081</v>
      </c>
      <c r="H66" s="90">
        <f t="shared" si="2"/>
        <v>0</v>
      </c>
      <c r="I66" s="89" t="s">
        <v>2080</v>
      </c>
      <c r="J66" s="90">
        <f t="shared" si="3"/>
        <v>0</v>
      </c>
      <c r="K66" s="89" t="s">
        <v>2079</v>
      </c>
      <c r="L66" s="88">
        <v>0.4</v>
      </c>
      <c r="M66" s="65"/>
      <c r="N66" s="66"/>
      <c r="O66" s="65"/>
      <c r="P66" s="65"/>
      <c r="Q66" s="65"/>
      <c r="R66" s="65"/>
      <c r="S66" s="65"/>
      <c r="T66" s="65"/>
      <c r="U66" s="65"/>
      <c r="X66" s="79" t="s">
        <v>10496</v>
      </c>
      <c r="Y66" s="80">
        <v>103750.25</v>
      </c>
      <c r="Z66" s="81">
        <f t="shared" si="4"/>
        <v>103750.25</v>
      </c>
      <c r="AA66" s="79" t="s">
        <v>2082</v>
      </c>
      <c r="AB66" s="82">
        <f t="shared" si="5"/>
        <v>103750</v>
      </c>
      <c r="AC66" s="79" t="s">
        <v>2081</v>
      </c>
      <c r="AD66" s="82">
        <f t="shared" si="6"/>
        <v>2</v>
      </c>
      <c r="AE66" s="79" t="s">
        <v>2080</v>
      </c>
      <c r="AF66" s="82">
        <f t="shared" si="7"/>
        <v>5</v>
      </c>
      <c r="AG66" s="79" t="s">
        <v>2079</v>
      </c>
      <c r="AH66" s="81">
        <v>4150.01</v>
      </c>
      <c r="AI66" s="65"/>
      <c r="AJ66" s="65"/>
      <c r="AK66" s="65"/>
      <c r="AL66" s="65"/>
      <c r="AM66" s="65"/>
      <c r="AN66" s="65"/>
      <c r="AO66" s="65"/>
      <c r="AP66" s="65"/>
      <c r="AQ66" s="65"/>
      <c r="AR66" s="65"/>
      <c r="AS66" s="65"/>
      <c r="AT66" s="65"/>
      <c r="AU66" s="65"/>
      <c r="AV66" s="65"/>
    </row>
    <row r="67" spans="1:48" ht="18.75">
      <c r="A67" s="89" t="s">
        <v>2177</v>
      </c>
      <c r="B67" s="89">
        <v>10</v>
      </c>
      <c r="C67" s="89">
        <v>2</v>
      </c>
      <c r="D67" s="88">
        <f t="shared" ref="D67:D130" si="8">B67*$O$6</f>
        <v>10</v>
      </c>
      <c r="E67" s="89" t="s">
        <v>2082</v>
      </c>
      <c r="F67" s="90">
        <f t="shared" ref="F67:F130" si="9">_xlfn.FLOOR.MATH(D67,1)</f>
        <v>10</v>
      </c>
      <c r="G67" s="89" t="s">
        <v>2081</v>
      </c>
      <c r="H67" s="90">
        <f t="shared" ref="H67:H130" si="10">_xlfn.FLOOR.MATH(((D67-F67)*10), 1)</f>
        <v>0</v>
      </c>
      <c r="I67" s="89" t="s">
        <v>2080</v>
      </c>
      <c r="J67" s="90">
        <f t="shared" ref="J67:J130" si="11">((D67-F67)*10-H67)*10</f>
        <v>0</v>
      </c>
      <c r="K67" s="89" t="s">
        <v>2079</v>
      </c>
      <c r="L67" s="88">
        <v>0.4</v>
      </c>
      <c r="M67" s="65"/>
      <c r="N67" s="66"/>
      <c r="O67" s="65"/>
      <c r="P67" s="65"/>
      <c r="Q67" s="65"/>
      <c r="R67" s="65"/>
      <c r="S67" s="65"/>
      <c r="T67" s="65"/>
      <c r="U67" s="65"/>
      <c r="X67" s="79" t="s">
        <v>10497</v>
      </c>
      <c r="Y67" s="80">
        <v>112500.5</v>
      </c>
      <c r="Z67" s="81">
        <f t="shared" ref="Z67:Z130" si="12">Y67*$AK$6*$AK$11</f>
        <v>112500.5</v>
      </c>
      <c r="AA67" s="79" t="s">
        <v>2082</v>
      </c>
      <c r="AB67" s="82">
        <f t="shared" ref="AB67:AB130" si="13">_xlfn.FLOOR.MATH(Z67,1)</f>
        <v>112500</v>
      </c>
      <c r="AC67" s="79" t="s">
        <v>2081</v>
      </c>
      <c r="AD67" s="82">
        <f t="shared" ref="AD67:AD130" si="14">_xlfn.FLOOR.MATH(((Z67-AB67)*10), 1)</f>
        <v>5</v>
      </c>
      <c r="AE67" s="79" t="s">
        <v>2080</v>
      </c>
      <c r="AF67" s="82">
        <f t="shared" ref="AF67:AF130" si="15">((Z67-AB67)*10-AD67)*10</f>
        <v>0</v>
      </c>
      <c r="AG67" s="79" t="s">
        <v>2079</v>
      </c>
      <c r="AH67" s="81">
        <v>4500.0200000000004</v>
      </c>
      <c r="AI67" s="65"/>
      <c r="AJ67" s="65"/>
      <c r="AK67" s="65"/>
      <c r="AL67" s="65"/>
      <c r="AM67" s="65"/>
      <c r="AN67" s="65"/>
      <c r="AO67" s="65"/>
      <c r="AP67" s="65"/>
      <c r="AQ67" s="65"/>
      <c r="AR67" s="65"/>
      <c r="AS67" s="65"/>
      <c r="AT67" s="65"/>
      <c r="AU67" s="65"/>
      <c r="AV67" s="65"/>
    </row>
    <row r="68" spans="1:48" ht="18.75">
      <c r="A68" s="89" t="s">
        <v>2178</v>
      </c>
      <c r="B68" s="89">
        <v>10</v>
      </c>
      <c r="C68" s="89">
        <v>10</v>
      </c>
      <c r="D68" s="88">
        <f t="shared" si="8"/>
        <v>10</v>
      </c>
      <c r="E68" s="89" t="s">
        <v>2082</v>
      </c>
      <c r="F68" s="90">
        <f t="shared" si="9"/>
        <v>10</v>
      </c>
      <c r="G68" s="89" t="s">
        <v>2081</v>
      </c>
      <c r="H68" s="90">
        <f t="shared" si="10"/>
        <v>0</v>
      </c>
      <c r="I68" s="89" t="s">
        <v>2080</v>
      </c>
      <c r="J68" s="90">
        <f t="shared" si="11"/>
        <v>0</v>
      </c>
      <c r="K68" s="89" t="s">
        <v>2079</v>
      </c>
      <c r="L68" s="88">
        <v>0.4</v>
      </c>
      <c r="M68" s="65"/>
      <c r="N68" s="66"/>
      <c r="O68" s="65"/>
      <c r="P68" s="65"/>
      <c r="Q68" s="65"/>
      <c r="R68" s="65"/>
      <c r="S68" s="65"/>
      <c r="T68" s="65"/>
      <c r="U68" s="65"/>
      <c r="X68" s="79" t="s">
        <v>10498</v>
      </c>
      <c r="Y68" s="80">
        <v>92250.25</v>
      </c>
      <c r="Z68" s="81">
        <f t="shared" si="12"/>
        <v>92250.25</v>
      </c>
      <c r="AA68" s="79" t="s">
        <v>2082</v>
      </c>
      <c r="AB68" s="82">
        <f t="shared" si="13"/>
        <v>92250</v>
      </c>
      <c r="AC68" s="79" t="s">
        <v>2081</v>
      </c>
      <c r="AD68" s="82">
        <f t="shared" si="14"/>
        <v>2</v>
      </c>
      <c r="AE68" s="79" t="s">
        <v>2080</v>
      </c>
      <c r="AF68" s="82">
        <f t="shared" si="15"/>
        <v>5</v>
      </c>
      <c r="AG68" s="79" t="s">
        <v>2079</v>
      </c>
      <c r="AH68" s="81">
        <v>3690.01</v>
      </c>
      <c r="AI68" s="65"/>
      <c r="AJ68" s="65"/>
      <c r="AK68" s="65"/>
      <c r="AL68" s="65"/>
      <c r="AM68" s="65"/>
      <c r="AN68" s="65"/>
      <c r="AO68" s="65"/>
      <c r="AP68" s="65"/>
      <c r="AQ68" s="65"/>
      <c r="AR68" s="65"/>
      <c r="AS68" s="65"/>
      <c r="AT68" s="65"/>
      <c r="AU68" s="65"/>
      <c r="AV68" s="65"/>
    </row>
    <row r="69" spans="1:48" ht="18.75">
      <c r="A69" s="89" t="s">
        <v>2179</v>
      </c>
      <c r="B69" s="89">
        <v>10</v>
      </c>
      <c r="C69" s="89">
        <v>1</v>
      </c>
      <c r="D69" s="88">
        <f t="shared" si="8"/>
        <v>10</v>
      </c>
      <c r="E69" s="89" t="s">
        <v>2082</v>
      </c>
      <c r="F69" s="90">
        <f t="shared" si="9"/>
        <v>10</v>
      </c>
      <c r="G69" s="89" t="s">
        <v>2081</v>
      </c>
      <c r="H69" s="90">
        <f t="shared" si="10"/>
        <v>0</v>
      </c>
      <c r="I69" s="89" t="s">
        <v>2080</v>
      </c>
      <c r="J69" s="90">
        <f t="shared" si="11"/>
        <v>0</v>
      </c>
      <c r="K69" s="89" t="s">
        <v>2079</v>
      </c>
      <c r="L69" s="88">
        <v>0.4</v>
      </c>
      <c r="M69" s="65"/>
      <c r="N69" s="66"/>
      <c r="O69" s="65"/>
      <c r="P69" s="65"/>
      <c r="Q69" s="65"/>
      <c r="R69" s="65"/>
      <c r="S69" s="65"/>
      <c r="T69" s="65"/>
      <c r="U69" s="65"/>
      <c r="X69" s="79" t="s">
        <v>10499</v>
      </c>
      <c r="Y69" s="80">
        <v>31250.25</v>
      </c>
      <c r="Z69" s="81">
        <f t="shared" si="12"/>
        <v>31250.25</v>
      </c>
      <c r="AA69" s="79" t="s">
        <v>2082</v>
      </c>
      <c r="AB69" s="82">
        <f t="shared" si="13"/>
        <v>31250</v>
      </c>
      <c r="AC69" s="79" t="s">
        <v>2081</v>
      </c>
      <c r="AD69" s="82">
        <f t="shared" si="14"/>
        <v>2</v>
      </c>
      <c r="AE69" s="79" t="s">
        <v>2080</v>
      </c>
      <c r="AF69" s="82">
        <f t="shared" si="15"/>
        <v>5</v>
      </c>
      <c r="AG69" s="79" t="s">
        <v>2079</v>
      </c>
      <c r="AH69" s="81">
        <v>1250.01</v>
      </c>
      <c r="AI69" s="65"/>
      <c r="AJ69" s="65"/>
      <c r="AK69" s="65"/>
      <c r="AL69" s="65"/>
      <c r="AM69" s="65"/>
      <c r="AN69" s="65"/>
      <c r="AO69" s="65"/>
      <c r="AP69" s="65"/>
      <c r="AQ69" s="65"/>
      <c r="AR69" s="65"/>
      <c r="AS69" s="65"/>
      <c r="AT69" s="65"/>
      <c r="AU69" s="65"/>
      <c r="AV69" s="65"/>
    </row>
    <row r="70" spans="1:48" ht="18.75">
      <c r="A70" s="89" t="s">
        <v>2180</v>
      </c>
      <c r="B70" s="89">
        <v>10</v>
      </c>
      <c r="C70" s="89">
        <v>8</v>
      </c>
      <c r="D70" s="88">
        <f t="shared" si="8"/>
        <v>10</v>
      </c>
      <c r="E70" s="89" t="s">
        <v>2082</v>
      </c>
      <c r="F70" s="90">
        <f t="shared" si="9"/>
        <v>10</v>
      </c>
      <c r="G70" s="89" t="s">
        <v>2081</v>
      </c>
      <c r="H70" s="90">
        <f t="shared" si="10"/>
        <v>0</v>
      </c>
      <c r="I70" s="89" t="s">
        <v>2080</v>
      </c>
      <c r="J70" s="90">
        <f t="shared" si="11"/>
        <v>0</v>
      </c>
      <c r="K70" s="89" t="s">
        <v>2079</v>
      </c>
      <c r="L70" s="88">
        <v>0.4</v>
      </c>
      <c r="M70" s="65"/>
      <c r="N70" s="66"/>
      <c r="O70" s="65"/>
      <c r="P70" s="65"/>
      <c r="Q70" s="65"/>
      <c r="R70" s="65"/>
      <c r="S70" s="65"/>
      <c r="T70" s="65"/>
      <c r="U70" s="65"/>
      <c r="X70" s="79" t="s">
        <v>10500</v>
      </c>
      <c r="Y70" s="80">
        <v>31250.25</v>
      </c>
      <c r="Z70" s="81">
        <f t="shared" si="12"/>
        <v>31250.25</v>
      </c>
      <c r="AA70" s="79" t="s">
        <v>2082</v>
      </c>
      <c r="AB70" s="82">
        <f t="shared" si="13"/>
        <v>31250</v>
      </c>
      <c r="AC70" s="79" t="s">
        <v>2081</v>
      </c>
      <c r="AD70" s="82">
        <f t="shared" si="14"/>
        <v>2</v>
      </c>
      <c r="AE70" s="79" t="s">
        <v>2080</v>
      </c>
      <c r="AF70" s="82">
        <f t="shared" si="15"/>
        <v>5</v>
      </c>
      <c r="AG70" s="79" t="s">
        <v>2079</v>
      </c>
      <c r="AH70" s="81">
        <v>1250.01</v>
      </c>
      <c r="AI70" s="65"/>
      <c r="AJ70" s="65"/>
      <c r="AK70" s="65"/>
      <c r="AL70" s="65"/>
      <c r="AM70" s="65"/>
      <c r="AN70" s="65"/>
      <c r="AO70" s="65"/>
      <c r="AP70" s="65"/>
      <c r="AQ70" s="65"/>
      <c r="AR70" s="65"/>
      <c r="AS70" s="65"/>
      <c r="AT70" s="65"/>
      <c r="AU70" s="65"/>
      <c r="AV70" s="65"/>
    </row>
    <row r="71" spans="1:48" ht="18.75">
      <c r="A71" s="89" t="s">
        <v>2181</v>
      </c>
      <c r="B71" s="89">
        <v>10</v>
      </c>
      <c r="C71" s="89">
        <v>10</v>
      </c>
      <c r="D71" s="88">
        <f t="shared" si="8"/>
        <v>10</v>
      </c>
      <c r="E71" s="89" t="s">
        <v>2082</v>
      </c>
      <c r="F71" s="90">
        <f t="shared" si="9"/>
        <v>10</v>
      </c>
      <c r="G71" s="89" t="s">
        <v>2081</v>
      </c>
      <c r="H71" s="90">
        <f t="shared" si="10"/>
        <v>0</v>
      </c>
      <c r="I71" s="89" t="s">
        <v>2080</v>
      </c>
      <c r="J71" s="90">
        <f t="shared" si="11"/>
        <v>0</v>
      </c>
      <c r="K71" s="89" t="s">
        <v>2079</v>
      </c>
      <c r="L71" s="88">
        <v>0.4</v>
      </c>
      <c r="M71" s="65"/>
      <c r="N71" s="66"/>
      <c r="O71" s="65"/>
      <c r="P71" s="65"/>
      <c r="Q71" s="65"/>
      <c r="R71" s="65"/>
      <c r="S71" s="65"/>
      <c r="T71" s="65"/>
      <c r="U71" s="65"/>
      <c r="X71" s="79" t="s">
        <v>10501</v>
      </c>
      <c r="Y71" s="80">
        <v>6687.625</v>
      </c>
      <c r="Z71" s="81">
        <f t="shared" si="12"/>
        <v>6687.625</v>
      </c>
      <c r="AA71" s="79" t="s">
        <v>2082</v>
      </c>
      <c r="AB71" s="82">
        <f t="shared" si="13"/>
        <v>6687</v>
      </c>
      <c r="AC71" s="79" t="s">
        <v>2081</v>
      </c>
      <c r="AD71" s="82">
        <f t="shared" si="14"/>
        <v>6</v>
      </c>
      <c r="AE71" s="79" t="s">
        <v>2080</v>
      </c>
      <c r="AF71" s="82">
        <f t="shared" si="15"/>
        <v>2.5</v>
      </c>
      <c r="AG71" s="79" t="s">
        <v>2079</v>
      </c>
      <c r="AH71" s="81">
        <v>267.5</v>
      </c>
      <c r="AI71" s="65"/>
      <c r="AJ71" s="65"/>
      <c r="AK71" s="65"/>
      <c r="AL71" s="65"/>
      <c r="AM71" s="65"/>
      <c r="AN71" s="65"/>
      <c r="AO71" s="65"/>
      <c r="AP71" s="65"/>
      <c r="AQ71" s="65"/>
      <c r="AR71" s="65"/>
      <c r="AS71" s="65"/>
      <c r="AT71" s="65"/>
      <c r="AU71" s="65"/>
      <c r="AV71" s="65"/>
    </row>
    <row r="72" spans="1:48" ht="18.75">
      <c r="A72" s="89" t="s">
        <v>2182</v>
      </c>
      <c r="B72" s="89">
        <v>10</v>
      </c>
      <c r="C72" s="89">
        <v>5</v>
      </c>
      <c r="D72" s="88">
        <f t="shared" si="8"/>
        <v>10</v>
      </c>
      <c r="E72" s="89" t="s">
        <v>2082</v>
      </c>
      <c r="F72" s="90">
        <f t="shared" si="9"/>
        <v>10</v>
      </c>
      <c r="G72" s="89" t="s">
        <v>2081</v>
      </c>
      <c r="H72" s="90">
        <f t="shared" si="10"/>
        <v>0</v>
      </c>
      <c r="I72" s="89" t="s">
        <v>2080</v>
      </c>
      <c r="J72" s="90">
        <f t="shared" si="11"/>
        <v>0</v>
      </c>
      <c r="K72" s="89" t="s">
        <v>2079</v>
      </c>
      <c r="L72" s="88">
        <v>0.4</v>
      </c>
      <c r="M72" s="65"/>
      <c r="N72" s="66"/>
      <c r="O72" s="65"/>
      <c r="P72" s="65"/>
      <c r="Q72" s="65"/>
      <c r="R72" s="65"/>
      <c r="S72" s="65"/>
      <c r="T72" s="65"/>
      <c r="U72" s="65"/>
      <c r="X72" s="79" t="s">
        <v>10502</v>
      </c>
      <c r="Y72" s="80">
        <v>112500.5</v>
      </c>
      <c r="Z72" s="81">
        <f t="shared" si="12"/>
        <v>112500.5</v>
      </c>
      <c r="AA72" s="79" t="s">
        <v>2082</v>
      </c>
      <c r="AB72" s="82">
        <f t="shared" si="13"/>
        <v>112500</v>
      </c>
      <c r="AC72" s="79" t="s">
        <v>2081</v>
      </c>
      <c r="AD72" s="82">
        <f t="shared" si="14"/>
        <v>5</v>
      </c>
      <c r="AE72" s="79" t="s">
        <v>2080</v>
      </c>
      <c r="AF72" s="82">
        <f t="shared" si="15"/>
        <v>0</v>
      </c>
      <c r="AG72" s="79" t="s">
        <v>2079</v>
      </c>
      <c r="AH72" s="81">
        <v>4500.0200000000004</v>
      </c>
      <c r="AI72" s="65"/>
      <c r="AJ72" s="65"/>
      <c r="AK72" s="65"/>
      <c r="AL72" s="65"/>
      <c r="AM72" s="65"/>
      <c r="AN72" s="65"/>
      <c r="AO72" s="65"/>
      <c r="AP72" s="65"/>
      <c r="AQ72" s="65"/>
      <c r="AR72" s="65"/>
      <c r="AS72" s="65"/>
      <c r="AT72" s="65"/>
      <c r="AU72" s="65"/>
      <c r="AV72" s="65"/>
    </row>
    <row r="73" spans="1:48" ht="18.75">
      <c r="A73" s="89" t="s">
        <v>2183</v>
      </c>
      <c r="B73" s="89">
        <v>10</v>
      </c>
      <c r="C73" s="89">
        <v>3</v>
      </c>
      <c r="D73" s="88">
        <f t="shared" si="8"/>
        <v>10</v>
      </c>
      <c r="E73" s="89" t="s">
        <v>2082</v>
      </c>
      <c r="F73" s="90">
        <f t="shared" si="9"/>
        <v>10</v>
      </c>
      <c r="G73" s="89" t="s">
        <v>2081</v>
      </c>
      <c r="H73" s="90">
        <f t="shared" si="10"/>
        <v>0</v>
      </c>
      <c r="I73" s="89" t="s">
        <v>2080</v>
      </c>
      <c r="J73" s="90">
        <f t="shared" si="11"/>
        <v>0</v>
      </c>
      <c r="K73" s="89" t="s">
        <v>2079</v>
      </c>
      <c r="L73" s="88">
        <v>0.4</v>
      </c>
      <c r="M73" s="65"/>
      <c r="N73" s="66"/>
      <c r="O73" s="65"/>
      <c r="P73" s="65"/>
      <c r="Q73" s="65"/>
      <c r="R73" s="65"/>
      <c r="S73" s="65"/>
      <c r="T73" s="65"/>
      <c r="U73" s="65"/>
      <c r="X73" s="79" t="s">
        <v>10503</v>
      </c>
      <c r="Y73" s="80">
        <v>350.125</v>
      </c>
      <c r="Z73" s="81">
        <f t="shared" si="12"/>
        <v>350.125</v>
      </c>
      <c r="AA73" s="79" t="s">
        <v>2082</v>
      </c>
      <c r="AB73" s="82">
        <f t="shared" si="13"/>
        <v>350</v>
      </c>
      <c r="AC73" s="79" t="s">
        <v>2081</v>
      </c>
      <c r="AD73" s="82">
        <f t="shared" si="14"/>
        <v>1</v>
      </c>
      <c r="AE73" s="79" t="s">
        <v>2080</v>
      </c>
      <c r="AF73" s="82">
        <f t="shared" si="15"/>
        <v>2.5</v>
      </c>
      <c r="AG73" s="79" t="s">
        <v>2079</v>
      </c>
      <c r="AH73" s="81">
        <v>14</v>
      </c>
      <c r="AI73" s="65"/>
      <c r="AJ73" s="65"/>
      <c r="AK73" s="65"/>
      <c r="AL73" s="65"/>
      <c r="AM73" s="65"/>
      <c r="AN73" s="65"/>
      <c r="AO73" s="65"/>
      <c r="AP73" s="65"/>
      <c r="AQ73" s="65"/>
      <c r="AR73" s="65"/>
      <c r="AS73" s="65"/>
      <c r="AT73" s="65"/>
      <c r="AU73" s="65"/>
      <c r="AV73" s="65"/>
    </row>
    <row r="74" spans="1:48" ht="18.75">
      <c r="A74" s="89" t="s">
        <v>2184</v>
      </c>
      <c r="B74" s="89">
        <v>10</v>
      </c>
      <c r="C74" s="89">
        <v>2</v>
      </c>
      <c r="D74" s="88">
        <f t="shared" si="8"/>
        <v>10</v>
      </c>
      <c r="E74" s="89" t="s">
        <v>2082</v>
      </c>
      <c r="F74" s="90">
        <f t="shared" si="9"/>
        <v>10</v>
      </c>
      <c r="G74" s="89" t="s">
        <v>2081</v>
      </c>
      <c r="H74" s="90">
        <f t="shared" si="10"/>
        <v>0</v>
      </c>
      <c r="I74" s="89" t="s">
        <v>2080</v>
      </c>
      <c r="J74" s="90">
        <f t="shared" si="11"/>
        <v>0</v>
      </c>
      <c r="K74" s="89" t="s">
        <v>2079</v>
      </c>
      <c r="L74" s="88">
        <v>0.4</v>
      </c>
      <c r="M74" s="65"/>
      <c r="N74" s="66"/>
      <c r="O74" s="65"/>
      <c r="P74" s="65"/>
      <c r="Q74" s="65"/>
      <c r="R74" s="65"/>
      <c r="S74" s="65"/>
      <c r="T74" s="65"/>
      <c r="U74" s="65"/>
      <c r="X74" s="79" t="s">
        <v>10504</v>
      </c>
      <c r="Y74" s="80">
        <v>29125.125</v>
      </c>
      <c r="Z74" s="81">
        <f t="shared" si="12"/>
        <v>29125.125</v>
      </c>
      <c r="AA74" s="79" t="s">
        <v>2082</v>
      </c>
      <c r="AB74" s="82">
        <f t="shared" si="13"/>
        <v>29125</v>
      </c>
      <c r="AC74" s="79" t="s">
        <v>2081</v>
      </c>
      <c r="AD74" s="82">
        <f t="shared" si="14"/>
        <v>1</v>
      </c>
      <c r="AE74" s="79" t="s">
        <v>2080</v>
      </c>
      <c r="AF74" s="82">
        <f t="shared" si="15"/>
        <v>2.5</v>
      </c>
      <c r="AG74" s="79" t="s">
        <v>2079</v>
      </c>
      <c r="AH74" s="81">
        <v>1165</v>
      </c>
      <c r="AI74" s="65"/>
      <c r="AJ74" s="65"/>
      <c r="AK74" s="65"/>
      <c r="AL74" s="65"/>
      <c r="AM74" s="65"/>
      <c r="AN74" s="65"/>
      <c r="AO74" s="65"/>
      <c r="AP74" s="65"/>
      <c r="AQ74" s="65"/>
      <c r="AR74" s="65"/>
      <c r="AS74" s="65"/>
      <c r="AT74" s="65"/>
      <c r="AU74" s="65"/>
      <c r="AV74" s="65"/>
    </row>
    <row r="75" spans="1:48" ht="18.75">
      <c r="A75" s="89" t="s">
        <v>2185</v>
      </c>
      <c r="B75" s="89">
        <v>10</v>
      </c>
      <c r="C75" s="89">
        <v>5</v>
      </c>
      <c r="D75" s="88">
        <f t="shared" si="8"/>
        <v>10</v>
      </c>
      <c r="E75" s="89" t="s">
        <v>2082</v>
      </c>
      <c r="F75" s="90">
        <f t="shared" si="9"/>
        <v>10</v>
      </c>
      <c r="G75" s="89" t="s">
        <v>2081</v>
      </c>
      <c r="H75" s="90">
        <f t="shared" si="10"/>
        <v>0</v>
      </c>
      <c r="I75" s="89" t="s">
        <v>2080</v>
      </c>
      <c r="J75" s="90">
        <f t="shared" si="11"/>
        <v>0</v>
      </c>
      <c r="K75" s="89" t="s">
        <v>2079</v>
      </c>
      <c r="L75" s="88">
        <v>0.4</v>
      </c>
      <c r="M75" s="65"/>
      <c r="N75" s="66"/>
      <c r="O75" s="65"/>
      <c r="P75" s="65"/>
      <c r="Q75" s="65"/>
      <c r="R75" s="65"/>
      <c r="S75" s="65"/>
      <c r="T75" s="65"/>
      <c r="U75" s="65"/>
      <c r="X75" s="79" t="s">
        <v>10505</v>
      </c>
      <c r="Y75" s="80">
        <v>112500.5</v>
      </c>
      <c r="Z75" s="81">
        <f t="shared" si="12"/>
        <v>112500.5</v>
      </c>
      <c r="AA75" s="79" t="s">
        <v>2082</v>
      </c>
      <c r="AB75" s="82">
        <f t="shared" si="13"/>
        <v>112500</v>
      </c>
      <c r="AC75" s="79" t="s">
        <v>2081</v>
      </c>
      <c r="AD75" s="82">
        <f t="shared" si="14"/>
        <v>5</v>
      </c>
      <c r="AE75" s="79" t="s">
        <v>2080</v>
      </c>
      <c r="AF75" s="82">
        <f t="shared" si="15"/>
        <v>0</v>
      </c>
      <c r="AG75" s="79" t="s">
        <v>2079</v>
      </c>
      <c r="AH75" s="81">
        <v>4500.0200000000004</v>
      </c>
      <c r="AI75" s="65"/>
      <c r="AJ75" s="65"/>
      <c r="AK75" s="65"/>
      <c r="AL75" s="65"/>
      <c r="AM75" s="65"/>
      <c r="AN75" s="65"/>
      <c r="AO75" s="65"/>
      <c r="AP75" s="65"/>
      <c r="AQ75" s="65"/>
      <c r="AR75" s="65"/>
      <c r="AS75" s="65"/>
      <c r="AT75" s="65"/>
      <c r="AU75" s="65"/>
      <c r="AV75" s="65"/>
    </row>
    <row r="76" spans="1:48" ht="18.75">
      <c r="A76" s="89" t="s">
        <v>2186</v>
      </c>
      <c r="B76" s="89">
        <v>10</v>
      </c>
      <c r="C76" s="89">
        <v>6</v>
      </c>
      <c r="D76" s="88">
        <f t="shared" si="8"/>
        <v>10</v>
      </c>
      <c r="E76" s="89" t="s">
        <v>2082</v>
      </c>
      <c r="F76" s="90">
        <f t="shared" si="9"/>
        <v>10</v>
      </c>
      <c r="G76" s="89" t="s">
        <v>2081</v>
      </c>
      <c r="H76" s="90">
        <f t="shared" si="10"/>
        <v>0</v>
      </c>
      <c r="I76" s="89" t="s">
        <v>2080</v>
      </c>
      <c r="J76" s="90">
        <f t="shared" si="11"/>
        <v>0</v>
      </c>
      <c r="K76" s="89" t="s">
        <v>2079</v>
      </c>
      <c r="L76" s="88">
        <v>0.4</v>
      </c>
      <c r="M76" s="65"/>
      <c r="N76" s="66"/>
      <c r="O76" s="65"/>
      <c r="P76" s="65"/>
      <c r="Q76" s="65"/>
      <c r="R76" s="65"/>
      <c r="S76" s="65"/>
      <c r="T76" s="65"/>
      <c r="U76" s="65"/>
      <c r="X76" s="79" t="s">
        <v>10506</v>
      </c>
      <c r="Y76" s="80">
        <v>6875.25</v>
      </c>
      <c r="Z76" s="81">
        <f t="shared" si="12"/>
        <v>6875.25</v>
      </c>
      <c r="AA76" s="79" t="s">
        <v>2082</v>
      </c>
      <c r="AB76" s="82">
        <f t="shared" si="13"/>
        <v>6875</v>
      </c>
      <c r="AC76" s="79" t="s">
        <v>2081</v>
      </c>
      <c r="AD76" s="82">
        <f t="shared" si="14"/>
        <v>2</v>
      </c>
      <c r="AE76" s="79" t="s">
        <v>2080</v>
      </c>
      <c r="AF76" s="82">
        <f t="shared" si="15"/>
        <v>5</v>
      </c>
      <c r="AG76" s="79" t="s">
        <v>2079</v>
      </c>
      <c r="AH76" s="81">
        <v>275.01</v>
      </c>
      <c r="AI76" s="65"/>
      <c r="AJ76" s="65"/>
      <c r="AK76" s="65"/>
      <c r="AL76" s="65"/>
      <c r="AM76" s="65"/>
      <c r="AN76" s="65"/>
      <c r="AO76" s="65"/>
      <c r="AP76" s="65"/>
      <c r="AQ76" s="65"/>
      <c r="AR76" s="65"/>
      <c r="AS76" s="65"/>
      <c r="AT76" s="65"/>
      <c r="AU76" s="65"/>
      <c r="AV76" s="65"/>
    </row>
    <row r="77" spans="1:48" ht="18.75">
      <c r="A77" s="89" t="s">
        <v>2187</v>
      </c>
      <c r="B77" s="89">
        <v>10</v>
      </c>
      <c r="C77" s="89">
        <v>2</v>
      </c>
      <c r="D77" s="88">
        <f t="shared" si="8"/>
        <v>10</v>
      </c>
      <c r="E77" s="89" t="s">
        <v>2082</v>
      </c>
      <c r="F77" s="90">
        <f t="shared" si="9"/>
        <v>10</v>
      </c>
      <c r="G77" s="89" t="s">
        <v>2081</v>
      </c>
      <c r="H77" s="90">
        <f t="shared" si="10"/>
        <v>0</v>
      </c>
      <c r="I77" s="89" t="s">
        <v>2080</v>
      </c>
      <c r="J77" s="90">
        <f t="shared" si="11"/>
        <v>0</v>
      </c>
      <c r="K77" s="89" t="s">
        <v>2079</v>
      </c>
      <c r="L77" s="88">
        <v>0.4</v>
      </c>
      <c r="M77" s="65"/>
      <c r="N77" s="66"/>
      <c r="O77" s="65"/>
      <c r="P77" s="65"/>
      <c r="Q77" s="65"/>
      <c r="R77" s="65"/>
      <c r="S77" s="65"/>
      <c r="T77" s="65"/>
      <c r="U77" s="65"/>
      <c r="X77" s="79" t="s">
        <v>10507</v>
      </c>
      <c r="Y77" s="80">
        <v>71250.25</v>
      </c>
      <c r="Z77" s="81">
        <f t="shared" si="12"/>
        <v>71250.25</v>
      </c>
      <c r="AA77" s="79" t="s">
        <v>2082</v>
      </c>
      <c r="AB77" s="82">
        <f t="shared" si="13"/>
        <v>71250</v>
      </c>
      <c r="AC77" s="79" t="s">
        <v>2081</v>
      </c>
      <c r="AD77" s="82">
        <f t="shared" si="14"/>
        <v>2</v>
      </c>
      <c r="AE77" s="79" t="s">
        <v>2080</v>
      </c>
      <c r="AF77" s="82">
        <f t="shared" si="15"/>
        <v>5</v>
      </c>
      <c r="AG77" s="79" t="s">
        <v>2079</v>
      </c>
      <c r="AH77" s="81">
        <v>2850.01</v>
      </c>
      <c r="AI77" s="65"/>
      <c r="AJ77" s="65"/>
      <c r="AK77" s="65"/>
      <c r="AL77" s="65"/>
      <c r="AM77" s="65"/>
      <c r="AN77" s="65"/>
      <c r="AO77" s="65"/>
      <c r="AP77" s="65"/>
      <c r="AQ77" s="65"/>
      <c r="AR77" s="65"/>
      <c r="AS77" s="65"/>
      <c r="AT77" s="65"/>
      <c r="AU77" s="65"/>
      <c r="AV77" s="65"/>
    </row>
    <row r="78" spans="1:48" ht="18.75">
      <c r="A78" s="89" t="s">
        <v>2188</v>
      </c>
      <c r="B78" s="89">
        <v>10</v>
      </c>
      <c r="C78" s="89">
        <v>1</v>
      </c>
      <c r="D78" s="88">
        <f t="shared" si="8"/>
        <v>10</v>
      </c>
      <c r="E78" s="89" t="s">
        <v>2082</v>
      </c>
      <c r="F78" s="90">
        <f t="shared" si="9"/>
        <v>10</v>
      </c>
      <c r="G78" s="89" t="s">
        <v>2081</v>
      </c>
      <c r="H78" s="90">
        <f t="shared" si="10"/>
        <v>0</v>
      </c>
      <c r="I78" s="89" t="s">
        <v>2080</v>
      </c>
      <c r="J78" s="90">
        <f t="shared" si="11"/>
        <v>0</v>
      </c>
      <c r="K78" s="89" t="s">
        <v>2079</v>
      </c>
      <c r="L78" s="88">
        <v>0.4</v>
      </c>
      <c r="M78" s="65"/>
      <c r="N78" s="66"/>
      <c r="O78" s="65"/>
      <c r="P78" s="65"/>
      <c r="Q78" s="65"/>
      <c r="R78" s="65"/>
      <c r="S78" s="65"/>
      <c r="T78" s="65"/>
      <c r="U78" s="65"/>
      <c r="X78" s="79" t="s">
        <v>10508</v>
      </c>
      <c r="Y78" s="80">
        <v>325.25</v>
      </c>
      <c r="Z78" s="81">
        <f t="shared" si="12"/>
        <v>325.25</v>
      </c>
      <c r="AA78" s="79" t="s">
        <v>2082</v>
      </c>
      <c r="AB78" s="82">
        <f t="shared" si="13"/>
        <v>325</v>
      </c>
      <c r="AC78" s="79" t="s">
        <v>2081</v>
      </c>
      <c r="AD78" s="82">
        <f t="shared" si="14"/>
        <v>2</v>
      </c>
      <c r="AE78" s="79" t="s">
        <v>2080</v>
      </c>
      <c r="AF78" s="82">
        <f t="shared" si="15"/>
        <v>5</v>
      </c>
      <c r="AG78" s="79" t="s">
        <v>2079</v>
      </c>
      <c r="AH78" s="81">
        <v>13.01</v>
      </c>
      <c r="AI78" s="65"/>
      <c r="AJ78" s="65"/>
      <c r="AK78" s="65"/>
      <c r="AL78" s="65"/>
      <c r="AM78" s="65"/>
      <c r="AN78" s="65"/>
      <c r="AO78" s="65"/>
      <c r="AP78" s="65"/>
      <c r="AQ78" s="65"/>
      <c r="AR78" s="65"/>
      <c r="AS78" s="65"/>
      <c r="AT78" s="65"/>
      <c r="AU78" s="65"/>
      <c r="AV78" s="65"/>
    </row>
    <row r="79" spans="1:48" ht="18.75">
      <c r="A79" s="89" t="s">
        <v>2189</v>
      </c>
      <c r="B79" s="89">
        <v>10</v>
      </c>
      <c r="C79" s="89">
        <v>1</v>
      </c>
      <c r="D79" s="88">
        <f t="shared" si="8"/>
        <v>10</v>
      </c>
      <c r="E79" s="89" t="s">
        <v>2082</v>
      </c>
      <c r="F79" s="90">
        <f t="shared" si="9"/>
        <v>10</v>
      </c>
      <c r="G79" s="89" t="s">
        <v>2081</v>
      </c>
      <c r="H79" s="90">
        <f t="shared" si="10"/>
        <v>0</v>
      </c>
      <c r="I79" s="89" t="s">
        <v>2080</v>
      </c>
      <c r="J79" s="90">
        <f t="shared" si="11"/>
        <v>0</v>
      </c>
      <c r="K79" s="89" t="s">
        <v>2079</v>
      </c>
      <c r="L79" s="88">
        <v>0.4</v>
      </c>
      <c r="M79" s="65"/>
      <c r="N79" s="66"/>
      <c r="O79" s="65"/>
      <c r="P79" s="65"/>
      <c r="Q79" s="65"/>
      <c r="R79" s="65"/>
      <c r="S79" s="65"/>
      <c r="T79" s="65"/>
      <c r="U79" s="65"/>
      <c r="X79" s="79" t="s">
        <v>10509</v>
      </c>
      <c r="Y79" s="80">
        <v>325.25</v>
      </c>
      <c r="Z79" s="81">
        <f t="shared" si="12"/>
        <v>325.25</v>
      </c>
      <c r="AA79" s="79" t="s">
        <v>2082</v>
      </c>
      <c r="AB79" s="82">
        <f t="shared" si="13"/>
        <v>325</v>
      </c>
      <c r="AC79" s="79" t="s">
        <v>2081</v>
      </c>
      <c r="AD79" s="82">
        <f t="shared" si="14"/>
        <v>2</v>
      </c>
      <c r="AE79" s="79" t="s">
        <v>2080</v>
      </c>
      <c r="AF79" s="82">
        <f t="shared" si="15"/>
        <v>5</v>
      </c>
      <c r="AG79" s="79" t="s">
        <v>2079</v>
      </c>
      <c r="AH79" s="81">
        <v>13.01</v>
      </c>
      <c r="AI79" s="65"/>
      <c r="AJ79" s="65"/>
      <c r="AK79" s="65"/>
      <c r="AL79" s="65"/>
      <c r="AM79" s="65"/>
      <c r="AN79" s="65"/>
      <c r="AO79" s="65"/>
      <c r="AP79" s="65"/>
      <c r="AQ79" s="65"/>
      <c r="AR79" s="65"/>
      <c r="AS79" s="65"/>
      <c r="AT79" s="65"/>
      <c r="AU79" s="65"/>
      <c r="AV79" s="65"/>
    </row>
    <row r="80" spans="1:48" ht="18.75">
      <c r="A80" s="89" t="s">
        <v>2190</v>
      </c>
      <c r="B80" s="89">
        <v>8</v>
      </c>
      <c r="C80" s="89">
        <v>6</v>
      </c>
      <c r="D80" s="88">
        <f t="shared" si="8"/>
        <v>8</v>
      </c>
      <c r="E80" s="89" t="s">
        <v>2082</v>
      </c>
      <c r="F80" s="90">
        <f t="shared" si="9"/>
        <v>8</v>
      </c>
      <c r="G80" s="89" t="s">
        <v>2081</v>
      </c>
      <c r="H80" s="90">
        <f t="shared" si="10"/>
        <v>0</v>
      </c>
      <c r="I80" s="89" t="s">
        <v>2080</v>
      </c>
      <c r="J80" s="90">
        <f t="shared" si="11"/>
        <v>0</v>
      </c>
      <c r="K80" s="89" t="s">
        <v>2079</v>
      </c>
      <c r="L80" s="88">
        <v>0.32</v>
      </c>
      <c r="M80" s="65"/>
      <c r="N80" s="66"/>
      <c r="O80" s="65"/>
      <c r="P80" s="65"/>
      <c r="Q80" s="65"/>
      <c r="R80" s="65"/>
      <c r="S80" s="65"/>
      <c r="T80" s="65"/>
      <c r="U80" s="65"/>
      <c r="X80" s="79" t="s">
        <v>10510</v>
      </c>
      <c r="Y80" s="80">
        <v>6875.25</v>
      </c>
      <c r="Z80" s="81">
        <f t="shared" si="12"/>
        <v>6875.25</v>
      </c>
      <c r="AA80" s="79" t="s">
        <v>2082</v>
      </c>
      <c r="AB80" s="82">
        <f t="shared" si="13"/>
        <v>6875</v>
      </c>
      <c r="AC80" s="79" t="s">
        <v>2081</v>
      </c>
      <c r="AD80" s="82">
        <f t="shared" si="14"/>
        <v>2</v>
      </c>
      <c r="AE80" s="79" t="s">
        <v>2080</v>
      </c>
      <c r="AF80" s="82">
        <f t="shared" si="15"/>
        <v>5</v>
      </c>
      <c r="AG80" s="79" t="s">
        <v>2079</v>
      </c>
      <c r="AH80" s="81">
        <v>275.01</v>
      </c>
      <c r="AI80" s="65"/>
      <c r="AJ80" s="65"/>
      <c r="AK80" s="65"/>
      <c r="AL80" s="65"/>
      <c r="AM80" s="65"/>
      <c r="AN80" s="65"/>
      <c r="AO80" s="65"/>
      <c r="AP80" s="65"/>
      <c r="AQ80" s="65"/>
      <c r="AR80" s="65"/>
      <c r="AS80" s="65"/>
      <c r="AT80" s="65"/>
      <c r="AU80" s="65"/>
      <c r="AV80" s="65"/>
    </row>
    <row r="81" spans="1:48" ht="18.75">
      <c r="A81" s="89" t="s">
        <v>2191</v>
      </c>
      <c r="B81" s="89">
        <v>6</v>
      </c>
      <c r="C81" s="89">
        <v>3</v>
      </c>
      <c r="D81" s="88">
        <f t="shared" si="8"/>
        <v>6</v>
      </c>
      <c r="E81" s="89" t="s">
        <v>2082</v>
      </c>
      <c r="F81" s="90">
        <f t="shared" si="9"/>
        <v>6</v>
      </c>
      <c r="G81" s="89" t="s">
        <v>2081</v>
      </c>
      <c r="H81" s="90">
        <f t="shared" si="10"/>
        <v>0</v>
      </c>
      <c r="I81" s="89" t="s">
        <v>2080</v>
      </c>
      <c r="J81" s="90">
        <f t="shared" si="11"/>
        <v>0</v>
      </c>
      <c r="K81" s="89" t="s">
        <v>2079</v>
      </c>
      <c r="L81" s="88">
        <v>0.24</v>
      </c>
      <c r="M81" s="65"/>
      <c r="N81" s="66"/>
      <c r="O81" s="65"/>
      <c r="P81" s="65"/>
      <c r="Q81" s="65"/>
      <c r="R81" s="65"/>
      <c r="S81" s="65"/>
      <c r="T81" s="65"/>
      <c r="U81" s="65"/>
      <c r="X81" s="79" t="s">
        <v>10511</v>
      </c>
      <c r="Y81" s="80">
        <v>1450</v>
      </c>
      <c r="Z81" s="81">
        <f t="shared" si="12"/>
        <v>1450</v>
      </c>
      <c r="AA81" s="79" t="s">
        <v>2082</v>
      </c>
      <c r="AB81" s="82">
        <f t="shared" si="13"/>
        <v>1450</v>
      </c>
      <c r="AC81" s="79" t="s">
        <v>2081</v>
      </c>
      <c r="AD81" s="82">
        <f t="shared" si="14"/>
        <v>0</v>
      </c>
      <c r="AE81" s="79" t="s">
        <v>2080</v>
      </c>
      <c r="AF81" s="82">
        <f t="shared" si="15"/>
        <v>0</v>
      </c>
      <c r="AG81" s="79" t="s">
        <v>2079</v>
      </c>
      <c r="AH81" s="81">
        <v>58</v>
      </c>
      <c r="AI81" s="65"/>
      <c r="AJ81" s="65"/>
      <c r="AK81" s="65"/>
      <c r="AL81" s="65"/>
      <c r="AM81" s="65"/>
      <c r="AN81" s="65"/>
      <c r="AO81" s="65"/>
      <c r="AP81" s="65"/>
      <c r="AQ81" s="65"/>
      <c r="AR81" s="65"/>
      <c r="AS81" s="65"/>
      <c r="AT81" s="65"/>
      <c r="AU81" s="65"/>
      <c r="AV81" s="65"/>
    </row>
    <row r="82" spans="1:48" ht="18.75">
      <c r="A82" s="89" t="s">
        <v>2192</v>
      </c>
      <c r="B82" s="89">
        <v>5</v>
      </c>
      <c r="C82" s="89">
        <v>1</v>
      </c>
      <c r="D82" s="88">
        <f t="shared" si="8"/>
        <v>5</v>
      </c>
      <c r="E82" s="89" t="s">
        <v>2082</v>
      </c>
      <c r="F82" s="90">
        <f t="shared" si="9"/>
        <v>5</v>
      </c>
      <c r="G82" s="89" t="s">
        <v>2081</v>
      </c>
      <c r="H82" s="90">
        <f t="shared" si="10"/>
        <v>0</v>
      </c>
      <c r="I82" s="89" t="s">
        <v>2080</v>
      </c>
      <c r="J82" s="90">
        <f t="shared" si="11"/>
        <v>0</v>
      </c>
      <c r="K82" s="89" t="s">
        <v>2079</v>
      </c>
      <c r="L82" s="88">
        <v>0.2</v>
      </c>
      <c r="M82" s="65"/>
      <c r="N82" s="66"/>
      <c r="O82" s="65"/>
      <c r="P82" s="65"/>
      <c r="Q82" s="65"/>
      <c r="R82" s="65"/>
      <c r="S82" s="65"/>
      <c r="T82" s="65"/>
      <c r="U82" s="65"/>
      <c r="X82" s="79" t="s">
        <v>10512</v>
      </c>
      <c r="Y82" s="80">
        <v>60</v>
      </c>
      <c r="Z82" s="81">
        <f t="shared" si="12"/>
        <v>60</v>
      </c>
      <c r="AA82" s="79" t="s">
        <v>2082</v>
      </c>
      <c r="AB82" s="82">
        <f t="shared" si="13"/>
        <v>60</v>
      </c>
      <c r="AC82" s="79" t="s">
        <v>2081</v>
      </c>
      <c r="AD82" s="82">
        <f t="shared" si="14"/>
        <v>0</v>
      </c>
      <c r="AE82" s="79" t="s">
        <v>2080</v>
      </c>
      <c r="AF82" s="82">
        <f t="shared" si="15"/>
        <v>0</v>
      </c>
      <c r="AG82" s="79" t="s">
        <v>2079</v>
      </c>
      <c r="AH82" s="81">
        <v>2.4</v>
      </c>
      <c r="AI82" s="65"/>
      <c r="AJ82" s="65"/>
      <c r="AK82" s="65"/>
      <c r="AL82" s="65"/>
      <c r="AM82" s="65"/>
      <c r="AN82" s="65"/>
      <c r="AO82" s="65"/>
      <c r="AP82" s="65"/>
      <c r="AQ82" s="65"/>
      <c r="AR82" s="65"/>
      <c r="AS82" s="65"/>
      <c r="AT82" s="65"/>
      <c r="AU82" s="65"/>
      <c r="AV82" s="65"/>
    </row>
    <row r="83" spans="1:48" ht="18.75">
      <c r="A83" s="89" t="s">
        <v>2193</v>
      </c>
      <c r="B83" s="89">
        <v>5</v>
      </c>
      <c r="C83" s="89">
        <v>10</v>
      </c>
      <c r="D83" s="88">
        <f t="shared" si="8"/>
        <v>5</v>
      </c>
      <c r="E83" s="89" t="s">
        <v>2082</v>
      </c>
      <c r="F83" s="90">
        <f t="shared" si="9"/>
        <v>5</v>
      </c>
      <c r="G83" s="89" t="s">
        <v>2081</v>
      </c>
      <c r="H83" s="90">
        <f t="shared" si="10"/>
        <v>0</v>
      </c>
      <c r="I83" s="89" t="s">
        <v>2080</v>
      </c>
      <c r="J83" s="90">
        <f t="shared" si="11"/>
        <v>0</v>
      </c>
      <c r="K83" s="89" t="s">
        <v>2079</v>
      </c>
      <c r="L83" s="88">
        <v>0.2</v>
      </c>
      <c r="M83" s="65"/>
      <c r="N83" s="66"/>
      <c r="O83" s="65"/>
      <c r="P83" s="65"/>
      <c r="Q83" s="65"/>
      <c r="R83" s="65"/>
      <c r="S83" s="65"/>
      <c r="T83" s="65"/>
      <c r="U83" s="65"/>
      <c r="X83" s="79" t="s">
        <v>10513</v>
      </c>
      <c r="Y83" s="80">
        <v>4250</v>
      </c>
      <c r="Z83" s="81">
        <f t="shared" si="12"/>
        <v>4250</v>
      </c>
      <c r="AA83" s="79" t="s">
        <v>2082</v>
      </c>
      <c r="AB83" s="82">
        <f t="shared" si="13"/>
        <v>4250</v>
      </c>
      <c r="AC83" s="79" t="s">
        <v>2081</v>
      </c>
      <c r="AD83" s="82">
        <f t="shared" si="14"/>
        <v>0</v>
      </c>
      <c r="AE83" s="79" t="s">
        <v>2080</v>
      </c>
      <c r="AF83" s="82">
        <f t="shared" si="15"/>
        <v>0</v>
      </c>
      <c r="AG83" s="79" t="s">
        <v>2079</v>
      </c>
      <c r="AH83" s="81">
        <v>170</v>
      </c>
      <c r="AI83" s="65"/>
      <c r="AJ83" s="65"/>
      <c r="AK83" s="65"/>
      <c r="AL83" s="65"/>
      <c r="AM83" s="65"/>
      <c r="AN83" s="65"/>
      <c r="AO83" s="65"/>
      <c r="AP83" s="65"/>
      <c r="AQ83" s="65"/>
      <c r="AR83" s="65"/>
      <c r="AS83" s="65"/>
      <c r="AT83" s="65"/>
      <c r="AU83" s="65"/>
      <c r="AV83" s="65"/>
    </row>
    <row r="84" spans="1:48" ht="18.75">
      <c r="A84" s="89" t="s">
        <v>2194</v>
      </c>
      <c r="B84" s="89">
        <v>5</v>
      </c>
      <c r="C84" s="89">
        <v>25</v>
      </c>
      <c r="D84" s="88">
        <f t="shared" si="8"/>
        <v>5</v>
      </c>
      <c r="E84" s="89" t="s">
        <v>2082</v>
      </c>
      <c r="F84" s="90">
        <f t="shared" si="9"/>
        <v>5</v>
      </c>
      <c r="G84" s="89" t="s">
        <v>2081</v>
      </c>
      <c r="H84" s="90">
        <f t="shared" si="10"/>
        <v>0</v>
      </c>
      <c r="I84" s="89" t="s">
        <v>2080</v>
      </c>
      <c r="J84" s="90">
        <f t="shared" si="11"/>
        <v>0</v>
      </c>
      <c r="K84" s="89" t="s">
        <v>2079</v>
      </c>
      <c r="L84" s="88">
        <v>0.2</v>
      </c>
      <c r="M84" s="65"/>
      <c r="N84" s="66"/>
      <c r="O84" s="65"/>
      <c r="P84" s="65"/>
      <c r="Q84" s="65"/>
      <c r="R84" s="65"/>
      <c r="S84" s="65"/>
      <c r="T84" s="65"/>
      <c r="U84" s="65"/>
      <c r="X84" s="79" t="s">
        <v>10514</v>
      </c>
      <c r="Y84" s="80">
        <v>3500</v>
      </c>
      <c r="Z84" s="81">
        <f t="shared" si="12"/>
        <v>3500</v>
      </c>
      <c r="AA84" s="79" t="s">
        <v>2082</v>
      </c>
      <c r="AB84" s="82">
        <f t="shared" si="13"/>
        <v>3500</v>
      </c>
      <c r="AC84" s="79" t="s">
        <v>2081</v>
      </c>
      <c r="AD84" s="82">
        <f t="shared" si="14"/>
        <v>0</v>
      </c>
      <c r="AE84" s="79" t="s">
        <v>2080</v>
      </c>
      <c r="AF84" s="82">
        <f t="shared" si="15"/>
        <v>0</v>
      </c>
      <c r="AG84" s="79" t="s">
        <v>2079</v>
      </c>
      <c r="AH84" s="81">
        <v>140</v>
      </c>
      <c r="AI84" s="65"/>
      <c r="AJ84" s="65"/>
      <c r="AK84" s="65"/>
      <c r="AL84" s="65"/>
      <c r="AM84" s="65"/>
      <c r="AN84" s="65"/>
      <c r="AO84" s="65"/>
      <c r="AP84" s="65"/>
      <c r="AQ84" s="65"/>
      <c r="AR84" s="65"/>
      <c r="AS84" s="65"/>
      <c r="AT84" s="65"/>
      <c r="AU84" s="65"/>
      <c r="AV84" s="65"/>
    </row>
    <row r="85" spans="1:48" ht="18.75">
      <c r="A85" s="89" t="s">
        <v>2195</v>
      </c>
      <c r="B85" s="89">
        <v>5</v>
      </c>
      <c r="C85" s="89">
        <v>4</v>
      </c>
      <c r="D85" s="88">
        <f t="shared" si="8"/>
        <v>5</v>
      </c>
      <c r="E85" s="89" t="s">
        <v>2082</v>
      </c>
      <c r="F85" s="90">
        <f t="shared" si="9"/>
        <v>5</v>
      </c>
      <c r="G85" s="89" t="s">
        <v>2081</v>
      </c>
      <c r="H85" s="90">
        <f t="shared" si="10"/>
        <v>0</v>
      </c>
      <c r="I85" s="89" t="s">
        <v>2080</v>
      </c>
      <c r="J85" s="90">
        <f t="shared" si="11"/>
        <v>0</v>
      </c>
      <c r="K85" s="89" t="s">
        <v>2079</v>
      </c>
      <c r="L85" s="88">
        <v>0.2</v>
      </c>
      <c r="M85" s="65"/>
      <c r="N85" s="66"/>
      <c r="O85" s="65"/>
      <c r="P85" s="65"/>
      <c r="Q85" s="65"/>
      <c r="R85" s="65"/>
      <c r="S85" s="65"/>
      <c r="T85" s="65"/>
      <c r="U85" s="65"/>
      <c r="X85" s="79" t="s">
        <v>10515</v>
      </c>
      <c r="Y85" s="80">
        <v>2600</v>
      </c>
      <c r="Z85" s="81">
        <f t="shared" si="12"/>
        <v>2600</v>
      </c>
      <c r="AA85" s="79" t="s">
        <v>2082</v>
      </c>
      <c r="AB85" s="82">
        <f t="shared" si="13"/>
        <v>2600</v>
      </c>
      <c r="AC85" s="79" t="s">
        <v>2081</v>
      </c>
      <c r="AD85" s="82">
        <f t="shared" si="14"/>
        <v>0</v>
      </c>
      <c r="AE85" s="79" t="s">
        <v>2080</v>
      </c>
      <c r="AF85" s="82">
        <f t="shared" si="15"/>
        <v>0</v>
      </c>
      <c r="AG85" s="79" t="s">
        <v>2079</v>
      </c>
      <c r="AH85" s="81">
        <v>104</v>
      </c>
      <c r="AI85" s="65"/>
      <c r="AJ85" s="65"/>
      <c r="AK85" s="65"/>
      <c r="AL85" s="65"/>
      <c r="AM85" s="65"/>
      <c r="AN85" s="65"/>
      <c r="AO85" s="65"/>
      <c r="AP85" s="65"/>
      <c r="AQ85" s="65"/>
      <c r="AR85" s="65"/>
      <c r="AS85" s="65"/>
      <c r="AT85" s="65"/>
      <c r="AU85" s="65"/>
      <c r="AV85" s="65"/>
    </row>
    <row r="86" spans="1:48" ht="18.75">
      <c r="A86" s="89" t="s">
        <v>2196</v>
      </c>
      <c r="B86" s="89">
        <v>5</v>
      </c>
      <c r="C86" s="89">
        <v>5</v>
      </c>
      <c r="D86" s="88">
        <f t="shared" si="8"/>
        <v>5</v>
      </c>
      <c r="E86" s="89" t="s">
        <v>2082</v>
      </c>
      <c r="F86" s="90">
        <f t="shared" si="9"/>
        <v>5</v>
      </c>
      <c r="G86" s="89" t="s">
        <v>2081</v>
      </c>
      <c r="H86" s="90">
        <f t="shared" si="10"/>
        <v>0</v>
      </c>
      <c r="I86" s="89" t="s">
        <v>2080</v>
      </c>
      <c r="J86" s="90">
        <f t="shared" si="11"/>
        <v>0</v>
      </c>
      <c r="K86" s="89" t="s">
        <v>2079</v>
      </c>
      <c r="L86" s="88">
        <v>0.2</v>
      </c>
      <c r="M86" s="65"/>
      <c r="N86" s="66"/>
      <c r="O86" s="65"/>
      <c r="P86" s="65"/>
      <c r="Q86" s="65"/>
      <c r="R86" s="65"/>
      <c r="S86" s="65"/>
      <c r="T86" s="65"/>
      <c r="U86" s="65"/>
      <c r="X86" s="79" t="s">
        <v>10516</v>
      </c>
      <c r="Y86" s="80">
        <v>5150</v>
      </c>
      <c r="Z86" s="81">
        <f t="shared" si="12"/>
        <v>5150</v>
      </c>
      <c r="AA86" s="79" t="s">
        <v>2082</v>
      </c>
      <c r="AB86" s="82">
        <f t="shared" si="13"/>
        <v>5150</v>
      </c>
      <c r="AC86" s="79" t="s">
        <v>2081</v>
      </c>
      <c r="AD86" s="82">
        <f t="shared" si="14"/>
        <v>0</v>
      </c>
      <c r="AE86" s="79" t="s">
        <v>2080</v>
      </c>
      <c r="AF86" s="82">
        <f t="shared" si="15"/>
        <v>0</v>
      </c>
      <c r="AG86" s="79" t="s">
        <v>2079</v>
      </c>
      <c r="AH86" s="81">
        <v>206</v>
      </c>
      <c r="AI86" s="65"/>
      <c r="AJ86" s="65"/>
      <c r="AK86" s="65"/>
      <c r="AL86" s="65"/>
      <c r="AM86" s="65"/>
      <c r="AN86" s="65"/>
      <c r="AO86" s="65"/>
      <c r="AP86" s="65"/>
      <c r="AQ86" s="65"/>
      <c r="AR86" s="65"/>
      <c r="AS86" s="65"/>
      <c r="AT86" s="65"/>
      <c r="AU86" s="65"/>
      <c r="AV86" s="65"/>
    </row>
    <row r="87" spans="1:48" ht="18.75">
      <c r="A87" s="89" t="s">
        <v>2197</v>
      </c>
      <c r="B87" s="89">
        <v>5</v>
      </c>
      <c r="C87" s="89">
        <v>0</v>
      </c>
      <c r="D87" s="88">
        <f t="shared" si="8"/>
        <v>5</v>
      </c>
      <c r="E87" s="89" t="s">
        <v>2082</v>
      </c>
      <c r="F87" s="90">
        <f t="shared" si="9"/>
        <v>5</v>
      </c>
      <c r="G87" s="89" t="s">
        <v>2081</v>
      </c>
      <c r="H87" s="90">
        <f t="shared" si="10"/>
        <v>0</v>
      </c>
      <c r="I87" s="89" t="s">
        <v>2080</v>
      </c>
      <c r="J87" s="90">
        <f t="shared" si="11"/>
        <v>0</v>
      </c>
      <c r="K87" s="89" t="s">
        <v>2079</v>
      </c>
      <c r="L87" s="88">
        <v>0.2</v>
      </c>
      <c r="M87" s="65"/>
      <c r="N87" s="66"/>
      <c r="O87" s="65"/>
      <c r="P87" s="65"/>
      <c r="Q87" s="65"/>
      <c r="R87" s="65"/>
      <c r="S87" s="65"/>
      <c r="T87" s="65"/>
      <c r="U87" s="65"/>
      <c r="X87" s="79" t="s">
        <v>10517</v>
      </c>
      <c r="Y87" s="80">
        <v>337.625</v>
      </c>
      <c r="Z87" s="81">
        <f t="shared" si="12"/>
        <v>337.625</v>
      </c>
      <c r="AA87" s="79" t="s">
        <v>2082</v>
      </c>
      <c r="AB87" s="82">
        <f t="shared" si="13"/>
        <v>337</v>
      </c>
      <c r="AC87" s="79" t="s">
        <v>2081</v>
      </c>
      <c r="AD87" s="82">
        <f t="shared" si="14"/>
        <v>6</v>
      </c>
      <c r="AE87" s="79" t="s">
        <v>2080</v>
      </c>
      <c r="AF87" s="82">
        <f t="shared" si="15"/>
        <v>2.5</v>
      </c>
      <c r="AG87" s="79" t="s">
        <v>2079</v>
      </c>
      <c r="AH87" s="81">
        <v>13.5</v>
      </c>
      <c r="AI87" s="65"/>
      <c r="AJ87" s="65"/>
      <c r="AK87" s="65"/>
      <c r="AL87" s="65"/>
      <c r="AM87" s="65"/>
      <c r="AN87" s="65"/>
      <c r="AO87" s="65"/>
      <c r="AP87" s="65"/>
      <c r="AQ87" s="65"/>
      <c r="AR87" s="65"/>
      <c r="AS87" s="65"/>
      <c r="AT87" s="65"/>
      <c r="AU87" s="65"/>
      <c r="AV87" s="65"/>
    </row>
    <row r="88" spans="1:48" ht="18.75">
      <c r="A88" s="89" t="s">
        <v>2198</v>
      </c>
      <c r="B88" s="89">
        <v>5</v>
      </c>
      <c r="C88" s="89">
        <v>2</v>
      </c>
      <c r="D88" s="88">
        <f t="shared" si="8"/>
        <v>5</v>
      </c>
      <c r="E88" s="89" t="s">
        <v>2082</v>
      </c>
      <c r="F88" s="90">
        <f t="shared" si="9"/>
        <v>5</v>
      </c>
      <c r="G88" s="89" t="s">
        <v>2081</v>
      </c>
      <c r="H88" s="90">
        <f t="shared" si="10"/>
        <v>0</v>
      </c>
      <c r="I88" s="89" t="s">
        <v>2080</v>
      </c>
      <c r="J88" s="90">
        <f t="shared" si="11"/>
        <v>0</v>
      </c>
      <c r="K88" s="89" t="s">
        <v>2079</v>
      </c>
      <c r="L88" s="88">
        <v>0.2</v>
      </c>
      <c r="M88" s="65"/>
      <c r="N88" s="66"/>
      <c r="O88" s="65"/>
      <c r="P88" s="65"/>
      <c r="Q88" s="65"/>
      <c r="R88" s="65"/>
      <c r="S88" s="65"/>
      <c r="T88" s="65"/>
      <c r="U88" s="65"/>
      <c r="X88" s="79" t="s">
        <v>10518</v>
      </c>
      <c r="Y88" s="80">
        <v>6350</v>
      </c>
      <c r="Z88" s="81">
        <f t="shared" si="12"/>
        <v>6350</v>
      </c>
      <c r="AA88" s="79" t="s">
        <v>2082</v>
      </c>
      <c r="AB88" s="82">
        <f t="shared" si="13"/>
        <v>6350</v>
      </c>
      <c r="AC88" s="79" t="s">
        <v>2081</v>
      </c>
      <c r="AD88" s="82">
        <f t="shared" si="14"/>
        <v>0</v>
      </c>
      <c r="AE88" s="79" t="s">
        <v>2080</v>
      </c>
      <c r="AF88" s="82">
        <f t="shared" si="15"/>
        <v>0</v>
      </c>
      <c r="AG88" s="79" t="s">
        <v>2079</v>
      </c>
      <c r="AH88" s="81">
        <v>254</v>
      </c>
      <c r="AI88" s="65"/>
      <c r="AJ88" s="65"/>
      <c r="AK88" s="65"/>
      <c r="AL88" s="65"/>
      <c r="AM88" s="65"/>
      <c r="AN88" s="65"/>
      <c r="AO88" s="65"/>
      <c r="AP88" s="65"/>
      <c r="AQ88" s="65"/>
      <c r="AR88" s="65"/>
      <c r="AS88" s="65"/>
      <c r="AT88" s="65"/>
      <c r="AU88" s="65"/>
      <c r="AV88" s="65"/>
    </row>
    <row r="89" spans="1:48" ht="18.75">
      <c r="A89" s="89" t="s">
        <v>2199</v>
      </c>
      <c r="B89" s="89">
        <v>5</v>
      </c>
      <c r="C89" s="89">
        <v>3</v>
      </c>
      <c r="D89" s="88">
        <f t="shared" si="8"/>
        <v>5</v>
      </c>
      <c r="E89" s="89" t="s">
        <v>2082</v>
      </c>
      <c r="F89" s="90">
        <f t="shared" si="9"/>
        <v>5</v>
      </c>
      <c r="G89" s="89" t="s">
        <v>2081</v>
      </c>
      <c r="H89" s="90">
        <f t="shared" si="10"/>
        <v>0</v>
      </c>
      <c r="I89" s="89" t="s">
        <v>2080</v>
      </c>
      <c r="J89" s="90">
        <f t="shared" si="11"/>
        <v>0</v>
      </c>
      <c r="K89" s="89" t="s">
        <v>2079</v>
      </c>
      <c r="L89" s="88">
        <v>0.2</v>
      </c>
      <c r="M89" s="65"/>
      <c r="N89" s="66"/>
      <c r="O89" s="65"/>
      <c r="P89" s="65"/>
      <c r="Q89" s="65"/>
      <c r="R89" s="65"/>
      <c r="S89" s="65"/>
      <c r="T89" s="65"/>
      <c r="U89" s="65"/>
      <c r="X89" s="79" t="s">
        <v>10519</v>
      </c>
      <c r="Y89" s="80">
        <v>20125.125</v>
      </c>
      <c r="Z89" s="81">
        <f t="shared" si="12"/>
        <v>20125.125</v>
      </c>
      <c r="AA89" s="79" t="s">
        <v>2082</v>
      </c>
      <c r="AB89" s="82">
        <f t="shared" si="13"/>
        <v>20125</v>
      </c>
      <c r="AC89" s="79" t="s">
        <v>2081</v>
      </c>
      <c r="AD89" s="82">
        <f t="shared" si="14"/>
        <v>1</v>
      </c>
      <c r="AE89" s="79" t="s">
        <v>2080</v>
      </c>
      <c r="AF89" s="82">
        <f t="shared" si="15"/>
        <v>2.5</v>
      </c>
      <c r="AG89" s="79" t="s">
        <v>2079</v>
      </c>
      <c r="AH89" s="81">
        <v>805</v>
      </c>
      <c r="AI89" s="65"/>
      <c r="AJ89" s="65"/>
      <c r="AK89" s="65"/>
      <c r="AL89" s="65"/>
      <c r="AM89" s="65"/>
      <c r="AN89" s="65"/>
      <c r="AO89" s="65"/>
      <c r="AP89" s="65"/>
      <c r="AQ89" s="65"/>
      <c r="AR89" s="65"/>
      <c r="AS89" s="65"/>
      <c r="AT89" s="65"/>
      <c r="AU89" s="65"/>
      <c r="AV89" s="65"/>
    </row>
    <row r="90" spans="1:48" ht="18.75">
      <c r="A90" s="89" t="s">
        <v>2200</v>
      </c>
      <c r="B90" s="89">
        <v>5</v>
      </c>
      <c r="C90" s="89">
        <v>3</v>
      </c>
      <c r="D90" s="88">
        <f t="shared" si="8"/>
        <v>5</v>
      </c>
      <c r="E90" s="89" t="s">
        <v>2082</v>
      </c>
      <c r="F90" s="90">
        <f t="shared" si="9"/>
        <v>5</v>
      </c>
      <c r="G90" s="89" t="s">
        <v>2081</v>
      </c>
      <c r="H90" s="90">
        <f t="shared" si="10"/>
        <v>0</v>
      </c>
      <c r="I90" s="89" t="s">
        <v>2080</v>
      </c>
      <c r="J90" s="90">
        <f t="shared" si="11"/>
        <v>0</v>
      </c>
      <c r="K90" s="89" t="s">
        <v>2079</v>
      </c>
      <c r="L90" s="88">
        <v>0.2</v>
      </c>
      <c r="M90" s="65"/>
      <c r="N90" s="66"/>
      <c r="O90" s="65"/>
      <c r="P90" s="65"/>
      <c r="Q90" s="65"/>
      <c r="R90" s="65"/>
      <c r="S90" s="65"/>
      <c r="T90" s="65"/>
      <c r="U90" s="65"/>
      <c r="X90" s="79" t="s">
        <v>10520</v>
      </c>
      <c r="Y90" s="80">
        <v>3937.625</v>
      </c>
      <c r="Z90" s="81">
        <f t="shared" si="12"/>
        <v>3937.625</v>
      </c>
      <c r="AA90" s="79" t="s">
        <v>2082</v>
      </c>
      <c r="AB90" s="82">
        <f t="shared" si="13"/>
        <v>3937</v>
      </c>
      <c r="AC90" s="79" t="s">
        <v>2081</v>
      </c>
      <c r="AD90" s="82">
        <f t="shared" si="14"/>
        <v>6</v>
      </c>
      <c r="AE90" s="79" t="s">
        <v>2080</v>
      </c>
      <c r="AF90" s="82">
        <f t="shared" si="15"/>
        <v>2.5</v>
      </c>
      <c r="AG90" s="79" t="s">
        <v>2079</v>
      </c>
      <c r="AH90" s="81">
        <v>157.5</v>
      </c>
      <c r="AI90" s="65"/>
      <c r="AJ90" s="65"/>
      <c r="AK90" s="65"/>
      <c r="AL90" s="65"/>
      <c r="AM90" s="65"/>
      <c r="AN90" s="65"/>
      <c r="AO90" s="65"/>
      <c r="AP90" s="65"/>
      <c r="AQ90" s="65"/>
      <c r="AR90" s="65"/>
      <c r="AS90" s="65"/>
      <c r="AT90" s="65"/>
      <c r="AU90" s="65"/>
      <c r="AV90" s="65"/>
    </row>
    <row r="91" spans="1:48" ht="18.75">
      <c r="A91" s="89" t="s">
        <v>2201</v>
      </c>
      <c r="B91" s="89">
        <v>5</v>
      </c>
      <c r="C91" s="89">
        <v>25</v>
      </c>
      <c r="D91" s="88">
        <f t="shared" si="8"/>
        <v>5</v>
      </c>
      <c r="E91" s="89" t="s">
        <v>2082</v>
      </c>
      <c r="F91" s="90">
        <f t="shared" si="9"/>
        <v>5</v>
      </c>
      <c r="G91" s="89" t="s">
        <v>2081</v>
      </c>
      <c r="H91" s="90">
        <f t="shared" si="10"/>
        <v>0</v>
      </c>
      <c r="I91" s="89" t="s">
        <v>2080</v>
      </c>
      <c r="J91" s="90">
        <f t="shared" si="11"/>
        <v>0</v>
      </c>
      <c r="K91" s="89" t="s">
        <v>2079</v>
      </c>
      <c r="L91" s="88">
        <v>0.2</v>
      </c>
      <c r="M91" s="65"/>
      <c r="N91" s="66"/>
      <c r="O91" s="65"/>
      <c r="P91" s="65"/>
      <c r="Q91" s="65"/>
      <c r="R91" s="65"/>
      <c r="S91" s="65"/>
      <c r="T91" s="65"/>
      <c r="U91" s="65"/>
      <c r="X91" s="79" t="s">
        <v>10521</v>
      </c>
      <c r="Y91" s="80">
        <v>925</v>
      </c>
      <c r="Z91" s="81">
        <f t="shared" si="12"/>
        <v>925</v>
      </c>
      <c r="AA91" s="79" t="s">
        <v>2082</v>
      </c>
      <c r="AB91" s="82">
        <f t="shared" si="13"/>
        <v>925</v>
      </c>
      <c r="AC91" s="79" t="s">
        <v>2081</v>
      </c>
      <c r="AD91" s="82">
        <f t="shared" si="14"/>
        <v>0</v>
      </c>
      <c r="AE91" s="79" t="s">
        <v>2080</v>
      </c>
      <c r="AF91" s="82">
        <f t="shared" si="15"/>
        <v>0</v>
      </c>
      <c r="AG91" s="79" t="s">
        <v>2079</v>
      </c>
      <c r="AH91" s="81">
        <v>37</v>
      </c>
      <c r="AI91" s="65"/>
      <c r="AJ91" s="65"/>
      <c r="AK91" s="65"/>
      <c r="AL91" s="65"/>
      <c r="AM91" s="65"/>
      <c r="AN91" s="65"/>
      <c r="AO91" s="65"/>
      <c r="AP91" s="65"/>
      <c r="AQ91" s="65"/>
      <c r="AR91" s="65"/>
      <c r="AS91" s="65"/>
      <c r="AT91" s="65"/>
      <c r="AU91" s="65"/>
      <c r="AV91" s="65"/>
    </row>
    <row r="92" spans="1:48" ht="18.75">
      <c r="A92" s="89" t="s">
        <v>2202</v>
      </c>
      <c r="B92" s="89">
        <v>5</v>
      </c>
      <c r="C92" s="89">
        <v>2</v>
      </c>
      <c r="D92" s="88">
        <f t="shared" si="8"/>
        <v>5</v>
      </c>
      <c r="E92" s="89" t="s">
        <v>2082</v>
      </c>
      <c r="F92" s="90">
        <f t="shared" si="9"/>
        <v>5</v>
      </c>
      <c r="G92" s="89" t="s">
        <v>2081</v>
      </c>
      <c r="H92" s="90">
        <f t="shared" si="10"/>
        <v>0</v>
      </c>
      <c r="I92" s="89" t="s">
        <v>2080</v>
      </c>
      <c r="J92" s="90">
        <f t="shared" si="11"/>
        <v>0</v>
      </c>
      <c r="K92" s="89" t="s">
        <v>2079</v>
      </c>
      <c r="L92" s="88">
        <v>0.2</v>
      </c>
      <c r="M92" s="65"/>
      <c r="N92" s="66"/>
      <c r="O92" s="65"/>
      <c r="P92" s="65"/>
      <c r="Q92" s="65"/>
      <c r="R92" s="65"/>
      <c r="S92" s="65"/>
      <c r="T92" s="65"/>
      <c r="U92" s="65"/>
      <c r="X92" s="79" t="s">
        <v>10522</v>
      </c>
      <c r="Y92" s="80">
        <v>5000</v>
      </c>
      <c r="Z92" s="81">
        <f t="shared" si="12"/>
        <v>5000</v>
      </c>
      <c r="AA92" s="79" t="s">
        <v>2082</v>
      </c>
      <c r="AB92" s="82">
        <f t="shared" si="13"/>
        <v>5000</v>
      </c>
      <c r="AC92" s="79" t="s">
        <v>2081</v>
      </c>
      <c r="AD92" s="82">
        <f t="shared" si="14"/>
        <v>0</v>
      </c>
      <c r="AE92" s="79" t="s">
        <v>2080</v>
      </c>
      <c r="AF92" s="82">
        <f t="shared" si="15"/>
        <v>0</v>
      </c>
      <c r="AG92" s="79" t="s">
        <v>2079</v>
      </c>
      <c r="AH92" s="81">
        <v>200</v>
      </c>
      <c r="AI92" s="65"/>
      <c r="AJ92" s="65"/>
      <c r="AK92" s="65"/>
      <c r="AL92" s="65"/>
      <c r="AM92" s="65"/>
      <c r="AN92" s="65"/>
      <c r="AO92" s="65"/>
      <c r="AP92" s="65"/>
      <c r="AQ92" s="65"/>
      <c r="AR92" s="65"/>
      <c r="AS92" s="65"/>
      <c r="AT92" s="65"/>
      <c r="AU92" s="65"/>
      <c r="AV92" s="65"/>
    </row>
    <row r="93" spans="1:48" ht="18.75">
      <c r="A93" s="89" t="s">
        <v>2203</v>
      </c>
      <c r="B93" s="89">
        <v>5</v>
      </c>
      <c r="C93" s="89">
        <v>5</v>
      </c>
      <c r="D93" s="88">
        <f t="shared" si="8"/>
        <v>5</v>
      </c>
      <c r="E93" s="89" t="s">
        <v>2082</v>
      </c>
      <c r="F93" s="90">
        <f t="shared" si="9"/>
        <v>5</v>
      </c>
      <c r="G93" s="89" t="s">
        <v>2081</v>
      </c>
      <c r="H93" s="90">
        <f t="shared" si="10"/>
        <v>0</v>
      </c>
      <c r="I93" s="89" t="s">
        <v>2080</v>
      </c>
      <c r="J93" s="90">
        <f t="shared" si="11"/>
        <v>0</v>
      </c>
      <c r="K93" s="89" t="s">
        <v>2079</v>
      </c>
      <c r="L93" s="88">
        <v>0.2</v>
      </c>
      <c r="M93" s="65"/>
      <c r="N93" s="66"/>
      <c r="O93" s="65"/>
      <c r="P93" s="65"/>
      <c r="Q93" s="65"/>
      <c r="R93" s="65"/>
      <c r="S93" s="65"/>
      <c r="T93" s="65"/>
      <c r="U93" s="65"/>
      <c r="X93" s="79" t="s">
        <v>10523</v>
      </c>
      <c r="Y93" s="80">
        <v>6350</v>
      </c>
      <c r="Z93" s="81">
        <f t="shared" si="12"/>
        <v>6350</v>
      </c>
      <c r="AA93" s="79" t="s">
        <v>2082</v>
      </c>
      <c r="AB93" s="82">
        <f t="shared" si="13"/>
        <v>6350</v>
      </c>
      <c r="AC93" s="79" t="s">
        <v>2081</v>
      </c>
      <c r="AD93" s="82">
        <f t="shared" si="14"/>
        <v>0</v>
      </c>
      <c r="AE93" s="79" t="s">
        <v>2080</v>
      </c>
      <c r="AF93" s="82">
        <f t="shared" si="15"/>
        <v>0</v>
      </c>
      <c r="AG93" s="79" t="s">
        <v>2079</v>
      </c>
      <c r="AH93" s="81">
        <v>254</v>
      </c>
      <c r="AI93" s="65"/>
      <c r="AJ93" s="65"/>
      <c r="AK93" s="65"/>
      <c r="AL93" s="65"/>
      <c r="AM93" s="65"/>
      <c r="AN93" s="65"/>
      <c r="AO93" s="65"/>
      <c r="AP93" s="65"/>
      <c r="AQ93" s="65"/>
      <c r="AR93" s="65"/>
      <c r="AS93" s="65"/>
      <c r="AT93" s="65"/>
      <c r="AU93" s="65"/>
      <c r="AV93" s="65"/>
    </row>
    <row r="94" spans="1:48" ht="18.75">
      <c r="A94" s="89" t="s">
        <v>2204</v>
      </c>
      <c r="B94" s="89">
        <v>5</v>
      </c>
      <c r="C94" s="89">
        <v>4</v>
      </c>
      <c r="D94" s="88">
        <f t="shared" si="8"/>
        <v>5</v>
      </c>
      <c r="E94" s="89" t="s">
        <v>2082</v>
      </c>
      <c r="F94" s="90">
        <f t="shared" si="9"/>
        <v>5</v>
      </c>
      <c r="G94" s="89" t="s">
        <v>2081</v>
      </c>
      <c r="H94" s="90">
        <f t="shared" si="10"/>
        <v>0</v>
      </c>
      <c r="I94" s="89" t="s">
        <v>2080</v>
      </c>
      <c r="J94" s="90">
        <f t="shared" si="11"/>
        <v>0</v>
      </c>
      <c r="K94" s="89" t="s">
        <v>2079</v>
      </c>
      <c r="L94" s="88">
        <v>0.2</v>
      </c>
      <c r="M94" s="65"/>
      <c r="N94" s="66"/>
      <c r="O94" s="65"/>
      <c r="P94" s="65"/>
      <c r="Q94" s="65"/>
      <c r="R94" s="65"/>
      <c r="S94" s="65"/>
      <c r="T94" s="65"/>
      <c r="U94" s="65"/>
      <c r="X94" s="79" t="s">
        <v>10524</v>
      </c>
      <c r="Y94" s="80">
        <v>55</v>
      </c>
      <c r="Z94" s="81">
        <f t="shared" si="12"/>
        <v>55</v>
      </c>
      <c r="AA94" s="79" t="s">
        <v>2082</v>
      </c>
      <c r="AB94" s="82">
        <f t="shared" si="13"/>
        <v>55</v>
      </c>
      <c r="AC94" s="79" t="s">
        <v>2081</v>
      </c>
      <c r="AD94" s="82">
        <f t="shared" si="14"/>
        <v>0</v>
      </c>
      <c r="AE94" s="79" t="s">
        <v>2080</v>
      </c>
      <c r="AF94" s="82">
        <f t="shared" si="15"/>
        <v>0</v>
      </c>
      <c r="AG94" s="79" t="s">
        <v>2079</v>
      </c>
      <c r="AH94" s="81">
        <v>2.2000000000000002</v>
      </c>
      <c r="AI94" s="65"/>
      <c r="AJ94" s="65"/>
      <c r="AK94" s="65"/>
      <c r="AL94" s="65"/>
      <c r="AM94" s="65"/>
      <c r="AN94" s="65"/>
      <c r="AO94" s="65"/>
      <c r="AP94" s="65"/>
      <c r="AQ94" s="65"/>
    </row>
    <row r="95" spans="1:48" ht="18.75">
      <c r="A95" s="89" t="s">
        <v>2205</v>
      </c>
      <c r="B95" s="89">
        <v>5</v>
      </c>
      <c r="C95" s="89">
        <v>0.5</v>
      </c>
      <c r="D95" s="88">
        <f t="shared" si="8"/>
        <v>5</v>
      </c>
      <c r="E95" s="89" t="s">
        <v>2082</v>
      </c>
      <c r="F95" s="90">
        <f t="shared" si="9"/>
        <v>5</v>
      </c>
      <c r="G95" s="89" t="s">
        <v>2081</v>
      </c>
      <c r="H95" s="90">
        <f t="shared" si="10"/>
        <v>0</v>
      </c>
      <c r="I95" s="89" t="s">
        <v>2080</v>
      </c>
      <c r="J95" s="90">
        <f t="shared" si="11"/>
        <v>0</v>
      </c>
      <c r="K95" s="89" t="s">
        <v>2079</v>
      </c>
      <c r="L95" s="88">
        <v>0.2</v>
      </c>
      <c r="M95" s="65"/>
      <c r="N95" s="66"/>
      <c r="O95" s="65"/>
      <c r="P95" s="65"/>
      <c r="Q95" s="65"/>
      <c r="R95" s="65"/>
      <c r="S95" s="65"/>
      <c r="T95" s="65"/>
      <c r="U95" s="65"/>
      <c r="X95" s="79" t="s">
        <v>10525</v>
      </c>
      <c r="Y95" s="80">
        <v>287.625</v>
      </c>
      <c r="Z95" s="81">
        <f t="shared" si="12"/>
        <v>287.625</v>
      </c>
      <c r="AA95" s="79" t="s">
        <v>2082</v>
      </c>
      <c r="AB95" s="82">
        <f t="shared" si="13"/>
        <v>287</v>
      </c>
      <c r="AC95" s="79" t="s">
        <v>2081</v>
      </c>
      <c r="AD95" s="82">
        <f t="shared" si="14"/>
        <v>6</v>
      </c>
      <c r="AE95" s="79" t="s">
        <v>2080</v>
      </c>
      <c r="AF95" s="82">
        <f t="shared" si="15"/>
        <v>2.5</v>
      </c>
      <c r="AG95" s="79" t="s">
        <v>2079</v>
      </c>
      <c r="AH95" s="81">
        <v>11.5</v>
      </c>
      <c r="AI95" s="65"/>
      <c r="AJ95" s="65"/>
      <c r="AK95" s="65"/>
      <c r="AL95" s="65"/>
      <c r="AM95" s="65"/>
      <c r="AN95" s="65"/>
      <c r="AO95" s="65"/>
      <c r="AP95" s="65"/>
      <c r="AQ95" s="65"/>
    </row>
    <row r="96" spans="1:48" ht="18.75">
      <c r="A96" s="89" t="s">
        <v>2206</v>
      </c>
      <c r="B96" s="89">
        <v>5</v>
      </c>
      <c r="C96" s="89">
        <v>8</v>
      </c>
      <c r="D96" s="88">
        <f t="shared" si="8"/>
        <v>5</v>
      </c>
      <c r="E96" s="89" t="s">
        <v>2082</v>
      </c>
      <c r="F96" s="90">
        <f t="shared" si="9"/>
        <v>5</v>
      </c>
      <c r="G96" s="89" t="s">
        <v>2081</v>
      </c>
      <c r="H96" s="90">
        <f t="shared" si="10"/>
        <v>0</v>
      </c>
      <c r="I96" s="89" t="s">
        <v>2080</v>
      </c>
      <c r="J96" s="90">
        <f t="shared" si="11"/>
        <v>0</v>
      </c>
      <c r="K96" s="89" t="s">
        <v>2079</v>
      </c>
      <c r="L96" s="88">
        <v>0.2</v>
      </c>
      <c r="M96" s="65"/>
      <c r="N96" s="66"/>
      <c r="O96" s="65"/>
      <c r="P96" s="65"/>
      <c r="Q96" s="65"/>
      <c r="R96" s="65"/>
      <c r="S96" s="65"/>
      <c r="T96" s="65"/>
      <c r="U96" s="65"/>
      <c r="X96" s="79" t="s">
        <v>10526</v>
      </c>
      <c r="Y96" s="80">
        <v>3937.5</v>
      </c>
      <c r="Z96" s="81">
        <f t="shared" si="12"/>
        <v>3937.5</v>
      </c>
      <c r="AA96" s="79" t="s">
        <v>2082</v>
      </c>
      <c r="AB96" s="82">
        <f t="shared" si="13"/>
        <v>3937</v>
      </c>
      <c r="AC96" s="79" t="s">
        <v>2081</v>
      </c>
      <c r="AD96" s="82">
        <f t="shared" si="14"/>
        <v>5</v>
      </c>
      <c r="AE96" s="79" t="s">
        <v>2080</v>
      </c>
      <c r="AF96" s="82">
        <f t="shared" si="15"/>
        <v>0</v>
      </c>
      <c r="AG96" s="79" t="s">
        <v>2079</v>
      </c>
      <c r="AH96" s="81">
        <v>157.5</v>
      </c>
      <c r="AI96" s="65"/>
      <c r="AJ96" s="65"/>
      <c r="AK96" s="65"/>
      <c r="AL96" s="65"/>
      <c r="AM96" s="65"/>
      <c r="AN96" s="65"/>
      <c r="AO96" s="65"/>
      <c r="AP96" s="65"/>
      <c r="AQ96" s="65"/>
    </row>
    <row r="97" spans="1:43" ht="18.75">
      <c r="A97" s="89" t="s">
        <v>2207</v>
      </c>
      <c r="B97" s="89">
        <v>5</v>
      </c>
      <c r="C97" s="89">
        <v>0</v>
      </c>
      <c r="D97" s="88">
        <f t="shared" si="8"/>
        <v>5</v>
      </c>
      <c r="E97" s="89" t="s">
        <v>2082</v>
      </c>
      <c r="F97" s="90">
        <f t="shared" si="9"/>
        <v>5</v>
      </c>
      <c r="G97" s="89" t="s">
        <v>2081</v>
      </c>
      <c r="H97" s="90">
        <f t="shared" si="10"/>
        <v>0</v>
      </c>
      <c r="I97" s="89" t="s">
        <v>2080</v>
      </c>
      <c r="J97" s="90">
        <f t="shared" si="11"/>
        <v>0</v>
      </c>
      <c r="K97" s="89" t="s">
        <v>2079</v>
      </c>
      <c r="L97" s="88">
        <v>0.2</v>
      </c>
      <c r="M97" s="65"/>
      <c r="N97" s="66"/>
      <c r="O97" s="65"/>
      <c r="P97" s="65"/>
      <c r="Q97" s="65"/>
      <c r="R97" s="65"/>
      <c r="S97" s="65"/>
      <c r="T97" s="65"/>
      <c r="U97" s="65"/>
      <c r="X97" s="79" t="s">
        <v>10527</v>
      </c>
      <c r="Y97" s="80">
        <v>4225</v>
      </c>
      <c r="Z97" s="81">
        <f t="shared" si="12"/>
        <v>4225</v>
      </c>
      <c r="AA97" s="79" t="s">
        <v>2082</v>
      </c>
      <c r="AB97" s="82">
        <f t="shared" si="13"/>
        <v>4225</v>
      </c>
      <c r="AC97" s="79" t="s">
        <v>2081</v>
      </c>
      <c r="AD97" s="82">
        <f t="shared" si="14"/>
        <v>0</v>
      </c>
      <c r="AE97" s="79" t="s">
        <v>2080</v>
      </c>
      <c r="AF97" s="82">
        <f t="shared" si="15"/>
        <v>0</v>
      </c>
      <c r="AG97" s="79" t="s">
        <v>2079</v>
      </c>
      <c r="AH97" s="81">
        <v>169</v>
      </c>
      <c r="AI97" s="65"/>
      <c r="AJ97" s="65"/>
      <c r="AK97" s="65"/>
      <c r="AL97" s="65"/>
      <c r="AM97" s="65"/>
      <c r="AN97" s="65"/>
      <c r="AO97" s="65"/>
      <c r="AP97" s="65"/>
      <c r="AQ97" s="65"/>
    </row>
    <row r="98" spans="1:43" ht="18.75">
      <c r="A98" s="89" t="s">
        <v>2208</v>
      </c>
      <c r="B98" s="89">
        <v>5</v>
      </c>
      <c r="C98" s="89">
        <v>18</v>
      </c>
      <c r="D98" s="88">
        <f t="shared" si="8"/>
        <v>5</v>
      </c>
      <c r="E98" s="89" t="s">
        <v>2082</v>
      </c>
      <c r="F98" s="90">
        <f t="shared" si="9"/>
        <v>5</v>
      </c>
      <c r="G98" s="89" t="s">
        <v>2081</v>
      </c>
      <c r="H98" s="90">
        <f t="shared" si="10"/>
        <v>0</v>
      </c>
      <c r="I98" s="89" t="s">
        <v>2080</v>
      </c>
      <c r="J98" s="90">
        <f t="shared" si="11"/>
        <v>0</v>
      </c>
      <c r="K98" s="89" t="s">
        <v>2079</v>
      </c>
      <c r="L98" s="88">
        <v>0.2</v>
      </c>
      <c r="M98" s="65"/>
      <c r="N98" s="66"/>
      <c r="O98" s="65"/>
      <c r="P98" s="65"/>
      <c r="Q98" s="65"/>
      <c r="R98" s="65"/>
      <c r="S98" s="65"/>
      <c r="T98" s="65"/>
      <c r="U98" s="65"/>
      <c r="X98" s="79" t="s">
        <v>10528</v>
      </c>
      <c r="Y98" s="80">
        <v>4812.625</v>
      </c>
      <c r="Z98" s="81">
        <f t="shared" si="12"/>
        <v>4812.625</v>
      </c>
      <c r="AA98" s="79" t="s">
        <v>2082</v>
      </c>
      <c r="AB98" s="82">
        <f t="shared" si="13"/>
        <v>4812</v>
      </c>
      <c r="AC98" s="79" t="s">
        <v>2081</v>
      </c>
      <c r="AD98" s="82">
        <f t="shared" si="14"/>
        <v>6</v>
      </c>
      <c r="AE98" s="79" t="s">
        <v>2080</v>
      </c>
      <c r="AF98" s="82">
        <f t="shared" si="15"/>
        <v>2.5</v>
      </c>
      <c r="AG98" s="79" t="s">
        <v>2079</v>
      </c>
      <c r="AH98" s="81">
        <v>192.5</v>
      </c>
      <c r="AI98" s="65"/>
      <c r="AJ98" s="65"/>
      <c r="AK98" s="65"/>
      <c r="AL98" s="65"/>
      <c r="AM98" s="65"/>
      <c r="AN98" s="65"/>
      <c r="AO98" s="65"/>
      <c r="AP98" s="65"/>
      <c r="AQ98" s="65"/>
    </row>
    <row r="99" spans="1:43" ht="18.75">
      <c r="A99" s="89" t="s">
        <v>2209</v>
      </c>
      <c r="B99" s="89">
        <v>5</v>
      </c>
      <c r="C99" s="89">
        <v>2</v>
      </c>
      <c r="D99" s="88">
        <f t="shared" si="8"/>
        <v>5</v>
      </c>
      <c r="E99" s="89" t="s">
        <v>2082</v>
      </c>
      <c r="F99" s="90">
        <f t="shared" si="9"/>
        <v>5</v>
      </c>
      <c r="G99" s="89" t="s">
        <v>2081</v>
      </c>
      <c r="H99" s="90">
        <f t="shared" si="10"/>
        <v>0</v>
      </c>
      <c r="I99" s="89" t="s">
        <v>2080</v>
      </c>
      <c r="J99" s="90">
        <f t="shared" si="11"/>
        <v>0</v>
      </c>
      <c r="K99" s="89" t="s">
        <v>2079</v>
      </c>
      <c r="L99" s="88">
        <v>0.2</v>
      </c>
      <c r="M99" s="65"/>
      <c r="N99" s="66"/>
      <c r="O99" s="65"/>
      <c r="P99" s="65"/>
      <c r="Q99" s="65"/>
      <c r="R99" s="65"/>
      <c r="S99" s="65"/>
      <c r="T99" s="65"/>
      <c r="U99" s="65"/>
      <c r="X99" s="79" t="s">
        <v>10529</v>
      </c>
      <c r="Y99" s="80">
        <v>19825.125</v>
      </c>
      <c r="Z99" s="81">
        <f t="shared" si="12"/>
        <v>19825.125</v>
      </c>
      <c r="AA99" s="79" t="s">
        <v>2082</v>
      </c>
      <c r="AB99" s="82">
        <f t="shared" si="13"/>
        <v>19825</v>
      </c>
      <c r="AC99" s="79" t="s">
        <v>2081</v>
      </c>
      <c r="AD99" s="82">
        <f t="shared" si="14"/>
        <v>1</v>
      </c>
      <c r="AE99" s="79" t="s">
        <v>2080</v>
      </c>
      <c r="AF99" s="82">
        <f t="shared" si="15"/>
        <v>2.5</v>
      </c>
      <c r="AG99" s="79" t="s">
        <v>2079</v>
      </c>
      <c r="AH99" s="81">
        <v>793</v>
      </c>
      <c r="AI99" s="65"/>
      <c r="AJ99" s="65"/>
      <c r="AK99" s="65"/>
      <c r="AL99" s="65"/>
      <c r="AM99" s="65"/>
      <c r="AN99" s="65"/>
      <c r="AO99" s="65"/>
      <c r="AP99" s="65"/>
      <c r="AQ99" s="65"/>
    </row>
    <row r="100" spans="1:43" ht="18.75">
      <c r="A100" s="89" t="s">
        <v>2210</v>
      </c>
      <c r="B100" s="89">
        <v>5</v>
      </c>
      <c r="C100" s="89">
        <v>3</v>
      </c>
      <c r="D100" s="88">
        <f t="shared" si="8"/>
        <v>5</v>
      </c>
      <c r="E100" s="89" t="s">
        <v>2082</v>
      </c>
      <c r="F100" s="90">
        <f t="shared" si="9"/>
        <v>5</v>
      </c>
      <c r="G100" s="89" t="s">
        <v>2081</v>
      </c>
      <c r="H100" s="90">
        <f t="shared" si="10"/>
        <v>0</v>
      </c>
      <c r="I100" s="89" t="s">
        <v>2080</v>
      </c>
      <c r="J100" s="90">
        <f t="shared" si="11"/>
        <v>0</v>
      </c>
      <c r="K100" s="89" t="s">
        <v>2079</v>
      </c>
      <c r="L100" s="88">
        <v>0.2</v>
      </c>
      <c r="M100" s="65"/>
      <c r="N100" s="66"/>
      <c r="O100" s="65"/>
      <c r="P100" s="65"/>
      <c r="Q100" s="65"/>
      <c r="R100" s="65"/>
      <c r="S100" s="65"/>
      <c r="T100" s="65"/>
      <c r="U100" s="65"/>
      <c r="X100" s="79" t="s">
        <v>10530</v>
      </c>
      <c r="Y100" s="80">
        <v>55</v>
      </c>
      <c r="Z100" s="81">
        <f t="shared" si="12"/>
        <v>55</v>
      </c>
      <c r="AA100" s="79" t="s">
        <v>2082</v>
      </c>
      <c r="AB100" s="82">
        <f t="shared" si="13"/>
        <v>55</v>
      </c>
      <c r="AC100" s="79" t="s">
        <v>2081</v>
      </c>
      <c r="AD100" s="82">
        <f t="shared" si="14"/>
        <v>0</v>
      </c>
      <c r="AE100" s="79" t="s">
        <v>2080</v>
      </c>
      <c r="AF100" s="82">
        <f t="shared" si="15"/>
        <v>0</v>
      </c>
      <c r="AG100" s="79" t="s">
        <v>2079</v>
      </c>
      <c r="AH100" s="81">
        <v>2.2000000000000002</v>
      </c>
      <c r="AI100" s="65"/>
      <c r="AJ100" s="65"/>
      <c r="AK100" s="65"/>
      <c r="AL100" s="65"/>
      <c r="AM100" s="65"/>
      <c r="AN100" s="65"/>
      <c r="AO100" s="65"/>
      <c r="AP100" s="65"/>
      <c r="AQ100" s="65"/>
    </row>
    <row r="101" spans="1:43" ht="18.75">
      <c r="A101" s="89" t="s">
        <v>2211</v>
      </c>
      <c r="B101" s="89">
        <v>5</v>
      </c>
      <c r="C101" s="89">
        <v>0</v>
      </c>
      <c r="D101" s="88">
        <f t="shared" si="8"/>
        <v>5</v>
      </c>
      <c r="E101" s="89" t="s">
        <v>2082</v>
      </c>
      <c r="F101" s="90">
        <f t="shared" si="9"/>
        <v>5</v>
      </c>
      <c r="G101" s="89" t="s">
        <v>2081</v>
      </c>
      <c r="H101" s="90">
        <f t="shared" si="10"/>
        <v>0</v>
      </c>
      <c r="I101" s="89" t="s">
        <v>2080</v>
      </c>
      <c r="J101" s="90">
        <f t="shared" si="11"/>
        <v>0</v>
      </c>
      <c r="K101" s="89" t="s">
        <v>2079</v>
      </c>
      <c r="L101" s="88">
        <v>0.2</v>
      </c>
      <c r="M101" s="65"/>
      <c r="N101" s="66"/>
      <c r="O101" s="65"/>
      <c r="P101" s="65"/>
      <c r="Q101" s="65"/>
      <c r="R101" s="65"/>
      <c r="S101" s="65"/>
      <c r="T101" s="65"/>
      <c r="U101" s="65"/>
      <c r="X101" s="79" t="s">
        <v>10531</v>
      </c>
      <c r="Y101" s="80">
        <v>725</v>
      </c>
      <c r="Z101" s="81">
        <f t="shared" si="12"/>
        <v>725</v>
      </c>
      <c r="AA101" s="79" t="s">
        <v>2082</v>
      </c>
      <c r="AB101" s="82">
        <f t="shared" si="13"/>
        <v>725</v>
      </c>
      <c r="AC101" s="79" t="s">
        <v>2081</v>
      </c>
      <c r="AD101" s="82">
        <f t="shared" si="14"/>
        <v>0</v>
      </c>
      <c r="AE101" s="79" t="s">
        <v>2080</v>
      </c>
      <c r="AF101" s="82">
        <f t="shared" si="15"/>
        <v>0</v>
      </c>
      <c r="AG101" s="79" t="s">
        <v>2079</v>
      </c>
      <c r="AH101" s="81">
        <v>29</v>
      </c>
      <c r="AI101" s="65"/>
      <c r="AJ101" s="65"/>
      <c r="AK101" s="65"/>
      <c r="AL101" s="65"/>
      <c r="AM101" s="65"/>
      <c r="AN101" s="65"/>
      <c r="AO101" s="65"/>
      <c r="AP101" s="65"/>
      <c r="AQ101" s="65"/>
    </row>
    <row r="102" spans="1:43" ht="18.75">
      <c r="A102" s="89" t="s">
        <v>2212</v>
      </c>
      <c r="B102" s="89">
        <v>5</v>
      </c>
      <c r="C102" s="89">
        <v>4</v>
      </c>
      <c r="D102" s="88">
        <f t="shared" si="8"/>
        <v>5</v>
      </c>
      <c r="E102" s="89" t="s">
        <v>2082</v>
      </c>
      <c r="F102" s="90">
        <f t="shared" si="9"/>
        <v>5</v>
      </c>
      <c r="G102" s="89" t="s">
        <v>2081</v>
      </c>
      <c r="H102" s="90">
        <f t="shared" si="10"/>
        <v>0</v>
      </c>
      <c r="I102" s="89" t="s">
        <v>2080</v>
      </c>
      <c r="J102" s="90">
        <f t="shared" si="11"/>
        <v>0</v>
      </c>
      <c r="K102" s="89" t="s">
        <v>2079</v>
      </c>
      <c r="L102" s="88">
        <v>0.2</v>
      </c>
      <c r="M102" s="65"/>
      <c r="N102" s="66"/>
      <c r="O102" s="65"/>
      <c r="P102" s="65"/>
      <c r="Q102" s="65"/>
      <c r="R102" s="65"/>
      <c r="S102" s="65"/>
      <c r="T102" s="65"/>
      <c r="U102" s="65"/>
      <c r="X102" s="79" t="s">
        <v>10532</v>
      </c>
      <c r="Y102" s="80">
        <v>5950</v>
      </c>
      <c r="Z102" s="81">
        <f t="shared" si="12"/>
        <v>5950</v>
      </c>
      <c r="AA102" s="79" t="s">
        <v>2082</v>
      </c>
      <c r="AB102" s="82">
        <f t="shared" si="13"/>
        <v>5950</v>
      </c>
      <c r="AC102" s="79" t="s">
        <v>2081</v>
      </c>
      <c r="AD102" s="82">
        <f t="shared" si="14"/>
        <v>0</v>
      </c>
      <c r="AE102" s="79" t="s">
        <v>2080</v>
      </c>
      <c r="AF102" s="82">
        <f t="shared" si="15"/>
        <v>0</v>
      </c>
      <c r="AG102" s="79" t="s">
        <v>2079</v>
      </c>
      <c r="AH102" s="81">
        <v>238</v>
      </c>
      <c r="AI102" s="65"/>
      <c r="AJ102" s="65"/>
      <c r="AK102" s="65"/>
      <c r="AL102" s="65"/>
      <c r="AM102" s="65"/>
      <c r="AN102" s="65"/>
      <c r="AO102" s="65"/>
      <c r="AP102" s="65"/>
      <c r="AQ102" s="65"/>
    </row>
    <row r="103" spans="1:43" ht="18.75">
      <c r="A103" s="89" t="s">
        <v>2213</v>
      </c>
      <c r="B103" s="89">
        <v>5</v>
      </c>
      <c r="C103" s="89">
        <v>4</v>
      </c>
      <c r="D103" s="88">
        <f t="shared" si="8"/>
        <v>5</v>
      </c>
      <c r="E103" s="89" t="s">
        <v>2082</v>
      </c>
      <c r="F103" s="90">
        <f t="shared" si="9"/>
        <v>5</v>
      </c>
      <c r="G103" s="89" t="s">
        <v>2081</v>
      </c>
      <c r="H103" s="90">
        <f t="shared" si="10"/>
        <v>0</v>
      </c>
      <c r="I103" s="89" t="s">
        <v>2080</v>
      </c>
      <c r="J103" s="90">
        <f t="shared" si="11"/>
        <v>0</v>
      </c>
      <c r="K103" s="89" t="s">
        <v>2079</v>
      </c>
      <c r="L103" s="88">
        <v>0.2</v>
      </c>
      <c r="M103" s="65"/>
      <c r="N103" s="66"/>
      <c r="O103" s="65"/>
      <c r="P103" s="65"/>
      <c r="Q103" s="65"/>
      <c r="R103" s="65"/>
      <c r="S103" s="65"/>
      <c r="T103" s="65"/>
      <c r="U103" s="65"/>
      <c r="X103" s="79" t="s">
        <v>10533</v>
      </c>
      <c r="Y103" s="80">
        <v>28000</v>
      </c>
      <c r="Z103" s="81">
        <f t="shared" si="12"/>
        <v>28000</v>
      </c>
      <c r="AA103" s="79" t="s">
        <v>2082</v>
      </c>
      <c r="AB103" s="82">
        <f t="shared" si="13"/>
        <v>28000</v>
      </c>
      <c r="AC103" s="79" t="s">
        <v>2081</v>
      </c>
      <c r="AD103" s="82">
        <f t="shared" si="14"/>
        <v>0</v>
      </c>
      <c r="AE103" s="79" t="s">
        <v>2080</v>
      </c>
      <c r="AF103" s="82">
        <f t="shared" si="15"/>
        <v>0</v>
      </c>
      <c r="AG103" s="79" t="s">
        <v>2079</v>
      </c>
      <c r="AH103" s="81">
        <v>1120</v>
      </c>
      <c r="AI103" s="65"/>
      <c r="AJ103" s="65"/>
      <c r="AK103" s="65"/>
      <c r="AL103" s="65"/>
      <c r="AM103" s="65"/>
      <c r="AN103" s="65"/>
      <c r="AO103" s="65"/>
      <c r="AP103" s="65"/>
      <c r="AQ103" s="65"/>
    </row>
    <row r="104" spans="1:43" ht="18.75">
      <c r="A104" s="89" t="s">
        <v>2214</v>
      </c>
      <c r="B104" s="89">
        <v>5</v>
      </c>
      <c r="C104" s="89">
        <v>2</v>
      </c>
      <c r="D104" s="88">
        <f t="shared" si="8"/>
        <v>5</v>
      </c>
      <c r="E104" s="89" t="s">
        <v>2082</v>
      </c>
      <c r="F104" s="90">
        <f t="shared" si="9"/>
        <v>5</v>
      </c>
      <c r="G104" s="89" t="s">
        <v>2081</v>
      </c>
      <c r="H104" s="90">
        <f t="shared" si="10"/>
        <v>0</v>
      </c>
      <c r="I104" s="89" t="s">
        <v>2080</v>
      </c>
      <c r="J104" s="90">
        <f t="shared" si="11"/>
        <v>0</v>
      </c>
      <c r="K104" s="89" t="s">
        <v>2079</v>
      </c>
      <c r="L104" s="88">
        <v>0.2</v>
      </c>
      <c r="M104" s="65"/>
      <c r="N104" s="66"/>
      <c r="O104" s="65"/>
      <c r="P104" s="65"/>
      <c r="Q104" s="65"/>
      <c r="R104" s="65"/>
      <c r="S104" s="65"/>
      <c r="T104" s="65"/>
      <c r="U104" s="65"/>
      <c r="X104" s="79" t="s">
        <v>10534</v>
      </c>
      <c r="Y104" s="80">
        <v>60</v>
      </c>
      <c r="Z104" s="81">
        <f t="shared" si="12"/>
        <v>60</v>
      </c>
      <c r="AA104" s="79" t="s">
        <v>2082</v>
      </c>
      <c r="AB104" s="82">
        <f t="shared" si="13"/>
        <v>60</v>
      </c>
      <c r="AC104" s="79" t="s">
        <v>2081</v>
      </c>
      <c r="AD104" s="82">
        <f t="shared" si="14"/>
        <v>0</v>
      </c>
      <c r="AE104" s="79" t="s">
        <v>2080</v>
      </c>
      <c r="AF104" s="82">
        <f t="shared" si="15"/>
        <v>0</v>
      </c>
      <c r="AG104" s="79" t="s">
        <v>2079</v>
      </c>
      <c r="AH104" s="81">
        <v>2.4</v>
      </c>
      <c r="AI104" s="65"/>
      <c r="AJ104" s="65"/>
      <c r="AK104" s="65"/>
      <c r="AL104" s="65"/>
      <c r="AM104" s="65"/>
      <c r="AN104" s="65"/>
      <c r="AO104" s="65"/>
      <c r="AP104" s="65"/>
      <c r="AQ104" s="65"/>
    </row>
    <row r="105" spans="1:43" ht="18.75">
      <c r="A105" s="89" t="s">
        <v>2215</v>
      </c>
      <c r="B105" s="89">
        <v>5</v>
      </c>
      <c r="C105" s="89">
        <v>4</v>
      </c>
      <c r="D105" s="88">
        <f t="shared" si="8"/>
        <v>5</v>
      </c>
      <c r="E105" s="89" t="s">
        <v>2082</v>
      </c>
      <c r="F105" s="90">
        <f t="shared" si="9"/>
        <v>5</v>
      </c>
      <c r="G105" s="89" t="s">
        <v>2081</v>
      </c>
      <c r="H105" s="90">
        <f t="shared" si="10"/>
        <v>0</v>
      </c>
      <c r="I105" s="89" t="s">
        <v>2080</v>
      </c>
      <c r="J105" s="90">
        <f t="shared" si="11"/>
        <v>0</v>
      </c>
      <c r="K105" s="89" t="s">
        <v>2079</v>
      </c>
      <c r="L105" s="88">
        <v>0.2</v>
      </c>
      <c r="M105" s="65"/>
      <c r="N105" s="66"/>
      <c r="O105" s="65"/>
      <c r="P105" s="65"/>
      <c r="Q105" s="65"/>
      <c r="R105" s="65"/>
      <c r="S105" s="65"/>
      <c r="T105" s="65"/>
      <c r="U105" s="65"/>
      <c r="X105" s="79" t="s">
        <v>10535</v>
      </c>
      <c r="Y105" s="80">
        <v>55</v>
      </c>
      <c r="Z105" s="81">
        <f t="shared" si="12"/>
        <v>55</v>
      </c>
      <c r="AA105" s="79" t="s">
        <v>2082</v>
      </c>
      <c r="AB105" s="82">
        <f t="shared" si="13"/>
        <v>55</v>
      </c>
      <c r="AC105" s="79" t="s">
        <v>2081</v>
      </c>
      <c r="AD105" s="82">
        <f t="shared" si="14"/>
        <v>0</v>
      </c>
      <c r="AE105" s="79" t="s">
        <v>2080</v>
      </c>
      <c r="AF105" s="82">
        <f t="shared" si="15"/>
        <v>0</v>
      </c>
      <c r="AG105" s="79" t="s">
        <v>2079</v>
      </c>
      <c r="AH105" s="81">
        <v>2.2000000000000002</v>
      </c>
      <c r="AI105" s="65"/>
      <c r="AJ105" s="65"/>
      <c r="AK105" s="65"/>
      <c r="AL105" s="65"/>
      <c r="AM105" s="65"/>
      <c r="AN105" s="65"/>
      <c r="AO105" s="65"/>
      <c r="AP105" s="65"/>
      <c r="AQ105" s="65"/>
    </row>
    <row r="106" spans="1:43" ht="18.75">
      <c r="A106" s="89" t="s">
        <v>2216</v>
      </c>
      <c r="B106" s="89">
        <v>4</v>
      </c>
      <c r="C106" s="89">
        <v>35</v>
      </c>
      <c r="D106" s="88">
        <f t="shared" si="8"/>
        <v>4</v>
      </c>
      <c r="E106" s="89" t="s">
        <v>2082</v>
      </c>
      <c r="F106" s="90">
        <f t="shared" si="9"/>
        <v>4</v>
      </c>
      <c r="G106" s="89" t="s">
        <v>2081</v>
      </c>
      <c r="H106" s="90">
        <f t="shared" si="10"/>
        <v>0</v>
      </c>
      <c r="I106" s="89" t="s">
        <v>2080</v>
      </c>
      <c r="J106" s="90">
        <f t="shared" si="11"/>
        <v>0</v>
      </c>
      <c r="K106" s="89" t="s">
        <v>2079</v>
      </c>
      <c r="L106" s="88">
        <v>0.16</v>
      </c>
      <c r="M106" s="65"/>
      <c r="N106" s="66"/>
      <c r="O106" s="65"/>
      <c r="P106" s="65"/>
      <c r="Q106" s="65"/>
      <c r="R106" s="65"/>
      <c r="S106" s="65"/>
      <c r="T106" s="65"/>
      <c r="U106" s="65"/>
      <c r="X106" s="79" t="s">
        <v>10536</v>
      </c>
      <c r="Y106" s="80">
        <v>6875.25</v>
      </c>
      <c r="Z106" s="81">
        <f t="shared" si="12"/>
        <v>6875.25</v>
      </c>
      <c r="AA106" s="79" t="s">
        <v>2082</v>
      </c>
      <c r="AB106" s="82">
        <f t="shared" si="13"/>
        <v>6875</v>
      </c>
      <c r="AC106" s="79" t="s">
        <v>2081</v>
      </c>
      <c r="AD106" s="82">
        <f t="shared" si="14"/>
        <v>2</v>
      </c>
      <c r="AE106" s="79" t="s">
        <v>2080</v>
      </c>
      <c r="AF106" s="82">
        <f t="shared" si="15"/>
        <v>5</v>
      </c>
      <c r="AG106" s="79" t="s">
        <v>2079</v>
      </c>
      <c r="AH106" s="81">
        <v>275.01</v>
      </c>
      <c r="AI106" s="65"/>
      <c r="AJ106" s="65"/>
      <c r="AK106" s="65"/>
      <c r="AL106" s="65"/>
      <c r="AM106" s="65"/>
      <c r="AN106" s="65"/>
      <c r="AO106" s="65"/>
      <c r="AP106" s="65"/>
      <c r="AQ106" s="65"/>
    </row>
    <row r="107" spans="1:43" ht="18.75">
      <c r="A107" s="89" t="s">
        <v>2217</v>
      </c>
      <c r="B107" s="89">
        <v>3</v>
      </c>
      <c r="C107" s="89">
        <v>2</v>
      </c>
      <c r="D107" s="88">
        <f t="shared" si="8"/>
        <v>3</v>
      </c>
      <c r="E107" s="89" t="s">
        <v>2082</v>
      </c>
      <c r="F107" s="90">
        <f t="shared" si="9"/>
        <v>3</v>
      </c>
      <c r="G107" s="89" t="s">
        <v>2081</v>
      </c>
      <c r="H107" s="90">
        <f t="shared" si="10"/>
        <v>0</v>
      </c>
      <c r="I107" s="89" t="s">
        <v>2080</v>
      </c>
      <c r="J107" s="90">
        <f t="shared" si="11"/>
        <v>0</v>
      </c>
      <c r="K107" s="89" t="s">
        <v>2079</v>
      </c>
      <c r="L107" s="88">
        <v>0.12</v>
      </c>
      <c r="M107" s="65"/>
      <c r="N107" s="66"/>
      <c r="O107" s="65"/>
      <c r="P107" s="65"/>
      <c r="Q107" s="65"/>
      <c r="R107" s="65"/>
      <c r="S107" s="65"/>
      <c r="T107" s="65"/>
      <c r="U107" s="65"/>
      <c r="X107" s="79" t="s">
        <v>10537</v>
      </c>
      <c r="Y107" s="80">
        <v>31250.25</v>
      </c>
      <c r="Z107" s="81">
        <f t="shared" si="12"/>
        <v>31250.25</v>
      </c>
      <c r="AA107" s="79" t="s">
        <v>2082</v>
      </c>
      <c r="AB107" s="82">
        <f t="shared" si="13"/>
        <v>31250</v>
      </c>
      <c r="AC107" s="79" t="s">
        <v>2081</v>
      </c>
      <c r="AD107" s="82">
        <f t="shared" si="14"/>
        <v>2</v>
      </c>
      <c r="AE107" s="79" t="s">
        <v>2080</v>
      </c>
      <c r="AF107" s="82">
        <f t="shared" si="15"/>
        <v>5</v>
      </c>
      <c r="AG107" s="79" t="s">
        <v>2079</v>
      </c>
      <c r="AH107" s="81">
        <v>1250.01</v>
      </c>
      <c r="AI107" s="65"/>
      <c r="AJ107" s="65"/>
      <c r="AK107" s="65"/>
      <c r="AL107" s="65"/>
      <c r="AM107" s="65"/>
      <c r="AN107" s="65"/>
      <c r="AO107" s="65"/>
      <c r="AP107" s="65"/>
      <c r="AQ107" s="65"/>
    </row>
    <row r="108" spans="1:43" ht="18.75">
      <c r="A108" s="89" t="s">
        <v>2218</v>
      </c>
      <c r="B108" s="89">
        <v>2</v>
      </c>
      <c r="C108" s="89">
        <v>2</v>
      </c>
      <c r="D108" s="88">
        <f t="shared" si="8"/>
        <v>2</v>
      </c>
      <c r="E108" s="89" t="s">
        <v>2082</v>
      </c>
      <c r="F108" s="90">
        <f t="shared" si="9"/>
        <v>2</v>
      </c>
      <c r="G108" s="89" t="s">
        <v>2081</v>
      </c>
      <c r="H108" s="90">
        <f t="shared" si="10"/>
        <v>0</v>
      </c>
      <c r="I108" s="89" t="s">
        <v>2080</v>
      </c>
      <c r="J108" s="90">
        <f t="shared" si="11"/>
        <v>0</v>
      </c>
      <c r="K108" s="89" t="s">
        <v>2079</v>
      </c>
      <c r="L108" s="88">
        <v>0.08</v>
      </c>
      <c r="M108" s="65"/>
      <c r="N108" s="66"/>
      <c r="O108" s="65"/>
      <c r="P108" s="65"/>
      <c r="Q108" s="65"/>
      <c r="R108" s="65"/>
      <c r="S108" s="65"/>
      <c r="T108" s="65"/>
      <c r="U108" s="65"/>
      <c r="X108" s="79" t="s">
        <v>10538</v>
      </c>
      <c r="Y108" s="80">
        <v>6350</v>
      </c>
      <c r="Z108" s="81">
        <f t="shared" si="12"/>
        <v>6350</v>
      </c>
      <c r="AA108" s="79" t="s">
        <v>2082</v>
      </c>
      <c r="AB108" s="82">
        <f t="shared" si="13"/>
        <v>6350</v>
      </c>
      <c r="AC108" s="79" t="s">
        <v>2081</v>
      </c>
      <c r="AD108" s="82">
        <f t="shared" si="14"/>
        <v>0</v>
      </c>
      <c r="AE108" s="79" t="s">
        <v>2080</v>
      </c>
      <c r="AF108" s="82">
        <f t="shared" si="15"/>
        <v>0</v>
      </c>
      <c r="AG108" s="79" t="s">
        <v>2079</v>
      </c>
      <c r="AH108" s="81">
        <v>254</v>
      </c>
      <c r="AI108" s="65"/>
      <c r="AJ108" s="65"/>
      <c r="AK108" s="65"/>
      <c r="AL108" s="65"/>
      <c r="AM108" s="65"/>
      <c r="AN108" s="65"/>
      <c r="AO108" s="65"/>
      <c r="AP108" s="65"/>
      <c r="AQ108" s="65"/>
    </row>
    <row r="109" spans="1:43" ht="18.75">
      <c r="A109" s="89" t="s">
        <v>2219</v>
      </c>
      <c r="B109" s="89">
        <v>2</v>
      </c>
      <c r="C109" s="89">
        <v>5</v>
      </c>
      <c r="D109" s="88">
        <f t="shared" si="8"/>
        <v>2</v>
      </c>
      <c r="E109" s="89" t="s">
        <v>2082</v>
      </c>
      <c r="F109" s="90">
        <f t="shared" si="9"/>
        <v>2</v>
      </c>
      <c r="G109" s="89" t="s">
        <v>2081</v>
      </c>
      <c r="H109" s="90">
        <f t="shared" si="10"/>
        <v>0</v>
      </c>
      <c r="I109" s="89" t="s">
        <v>2080</v>
      </c>
      <c r="J109" s="90">
        <f t="shared" si="11"/>
        <v>0</v>
      </c>
      <c r="K109" s="89" t="s">
        <v>2079</v>
      </c>
      <c r="L109" s="88">
        <v>0.08</v>
      </c>
      <c r="M109" s="65"/>
      <c r="N109" s="66"/>
      <c r="O109" s="65"/>
      <c r="P109" s="65"/>
      <c r="Q109" s="65"/>
      <c r="R109" s="65"/>
      <c r="S109" s="65"/>
      <c r="T109" s="65"/>
      <c r="U109" s="65"/>
      <c r="X109" s="79" t="s">
        <v>10539</v>
      </c>
      <c r="Y109" s="80">
        <v>70</v>
      </c>
      <c r="Z109" s="81">
        <f t="shared" si="12"/>
        <v>70</v>
      </c>
      <c r="AA109" s="79" t="s">
        <v>2082</v>
      </c>
      <c r="AB109" s="82">
        <f t="shared" si="13"/>
        <v>70</v>
      </c>
      <c r="AC109" s="79" t="s">
        <v>2081</v>
      </c>
      <c r="AD109" s="82">
        <f t="shared" si="14"/>
        <v>0</v>
      </c>
      <c r="AE109" s="79" t="s">
        <v>2080</v>
      </c>
      <c r="AF109" s="82">
        <f t="shared" si="15"/>
        <v>0</v>
      </c>
      <c r="AG109" s="79" t="s">
        <v>2079</v>
      </c>
      <c r="AH109" s="81">
        <v>2.8000000000000003</v>
      </c>
      <c r="AI109" s="65"/>
      <c r="AJ109" s="65"/>
      <c r="AK109" s="65"/>
      <c r="AL109" s="65"/>
      <c r="AM109" s="65"/>
      <c r="AN109" s="65"/>
      <c r="AO109" s="65"/>
      <c r="AP109" s="65"/>
      <c r="AQ109" s="65"/>
    </row>
    <row r="110" spans="1:43" ht="18.75">
      <c r="A110" s="89" t="s">
        <v>2220</v>
      </c>
      <c r="B110" s="89">
        <v>2</v>
      </c>
      <c r="C110" s="89">
        <v>70</v>
      </c>
      <c r="D110" s="88">
        <f t="shared" si="8"/>
        <v>2</v>
      </c>
      <c r="E110" s="89" t="s">
        <v>2082</v>
      </c>
      <c r="F110" s="90">
        <f t="shared" si="9"/>
        <v>2</v>
      </c>
      <c r="G110" s="89" t="s">
        <v>2081</v>
      </c>
      <c r="H110" s="90">
        <f t="shared" si="10"/>
        <v>0</v>
      </c>
      <c r="I110" s="89" t="s">
        <v>2080</v>
      </c>
      <c r="J110" s="90">
        <f t="shared" si="11"/>
        <v>0</v>
      </c>
      <c r="K110" s="89" t="s">
        <v>2079</v>
      </c>
      <c r="L110" s="88">
        <v>0.08</v>
      </c>
      <c r="M110" s="65"/>
      <c r="N110" s="66"/>
      <c r="O110" s="65"/>
      <c r="P110" s="65"/>
      <c r="Q110" s="65"/>
      <c r="R110" s="65"/>
      <c r="S110" s="65"/>
      <c r="T110" s="65"/>
      <c r="U110" s="65"/>
      <c r="X110" s="79" t="s">
        <v>10540</v>
      </c>
      <c r="Y110" s="80">
        <v>4187.625</v>
      </c>
      <c r="Z110" s="81">
        <f t="shared" si="12"/>
        <v>4187.625</v>
      </c>
      <c r="AA110" s="79" t="s">
        <v>2082</v>
      </c>
      <c r="AB110" s="82">
        <f t="shared" si="13"/>
        <v>4187</v>
      </c>
      <c r="AC110" s="79" t="s">
        <v>2081</v>
      </c>
      <c r="AD110" s="82">
        <f t="shared" si="14"/>
        <v>6</v>
      </c>
      <c r="AE110" s="79" t="s">
        <v>2080</v>
      </c>
      <c r="AF110" s="82">
        <f t="shared" si="15"/>
        <v>2.5</v>
      </c>
      <c r="AG110" s="79" t="s">
        <v>2079</v>
      </c>
      <c r="AH110" s="81">
        <v>167.5</v>
      </c>
      <c r="AI110" s="65"/>
      <c r="AJ110" s="65"/>
      <c r="AK110" s="65"/>
      <c r="AL110" s="65"/>
      <c r="AM110" s="65"/>
      <c r="AN110" s="65"/>
      <c r="AO110" s="65"/>
      <c r="AP110" s="65"/>
      <c r="AQ110" s="65"/>
    </row>
    <row r="111" spans="1:43" ht="18.75">
      <c r="A111" s="89" t="s">
        <v>2221</v>
      </c>
      <c r="B111" s="89">
        <v>2</v>
      </c>
      <c r="C111" s="89">
        <v>2</v>
      </c>
      <c r="D111" s="88">
        <f t="shared" si="8"/>
        <v>2</v>
      </c>
      <c r="E111" s="89" t="s">
        <v>2082</v>
      </c>
      <c r="F111" s="90">
        <f t="shared" si="9"/>
        <v>2</v>
      </c>
      <c r="G111" s="89" t="s">
        <v>2081</v>
      </c>
      <c r="H111" s="90">
        <f t="shared" si="10"/>
        <v>0</v>
      </c>
      <c r="I111" s="89" t="s">
        <v>2080</v>
      </c>
      <c r="J111" s="90">
        <f t="shared" si="11"/>
        <v>0</v>
      </c>
      <c r="K111" s="89" t="s">
        <v>2079</v>
      </c>
      <c r="L111" s="88">
        <v>0.08</v>
      </c>
      <c r="M111" s="65"/>
      <c r="N111" s="66"/>
      <c r="O111" s="65"/>
      <c r="P111" s="65"/>
      <c r="Q111" s="65"/>
      <c r="R111" s="65"/>
      <c r="S111" s="65"/>
      <c r="T111" s="65"/>
      <c r="U111" s="65"/>
      <c r="X111" s="79" t="s">
        <v>10541</v>
      </c>
      <c r="Y111" s="80">
        <v>60</v>
      </c>
      <c r="Z111" s="81">
        <f t="shared" si="12"/>
        <v>60</v>
      </c>
      <c r="AA111" s="79" t="s">
        <v>2082</v>
      </c>
      <c r="AB111" s="82">
        <f t="shared" si="13"/>
        <v>60</v>
      </c>
      <c r="AC111" s="79" t="s">
        <v>2081</v>
      </c>
      <c r="AD111" s="82">
        <f t="shared" si="14"/>
        <v>0</v>
      </c>
      <c r="AE111" s="79" t="s">
        <v>2080</v>
      </c>
      <c r="AF111" s="82">
        <f t="shared" si="15"/>
        <v>0</v>
      </c>
      <c r="AG111" s="79" t="s">
        <v>2079</v>
      </c>
      <c r="AH111" s="81">
        <v>2.4</v>
      </c>
      <c r="AI111" s="65"/>
      <c r="AJ111" s="65"/>
      <c r="AK111" s="65"/>
      <c r="AL111" s="65"/>
      <c r="AM111" s="65"/>
      <c r="AN111" s="65"/>
      <c r="AO111" s="65"/>
      <c r="AP111" s="65"/>
      <c r="AQ111" s="65"/>
    </row>
    <row r="112" spans="1:43" ht="18.75">
      <c r="A112" s="89" t="s">
        <v>2222</v>
      </c>
      <c r="B112" s="89">
        <v>2</v>
      </c>
      <c r="C112" s="89">
        <v>4</v>
      </c>
      <c r="D112" s="88">
        <f t="shared" si="8"/>
        <v>2</v>
      </c>
      <c r="E112" s="89" t="s">
        <v>2082</v>
      </c>
      <c r="F112" s="90">
        <f t="shared" si="9"/>
        <v>2</v>
      </c>
      <c r="G112" s="89" t="s">
        <v>2081</v>
      </c>
      <c r="H112" s="90">
        <f t="shared" si="10"/>
        <v>0</v>
      </c>
      <c r="I112" s="89" t="s">
        <v>2080</v>
      </c>
      <c r="J112" s="90">
        <f t="shared" si="11"/>
        <v>0</v>
      </c>
      <c r="K112" s="89" t="s">
        <v>2079</v>
      </c>
      <c r="L112" s="88">
        <v>0.08</v>
      </c>
      <c r="M112" s="65"/>
      <c r="N112" s="66"/>
      <c r="O112" s="65"/>
      <c r="P112" s="65"/>
      <c r="Q112" s="65"/>
      <c r="R112" s="65"/>
      <c r="S112" s="65"/>
      <c r="T112" s="65"/>
      <c r="U112" s="65"/>
      <c r="X112" s="79" t="s">
        <v>10542</v>
      </c>
      <c r="Y112" s="80">
        <v>2250</v>
      </c>
      <c r="Z112" s="81">
        <f t="shared" si="12"/>
        <v>2250</v>
      </c>
      <c r="AA112" s="79" t="s">
        <v>2082</v>
      </c>
      <c r="AB112" s="82">
        <f t="shared" si="13"/>
        <v>2250</v>
      </c>
      <c r="AC112" s="79" t="s">
        <v>2081</v>
      </c>
      <c r="AD112" s="82">
        <f t="shared" si="14"/>
        <v>0</v>
      </c>
      <c r="AE112" s="79" t="s">
        <v>2080</v>
      </c>
      <c r="AF112" s="82">
        <f t="shared" si="15"/>
        <v>0</v>
      </c>
      <c r="AG112" s="79" t="s">
        <v>2079</v>
      </c>
      <c r="AH112" s="81">
        <v>90</v>
      </c>
      <c r="AI112" s="65"/>
      <c r="AJ112" s="65"/>
      <c r="AK112" s="65"/>
      <c r="AL112" s="65"/>
      <c r="AM112" s="65"/>
      <c r="AN112" s="65"/>
      <c r="AO112" s="65"/>
      <c r="AP112" s="65"/>
      <c r="AQ112" s="65"/>
    </row>
    <row r="113" spans="1:43" ht="18.75">
      <c r="A113" s="89" t="s">
        <v>2223</v>
      </c>
      <c r="B113" s="89">
        <v>2</v>
      </c>
      <c r="C113" s="89">
        <v>5</v>
      </c>
      <c r="D113" s="88">
        <f t="shared" si="8"/>
        <v>2</v>
      </c>
      <c r="E113" s="89" t="s">
        <v>2082</v>
      </c>
      <c r="F113" s="90">
        <f t="shared" si="9"/>
        <v>2</v>
      </c>
      <c r="G113" s="89" t="s">
        <v>2081</v>
      </c>
      <c r="H113" s="90">
        <f t="shared" si="10"/>
        <v>0</v>
      </c>
      <c r="I113" s="89" t="s">
        <v>2080</v>
      </c>
      <c r="J113" s="90">
        <f t="shared" si="11"/>
        <v>0</v>
      </c>
      <c r="K113" s="89" t="s">
        <v>2079</v>
      </c>
      <c r="L113" s="88">
        <v>0.08</v>
      </c>
      <c r="M113" s="65"/>
      <c r="N113" s="66"/>
      <c r="O113" s="65"/>
      <c r="P113" s="65"/>
      <c r="Q113" s="65"/>
      <c r="R113" s="65"/>
      <c r="S113" s="65"/>
      <c r="T113" s="65"/>
      <c r="U113" s="65"/>
      <c r="X113" s="79" t="s">
        <v>10543</v>
      </c>
      <c r="Y113" s="80">
        <v>21875.125</v>
      </c>
      <c r="Z113" s="81">
        <f t="shared" si="12"/>
        <v>21875.125</v>
      </c>
      <c r="AA113" s="79" t="s">
        <v>2082</v>
      </c>
      <c r="AB113" s="82">
        <f t="shared" si="13"/>
        <v>21875</v>
      </c>
      <c r="AC113" s="79" t="s">
        <v>2081</v>
      </c>
      <c r="AD113" s="82">
        <f t="shared" si="14"/>
        <v>1</v>
      </c>
      <c r="AE113" s="79" t="s">
        <v>2080</v>
      </c>
      <c r="AF113" s="82">
        <f t="shared" si="15"/>
        <v>2.5</v>
      </c>
      <c r="AG113" s="79" t="s">
        <v>2079</v>
      </c>
      <c r="AH113" s="81">
        <v>875</v>
      </c>
      <c r="AI113" s="65"/>
      <c r="AJ113" s="65"/>
      <c r="AK113" s="65"/>
      <c r="AL113" s="65"/>
      <c r="AM113" s="65"/>
      <c r="AN113" s="65"/>
      <c r="AO113" s="65"/>
      <c r="AP113" s="65"/>
      <c r="AQ113" s="65"/>
    </row>
    <row r="114" spans="1:43" ht="18.75">
      <c r="A114" s="89" t="s">
        <v>2224</v>
      </c>
      <c r="B114" s="89">
        <v>2</v>
      </c>
      <c r="C114" s="89">
        <v>1</v>
      </c>
      <c r="D114" s="88">
        <f t="shared" si="8"/>
        <v>2</v>
      </c>
      <c r="E114" s="89" t="s">
        <v>2082</v>
      </c>
      <c r="F114" s="90">
        <f t="shared" si="9"/>
        <v>2</v>
      </c>
      <c r="G114" s="89" t="s">
        <v>2081</v>
      </c>
      <c r="H114" s="90">
        <f t="shared" si="10"/>
        <v>0</v>
      </c>
      <c r="I114" s="89" t="s">
        <v>2080</v>
      </c>
      <c r="J114" s="90">
        <f t="shared" si="11"/>
        <v>0</v>
      </c>
      <c r="K114" s="89" t="s">
        <v>2079</v>
      </c>
      <c r="L114" s="88">
        <v>0.08</v>
      </c>
      <c r="M114" s="65"/>
      <c r="N114" s="66"/>
      <c r="O114" s="65"/>
      <c r="P114" s="65"/>
      <c r="Q114" s="65"/>
      <c r="R114" s="65"/>
      <c r="S114" s="65"/>
      <c r="T114" s="65"/>
      <c r="U114" s="65"/>
      <c r="X114" s="79" t="s">
        <v>10544</v>
      </c>
      <c r="Y114" s="80">
        <v>925</v>
      </c>
      <c r="Z114" s="81">
        <f t="shared" si="12"/>
        <v>925</v>
      </c>
      <c r="AA114" s="79" t="s">
        <v>2082</v>
      </c>
      <c r="AB114" s="82">
        <f t="shared" si="13"/>
        <v>925</v>
      </c>
      <c r="AC114" s="79" t="s">
        <v>2081</v>
      </c>
      <c r="AD114" s="82">
        <f t="shared" si="14"/>
        <v>0</v>
      </c>
      <c r="AE114" s="79" t="s">
        <v>2080</v>
      </c>
      <c r="AF114" s="82">
        <f t="shared" si="15"/>
        <v>0</v>
      </c>
      <c r="AG114" s="79" t="s">
        <v>2079</v>
      </c>
      <c r="AH114" s="81">
        <v>37</v>
      </c>
      <c r="AI114" s="65"/>
      <c r="AJ114" s="65"/>
      <c r="AK114" s="65"/>
      <c r="AL114" s="65"/>
      <c r="AM114" s="65"/>
      <c r="AN114" s="65"/>
      <c r="AO114" s="65"/>
      <c r="AP114" s="65"/>
      <c r="AQ114" s="65"/>
    </row>
    <row r="115" spans="1:43" ht="18.75">
      <c r="A115" s="89" t="s">
        <v>2225</v>
      </c>
      <c r="B115" s="89">
        <v>2</v>
      </c>
      <c r="C115" s="89">
        <v>1</v>
      </c>
      <c r="D115" s="88">
        <f t="shared" si="8"/>
        <v>2</v>
      </c>
      <c r="E115" s="89" t="s">
        <v>2082</v>
      </c>
      <c r="F115" s="90">
        <f t="shared" si="9"/>
        <v>2</v>
      </c>
      <c r="G115" s="89" t="s">
        <v>2081</v>
      </c>
      <c r="H115" s="90">
        <f t="shared" si="10"/>
        <v>0</v>
      </c>
      <c r="I115" s="89" t="s">
        <v>2080</v>
      </c>
      <c r="J115" s="90">
        <f t="shared" si="11"/>
        <v>0</v>
      </c>
      <c r="K115" s="89" t="s">
        <v>2079</v>
      </c>
      <c r="L115" s="88">
        <v>0.08</v>
      </c>
      <c r="M115" s="65"/>
      <c r="N115" s="66"/>
      <c r="O115" s="65"/>
      <c r="P115" s="65"/>
      <c r="Q115" s="65"/>
      <c r="R115" s="65"/>
      <c r="S115" s="65"/>
      <c r="T115" s="65"/>
      <c r="U115" s="65"/>
      <c r="X115" s="79" t="s">
        <v>10545</v>
      </c>
      <c r="Y115" s="80">
        <v>325.25</v>
      </c>
      <c r="Z115" s="81">
        <f t="shared" si="12"/>
        <v>325.25</v>
      </c>
      <c r="AA115" s="79" t="s">
        <v>2082</v>
      </c>
      <c r="AB115" s="82">
        <f t="shared" si="13"/>
        <v>325</v>
      </c>
      <c r="AC115" s="79" t="s">
        <v>2081</v>
      </c>
      <c r="AD115" s="82">
        <f t="shared" si="14"/>
        <v>2</v>
      </c>
      <c r="AE115" s="79" t="s">
        <v>2080</v>
      </c>
      <c r="AF115" s="82">
        <f t="shared" si="15"/>
        <v>5</v>
      </c>
      <c r="AG115" s="79" t="s">
        <v>2079</v>
      </c>
      <c r="AH115" s="81">
        <v>13.01</v>
      </c>
      <c r="AI115" s="65"/>
      <c r="AJ115" s="65"/>
      <c r="AK115" s="65"/>
      <c r="AL115" s="65"/>
      <c r="AM115" s="65"/>
      <c r="AN115" s="65"/>
      <c r="AO115" s="65"/>
      <c r="AP115" s="65"/>
      <c r="AQ115" s="65"/>
    </row>
    <row r="116" spans="1:43" ht="18.75">
      <c r="A116" s="89" t="s">
        <v>2226</v>
      </c>
      <c r="B116" s="89">
        <v>2</v>
      </c>
      <c r="C116" s="89">
        <v>4</v>
      </c>
      <c r="D116" s="88">
        <f t="shared" si="8"/>
        <v>2</v>
      </c>
      <c r="E116" s="89" t="s">
        <v>2082</v>
      </c>
      <c r="F116" s="90">
        <f t="shared" si="9"/>
        <v>2</v>
      </c>
      <c r="G116" s="89" t="s">
        <v>2081</v>
      </c>
      <c r="H116" s="90">
        <f t="shared" si="10"/>
        <v>0</v>
      </c>
      <c r="I116" s="89" t="s">
        <v>2080</v>
      </c>
      <c r="J116" s="90">
        <f t="shared" si="11"/>
        <v>0</v>
      </c>
      <c r="K116" s="89" t="s">
        <v>2079</v>
      </c>
      <c r="L116" s="88">
        <v>0.08</v>
      </c>
      <c r="M116" s="65"/>
      <c r="N116" s="66"/>
      <c r="O116" s="65"/>
      <c r="P116" s="65"/>
      <c r="Q116" s="65"/>
      <c r="R116" s="65"/>
      <c r="S116" s="65"/>
      <c r="T116" s="65"/>
      <c r="U116" s="65"/>
      <c r="X116" s="79" t="s">
        <v>10546</v>
      </c>
      <c r="Y116" s="80">
        <v>5637.625</v>
      </c>
      <c r="Z116" s="81">
        <f t="shared" si="12"/>
        <v>5637.625</v>
      </c>
      <c r="AA116" s="79" t="s">
        <v>2082</v>
      </c>
      <c r="AB116" s="82">
        <f t="shared" si="13"/>
        <v>5637</v>
      </c>
      <c r="AC116" s="79" t="s">
        <v>2081</v>
      </c>
      <c r="AD116" s="82">
        <f t="shared" si="14"/>
        <v>6</v>
      </c>
      <c r="AE116" s="79" t="s">
        <v>2080</v>
      </c>
      <c r="AF116" s="82">
        <f t="shared" si="15"/>
        <v>2.5</v>
      </c>
      <c r="AG116" s="79" t="s">
        <v>2079</v>
      </c>
      <c r="AH116" s="81">
        <v>225.5</v>
      </c>
      <c r="AI116" s="65"/>
      <c r="AJ116" s="65"/>
      <c r="AK116" s="65"/>
      <c r="AL116" s="65"/>
      <c r="AM116" s="65"/>
      <c r="AN116" s="65"/>
      <c r="AO116" s="65"/>
      <c r="AP116" s="65"/>
      <c r="AQ116" s="65"/>
    </row>
    <row r="117" spans="1:43" ht="18.75">
      <c r="A117" s="89" t="s">
        <v>2227</v>
      </c>
      <c r="B117" s="89">
        <v>2</v>
      </c>
      <c r="C117" s="89">
        <v>10</v>
      </c>
      <c r="D117" s="88">
        <f t="shared" si="8"/>
        <v>2</v>
      </c>
      <c r="E117" s="89" t="s">
        <v>2082</v>
      </c>
      <c r="F117" s="90">
        <f t="shared" si="9"/>
        <v>2</v>
      </c>
      <c r="G117" s="89" t="s">
        <v>2081</v>
      </c>
      <c r="H117" s="90">
        <f t="shared" si="10"/>
        <v>0</v>
      </c>
      <c r="I117" s="89" t="s">
        <v>2080</v>
      </c>
      <c r="J117" s="90">
        <f t="shared" si="11"/>
        <v>0</v>
      </c>
      <c r="K117" s="89" t="s">
        <v>2079</v>
      </c>
      <c r="L117" s="88">
        <v>0.08</v>
      </c>
      <c r="M117" s="65"/>
      <c r="N117" s="66"/>
      <c r="O117" s="65"/>
      <c r="P117" s="65"/>
      <c r="Q117" s="65"/>
      <c r="R117" s="65"/>
      <c r="S117" s="65"/>
      <c r="T117" s="65"/>
      <c r="U117" s="65"/>
      <c r="X117" s="79" t="s">
        <v>10547</v>
      </c>
      <c r="Y117" s="80">
        <v>5587.625</v>
      </c>
      <c r="Z117" s="81">
        <f t="shared" si="12"/>
        <v>5587.625</v>
      </c>
      <c r="AA117" s="79" t="s">
        <v>2082</v>
      </c>
      <c r="AB117" s="82">
        <f t="shared" si="13"/>
        <v>5587</v>
      </c>
      <c r="AC117" s="79" t="s">
        <v>2081</v>
      </c>
      <c r="AD117" s="82">
        <f t="shared" si="14"/>
        <v>6</v>
      </c>
      <c r="AE117" s="79" t="s">
        <v>2080</v>
      </c>
      <c r="AF117" s="82">
        <f t="shared" si="15"/>
        <v>2.5</v>
      </c>
      <c r="AG117" s="79" t="s">
        <v>2079</v>
      </c>
      <c r="AH117" s="81">
        <v>223.5</v>
      </c>
      <c r="AI117" s="65"/>
      <c r="AJ117" s="65"/>
      <c r="AK117" s="65"/>
      <c r="AL117" s="65"/>
      <c r="AM117" s="65"/>
      <c r="AN117" s="65"/>
      <c r="AO117" s="65"/>
      <c r="AP117" s="65"/>
      <c r="AQ117" s="65"/>
    </row>
    <row r="118" spans="1:43" ht="18.75">
      <c r="A118" s="89" t="s">
        <v>2228</v>
      </c>
      <c r="B118" s="89">
        <v>2</v>
      </c>
      <c r="C118" s="89">
        <v>2</v>
      </c>
      <c r="D118" s="88">
        <f t="shared" si="8"/>
        <v>2</v>
      </c>
      <c r="E118" s="89" t="s">
        <v>2082</v>
      </c>
      <c r="F118" s="90">
        <f t="shared" si="9"/>
        <v>2</v>
      </c>
      <c r="G118" s="89" t="s">
        <v>2081</v>
      </c>
      <c r="H118" s="90">
        <f t="shared" si="10"/>
        <v>0</v>
      </c>
      <c r="I118" s="89" t="s">
        <v>2080</v>
      </c>
      <c r="J118" s="90">
        <f t="shared" si="11"/>
        <v>0</v>
      </c>
      <c r="K118" s="89" t="s">
        <v>2079</v>
      </c>
      <c r="L118" s="88">
        <v>0.08</v>
      </c>
      <c r="M118" s="65"/>
      <c r="N118" s="66"/>
      <c r="O118" s="65"/>
      <c r="P118" s="65"/>
      <c r="Q118" s="65"/>
      <c r="R118" s="65"/>
      <c r="S118" s="65"/>
      <c r="T118" s="65"/>
      <c r="U118" s="65"/>
      <c r="X118" s="79" t="s">
        <v>10548</v>
      </c>
      <c r="Y118" s="80">
        <v>55</v>
      </c>
      <c r="Z118" s="81">
        <f t="shared" si="12"/>
        <v>55</v>
      </c>
      <c r="AA118" s="79" t="s">
        <v>2082</v>
      </c>
      <c r="AB118" s="82">
        <f t="shared" si="13"/>
        <v>55</v>
      </c>
      <c r="AC118" s="79" t="s">
        <v>2081</v>
      </c>
      <c r="AD118" s="82">
        <f t="shared" si="14"/>
        <v>0</v>
      </c>
      <c r="AE118" s="79" t="s">
        <v>2080</v>
      </c>
      <c r="AF118" s="82">
        <f t="shared" si="15"/>
        <v>0</v>
      </c>
      <c r="AG118" s="79" t="s">
        <v>2079</v>
      </c>
      <c r="AH118" s="81">
        <v>2.2000000000000002</v>
      </c>
      <c r="AI118" s="65"/>
      <c r="AJ118" s="65"/>
      <c r="AK118" s="65"/>
      <c r="AL118" s="65"/>
      <c r="AM118" s="65"/>
      <c r="AN118" s="65"/>
      <c r="AO118" s="65"/>
      <c r="AP118" s="65"/>
      <c r="AQ118" s="65"/>
    </row>
    <row r="119" spans="1:43" ht="18.75">
      <c r="A119" s="89" t="s">
        <v>2229</v>
      </c>
      <c r="B119" s="89">
        <v>2</v>
      </c>
      <c r="C119" s="89">
        <v>6</v>
      </c>
      <c r="D119" s="88">
        <f t="shared" si="8"/>
        <v>2</v>
      </c>
      <c r="E119" s="89" t="s">
        <v>2082</v>
      </c>
      <c r="F119" s="90">
        <f t="shared" si="9"/>
        <v>2</v>
      </c>
      <c r="G119" s="89" t="s">
        <v>2081</v>
      </c>
      <c r="H119" s="90">
        <f t="shared" si="10"/>
        <v>0</v>
      </c>
      <c r="I119" s="89" t="s">
        <v>2080</v>
      </c>
      <c r="J119" s="90">
        <f t="shared" si="11"/>
        <v>0</v>
      </c>
      <c r="K119" s="89" t="s">
        <v>2079</v>
      </c>
      <c r="L119" s="88">
        <v>0.08</v>
      </c>
      <c r="M119" s="65"/>
      <c r="N119" s="66"/>
      <c r="O119" s="65"/>
      <c r="P119" s="65"/>
      <c r="Q119" s="65"/>
      <c r="R119" s="65"/>
      <c r="S119" s="65"/>
      <c r="T119" s="65"/>
      <c r="U119" s="65"/>
      <c r="X119" s="79" t="s">
        <v>10548</v>
      </c>
      <c r="Y119" s="80">
        <v>55</v>
      </c>
      <c r="Z119" s="81">
        <f t="shared" si="12"/>
        <v>55</v>
      </c>
      <c r="AA119" s="79" t="s">
        <v>2082</v>
      </c>
      <c r="AB119" s="82">
        <f t="shared" si="13"/>
        <v>55</v>
      </c>
      <c r="AC119" s="79" t="s">
        <v>2081</v>
      </c>
      <c r="AD119" s="82">
        <f t="shared" si="14"/>
        <v>0</v>
      </c>
      <c r="AE119" s="79" t="s">
        <v>2080</v>
      </c>
      <c r="AF119" s="82">
        <f t="shared" si="15"/>
        <v>0</v>
      </c>
      <c r="AG119" s="79" t="s">
        <v>2079</v>
      </c>
      <c r="AH119" s="81">
        <v>2.2000000000000002</v>
      </c>
      <c r="AI119" s="65"/>
      <c r="AJ119" s="65"/>
      <c r="AK119" s="65"/>
      <c r="AL119" s="65"/>
      <c r="AM119" s="65"/>
      <c r="AN119" s="65"/>
      <c r="AO119" s="65"/>
      <c r="AP119" s="65"/>
      <c r="AQ119" s="65"/>
    </row>
    <row r="120" spans="1:43" ht="18.75">
      <c r="A120" s="89" t="s">
        <v>2230</v>
      </c>
      <c r="B120" s="89">
        <v>2</v>
      </c>
      <c r="C120" s="89">
        <v>10</v>
      </c>
      <c r="D120" s="88">
        <f t="shared" si="8"/>
        <v>2</v>
      </c>
      <c r="E120" s="89" t="s">
        <v>2082</v>
      </c>
      <c r="F120" s="90">
        <f t="shared" si="9"/>
        <v>2</v>
      </c>
      <c r="G120" s="89" t="s">
        <v>2081</v>
      </c>
      <c r="H120" s="90">
        <f t="shared" si="10"/>
        <v>0</v>
      </c>
      <c r="I120" s="89" t="s">
        <v>2080</v>
      </c>
      <c r="J120" s="90">
        <f t="shared" si="11"/>
        <v>0</v>
      </c>
      <c r="K120" s="89" t="s">
        <v>2079</v>
      </c>
      <c r="L120" s="88">
        <v>0.08</v>
      </c>
      <c r="M120" s="65"/>
      <c r="N120" s="66"/>
      <c r="O120" s="65"/>
      <c r="P120" s="65"/>
      <c r="Q120" s="65"/>
      <c r="R120" s="65"/>
      <c r="S120" s="65"/>
      <c r="T120" s="65"/>
      <c r="U120" s="65"/>
      <c r="X120" s="79" t="s">
        <v>10549</v>
      </c>
      <c r="Y120" s="80">
        <v>9500</v>
      </c>
      <c r="Z120" s="81">
        <f t="shared" si="12"/>
        <v>9500</v>
      </c>
      <c r="AA120" s="79" t="s">
        <v>2082</v>
      </c>
      <c r="AB120" s="82">
        <f t="shared" si="13"/>
        <v>9500</v>
      </c>
      <c r="AC120" s="79" t="s">
        <v>2081</v>
      </c>
      <c r="AD120" s="82">
        <f t="shared" si="14"/>
        <v>0</v>
      </c>
      <c r="AE120" s="79" t="s">
        <v>2080</v>
      </c>
      <c r="AF120" s="82">
        <f t="shared" si="15"/>
        <v>0</v>
      </c>
      <c r="AG120" s="79" t="s">
        <v>2079</v>
      </c>
      <c r="AH120" s="81">
        <v>380</v>
      </c>
      <c r="AI120" s="65"/>
      <c r="AJ120" s="65"/>
      <c r="AK120" s="65"/>
      <c r="AL120" s="65"/>
      <c r="AM120" s="65"/>
      <c r="AN120" s="65"/>
      <c r="AO120" s="65"/>
      <c r="AP120" s="65"/>
      <c r="AQ120" s="65"/>
    </row>
    <row r="121" spans="1:43" ht="18.75">
      <c r="A121" s="89" t="s">
        <v>2231</v>
      </c>
      <c r="B121" s="89">
        <v>2</v>
      </c>
      <c r="C121" s="89">
        <v>10</v>
      </c>
      <c r="D121" s="88">
        <f t="shared" si="8"/>
        <v>2</v>
      </c>
      <c r="E121" s="89" t="s">
        <v>2082</v>
      </c>
      <c r="F121" s="90">
        <f t="shared" si="9"/>
        <v>2</v>
      </c>
      <c r="G121" s="89" t="s">
        <v>2081</v>
      </c>
      <c r="H121" s="90">
        <f t="shared" si="10"/>
        <v>0</v>
      </c>
      <c r="I121" s="89" t="s">
        <v>2080</v>
      </c>
      <c r="J121" s="90">
        <f t="shared" si="11"/>
        <v>0</v>
      </c>
      <c r="K121" s="89" t="s">
        <v>2079</v>
      </c>
      <c r="L121" s="88">
        <v>0.08</v>
      </c>
      <c r="M121" s="65"/>
      <c r="N121" s="66"/>
      <c r="O121" s="65"/>
      <c r="P121" s="65"/>
      <c r="Q121" s="65"/>
      <c r="R121" s="65"/>
      <c r="S121" s="65"/>
      <c r="T121" s="65"/>
      <c r="U121" s="65"/>
      <c r="X121" s="79" t="s">
        <v>10550</v>
      </c>
      <c r="Y121" s="80">
        <v>80</v>
      </c>
      <c r="Z121" s="81">
        <f t="shared" si="12"/>
        <v>80</v>
      </c>
      <c r="AA121" s="79" t="s">
        <v>2082</v>
      </c>
      <c r="AB121" s="82">
        <f t="shared" si="13"/>
        <v>80</v>
      </c>
      <c r="AC121" s="79" t="s">
        <v>2081</v>
      </c>
      <c r="AD121" s="82">
        <f t="shared" si="14"/>
        <v>0</v>
      </c>
      <c r="AE121" s="79" t="s">
        <v>2080</v>
      </c>
      <c r="AF121" s="82">
        <f t="shared" si="15"/>
        <v>0</v>
      </c>
      <c r="AG121" s="79" t="s">
        <v>2079</v>
      </c>
      <c r="AH121" s="81">
        <v>3.2</v>
      </c>
      <c r="AI121" s="65"/>
      <c r="AJ121" s="65"/>
      <c r="AK121" s="65"/>
      <c r="AL121" s="65"/>
      <c r="AM121" s="65"/>
      <c r="AN121" s="65"/>
      <c r="AO121" s="65"/>
      <c r="AP121" s="65"/>
      <c r="AQ121" s="65"/>
    </row>
    <row r="122" spans="1:43" ht="18.75">
      <c r="A122" s="89" t="s">
        <v>2232</v>
      </c>
      <c r="B122" s="89">
        <v>2</v>
      </c>
      <c r="C122" s="89">
        <v>1</v>
      </c>
      <c r="D122" s="88">
        <f t="shared" si="8"/>
        <v>2</v>
      </c>
      <c r="E122" s="89" t="s">
        <v>2082</v>
      </c>
      <c r="F122" s="90">
        <f t="shared" si="9"/>
        <v>2</v>
      </c>
      <c r="G122" s="89" t="s">
        <v>2081</v>
      </c>
      <c r="H122" s="90">
        <f t="shared" si="10"/>
        <v>0</v>
      </c>
      <c r="I122" s="89" t="s">
        <v>2080</v>
      </c>
      <c r="J122" s="90">
        <f t="shared" si="11"/>
        <v>0</v>
      </c>
      <c r="K122" s="89" t="s">
        <v>2079</v>
      </c>
      <c r="L122" s="88">
        <v>0.08</v>
      </c>
      <c r="M122" s="65"/>
      <c r="N122" s="66"/>
      <c r="O122" s="65"/>
      <c r="P122" s="65"/>
      <c r="Q122" s="65"/>
      <c r="R122" s="65"/>
      <c r="S122" s="65"/>
      <c r="T122" s="65"/>
      <c r="U122" s="65"/>
      <c r="X122" s="79" t="s">
        <v>10551</v>
      </c>
      <c r="Y122" s="80">
        <v>31800</v>
      </c>
      <c r="Z122" s="81">
        <f t="shared" si="12"/>
        <v>31800</v>
      </c>
      <c r="AA122" s="79" t="s">
        <v>2082</v>
      </c>
      <c r="AB122" s="82">
        <f t="shared" si="13"/>
        <v>31800</v>
      </c>
      <c r="AC122" s="79" t="s">
        <v>2081</v>
      </c>
      <c r="AD122" s="82">
        <f t="shared" si="14"/>
        <v>0</v>
      </c>
      <c r="AE122" s="79" t="s">
        <v>2080</v>
      </c>
      <c r="AF122" s="82">
        <f t="shared" si="15"/>
        <v>0</v>
      </c>
      <c r="AG122" s="79" t="s">
        <v>2079</v>
      </c>
      <c r="AH122" s="81">
        <v>1272</v>
      </c>
      <c r="AI122" s="65"/>
      <c r="AJ122" s="65"/>
      <c r="AK122" s="65"/>
      <c r="AL122" s="65"/>
      <c r="AM122" s="65"/>
      <c r="AN122" s="65"/>
      <c r="AO122" s="65"/>
      <c r="AP122" s="65"/>
      <c r="AQ122" s="65"/>
    </row>
    <row r="123" spans="1:43" ht="18.75">
      <c r="A123" s="89" t="s">
        <v>2233</v>
      </c>
      <c r="B123" s="89">
        <v>2</v>
      </c>
      <c r="C123" s="89">
        <v>5</v>
      </c>
      <c r="D123" s="88">
        <f t="shared" si="8"/>
        <v>2</v>
      </c>
      <c r="E123" s="89" t="s">
        <v>2082</v>
      </c>
      <c r="F123" s="90">
        <f t="shared" si="9"/>
        <v>2</v>
      </c>
      <c r="G123" s="89" t="s">
        <v>2081</v>
      </c>
      <c r="H123" s="90">
        <f t="shared" si="10"/>
        <v>0</v>
      </c>
      <c r="I123" s="89" t="s">
        <v>2080</v>
      </c>
      <c r="J123" s="90">
        <f t="shared" si="11"/>
        <v>0</v>
      </c>
      <c r="K123" s="89" t="s">
        <v>2079</v>
      </c>
      <c r="L123" s="88">
        <v>0.08</v>
      </c>
      <c r="M123" s="65"/>
      <c r="N123" s="66"/>
      <c r="O123" s="65"/>
      <c r="P123" s="65"/>
      <c r="Q123" s="65"/>
      <c r="R123" s="65"/>
      <c r="S123" s="65"/>
      <c r="T123" s="65"/>
      <c r="U123" s="65"/>
      <c r="X123" s="79" t="s">
        <v>10552</v>
      </c>
      <c r="Y123" s="80">
        <v>2625</v>
      </c>
      <c r="Z123" s="81">
        <f t="shared" si="12"/>
        <v>2625</v>
      </c>
      <c r="AA123" s="79" t="s">
        <v>2082</v>
      </c>
      <c r="AB123" s="82">
        <f t="shared" si="13"/>
        <v>2625</v>
      </c>
      <c r="AC123" s="79" t="s">
        <v>2081</v>
      </c>
      <c r="AD123" s="82">
        <f t="shared" si="14"/>
        <v>0</v>
      </c>
      <c r="AE123" s="79" t="s">
        <v>2080</v>
      </c>
      <c r="AF123" s="82">
        <f t="shared" si="15"/>
        <v>0</v>
      </c>
      <c r="AG123" s="79" t="s">
        <v>2079</v>
      </c>
      <c r="AH123" s="81">
        <v>105</v>
      </c>
      <c r="AI123" s="65"/>
      <c r="AJ123" s="65"/>
      <c r="AK123" s="65"/>
      <c r="AL123" s="65"/>
      <c r="AM123" s="65"/>
      <c r="AN123" s="65"/>
      <c r="AO123" s="65"/>
      <c r="AP123" s="65"/>
      <c r="AQ123" s="65"/>
    </row>
    <row r="124" spans="1:43" ht="18.75">
      <c r="A124" s="89" t="s">
        <v>2234</v>
      </c>
      <c r="B124" s="89">
        <v>2</v>
      </c>
      <c r="C124" s="89">
        <v>20</v>
      </c>
      <c r="D124" s="88">
        <f t="shared" si="8"/>
        <v>2</v>
      </c>
      <c r="E124" s="89" t="s">
        <v>2082</v>
      </c>
      <c r="F124" s="90">
        <f t="shared" si="9"/>
        <v>2</v>
      </c>
      <c r="G124" s="89" t="s">
        <v>2081</v>
      </c>
      <c r="H124" s="90">
        <f t="shared" si="10"/>
        <v>0</v>
      </c>
      <c r="I124" s="89" t="s">
        <v>2080</v>
      </c>
      <c r="J124" s="90">
        <f t="shared" si="11"/>
        <v>0</v>
      </c>
      <c r="K124" s="89" t="s">
        <v>2079</v>
      </c>
      <c r="L124" s="88">
        <v>0.08</v>
      </c>
      <c r="M124" s="65"/>
      <c r="N124" s="66"/>
      <c r="O124" s="65"/>
      <c r="P124" s="65"/>
      <c r="Q124" s="65"/>
      <c r="R124" s="65"/>
      <c r="S124" s="65"/>
      <c r="T124" s="65"/>
      <c r="U124" s="65"/>
      <c r="X124" s="79" t="s">
        <v>10553</v>
      </c>
      <c r="Y124" s="80">
        <v>67000</v>
      </c>
      <c r="Z124" s="81">
        <f t="shared" si="12"/>
        <v>67000</v>
      </c>
      <c r="AA124" s="79" t="s">
        <v>2082</v>
      </c>
      <c r="AB124" s="82">
        <f t="shared" si="13"/>
        <v>67000</v>
      </c>
      <c r="AC124" s="79" t="s">
        <v>2081</v>
      </c>
      <c r="AD124" s="82">
        <f t="shared" si="14"/>
        <v>0</v>
      </c>
      <c r="AE124" s="79" t="s">
        <v>2080</v>
      </c>
      <c r="AF124" s="82">
        <f t="shared" si="15"/>
        <v>0</v>
      </c>
      <c r="AG124" s="79" t="s">
        <v>2079</v>
      </c>
      <c r="AH124" s="81">
        <v>2680</v>
      </c>
      <c r="AI124" s="65"/>
      <c r="AJ124" s="65"/>
      <c r="AK124" s="65"/>
      <c r="AL124" s="65"/>
      <c r="AM124" s="65"/>
      <c r="AN124" s="65"/>
      <c r="AO124" s="65"/>
      <c r="AP124" s="65"/>
      <c r="AQ124" s="65"/>
    </row>
    <row r="125" spans="1:43" ht="18.75">
      <c r="A125" s="89" t="s">
        <v>2235</v>
      </c>
      <c r="B125" s="89">
        <v>2</v>
      </c>
      <c r="C125" s="89">
        <v>3</v>
      </c>
      <c r="D125" s="88">
        <f t="shared" si="8"/>
        <v>2</v>
      </c>
      <c r="E125" s="89" t="s">
        <v>2082</v>
      </c>
      <c r="F125" s="90">
        <f t="shared" si="9"/>
        <v>2</v>
      </c>
      <c r="G125" s="89" t="s">
        <v>2081</v>
      </c>
      <c r="H125" s="90">
        <f t="shared" si="10"/>
        <v>0</v>
      </c>
      <c r="I125" s="89" t="s">
        <v>2080</v>
      </c>
      <c r="J125" s="90">
        <f t="shared" si="11"/>
        <v>0</v>
      </c>
      <c r="K125" s="89" t="s">
        <v>2079</v>
      </c>
      <c r="L125" s="88">
        <v>0.08</v>
      </c>
      <c r="M125" s="65"/>
      <c r="N125" s="66"/>
      <c r="O125" s="65"/>
      <c r="P125" s="65"/>
      <c r="Q125" s="65"/>
      <c r="R125" s="65"/>
      <c r="S125" s="65"/>
      <c r="T125" s="65"/>
      <c r="U125" s="65"/>
      <c r="X125" s="79" t="s">
        <v>10554</v>
      </c>
      <c r="Y125" s="80">
        <v>75</v>
      </c>
      <c r="Z125" s="81">
        <f t="shared" si="12"/>
        <v>75</v>
      </c>
      <c r="AA125" s="79" t="s">
        <v>2082</v>
      </c>
      <c r="AB125" s="82">
        <f t="shared" si="13"/>
        <v>75</v>
      </c>
      <c r="AC125" s="79" t="s">
        <v>2081</v>
      </c>
      <c r="AD125" s="82">
        <f t="shared" si="14"/>
        <v>0</v>
      </c>
      <c r="AE125" s="79" t="s">
        <v>2080</v>
      </c>
      <c r="AF125" s="82">
        <f t="shared" si="15"/>
        <v>0</v>
      </c>
      <c r="AG125" s="79" t="s">
        <v>2079</v>
      </c>
      <c r="AH125" s="81">
        <v>3</v>
      </c>
      <c r="AI125" s="65"/>
      <c r="AJ125" s="65"/>
      <c r="AK125" s="65"/>
      <c r="AL125" s="65"/>
      <c r="AM125" s="65"/>
      <c r="AN125" s="65"/>
      <c r="AO125" s="65"/>
      <c r="AP125" s="65"/>
      <c r="AQ125" s="65"/>
    </row>
    <row r="126" spans="1:43" ht="18.75">
      <c r="A126" s="89" t="s">
        <v>2236</v>
      </c>
      <c r="B126" s="89">
        <v>1</v>
      </c>
      <c r="C126" s="89">
        <v>1</v>
      </c>
      <c r="D126" s="88">
        <f t="shared" si="8"/>
        <v>1</v>
      </c>
      <c r="E126" s="89" t="s">
        <v>2082</v>
      </c>
      <c r="F126" s="90">
        <f t="shared" si="9"/>
        <v>1</v>
      </c>
      <c r="G126" s="89" t="s">
        <v>2081</v>
      </c>
      <c r="H126" s="90">
        <f t="shared" si="10"/>
        <v>0</v>
      </c>
      <c r="I126" s="89" t="s">
        <v>2080</v>
      </c>
      <c r="J126" s="90">
        <f t="shared" si="11"/>
        <v>0</v>
      </c>
      <c r="K126" s="89" t="s">
        <v>2079</v>
      </c>
      <c r="L126" s="88">
        <v>0.04</v>
      </c>
      <c r="M126" s="65"/>
      <c r="N126" s="66"/>
      <c r="O126" s="65"/>
      <c r="P126" s="65"/>
      <c r="Q126" s="65"/>
      <c r="R126" s="65"/>
      <c r="S126" s="65"/>
      <c r="T126" s="65"/>
      <c r="U126" s="65"/>
      <c r="X126" s="79" t="s">
        <v>10555</v>
      </c>
      <c r="Y126" s="80">
        <v>1950</v>
      </c>
      <c r="Z126" s="81">
        <f t="shared" si="12"/>
        <v>1950</v>
      </c>
      <c r="AA126" s="79" t="s">
        <v>2082</v>
      </c>
      <c r="AB126" s="82">
        <f t="shared" si="13"/>
        <v>1950</v>
      </c>
      <c r="AC126" s="79" t="s">
        <v>2081</v>
      </c>
      <c r="AD126" s="82">
        <f t="shared" si="14"/>
        <v>0</v>
      </c>
      <c r="AE126" s="79" t="s">
        <v>2080</v>
      </c>
      <c r="AF126" s="82">
        <f t="shared" si="15"/>
        <v>0</v>
      </c>
      <c r="AG126" s="79" t="s">
        <v>2079</v>
      </c>
      <c r="AH126" s="81">
        <v>78</v>
      </c>
      <c r="AI126" s="65"/>
      <c r="AJ126" s="65"/>
      <c r="AK126" s="65"/>
      <c r="AL126" s="65"/>
      <c r="AM126" s="65"/>
      <c r="AN126" s="65"/>
      <c r="AO126" s="65"/>
      <c r="AP126" s="65"/>
      <c r="AQ126" s="65"/>
    </row>
    <row r="127" spans="1:43" ht="18.75">
      <c r="A127" s="89" t="s">
        <v>2237</v>
      </c>
      <c r="B127" s="89">
        <v>1</v>
      </c>
      <c r="C127" s="89">
        <v>2</v>
      </c>
      <c r="D127" s="88">
        <f t="shared" si="8"/>
        <v>1</v>
      </c>
      <c r="E127" s="89" t="s">
        <v>2082</v>
      </c>
      <c r="F127" s="90">
        <f t="shared" si="9"/>
        <v>1</v>
      </c>
      <c r="G127" s="89" t="s">
        <v>2081</v>
      </c>
      <c r="H127" s="90">
        <f t="shared" si="10"/>
        <v>0</v>
      </c>
      <c r="I127" s="89" t="s">
        <v>2080</v>
      </c>
      <c r="J127" s="90">
        <f t="shared" si="11"/>
        <v>0</v>
      </c>
      <c r="K127" s="89" t="s">
        <v>2079</v>
      </c>
      <c r="L127" s="88">
        <v>0.04</v>
      </c>
      <c r="M127" s="65"/>
      <c r="N127" s="66"/>
      <c r="O127" s="65"/>
      <c r="P127" s="65"/>
      <c r="Q127" s="65"/>
      <c r="R127" s="65"/>
      <c r="S127" s="65"/>
      <c r="T127" s="65"/>
      <c r="U127" s="65"/>
      <c r="X127" s="79" t="s">
        <v>10556</v>
      </c>
      <c r="Y127" s="80">
        <v>5300</v>
      </c>
      <c r="Z127" s="81">
        <f t="shared" si="12"/>
        <v>5300</v>
      </c>
      <c r="AA127" s="79" t="s">
        <v>2082</v>
      </c>
      <c r="AB127" s="82">
        <f t="shared" si="13"/>
        <v>5300</v>
      </c>
      <c r="AC127" s="79" t="s">
        <v>2081</v>
      </c>
      <c r="AD127" s="82">
        <f t="shared" si="14"/>
        <v>0</v>
      </c>
      <c r="AE127" s="79" t="s">
        <v>2080</v>
      </c>
      <c r="AF127" s="82">
        <f t="shared" si="15"/>
        <v>0</v>
      </c>
      <c r="AG127" s="79" t="s">
        <v>2079</v>
      </c>
      <c r="AH127" s="81">
        <v>212</v>
      </c>
      <c r="AI127" s="65"/>
      <c r="AJ127" s="65"/>
      <c r="AK127" s="65"/>
      <c r="AL127" s="65"/>
      <c r="AM127" s="65"/>
      <c r="AN127" s="65"/>
      <c r="AO127" s="65"/>
      <c r="AP127" s="65"/>
      <c r="AQ127" s="65"/>
    </row>
    <row r="128" spans="1:43" ht="18.75">
      <c r="A128" s="89" t="s">
        <v>2238</v>
      </c>
      <c r="B128" s="89">
        <v>1</v>
      </c>
      <c r="C128" s="89">
        <v>7</v>
      </c>
      <c r="D128" s="88">
        <f t="shared" si="8"/>
        <v>1</v>
      </c>
      <c r="E128" s="89" t="s">
        <v>2082</v>
      </c>
      <c r="F128" s="90">
        <f t="shared" si="9"/>
        <v>1</v>
      </c>
      <c r="G128" s="89" t="s">
        <v>2081</v>
      </c>
      <c r="H128" s="90">
        <f t="shared" si="10"/>
        <v>0</v>
      </c>
      <c r="I128" s="89" t="s">
        <v>2080</v>
      </c>
      <c r="J128" s="90">
        <f t="shared" si="11"/>
        <v>0</v>
      </c>
      <c r="K128" s="89" t="s">
        <v>2079</v>
      </c>
      <c r="L128" s="88">
        <v>0.04</v>
      </c>
      <c r="M128" s="65"/>
      <c r="N128" s="66"/>
      <c r="O128" s="65"/>
      <c r="P128" s="65"/>
      <c r="Q128" s="65"/>
      <c r="R128" s="65"/>
      <c r="S128" s="65"/>
      <c r="T128" s="65"/>
      <c r="U128" s="65"/>
      <c r="X128" s="79" t="s">
        <v>10557</v>
      </c>
      <c r="Y128" s="80">
        <v>3175</v>
      </c>
      <c r="Z128" s="81">
        <f t="shared" si="12"/>
        <v>3175</v>
      </c>
      <c r="AA128" s="79" t="s">
        <v>2082</v>
      </c>
      <c r="AB128" s="82">
        <f t="shared" si="13"/>
        <v>3175</v>
      </c>
      <c r="AC128" s="79" t="s">
        <v>2081</v>
      </c>
      <c r="AD128" s="82">
        <f t="shared" si="14"/>
        <v>0</v>
      </c>
      <c r="AE128" s="79" t="s">
        <v>2080</v>
      </c>
      <c r="AF128" s="82">
        <f t="shared" si="15"/>
        <v>0</v>
      </c>
      <c r="AG128" s="79" t="s">
        <v>2079</v>
      </c>
      <c r="AH128" s="81">
        <v>127</v>
      </c>
      <c r="AI128" s="65"/>
      <c r="AJ128" s="65"/>
      <c r="AK128" s="65"/>
      <c r="AL128" s="65"/>
      <c r="AM128" s="65"/>
      <c r="AN128" s="65"/>
      <c r="AO128" s="65"/>
      <c r="AP128" s="65"/>
      <c r="AQ128" s="65"/>
    </row>
    <row r="129" spans="1:43" ht="18.75">
      <c r="A129" s="89" t="s">
        <v>2239</v>
      </c>
      <c r="B129" s="89">
        <v>1</v>
      </c>
      <c r="C129" s="89">
        <v>0</v>
      </c>
      <c r="D129" s="88">
        <f t="shared" si="8"/>
        <v>1</v>
      </c>
      <c r="E129" s="89" t="s">
        <v>2082</v>
      </c>
      <c r="F129" s="90">
        <f t="shared" si="9"/>
        <v>1</v>
      </c>
      <c r="G129" s="89" t="s">
        <v>2081</v>
      </c>
      <c r="H129" s="90">
        <f t="shared" si="10"/>
        <v>0</v>
      </c>
      <c r="I129" s="89" t="s">
        <v>2080</v>
      </c>
      <c r="J129" s="90">
        <f t="shared" si="11"/>
        <v>0</v>
      </c>
      <c r="K129" s="89" t="s">
        <v>2079</v>
      </c>
      <c r="L129" s="88">
        <v>0.04</v>
      </c>
      <c r="M129" s="65"/>
      <c r="N129" s="66"/>
      <c r="O129" s="65"/>
      <c r="P129" s="65"/>
      <c r="Q129" s="65"/>
      <c r="R129" s="65"/>
      <c r="S129" s="65"/>
      <c r="T129" s="65"/>
      <c r="U129" s="65"/>
      <c r="X129" s="79" t="s">
        <v>10558</v>
      </c>
      <c r="Y129" s="80">
        <v>80</v>
      </c>
      <c r="Z129" s="81">
        <f t="shared" si="12"/>
        <v>80</v>
      </c>
      <c r="AA129" s="79" t="s">
        <v>2082</v>
      </c>
      <c r="AB129" s="82">
        <f t="shared" si="13"/>
        <v>80</v>
      </c>
      <c r="AC129" s="79" t="s">
        <v>2081</v>
      </c>
      <c r="AD129" s="82">
        <f t="shared" si="14"/>
        <v>0</v>
      </c>
      <c r="AE129" s="79" t="s">
        <v>2080</v>
      </c>
      <c r="AF129" s="82">
        <f t="shared" si="15"/>
        <v>0</v>
      </c>
      <c r="AG129" s="79" t="s">
        <v>2079</v>
      </c>
      <c r="AH129" s="81">
        <v>3.2</v>
      </c>
      <c r="AI129" s="65"/>
      <c r="AJ129" s="65"/>
      <c r="AK129" s="65"/>
      <c r="AL129" s="65"/>
      <c r="AM129" s="65"/>
      <c r="AN129" s="65"/>
      <c r="AO129" s="65"/>
      <c r="AP129" s="65"/>
      <c r="AQ129" s="65"/>
    </row>
    <row r="130" spans="1:43" ht="18.75">
      <c r="A130" s="89" t="s">
        <v>2240</v>
      </c>
      <c r="B130" s="89">
        <v>1</v>
      </c>
      <c r="C130" s="89">
        <v>5</v>
      </c>
      <c r="D130" s="88">
        <f t="shared" si="8"/>
        <v>1</v>
      </c>
      <c r="E130" s="89" t="s">
        <v>2082</v>
      </c>
      <c r="F130" s="90">
        <f t="shared" si="9"/>
        <v>1</v>
      </c>
      <c r="G130" s="89" t="s">
        <v>2081</v>
      </c>
      <c r="H130" s="90">
        <f t="shared" si="10"/>
        <v>0</v>
      </c>
      <c r="I130" s="89" t="s">
        <v>2080</v>
      </c>
      <c r="J130" s="90">
        <f t="shared" si="11"/>
        <v>0</v>
      </c>
      <c r="K130" s="89" t="s">
        <v>2079</v>
      </c>
      <c r="L130" s="88">
        <v>0.04</v>
      </c>
      <c r="M130" s="65"/>
      <c r="N130" s="66"/>
      <c r="O130" s="65"/>
      <c r="P130" s="65"/>
      <c r="Q130" s="65"/>
      <c r="R130" s="65"/>
      <c r="S130" s="65"/>
      <c r="T130" s="65"/>
      <c r="U130" s="65"/>
      <c r="X130" s="79" t="s">
        <v>10559</v>
      </c>
      <c r="Y130" s="80">
        <v>55</v>
      </c>
      <c r="Z130" s="81">
        <f t="shared" si="12"/>
        <v>55</v>
      </c>
      <c r="AA130" s="79" t="s">
        <v>2082</v>
      </c>
      <c r="AB130" s="82">
        <f t="shared" si="13"/>
        <v>55</v>
      </c>
      <c r="AC130" s="79" t="s">
        <v>2081</v>
      </c>
      <c r="AD130" s="82">
        <f t="shared" si="14"/>
        <v>0</v>
      </c>
      <c r="AE130" s="79" t="s">
        <v>2080</v>
      </c>
      <c r="AF130" s="82">
        <f t="shared" si="15"/>
        <v>0</v>
      </c>
      <c r="AG130" s="79" t="s">
        <v>2079</v>
      </c>
      <c r="AH130" s="81">
        <v>2.2000000000000002</v>
      </c>
      <c r="AI130" s="65"/>
      <c r="AJ130" s="65"/>
      <c r="AK130" s="65"/>
      <c r="AL130" s="65"/>
      <c r="AM130" s="65"/>
      <c r="AN130" s="65"/>
      <c r="AO130" s="65"/>
      <c r="AP130" s="65"/>
      <c r="AQ130" s="65"/>
    </row>
    <row r="131" spans="1:43" ht="18.75">
      <c r="A131" s="89" t="s">
        <v>2241</v>
      </c>
      <c r="B131" s="89">
        <v>1</v>
      </c>
      <c r="C131" s="89">
        <v>1</v>
      </c>
      <c r="D131" s="88">
        <f t="shared" ref="D131:D189" si="16">B131*$O$6</f>
        <v>1</v>
      </c>
      <c r="E131" s="89" t="s">
        <v>2082</v>
      </c>
      <c r="F131" s="90">
        <f t="shared" ref="F131:F189" si="17">_xlfn.FLOOR.MATH(D131,1)</f>
        <v>1</v>
      </c>
      <c r="G131" s="89" t="s">
        <v>2081</v>
      </c>
      <c r="H131" s="90">
        <f t="shared" ref="H131:H189" si="18">_xlfn.FLOOR.MATH(((D131-F131)*10), 1)</f>
        <v>0</v>
      </c>
      <c r="I131" s="89" t="s">
        <v>2080</v>
      </c>
      <c r="J131" s="90">
        <f t="shared" ref="J131:J189" si="19">((D131-F131)*10-H131)*10</f>
        <v>0</v>
      </c>
      <c r="K131" s="89" t="s">
        <v>2079</v>
      </c>
      <c r="L131" s="88">
        <v>0.04</v>
      </c>
      <c r="M131" s="65"/>
      <c r="N131" s="66"/>
      <c r="O131" s="65"/>
      <c r="P131" s="65"/>
      <c r="Q131" s="65"/>
      <c r="R131" s="65"/>
      <c r="S131" s="65"/>
      <c r="T131" s="65"/>
      <c r="U131" s="65"/>
      <c r="X131" s="79" t="s">
        <v>10560</v>
      </c>
      <c r="Y131" s="80">
        <v>325.25</v>
      </c>
      <c r="Z131" s="81">
        <f t="shared" ref="Z131:Z194" si="20">Y131*$AK$6*$AK$11</f>
        <v>325.25</v>
      </c>
      <c r="AA131" s="79" t="s">
        <v>2082</v>
      </c>
      <c r="AB131" s="82">
        <f t="shared" ref="AB131:AB194" si="21">_xlfn.FLOOR.MATH(Z131,1)</f>
        <v>325</v>
      </c>
      <c r="AC131" s="79" t="s">
        <v>2081</v>
      </c>
      <c r="AD131" s="82">
        <f t="shared" ref="AD131:AD194" si="22">_xlfn.FLOOR.MATH(((Z131-AB131)*10), 1)</f>
        <v>2</v>
      </c>
      <c r="AE131" s="79" t="s">
        <v>2080</v>
      </c>
      <c r="AF131" s="82">
        <f t="shared" ref="AF131:AF194" si="23">((Z131-AB131)*10-AD131)*10</f>
        <v>5</v>
      </c>
      <c r="AG131" s="79" t="s">
        <v>2079</v>
      </c>
      <c r="AH131" s="81">
        <v>13.01</v>
      </c>
      <c r="AI131" s="65"/>
      <c r="AJ131" s="65"/>
      <c r="AK131" s="65"/>
      <c r="AL131" s="65"/>
      <c r="AM131" s="65"/>
      <c r="AN131" s="65"/>
      <c r="AO131" s="65"/>
      <c r="AP131" s="65"/>
      <c r="AQ131" s="65"/>
    </row>
    <row r="132" spans="1:43" ht="18.75">
      <c r="A132" s="89" t="s">
        <v>2242</v>
      </c>
      <c r="B132" s="89">
        <v>1</v>
      </c>
      <c r="C132" s="89">
        <v>2</v>
      </c>
      <c r="D132" s="88">
        <f t="shared" si="16"/>
        <v>1</v>
      </c>
      <c r="E132" s="89" t="s">
        <v>2082</v>
      </c>
      <c r="F132" s="90">
        <f t="shared" si="17"/>
        <v>1</v>
      </c>
      <c r="G132" s="89" t="s">
        <v>2081</v>
      </c>
      <c r="H132" s="90">
        <f t="shared" si="18"/>
        <v>0</v>
      </c>
      <c r="I132" s="89" t="s">
        <v>2080</v>
      </c>
      <c r="J132" s="90">
        <f t="shared" si="19"/>
        <v>0</v>
      </c>
      <c r="K132" s="89" t="s">
        <v>2079</v>
      </c>
      <c r="L132" s="88">
        <v>0.04</v>
      </c>
      <c r="M132" s="65"/>
      <c r="N132" s="66"/>
      <c r="O132" s="65"/>
      <c r="P132" s="65"/>
      <c r="Q132" s="65"/>
      <c r="R132" s="65"/>
      <c r="S132" s="65"/>
      <c r="T132" s="65"/>
      <c r="U132" s="65"/>
      <c r="X132" s="79" t="s">
        <v>10561</v>
      </c>
      <c r="Y132" s="80">
        <v>55</v>
      </c>
      <c r="Z132" s="81">
        <f t="shared" si="20"/>
        <v>55</v>
      </c>
      <c r="AA132" s="79" t="s">
        <v>2082</v>
      </c>
      <c r="AB132" s="82">
        <f t="shared" si="21"/>
        <v>55</v>
      </c>
      <c r="AC132" s="79" t="s">
        <v>2081</v>
      </c>
      <c r="AD132" s="82">
        <f t="shared" si="22"/>
        <v>0</v>
      </c>
      <c r="AE132" s="79" t="s">
        <v>2080</v>
      </c>
      <c r="AF132" s="82">
        <f t="shared" si="23"/>
        <v>0</v>
      </c>
      <c r="AG132" s="79" t="s">
        <v>2079</v>
      </c>
      <c r="AH132" s="81">
        <v>2.2000000000000002</v>
      </c>
      <c r="AI132" s="65"/>
      <c r="AJ132" s="65"/>
      <c r="AK132" s="65"/>
      <c r="AL132" s="65"/>
      <c r="AM132" s="65"/>
      <c r="AN132" s="65"/>
      <c r="AO132" s="65"/>
      <c r="AP132" s="65"/>
      <c r="AQ132" s="65"/>
    </row>
    <row r="133" spans="1:43" ht="18.75">
      <c r="A133" s="89" t="s">
        <v>2243</v>
      </c>
      <c r="B133" s="89">
        <v>1</v>
      </c>
      <c r="C133" s="89">
        <v>1</v>
      </c>
      <c r="D133" s="88">
        <f t="shared" si="16"/>
        <v>1</v>
      </c>
      <c r="E133" s="89" t="s">
        <v>2082</v>
      </c>
      <c r="F133" s="90">
        <f t="shared" si="17"/>
        <v>1</v>
      </c>
      <c r="G133" s="89" t="s">
        <v>2081</v>
      </c>
      <c r="H133" s="90">
        <f t="shared" si="18"/>
        <v>0</v>
      </c>
      <c r="I133" s="89" t="s">
        <v>2080</v>
      </c>
      <c r="J133" s="90">
        <f t="shared" si="19"/>
        <v>0</v>
      </c>
      <c r="K133" s="89" t="s">
        <v>2079</v>
      </c>
      <c r="L133" s="88">
        <v>0.04</v>
      </c>
      <c r="M133" s="65"/>
      <c r="N133" s="66"/>
      <c r="O133" s="65"/>
      <c r="P133" s="65"/>
      <c r="Q133" s="65"/>
      <c r="R133" s="65"/>
      <c r="S133" s="65"/>
      <c r="T133" s="65"/>
      <c r="U133" s="65"/>
      <c r="X133" s="79" t="s">
        <v>10562</v>
      </c>
      <c r="Y133" s="80">
        <v>16550.125</v>
      </c>
      <c r="Z133" s="81">
        <f t="shared" si="20"/>
        <v>16550.125</v>
      </c>
      <c r="AA133" s="79" t="s">
        <v>2082</v>
      </c>
      <c r="AB133" s="82">
        <f t="shared" si="21"/>
        <v>16550</v>
      </c>
      <c r="AC133" s="79" t="s">
        <v>2081</v>
      </c>
      <c r="AD133" s="82">
        <f t="shared" si="22"/>
        <v>1</v>
      </c>
      <c r="AE133" s="79" t="s">
        <v>2080</v>
      </c>
      <c r="AF133" s="82">
        <f t="shared" si="23"/>
        <v>2.5</v>
      </c>
      <c r="AG133" s="79" t="s">
        <v>2079</v>
      </c>
      <c r="AH133" s="81">
        <v>662</v>
      </c>
      <c r="AI133" s="65"/>
      <c r="AJ133" s="65"/>
      <c r="AK133" s="65"/>
      <c r="AL133" s="65"/>
      <c r="AM133" s="65"/>
      <c r="AN133" s="65"/>
      <c r="AO133" s="65"/>
      <c r="AP133" s="65"/>
      <c r="AQ133" s="65"/>
    </row>
    <row r="134" spans="1:43" ht="18.75">
      <c r="A134" s="89" t="s">
        <v>2244</v>
      </c>
      <c r="B134" s="89">
        <v>1</v>
      </c>
      <c r="C134" s="89">
        <v>1</v>
      </c>
      <c r="D134" s="88">
        <f t="shared" si="16"/>
        <v>1</v>
      </c>
      <c r="E134" s="89" t="s">
        <v>2082</v>
      </c>
      <c r="F134" s="90">
        <f t="shared" si="17"/>
        <v>1</v>
      </c>
      <c r="G134" s="89" t="s">
        <v>2081</v>
      </c>
      <c r="H134" s="90">
        <f t="shared" si="18"/>
        <v>0</v>
      </c>
      <c r="I134" s="89" t="s">
        <v>2080</v>
      </c>
      <c r="J134" s="90">
        <f t="shared" si="19"/>
        <v>0</v>
      </c>
      <c r="K134" s="89" t="s">
        <v>2079</v>
      </c>
      <c r="L134" s="88">
        <v>0.04</v>
      </c>
      <c r="M134" s="65"/>
      <c r="N134" s="66"/>
      <c r="O134" s="65"/>
      <c r="P134" s="65"/>
      <c r="Q134" s="65"/>
      <c r="R134" s="65"/>
      <c r="S134" s="65"/>
      <c r="T134" s="65"/>
      <c r="U134" s="65"/>
      <c r="X134" s="79" t="s">
        <v>10563</v>
      </c>
      <c r="Y134" s="80">
        <v>4087.625</v>
      </c>
      <c r="Z134" s="81">
        <f t="shared" si="20"/>
        <v>4087.625</v>
      </c>
      <c r="AA134" s="79" t="s">
        <v>2082</v>
      </c>
      <c r="AB134" s="82">
        <f t="shared" si="21"/>
        <v>4087</v>
      </c>
      <c r="AC134" s="79" t="s">
        <v>2081</v>
      </c>
      <c r="AD134" s="82">
        <f t="shared" si="22"/>
        <v>6</v>
      </c>
      <c r="AE134" s="79" t="s">
        <v>2080</v>
      </c>
      <c r="AF134" s="82">
        <f t="shared" si="23"/>
        <v>2.5</v>
      </c>
      <c r="AG134" s="79" t="s">
        <v>2079</v>
      </c>
      <c r="AH134" s="81">
        <v>163.5</v>
      </c>
      <c r="AI134" s="65"/>
      <c r="AJ134" s="65"/>
      <c r="AK134" s="65"/>
      <c r="AL134" s="65"/>
      <c r="AM134" s="65"/>
      <c r="AN134" s="65"/>
      <c r="AO134" s="65"/>
      <c r="AP134" s="65"/>
      <c r="AQ134" s="65"/>
    </row>
    <row r="135" spans="1:43" ht="18.75">
      <c r="A135" s="89" t="s">
        <v>2245</v>
      </c>
      <c r="B135" s="89">
        <v>1</v>
      </c>
      <c r="C135" s="89">
        <v>8</v>
      </c>
      <c r="D135" s="88">
        <f t="shared" si="16"/>
        <v>1</v>
      </c>
      <c r="E135" s="89" t="s">
        <v>2082</v>
      </c>
      <c r="F135" s="90">
        <f t="shared" si="17"/>
        <v>1</v>
      </c>
      <c r="G135" s="89" t="s">
        <v>2081</v>
      </c>
      <c r="H135" s="90">
        <f t="shared" si="18"/>
        <v>0</v>
      </c>
      <c r="I135" s="89" t="s">
        <v>2080</v>
      </c>
      <c r="J135" s="90">
        <f t="shared" si="19"/>
        <v>0</v>
      </c>
      <c r="K135" s="89" t="s">
        <v>2079</v>
      </c>
      <c r="L135" s="88">
        <v>0.04</v>
      </c>
      <c r="M135" s="65"/>
      <c r="N135" s="66"/>
      <c r="O135" s="65"/>
      <c r="P135" s="65"/>
      <c r="Q135" s="65"/>
      <c r="R135" s="65"/>
      <c r="S135" s="65"/>
      <c r="T135" s="65"/>
      <c r="U135" s="65"/>
      <c r="X135" s="79" t="s">
        <v>7250</v>
      </c>
      <c r="Y135" s="80">
        <v>46000</v>
      </c>
      <c r="Z135" s="81">
        <f t="shared" si="20"/>
        <v>46000</v>
      </c>
      <c r="AA135" s="79" t="s">
        <v>2082</v>
      </c>
      <c r="AB135" s="82">
        <f t="shared" si="21"/>
        <v>46000</v>
      </c>
      <c r="AC135" s="79" t="s">
        <v>2081</v>
      </c>
      <c r="AD135" s="82">
        <f t="shared" si="22"/>
        <v>0</v>
      </c>
      <c r="AE135" s="79" t="s">
        <v>2080</v>
      </c>
      <c r="AF135" s="82">
        <f t="shared" si="23"/>
        <v>0</v>
      </c>
      <c r="AG135" s="79" t="s">
        <v>2079</v>
      </c>
      <c r="AH135" s="81">
        <v>1840</v>
      </c>
      <c r="AI135" s="65"/>
      <c r="AJ135" s="65"/>
      <c r="AK135" s="65"/>
      <c r="AL135" s="65"/>
      <c r="AM135" s="65"/>
      <c r="AN135" s="65"/>
      <c r="AO135" s="65"/>
      <c r="AP135" s="65"/>
      <c r="AQ135" s="65"/>
    </row>
    <row r="136" spans="1:43" ht="18.75">
      <c r="A136" s="89" t="s">
        <v>2246</v>
      </c>
      <c r="B136" s="89">
        <v>1</v>
      </c>
      <c r="C136" s="92">
        <v>1.5</v>
      </c>
      <c r="D136" s="88">
        <f t="shared" si="16"/>
        <v>1</v>
      </c>
      <c r="E136" s="89" t="s">
        <v>2082</v>
      </c>
      <c r="F136" s="90">
        <f t="shared" si="17"/>
        <v>1</v>
      </c>
      <c r="G136" s="89" t="s">
        <v>2081</v>
      </c>
      <c r="H136" s="90">
        <f t="shared" si="18"/>
        <v>0</v>
      </c>
      <c r="I136" s="89" t="s">
        <v>2080</v>
      </c>
      <c r="J136" s="90">
        <f t="shared" si="19"/>
        <v>0</v>
      </c>
      <c r="K136" s="89" t="s">
        <v>2079</v>
      </c>
      <c r="L136" s="88">
        <v>0.04</v>
      </c>
      <c r="M136" s="65"/>
      <c r="N136" s="66"/>
      <c r="O136" s="65"/>
      <c r="P136" s="65"/>
      <c r="Q136" s="65"/>
      <c r="R136" s="65"/>
      <c r="S136" s="65"/>
      <c r="T136" s="65"/>
      <c r="U136" s="65"/>
      <c r="X136" s="79" t="s">
        <v>10564</v>
      </c>
      <c r="Y136" s="80">
        <v>81750.25</v>
      </c>
      <c r="Z136" s="81">
        <f t="shared" si="20"/>
        <v>81750.25</v>
      </c>
      <c r="AA136" s="79" t="s">
        <v>2082</v>
      </c>
      <c r="AB136" s="82">
        <f t="shared" si="21"/>
        <v>81750</v>
      </c>
      <c r="AC136" s="79" t="s">
        <v>2081</v>
      </c>
      <c r="AD136" s="82">
        <f t="shared" si="22"/>
        <v>2</v>
      </c>
      <c r="AE136" s="79" t="s">
        <v>2080</v>
      </c>
      <c r="AF136" s="82">
        <f t="shared" si="23"/>
        <v>5</v>
      </c>
      <c r="AG136" s="79" t="s">
        <v>2079</v>
      </c>
      <c r="AH136" s="81">
        <v>3270.01</v>
      </c>
      <c r="AI136" s="65"/>
      <c r="AJ136" s="65"/>
      <c r="AK136" s="65"/>
      <c r="AL136" s="65"/>
      <c r="AM136" s="65"/>
      <c r="AN136" s="65"/>
      <c r="AO136" s="65"/>
      <c r="AP136" s="65"/>
      <c r="AQ136" s="65"/>
    </row>
    <row r="137" spans="1:43" ht="18.75">
      <c r="A137" s="89" t="s">
        <v>2247</v>
      </c>
      <c r="B137" s="89">
        <v>1</v>
      </c>
      <c r="C137" s="89">
        <v>0.5</v>
      </c>
      <c r="D137" s="88">
        <f t="shared" si="16"/>
        <v>1</v>
      </c>
      <c r="E137" s="89" t="s">
        <v>2082</v>
      </c>
      <c r="F137" s="90">
        <f t="shared" si="17"/>
        <v>1</v>
      </c>
      <c r="G137" s="89" t="s">
        <v>2081</v>
      </c>
      <c r="H137" s="90">
        <f t="shared" si="18"/>
        <v>0</v>
      </c>
      <c r="I137" s="89" t="s">
        <v>2080</v>
      </c>
      <c r="J137" s="90">
        <f t="shared" si="19"/>
        <v>0</v>
      </c>
      <c r="K137" s="89" t="s">
        <v>2079</v>
      </c>
      <c r="L137" s="88">
        <v>0.04</v>
      </c>
      <c r="M137" s="65"/>
      <c r="N137" s="66"/>
      <c r="O137" s="65"/>
      <c r="P137" s="65"/>
      <c r="Q137" s="65"/>
      <c r="R137" s="65"/>
      <c r="S137" s="65"/>
      <c r="T137" s="65"/>
      <c r="U137" s="65"/>
      <c r="X137" s="79" t="s">
        <v>10565</v>
      </c>
      <c r="Y137" s="80">
        <v>91250.25</v>
      </c>
      <c r="Z137" s="81">
        <f t="shared" si="20"/>
        <v>91250.25</v>
      </c>
      <c r="AA137" s="79" t="s">
        <v>2082</v>
      </c>
      <c r="AB137" s="82">
        <f t="shared" si="21"/>
        <v>91250</v>
      </c>
      <c r="AC137" s="79" t="s">
        <v>2081</v>
      </c>
      <c r="AD137" s="82">
        <f t="shared" si="22"/>
        <v>2</v>
      </c>
      <c r="AE137" s="79" t="s">
        <v>2080</v>
      </c>
      <c r="AF137" s="82">
        <f t="shared" si="23"/>
        <v>5</v>
      </c>
      <c r="AG137" s="79" t="s">
        <v>2079</v>
      </c>
      <c r="AH137" s="81">
        <v>3650.01</v>
      </c>
      <c r="AI137" s="65"/>
      <c r="AJ137" s="65"/>
      <c r="AK137" s="65"/>
      <c r="AL137" s="65"/>
      <c r="AM137" s="65"/>
      <c r="AN137" s="65"/>
      <c r="AO137" s="65"/>
      <c r="AP137" s="65"/>
      <c r="AQ137" s="65"/>
    </row>
    <row r="138" spans="1:43" ht="18.75">
      <c r="A138" s="89" t="s">
        <v>2248</v>
      </c>
      <c r="B138" s="89">
        <v>1</v>
      </c>
      <c r="C138" s="89">
        <v>4</v>
      </c>
      <c r="D138" s="88">
        <f t="shared" si="16"/>
        <v>1</v>
      </c>
      <c r="E138" s="89" t="s">
        <v>2082</v>
      </c>
      <c r="F138" s="90">
        <f t="shared" si="17"/>
        <v>1</v>
      </c>
      <c r="G138" s="89" t="s">
        <v>2081</v>
      </c>
      <c r="H138" s="90">
        <f t="shared" si="18"/>
        <v>0</v>
      </c>
      <c r="I138" s="89" t="s">
        <v>2080</v>
      </c>
      <c r="J138" s="90">
        <f t="shared" si="19"/>
        <v>0</v>
      </c>
      <c r="K138" s="89" t="s">
        <v>2079</v>
      </c>
      <c r="L138" s="88">
        <v>0.04</v>
      </c>
      <c r="M138" s="65"/>
      <c r="N138" s="66"/>
      <c r="O138" s="65"/>
      <c r="P138" s="65"/>
      <c r="Q138" s="65"/>
      <c r="R138" s="65"/>
      <c r="S138" s="65"/>
      <c r="T138" s="65"/>
      <c r="U138" s="65"/>
      <c r="X138" s="79" t="s">
        <v>10566</v>
      </c>
      <c r="Y138" s="80">
        <v>96250.25</v>
      </c>
      <c r="Z138" s="81">
        <f t="shared" si="20"/>
        <v>96250.25</v>
      </c>
      <c r="AA138" s="79" t="s">
        <v>2082</v>
      </c>
      <c r="AB138" s="82">
        <f t="shared" si="21"/>
        <v>96250</v>
      </c>
      <c r="AC138" s="79" t="s">
        <v>2081</v>
      </c>
      <c r="AD138" s="82">
        <f t="shared" si="22"/>
        <v>2</v>
      </c>
      <c r="AE138" s="79" t="s">
        <v>2080</v>
      </c>
      <c r="AF138" s="82">
        <f t="shared" si="23"/>
        <v>5</v>
      </c>
      <c r="AG138" s="79" t="s">
        <v>2079</v>
      </c>
      <c r="AH138" s="81">
        <v>3850.01</v>
      </c>
      <c r="AI138" s="65"/>
      <c r="AJ138" s="65"/>
      <c r="AK138" s="65"/>
      <c r="AL138" s="65"/>
      <c r="AM138" s="65"/>
      <c r="AN138" s="65"/>
      <c r="AO138" s="65"/>
      <c r="AP138" s="65"/>
      <c r="AQ138" s="65"/>
    </row>
    <row r="139" spans="1:43" ht="18.75">
      <c r="A139" s="89" t="s">
        <v>2249</v>
      </c>
      <c r="B139" s="89">
        <v>1</v>
      </c>
      <c r="C139" s="89">
        <v>3</v>
      </c>
      <c r="D139" s="88">
        <f t="shared" si="16"/>
        <v>1</v>
      </c>
      <c r="E139" s="89" t="s">
        <v>2082</v>
      </c>
      <c r="F139" s="90">
        <f t="shared" si="17"/>
        <v>1</v>
      </c>
      <c r="G139" s="89" t="s">
        <v>2081</v>
      </c>
      <c r="H139" s="90">
        <f t="shared" si="18"/>
        <v>0</v>
      </c>
      <c r="I139" s="89" t="s">
        <v>2080</v>
      </c>
      <c r="J139" s="90">
        <f t="shared" si="19"/>
        <v>0</v>
      </c>
      <c r="K139" s="89" t="s">
        <v>2079</v>
      </c>
      <c r="L139" s="88">
        <v>0.04</v>
      </c>
      <c r="M139" s="65"/>
      <c r="N139" s="66"/>
      <c r="O139" s="65"/>
      <c r="P139" s="65"/>
      <c r="Q139" s="65"/>
      <c r="R139" s="65"/>
      <c r="S139" s="65"/>
      <c r="T139" s="65"/>
      <c r="U139" s="65"/>
      <c r="X139" s="79" t="s">
        <v>10567</v>
      </c>
      <c r="Y139" s="80">
        <v>31250.25</v>
      </c>
      <c r="Z139" s="81">
        <f t="shared" si="20"/>
        <v>31250.25</v>
      </c>
      <c r="AA139" s="79" t="s">
        <v>2082</v>
      </c>
      <c r="AB139" s="82">
        <f t="shared" si="21"/>
        <v>31250</v>
      </c>
      <c r="AC139" s="79" t="s">
        <v>2081</v>
      </c>
      <c r="AD139" s="82">
        <f t="shared" si="22"/>
        <v>2</v>
      </c>
      <c r="AE139" s="79" t="s">
        <v>2080</v>
      </c>
      <c r="AF139" s="82">
        <f t="shared" si="23"/>
        <v>5</v>
      </c>
      <c r="AG139" s="79" t="s">
        <v>2079</v>
      </c>
      <c r="AH139" s="81">
        <v>1250.01</v>
      </c>
      <c r="AI139" s="65"/>
      <c r="AJ139" s="65"/>
      <c r="AK139" s="65"/>
      <c r="AL139" s="65"/>
      <c r="AM139" s="65"/>
      <c r="AN139" s="65"/>
      <c r="AO139" s="65"/>
      <c r="AP139" s="65"/>
      <c r="AQ139" s="65"/>
    </row>
    <row r="140" spans="1:43" ht="18.75">
      <c r="A140" s="89" t="s">
        <v>2250</v>
      </c>
      <c r="B140" s="89">
        <v>1</v>
      </c>
      <c r="C140" s="89">
        <v>3</v>
      </c>
      <c r="D140" s="88">
        <f t="shared" si="16"/>
        <v>1</v>
      </c>
      <c r="E140" s="89" t="s">
        <v>2082</v>
      </c>
      <c r="F140" s="90">
        <f t="shared" si="17"/>
        <v>1</v>
      </c>
      <c r="G140" s="89" t="s">
        <v>2081</v>
      </c>
      <c r="H140" s="90">
        <f t="shared" si="18"/>
        <v>0</v>
      </c>
      <c r="I140" s="89" t="s">
        <v>2080</v>
      </c>
      <c r="J140" s="90">
        <f t="shared" si="19"/>
        <v>0</v>
      </c>
      <c r="K140" s="89" t="s">
        <v>2079</v>
      </c>
      <c r="L140" s="88">
        <v>0.04</v>
      </c>
      <c r="M140" s="65"/>
      <c r="N140" s="66"/>
      <c r="O140" s="65"/>
      <c r="P140" s="65"/>
      <c r="Q140" s="65"/>
      <c r="R140" s="65"/>
      <c r="S140" s="65"/>
      <c r="T140" s="65"/>
      <c r="U140" s="65"/>
      <c r="X140" s="79" t="s">
        <v>10568</v>
      </c>
      <c r="Y140" s="80">
        <v>10500</v>
      </c>
      <c r="Z140" s="81">
        <f t="shared" si="20"/>
        <v>10500</v>
      </c>
      <c r="AA140" s="79" t="s">
        <v>2082</v>
      </c>
      <c r="AB140" s="82">
        <f t="shared" si="21"/>
        <v>10500</v>
      </c>
      <c r="AC140" s="79" t="s">
        <v>2081</v>
      </c>
      <c r="AD140" s="82">
        <f t="shared" si="22"/>
        <v>0</v>
      </c>
      <c r="AE140" s="79" t="s">
        <v>2080</v>
      </c>
      <c r="AF140" s="82">
        <f t="shared" si="23"/>
        <v>0</v>
      </c>
      <c r="AG140" s="79" t="s">
        <v>2079</v>
      </c>
      <c r="AH140" s="81">
        <v>420</v>
      </c>
      <c r="AI140" s="65"/>
      <c r="AJ140" s="65"/>
      <c r="AK140" s="65"/>
      <c r="AL140" s="65"/>
      <c r="AM140" s="65"/>
      <c r="AN140" s="65"/>
      <c r="AO140" s="65"/>
      <c r="AP140" s="65"/>
      <c r="AQ140" s="65"/>
    </row>
    <row r="141" spans="1:43" ht="18.75">
      <c r="A141" s="89" t="s">
        <v>2251</v>
      </c>
      <c r="B141" s="89">
        <v>1</v>
      </c>
      <c r="C141" s="89">
        <v>1</v>
      </c>
      <c r="D141" s="88">
        <f t="shared" si="16"/>
        <v>1</v>
      </c>
      <c r="E141" s="89" t="s">
        <v>2082</v>
      </c>
      <c r="F141" s="90">
        <f t="shared" si="17"/>
        <v>1</v>
      </c>
      <c r="G141" s="89" t="s">
        <v>2081</v>
      </c>
      <c r="H141" s="90">
        <f t="shared" si="18"/>
        <v>0</v>
      </c>
      <c r="I141" s="89" t="s">
        <v>2080</v>
      </c>
      <c r="J141" s="90">
        <f t="shared" si="19"/>
        <v>0</v>
      </c>
      <c r="K141" s="89" t="s">
        <v>2079</v>
      </c>
      <c r="L141" s="88">
        <v>0.04</v>
      </c>
      <c r="M141" s="65"/>
      <c r="N141" s="66"/>
      <c r="O141" s="65"/>
      <c r="P141" s="65"/>
      <c r="Q141" s="65"/>
      <c r="R141" s="65"/>
      <c r="S141" s="65"/>
      <c r="T141" s="65"/>
      <c r="U141" s="65"/>
      <c r="X141" s="79" t="s">
        <v>7308</v>
      </c>
      <c r="Y141" s="80">
        <v>102000</v>
      </c>
      <c r="Z141" s="81">
        <f t="shared" si="20"/>
        <v>102000</v>
      </c>
      <c r="AA141" s="79" t="s">
        <v>2082</v>
      </c>
      <c r="AB141" s="82">
        <f t="shared" si="21"/>
        <v>102000</v>
      </c>
      <c r="AC141" s="79" t="s">
        <v>2081</v>
      </c>
      <c r="AD141" s="82">
        <f t="shared" si="22"/>
        <v>0</v>
      </c>
      <c r="AE141" s="79" t="s">
        <v>2080</v>
      </c>
      <c r="AF141" s="82">
        <f t="shared" si="23"/>
        <v>0</v>
      </c>
      <c r="AG141" s="79" t="s">
        <v>2079</v>
      </c>
      <c r="AH141" s="81">
        <v>4080</v>
      </c>
      <c r="AI141" s="65"/>
      <c r="AJ141" s="65"/>
      <c r="AK141" s="65"/>
      <c r="AL141" s="65"/>
      <c r="AM141" s="65"/>
      <c r="AN141" s="65"/>
      <c r="AO141" s="65"/>
      <c r="AP141" s="65"/>
      <c r="AQ141" s="65"/>
    </row>
    <row r="142" spans="1:43" ht="18.75">
      <c r="A142" s="89" t="s">
        <v>2252</v>
      </c>
      <c r="B142" s="89">
        <v>1</v>
      </c>
      <c r="C142" s="89">
        <v>4</v>
      </c>
      <c r="D142" s="88">
        <f t="shared" si="16"/>
        <v>1</v>
      </c>
      <c r="E142" s="89" t="s">
        <v>2082</v>
      </c>
      <c r="F142" s="90">
        <f t="shared" si="17"/>
        <v>1</v>
      </c>
      <c r="G142" s="89" t="s">
        <v>2081</v>
      </c>
      <c r="H142" s="90">
        <f t="shared" si="18"/>
        <v>0</v>
      </c>
      <c r="I142" s="89" t="s">
        <v>2080</v>
      </c>
      <c r="J142" s="90">
        <f t="shared" si="19"/>
        <v>0</v>
      </c>
      <c r="K142" s="89" t="s">
        <v>2079</v>
      </c>
      <c r="L142" s="88">
        <v>0.04</v>
      </c>
      <c r="M142" s="65"/>
      <c r="N142" s="66"/>
      <c r="O142" s="65"/>
      <c r="P142" s="65"/>
      <c r="Q142" s="65"/>
      <c r="R142" s="65"/>
      <c r="S142" s="65"/>
      <c r="T142" s="65"/>
      <c r="U142" s="65"/>
      <c r="X142" s="79" t="s">
        <v>10569</v>
      </c>
      <c r="Y142" s="80">
        <v>287.625</v>
      </c>
      <c r="Z142" s="81">
        <f t="shared" si="20"/>
        <v>287.625</v>
      </c>
      <c r="AA142" s="79" t="s">
        <v>2082</v>
      </c>
      <c r="AB142" s="82">
        <f t="shared" si="21"/>
        <v>287</v>
      </c>
      <c r="AC142" s="79" t="s">
        <v>2081</v>
      </c>
      <c r="AD142" s="82">
        <f t="shared" si="22"/>
        <v>6</v>
      </c>
      <c r="AE142" s="79" t="s">
        <v>2080</v>
      </c>
      <c r="AF142" s="82">
        <f t="shared" si="23"/>
        <v>2.5</v>
      </c>
      <c r="AG142" s="79" t="s">
        <v>2079</v>
      </c>
      <c r="AH142" s="81">
        <v>11.5</v>
      </c>
      <c r="AI142" s="65"/>
      <c r="AJ142" s="65"/>
      <c r="AK142" s="65"/>
      <c r="AL142" s="65"/>
      <c r="AM142" s="65"/>
      <c r="AN142" s="65"/>
      <c r="AO142" s="65"/>
      <c r="AP142" s="65"/>
      <c r="AQ142" s="65"/>
    </row>
    <row r="143" spans="1:43" ht="18.75">
      <c r="A143" s="89" t="s">
        <v>2253</v>
      </c>
      <c r="B143" s="89">
        <v>1</v>
      </c>
      <c r="C143" s="89">
        <v>10</v>
      </c>
      <c r="D143" s="88">
        <f t="shared" si="16"/>
        <v>1</v>
      </c>
      <c r="E143" s="89" t="s">
        <v>2082</v>
      </c>
      <c r="F143" s="90">
        <f t="shared" si="17"/>
        <v>1</v>
      </c>
      <c r="G143" s="89" t="s">
        <v>2081</v>
      </c>
      <c r="H143" s="90">
        <f t="shared" si="18"/>
        <v>0</v>
      </c>
      <c r="I143" s="89" t="s">
        <v>2080</v>
      </c>
      <c r="J143" s="90">
        <f t="shared" si="19"/>
        <v>0</v>
      </c>
      <c r="K143" s="89" t="s">
        <v>2079</v>
      </c>
      <c r="L143" s="88">
        <v>0.04</v>
      </c>
      <c r="M143" s="65"/>
      <c r="N143" s="66"/>
      <c r="O143" s="65"/>
      <c r="P143" s="65"/>
      <c r="Q143" s="65"/>
      <c r="R143" s="65"/>
      <c r="S143" s="65"/>
      <c r="T143" s="65"/>
      <c r="U143" s="65"/>
      <c r="X143" s="79" t="s">
        <v>7135</v>
      </c>
      <c r="Y143" s="80">
        <v>40000</v>
      </c>
      <c r="Z143" s="81">
        <f t="shared" si="20"/>
        <v>40000</v>
      </c>
      <c r="AA143" s="79" t="s">
        <v>2082</v>
      </c>
      <c r="AB143" s="82">
        <f t="shared" si="21"/>
        <v>40000</v>
      </c>
      <c r="AC143" s="79" t="s">
        <v>2081</v>
      </c>
      <c r="AD143" s="82">
        <f t="shared" si="22"/>
        <v>0</v>
      </c>
      <c r="AE143" s="79" t="s">
        <v>2080</v>
      </c>
      <c r="AF143" s="82">
        <f t="shared" si="23"/>
        <v>0</v>
      </c>
      <c r="AG143" s="79" t="s">
        <v>2079</v>
      </c>
      <c r="AH143" s="81">
        <v>1600</v>
      </c>
      <c r="AI143" s="65"/>
      <c r="AJ143" s="65"/>
      <c r="AK143" s="65"/>
      <c r="AL143" s="65"/>
      <c r="AM143" s="65"/>
      <c r="AN143" s="65"/>
      <c r="AO143" s="65"/>
      <c r="AP143" s="65"/>
      <c r="AQ143" s="65"/>
    </row>
    <row r="144" spans="1:43" ht="18.75">
      <c r="A144" s="89" t="s">
        <v>2254</v>
      </c>
      <c r="B144" s="89">
        <v>1</v>
      </c>
      <c r="C144" s="89">
        <v>2</v>
      </c>
      <c r="D144" s="88">
        <f t="shared" si="16"/>
        <v>1</v>
      </c>
      <c r="E144" s="89" t="s">
        <v>2082</v>
      </c>
      <c r="F144" s="90">
        <f t="shared" si="17"/>
        <v>1</v>
      </c>
      <c r="G144" s="89" t="s">
        <v>2081</v>
      </c>
      <c r="H144" s="90">
        <f t="shared" si="18"/>
        <v>0</v>
      </c>
      <c r="I144" s="89" t="s">
        <v>2080</v>
      </c>
      <c r="J144" s="90">
        <f t="shared" si="19"/>
        <v>0</v>
      </c>
      <c r="K144" s="89" t="s">
        <v>2079</v>
      </c>
      <c r="L144" s="88">
        <v>0.04</v>
      </c>
      <c r="M144" s="65"/>
      <c r="N144" s="66"/>
      <c r="O144" s="65"/>
      <c r="P144" s="65"/>
      <c r="Q144" s="65"/>
      <c r="R144" s="65"/>
      <c r="S144" s="65"/>
      <c r="T144" s="65"/>
      <c r="U144" s="65"/>
      <c r="X144" s="79" t="s">
        <v>10570</v>
      </c>
      <c r="Y144" s="80">
        <v>6875.25</v>
      </c>
      <c r="Z144" s="81">
        <f t="shared" si="20"/>
        <v>6875.25</v>
      </c>
      <c r="AA144" s="79" t="s">
        <v>2082</v>
      </c>
      <c r="AB144" s="82">
        <f t="shared" si="21"/>
        <v>6875</v>
      </c>
      <c r="AC144" s="79" t="s">
        <v>2081</v>
      </c>
      <c r="AD144" s="82">
        <f t="shared" si="22"/>
        <v>2</v>
      </c>
      <c r="AE144" s="79" t="s">
        <v>2080</v>
      </c>
      <c r="AF144" s="82">
        <f t="shared" si="23"/>
        <v>5</v>
      </c>
      <c r="AG144" s="79" t="s">
        <v>2079</v>
      </c>
      <c r="AH144" s="81">
        <v>275.01</v>
      </c>
      <c r="AI144" s="65"/>
      <c r="AJ144" s="65"/>
      <c r="AK144" s="65"/>
      <c r="AL144" s="65"/>
      <c r="AM144" s="65"/>
      <c r="AN144" s="65"/>
      <c r="AO144" s="65"/>
      <c r="AP144" s="65"/>
      <c r="AQ144" s="65"/>
    </row>
    <row r="145" spans="1:43" ht="18.75">
      <c r="A145" s="89" t="s">
        <v>2255</v>
      </c>
      <c r="B145" s="89">
        <v>1</v>
      </c>
      <c r="C145" s="89">
        <v>3</v>
      </c>
      <c r="D145" s="88">
        <f t="shared" si="16"/>
        <v>1</v>
      </c>
      <c r="E145" s="89" t="s">
        <v>2082</v>
      </c>
      <c r="F145" s="90">
        <f t="shared" si="17"/>
        <v>1</v>
      </c>
      <c r="G145" s="89" t="s">
        <v>2081</v>
      </c>
      <c r="H145" s="90">
        <f t="shared" si="18"/>
        <v>0</v>
      </c>
      <c r="I145" s="89" t="s">
        <v>2080</v>
      </c>
      <c r="J145" s="90">
        <f t="shared" si="19"/>
        <v>0</v>
      </c>
      <c r="K145" s="89" t="s">
        <v>2079</v>
      </c>
      <c r="L145" s="88">
        <v>0.04</v>
      </c>
      <c r="M145" s="65"/>
      <c r="N145" s="66"/>
      <c r="O145" s="65"/>
      <c r="P145" s="65"/>
      <c r="Q145" s="65"/>
      <c r="R145" s="65"/>
      <c r="S145" s="65"/>
      <c r="T145" s="65"/>
      <c r="U145" s="65"/>
      <c r="X145" s="79" t="s">
        <v>10571</v>
      </c>
      <c r="Y145" s="80">
        <v>2000</v>
      </c>
      <c r="Z145" s="81">
        <f t="shared" si="20"/>
        <v>2000</v>
      </c>
      <c r="AA145" s="79" t="s">
        <v>2082</v>
      </c>
      <c r="AB145" s="82">
        <f t="shared" si="21"/>
        <v>2000</v>
      </c>
      <c r="AC145" s="79" t="s">
        <v>2081</v>
      </c>
      <c r="AD145" s="82">
        <f t="shared" si="22"/>
        <v>0</v>
      </c>
      <c r="AE145" s="79" t="s">
        <v>2080</v>
      </c>
      <c r="AF145" s="82">
        <f t="shared" si="23"/>
        <v>0</v>
      </c>
      <c r="AG145" s="79" t="s">
        <v>2079</v>
      </c>
      <c r="AH145" s="81">
        <v>80</v>
      </c>
      <c r="AI145" s="65"/>
      <c r="AJ145" s="65"/>
      <c r="AK145" s="65"/>
      <c r="AL145" s="65"/>
      <c r="AM145" s="65"/>
      <c r="AN145" s="65"/>
      <c r="AO145" s="65"/>
      <c r="AP145" s="65"/>
      <c r="AQ145" s="65"/>
    </row>
    <row r="146" spans="1:43" ht="18.75">
      <c r="A146" s="89" t="s">
        <v>2256</v>
      </c>
      <c r="B146" s="89">
        <v>1</v>
      </c>
      <c r="C146" s="89">
        <v>5</v>
      </c>
      <c r="D146" s="88">
        <f t="shared" si="16"/>
        <v>1</v>
      </c>
      <c r="E146" s="89" t="s">
        <v>2082</v>
      </c>
      <c r="F146" s="90">
        <f t="shared" si="17"/>
        <v>1</v>
      </c>
      <c r="G146" s="89" t="s">
        <v>2081</v>
      </c>
      <c r="H146" s="90">
        <f t="shared" si="18"/>
        <v>0</v>
      </c>
      <c r="I146" s="89" t="s">
        <v>2080</v>
      </c>
      <c r="J146" s="90">
        <f t="shared" si="19"/>
        <v>0</v>
      </c>
      <c r="K146" s="89" t="s">
        <v>2079</v>
      </c>
      <c r="L146" s="88">
        <v>0.04</v>
      </c>
      <c r="M146" s="65"/>
      <c r="N146" s="66"/>
      <c r="O146" s="65"/>
      <c r="P146" s="65"/>
      <c r="Q146" s="65"/>
      <c r="R146" s="65"/>
      <c r="S146" s="65"/>
      <c r="T146" s="65"/>
      <c r="U146" s="65"/>
      <c r="X146" s="79" t="s">
        <v>10572</v>
      </c>
      <c r="Y146" s="80">
        <v>6000</v>
      </c>
      <c r="Z146" s="81">
        <f t="shared" si="20"/>
        <v>6000</v>
      </c>
      <c r="AA146" s="79" t="s">
        <v>2082</v>
      </c>
      <c r="AB146" s="82">
        <f t="shared" si="21"/>
        <v>6000</v>
      </c>
      <c r="AC146" s="79" t="s">
        <v>2081</v>
      </c>
      <c r="AD146" s="82">
        <f t="shared" si="22"/>
        <v>0</v>
      </c>
      <c r="AE146" s="79" t="s">
        <v>2080</v>
      </c>
      <c r="AF146" s="82">
        <f t="shared" si="23"/>
        <v>0</v>
      </c>
      <c r="AG146" s="79" t="s">
        <v>2079</v>
      </c>
      <c r="AH146" s="81">
        <v>240</v>
      </c>
      <c r="AI146" s="65"/>
      <c r="AJ146" s="65"/>
      <c r="AK146" s="65"/>
      <c r="AL146" s="65"/>
      <c r="AM146" s="65"/>
      <c r="AN146" s="65"/>
      <c r="AO146" s="65"/>
      <c r="AP146" s="65"/>
      <c r="AQ146" s="65"/>
    </row>
    <row r="147" spans="1:43" ht="18.75">
      <c r="A147" s="89" t="s">
        <v>2257</v>
      </c>
      <c r="B147" s="89">
        <v>1</v>
      </c>
      <c r="C147" s="89">
        <v>0</v>
      </c>
      <c r="D147" s="88">
        <f t="shared" si="16"/>
        <v>1</v>
      </c>
      <c r="E147" s="89" t="s">
        <v>2082</v>
      </c>
      <c r="F147" s="90">
        <f t="shared" si="17"/>
        <v>1</v>
      </c>
      <c r="G147" s="89" t="s">
        <v>2081</v>
      </c>
      <c r="H147" s="90">
        <f t="shared" si="18"/>
        <v>0</v>
      </c>
      <c r="I147" s="89" t="s">
        <v>2080</v>
      </c>
      <c r="J147" s="90">
        <f t="shared" si="19"/>
        <v>0</v>
      </c>
      <c r="K147" s="89" t="s">
        <v>2079</v>
      </c>
      <c r="L147" s="88">
        <v>0.04</v>
      </c>
      <c r="M147" s="65"/>
      <c r="N147" s="66"/>
      <c r="O147" s="65"/>
      <c r="P147" s="65"/>
      <c r="Q147" s="65"/>
      <c r="R147" s="65"/>
      <c r="S147" s="65"/>
      <c r="T147" s="65"/>
      <c r="U147" s="65"/>
      <c r="X147" s="79" t="s">
        <v>10573</v>
      </c>
      <c r="Y147" s="80">
        <v>112500.5</v>
      </c>
      <c r="Z147" s="81">
        <f t="shared" si="20"/>
        <v>112500.5</v>
      </c>
      <c r="AA147" s="79" t="s">
        <v>2082</v>
      </c>
      <c r="AB147" s="82">
        <f t="shared" si="21"/>
        <v>112500</v>
      </c>
      <c r="AC147" s="79" t="s">
        <v>2081</v>
      </c>
      <c r="AD147" s="82">
        <f t="shared" si="22"/>
        <v>5</v>
      </c>
      <c r="AE147" s="79" t="s">
        <v>2080</v>
      </c>
      <c r="AF147" s="82">
        <f t="shared" si="23"/>
        <v>0</v>
      </c>
      <c r="AG147" s="79" t="s">
        <v>2079</v>
      </c>
      <c r="AH147" s="81">
        <v>4500.0200000000004</v>
      </c>
      <c r="AI147" s="65"/>
      <c r="AJ147" s="65"/>
      <c r="AK147" s="65"/>
      <c r="AL147" s="65"/>
      <c r="AM147" s="65"/>
      <c r="AN147" s="65"/>
      <c r="AO147" s="65"/>
      <c r="AP147" s="65"/>
      <c r="AQ147" s="65"/>
    </row>
    <row r="148" spans="1:43" ht="18.75">
      <c r="A148" s="89" t="s">
        <v>2258</v>
      </c>
      <c r="B148" s="89">
        <v>1</v>
      </c>
      <c r="C148" s="89">
        <v>0</v>
      </c>
      <c r="D148" s="88">
        <f t="shared" si="16"/>
        <v>1</v>
      </c>
      <c r="E148" s="89" t="s">
        <v>2082</v>
      </c>
      <c r="F148" s="90">
        <f t="shared" si="17"/>
        <v>1</v>
      </c>
      <c r="G148" s="89" t="s">
        <v>2081</v>
      </c>
      <c r="H148" s="90">
        <f t="shared" si="18"/>
        <v>0</v>
      </c>
      <c r="I148" s="89" t="s">
        <v>2080</v>
      </c>
      <c r="J148" s="90">
        <f t="shared" si="19"/>
        <v>0</v>
      </c>
      <c r="K148" s="89" t="s">
        <v>2079</v>
      </c>
      <c r="L148" s="88">
        <v>0.04</v>
      </c>
      <c r="M148" s="65"/>
      <c r="N148" s="66"/>
      <c r="O148" s="65"/>
      <c r="P148" s="65"/>
      <c r="Q148" s="65"/>
      <c r="R148" s="65"/>
      <c r="S148" s="65"/>
      <c r="T148" s="65"/>
      <c r="U148" s="65"/>
      <c r="X148" s="79" t="s">
        <v>10574</v>
      </c>
      <c r="Y148" s="80">
        <v>67.5</v>
      </c>
      <c r="Z148" s="81">
        <f t="shared" si="20"/>
        <v>67.5</v>
      </c>
      <c r="AA148" s="79" t="s">
        <v>2082</v>
      </c>
      <c r="AB148" s="82">
        <f t="shared" si="21"/>
        <v>67</v>
      </c>
      <c r="AC148" s="79" t="s">
        <v>2081</v>
      </c>
      <c r="AD148" s="82">
        <f t="shared" si="22"/>
        <v>5</v>
      </c>
      <c r="AE148" s="79" t="s">
        <v>2080</v>
      </c>
      <c r="AF148" s="82">
        <f t="shared" si="23"/>
        <v>0</v>
      </c>
      <c r="AG148" s="79" t="s">
        <v>2079</v>
      </c>
      <c r="AH148" s="81">
        <v>2.7</v>
      </c>
      <c r="AI148" s="65"/>
      <c r="AJ148" s="65"/>
      <c r="AK148" s="65"/>
      <c r="AL148" s="65"/>
      <c r="AM148" s="65"/>
      <c r="AN148" s="65"/>
      <c r="AO148" s="65"/>
      <c r="AP148" s="65"/>
      <c r="AQ148" s="65"/>
    </row>
    <row r="149" spans="1:43" ht="18.75">
      <c r="A149" s="89" t="s">
        <v>2259</v>
      </c>
      <c r="B149" s="89">
        <v>1</v>
      </c>
      <c r="C149" s="89">
        <v>0</v>
      </c>
      <c r="D149" s="88">
        <f t="shared" si="16"/>
        <v>1</v>
      </c>
      <c r="E149" s="89" t="s">
        <v>2082</v>
      </c>
      <c r="F149" s="90">
        <f t="shared" si="17"/>
        <v>1</v>
      </c>
      <c r="G149" s="89" t="s">
        <v>2081</v>
      </c>
      <c r="H149" s="90">
        <f t="shared" si="18"/>
        <v>0</v>
      </c>
      <c r="I149" s="89" t="s">
        <v>2080</v>
      </c>
      <c r="J149" s="90">
        <f t="shared" si="19"/>
        <v>0</v>
      </c>
      <c r="K149" s="89" t="s">
        <v>2079</v>
      </c>
      <c r="L149" s="88">
        <v>0.04</v>
      </c>
      <c r="M149" s="65"/>
      <c r="N149" s="66"/>
      <c r="O149" s="65"/>
      <c r="P149" s="65"/>
      <c r="Q149" s="65"/>
      <c r="R149" s="65"/>
      <c r="S149" s="65"/>
      <c r="T149" s="65"/>
      <c r="U149" s="65"/>
      <c r="X149" s="79" t="s">
        <v>10575</v>
      </c>
      <c r="Y149" s="80">
        <v>84750.25</v>
      </c>
      <c r="Z149" s="81">
        <f t="shared" si="20"/>
        <v>84750.25</v>
      </c>
      <c r="AA149" s="79" t="s">
        <v>2082</v>
      </c>
      <c r="AB149" s="82">
        <f t="shared" si="21"/>
        <v>84750</v>
      </c>
      <c r="AC149" s="79" t="s">
        <v>2081</v>
      </c>
      <c r="AD149" s="82">
        <f t="shared" si="22"/>
        <v>2</v>
      </c>
      <c r="AE149" s="79" t="s">
        <v>2080</v>
      </c>
      <c r="AF149" s="82">
        <f t="shared" si="23"/>
        <v>5</v>
      </c>
      <c r="AG149" s="79" t="s">
        <v>2079</v>
      </c>
      <c r="AH149" s="81">
        <v>3390.01</v>
      </c>
      <c r="AI149" s="65"/>
      <c r="AJ149" s="65"/>
      <c r="AK149" s="65"/>
      <c r="AL149" s="65"/>
      <c r="AM149" s="65"/>
      <c r="AN149" s="65"/>
      <c r="AO149" s="65"/>
      <c r="AP149" s="65"/>
      <c r="AQ149" s="65"/>
    </row>
    <row r="150" spans="1:43" ht="18.75">
      <c r="A150" s="89" t="s">
        <v>2260</v>
      </c>
      <c r="B150" s="89">
        <v>1</v>
      </c>
      <c r="C150" s="89">
        <v>0</v>
      </c>
      <c r="D150" s="88">
        <f t="shared" si="16"/>
        <v>1</v>
      </c>
      <c r="E150" s="89" t="s">
        <v>2082</v>
      </c>
      <c r="F150" s="90">
        <f t="shared" si="17"/>
        <v>1</v>
      </c>
      <c r="G150" s="89" t="s">
        <v>2081</v>
      </c>
      <c r="H150" s="90">
        <f t="shared" si="18"/>
        <v>0</v>
      </c>
      <c r="I150" s="89" t="s">
        <v>2080</v>
      </c>
      <c r="J150" s="90">
        <f t="shared" si="19"/>
        <v>0</v>
      </c>
      <c r="K150" s="89" t="s">
        <v>2079</v>
      </c>
      <c r="L150" s="88">
        <v>0.04</v>
      </c>
      <c r="M150" s="65"/>
      <c r="N150" s="66"/>
      <c r="O150" s="65"/>
      <c r="P150" s="65"/>
      <c r="Q150" s="65"/>
      <c r="R150" s="65"/>
      <c r="S150" s="65"/>
      <c r="T150" s="65"/>
      <c r="U150" s="65"/>
      <c r="X150" s="79" t="s">
        <v>10576</v>
      </c>
      <c r="Y150" s="80">
        <v>67650</v>
      </c>
      <c r="Z150" s="81">
        <f t="shared" si="20"/>
        <v>67650</v>
      </c>
      <c r="AA150" s="79" t="s">
        <v>2082</v>
      </c>
      <c r="AB150" s="82">
        <f t="shared" si="21"/>
        <v>67650</v>
      </c>
      <c r="AC150" s="79" t="s">
        <v>2081</v>
      </c>
      <c r="AD150" s="82">
        <f t="shared" si="22"/>
        <v>0</v>
      </c>
      <c r="AE150" s="79" t="s">
        <v>2080</v>
      </c>
      <c r="AF150" s="82">
        <f t="shared" si="23"/>
        <v>0</v>
      </c>
      <c r="AG150" s="79" t="s">
        <v>2079</v>
      </c>
      <c r="AH150" s="81">
        <v>2706</v>
      </c>
      <c r="AI150" s="65"/>
      <c r="AJ150" s="65"/>
      <c r="AK150" s="65"/>
      <c r="AL150" s="65"/>
      <c r="AM150" s="65"/>
      <c r="AN150" s="65"/>
      <c r="AO150" s="65"/>
      <c r="AP150" s="65"/>
      <c r="AQ150" s="65"/>
    </row>
    <row r="151" spans="1:43" ht="18.75">
      <c r="A151" s="89" t="s">
        <v>2261</v>
      </c>
      <c r="B151" s="89">
        <v>1</v>
      </c>
      <c r="C151" s="89">
        <v>5</v>
      </c>
      <c r="D151" s="88">
        <f t="shared" si="16"/>
        <v>1</v>
      </c>
      <c r="E151" s="89" t="s">
        <v>2082</v>
      </c>
      <c r="F151" s="90">
        <f t="shared" si="17"/>
        <v>1</v>
      </c>
      <c r="G151" s="89" t="s">
        <v>2081</v>
      </c>
      <c r="H151" s="90">
        <f t="shared" si="18"/>
        <v>0</v>
      </c>
      <c r="I151" s="89" t="s">
        <v>2080</v>
      </c>
      <c r="J151" s="90">
        <f t="shared" si="19"/>
        <v>0</v>
      </c>
      <c r="K151" s="89" t="s">
        <v>2079</v>
      </c>
      <c r="L151" s="88">
        <v>0.04</v>
      </c>
      <c r="M151" s="65"/>
      <c r="N151" s="66"/>
      <c r="O151" s="65"/>
      <c r="P151" s="65"/>
      <c r="Q151" s="65"/>
      <c r="R151" s="65"/>
      <c r="S151" s="65"/>
      <c r="T151" s="65"/>
      <c r="U151" s="65"/>
      <c r="X151" s="79" t="s">
        <v>10577</v>
      </c>
      <c r="Y151" s="80">
        <v>3285</v>
      </c>
      <c r="Z151" s="81">
        <f t="shared" si="20"/>
        <v>3285</v>
      </c>
      <c r="AA151" s="79" t="s">
        <v>2082</v>
      </c>
      <c r="AB151" s="82">
        <f t="shared" si="21"/>
        <v>3285</v>
      </c>
      <c r="AC151" s="79" t="s">
        <v>2081</v>
      </c>
      <c r="AD151" s="82">
        <f t="shared" si="22"/>
        <v>0</v>
      </c>
      <c r="AE151" s="79" t="s">
        <v>2080</v>
      </c>
      <c r="AF151" s="82">
        <f t="shared" si="23"/>
        <v>0</v>
      </c>
      <c r="AG151" s="79" t="s">
        <v>2079</v>
      </c>
      <c r="AH151" s="81">
        <v>131.4</v>
      </c>
      <c r="AI151" s="65"/>
      <c r="AJ151" s="65"/>
      <c r="AK151" s="65"/>
      <c r="AL151" s="65"/>
      <c r="AM151" s="65"/>
      <c r="AN151" s="65"/>
      <c r="AO151" s="65"/>
      <c r="AP151" s="65"/>
      <c r="AQ151" s="65"/>
    </row>
    <row r="152" spans="1:43" ht="18.75">
      <c r="A152" s="89" t="s">
        <v>2262</v>
      </c>
      <c r="B152" s="89">
        <v>1</v>
      </c>
      <c r="C152" s="89">
        <v>5</v>
      </c>
      <c r="D152" s="88">
        <f t="shared" si="16"/>
        <v>1</v>
      </c>
      <c r="E152" s="89" t="s">
        <v>2082</v>
      </c>
      <c r="F152" s="90">
        <f t="shared" si="17"/>
        <v>1</v>
      </c>
      <c r="G152" s="89" t="s">
        <v>2081</v>
      </c>
      <c r="H152" s="90">
        <f t="shared" si="18"/>
        <v>0</v>
      </c>
      <c r="I152" s="89" t="s">
        <v>2080</v>
      </c>
      <c r="J152" s="90">
        <f t="shared" si="19"/>
        <v>0</v>
      </c>
      <c r="K152" s="89" t="s">
        <v>2079</v>
      </c>
      <c r="L152" s="88">
        <v>0.04</v>
      </c>
      <c r="M152" s="65"/>
      <c r="N152" s="66"/>
      <c r="O152" s="65"/>
      <c r="P152" s="65"/>
      <c r="Q152" s="65"/>
      <c r="R152" s="65"/>
      <c r="S152" s="65"/>
      <c r="T152" s="65"/>
      <c r="U152" s="65"/>
      <c r="X152" s="79" t="s">
        <v>10578</v>
      </c>
      <c r="Y152" s="80">
        <v>156250.25</v>
      </c>
      <c r="Z152" s="81">
        <f t="shared" si="20"/>
        <v>156250.25</v>
      </c>
      <c r="AA152" s="79" t="s">
        <v>2082</v>
      </c>
      <c r="AB152" s="82">
        <f t="shared" si="21"/>
        <v>156250</v>
      </c>
      <c r="AC152" s="79" t="s">
        <v>2081</v>
      </c>
      <c r="AD152" s="82">
        <f t="shared" si="22"/>
        <v>2</v>
      </c>
      <c r="AE152" s="79" t="s">
        <v>2080</v>
      </c>
      <c r="AF152" s="82">
        <f t="shared" si="23"/>
        <v>5</v>
      </c>
      <c r="AG152" s="79" t="s">
        <v>2079</v>
      </c>
      <c r="AH152" s="81">
        <v>6250.01</v>
      </c>
      <c r="AI152" s="65"/>
      <c r="AJ152" s="65"/>
      <c r="AK152" s="65"/>
      <c r="AL152" s="65"/>
      <c r="AM152" s="65"/>
      <c r="AN152" s="65"/>
      <c r="AO152" s="65"/>
      <c r="AP152" s="65"/>
      <c r="AQ152" s="65"/>
    </row>
    <row r="153" spans="1:43" ht="18.75">
      <c r="A153" s="89" t="s">
        <v>2263</v>
      </c>
      <c r="B153" s="89">
        <v>0.5</v>
      </c>
      <c r="C153" s="89">
        <v>3</v>
      </c>
      <c r="D153" s="88">
        <f t="shared" si="16"/>
        <v>0.5</v>
      </c>
      <c r="E153" s="89" t="s">
        <v>2082</v>
      </c>
      <c r="F153" s="90">
        <f t="shared" si="17"/>
        <v>0</v>
      </c>
      <c r="G153" s="89" t="s">
        <v>2081</v>
      </c>
      <c r="H153" s="90">
        <f t="shared" si="18"/>
        <v>5</v>
      </c>
      <c r="I153" s="89" t="s">
        <v>2080</v>
      </c>
      <c r="J153" s="90">
        <f t="shared" si="19"/>
        <v>0</v>
      </c>
      <c r="K153" s="89" t="s">
        <v>2079</v>
      </c>
      <c r="L153" s="88">
        <v>0.02</v>
      </c>
      <c r="M153" s="65"/>
      <c r="N153" s="66"/>
      <c r="O153" s="65"/>
      <c r="P153" s="65"/>
      <c r="Q153" s="65"/>
      <c r="R153" s="65"/>
      <c r="S153" s="65"/>
      <c r="T153" s="65"/>
      <c r="U153" s="65"/>
      <c r="X153" s="79" t="s">
        <v>10579</v>
      </c>
      <c r="Y153" s="80">
        <v>112500.5</v>
      </c>
      <c r="Z153" s="81">
        <f t="shared" si="20"/>
        <v>112500.5</v>
      </c>
      <c r="AA153" s="79" t="s">
        <v>2082</v>
      </c>
      <c r="AB153" s="82">
        <f t="shared" si="21"/>
        <v>112500</v>
      </c>
      <c r="AC153" s="79" t="s">
        <v>2081</v>
      </c>
      <c r="AD153" s="82">
        <f t="shared" si="22"/>
        <v>5</v>
      </c>
      <c r="AE153" s="79" t="s">
        <v>2080</v>
      </c>
      <c r="AF153" s="82">
        <f t="shared" si="23"/>
        <v>0</v>
      </c>
      <c r="AG153" s="79" t="s">
        <v>2079</v>
      </c>
      <c r="AH153" s="81">
        <v>4500.0200000000004</v>
      </c>
      <c r="AI153" s="65"/>
      <c r="AJ153" s="65"/>
      <c r="AK153" s="65"/>
      <c r="AL153" s="65"/>
      <c r="AM153" s="65"/>
      <c r="AN153" s="65"/>
      <c r="AO153" s="65"/>
      <c r="AP153" s="65"/>
      <c r="AQ153" s="65"/>
    </row>
    <row r="154" spans="1:43" ht="18.75">
      <c r="A154" s="89" t="s">
        <v>2264</v>
      </c>
      <c r="B154" s="89">
        <v>0.5</v>
      </c>
      <c r="C154" s="89">
        <v>3</v>
      </c>
      <c r="D154" s="88">
        <f t="shared" si="16"/>
        <v>0.5</v>
      </c>
      <c r="E154" s="89" t="s">
        <v>2082</v>
      </c>
      <c r="F154" s="90">
        <f t="shared" si="17"/>
        <v>0</v>
      </c>
      <c r="G154" s="89" t="s">
        <v>2081</v>
      </c>
      <c r="H154" s="90">
        <f t="shared" si="18"/>
        <v>5</v>
      </c>
      <c r="I154" s="89" t="s">
        <v>2080</v>
      </c>
      <c r="J154" s="90">
        <f t="shared" si="19"/>
        <v>0</v>
      </c>
      <c r="K154" s="89" t="s">
        <v>2079</v>
      </c>
      <c r="L154" s="88">
        <v>0.02</v>
      </c>
      <c r="M154" s="65"/>
      <c r="N154" s="66"/>
      <c r="O154" s="65"/>
      <c r="P154" s="65"/>
      <c r="Q154" s="65"/>
      <c r="R154" s="65"/>
      <c r="S154" s="65"/>
      <c r="T154" s="65"/>
      <c r="U154" s="65"/>
      <c r="X154" s="79" t="s">
        <v>10580</v>
      </c>
      <c r="Y154" s="80">
        <v>39500</v>
      </c>
      <c r="Z154" s="81">
        <f t="shared" si="20"/>
        <v>39500</v>
      </c>
      <c r="AA154" s="79" t="s">
        <v>2082</v>
      </c>
      <c r="AB154" s="82">
        <f t="shared" si="21"/>
        <v>39500</v>
      </c>
      <c r="AC154" s="79" t="s">
        <v>2081</v>
      </c>
      <c r="AD154" s="82">
        <f t="shared" si="22"/>
        <v>0</v>
      </c>
      <c r="AE154" s="79" t="s">
        <v>2080</v>
      </c>
      <c r="AF154" s="82">
        <f t="shared" si="23"/>
        <v>0</v>
      </c>
      <c r="AG154" s="79" t="s">
        <v>2079</v>
      </c>
      <c r="AH154" s="81">
        <v>1580</v>
      </c>
      <c r="AI154" s="65"/>
      <c r="AJ154" s="65"/>
      <c r="AK154" s="65"/>
      <c r="AL154" s="65"/>
      <c r="AM154" s="65"/>
      <c r="AN154" s="65"/>
      <c r="AO154" s="65"/>
      <c r="AP154" s="65"/>
      <c r="AQ154" s="65"/>
    </row>
    <row r="155" spans="1:43" ht="18.75">
      <c r="A155" s="89" t="s">
        <v>2265</v>
      </c>
      <c r="B155" s="89">
        <v>0.5</v>
      </c>
      <c r="C155" s="89">
        <v>2</v>
      </c>
      <c r="D155" s="88">
        <f t="shared" si="16"/>
        <v>0.5</v>
      </c>
      <c r="E155" s="89" t="s">
        <v>2082</v>
      </c>
      <c r="F155" s="90">
        <f t="shared" si="17"/>
        <v>0</v>
      </c>
      <c r="G155" s="89" t="s">
        <v>2081</v>
      </c>
      <c r="H155" s="90">
        <f t="shared" si="18"/>
        <v>5</v>
      </c>
      <c r="I155" s="89" t="s">
        <v>2080</v>
      </c>
      <c r="J155" s="90">
        <f t="shared" si="19"/>
        <v>0</v>
      </c>
      <c r="K155" s="89" t="s">
        <v>2079</v>
      </c>
      <c r="L155" s="88">
        <v>0.02</v>
      </c>
      <c r="M155" s="65"/>
      <c r="N155" s="66"/>
      <c r="O155" s="65"/>
      <c r="P155" s="65"/>
      <c r="Q155" s="65"/>
      <c r="R155" s="65"/>
      <c r="S155" s="65"/>
      <c r="T155" s="65"/>
      <c r="U155" s="65"/>
      <c r="X155" s="79" t="s">
        <v>10581</v>
      </c>
      <c r="Y155" s="80">
        <v>19375.125</v>
      </c>
      <c r="Z155" s="81">
        <f t="shared" si="20"/>
        <v>19375.125</v>
      </c>
      <c r="AA155" s="79" t="s">
        <v>2082</v>
      </c>
      <c r="AB155" s="82">
        <f t="shared" si="21"/>
        <v>19375</v>
      </c>
      <c r="AC155" s="79" t="s">
        <v>2081</v>
      </c>
      <c r="AD155" s="82">
        <f t="shared" si="22"/>
        <v>1</v>
      </c>
      <c r="AE155" s="79" t="s">
        <v>2080</v>
      </c>
      <c r="AF155" s="82">
        <f t="shared" si="23"/>
        <v>2.5</v>
      </c>
      <c r="AG155" s="79" t="s">
        <v>2079</v>
      </c>
      <c r="AH155" s="81">
        <v>775</v>
      </c>
      <c r="AI155" s="65"/>
      <c r="AJ155" s="65"/>
      <c r="AK155" s="65"/>
      <c r="AL155" s="65"/>
      <c r="AM155" s="65"/>
      <c r="AN155" s="65"/>
      <c r="AO155" s="65"/>
      <c r="AP155" s="65"/>
      <c r="AQ155" s="65"/>
    </row>
    <row r="156" spans="1:43" ht="18.75">
      <c r="A156" s="89" t="s">
        <v>2266</v>
      </c>
      <c r="B156" s="89">
        <v>0.5</v>
      </c>
      <c r="C156" s="89">
        <v>1</v>
      </c>
      <c r="D156" s="88">
        <f t="shared" si="16"/>
        <v>0.5</v>
      </c>
      <c r="E156" s="89" t="s">
        <v>2082</v>
      </c>
      <c r="F156" s="90">
        <f t="shared" si="17"/>
        <v>0</v>
      </c>
      <c r="G156" s="89" t="s">
        <v>2081</v>
      </c>
      <c r="H156" s="90">
        <f t="shared" si="18"/>
        <v>5</v>
      </c>
      <c r="I156" s="89" t="s">
        <v>2080</v>
      </c>
      <c r="J156" s="90">
        <f t="shared" si="19"/>
        <v>0</v>
      </c>
      <c r="K156" s="89" t="s">
        <v>2079</v>
      </c>
      <c r="L156" s="88">
        <v>0.02</v>
      </c>
      <c r="M156" s="65"/>
      <c r="N156" s="66"/>
      <c r="O156" s="65"/>
      <c r="P156" s="65"/>
      <c r="Q156" s="65"/>
      <c r="R156" s="65"/>
      <c r="S156" s="65"/>
      <c r="T156" s="65"/>
      <c r="U156" s="65"/>
      <c r="X156" s="79" t="s">
        <v>10582</v>
      </c>
      <c r="Y156" s="80">
        <v>19625.125</v>
      </c>
      <c r="Z156" s="81">
        <f t="shared" si="20"/>
        <v>19625.125</v>
      </c>
      <c r="AA156" s="79" t="s">
        <v>2082</v>
      </c>
      <c r="AB156" s="82">
        <f t="shared" si="21"/>
        <v>19625</v>
      </c>
      <c r="AC156" s="79" t="s">
        <v>2081</v>
      </c>
      <c r="AD156" s="82">
        <f t="shared" si="22"/>
        <v>1</v>
      </c>
      <c r="AE156" s="79" t="s">
        <v>2080</v>
      </c>
      <c r="AF156" s="82">
        <f t="shared" si="23"/>
        <v>2.5</v>
      </c>
      <c r="AG156" s="79" t="s">
        <v>2079</v>
      </c>
      <c r="AH156" s="81">
        <v>785</v>
      </c>
      <c r="AI156" s="65"/>
      <c r="AJ156" s="65"/>
      <c r="AK156" s="65"/>
      <c r="AL156" s="65"/>
      <c r="AM156" s="65"/>
      <c r="AN156" s="65"/>
      <c r="AO156" s="65"/>
      <c r="AP156" s="65"/>
      <c r="AQ156" s="65"/>
    </row>
    <row r="157" spans="1:43" ht="18.75">
      <c r="A157" s="89" t="s">
        <v>2267</v>
      </c>
      <c r="B157" s="89">
        <v>0.5</v>
      </c>
      <c r="C157" s="89">
        <v>0</v>
      </c>
      <c r="D157" s="88">
        <f t="shared" si="16"/>
        <v>0.5</v>
      </c>
      <c r="E157" s="89" t="s">
        <v>2082</v>
      </c>
      <c r="F157" s="90">
        <f t="shared" si="17"/>
        <v>0</v>
      </c>
      <c r="G157" s="89" t="s">
        <v>2081</v>
      </c>
      <c r="H157" s="90">
        <f t="shared" si="18"/>
        <v>5</v>
      </c>
      <c r="I157" s="89" t="s">
        <v>2080</v>
      </c>
      <c r="J157" s="90">
        <f t="shared" si="19"/>
        <v>0</v>
      </c>
      <c r="K157" s="89" t="s">
        <v>2079</v>
      </c>
      <c r="L157" s="88">
        <v>0.02</v>
      </c>
      <c r="M157" s="65"/>
      <c r="N157" s="66"/>
      <c r="O157" s="65"/>
      <c r="P157" s="65"/>
      <c r="Q157" s="65"/>
      <c r="R157" s="65"/>
      <c r="S157" s="65"/>
      <c r="T157" s="65"/>
      <c r="U157" s="65"/>
      <c r="X157" s="79" t="s">
        <v>10583</v>
      </c>
      <c r="Y157" s="80">
        <v>21125.125</v>
      </c>
      <c r="Z157" s="81">
        <f t="shared" si="20"/>
        <v>21125.125</v>
      </c>
      <c r="AA157" s="79" t="s">
        <v>2082</v>
      </c>
      <c r="AB157" s="82">
        <f t="shared" si="21"/>
        <v>21125</v>
      </c>
      <c r="AC157" s="79" t="s">
        <v>2081</v>
      </c>
      <c r="AD157" s="82">
        <f t="shared" si="22"/>
        <v>1</v>
      </c>
      <c r="AE157" s="79" t="s">
        <v>2080</v>
      </c>
      <c r="AF157" s="82">
        <f t="shared" si="23"/>
        <v>2.5</v>
      </c>
      <c r="AG157" s="79" t="s">
        <v>2079</v>
      </c>
      <c r="AH157" s="81">
        <v>845</v>
      </c>
      <c r="AI157" s="65"/>
      <c r="AJ157" s="65"/>
      <c r="AK157" s="65"/>
      <c r="AL157" s="65"/>
      <c r="AM157" s="65"/>
      <c r="AN157" s="65"/>
      <c r="AO157" s="65"/>
      <c r="AP157" s="65"/>
      <c r="AQ157" s="65"/>
    </row>
    <row r="158" spans="1:43" ht="18.75">
      <c r="A158" s="89" t="s">
        <v>2268</v>
      </c>
      <c r="B158" s="89">
        <v>0.5</v>
      </c>
      <c r="C158" s="89">
        <v>1</v>
      </c>
      <c r="D158" s="88">
        <f t="shared" si="16"/>
        <v>0.5</v>
      </c>
      <c r="E158" s="89" t="s">
        <v>2082</v>
      </c>
      <c r="F158" s="90">
        <f t="shared" si="17"/>
        <v>0</v>
      </c>
      <c r="G158" s="89" t="s">
        <v>2081</v>
      </c>
      <c r="H158" s="90">
        <f t="shared" si="18"/>
        <v>5</v>
      </c>
      <c r="I158" s="89" t="s">
        <v>2080</v>
      </c>
      <c r="J158" s="90">
        <f t="shared" si="19"/>
        <v>0</v>
      </c>
      <c r="K158" s="89" t="s">
        <v>2079</v>
      </c>
      <c r="L158" s="88">
        <v>0.02</v>
      </c>
      <c r="M158" s="65"/>
      <c r="N158" s="66"/>
      <c r="O158" s="65"/>
      <c r="P158" s="65"/>
      <c r="Q158" s="65"/>
      <c r="R158" s="65"/>
      <c r="S158" s="65"/>
      <c r="T158" s="65"/>
      <c r="U158" s="65"/>
      <c r="X158" s="79" t="s">
        <v>10584</v>
      </c>
      <c r="Y158" s="80">
        <v>20375.125</v>
      </c>
      <c r="Z158" s="81">
        <f t="shared" si="20"/>
        <v>20375.125</v>
      </c>
      <c r="AA158" s="79" t="s">
        <v>2082</v>
      </c>
      <c r="AB158" s="82">
        <f t="shared" si="21"/>
        <v>20375</v>
      </c>
      <c r="AC158" s="79" t="s">
        <v>2081</v>
      </c>
      <c r="AD158" s="82">
        <f t="shared" si="22"/>
        <v>1</v>
      </c>
      <c r="AE158" s="79" t="s">
        <v>2080</v>
      </c>
      <c r="AF158" s="82">
        <f t="shared" si="23"/>
        <v>2.5</v>
      </c>
      <c r="AG158" s="79" t="s">
        <v>2079</v>
      </c>
      <c r="AH158" s="81">
        <v>815</v>
      </c>
      <c r="AI158" s="65"/>
      <c r="AJ158" s="65"/>
      <c r="AK158" s="65"/>
      <c r="AL158" s="65"/>
      <c r="AM158" s="65"/>
      <c r="AN158" s="65"/>
      <c r="AO158" s="65"/>
      <c r="AP158" s="65"/>
      <c r="AQ158" s="65"/>
    </row>
    <row r="159" spans="1:43" ht="18.75">
      <c r="A159" s="89" t="s">
        <v>2269</v>
      </c>
      <c r="B159" s="89">
        <v>0.5</v>
      </c>
      <c r="C159" s="89">
        <v>2</v>
      </c>
      <c r="D159" s="88">
        <f t="shared" si="16"/>
        <v>0.5</v>
      </c>
      <c r="E159" s="89" t="s">
        <v>2082</v>
      </c>
      <c r="F159" s="90">
        <f t="shared" si="17"/>
        <v>0</v>
      </c>
      <c r="G159" s="89" t="s">
        <v>2081</v>
      </c>
      <c r="H159" s="90">
        <f t="shared" si="18"/>
        <v>5</v>
      </c>
      <c r="I159" s="89" t="s">
        <v>2080</v>
      </c>
      <c r="J159" s="90">
        <f t="shared" si="19"/>
        <v>0</v>
      </c>
      <c r="K159" s="89" t="s">
        <v>2079</v>
      </c>
      <c r="L159" s="88">
        <v>0.02</v>
      </c>
      <c r="M159" s="65"/>
      <c r="N159" s="66"/>
      <c r="O159" s="65"/>
      <c r="P159" s="65"/>
      <c r="Q159" s="65"/>
      <c r="R159" s="65"/>
      <c r="S159" s="65"/>
      <c r="T159" s="65"/>
      <c r="U159" s="65"/>
      <c r="X159" s="79" t="s">
        <v>10585</v>
      </c>
      <c r="Y159" s="80">
        <v>20375.125</v>
      </c>
      <c r="Z159" s="81">
        <f t="shared" si="20"/>
        <v>20375.125</v>
      </c>
      <c r="AA159" s="79" t="s">
        <v>2082</v>
      </c>
      <c r="AB159" s="82">
        <f t="shared" si="21"/>
        <v>20375</v>
      </c>
      <c r="AC159" s="79" t="s">
        <v>2081</v>
      </c>
      <c r="AD159" s="82">
        <f t="shared" si="22"/>
        <v>1</v>
      </c>
      <c r="AE159" s="79" t="s">
        <v>2080</v>
      </c>
      <c r="AF159" s="82">
        <f t="shared" si="23"/>
        <v>2.5</v>
      </c>
      <c r="AG159" s="79" t="s">
        <v>2079</v>
      </c>
      <c r="AH159" s="81">
        <v>815</v>
      </c>
      <c r="AI159" s="65"/>
      <c r="AJ159" s="65"/>
      <c r="AK159" s="65"/>
      <c r="AL159" s="65"/>
      <c r="AM159" s="65"/>
      <c r="AN159" s="65"/>
      <c r="AO159" s="65"/>
      <c r="AP159" s="65"/>
      <c r="AQ159" s="65"/>
    </row>
    <row r="160" spans="1:43" ht="18.75">
      <c r="A160" s="89" t="s">
        <v>2270</v>
      </c>
      <c r="B160" s="89">
        <v>0.5</v>
      </c>
      <c r="C160" s="89">
        <v>0</v>
      </c>
      <c r="D160" s="88">
        <f t="shared" si="16"/>
        <v>0.5</v>
      </c>
      <c r="E160" s="89" t="s">
        <v>2082</v>
      </c>
      <c r="F160" s="90">
        <f t="shared" si="17"/>
        <v>0</v>
      </c>
      <c r="G160" s="89" t="s">
        <v>2081</v>
      </c>
      <c r="H160" s="90">
        <f t="shared" si="18"/>
        <v>5</v>
      </c>
      <c r="I160" s="89" t="s">
        <v>2080</v>
      </c>
      <c r="J160" s="90">
        <f t="shared" si="19"/>
        <v>0</v>
      </c>
      <c r="K160" s="89" t="s">
        <v>2079</v>
      </c>
      <c r="L160" s="88">
        <v>0.02</v>
      </c>
      <c r="M160" s="65"/>
      <c r="N160" s="66"/>
      <c r="O160" s="65"/>
      <c r="P160" s="65"/>
      <c r="Q160" s="65"/>
      <c r="R160" s="65"/>
      <c r="S160" s="65"/>
      <c r="T160" s="65"/>
      <c r="U160" s="65"/>
      <c r="X160" s="79" t="s">
        <v>10586</v>
      </c>
      <c r="Y160" s="80">
        <v>6875.25</v>
      </c>
      <c r="Z160" s="81">
        <f t="shared" si="20"/>
        <v>6875.25</v>
      </c>
      <c r="AA160" s="79" t="s">
        <v>2082</v>
      </c>
      <c r="AB160" s="82">
        <f t="shared" si="21"/>
        <v>6875</v>
      </c>
      <c r="AC160" s="79" t="s">
        <v>2081</v>
      </c>
      <c r="AD160" s="82">
        <f t="shared" si="22"/>
        <v>2</v>
      </c>
      <c r="AE160" s="79" t="s">
        <v>2080</v>
      </c>
      <c r="AF160" s="82">
        <f t="shared" si="23"/>
        <v>5</v>
      </c>
      <c r="AG160" s="79" t="s">
        <v>2079</v>
      </c>
      <c r="AH160" s="81">
        <v>275.01</v>
      </c>
      <c r="AI160" s="65"/>
      <c r="AJ160" s="65"/>
      <c r="AK160" s="65"/>
      <c r="AL160" s="65"/>
      <c r="AM160" s="65"/>
      <c r="AN160" s="65"/>
      <c r="AO160" s="65"/>
      <c r="AP160" s="65"/>
      <c r="AQ160" s="65"/>
    </row>
    <row r="161" spans="1:43" ht="18.75">
      <c r="A161" s="89" t="s">
        <v>2271</v>
      </c>
      <c r="B161" s="89">
        <v>0.5</v>
      </c>
      <c r="C161" s="89">
        <v>1</v>
      </c>
      <c r="D161" s="88">
        <f t="shared" si="16"/>
        <v>0.5</v>
      </c>
      <c r="E161" s="89" t="s">
        <v>2082</v>
      </c>
      <c r="F161" s="90">
        <f t="shared" si="17"/>
        <v>0</v>
      </c>
      <c r="G161" s="89" t="s">
        <v>2081</v>
      </c>
      <c r="H161" s="90">
        <f t="shared" si="18"/>
        <v>5</v>
      </c>
      <c r="I161" s="89" t="s">
        <v>2080</v>
      </c>
      <c r="J161" s="90">
        <f t="shared" si="19"/>
        <v>0</v>
      </c>
      <c r="K161" s="89" t="s">
        <v>2079</v>
      </c>
      <c r="L161" s="88">
        <v>0.02</v>
      </c>
      <c r="M161" s="65"/>
      <c r="N161" s="66"/>
      <c r="O161" s="65"/>
      <c r="P161" s="65"/>
      <c r="Q161" s="65"/>
      <c r="R161" s="65"/>
      <c r="S161" s="65"/>
      <c r="T161" s="65"/>
      <c r="U161" s="65"/>
      <c r="X161" s="79" t="s">
        <v>10587</v>
      </c>
      <c r="Y161" s="80">
        <v>18625.125</v>
      </c>
      <c r="Z161" s="81">
        <f t="shared" si="20"/>
        <v>18625.125</v>
      </c>
      <c r="AA161" s="79" t="s">
        <v>2082</v>
      </c>
      <c r="AB161" s="82">
        <f t="shared" si="21"/>
        <v>18625</v>
      </c>
      <c r="AC161" s="79" t="s">
        <v>2081</v>
      </c>
      <c r="AD161" s="82">
        <f t="shared" si="22"/>
        <v>1</v>
      </c>
      <c r="AE161" s="79" t="s">
        <v>2080</v>
      </c>
      <c r="AF161" s="82">
        <f t="shared" si="23"/>
        <v>2.5</v>
      </c>
      <c r="AG161" s="79" t="s">
        <v>2079</v>
      </c>
      <c r="AH161" s="81">
        <v>745</v>
      </c>
      <c r="AI161" s="65"/>
      <c r="AJ161" s="65"/>
      <c r="AK161" s="65"/>
      <c r="AL161" s="65"/>
      <c r="AM161" s="65"/>
      <c r="AN161" s="65"/>
      <c r="AO161" s="65"/>
      <c r="AP161" s="65"/>
      <c r="AQ161" s="65"/>
    </row>
    <row r="162" spans="1:43" ht="18.75">
      <c r="A162" s="89" t="s">
        <v>2272</v>
      </c>
      <c r="B162" s="89">
        <v>0.4</v>
      </c>
      <c r="C162" s="89">
        <v>2</v>
      </c>
      <c r="D162" s="88">
        <f t="shared" si="16"/>
        <v>0.4</v>
      </c>
      <c r="E162" s="89" t="s">
        <v>2082</v>
      </c>
      <c r="F162" s="90">
        <f t="shared" si="17"/>
        <v>0</v>
      </c>
      <c r="G162" s="89" t="s">
        <v>2081</v>
      </c>
      <c r="H162" s="90">
        <f t="shared" si="18"/>
        <v>4</v>
      </c>
      <c r="I162" s="89" t="s">
        <v>2080</v>
      </c>
      <c r="J162" s="90">
        <f t="shared" si="19"/>
        <v>0</v>
      </c>
      <c r="K162" s="89" t="s">
        <v>2079</v>
      </c>
      <c r="L162" s="88">
        <v>0.01</v>
      </c>
      <c r="M162" s="65"/>
      <c r="N162" s="66"/>
      <c r="O162" s="65"/>
      <c r="P162" s="65"/>
      <c r="Q162" s="65"/>
      <c r="R162" s="65"/>
      <c r="S162" s="65"/>
      <c r="T162" s="65"/>
      <c r="U162" s="65"/>
      <c r="X162" s="79" t="s">
        <v>10588</v>
      </c>
      <c r="Y162" s="80">
        <v>112500.5</v>
      </c>
      <c r="Z162" s="81">
        <f t="shared" si="20"/>
        <v>112500.5</v>
      </c>
      <c r="AA162" s="79" t="s">
        <v>2082</v>
      </c>
      <c r="AB162" s="82">
        <f t="shared" si="21"/>
        <v>112500</v>
      </c>
      <c r="AC162" s="79" t="s">
        <v>2081</v>
      </c>
      <c r="AD162" s="82">
        <f t="shared" si="22"/>
        <v>5</v>
      </c>
      <c r="AE162" s="79" t="s">
        <v>2080</v>
      </c>
      <c r="AF162" s="82">
        <f t="shared" si="23"/>
        <v>0</v>
      </c>
      <c r="AG162" s="79" t="s">
        <v>2079</v>
      </c>
      <c r="AH162" s="81">
        <v>4500.0200000000004</v>
      </c>
      <c r="AI162" s="65"/>
      <c r="AJ162" s="65"/>
      <c r="AK162" s="65"/>
      <c r="AL162" s="65"/>
      <c r="AM162" s="65"/>
      <c r="AN162" s="65"/>
      <c r="AO162" s="65"/>
      <c r="AP162" s="65"/>
      <c r="AQ162" s="65"/>
    </row>
    <row r="163" spans="1:43" ht="18.75">
      <c r="A163" s="89" t="s">
        <v>2273</v>
      </c>
      <c r="B163" s="89">
        <v>0.2</v>
      </c>
      <c r="C163" s="89">
        <v>10</v>
      </c>
      <c r="D163" s="88">
        <f t="shared" si="16"/>
        <v>0.2</v>
      </c>
      <c r="E163" s="89" t="s">
        <v>2082</v>
      </c>
      <c r="F163" s="90">
        <f t="shared" si="17"/>
        <v>0</v>
      </c>
      <c r="G163" s="89" t="s">
        <v>2081</v>
      </c>
      <c r="H163" s="90">
        <f t="shared" si="18"/>
        <v>2</v>
      </c>
      <c r="I163" s="89" t="s">
        <v>2080</v>
      </c>
      <c r="J163" s="90">
        <f t="shared" si="19"/>
        <v>0</v>
      </c>
      <c r="K163" s="89" t="s">
        <v>2079</v>
      </c>
      <c r="L163" s="88">
        <v>0</v>
      </c>
      <c r="M163" s="65"/>
      <c r="N163" s="66"/>
      <c r="O163" s="65"/>
      <c r="P163" s="65"/>
      <c r="Q163" s="65"/>
      <c r="R163" s="65"/>
      <c r="S163" s="65"/>
      <c r="T163" s="65"/>
      <c r="U163" s="65"/>
      <c r="X163" s="79" t="s">
        <v>10588</v>
      </c>
      <c r="Y163" s="80">
        <v>112500.5</v>
      </c>
      <c r="Z163" s="81">
        <f t="shared" si="20"/>
        <v>112500.5</v>
      </c>
      <c r="AA163" s="79" t="s">
        <v>2082</v>
      </c>
      <c r="AB163" s="82">
        <f t="shared" si="21"/>
        <v>112500</v>
      </c>
      <c r="AC163" s="79" t="s">
        <v>2081</v>
      </c>
      <c r="AD163" s="82">
        <f t="shared" si="22"/>
        <v>5</v>
      </c>
      <c r="AE163" s="79" t="s">
        <v>2080</v>
      </c>
      <c r="AF163" s="82">
        <f t="shared" si="23"/>
        <v>0</v>
      </c>
      <c r="AG163" s="79" t="s">
        <v>2079</v>
      </c>
      <c r="AH163" s="81">
        <v>4500.0200000000004</v>
      </c>
      <c r="AI163" s="65"/>
      <c r="AJ163" s="65"/>
      <c r="AK163" s="65"/>
      <c r="AL163" s="65"/>
      <c r="AM163" s="65"/>
      <c r="AN163" s="65"/>
      <c r="AO163" s="65"/>
      <c r="AP163" s="65"/>
      <c r="AQ163" s="65"/>
    </row>
    <row r="164" spans="1:43" ht="18.75">
      <c r="A164" s="89" t="s">
        <v>2274</v>
      </c>
      <c r="B164" s="89">
        <v>0.2</v>
      </c>
      <c r="C164" s="89">
        <v>1</v>
      </c>
      <c r="D164" s="88">
        <f t="shared" si="16"/>
        <v>0.2</v>
      </c>
      <c r="E164" s="89" t="s">
        <v>2082</v>
      </c>
      <c r="F164" s="90">
        <f t="shared" si="17"/>
        <v>0</v>
      </c>
      <c r="G164" s="89" t="s">
        <v>2081</v>
      </c>
      <c r="H164" s="90">
        <f t="shared" si="18"/>
        <v>2</v>
      </c>
      <c r="I164" s="89" t="s">
        <v>2080</v>
      </c>
      <c r="J164" s="90">
        <f t="shared" si="19"/>
        <v>0</v>
      </c>
      <c r="K164" s="89" t="s">
        <v>2079</v>
      </c>
      <c r="L164" s="88">
        <v>0</v>
      </c>
      <c r="M164" s="65"/>
      <c r="N164" s="66"/>
      <c r="O164" s="65"/>
      <c r="P164" s="65"/>
      <c r="Q164" s="65"/>
      <c r="R164" s="65"/>
      <c r="S164" s="65"/>
      <c r="T164" s="65"/>
      <c r="U164" s="65"/>
      <c r="X164" s="79" t="s">
        <v>7138</v>
      </c>
      <c r="Y164" s="80">
        <v>2900</v>
      </c>
      <c r="Z164" s="81">
        <f t="shared" si="20"/>
        <v>2900</v>
      </c>
      <c r="AA164" s="79" t="s">
        <v>2082</v>
      </c>
      <c r="AB164" s="82">
        <f t="shared" si="21"/>
        <v>2900</v>
      </c>
      <c r="AC164" s="79" t="s">
        <v>2081</v>
      </c>
      <c r="AD164" s="82">
        <f t="shared" si="22"/>
        <v>0</v>
      </c>
      <c r="AE164" s="79" t="s">
        <v>2080</v>
      </c>
      <c r="AF164" s="82">
        <f t="shared" si="23"/>
        <v>0</v>
      </c>
      <c r="AG164" s="79" t="s">
        <v>2079</v>
      </c>
      <c r="AH164" s="81">
        <v>116</v>
      </c>
      <c r="AI164" s="65"/>
      <c r="AJ164" s="65"/>
      <c r="AK164" s="65"/>
      <c r="AL164" s="65"/>
      <c r="AM164" s="65"/>
      <c r="AN164" s="65"/>
      <c r="AO164" s="65"/>
      <c r="AP164" s="65"/>
      <c r="AQ164" s="65"/>
    </row>
    <row r="165" spans="1:43" ht="18.75">
      <c r="A165" s="89" t="s">
        <v>2275</v>
      </c>
      <c r="B165" s="89">
        <v>0.2</v>
      </c>
      <c r="C165" s="89">
        <v>0</v>
      </c>
      <c r="D165" s="88">
        <f t="shared" si="16"/>
        <v>0.2</v>
      </c>
      <c r="E165" s="89" t="s">
        <v>2082</v>
      </c>
      <c r="F165" s="90">
        <f t="shared" si="17"/>
        <v>0</v>
      </c>
      <c r="G165" s="89" t="s">
        <v>2081</v>
      </c>
      <c r="H165" s="90">
        <f t="shared" si="18"/>
        <v>2</v>
      </c>
      <c r="I165" s="89" t="s">
        <v>2080</v>
      </c>
      <c r="J165" s="90">
        <f t="shared" si="19"/>
        <v>0</v>
      </c>
      <c r="K165" s="89" t="s">
        <v>2079</v>
      </c>
      <c r="L165" s="88">
        <v>0</v>
      </c>
      <c r="M165" s="65"/>
      <c r="N165" s="66"/>
      <c r="O165" s="65"/>
      <c r="P165" s="65"/>
      <c r="Q165" s="65"/>
      <c r="R165" s="65"/>
      <c r="S165" s="65"/>
      <c r="T165" s="65"/>
      <c r="U165" s="65"/>
      <c r="X165" s="79" t="s">
        <v>10589</v>
      </c>
      <c r="Y165" s="80">
        <v>19125.125</v>
      </c>
      <c r="Z165" s="81">
        <f t="shared" si="20"/>
        <v>19125.125</v>
      </c>
      <c r="AA165" s="79" t="s">
        <v>2082</v>
      </c>
      <c r="AB165" s="82">
        <f t="shared" si="21"/>
        <v>19125</v>
      </c>
      <c r="AC165" s="79" t="s">
        <v>2081</v>
      </c>
      <c r="AD165" s="82">
        <f t="shared" si="22"/>
        <v>1</v>
      </c>
      <c r="AE165" s="79" t="s">
        <v>2080</v>
      </c>
      <c r="AF165" s="82">
        <f t="shared" si="23"/>
        <v>2.5</v>
      </c>
      <c r="AG165" s="79" t="s">
        <v>2079</v>
      </c>
      <c r="AH165" s="81">
        <v>765</v>
      </c>
      <c r="AI165" s="65"/>
      <c r="AJ165" s="65"/>
      <c r="AK165" s="65"/>
      <c r="AL165" s="65"/>
      <c r="AM165" s="65"/>
      <c r="AN165" s="65"/>
      <c r="AO165" s="65"/>
      <c r="AP165" s="65"/>
      <c r="AQ165" s="65"/>
    </row>
    <row r="166" spans="1:43" ht="18.75">
      <c r="A166" s="89" t="s">
        <v>2276</v>
      </c>
      <c r="B166" s="89">
        <v>0.2</v>
      </c>
      <c r="C166" s="89">
        <v>4</v>
      </c>
      <c r="D166" s="88">
        <f t="shared" si="16"/>
        <v>0.2</v>
      </c>
      <c r="E166" s="89" t="s">
        <v>2082</v>
      </c>
      <c r="F166" s="90">
        <f t="shared" si="17"/>
        <v>0</v>
      </c>
      <c r="G166" s="89" t="s">
        <v>2081</v>
      </c>
      <c r="H166" s="90">
        <f t="shared" si="18"/>
        <v>2</v>
      </c>
      <c r="I166" s="89" t="s">
        <v>2080</v>
      </c>
      <c r="J166" s="90">
        <f t="shared" si="19"/>
        <v>0</v>
      </c>
      <c r="K166" s="89" t="s">
        <v>2079</v>
      </c>
      <c r="L166" s="88">
        <v>0</v>
      </c>
      <c r="M166" s="65"/>
      <c r="N166" s="66"/>
      <c r="O166" s="65"/>
      <c r="P166" s="65"/>
      <c r="Q166" s="65"/>
      <c r="R166" s="65"/>
      <c r="S166" s="65"/>
      <c r="T166" s="65"/>
      <c r="U166" s="65"/>
      <c r="X166" s="79" t="s">
        <v>10590</v>
      </c>
      <c r="Y166" s="80">
        <v>5687.625</v>
      </c>
      <c r="Z166" s="81">
        <f t="shared" si="20"/>
        <v>5687.625</v>
      </c>
      <c r="AA166" s="79" t="s">
        <v>2082</v>
      </c>
      <c r="AB166" s="82">
        <f t="shared" si="21"/>
        <v>5687</v>
      </c>
      <c r="AC166" s="79" t="s">
        <v>2081</v>
      </c>
      <c r="AD166" s="82">
        <f t="shared" si="22"/>
        <v>6</v>
      </c>
      <c r="AE166" s="79" t="s">
        <v>2080</v>
      </c>
      <c r="AF166" s="82">
        <f t="shared" si="23"/>
        <v>2.5</v>
      </c>
      <c r="AG166" s="79" t="s">
        <v>2079</v>
      </c>
      <c r="AH166" s="81">
        <v>227.5</v>
      </c>
      <c r="AI166" s="65"/>
      <c r="AJ166" s="65"/>
      <c r="AK166" s="65"/>
      <c r="AL166" s="65"/>
      <c r="AM166" s="65"/>
      <c r="AN166" s="65"/>
      <c r="AO166" s="65"/>
      <c r="AP166" s="65"/>
      <c r="AQ166" s="65"/>
    </row>
    <row r="167" spans="1:43" ht="18.75">
      <c r="A167" s="89" t="s">
        <v>2277</v>
      </c>
      <c r="B167" s="89">
        <v>0.2</v>
      </c>
      <c r="C167" s="89">
        <v>5</v>
      </c>
      <c r="D167" s="88">
        <f t="shared" si="16"/>
        <v>0.2</v>
      </c>
      <c r="E167" s="89" t="s">
        <v>2082</v>
      </c>
      <c r="F167" s="90">
        <f t="shared" si="17"/>
        <v>0</v>
      </c>
      <c r="G167" s="89" t="s">
        <v>2081</v>
      </c>
      <c r="H167" s="90">
        <f t="shared" si="18"/>
        <v>2</v>
      </c>
      <c r="I167" s="89" t="s">
        <v>2080</v>
      </c>
      <c r="J167" s="90">
        <f t="shared" si="19"/>
        <v>0</v>
      </c>
      <c r="K167" s="89" t="s">
        <v>2079</v>
      </c>
      <c r="L167" s="88">
        <v>0</v>
      </c>
      <c r="M167" s="65"/>
      <c r="N167" s="66"/>
      <c r="O167" s="65"/>
      <c r="P167" s="65"/>
      <c r="Q167" s="65"/>
      <c r="R167" s="65"/>
      <c r="S167" s="65"/>
      <c r="T167" s="65"/>
      <c r="U167" s="65"/>
      <c r="X167" s="79" t="s">
        <v>10590</v>
      </c>
      <c r="Y167" s="80">
        <v>5687.625</v>
      </c>
      <c r="Z167" s="81">
        <f t="shared" si="20"/>
        <v>5687.625</v>
      </c>
      <c r="AA167" s="79" t="s">
        <v>2082</v>
      </c>
      <c r="AB167" s="82">
        <f t="shared" si="21"/>
        <v>5687</v>
      </c>
      <c r="AC167" s="79" t="s">
        <v>2081</v>
      </c>
      <c r="AD167" s="82">
        <f t="shared" si="22"/>
        <v>6</v>
      </c>
      <c r="AE167" s="79" t="s">
        <v>2080</v>
      </c>
      <c r="AF167" s="82">
        <f t="shared" si="23"/>
        <v>2.5</v>
      </c>
      <c r="AG167" s="79" t="s">
        <v>2079</v>
      </c>
      <c r="AH167" s="81">
        <v>227.5</v>
      </c>
      <c r="AI167" s="65"/>
      <c r="AJ167" s="65"/>
      <c r="AK167" s="65"/>
      <c r="AL167" s="65"/>
      <c r="AM167" s="65"/>
      <c r="AN167" s="65"/>
      <c r="AO167" s="65"/>
      <c r="AP167" s="65"/>
      <c r="AQ167" s="65"/>
    </row>
    <row r="168" spans="1:43" ht="18.75">
      <c r="A168" s="89" t="s">
        <v>2278</v>
      </c>
      <c r="B168" s="89">
        <v>0.1</v>
      </c>
      <c r="C168" s="89">
        <v>2</v>
      </c>
      <c r="D168" s="88">
        <f t="shared" si="16"/>
        <v>0.1</v>
      </c>
      <c r="E168" s="89" t="s">
        <v>2082</v>
      </c>
      <c r="F168" s="90">
        <f t="shared" si="17"/>
        <v>0</v>
      </c>
      <c r="G168" s="89" t="s">
        <v>2081</v>
      </c>
      <c r="H168" s="90">
        <f t="shared" si="18"/>
        <v>1</v>
      </c>
      <c r="I168" s="89" t="s">
        <v>2080</v>
      </c>
      <c r="J168" s="90">
        <f t="shared" si="19"/>
        <v>0</v>
      </c>
      <c r="K168" s="89" t="s">
        <v>2079</v>
      </c>
      <c r="L168" s="88">
        <v>0</v>
      </c>
      <c r="M168" s="65"/>
      <c r="N168" s="66"/>
      <c r="O168" s="65"/>
      <c r="P168" s="65"/>
      <c r="Q168" s="65"/>
      <c r="R168" s="65"/>
      <c r="S168" s="65"/>
      <c r="T168" s="65"/>
      <c r="U168" s="65"/>
      <c r="X168" s="79" t="s">
        <v>10591</v>
      </c>
      <c r="Y168" s="80">
        <v>6875.25</v>
      </c>
      <c r="Z168" s="81">
        <f t="shared" si="20"/>
        <v>6875.25</v>
      </c>
      <c r="AA168" s="79" t="s">
        <v>2082</v>
      </c>
      <c r="AB168" s="82">
        <f t="shared" si="21"/>
        <v>6875</v>
      </c>
      <c r="AC168" s="79" t="s">
        <v>2081</v>
      </c>
      <c r="AD168" s="82">
        <f t="shared" si="22"/>
        <v>2</v>
      </c>
      <c r="AE168" s="79" t="s">
        <v>2080</v>
      </c>
      <c r="AF168" s="82">
        <f t="shared" si="23"/>
        <v>5</v>
      </c>
      <c r="AG168" s="79" t="s">
        <v>2079</v>
      </c>
      <c r="AH168" s="81">
        <v>275.01</v>
      </c>
      <c r="AI168" s="65"/>
      <c r="AJ168" s="65"/>
      <c r="AK168" s="65"/>
      <c r="AL168" s="65"/>
      <c r="AM168" s="65"/>
      <c r="AN168" s="65"/>
      <c r="AO168" s="65"/>
      <c r="AP168" s="65"/>
      <c r="AQ168" s="65"/>
    </row>
    <row r="169" spans="1:43" ht="18.75">
      <c r="A169" s="89" t="s">
        <v>2279</v>
      </c>
      <c r="B169" s="89">
        <v>0.1</v>
      </c>
      <c r="C169" s="89">
        <v>0</v>
      </c>
      <c r="D169" s="88">
        <f t="shared" si="16"/>
        <v>0.1</v>
      </c>
      <c r="E169" s="89" t="s">
        <v>2082</v>
      </c>
      <c r="F169" s="90">
        <f t="shared" si="17"/>
        <v>0</v>
      </c>
      <c r="G169" s="89" t="s">
        <v>2081</v>
      </c>
      <c r="H169" s="90">
        <f t="shared" si="18"/>
        <v>1</v>
      </c>
      <c r="I169" s="89" t="s">
        <v>2080</v>
      </c>
      <c r="J169" s="90">
        <f t="shared" si="19"/>
        <v>0</v>
      </c>
      <c r="K169" s="89" t="s">
        <v>2079</v>
      </c>
      <c r="L169" s="88">
        <v>0</v>
      </c>
      <c r="M169" s="65"/>
      <c r="N169" s="66"/>
      <c r="O169" s="65"/>
      <c r="P169" s="65"/>
      <c r="Q169" s="65"/>
      <c r="R169" s="65"/>
      <c r="S169" s="65"/>
      <c r="T169" s="65"/>
      <c r="U169" s="65"/>
      <c r="X169" s="79" t="s">
        <v>7238</v>
      </c>
      <c r="Y169" s="80">
        <v>9500</v>
      </c>
      <c r="Z169" s="81">
        <f t="shared" si="20"/>
        <v>9500</v>
      </c>
      <c r="AA169" s="79" t="s">
        <v>2082</v>
      </c>
      <c r="AB169" s="82">
        <f t="shared" si="21"/>
        <v>9500</v>
      </c>
      <c r="AC169" s="79" t="s">
        <v>2081</v>
      </c>
      <c r="AD169" s="82">
        <f t="shared" si="22"/>
        <v>0</v>
      </c>
      <c r="AE169" s="79" t="s">
        <v>2080</v>
      </c>
      <c r="AF169" s="82">
        <f t="shared" si="23"/>
        <v>0</v>
      </c>
      <c r="AG169" s="79" t="s">
        <v>2079</v>
      </c>
      <c r="AH169" s="81">
        <v>380</v>
      </c>
      <c r="AI169" s="65"/>
      <c r="AJ169" s="65"/>
      <c r="AK169" s="65"/>
      <c r="AL169" s="65"/>
      <c r="AM169" s="65"/>
      <c r="AN169" s="65"/>
      <c r="AO169" s="65"/>
      <c r="AP169" s="65"/>
      <c r="AQ169" s="65"/>
    </row>
    <row r="170" spans="1:43" ht="18.75">
      <c r="A170" s="89" t="s">
        <v>2280</v>
      </c>
      <c r="B170" s="89">
        <v>0.1</v>
      </c>
      <c r="C170" s="89">
        <v>25</v>
      </c>
      <c r="D170" s="88">
        <f t="shared" si="16"/>
        <v>0.1</v>
      </c>
      <c r="E170" s="89" t="s">
        <v>2082</v>
      </c>
      <c r="F170" s="90">
        <f t="shared" si="17"/>
        <v>0</v>
      </c>
      <c r="G170" s="89" t="s">
        <v>2081</v>
      </c>
      <c r="H170" s="90">
        <f t="shared" si="18"/>
        <v>1</v>
      </c>
      <c r="I170" s="89" t="s">
        <v>2080</v>
      </c>
      <c r="J170" s="90">
        <f t="shared" si="19"/>
        <v>0</v>
      </c>
      <c r="K170" s="89" t="s">
        <v>2079</v>
      </c>
      <c r="L170" s="88">
        <v>0</v>
      </c>
      <c r="M170" s="65"/>
      <c r="N170" s="66"/>
      <c r="O170" s="65"/>
      <c r="P170" s="65"/>
      <c r="Q170" s="65"/>
      <c r="R170" s="65"/>
      <c r="S170" s="65"/>
      <c r="T170" s="65"/>
      <c r="U170" s="65"/>
      <c r="X170" s="79" t="s">
        <v>10592</v>
      </c>
      <c r="Y170" s="80">
        <v>6500</v>
      </c>
      <c r="Z170" s="81">
        <f t="shared" si="20"/>
        <v>6500</v>
      </c>
      <c r="AA170" s="79" t="s">
        <v>2082</v>
      </c>
      <c r="AB170" s="82">
        <f t="shared" si="21"/>
        <v>6500</v>
      </c>
      <c r="AC170" s="79" t="s">
        <v>2081</v>
      </c>
      <c r="AD170" s="82">
        <f t="shared" si="22"/>
        <v>0</v>
      </c>
      <c r="AE170" s="79" t="s">
        <v>2080</v>
      </c>
      <c r="AF170" s="82">
        <f t="shared" si="23"/>
        <v>0</v>
      </c>
      <c r="AG170" s="79" t="s">
        <v>2079</v>
      </c>
      <c r="AH170" s="81">
        <v>260</v>
      </c>
      <c r="AI170" s="65"/>
      <c r="AJ170" s="65"/>
      <c r="AK170" s="65"/>
      <c r="AL170" s="65"/>
      <c r="AM170" s="65"/>
      <c r="AN170" s="65"/>
      <c r="AO170" s="65"/>
      <c r="AP170" s="65"/>
      <c r="AQ170" s="65"/>
    </row>
    <row r="171" spans="1:43" ht="18.75">
      <c r="A171" s="89" t="s">
        <v>2281</v>
      </c>
      <c r="B171" s="89">
        <v>0.1</v>
      </c>
      <c r="C171" s="89">
        <v>1</v>
      </c>
      <c r="D171" s="88">
        <f t="shared" si="16"/>
        <v>0.1</v>
      </c>
      <c r="E171" s="89" t="s">
        <v>2082</v>
      </c>
      <c r="F171" s="90">
        <f t="shared" si="17"/>
        <v>0</v>
      </c>
      <c r="G171" s="89" t="s">
        <v>2081</v>
      </c>
      <c r="H171" s="90">
        <f t="shared" si="18"/>
        <v>1</v>
      </c>
      <c r="I171" s="89" t="s">
        <v>2080</v>
      </c>
      <c r="J171" s="90">
        <f t="shared" si="19"/>
        <v>0</v>
      </c>
      <c r="K171" s="89" t="s">
        <v>2079</v>
      </c>
      <c r="L171" s="88">
        <v>0</v>
      </c>
      <c r="M171" s="65"/>
      <c r="N171" s="66"/>
      <c r="O171" s="65"/>
      <c r="P171" s="65"/>
      <c r="Q171" s="65"/>
      <c r="R171" s="65"/>
      <c r="S171" s="65"/>
      <c r="T171" s="65"/>
      <c r="U171" s="65"/>
      <c r="X171" s="79" t="s">
        <v>10593</v>
      </c>
      <c r="Y171" s="80">
        <v>6875.25</v>
      </c>
      <c r="Z171" s="81">
        <f t="shared" si="20"/>
        <v>6875.25</v>
      </c>
      <c r="AA171" s="79" t="s">
        <v>2082</v>
      </c>
      <c r="AB171" s="82">
        <f t="shared" si="21"/>
        <v>6875</v>
      </c>
      <c r="AC171" s="79" t="s">
        <v>2081</v>
      </c>
      <c r="AD171" s="82">
        <f t="shared" si="22"/>
        <v>2</v>
      </c>
      <c r="AE171" s="79" t="s">
        <v>2080</v>
      </c>
      <c r="AF171" s="82">
        <f t="shared" si="23"/>
        <v>5</v>
      </c>
      <c r="AG171" s="79" t="s">
        <v>2079</v>
      </c>
      <c r="AH171" s="81">
        <v>275.01</v>
      </c>
      <c r="AI171" s="65"/>
      <c r="AJ171" s="65"/>
      <c r="AK171" s="65"/>
      <c r="AL171" s="65"/>
      <c r="AM171" s="65"/>
      <c r="AN171" s="65"/>
      <c r="AO171" s="65"/>
      <c r="AP171" s="65"/>
      <c r="AQ171" s="65"/>
    </row>
    <row r="172" spans="1:43" ht="18.75">
      <c r="A172" s="89" t="s">
        <v>2282</v>
      </c>
      <c r="B172" s="89">
        <v>0.1</v>
      </c>
      <c r="C172" s="89">
        <v>0</v>
      </c>
      <c r="D172" s="88">
        <f t="shared" si="16"/>
        <v>0.1</v>
      </c>
      <c r="E172" s="89" t="s">
        <v>2082</v>
      </c>
      <c r="F172" s="90">
        <f t="shared" si="17"/>
        <v>0</v>
      </c>
      <c r="G172" s="89" t="s">
        <v>2081</v>
      </c>
      <c r="H172" s="90">
        <f t="shared" si="18"/>
        <v>1</v>
      </c>
      <c r="I172" s="89" t="s">
        <v>2080</v>
      </c>
      <c r="J172" s="90">
        <f t="shared" si="19"/>
        <v>0</v>
      </c>
      <c r="K172" s="89" t="s">
        <v>2079</v>
      </c>
      <c r="L172" s="88">
        <v>0</v>
      </c>
      <c r="M172" s="65"/>
      <c r="N172" s="66"/>
      <c r="O172" s="65"/>
      <c r="P172" s="65"/>
      <c r="Q172" s="65"/>
      <c r="R172" s="65"/>
      <c r="S172" s="65"/>
      <c r="T172" s="65"/>
      <c r="U172" s="65"/>
      <c r="X172" s="79" t="s">
        <v>10594</v>
      </c>
      <c r="Y172" s="80">
        <v>81500.25</v>
      </c>
      <c r="Z172" s="81">
        <f t="shared" si="20"/>
        <v>81500.25</v>
      </c>
      <c r="AA172" s="79" t="s">
        <v>2082</v>
      </c>
      <c r="AB172" s="82">
        <f t="shared" si="21"/>
        <v>81500</v>
      </c>
      <c r="AC172" s="79" t="s">
        <v>2081</v>
      </c>
      <c r="AD172" s="82">
        <f t="shared" si="22"/>
        <v>2</v>
      </c>
      <c r="AE172" s="79" t="s">
        <v>2080</v>
      </c>
      <c r="AF172" s="82">
        <f t="shared" si="23"/>
        <v>5</v>
      </c>
      <c r="AG172" s="79" t="s">
        <v>2079</v>
      </c>
      <c r="AH172" s="81">
        <v>3260.01</v>
      </c>
      <c r="AI172" s="65"/>
      <c r="AJ172" s="65"/>
      <c r="AK172" s="65"/>
      <c r="AL172" s="65"/>
      <c r="AM172" s="65"/>
      <c r="AN172" s="65"/>
      <c r="AO172" s="65"/>
      <c r="AP172" s="65"/>
      <c r="AQ172" s="65"/>
    </row>
    <row r="173" spans="1:43" ht="18.75">
      <c r="A173" s="89" t="s">
        <v>2283</v>
      </c>
      <c r="B173" s="89">
        <v>0.1</v>
      </c>
      <c r="C173" s="89">
        <v>0</v>
      </c>
      <c r="D173" s="88">
        <f t="shared" si="16"/>
        <v>0.1</v>
      </c>
      <c r="E173" s="89" t="s">
        <v>2082</v>
      </c>
      <c r="F173" s="90">
        <f t="shared" si="17"/>
        <v>0</v>
      </c>
      <c r="G173" s="89" t="s">
        <v>2081</v>
      </c>
      <c r="H173" s="90">
        <f t="shared" si="18"/>
        <v>1</v>
      </c>
      <c r="I173" s="89" t="s">
        <v>2080</v>
      </c>
      <c r="J173" s="90">
        <f t="shared" si="19"/>
        <v>0</v>
      </c>
      <c r="K173" s="89" t="s">
        <v>2079</v>
      </c>
      <c r="L173" s="88">
        <v>0</v>
      </c>
      <c r="M173" s="65"/>
      <c r="N173" s="66"/>
      <c r="O173" s="65"/>
      <c r="P173" s="65"/>
      <c r="Q173" s="65"/>
      <c r="R173" s="65"/>
      <c r="S173" s="65"/>
      <c r="T173" s="65"/>
      <c r="U173" s="65"/>
      <c r="X173" s="79" t="s">
        <v>10595</v>
      </c>
      <c r="Y173" s="80">
        <v>5937.625</v>
      </c>
      <c r="Z173" s="81">
        <f t="shared" si="20"/>
        <v>5937.625</v>
      </c>
      <c r="AA173" s="79" t="s">
        <v>2082</v>
      </c>
      <c r="AB173" s="82">
        <f t="shared" si="21"/>
        <v>5937</v>
      </c>
      <c r="AC173" s="79" t="s">
        <v>2081</v>
      </c>
      <c r="AD173" s="82">
        <f t="shared" si="22"/>
        <v>6</v>
      </c>
      <c r="AE173" s="79" t="s">
        <v>2080</v>
      </c>
      <c r="AF173" s="82">
        <f t="shared" si="23"/>
        <v>2.5</v>
      </c>
      <c r="AG173" s="79" t="s">
        <v>2079</v>
      </c>
      <c r="AH173" s="81">
        <v>237.5</v>
      </c>
      <c r="AI173" s="65"/>
      <c r="AJ173" s="65"/>
      <c r="AK173" s="65"/>
      <c r="AL173" s="65"/>
      <c r="AM173" s="65"/>
      <c r="AN173" s="65"/>
      <c r="AO173" s="65"/>
      <c r="AP173" s="65"/>
      <c r="AQ173" s="65"/>
    </row>
    <row r="174" spans="1:43" ht="18.75">
      <c r="A174" s="89" t="s">
        <v>2284</v>
      </c>
      <c r="B174" s="89">
        <v>0.05</v>
      </c>
      <c r="C174" s="89">
        <v>2</v>
      </c>
      <c r="D174" s="88">
        <f t="shared" si="16"/>
        <v>0.05</v>
      </c>
      <c r="E174" s="89" t="s">
        <v>2082</v>
      </c>
      <c r="F174" s="90">
        <f t="shared" si="17"/>
        <v>0</v>
      </c>
      <c r="G174" s="89" t="s">
        <v>2081</v>
      </c>
      <c r="H174" s="90">
        <f t="shared" si="18"/>
        <v>0</v>
      </c>
      <c r="I174" s="89" t="s">
        <v>2080</v>
      </c>
      <c r="J174" s="90">
        <f t="shared" si="19"/>
        <v>5</v>
      </c>
      <c r="K174" s="89" t="s">
        <v>2079</v>
      </c>
      <c r="L174" s="88">
        <v>0</v>
      </c>
      <c r="M174" s="65"/>
      <c r="N174" s="66"/>
      <c r="O174" s="65"/>
      <c r="P174" s="65"/>
      <c r="Q174" s="65"/>
      <c r="R174" s="65"/>
      <c r="S174" s="65"/>
      <c r="T174" s="65"/>
      <c r="U174" s="65"/>
      <c r="X174" s="79" t="s">
        <v>10596</v>
      </c>
      <c r="Y174" s="80">
        <v>57.5</v>
      </c>
      <c r="Z174" s="81">
        <f t="shared" si="20"/>
        <v>57.5</v>
      </c>
      <c r="AA174" s="79" t="s">
        <v>2082</v>
      </c>
      <c r="AB174" s="82">
        <f t="shared" si="21"/>
        <v>57</v>
      </c>
      <c r="AC174" s="79" t="s">
        <v>2081</v>
      </c>
      <c r="AD174" s="82">
        <f t="shared" si="22"/>
        <v>5</v>
      </c>
      <c r="AE174" s="79" t="s">
        <v>2080</v>
      </c>
      <c r="AF174" s="82">
        <f t="shared" si="23"/>
        <v>0</v>
      </c>
      <c r="AG174" s="79" t="s">
        <v>2079</v>
      </c>
      <c r="AH174" s="81">
        <v>2.3000000000000003</v>
      </c>
      <c r="AI174" s="65"/>
      <c r="AJ174" s="65"/>
      <c r="AK174" s="65"/>
      <c r="AL174" s="65"/>
      <c r="AM174" s="65"/>
      <c r="AN174" s="65"/>
      <c r="AO174" s="65"/>
      <c r="AP174" s="65"/>
      <c r="AQ174" s="65"/>
    </row>
    <row r="175" spans="1:43" ht="18.75">
      <c r="A175" s="89" t="s">
        <v>2285</v>
      </c>
      <c r="B175" s="89">
        <v>0.05</v>
      </c>
      <c r="C175" s="89">
        <v>0.25</v>
      </c>
      <c r="D175" s="88">
        <f t="shared" si="16"/>
        <v>0.05</v>
      </c>
      <c r="E175" s="89" t="s">
        <v>2082</v>
      </c>
      <c r="F175" s="90">
        <f t="shared" si="17"/>
        <v>0</v>
      </c>
      <c r="G175" s="89" t="s">
        <v>2081</v>
      </c>
      <c r="H175" s="90">
        <f t="shared" si="18"/>
        <v>0</v>
      </c>
      <c r="I175" s="89" t="s">
        <v>2080</v>
      </c>
      <c r="J175" s="90">
        <f t="shared" si="19"/>
        <v>5</v>
      </c>
      <c r="K175" s="89" t="s">
        <v>2079</v>
      </c>
      <c r="L175" s="88">
        <v>0</v>
      </c>
      <c r="M175" s="65"/>
      <c r="N175" s="66"/>
      <c r="O175" s="65"/>
      <c r="P175" s="65"/>
      <c r="Q175" s="65"/>
      <c r="R175" s="65"/>
      <c r="S175" s="65"/>
      <c r="T175" s="65"/>
      <c r="U175" s="65"/>
      <c r="X175" s="79" t="s">
        <v>6883</v>
      </c>
      <c r="Y175" s="80">
        <v>425</v>
      </c>
      <c r="Z175" s="81">
        <f t="shared" si="20"/>
        <v>425</v>
      </c>
      <c r="AA175" s="79" t="s">
        <v>2082</v>
      </c>
      <c r="AB175" s="82">
        <f t="shared" si="21"/>
        <v>425</v>
      </c>
      <c r="AC175" s="79" t="s">
        <v>2081</v>
      </c>
      <c r="AD175" s="82">
        <f t="shared" si="22"/>
        <v>0</v>
      </c>
      <c r="AE175" s="79" t="s">
        <v>2080</v>
      </c>
      <c r="AF175" s="82">
        <f t="shared" si="23"/>
        <v>0</v>
      </c>
      <c r="AG175" s="79" t="s">
        <v>2079</v>
      </c>
      <c r="AH175" s="81">
        <v>17</v>
      </c>
      <c r="AI175" s="65"/>
      <c r="AJ175" s="65"/>
      <c r="AK175" s="65"/>
      <c r="AL175" s="65"/>
      <c r="AM175" s="65"/>
      <c r="AN175" s="65"/>
      <c r="AO175" s="65"/>
      <c r="AP175" s="65"/>
      <c r="AQ175" s="65"/>
    </row>
    <row r="176" spans="1:43" ht="18.75">
      <c r="A176" s="89" t="s">
        <v>2286</v>
      </c>
      <c r="B176" s="89">
        <v>0.05</v>
      </c>
      <c r="C176" s="89">
        <v>0.25</v>
      </c>
      <c r="D176" s="88">
        <f t="shared" si="16"/>
        <v>0.05</v>
      </c>
      <c r="E176" s="89" t="s">
        <v>2082</v>
      </c>
      <c r="F176" s="90">
        <f t="shared" si="17"/>
        <v>0</v>
      </c>
      <c r="G176" s="89" t="s">
        <v>2081</v>
      </c>
      <c r="H176" s="90">
        <f t="shared" si="18"/>
        <v>0</v>
      </c>
      <c r="I176" s="89" t="s">
        <v>2080</v>
      </c>
      <c r="J176" s="90">
        <f t="shared" si="19"/>
        <v>5</v>
      </c>
      <c r="K176" s="89" t="s">
        <v>2079</v>
      </c>
      <c r="L176" s="88">
        <v>0</v>
      </c>
      <c r="M176" s="65"/>
      <c r="N176" s="66"/>
      <c r="O176" s="65"/>
      <c r="P176" s="65"/>
      <c r="Q176" s="65"/>
      <c r="R176" s="65"/>
      <c r="S176" s="65"/>
      <c r="T176" s="65"/>
      <c r="U176" s="65"/>
      <c r="X176" s="79" t="s">
        <v>10597</v>
      </c>
      <c r="Y176" s="80">
        <v>89250.25</v>
      </c>
      <c r="Z176" s="81">
        <f t="shared" si="20"/>
        <v>89250.25</v>
      </c>
      <c r="AA176" s="79" t="s">
        <v>2082</v>
      </c>
      <c r="AB176" s="82">
        <f t="shared" si="21"/>
        <v>89250</v>
      </c>
      <c r="AC176" s="79" t="s">
        <v>2081</v>
      </c>
      <c r="AD176" s="82">
        <f t="shared" si="22"/>
        <v>2</v>
      </c>
      <c r="AE176" s="79" t="s">
        <v>2080</v>
      </c>
      <c r="AF176" s="82">
        <f t="shared" si="23"/>
        <v>5</v>
      </c>
      <c r="AG176" s="79" t="s">
        <v>2079</v>
      </c>
      <c r="AH176" s="81">
        <v>3570.01</v>
      </c>
      <c r="AI176" s="65"/>
      <c r="AJ176" s="65"/>
      <c r="AK176" s="65"/>
      <c r="AL176" s="65"/>
      <c r="AM176" s="65"/>
      <c r="AN176" s="65"/>
      <c r="AO176" s="65"/>
      <c r="AP176" s="65"/>
      <c r="AQ176" s="65"/>
    </row>
    <row r="177" spans="1:43" ht="18.75">
      <c r="A177" s="89" t="s">
        <v>2287</v>
      </c>
      <c r="B177" s="89">
        <v>0.05</v>
      </c>
      <c r="C177" s="89">
        <v>7</v>
      </c>
      <c r="D177" s="88">
        <f t="shared" si="16"/>
        <v>0.05</v>
      </c>
      <c r="E177" s="89" t="s">
        <v>2082</v>
      </c>
      <c r="F177" s="90">
        <f t="shared" si="17"/>
        <v>0</v>
      </c>
      <c r="G177" s="89" t="s">
        <v>2081</v>
      </c>
      <c r="H177" s="90">
        <f t="shared" si="18"/>
        <v>0</v>
      </c>
      <c r="I177" s="89" t="s">
        <v>2080</v>
      </c>
      <c r="J177" s="90">
        <f t="shared" si="19"/>
        <v>5</v>
      </c>
      <c r="K177" s="89" t="s">
        <v>2079</v>
      </c>
      <c r="L177" s="88">
        <v>0</v>
      </c>
      <c r="M177" s="65"/>
      <c r="N177" s="66"/>
      <c r="O177" s="65"/>
      <c r="P177" s="65"/>
      <c r="Q177" s="65"/>
      <c r="R177" s="65"/>
      <c r="S177" s="65"/>
      <c r="T177" s="65"/>
      <c r="U177" s="65"/>
      <c r="X177" s="79" t="s">
        <v>10598</v>
      </c>
      <c r="Y177" s="80">
        <v>6875.25</v>
      </c>
      <c r="Z177" s="81">
        <f t="shared" si="20"/>
        <v>6875.25</v>
      </c>
      <c r="AA177" s="79" t="s">
        <v>2082</v>
      </c>
      <c r="AB177" s="82">
        <f t="shared" si="21"/>
        <v>6875</v>
      </c>
      <c r="AC177" s="79" t="s">
        <v>2081</v>
      </c>
      <c r="AD177" s="82">
        <f t="shared" si="22"/>
        <v>2</v>
      </c>
      <c r="AE177" s="79" t="s">
        <v>2080</v>
      </c>
      <c r="AF177" s="82">
        <f t="shared" si="23"/>
        <v>5</v>
      </c>
      <c r="AG177" s="79" t="s">
        <v>2079</v>
      </c>
      <c r="AH177" s="81">
        <v>275.01</v>
      </c>
      <c r="AI177" s="65"/>
      <c r="AJ177" s="65"/>
      <c r="AK177" s="65"/>
      <c r="AL177" s="65"/>
      <c r="AM177" s="65"/>
      <c r="AN177" s="65"/>
      <c r="AO177" s="65"/>
      <c r="AP177" s="65"/>
      <c r="AQ177" s="65"/>
    </row>
    <row r="178" spans="1:43" ht="18.75">
      <c r="A178" s="89" t="s">
        <v>2288</v>
      </c>
      <c r="B178" s="89">
        <v>0.05</v>
      </c>
      <c r="C178" s="89">
        <v>0</v>
      </c>
      <c r="D178" s="88">
        <f t="shared" si="16"/>
        <v>0.05</v>
      </c>
      <c r="E178" s="89" t="s">
        <v>2082</v>
      </c>
      <c r="F178" s="90">
        <f t="shared" si="17"/>
        <v>0</v>
      </c>
      <c r="G178" s="89" t="s">
        <v>2081</v>
      </c>
      <c r="H178" s="90">
        <f t="shared" si="18"/>
        <v>0</v>
      </c>
      <c r="I178" s="89" t="s">
        <v>2080</v>
      </c>
      <c r="J178" s="90">
        <f t="shared" si="19"/>
        <v>5</v>
      </c>
      <c r="K178" s="89" t="s">
        <v>2079</v>
      </c>
      <c r="L178" s="88">
        <v>0</v>
      </c>
      <c r="M178" s="65"/>
      <c r="N178" s="66"/>
      <c r="O178" s="65"/>
      <c r="P178" s="65"/>
      <c r="Q178" s="65"/>
      <c r="R178" s="65"/>
      <c r="S178" s="65"/>
      <c r="T178" s="65"/>
      <c r="U178" s="65"/>
      <c r="X178" s="79" t="s">
        <v>10599</v>
      </c>
      <c r="Y178" s="80">
        <v>19875.125</v>
      </c>
      <c r="Z178" s="81">
        <f t="shared" si="20"/>
        <v>19875.125</v>
      </c>
      <c r="AA178" s="79" t="s">
        <v>2082</v>
      </c>
      <c r="AB178" s="82">
        <f t="shared" si="21"/>
        <v>19875</v>
      </c>
      <c r="AC178" s="79" t="s">
        <v>2081</v>
      </c>
      <c r="AD178" s="82">
        <f t="shared" si="22"/>
        <v>1</v>
      </c>
      <c r="AE178" s="79" t="s">
        <v>2080</v>
      </c>
      <c r="AF178" s="82">
        <f t="shared" si="23"/>
        <v>2.5</v>
      </c>
      <c r="AG178" s="79" t="s">
        <v>2079</v>
      </c>
      <c r="AH178" s="81">
        <v>795</v>
      </c>
      <c r="AI178" s="65"/>
      <c r="AJ178" s="65"/>
      <c r="AK178" s="65"/>
      <c r="AL178" s="65"/>
      <c r="AM178" s="65"/>
      <c r="AN178" s="65"/>
      <c r="AO178" s="65"/>
      <c r="AP178" s="65"/>
      <c r="AQ178" s="65"/>
    </row>
    <row r="179" spans="1:43" ht="18.75">
      <c r="A179" s="89" t="s">
        <v>2289</v>
      </c>
      <c r="B179" s="89">
        <v>0.04</v>
      </c>
      <c r="C179" s="92">
        <v>1.5</v>
      </c>
      <c r="D179" s="88">
        <f t="shared" si="16"/>
        <v>0.04</v>
      </c>
      <c r="E179" s="89" t="s">
        <v>2082</v>
      </c>
      <c r="F179" s="90">
        <f t="shared" si="17"/>
        <v>0</v>
      </c>
      <c r="G179" s="89" t="s">
        <v>2081</v>
      </c>
      <c r="H179" s="90">
        <f t="shared" si="18"/>
        <v>0</v>
      </c>
      <c r="I179" s="89" t="s">
        <v>2080</v>
      </c>
      <c r="J179" s="90">
        <f t="shared" si="19"/>
        <v>4</v>
      </c>
      <c r="K179" s="89" t="s">
        <v>2079</v>
      </c>
      <c r="L179" s="88">
        <v>0</v>
      </c>
      <c r="M179" s="65"/>
      <c r="N179" s="66"/>
      <c r="O179" s="65"/>
      <c r="P179" s="65"/>
      <c r="Q179" s="65"/>
      <c r="R179" s="65"/>
      <c r="S179" s="65"/>
      <c r="T179" s="65"/>
      <c r="U179" s="65"/>
      <c r="X179" s="79" t="s">
        <v>10600</v>
      </c>
      <c r="Y179" s="80">
        <v>237.625</v>
      </c>
      <c r="Z179" s="81">
        <f t="shared" si="20"/>
        <v>237.625</v>
      </c>
      <c r="AA179" s="79" t="s">
        <v>2082</v>
      </c>
      <c r="AB179" s="82">
        <f t="shared" si="21"/>
        <v>237</v>
      </c>
      <c r="AC179" s="79" t="s">
        <v>2081</v>
      </c>
      <c r="AD179" s="82">
        <f t="shared" si="22"/>
        <v>6</v>
      </c>
      <c r="AE179" s="79" t="s">
        <v>2080</v>
      </c>
      <c r="AF179" s="82">
        <f t="shared" si="23"/>
        <v>2.5</v>
      </c>
      <c r="AG179" s="79" t="s">
        <v>2079</v>
      </c>
      <c r="AH179" s="81">
        <v>9.5</v>
      </c>
      <c r="AI179" s="65"/>
      <c r="AJ179" s="65"/>
      <c r="AK179" s="65"/>
      <c r="AL179" s="65"/>
      <c r="AM179" s="65"/>
      <c r="AN179" s="65"/>
      <c r="AO179" s="65"/>
      <c r="AP179" s="65"/>
      <c r="AQ179" s="65"/>
    </row>
    <row r="180" spans="1:43" ht="18.75">
      <c r="A180" s="89" t="s">
        <v>2290</v>
      </c>
      <c r="B180" s="89">
        <v>0.02</v>
      </c>
      <c r="C180" s="89">
        <v>1</v>
      </c>
      <c r="D180" s="88">
        <f t="shared" si="16"/>
        <v>0.02</v>
      </c>
      <c r="E180" s="89" t="s">
        <v>2082</v>
      </c>
      <c r="F180" s="90">
        <f t="shared" si="17"/>
        <v>0</v>
      </c>
      <c r="G180" s="89" t="s">
        <v>2081</v>
      </c>
      <c r="H180" s="90">
        <f t="shared" si="18"/>
        <v>0</v>
      </c>
      <c r="I180" s="89" t="s">
        <v>2080</v>
      </c>
      <c r="J180" s="90">
        <f t="shared" si="19"/>
        <v>2</v>
      </c>
      <c r="K180" s="89" t="s">
        <v>2079</v>
      </c>
      <c r="L180" s="88">
        <v>0</v>
      </c>
      <c r="M180" s="65"/>
      <c r="N180" s="66"/>
      <c r="O180" s="65"/>
      <c r="P180" s="65"/>
      <c r="Q180" s="65"/>
      <c r="R180" s="65"/>
      <c r="S180" s="65"/>
      <c r="T180" s="65"/>
      <c r="U180" s="65"/>
      <c r="X180" s="79" t="s">
        <v>10601</v>
      </c>
      <c r="Y180" s="80">
        <v>250</v>
      </c>
      <c r="Z180" s="81">
        <f t="shared" si="20"/>
        <v>250</v>
      </c>
      <c r="AA180" s="79" t="s">
        <v>2082</v>
      </c>
      <c r="AB180" s="82">
        <f t="shared" si="21"/>
        <v>250</v>
      </c>
      <c r="AC180" s="79" t="s">
        <v>2081</v>
      </c>
      <c r="AD180" s="82">
        <f t="shared" si="22"/>
        <v>0</v>
      </c>
      <c r="AE180" s="79" t="s">
        <v>2080</v>
      </c>
      <c r="AF180" s="82">
        <f t="shared" si="23"/>
        <v>0</v>
      </c>
      <c r="AG180" s="79" t="s">
        <v>2079</v>
      </c>
      <c r="AH180" s="81">
        <v>10</v>
      </c>
      <c r="AI180" s="65"/>
      <c r="AJ180" s="65"/>
      <c r="AK180" s="65"/>
      <c r="AL180" s="65"/>
      <c r="AM180" s="65"/>
      <c r="AN180" s="65"/>
      <c r="AO180" s="65"/>
      <c r="AP180" s="65"/>
      <c r="AQ180" s="65"/>
    </row>
    <row r="181" spans="1:43" ht="18.75">
      <c r="A181" s="89" t="s">
        <v>2291</v>
      </c>
      <c r="B181" s="89">
        <v>0.02</v>
      </c>
      <c r="C181" s="89">
        <v>0</v>
      </c>
      <c r="D181" s="88">
        <f t="shared" si="16"/>
        <v>0.02</v>
      </c>
      <c r="E181" s="89" t="s">
        <v>2082</v>
      </c>
      <c r="F181" s="90">
        <f t="shared" si="17"/>
        <v>0</v>
      </c>
      <c r="G181" s="89" t="s">
        <v>2081</v>
      </c>
      <c r="H181" s="90">
        <f t="shared" si="18"/>
        <v>0</v>
      </c>
      <c r="I181" s="89" t="s">
        <v>2080</v>
      </c>
      <c r="J181" s="90">
        <f t="shared" si="19"/>
        <v>2</v>
      </c>
      <c r="K181" s="89" t="s">
        <v>2079</v>
      </c>
      <c r="L181" s="88">
        <v>0</v>
      </c>
      <c r="M181" s="65"/>
      <c r="N181" s="66"/>
      <c r="O181" s="65"/>
      <c r="P181" s="65"/>
      <c r="Q181" s="65"/>
      <c r="R181" s="65"/>
      <c r="S181" s="65"/>
      <c r="T181" s="65"/>
      <c r="U181" s="65"/>
      <c r="X181" s="79" t="s">
        <v>10602</v>
      </c>
      <c r="Y181" s="80">
        <v>235</v>
      </c>
      <c r="Z181" s="81">
        <f t="shared" si="20"/>
        <v>235</v>
      </c>
      <c r="AA181" s="79" t="s">
        <v>2082</v>
      </c>
      <c r="AB181" s="82">
        <f t="shared" si="21"/>
        <v>235</v>
      </c>
      <c r="AC181" s="79" t="s">
        <v>2081</v>
      </c>
      <c r="AD181" s="82">
        <f t="shared" si="22"/>
        <v>0</v>
      </c>
      <c r="AE181" s="79" t="s">
        <v>2080</v>
      </c>
      <c r="AF181" s="82">
        <f t="shared" si="23"/>
        <v>0</v>
      </c>
      <c r="AG181" s="79" t="s">
        <v>2079</v>
      </c>
      <c r="AH181" s="81">
        <v>9.4</v>
      </c>
      <c r="AI181" s="65"/>
      <c r="AJ181" s="65"/>
      <c r="AK181" s="65"/>
      <c r="AL181" s="65"/>
      <c r="AM181" s="65"/>
      <c r="AN181" s="65"/>
      <c r="AO181" s="65"/>
      <c r="AP181" s="65"/>
      <c r="AQ181" s="65"/>
    </row>
    <row r="182" spans="1:43" ht="18.75">
      <c r="A182" s="89" t="s">
        <v>2292</v>
      </c>
      <c r="B182" s="89">
        <v>0.02</v>
      </c>
      <c r="C182" s="89">
        <v>4</v>
      </c>
      <c r="D182" s="88">
        <f t="shared" si="16"/>
        <v>0.02</v>
      </c>
      <c r="E182" s="89" t="s">
        <v>2082</v>
      </c>
      <c r="F182" s="90">
        <f t="shared" si="17"/>
        <v>0</v>
      </c>
      <c r="G182" s="89" t="s">
        <v>2081</v>
      </c>
      <c r="H182" s="90">
        <f t="shared" si="18"/>
        <v>0</v>
      </c>
      <c r="I182" s="89" t="s">
        <v>2080</v>
      </c>
      <c r="J182" s="90">
        <f t="shared" si="19"/>
        <v>2</v>
      </c>
      <c r="K182" s="89" t="s">
        <v>2079</v>
      </c>
      <c r="L182" s="88">
        <v>0</v>
      </c>
      <c r="M182" s="65"/>
      <c r="N182" s="66"/>
      <c r="O182" s="65"/>
      <c r="P182" s="65"/>
      <c r="Q182" s="65"/>
      <c r="R182" s="65"/>
      <c r="S182" s="65"/>
      <c r="T182" s="65"/>
      <c r="U182" s="65"/>
      <c r="X182" s="79" t="s">
        <v>10603</v>
      </c>
      <c r="Y182" s="80">
        <v>315</v>
      </c>
      <c r="Z182" s="81">
        <f t="shared" si="20"/>
        <v>315</v>
      </c>
      <c r="AA182" s="79" t="s">
        <v>2082</v>
      </c>
      <c r="AB182" s="82">
        <f t="shared" si="21"/>
        <v>315</v>
      </c>
      <c r="AC182" s="79" t="s">
        <v>2081</v>
      </c>
      <c r="AD182" s="82">
        <f t="shared" si="22"/>
        <v>0</v>
      </c>
      <c r="AE182" s="79" t="s">
        <v>2080</v>
      </c>
      <c r="AF182" s="82">
        <f t="shared" si="23"/>
        <v>0</v>
      </c>
      <c r="AG182" s="79" t="s">
        <v>2079</v>
      </c>
      <c r="AH182" s="81">
        <v>12.6</v>
      </c>
      <c r="AI182" s="65"/>
      <c r="AJ182" s="65"/>
      <c r="AK182" s="65"/>
      <c r="AL182" s="65"/>
      <c r="AM182" s="65"/>
      <c r="AN182" s="65"/>
      <c r="AO182" s="65"/>
      <c r="AP182" s="65"/>
      <c r="AQ182" s="65"/>
    </row>
    <row r="183" spans="1:43" ht="18.75">
      <c r="A183" s="89" t="s">
        <v>2293</v>
      </c>
      <c r="B183" s="89">
        <v>0.02</v>
      </c>
      <c r="C183" s="89">
        <v>0</v>
      </c>
      <c r="D183" s="88">
        <f t="shared" si="16"/>
        <v>0.02</v>
      </c>
      <c r="E183" s="89" t="s">
        <v>2082</v>
      </c>
      <c r="F183" s="90">
        <f t="shared" si="17"/>
        <v>0</v>
      </c>
      <c r="G183" s="89" t="s">
        <v>2081</v>
      </c>
      <c r="H183" s="90">
        <f t="shared" si="18"/>
        <v>0</v>
      </c>
      <c r="I183" s="89" t="s">
        <v>2080</v>
      </c>
      <c r="J183" s="90">
        <f t="shared" si="19"/>
        <v>2</v>
      </c>
      <c r="K183" s="89" t="s">
        <v>2079</v>
      </c>
      <c r="L183" s="88">
        <v>0</v>
      </c>
      <c r="M183" s="65"/>
      <c r="N183" s="66"/>
      <c r="O183" s="65"/>
      <c r="P183" s="65"/>
      <c r="Q183" s="65"/>
      <c r="R183" s="65"/>
      <c r="S183" s="65"/>
      <c r="T183" s="65"/>
      <c r="U183" s="65"/>
      <c r="X183" s="79" t="s">
        <v>7239</v>
      </c>
      <c r="Y183" s="80">
        <v>17000</v>
      </c>
      <c r="Z183" s="81">
        <f t="shared" si="20"/>
        <v>17000</v>
      </c>
      <c r="AA183" s="79" t="s">
        <v>2082</v>
      </c>
      <c r="AB183" s="82">
        <f t="shared" si="21"/>
        <v>17000</v>
      </c>
      <c r="AC183" s="79" t="s">
        <v>2081</v>
      </c>
      <c r="AD183" s="82">
        <f t="shared" si="22"/>
        <v>0</v>
      </c>
      <c r="AE183" s="79" t="s">
        <v>2080</v>
      </c>
      <c r="AF183" s="82">
        <f t="shared" si="23"/>
        <v>0</v>
      </c>
      <c r="AG183" s="79" t="s">
        <v>2079</v>
      </c>
      <c r="AH183" s="81">
        <v>680</v>
      </c>
      <c r="AI183" s="65"/>
      <c r="AJ183" s="65"/>
      <c r="AK183" s="65"/>
      <c r="AL183" s="65"/>
      <c r="AM183" s="65"/>
      <c r="AN183" s="65"/>
      <c r="AO183" s="65"/>
      <c r="AP183" s="65"/>
      <c r="AQ183" s="65"/>
    </row>
    <row r="184" spans="1:43" ht="18.75">
      <c r="A184" s="89" t="s">
        <v>2294</v>
      </c>
      <c r="B184" s="89">
        <v>0.01</v>
      </c>
      <c r="C184" s="89">
        <v>0</v>
      </c>
      <c r="D184" s="88">
        <f t="shared" si="16"/>
        <v>0.01</v>
      </c>
      <c r="E184" s="89" t="s">
        <v>2082</v>
      </c>
      <c r="F184" s="90">
        <f t="shared" si="17"/>
        <v>0</v>
      </c>
      <c r="G184" s="89" t="s">
        <v>2081</v>
      </c>
      <c r="H184" s="90">
        <f t="shared" si="18"/>
        <v>0</v>
      </c>
      <c r="I184" s="89" t="s">
        <v>2080</v>
      </c>
      <c r="J184" s="90">
        <f t="shared" si="19"/>
        <v>1</v>
      </c>
      <c r="K184" s="89" t="s">
        <v>2079</v>
      </c>
      <c r="L184" s="88">
        <v>0</v>
      </c>
      <c r="M184" s="65"/>
      <c r="N184" s="66"/>
      <c r="O184" s="65"/>
      <c r="P184" s="65"/>
      <c r="Q184" s="65"/>
      <c r="R184" s="65"/>
      <c r="S184" s="65"/>
      <c r="T184" s="65"/>
      <c r="U184" s="65"/>
      <c r="X184" s="79" t="s">
        <v>10604</v>
      </c>
      <c r="Y184" s="80">
        <v>21500</v>
      </c>
      <c r="Z184" s="81">
        <f t="shared" si="20"/>
        <v>21500</v>
      </c>
      <c r="AA184" s="79" t="s">
        <v>2082</v>
      </c>
      <c r="AB184" s="82">
        <f t="shared" si="21"/>
        <v>21500</v>
      </c>
      <c r="AC184" s="79" t="s">
        <v>2081</v>
      </c>
      <c r="AD184" s="82">
        <f t="shared" si="22"/>
        <v>0</v>
      </c>
      <c r="AE184" s="79" t="s">
        <v>2080</v>
      </c>
      <c r="AF184" s="82">
        <f t="shared" si="23"/>
        <v>0</v>
      </c>
      <c r="AG184" s="79" t="s">
        <v>2079</v>
      </c>
      <c r="AH184" s="81">
        <v>860</v>
      </c>
      <c r="AI184" s="65"/>
      <c r="AJ184" s="65"/>
      <c r="AK184" s="65"/>
      <c r="AL184" s="65"/>
      <c r="AM184" s="65"/>
      <c r="AN184" s="65"/>
      <c r="AO184" s="65"/>
      <c r="AP184" s="65"/>
      <c r="AQ184" s="65"/>
    </row>
    <row r="185" spans="1:43" ht="18.75">
      <c r="A185" s="89" t="s">
        <v>2295</v>
      </c>
      <c r="B185" s="89">
        <v>0.01</v>
      </c>
      <c r="C185" s="89">
        <v>0</v>
      </c>
      <c r="D185" s="88">
        <f t="shared" si="16"/>
        <v>0.01</v>
      </c>
      <c r="E185" s="89" t="s">
        <v>2082</v>
      </c>
      <c r="F185" s="90">
        <f t="shared" si="17"/>
        <v>0</v>
      </c>
      <c r="G185" s="89" t="s">
        <v>2081</v>
      </c>
      <c r="H185" s="90">
        <f t="shared" si="18"/>
        <v>0</v>
      </c>
      <c r="I185" s="89" t="s">
        <v>2080</v>
      </c>
      <c r="J185" s="90">
        <f t="shared" si="19"/>
        <v>1</v>
      </c>
      <c r="K185" s="89" t="s">
        <v>2079</v>
      </c>
      <c r="L185" s="88">
        <v>0</v>
      </c>
      <c r="M185" s="65"/>
      <c r="N185" s="66"/>
      <c r="O185" s="65"/>
      <c r="P185" s="65"/>
      <c r="Q185" s="65"/>
      <c r="R185" s="65"/>
      <c r="S185" s="65"/>
      <c r="T185" s="65"/>
      <c r="U185" s="65"/>
      <c r="X185" s="79" t="s">
        <v>10605</v>
      </c>
      <c r="Y185" s="80">
        <v>24125.125</v>
      </c>
      <c r="Z185" s="81">
        <f t="shared" si="20"/>
        <v>24125.125</v>
      </c>
      <c r="AA185" s="79" t="s">
        <v>2082</v>
      </c>
      <c r="AB185" s="82">
        <f t="shared" si="21"/>
        <v>24125</v>
      </c>
      <c r="AC185" s="79" t="s">
        <v>2081</v>
      </c>
      <c r="AD185" s="82">
        <f t="shared" si="22"/>
        <v>1</v>
      </c>
      <c r="AE185" s="79" t="s">
        <v>2080</v>
      </c>
      <c r="AF185" s="82">
        <f t="shared" si="23"/>
        <v>2.5</v>
      </c>
      <c r="AG185" s="79" t="s">
        <v>2079</v>
      </c>
      <c r="AH185" s="81">
        <v>965</v>
      </c>
      <c r="AI185" s="65"/>
      <c r="AJ185" s="65"/>
      <c r="AK185" s="65"/>
      <c r="AL185" s="65"/>
      <c r="AM185" s="65"/>
      <c r="AN185" s="65"/>
      <c r="AO185" s="65"/>
      <c r="AP185" s="65"/>
      <c r="AQ185" s="65"/>
    </row>
    <row r="186" spans="1:43" ht="18.75">
      <c r="A186" s="89" t="s">
        <v>2296</v>
      </c>
      <c r="B186" s="89">
        <v>0.01</v>
      </c>
      <c r="C186" s="89">
        <v>0.5</v>
      </c>
      <c r="D186" s="88">
        <f t="shared" si="16"/>
        <v>0.01</v>
      </c>
      <c r="E186" s="89" t="s">
        <v>2082</v>
      </c>
      <c r="F186" s="90">
        <f t="shared" si="17"/>
        <v>0</v>
      </c>
      <c r="G186" s="89" t="s">
        <v>2081</v>
      </c>
      <c r="H186" s="90">
        <f t="shared" si="18"/>
        <v>0</v>
      </c>
      <c r="I186" s="89" t="s">
        <v>2080</v>
      </c>
      <c r="J186" s="90">
        <f t="shared" si="19"/>
        <v>1</v>
      </c>
      <c r="K186" s="89" t="s">
        <v>2079</v>
      </c>
      <c r="L186" s="88">
        <v>0</v>
      </c>
      <c r="M186" s="65"/>
      <c r="N186" s="66"/>
      <c r="O186" s="65"/>
      <c r="P186" s="65"/>
      <c r="Q186" s="65"/>
      <c r="R186" s="65"/>
      <c r="S186" s="65"/>
      <c r="T186" s="65"/>
      <c r="U186" s="65"/>
      <c r="X186" s="79" t="s">
        <v>10606</v>
      </c>
      <c r="Y186" s="80">
        <v>3737.625</v>
      </c>
      <c r="Z186" s="81">
        <f t="shared" si="20"/>
        <v>3737.625</v>
      </c>
      <c r="AA186" s="79" t="s">
        <v>2082</v>
      </c>
      <c r="AB186" s="82">
        <f t="shared" si="21"/>
        <v>3737</v>
      </c>
      <c r="AC186" s="79" t="s">
        <v>2081</v>
      </c>
      <c r="AD186" s="82">
        <f t="shared" si="22"/>
        <v>6</v>
      </c>
      <c r="AE186" s="79" t="s">
        <v>2080</v>
      </c>
      <c r="AF186" s="82">
        <f t="shared" si="23"/>
        <v>2.5</v>
      </c>
      <c r="AG186" s="79" t="s">
        <v>2079</v>
      </c>
      <c r="AH186" s="81">
        <v>149.5</v>
      </c>
      <c r="AI186" s="65"/>
      <c r="AJ186" s="65"/>
      <c r="AK186" s="65"/>
      <c r="AL186" s="65"/>
      <c r="AM186" s="65"/>
      <c r="AN186" s="65"/>
      <c r="AO186" s="65"/>
      <c r="AP186" s="65"/>
      <c r="AQ186" s="65"/>
    </row>
    <row r="187" spans="1:43" ht="18.75">
      <c r="A187" s="89" t="s">
        <v>2297</v>
      </c>
      <c r="B187" s="89">
        <v>0.01</v>
      </c>
      <c r="C187" s="89">
        <v>1</v>
      </c>
      <c r="D187" s="88">
        <f t="shared" si="16"/>
        <v>0.01</v>
      </c>
      <c r="E187" s="89" t="s">
        <v>2082</v>
      </c>
      <c r="F187" s="90">
        <f t="shared" si="17"/>
        <v>0</v>
      </c>
      <c r="G187" s="89" t="s">
        <v>2081</v>
      </c>
      <c r="H187" s="90">
        <f t="shared" si="18"/>
        <v>0</v>
      </c>
      <c r="I187" s="89" t="s">
        <v>2080</v>
      </c>
      <c r="J187" s="90">
        <f t="shared" si="19"/>
        <v>1</v>
      </c>
      <c r="K187" s="89" t="s">
        <v>2079</v>
      </c>
      <c r="L187" s="88">
        <v>0</v>
      </c>
      <c r="M187" s="65"/>
      <c r="N187" s="66"/>
      <c r="O187" s="65"/>
      <c r="P187" s="65"/>
      <c r="Q187" s="65"/>
      <c r="R187" s="65"/>
      <c r="S187" s="65"/>
      <c r="T187" s="65"/>
      <c r="U187" s="65"/>
      <c r="X187" s="79" t="s">
        <v>10607</v>
      </c>
      <c r="Y187" s="80">
        <v>67.5</v>
      </c>
      <c r="Z187" s="81">
        <f t="shared" si="20"/>
        <v>67.5</v>
      </c>
      <c r="AA187" s="79" t="s">
        <v>2082</v>
      </c>
      <c r="AB187" s="82">
        <f t="shared" si="21"/>
        <v>67</v>
      </c>
      <c r="AC187" s="79" t="s">
        <v>2081</v>
      </c>
      <c r="AD187" s="82">
        <f t="shared" si="22"/>
        <v>5</v>
      </c>
      <c r="AE187" s="79" t="s">
        <v>2080</v>
      </c>
      <c r="AF187" s="82">
        <f t="shared" si="23"/>
        <v>0</v>
      </c>
      <c r="AG187" s="79" t="s">
        <v>2079</v>
      </c>
      <c r="AH187" s="81">
        <v>2.7</v>
      </c>
      <c r="AI187" s="65"/>
      <c r="AJ187" s="65"/>
      <c r="AK187" s="65"/>
      <c r="AL187" s="65"/>
      <c r="AM187" s="65"/>
      <c r="AN187" s="65"/>
      <c r="AO187" s="65"/>
      <c r="AP187" s="65"/>
      <c r="AQ187" s="65"/>
    </row>
    <row r="188" spans="1:43" ht="18.75">
      <c r="A188" s="89" t="s">
        <v>2298</v>
      </c>
      <c r="B188" s="89">
        <v>0.01</v>
      </c>
      <c r="C188" s="89">
        <v>1</v>
      </c>
      <c r="D188" s="88">
        <f t="shared" si="16"/>
        <v>0.01</v>
      </c>
      <c r="E188" s="89" t="s">
        <v>2082</v>
      </c>
      <c r="F188" s="90">
        <f t="shared" si="17"/>
        <v>0</v>
      </c>
      <c r="G188" s="89" t="s">
        <v>2081</v>
      </c>
      <c r="H188" s="90">
        <f t="shared" si="18"/>
        <v>0</v>
      </c>
      <c r="I188" s="89" t="s">
        <v>2080</v>
      </c>
      <c r="J188" s="90">
        <f t="shared" si="19"/>
        <v>1</v>
      </c>
      <c r="K188" s="89" t="s">
        <v>2079</v>
      </c>
      <c r="L188" s="88">
        <v>0</v>
      </c>
      <c r="M188" s="65"/>
      <c r="N188" s="66"/>
      <c r="O188" s="65"/>
      <c r="P188" s="65"/>
      <c r="Q188" s="65"/>
      <c r="R188" s="65"/>
      <c r="S188" s="65"/>
      <c r="T188" s="65"/>
      <c r="U188" s="65"/>
      <c r="X188" s="79" t="s">
        <v>10608</v>
      </c>
      <c r="Y188" s="80">
        <v>275.125</v>
      </c>
      <c r="Z188" s="81">
        <f t="shared" si="20"/>
        <v>275.125</v>
      </c>
      <c r="AA188" s="79" t="s">
        <v>2082</v>
      </c>
      <c r="AB188" s="82">
        <f t="shared" si="21"/>
        <v>275</v>
      </c>
      <c r="AC188" s="79" t="s">
        <v>2081</v>
      </c>
      <c r="AD188" s="82">
        <f t="shared" si="22"/>
        <v>1</v>
      </c>
      <c r="AE188" s="79" t="s">
        <v>2080</v>
      </c>
      <c r="AF188" s="82">
        <f t="shared" si="23"/>
        <v>2.5</v>
      </c>
      <c r="AG188" s="79" t="s">
        <v>2079</v>
      </c>
      <c r="AH188" s="81">
        <v>11</v>
      </c>
      <c r="AI188" s="65"/>
      <c r="AJ188" s="65"/>
      <c r="AK188" s="65"/>
      <c r="AL188" s="65"/>
      <c r="AM188" s="65"/>
      <c r="AN188" s="65"/>
      <c r="AO188" s="65"/>
      <c r="AP188" s="65"/>
      <c r="AQ188" s="65"/>
    </row>
    <row r="189" spans="1:43" ht="18.75">
      <c r="A189" s="89" t="s">
        <v>2299</v>
      </c>
      <c r="B189" s="89">
        <v>0</v>
      </c>
      <c r="C189" s="89">
        <v>0</v>
      </c>
      <c r="D189" s="88">
        <f t="shared" si="16"/>
        <v>0</v>
      </c>
      <c r="E189" s="89" t="s">
        <v>2082</v>
      </c>
      <c r="F189" s="90">
        <f t="shared" si="17"/>
        <v>0</v>
      </c>
      <c r="G189" s="89" t="s">
        <v>2081</v>
      </c>
      <c r="H189" s="90">
        <f t="shared" si="18"/>
        <v>0</v>
      </c>
      <c r="I189" s="89" t="s">
        <v>2080</v>
      </c>
      <c r="J189" s="90">
        <f t="shared" si="19"/>
        <v>0</v>
      </c>
      <c r="K189" s="89" t="s">
        <v>2079</v>
      </c>
      <c r="L189" s="88">
        <v>0</v>
      </c>
      <c r="M189" s="65"/>
      <c r="N189" s="66"/>
      <c r="O189" s="65"/>
      <c r="P189" s="65"/>
      <c r="Q189" s="65"/>
      <c r="R189" s="65"/>
      <c r="S189" s="65"/>
      <c r="T189" s="65"/>
      <c r="U189" s="65"/>
      <c r="X189" s="79" t="s">
        <v>10609</v>
      </c>
      <c r="Y189" s="80">
        <v>325.25</v>
      </c>
      <c r="Z189" s="81">
        <f t="shared" si="20"/>
        <v>325.25</v>
      </c>
      <c r="AA189" s="79" t="s">
        <v>2082</v>
      </c>
      <c r="AB189" s="82">
        <f t="shared" si="21"/>
        <v>325</v>
      </c>
      <c r="AC189" s="79" t="s">
        <v>2081</v>
      </c>
      <c r="AD189" s="82">
        <f t="shared" si="22"/>
        <v>2</v>
      </c>
      <c r="AE189" s="79" t="s">
        <v>2080</v>
      </c>
      <c r="AF189" s="82">
        <f t="shared" si="23"/>
        <v>5</v>
      </c>
      <c r="AG189" s="79" t="s">
        <v>2079</v>
      </c>
      <c r="AH189" s="81">
        <v>13.01</v>
      </c>
      <c r="AI189" s="65"/>
      <c r="AJ189" s="65"/>
      <c r="AK189" s="65"/>
      <c r="AL189" s="65"/>
      <c r="AM189" s="65"/>
      <c r="AN189" s="65"/>
      <c r="AO189" s="65"/>
      <c r="AP189" s="65"/>
      <c r="AQ189" s="65"/>
    </row>
    <row r="190" spans="1:43" ht="18.75">
      <c r="A190" s="502" t="s">
        <v>8497</v>
      </c>
      <c r="B190" s="502">
        <v>1000</v>
      </c>
      <c r="C190" s="502">
        <v>0</v>
      </c>
      <c r="D190" s="503">
        <f>B190*$O$6</f>
        <v>1000</v>
      </c>
      <c r="E190" s="89" t="s">
        <v>2082</v>
      </c>
      <c r="F190" s="504">
        <f>_xlfn.FLOOR.MATH(D190,1)</f>
        <v>1000</v>
      </c>
      <c r="G190" s="502"/>
      <c r="H190" s="504">
        <f>_xlfn.FLOOR.MATH(((D190-F190)*10), 1)</f>
        <v>0</v>
      </c>
      <c r="I190" s="502"/>
      <c r="J190" s="504">
        <f>((D190-F190)*10-H190)*10</f>
        <v>0</v>
      </c>
      <c r="K190" s="502"/>
      <c r="L190" s="503">
        <v>40</v>
      </c>
      <c r="X190" s="79" t="s">
        <v>7251</v>
      </c>
      <c r="Y190" s="80">
        <v>38125.125</v>
      </c>
      <c r="Z190" s="81">
        <f t="shared" si="20"/>
        <v>38125.125</v>
      </c>
      <c r="AA190" s="79" t="s">
        <v>2082</v>
      </c>
      <c r="AB190" s="82">
        <f t="shared" si="21"/>
        <v>38125</v>
      </c>
      <c r="AC190" s="79" t="s">
        <v>2081</v>
      </c>
      <c r="AD190" s="82">
        <f t="shared" si="22"/>
        <v>1</v>
      </c>
      <c r="AE190" s="79" t="s">
        <v>2080</v>
      </c>
      <c r="AF190" s="82">
        <f t="shared" si="23"/>
        <v>2.5</v>
      </c>
      <c r="AG190" s="79" t="s">
        <v>2079</v>
      </c>
      <c r="AH190" s="81">
        <v>1525</v>
      </c>
      <c r="AI190" s="65"/>
      <c r="AJ190" s="65"/>
      <c r="AK190" s="65"/>
      <c r="AL190" s="65"/>
      <c r="AM190" s="65"/>
      <c r="AN190" s="65"/>
      <c r="AO190" s="65"/>
      <c r="AP190" s="65"/>
      <c r="AQ190" s="65"/>
    </row>
    <row r="191" spans="1:43" ht="18.75">
      <c r="A191" s="502" t="s">
        <v>8498</v>
      </c>
      <c r="B191" s="502">
        <v>20000</v>
      </c>
      <c r="C191" s="502">
        <v>0</v>
      </c>
      <c r="D191" s="503">
        <f>B191*$O$6</f>
        <v>20000</v>
      </c>
      <c r="E191" s="502"/>
      <c r="F191" s="504">
        <f>_xlfn.FLOOR.MATH(D191,1)</f>
        <v>20000</v>
      </c>
      <c r="G191" s="502"/>
      <c r="H191" s="504">
        <f>_xlfn.FLOOR.MATH(((D191-F191)*10), 1)</f>
        <v>0</v>
      </c>
      <c r="I191" s="502"/>
      <c r="J191" s="504">
        <f>((D191-F191)*10-H191)*10</f>
        <v>0</v>
      </c>
      <c r="K191" s="502"/>
      <c r="L191" s="503">
        <v>800</v>
      </c>
      <c r="X191" s="79" t="s">
        <v>10610</v>
      </c>
      <c r="Y191" s="80">
        <v>50000</v>
      </c>
      <c r="Z191" s="81">
        <f t="shared" si="20"/>
        <v>50000</v>
      </c>
      <c r="AA191" s="79" t="s">
        <v>2082</v>
      </c>
      <c r="AB191" s="82">
        <f t="shared" si="21"/>
        <v>50000</v>
      </c>
      <c r="AC191" s="79" t="s">
        <v>2081</v>
      </c>
      <c r="AD191" s="82">
        <f t="shared" si="22"/>
        <v>0</v>
      </c>
      <c r="AE191" s="79" t="s">
        <v>2080</v>
      </c>
      <c r="AF191" s="82">
        <f t="shared" si="23"/>
        <v>0</v>
      </c>
      <c r="AG191" s="79" t="s">
        <v>2079</v>
      </c>
      <c r="AH191" s="81">
        <v>2000</v>
      </c>
      <c r="AI191" s="65"/>
      <c r="AJ191" s="65"/>
      <c r="AK191" s="65"/>
      <c r="AL191" s="65"/>
      <c r="AM191" s="65"/>
      <c r="AN191" s="65"/>
      <c r="AO191" s="65"/>
      <c r="AP191" s="65"/>
      <c r="AQ191" s="65"/>
    </row>
    <row r="192" spans="1:43">
      <c r="X192" s="79" t="s">
        <v>10611</v>
      </c>
      <c r="Y192" s="80">
        <v>325.25</v>
      </c>
      <c r="Z192" s="81">
        <f t="shared" si="20"/>
        <v>325.25</v>
      </c>
      <c r="AA192" s="79" t="s">
        <v>2082</v>
      </c>
      <c r="AB192" s="82">
        <f t="shared" si="21"/>
        <v>325</v>
      </c>
      <c r="AC192" s="79" t="s">
        <v>2081</v>
      </c>
      <c r="AD192" s="82">
        <f t="shared" si="22"/>
        <v>2</v>
      </c>
      <c r="AE192" s="79" t="s">
        <v>2080</v>
      </c>
      <c r="AF192" s="82">
        <f t="shared" si="23"/>
        <v>5</v>
      </c>
      <c r="AG192" s="79" t="s">
        <v>2079</v>
      </c>
      <c r="AH192" s="81">
        <v>13.01</v>
      </c>
      <c r="AI192" s="65"/>
      <c r="AJ192" s="65"/>
      <c r="AK192" s="65"/>
      <c r="AL192" s="65"/>
      <c r="AM192" s="65"/>
      <c r="AN192" s="65"/>
      <c r="AO192" s="65"/>
      <c r="AP192" s="65"/>
      <c r="AQ192" s="65"/>
    </row>
    <row r="193" spans="1:43">
      <c r="X193" s="79" t="s">
        <v>10612</v>
      </c>
      <c r="Y193" s="80">
        <v>325.25</v>
      </c>
      <c r="Z193" s="81">
        <f t="shared" si="20"/>
        <v>325.25</v>
      </c>
      <c r="AA193" s="79" t="s">
        <v>2082</v>
      </c>
      <c r="AB193" s="82">
        <f t="shared" si="21"/>
        <v>325</v>
      </c>
      <c r="AC193" s="79" t="s">
        <v>2081</v>
      </c>
      <c r="AD193" s="82">
        <f t="shared" si="22"/>
        <v>2</v>
      </c>
      <c r="AE193" s="79" t="s">
        <v>2080</v>
      </c>
      <c r="AF193" s="82">
        <f t="shared" si="23"/>
        <v>5</v>
      </c>
      <c r="AG193" s="79" t="s">
        <v>2079</v>
      </c>
      <c r="AH193" s="81">
        <v>13.01</v>
      </c>
      <c r="AI193" s="65"/>
      <c r="AJ193" s="65"/>
      <c r="AK193" s="65"/>
      <c r="AL193" s="65"/>
      <c r="AM193" s="65"/>
      <c r="AN193" s="65"/>
      <c r="AO193" s="65"/>
      <c r="AP193" s="65"/>
      <c r="AQ193" s="65"/>
    </row>
    <row r="194" spans="1:43">
      <c r="X194" s="79" t="s">
        <v>10613</v>
      </c>
      <c r="Y194" s="80">
        <v>6875.25</v>
      </c>
      <c r="Z194" s="81">
        <f t="shared" si="20"/>
        <v>6875.25</v>
      </c>
      <c r="AA194" s="79" t="s">
        <v>2082</v>
      </c>
      <c r="AB194" s="82">
        <f t="shared" si="21"/>
        <v>6875</v>
      </c>
      <c r="AC194" s="79" t="s">
        <v>2081</v>
      </c>
      <c r="AD194" s="82">
        <f t="shared" si="22"/>
        <v>2</v>
      </c>
      <c r="AE194" s="79" t="s">
        <v>2080</v>
      </c>
      <c r="AF194" s="82">
        <f t="shared" si="23"/>
        <v>5</v>
      </c>
      <c r="AG194" s="79" t="s">
        <v>2079</v>
      </c>
      <c r="AH194" s="81">
        <v>275.01</v>
      </c>
      <c r="AI194" s="65"/>
      <c r="AJ194" s="65"/>
      <c r="AK194" s="65"/>
      <c r="AL194" s="65"/>
      <c r="AM194" s="65"/>
      <c r="AN194" s="65"/>
      <c r="AO194" s="65"/>
      <c r="AP194" s="65"/>
      <c r="AQ194" s="65"/>
    </row>
    <row r="195" spans="1:43">
      <c r="X195" s="79" t="s">
        <v>6879</v>
      </c>
      <c r="Y195" s="80">
        <v>605</v>
      </c>
      <c r="Z195" s="81">
        <f t="shared" ref="Z195:Z258" si="24">Y195*$AK$6*$AK$11</f>
        <v>605</v>
      </c>
      <c r="AA195" s="79" t="s">
        <v>2082</v>
      </c>
      <c r="AB195" s="82">
        <f t="shared" ref="AB195:AB258" si="25">_xlfn.FLOOR.MATH(Z195,1)</f>
        <v>605</v>
      </c>
      <c r="AC195" s="79" t="s">
        <v>2081</v>
      </c>
      <c r="AD195" s="82">
        <f t="shared" ref="AD195:AD258" si="26">_xlfn.FLOOR.MATH(((Z195-AB195)*10), 1)</f>
        <v>0</v>
      </c>
      <c r="AE195" s="79" t="s">
        <v>2080</v>
      </c>
      <c r="AF195" s="82">
        <f t="shared" ref="AF195:AF258" si="27">((Z195-AB195)*10-AD195)*10</f>
        <v>0</v>
      </c>
      <c r="AG195" s="79" t="s">
        <v>2079</v>
      </c>
      <c r="AH195" s="81">
        <v>24.2</v>
      </c>
      <c r="AI195" s="65"/>
      <c r="AJ195" s="65"/>
      <c r="AK195" s="65"/>
      <c r="AL195" s="65"/>
      <c r="AM195" s="65"/>
      <c r="AN195" s="65"/>
      <c r="AO195" s="65"/>
      <c r="AP195" s="65"/>
      <c r="AQ195" s="65"/>
    </row>
    <row r="196" spans="1:43">
      <c r="X196" s="79" t="s">
        <v>10614</v>
      </c>
      <c r="Y196" s="80">
        <v>1060</v>
      </c>
      <c r="Z196" s="81">
        <f t="shared" si="24"/>
        <v>1060</v>
      </c>
      <c r="AA196" s="79" t="s">
        <v>2082</v>
      </c>
      <c r="AB196" s="82">
        <f t="shared" si="25"/>
        <v>1060</v>
      </c>
      <c r="AC196" s="79" t="s">
        <v>2081</v>
      </c>
      <c r="AD196" s="82">
        <f t="shared" si="26"/>
        <v>0</v>
      </c>
      <c r="AE196" s="79" t="s">
        <v>2080</v>
      </c>
      <c r="AF196" s="82">
        <f t="shared" si="27"/>
        <v>0</v>
      </c>
      <c r="AG196" s="79" t="s">
        <v>2079</v>
      </c>
      <c r="AH196" s="81">
        <v>42.4</v>
      </c>
      <c r="AI196" s="65"/>
      <c r="AJ196" s="65"/>
      <c r="AK196" s="65"/>
      <c r="AL196" s="65"/>
      <c r="AM196" s="65"/>
      <c r="AN196" s="65"/>
      <c r="AO196" s="65"/>
      <c r="AP196" s="65"/>
      <c r="AQ196" s="65"/>
    </row>
    <row r="197" spans="1:43">
      <c r="X197" s="79" t="s">
        <v>6986</v>
      </c>
      <c r="Y197" s="80">
        <v>4250</v>
      </c>
      <c r="Z197" s="81">
        <f t="shared" si="24"/>
        <v>4250</v>
      </c>
      <c r="AA197" s="79" t="s">
        <v>2082</v>
      </c>
      <c r="AB197" s="82">
        <f t="shared" si="25"/>
        <v>4250</v>
      </c>
      <c r="AC197" s="79" t="s">
        <v>2081</v>
      </c>
      <c r="AD197" s="82">
        <f t="shared" si="26"/>
        <v>0</v>
      </c>
      <c r="AE197" s="79" t="s">
        <v>2080</v>
      </c>
      <c r="AF197" s="82">
        <f t="shared" si="27"/>
        <v>0</v>
      </c>
      <c r="AG197" s="79" t="s">
        <v>2079</v>
      </c>
      <c r="AH197" s="81">
        <v>170</v>
      </c>
      <c r="AI197" s="65"/>
      <c r="AJ197" s="65"/>
      <c r="AK197" s="65"/>
      <c r="AL197" s="65"/>
      <c r="AM197" s="65"/>
      <c r="AN197" s="65"/>
      <c r="AO197" s="65"/>
      <c r="AP197" s="65"/>
      <c r="AQ197" s="65"/>
    </row>
    <row r="198" spans="1:43">
      <c r="X198" s="79" t="s">
        <v>10615</v>
      </c>
      <c r="Y198" s="80">
        <v>80</v>
      </c>
      <c r="Z198" s="81">
        <f t="shared" si="24"/>
        <v>80</v>
      </c>
      <c r="AA198" s="79" t="s">
        <v>2082</v>
      </c>
      <c r="AB198" s="82">
        <f t="shared" si="25"/>
        <v>80</v>
      </c>
      <c r="AC198" s="79" t="s">
        <v>2081</v>
      </c>
      <c r="AD198" s="82">
        <f t="shared" si="26"/>
        <v>0</v>
      </c>
      <c r="AE198" s="79" t="s">
        <v>2080</v>
      </c>
      <c r="AF198" s="82">
        <f t="shared" si="27"/>
        <v>0</v>
      </c>
      <c r="AG198" s="79" t="s">
        <v>2079</v>
      </c>
      <c r="AH198" s="81">
        <v>3.2</v>
      </c>
      <c r="AI198" s="65"/>
      <c r="AJ198" s="65"/>
      <c r="AK198" s="65"/>
      <c r="AL198" s="65"/>
      <c r="AM198" s="65"/>
      <c r="AN198" s="65"/>
      <c r="AO198" s="65"/>
      <c r="AP198" s="65"/>
      <c r="AQ198" s="65"/>
    </row>
    <row r="199" spans="1:43">
      <c r="A199" s="61" t="s">
        <v>8518</v>
      </c>
      <c r="X199" s="79" t="s">
        <v>10616</v>
      </c>
      <c r="Y199" s="80">
        <v>67.5</v>
      </c>
      <c r="Z199" s="81">
        <f t="shared" si="24"/>
        <v>67.5</v>
      </c>
      <c r="AA199" s="79" t="s">
        <v>2082</v>
      </c>
      <c r="AB199" s="82">
        <f t="shared" si="25"/>
        <v>67</v>
      </c>
      <c r="AC199" s="79" t="s">
        <v>2081</v>
      </c>
      <c r="AD199" s="82">
        <f t="shared" si="26"/>
        <v>5</v>
      </c>
      <c r="AE199" s="79" t="s">
        <v>2080</v>
      </c>
      <c r="AF199" s="82">
        <f t="shared" si="27"/>
        <v>0</v>
      </c>
      <c r="AG199" s="79" t="s">
        <v>2079</v>
      </c>
      <c r="AH199" s="81">
        <v>2.7</v>
      </c>
      <c r="AI199" s="65"/>
      <c r="AJ199" s="65"/>
      <c r="AK199" s="65"/>
      <c r="AL199" s="65"/>
      <c r="AM199" s="65"/>
      <c r="AN199" s="65"/>
      <c r="AO199" s="65"/>
      <c r="AP199" s="65"/>
      <c r="AQ199" s="65"/>
    </row>
    <row r="200" spans="1:43">
      <c r="A200" s="61" t="s">
        <v>8519</v>
      </c>
      <c r="X200" s="79" t="s">
        <v>10617</v>
      </c>
      <c r="Y200" s="80">
        <v>80</v>
      </c>
      <c r="Z200" s="81">
        <f t="shared" si="24"/>
        <v>80</v>
      </c>
      <c r="AA200" s="79" t="s">
        <v>2082</v>
      </c>
      <c r="AB200" s="82">
        <f t="shared" si="25"/>
        <v>80</v>
      </c>
      <c r="AC200" s="79" t="s">
        <v>2081</v>
      </c>
      <c r="AD200" s="82">
        <f t="shared" si="26"/>
        <v>0</v>
      </c>
      <c r="AE200" s="79" t="s">
        <v>2080</v>
      </c>
      <c r="AF200" s="82">
        <f t="shared" si="27"/>
        <v>0</v>
      </c>
      <c r="AG200" s="79" t="s">
        <v>2079</v>
      </c>
      <c r="AH200" s="81">
        <v>3.2</v>
      </c>
      <c r="AI200" s="65"/>
      <c r="AJ200" s="65"/>
      <c r="AK200" s="65"/>
      <c r="AL200" s="65"/>
      <c r="AM200" s="65"/>
      <c r="AN200" s="65"/>
      <c r="AO200" s="65"/>
      <c r="AP200" s="65"/>
      <c r="AQ200" s="65"/>
    </row>
    <row r="201" spans="1:43">
      <c r="A201" s="61" t="s">
        <v>8520</v>
      </c>
      <c r="X201" s="79" t="s">
        <v>10617</v>
      </c>
      <c r="Y201" s="80">
        <v>80</v>
      </c>
      <c r="Z201" s="81">
        <f t="shared" si="24"/>
        <v>80</v>
      </c>
      <c r="AA201" s="79" t="s">
        <v>2082</v>
      </c>
      <c r="AB201" s="82">
        <f t="shared" si="25"/>
        <v>80</v>
      </c>
      <c r="AC201" s="79" t="s">
        <v>2081</v>
      </c>
      <c r="AD201" s="82">
        <f t="shared" si="26"/>
        <v>0</v>
      </c>
      <c r="AE201" s="79" t="s">
        <v>2080</v>
      </c>
      <c r="AF201" s="82">
        <f t="shared" si="27"/>
        <v>0</v>
      </c>
      <c r="AG201" s="79" t="s">
        <v>2079</v>
      </c>
      <c r="AH201" s="81">
        <v>3.2</v>
      </c>
      <c r="AI201" s="65"/>
      <c r="AJ201" s="65"/>
      <c r="AK201" s="65"/>
      <c r="AL201" s="65"/>
      <c r="AM201" s="65"/>
      <c r="AN201" s="65"/>
      <c r="AO201" s="65"/>
      <c r="AP201" s="65"/>
      <c r="AQ201" s="65"/>
    </row>
    <row r="202" spans="1:43">
      <c r="A202" s="61" t="s">
        <v>8521</v>
      </c>
      <c r="X202" s="79" t="s">
        <v>6895</v>
      </c>
      <c r="Y202" s="80">
        <v>635</v>
      </c>
      <c r="Z202" s="81">
        <f t="shared" si="24"/>
        <v>635</v>
      </c>
      <c r="AA202" s="79" t="s">
        <v>2082</v>
      </c>
      <c r="AB202" s="82">
        <f t="shared" si="25"/>
        <v>635</v>
      </c>
      <c r="AC202" s="79" t="s">
        <v>2081</v>
      </c>
      <c r="AD202" s="82">
        <f t="shared" si="26"/>
        <v>0</v>
      </c>
      <c r="AE202" s="79" t="s">
        <v>2080</v>
      </c>
      <c r="AF202" s="82">
        <f t="shared" si="27"/>
        <v>0</v>
      </c>
      <c r="AG202" s="79" t="s">
        <v>2079</v>
      </c>
      <c r="AH202" s="81">
        <v>25.400000000000002</v>
      </c>
      <c r="AI202" s="65"/>
      <c r="AJ202" s="65"/>
      <c r="AK202" s="65"/>
      <c r="AL202" s="65"/>
      <c r="AM202" s="65"/>
      <c r="AN202" s="65"/>
      <c r="AO202" s="65"/>
      <c r="AP202" s="65"/>
      <c r="AQ202" s="65"/>
    </row>
    <row r="203" spans="1:43">
      <c r="X203" s="79" t="s">
        <v>10618</v>
      </c>
      <c r="Y203" s="80">
        <v>1650</v>
      </c>
      <c r="Z203" s="81">
        <f t="shared" si="24"/>
        <v>1650</v>
      </c>
      <c r="AA203" s="79" t="s">
        <v>2082</v>
      </c>
      <c r="AB203" s="82">
        <f t="shared" si="25"/>
        <v>1650</v>
      </c>
      <c r="AC203" s="79" t="s">
        <v>2081</v>
      </c>
      <c r="AD203" s="82">
        <f t="shared" si="26"/>
        <v>0</v>
      </c>
      <c r="AE203" s="79" t="s">
        <v>2080</v>
      </c>
      <c r="AF203" s="82">
        <f t="shared" si="27"/>
        <v>0</v>
      </c>
      <c r="AG203" s="79" t="s">
        <v>2079</v>
      </c>
      <c r="AH203" s="81">
        <v>66</v>
      </c>
      <c r="AI203" s="65"/>
      <c r="AJ203" s="65"/>
      <c r="AK203" s="65"/>
      <c r="AL203" s="65"/>
      <c r="AM203" s="65"/>
      <c r="AN203" s="65"/>
      <c r="AO203" s="65"/>
      <c r="AP203" s="65"/>
      <c r="AQ203" s="65"/>
    </row>
    <row r="204" spans="1:43">
      <c r="X204" s="79" t="s">
        <v>10619</v>
      </c>
      <c r="Y204" s="80">
        <v>1325</v>
      </c>
      <c r="Z204" s="81">
        <f t="shared" si="24"/>
        <v>1325</v>
      </c>
      <c r="AA204" s="79" t="s">
        <v>2082</v>
      </c>
      <c r="AB204" s="82">
        <f t="shared" si="25"/>
        <v>1325</v>
      </c>
      <c r="AC204" s="79" t="s">
        <v>2081</v>
      </c>
      <c r="AD204" s="82">
        <f t="shared" si="26"/>
        <v>0</v>
      </c>
      <c r="AE204" s="79" t="s">
        <v>2080</v>
      </c>
      <c r="AF204" s="82">
        <f t="shared" si="27"/>
        <v>0</v>
      </c>
      <c r="AG204" s="79" t="s">
        <v>2079</v>
      </c>
      <c r="AH204" s="81">
        <v>53</v>
      </c>
      <c r="AI204" s="65"/>
      <c r="AJ204" s="65"/>
      <c r="AK204" s="65"/>
      <c r="AL204" s="65"/>
      <c r="AM204" s="65"/>
      <c r="AN204" s="65"/>
      <c r="AO204" s="65"/>
      <c r="AP204" s="65"/>
      <c r="AQ204" s="65"/>
    </row>
    <row r="205" spans="1:43">
      <c r="X205" s="79" t="s">
        <v>10620</v>
      </c>
      <c r="Y205" s="80">
        <v>1450</v>
      </c>
      <c r="Z205" s="81">
        <f t="shared" si="24"/>
        <v>1450</v>
      </c>
      <c r="AA205" s="79" t="s">
        <v>2082</v>
      </c>
      <c r="AB205" s="82">
        <f t="shared" si="25"/>
        <v>1450</v>
      </c>
      <c r="AC205" s="79" t="s">
        <v>2081</v>
      </c>
      <c r="AD205" s="82">
        <f t="shared" si="26"/>
        <v>0</v>
      </c>
      <c r="AE205" s="79" t="s">
        <v>2080</v>
      </c>
      <c r="AF205" s="82">
        <f t="shared" si="27"/>
        <v>0</v>
      </c>
      <c r="AG205" s="79" t="s">
        <v>2079</v>
      </c>
      <c r="AH205" s="81">
        <v>58</v>
      </c>
      <c r="AI205" s="65"/>
      <c r="AJ205" s="65"/>
      <c r="AK205" s="65"/>
      <c r="AL205" s="65"/>
      <c r="AM205" s="65"/>
      <c r="AN205" s="65"/>
      <c r="AO205" s="65"/>
      <c r="AP205" s="65"/>
      <c r="AQ205" s="65"/>
    </row>
    <row r="206" spans="1:43">
      <c r="X206" s="79" t="s">
        <v>10621</v>
      </c>
      <c r="Y206" s="80">
        <v>6875.25</v>
      </c>
      <c r="Z206" s="81">
        <f t="shared" si="24"/>
        <v>6875.25</v>
      </c>
      <c r="AA206" s="79" t="s">
        <v>2082</v>
      </c>
      <c r="AB206" s="82">
        <f t="shared" si="25"/>
        <v>6875</v>
      </c>
      <c r="AC206" s="79" t="s">
        <v>2081</v>
      </c>
      <c r="AD206" s="82">
        <f t="shared" si="26"/>
        <v>2</v>
      </c>
      <c r="AE206" s="79" t="s">
        <v>2080</v>
      </c>
      <c r="AF206" s="82">
        <f t="shared" si="27"/>
        <v>5</v>
      </c>
      <c r="AG206" s="79" t="s">
        <v>2079</v>
      </c>
      <c r="AH206" s="81">
        <v>275.01</v>
      </c>
      <c r="AI206" s="65"/>
      <c r="AJ206" s="65"/>
      <c r="AK206" s="65"/>
      <c r="AL206" s="65"/>
      <c r="AM206" s="65"/>
      <c r="AN206" s="65"/>
      <c r="AO206" s="65"/>
      <c r="AP206" s="65"/>
      <c r="AQ206" s="65"/>
    </row>
    <row r="207" spans="1:43">
      <c r="X207" s="79" t="s">
        <v>10622</v>
      </c>
      <c r="Y207" s="80">
        <v>83750.25</v>
      </c>
      <c r="Z207" s="81">
        <f t="shared" si="24"/>
        <v>83750.25</v>
      </c>
      <c r="AA207" s="79" t="s">
        <v>2082</v>
      </c>
      <c r="AB207" s="82">
        <f t="shared" si="25"/>
        <v>83750</v>
      </c>
      <c r="AC207" s="79" t="s">
        <v>2081</v>
      </c>
      <c r="AD207" s="82">
        <f t="shared" si="26"/>
        <v>2</v>
      </c>
      <c r="AE207" s="79" t="s">
        <v>2080</v>
      </c>
      <c r="AF207" s="82">
        <f t="shared" si="27"/>
        <v>5</v>
      </c>
      <c r="AG207" s="79" t="s">
        <v>2079</v>
      </c>
      <c r="AH207" s="81">
        <v>3350.01</v>
      </c>
      <c r="AI207" s="65"/>
      <c r="AJ207" s="65"/>
      <c r="AK207" s="65"/>
      <c r="AL207" s="65"/>
      <c r="AM207" s="65"/>
      <c r="AN207" s="65"/>
      <c r="AO207" s="65"/>
      <c r="AP207" s="65"/>
      <c r="AQ207" s="65"/>
    </row>
    <row r="208" spans="1:43">
      <c r="X208" s="79" t="s">
        <v>10623</v>
      </c>
      <c r="Y208" s="80">
        <v>19375.125</v>
      </c>
      <c r="Z208" s="81">
        <f t="shared" si="24"/>
        <v>19375.125</v>
      </c>
      <c r="AA208" s="79" t="s">
        <v>2082</v>
      </c>
      <c r="AB208" s="82">
        <f t="shared" si="25"/>
        <v>19375</v>
      </c>
      <c r="AC208" s="79" t="s">
        <v>2081</v>
      </c>
      <c r="AD208" s="82">
        <f t="shared" si="26"/>
        <v>1</v>
      </c>
      <c r="AE208" s="79" t="s">
        <v>2080</v>
      </c>
      <c r="AF208" s="82">
        <f t="shared" si="27"/>
        <v>2.5</v>
      </c>
      <c r="AG208" s="79" t="s">
        <v>2079</v>
      </c>
      <c r="AH208" s="81">
        <v>775</v>
      </c>
      <c r="AI208" s="65"/>
      <c r="AJ208" s="65"/>
      <c r="AK208" s="65"/>
      <c r="AL208" s="65"/>
      <c r="AM208" s="65"/>
      <c r="AN208" s="65"/>
      <c r="AO208" s="65"/>
      <c r="AP208" s="65"/>
      <c r="AQ208" s="65"/>
    </row>
    <row r="209" spans="24:43">
      <c r="X209" s="79" t="s">
        <v>10624</v>
      </c>
      <c r="Y209" s="80">
        <v>6875.25</v>
      </c>
      <c r="Z209" s="81">
        <f t="shared" si="24"/>
        <v>6875.25</v>
      </c>
      <c r="AA209" s="79" t="s">
        <v>2082</v>
      </c>
      <c r="AB209" s="82">
        <f t="shared" si="25"/>
        <v>6875</v>
      </c>
      <c r="AC209" s="79" t="s">
        <v>2081</v>
      </c>
      <c r="AD209" s="82">
        <f t="shared" si="26"/>
        <v>2</v>
      </c>
      <c r="AE209" s="79" t="s">
        <v>2080</v>
      </c>
      <c r="AF209" s="82">
        <f t="shared" si="27"/>
        <v>5</v>
      </c>
      <c r="AG209" s="79" t="s">
        <v>2079</v>
      </c>
      <c r="AH209" s="81">
        <v>275.01</v>
      </c>
      <c r="AI209" s="65"/>
      <c r="AJ209" s="65"/>
      <c r="AK209" s="65"/>
      <c r="AL209" s="65"/>
      <c r="AM209" s="65"/>
      <c r="AN209" s="65"/>
      <c r="AO209" s="65"/>
      <c r="AP209" s="65"/>
      <c r="AQ209" s="65"/>
    </row>
    <row r="210" spans="24:43">
      <c r="X210" s="79" t="s">
        <v>10625</v>
      </c>
      <c r="Y210" s="80">
        <v>3737.625</v>
      </c>
      <c r="Z210" s="81">
        <f t="shared" si="24"/>
        <v>3737.625</v>
      </c>
      <c r="AA210" s="79" t="s">
        <v>2082</v>
      </c>
      <c r="AB210" s="82">
        <f t="shared" si="25"/>
        <v>3737</v>
      </c>
      <c r="AC210" s="79" t="s">
        <v>2081</v>
      </c>
      <c r="AD210" s="82">
        <f t="shared" si="26"/>
        <v>6</v>
      </c>
      <c r="AE210" s="79" t="s">
        <v>2080</v>
      </c>
      <c r="AF210" s="82">
        <f t="shared" si="27"/>
        <v>2.5</v>
      </c>
      <c r="AG210" s="79" t="s">
        <v>2079</v>
      </c>
      <c r="AH210" s="81">
        <v>149.5</v>
      </c>
      <c r="AI210" s="65"/>
      <c r="AJ210" s="65"/>
      <c r="AK210" s="65"/>
      <c r="AL210" s="65"/>
      <c r="AM210" s="65"/>
      <c r="AN210" s="65"/>
      <c r="AO210" s="65"/>
      <c r="AP210" s="65"/>
      <c r="AQ210" s="65"/>
    </row>
    <row r="211" spans="24:43">
      <c r="X211" s="79" t="s">
        <v>10626</v>
      </c>
      <c r="Y211" s="80">
        <v>3450.125</v>
      </c>
      <c r="Z211" s="81">
        <f t="shared" si="24"/>
        <v>3450.125</v>
      </c>
      <c r="AA211" s="79" t="s">
        <v>2082</v>
      </c>
      <c r="AB211" s="82">
        <f t="shared" si="25"/>
        <v>3450</v>
      </c>
      <c r="AC211" s="79" t="s">
        <v>2081</v>
      </c>
      <c r="AD211" s="82">
        <f t="shared" si="26"/>
        <v>1</v>
      </c>
      <c r="AE211" s="79" t="s">
        <v>2080</v>
      </c>
      <c r="AF211" s="82">
        <f t="shared" si="27"/>
        <v>2.5</v>
      </c>
      <c r="AG211" s="79" t="s">
        <v>2079</v>
      </c>
      <c r="AH211" s="81">
        <v>138</v>
      </c>
      <c r="AI211" s="65"/>
      <c r="AJ211" s="65"/>
      <c r="AK211" s="65"/>
      <c r="AL211" s="65"/>
      <c r="AM211" s="65"/>
      <c r="AN211" s="65"/>
      <c r="AO211" s="65"/>
      <c r="AP211" s="65"/>
      <c r="AQ211" s="65"/>
    </row>
    <row r="212" spans="24:43">
      <c r="X212" s="79" t="s">
        <v>10627</v>
      </c>
      <c r="Y212" s="80">
        <v>42.5</v>
      </c>
      <c r="Z212" s="81">
        <f t="shared" si="24"/>
        <v>42.5</v>
      </c>
      <c r="AA212" s="79" t="s">
        <v>2082</v>
      </c>
      <c r="AB212" s="82">
        <f t="shared" si="25"/>
        <v>42</v>
      </c>
      <c r="AC212" s="79" t="s">
        <v>2081</v>
      </c>
      <c r="AD212" s="82">
        <f t="shared" si="26"/>
        <v>5</v>
      </c>
      <c r="AE212" s="79" t="s">
        <v>2080</v>
      </c>
      <c r="AF212" s="82">
        <f t="shared" si="27"/>
        <v>0</v>
      </c>
      <c r="AG212" s="79" t="s">
        <v>2079</v>
      </c>
      <c r="AH212" s="81">
        <v>1.7</v>
      </c>
      <c r="AI212" s="65"/>
      <c r="AJ212" s="65"/>
      <c r="AK212" s="65"/>
      <c r="AL212" s="65"/>
      <c r="AM212" s="65"/>
      <c r="AN212" s="65"/>
      <c r="AO212" s="65"/>
      <c r="AP212" s="65"/>
      <c r="AQ212" s="65"/>
    </row>
    <row r="213" spans="24:43">
      <c r="X213" s="79" t="s">
        <v>10628</v>
      </c>
      <c r="Y213" s="80">
        <v>42.5</v>
      </c>
      <c r="Z213" s="81">
        <f t="shared" si="24"/>
        <v>42.5</v>
      </c>
      <c r="AA213" s="79" t="s">
        <v>2082</v>
      </c>
      <c r="AB213" s="82">
        <f t="shared" si="25"/>
        <v>42</v>
      </c>
      <c r="AC213" s="79" t="s">
        <v>2081</v>
      </c>
      <c r="AD213" s="82">
        <f t="shared" si="26"/>
        <v>5</v>
      </c>
      <c r="AE213" s="79" t="s">
        <v>2080</v>
      </c>
      <c r="AF213" s="82">
        <f t="shared" si="27"/>
        <v>0</v>
      </c>
      <c r="AG213" s="79" t="s">
        <v>2079</v>
      </c>
      <c r="AH213" s="81">
        <v>1.7</v>
      </c>
      <c r="AI213" s="65"/>
      <c r="AJ213" s="65"/>
      <c r="AK213" s="65"/>
      <c r="AL213" s="65"/>
      <c r="AM213" s="65"/>
      <c r="AN213" s="65"/>
      <c r="AO213" s="65"/>
      <c r="AP213" s="65"/>
      <c r="AQ213" s="65"/>
    </row>
    <row r="214" spans="24:43">
      <c r="X214" s="79" t="s">
        <v>10629</v>
      </c>
      <c r="Y214" s="80">
        <v>60</v>
      </c>
      <c r="Z214" s="81">
        <f t="shared" si="24"/>
        <v>60</v>
      </c>
      <c r="AA214" s="79" t="s">
        <v>2082</v>
      </c>
      <c r="AB214" s="82">
        <f t="shared" si="25"/>
        <v>60</v>
      </c>
      <c r="AC214" s="79" t="s">
        <v>2081</v>
      </c>
      <c r="AD214" s="82">
        <f t="shared" si="26"/>
        <v>0</v>
      </c>
      <c r="AE214" s="79" t="s">
        <v>2080</v>
      </c>
      <c r="AF214" s="82">
        <f t="shared" si="27"/>
        <v>0</v>
      </c>
      <c r="AG214" s="79" t="s">
        <v>2079</v>
      </c>
      <c r="AH214" s="81">
        <v>2.4</v>
      </c>
      <c r="AI214" s="65"/>
      <c r="AJ214" s="65"/>
      <c r="AK214" s="65"/>
      <c r="AL214" s="65"/>
      <c r="AM214" s="65"/>
      <c r="AN214" s="65"/>
      <c r="AO214" s="65"/>
      <c r="AP214" s="65"/>
      <c r="AQ214" s="65"/>
    </row>
    <row r="215" spans="24:43">
      <c r="X215" s="79" t="s">
        <v>10629</v>
      </c>
      <c r="Y215" s="80">
        <v>60</v>
      </c>
      <c r="Z215" s="81">
        <f t="shared" si="24"/>
        <v>60</v>
      </c>
      <c r="AA215" s="79" t="s">
        <v>2082</v>
      </c>
      <c r="AB215" s="82">
        <f t="shared" si="25"/>
        <v>60</v>
      </c>
      <c r="AC215" s="79" t="s">
        <v>2081</v>
      </c>
      <c r="AD215" s="82">
        <f t="shared" si="26"/>
        <v>0</v>
      </c>
      <c r="AE215" s="79" t="s">
        <v>2080</v>
      </c>
      <c r="AF215" s="82">
        <f t="shared" si="27"/>
        <v>0</v>
      </c>
      <c r="AG215" s="79" t="s">
        <v>2079</v>
      </c>
      <c r="AH215" s="81">
        <v>2.4</v>
      </c>
      <c r="AI215" s="65"/>
      <c r="AJ215" s="65"/>
      <c r="AK215" s="65"/>
      <c r="AL215" s="65"/>
      <c r="AM215" s="65"/>
      <c r="AN215" s="65"/>
      <c r="AO215" s="65"/>
      <c r="AP215" s="65"/>
      <c r="AQ215" s="65"/>
    </row>
    <row r="216" spans="24:43">
      <c r="X216" s="79" t="s">
        <v>10630</v>
      </c>
      <c r="Y216" s="80">
        <v>325.25</v>
      </c>
      <c r="Z216" s="81">
        <f t="shared" si="24"/>
        <v>325.25</v>
      </c>
      <c r="AA216" s="79" t="s">
        <v>2082</v>
      </c>
      <c r="AB216" s="82">
        <f t="shared" si="25"/>
        <v>325</v>
      </c>
      <c r="AC216" s="79" t="s">
        <v>2081</v>
      </c>
      <c r="AD216" s="82">
        <f t="shared" si="26"/>
        <v>2</v>
      </c>
      <c r="AE216" s="79" t="s">
        <v>2080</v>
      </c>
      <c r="AF216" s="82">
        <f t="shared" si="27"/>
        <v>5</v>
      </c>
      <c r="AG216" s="79" t="s">
        <v>2079</v>
      </c>
      <c r="AH216" s="81">
        <v>13.01</v>
      </c>
      <c r="AI216" s="65"/>
      <c r="AJ216" s="65"/>
      <c r="AK216" s="65"/>
      <c r="AL216" s="65"/>
      <c r="AM216" s="65"/>
      <c r="AN216" s="65"/>
      <c r="AO216" s="65"/>
      <c r="AP216" s="65"/>
      <c r="AQ216" s="65"/>
    </row>
    <row r="217" spans="24:43">
      <c r="X217" s="79" t="s">
        <v>10631</v>
      </c>
      <c r="Y217" s="80">
        <v>5800</v>
      </c>
      <c r="Z217" s="81">
        <f t="shared" si="24"/>
        <v>5800</v>
      </c>
      <c r="AA217" s="79" t="s">
        <v>2082</v>
      </c>
      <c r="AB217" s="82">
        <f t="shared" si="25"/>
        <v>5800</v>
      </c>
      <c r="AC217" s="79" t="s">
        <v>2081</v>
      </c>
      <c r="AD217" s="82">
        <f t="shared" si="26"/>
        <v>0</v>
      </c>
      <c r="AE217" s="79" t="s">
        <v>2080</v>
      </c>
      <c r="AF217" s="82">
        <f t="shared" si="27"/>
        <v>0</v>
      </c>
      <c r="AG217" s="79" t="s">
        <v>2079</v>
      </c>
      <c r="AH217" s="81">
        <v>232</v>
      </c>
      <c r="AI217" s="65"/>
      <c r="AJ217" s="65"/>
      <c r="AK217" s="65"/>
      <c r="AL217" s="65"/>
      <c r="AM217" s="65"/>
      <c r="AN217" s="65"/>
      <c r="AO217" s="65"/>
      <c r="AP217" s="65"/>
      <c r="AQ217" s="65"/>
    </row>
    <row r="218" spans="24:43">
      <c r="X218" s="79" t="s">
        <v>10632</v>
      </c>
      <c r="Y218" s="80">
        <v>4800</v>
      </c>
      <c r="Z218" s="81">
        <f t="shared" si="24"/>
        <v>4800</v>
      </c>
      <c r="AA218" s="79" t="s">
        <v>2082</v>
      </c>
      <c r="AB218" s="82">
        <f t="shared" si="25"/>
        <v>4800</v>
      </c>
      <c r="AC218" s="79" t="s">
        <v>2081</v>
      </c>
      <c r="AD218" s="82">
        <f t="shared" si="26"/>
        <v>0</v>
      </c>
      <c r="AE218" s="79" t="s">
        <v>2080</v>
      </c>
      <c r="AF218" s="82">
        <f t="shared" si="27"/>
        <v>0</v>
      </c>
      <c r="AG218" s="79" t="s">
        <v>2079</v>
      </c>
      <c r="AH218" s="81">
        <v>192</v>
      </c>
      <c r="AI218" s="65"/>
      <c r="AJ218" s="65"/>
      <c r="AK218" s="65"/>
      <c r="AL218" s="65"/>
      <c r="AM218" s="65"/>
      <c r="AN218" s="65"/>
      <c r="AO218" s="65"/>
      <c r="AP218" s="65"/>
      <c r="AQ218" s="65"/>
    </row>
    <row r="219" spans="24:43">
      <c r="X219" s="79" t="s">
        <v>10633</v>
      </c>
      <c r="Y219" s="80">
        <v>2800</v>
      </c>
      <c r="Z219" s="81">
        <f t="shared" si="24"/>
        <v>2800</v>
      </c>
      <c r="AA219" s="79" t="s">
        <v>2082</v>
      </c>
      <c r="AB219" s="82">
        <f t="shared" si="25"/>
        <v>2800</v>
      </c>
      <c r="AC219" s="79" t="s">
        <v>2081</v>
      </c>
      <c r="AD219" s="82">
        <f t="shared" si="26"/>
        <v>0</v>
      </c>
      <c r="AE219" s="79" t="s">
        <v>2080</v>
      </c>
      <c r="AF219" s="82">
        <f t="shared" si="27"/>
        <v>0</v>
      </c>
      <c r="AG219" s="79" t="s">
        <v>2079</v>
      </c>
      <c r="AH219" s="81">
        <v>112</v>
      </c>
      <c r="AI219" s="65"/>
      <c r="AJ219" s="65"/>
      <c r="AK219" s="65"/>
      <c r="AL219" s="65"/>
      <c r="AM219" s="65"/>
      <c r="AN219" s="65"/>
      <c r="AO219" s="65"/>
      <c r="AP219" s="65"/>
      <c r="AQ219" s="65"/>
    </row>
    <row r="220" spans="24:43">
      <c r="X220" s="79" t="s">
        <v>10634</v>
      </c>
      <c r="Y220" s="80">
        <v>12500</v>
      </c>
      <c r="Z220" s="81">
        <f t="shared" si="24"/>
        <v>12500</v>
      </c>
      <c r="AA220" s="79" t="s">
        <v>2082</v>
      </c>
      <c r="AB220" s="82">
        <f t="shared" si="25"/>
        <v>12500</v>
      </c>
      <c r="AC220" s="79" t="s">
        <v>2081</v>
      </c>
      <c r="AD220" s="82">
        <f t="shared" si="26"/>
        <v>0</v>
      </c>
      <c r="AE220" s="79" t="s">
        <v>2080</v>
      </c>
      <c r="AF220" s="82">
        <f t="shared" si="27"/>
        <v>0</v>
      </c>
      <c r="AG220" s="79" t="s">
        <v>2079</v>
      </c>
      <c r="AH220" s="81">
        <v>500</v>
      </c>
      <c r="AI220" s="65"/>
      <c r="AJ220" s="65"/>
      <c r="AK220" s="65"/>
      <c r="AL220" s="65"/>
      <c r="AM220" s="65"/>
      <c r="AN220" s="65"/>
      <c r="AO220" s="65"/>
      <c r="AP220" s="65"/>
      <c r="AQ220" s="65"/>
    </row>
    <row r="221" spans="24:43">
      <c r="X221" s="79" t="s">
        <v>10635</v>
      </c>
      <c r="Y221" s="80">
        <v>2700</v>
      </c>
      <c r="Z221" s="81">
        <f t="shared" si="24"/>
        <v>2700</v>
      </c>
      <c r="AA221" s="79" t="s">
        <v>2082</v>
      </c>
      <c r="AB221" s="82">
        <f t="shared" si="25"/>
        <v>2700</v>
      </c>
      <c r="AC221" s="79" t="s">
        <v>2081</v>
      </c>
      <c r="AD221" s="82">
        <f t="shared" si="26"/>
        <v>0</v>
      </c>
      <c r="AE221" s="79" t="s">
        <v>2080</v>
      </c>
      <c r="AF221" s="82">
        <f t="shared" si="27"/>
        <v>0</v>
      </c>
      <c r="AG221" s="79" t="s">
        <v>2079</v>
      </c>
      <c r="AH221" s="81">
        <v>108</v>
      </c>
      <c r="AI221" s="65"/>
      <c r="AJ221" s="65"/>
      <c r="AK221" s="65"/>
      <c r="AL221" s="65"/>
      <c r="AM221" s="65"/>
      <c r="AN221" s="65"/>
      <c r="AO221" s="65"/>
      <c r="AP221" s="65"/>
      <c r="AQ221" s="65"/>
    </row>
    <row r="222" spans="24:43">
      <c r="X222" s="79" t="s">
        <v>10636</v>
      </c>
      <c r="Y222" s="80">
        <v>3000</v>
      </c>
      <c r="Z222" s="81">
        <f t="shared" si="24"/>
        <v>3000</v>
      </c>
      <c r="AA222" s="79" t="s">
        <v>2082</v>
      </c>
      <c r="AB222" s="82">
        <f t="shared" si="25"/>
        <v>3000</v>
      </c>
      <c r="AC222" s="79" t="s">
        <v>2081</v>
      </c>
      <c r="AD222" s="82">
        <f t="shared" si="26"/>
        <v>0</v>
      </c>
      <c r="AE222" s="79" t="s">
        <v>2080</v>
      </c>
      <c r="AF222" s="82">
        <f t="shared" si="27"/>
        <v>0</v>
      </c>
      <c r="AG222" s="79" t="s">
        <v>2079</v>
      </c>
      <c r="AH222" s="81">
        <v>120</v>
      </c>
      <c r="AI222" s="65"/>
      <c r="AJ222" s="65"/>
      <c r="AK222" s="65"/>
      <c r="AL222" s="65"/>
      <c r="AM222" s="65"/>
      <c r="AN222" s="65"/>
      <c r="AO222" s="65"/>
      <c r="AP222" s="65"/>
      <c r="AQ222" s="65"/>
    </row>
    <row r="223" spans="24:43">
      <c r="X223" s="79" t="s">
        <v>10637</v>
      </c>
      <c r="Y223" s="80">
        <v>5500</v>
      </c>
      <c r="Z223" s="81">
        <f t="shared" si="24"/>
        <v>5500</v>
      </c>
      <c r="AA223" s="79" t="s">
        <v>2082</v>
      </c>
      <c r="AB223" s="82">
        <f t="shared" si="25"/>
        <v>5500</v>
      </c>
      <c r="AC223" s="79" t="s">
        <v>2081</v>
      </c>
      <c r="AD223" s="82">
        <f t="shared" si="26"/>
        <v>0</v>
      </c>
      <c r="AE223" s="79" t="s">
        <v>2080</v>
      </c>
      <c r="AF223" s="82">
        <f t="shared" si="27"/>
        <v>0</v>
      </c>
      <c r="AG223" s="79" t="s">
        <v>2079</v>
      </c>
      <c r="AH223" s="81">
        <v>220</v>
      </c>
      <c r="AI223" s="65"/>
      <c r="AJ223" s="65"/>
      <c r="AK223" s="65"/>
      <c r="AL223" s="65"/>
      <c r="AM223" s="65"/>
      <c r="AN223" s="65"/>
      <c r="AO223" s="65"/>
      <c r="AP223" s="65"/>
      <c r="AQ223" s="65"/>
    </row>
    <row r="224" spans="24:43">
      <c r="X224" s="79" t="s">
        <v>10638</v>
      </c>
      <c r="Y224" s="80">
        <v>78250</v>
      </c>
      <c r="Z224" s="81">
        <f t="shared" si="24"/>
        <v>78250</v>
      </c>
      <c r="AA224" s="79" t="s">
        <v>2082</v>
      </c>
      <c r="AB224" s="82">
        <f t="shared" si="25"/>
        <v>78250</v>
      </c>
      <c r="AC224" s="79" t="s">
        <v>2081</v>
      </c>
      <c r="AD224" s="82">
        <f t="shared" si="26"/>
        <v>0</v>
      </c>
      <c r="AE224" s="79" t="s">
        <v>2080</v>
      </c>
      <c r="AF224" s="82">
        <f t="shared" si="27"/>
        <v>0</v>
      </c>
      <c r="AG224" s="79" t="s">
        <v>2079</v>
      </c>
      <c r="AH224" s="81">
        <v>3130</v>
      </c>
      <c r="AI224" s="65"/>
      <c r="AJ224" s="65"/>
      <c r="AK224" s="65"/>
      <c r="AL224" s="65"/>
      <c r="AM224" s="65"/>
      <c r="AN224" s="65"/>
      <c r="AO224" s="65"/>
      <c r="AP224" s="65"/>
      <c r="AQ224" s="65"/>
    </row>
    <row r="225" spans="24:43">
      <c r="X225" s="79" t="s">
        <v>10639</v>
      </c>
      <c r="Y225" s="80">
        <v>3100</v>
      </c>
      <c r="Z225" s="81">
        <f t="shared" si="24"/>
        <v>3100</v>
      </c>
      <c r="AA225" s="79" t="s">
        <v>2082</v>
      </c>
      <c r="AB225" s="82">
        <f t="shared" si="25"/>
        <v>3100</v>
      </c>
      <c r="AC225" s="79" t="s">
        <v>2081</v>
      </c>
      <c r="AD225" s="82">
        <f t="shared" si="26"/>
        <v>0</v>
      </c>
      <c r="AE225" s="79" t="s">
        <v>2080</v>
      </c>
      <c r="AF225" s="82">
        <f t="shared" si="27"/>
        <v>0</v>
      </c>
      <c r="AG225" s="79" t="s">
        <v>2079</v>
      </c>
      <c r="AH225" s="81">
        <v>124</v>
      </c>
      <c r="AI225" s="65"/>
      <c r="AJ225" s="65"/>
      <c r="AK225" s="65"/>
      <c r="AL225" s="65"/>
      <c r="AM225" s="65"/>
      <c r="AN225" s="65"/>
      <c r="AO225" s="65"/>
      <c r="AP225" s="65"/>
      <c r="AQ225" s="65"/>
    </row>
    <row r="226" spans="24:43">
      <c r="X226" s="79" t="s">
        <v>10640</v>
      </c>
      <c r="Y226" s="80">
        <v>5500</v>
      </c>
      <c r="Z226" s="81">
        <f t="shared" si="24"/>
        <v>5500</v>
      </c>
      <c r="AA226" s="79" t="s">
        <v>2082</v>
      </c>
      <c r="AB226" s="82">
        <f t="shared" si="25"/>
        <v>5500</v>
      </c>
      <c r="AC226" s="79" t="s">
        <v>2081</v>
      </c>
      <c r="AD226" s="82">
        <f t="shared" si="26"/>
        <v>0</v>
      </c>
      <c r="AE226" s="79" t="s">
        <v>2080</v>
      </c>
      <c r="AF226" s="82">
        <f t="shared" si="27"/>
        <v>0</v>
      </c>
      <c r="AG226" s="79" t="s">
        <v>2079</v>
      </c>
      <c r="AH226" s="81">
        <v>220</v>
      </c>
      <c r="AI226" s="65"/>
      <c r="AJ226" s="65"/>
      <c r="AK226" s="65"/>
      <c r="AL226" s="65"/>
      <c r="AM226" s="65"/>
      <c r="AN226" s="65"/>
      <c r="AO226" s="65"/>
      <c r="AP226" s="65"/>
      <c r="AQ226" s="65"/>
    </row>
    <row r="227" spans="24:43">
      <c r="X227" s="79" t="s">
        <v>10641</v>
      </c>
      <c r="Y227" s="80">
        <v>2690</v>
      </c>
      <c r="Z227" s="81">
        <f t="shared" si="24"/>
        <v>2690</v>
      </c>
      <c r="AA227" s="79" t="s">
        <v>2082</v>
      </c>
      <c r="AB227" s="82">
        <f t="shared" si="25"/>
        <v>2690</v>
      </c>
      <c r="AC227" s="79" t="s">
        <v>2081</v>
      </c>
      <c r="AD227" s="82">
        <f t="shared" si="26"/>
        <v>0</v>
      </c>
      <c r="AE227" s="79" t="s">
        <v>2080</v>
      </c>
      <c r="AF227" s="82">
        <f t="shared" si="27"/>
        <v>0</v>
      </c>
      <c r="AG227" s="79" t="s">
        <v>2079</v>
      </c>
      <c r="AH227" s="81">
        <v>107.60000000000001</v>
      </c>
      <c r="AI227" s="65"/>
      <c r="AJ227" s="65"/>
      <c r="AK227" s="65"/>
      <c r="AL227" s="65"/>
      <c r="AM227" s="65"/>
      <c r="AN227" s="65"/>
      <c r="AO227" s="65"/>
      <c r="AP227" s="65"/>
      <c r="AQ227" s="65"/>
    </row>
    <row r="228" spans="24:43">
      <c r="X228" s="79" t="s">
        <v>10642</v>
      </c>
      <c r="Y228" s="80">
        <v>412.625</v>
      </c>
      <c r="Z228" s="81">
        <f t="shared" si="24"/>
        <v>412.625</v>
      </c>
      <c r="AA228" s="79" t="s">
        <v>2082</v>
      </c>
      <c r="AB228" s="82">
        <f t="shared" si="25"/>
        <v>412</v>
      </c>
      <c r="AC228" s="79" t="s">
        <v>2081</v>
      </c>
      <c r="AD228" s="82">
        <f t="shared" si="26"/>
        <v>6</v>
      </c>
      <c r="AE228" s="79" t="s">
        <v>2080</v>
      </c>
      <c r="AF228" s="82">
        <f t="shared" si="27"/>
        <v>2.5</v>
      </c>
      <c r="AG228" s="79" t="s">
        <v>2079</v>
      </c>
      <c r="AH228" s="81">
        <v>16.5</v>
      </c>
      <c r="AI228" s="65"/>
      <c r="AJ228" s="65"/>
      <c r="AK228" s="65"/>
      <c r="AL228" s="65"/>
      <c r="AM228" s="65"/>
      <c r="AN228" s="65"/>
      <c r="AO228" s="65"/>
      <c r="AP228" s="65"/>
      <c r="AQ228" s="65"/>
    </row>
    <row r="229" spans="24:43">
      <c r="X229" s="79" t="s">
        <v>9690</v>
      </c>
      <c r="Y229" s="80">
        <v>5000</v>
      </c>
      <c r="Z229" s="81">
        <f t="shared" si="24"/>
        <v>5000</v>
      </c>
      <c r="AA229" s="79" t="s">
        <v>2082</v>
      </c>
      <c r="AB229" s="82">
        <f t="shared" si="25"/>
        <v>5000</v>
      </c>
      <c r="AC229" s="79" t="s">
        <v>2081</v>
      </c>
      <c r="AD229" s="82">
        <f t="shared" si="26"/>
        <v>0</v>
      </c>
      <c r="AE229" s="79" t="s">
        <v>2080</v>
      </c>
      <c r="AF229" s="82">
        <f t="shared" si="27"/>
        <v>0</v>
      </c>
      <c r="AG229" s="79" t="s">
        <v>2079</v>
      </c>
      <c r="AH229" s="81">
        <v>200</v>
      </c>
      <c r="AI229" s="65"/>
      <c r="AJ229" s="65"/>
      <c r="AK229" s="65"/>
      <c r="AL229" s="65"/>
      <c r="AM229" s="65"/>
      <c r="AN229" s="65"/>
      <c r="AO229" s="65"/>
      <c r="AP229" s="65"/>
      <c r="AQ229" s="65"/>
    </row>
    <row r="230" spans="24:43">
      <c r="X230" s="79" t="s">
        <v>10643</v>
      </c>
      <c r="Y230" s="80">
        <v>5812.625</v>
      </c>
      <c r="Z230" s="81">
        <f t="shared" si="24"/>
        <v>5812.625</v>
      </c>
      <c r="AA230" s="79" t="s">
        <v>2082</v>
      </c>
      <c r="AB230" s="82">
        <f t="shared" si="25"/>
        <v>5812</v>
      </c>
      <c r="AC230" s="79" t="s">
        <v>2081</v>
      </c>
      <c r="AD230" s="82">
        <f t="shared" si="26"/>
        <v>6</v>
      </c>
      <c r="AE230" s="79" t="s">
        <v>2080</v>
      </c>
      <c r="AF230" s="82">
        <f t="shared" si="27"/>
        <v>2.5</v>
      </c>
      <c r="AG230" s="79" t="s">
        <v>2079</v>
      </c>
      <c r="AH230" s="81">
        <v>232.5</v>
      </c>
      <c r="AI230" s="65"/>
      <c r="AJ230" s="65"/>
      <c r="AK230" s="65"/>
      <c r="AL230" s="65"/>
      <c r="AM230" s="65"/>
      <c r="AN230" s="65"/>
      <c r="AO230" s="65"/>
      <c r="AP230" s="65"/>
      <c r="AQ230" s="65"/>
    </row>
    <row r="231" spans="24:43">
      <c r="X231" s="79" t="s">
        <v>7155</v>
      </c>
      <c r="Y231" s="80">
        <v>7375</v>
      </c>
      <c r="Z231" s="81">
        <f t="shared" si="24"/>
        <v>7375</v>
      </c>
      <c r="AA231" s="79" t="s">
        <v>2082</v>
      </c>
      <c r="AB231" s="82">
        <f t="shared" si="25"/>
        <v>7375</v>
      </c>
      <c r="AC231" s="79" t="s">
        <v>2081</v>
      </c>
      <c r="AD231" s="82">
        <f t="shared" si="26"/>
        <v>0</v>
      </c>
      <c r="AE231" s="79" t="s">
        <v>2080</v>
      </c>
      <c r="AF231" s="82">
        <f t="shared" si="27"/>
        <v>0</v>
      </c>
      <c r="AG231" s="79" t="s">
        <v>2079</v>
      </c>
      <c r="AH231" s="81">
        <v>295</v>
      </c>
      <c r="AI231" s="65"/>
      <c r="AJ231" s="65"/>
      <c r="AK231" s="65"/>
      <c r="AL231" s="65"/>
      <c r="AM231" s="65"/>
      <c r="AN231" s="65"/>
      <c r="AO231" s="65"/>
      <c r="AP231" s="65"/>
      <c r="AQ231" s="65"/>
    </row>
    <row r="232" spans="24:43">
      <c r="X232" s="79" t="s">
        <v>10644</v>
      </c>
      <c r="Y232" s="80">
        <v>6600</v>
      </c>
      <c r="Z232" s="81">
        <f t="shared" si="24"/>
        <v>6600</v>
      </c>
      <c r="AA232" s="79" t="s">
        <v>2082</v>
      </c>
      <c r="AB232" s="82">
        <f t="shared" si="25"/>
        <v>6600</v>
      </c>
      <c r="AC232" s="79" t="s">
        <v>2081</v>
      </c>
      <c r="AD232" s="82">
        <f t="shared" si="26"/>
        <v>0</v>
      </c>
      <c r="AE232" s="79" t="s">
        <v>2080</v>
      </c>
      <c r="AF232" s="82">
        <f t="shared" si="27"/>
        <v>0</v>
      </c>
      <c r="AG232" s="79" t="s">
        <v>2079</v>
      </c>
      <c r="AH232" s="81">
        <v>264</v>
      </c>
      <c r="AI232" s="65"/>
      <c r="AJ232" s="65"/>
      <c r="AK232" s="65"/>
      <c r="AL232" s="65"/>
      <c r="AM232" s="65"/>
      <c r="AN232" s="65"/>
      <c r="AO232" s="65"/>
      <c r="AP232" s="65"/>
      <c r="AQ232" s="65"/>
    </row>
    <row r="233" spans="24:43">
      <c r="X233" s="79" t="s">
        <v>10645</v>
      </c>
      <c r="Y233" s="80">
        <v>6875.25</v>
      </c>
      <c r="Z233" s="81">
        <f t="shared" si="24"/>
        <v>6875.25</v>
      </c>
      <c r="AA233" s="79" t="s">
        <v>2082</v>
      </c>
      <c r="AB233" s="82">
        <f t="shared" si="25"/>
        <v>6875</v>
      </c>
      <c r="AC233" s="79" t="s">
        <v>2081</v>
      </c>
      <c r="AD233" s="82">
        <f t="shared" si="26"/>
        <v>2</v>
      </c>
      <c r="AE233" s="79" t="s">
        <v>2080</v>
      </c>
      <c r="AF233" s="82">
        <f t="shared" si="27"/>
        <v>5</v>
      </c>
      <c r="AG233" s="79" t="s">
        <v>2079</v>
      </c>
      <c r="AH233" s="81">
        <v>275.01</v>
      </c>
      <c r="AI233" s="65"/>
      <c r="AJ233" s="65"/>
      <c r="AK233" s="65"/>
      <c r="AL233" s="65"/>
      <c r="AM233" s="65"/>
      <c r="AN233" s="65"/>
      <c r="AO233" s="65"/>
      <c r="AP233" s="65"/>
      <c r="AQ233" s="65"/>
    </row>
    <row r="234" spans="24:43">
      <c r="X234" s="79" t="s">
        <v>10646</v>
      </c>
      <c r="Y234" s="80">
        <v>6875.25</v>
      </c>
      <c r="Z234" s="81">
        <f t="shared" si="24"/>
        <v>6875.25</v>
      </c>
      <c r="AA234" s="79" t="s">
        <v>2082</v>
      </c>
      <c r="AB234" s="82">
        <f t="shared" si="25"/>
        <v>6875</v>
      </c>
      <c r="AC234" s="79" t="s">
        <v>2081</v>
      </c>
      <c r="AD234" s="82">
        <f t="shared" si="26"/>
        <v>2</v>
      </c>
      <c r="AE234" s="79" t="s">
        <v>2080</v>
      </c>
      <c r="AF234" s="82">
        <f t="shared" si="27"/>
        <v>5</v>
      </c>
      <c r="AG234" s="79" t="s">
        <v>2079</v>
      </c>
      <c r="AH234" s="81">
        <v>275.01</v>
      </c>
      <c r="AI234" s="65"/>
      <c r="AJ234" s="65"/>
      <c r="AK234" s="65"/>
      <c r="AL234" s="65"/>
      <c r="AM234" s="65"/>
      <c r="AN234" s="65"/>
      <c r="AO234" s="65"/>
      <c r="AP234" s="65"/>
      <c r="AQ234" s="65"/>
    </row>
    <row r="235" spans="24:43">
      <c r="X235" s="79" t="s">
        <v>10647</v>
      </c>
      <c r="Y235" s="80">
        <v>6875.25</v>
      </c>
      <c r="Z235" s="81">
        <f t="shared" si="24"/>
        <v>6875.25</v>
      </c>
      <c r="AA235" s="79" t="s">
        <v>2082</v>
      </c>
      <c r="AB235" s="82">
        <f t="shared" si="25"/>
        <v>6875</v>
      </c>
      <c r="AC235" s="79" t="s">
        <v>2081</v>
      </c>
      <c r="AD235" s="82">
        <f t="shared" si="26"/>
        <v>2</v>
      </c>
      <c r="AE235" s="79" t="s">
        <v>2080</v>
      </c>
      <c r="AF235" s="82">
        <f t="shared" si="27"/>
        <v>5</v>
      </c>
      <c r="AG235" s="79" t="s">
        <v>2079</v>
      </c>
      <c r="AH235" s="81">
        <v>275.01</v>
      </c>
      <c r="AI235" s="65"/>
      <c r="AJ235" s="65"/>
      <c r="AK235" s="65"/>
      <c r="AL235" s="65"/>
      <c r="AM235" s="65"/>
      <c r="AN235" s="65"/>
      <c r="AO235" s="65"/>
      <c r="AP235" s="65"/>
      <c r="AQ235" s="65"/>
    </row>
    <row r="236" spans="24:43">
      <c r="X236" s="79" t="s">
        <v>10648</v>
      </c>
      <c r="Y236" s="80">
        <v>4437.625</v>
      </c>
      <c r="Z236" s="81">
        <f t="shared" si="24"/>
        <v>4437.625</v>
      </c>
      <c r="AA236" s="79" t="s">
        <v>2082</v>
      </c>
      <c r="AB236" s="82">
        <f t="shared" si="25"/>
        <v>4437</v>
      </c>
      <c r="AC236" s="79" t="s">
        <v>2081</v>
      </c>
      <c r="AD236" s="82">
        <f t="shared" si="26"/>
        <v>6</v>
      </c>
      <c r="AE236" s="79" t="s">
        <v>2080</v>
      </c>
      <c r="AF236" s="82">
        <f t="shared" si="27"/>
        <v>2.5</v>
      </c>
      <c r="AG236" s="79" t="s">
        <v>2079</v>
      </c>
      <c r="AH236" s="81">
        <v>177.5</v>
      </c>
      <c r="AI236" s="65"/>
      <c r="AJ236" s="65"/>
      <c r="AK236" s="65"/>
      <c r="AL236" s="65"/>
      <c r="AM236" s="65"/>
      <c r="AN236" s="65"/>
      <c r="AO236" s="65"/>
      <c r="AP236" s="65"/>
      <c r="AQ236" s="65"/>
    </row>
    <row r="237" spans="24:43">
      <c r="X237" s="79" t="s">
        <v>10649</v>
      </c>
      <c r="Y237" s="80">
        <v>4225</v>
      </c>
      <c r="Z237" s="81">
        <f t="shared" si="24"/>
        <v>4225</v>
      </c>
      <c r="AA237" s="79" t="s">
        <v>2082</v>
      </c>
      <c r="AB237" s="82">
        <f t="shared" si="25"/>
        <v>4225</v>
      </c>
      <c r="AC237" s="79" t="s">
        <v>2081</v>
      </c>
      <c r="AD237" s="82">
        <f t="shared" si="26"/>
        <v>0</v>
      </c>
      <c r="AE237" s="79" t="s">
        <v>2080</v>
      </c>
      <c r="AF237" s="82">
        <f t="shared" si="27"/>
        <v>0</v>
      </c>
      <c r="AG237" s="79" t="s">
        <v>2079</v>
      </c>
      <c r="AH237" s="81">
        <v>169</v>
      </c>
      <c r="AI237" s="65"/>
      <c r="AJ237" s="65"/>
      <c r="AK237" s="65"/>
      <c r="AL237" s="65"/>
      <c r="AM237" s="65"/>
      <c r="AN237" s="65"/>
      <c r="AO237" s="65"/>
      <c r="AP237" s="65"/>
      <c r="AQ237" s="65"/>
    </row>
    <row r="238" spans="24:43">
      <c r="X238" s="79" t="s">
        <v>10650</v>
      </c>
      <c r="Y238" s="80">
        <v>4837.625</v>
      </c>
      <c r="Z238" s="81">
        <f t="shared" si="24"/>
        <v>4837.625</v>
      </c>
      <c r="AA238" s="79" t="s">
        <v>2082</v>
      </c>
      <c r="AB238" s="82">
        <f t="shared" si="25"/>
        <v>4837</v>
      </c>
      <c r="AC238" s="79" t="s">
        <v>2081</v>
      </c>
      <c r="AD238" s="82">
        <f t="shared" si="26"/>
        <v>6</v>
      </c>
      <c r="AE238" s="79" t="s">
        <v>2080</v>
      </c>
      <c r="AF238" s="82">
        <f t="shared" si="27"/>
        <v>2.5</v>
      </c>
      <c r="AG238" s="79" t="s">
        <v>2079</v>
      </c>
      <c r="AH238" s="81">
        <v>193.5</v>
      </c>
      <c r="AI238" s="65"/>
      <c r="AJ238" s="65"/>
      <c r="AK238" s="65"/>
      <c r="AL238" s="65"/>
      <c r="AM238" s="65"/>
      <c r="AN238" s="65"/>
      <c r="AO238" s="65"/>
      <c r="AP238" s="65"/>
      <c r="AQ238" s="65"/>
    </row>
    <row r="239" spans="24:43">
      <c r="X239" s="79" t="s">
        <v>10651</v>
      </c>
      <c r="Y239" s="80">
        <v>2625</v>
      </c>
      <c r="Z239" s="81">
        <f t="shared" si="24"/>
        <v>2625</v>
      </c>
      <c r="AA239" s="79" t="s">
        <v>2082</v>
      </c>
      <c r="AB239" s="82">
        <f t="shared" si="25"/>
        <v>2625</v>
      </c>
      <c r="AC239" s="79" t="s">
        <v>2081</v>
      </c>
      <c r="AD239" s="82">
        <f t="shared" si="26"/>
        <v>0</v>
      </c>
      <c r="AE239" s="79" t="s">
        <v>2080</v>
      </c>
      <c r="AF239" s="82">
        <f t="shared" si="27"/>
        <v>0</v>
      </c>
      <c r="AG239" s="79" t="s">
        <v>2079</v>
      </c>
      <c r="AH239" s="81">
        <v>105</v>
      </c>
      <c r="AI239" s="65"/>
      <c r="AJ239" s="65"/>
      <c r="AK239" s="65"/>
      <c r="AL239" s="65"/>
      <c r="AM239" s="65"/>
      <c r="AN239" s="65"/>
      <c r="AO239" s="65"/>
      <c r="AP239" s="65"/>
      <c r="AQ239" s="65"/>
    </row>
    <row r="240" spans="24:43">
      <c r="X240" s="79" t="s">
        <v>10652</v>
      </c>
      <c r="Y240" s="80">
        <v>18500</v>
      </c>
      <c r="Z240" s="81">
        <f t="shared" si="24"/>
        <v>18500</v>
      </c>
      <c r="AA240" s="79" t="s">
        <v>2082</v>
      </c>
      <c r="AB240" s="82">
        <f t="shared" si="25"/>
        <v>18500</v>
      </c>
      <c r="AC240" s="79" t="s">
        <v>2081</v>
      </c>
      <c r="AD240" s="82">
        <f t="shared" si="26"/>
        <v>0</v>
      </c>
      <c r="AE240" s="79" t="s">
        <v>2080</v>
      </c>
      <c r="AF240" s="82">
        <f t="shared" si="27"/>
        <v>0</v>
      </c>
      <c r="AG240" s="79" t="s">
        <v>2079</v>
      </c>
      <c r="AH240" s="81">
        <v>740</v>
      </c>
      <c r="AI240" s="65"/>
      <c r="AJ240" s="65"/>
      <c r="AK240" s="65"/>
      <c r="AL240" s="65"/>
      <c r="AM240" s="65"/>
      <c r="AN240" s="65"/>
      <c r="AO240" s="65"/>
      <c r="AP240" s="65"/>
      <c r="AQ240" s="65"/>
    </row>
    <row r="241" spans="24:43">
      <c r="X241" s="79" t="s">
        <v>10653</v>
      </c>
      <c r="Y241" s="80">
        <v>4312.625</v>
      </c>
      <c r="Z241" s="81">
        <f t="shared" si="24"/>
        <v>4312.625</v>
      </c>
      <c r="AA241" s="79" t="s">
        <v>2082</v>
      </c>
      <c r="AB241" s="82">
        <f t="shared" si="25"/>
        <v>4312</v>
      </c>
      <c r="AC241" s="79" t="s">
        <v>2081</v>
      </c>
      <c r="AD241" s="82">
        <f t="shared" si="26"/>
        <v>6</v>
      </c>
      <c r="AE241" s="79" t="s">
        <v>2080</v>
      </c>
      <c r="AF241" s="82">
        <f t="shared" si="27"/>
        <v>2.5</v>
      </c>
      <c r="AG241" s="79" t="s">
        <v>2079</v>
      </c>
      <c r="AH241" s="81">
        <v>172.5</v>
      </c>
      <c r="AI241" s="65"/>
      <c r="AJ241" s="65"/>
      <c r="AK241" s="65"/>
      <c r="AL241" s="65"/>
      <c r="AM241" s="65"/>
      <c r="AN241" s="65"/>
      <c r="AO241" s="65"/>
      <c r="AP241" s="65"/>
      <c r="AQ241" s="65"/>
    </row>
    <row r="242" spans="24:43">
      <c r="X242" s="79" t="s">
        <v>10654</v>
      </c>
      <c r="Y242" s="80">
        <v>6875.25</v>
      </c>
      <c r="Z242" s="81">
        <f t="shared" si="24"/>
        <v>6875.25</v>
      </c>
      <c r="AA242" s="79" t="s">
        <v>2082</v>
      </c>
      <c r="AB242" s="82">
        <f t="shared" si="25"/>
        <v>6875</v>
      </c>
      <c r="AC242" s="79" t="s">
        <v>2081</v>
      </c>
      <c r="AD242" s="82">
        <f t="shared" si="26"/>
        <v>2</v>
      </c>
      <c r="AE242" s="79" t="s">
        <v>2080</v>
      </c>
      <c r="AF242" s="82">
        <f t="shared" si="27"/>
        <v>5</v>
      </c>
      <c r="AG242" s="79" t="s">
        <v>2079</v>
      </c>
      <c r="AH242" s="81">
        <v>275.01</v>
      </c>
      <c r="AI242" s="65"/>
      <c r="AJ242" s="65"/>
      <c r="AK242" s="65"/>
      <c r="AL242" s="65"/>
      <c r="AM242" s="65"/>
      <c r="AN242" s="65"/>
      <c r="AO242" s="65"/>
      <c r="AP242" s="65"/>
      <c r="AQ242" s="65"/>
    </row>
    <row r="243" spans="24:43">
      <c r="X243" s="79" t="s">
        <v>10655</v>
      </c>
      <c r="Y243" s="80">
        <v>5800</v>
      </c>
      <c r="Z243" s="81">
        <f t="shared" si="24"/>
        <v>5800</v>
      </c>
      <c r="AA243" s="79" t="s">
        <v>2082</v>
      </c>
      <c r="AB243" s="82">
        <f t="shared" si="25"/>
        <v>5800</v>
      </c>
      <c r="AC243" s="79" t="s">
        <v>2081</v>
      </c>
      <c r="AD243" s="82">
        <f t="shared" si="26"/>
        <v>0</v>
      </c>
      <c r="AE243" s="79" t="s">
        <v>2080</v>
      </c>
      <c r="AF243" s="82">
        <f t="shared" si="27"/>
        <v>0</v>
      </c>
      <c r="AG243" s="79" t="s">
        <v>2079</v>
      </c>
      <c r="AH243" s="81">
        <v>232</v>
      </c>
      <c r="AI243" s="65"/>
      <c r="AJ243" s="65"/>
      <c r="AK243" s="65"/>
      <c r="AL243" s="65"/>
      <c r="AM243" s="65"/>
      <c r="AN243" s="65"/>
      <c r="AO243" s="65"/>
      <c r="AP243" s="65"/>
      <c r="AQ243" s="65"/>
    </row>
    <row r="244" spans="24:43">
      <c r="X244" s="79" t="s">
        <v>10656</v>
      </c>
      <c r="Y244" s="80">
        <v>55</v>
      </c>
      <c r="Z244" s="81">
        <f t="shared" si="24"/>
        <v>55</v>
      </c>
      <c r="AA244" s="79" t="s">
        <v>2082</v>
      </c>
      <c r="AB244" s="82">
        <f t="shared" si="25"/>
        <v>55</v>
      </c>
      <c r="AC244" s="79" t="s">
        <v>2081</v>
      </c>
      <c r="AD244" s="82">
        <f t="shared" si="26"/>
        <v>0</v>
      </c>
      <c r="AE244" s="79" t="s">
        <v>2080</v>
      </c>
      <c r="AF244" s="82">
        <f t="shared" si="27"/>
        <v>0</v>
      </c>
      <c r="AG244" s="79" t="s">
        <v>2079</v>
      </c>
      <c r="AH244" s="81">
        <v>2.2000000000000002</v>
      </c>
      <c r="AI244" s="65"/>
      <c r="AJ244" s="65"/>
      <c r="AK244" s="65"/>
      <c r="AL244" s="65"/>
      <c r="AM244" s="65"/>
      <c r="AN244" s="65"/>
      <c r="AO244" s="65"/>
      <c r="AP244" s="65"/>
      <c r="AQ244" s="65"/>
    </row>
    <row r="245" spans="24:43">
      <c r="X245" s="79" t="s">
        <v>10657</v>
      </c>
      <c r="Y245" s="80">
        <v>237.625</v>
      </c>
      <c r="Z245" s="81">
        <f t="shared" si="24"/>
        <v>237.625</v>
      </c>
      <c r="AA245" s="79" t="s">
        <v>2082</v>
      </c>
      <c r="AB245" s="82">
        <f t="shared" si="25"/>
        <v>237</v>
      </c>
      <c r="AC245" s="79" t="s">
        <v>2081</v>
      </c>
      <c r="AD245" s="82">
        <f t="shared" si="26"/>
        <v>6</v>
      </c>
      <c r="AE245" s="79" t="s">
        <v>2080</v>
      </c>
      <c r="AF245" s="82">
        <f t="shared" si="27"/>
        <v>2.5</v>
      </c>
      <c r="AG245" s="79" t="s">
        <v>2079</v>
      </c>
      <c r="AH245" s="81">
        <v>9.5</v>
      </c>
      <c r="AI245" s="65"/>
      <c r="AJ245" s="65"/>
      <c r="AK245" s="65"/>
      <c r="AL245" s="65"/>
      <c r="AM245" s="65"/>
      <c r="AN245" s="65"/>
      <c r="AO245" s="65"/>
      <c r="AP245" s="65"/>
      <c r="AQ245" s="65"/>
    </row>
    <row r="246" spans="24:43">
      <c r="X246" s="79" t="s">
        <v>6988</v>
      </c>
      <c r="Y246" s="80">
        <v>3400</v>
      </c>
      <c r="Z246" s="81">
        <f t="shared" si="24"/>
        <v>3400</v>
      </c>
      <c r="AA246" s="79" t="s">
        <v>2082</v>
      </c>
      <c r="AB246" s="82">
        <f t="shared" si="25"/>
        <v>3400</v>
      </c>
      <c r="AC246" s="79" t="s">
        <v>2081</v>
      </c>
      <c r="AD246" s="82">
        <f t="shared" si="26"/>
        <v>0</v>
      </c>
      <c r="AE246" s="79" t="s">
        <v>2080</v>
      </c>
      <c r="AF246" s="82">
        <f t="shared" si="27"/>
        <v>0</v>
      </c>
      <c r="AG246" s="79" t="s">
        <v>2079</v>
      </c>
      <c r="AH246" s="81">
        <v>136</v>
      </c>
      <c r="AI246" s="65"/>
      <c r="AJ246" s="65"/>
      <c r="AK246" s="65"/>
      <c r="AL246" s="65"/>
      <c r="AM246" s="65"/>
      <c r="AN246" s="65"/>
      <c r="AO246" s="65"/>
      <c r="AP246" s="65"/>
      <c r="AQ246" s="65"/>
    </row>
    <row r="247" spans="24:43">
      <c r="X247" s="79" t="s">
        <v>10658</v>
      </c>
      <c r="Y247" s="80">
        <v>1662.5</v>
      </c>
      <c r="Z247" s="81">
        <f t="shared" si="24"/>
        <v>1662.5</v>
      </c>
      <c r="AA247" s="79" t="s">
        <v>2082</v>
      </c>
      <c r="AB247" s="82">
        <f t="shared" si="25"/>
        <v>1662</v>
      </c>
      <c r="AC247" s="79" t="s">
        <v>2081</v>
      </c>
      <c r="AD247" s="82">
        <f t="shared" si="26"/>
        <v>5</v>
      </c>
      <c r="AE247" s="79" t="s">
        <v>2080</v>
      </c>
      <c r="AF247" s="82">
        <f t="shared" si="27"/>
        <v>0</v>
      </c>
      <c r="AG247" s="79" t="s">
        <v>2079</v>
      </c>
      <c r="AH247" s="81">
        <v>66.5</v>
      </c>
      <c r="AI247" s="65"/>
      <c r="AJ247" s="65"/>
      <c r="AK247" s="65"/>
      <c r="AL247" s="65"/>
      <c r="AM247" s="65"/>
      <c r="AN247" s="65"/>
      <c r="AO247" s="65"/>
      <c r="AP247" s="65"/>
      <c r="AQ247" s="65"/>
    </row>
    <row r="248" spans="24:43">
      <c r="X248" s="79" t="s">
        <v>10659</v>
      </c>
      <c r="Y248" s="80">
        <v>1125</v>
      </c>
      <c r="Z248" s="81">
        <f t="shared" si="24"/>
        <v>1125</v>
      </c>
      <c r="AA248" s="79" t="s">
        <v>2082</v>
      </c>
      <c r="AB248" s="82">
        <f t="shared" si="25"/>
        <v>1125</v>
      </c>
      <c r="AC248" s="79" t="s">
        <v>2081</v>
      </c>
      <c r="AD248" s="82">
        <f t="shared" si="26"/>
        <v>0</v>
      </c>
      <c r="AE248" s="79" t="s">
        <v>2080</v>
      </c>
      <c r="AF248" s="82">
        <f t="shared" si="27"/>
        <v>0</v>
      </c>
      <c r="AG248" s="79" t="s">
        <v>2079</v>
      </c>
      <c r="AH248" s="81">
        <v>45</v>
      </c>
      <c r="AI248" s="65"/>
      <c r="AJ248" s="65"/>
      <c r="AK248" s="65"/>
      <c r="AL248" s="65"/>
      <c r="AM248" s="65"/>
      <c r="AN248" s="65"/>
      <c r="AO248" s="65"/>
      <c r="AP248" s="65"/>
      <c r="AQ248" s="65"/>
    </row>
    <row r="249" spans="24:43">
      <c r="X249" s="79" t="s">
        <v>10660</v>
      </c>
      <c r="Y249" s="80">
        <v>2650</v>
      </c>
      <c r="Z249" s="81">
        <f t="shared" si="24"/>
        <v>2650</v>
      </c>
      <c r="AA249" s="79" t="s">
        <v>2082</v>
      </c>
      <c r="AB249" s="82">
        <f t="shared" si="25"/>
        <v>2650</v>
      </c>
      <c r="AC249" s="79" t="s">
        <v>2081</v>
      </c>
      <c r="AD249" s="82">
        <f t="shared" si="26"/>
        <v>0</v>
      </c>
      <c r="AE249" s="79" t="s">
        <v>2080</v>
      </c>
      <c r="AF249" s="82">
        <f t="shared" si="27"/>
        <v>0</v>
      </c>
      <c r="AG249" s="79" t="s">
        <v>2079</v>
      </c>
      <c r="AH249" s="81">
        <v>106</v>
      </c>
      <c r="AI249" s="65"/>
      <c r="AJ249" s="65"/>
      <c r="AK249" s="65"/>
      <c r="AL249" s="65"/>
      <c r="AM249" s="65"/>
      <c r="AN249" s="65"/>
      <c r="AO249" s="65"/>
      <c r="AP249" s="65"/>
      <c r="AQ249" s="65"/>
    </row>
    <row r="250" spans="24:43">
      <c r="X250" s="79" t="s">
        <v>10661</v>
      </c>
      <c r="Y250" s="80">
        <v>900</v>
      </c>
      <c r="Z250" s="81">
        <f t="shared" si="24"/>
        <v>900</v>
      </c>
      <c r="AA250" s="79" t="s">
        <v>2082</v>
      </c>
      <c r="AB250" s="82">
        <f t="shared" si="25"/>
        <v>900</v>
      </c>
      <c r="AC250" s="79" t="s">
        <v>2081</v>
      </c>
      <c r="AD250" s="82">
        <f t="shared" si="26"/>
        <v>0</v>
      </c>
      <c r="AE250" s="79" t="s">
        <v>2080</v>
      </c>
      <c r="AF250" s="82">
        <f t="shared" si="27"/>
        <v>0</v>
      </c>
      <c r="AG250" s="79" t="s">
        <v>2079</v>
      </c>
      <c r="AH250" s="81">
        <v>36</v>
      </c>
      <c r="AI250" s="65"/>
      <c r="AJ250" s="65"/>
      <c r="AK250" s="65"/>
      <c r="AL250" s="65"/>
      <c r="AM250" s="65"/>
      <c r="AN250" s="65"/>
      <c r="AO250" s="65"/>
      <c r="AP250" s="65"/>
      <c r="AQ250" s="65"/>
    </row>
    <row r="251" spans="24:43">
      <c r="X251" s="79" t="s">
        <v>10662</v>
      </c>
      <c r="Y251" s="80">
        <v>337.625</v>
      </c>
      <c r="Z251" s="81">
        <f t="shared" si="24"/>
        <v>337.625</v>
      </c>
      <c r="AA251" s="79" t="s">
        <v>2082</v>
      </c>
      <c r="AB251" s="82">
        <f t="shared" si="25"/>
        <v>337</v>
      </c>
      <c r="AC251" s="79" t="s">
        <v>2081</v>
      </c>
      <c r="AD251" s="82">
        <f t="shared" si="26"/>
        <v>6</v>
      </c>
      <c r="AE251" s="79" t="s">
        <v>2080</v>
      </c>
      <c r="AF251" s="82">
        <f t="shared" si="27"/>
        <v>2.5</v>
      </c>
      <c r="AG251" s="79" t="s">
        <v>2079</v>
      </c>
      <c r="AH251" s="81">
        <v>13.5</v>
      </c>
      <c r="AI251" s="65"/>
      <c r="AJ251" s="65"/>
      <c r="AK251" s="65"/>
      <c r="AL251" s="65"/>
      <c r="AM251" s="65"/>
      <c r="AN251" s="65"/>
      <c r="AO251" s="65"/>
      <c r="AP251" s="65"/>
      <c r="AQ251" s="65"/>
    </row>
    <row r="252" spans="24:43">
      <c r="X252" s="79" t="s">
        <v>10663</v>
      </c>
      <c r="Y252" s="80">
        <v>112500.5</v>
      </c>
      <c r="Z252" s="81">
        <f t="shared" si="24"/>
        <v>112500.5</v>
      </c>
      <c r="AA252" s="79" t="s">
        <v>2082</v>
      </c>
      <c r="AB252" s="82">
        <f t="shared" si="25"/>
        <v>112500</v>
      </c>
      <c r="AC252" s="79" t="s">
        <v>2081</v>
      </c>
      <c r="AD252" s="82">
        <f t="shared" si="26"/>
        <v>5</v>
      </c>
      <c r="AE252" s="79" t="s">
        <v>2080</v>
      </c>
      <c r="AF252" s="82">
        <f t="shared" si="27"/>
        <v>0</v>
      </c>
      <c r="AG252" s="79" t="s">
        <v>2079</v>
      </c>
      <c r="AH252" s="81">
        <v>4500.0200000000004</v>
      </c>
      <c r="AI252" s="65"/>
      <c r="AJ252" s="65"/>
      <c r="AK252" s="65"/>
      <c r="AL252" s="65"/>
      <c r="AM252" s="65"/>
      <c r="AN252" s="65"/>
      <c r="AO252" s="65"/>
      <c r="AP252" s="65"/>
      <c r="AQ252" s="65"/>
    </row>
    <row r="253" spans="24:43">
      <c r="X253" s="79" t="s">
        <v>10664</v>
      </c>
      <c r="Y253" s="80">
        <v>112500.5</v>
      </c>
      <c r="Z253" s="81">
        <f t="shared" si="24"/>
        <v>112500.5</v>
      </c>
      <c r="AA253" s="79" t="s">
        <v>2082</v>
      </c>
      <c r="AB253" s="82">
        <f t="shared" si="25"/>
        <v>112500</v>
      </c>
      <c r="AC253" s="79" t="s">
        <v>2081</v>
      </c>
      <c r="AD253" s="82">
        <f t="shared" si="26"/>
        <v>5</v>
      </c>
      <c r="AE253" s="79" t="s">
        <v>2080</v>
      </c>
      <c r="AF253" s="82">
        <f t="shared" si="27"/>
        <v>0</v>
      </c>
      <c r="AG253" s="79" t="s">
        <v>2079</v>
      </c>
      <c r="AH253" s="81">
        <v>4500.0200000000004</v>
      </c>
      <c r="AI253" s="65"/>
      <c r="AJ253" s="65"/>
      <c r="AK253" s="65"/>
      <c r="AL253" s="65"/>
      <c r="AM253" s="65"/>
      <c r="AN253" s="65"/>
      <c r="AO253" s="65"/>
      <c r="AP253" s="65"/>
      <c r="AQ253" s="65"/>
    </row>
    <row r="254" spans="24:43">
      <c r="X254" s="79" t="s">
        <v>10665</v>
      </c>
      <c r="Y254" s="80">
        <v>112500.5</v>
      </c>
      <c r="Z254" s="81">
        <f t="shared" si="24"/>
        <v>112500.5</v>
      </c>
      <c r="AA254" s="79" t="s">
        <v>2082</v>
      </c>
      <c r="AB254" s="82">
        <f t="shared" si="25"/>
        <v>112500</v>
      </c>
      <c r="AC254" s="79" t="s">
        <v>2081</v>
      </c>
      <c r="AD254" s="82">
        <f t="shared" si="26"/>
        <v>5</v>
      </c>
      <c r="AE254" s="79" t="s">
        <v>2080</v>
      </c>
      <c r="AF254" s="82">
        <f t="shared" si="27"/>
        <v>0</v>
      </c>
      <c r="AG254" s="79" t="s">
        <v>2079</v>
      </c>
      <c r="AH254" s="81">
        <v>4500.0200000000004</v>
      </c>
      <c r="AI254" s="65"/>
      <c r="AJ254" s="65"/>
      <c r="AK254" s="65"/>
      <c r="AL254" s="65"/>
      <c r="AM254" s="65"/>
      <c r="AN254" s="65"/>
      <c r="AO254" s="65"/>
      <c r="AP254" s="65"/>
      <c r="AQ254" s="65"/>
    </row>
    <row r="255" spans="24:43">
      <c r="X255" s="79" t="s">
        <v>10666</v>
      </c>
      <c r="Y255" s="80">
        <v>325.25</v>
      </c>
      <c r="Z255" s="81">
        <f t="shared" si="24"/>
        <v>325.25</v>
      </c>
      <c r="AA255" s="79" t="s">
        <v>2082</v>
      </c>
      <c r="AB255" s="82">
        <f t="shared" si="25"/>
        <v>325</v>
      </c>
      <c r="AC255" s="79" t="s">
        <v>2081</v>
      </c>
      <c r="AD255" s="82">
        <f t="shared" si="26"/>
        <v>2</v>
      </c>
      <c r="AE255" s="79" t="s">
        <v>2080</v>
      </c>
      <c r="AF255" s="82">
        <f t="shared" si="27"/>
        <v>5</v>
      </c>
      <c r="AG255" s="79" t="s">
        <v>2079</v>
      </c>
      <c r="AH255" s="81">
        <v>13.01</v>
      </c>
      <c r="AI255" s="65"/>
      <c r="AJ255" s="65"/>
      <c r="AK255" s="65"/>
      <c r="AL255" s="65"/>
      <c r="AM255" s="65"/>
      <c r="AN255" s="65"/>
      <c r="AO255" s="65"/>
      <c r="AP255" s="65"/>
      <c r="AQ255" s="65"/>
    </row>
    <row r="256" spans="24:43">
      <c r="X256" s="79" t="s">
        <v>10667</v>
      </c>
      <c r="Y256" s="80">
        <v>387.625</v>
      </c>
      <c r="Z256" s="81">
        <f t="shared" si="24"/>
        <v>387.625</v>
      </c>
      <c r="AA256" s="79" t="s">
        <v>2082</v>
      </c>
      <c r="AB256" s="82">
        <f t="shared" si="25"/>
        <v>387</v>
      </c>
      <c r="AC256" s="79" t="s">
        <v>2081</v>
      </c>
      <c r="AD256" s="82">
        <f t="shared" si="26"/>
        <v>6</v>
      </c>
      <c r="AE256" s="79" t="s">
        <v>2080</v>
      </c>
      <c r="AF256" s="82">
        <f t="shared" si="27"/>
        <v>2.5</v>
      </c>
      <c r="AG256" s="79" t="s">
        <v>2079</v>
      </c>
      <c r="AH256" s="81">
        <v>15.5</v>
      </c>
      <c r="AI256" s="65"/>
      <c r="AJ256" s="65"/>
      <c r="AK256" s="65"/>
      <c r="AL256" s="65"/>
      <c r="AM256" s="65"/>
      <c r="AN256" s="65"/>
      <c r="AO256" s="65"/>
      <c r="AP256" s="65"/>
      <c r="AQ256" s="65"/>
    </row>
    <row r="257" spans="24:43">
      <c r="X257" s="79" t="s">
        <v>10668</v>
      </c>
      <c r="Y257" s="80">
        <v>3937.625</v>
      </c>
      <c r="Z257" s="81">
        <f t="shared" si="24"/>
        <v>3937.625</v>
      </c>
      <c r="AA257" s="79" t="s">
        <v>2082</v>
      </c>
      <c r="AB257" s="82">
        <f t="shared" si="25"/>
        <v>3937</v>
      </c>
      <c r="AC257" s="79" t="s">
        <v>2081</v>
      </c>
      <c r="AD257" s="82">
        <f t="shared" si="26"/>
        <v>6</v>
      </c>
      <c r="AE257" s="79" t="s">
        <v>2080</v>
      </c>
      <c r="AF257" s="82">
        <f t="shared" si="27"/>
        <v>2.5</v>
      </c>
      <c r="AG257" s="79" t="s">
        <v>2079</v>
      </c>
      <c r="AH257" s="81">
        <v>157.5</v>
      </c>
      <c r="AI257" s="65"/>
      <c r="AJ257" s="65"/>
      <c r="AK257" s="65"/>
      <c r="AL257" s="65"/>
      <c r="AM257" s="65"/>
      <c r="AN257" s="65"/>
      <c r="AO257" s="65"/>
      <c r="AP257" s="65"/>
      <c r="AQ257" s="65"/>
    </row>
    <row r="258" spans="24:43">
      <c r="X258" s="79" t="s">
        <v>10669</v>
      </c>
      <c r="Y258" s="80">
        <v>5187.625</v>
      </c>
      <c r="Z258" s="81">
        <f t="shared" si="24"/>
        <v>5187.625</v>
      </c>
      <c r="AA258" s="79" t="s">
        <v>2082</v>
      </c>
      <c r="AB258" s="82">
        <f t="shared" si="25"/>
        <v>5187</v>
      </c>
      <c r="AC258" s="79" t="s">
        <v>2081</v>
      </c>
      <c r="AD258" s="82">
        <f t="shared" si="26"/>
        <v>6</v>
      </c>
      <c r="AE258" s="79" t="s">
        <v>2080</v>
      </c>
      <c r="AF258" s="82">
        <f t="shared" si="27"/>
        <v>2.5</v>
      </c>
      <c r="AG258" s="79" t="s">
        <v>2079</v>
      </c>
      <c r="AH258" s="81">
        <v>207.5</v>
      </c>
      <c r="AI258" s="65"/>
      <c r="AJ258" s="65"/>
      <c r="AK258" s="65"/>
      <c r="AL258" s="65"/>
      <c r="AM258" s="65"/>
      <c r="AN258" s="65"/>
      <c r="AO258" s="65"/>
      <c r="AP258" s="65"/>
      <c r="AQ258" s="65"/>
    </row>
    <row r="259" spans="24:43">
      <c r="X259" s="79" t="s">
        <v>10670</v>
      </c>
      <c r="Y259" s="80">
        <v>28625.125</v>
      </c>
      <c r="Z259" s="81">
        <f t="shared" ref="Z259:Z322" si="28">Y259*$AK$6*$AK$11</f>
        <v>28625.125</v>
      </c>
      <c r="AA259" s="79" t="s">
        <v>2082</v>
      </c>
      <c r="AB259" s="82">
        <f t="shared" ref="AB259:AB322" si="29">_xlfn.FLOOR.MATH(Z259,1)</f>
        <v>28625</v>
      </c>
      <c r="AC259" s="79" t="s">
        <v>2081</v>
      </c>
      <c r="AD259" s="82">
        <f t="shared" ref="AD259:AD322" si="30">_xlfn.FLOOR.MATH(((Z259-AB259)*10), 1)</f>
        <v>1</v>
      </c>
      <c r="AE259" s="79" t="s">
        <v>2080</v>
      </c>
      <c r="AF259" s="82">
        <f t="shared" ref="AF259:AF322" si="31">((Z259-AB259)*10-AD259)*10</f>
        <v>2.5</v>
      </c>
      <c r="AG259" s="79" t="s">
        <v>2079</v>
      </c>
      <c r="AH259" s="81">
        <v>1145</v>
      </c>
      <c r="AI259" s="65"/>
      <c r="AJ259" s="65"/>
      <c r="AK259" s="65"/>
      <c r="AL259" s="65"/>
      <c r="AM259" s="65"/>
      <c r="AN259" s="65"/>
      <c r="AO259" s="65"/>
      <c r="AP259" s="65"/>
      <c r="AQ259" s="65"/>
    </row>
    <row r="260" spans="24:43">
      <c r="X260" s="79" t="s">
        <v>10671</v>
      </c>
      <c r="Y260" s="80">
        <v>19375.125</v>
      </c>
      <c r="Z260" s="81">
        <f t="shared" si="28"/>
        <v>19375.125</v>
      </c>
      <c r="AA260" s="79" t="s">
        <v>2082</v>
      </c>
      <c r="AB260" s="82">
        <f t="shared" si="29"/>
        <v>19375</v>
      </c>
      <c r="AC260" s="79" t="s">
        <v>2081</v>
      </c>
      <c r="AD260" s="82">
        <f t="shared" si="30"/>
        <v>1</v>
      </c>
      <c r="AE260" s="79" t="s">
        <v>2080</v>
      </c>
      <c r="AF260" s="82">
        <f t="shared" si="31"/>
        <v>2.5</v>
      </c>
      <c r="AG260" s="79" t="s">
        <v>2079</v>
      </c>
      <c r="AH260" s="81">
        <v>775</v>
      </c>
      <c r="AI260" s="65"/>
      <c r="AJ260" s="65"/>
      <c r="AK260" s="65"/>
      <c r="AL260" s="65"/>
      <c r="AM260" s="65"/>
      <c r="AN260" s="65"/>
      <c r="AO260" s="65"/>
      <c r="AP260" s="65"/>
      <c r="AQ260" s="65"/>
    </row>
    <row r="261" spans="24:43">
      <c r="X261" s="79" t="s">
        <v>10672</v>
      </c>
      <c r="Y261" s="80">
        <v>4837.625</v>
      </c>
      <c r="Z261" s="81">
        <f t="shared" si="28"/>
        <v>4837.625</v>
      </c>
      <c r="AA261" s="79" t="s">
        <v>2082</v>
      </c>
      <c r="AB261" s="82">
        <f t="shared" si="29"/>
        <v>4837</v>
      </c>
      <c r="AC261" s="79" t="s">
        <v>2081</v>
      </c>
      <c r="AD261" s="82">
        <f t="shared" si="30"/>
        <v>6</v>
      </c>
      <c r="AE261" s="79" t="s">
        <v>2080</v>
      </c>
      <c r="AF261" s="82">
        <f t="shared" si="31"/>
        <v>2.5</v>
      </c>
      <c r="AG261" s="79" t="s">
        <v>2079</v>
      </c>
      <c r="AH261" s="81">
        <v>193.5</v>
      </c>
      <c r="AI261" s="65"/>
      <c r="AJ261" s="65"/>
      <c r="AK261" s="65"/>
      <c r="AL261" s="65"/>
      <c r="AM261" s="65"/>
      <c r="AN261" s="65"/>
      <c r="AO261" s="65"/>
      <c r="AP261" s="65"/>
      <c r="AQ261" s="65"/>
    </row>
    <row r="262" spans="24:43">
      <c r="X262" s="79" t="s">
        <v>10673</v>
      </c>
      <c r="Y262" s="80">
        <v>4362.625</v>
      </c>
      <c r="Z262" s="81">
        <f t="shared" si="28"/>
        <v>4362.625</v>
      </c>
      <c r="AA262" s="79" t="s">
        <v>2082</v>
      </c>
      <c r="AB262" s="82">
        <f t="shared" si="29"/>
        <v>4362</v>
      </c>
      <c r="AC262" s="79" t="s">
        <v>2081</v>
      </c>
      <c r="AD262" s="82">
        <f t="shared" si="30"/>
        <v>6</v>
      </c>
      <c r="AE262" s="79" t="s">
        <v>2080</v>
      </c>
      <c r="AF262" s="82">
        <f t="shared" si="31"/>
        <v>2.5</v>
      </c>
      <c r="AG262" s="79" t="s">
        <v>2079</v>
      </c>
      <c r="AH262" s="81">
        <v>174.5</v>
      </c>
      <c r="AI262" s="65"/>
      <c r="AJ262" s="65"/>
      <c r="AK262" s="65"/>
      <c r="AL262" s="65"/>
      <c r="AM262" s="65"/>
      <c r="AN262" s="65"/>
      <c r="AO262" s="65"/>
      <c r="AP262" s="65"/>
      <c r="AQ262" s="65"/>
    </row>
    <row r="263" spans="24:43">
      <c r="X263" s="79" t="s">
        <v>10674</v>
      </c>
      <c r="Y263" s="80">
        <v>3987.625</v>
      </c>
      <c r="Z263" s="81">
        <f t="shared" si="28"/>
        <v>3987.625</v>
      </c>
      <c r="AA263" s="79" t="s">
        <v>2082</v>
      </c>
      <c r="AB263" s="82">
        <f t="shared" si="29"/>
        <v>3987</v>
      </c>
      <c r="AC263" s="79" t="s">
        <v>2081</v>
      </c>
      <c r="AD263" s="82">
        <f t="shared" si="30"/>
        <v>6</v>
      </c>
      <c r="AE263" s="79" t="s">
        <v>2080</v>
      </c>
      <c r="AF263" s="82">
        <f t="shared" si="31"/>
        <v>2.5</v>
      </c>
      <c r="AG263" s="79" t="s">
        <v>2079</v>
      </c>
      <c r="AH263" s="81">
        <v>159.5</v>
      </c>
      <c r="AI263" s="65"/>
      <c r="AJ263" s="65"/>
      <c r="AK263" s="65"/>
      <c r="AL263" s="65"/>
      <c r="AM263" s="65"/>
      <c r="AN263" s="65"/>
      <c r="AO263" s="65"/>
      <c r="AP263" s="65"/>
      <c r="AQ263" s="65"/>
    </row>
    <row r="264" spans="24:43">
      <c r="X264" s="79" t="s">
        <v>10675</v>
      </c>
      <c r="Y264" s="80">
        <v>362.625</v>
      </c>
      <c r="Z264" s="81">
        <f t="shared" si="28"/>
        <v>362.625</v>
      </c>
      <c r="AA264" s="79" t="s">
        <v>2082</v>
      </c>
      <c r="AB264" s="82">
        <f t="shared" si="29"/>
        <v>362</v>
      </c>
      <c r="AC264" s="79" t="s">
        <v>2081</v>
      </c>
      <c r="AD264" s="82">
        <f t="shared" si="30"/>
        <v>6</v>
      </c>
      <c r="AE264" s="79" t="s">
        <v>2080</v>
      </c>
      <c r="AF264" s="82">
        <f t="shared" si="31"/>
        <v>2.5</v>
      </c>
      <c r="AG264" s="79" t="s">
        <v>2079</v>
      </c>
      <c r="AH264" s="81">
        <v>14.5</v>
      </c>
      <c r="AI264" s="65"/>
      <c r="AJ264" s="65"/>
      <c r="AK264" s="65"/>
      <c r="AL264" s="65"/>
      <c r="AM264" s="65"/>
      <c r="AN264" s="65"/>
      <c r="AO264" s="65"/>
      <c r="AP264" s="65"/>
      <c r="AQ264" s="65"/>
    </row>
    <row r="265" spans="24:43">
      <c r="X265" s="79" t="s">
        <v>10676</v>
      </c>
      <c r="Y265" s="80">
        <v>4187.625</v>
      </c>
      <c r="Z265" s="81">
        <f t="shared" si="28"/>
        <v>4187.625</v>
      </c>
      <c r="AA265" s="79" t="s">
        <v>2082</v>
      </c>
      <c r="AB265" s="82">
        <f t="shared" si="29"/>
        <v>4187</v>
      </c>
      <c r="AC265" s="79" t="s">
        <v>2081</v>
      </c>
      <c r="AD265" s="82">
        <f t="shared" si="30"/>
        <v>6</v>
      </c>
      <c r="AE265" s="79" t="s">
        <v>2080</v>
      </c>
      <c r="AF265" s="82">
        <f t="shared" si="31"/>
        <v>2.5</v>
      </c>
      <c r="AG265" s="79" t="s">
        <v>2079</v>
      </c>
      <c r="AH265" s="81">
        <v>167.5</v>
      </c>
      <c r="AI265" s="65"/>
      <c r="AJ265" s="65"/>
      <c r="AK265" s="65"/>
      <c r="AL265" s="65"/>
      <c r="AM265" s="65"/>
      <c r="AN265" s="65"/>
      <c r="AO265" s="65"/>
      <c r="AP265" s="65"/>
      <c r="AQ265" s="65"/>
    </row>
    <row r="266" spans="24:43">
      <c r="X266" s="79" t="s">
        <v>10677</v>
      </c>
      <c r="Y266" s="80">
        <v>412.625</v>
      </c>
      <c r="Z266" s="81">
        <f t="shared" si="28"/>
        <v>412.625</v>
      </c>
      <c r="AA266" s="79" t="s">
        <v>2082</v>
      </c>
      <c r="AB266" s="82">
        <f t="shared" si="29"/>
        <v>412</v>
      </c>
      <c r="AC266" s="79" t="s">
        <v>2081</v>
      </c>
      <c r="AD266" s="82">
        <f t="shared" si="30"/>
        <v>6</v>
      </c>
      <c r="AE266" s="79" t="s">
        <v>2080</v>
      </c>
      <c r="AF266" s="82">
        <f t="shared" si="31"/>
        <v>2.5</v>
      </c>
      <c r="AG266" s="79" t="s">
        <v>2079</v>
      </c>
      <c r="AH266" s="81">
        <v>16.5</v>
      </c>
      <c r="AI266" s="65"/>
      <c r="AJ266" s="65"/>
      <c r="AK266" s="65"/>
      <c r="AL266" s="65"/>
      <c r="AM266" s="65"/>
      <c r="AN266" s="65"/>
      <c r="AO266" s="65"/>
      <c r="AP266" s="65"/>
      <c r="AQ266" s="65"/>
    </row>
    <row r="267" spans="24:43">
      <c r="X267" s="79" t="s">
        <v>10678</v>
      </c>
      <c r="Y267" s="80">
        <v>337.625</v>
      </c>
      <c r="Z267" s="81">
        <f t="shared" si="28"/>
        <v>337.625</v>
      </c>
      <c r="AA267" s="79" t="s">
        <v>2082</v>
      </c>
      <c r="AB267" s="82">
        <f t="shared" si="29"/>
        <v>337</v>
      </c>
      <c r="AC267" s="79" t="s">
        <v>2081</v>
      </c>
      <c r="AD267" s="82">
        <f t="shared" si="30"/>
        <v>6</v>
      </c>
      <c r="AE267" s="79" t="s">
        <v>2080</v>
      </c>
      <c r="AF267" s="82">
        <f t="shared" si="31"/>
        <v>2.5</v>
      </c>
      <c r="AG267" s="79" t="s">
        <v>2079</v>
      </c>
      <c r="AH267" s="81">
        <v>13.5</v>
      </c>
      <c r="AI267" s="65"/>
      <c r="AJ267" s="65"/>
      <c r="AK267" s="65"/>
      <c r="AL267" s="65"/>
      <c r="AM267" s="65"/>
      <c r="AN267" s="65"/>
      <c r="AO267" s="65"/>
      <c r="AP267" s="65"/>
      <c r="AQ267" s="65"/>
    </row>
    <row r="268" spans="24:43">
      <c r="X268" s="79" t="s">
        <v>10679</v>
      </c>
      <c r="Y268" s="80">
        <v>4537.625</v>
      </c>
      <c r="Z268" s="81">
        <f t="shared" si="28"/>
        <v>4537.625</v>
      </c>
      <c r="AA268" s="79" t="s">
        <v>2082</v>
      </c>
      <c r="AB268" s="82">
        <f t="shared" si="29"/>
        <v>4537</v>
      </c>
      <c r="AC268" s="79" t="s">
        <v>2081</v>
      </c>
      <c r="AD268" s="82">
        <f t="shared" si="30"/>
        <v>6</v>
      </c>
      <c r="AE268" s="79" t="s">
        <v>2080</v>
      </c>
      <c r="AF268" s="82">
        <f t="shared" si="31"/>
        <v>2.5</v>
      </c>
      <c r="AG268" s="79" t="s">
        <v>2079</v>
      </c>
      <c r="AH268" s="81">
        <v>181.5</v>
      </c>
      <c r="AI268" s="65"/>
      <c r="AJ268" s="65"/>
      <c r="AK268" s="65"/>
      <c r="AL268" s="65"/>
      <c r="AM268" s="65"/>
      <c r="AN268" s="65"/>
      <c r="AO268" s="65"/>
      <c r="AP268" s="65"/>
      <c r="AQ268" s="65"/>
    </row>
    <row r="269" spans="24:43">
      <c r="X269" s="79" t="s">
        <v>10680</v>
      </c>
      <c r="Y269" s="80">
        <v>89750.25</v>
      </c>
      <c r="Z269" s="81">
        <f t="shared" si="28"/>
        <v>89750.25</v>
      </c>
      <c r="AA269" s="79" t="s">
        <v>2082</v>
      </c>
      <c r="AB269" s="82">
        <f t="shared" si="29"/>
        <v>89750</v>
      </c>
      <c r="AC269" s="79" t="s">
        <v>2081</v>
      </c>
      <c r="AD269" s="82">
        <f t="shared" si="30"/>
        <v>2</v>
      </c>
      <c r="AE269" s="79" t="s">
        <v>2080</v>
      </c>
      <c r="AF269" s="82">
        <f t="shared" si="31"/>
        <v>5</v>
      </c>
      <c r="AG269" s="79" t="s">
        <v>2079</v>
      </c>
      <c r="AH269" s="81">
        <v>3590.01</v>
      </c>
      <c r="AI269" s="65"/>
      <c r="AJ269" s="65"/>
      <c r="AK269" s="65"/>
      <c r="AL269" s="65"/>
      <c r="AM269" s="65"/>
      <c r="AN269" s="65"/>
      <c r="AO269" s="65"/>
      <c r="AP269" s="65"/>
      <c r="AQ269" s="65"/>
    </row>
    <row r="270" spans="24:43">
      <c r="X270" s="79" t="s">
        <v>10681</v>
      </c>
      <c r="Y270" s="80">
        <v>33500</v>
      </c>
      <c r="Z270" s="81">
        <f t="shared" si="28"/>
        <v>33500</v>
      </c>
      <c r="AA270" s="79" t="s">
        <v>2082</v>
      </c>
      <c r="AB270" s="82">
        <f t="shared" si="29"/>
        <v>33500</v>
      </c>
      <c r="AC270" s="79" t="s">
        <v>2081</v>
      </c>
      <c r="AD270" s="82">
        <f t="shared" si="30"/>
        <v>0</v>
      </c>
      <c r="AE270" s="79" t="s">
        <v>2080</v>
      </c>
      <c r="AF270" s="82">
        <f t="shared" si="31"/>
        <v>0</v>
      </c>
      <c r="AG270" s="79" t="s">
        <v>2079</v>
      </c>
      <c r="AH270" s="81">
        <v>1340</v>
      </c>
      <c r="AI270" s="65"/>
      <c r="AJ270" s="65"/>
      <c r="AK270" s="65"/>
      <c r="AL270" s="65"/>
      <c r="AM270" s="65"/>
      <c r="AN270" s="65"/>
      <c r="AO270" s="65"/>
      <c r="AP270" s="65"/>
      <c r="AQ270" s="65"/>
    </row>
    <row r="271" spans="24:43">
      <c r="X271" s="79" t="s">
        <v>10682</v>
      </c>
      <c r="Y271" s="80">
        <v>2000</v>
      </c>
      <c r="Z271" s="81">
        <f t="shared" si="28"/>
        <v>2000</v>
      </c>
      <c r="AA271" s="79" t="s">
        <v>2082</v>
      </c>
      <c r="AB271" s="82">
        <f t="shared" si="29"/>
        <v>2000</v>
      </c>
      <c r="AC271" s="79" t="s">
        <v>2081</v>
      </c>
      <c r="AD271" s="82">
        <f t="shared" si="30"/>
        <v>0</v>
      </c>
      <c r="AE271" s="79" t="s">
        <v>2080</v>
      </c>
      <c r="AF271" s="82">
        <f t="shared" si="31"/>
        <v>0</v>
      </c>
      <c r="AG271" s="79" t="s">
        <v>2079</v>
      </c>
      <c r="AH271" s="81">
        <v>80</v>
      </c>
      <c r="AI271" s="65"/>
      <c r="AJ271" s="65"/>
      <c r="AK271" s="65"/>
      <c r="AL271" s="65"/>
      <c r="AM271" s="65"/>
      <c r="AN271" s="65"/>
      <c r="AO271" s="65"/>
      <c r="AP271" s="65"/>
      <c r="AQ271" s="65"/>
    </row>
    <row r="272" spans="24:43">
      <c r="X272" s="79" t="s">
        <v>10683</v>
      </c>
      <c r="Y272" s="80">
        <v>2737.5</v>
      </c>
      <c r="Z272" s="81">
        <f t="shared" si="28"/>
        <v>2737.5</v>
      </c>
      <c r="AA272" s="79" t="s">
        <v>2082</v>
      </c>
      <c r="AB272" s="82">
        <f t="shared" si="29"/>
        <v>2737</v>
      </c>
      <c r="AC272" s="79" t="s">
        <v>2081</v>
      </c>
      <c r="AD272" s="82">
        <f t="shared" si="30"/>
        <v>5</v>
      </c>
      <c r="AE272" s="79" t="s">
        <v>2080</v>
      </c>
      <c r="AF272" s="82">
        <f t="shared" si="31"/>
        <v>0</v>
      </c>
      <c r="AG272" s="79" t="s">
        <v>2079</v>
      </c>
      <c r="AH272" s="81">
        <v>109.5</v>
      </c>
      <c r="AI272" s="65"/>
      <c r="AJ272" s="65"/>
      <c r="AK272" s="65"/>
      <c r="AL272" s="65"/>
      <c r="AM272" s="65"/>
      <c r="AN272" s="65"/>
      <c r="AO272" s="65"/>
      <c r="AP272" s="65"/>
      <c r="AQ272" s="65"/>
    </row>
    <row r="273" spans="24:43">
      <c r="X273" s="79" t="s">
        <v>10684</v>
      </c>
      <c r="Y273" s="80">
        <v>62.5</v>
      </c>
      <c r="Z273" s="81">
        <f t="shared" si="28"/>
        <v>62.5</v>
      </c>
      <c r="AA273" s="79" t="s">
        <v>2082</v>
      </c>
      <c r="AB273" s="82">
        <f t="shared" si="29"/>
        <v>62</v>
      </c>
      <c r="AC273" s="79" t="s">
        <v>2081</v>
      </c>
      <c r="AD273" s="82">
        <f t="shared" si="30"/>
        <v>5</v>
      </c>
      <c r="AE273" s="79" t="s">
        <v>2080</v>
      </c>
      <c r="AF273" s="82">
        <f t="shared" si="31"/>
        <v>0</v>
      </c>
      <c r="AG273" s="79" t="s">
        <v>2079</v>
      </c>
      <c r="AH273" s="81">
        <v>2.5</v>
      </c>
      <c r="AI273" s="65"/>
      <c r="AJ273" s="65"/>
      <c r="AK273" s="65"/>
      <c r="AL273" s="65"/>
      <c r="AM273" s="65"/>
      <c r="AN273" s="65"/>
      <c r="AO273" s="65"/>
      <c r="AP273" s="65"/>
      <c r="AQ273" s="65"/>
    </row>
    <row r="274" spans="24:43">
      <c r="X274" s="79" t="s">
        <v>10685</v>
      </c>
      <c r="Y274" s="80">
        <v>67.5</v>
      </c>
      <c r="Z274" s="81">
        <f t="shared" si="28"/>
        <v>67.5</v>
      </c>
      <c r="AA274" s="79" t="s">
        <v>2082</v>
      </c>
      <c r="AB274" s="82">
        <f t="shared" si="29"/>
        <v>67</v>
      </c>
      <c r="AC274" s="79" t="s">
        <v>2081</v>
      </c>
      <c r="AD274" s="82">
        <f t="shared" si="30"/>
        <v>5</v>
      </c>
      <c r="AE274" s="79" t="s">
        <v>2080</v>
      </c>
      <c r="AF274" s="82">
        <f t="shared" si="31"/>
        <v>0</v>
      </c>
      <c r="AG274" s="79" t="s">
        <v>2079</v>
      </c>
      <c r="AH274" s="81">
        <v>2.7</v>
      </c>
      <c r="AI274" s="65"/>
      <c r="AJ274" s="65"/>
      <c r="AK274" s="65"/>
      <c r="AL274" s="65"/>
      <c r="AM274" s="65"/>
      <c r="AN274" s="65"/>
      <c r="AO274" s="65"/>
      <c r="AP274" s="65"/>
      <c r="AQ274" s="65"/>
    </row>
    <row r="275" spans="24:43">
      <c r="X275" s="79" t="s">
        <v>10686</v>
      </c>
      <c r="Y275" s="80">
        <v>89250.25</v>
      </c>
      <c r="Z275" s="81">
        <f t="shared" si="28"/>
        <v>89250.25</v>
      </c>
      <c r="AA275" s="79" t="s">
        <v>2082</v>
      </c>
      <c r="AB275" s="82">
        <f t="shared" si="29"/>
        <v>89250</v>
      </c>
      <c r="AC275" s="79" t="s">
        <v>2081</v>
      </c>
      <c r="AD275" s="82">
        <f t="shared" si="30"/>
        <v>2</v>
      </c>
      <c r="AE275" s="79" t="s">
        <v>2080</v>
      </c>
      <c r="AF275" s="82">
        <f t="shared" si="31"/>
        <v>5</v>
      </c>
      <c r="AG275" s="79" t="s">
        <v>2079</v>
      </c>
      <c r="AH275" s="81">
        <v>3570.01</v>
      </c>
      <c r="AI275" s="65"/>
      <c r="AJ275" s="65"/>
      <c r="AK275" s="65"/>
      <c r="AL275" s="65"/>
      <c r="AM275" s="65"/>
      <c r="AN275" s="65"/>
      <c r="AO275" s="65"/>
      <c r="AP275" s="65"/>
      <c r="AQ275" s="65"/>
    </row>
    <row r="276" spans="24:43">
      <c r="X276" s="79" t="s">
        <v>10687</v>
      </c>
      <c r="Y276" s="80">
        <v>4225</v>
      </c>
      <c r="Z276" s="81">
        <f t="shared" si="28"/>
        <v>4225</v>
      </c>
      <c r="AA276" s="79" t="s">
        <v>2082</v>
      </c>
      <c r="AB276" s="82">
        <f t="shared" si="29"/>
        <v>4225</v>
      </c>
      <c r="AC276" s="79" t="s">
        <v>2081</v>
      </c>
      <c r="AD276" s="82">
        <f t="shared" si="30"/>
        <v>0</v>
      </c>
      <c r="AE276" s="79" t="s">
        <v>2080</v>
      </c>
      <c r="AF276" s="82">
        <f t="shared" si="31"/>
        <v>0</v>
      </c>
      <c r="AG276" s="79" t="s">
        <v>2079</v>
      </c>
      <c r="AH276" s="81">
        <v>169</v>
      </c>
      <c r="AI276" s="65"/>
      <c r="AJ276" s="65"/>
      <c r="AK276" s="65"/>
      <c r="AL276" s="65"/>
      <c r="AM276" s="65"/>
      <c r="AN276" s="65"/>
      <c r="AO276" s="65"/>
      <c r="AP276" s="65"/>
      <c r="AQ276" s="65"/>
    </row>
    <row r="277" spans="24:43">
      <c r="X277" s="79" t="s">
        <v>10688</v>
      </c>
      <c r="Y277" s="80">
        <v>6875.25</v>
      </c>
      <c r="Z277" s="81">
        <f t="shared" si="28"/>
        <v>6875.25</v>
      </c>
      <c r="AA277" s="79" t="s">
        <v>2082</v>
      </c>
      <c r="AB277" s="82">
        <f t="shared" si="29"/>
        <v>6875</v>
      </c>
      <c r="AC277" s="79" t="s">
        <v>2081</v>
      </c>
      <c r="AD277" s="82">
        <f t="shared" si="30"/>
        <v>2</v>
      </c>
      <c r="AE277" s="79" t="s">
        <v>2080</v>
      </c>
      <c r="AF277" s="82">
        <f t="shared" si="31"/>
        <v>5</v>
      </c>
      <c r="AG277" s="79" t="s">
        <v>2079</v>
      </c>
      <c r="AH277" s="81">
        <v>275.01</v>
      </c>
      <c r="AI277" s="65"/>
      <c r="AJ277" s="65"/>
      <c r="AK277" s="65"/>
      <c r="AL277" s="65"/>
      <c r="AM277" s="65"/>
      <c r="AN277" s="65"/>
      <c r="AO277" s="65"/>
      <c r="AP277" s="65"/>
      <c r="AQ277" s="65"/>
    </row>
    <row r="278" spans="24:43">
      <c r="X278" s="79" t="s">
        <v>10689</v>
      </c>
      <c r="Y278" s="80">
        <v>4287.625</v>
      </c>
      <c r="Z278" s="81">
        <f t="shared" si="28"/>
        <v>4287.625</v>
      </c>
      <c r="AA278" s="79" t="s">
        <v>2082</v>
      </c>
      <c r="AB278" s="82">
        <f t="shared" si="29"/>
        <v>4287</v>
      </c>
      <c r="AC278" s="79" t="s">
        <v>2081</v>
      </c>
      <c r="AD278" s="82">
        <f t="shared" si="30"/>
        <v>6</v>
      </c>
      <c r="AE278" s="79" t="s">
        <v>2080</v>
      </c>
      <c r="AF278" s="82">
        <f t="shared" si="31"/>
        <v>2.5</v>
      </c>
      <c r="AG278" s="79" t="s">
        <v>2079</v>
      </c>
      <c r="AH278" s="81">
        <v>171.5</v>
      </c>
      <c r="AI278" s="65"/>
      <c r="AJ278" s="65"/>
      <c r="AK278" s="65"/>
      <c r="AL278" s="65"/>
      <c r="AM278" s="65"/>
      <c r="AN278" s="65"/>
      <c r="AO278" s="65"/>
      <c r="AP278" s="65"/>
      <c r="AQ278" s="65"/>
    </row>
    <row r="279" spans="24:43">
      <c r="X279" s="79" t="s">
        <v>10690</v>
      </c>
      <c r="Y279" s="80">
        <v>412.625</v>
      </c>
      <c r="Z279" s="81">
        <f t="shared" si="28"/>
        <v>412.625</v>
      </c>
      <c r="AA279" s="79" t="s">
        <v>2082</v>
      </c>
      <c r="AB279" s="82">
        <f t="shared" si="29"/>
        <v>412</v>
      </c>
      <c r="AC279" s="79" t="s">
        <v>2081</v>
      </c>
      <c r="AD279" s="82">
        <f t="shared" si="30"/>
        <v>6</v>
      </c>
      <c r="AE279" s="79" t="s">
        <v>2080</v>
      </c>
      <c r="AF279" s="82">
        <f t="shared" si="31"/>
        <v>2.5</v>
      </c>
      <c r="AG279" s="79" t="s">
        <v>2079</v>
      </c>
      <c r="AH279" s="81">
        <v>16.5</v>
      </c>
      <c r="AI279" s="65"/>
      <c r="AJ279" s="65"/>
      <c r="AK279" s="65"/>
      <c r="AL279" s="65"/>
      <c r="AM279" s="65"/>
      <c r="AN279" s="65"/>
      <c r="AO279" s="65"/>
      <c r="AP279" s="65"/>
      <c r="AQ279" s="65"/>
    </row>
    <row r="280" spans="24:43">
      <c r="X280" s="79" t="s">
        <v>10691</v>
      </c>
      <c r="Y280" s="80">
        <v>31625.125</v>
      </c>
      <c r="Z280" s="81">
        <f t="shared" si="28"/>
        <v>31625.125</v>
      </c>
      <c r="AA280" s="79" t="s">
        <v>2082</v>
      </c>
      <c r="AB280" s="82">
        <f t="shared" si="29"/>
        <v>31625</v>
      </c>
      <c r="AC280" s="79" t="s">
        <v>2081</v>
      </c>
      <c r="AD280" s="82">
        <f t="shared" si="30"/>
        <v>1</v>
      </c>
      <c r="AE280" s="79" t="s">
        <v>2080</v>
      </c>
      <c r="AF280" s="82">
        <f t="shared" si="31"/>
        <v>2.5</v>
      </c>
      <c r="AG280" s="79" t="s">
        <v>2079</v>
      </c>
      <c r="AH280" s="81">
        <v>1265</v>
      </c>
      <c r="AI280" s="65"/>
      <c r="AJ280" s="65"/>
      <c r="AK280" s="65"/>
      <c r="AL280" s="65"/>
      <c r="AM280" s="65"/>
      <c r="AN280" s="65"/>
      <c r="AO280" s="65"/>
      <c r="AP280" s="65"/>
      <c r="AQ280" s="65"/>
    </row>
    <row r="281" spans="24:43">
      <c r="X281" s="79" t="s">
        <v>10692</v>
      </c>
      <c r="Y281" s="80">
        <v>350</v>
      </c>
      <c r="Z281" s="81">
        <f t="shared" si="28"/>
        <v>350</v>
      </c>
      <c r="AA281" s="79" t="s">
        <v>2082</v>
      </c>
      <c r="AB281" s="82">
        <f t="shared" si="29"/>
        <v>350</v>
      </c>
      <c r="AC281" s="79" t="s">
        <v>2081</v>
      </c>
      <c r="AD281" s="82">
        <f t="shared" si="30"/>
        <v>0</v>
      </c>
      <c r="AE281" s="79" t="s">
        <v>2080</v>
      </c>
      <c r="AF281" s="82">
        <f t="shared" si="31"/>
        <v>0</v>
      </c>
      <c r="AG281" s="79" t="s">
        <v>2079</v>
      </c>
      <c r="AH281" s="81">
        <v>14</v>
      </c>
      <c r="AI281" s="65"/>
      <c r="AJ281" s="65"/>
      <c r="AK281" s="65"/>
      <c r="AL281" s="65"/>
      <c r="AM281" s="65"/>
      <c r="AN281" s="65"/>
      <c r="AO281" s="65"/>
      <c r="AP281" s="65"/>
      <c r="AQ281" s="65"/>
    </row>
    <row r="282" spans="24:43">
      <c r="X282" s="79" t="s">
        <v>10693</v>
      </c>
      <c r="Y282" s="80">
        <v>26375.125</v>
      </c>
      <c r="Z282" s="81">
        <f t="shared" si="28"/>
        <v>26375.125</v>
      </c>
      <c r="AA282" s="79" t="s">
        <v>2082</v>
      </c>
      <c r="AB282" s="82">
        <f t="shared" si="29"/>
        <v>26375</v>
      </c>
      <c r="AC282" s="79" t="s">
        <v>2081</v>
      </c>
      <c r="AD282" s="82">
        <f t="shared" si="30"/>
        <v>1</v>
      </c>
      <c r="AE282" s="79" t="s">
        <v>2080</v>
      </c>
      <c r="AF282" s="82">
        <f t="shared" si="31"/>
        <v>2.5</v>
      </c>
      <c r="AG282" s="79" t="s">
        <v>2079</v>
      </c>
      <c r="AH282" s="81">
        <v>1055</v>
      </c>
      <c r="AI282" s="65"/>
      <c r="AJ282" s="65"/>
      <c r="AK282" s="65"/>
      <c r="AL282" s="65"/>
      <c r="AM282" s="65"/>
      <c r="AN282" s="65"/>
      <c r="AO282" s="65"/>
      <c r="AP282" s="65"/>
      <c r="AQ282" s="65"/>
    </row>
    <row r="283" spans="24:43">
      <c r="X283" s="79" t="s">
        <v>10694</v>
      </c>
      <c r="Y283" s="80">
        <v>6150</v>
      </c>
      <c r="Z283" s="81">
        <f t="shared" si="28"/>
        <v>6150</v>
      </c>
      <c r="AA283" s="79" t="s">
        <v>2082</v>
      </c>
      <c r="AB283" s="82">
        <f t="shared" si="29"/>
        <v>6150</v>
      </c>
      <c r="AC283" s="79" t="s">
        <v>2081</v>
      </c>
      <c r="AD283" s="82">
        <f t="shared" si="30"/>
        <v>0</v>
      </c>
      <c r="AE283" s="79" t="s">
        <v>2080</v>
      </c>
      <c r="AF283" s="82">
        <f t="shared" si="31"/>
        <v>0</v>
      </c>
      <c r="AG283" s="79" t="s">
        <v>2079</v>
      </c>
      <c r="AH283" s="81">
        <v>246</v>
      </c>
      <c r="AI283" s="65"/>
      <c r="AJ283" s="65"/>
      <c r="AK283" s="65"/>
      <c r="AL283" s="65"/>
      <c r="AM283" s="65"/>
      <c r="AN283" s="65"/>
      <c r="AO283" s="65"/>
      <c r="AP283" s="65"/>
      <c r="AQ283" s="65"/>
    </row>
    <row r="284" spans="24:43">
      <c r="X284" s="79" t="s">
        <v>10695</v>
      </c>
      <c r="Y284" s="80">
        <v>34125</v>
      </c>
      <c r="Z284" s="81">
        <f t="shared" si="28"/>
        <v>34125</v>
      </c>
      <c r="AA284" s="79" t="s">
        <v>2082</v>
      </c>
      <c r="AB284" s="82">
        <f t="shared" si="29"/>
        <v>34125</v>
      </c>
      <c r="AC284" s="79" t="s">
        <v>2081</v>
      </c>
      <c r="AD284" s="82">
        <f t="shared" si="30"/>
        <v>0</v>
      </c>
      <c r="AE284" s="79" t="s">
        <v>2080</v>
      </c>
      <c r="AF284" s="82">
        <f t="shared" si="31"/>
        <v>0</v>
      </c>
      <c r="AG284" s="79" t="s">
        <v>2079</v>
      </c>
      <c r="AH284" s="81">
        <v>1365</v>
      </c>
      <c r="AI284" s="65"/>
      <c r="AJ284" s="65"/>
      <c r="AK284" s="65"/>
      <c r="AL284" s="65"/>
      <c r="AM284" s="65"/>
      <c r="AN284" s="65"/>
      <c r="AO284" s="65"/>
      <c r="AP284" s="65"/>
      <c r="AQ284" s="65"/>
    </row>
    <row r="285" spans="24:43">
      <c r="X285" s="79" t="s">
        <v>10696</v>
      </c>
      <c r="Y285" s="80">
        <v>4037.625</v>
      </c>
      <c r="Z285" s="81">
        <f t="shared" si="28"/>
        <v>4037.625</v>
      </c>
      <c r="AA285" s="79" t="s">
        <v>2082</v>
      </c>
      <c r="AB285" s="82">
        <f t="shared" si="29"/>
        <v>4037</v>
      </c>
      <c r="AC285" s="79" t="s">
        <v>2081</v>
      </c>
      <c r="AD285" s="82">
        <f t="shared" si="30"/>
        <v>6</v>
      </c>
      <c r="AE285" s="79" t="s">
        <v>2080</v>
      </c>
      <c r="AF285" s="82">
        <f t="shared" si="31"/>
        <v>2.5</v>
      </c>
      <c r="AG285" s="79" t="s">
        <v>2079</v>
      </c>
      <c r="AH285" s="81">
        <v>161.5</v>
      </c>
      <c r="AI285" s="65"/>
      <c r="AJ285" s="65"/>
      <c r="AK285" s="65"/>
      <c r="AL285" s="65"/>
      <c r="AM285" s="65"/>
      <c r="AN285" s="65"/>
      <c r="AO285" s="65"/>
      <c r="AP285" s="65"/>
      <c r="AQ285" s="65"/>
    </row>
    <row r="286" spans="24:43">
      <c r="X286" s="79" t="s">
        <v>10697</v>
      </c>
      <c r="Y286" s="80">
        <v>112500.5</v>
      </c>
      <c r="Z286" s="81">
        <f t="shared" si="28"/>
        <v>112500.5</v>
      </c>
      <c r="AA286" s="79" t="s">
        <v>2082</v>
      </c>
      <c r="AB286" s="82">
        <f t="shared" si="29"/>
        <v>112500</v>
      </c>
      <c r="AC286" s="79" t="s">
        <v>2081</v>
      </c>
      <c r="AD286" s="82">
        <f t="shared" si="30"/>
        <v>5</v>
      </c>
      <c r="AE286" s="79" t="s">
        <v>2080</v>
      </c>
      <c r="AF286" s="82">
        <f t="shared" si="31"/>
        <v>0</v>
      </c>
      <c r="AG286" s="79" t="s">
        <v>2079</v>
      </c>
      <c r="AH286" s="81">
        <v>4500.0200000000004</v>
      </c>
      <c r="AI286" s="65"/>
      <c r="AJ286" s="65"/>
      <c r="AK286" s="65"/>
      <c r="AL286" s="65"/>
      <c r="AM286" s="65"/>
      <c r="AN286" s="65"/>
      <c r="AO286" s="65"/>
      <c r="AP286" s="65"/>
      <c r="AQ286" s="65"/>
    </row>
    <row r="287" spans="24:43">
      <c r="X287" s="79" t="s">
        <v>10698</v>
      </c>
      <c r="Y287" s="80">
        <v>412.625</v>
      </c>
      <c r="Z287" s="81">
        <f t="shared" si="28"/>
        <v>412.625</v>
      </c>
      <c r="AA287" s="79" t="s">
        <v>2082</v>
      </c>
      <c r="AB287" s="82">
        <f t="shared" si="29"/>
        <v>412</v>
      </c>
      <c r="AC287" s="79" t="s">
        <v>2081</v>
      </c>
      <c r="AD287" s="82">
        <f t="shared" si="30"/>
        <v>6</v>
      </c>
      <c r="AE287" s="79" t="s">
        <v>2080</v>
      </c>
      <c r="AF287" s="82">
        <f t="shared" si="31"/>
        <v>2.5</v>
      </c>
      <c r="AG287" s="79" t="s">
        <v>2079</v>
      </c>
      <c r="AH287" s="81">
        <v>16.5</v>
      </c>
      <c r="AI287" s="65"/>
      <c r="AJ287" s="65"/>
      <c r="AK287" s="65"/>
      <c r="AL287" s="65"/>
      <c r="AM287" s="65"/>
      <c r="AN287" s="65"/>
      <c r="AO287" s="65"/>
      <c r="AP287" s="65"/>
      <c r="AQ287" s="65"/>
    </row>
    <row r="288" spans="24:43">
      <c r="X288" s="79" t="s">
        <v>10699</v>
      </c>
      <c r="Y288" s="80">
        <v>325.25</v>
      </c>
      <c r="Z288" s="81">
        <f t="shared" si="28"/>
        <v>325.25</v>
      </c>
      <c r="AA288" s="79" t="s">
        <v>2082</v>
      </c>
      <c r="AB288" s="82">
        <f t="shared" si="29"/>
        <v>325</v>
      </c>
      <c r="AC288" s="79" t="s">
        <v>2081</v>
      </c>
      <c r="AD288" s="82">
        <f t="shared" si="30"/>
        <v>2</v>
      </c>
      <c r="AE288" s="79" t="s">
        <v>2080</v>
      </c>
      <c r="AF288" s="82">
        <f t="shared" si="31"/>
        <v>5</v>
      </c>
      <c r="AG288" s="79" t="s">
        <v>2079</v>
      </c>
      <c r="AH288" s="81">
        <v>13.01</v>
      </c>
      <c r="AI288" s="65"/>
      <c r="AJ288" s="65"/>
      <c r="AK288" s="65"/>
      <c r="AL288" s="65"/>
      <c r="AM288" s="65"/>
      <c r="AN288" s="65"/>
      <c r="AO288" s="65"/>
      <c r="AP288" s="65"/>
      <c r="AQ288" s="65"/>
    </row>
    <row r="289" spans="24:43">
      <c r="X289" s="79" t="s">
        <v>7158</v>
      </c>
      <c r="Y289" s="80">
        <v>2000</v>
      </c>
      <c r="Z289" s="81">
        <f t="shared" si="28"/>
        <v>2000</v>
      </c>
      <c r="AA289" s="79" t="s">
        <v>2082</v>
      </c>
      <c r="AB289" s="82">
        <f t="shared" si="29"/>
        <v>2000</v>
      </c>
      <c r="AC289" s="79" t="s">
        <v>2081</v>
      </c>
      <c r="AD289" s="82">
        <f t="shared" si="30"/>
        <v>0</v>
      </c>
      <c r="AE289" s="79" t="s">
        <v>2080</v>
      </c>
      <c r="AF289" s="82">
        <f t="shared" si="31"/>
        <v>0</v>
      </c>
      <c r="AG289" s="79" t="s">
        <v>2079</v>
      </c>
      <c r="AH289" s="81">
        <v>80</v>
      </c>
      <c r="AI289" s="65"/>
      <c r="AJ289" s="65"/>
      <c r="AK289" s="65"/>
      <c r="AL289" s="65"/>
      <c r="AM289" s="65"/>
      <c r="AN289" s="65"/>
      <c r="AO289" s="65"/>
      <c r="AP289" s="65"/>
      <c r="AQ289" s="65"/>
    </row>
    <row r="290" spans="24:43">
      <c r="X290" s="79" t="s">
        <v>10700</v>
      </c>
      <c r="Y290" s="80">
        <v>80</v>
      </c>
      <c r="Z290" s="81">
        <f t="shared" si="28"/>
        <v>80</v>
      </c>
      <c r="AA290" s="79" t="s">
        <v>2082</v>
      </c>
      <c r="AB290" s="82">
        <f t="shared" si="29"/>
        <v>80</v>
      </c>
      <c r="AC290" s="79" t="s">
        <v>2081</v>
      </c>
      <c r="AD290" s="82">
        <f t="shared" si="30"/>
        <v>0</v>
      </c>
      <c r="AE290" s="79" t="s">
        <v>2080</v>
      </c>
      <c r="AF290" s="82">
        <f t="shared" si="31"/>
        <v>0</v>
      </c>
      <c r="AG290" s="79" t="s">
        <v>2079</v>
      </c>
      <c r="AH290" s="81">
        <v>3.2</v>
      </c>
      <c r="AI290" s="65"/>
      <c r="AJ290" s="65"/>
      <c r="AK290" s="65"/>
      <c r="AL290" s="65"/>
      <c r="AM290" s="65"/>
      <c r="AN290" s="65"/>
      <c r="AO290" s="65"/>
      <c r="AP290" s="65"/>
      <c r="AQ290" s="65"/>
    </row>
    <row r="291" spans="24:43">
      <c r="X291" s="79" t="s">
        <v>10701</v>
      </c>
      <c r="Y291" s="80">
        <v>31250.25</v>
      </c>
      <c r="Z291" s="81">
        <f t="shared" si="28"/>
        <v>31250.25</v>
      </c>
      <c r="AA291" s="79" t="s">
        <v>2082</v>
      </c>
      <c r="AB291" s="82">
        <f t="shared" si="29"/>
        <v>31250</v>
      </c>
      <c r="AC291" s="79" t="s">
        <v>2081</v>
      </c>
      <c r="AD291" s="82">
        <f t="shared" si="30"/>
        <v>2</v>
      </c>
      <c r="AE291" s="79" t="s">
        <v>2080</v>
      </c>
      <c r="AF291" s="82">
        <f t="shared" si="31"/>
        <v>5</v>
      </c>
      <c r="AG291" s="79" t="s">
        <v>2079</v>
      </c>
      <c r="AH291" s="81">
        <v>1250.01</v>
      </c>
      <c r="AI291" s="65"/>
      <c r="AJ291" s="65"/>
      <c r="AK291" s="65"/>
      <c r="AL291" s="65"/>
      <c r="AM291" s="65"/>
      <c r="AN291" s="65"/>
      <c r="AO291" s="65"/>
      <c r="AP291" s="65"/>
      <c r="AQ291" s="65"/>
    </row>
    <row r="292" spans="24:43">
      <c r="X292" s="79" t="s">
        <v>10702</v>
      </c>
      <c r="Y292" s="80">
        <v>112500.5</v>
      </c>
      <c r="Z292" s="81">
        <f t="shared" si="28"/>
        <v>112500.5</v>
      </c>
      <c r="AA292" s="79" t="s">
        <v>2082</v>
      </c>
      <c r="AB292" s="82">
        <f t="shared" si="29"/>
        <v>112500</v>
      </c>
      <c r="AC292" s="79" t="s">
        <v>2081</v>
      </c>
      <c r="AD292" s="82">
        <f t="shared" si="30"/>
        <v>5</v>
      </c>
      <c r="AE292" s="79" t="s">
        <v>2080</v>
      </c>
      <c r="AF292" s="82">
        <f t="shared" si="31"/>
        <v>0</v>
      </c>
      <c r="AG292" s="79" t="s">
        <v>2079</v>
      </c>
      <c r="AH292" s="81">
        <v>4500.0200000000004</v>
      </c>
      <c r="AI292" s="65"/>
      <c r="AJ292" s="65"/>
      <c r="AK292" s="65"/>
      <c r="AL292" s="65"/>
      <c r="AM292" s="65"/>
      <c r="AN292" s="65"/>
      <c r="AO292" s="65"/>
      <c r="AP292" s="65"/>
      <c r="AQ292" s="65"/>
    </row>
    <row r="293" spans="24:43">
      <c r="X293" s="79" t="s">
        <v>10703</v>
      </c>
      <c r="Y293" s="80">
        <v>115000</v>
      </c>
      <c r="Z293" s="81">
        <f t="shared" si="28"/>
        <v>115000</v>
      </c>
      <c r="AA293" s="79" t="s">
        <v>2082</v>
      </c>
      <c r="AB293" s="82">
        <f t="shared" si="29"/>
        <v>115000</v>
      </c>
      <c r="AC293" s="79" t="s">
        <v>2081</v>
      </c>
      <c r="AD293" s="82">
        <f t="shared" si="30"/>
        <v>0</v>
      </c>
      <c r="AE293" s="79" t="s">
        <v>2080</v>
      </c>
      <c r="AF293" s="82">
        <f t="shared" si="31"/>
        <v>0</v>
      </c>
      <c r="AG293" s="79" t="s">
        <v>2079</v>
      </c>
      <c r="AH293" s="81">
        <v>4600</v>
      </c>
      <c r="AI293" s="65"/>
      <c r="AJ293" s="65"/>
      <c r="AK293" s="65"/>
      <c r="AL293" s="65"/>
      <c r="AM293" s="65"/>
      <c r="AN293" s="65"/>
      <c r="AO293" s="65"/>
      <c r="AP293" s="65"/>
      <c r="AQ293" s="65"/>
    </row>
    <row r="294" spans="24:43">
      <c r="X294" s="79" t="s">
        <v>10704</v>
      </c>
      <c r="Y294" s="80">
        <v>81750.25</v>
      </c>
      <c r="Z294" s="81">
        <f t="shared" si="28"/>
        <v>81750.25</v>
      </c>
      <c r="AA294" s="79" t="s">
        <v>2082</v>
      </c>
      <c r="AB294" s="82">
        <f t="shared" si="29"/>
        <v>81750</v>
      </c>
      <c r="AC294" s="79" t="s">
        <v>2081</v>
      </c>
      <c r="AD294" s="82">
        <f t="shared" si="30"/>
        <v>2</v>
      </c>
      <c r="AE294" s="79" t="s">
        <v>2080</v>
      </c>
      <c r="AF294" s="82">
        <f t="shared" si="31"/>
        <v>5</v>
      </c>
      <c r="AG294" s="79" t="s">
        <v>2079</v>
      </c>
      <c r="AH294" s="81">
        <v>3270.01</v>
      </c>
      <c r="AI294" s="65"/>
      <c r="AJ294" s="65"/>
      <c r="AK294" s="65"/>
      <c r="AL294" s="65"/>
      <c r="AM294" s="65"/>
      <c r="AN294" s="65"/>
      <c r="AO294" s="65"/>
      <c r="AP294" s="65"/>
      <c r="AQ294" s="65"/>
    </row>
    <row r="295" spans="24:43">
      <c r="X295" s="79" t="s">
        <v>10705</v>
      </c>
      <c r="Y295" s="80">
        <v>6875.25</v>
      </c>
      <c r="Z295" s="81">
        <f t="shared" si="28"/>
        <v>6875.25</v>
      </c>
      <c r="AA295" s="79" t="s">
        <v>2082</v>
      </c>
      <c r="AB295" s="82">
        <f t="shared" si="29"/>
        <v>6875</v>
      </c>
      <c r="AC295" s="79" t="s">
        <v>2081</v>
      </c>
      <c r="AD295" s="82">
        <f t="shared" si="30"/>
        <v>2</v>
      </c>
      <c r="AE295" s="79" t="s">
        <v>2080</v>
      </c>
      <c r="AF295" s="82">
        <f t="shared" si="31"/>
        <v>5</v>
      </c>
      <c r="AG295" s="79" t="s">
        <v>2079</v>
      </c>
      <c r="AH295" s="81">
        <v>275.01</v>
      </c>
      <c r="AI295" s="65"/>
      <c r="AJ295" s="65"/>
      <c r="AK295" s="65"/>
      <c r="AL295" s="65"/>
      <c r="AM295" s="65"/>
      <c r="AN295" s="65"/>
      <c r="AO295" s="65"/>
      <c r="AP295" s="65"/>
      <c r="AQ295" s="65"/>
    </row>
    <row r="296" spans="24:43">
      <c r="X296" s="79" t="s">
        <v>10706</v>
      </c>
      <c r="Y296" s="80">
        <v>1475</v>
      </c>
      <c r="Z296" s="81">
        <f t="shared" si="28"/>
        <v>1475</v>
      </c>
      <c r="AA296" s="79" t="s">
        <v>2082</v>
      </c>
      <c r="AB296" s="82">
        <f t="shared" si="29"/>
        <v>1475</v>
      </c>
      <c r="AC296" s="79" t="s">
        <v>2081</v>
      </c>
      <c r="AD296" s="82">
        <f t="shared" si="30"/>
        <v>0</v>
      </c>
      <c r="AE296" s="79" t="s">
        <v>2080</v>
      </c>
      <c r="AF296" s="82">
        <f t="shared" si="31"/>
        <v>0</v>
      </c>
      <c r="AG296" s="79" t="s">
        <v>2079</v>
      </c>
      <c r="AH296" s="81">
        <v>59</v>
      </c>
      <c r="AI296" s="65"/>
      <c r="AJ296" s="65"/>
      <c r="AK296" s="65"/>
      <c r="AL296" s="65"/>
      <c r="AM296" s="65"/>
      <c r="AN296" s="65"/>
      <c r="AO296" s="65"/>
      <c r="AP296" s="65"/>
      <c r="AQ296" s="65"/>
    </row>
    <row r="297" spans="24:43">
      <c r="X297" s="79" t="s">
        <v>10707</v>
      </c>
      <c r="Y297" s="80">
        <v>72.5</v>
      </c>
      <c r="Z297" s="81">
        <f t="shared" si="28"/>
        <v>72.5</v>
      </c>
      <c r="AA297" s="79" t="s">
        <v>2082</v>
      </c>
      <c r="AB297" s="82">
        <f t="shared" si="29"/>
        <v>72</v>
      </c>
      <c r="AC297" s="79" t="s">
        <v>2081</v>
      </c>
      <c r="AD297" s="82">
        <f t="shared" si="30"/>
        <v>5</v>
      </c>
      <c r="AE297" s="79" t="s">
        <v>2080</v>
      </c>
      <c r="AF297" s="82">
        <f t="shared" si="31"/>
        <v>0</v>
      </c>
      <c r="AG297" s="79" t="s">
        <v>2079</v>
      </c>
      <c r="AH297" s="81">
        <v>2.9</v>
      </c>
      <c r="AI297" s="65"/>
      <c r="AJ297" s="65"/>
      <c r="AK297" s="65"/>
      <c r="AL297" s="65"/>
      <c r="AM297" s="65"/>
      <c r="AN297" s="65"/>
      <c r="AO297" s="65"/>
      <c r="AP297" s="65"/>
      <c r="AQ297" s="65"/>
    </row>
    <row r="298" spans="24:43">
      <c r="X298" s="79" t="s">
        <v>10708</v>
      </c>
      <c r="Y298" s="80">
        <v>6875.25</v>
      </c>
      <c r="Z298" s="81">
        <f t="shared" si="28"/>
        <v>6875.25</v>
      </c>
      <c r="AA298" s="79" t="s">
        <v>2082</v>
      </c>
      <c r="AB298" s="82">
        <f t="shared" si="29"/>
        <v>6875</v>
      </c>
      <c r="AC298" s="79" t="s">
        <v>2081</v>
      </c>
      <c r="AD298" s="82">
        <f t="shared" si="30"/>
        <v>2</v>
      </c>
      <c r="AE298" s="79" t="s">
        <v>2080</v>
      </c>
      <c r="AF298" s="82">
        <f t="shared" si="31"/>
        <v>5</v>
      </c>
      <c r="AG298" s="79" t="s">
        <v>2079</v>
      </c>
      <c r="AH298" s="81">
        <v>275.01</v>
      </c>
      <c r="AI298" s="65"/>
      <c r="AJ298" s="65"/>
      <c r="AK298" s="65"/>
      <c r="AL298" s="65"/>
      <c r="AM298" s="65"/>
      <c r="AN298" s="65"/>
      <c r="AO298" s="65"/>
      <c r="AP298" s="65"/>
      <c r="AQ298" s="65"/>
    </row>
    <row r="299" spans="24:43">
      <c r="X299" s="79" t="s">
        <v>10709</v>
      </c>
      <c r="Y299" s="80">
        <v>6700</v>
      </c>
      <c r="Z299" s="81">
        <f t="shared" si="28"/>
        <v>6700</v>
      </c>
      <c r="AA299" s="79" t="s">
        <v>2082</v>
      </c>
      <c r="AB299" s="82">
        <f t="shared" si="29"/>
        <v>6700</v>
      </c>
      <c r="AC299" s="79" t="s">
        <v>2081</v>
      </c>
      <c r="AD299" s="82">
        <f t="shared" si="30"/>
        <v>0</v>
      </c>
      <c r="AE299" s="79" t="s">
        <v>2080</v>
      </c>
      <c r="AF299" s="82">
        <f t="shared" si="31"/>
        <v>0</v>
      </c>
      <c r="AG299" s="79" t="s">
        <v>2079</v>
      </c>
      <c r="AH299" s="81">
        <v>268</v>
      </c>
      <c r="AI299" s="65"/>
      <c r="AJ299" s="65"/>
      <c r="AK299" s="65"/>
      <c r="AL299" s="65"/>
      <c r="AM299" s="65"/>
      <c r="AN299" s="65"/>
      <c r="AO299" s="65"/>
      <c r="AP299" s="65"/>
      <c r="AQ299" s="65"/>
    </row>
    <row r="300" spans="24:43">
      <c r="X300" s="79" t="s">
        <v>10710</v>
      </c>
      <c r="Y300" s="80">
        <v>15600</v>
      </c>
      <c r="Z300" s="81">
        <f t="shared" si="28"/>
        <v>15600</v>
      </c>
      <c r="AA300" s="79" t="s">
        <v>2082</v>
      </c>
      <c r="AB300" s="82">
        <f t="shared" si="29"/>
        <v>15600</v>
      </c>
      <c r="AC300" s="79" t="s">
        <v>2081</v>
      </c>
      <c r="AD300" s="82">
        <f t="shared" si="30"/>
        <v>0</v>
      </c>
      <c r="AE300" s="79" t="s">
        <v>2080</v>
      </c>
      <c r="AF300" s="82">
        <f t="shared" si="31"/>
        <v>0</v>
      </c>
      <c r="AG300" s="79" t="s">
        <v>2079</v>
      </c>
      <c r="AH300" s="81">
        <v>624</v>
      </c>
      <c r="AI300" s="65"/>
      <c r="AJ300" s="65"/>
      <c r="AK300" s="65"/>
      <c r="AL300" s="65"/>
      <c r="AM300" s="65"/>
      <c r="AN300" s="65"/>
      <c r="AO300" s="65"/>
      <c r="AP300" s="65"/>
      <c r="AQ300" s="65"/>
    </row>
    <row r="301" spans="24:43">
      <c r="X301" s="79" t="s">
        <v>10711</v>
      </c>
      <c r="Y301" s="80">
        <v>32000</v>
      </c>
      <c r="Z301" s="81">
        <f t="shared" si="28"/>
        <v>32000</v>
      </c>
      <c r="AA301" s="79" t="s">
        <v>2082</v>
      </c>
      <c r="AB301" s="82">
        <f t="shared" si="29"/>
        <v>32000</v>
      </c>
      <c r="AC301" s="79" t="s">
        <v>2081</v>
      </c>
      <c r="AD301" s="82">
        <f t="shared" si="30"/>
        <v>0</v>
      </c>
      <c r="AE301" s="79" t="s">
        <v>2080</v>
      </c>
      <c r="AF301" s="82">
        <f t="shared" si="31"/>
        <v>0</v>
      </c>
      <c r="AG301" s="79" t="s">
        <v>2079</v>
      </c>
      <c r="AH301" s="81">
        <v>1280</v>
      </c>
      <c r="AI301" s="65"/>
      <c r="AJ301" s="65"/>
      <c r="AK301" s="65"/>
      <c r="AL301" s="65"/>
      <c r="AM301" s="65"/>
      <c r="AN301" s="65"/>
      <c r="AO301" s="65"/>
      <c r="AP301" s="65"/>
      <c r="AQ301" s="65"/>
    </row>
    <row r="302" spans="24:43">
      <c r="X302" s="79" t="s">
        <v>10712</v>
      </c>
      <c r="Y302" s="80">
        <v>5300</v>
      </c>
      <c r="Z302" s="81">
        <f t="shared" si="28"/>
        <v>5300</v>
      </c>
      <c r="AA302" s="79" t="s">
        <v>2082</v>
      </c>
      <c r="AB302" s="82">
        <f t="shared" si="29"/>
        <v>5300</v>
      </c>
      <c r="AC302" s="79" t="s">
        <v>2081</v>
      </c>
      <c r="AD302" s="82">
        <f t="shared" si="30"/>
        <v>0</v>
      </c>
      <c r="AE302" s="79" t="s">
        <v>2080</v>
      </c>
      <c r="AF302" s="82">
        <f t="shared" si="31"/>
        <v>0</v>
      </c>
      <c r="AG302" s="79" t="s">
        <v>2079</v>
      </c>
      <c r="AH302" s="81">
        <v>212</v>
      </c>
      <c r="AI302" s="65"/>
      <c r="AJ302" s="65"/>
      <c r="AK302" s="65"/>
      <c r="AL302" s="65"/>
      <c r="AM302" s="65"/>
      <c r="AN302" s="65"/>
      <c r="AO302" s="65"/>
      <c r="AP302" s="65"/>
      <c r="AQ302" s="65"/>
    </row>
    <row r="303" spans="24:43">
      <c r="X303" s="79" t="s">
        <v>10713</v>
      </c>
      <c r="Y303" s="80">
        <v>31250.25</v>
      </c>
      <c r="Z303" s="81">
        <f t="shared" si="28"/>
        <v>31250.25</v>
      </c>
      <c r="AA303" s="79" t="s">
        <v>2082</v>
      </c>
      <c r="AB303" s="82">
        <f t="shared" si="29"/>
        <v>31250</v>
      </c>
      <c r="AC303" s="79" t="s">
        <v>2081</v>
      </c>
      <c r="AD303" s="82">
        <f t="shared" si="30"/>
        <v>2</v>
      </c>
      <c r="AE303" s="79" t="s">
        <v>2080</v>
      </c>
      <c r="AF303" s="82">
        <f t="shared" si="31"/>
        <v>5</v>
      </c>
      <c r="AG303" s="79" t="s">
        <v>2079</v>
      </c>
      <c r="AH303" s="81">
        <v>1250.01</v>
      </c>
      <c r="AI303" s="65"/>
      <c r="AJ303" s="65"/>
      <c r="AK303" s="65"/>
      <c r="AL303" s="65"/>
      <c r="AM303" s="65"/>
      <c r="AN303" s="65"/>
      <c r="AO303" s="65"/>
      <c r="AP303" s="65"/>
      <c r="AQ303" s="65"/>
    </row>
    <row r="304" spans="24:43">
      <c r="X304" s="79" t="s">
        <v>10714</v>
      </c>
      <c r="Y304" s="80">
        <v>3750</v>
      </c>
      <c r="Z304" s="81">
        <f t="shared" si="28"/>
        <v>3750</v>
      </c>
      <c r="AA304" s="79" t="s">
        <v>2082</v>
      </c>
      <c r="AB304" s="82">
        <f t="shared" si="29"/>
        <v>3750</v>
      </c>
      <c r="AC304" s="79" t="s">
        <v>2081</v>
      </c>
      <c r="AD304" s="82">
        <f t="shared" si="30"/>
        <v>0</v>
      </c>
      <c r="AE304" s="79" t="s">
        <v>2080</v>
      </c>
      <c r="AF304" s="82">
        <f t="shared" si="31"/>
        <v>0</v>
      </c>
      <c r="AG304" s="79" t="s">
        <v>2079</v>
      </c>
      <c r="AH304" s="81">
        <v>150</v>
      </c>
      <c r="AI304" s="65"/>
      <c r="AJ304" s="65"/>
      <c r="AK304" s="65"/>
      <c r="AL304" s="65"/>
      <c r="AM304" s="65"/>
      <c r="AN304" s="65"/>
      <c r="AO304" s="65"/>
      <c r="AP304" s="65"/>
      <c r="AQ304" s="65"/>
    </row>
    <row r="305" spans="24:43">
      <c r="X305" s="79" t="s">
        <v>10715</v>
      </c>
      <c r="Y305" s="80">
        <v>4000</v>
      </c>
      <c r="Z305" s="81">
        <f t="shared" si="28"/>
        <v>4000</v>
      </c>
      <c r="AA305" s="79" t="s">
        <v>2082</v>
      </c>
      <c r="AB305" s="82">
        <f t="shared" si="29"/>
        <v>4000</v>
      </c>
      <c r="AC305" s="79" t="s">
        <v>2081</v>
      </c>
      <c r="AD305" s="82">
        <f t="shared" si="30"/>
        <v>0</v>
      </c>
      <c r="AE305" s="79" t="s">
        <v>2080</v>
      </c>
      <c r="AF305" s="82">
        <f t="shared" si="31"/>
        <v>0</v>
      </c>
      <c r="AG305" s="79" t="s">
        <v>2079</v>
      </c>
      <c r="AH305" s="81">
        <v>160</v>
      </c>
      <c r="AI305" s="65"/>
      <c r="AJ305" s="65"/>
      <c r="AK305" s="65"/>
      <c r="AL305" s="65"/>
      <c r="AM305" s="65"/>
      <c r="AN305" s="65"/>
      <c r="AO305" s="65"/>
      <c r="AP305" s="65"/>
      <c r="AQ305" s="65"/>
    </row>
    <row r="306" spans="24:43">
      <c r="X306" s="79" t="s">
        <v>10716</v>
      </c>
      <c r="Y306" s="80">
        <v>18125.125</v>
      </c>
      <c r="Z306" s="81">
        <f t="shared" si="28"/>
        <v>18125.125</v>
      </c>
      <c r="AA306" s="79" t="s">
        <v>2082</v>
      </c>
      <c r="AB306" s="82">
        <f t="shared" si="29"/>
        <v>18125</v>
      </c>
      <c r="AC306" s="79" t="s">
        <v>2081</v>
      </c>
      <c r="AD306" s="82">
        <f t="shared" si="30"/>
        <v>1</v>
      </c>
      <c r="AE306" s="79" t="s">
        <v>2080</v>
      </c>
      <c r="AF306" s="82">
        <f t="shared" si="31"/>
        <v>2.5</v>
      </c>
      <c r="AG306" s="79" t="s">
        <v>2079</v>
      </c>
      <c r="AH306" s="81">
        <v>725</v>
      </c>
      <c r="AI306" s="65"/>
      <c r="AJ306" s="65"/>
      <c r="AK306" s="65"/>
      <c r="AL306" s="65"/>
      <c r="AM306" s="65"/>
      <c r="AN306" s="65"/>
      <c r="AO306" s="65"/>
      <c r="AP306" s="65"/>
      <c r="AQ306" s="65"/>
    </row>
    <row r="307" spans="24:43">
      <c r="X307" s="79" t="s">
        <v>10717</v>
      </c>
      <c r="Y307" s="80">
        <v>81500.25</v>
      </c>
      <c r="Z307" s="81">
        <f t="shared" si="28"/>
        <v>81500.25</v>
      </c>
      <c r="AA307" s="79" t="s">
        <v>2082</v>
      </c>
      <c r="AB307" s="82">
        <f t="shared" si="29"/>
        <v>81500</v>
      </c>
      <c r="AC307" s="79" t="s">
        <v>2081</v>
      </c>
      <c r="AD307" s="82">
        <f t="shared" si="30"/>
        <v>2</v>
      </c>
      <c r="AE307" s="79" t="s">
        <v>2080</v>
      </c>
      <c r="AF307" s="82">
        <f t="shared" si="31"/>
        <v>5</v>
      </c>
      <c r="AG307" s="79" t="s">
        <v>2079</v>
      </c>
      <c r="AH307" s="81">
        <v>3260.01</v>
      </c>
      <c r="AI307" s="65"/>
      <c r="AJ307" s="65"/>
      <c r="AK307" s="65"/>
      <c r="AL307" s="65"/>
      <c r="AM307" s="65"/>
      <c r="AN307" s="65"/>
      <c r="AO307" s="65"/>
      <c r="AP307" s="65"/>
      <c r="AQ307" s="65"/>
    </row>
    <row r="308" spans="24:43">
      <c r="X308" s="79" t="s">
        <v>10718</v>
      </c>
      <c r="Y308" s="80">
        <v>60</v>
      </c>
      <c r="Z308" s="81">
        <f t="shared" si="28"/>
        <v>60</v>
      </c>
      <c r="AA308" s="79" t="s">
        <v>2082</v>
      </c>
      <c r="AB308" s="82">
        <f t="shared" si="29"/>
        <v>60</v>
      </c>
      <c r="AC308" s="79" t="s">
        <v>2081</v>
      </c>
      <c r="AD308" s="82">
        <f t="shared" si="30"/>
        <v>0</v>
      </c>
      <c r="AE308" s="79" t="s">
        <v>2080</v>
      </c>
      <c r="AF308" s="82">
        <f t="shared" si="31"/>
        <v>0</v>
      </c>
      <c r="AG308" s="79" t="s">
        <v>2079</v>
      </c>
      <c r="AH308" s="81">
        <v>2.4</v>
      </c>
      <c r="AI308" s="65"/>
      <c r="AJ308" s="65"/>
      <c r="AK308" s="65"/>
      <c r="AL308" s="65"/>
      <c r="AM308" s="65"/>
      <c r="AN308" s="65"/>
      <c r="AO308" s="65"/>
      <c r="AP308" s="65"/>
      <c r="AQ308" s="65"/>
    </row>
    <row r="309" spans="24:43">
      <c r="X309" s="79" t="s">
        <v>10719</v>
      </c>
      <c r="Y309" s="80">
        <v>22375.125</v>
      </c>
      <c r="Z309" s="81">
        <f t="shared" si="28"/>
        <v>22375.125</v>
      </c>
      <c r="AA309" s="79" t="s">
        <v>2082</v>
      </c>
      <c r="AB309" s="82">
        <f t="shared" si="29"/>
        <v>22375</v>
      </c>
      <c r="AC309" s="79" t="s">
        <v>2081</v>
      </c>
      <c r="AD309" s="82">
        <f t="shared" si="30"/>
        <v>1</v>
      </c>
      <c r="AE309" s="79" t="s">
        <v>2080</v>
      </c>
      <c r="AF309" s="82">
        <f t="shared" si="31"/>
        <v>2.5</v>
      </c>
      <c r="AG309" s="79" t="s">
        <v>2079</v>
      </c>
      <c r="AH309" s="81">
        <v>895</v>
      </c>
      <c r="AI309" s="65"/>
      <c r="AJ309" s="65"/>
      <c r="AK309" s="65"/>
      <c r="AL309" s="65"/>
      <c r="AM309" s="65"/>
      <c r="AN309" s="65"/>
      <c r="AO309" s="65"/>
      <c r="AP309" s="65"/>
      <c r="AQ309" s="65"/>
    </row>
    <row r="310" spans="24:43">
      <c r="X310" s="79" t="s">
        <v>10720</v>
      </c>
      <c r="Y310" s="80">
        <v>67.5</v>
      </c>
      <c r="Z310" s="81">
        <f t="shared" si="28"/>
        <v>67.5</v>
      </c>
      <c r="AA310" s="79" t="s">
        <v>2082</v>
      </c>
      <c r="AB310" s="82">
        <f t="shared" si="29"/>
        <v>67</v>
      </c>
      <c r="AC310" s="79" t="s">
        <v>2081</v>
      </c>
      <c r="AD310" s="82">
        <f t="shared" si="30"/>
        <v>5</v>
      </c>
      <c r="AE310" s="79" t="s">
        <v>2080</v>
      </c>
      <c r="AF310" s="82">
        <f t="shared" si="31"/>
        <v>0</v>
      </c>
      <c r="AG310" s="79" t="s">
        <v>2079</v>
      </c>
      <c r="AH310" s="81">
        <v>2.7</v>
      </c>
      <c r="AI310" s="65"/>
      <c r="AJ310" s="65"/>
      <c r="AK310" s="65"/>
      <c r="AL310" s="65"/>
      <c r="AM310" s="65"/>
      <c r="AN310" s="65"/>
      <c r="AO310" s="65"/>
      <c r="AP310" s="65"/>
      <c r="AQ310" s="65"/>
    </row>
    <row r="311" spans="24:43">
      <c r="X311" s="79" t="s">
        <v>6785</v>
      </c>
      <c r="Y311" s="80">
        <v>2750</v>
      </c>
      <c r="Z311" s="81">
        <f t="shared" si="28"/>
        <v>2750</v>
      </c>
      <c r="AA311" s="79" t="s">
        <v>2082</v>
      </c>
      <c r="AB311" s="82">
        <f t="shared" si="29"/>
        <v>2750</v>
      </c>
      <c r="AC311" s="79" t="s">
        <v>2081</v>
      </c>
      <c r="AD311" s="82">
        <f t="shared" si="30"/>
        <v>0</v>
      </c>
      <c r="AE311" s="79" t="s">
        <v>2080</v>
      </c>
      <c r="AF311" s="82">
        <f t="shared" si="31"/>
        <v>0</v>
      </c>
      <c r="AG311" s="79" t="s">
        <v>2079</v>
      </c>
      <c r="AH311" s="81">
        <v>110</v>
      </c>
      <c r="AI311" s="65"/>
      <c r="AJ311" s="65"/>
      <c r="AK311" s="65"/>
      <c r="AL311" s="65"/>
      <c r="AM311" s="65"/>
      <c r="AN311" s="65"/>
      <c r="AO311" s="65"/>
      <c r="AP311" s="65"/>
      <c r="AQ311" s="65"/>
    </row>
    <row r="312" spans="24:43">
      <c r="X312" s="79" t="s">
        <v>10721</v>
      </c>
      <c r="Y312" s="80">
        <v>1912.625</v>
      </c>
      <c r="Z312" s="81">
        <f t="shared" si="28"/>
        <v>1912.625</v>
      </c>
      <c r="AA312" s="79" t="s">
        <v>2082</v>
      </c>
      <c r="AB312" s="82">
        <f t="shared" si="29"/>
        <v>1912</v>
      </c>
      <c r="AC312" s="79" t="s">
        <v>2081</v>
      </c>
      <c r="AD312" s="82">
        <f t="shared" si="30"/>
        <v>6</v>
      </c>
      <c r="AE312" s="79" t="s">
        <v>2080</v>
      </c>
      <c r="AF312" s="82">
        <f t="shared" si="31"/>
        <v>2.5</v>
      </c>
      <c r="AG312" s="79" t="s">
        <v>2079</v>
      </c>
      <c r="AH312" s="81">
        <v>76.5</v>
      </c>
      <c r="AI312" s="65"/>
      <c r="AJ312" s="65"/>
      <c r="AK312" s="65"/>
      <c r="AL312" s="65"/>
      <c r="AM312" s="65"/>
      <c r="AN312" s="65"/>
      <c r="AO312" s="65"/>
      <c r="AP312" s="65"/>
      <c r="AQ312" s="65"/>
    </row>
    <row r="313" spans="24:43">
      <c r="X313" s="79" t="s">
        <v>10722</v>
      </c>
      <c r="Y313" s="80">
        <v>60250.25</v>
      </c>
      <c r="Z313" s="81">
        <f t="shared" si="28"/>
        <v>60250.25</v>
      </c>
      <c r="AA313" s="79" t="s">
        <v>2082</v>
      </c>
      <c r="AB313" s="82">
        <f t="shared" si="29"/>
        <v>60250</v>
      </c>
      <c r="AC313" s="79" t="s">
        <v>2081</v>
      </c>
      <c r="AD313" s="82">
        <f t="shared" si="30"/>
        <v>2</v>
      </c>
      <c r="AE313" s="79" t="s">
        <v>2080</v>
      </c>
      <c r="AF313" s="82">
        <f t="shared" si="31"/>
        <v>5</v>
      </c>
      <c r="AG313" s="79" t="s">
        <v>2079</v>
      </c>
      <c r="AH313" s="81">
        <v>2410.0100000000002</v>
      </c>
      <c r="AI313" s="65"/>
      <c r="AJ313" s="65"/>
      <c r="AK313" s="65"/>
      <c r="AL313" s="65"/>
      <c r="AM313" s="65"/>
      <c r="AN313" s="65"/>
      <c r="AO313" s="65"/>
      <c r="AP313" s="65"/>
      <c r="AQ313" s="65"/>
    </row>
    <row r="314" spans="24:43">
      <c r="X314" s="79" t="s">
        <v>10723</v>
      </c>
      <c r="Y314" s="80">
        <v>112500.5</v>
      </c>
      <c r="Z314" s="81">
        <f t="shared" si="28"/>
        <v>112500.5</v>
      </c>
      <c r="AA314" s="79" t="s">
        <v>2082</v>
      </c>
      <c r="AB314" s="82">
        <f t="shared" si="29"/>
        <v>112500</v>
      </c>
      <c r="AC314" s="79" t="s">
        <v>2081</v>
      </c>
      <c r="AD314" s="82">
        <f t="shared" si="30"/>
        <v>5</v>
      </c>
      <c r="AE314" s="79" t="s">
        <v>2080</v>
      </c>
      <c r="AF314" s="82">
        <f t="shared" si="31"/>
        <v>0</v>
      </c>
      <c r="AG314" s="79" t="s">
        <v>2079</v>
      </c>
      <c r="AH314" s="81">
        <v>4500.0200000000004</v>
      </c>
      <c r="AI314" s="65"/>
      <c r="AJ314" s="65"/>
      <c r="AK314" s="65"/>
      <c r="AL314" s="65"/>
      <c r="AM314" s="65"/>
      <c r="AN314" s="65"/>
      <c r="AO314" s="65"/>
      <c r="AP314" s="65"/>
      <c r="AQ314" s="65"/>
    </row>
    <row r="315" spans="24:43">
      <c r="X315" s="79" t="s">
        <v>10724</v>
      </c>
      <c r="Y315" s="80">
        <v>23125.125</v>
      </c>
      <c r="Z315" s="81">
        <f t="shared" si="28"/>
        <v>23125.125</v>
      </c>
      <c r="AA315" s="79" t="s">
        <v>2082</v>
      </c>
      <c r="AB315" s="82">
        <f t="shared" si="29"/>
        <v>23125</v>
      </c>
      <c r="AC315" s="79" t="s">
        <v>2081</v>
      </c>
      <c r="AD315" s="82">
        <f t="shared" si="30"/>
        <v>1</v>
      </c>
      <c r="AE315" s="79" t="s">
        <v>2080</v>
      </c>
      <c r="AF315" s="82">
        <f t="shared" si="31"/>
        <v>2.5</v>
      </c>
      <c r="AG315" s="79" t="s">
        <v>2079</v>
      </c>
      <c r="AH315" s="81">
        <v>925</v>
      </c>
      <c r="AI315" s="65"/>
      <c r="AJ315" s="65"/>
      <c r="AK315" s="65"/>
      <c r="AL315" s="65"/>
      <c r="AM315" s="65"/>
      <c r="AN315" s="65"/>
      <c r="AO315" s="65"/>
      <c r="AP315" s="65"/>
      <c r="AQ315" s="65"/>
    </row>
    <row r="316" spans="24:43">
      <c r="X316" s="79" t="s">
        <v>10725</v>
      </c>
      <c r="Y316" s="80">
        <v>325.25</v>
      </c>
      <c r="Z316" s="81">
        <f t="shared" si="28"/>
        <v>325.25</v>
      </c>
      <c r="AA316" s="79" t="s">
        <v>2082</v>
      </c>
      <c r="AB316" s="82">
        <f t="shared" si="29"/>
        <v>325</v>
      </c>
      <c r="AC316" s="79" t="s">
        <v>2081</v>
      </c>
      <c r="AD316" s="82">
        <f t="shared" si="30"/>
        <v>2</v>
      </c>
      <c r="AE316" s="79" t="s">
        <v>2080</v>
      </c>
      <c r="AF316" s="82">
        <f t="shared" si="31"/>
        <v>5</v>
      </c>
      <c r="AG316" s="79" t="s">
        <v>2079</v>
      </c>
      <c r="AH316" s="81">
        <v>13.01</v>
      </c>
      <c r="AI316" s="65"/>
      <c r="AJ316" s="65"/>
      <c r="AK316" s="65"/>
      <c r="AL316" s="65"/>
      <c r="AM316" s="65"/>
      <c r="AN316" s="65"/>
      <c r="AO316" s="65"/>
      <c r="AP316" s="65"/>
      <c r="AQ316" s="65"/>
    </row>
    <row r="317" spans="24:43">
      <c r="X317" s="79" t="s">
        <v>10725</v>
      </c>
      <c r="Y317" s="80">
        <v>325.25</v>
      </c>
      <c r="Z317" s="81">
        <f t="shared" si="28"/>
        <v>325.25</v>
      </c>
      <c r="AA317" s="79" t="s">
        <v>2082</v>
      </c>
      <c r="AB317" s="82">
        <f t="shared" si="29"/>
        <v>325</v>
      </c>
      <c r="AC317" s="79" t="s">
        <v>2081</v>
      </c>
      <c r="AD317" s="82">
        <f t="shared" si="30"/>
        <v>2</v>
      </c>
      <c r="AE317" s="79" t="s">
        <v>2080</v>
      </c>
      <c r="AF317" s="82">
        <f t="shared" si="31"/>
        <v>5</v>
      </c>
      <c r="AG317" s="79" t="s">
        <v>2079</v>
      </c>
      <c r="AH317" s="81">
        <v>13.01</v>
      </c>
      <c r="AI317" s="65"/>
      <c r="AJ317" s="65"/>
      <c r="AK317" s="65"/>
      <c r="AL317" s="65"/>
      <c r="AM317" s="65"/>
      <c r="AN317" s="65"/>
      <c r="AO317" s="65"/>
      <c r="AP317" s="65"/>
      <c r="AQ317" s="65"/>
    </row>
    <row r="318" spans="24:43">
      <c r="X318" s="79" t="s">
        <v>10726</v>
      </c>
      <c r="Y318" s="80">
        <v>387.625</v>
      </c>
      <c r="Z318" s="81">
        <f t="shared" si="28"/>
        <v>387.625</v>
      </c>
      <c r="AA318" s="79" t="s">
        <v>2082</v>
      </c>
      <c r="AB318" s="82">
        <f t="shared" si="29"/>
        <v>387</v>
      </c>
      <c r="AC318" s="79" t="s">
        <v>2081</v>
      </c>
      <c r="AD318" s="82">
        <f t="shared" si="30"/>
        <v>6</v>
      </c>
      <c r="AE318" s="79" t="s">
        <v>2080</v>
      </c>
      <c r="AF318" s="82">
        <f t="shared" si="31"/>
        <v>2.5</v>
      </c>
      <c r="AG318" s="79" t="s">
        <v>2079</v>
      </c>
      <c r="AH318" s="81">
        <v>15.5</v>
      </c>
      <c r="AI318" s="65"/>
      <c r="AJ318" s="65"/>
      <c r="AK318" s="65"/>
      <c r="AL318" s="65"/>
      <c r="AM318" s="65"/>
      <c r="AN318" s="65"/>
      <c r="AO318" s="65"/>
      <c r="AP318" s="65"/>
      <c r="AQ318" s="65"/>
    </row>
    <row r="319" spans="24:43">
      <c r="X319" s="79" t="s">
        <v>10727</v>
      </c>
      <c r="Y319" s="80">
        <v>5937.625</v>
      </c>
      <c r="Z319" s="81">
        <f t="shared" si="28"/>
        <v>5937.625</v>
      </c>
      <c r="AA319" s="79" t="s">
        <v>2082</v>
      </c>
      <c r="AB319" s="82">
        <f t="shared" si="29"/>
        <v>5937</v>
      </c>
      <c r="AC319" s="79" t="s">
        <v>2081</v>
      </c>
      <c r="AD319" s="82">
        <f t="shared" si="30"/>
        <v>6</v>
      </c>
      <c r="AE319" s="79" t="s">
        <v>2080</v>
      </c>
      <c r="AF319" s="82">
        <f t="shared" si="31"/>
        <v>2.5</v>
      </c>
      <c r="AG319" s="79" t="s">
        <v>2079</v>
      </c>
      <c r="AH319" s="81">
        <v>237.5</v>
      </c>
      <c r="AI319" s="65"/>
      <c r="AJ319" s="65"/>
      <c r="AK319" s="65"/>
      <c r="AL319" s="65"/>
      <c r="AM319" s="65"/>
      <c r="AN319" s="65"/>
      <c r="AO319" s="65"/>
      <c r="AP319" s="65"/>
      <c r="AQ319" s="65"/>
    </row>
    <row r="320" spans="24:43">
      <c r="X320" s="79" t="s">
        <v>10728</v>
      </c>
      <c r="Y320" s="80">
        <v>80</v>
      </c>
      <c r="Z320" s="81">
        <f t="shared" si="28"/>
        <v>80</v>
      </c>
      <c r="AA320" s="79" t="s">
        <v>2082</v>
      </c>
      <c r="AB320" s="82">
        <f t="shared" si="29"/>
        <v>80</v>
      </c>
      <c r="AC320" s="79" t="s">
        <v>2081</v>
      </c>
      <c r="AD320" s="82">
        <f t="shared" si="30"/>
        <v>0</v>
      </c>
      <c r="AE320" s="79" t="s">
        <v>2080</v>
      </c>
      <c r="AF320" s="82">
        <f t="shared" si="31"/>
        <v>0</v>
      </c>
      <c r="AG320" s="79" t="s">
        <v>2079</v>
      </c>
      <c r="AH320" s="81">
        <v>3.2</v>
      </c>
      <c r="AI320" s="65"/>
      <c r="AJ320" s="65"/>
      <c r="AK320" s="65"/>
      <c r="AL320" s="65"/>
      <c r="AM320" s="65"/>
      <c r="AN320" s="65"/>
      <c r="AO320" s="65"/>
      <c r="AP320" s="65"/>
      <c r="AQ320" s="65"/>
    </row>
    <row r="321" spans="24:43">
      <c r="X321" s="79" t="s">
        <v>10729</v>
      </c>
      <c r="Y321" s="80">
        <v>70</v>
      </c>
      <c r="Z321" s="81">
        <f t="shared" si="28"/>
        <v>70</v>
      </c>
      <c r="AA321" s="79" t="s">
        <v>2082</v>
      </c>
      <c r="AB321" s="82">
        <f t="shared" si="29"/>
        <v>70</v>
      </c>
      <c r="AC321" s="79" t="s">
        <v>2081</v>
      </c>
      <c r="AD321" s="82">
        <f t="shared" si="30"/>
        <v>0</v>
      </c>
      <c r="AE321" s="79" t="s">
        <v>2080</v>
      </c>
      <c r="AF321" s="82">
        <f t="shared" si="31"/>
        <v>0</v>
      </c>
      <c r="AG321" s="79" t="s">
        <v>2079</v>
      </c>
      <c r="AH321" s="81">
        <v>2.8000000000000003</v>
      </c>
      <c r="AI321" s="65"/>
      <c r="AJ321" s="65"/>
      <c r="AK321" s="65"/>
      <c r="AL321" s="65"/>
      <c r="AM321" s="65"/>
      <c r="AN321" s="65"/>
      <c r="AO321" s="65"/>
      <c r="AP321" s="65"/>
      <c r="AQ321" s="65"/>
    </row>
    <row r="322" spans="24:43">
      <c r="X322" s="79" t="s">
        <v>10730</v>
      </c>
      <c r="Y322" s="80">
        <v>63250</v>
      </c>
      <c r="Z322" s="81">
        <f t="shared" si="28"/>
        <v>63250</v>
      </c>
      <c r="AA322" s="79" t="s">
        <v>2082</v>
      </c>
      <c r="AB322" s="82">
        <f t="shared" si="29"/>
        <v>63250</v>
      </c>
      <c r="AC322" s="79" t="s">
        <v>2081</v>
      </c>
      <c r="AD322" s="82">
        <f t="shared" si="30"/>
        <v>0</v>
      </c>
      <c r="AE322" s="79" t="s">
        <v>2080</v>
      </c>
      <c r="AF322" s="82">
        <f t="shared" si="31"/>
        <v>0</v>
      </c>
      <c r="AG322" s="79" t="s">
        <v>2079</v>
      </c>
      <c r="AH322" s="81">
        <v>2530</v>
      </c>
      <c r="AI322" s="65"/>
      <c r="AJ322" s="65"/>
      <c r="AK322" s="65"/>
      <c r="AL322" s="65"/>
      <c r="AM322" s="65"/>
      <c r="AN322" s="65"/>
      <c r="AO322" s="65"/>
      <c r="AP322" s="65"/>
      <c r="AQ322" s="65"/>
    </row>
    <row r="323" spans="24:43">
      <c r="X323" s="79" t="s">
        <v>10731</v>
      </c>
      <c r="Y323" s="80">
        <v>16875</v>
      </c>
      <c r="Z323" s="81">
        <f t="shared" ref="Z323:Z386" si="32">Y323*$AK$6*$AK$11</f>
        <v>16875</v>
      </c>
      <c r="AA323" s="79" t="s">
        <v>2082</v>
      </c>
      <c r="AB323" s="82">
        <f t="shared" ref="AB323:AB386" si="33">_xlfn.FLOOR.MATH(Z323,1)</f>
        <v>16875</v>
      </c>
      <c r="AC323" s="79" t="s">
        <v>2081</v>
      </c>
      <c r="AD323" s="82">
        <f t="shared" ref="AD323:AD386" si="34">_xlfn.FLOOR.MATH(((Z323-AB323)*10), 1)</f>
        <v>0</v>
      </c>
      <c r="AE323" s="79" t="s">
        <v>2080</v>
      </c>
      <c r="AF323" s="82">
        <f t="shared" ref="AF323:AF386" si="35">((Z323-AB323)*10-AD323)*10</f>
        <v>0</v>
      </c>
      <c r="AG323" s="79" t="s">
        <v>2079</v>
      </c>
      <c r="AH323" s="81">
        <v>675</v>
      </c>
      <c r="AI323" s="65"/>
      <c r="AJ323" s="65"/>
      <c r="AK323" s="65"/>
      <c r="AL323" s="65"/>
      <c r="AM323" s="65"/>
      <c r="AN323" s="65"/>
      <c r="AO323" s="65"/>
      <c r="AP323" s="65"/>
      <c r="AQ323" s="65"/>
    </row>
    <row r="324" spans="24:43">
      <c r="X324" s="79" t="s">
        <v>10732</v>
      </c>
      <c r="Y324" s="80">
        <v>19625</v>
      </c>
      <c r="Z324" s="81">
        <f t="shared" si="32"/>
        <v>19625</v>
      </c>
      <c r="AA324" s="79" t="s">
        <v>2082</v>
      </c>
      <c r="AB324" s="82">
        <f t="shared" si="33"/>
        <v>19625</v>
      </c>
      <c r="AC324" s="79" t="s">
        <v>2081</v>
      </c>
      <c r="AD324" s="82">
        <f t="shared" si="34"/>
        <v>0</v>
      </c>
      <c r="AE324" s="79" t="s">
        <v>2080</v>
      </c>
      <c r="AF324" s="82">
        <f t="shared" si="35"/>
        <v>0</v>
      </c>
      <c r="AG324" s="79" t="s">
        <v>2079</v>
      </c>
      <c r="AH324" s="81">
        <v>785</v>
      </c>
      <c r="AI324" s="65"/>
      <c r="AJ324" s="65"/>
      <c r="AK324" s="65"/>
      <c r="AL324" s="65"/>
      <c r="AM324" s="65"/>
      <c r="AN324" s="65"/>
      <c r="AO324" s="65"/>
      <c r="AP324" s="65"/>
      <c r="AQ324" s="65"/>
    </row>
    <row r="325" spans="24:43">
      <c r="X325" s="79" t="s">
        <v>10733</v>
      </c>
      <c r="Y325" s="80">
        <v>14375</v>
      </c>
      <c r="Z325" s="81">
        <f t="shared" si="32"/>
        <v>14375</v>
      </c>
      <c r="AA325" s="79" t="s">
        <v>2082</v>
      </c>
      <c r="AB325" s="82">
        <f t="shared" si="33"/>
        <v>14375</v>
      </c>
      <c r="AC325" s="79" t="s">
        <v>2081</v>
      </c>
      <c r="AD325" s="82">
        <f t="shared" si="34"/>
        <v>0</v>
      </c>
      <c r="AE325" s="79" t="s">
        <v>2080</v>
      </c>
      <c r="AF325" s="82">
        <f t="shared" si="35"/>
        <v>0</v>
      </c>
      <c r="AG325" s="79" t="s">
        <v>2079</v>
      </c>
      <c r="AH325" s="81">
        <v>575</v>
      </c>
      <c r="AI325" s="65"/>
      <c r="AJ325" s="65"/>
      <c r="AK325" s="65"/>
      <c r="AL325" s="65"/>
      <c r="AM325" s="65"/>
      <c r="AN325" s="65"/>
      <c r="AO325" s="65"/>
      <c r="AP325" s="65"/>
      <c r="AQ325" s="65"/>
    </row>
    <row r="326" spans="24:43">
      <c r="X326" s="79" t="s">
        <v>10734</v>
      </c>
      <c r="Y326" s="80">
        <v>13425</v>
      </c>
      <c r="Z326" s="81">
        <f t="shared" si="32"/>
        <v>13425</v>
      </c>
      <c r="AA326" s="79" t="s">
        <v>2082</v>
      </c>
      <c r="AB326" s="82">
        <f t="shared" si="33"/>
        <v>13425</v>
      </c>
      <c r="AC326" s="79" t="s">
        <v>2081</v>
      </c>
      <c r="AD326" s="82">
        <f t="shared" si="34"/>
        <v>0</v>
      </c>
      <c r="AE326" s="79" t="s">
        <v>2080</v>
      </c>
      <c r="AF326" s="82">
        <f t="shared" si="35"/>
        <v>0</v>
      </c>
      <c r="AG326" s="79" t="s">
        <v>2079</v>
      </c>
      <c r="AH326" s="81">
        <v>537</v>
      </c>
      <c r="AI326" s="65"/>
      <c r="AJ326" s="65"/>
      <c r="AK326" s="65"/>
      <c r="AL326" s="65"/>
      <c r="AM326" s="65"/>
      <c r="AN326" s="65"/>
      <c r="AO326" s="65"/>
      <c r="AP326" s="65"/>
      <c r="AQ326" s="65"/>
    </row>
    <row r="327" spans="24:43">
      <c r="X327" s="79" t="s">
        <v>10735</v>
      </c>
      <c r="Y327" s="80">
        <v>13725</v>
      </c>
      <c r="Z327" s="81">
        <f t="shared" si="32"/>
        <v>13725</v>
      </c>
      <c r="AA327" s="79" t="s">
        <v>2082</v>
      </c>
      <c r="AB327" s="82">
        <f t="shared" si="33"/>
        <v>13725</v>
      </c>
      <c r="AC327" s="79" t="s">
        <v>2081</v>
      </c>
      <c r="AD327" s="82">
        <f t="shared" si="34"/>
        <v>0</v>
      </c>
      <c r="AE327" s="79" t="s">
        <v>2080</v>
      </c>
      <c r="AF327" s="82">
        <f t="shared" si="35"/>
        <v>0</v>
      </c>
      <c r="AG327" s="79" t="s">
        <v>2079</v>
      </c>
      <c r="AH327" s="81">
        <v>549</v>
      </c>
      <c r="AI327" s="65"/>
      <c r="AJ327" s="65"/>
      <c r="AK327" s="65"/>
      <c r="AL327" s="65"/>
      <c r="AM327" s="65"/>
      <c r="AN327" s="65"/>
      <c r="AO327" s="65"/>
      <c r="AP327" s="65"/>
      <c r="AQ327" s="65"/>
    </row>
    <row r="328" spans="24:43">
      <c r="X328" s="79" t="s">
        <v>10736</v>
      </c>
      <c r="Y328" s="80">
        <v>88000</v>
      </c>
      <c r="Z328" s="81">
        <f t="shared" si="32"/>
        <v>88000</v>
      </c>
      <c r="AA328" s="79" t="s">
        <v>2082</v>
      </c>
      <c r="AB328" s="82">
        <f t="shared" si="33"/>
        <v>88000</v>
      </c>
      <c r="AC328" s="79" t="s">
        <v>2081</v>
      </c>
      <c r="AD328" s="82">
        <f t="shared" si="34"/>
        <v>0</v>
      </c>
      <c r="AE328" s="79" t="s">
        <v>2080</v>
      </c>
      <c r="AF328" s="82">
        <f t="shared" si="35"/>
        <v>0</v>
      </c>
      <c r="AG328" s="79" t="s">
        <v>2079</v>
      </c>
      <c r="AH328" s="81">
        <v>3520</v>
      </c>
      <c r="AI328" s="65"/>
      <c r="AJ328" s="65"/>
      <c r="AK328" s="65"/>
      <c r="AL328" s="65"/>
      <c r="AM328" s="65"/>
      <c r="AN328" s="65"/>
      <c r="AO328" s="65"/>
      <c r="AP328" s="65"/>
      <c r="AQ328" s="65"/>
    </row>
    <row r="329" spans="24:43">
      <c r="X329" s="79" t="s">
        <v>10737</v>
      </c>
      <c r="Y329" s="80">
        <v>11200</v>
      </c>
      <c r="Z329" s="81">
        <f t="shared" si="32"/>
        <v>11200</v>
      </c>
      <c r="AA329" s="79" t="s">
        <v>2082</v>
      </c>
      <c r="AB329" s="82">
        <f t="shared" si="33"/>
        <v>11200</v>
      </c>
      <c r="AC329" s="79" t="s">
        <v>2081</v>
      </c>
      <c r="AD329" s="82">
        <f t="shared" si="34"/>
        <v>0</v>
      </c>
      <c r="AE329" s="79" t="s">
        <v>2080</v>
      </c>
      <c r="AF329" s="82">
        <f t="shared" si="35"/>
        <v>0</v>
      </c>
      <c r="AG329" s="79" t="s">
        <v>2079</v>
      </c>
      <c r="AH329" s="81">
        <v>448</v>
      </c>
      <c r="AI329" s="65"/>
      <c r="AJ329" s="65"/>
      <c r="AK329" s="65"/>
      <c r="AL329" s="65"/>
      <c r="AM329" s="65"/>
      <c r="AN329" s="65"/>
      <c r="AO329" s="65"/>
      <c r="AP329" s="65"/>
      <c r="AQ329" s="65"/>
    </row>
    <row r="330" spans="24:43">
      <c r="X330" s="79" t="s">
        <v>10738</v>
      </c>
      <c r="Y330" s="80">
        <v>5500</v>
      </c>
      <c r="Z330" s="81">
        <f t="shared" si="32"/>
        <v>5500</v>
      </c>
      <c r="AA330" s="79" t="s">
        <v>2082</v>
      </c>
      <c r="AB330" s="82">
        <f t="shared" si="33"/>
        <v>5500</v>
      </c>
      <c r="AC330" s="79" t="s">
        <v>2081</v>
      </c>
      <c r="AD330" s="82">
        <f t="shared" si="34"/>
        <v>0</v>
      </c>
      <c r="AE330" s="79" t="s">
        <v>2080</v>
      </c>
      <c r="AF330" s="82">
        <f t="shared" si="35"/>
        <v>0</v>
      </c>
      <c r="AG330" s="79" t="s">
        <v>2079</v>
      </c>
      <c r="AH330" s="81">
        <v>220</v>
      </c>
      <c r="AI330" s="65"/>
      <c r="AJ330" s="65"/>
      <c r="AK330" s="65"/>
      <c r="AL330" s="65"/>
      <c r="AM330" s="65"/>
      <c r="AN330" s="65"/>
      <c r="AO330" s="65"/>
      <c r="AP330" s="65"/>
      <c r="AQ330" s="65"/>
    </row>
    <row r="331" spans="24:43">
      <c r="X331" s="79" t="s">
        <v>10739</v>
      </c>
      <c r="Y331" s="80">
        <v>8000</v>
      </c>
      <c r="Z331" s="81">
        <f t="shared" si="32"/>
        <v>8000</v>
      </c>
      <c r="AA331" s="79" t="s">
        <v>2082</v>
      </c>
      <c r="AB331" s="82">
        <f t="shared" si="33"/>
        <v>8000</v>
      </c>
      <c r="AC331" s="79" t="s">
        <v>2081</v>
      </c>
      <c r="AD331" s="82">
        <f t="shared" si="34"/>
        <v>0</v>
      </c>
      <c r="AE331" s="79" t="s">
        <v>2080</v>
      </c>
      <c r="AF331" s="82">
        <f t="shared" si="35"/>
        <v>0</v>
      </c>
      <c r="AG331" s="79" t="s">
        <v>2079</v>
      </c>
      <c r="AH331" s="81">
        <v>320</v>
      </c>
      <c r="AI331" s="65"/>
      <c r="AJ331" s="65"/>
      <c r="AK331" s="65"/>
      <c r="AL331" s="65"/>
      <c r="AM331" s="65"/>
      <c r="AN331" s="65"/>
      <c r="AO331" s="65"/>
      <c r="AP331" s="65"/>
      <c r="AQ331" s="65"/>
    </row>
    <row r="332" spans="24:43">
      <c r="X332" s="79" t="s">
        <v>10740</v>
      </c>
      <c r="Y332" s="80">
        <v>5500</v>
      </c>
      <c r="Z332" s="81">
        <f t="shared" si="32"/>
        <v>5500</v>
      </c>
      <c r="AA332" s="79" t="s">
        <v>2082</v>
      </c>
      <c r="AB332" s="82">
        <f t="shared" si="33"/>
        <v>5500</v>
      </c>
      <c r="AC332" s="79" t="s">
        <v>2081</v>
      </c>
      <c r="AD332" s="82">
        <f t="shared" si="34"/>
        <v>0</v>
      </c>
      <c r="AE332" s="79" t="s">
        <v>2080</v>
      </c>
      <c r="AF332" s="82">
        <f t="shared" si="35"/>
        <v>0</v>
      </c>
      <c r="AG332" s="79" t="s">
        <v>2079</v>
      </c>
      <c r="AH332" s="81">
        <v>220</v>
      </c>
      <c r="AI332" s="65"/>
      <c r="AJ332" s="65"/>
      <c r="AK332" s="65"/>
      <c r="AL332" s="65"/>
      <c r="AM332" s="65"/>
      <c r="AN332" s="65"/>
      <c r="AO332" s="65"/>
      <c r="AP332" s="65"/>
      <c r="AQ332" s="65"/>
    </row>
    <row r="333" spans="24:43">
      <c r="X333" s="79" t="s">
        <v>10741</v>
      </c>
      <c r="Y333" s="80">
        <v>45500</v>
      </c>
      <c r="Z333" s="81">
        <f t="shared" si="32"/>
        <v>45500</v>
      </c>
      <c r="AA333" s="79" t="s">
        <v>2082</v>
      </c>
      <c r="AB333" s="82">
        <f t="shared" si="33"/>
        <v>45500</v>
      </c>
      <c r="AC333" s="79" t="s">
        <v>2081</v>
      </c>
      <c r="AD333" s="82">
        <f t="shared" si="34"/>
        <v>0</v>
      </c>
      <c r="AE333" s="79" t="s">
        <v>2080</v>
      </c>
      <c r="AF333" s="82">
        <f t="shared" si="35"/>
        <v>0</v>
      </c>
      <c r="AG333" s="79" t="s">
        <v>2079</v>
      </c>
      <c r="AH333" s="81">
        <v>1820</v>
      </c>
      <c r="AI333" s="65"/>
      <c r="AJ333" s="65"/>
      <c r="AK333" s="65"/>
      <c r="AL333" s="65"/>
      <c r="AM333" s="65"/>
      <c r="AN333" s="65"/>
      <c r="AO333" s="65"/>
      <c r="AP333" s="65"/>
      <c r="AQ333" s="65"/>
    </row>
    <row r="334" spans="24:43">
      <c r="X334" s="79" t="s">
        <v>10742</v>
      </c>
      <c r="Y334" s="80">
        <v>5500</v>
      </c>
      <c r="Z334" s="81">
        <f t="shared" si="32"/>
        <v>5500</v>
      </c>
      <c r="AA334" s="79" t="s">
        <v>2082</v>
      </c>
      <c r="AB334" s="82">
        <f t="shared" si="33"/>
        <v>5500</v>
      </c>
      <c r="AC334" s="79" t="s">
        <v>2081</v>
      </c>
      <c r="AD334" s="82">
        <f t="shared" si="34"/>
        <v>0</v>
      </c>
      <c r="AE334" s="79" t="s">
        <v>2080</v>
      </c>
      <c r="AF334" s="82">
        <f t="shared" si="35"/>
        <v>0</v>
      </c>
      <c r="AG334" s="79" t="s">
        <v>2079</v>
      </c>
      <c r="AH334" s="81">
        <v>220</v>
      </c>
      <c r="AI334" s="65"/>
      <c r="AJ334" s="65"/>
      <c r="AK334" s="65"/>
      <c r="AL334" s="65"/>
      <c r="AM334" s="65"/>
      <c r="AN334" s="65"/>
      <c r="AO334" s="65"/>
      <c r="AP334" s="65"/>
      <c r="AQ334" s="65"/>
    </row>
    <row r="335" spans="24:43">
      <c r="X335" s="79" t="s">
        <v>10743</v>
      </c>
      <c r="Y335" s="80">
        <v>5500</v>
      </c>
      <c r="Z335" s="81">
        <f t="shared" si="32"/>
        <v>5500</v>
      </c>
      <c r="AA335" s="79" t="s">
        <v>2082</v>
      </c>
      <c r="AB335" s="82">
        <f t="shared" si="33"/>
        <v>5500</v>
      </c>
      <c r="AC335" s="79" t="s">
        <v>2081</v>
      </c>
      <c r="AD335" s="82">
        <f t="shared" si="34"/>
        <v>0</v>
      </c>
      <c r="AE335" s="79" t="s">
        <v>2080</v>
      </c>
      <c r="AF335" s="82">
        <f t="shared" si="35"/>
        <v>0</v>
      </c>
      <c r="AG335" s="79" t="s">
        <v>2079</v>
      </c>
      <c r="AH335" s="81">
        <v>220</v>
      </c>
      <c r="AI335" s="65"/>
      <c r="AJ335" s="65"/>
      <c r="AK335" s="65"/>
      <c r="AL335" s="65"/>
      <c r="AM335" s="65"/>
      <c r="AN335" s="65"/>
      <c r="AO335" s="65"/>
      <c r="AP335" s="65"/>
      <c r="AQ335" s="65"/>
    </row>
    <row r="336" spans="24:43">
      <c r="X336" s="79" t="s">
        <v>10744</v>
      </c>
      <c r="Y336" s="80">
        <v>5500</v>
      </c>
      <c r="Z336" s="81">
        <f t="shared" si="32"/>
        <v>5500</v>
      </c>
      <c r="AA336" s="79" t="s">
        <v>2082</v>
      </c>
      <c r="AB336" s="82">
        <f t="shared" si="33"/>
        <v>5500</v>
      </c>
      <c r="AC336" s="79" t="s">
        <v>2081</v>
      </c>
      <c r="AD336" s="82">
        <f t="shared" si="34"/>
        <v>0</v>
      </c>
      <c r="AE336" s="79" t="s">
        <v>2080</v>
      </c>
      <c r="AF336" s="82">
        <f t="shared" si="35"/>
        <v>0</v>
      </c>
      <c r="AG336" s="79" t="s">
        <v>2079</v>
      </c>
      <c r="AH336" s="81">
        <v>220</v>
      </c>
      <c r="AI336" s="65"/>
      <c r="AJ336" s="65"/>
      <c r="AK336" s="65"/>
      <c r="AL336" s="65"/>
      <c r="AM336" s="65"/>
      <c r="AN336" s="65"/>
      <c r="AO336" s="65"/>
      <c r="AP336" s="65"/>
      <c r="AQ336" s="65"/>
    </row>
    <row r="337" spans="24:43">
      <c r="X337" s="79" t="s">
        <v>10745</v>
      </c>
      <c r="Y337" s="80">
        <v>37500</v>
      </c>
      <c r="Z337" s="81">
        <f t="shared" si="32"/>
        <v>37500</v>
      </c>
      <c r="AA337" s="79" t="s">
        <v>2082</v>
      </c>
      <c r="AB337" s="82">
        <f t="shared" si="33"/>
        <v>37500</v>
      </c>
      <c r="AC337" s="79" t="s">
        <v>2081</v>
      </c>
      <c r="AD337" s="82">
        <f t="shared" si="34"/>
        <v>0</v>
      </c>
      <c r="AE337" s="79" t="s">
        <v>2080</v>
      </c>
      <c r="AF337" s="82">
        <f t="shared" si="35"/>
        <v>0</v>
      </c>
      <c r="AG337" s="79" t="s">
        <v>2079</v>
      </c>
      <c r="AH337" s="81">
        <v>1500</v>
      </c>
      <c r="AI337" s="65"/>
      <c r="AJ337" s="65"/>
      <c r="AK337" s="65"/>
      <c r="AL337" s="65"/>
      <c r="AM337" s="65"/>
      <c r="AN337" s="65"/>
      <c r="AO337" s="65"/>
      <c r="AP337" s="65"/>
      <c r="AQ337" s="65"/>
    </row>
    <row r="338" spans="24:43">
      <c r="X338" s="79" t="s">
        <v>10746</v>
      </c>
      <c r="Y338" s="80">
        <v>2400</v>
      </c>
      <c r="Z338" s="81">
        <f t="shared" si="32"/>
        <v>2400</v>
      </c>
      <c r="AA338" s="79" t="s">
        <v>2082</v>
      </c>
      <c r="AB338" s="82">
        <f t="shared" si="33"/>
        <v>2400</v>
      </c>
      <c r="AC338" s="79" t="s">
        <v>2081</v>
      </c>
      <c r="AD338" s="82">
        <f t="shared" si="34"/>
        <v>0</v>
      </c>
      <c r="AE338" s="79" t="s">
        <v>2080</v>
      </c>
      <c r="AF338" s="82">
        <f t="shared" si="35"/>
        <v>0</v>
      </c>
      <c r="AG338" s="79" t="s">
        <v>2079</v>
      </c>
      <c r="AH338" s="81">
        <v>96</v>
      </c>
      <c r="AI338" s="65"/>
      <c r="AJ338" s="65"/>
      <c r="AK338" s="65"/>
      <c r="AL338" s="65"/>
      <c r="AM338" s="65"/>
      <c r="AN338" s="65"/>
      <c r="AO338" s="65"/>
      <c r="AP338" s="65"/>
      <c r="AQ338" s="65"/>
    </row>
    <row r="339" spans="24:43">
      <c r="X339" s="79" t="s">
        <v>10747</v>
      </c>
      <c r="Y339" s="80">
        <v>29500</v>
      </c>
      <c r="Z339" s="81">
        <f t="shared" si="32"/>
        <v>29500</v>
      </c>
      <c r="AA339" s="79" t="s">
        <v>2082</v>
      </c>
      <c r="AB339" s="82">
        <f t="shared" si="33"/>
        <v>29500</v>
      </c>
      <c r="AC339" s="79" t="s">
        <v>2081</v>
      </c>
      <c r="AD339" s="82">
        <f t="shared" si="34"/>
        <v>0</v>
      </c>
      <c r="AE339" s="79" t="s">
        <v>2080</v>
      </c>
      <c r="AF339" s="82">
        <f t="shared" si="35"/>
        <v>0</v>
      </c>
      <c r="AG339" s="79" t="s">
        <v>2079</v>
      </c>
      <c r="AH339" s="81">
        <v>1180</v>
      </c>
      <c r="AI339" s="65"/>
      <c r="AJ339" s="65"/>
      <c r="AK339" s="65"/>
      <c r="AL339" s="65"/>
      <c r="AM339" s="65"/>
      <c r="AN339" s="65"/>
      <c r="AO339" s="65"/>
      <c r="AP339" s="65"/>
      <c r="AQ339" s="65"/>
    </row>
    <row r="340" spans="24:43">
      <c r="X340" s="79" t="s">
        <v>10748</v>
      </c>
      <c r="Y340" s="80">
        <v>5250</v>
      </c>
      <c r="Z340" s="81">
        <f t="shared" si="32"/>
        <v>5250</v>
      </c>
      <c r="AA340" s="79" t="s">
        <v>2082</v>
      </c>
      <c r="AB340" s="82">
        <f t="shared" si="33"/>
        <v>5250</v>
      </c>
      <c r="AC340" s="79" t="s">
        <v>2081</v>
      </c>
      <c r="AD340" s="82">
        <f t="shared" si="34"/>
        <v>0</v>
      </c>
      <c r="AE340" s="79" t="s">
        <v>2080</v>
      </c>
      <c r="AF340" s="82">
        <f t="shared" si="35"/>
        <v>0</v>
      </c>
      <c r="AG340" s="79" t="s">
        <v>2079</v>
      </c>
      <c r="AH340" s="81">
        <v>210</v>
      </c>
      <c r="AI340" s="65"/>
      <c r="AJ340" s="65"/>
      <c r="AK340" s="65"/>
      <c r="AL340" s="65"/>
      <c r="AM340" s="65"/>
      <c r="AN340" s="65"/>
      <c r="AO340" s="65"/>
      <c r="AP340" s="65"/>
      <c r="AQ340" s="65"/>
    </row>
    <row r="341" spans="24:43">
      <c r="X341" s="79" t="s">
        <v>10749</v>
      </c>
      <c r="Y341" s="80">
        <v>5500</v>
      </c>
      <c r="Z341" s="81">
        <f t="shared" si="32"/>
        <v>5500</v>
      </c>
      <c r="AA341" s="79" t="s">
        <v>2082</v>
      </c>
      <c r="AB341" s="82">
        <f t="shared" si="33"/>
        <v>5500</v>
      </c>
      <c r="AC341" s="79" t="s">
        <v>2081</v>
      </c>
      <c r="AD341" s="82">
        <f t="shared" si="34"/>
        <v>0</v>
      </c>
      <c r="AE341" s="79" t="s">
        <v>2080</v>
      </c>
      <c r="AF341" s="82">
        <f t="shared" si="35"/>
        <v>0</v>
      </c>
      <c r="AG341" s="79" t="s">
        <v>2079</v>
      </c>
      <c r="AH341" s="81">
        <v>220</v>
      </c>
      <c r="AI341" s="65"/>
      <c r="AJ341" s="65"/>
      <c r="AK341" s="65"/>
      <c r="AL341" s="65"/>
      <c r="AM341" s="65"/>
      <c r="AN341" s="65"/>
      <c r="AO341" s="65"/>
      <c r="AP341" s="65"/>
      <c r="AQ341" s="65"/>
    </row>
    <row r="342" spans="24:43">
      <c r="X342" s="79" t="s">
        <v>10750</v>
      </c>
      <c r="Y342" s="80">
        <v>2000</v>
      </c>
      <c r="Z342" s="81">
        <f t="shared" si="32"/>
        <v>2000</v>
      </c>
      <c r="AA342" s="79" t="s">
        <v>2082</v>
      </c>
      <c r="AB342" s="82">
        <f t="shared" si="33"/>
        <v>2000</v>
      </c>
      <c r="AC342" s="79" t="s">
        <v>2081</v>
      </c>
      <c r="AD342" s="82">
        <f t="shared" si="34"/>
        <v>0</v>
      </c>
      <c r="AE342" s="79" t="s">
        <v>2080</v>
      </c>
      <c r="AF342" s="82">
        <f t="shared" si="35"/>
        <v>0</v>
      </c>
      <c r="AG342" s="79" t="s">
        <v>2079</v>
      </c>
      <c r="AH342" s="81">
        <v>80</v>
      </c>
      <c r="AI342" s="65"/>
      <c r="AJ342" s="65"/>
      <c r="AK342" s="65"/>
      <c r="AL342" s="65"/>
      <c r="AM342" s="65"/>
      <c r="AN342" s="65"/>
      <c r="AO342" s="65"/>
      <c r="AP342" s="65"/>
      <c r="AQ342" s="65"/>
    </row>
    <row r="343" spans="24:43">
      <c r="X343" s="79" t="s">
        <v>10751</v>
      </c>
      <c r="Y343" s="80">
        <v>6875.25</v>
      </c>
      <c r="Z343" s="81">
        <f t="shared" si="32"/>
        <v>6875.25</v>
      </c>
      <c r="AA343" s="79" t="s">
        <v>2082</v>
      </c>
      <c r="AB343" s="82">
        <f t="shared" si="33"/>
        <v>6875</v>
      </c>
      <c r="AC343" s="79" t="s">
        <v>2081</v>
      </c>
      <c r="AD343" s="82">
        <f t="shared" si="34"/>
        <v>2</v>
      </c>
      <c r="AE343" s="79" t="s">
        <v>2080</v>
      </c>
      <c r="AF343" s="82">
        <f t="shared" si="35"/>
        <v>5</v>
      </c>
      <c r="AG343" s="79" t="s">
        <v>2079</v>
      </c>
      <c r="AH343" s="81">
        <v>275.01</v>
      </c>
      <c r="AI343" s="65"/>
      <c r="AJ343" s="65"/>
      <c r="AK343" s="65"/>
      <c r="AL343" s="65"/>
      <c r="AM343" s="65"/>
      <c r="AN343" s="65"/>
      <c r="AO343" s="65"/>
      <c r="AP343" s="65"/>
      <c r="AQ343" s="65"/>
    </row>
    <row r="344" spans="24:43">
      <c r="X344" s="79" t="s">
        <v>10752</v>
      </c>
      <c r="Y344" s="80">
        <v>6875.25</v>
      </c>
      <c r="Z344" s="81">
        <f t="shared" si="32"/>
        <v>6875.25</v>
      </c>
      <c r="AA344" s="79" t="s">
        <v>2082</v>
      </c>
      <c r="AB344" s="82">
        <f t="shared" si="33"/>
        <v>6875</v>
      </c>
      <c r="AC344" s="79" t="s">
        <v>2081</v>
      </c>
      <c r="AD344" s="82">
        <f t="shared" si="34"/>
        <v>2</v>
      </c>
      <c r="AE344" s="79" t="s">
        <v>2080</v>
      </c>
      <c r="AF344" s="82">
        <f t="shared" si="35"/>
        <v>5</v>
      </c>
      <c r="AG344" s="79" t="s">
        <v>2079</v>
      </c>
      <c r="AH344" s="81">
        <v>275.01</v>
      </c>
      <c r="AI344" s="65"/>
      <c r="AJ344" s="65"/>
      <c r="AK344" s="65"/>
      <c r="AL344" s="65"/>
      <c r="AM344" s="65"/>
      <c r="AN344" s="65"/>
      <c r="AO344" s="65"/>
      <c r="AP344" s="65"/>
      <c r="AQ344" s="65"/>
    </row>
    <row r="345" spans="24:43">
      <c r="X345" s="79" t="s">
        <v>10753</v>
      </c>
      <c r="Y345" s="80">
        <v>6875.25</v>
      </c>
      <c r="Z345" s="81">
        <f t="shared" si="32"/>
        <v>6875.25</v>
      </c>
      <c r="AA345" s="79" t="s">
        <v>2082</v>
      </c>
      <c r="AB345" s="82">
        <f t="shared" si="33"/>
        <v>6875</v>
      </c>
      <c r="AC345" s="79" t="s">
        <v>2081</v>
      </c>
      <c r="AD345" s="82">
        <f t="shared" si="34"/>
        <v>2</v>
      </c>
      <c r="AE345" s="79" t="s">
        <v>2080</v>
      </c>
      <c r="AF345" s="82">
        <f t="shared" si="35"/>
        <v>5</v>
      </c>
      <c r="AG345" s="79" t="s">
        <v>2079</v>
      </c>
      <c r="AH345" s="81">
        <v>275.01</v>
      </c>
      <c r="AI345" s="65"/>
      <c r="AJ345" s="65"/>
      <c r="AK345" s="65"/>
      <c r="AL345" s="65"/>
      <c r="AM345" s="65"/>
      <c r="AN345" s="65"/>
      <c r="AO345" s="65"/>
      <c r="AP345" s="65"/>
      <c r="AQ345" s="65"/>
    </row>
    <row r="346" spans="24:43">
      <c r="X346" s="79" t="s">
        <v>10754</v>
      </c>
      <c r="Y346" s="80">
        <v>6875.25</v>
      </c>
      <c r="Z346" s="81">
        <f t="shared" si="32"/>
        <v>6875.25</v>
      </c>
      <c r="AA346" s="79" t="s">
        <v>2082</v>
      </c>
      <c r="AB346" s="82">
        <f t="shared" si="33"/>
        <v>6875</v>
      </c>
      <c r="AC346" s="79" t="s">
        <v>2081</v>
      </c>
      <c r="AD346" s="82">
        <f t="shared" si="34"/>
        <v>2</v>
      </c>
      <c r="AE346" s="79" t="s">
        <v>2080</v>
      </c>
      <c r="AF346" s="82">
        <f t="shared" si="35"/>
        <v>5</v>
      </c>
      <c r="AG346" s="79" t="s">
        <v>2079</v>
      </c>
      <c r="AH346" s="81">
        <v>275.01</v>
      </c>
      <c r="AI346" s="65"/>
      <c r="AJ346" s="65"/>
      <c r="AK346" s="65"/>
      <c r="AL346" s="65"/>
      <c r="AM346" s="65"/>
      <c r="AN346" s="65"/>
      <c r="AO346" s="65"/>
      <c r="AP346" s="65"/>
      <c r="AQ346" s="65"/>
    </row>
    <row r="347" spans="24:43">
      <c r="X347" s="79" t="s">
        <v>10755</v>
      </c>
      <c r="Y347" s="80">
        <v>6875.25</v>
      </c>
      <c r="Z347" s="81">
        <f t="shared" si="32"/>
        <v>6875.25</v>
      </c>
      <c r="AA347" s="79" t="s">
        <v>2082</v>
      </c>
      <c r="AB347" s="82">
        <f t="shared" si="33"/>
        <v>6875</v>
      </c>
      <c r="AC347" s="79" t="s">
        <v>2081</v>
      </c>
      <c r="AD347" s="82">
        <f t="shared" si="34"/>
        <v>2</v>
      </c>
      <c r="AE347" s="79" t="s">
        <v>2080</v>
      </c>
      <c r="AF347" s="82">
        <f t="shared" si="35"/>
        <v>5</v>
      </c>
      <c r="AG347" s="79" t="s">
        <v>2079</v>
      </c>
      <c r="AH347" s="81">
        <v>275.01</v>
      </c>
      <c r="AI347" s="65"/>
      <c r="AJ347" s="65"/>
      <c r="AK347" s="65"/>
      <c r="AL347" s="65"/>
      <c r="AM347" s="65"/>
      <c r="AN347" s="65"/>
      <c r="AO347" s="65"/>
      <c r="AP347" s="65"/>
      <c r="AQ347" s="65"/>
    </row>
    <row r="348" spans="24:43">
      <c r="X348" s="79" t="s">
        <v>10756</v>
      </c>
      <c r="Y348" s="80">
        <v>6875.25</v>
      </c>
      <c r="Z348" s="81">
        <f t="shared" si="32"/>
        <v>6875.25</v>
      </c>
      <c r="AA348" s="79" t="s">
        <v>2082</v>
      </c>
      <c r="AB348" s="82">
        <f t="shared" si="33"/>
        <v>6875</v>
      </c>
      <c r="AC348" s="79" t="s">
        <v>2081</v>
      </c>
      <c r="AD348" s="82">
        <f t="shared" si="34"/>
        <v>2</v>
      </c>
      <c r="AE348" s="79" t="s">
        <v>2080</v>
      </c>
      <c r="AF348" s="82">
        <f t="shared" si="35"/>
        <v>5</v>
      </c>
      <c r="AG348" s="79" t="s">
        <v>2079</v>
      </c>
      <c r="AH348" s="81">
        <v>275.01</v>
      </c>
      <c r="AI348" s="65"/>
      <c r="AJ348" s="65"/>
      <c r="AK348" s="65"/>
      <c r="AL348" s="65"/>
      <c r="AM348" s="65"/>
      <c r="AN348" s="65"/>
      <c r="AO348" s="65"/>
      <c r="AP348" s="65"/>
      <c r="AQ348" s="65"/>
    </row>
    <row r="349" spans="24:43">
      <c r="X349" s="79" t="s">
        <v>10757</v>
      </c>
      <c r="Y349" s="80">
        <v>60</v>
      </c>
      <c r="Z349" s="81">
        <f t="shared" si="32"/>
        <v>60</v>
      </c>
      <c r="AA349" s="79" t="s">
        <v>2082</v>
      </c>
      <c r="AB349" s="82">
        <f t="shared" si="33"/>
        <v>60</v>
      </c>
      <c r="AC349" s="79" t="s">
        <v>2081</v>
      </c>
      <c r="AD349" s="82">
        <f t="shared" si="34"/>
        <v>0</v>
      </c>
      <c r="AE349" s="79" t="s">
        <v>2080</v>
      </c>
      <c r="AF349" s="82">
        <f t="shared" si="35"/>
        <v>0</v>
      </c>
      <c r="AG349" s="79" t="s">
        <v>2079</v>
      </c>
      <c r="AH349" s="81">
        <v>2.4</v>
      </c>
      <c r="AI349" s="65"/>
      <c r="AJ349" s="65"/>
      <c r="AK349" s="65"/>
      <c r="AL349" s="65"/>
      <c r="AM349" s="65"/>
      <c r="AN349" s="65"/>
      <c r="AO349" s="65"/>
      <c r="AP349" s="65"/>
      <c r="AQ349" s="65"/>
    </row>
    <row r="350" spans="24:43">
      <c r="X350" s="79" t="s">
        <v>10757</v>
      </c>
      <c r="Y350" s="80">
        <v>60</v>
      </c>
      <c r="Z350" s="81">
        <f t="shared" si="32"/>
        <v>60</v>
      </c>
      <c r="AA350" s="79" t="s">
        <v>2082</v>
      </c>
      <c r="AB350" s="82">
        <f t="shared" si="33"/>
        <v>60</v>
      </c>
      <c r="AC350" s="79" t="s">
        <v>2081</v>
      </c>
      <c r="AD350" s="82">
        <f t="shared" si="34"/>
        <v>0</v>
      </c>
      <c r="AE350" s="79" t="s">
        <v>2080</v>
      </c>
      <c r="AF350" s="82">
        <f t="shared" si="35"/>
        <v>0</v>
      </c>
      <c r="AG350" s="79" t="s">
        <v>2079</v>
      </c>
      <c r="AH350" s="81">
        <v>2.4</v>
      </c>
      <c r="AI350" s="65"/>
      <c r="AJ350" s="65"/>
      <c r="AK350" s="65"/>
      <c r="AL350" s="65"/>
      <c r="AM350" s="65"/>
      <c r="AN350" s="65"/>
      <c r="AO350" s="65"/>
      <c r="AP350" s="65"/>
      <c r="AQ350" s="65"/>
    </row>
    <row r="351" spans="24:43">
      <c r="X351" s="79" t="s">
        <v>10758</v>
      </c>
      <c r="Y351" s="80">
        <v>3300</v>
      </c>
      <c r="Z351" s="81">
        <f t="shared" si="32"/>
        <v>3300</v>
      </c>
      <c r="AA351" s="79" t="s">
        <v>2082</v>
      </c>
      <c r="AB351" s="82">
        <f t="shared" si="33"/>
        <v>3300</v>
      </c>
      <c r="AC351" s="79" t="s">
        <v>2081</v>
      </c>
      <c r="AD351" s="82">
        <f t="shared" si="34"/>
        <v>0</v>
      </c>
      <c r="AE351" s="79" t="s">
        <v>2080</v>
      </c>
      <c r="AF351" s="82">
        <f t="shared" si="35"/>
        <v>0</v>
      </c>
      <c r="AG351" s="79" t="s">
        <v>2079</v>
      </c>
      <c r="AH351" s="81">
        <v>132</v>
      </c>
      <c r="AI351" s="65"/>
      <c r="AJ351" s="65"/>
      <c r="AK351" s="65"/>
      <c r="AL351" s="65"/>
      <c r="AM351" s="65"/>
      <c r="AN351" s="65"/>
      <c r="AO351" s="65"/>
      <c r="AP351" s="65"/>
      <c r="AQ351" s="65"/>
    </row>
    <row r="352" spans="24:43">
      <c r="X352" s="79" t="s">
        <v>10759</v>
      </c>
      <c r="Y352" s="80">
        <v>3300</v>
      </c>
      <c r="Z352" s="81">
        <f t="shared" si="32"/>
        <v>3300</v>
      </c>
      <c r="AA352" s="79" t="s">
        <v>2082</v>
      </c>
      <c r="AB352" s="82">
        <f t="shared" si="33"/>
        <v>3300</v>
      </c>
      <c r="AC352" s="79" t="s">
        <v>2081</v>
      </c>
      <c r="AD352" s="82">
        <f t="shared" si="34"/>
        <v>0</v>
      </c>
      <c r="AE352" s="79" t="s">
        <v>2080</v>
      </c>
      <c r="AF352" s="82">
        <f t="shared" si="35"/>
        <v>0</v>
      </c>
      <c r="AG352" s="79" t="s">
        <v>2079</v>
      </c>
      <c r="AH352" s="81">
        <v>132</v>
      </c>
      <c r="AI352" s="65"/>
      <c r="AJ352" s="65"/>
      <c r="AK352" s="65"/>
      <c r="AL352" s="65"/>
      <c r="AM352" s="65"/>
      <c r="AN352" s="65"/>
      <c r="AO352" s="65"/>
      <c r="AP352" s="65"/>
      <c r="AQ352" s="65"/>
    </row>
    <row r="353" spans="24:43">
      <c r="X353" s="79" t="s">
        <v>7316</v>
      </c>
      <c r="Y353" s="80">
        <v>141250.25</v>
      </c>
      <c r="Z353" s="81">
        <f t="shared" si="32"/>
        <v>141250.25</v>
      </c>
      <c r="AA353" s="79" t="s">
        <v>2082</v>
      </c>
      <c r="AB353" s="82">
        <f t="shared" si="33"/>
        <v>141250</v>
      </c>
      <c r="AC353" s="79" t="s">
        <v>2081</v>
      </c>
      <c r="AD353" s="82">
        <f t="shared" si="34"/>
        <v>2</v>
      </c>
      <c r="AE353" s="79" t="s">
        <v>2080</v>
      </c>
      <c r="AF353" s="82">
        <f t="shared" si="35"/>
        <v>5</v>
      </c>
      <c r="AG353" s="79" t="s">
        <v>2079</v>
      </c>
      <c r="AH353" s="81">
        <v>5650.01</v>
      </c>
      <c r="AI353" s="65"/>
      <c r="AJ353" s="65"/>
      <c r="AK353" s="65"/>
      <c r="AL353" s="65"/>
      <c r="AM353" s="65"/>
      <c r="AN353" s="65"/>
      <c r="AO353" s="65"/>
      <c r="AP353" s="65"/>
      <c r="AQ353" s="65"/>
    </row>
    <row r="354" spans="24:43">
      <c r="X354" s="79" t="s">
        <v>10760</v>
      </c>
      <c r="Y354" s="80">
        <v>94250.25</v>
      </c>
      <c r="Z354" s="81">
        <f t="shared" si="32"/>
        <v>94250.25</v>
      </c>
      <c r="AA354" s="79" t="s">
        <v>2082</v>
      </c>
      <c r="AB354" s="82">
        <f t="shared" si="33"/>
        <v>94250</v>
      </c>
      <c r="AC354" s="79" t="s">
        <v>2081</v>
      </c>
      <c r="AD354" s="82">
        <f t="shared" si="34"/>
        <v>2</v>
      </c>
      <c r="AE354" s="79" t="s">
        <v>2080</v>
      </c>
      <c r="AF354" s="82">
        <f t="shared" si="35"/>
        <v>5</v>
      </c>
      <c r="AG354" s="79" t="s">
        <v>2079</v>
      </c>
      <c r="AH354" s="81">
        <v>3770.01</v>
      </c>
      <c r="AI354" s="65"/>
      <c r="AJ354" s="65"/>
      <c r="AK354" s="65"/>
      <c r="AL354" s="65"/>
      <c r="AM354" s="65"/>
      <c r="AN354" s="65"/>
      <c r="AO354" s="65"/>
      <c r="AP354" s="65"/>
      <c r="AQ354" s="65"/>
    </row>
    <row r="355" spans="24:43">
      <c r="X355" s="79" t="s">
        <v>10761</v>
      </c>
      <c r="Y355" s="80">
        <v>18875.125</v>
      </c>
      <c r="Z355" s="81">
        <f t="shared" si="32"/>
        <v>18875.125</v>
      </c>
      <c r="AA355" s="79" t="s">
        <v>2082</v>
      </c>
      <c r="AB355" s="82">
        <f t="shared" si="33"/>
        <v>18875</v>
      </c>
      <c r="AC355" s="79" t="s">
        <v>2081</v>
      </c>
      <c r="AD355" s="82">
        <f t="shared" si="34"/>
        <v>1</v>
      </c>
      <c r="AE355" s="79" t="s">
        <v>2080</v>
      </c>
      <c r="AF355" s="82">
        <f t="shared" si="35"/>
        <v>2.5</v>
      </c>
      <c r="AG355" s="79" t="s">
        <v>2079</v>
      </c>
      <c r="AH355" s="81">
        <v>755</v>
      </c>
      <c r="AI355" s="65"/>
      <c r="AJ355" s="65"/>
      <c r="AK355" s="65"/>
      <c r="AL355" s="65"/>
      <c r="AM355" s="65"/>
      <c r="AN355" s="65"/>
      <c r="AO355" s="65"/>
      <c r="AP355" s="65"/>
      <c r="AQ355" s="65"/>
    </row>
    <row r="356" spans="24:43">
      <c r="X356" s="79" t="s">
        <v>10762</v>
      </c>
      <c r="Y356" s="80">
        <v>925</v>
      </c>
      <c r="Z356" s="81">
        <f t="shared" si="32"/>
        <v>925</v>
      </c>
      <c r="AA356" s="79" t="s">
        <v>2082</v>
      </c>
      <c r="AB356" s="82">
        <f t="shared" si="33"/>
        <v>925</v>
      </c>
      <c r="AC356" s="79" t="s">
        <v>2081</v>
      </c>
      <c r="AD356" s="82">
        <f t="shared" si="34"/>
        <v>0</v>
      </c>
      <c r="AE356" s="79" t="s">
        <v>2080</v>
      </c>
      <c r="AF356" s="82">
        <f t="shared" si="35"/>
        <v>0</v>
      </c>
      <c r="AG356" s="79" t="s">
        <v>2079</v>
      </c>
      <c r="AH356" s="81">
        <v>37</v>
      </c>
      <c r="AI356" s="65"/>
      <c r="AJ356" s="65"/>
      <c r="AK356" s="65"/>
      <c r="AL356" s="65"/>
      <c r="AM356" s="65"/>
      <c r="AN356" s="65"/>
      <c r="AO356" s="65"/>
      <c r="AP356" s="65"/>
      <c r="AQ356" s="65"/>
    </row>
    <row r="357" spans="24:43">
      <c r="X357" s="79" t="s">
        <v>10763</v>
      </c>
      <c r="Y357" s="80">
        <v>260</v>
      </c>
      <c r="Z357" s="81">
        <f t="shared" si="32"/>
        <v>260</v>
      </c>
      <c r="AA357" s="79" t="s">
        <v>2082</v>
      </c>
      <c r="AB357" s="82">
        <f t="shared" si="33"/>
        <v>260</v>
      </c>
      <c r="AC357" s="79" t="s">
        <v>2081</v>
      </c>
      <c r="AD357" s="82">
        <f t="shared" si="34"/>
        <v>0</v>
      </c>
      <c r="AE357" s="79" t="s">
        <v>2080</v>
      </c>
      <c r="AF357" s="82">
        <f t="shared" si="35"/>
        <v>0</v>
      </c>
      <c r="AG357" s="79" t="s">
        <v>2079</v>
      </c>
      <c r="AH357" s="81">
        <v>10.4</v>
      </c>
      <c r="AI357" s="65"/>
      <c r="AJ357" s="65"/>
      <c r="AK357" s="65"/>
      <c r="AL357" s="65"/>
      <c r="AM357" s="65"/>
      <c r="AN357" s="65"/>
      <c r="AO357" s="65"/>
      <c r="AP357" s="65"/>
      <c r="AQ357" s="65"/>
    </row>
    <row r="358" spans="24:43">
      <c r="X358" s="79" t="s">
        <v>10764</v>
      </c>
      <c r="Y358" s="80">
        <v>55</v>
      </c>
      <c r="Z358" s="81">
        <f t="shared" si="32"/>
        <v>55</v>
      </c>
      <c r="AA358" s="79" t="s">
        <v>2082</v>
      </c>
      <c r="AB358" s="82">
        <f t="shared" si="33"/>
        <v>55</v>
      </c>
      <c r="AC358" s="79" t="s">
        <v>2081</v>
      </c>
      <c r="AD358" s="82">
        <f t="shared" si="34"/>
        <v>0</v>
      </c>
      <c r="AE358" s="79" t="s">
        <v>2080</v>
      </c>
      <c r="AF358" s="82">
        <f t="shared" si="35"/>
        <v>0</v>
      </c>
      <c r="AG358" s="79" t="s">
        <v>2079</v>
      </c>
      <c r="AH358" s="81">
        <v>2.2000000000000002</v>
      </c>
      <c r="AI358" s="65"/>
      <c r="AJ358" s="65"/>
      <c r="AK358" s="65"/>
      <c r="AL358" s="65"/>
      <c r="AM358" s="65"/>
      <c r="AN358" s="65"/>
      <c r="AO358" s="65"/>
      <c r="AP358" s="65"/>
      <c r="AQ358" s="65"/>
    </row>
    <row r="359" spans="24:43">
      <c r="X359" s="79" t="s">
        <v>10765</v>
      </c>
      <c r="Y359" s="80">
        <v>4437.625</v>
      </c>
      <c r="Z359" s="81">
        <f t="shared" si="32"/>
        <v>4437.625</v>
      </c>
      <c r="AA359" s="79" t="s">
        <v>2082</v>
      </c>
      <c r="AB359" s="82">
        <f t="shared" si="33"/>
        <v>4437</v>
      </c>
      <c r="AC359" s="79" t="s">
        <v>2081</v>
      </c>
      <c r="AD359" s="82">
        <f t="shared" si="34"/>
        <v>6</v>
      </c>
      <c r="AE359" s="79" t="s">
        <v>2080</v>
      </c>
      <c r="AF359" s="82">
        <f t="shared" si="35"/>
        <v>2.5</v>
      </c>
      <c r="AG359" s="79" t="s">
        <v>2079</v>
      </c>
      <c r="AH359" s="81">
        <v>177.5</v>
      </c>
      <c r="AI359" s="65"/>
      <c r="AJ359" s="65"/>
      <c r="AK359" s="65"/>
      <c r="AL359" s="65"/>
      <c r="AM359" s="65"/>
      <c r="AN359" s="65"/>
      <c r="AO359" s="65"/>
      <c r="AP359" s="65"/>
      <c r="AQ359" s="65"/>
    </row>
    <row r="360" spans="24:43">
      <c r="X360" s="79" t="s">
        <v>10766</v>
      </c>
      <c r="Y360" s="80">
        <v>87750.25</v>
      </c>
      <c r="Z360" s="81">
        <f t="shared" si="32"/>
        <v>87750.25</v>
      </c>
      <c r="AA360" s="79" t="s">
        <v>2082</v>
      </c>
      <c r="AB360" s="82">
        <f t="shared" si="33"/>
        <v>87750</v>
      </c>
      <c r="AC360" s="79" t="s">
        <v>2081</v>
      </c>
      <c r="AD360" s="82">
        <f t="shared" si="34"/>
        <v>2</v>
      </c>
      <c r="AE360" s="79" t="s">
        <v>2080</v>
      </c>
      <c r="AF360" s="82">
        <f t="shared" si="35"/>
        <v>5</v>
      </c>
      <c r="AG360" s="79" t="s">
        <v>2079</v>
      </c>
      <c r="AH360" s="81">
        <v>3510.01</v>
      </c>
      <c r="AI360" s="65"/>
      <c r="AJ360" s="65"/>
      <c r="AK360" s="65"/>
      <c r="AL360" s="65"/>
      <c r="AM360" s="65"/>
      <c r="AN360" s="65"/>
      <c r="AO360" s="65"/>
      <c r="AP360" s="65"/>
      <c r="AQ360" s="65"/>
    </row>
    <row r="361" spans="24:43">
      <c r="X361" s="79" t="s">
        <v>10767</v>
      </c>
      <c r="Y361" s="80">
        <v>26125.125</v>
      </c>
      <c r="Z361" s="81">
        <f t="shared" si="32"/>
        <v>26125.125</v>
      </c>
      <c r="AA361" s="79" t="s">
        <v>2082</v>
      </c>
      <c r="AB361" s="82">
        <f t="shared" si="33"/>
        <v>26125</v>
      </c>
      <c r="AC361" s="79" t="s">
        <v>2081</v>
      </c>
      <c r="AD361" s="82">
        <f t="shared" si="34"/>
        <v>1</v>
      </c>
      <c r="AE361" s="79" t="s">
        <v>2080</v>
      </c>
      <c r="AF361" s="82">
        <f t="shared" si="35"/>
        <v>2.5</v>
      </c>
      <c r="AG361" s="79" t="s">
        <v>2079</v>
      </c>
      <c r="AH361" s="81">
        <v>1045</v>
      </c>
      <c r="AI361" s="65"/>
      <c r="AJ361" s="65"/>
      <c r="AK361" s="65"/>
      <c r="AL361" s="65"/>
      <c r="AM361" s="65"/>
      <c r="AN361" s="65"/>
      <c r="AO361" s="65"/>
      <c r="AP361" s="65"/>
      <c r="AQ361" s="65"/>
    </row>
    <row r="362" spans="24:43">
      <c r="X362" s="79" t="s">
        <v>10768</v>
      </c>
      <c r="Y362" s="80">
        <v>60</v>
      </c>
      <c r="Z362" s="81">
        <f t="shared" si="32"/>
        <v>60</v>
      </c>
      <c r="AA362" s="79" t="s">
        <v>2082</v>
      </c>
      <c r="AB362" s="82">
        <f t="shared" si="33"/>
        <v>60</v>
      </c>
      <c r="AC362" s="79" t="s">
        <v>2081</v>
      </c>
      <c r="AD362" s="82">
        <f t="shared" si="34"/>
        <v>0</v>
      </c>
      <c r="AE362" s="79" t="s">
        <v>2080</v>
      </c>
      <c r="AF362" s="82">
        <f t="shared" si="35"/>
        <v>0</v>
      </c>
      <c r="AG362" s="79" t="s">
        <v>2079</v>
      </c>
      <c r="AH362" s="81">
        <v>2.4</v>
      </c>
      <c r="AI362" s="65"/>
      <c r="AJ362" s="65"/>
      <c r="AK362" s="65"/>
      <c r="AL362" s="65"/>
      <c r="AM362" s="65"/>
      <c r="AN362" s="65"/>
      <c r="AO362" s="65"/>
      <c r="AP362" s="65"/>
      <c r="AQ362" s="65"/>
    </row>
    <row r="363" spans="24:43">
      <c r="X363" s="79" t="s">
        <v>10768</v>
      </c>
      <c r="Y363" s="80">
        <v>60</v>
      </c>
      <c r="Z363" s="81">
        <f t="shared" si="32"/>
        <v>60</v>
      </c>
      <c r="AA363" s="79" t="s">
        <v>2082</v>
      </c>
      <c r="AB363" s="82">
        <f t="shared" si="33"/>
        <v>60</v>
      </c>
      <c r="AC363" s="79" t="s">
        <v>2081</v>
      </c>
      <c r="AD363" s="82">
        <f t="shared" si="34"/>
        <v>0</v>
      </c>
      <c r="AE363" s="79" t="s">
        <v>2080</v>
      </c>
      <c r="AF363" s="82">
        <f t="shared" si="35"/>
        <v>0</v>
      </c>
      <c r="AG363" s="79" t="s">
        <v>2079</v>
      </c>
      <c r="AH363" s="81">
        <v>2.4</v>
      </c>
      <c r="AI363" s="65"/>
      <c r="AJ363" s="65"/>
      <c r="AK363" s="65"/>
      <c r="AL363" s="65"/>
      <c r="AM363" s="65"/>
      <c r="AN363" s="65"/>
      <c r="AO363" s="65"/>
      <c r="AP363" s="65"/>
      <c r="AQ363" s="65"/>
    </row>
    <row r="364" spans="24:43">
      <c r="X364" s="79" t="s">
        <v>10769</v>
      </c>
      <c r="Y364" s="80">
        <v>60</v>
      </c>
      <c r="Z364" s="81">
        <f t="shared" si="32"/>
        <v>60</v>
      </c>
      <c r="AA364" s="79" t="s">
        <v>2082</v>
      </c>
      <c r="AB364" s="82">
        <f t="shared" si="33"/>
        <v>60</v>
      </c>
      <c r="AC364" s="79" t="s">
        <v>2081</v>
      </c>
      <c r="AD364" s="82">
        <f t="shared" si="34"/>
        <v>0</v>
      </c>
      <c r="AE364" s="79" t="s">
        <v>2080</v>
      </c>
      <c r="AF364" s="82">
        <f t="shared" si="35"/>
        <v>0</v>
      </c>
      <c r="AG364" s="79" t="s">
        <v>2079</v>
      </c>
      <c r="AH364" s="81">
        <v>2.4</v>
      </c>
      <c r="AI364" s="65"/>
      <c r="AJ364" s="65"/>
      <c r="AK364" s="65"/>
      <c r="AL364" s="65"/>
      <c r="AM364" s="65"/>
      <c r="AN364" s="65"/>
      <c r="AO364" s="65"/>
      <c r="AP364" s="65"/>
      <c r="AQ364" s="65"/>
    </row>
    <row r="365" spans="24:43">
      <c r="X365" s="79" t="s">
        <v>10769</v>
      </c>
      <c r="Y365" s="80">
        <v>60</v>
      </c>
      <c r="Z365" s="81">
        <f t="shared" si="32"/>
        <v>60</v>
      </c>
      <c r="AA365" s="79" t="s">
        <v>2082</v>
      </c>
      <c r="AB365" s="82">
        <f t="shared" si="33"/>
        <v>60</v>
      </c>
      <c r="AC365" s="79" t="s">
        <v>2081</v>
      </c>
      <c r="AD365" s="82">
        <f t="shared" si="34"/>
        <v>0</v>
      </c>
      <c r="AE365" s="79" t="s">
        <v>2080</v>
      </c>
      <c r="AF365" s="82">
        <f t="shared" si="35"/>
        <v>0</v>
      </c>
      <c r="AG365" s="79" t="s">
        <v>2079</v>
      </c>
      <c r="AH365" s="81">
        <v>2.4</v>
      </c>
      <c r="AI365" s="65"/>
      <c r="AJ365" s="65"/>
      <c r="AK365" s="65"/>
      <c r="AL365" s="65"/>
      <c r="AM365" s="65"/>
      <c r="AN365" s="65"/>
      <c r="AO365" s="65"/>
      <c r="AP365" s="65"/>
      <c r="AQ365" s="65"/>
    </row>
    <row r="366" spans="24:43">
      <c r="X366" s="79" t="s">
        <v>10770</v>
      </c>
      <c r="Y366" s="80">
        <v>2750</v>
      </c>
      <c r="Z366" s="81">
        <f t="shared" si="32"/>
        <v>2750</v>
      </c>
      <c r="AA366" s="79" t="s">
        <v>2082</v>
      </c>
      <c r="AB366" s="82">
        <f t="shared" si="33"/>
        <v>2750</v>
      </c>
      <c r="AC366" s="79" t="s">
        <v>2081</v>
      </c>
      <c r="AD366" s="82">
        <f t="shared" si="34"/>
        <v>0</v>
      </c>
      <c r="AE366" s="79" t="s">
        <v>2080</v>
      </c>
      <c r="AF366" s="82">
        <f t="shared" si="35"/>
        <v>0</v>
      </c>
      <c r="AG366" s="79" t="s">
        <v>2079</v>
      </c>
      <c r="AH366" s="81">
        <v>110</v>
      </c>
      <c r="AI366" s="65"/>
      <c r="AJ366" s="65"/>
      <c r="AK366" s="65"/>
      <c r="AL366" s="65"/>
      <c r="AM366" s="65"/>
      <c r="AN366" s="65"/>
      <c r="AO366" s="65"/>
      <c r="AP366" s="65"/>
      <c r="AQ366" s="65"/>
    </row>
    <row r="367" spans="24:43">
      <c r="X367" s="79" t="s">
        <v>10771</v>
      </c>
      <c r="Y367" s="80">
        <v>60</v>
      </c>
      <c r="Z367" s="81">
        <f t="shared" si="32"/>
        <v>60</v>
      </c>
      <c r="AA367" s="79" t="s">
        <v>2082</v>
      </c>
      <c r="AB367" s="82">
        <f t="shared" si="33"/>
        <v>60</v>
      </c>
      <c r="AC367" s="79" t="s">
        <v>2081</v>
      </c>
      <c r="AD367" s="82">
        <f t="shared" si="34"/>
        <v>0</v>
      </c>
      <c r="AE367" s="79" t="s">
        <v>2080</v>
      </c>
      <c r="AF367" s="82">
        <f t="shared" si="35"/>
        <v>0</v>
      </c>
      <c r="AG367" s="79" t="s">
        <v>2079</v>
      </c>
      <c r="AH367" s="81">
        <v>2.4</v>
      </c>
      <c r="AI367" s="65"/>
      <c r="AJ367" s="65"/>
      <c r="AK367" s="65"/>
      <c r="AL367" s="65"/>
      <c r="AM367" s="65"/>
      <c r="AN367" s="65"/>
      <c r="AO367" s="65"/>
      <c r="AP367" s="65"/>
      <c r="AQ367" s="65"/>
    </row>
    <row r="368" spans="24:43">
      <c r="X368" s="79" t="s">
        <v>10772</v>
      </c>
      <c r="Y368" s="80">
        <v>18875.125</v>
      </c>
      <c r="Z368" s="81">
        <f t="shared" si="32"/>
        <v>18875.125</v>
      </c>
      <c r="AA368" s="79" t="s">
        <v>2082</v>
      </c>
      <c r="AB368" s="82">
        <f t="shared" si="33"/>
        <v>18875</v>
      </c>
      <c r="AC368" s="79" t="s">
        <v>2081</v>
      </c>
      <c r="AD368" s="82">
        <f t="shared" si="34"/>
        <v>1</v>
      </c>
      <c r="AE368" s="79" t="s">
        <v>2080</v>
      </c>
      <c r="AF368" s="82">
        <f t="shared" si="35"/>
        <v>2.5</v>
      </c>
      <c r="AG368" s="79" t="s">
        <v>2079</v>
      </c>
      <c r="AH368" s="81">
        <v>755</v>
      </c>
      <c r="AI368" s="65"/>
      <c r="AJ368" s="65"/>
      <c r="AK368" s="65"/>
      <c r="AL368" s="65"/>
      <c r="AM368" s="65"/>
      <c r="AN368" s="65"/>
      <c r="AO368" s="65"/>
      <c r="AP368" s="65"/>
      <c r="AQ368" s="65"/>
    </row>
    <row r="369" spans="24:43">
      <c r="X369" s="79" t="s">
        <v>10773</v>
      </c>
      <c r="Y369" s="80">
        <v>6875.25</v>
      </c>
      <c r="Z369" s="81">
        <f t="shared" si="32"/>
        <v>6875.25</v>
      </c>
      <c r="AA369" s="79" t="s">
        <v>2082</v>
      </c>
      <c r="AB369" s="82">
        <f t="shared" si="33"/>
        <v>6875</v>
      </c>
      <c r="AC369" s="79" t="s">
        <v>2081</v>
      </c>
      <c r="AD369" s="82">
        <f t="shared" si="34"/>
        <v>2</v>
      </c>
      <c r="AE369" s="79" t="s">
        <v>2080</v>
      </c>
      <c r="AF369" s="82">
        <f t="shared" si="35"/>
        <v>5</v>
      </c>
      <c r="AG369" s="79" t="s">
        <v>2079</v>
      </c>
      <c r="AH369" s="81">
        <v>275.01</v>
      </c>
      <c r="AI369" s="65"/>
      <c r="AJ369" s="65"/>
      <c r="AK369" s="65"/>
      <c r="AL369" s="65"/>
      <c r="AM369" s="65"/>
      <c r="AN369" s="65"/>
      <c r="AO369" s="65"/>
      <c r="AP369" s="65"/>
      <c r="AQ369" s="65"/>
    </row>
    <row r="370" spans="24:43">
      <c r="X370" s="79" t="s">
        <v>10774</v>
      </c>
      <c r="Y370" s="80">
        <v>6875.25</v>
      </c>
      <c r="Z370" s="81">
        <f t="shared" si="32"/>
        <v>6875.25</v>
      </c>
      <c r="AA370" s="79" t="s">
        <v>2082</v>
      </c>
      <c r="AB370" s="82">
        <f t="shared" si="33"/>
        <v>6875</v>
      </c>
      <c r="AC370" s="79" t="s">
        <v>2081</v>
      </c>
      <c r="AD370" s="82">
        <f t="shared" si="34"/>
        <v>2</v>
      </c>
      <c r="AE370" s="79" t="s">
        <v>2080</v>
      </c>
      <c r="AF370" s="82">
        <f t="shared" si="35"/>
        <v>5</v>
      </c>
      <c r="AG370" s="79" t="s">
        <v>2079</v>
      </c>
      <c r="AH370" s="81">
        <v>275.01</v>
      </c>
      <c r="AI370" s="65"/>
      <c r="AJ370" s="65"/>
      <c r="AK370" s="65"/>
      <c r="AL370" s="65"/>
      <c r="AM370" s="65"/>
      <c r="AN370" s="65"/>
      <c r="AO370" s="65"/>
      <c r="AP370" s="65"/>
      <c r="AQ370" s="65"/>
    </row>
    <row r="371" spans="24:43">
      <c r="X371" s="79" t="s">
        <v>10775</v>
      </c>
      <c r="Y371" s="80">
        <v>6875.25</v>
      </c>
      <c r="Z371" s="81">
        <f t="shared" si="32"/>
        <v>6875.25</v>
      </c>
      <c r="AA371" s="79" t="s">
        <v>2082</v>
      </c>
      <c r="AB371" s="82">
        <f t="shared" si="33"/>
        <v>6875</v>
      </c>
      <c r="AC371" s="79" t="s">
        <v>2081</v>
      </c>
      <c r="AD371" s="82">
        <f t="shared" si="34"/>
        <v>2</v>
      </c>
      <c r="AE371" s="79" t="s">
        <v>2080</v>
      </c>
      <c r="AF371" s="82">
        <f t="shared" si="35"/>
        <v>5</v>
      </c>
      <c r="AG371" s="79" t="s">
        <v>2079</v>
      </c>
      <c r="AH371" s="81">
        <v>275.01</v>
      </c>
      <c r="AI371" s="65"/>
      <c r="AJ371" s="65"/>
      <c r="AK371" s="65"/>
      <c r="AL371" s="65"/>
      <c r="AM371" s="65"/>
      <c r="AN371" s="65"/>
      <c r="AO371" s="65"/>
      <c r="AP371" s="65"/>
      <c r="AQ371" s="65"/>
    </row>
    <row r="372" spans="24:43">
      <c r="X372" s="79" t="s">
        <v>10776</v>
      </c>
      <c r="Y372" s="80">
        <v>325.25</v>
      </c>
      <c r="Z372" s="81">
        <f t="shared" si="32"/>
        <v>325.25</v>
      </c>
      <c r="AA372" s="79" t="s">
        <v>2082</v>
      </c>
      <c r="AB372" s="82">
        <f t="shared" si="33"/>
        <v>325</v>
      </c>
      <c r="AC372" s="79" t="s">
        <v>2081</v>
      </c>
      <c r="AD372" s="82">
        <f t="shared" si="34"/>
        <v>2</v>
      </c>
      <c r="AE372" s="79" t="s">
        <v>2080</v>
      </c>
      <c r="AF372" s="82">
        <f t="shared" si="35"/>
        <v>5</v>
      </c>
      <c r="AG372" s="79" t="s">
        <v>2079</v>
      </c>
      <c r="AH372" s="81">
        <v>13.01</v>
      </c>
      <c r="AI372" s="65"/>
      <c r="AJ372" s="65"/>
      <c r="AK372" s="65"/>
      <c r="AL372" s="65"/>
      <c r="AM372" s="65"/>
      <c r="AN372" s="65"/>
      <c r="AO372" s="65"/>
      <c r="AP372" s="65"/>
      <c r="AQ372" s="65"/>
    </row>
    <row r="373" spans="24:43">
      <c r="X373" s="79" t="s">
        <v>10777</v>
      </c>
      <c r="Y373" s="80">
        <v>20375.125</v>
      </c>
      <c r="Z373" s="81">
        <f t="shared" si="32"/>
        <v>20375.125</v>
      </c>
      <c r="AA373" s="79" t="s">
        <v>2082</v>
      </c>
      <c r="AB373" s="82">
        <f t="shared" si="33"/>
        <v>20375</v>
      </c>
      <c r="AC373" s="79" t="s">
        <v>2081</v>
      </c>
      <c r="AD373" s="82">
        <f t="shared" si="34"/>
        <v>1</v>
      </c>
      <c r="AE373" s="79" t="s">
        <v>2080</v>
      </c>
      <c r="AF373" s="82">
        <f t="shared" si="35"/>
        <v>2.5</v>
      </c>
      <c r="AG373" s="79" t="s">
        <v>2079</v>
      </c>
      <c r="AH373" s="81">
        <v>815</v>
      </c>
      <c r="AI373" s="65"/>
      <c r="AJ373" s="65"/>
      <c r="AK373" s="65"/>
      <c r="AL373" s="65"/>
      <c r="AM373" s="65"/>
      <c r="AN373" s="65"/>
      <c r="AO373" s="65"/>
      <c r="AP373" s="65"/>
      <c r="AQ373" s="65"/>
    </row>
    <row r="374" spans="24:43">
      <c r="X374" s="79" t="s">
        <v>10778</v>
      </c>
      <c r="Y374" s="80">
        <v>412.625</v>
      </c>
      <c r="Z374" s="81">
        <f t="shared" si="32"/>
        <v>412.625</v>
      </c>
      <c r="AA374" s="79" t="s">
        <v>2082</v>
      </c>
      <c r="AB374" s="82">
        <f t="shared" si="33"/>
        <v>412</v>
      </c>
      <c r="AC374" s="79" t="s">
        <v>2081</v>
      </c>
      <c r="AD374" s="82">
        <f t="shared" si="34"/>
        <v>6</v>
      </c>
      <c r="AE374" s="79" t="s">
        <v>2080</v>
      </c>
      <c r="AF374" s="82">
        <f t="shared" si="35"/>
        <v>2.5</v>
      </c>
      <c r="AG374" s="79" t="s">
        <v>2079</v>
      </c>
      <c r="AH374" s="81">
        <v>16.5</v>
      </c>
      <c r="AI374" s="65"/>
      <c r="AJ374" s="65"/>
      <c r="AK374" s="65"/>
      <c r="AL374" s="65"/>
      <c r="AM374" s="65"/>
      <c r="AN374" s="65"/>
      <c r="AO374" s="65"/>
      <c r="AP374" s="65"/>
      <c r="AQ374" s="65"/>
    </row>
    <row r="375" spans="24:43">
      <c r="X375" s="79" t="s">
        <v>10779</v>
      </c>
      <c r="Y375" s="80">
        <v>3512.625</v>
      </c>
      <c r="Z375" s="81">
        <f t="shared" si="32"/>
        <v>3512.625</v>
      </c>
      <c r="AA375" s="79" t="s">
        <v>2082</v>
      </c>
      <c r="AB375" s="82">
        <f t="shared" si="33"/>
        <v>3512</v>
      </c>
      <c r="AC375" s="79" t="s">
        <v>2081</v>
      </c>
      <c r="AD375" s="82">
        <f t="shared" si="34"/>
        <v>6</v>
      </c>
      <c r="AE375" s="79" t="s">
        <v>2080</v>
      </c>
      <c r="AF375" s="82">
        <f t="shared" si="35"/>
        <v>2.5</v>
      </c>
      <c r="AG375" s="79" t="s">
        <v>2079</v>
      </c>
      <c r="AH375" s="81">
        <v>140.5</v>
      </c>
      <c r="AI375" s="65"/>
      <c r="AJ375" s="65"/>
      <c r="AK375" s="65"/>
      <c r="AL375" s="65"/>
      <c r="AM375" s="65"/>
      <c r="AN375" s="65"/>
      <c r="AO375" s="65"/>
      <c r="AP375" s="65"/>
      <c r="AQ375" s="65"/>
    </row>
    <row r="376" spans="24:43">
      <c r="X376" s="79" t="s">
        <v>10780</v>
      </c>
      <c r="Y376" s="80">
        <v>55</v>
      </c>
      <c r="Z376" s="81">
        <f t="shared" si="32"/>
        <v>55</v>
      </c>
      <c r="AA376" s="79" t="s">
        <v>2082</v>
      </c>
      <c r="AB376" s="82">
        <f t="shared" si="33"/>
        <v>55</v>
      </c>
      <c r="AC376" s="79" t="s">
        <v>2081</v>
      </c>
      <c r="AD376" s="82">
        <f t="shared" si="34"/>
        <v>0</v>
      </c>
      <c r="AE376" s="79" t="s">
        <v>2080</v>
      </c>
      <c r="AF376" s="82">
        <f t="shared" si="35"/>
        <v>0</v>
      </c>
      <c r="AG376" s="79" t="s">
        <v>2079</v>
      </c>
      <c r="AH376" s="81">
        <v>2.2000000000000002</v>
      </c>
      <c r="AI376" s="65"/>
      <c r="AJ376" s="65"/>
      <c r="AK376" s="65"/>
      <c r="AL376" s="65"/>
      <c r="AM376" s="65"/>
      <c r="AN376" s="65"/>
      <c r="AO376" s="65"/>
      <c r="AP376" s="65"/>
      <c r="AQ376" s="65"/>
    </row>
    <row r="377" spans="24:43">
      <c r="X377" s="79" t="s">
        <v>10781</v>
      </c>
      <c r="Y377" s="80">
        <v>5937.625</v>
      </c>
      <c r="Z377" s="81">
        <f t="shared" si="32"/>
        <v>5937.625</v>
      </c>
      <c r="AA377" s="79" t="s">
        <v>2082</v>
      </c>
      <c r="AB377" s="82">
        <f t="shared" si="33"/>
        <v>5937</v>
      </c>
      <c r="AC377" s="79" t="s">
        <v>2081</v>
      </c>
      <c r="AD377" s="82">
        <f t="shared" si="34"/>
        <v>6</v>
      </c>
      <c r="AE377" s="79" t="s">
        <v>2080</v>
      </c>
      <c r="AF377" s="82">
        <f t="shared" si="35"/>
        <v>2.5</v>
      </c>
      <c r="AG377" s="79" t="s">
        <v>2079</v>
      </c>
      <c r="AH377" s="81">
        <v>237.5</v>
      </c>
      <c r="AI377" s="65"/>
      <c r="AJ377" s="65"/>
      <c r="AK377" s="65"/>
      <c r="AL377" s="65"/>
      <c r="AM377" s="65"/>
      <c r="AN377" s="65"/>
      <c r="AO377" s="65"/>
      <c r="AP377" s="65"/>
      <c r="AQ377" s="65"/>
    </row>
    <row r="378" spans="24:43">
      <c r="X378" s="79" t="s">
        <v>10782</v>
      </c>
      <c r="Y378" s="80">
        <v>67750.25</v>
      </c>
      <c r="Z378" s="81">
        <f t="shared" si="32"/>
        <v>67750.25</v>
      </c>
      <c r="AA378" s="79" t="s">
        <v>2082</v>
      </c>
      <c r="AB378" s="82">
        <f t="shared" si="33"/>
        <v>67750</v>
      </c>
      <c r="AC378" s="79" t="s">
        <v>2081</v>
      </c>
      <c r="AD378" s="82">
        <f t="shared" si="34"/>
        <v>2</v>
      </c>
      <c r="AE378" s="79" t="s">
        <v>2080</v>
      </c>
      <c r="AF378" s="82">
        <f t="shared" si="35"/>
        <v>5</v>
      </c>
      <c r="AG378" s="79" t="s">
        <v>2079</v>
      </c>
      <c r="AH378" s="81">
        <v>2710.01</v>
      </c>
      <c r="AI378" s="65"/>
      <c r="AJ378" s="65"/>
      <c r="AK378" s="65"/>
      <c r="AL378" s="65"/>
      <c r="AM378" s="65"/>
      <c r="AN378" s="65"/>
      <c r="AO378" s="65"/>
      <c r="AP378" s="65"/>
      <c r="AQ378" s="65"/>
    </row>
    <row r="379" spans="24:43">
      <c r="X379" s="79" t="s">
        <v>7297</v>
      </c>
      <c r="Y379" s="80">
        <v>106250.25</v>
      </c>
      <c r="Z379" s="81">
        <f t="shared" si="32"/>
        <v>106250.25</v>
      </c>
      <c r="AA379" s="79" t="s">
        <v>2082</v>
      </c>
      <c r="AB379" s="82">
        <f t="shared" si="33"/>
        <v>106250</v>
      </c>
      <c r="AC379" s="79" t="s">
        <v>2081</v>
      </c>
      <c r="AD379" s="82">
        <f t="shared" si="34"/>
        <v>2</v>
      </c>
      <c r="AE379" s="79" t="s">
        <v>2080</v>
      </c>
      <c r="AF379" s="82">
        <f t="shared" si="35"/>
        <v>5</v>
      </c>
      <c r="AG379" s="79" t="s">
        <v>2079</v>
      </c>
      <c r="AH379" s="81">
        <v>4250.01</v>
      </c>
      <c r="AI379" s="65"/>
      <c r="AJ379" s="65"/>
      <c r="AK379" s="65"/>
      <c r="AL379" s="65"/>
      <c r="AM379" s="65"/>
      <c r="AN379" s="65"/>
      <c r="AO379" s="65"/>
      <c r="AP379" s="65"/>
      <c r="AQ379" s="65"/>
    </row>
    <row r="380" spans="24:43">
      <c r="X380" s="79" t="s">
        <v>10783</v>
      </c>
      <c r="Y380" s="80">
        <v>73750.25</v>
      </c>
      <c r="Z380" s="81">
        <f t="shared" si="32"/>
        <v>73750.25</v>
      </c>
      <c r="AA380" s="79" t="s">
        <v>2082</v>
      </c>
      <c r="AB380" s="82">
        <f t="shared" si="33"/>
        <v>73750</v>
      </c>
      <c r="AC380" s="79" t="s">
        <v>2081</v>
      </c>
      <c r="AD380" s="82">
        <f t="shared" si="34"/>
        <v>2</v>
      </c>
      <c r="AE380" s="79" t="s">
        <v>2080</v>
      </c>
      <c r="AF380" s="82">
        <f t="shared" si="35"/>
        <v>5</v>
      </c>
      <c r="AG380" s="79" t="s">
        <v>2079</v>
      </c>
      <c r="AH380" s="81">
        <v>2950.01</v>
      </c>
      <c r="AI380" s="65"/>
      <c r="AJ380" s="65"/>
      <c r="AK380" s="65"/>
      <c r="AL380" s="65"/>
      <c r="AM380" s="65"/>
      <c r="AN380" s="65"/>
      <c r="AO380" s="65"/>
      <c r="AP380" s="65"/>
      <c r="AQ380" s="65"/>
    </row>
    <row r="381" spans="24:43">
      <c r="X381" s="79" t="s">
        <v>10784</v>
      </c>
      <c r="Y381" s="80">
        <v>6875.25</v>
      </c>
      <c r="Z381" s="81">
        <f t="shared" si="32"/>
        <v>6875.25</v>
      </c>
      <c r="AA381" s="79" t="s">
        <v>2082</v>
      </c>
      <c r="AB381" s="82">
        <f t="shared" si="33"/>
        <v>6875</v>
      </c>
      <c r="AC381" s="79" t="s">
        <v>2081</v>
      </c>
      <c r="AD381" s="82">
        <f t="shared" si="34"/>
        <v>2</v>
      </c>
      <c r="AE381" s="79" t="s">
        <v>2080</v>
      </c>
      <c r="AF381" s="82">
        <f t="shared" si="35"/>
        <v>5</v>
      </c>
      <c r="AG381" s="79" t="s">
        <v>2079</v>
      </c>
      <c r="AH381" s="81">
        <v>275.01</v>
      </c>
      <c r="AI381" s="65"/>
      <c r="AJ381" s="65"/>
      <c r="AK381" s="65"/>
      <c r="AL381" s="65"/>
      <c r="AM381" s="65"/>
      <c r="AN381" s="65"/>
      <c r="AO381" s="65"/>
      <c r="AP381" s="65"/>
      <c r="AQ381" s="65"/>
    </row>
    <row r="382" spans="24:43">
      <c r="X382" s="79" t="s">
        <v>10785</v>
      </c>
      <c r="Y382" s="80">
        <v>60</v>
      </c>
      <c r="Z382" s="81">
        <f t="shared" si="32"/>
        <v>60</v>
      </c>
      <c r="AA382" s="79" t="s">
        <v>2082</v>
      </c>
      <c r="AB382" s="82">
        <f t="shared" si="33"/>
        <v>60</v>
      </c>
      <c r="AC382" s="79" t="s">
        <v>2081</v>
      </c>
      <c r="AD382" s="82">
        <f t="shared" si="34"/>
        <v>0</v>
      </c>
      <c r="AE382" s="79" t="s">
        <v>2080</v>
      </c>
      <c r="AF382" s="82">
        <f t="shared" si="35"/>
        <v>0</v>
      </c>
      <c r="AG382" s="79" t="s">
        <v>2079</v>
      </c>
      <c r="AH382" s="81">
        <v>2.4</v>
      </c>
      <c r="AI382" s="65"/>
      <c r="AJ382" s="65"/>
      <c r="AK382" s="65"/>
      <c r="AL382" s="65"/>
      <c r="AM382" s="65"/>
      <c r="AN382" s="65"/>
      <c r="AO382" s="65"/>
      <c r="AP382" s="65"/>
      <c r="AQ382" s="65"/>
    </row>
    <row r="383" spans="24:43">
      <c r="X383" s="79" t="s">
        <v>10785</v>
      </c>
      <c r="Y383" s="80">
        <v>60</v>
      </c>
      <c r="Z383" s="81">
        <f t="shared" si="32"/>
        <v>60</v>
      </c>
      <c r="AA383" s="79" t="s">
        <v>2082</v>
      </c>
      <c r="AB383" s="82">
        <f t="shared" si="33"/>
        <v>60</v>
      </c>
      <c r="AC383" s="79" t="s">
        <v>2081</v>
      </c>
      <c r="AD383" s="82">
        <f t="shared" si="34"/>
        <v>0</v>
      </c>
      <c r="AE383" s="79" t="s">
        <v>2080</v>
      </c>
      <c r="AF383" s="82">
        <f t="shared" si="35"/>
        <v>0</v>
      </c>
      <c r="AG383" s="79" t="s">
        <v>2079</v>
      </c>
      <c r="AH383" s="81">
        <v>2.4</v>
      </c>
      <c r="AI383" s="65"/>
      <c r="AJ383" s="65"/>
      <c r="AK383" s="65"/>
      <c r="AL383" s="65"/>
      <c r="AM383" s="65"/>
      <c r="AN383" s="65"/>
      <c r="AO383" s="65"/>
      <c r="AP383" s="65"/>
      <c r="AQ383" s="65"/>
    </row>
    <row r="384" spans="24:43">
      <c r="X384" s="79" t="s">
        <v>10786</v>
      </c>
      <c r="Y384" s="80">
        <v>112500.5</v>
      </c>
      <c r="Z384" s="81">
        <f t="shared" si="32"/>
        <v>112500.5</v>
      </c>
      <c r="AA384" s="79" t="s">
        <v>2082</v>
      </c>
      <c r="AB384" s="82">
        <f t="shared" si="33"/>
        <v>112500</v>
      </c>
      <c r="AC384" s="79" t="s">
        <v>2081</v>
      </c>
      <c r="AD384" s="82">
        <f t="shared" si="34"/>
        <v>5</v>
      </c>
      <c r="AE384" s="79" t="s">
        <v>2080</v>
      </c>
      <c r="AF384" s="82">
        <f t="shared" si="35"/>
        <v>0</v>
      </c>
      <c r="AG384" s="79" t="s">
        <v>2079</v>
      </c>
      <c r="AH384" s="81">
        <v>4500.0200000000004</v>
      </c>
      <c r="AI384" s="65"/>
      <c r="AJ384" s="65"/>
      <c r="AK384" s="65"/>
      <c r="AL384" s="65"/>
      <c r="AM384" s="65"/>
      <c r="AN384" s="65"/>
      <c r="AO384" s="65"/>
      <c r="AP384" s="65"/>
      <c r="AQ384" s="65"/>
    </row>
    <row r="385" spans="24:43">
      <c r="X385" s="79" t="s">
        <v>10786</v>
      </c>
      <c r="Y385" s="80">
        <v>112500.5</v>
      </c>
      <c r="Z385" s="81">
        <f t="shared" si="32"/>
        <v>112500.5</v>
      </c>
      <c r="AA385" s="79" t="s">
        <v>2082</v>
      </c>
      <c r="AB385" s="82">
        <f t="shared" si="33"/>
        <v>112500</v>
      </c>
      <c r="AC385" s="79" t="s">
        <v>2081</v>
      </c>
      <c r="AD385" s="82">
        <f t="shared" si="34"/>
        <v>5</v>
      </c>
      <c r="AE385" s="79" t="s">
        <v>2080</v>
      </c>
      <c r="AF385" s="82">
        <f t="shared" si="35"/>
        <v>0</v>
      </c>
      <c r="AG385" s="79" t="s">
        <v>2079</v>
      </c>
      <c r="AH385" s="81">
        <v>4500.0200000000004</v>
      </c>
      <c r="AI385" s="65"/>
      <c r="AJ385" s="65"/>
      <c r="AK385" s="65"/>
      <c r="AL385" s="65"/>
      <c r="AM385" s="65"/>
      <c r="AN385" s="65"/>
      <c r="AO385" s="65"/>
      <c r="AP385" s="65"/>
      <c r="AQ385" s="65"/>
    </row>
    <row r="386" spans="24:43">
      <c r="X386" s="79" t="s">
        <v>10787</v>
      </c>
      <c r="Y386" s="80">
        <v>4875</v>
      </c>
      <c r="Z386" s="81">
        <f t="shared" si="32"/>
        <v>4875</v>
      </c>
      <c r="AA386" s="79" t="s">
        <v>2082</v>
      </c>
      <c r="AB386" s="82">
        <f t="shared" si="33"/>
        <v>4875</v>
      </c>
      <c r="AC386" s="79" t="s">
        <v>2081</v>
      </c>
      <c r="AD386" s="82">
        <f t="shared" si="34"/>
        <v>0</v>
      </c>
      <c r="AE386" s="79" t="s">
        <v>2080</v>
      </c>
      <c r="AF386" s="82">
        <f t="shared" si="35"/>
        <v>0</v>
      </c>
      <c r="AG386" s="79" t="s">
        <v>2079</v>
      </c>
      <c r="AH386" s="81">
        <v>195</v>
      </c>
      <c r="AI386" s="65"/>
      <c r="AJ386" s="65"/>
      <c r="AK386" s="65"/>
      <c r="AL386" s="65"/>
      <c r="AM386" s="65"/>
      <c r="AN386" s="65"/>
      <c r="AO386" s="65"/>
      <c r="AP386" s="65"/>
      <c r="AQ386" s="65"/>
    </row>
    <row r="387" spans="24:43">
      <c r="X387" s="79" t="s">
        <v>10788</v>
      </c>
      <c r="Y387" s="80">
        <v>4500</v>
      </c>
      <c r="Z387" s="81">
        <f t="shared" ref="Z387:Z450" si="36">Y387*$AK$6*$AK$11</f>
        <v>4500</v>
      </c>
      <c r="AA387" s="79" t="s">
        <v>2082</v>
      </c>
      <c r="AB387" s="82">
        <f t="shared" ref="AB387:AB450" si="37">_xlfn.FLOOR.MATH(Z387,1)</f>
        <v>4500</v>
      </c>
      <c r="AC387" s="79" t="s">
        <v>2081</v>
      </c>
      <c r="AD387" s="82">
        <f t="shared" ref="AD387:AD450" si="38">_xlfn.FLOOR.MATH(((Z387-AB387)*10), 1)</f>
        <v>0</v>
      </c>
      <c r="AE387" s="79" t="s">
        <v>2080</v>
      </c>
      <c r="AF387" s="82">
        <f t="shared" ref="AF387:AF450" si="39">((Z387-AB387)*10-AD387)*10</f>
        <v>0</v>
      </c>
      <c r="AG387" s="79" t="s">
        <v>2079</v>
      </c>
      <c r="AH387" s="81">
        <v>180</v>
      </c>
      <c r="AI387" s="65"/>
      <c r="AJ387" s="65"/>
      <c r="AK387" s="65"/>
      <c r="AL387" s="65"/>
      <c r="AM387" s="65"/>
      <c r="AN387" s="65"/>
      <c r="AO387" s="65"/>
      <c r="AP387" s="65"/>
      <c r="AQ387" s="65"/>
    </row>
    <row r="388" spans="24:43">
      <c r="X388" s="79" t="s">
        <v>10789</v>
      </c>
      <c r="Y388" s="80">
        <v>5750</v>
      </c>
      <c r="Z388" s="81">
        <f t="shared" si="36"/>
        <v>5750</v>
      </c>
      <c r="AA388" s="79" t="s">
        <v>2082</v>
      </c>
      <c r="AB388" s="82">
        <f t="shared" si="37"/>
        <v>5750</v>
      </c>
      <c r="AC388" s="79" t="s">
        <v>2081</v>
      </c>
      <c r="AD388" s="82">
        <f t="shared" si="38"/>
        <v>0</v>
      </c>
      <c r="AE388" s="79" t="s">
        <v>2080</v>
      </c>
      <c r="AF388" s="82">
        <f t="shared" si="39"/>
        <v>0</v>
      </c>
      <c r="AG388" s="79" t="s">
        <v>2079</v>
      </c>
      <c r="AH388" s="81">
        <v>230</v>
      </c>
      <c r="AI388" s="65"/>
      <c r="AJ388" s="65"/>
      <c r="AK388" s="65"/>
      <c r="AL388" s="65"/>
      <c r="AM388" s="65"/>
      <c r="AN388" s="65"/>
      <c r="AO388" s="65"/>
      <c r="AP388" s="65"/>
      <c r="AQ388" s="65"/>
    </row>
    <row r="389" spans="24:43">
      <c r="X389" s="79" t="s">
        <v>10790</v>
      </c>
      <c r="Y389" s="80">
        <v>17100</v>
      </c>
      <c r="Z389" s="81">
        <f t="shared" si="36"/>
        <v>17100</v>
      </c>
      <c r="AA389" s="79" t="s">
        <v>2082</v>
      </c>
      <c r="AB389" s="82">
        <f t="shared" si="37"/>
        <v>17100</v>
      </c>
      <c r="AC389" s="79" t="s">
        <v>2081</v>
      </c>
      <c r="AD389" s="82">
        <f t="shared" si="38"/>
        <v>0</v>
      </c>
      <c r="AE389" s="79" t="s">
        <v>2080</v>
      </c>
      <c r="AF389" s="82">
        <f t="shared" si="39"/>
        <v>0</v>
      </c>
      <c r="AG389" s="79" t="s">
        <v>2079</v>
      </c>
      <c r="AH389" s="81">
        <v>684</v>
      </c>
      <c r="AI389" s="65"/>
      <c r="AJ389" s="65"/>
      <c r="AK389" s="65"/>
      <c r="AL389" s="65"/>
      <c r="AM389" s="65"/>
      <c r="AN389" s="65"/>
      <c r="AO389" s="65"/>
      <c r="AP389" s="65"/>
      <c r="AQ389" s="65"/>
    </row>
    <row r="390" spans="24:43">
      <c r="X390" s="79" t="s">
        <v>10791</v>
      </c>
      <c r="Y390" s="80">
        <v>33625.125</v>
      </c>
      <c r="Z390" s="81">
        <f t="shared" si="36"/>
        <v>33625.125</v>
      </c>
      <c r="AA390" s="79" t="s">
        <v>2082</v>
      </c>
      <c r="AB390" s="82">
        <f t="shared" si="37"/>
        <v>33625</v>
      </c>
      <c r="AC390" s="79" t="s">
        <v>2081</v>
      </c>
      <c r="AD390" s="82">
        <f t="shared" si="38"/>
        <v>1</v>
      </c>
      <c r="AE390" s="79" t="s">
        <v>2080</v>
      </c>
      <c r="AF390" s="82">
        <f t="shared" si="39"/>
        <v>2.5</v>
      </c>
      <c r="AG390" s="79" t="s">
        <v>2079</v>
      </c>
      <c r="AH390" s="81">
        <v>1345</v>
      </c>
      <c r="AI390" s="65"/>
      <c r="AJ390" s="65"/>
      <c r="AK390" s="65"/>
      <c r="AL390" s="65"/>
      <c r="AM390" s="65"/>
      <c r="AN390" s="65"/>
      <c r="AO390" s="65"/>
      <c r="AP390" s="65"/>
      <c r="AQ390" s="65"/>
    </row>
    <row r="391" spans="24:43">
      <c r="X391" s="79" t="s">
        <v>10792</v>
      </c>
      <c r="Y391" s="80">
        <v>33625.125</v>
      </c>
      <c r="Z391" s="81">
        <f t="shared" si="36"/>
        <v>33625.125</v>
      </c>
      <c r="AA391" s="79" t="s">
        <v>2082</v>
      </c>
      <c r="AB391" s="82">
        <f t="shared" si="37"/>
        <v>33625</v>
      </c>
      <c r="AC391" s="79" t="s">
        <v>2081</v>
      </c>
      <c r="AD391" s="82">
        <f t="shared" si="38"/>
        <v>1</v>
      </c>
      <c r="AE391" s="79" t="s">
        <v>2080</v>
      </c>
      <c r="AF391" s="82">
        <f t="shared" si="39"/>
        <v>2.5</v>
      </c>
      <c r="AG391" s="79" t="s">
        <v>2079</v>
      </c>
      <c r="AH391" s="81">
        <v>1345</v>
      </c>
      <c r="AI391" s="65"/>
      <c r="AJ391" s="65"/>
      <c r="AK391" s="65"/>
      <c r="AL391" s="65"/>
      <c r="AM391" s="65"/>
      <c r="AN391" s="65"/>
      <c r="AO391" s="65"/>
      <c r="AP391" s="65"/>
      <c r="AQ391" s="65"/>
    </row>
    <row r="392" spans="24:43">
      <c r="X392" s="79" t="s">
        <v>10793</v>
      </c>
      <c r="Y392" s="80">
        <v>26625.125</v>
      </c>
      <c r="Z392" s="81">
        <f t="shared" si="36"/>
        <v>26625.125</v>
      </c>
      <c r="AA392" s="79" t="s">
        <v>2082</v>
      </c>
      <c r="AB392" s="82">
        <f t="shared" si="37"/>
        <v>26625</v>
      </c>
      <c r="AC392" s="79" t="s">
        <v>2081</v>
      </c>
      <c r="AD392" s="82">
        <f t="shared" si="38"/>
        <v>1</v>
      </c>
      <c r="AE392" s="79" t="s">
        <v>2080</v>
      </c>
      <c r="AF392" s="82">
        <f t="shared" si="39"/>
        <v>2.5</v>
      </c>
      <c r="AG392" s="79" t="s">
        <v>2079</v>
      </c>
      <c r="AH392" s="81">
        <v>1065</v>
      </c>
      <c r="AI392" s="65"/>
      <c r="AJ392" s="65"/>
      <c r="AK392" s="65"/>
      <c r="AL392" s="65"/>
      <c r="AM392" s="65"/>
      <c r="AN392" s="65"/>
      <c r="AO392" s="65"/>
      <c r="AP392" s="65"/>
      <c r="AQ392" s="65"/>
    </row>
    <row r="393" spans="24:43">
      <c r="X393" s="79" t="s">
        <v>10794</v>
      </c>
      <c r="Y393" s="80">
        <v>33625.125</v>
      </c>
      <c r="Z393" s="81">
        <f t="shared" si="36"/>
        <v>33625.125</v>
      </c>
      <c r="AA393" s="79" t="s">
        <v>2082</v>
      </c>
      <c r="AB393" s="82">
        <f t="shared" si="37"/>
        <v>33625</v>
      </c>
      <c r="AC393" s="79" t="s">
        <v>2081</v>
      </c>
      <c r="AD393" s="82">
        <f t="shared" si="38"/>
        <v>1</v>
      </c>
      <c r="AE393" s="79" t="s">
        <v>2080</v>
      </c>
      <c r="AF393" s="82">
        <f t="shared" si="39"/>
        <v>2.5</v>
      </c>
      <c r="AG393" s="79" t="s">
        <v>2079</v>
      </c>
      <c r="AH393" s="81">
        <v>1345</v>
      </c>
      <c r="AI393" s="65"/>
      <c r="AJ393" s="65"/>
      <c r="AK393" s="65"/>
      <c r="AL393" s="65"/>
      <c r="AM393" s="65"/>
      <c r="AN393" s="65"/>
      <c r="AO393" s="65"/>
      <c r="AP393" s="65"/>
      <c r="AQ393" s="65"/>
    </row>
    <row r="394" spans="24:43">
      <c r="X394" s="79" t="s">
        <v>6736</v>
      </c>
      <c r="Y394" s="80">
        <v>950</v>
      </c>
      <c r="Z394" s="81">
        <f t="shared" si="36"/>
        <v>950</v>
      </c>
      <c r="AA394" s="79" t="s">
        <v>2082</v>
      </c>
      <c r="AB394" s="82">
        <f t="shared" si="37"/>
        <v>950</v>
      </c>
      <c r="AC394" s="79" t="s">
        <v>2081</v>
      </c>
      <c r="AD394" s="82">
        <f t="shared" si="38"/>
        <v>0</v>
      </c>
      <c r="AE394" s="79" t="s">
        <v>2080</v>
      </c>
      <c r="AF394" s="82">
        <f t="shared" si="39"/>
        <v>0</v>
      </c>
      <c r="AG394" s="79" t="s">
        <v>2079</v>
      </c>
      <c r="AH394" s="81">
        <v>38</v>
      </c>
      <c r="AI394" s="65"/>
      <c r="AJ394" s="65"/>
      <c r="AK394" s="65"/>
      <c r="AL394" s="65"/>
      <c r="AM394" s="65"/>
      <c r="AN394" s="65"/>
      <c r="AO394" s="65"/>
      <c r="AP394" s="65"/>
      <c r="AQ394" s="65"/>
    </row>
    <row r="395" spans="24:43">
      <c r="X395" s="79" t="s">
        <v>10795</v>
      </c>
      <c r="Y395" s="80">
        <v>23625.125</v>
      </c>
      <c r="Z395" s="81">
        <f t="shared" si="36"/>
        <v>23625.125</v>
      </c>
      <c r="AA395" s="79" t="s">
        <v>2082</v>
      </c>
      <c r="AB395" s="82">
        <f t="shared" si="37"/>
        <v>23625</v>
      </c>
      <c r="AC395" s="79" t="s">
        <v>2081</v>
      </c>
      <c r="AD395" s="82">
        <f t="shared" si="38"/>
        <v>1</v>
      </c>
      <c r="AE395" s="79" t="s">
        <v>2080</v>
      </c>
      <c r="AF395" s="82">
        <f t="shared" si="39"/>
        <v>2.5</v>
      </c>
      <c r="AG395" s="79" t="s">
        <v>2079</v>
      </c>
      <c r="AH395" s="81">
        <v>945</v>
      </c>
      <c r="AI395" s="65"/>
      <c r="AJ395" s="65"/>
      <c r="AK395" s="65"/>
      <c r="AL395" s="65"/>
      <c r="AM395" s="65"/>
      <c r="AN395" s="65"/>
      <c r="AO395" s="65"/>
      <c r="AP395" s="65"/>
      <c r="AQ395" s="65"/>
    </row>
    <row r="396" spans="24:43">
      <c r="X396" s="79" t="s">
        <v>10796</v>
      </c>
      <c r="Y396" s="80">
        <v>262.625</v>
      </c>
      <c r="Z396" s="81">
        <f t="shared" si="36"/>
        <v>262.625</v>
      </c>
      <c r="AA396" s="79" t="s">
        <v>2082</v>
      </c>
      <c r="AB396" s="82">
        <f t="shared" si="37"/>
        <v>262</v>
      </c>
      <c r="AC396" s="79" t="s">
        <v>2081</v>
      </c>
      <c r="AD396" s="82">
        <f t="shared" si="38"/>
        <v>6</v>
      </c>
      <c r="AE396" s="79" t="s">
        <v>2080</v>
      </c>
      <c r="AF396" s="82">
        <f t="shared" si="39"/>
        <v>2.5</v>
      </c>
      <c r="AG396" s="79" t="s">
        <v>2079</v>
      </c>
      <c r="AH396" s="81">
        <v>10.5</v>
      </c>
      <c r="AI396" s="65"/>
      <c r="AJ396" s="65"/>
      <c r="AK396" s="65"/>
      <c r="AL396" s="65"/>
      <c r="AM396" s="65"/>
      <c r="AN396" s="65"/>
      <c r="AO396" s="65"/>
      <c r="AP396" s="65"/>
      <c r="AQ396" s="65"/>
    </row>
    <row r="397" spans="24:43">
      <c r="X397" s="79" t="s">
        <v>10797</v>
      </c>
      <c r="Y397" s="80">
        <v>112500.5</v>
      </c>
      <c r="Z397" s="81">
        <f t="shared" si="36"/>
        <v>112500.5</v>
      </c>
      <c r="AA397" s="79" t="s">
        <v>2082</v>
      </c>
      <c r="AB397" s="82">
        <f t="shared" si="37"/>
        <v>112500</v>
      </c>
      <c r="AC397" s="79" t="s">
        <v>2081</v>
      </c>
      <c r="AD397" s="82">
        <f t="shared" si="38"/>
        <v>5</v>
      </c>
      <c r="AE397" s="79" t="s">
        <v>2080</v>
      </c>
      <c r="AF397" s="82">
        <f t="shared" si="39"/>
        <v>0</v>
      </c>
      <c r="AG397" s="79" t="s">
        <v>2079</v>
      </c>
      <c r="AH397" s="81">
        <v>4500.0200000000004</v>
      </c>
      <c r="AI397" s="65"/>
      <c r="AJ397" s="65"/>
      <c r="AK397" s="65"/>
      <c r="AL397" s="65"/>
      <c r="AM397" s="65"/>
      <c r="AN397" s="65"/>
      <c r="AO397" s="65"/>
      <c r="AP397" s="65"/>
      <c r="AQ397" s="65"/>
    </row>
    <row r="398" spans="24:43">
      <c r="X398" s="79" t="s">
        <v>10798</v>
      </c>
      <c r="Y398" s="80">
        <v>60</v>
      </c>
      <c r="Z398" s="81">
        <f t="shared" si="36"/>
        <v>60</v>
      </c>
      <c r="AA398" s="79" t="s">
        <v>2082</v>
      </c>
      <c r="AB398" s="82">
        <f t="shared" si="37"/>
        <v>60</v>
      </c>
      <c r="AC398" s="79" t="s">
        <v>2081</v>
      </c>
      <c r="AD398" s="82">
        <f t="shared" si="38"/>
        <v>0</v>
      </c>
      <c r="AE398" s="79" t="s">
        <v>2080</v>
      </c>
      <c r="AF398" s="82">
        <f t="shared" si="39"/>
        <v>0</v>
      </c>
      <c r="AG398" s="79" t="s">
        <v>2079</v>
      </c>
      <c r="AH398" s="81">
        <v>2.4</v>
      </c>
      <c r="AI398" s="65"/>
      <c r="AJ398" s="65"/>
      <c r="AK398" s="65"/>
      <c r="AL398" s="65"/>
      <c r="AM398" s="65"/>
      <c r="AN398" s="65"/>
      <c r="AO398" s="65"/>
      <c r="AP398" s="65"/>
      <c r="AQ398" s="65"/>
    </row>
    <row r="399" spans="24:43">
      <c r="X399" s="79" t="s">
        <v>10799</v>
      </c>
      <c r="Y399" s="80">
        <v>6875.25</v>
      </c>
      <c r="Z399" s="81">
        <f t="shared" si="36"/>
        <v>6875.25</v>
      </c>
      <c r="AA399" s="79" t="s">
        <v>2082</v>
      </c>
      <c r="AB399" s="82">
        <f t="shared" si="37"/>
        <v>6875</v>
      </c>
      <c r="AC399" s="79" t="s">
        <v>2081</v>
      </c>
      <c r="AD399" s="82">
        <f t="shared" si="38"/>
        <v>2</v>
      </c>
      <c r="AE399" s="79" t="s">
        <v>2080</v>
      </c>
      <c r="AF399" s="82">
        <f t="shared" si="39"/>
        <v>5</v>
      </c>
      <c r="AG399" s="79" t="s">
        <v>2079</v>
      </c>
      <c r="AH399" s="81">
        <v>275.01</v>
      </c>
      <c r="AI399" s="65"/>
      <c r="AJ399" s="65"/>
      <c r="AK399" s="65"/>
      <c r="AL399" s="65"/>
      <c r="AM399" s="65"/>
      <c r="AN399" s="65"/>
      <c r="AO399" s="65"/>
      <c r="AP399" s="65"/>
      <c r="AQ399" s="65"/>
    </row>
    <row r="400" spans="24:43">
      <c r="X400" s="79" t="s">
        <v>10800</v>
      </c>
      <c r="Y400" s="80">
        <v>112500.5</v>
      </c>
      <c r="Z400" s="81">
        <f t="shared" si="36"/>
        <v>112500.5</v>
      </c>
      <c r="AA400" s="79" t="s">
        <v>2082</v>
      </c>
      <c r="AB400" s="82">
        <f t="shared" si="37"/>
        <v>112500</v>
      </c>
      <c r="AC400" s="79" t="s">
        <v>2081</v>
      </c>
      <c r="AD400" s="82">
        <f t="shared" si="38"/>
        <v>5</v>
      </c>
      <c r="AE400" s="79" t="s">
        <v>2080</v>
      </c>
      <c r="AF400" s="82">
        <f t="shared" si="39"/>
        <v>0</v>
      </c>
      <c r="AG400" s="79" t="s">
        <v>2079</v>
      </c>
      <c r="AH400" s="81">
        <v>4500.0200000000004</v>
      </c>
      <c r="AI400" s="65"/>
      <c r="AJ400" s="65"/>
      <c r="AK400" s="65"/>
      <c r="AL400" s="65"/>
      <c r="AM400" s="65"/>
      <c r="AN400" s="65"/>
      <c r="AO400" s="65"/>
      <c r="AP400" s="65"/>
      <c r="AQ400" s="65"/>
    </row>
    <row r="401" spans="24:43">
      <c r="X401" s="79" t="s">
        <v>10801</v>
      </c>
      <c r="Y401" s="80">
        <v>112500.5</v>
      </c>
      <c r="Z401" s="81">
        <f t="shared" si="36"/>
        <v>112500.5</v>
      </c>
      <c r="AA401" s="79" t="s">
        <v>2082</v>
      </c>
      <c r="AB401" s="82">
        <f t="shared" si="37"/>
        <v>112500</v>
      </c>
      <c r="AC401" s="79" t="s">
        <v>2081</v>
      </c>
      <c r="AD401" s="82">
        <f t="shared" si="38"/>
        <v>5</v>
      </c>
      <c r="AE401" s="79" t="s">
        <v>2080</v>
      </c>
      <c r="AF401" s="82">
        <f t="shared" si="39"/>
        <v>0</v>
      </c>
      <c r="AG401" s="79" t="s">
        <v>2079</v>
      </c>
      <c r="AH401" s="81">
        <v>4500.0200000000004</v>
      </c>
      <c r="AI401" s="65"/>
      <c r="AJ401" s="65"/>
      <c r="AK401" s="65"/>
      <c r="AL401" s="65"/>
      <c r="AM401" s="65"/>
      <c r="AN401" s="65"/>
      <c r="AO401" s="65"/>
      <c r="AP401" s="65"/>
      <c r="AQ401" s="65"/>
    </row>
    <row r="402" spans="24:43">
      <c r="X402" s="79" t="s">
        <v>10802</v>
      </c>
      <c r="Y402" s="80">
        <v>91250.25</v>
      </c>
      <c r="Z402" s="81">
        <f t="shared" si="36"/>
        <v>91250.25</v>
      </c>
      <c r="AA402" s="79" t="s">
        <v>2082</v>
      </c>
      <c r="AB402" s="82">
        <f t="shared" si="37"/>
        <v>91250</v>
      </c>
      <c r="AC402" s="79" t="s">
        <v>2081</v>
      </c>
      <c r="AD402" s="82">
        <f t="shared" si="38"/>
        <v>2</v>
      </c>
      <c r="AE402" s="79" t="s">
        <v>2080</v>
      </c>
      <c r="AF402" s="82">
        <f t="shared" si="39"/>
        <v>5</v>
      </c>
      <c r="AG402" s="79" t="s">
        <v>2079</v>
      </c>
      <c r="AH402" s="81">
        <v>3650.01</v>
      </c>
      <c r="AI402" s="65"/>
      <c r="AJ402" s="65"/>
      <c r="AK402" s="65"/>
      <c r="AL402" s="65"/>
      <c r="AM402" s="65"/>
      <c r="AN402" s="65"/>
      <c r="AO402" s="65"/>
      <c r="AP402" s="65"/>
      <c r="AQ402" s="65"/>
    </row>
    <row r="403" spans="24:43">
      <c r="X403" s="79" t="s">
        <v>10803</v>
      </c>
      <c r="Y403" s="80">
        <v>1650</v>
      </c>
      <c r="Z403" s="81">
        <f t="shared" si="36"/>
        <v>1650</v>
      </c>
      <c r="AA403" s="79" t="s">
        <v>2082</v>
      </c>
      <c r="AB403" s="82">
        <f t="shared" si="37"/>
        <v>1650</v>
      </c>
      <c r="AC403" s="79" t="s">
        <v>2081</v>
      </c>
      <c r="AD403" s="82">
        <f t="shared" si="38"/>
        <v>0</v>
      </c>
      <c r="AE403" s="79" t="s">
        <v>2080</v>
      </c>
      <c r="AF403" s="82">
        <f t="shared" si="39"/>
        <v>0</v>
      </c>
      <c r="AG403" s="79" t="s">
        <v>2079</v>
      </c>
      <c r="AH403" s="81">
        <v>66</v>
      </c>
      <c r="AI403" s="65"/>
      <c r="AJ403" s="65"/>
      <c r="AK403" s="65"/>
      <c r="AL403" s="65"/>
      <c r="AM403" s="65"/>
      <c r="AN403" s="65"/>
      <c r="AO403" s="65"/>
      <c r="AP403" s="65"/>
      <c r="AQ403" s="65"/>
    </row>
    <row r="404" spans="24:43">
      <c r="X404" s="79" t="s">
        <v>10804</v>
      </c>
      <c r="Y404" s="80">
        <v>6875.25</v>
      </c>
      <c r="Z404" s="81">
        <f t="shared" si="36"/>
        <v>6875.25</v>
      </c>
      <c r="AA404" s="79" t="s">
        <v>2082</v>
      </c>
      <c r="AB404" s="82">
        <f t="shared" si="37"/>
        <v>6875</v>
      </c>
      <c r="AC404" s="79" t="s">
        <v>2081</v>
      </c>
      <c r="AD404" s="82">
        <f t="shared" si="38"/>
        <v>2</v>
      </c>
      <c r="AE404" s="79" t="s">
        <v>2080</v>
      </c>
      <c r="AF404" s="82">
        <f t="shared" si="39"/>
        <v>5</v>
      </c>
      <c r="AG404" s="79" t="s">
        <v>2079</v>
      </c>
      <c r="AH404" s="81">
        <v>275.01</v>
      </c>
      <c r="AI404" s="65"/>
      <c r="AJ404" s="65"/>
      <c r="AK404" s="65"/>
      <c r="AL404" s="65"/>
      <c r="AM404" s="65"/>
      <c r="AN404" s="65"/>
      <c r="AO404" s="65"/>
      <c r="AP404" s="65"/>
      <c r="AQ404" s="65"/>
    </row>
    <row r="405" spans="24:43">
      <c r="X405" s="79" t="s">
        <v>10805</v>
      </c>
      <c r="Y405" s="80">
        <v>325.25</v>
      </c>
      <c r="Z405" s="81">
        <f t="shared" si="36"/>
        <v>325.25</v>
      </c>
      <c r="AA405" s="79" t="s">
        <v>2082</v>
      </c>
      <c r="AB405" s="82">
        <f t="shared" si="37"/>
        <v>325</v>
      </c>
      <c r="AC405" s="79" t="s">
        <v>2081</v>
      </c>
      <c r="AD405" s="82">
        <f t="shared" si="38"/>
        <v>2</v>
      </c>
      <c r="AE405" s="79" t="s">
        <v>2080</v>
      </c>
      <c r="AF405" s="82">
        <f t="shared" si="39"/>
        <v>5</v>
      </c>
      <c r="AG405" s="79" t="s">
        <v>2079</v>
      </c>
      <c r="AH405" s="81">
        <v>13.01</v>
      </c>
      <c r="AI405" s="65"/>
      <c r="AJ405" s="65"/>
      <c r="AK405" s="65"/>
      <c r="AL405" s="65"/>
      <c r="AM405" s="65"/>
      <c r="AN405" s="65"/>
      <c r="AO405" s="65"/>
      <c r="AP405" s="65"/>
      <c r="AQ405" s="65"/>
    </row>
    <row r="406" spans="24:43">
      <c r="X406" s="79" t="s">
        <v>10806</v>
      </c>
      <c r="Y406" s="80">
        <v>6875.25</v>
      </c>
      <c r="Z406" s="81">
        <f t="shared" si="36"/>
        <v>6875.25</v>
      </c>
      <c r="AA406" s="79" t="s">
        <v>2082</v>
      </c>
      <c r="AB406" s="82">
        <f t="shared" si="37"/>
        <v>6875</v>
      </c>
      <c r="AC406" s="79" t="s">
        <v>2081</v>
      </c>
      <c r="AD406" s="82">
        <f t="shared" si="38"/>
        <v>2</v>
      </c>
      <c r="AE406" s="79" t="s">
        <v>2080</v>
      </c>
      <c r="AF406" s="82">
        <f t="shared" si="39"/>
        <v>5</v>
      </c>
      <c r="AG406" s="79" t="s">
        <v>2079</v>
      </c>
      <c r="AH406" s="81">
        <v>275.01</v>
      </c>
      <c r="AI406" s="65"/>
      <c r="AJ406" s="65"/>
      <c r="AK406" s="65"/>
      <c r="AL406" s="65"/>
      <c r="AM406" s="65"/>
      <c r="AN406" s="65"/>
      <c r="AO406" s="65"/>
      <c r="AP406" s="65"/>
      <c r="AQ406" s="65"/>
    </row>
    <row r="407" spans="24:43">
      <c r="X407" s="79" t="s">
        <v>10807</v>
      </c>
      <c r="Y407" s="80">
        <v>34000</v>
      </c>
      <c r="Z407" s="81">
        <f t="shared" si="36"/>
        <v>34000</v>
      </c>
      <c r="AA407" s="79" t="s">
        <v>2082</v>
      </c>
      <c r="AB407" s="82">
        <f t="shared" si="37"/>
        <v>34000</v>
      </c>
      <c r="AC407" s="79" t="s">
        <v>2081</v>
      </c>
      <c r="AD407" s="82">
        <f t="shared" si="38"/>
        <v>0</v>
      </c>
      <c r="AE407" s="79" t="s">
        <v>2080</v>
      </c>
      <c r="AF407" s="82">
        <f t="shared" si="39"/>
        <v>0</v>
      </c>
      <c r="AG407" s="79" t="s">
        <v>2079</v>
      </c>
      <c r="AH407" s="81">
        <v>1360</v>
      </c>
      <c r="AI407" s="65"/>
      <c r="AJ407" s="65"/>
      <c r="AK407" s="65"/>
      <c r="AL407" s="65"/>
      <c r="AM407" s="65"/>
      <c r="AN407" s="65"/>
      <c r="AO407" s="65"/>
      <c r="AP407" s="65"/>
      <c r="AQ407" s="65"/>
    </row>
    <row r="408" spans="24:43">
      <c r="X408" s="79" t="s">
        <v>10808</v>
      </c>
      <c r="Y408" s="80">
        <v>5337.625</v>
      </c>
      <c r="Z408" s="81">
        <f t="shared" si="36"/>
        <v>5337.625</v>
      </c>
      <c r="AA408" s="79" t="s">
        <v>2082</v>
      </c>
      <c r="AB408" s="82">
        <f t="shared" si="37"/>
        <v>5337</v>
      </c>
      <c r="AC408" s="79" t="s">
        <v>2081</v>
      </c>
      <c r="AD408" s="82">
        <f t="shared" si="38"/>
        <v>6</v>
      </c>
      <c r="AE408" s="79" t="s">
        <v>2080</v>
      </c>
      <c r="AF408" s="82">
        <f t="shared" si="39"/>
        <v>2.5</v>
      </c>
      <c r="AG408" s="79" t="s">
        <v>2079</v>
      </c>
      <c r="AH408" s="81">
        <v>213.5</v>
      </c>
      <c r="AI408" s="65"/>
      <c r="AJ408" s="65"/>
      <c r="AK408" s="65"/>
      <c r="AL408" s="65"/>
      <c r="AM408" s="65"/>
      <c r="AN408" s="65"/>
      <c r="AO408" s="65"/>
      <c r="AP408" s="65"/>
      <c r="AQ408" s="65"/>
    </row>
    <row r="409" spans="24:43">
      <c r="X409" s="79" t="s">
        <v>10809</v>
      </c>
      <c r="Y409" s="80">
        <v>625</v>
      </c>
      <c r="Z409" s="81">
        <f t="shared" si="36"/>
        <v>625</v>
      </c>
      <c r="AA409" s="79" t="s">
        <v>2082</v>
      </c>
      <c r="AB409" s="82">
        <f t="shared" si="37"/>
        <v>625</v>
      </c>
      <c r="AC409" s="79" t="s">
        <v>2081</v>
      </c>
      <c r="AD409" s="82">
        <f t="shared" si="38"/>
        <v>0</v>
      </c>
      <c r="AE409" s="79" t="s">
        <v>2080</v>
      </c>
      <c r="AF409" s="82">
        <f t="shared" si="39"/>
        <v>0</v>
      </c>
      <c r="AG409" s="79" t="s">
        <v>2079</v>
      </c>
      <c r="AH409" s="81">
        <v>25</v>
      </c>
      <c r="AI409" s="65"/>
      <c r="AJ409" s="65"/>
      <c r="AK409" s="65"/>
      <c r="AL409" s="65"/>
      <c r="AM409" s="65"/>
      <c r="AN409" s="65"/>
      <c r="AO409" s="65"/>
      <c r="AP409" s="65"/>
      <c r="AQ409" s="65"/>
    </row>
    <row r="410" spans="24:43">
      <c r="X410" s="79" t="s">
        <v>10810</v>
      </c>
      <c r="Y410" s="80">
        <v>6875.25</v>
      </c>
      <c r="Z410" s="81">
        <f t="shared" si="36"/>
        <v>6875.25</v>
      </c>
      <c r="AA410" s="79" t="s">
        <v>2082</v>
      </c>
      <c r="AB410" s="82">
        <f t="shared" si="37"/>
        <v>6875</v>
      </c>
      <c r="AC410" s="79" t="s">
        <v>2081</v>
      </c>
      <c r="AD410" s="82">
        <f t="shared" si="38"/>
        <v>2</v>
      </c>
      <c r="AE410" s="79" t="s">
        <v>2080</v>
      </c>
      <c r="AF410" s="82">
        <f t="shared" si="39"/>
        <v>5</v>
      </c>
      <c r="AG410" s="79" t="s">
        <v>2079</v>
      </c>
      <c r="AH410" s="81">
        <v>275.01</v>
      </c>
      <c r="AI410" s="65"/>
      <c r="AJ410" s="65"/>
      <c r="AK410" s="65"/>
      <c r="AL410" s="65"/>
      <c r="AM410" s="65"/>
      <c r="AN410" s="65"/>
      <c r="AO410" s="65"/>
      <c r="AP410" s="65"/>
      <c r="AQ410" s="65"/>
    </row>
    <row r="411" spans="24:43">
      <c r="X411" s="79" t="s">
        <v>10811</v>
      </c>
      <c r="Y411" s="80">
        <v>412.625</v>
      </c>
      <c r="Z411" s="81">
        <f t="shared" si="36"/>
        <v>412.625</v>
      </c>
      <c r="AA411" s="79" t="s">
        <v>2082</v>
      </c>
      <c r="AB411" s="82">
        <f t="shared" si="37"/>
        <v>412</v>
      </c>
      <c r="AC411" s="79" t="s">
        <v>2081</v>
      </c>
      <c r="AD411" s="82">
        <f t="shared" si="38"/>
        <v>6</v>
      </c>
      <c r="AE411" s="79" t="s">
        <v>2080</v>
      </c>
      <c r="AF411" s="82">
        <f t="shared" si="39"/>
        <v>2.5</v>
      </c>
      <c r="AG411" s="79" t="s">
        <v>2079</v>
      </c>
      <c r="AH411" s="81">
        <v>16.5</v>
      </c>
      <c r="AI411" s="65"/>
      <c r="AJ411" s="65"/>
      <c r="AK411" s="65"/>
      <c r="AL411" s="65"/>
      <c r="AM411" s="65"/>
      <c r="AN411" s="65"/>
      <c r="AO411" s="65"/>
      <c r="AP411" s="65"/>
      <c r="AQ411" s="65"/>
    </row>
    <row r="412" spans="24:43">
      <c r="X412" s="79" t="s">
        <v>10812</v>
      </c>
      <c r="Y412" s="80">
        <v>4187.625</v>
      </c>
      <c r="Z412" s="81">
        <f t="shared" si="36"/>
        <v>4187.625</v>
      </c>
      <c r="AA412" s="79" t="s">
        <v>2082</v>
      </c>
      <c r="AB412" s="82">
        <f t="shared" si="37"/>
        <v>4187</v>
      </c>
      <c r="AC412" s="79" t="s">
        <v>2081</v>
      </c>
      <c r="AD412" s="82">
        <f t="shared" si="38"/>
        <v>6</v>
      </c>
      <c r="AE412" s="79" t="s">
        <v>2080</v>
      </c>
      <c r="AF412" s="82">
        <f t="shared" si="39"/>
        <v>2.5</v>
      </c>
      <c r="AG412" s="79" t="s">
        <v>2079</v>
      </c>
      <c r="AH412" s="81">
        <v>167.5</v>
      </c>
      <c r="AI412" s="65"/>
      <c r="AJ412" s="65"/>
      <c r="AK412" s="65"/>
      <c r="AL412" s="65"/>
      <c r="AM412" s="65"/>
      <c r="AN412" s="65"/>
      <c r="AO412" s="65"/>
      <c r="AP412" s="65"/>
      <c r="AQ412" s="65"/>
    </row>
    <row r="413" spans="24:43">
      <c r="X413" s="79" t="s">
        <v>10813</v>
      </c>
      <c r="Y413" s="80">
        <v>4487.625</v>
      </c>
      <c r="Z413" s="81">
        <f t="shared" si="36"/>
        <v>4487.625</v>
      </c>
      <c r="AA413" s="79" t="s">
        <v>2082</v>
      </c>
      <c r="AB413" s="82">
        <f t="shared" si="37"/>
        <v>4487</v>
      </c>
      <c r="AC413" s="79" t="s">
        <v>2081</v>
      </c>
      <c r="AD413" s="82">
        <f t="shared" si="38"/>
        <v>6</v>
      </c>
      <c r="AE413" s="79" t="s">
        <v>2080</v>
      </c>
      <c r="AF413" s="82">
        <f t="shared" si="39"/>
        <v>2.5</v>
      </c>
      <c r="AG413" s="79" t="s">
        <v>2079</v>
      </c>
      <c r="AH413" s="81">
        <v>179.5</v>
      </c>
      <c r="AI413" s="65"/>
      <c r="AJ413" s="65"/>
      <c r="AK413" s="65"/>
      <c r="AL413" s="65"/>
      <c r="AM413" s="65"/>
      <c r="AN413" s="65"/>
      <c r="AO413" s="65"/>
      <c r="AP413" s="65"/>
      <c r="AQ413" s="65"/>
    </row>
    <row r="414" spans="24:43">
      <c r="X414" s="79" t="s">
        <v>10814</v>
      </c>
      <c r="Y414" s="80">
        <v>4087.625</v>
      </c>
      <c r="Z414" s="81">
        <f t="shared" si="36"/>
        <v>4087.625</v>
      </c>
      <c r="AA414" s="79" t="s">
        <v>2082</v>
      </c>
      <c r="AB414" s="82">
        <f t="shared" si="37"/>
        <v>4087</v>
      </c>
      <c r="AC414" s="79" t="s">
        <v>2081</v>
      </c>
      <c r="AD414" s="82">
        <f t="shared" si="38"/>
        <v>6</v>
      </c>
      <c r="AE414" s="79" t="s">
        <v>2080</v>
      </c>
      <c r="AF414" s="82">
        <f t="shared" si="39"/>
        <v>2.5</v>
      </c>
      <c r="AG414" s="79" t="s">
        <v>2079</v>
      </c>
      <c r="AH414" s="81">
        <v>163.5</v>
      </c>
      <c r="AI414" s="65"/>
      <c r="AJ414" s="65"/>
      <c r="AK414" s="65"/>
      <c r="AL414" s="65"/>
      <c r="AM414" s="65"/>
      <c r="AN414" s="65"/>
      <c r="AO414" s="65"/>
      <c r="AP414" s="65"/>
      <c r="AQ414" s="65"/>
    </row>
    <row r="415" spans="24:43">
      <c r="X415" s="79" t="s">
        <v>10815</v>
      </c>
      <c r="Y415" s="80">
        <v>55</v>
      </c>
      <c r="Z415" s="81">
        <f t="shared" si="36"/>
        <v>55</v>
      </c>
      <c r="AA415" s="79" t="s">
        <v>2082</v>
      </c>
      <c r="AB415" s="82">
        <f t="shared" si="37"/>
        <v>55</v>
      </c>
      <c r="AC415" s="79" t="s">
        <v>2081</v>
      </c>
      <c r="AD415" s="82">
        <f t="shared" si="38"/>
        <v>0</v>
      </c>
      <c r="AE415" s="79" t="s">
        <v>2080</v>
      </c>
      <c r="AF415" s="82">
        <f t="shared" si="39"/>
        <v>0</v>
      </c>
      <c r="AG415" s="79" t="s">
        <v>2079</v>
      </c>
      <c r="AH415" s="81">
        <v>2.2000000000000002</v>
      </c>
      <c r="AI415" s="65"/>
      <c r="AJ415" s="65"/>
      <c r="AK415" s="65"/>
      <c r="AL415" s="65"/>
      <c r="AM415" s="65"/>
      <c r="AN415" s="65"/>
      <c r="AO415" s="65"/>
      <c r="AP415" s="65"/>
      <c r="AQ415" s="65"/>
    </row>
    <row r="416" spans="24:43">
      <c r="X416" s="79" t="s">
        <v>10816</v>
      </c>
      <c r="Y416" s="80">
        <v>112500.5</v>
      </c>
      <c r="Z416" s="81">
        <f t="shared" si="36"/>
        <v>112500.5</v>
      </c>
      <c r="AA416" s="79" t="s">
        <v>2082</v>
      </c>
      <c r="AB416" s="82">
        <f t="shared" si="37"/>
        <v>112500</v>
      </c>
      <c r="AC416" s="79" t="s">
        <v>2081</v>
      </c>
      <c r="AD416" s="82">
        <f t="shared" si="38"/>
        <v>5</v>
      </c>
      <c r="AE416" s="79" t="s">
        <v>2080</v>
      </c>
      <c r="AF416" s="82">
        <f t="shared" si="39"/>
        <v>0</v>
      </c>
      <c r="AG416" s="79" t="s">
        <v>2079</v>
      </c>
      <c r="AH416" s="81">
        <v>4500.0200000000004</v>
      </c>
      <c r="AI416" s="65"/>
      <c r="AJ416" s="65"/>
      <c r="AK416" s="65"/>
      <c r="AL416" s="65"/>
      <c r="AM416" s="65"/>
      <c r="AN416" s="65"/>
      <c r="AO416" s="65"/>
      <c r="AP416" s="65"/>
      <c r="AQ416" s="65"/>
    </row>
    <row r="417" spans="24:43">
      <c r="X417" s="79" t="s">
        <v>10817</v>
      </c>
      <c r="Y417" s="80">
        <v>67.5</v>
      </c>
      <c r="Z417" s="81">
        <f t="shared" si="36"/>
        <v>67.5</v>
      </c>
      <c r="AA417" s="79" t="s">
        <v>2082</v>
      </c>
      <c r="AB417" s="82">
        <f t="shared" si="37"/>
        <v>67</v>
      </c>
      <c r="AC417" s="79" t="s">
        <v>2081</v>
      </c>
      <c r="AD417" s="82">
        <f t="shared" si="38"/>
        <v>5</v>
      </c>
      <c r="AE417" s="79" t="s">
        <v>2080</v>
      </c>
      <c r="AF417" s="82">
        <f t="shared" si="39"/>
        <v>0</v>
      </c>
      <c r="AG417" s="79" t="s">
        <v>2079</v>
      </c>
      <c r="AH417" s="81">
        <v>2.7</v>
      </c>
      <c r="AI417" s="65"/>
      <c r="AJ417" s="65"/>
      <c r="AK417" s="65"/>
      <c r="AL417" s="65"/>
      <c r="AM417" s="65"/>
      <c r="AN417" s="65"/>
      <c r="AO417" s="65"/>
      <c r="AP417" s="65"/>
      <c r="AQ417" s="65"/>
    </row>
    <row r="418" spans="24:43">
      <c r="X418" s="79" t="s">
        <v>10818</v>
      </c>
      <c r="Y418" s="80">
        <v>55</v>
      </c>
      <c r="Z418" s="81">
        <f t="shared" si="36"/>
        <v>55</v>
      </c>
      <c r="AA418" s="79" t="s">
        <v>2082</v>
      </c>
      <c r="AB418" s="82">
        <f t="shared" si="37"/>
        <v>55</v>
      </c>
      <c r="AC418" s="79" t="s">
        <v>2081</v>
      </c>
      <c r="AD418" s="82">
        <f t="shared" si="38"/>
        <v>0</v>
      </c>
      <c r="AE418" s="79" t="s">
        <v>2080</v>
      </c>
      <c r="AF418" s="82">
        <f t="shared" si="39"/>
        <v>0</v>
      </c>
      <c r="AG418" s="79" t="s">
        <v>2079</v>
      </c>
      <c r="AH418" s="81">
        <v>2.2000000000000002</v>
      </c>
      <c r="AI418" s="65"/>
      <c r="AJ418" s="65"/>
      <c r="AK418" s="65"/>
      <c r="AL418" s="65"/>
      <c r="AM418" s="65"/>
      <c r="AN418" s="65"/>
      <c r="AO418" s="65"/>
      <c r="AP418" s="65"/>
      <c r="AQ418" s="65"/>
    </row>
    <row r="419" spans="24:43">
      <c r="X419" s="79" t="s">
        <v>10819</v>
      </c>
      <c r="Y419" s="80">
        <v>325.25</v>
      </c>
      <c r="Z419" s="81">
        <f t="shared" si="36"/>
        <v>325.25</v>
      </c>
      <c r="AA419" s="79" t="s">
        <v>2082</v>
      </c>
      <c r="AB419" s="82">
        <f t="shared" si="37"/>
        <v>325</v>
      </c>
      <c r="AC419" s="79" t="s">
        <v>2081</v>
      </c>
      <c r="AD419" s="82">
        <f t="shared" si="38"/>
        <v>2</v>
      </c>
      <c r="AE419" s="79" t="s">
        <v>2080</v>
      </c>
      <c r="AF419" s="82">
        <f t="shared" si="39"/>
        <v>5</v>
      </c>
      <c r="AG419" s="79" t="s">
        <v>2079</v>
      </c>
      <c r="AH419" s="81">
        <v>13.01</v>
      </c>
      <c r="AI419" s="65"/>
      <c r="AJ419" s="65"/>
      <c r="AK419" s="65"/>
      <c r="AL419" s="65"/>
      <c r="AM419" s="65"/>
      <c r="AN419" s="65"/>
      <c r="AO419" s="65"/>
      <c r="AP419" s="65"/>
      <c r="AQ419" s="65"/>
    </row>
    <row r="420" spans="24:43">
      <c r="X420" s="79" t="s">
        <v>10820</v>
      </c>
      <c r="Y420" s="80">
        <v>29125.125</v>
      </c>
      <c r="Z420" s="81">
        <f t="shared" si="36"/>
        <v>29125.125</v>
      </c>
      <c r="AA420" s="79" t="s">
        <v>2082</v>
      </c>
      <c r="AB420" s="82">
        <f t="shared" si="37"/>
        <v>29125</v>
      </c>
      <c r="AC420" s="79" t="s">
        <v>2081</v>
      </c>
      <c r="AD420" s="82">
        <f t="shared" si="38"/>
        <v>1</v>
      </c>
      <c r="AE420" s="79" t="s">
        <v>2080</v>
      </c>
      <c r="AF420" s="82">
        <f t="shared" si="39"/>
        <v>2.5</v>
      </c>
      <c r="AG420" s="79" t="s">
        <v>2079</v>
      </c>
      <c r="AH420" s="81">
        <v>1165</v>
      </c>
      <c r="AI420" s="65"/>
      <c r="AJ420" s="65"/>
      <c r="AK420" s="65"/>
      <c r="AL420" s="65"/>
      <c r="AM420" s="65"/>
      <c r="AN420" s="65"/>
      <c r="AO420" s="65"/>
      <c r="AP420" s="65"/>
      <c r="AQ420" s="65"/>
    </row>
    <row r="421" spans="24:43">
      <c r="X421" s="79" t="s">
        <v>10821</v>
      </c>
      <c r="Y421" s="80">
        <v>975</v>
      </c>
      <c r="Z421" s="81">
        <f t="shared" si="36"/>
        <v>975</v>
      </c>
      <c r="AA421" s="79" t="s">
        <v>2082</v>
      </c>
      <c r="AB421" s="82">
        <f t="shared" si="37"/>
        <v>975</v>
      </c>
      <c r="AC421" s="79" t="s">
        <v>2081</v>
      </c>
      <c r="AD421" s="82">
        <f t="shared" si="38"/>
        <v>0</v>
      </c>
      <c r="AE421" s="79" t="s">
        <v>2080</v>
      </c>
      <c r="AF421" s="82">
        <f t="shared" si="39"/>
        <v>0</v>
      </c>
      <c r="AG421" s="79" t="s">
        <v>2079</v>
      </c>
      <c r="AH421" s="81">
        <v>39</v>
      </c>
      <c r="AI421" s="65"/>
      <c r="AJ421" s="65"/>
      <c r="AK421" s="65"/>
      <c r="AL421" s="65"/>
      <c r="AM421" s="65"/>
      <c r="AN421" s="65"/>
      <c r="AO421" s="65"/>
      <c r="AP421" s="65"/>
      <c r="AQ421" s="65"/>
    </row>
    <row r="422" spans="24:43">
      <c r="X422" s="79" t="s">
        <v>10822</v>
      </c>
      <c r="Y422" s="80">
        <v>512.5</v>
      </c>
      <c r="Z422" s="81">
        <f t="shared" si="36"/>
        <v>512.5</v>
      </c>
      <c r="AA422" s="79" t="s">
        <v>2082</v>
      </c>
      <c r="AB422" s="82">
        <f t="shared" si="37"/>
        <v>512</v>
      </c>
      <c r="AC422" s="79" t="s">
        <v>2081</v>
      </c>
      <c r="AD422" s="82">
        <f t="shared" si="38"/>
        <v>5</v>
      </c>
      <c r="AE422" s="79" t="s">
        <v>2080</v>
      </c>
      <c r="AF422" s="82">
        <f t="shared" si="39"/>
        <v>0</v>
      </c>
      <c r="AG422" s="79" t="s">
        <v>2079</v>
      </c>
      <c r="AH422" s="81">
        <v>20.5</v>
      </c>
      <c r="AI422" s="65"/>
      <c r="AJ422" s="65"/>
      <c r="AK422" s="65"/>
      <c r="AL422" s="65"/>
      <c r="AM422" s="65"/>
      <c r="AN422" s="65"/>
      <c r="AO422" s="65"/>
      <c r="AP422" s="65"/>
      <c r="AQ422" s="65"/>
    </row>
    <row r="423" spans="24:43">
      <c r="X423" s="79" t="s">
        <v>10823</v>
      </c>
      <c r="Y423" s="80">
        <v>965</v>
      </c>
      <c r="Z423" s="81">
        <f t="shared" si="36"/>
        <v>965</v>
      </c>
      <c r="AA423" s="79" t="s">
        <v>2082</v>
      </c>
      <c r="AB423" s="82">
        <f t="shared" si="37"/>
        <v>965</v>
      </c>
      <c r="AC423" s="79" t="s">
        <v>2081</v>
      </c>
      <c r="AD423" s="82">
        <f t="shared" si="38"/>
        <v>0</v>
      </c>
      <c r="AE423" s="79" t="s">
        <v>2080</v>
      </c>
      <c r="AF423" s="82">
        <f t="shared" si="39"/>
        <v>0</v>
      </c>
      <c r="AG423" s="79" t="s">
        <v>2079</v>
      </c>
      <c r="AH423" s="81">
        <v>38.6</v>
      </c>
      <c r="AI423" s="65"/>
      <c r="AJ423" s="65"/>
      <c r="AK423" s="65"/>
      <c r="AL423" s="65"/>
      <c r="AM423" s="65"/>
      <c r="AN423" s="65"/>
      <c r="AO423" s="65"/>
      <c r="AP423" s="65"/>
      <c r="AQ423" s="65"/>
    </row>
    <row r="424" spans="24:43">
      <c r="X424" s="79" t="s">
        <v>10824</v>
      </c>
      <c r="Y424" s="80">
        <v>1567.5</v>
      </c>
      <c r="Z424" s="81">
        <f t="shared" si="36"/>
        <v>1567.5</v>
      </c>
      <c r="AA424" s="79" t="s">
        <v>2082</v>
      </c>
      <c r="AB424" s="82">
        <f t="shared" si="37"/>
        <v>1567</v>
      </c>
      <c r="AC424" s="79" t="s">
        <v>2081</v>
      </c>
      <c r="AD424" s="82">
        <f t="shared" si="38"/>
        <v>5</v>
      </c>
      <c r="AE424" s="79" t="s">
        <v>2080</v>
      </c>
      <c r="AF424" s="82">
        <f t="shared" si="39"/>
        <v>0</v>
      </c>
      <c r="AG424" s="79" t="s">
        <v>2079</v>
      </c>
      <c r="AH424" s="81">
        <v>62.7</v>
      </c>
      <c r="AI424" s="65"/>
      <c r="AJ424" s="65"/>
      <c r="AK424" s="65"/>
      <c r="AL424" s="65"/>
      <c r="AM424" s="65"/>
      <c r="AN424" s="65"/>
      <c r="AO424" s="65"/>
      <c r="AP424" s="65"/>
      <c r="AQ424" s="65"/>
    </row>
    <row r="425" spans="24:43">
      <c r="X425" s="79" t="s">
        <v>10825</v>
      </c>
      <c r="Y425" s="80">
        <v>2250</v>
      </c>
      <c r="Z425" s="81">
        <f t="shared" si="36"/>
        <v>2250</v>
      </c>
      <c r="AA425" s="79" t="s">
        <v>2082</v>
      </c>
      <c r="AB425" s="82">
        <f t="shared" si="37"/>
        <v>2250</v>
      </c>
      <c r="AC425" s="79" t="s">
        <v>2081</v>
      </c>
      <c r="AD425" s="82">
        <f t="shared" si="38"/>
        <v>0</v>
      </c>
      <c r="AE425" s="79" t="s">
        <v>2080</v>
      </c>
      <c r="AF425" s="82">
        <f t="shared" si="39"/>
        <v>0</v>
      </c>
      <c r="AG425" s="79" t="s">
        <v>2079</v>
      </c>
      <c r="AH425" s="81">
        <v>90</v>
      </c>
      <c r="AI425" s="65"/>
      <c r="AJ425" s="65"/>
      <c r="AK425" s="65"/>
      <c r="AL425" s="65"/>
      <c r="AM425" s="65"/>
      <c r="AN425" s="65"/>
      <c r="AO425" s="65"/>
      <c r="AP425" s="65"/>
      <c r="AQ425" s="65"/>
    </row>
    <row r="426" spans="24:43">
      <c r="X426" s="79" t="s">
        <v>10826</v>
      </c>
      <c r="Y426" s="80">
        <v>3732.5</v>
      </c>
      <c r="Z426" s="81">
        <f t="shared" si="36"/>
        <v>3732.5</v>
      </c>
      <c r="AA426" s="79" t="s">
        <v>2082</v>
      </c>
      <c r="AB426" s="82">
        <f t="shared" si="37"/>
        <v>3732</v>
      </c>
      <c r="AC426" s="79" t="s">
        <v>2081</v>
      </c>
      <c r="AD426" s="82">
        <f t="shared" si="38"/>
        <v>5</v>
      </c>
      <c r="AE426" s="79" t="s">
        <v>2080</v>
      </c>
      <c r="AF426" s="82">
        <f t="shared" si="39"/>
        <v>0</v>
      </c>
      <c r="AG426" s="79" t="s">
        <v>2079</v>
      </c>
      <c r="AH426" s="81">
        <v>149.30000000000001</v>
      </c>
      <c r="AI426" s="65"/>
      <c r="AJ426" s="65"/>
      <c r="AK426" s="65"/>
      <c r="AL426" s="65"/>
      <c r="AM426" s="65"/>
      <c r="AN426" s="65"/>
      <c r="AO426" s="65"/>
      <c r="AP426" s="65"/>
      <c r="AQ426" s="65"/>
    </row>
    <row r="427" spans="24:43">
      <c r="X427" s="79" t="s">
        <v>10827</v>
      </c>
      <c r="Y427" s="80">
        <v>6015</v>
      </c>
      <c r="Z427" s="81">
        <f t="shared" si="36"/>
        <v>6015</v>
      </c>
      <c r="AA427" s="79" t="s">
        <v>2082</v>
      </c>
      <c r="AB427" s="82">
        <f t="shared" si="37"/>
        <v>6015</v>
      </c>
      <c r="AC427" s="79" t="s">
        <v>2081</v>
      </c>
      <c r="AD427" s="82">
        <f t="shared" si="38"/>
        <v>0</v>
      </c>
      <c r="AE427" s="79" t="s">
        <v>2080</v>
      </c>
      <c r="AF427" s="82">
        <f t="shared" si="39"/>
        <v>0</v>
      </c>
      <c r="AG427" s="79" t="s">
        <v>2079</v>
      </c>
      <c r="AH427" s="81">
        <v>240.6</v>
      </c>
      <c r="AI427" s="65"/>
      <c r="AJ427" s="65"/>
      <c r="AK427" s="65"/>
      <c r="AL427" s="65"/>
      <c r="AM427" s="65"/>
      <c r="AN427" s="65"/>
      <c r="AO427" s="65"/>
      <c r="AP427" s="65"/>
      <c r="AQ427" s="65"/>
    </row>
    <row r="428" spans="24:43">
      <c r="X428" s="79" t="s">
        <v>10828</v>
      </c>
      <c r="Y428" s="80">
        <v>3500</v>
      </c>
      <c r="Z428" s="81">
        <f t="shared" si="36"/>
        <v>3500</v>
      </c>
      <c r="AA428" s="79" t="s">
        <v>2082</v>
      </c>
      <c r="AB428" s="82">
        <f t="shared" si="37"/>
        <v>3500</v>
      </c>
      <c r="AC428" s="79" t="s">
        <v>2081</v>
      </c>
      <c r="AD428" s="82">
        <f t="shared" si="38"/>
        <v>0</v>
      </c>
      <c r="AE428" s="79" t="s">
        <v>2080</v>
      </c>
      <c r="AF428" s="82">
        <f t="shared" si="39"/>
        <v>0</v>
      </c>
      <c r="AG428" s="79" t="s">
        <v>2079</v>
      </c>
      <c r="AH428" s="81">
        <v>140</v>
      </c>
      <c r="AI428" s="65"/>
      <c r="AJ428" s="65"/>
      <c r="AK428" s="65"/>
      <c r="AL428" s="65"/>
      <c r="AM428" s="65"/>
      <c r="AN428" s="65"/>
      <c r="AO428" s="65"/>
      <c r="AP428" s="65"/>
      <c r="AQ428" s="65"/>
    </row>
    <row r="429" spans="24:43">
      <c r="X429" s="79" t="s">
        <v>10829</v>
      </c>
      <c r="Y429" s="80">
        <v>4500</v>
      </c>
      <c r="Z429" s="81">
        <f t="shared" si="36"/>
        <v>4500</v>
      </c>
      <c r="AA429" s="79" t="s">
        <v>2082</v>
      </c>
      <c r="AB429" s="82">
        <f t="shared" si="37"/>
        <v>4500</v>
      </c>
      <c r="AC429" s="79" t="s">
        <v>2081</v>
      </c>
      <c r="AD429" s="82">
        <f t="shared" si="38"/>
        <v>0</v>
      </c>
      <c r="AE429" s="79" t="s">
        <v>2080</v>
      </c>
      <c r="AF429" s="82">
        <f t="shared" si="39"/>
        <v>0</v>
      </c>
      <c r="AG429" s="79" t="s">
        <v>2079</v>
      </c>
      <c r="AH429" s="81">
        <v>180</v>
      </c>
      <c r="AI429" s="65"/>
      <c r="AJ429" s="65"/>
      <c r="AK429" s="65"/>
      <c r="AL429" s="65"/>
      <c r="AM429" s="65"/>
      <c r="AN429" s="65"/>
      <c r="AO429" s="65"/>
      <c r="AP429" s="65"/>
      <c r="AQ429" s="65"/>
    </row>
    <row r="430" spans="24:43">
      <c r="X430" s="79" t="s">
        <v>10830</v>
      </c>
      <c r="Y430" s="80">
        <v>18500</v>
      </c>
      <c r="Z430" s="81">
        <f t="shared" si="36"/>
        <v>18500</v>
      </c>
      <c r="AA430" s="79" t="s">
        <v>2082</v>
      </c>
      <c r="AB430" s="82">
        <f t="shared" si="37"/>
        <v>18500</v>
      </c>
      <c r="AC430" s="79" t="s">
        <v>2081</v>
      </c>
      <c r="AD430" s="82">
        <f t="shared" si="38"/>
        <v>0</v>
      </c>
      <c r="AE430" s="79" t="s">
        <v>2080</v>
      </c>
      <c r="AF430" s="82">
        <f t="shared" si="39"/>
        <v>0</v>
      </c>
      <c r="AG430" s="79" t="s">
        <v>2079</v>
      </c>
      <c r="AH430" s="81">
        <v>740</v>
      </c>
      <c r="AI430" s="65"/>
      <c r="AJ430" s="65"/>
      <c r="AK430" s="65"/>
      <c r="AL430" s="65"/>
      <c r="AM430" s="65"/>
      <c r="AN430" s="65"/>
      <c r="AO430" s="65"/>
      <c r="AP430" s="65"/>
      <c r="AQ430" s="65"/>
    </row>
    <row r="431" spans="24:43">
      <c r="X431" s="79" t="s">
        <v>10831</v>
      </c>
      <c r="Y431" s="80">
        <v>3250</v>
      </c>
      <c r="Z431" s="81">
        <f t="shared" si="36"/>
        <v>3250</v>
      </c>
      <c r="AA431" s="79" t="s">
        <v>2082</v>
      </c>
      <c r="AB431" s="82">
        <f t="shared" si="37"/>
        <v>3250</v>
      </c>
      <c r="AC431" s="79" t="s">
        <v>2081</v>
      </c>
      <c r="AD431" s="82">
        <f t="shared" si="38"/>
        <v>0</v>
      </c>
      <c r="AE431" s="79" t="s">
        <v>2080</v>
      </c>
      <c r="AF431" s="82">
        <f t="shared" si="39"/>
        <v>0</v>
      </c>
      <c r="AG431" s="79" t="s">
        <v>2079</v>
      </c>
      <c r="AH431" s="81">
        <v>130</v>
      </c>
      <c r="AI431" s="65"/>
      <c r="AJ431" s="65"/>
      <c r="AK431" s="65"/>
      <c r="AL431" s="65"/>
      <c r="AM431" s="65"/>
      <c r="AN431" s="65"/>
      <c r="AO431" s="65"/>
      <c r="AP431" s="65"/>
      <c r="AQ431" s="65"/>
    </row>
    <row r="432" spans="24:43">
      <c r="X432" s="79" t="s">
        <v>10832</v>
      </c>
      <c r="Y432" s="80">
        <v>66500</v>
      </c>
      <c r="Z432" s="81">
        <f t="shared" si="36"/>
        <v>66500</v>
      </c>
      <c r="AA432" s="79" t="s">
        <v>2082</v>
      </c>
      <c r="AB432" s="82">
        <f t="shared" si="37"/>
        <v>66500</v>
      </c>
      <c r="AC432" s="79" t="s">
        <v>2081</v>
      </c>
      <c r="AD432" s="82">
        <f t="shared" si="38"/>
        <v>0</v>
      </c>
      <c r="AE432" s="79" t="s">
        <v>2080</v>
      </c>
      <c r="AF432" s="82">
        <f t="shared" si="39"/>
        <v>0</v>
      </c>
      <c r="AG432" s="79" t="s">
        <v>2079</v>
      </c>
      <c r="AH432" s="81">
        <v>2660</v>
      </c>
      <c r="AI432" s="65"/>
      <c r="AJ432" s="65"/>
      <c r="AK432" s="65"/>
      <c r="AL432" s="65"/>
      <c r="AM432" s="65"/>
      <c r="AN432" s="65"/>
      <c r="AO432" s="65"/>
      <c r="AP432" s="65"/>
      <c r="AQ432" s="65"/>
    </row>
    <row r="433" spans="24:43">
      <c r="X433" s="79" t="s">
        <v>10833</v>
      </c>
      <c r="Y433" s="80">
        <v>50500</v>
      </c>
      <c r="Z433" s="81">
        <f t="shared" si="36"/>
        <v>50500</v>
      </c>
      <c r="AA433" s="79" t="s">
        <v>2082</v>
      </c>
      <c r="AB433" s="82">
        <f t="shared" si="37"/>
        <v>50500</v>
      </c>
      <c r="AC433" s="79" t="s">
        <v>2081</v>
      </c>
      <c r="AD433" s="82">
        <f t="shared" si="38"/>
        <v>0</v>
      </c>
      <c r="AE433" s="79" t="s">
        <v>2080</v>
      </c>
      <c r="AF433" s="82">
        <f t="shared" si="39"/>
        <v>0</v>
      </c>
      <c r="AG433" s="79" t="s">
        <v>2079</v>
      </c>
      <c r="AH433" s="81">
        <v>2020</v>
      </c>
      <c r="AI433" s="65"/>
      <c r="AJ433" s="65"/>
      <c r="AK433" s="65"/>
      <c r="AL433" s="65"/>
      <c r="AM433" s="65"/>
      <c r="AN433" s="65"/>
      <c r="AO433" s="65"/>
      <c r="AP433" s="65"/>
      <c r="AQ433" s="65"/>
    </row>
    <row r="434" spans="24:43">
      <c r="X434" s="79" t="s">
        <v>10834</v>
      </c>
      <c r="Y434" s="80">
        <v>4137.625</v>
      </c>
      <c r="Z434" s="81">
        <f t="shared" si="36"/>
        <v>4137.625</v>
      </c>
      <c r="AA434" s="79" t="s">
        <v>2082</v>
      </c>
      <c r="AB434" s="82">
        <f t="shared" si="37"/>
        <v>4137</v>
      </c>
      <c r="AC434" s="79" t="s">
        <v>2081</v>
      </c>
      <c r="AD434" s="82">
        <f t="shared" si="38"/>
        <v>6</v>
      </c>
      <c r="AE434" s="79" t="s">
        <v>2080</v>
      </c>
      <c r="AF434" s="82">
        <f t="shared" si="39"/>
        <v>2.5</v>
      </c>
      <c r="AG434" s="79" t="s">
        <v>2079</v>
      </c>
      <c r="AH434" s="81">
        <v>165.5</v>
      </c>
      <c r="AI434" s="65"/>
      <c r="AJ434" s="65"/>
      <c r="AK434" s="65"/>
      <c r="AL434" s="65"/>
      <c r="AM434" s="65"/>
      <c r="AN434" s="65"/>
      <c r="AO434" s="65"/>
      <c r="AP434" s="65"/>
      <c r="AQ434" s="65"/>
    </row>
    <row r="435" spans="24:43">
      <c r="X435" s="79" t="s">
        <v>10835</v>
      </c>
      <c r="Y435" s="80">
        <v>337.625</v>
      </c>
      <c r="Z435" s="81">
        <f t="shared" si="36"/>
        <v>337.625</v>
      </c>
      <c r="AA435" s="79" t="s">
        <v>2082</v>
      </c>
      <c r="AB435" s="82">
        <f t="shared" si="37"/>
        <v>337</v>
      </c>
      <c r="AC435" s="79" t="s">
        <v>2081</v>
      </c>
      <c r="AD435" s="82">
        <f t="shared" si="38"/>
        <v>6</v>
      </c>
      <c r="AE435" s="79" t="s">
        <v>2080</v>
      </c>
      <c r="AF435" s="82">
        <f t="shared" si="39"/>
        <v>2.5</v>
      </c>
      <c r="AG435" s="79" t="s">
        <v>2079</v>
      </c>
      <c r="AH435" s="81">
        <v>13.5</v>
      </c>
      <c r="AI435" s="65"/>
      <c r="AJ435" s="65"/>
      <c r="AK435" s="65"/>
      <c r="AL435" s="65"/>
      <c r="AM435" s="65"/>
      <c r="AN435" s="65"/>
      <c r="AO435" s="65"/>
      <c r="AP435" s="65"/>
      <c r="AQ435" s="65"/>
    </row>
    <row r="436" spans="24:43">
      <c r="X436" s="79" t="s">
        <v>10836</v>
      </c>
      <c r="Y436" s="80">
        <v>81750.25</v>
      </c>
      <c r="Z436" s="81">
        <f t="shared" si="36"/>
        <v>81750.25</v>
      </c>
      <c r="AA436" s="79" t="s">
        <v>2082</v>
      </c>
      <c r="AB436" s="82">
        <f t="shared" si="37"/>
        <v>81750</v>
      </c>
      <c r="AC436" s="79" t="s">
        <v>2081</v>
      </c>
      <c r="AD436" s="82">
        <f t="shared" si="38"/>
        <v>2</v>
      </c>
      <c r="AE436" s="79" t="s">
        <v>2080</v>
      </c>
      <c r="AF436" s="82">
        <f t="shared" si="39"/>
        <v>5</v>
      </c>
      <c r="AG436" s="79" t="s">
        <v>2079</v>
      </c>
      <c r="AH436" s="81">
        <v>3270.01</v>
      </c>
      <c r="AI436" s="65"/>
      <c r="AJ436" s="65"/>
      <c r="AK436" s="65"/>
      <c r="AL436" s="65"/>
      <c r="AM436" s="65"/>
      <c r="AN436" s="65"/>
      <c r="AO436" s="65"/>
      <c r="AP436" s="65"/>
      <c r="AQ436" s="65"/>
    </row>
    <row r="437" spans="24:43">
      <c r="X437" s="79" t="s">
        <v>10837</v>
      </c>
      <c r="Y437" s="80">
        <v>22000</v>
      </c>
      <c r="Z437" s="81">
        <f t="shared" si="36"/>
        <v>22000</v>
      </c>
      <c r="AA437" s="79" t="s">
        <v>2082</v>
      </c>
      <c r="AB437" s="82">
        <f t="shared" si="37"/>
        <v>22000</v>
      </c>
      <c r="AC437" s="79" t="s">
        <v>2081</v>
      </c>
      <c r="AD437" s="82">
        <f t="shared" si="38"/>
        <v>0</v>
      </c>
      <c r="AE437" s="79" t="s">
        <v>2080</v>
      </c>
      <c r="AF437" s="82">
        <f t="shared" si="39"/>
        <v>0</v>
      </c>
      <c r="AG437" s="79" t="s">
        <v>2079</v>
      </c>
      <c r="AH437" s="81">
        <v>880</v>
      </c>
      <c r="AI437" s="65"/>
      <c r="AJ437" s="65"/>
      <c r="AK437" s="65"/>
      <c r="AL437" s="65"/>
      <c r="AM437" s="65"/>
      <c r="AN437" s="65"/>
      <c r="AO437" s="65"/>
      <c r="AP437" s="65"/>
      <c r="AQ437" s="65"/>
    </row>
    <row r="438" spans="24:43">
      <c r="X438" s="79" t="s">
        <v>7269</v>
      </c>
      <c r="Y438" s="80">
        <v>8100</v>
      </c>
      <c r="Z438" s="81">
        <f t="shared" si="36"/>
        <v>8100</v>
      </c>
      <c r="AA438" s="79" t="s">
        <v>2082</v>
      </c>
      <c r="AB438" s="82">
        <f t="shared" si="37"/>
        <v>8100</v>
      </c>
      <c r="AC438" s="79" t="s">
        <v>2081</v>
      </c>
      <c r="AD438" s="82">
        <f t="shared" si="38"/>
        <v>0</v>
      </c>
      <c r="AE438" s="79" t="s">
        <v>2080</v>
      </c>
      <c r="AF438" s="82">
        <f t="shared" si="39"/>
        <v>0</v>
      </c>
      <c r="AG438" s="79" t="s">
        <v>2079</v>
      </c>
      <c r="AH438" s="81">
        <v>324</v>
      </c>
      <c r="AI438" s="65"/>
      <c r="AJ438" s="65"/>
      <c r="AK438" s="65"/>
      <c r="AL438" s="65"/>
      <c r="AM438" s="65"/>
      <c r="AN438" s="65"/>
      <c r="AO438" s="65"/>
      <c r="AP438" s="65"/>
      <c r="AQ438" s="65"/>
    </row>
    <row r="439" spans="24:43">
      <c r="X439" s="79" t="s">
        <v>10838</v>
      </c>
      <c r="Y439" s="80">
        <v>8250</v>
      </c>
      <c r="Z439" s="81">
        <f t="shared" si="36"/>
        <v>8250</v>
      </c>
      <c r="AA439" s="79" t="s">
        <v>2082</v>
      </c>
      <c r="AB439" s="82">
        <f t="shared" si="37"/>
        <v>8250</v>
      </c>
      <c r="AC439" s="79" t="s">
        <v>2081</v>
      </c>
      <c r="AD439" s="82">
        <f t="shared" si="38"/>
        <v>0</v>
      </c>
      <c r="AE439" s="79" t="s">
        <v>2080</v>
      </c>
      <c r="AF439" s="82">
        <f t="shared" si="39"/>
        <v>0</v>
      </c>
      <c r="AG439" s="79" t="s">
        <v>2079</v>
      </c>
      <c r="AH439" s="81">
        <v>330</v>
      </c>
      <c r="AI439" s="65"/>
      <c r="AJ439" s="65"/>
      <c r="AK439" s="65"/>
      <c r="AL439" s="65"/>
      <c r="AM439" s="65"/>
      <c r="AN439" s="65"/>
      <c r="AO439" s="65"/>
      <c r="AP439" s="65"/>
      <c r="AQ439" s="65"/>
    </row>
    <row r="440" spans="24:43">
      <c r="X440" s="79" t="s">
        <v>10839</v>
      </c>
      <c r="Y440" s="80">
        <v>69750.25</v>
      </c>
      <c r="Z440" s="81">
        <f t="shared" si="36"/>
        <v>69750.25</v>
      </c>
      <c r="AA440" s="79" t="s">
        <v>2082</v>
      </c>
      <c r="AB440" s="82">
        <f t="shared" si="37"/>
        <v>69750</v>
      </c>
      <c r="AC440" s="79" t="s">
        <v>2081</v>
      </c>
      <c r="AD440" s="82">
        <f t="shared" si="38"/>
        <v>2</v>
      </c>
      <c r="AE440" s="79" t="s">
        <v>2080</v>
      </c>
      <c r="AF440" s="82">
        <f t="shared" si="39"/>
        <v>5</v>
      </c>
      <c r="AG440" s="79" t="s">
        <v>2079</v>
      </c>
      <c r="AH440" s="81">
        <v>2790.01</v>
      </c>
      <c r="AI440" s="65"/>
      <c r="AJ440" s="65"/>
      <c r="AK440" s="65"/>
      <c r="AL440" s="65"/>
      <c r="AM440" s="65"/>
      <c r="AN440" s="65"/>
      <c r="AO440" s="65"/>
      <c r="AP440" s="65"/>
      <c r="AQ440" s="65"/>
    </row>
    <row r="441" spans="24:43">
      <c r="X441" s="79" t="s">
        <v>10840</v>
      </c>
      <c r="Y441" s="80">
        <v>1960</v>
      </c>
      <c r="Z441" s="81">
        <f t="shared" si="36"/>
        <v>1960</v>
      </c>
      <c r="AA441" s="79" t="s">
        <v>2082</v>
      </c>
      <c r="AB441" s="82">
        <f t="shared" si="37"/>
        <v>1960</v>
      </c>
      <c r="AC441" s="79" t="s">
        <v>2081</v>
      </c>
      <c r="AD441" s="82">
        <f t="shared" si="38"/>
        <v>0</v>
      </c>
      <c r="AE441" s="79" t="s">
        <v>2080</v>
      </c>
      <c r="AF441" s="82">
        <f t="shared" si="39"/>
        <v>0</v>
      </c>
      <c r="AG441" s="79" t="s">
        <v>2079</v>
      </c>
      <c r="AH441" s="81">
        <v>78.400000000000006</v>
      </c>
      <c r="AI441" s="65"/>
      <c r="AJ441" s="65"/>
      <c r="AK441" s="65"/>
      <c r="AL441" s="65"/>
      <c r="AM441" s="65"/>
      <c r="AN441" s="65"/>
      <c r="AO441" s="65"/>
      <c r="AP441" s="65"/>
      <c r="AQ441" s="65"/>
    </row>
    <row r="442" spans="24:43">
      <c r="X442" s="79" t="s">
        <v>10841</v>
      </c>
      <c r="Y442" s="80">
        <v>2700</v>
      </c>
      <c r="Z442" s="81">
        <f t="shared" si="36"/>
        <v>2700</v>
      </c>
      <c r="AA442" s="79" t="s">
        <v>2082</v>
      </c>
      <c r="AB442" s="82">
        <f t="shared" si="37"/>
        <v>2700</v>
      </c>
      <c r="AC442" s="79" t="s">
        <v>2081</v>
      </c>
      <c r="AD442" s="82">
        <f t="shared" si="38"/>
        <v>0</v>
      </c>
      <c r="AE442" s="79" t="s">
        <v>2080</v>
      </c>
      <c r="AF442" s="82">
        <f t="shared" si="39"/>
        <v>0</v>
      </c>
      <c r="AG442" s="79" t="s">
        <v>2079</v>
      </c>
      <c r="AH442" s="81">
        <v>108</v>
      </c>
      <c r="AI442" s="65"/>
      <c r="AJ442" s="65"/>
      <c r="AK442" s="65"/>
      <c r="AL442" s="65"/>
      <c r="AM442" s="65"/>
      <c r="AN442" s="65"/>
      <c r="AO442" s="65"/>
      <c r="AP442" s="65"/>
      <c r="AQ442" s="65"/>
    </row>
    <row r="443" spans="24:43">
      <c r="X443" s="79" t="s">
        <v>10842</v>
      </c>
      <c r="Y443" s="80">
        <v>365</v>
      </c>
      <c r="Z443" s="81">
        <f t="shared" si="36"/>
        <v>365</v>
      </c>
      <c r="AA443" s="79" t="s">
        <v>2082</v>
      </c>
      <c r="AB443" s="82">
        <f t="shared" si="37"/>
        <v>365</v>
      </c>
      <c r="AC443" s="79" t="s">
        <v>2081</v>
      </c>
      <c r="AD443" s="82">
        <f t="shared" si="38"/>
        <v>0</v>
      </c>
      <c r="AE443" s="79" t="s">
        <v>2080</v>
      </c>
      <c r="AF443" s="82">
        <f t="shared" si="39"/>
        <v>0</v>
      </c>
      <c r="AG443" s="79" t="s">
        <v>2079</v>
      </c>
      <c r="AH443" s="81">
        <v>14.6</v>
      </c>
      <c r="AI443" s="65"/>
      <c r="AJ443" s="65"/>
      <c r="AK443" s="65"/>
      <c r="AL443" s="65"/>
      <c r="AM443" s="65"/>
      <c r="AN443" s="65"/>
      <c r="AO443" s="65"/>
      <c r="AP443" s="65"/>
      <c r="AQ443" s="65"/>
    </row>
    <row r="444" spans="24:43">
      <c r="X444" s="79" t="s">
        <v>10843</v>
      </c>
      <c r="Y444" s="80">
        <v>5187.625</v>
      </c>
      <c r="Z444" s="81">
        <f t="shared" si="36"/>
        <v>5187.625</v>
      </c>
      <c r="AA444" s="79" t="s">
        <v>2082</v>
      </c>
      <c r="AB444" s="82">
        <f t="shared" si="37"/>
        <v>5187</v>
      </c>
      <c r="AC444" s="79" t="s">
        <v>2081</v>
      </c>
      <c r="AD444" s="82">
        <f t="shared" si="38"/>
        <v>6</v>
      </c>
      <c r="AE444" s="79" t="s">
        <v>2080</v>
      </c>
      <c r="AF444" s="82">
        <f t="shared" si="39"/>
        <v>2.5</v>
      </c>
      <c r="AG444" s="79" t="s">
        <v>2079</v>
      </c>
      <c r="AH444" s="81">
        <v>207.5</v>
      </c>
      <c r="AI444" s="65"/>
      <c r="AJ444" s="65"/>
      <c r="AK444" s="65"/>
      <c r="AL444" s="65"/>
      <c r="AM444" s="65"/>
      <c r="AN444" s="65"/>
      <c r="AO444" s="65"/>
      <c r="AP444" s="65"/>
      <c r="AQ444" s="65"/>
    </row>
    <row r="445" spans="24:43">
      <c r="X445" s="79" t="s">
        <v>10844</v>
      </c>
      <c r="Y445" s="80">
        <v>55</v>
      </c>
      <c r="Z445" s="81">
        <f t="shared" si="36"/>
        <v>55</v>
      </c>
      <c r="AA445" s="79" t="s">
        <v>2082</v>
      </c>
      <c r="AB445" s="82">
        <f t="shared" si="37"/>
        <v>55</v>
      </c>
      <c r="AC445" s="79" t="s">
        <v>2081</v>
      </c>
      <c r="AD445" s="82">
        <f t="shared" si="38"/>
        <v>0</v>
      </c>
      <c r="AE445" s="79" t="s">
        <v>2080</v>
      </c>
      <c r="AF445" s="82">
        <f t="shared" si="39"/>
        <v>0</v>
      </c>
      <c r="AG445" s="79" t="s">
        <v>2079</v>
      </c>
      <c r="AH445" s="81">
        <v>2.2000000000000002</v>
      </c>
      <c r="AI445" s="65"/>
      <c r="AJ445" s="65"/>
      <c r="AK445" s="65"/>
      <c r="AL445" s="65"/>
      <c r="AM445" s="65"/>
      <c r="AN445" s="65"/>
      <c r="AO445" s="65"/>
      <c r="AP445" s="65"/>
      <c r="AQ445" s="65"/>
    </row>
    <row r="446" spans="24:43">
      <c r="X446" s="79" t="s">
        <v>10845</v>
      </c>
      <c r="Y446" s="80">
        <v>60</v>
      </c>
      <c r="Z446" s="81">
        <f t="shared" si="36"/>
        <v>60</v>
      </c>
      <c r="AA446" s="79" t="s">
        <v>2082</v>
      </c>
      <c r="AB446" s="82">
        <f t="shared" si="37"/>
        <v>60</v>
      </c>
      <c r="AC446" s="79" t="s">
        <v>2081</v>
      </c>
      <c r="AD446" s="82">
        <f t="shared" si="38"/>
        <v>0</v>
      </c>
      <c r="AE446" s="79" t="s">
        <v>2080</v>
      </c>
      <c r="AF446" s="82">
        <f t="shared" si="39"/>
        <v>0</v>
      </c>
      <c r="AG446" s="79" t="s">
        <v>2079</v>
      </c>
      <c r="AH446" s="81">
        <v>2.4</v>
      </c>
      <c r="AI446" s="65"/>
      <c r="AJ446" s="65"/>
      <c r="AK446" s="65"/>
      <c r="AL446" s="65"/>
      <c r="AM446" s="65"/>
      <c r="AN446" s="65"/>
      <c r="AO446" s="65"/>
      <c r="AP446" s="65"/>
      <c r="AQ446" s="65"/>
    </row>
    <row r="447" spans="24:43">
      <c r="X447" s="79" t="s">
        <v>10846</v>
      </c>
      <c r="Y447" s="80">
        <v>70</v>
      </c>
      <c r="Z447" s="81">
        <f t="shared" si="36"/>
        <v>70</v>
      </c>
      <c r="AA447" s="79" t="s">
        <v>2082</v>
      </c>
      <c r="AB447" s="82">
        <f t="shared" si="37"/>
        <v>70</v>
      </c>
      <c r="AC447" s="79" t="s">
        <v>2081</v>
      </c>
      <c r="AD447" s="82">
        <f t="shared" si="38"/>
        <v>0</v>
      </c>
      <c r="AE447" s="79" t="s">
        <v>2080</v>
      </c>
      <c r="AF447" s="82">
        <f t="shared" si="39"/>
        <v>0</v>
      </c>
      <c r="AG447" s="79" t="s">
        <v>2079</v>
      </c>
      <c r="AH447" s="81">
        <v>2.8000000000000003</v>
      </c>
      <c r="AI447" s="65"/>
      <c r="AJ447" s="65"/>
      <c r="AK447" s="65"/>
      <c r="AL447" s="65"/>
      <c r="AM447" s="65"/>
      <c r="AN447" s="65"/>
      <c r="AO447" s="65"/>
      <c r="AP447" s="65"/>
      <c r="AQ447" s="65"/>
    </row>
    <row r="448" spans="24:43">
      <c r="X448" s="79" t="s">
        <v>10846</v>
      </c>
      <c r="Y448" s="80">
        <v>70</v>
      </c>
      <c r="Z448" s="81">
        <f t="shared" si="36"/>
        <v>70</v>
      </c>
      <c r="AA448" s="79" t="s">
        <v>2082</v>
      </c>
      <c r="AB448" s="82">
        <f t="shared" si="37"/>
        <v>70</v>
      </c>
      <c r="AC448" s="79" t="s">
        <v>2081</v>
      </c>
      <c r="AD448" s="82">
        <f t="shared" si="38"/>
        <v>0</v>
      </c>
      <c r="AE448" s="79" t="s">
        <v>2080</v>
      </c>
      <c r="AF448" s="82">
        <f t="shared" si="39"/>
        <v>0</v>
      </c>
      <c r="AG448" s="79" t="s">
        <v>2079</v>
      </c>
      <c r="AH448" s="81">
        <v>2.8000000000000003</v>
      </c>
      <c r="AI448" s="65"/>
      <c r="AJ448" s="65"/>
      <c r="AK448" s="65"/>
      <c r="AL448" s="65"/>
      <c r="AM448" s="65"/>
      <c r="AN448" s="65"/>
      <c r="AO448" s="65"/>
      <c r="AP448" s="65"/>
      <c r="AQ448" s="65"/>
    </row>
    <row r="449" spans="24:43">
      <c r="X449" s="79" t="s">
        <v>10847</v>
      </c>
      <c r="Y449" s="80">
        <v>4787.625</v>
      </c>
      <c r="Z449" s="81">
        <f t="shared" si="36"/>
        <v>4787.625</v>
      </c>
      <c r="AA449" s="79" t="s">
        <v>2082</v>
      </c>
      <c r="AB449" s="82">
        <f t="shared" si="37"/>
        <v>4787</v>
      </c>
      <c r="AC449" s="79" t="s">
        <v>2081</v>
      </c>
      <c r="AD449" s="82">
        <f t="shared" si="38"/>
        <v>6</v>
      </c>
      <c r="AE449" s="79" t="s">
        <v>2080</v>
      </c>
      <c r="AF449" s="82">
        <f t="shared" si="39"/>
        <v>2.5</v>
      </c>
      <c r="AG449" s="79" t="s">
        <v>2079</v>
      </c>
      <c r="AH449" s="81">
        <v>191.5</v>
      </c>
      <c r="AI449" s="65"/>
      <c r="AJ449" s="65"/>
      <c r="AK449" s="65"/>
      <c r="AL449" s="65"/>
      <c r="AM449" s="65"/>
      <c r="AN449" s="65"/>
      <c r="AO449" s="65"/>
      <c r="AP449" s="65"/>
      <c r="AQ449" s="65"/>
    </row>
    <row r="450" spans="24:43">
      <c r="X450" s="79" t="s">
        <v>10848</v>
      </c>
      <c r="Y450" s="80">
        <v>31125.125</v>
      </c>
      <c r="Z450" s="81">
        <f t="shared" si="36"/>
        <v>31125.125</v>
      </c>
      <c r="AA450" s="79" t="s">
        <v>2082</v>
      </c>
      <c r="AB450" s="82">
        <f t="shared" si="37"/>
        <v>31125</v>
      </c>
      <c r="AC450" s="79" t="s">
        <v>2081</v>
      </c>
      <c r="AD450" s="82">
        <f t="shared" si="38"/>
        <v>1</v>
      </c>
      <c r="AE450" s="79" t="s">
        <v>2080</v>
      </c>
      <c r="AF450" s="82">
        <f t="shared" si="39"/>
        <v>2.5</v>
      </c>
      <c r="AG450" s="79" t="s">
        <v>2079</v>
      </c>
      <c r="AH450" s="81">
        <v>1245</v>
      </c>
      <c r="AI450" s="65"/>
      <c r="AJ450" s="65"/>
      <c r="AK450" s="65"/>
      <c r="AL450" s="65"/>
      <c r="AM450" s="65"/>
      <c r="AN450" s="65"/>
      <c r="AO450" s="65"/>
      <c r="AP450" s="65"/>
      <c r="AQ450" s="65"/>
    </row>
    <row r="451" spans="24:43">
      <c r="X451" s="79" t="s">
        <v>10849</v>
      </c>
      <c r="Y451" s="80">
        <v>55</v>
      </c>
      <c r="Z451" s="81">
        <f t="shared" ref="Z451:Z514" si="40">Y451*$AK$6*$AK$11</f>
        <v>55</v>
      </c>
      <c r="AA451" s="79" t="s">
        <v>2082</v>
      </c>
      <c r="AB451" s="82">
        <f t="shared" ref="AB451:AB514" si="41">_xlfn.FLOOR.MATH(Z451,1)</f>
        <v>55</v>
      </c>
      <c r="AC451" s="79" t="s">
        <v>2081</v>
      </c>
      <c r="AD451" s="82">
        <f t="shared" ref="AD451:AD514" si="42">_xlfn.FLOOR.MATH(((Z451-AB451)*10), 1)</f>
        <v>0</v>
      </c>
      <c r="AE451" s="79" t="s">
        <v>2080</v>
      </c>
      <c r="AF451" s="82">
        <f t="shared" ref="AF451:AF514" si="43">((Z451-AB451)*10-AD451)*10</f>
        <v>0</v>
      </c>
      <c r="AG451" s="79" t="s">
        <v>2079</v>
      </c>
      <c r="AH451" s="81">
        <v>2.2000000000000002</v>
      </c>
      <c r="AI451" s="65"/>
      <c r="AJ451" s="65"/>
      <c r="AK451" s="65"/>
      <c r="AL451" s="65"/>
      <c r="AM451" s="65"/>
      <c r="AN451" s="65"/>
      <c r="AO451" s="65"/>
      <c r="AP451" s="65"/>
      <c r="AQ451" s="65"/>
    </row>
    <row r="452" spans="24:43">
      <c r="X452" s="79" t="s">
        <v>10850</v>
      </c>
      <c r="Y452" s="80">
        <v>86250.25</v>
      </c>
      <c r="Z452" s="81">
        <f t="shared" si="40"/>
        <v>86250.25</v>
      </c>
      <c r="AA452" s="79" t="s">
        <v>2082</v>
      </c>
      <c r="AB452" s="82">
        <f t="shared" si="41"/>
        <v>86250</v>
      </c>
      <c r="AC452" s="79" t="s">
        <v>2081</v>
      </c>
      <c r="AD452" s="82">
        <f t="shared" si="42"/>
        <v>2</v>
      </c>
      <c r="AE452" s="79" t="s">
        <v>2080</v>
      </c>
      <c r="AF452" s="82">
        <f t="shared" si="43"/>
        <v>5</v>
      </c>
      <c r="AG452" s="79" t="s">
        <v>2079</v>
      </c>
      <c r="AH452" s="81">
        <v>3450.01</v>
      </c>
      <c r="AI452" s="65"/>
      <c r="AJ452" s="65"/>
      <c r="AK452" s="65"/>
      <c r="AL452" s="65"/>
      <c r="AM452" s="65"/>
      <c r="AN452" s="65"/>
      <c r="AO452" s="65"/>
      <c r="AP452" s="65"/>
      <c r="AQ452" s="65"/>
    </row>
    <row r="453" spans="24:43">
      <c r="X453" s="79" t="s">
        <v>10851</v>
      </c>
      <c r="Y453" s="80">
        <v>6875.25</v>
      </c>
      <c r="Z453" s="81">
        <f t="shared" si="40"/>
        <v>6875.25</v>
      </c>
      <c r="AA453" s="79" t="s">
        <v>2082</v>
      </c>
      <c r="AB453" s="82">
        <f t="shared" si="41"/>
        <v>6875</v>
      </c>
      <c r="AC453" s="79" t="s">
        <v>2081</v>
      </c>
      <c r="AD453" s="82">
        <f t="shared" si="42"/>
        <v>2</v>
      </c>
      <c r="AE453" s="79" t="s">
        <v>2080</v>
      </c>
      <c r="AF453" s="82">
        <f t="shared" si="43"/>
        <v>5</v>
      </c>
      <c r="AG453" s="79" t="s">
        <v>2079</v>
      </c>
      <c r="AH453" s="81">
        <v>275.01</v>
      </c>
      <c r="AI453" s="65"/>
      <c r="AJ453" s="65"/>
      <c r="AK453" s="65"/>
      <c r="AL453" s="65"/>
      <c r="AM453" s="65"/>
      <c r="AN453" s="65"/>
      <c r="AO453" s="65"/>
      <c r="AP453" s="65"/>
      <c r="AQ453" s="65"/>
    </row>
    <row r="454" spans="24:43">
      <c r="X454" s="79" t="s">
        <v>10852</v>
      </c>
      <c r="Y454" s="80">
        <v>337.625</v>
      </c>
      <c r="Z454" s="81">
        <f t="shared" si="40"/>
        <v>337.625</v>
      </c>
      <c r="AA454" s="79" t="s">
        <v>2082</v>
      </c>
      <c r="AB454" s="82">
        <f t="shared" si="41"/>
        <v>337</v>
      </c>
      <c r="AC454" s="79" t="s">
        <v>2081</v>
      </c>
      <c r="AD454" s="82">
        <f t="shared" si="42"/>
        <v>6</v>
      </c>
      <c r="AE454" s="79" t="s">
        <v>2080</v>
      </c>
      <c r="AF454" s="82">
        <f t="shared" si="43"/>
        <v>2.5</v>
      </c>
      <c r="AG454" s="79" t="s">
        <v>2079</v>
      </c>
      <c r="AH454" s="81">
        <v>13.5</v>
      </c>
      <c r="AI454" s="65"/>
      <c r="AJ454" s="65"/>
      <c r="AK454" s="65"/>
      <c r="AL454" s="65"/>
      <c r="AM454" s="65"/>
      <c r="AN454" s="65"/>
      <c r="AO454" s="65"/>
      <c r="AP454" s="65"/>
      <c r="AQ454" s="65"/>
    </row>
    <row r="455" spans="24:43">
      <c r="X455" s="79" t="s">
        <v>10853</v>
      </c>
      <c r="Y455" s="80">
        <v>4187.625</v>
      </c>
      <c r="Z455" s="81">
        <f t="shared" si="40"/>
        <v>4187.625</v>
      </c>
      <c r="AA455" s="79" t="s">
        <v>2082</v>
      </c>
      <c r="AB455" s="82">
        <f t="shared" si="41"/>
        <v>4187</v>
      </c>
      <c r="AC455" s="79" t="s">
        <v>2081</v>
      </c>
      <c r="AD455" s="82">
        <f t="shared" si="42"/>
        <v>6</v>
      </c>
      <c r="AE455" s="79" t="s">
        <v>2080</v>
      </c>
      <c r="AF455" s="82">
        <f t="shared" si="43"/>
        <v>2.5</v>
      </c>
      <c r="AG455" s="79" t="s">
        <v>2079</v>
      </c>
      <c r="AH455" s="81">
        <v>167.5</v>
      </c>
      <c r="AI455" s="65"/>
      <c r="AJ455" s="65"/>
      <c r="AK455" s="65"/>
      <c r="AL455" s="65"/>
      <c r="AM455" s="65"/>
      <c r="AN455" s="65"/>
      <c r="AO455" s="65"/>
      <c r="AP455" s="65"/>
      <c r="AQ455" s="65"/>
    </row>
    <row r="456" spans="24:43">
      <c r="X456" s="79" t="s">
        <v>10854</v>
      </c>
      <c r="Y456" s="80">
        <v>3200</v>
      </c>
      <c r="Z456" s="81">
        <f t="shared" si="40"/>
        <v>3200</v>
      </c>
      <c r="AA456" s="79" t="s">
        <v>2082</v>
      </c>
      <c r="AB456" s="82">
        <f t="shared" si="41"/>
        <v>3200</v>
      </c>
      <c r="AC456" s="79" t="s">
        <v>2081</v>
      </c>
      <c r="AD456" s="82">
        <f t="shared" si="42"/>
        <v>0</v>
      </c>
      <c r="AE456" s="79" t="s">
        <v>2080</v>
      </c>
      <c r="AF456" s="82">
        <f t="shared" si="43"/>
        <v>0</v>
      </c>
      <c r="AG456" s="79" t="s">
        <v>2079</v>
      </c>
      <c r="AH456" s="81">
        <v>128</v>
      </c>
      <c r="AI456" s="65"/>
      <c r="AJ456" s="65"/>
      <c r="AK456" s="65"/>
      <c r="AL456" s="65"/>
      <c r="AM456" s="65"/>
      <c r="AN456" s="65"/>
      <c r="AO456" s="65"/>
      <c r="AP456" s="65"/>
      <c r="AQ456" s="65"/>
    </row>
    <row r="457" spans="24:43">
      <c r="X457" s="79" t="s">
        <v>10855</v>
      </c>
      <c r="Y457" s="80">
        <v>22125.125</v>
      </c>
      <c r="Z457" s="81">
        <f t="shared" si="40"/>
        <v>22125.125</v>
      </c>
      <c r="AA457" s="79" t="s">
        <v>2082</v>
      </c>
      <c r="AB457" s="82">
        <f t="shared" si="41"/>
        <v>22125</v>
      </c>
      <c r="AC457" s="79" t="s">
        <v>2081</v>
      </c>
      <c r="AD457" s="82">
        <f t="shared" si="42"/>
        <v>1</v>
      </c>
      <c r="AE457" s="79" t="s">
        <v>2080</v>
      </c>
      <c r="AF457" s="82">
        <f t="shared" si="43"/>
        <v>2.5</v>
      </c>
      <c r="AG457" s="79" t="s">
        <v>2079</v>
      </c>
      <c r="AH457" s="81">
        <v>885</v>
      </c>
      <c r="AI457" s="65"/>
      <c r="AJ457" s="65"/>
      <c r="AK457" s="65"/>
      <c r="AL457" s="65"/>
      <c r="AM457" s="65"/>
      <c r="AN457" s="65"/>
      <c r="AO457" s="65"/>
      <c r="AP457" s="65"/>
      <c r="AQ457" s="65"/>
    </row>
    <row r="458" spans="24:43">
      <c r="X458" s="79" t="s">
        <v>10856</v>
      </c>
      <c r="Y458" s="80">
        <v>18625.125</v>
      </c>
      <c r="Z458" s="81">
        <f t="shared" si="40"/>
        <v>18625.125</v>
      </c>
      <c r="AA458" s="79" t="s">
        <v>2082</v>
      </c>
      <c r="AB458" s="82">
        <f t="shared" si="41"/>
        <v>18625</v>
      </c>
      <c r="AC458" s="79" t="s">
        <v>2081</v>
      </c>
      <c r="AD458" s="82">
        <f t="shared" si="42"/>
        <v>1</v>
      </c>
      <c r="AE458" s="79" t="s">
        <v>2080</v>
      </c>
      <c r="AF458" s="82">
        <f t="shared" si="43"/>
        <v>2.5</v>
      </c>
      <c r="AG458" s="79" t="s">
        <v>2079</v>
      </c>
      <c r="AH458" s="81">
        <v>745</v>
      </c>
      <c r="AI458" s="65"/>
      <c r="AJ458" s="65"/>
      <c r="AK458" s="65"/>
      <c r="AL458" s="65"/>
      <c r="AM458" s="65"/>
      <c r="AN458" s="65"/>
      <c r="AO458" s="65"/>
      <c r="AP458" s="65"/>
      <c r="AQ458" s="65"/>
    </row>
    <row r="459" spans="24:43">
      <c r="X459" s="79" t="s">
        <v>10857</v>
      </c>
      <c r="Y459" s="80">
        <v>67.5</v>
      </c>
      <c r="Z459" s="81">
        <f t="shared" si="40"/>
        <v>67.5</v>
      </c>
      <c r="AA459" s="79" t="s">
        <v>2082</v>
      </c>
      <c r="AB459" s="82">
        <f t="shared" si="41"/>
        <v>67</v>
      </c>
      <c r="AC459" s="79" t="s">
        <v>2081</v>
      </c>
      <c r="AD459" s="82">
        <f t="shared" si="42"/>
        <v>5</v>
      </c>
      <c r="AE459" s="79" t="s">
        <v>2080</v>
      </c>
      <c r="AF459" s="82">
        <f t="shared" si="43"/>
        <v>0</v>
      </c>
      <c r="AG459" s="79" t="s">
        <v>2079</v>
      </c>
      <c r="AH459" s="81">
        <v>2.7</v>
      </c>
      <c r="AI459" s="65"/>
      <c r="AJ459" s="65"/>
      <c r="AK459" s="65"/>
      <c r="AL459" s="65"/>
      <c r="AM459" s="65"/>
      <c r="AN459" s="65"/>
      <c r="AO459" s="65"/>
      <c r="AP459" s="65"/>
      <c r="AQ459" s="65"/>
    </row>
    <row r="460" spans="24:43">
      <c r="X460" s="79" t="s">
        <v>10858</v>
      </c>
      <c r="Y460" s="80">
        <v>2625</v>
      </c>
      <c r="Z460" s="81">
        <f t="shared" si="40"/>
        <v>2625</v>
      </c>
      <c r="AA460" s="79" t="s">
        <v>2082</v>
      </c>
      <c r="AB460" s="82">
        <f t="shared" si="41"/>
        <v>2625</v>
      </c>
      <c r="AC460" s="79" t="s">
        <v>2081</v>
      </c>
      <c r="AD460" s="82">
        <f t="shared" si="42"/>
        <v>0</v>
      </c>
      <c r="AE460" s="79" t="s">
        <v>2080</v>
      </c>
      <c r="AF460" s="82">
        <f t="shared" si="43"/>
        <v>0</v>
      </c>
      <c r="AG460" s="79" t="s">
        <v>2079</v>
      </c>
      <c r="AH460" s="81">
        <v>105</v>
      </c>
      <c r="AI460" s="65"/>
      <c r="AJ460" s="65"/>
      <c r="AK460" s="65"/>
      <c r="AL460" s="65"/>
      <c r="AM460" s="65"/>
      <c r="AN460" s="65"/>
      <c r="AO460" s="65"/>
      <c r="AP460" s="65"/>
      <c r="AQ460" s="65"/>
    </row>
    <row r="461" spans="24:43">
      <c r="X461" s="79" t="s">
        <v>10859</v>
      </c>
      <c r="Y461" s="80">
        <v>4850</v>
      </c>
      <c r="Z461" s="81">
        <f t="shared" si="40"/>
        <v>4850</v>
      </c>
      <c r="AA461" s="79" t="s">
        <v>2082</v>
      </c>
      <c r="AB461" s="82">
        <f t="shared" si="41"/>
        <v>4850</v>
      </c>
      <c r="AC461" s="79" t="s">
        <v>2081</v>
      </c>
      <c r="AD461" s="82">
        <f t="shared" si="42"/>
        <v>0</v>
      </c>
      <c r="AE461" s="79" t="s">
        <v>2080</v>
      </c>
      <c r="AF461" s="82">
        <f t="shared" si="43"/>
        <v>0</v>
      </c>
      <c r="AG461" s="79" t="s">
        <v>2079</v>
      </c>
      <c r="AH461" s="81">
        <v>194</v>
      </c>
      <c r="AI461" s="65"/>
      <c r="AJ461" s="65"/>
      <c r="AK461" s="65"/>
      <c r="AL461" s="65"/>
      <c r="AM461" s="65"/>
      <c r="AN461" s="65"/>
      <c r="AO461" s="65"/>
      <c r="AP461" s="65"/>
      <c r="AQ461" s="65"/>
    </row>
    <row r="462" spans="24:43">
      <c r="X462" s="79" t="s">
        <v>10860</v>
      </c>
      <c r="Y462" s="80">
        <v>2687.5</v>
      </c>
      <c r="Z462" s="81">
        <f t="shared" si="40"/>
        <v>2687.5</v>
      </c>
      <c r="AA462" s="79" t="s">
        <v>2082</v>
      </c>
      <c r="AB462" s="82">
        <f t="shared" si="41"/>
        <v>2687</v>
      </c>
      <c r="AC462" s="79" t="s">
        <v>2081</v>
      </c>
      <c r="AD462" s="82">
        <f t="shared" si="42"/>
        <v>5</v>
      </c>
      <c r="AE462" s="79" t="s">
        <v>2080</v>
      </c>
      <c r="AF462" s="82">
        <f t="shared" si="43"/>
        <v>0</v>
      </c>
      <c r="AG462" s="79" t="s">
        <v>2079</v>
      </c>
      <c r="AH462" s="81">
        <v>107.5</v>
      </c>
      <c r="AI462" s="65"/>
      <c r="AJ462" s="65"/>
      <c r="AK462" s="65"/>
      <c r="AL462" s="65"/>
      <c r="AM462" s="65"/>
      <c r="AN462" s="65"/>
      <c r="AO462" s="65"/>
      <c r="AP462" s="65"/>
      <c r="AQ462" s="65"/>
    </row>
    <row r="463" spans="24:43">
      <c r="X463" s="79" t="s">
        <v>10861</v>
      </c>
      <c r="Y463" s="80">
        <v>120</v>
      </c>
      <c r="Z463" s="81">
        <f t="shared" si="40"/>
        <v>120</v>
      </c>
      <c r="AA463" s="79" t="s">
        <v>2082</v>
      </c>
      <c r="AB463" s="82">
        <f t="shared" si="41"/>
        <v>120</v>
      </c>
      <c r="AC463" s="79" t="s">
        <v>2081</v>
      </c>
      <c r="AD463" s="82">
        <f t="shared" si="42"/>
        <v>0</v>
      </c>
      <c r="AE463" s="79" t="s">
        <v>2080</v>
      </c>
      <c r="AF463" s="82">
        <f t="shared" si="43"/>
        <v>0</v>
      </c>
      <c r="AG463" s="79" t="s">
        <v>2079</v>
      </c>
      <c r="AH463" s="81">
        <v>4.8</v>
      </c>
      <c r="AI463" s="65"/>
      <c r="AJ463" s="65"/>
      <c r="AK463" s="65"/>
      <c r="AL463" s="65"/>
      <c r="AM463" s="65"/>
      <c r="AN463" s="65"/>
      <c r="AO463" s="65"/>
      <c r="AP463" s="65"/>
      <c r="AQ463" s="65"/>
    </row>
    <row r="464" spans="24:43">
      <c r="X464" s="79" t="s">
        <v>10862</v>
      </c>
      <c r="Y464" s="80">
        <v>6875.25</v>
      </c>
      <c r="Z464" s="81">
        <f t="shared" si="40"/>
        <v>6875.25</v>
      </c>
      <c r="AA464" s="79" t="s">
        <v>2082</v>
      </c>
      <c r="AB464" s="82">
        <f t="shared" si="41"/>
        <v>6875</v>
      </c>
      <c r="AC464" s="79" t="s">
        <v>2081</v>
      </c>
      <c r="AD464" s="82">
        <f t="shared" si="42"/>
        <v>2</v>
      </c>
      <c r="AE464" s="79" t="s">
        <v>2080</v>
      </c>
      <c r="AF464" s="82">
        <f t="shared" si="43"/>
        <v>5</v>
      </c>
      <c r="AG464" s="79" t="s">
        <v>2079</v>
      </c>
      <c r="AH464" s="81">
        <v>275.01</v>
      </c>
      <c r="AI464" s="65"/>
      <c r="AJ464" s="65"/>
      <c r="AK464" s="65"/>
      <c r="AL464" s="65"/>
      <c r="AM464" s="65"/>
      <c r="AN464" s="65"/>
      <c r="AO464" s="65"/>
      <c r="AP464" s="65"/>
      <c r="AQ464" s="65"/>
    </row>
    <row r="465" spans="24:43">
      <c r="X465" s="79" t="s">
        <v>10863</v>
      </c>
      <c r="Y465" s="80">
        <v>55</v>
      </c>
      <c r="Z465" s="81">
        <f t="shared" si="40"/>
        <v>55</v>
      </c>
      <c r="AA465" s="79" t="s">
        <v>2082</v>
      </c>
      <c r="AB465" s="82">
        <f t="shared" si="41"/>
        <v>55</v>
      </c>
      <c r="AC465" s="79" t="s">
        <v>2081</v>
      </c>
      <c r="AD465" s="82">
        <f t="shared" si="42"/>
        <v>0</v>
      </c>
      <c r="AE465" s="79" t="s">
        <v>2080</v>
      </c>
      <c r="AF465" s="82">
        <f t="shared" si="43"/>
        <v>0</v>
      </c>
      <c r="AG465" s="79" t="s">
        <v>2079</v>
      </c>
      <c r="AH465" s="81">
        <v>2.2000000000000002</v>
      </c>
      <c r="AI465" s="65"/>
      <c r="AJ465" s="65"/>
      <c r="AK465" s="65"/>
      <c r="AL465" s="65"/>
      <c r="AM465" s="65"/>
      <c r="AN465" s="65"/>
      <c r="AO465" s="65"/>
      <c r="AP465" s="65"/>
      <c r="AQ465" s="65"/>
    </row>
    <row r="466" spans="24:43">
      <c r="X466" s="79" t="s">
        <v>10864</v>
      </c>
      <c r="Y466" s="80">
        <v>55</v>
      </c>
      <c r="Z466" s="81">
        <f t="shared" si="40"/>
        <v>55</v>
      </c>
      <c r="AA466" s="79" t="s">
        <v>2082</v>
      </c>
      <c r="AB466" s="82">
        <f t="shared" si="41"/>
        <v>55</v>
      </c>
      <c r="AC466" s="79" t="s">
        <v>2081</v>
      </c>
      <c r="AD466" s="82">
        <f t="shared" si="42"/>
        <v>0</v>
      </c>
      <c r="AE466" s="79" t="s">
        <v>2080</v>
      </c>
      <c r="AF466" s="82">
        <f t="shared" si="43"/>
        <v>0</v>
      </c>
      <c r="AG466" s="79" t="s">
        <v>2079</v>
      </c>
      <c r="AH466" s="81">
        <v>2.2000000000000002</v>
      </c>
      <c r="AI466" s="65"/>
      <c r="AJ466" s="65"/>
      <c r="AK466" s="65"/>
      <c r="AL466" s="65"/>
      <c r="AM466" s="65"/>
      <c r="AN466" s="65"/>
      <c r="AO466" s="65"/>
      <c r="AP466" s="65"/>
      <c r="AQ466" s="65"/>
    </row>
    <row r="467" spans="24:43">
      <c r="X467" s="79" t="s">
        <v>10865</v>
      </c>
      <c r="Y467" s="80">
        <v>3150</v>
      </c>
      <c r="Z467" s="81">
        <f t="shared" si="40"/>
        <v>3150</v>
      </c>
      <c r="AA467" s="79" t="s">
        <v>2082</v>
      </c>
      <c r="AB467" s="82">
        <f t="shared" si="41"/>
        <v>3150</v>
      </c>
      <c r="AC467" s="79" t="s">
        <v>2081</v>
      </c>
      <c r="AD467" s="82">
        <f t="shared" si="42"/>
        <v>0</v>
      </c>
      <c r="AE467" s="79" t="s">
        <v>2080</v>
      </c>
      <c r="AF467" s="82">
        <f t="shared" si="43"/>
        <v>0</v>
      </c>
      <c r="AG467" s="79" t="s">
        <v>2079</v>
      </c>
      <c r="AH467" s="81">
        <v>126</v>
      </c>
      <c r="AI467" s="65"/>
      <c r="AJ467" s="65"/>
      <c r="AK467" s="65"/>
      <c r="AL467" s="65"/>
      <c r="AM467" s="65"/>
      <c r="AN467" s="65"/>
      <c r="AO467" s="65"/>
      <c r="AP467" s="65"/>
      <c r="AQ467" s="65"/>
    </row>
    <row r="468" spans="24:43">
      <c r="X468" s="79" t="s">
        <v>10866</v>
      </c>
      <c r="Y468" s="80">
        <v>1075</v>
      </c>
      <c r="Z468" s="81">
        <f t="shared" si="40"/>
        <v>1075</v>
      </c>
      <c r="AA468" s="79" t="s">
        <v>2082</v>
      </c>
      <c r="AB468" s="82">
        <f t="shared" si="41"/>
        <v>1075</v>
      </c>
      <c r="AC468" s="79" t="s">
        <v>2081</v>
      </c>
      <c r="AD468" s="82">
        <f t="shared" si="42"/>
        <v>0</v>
      </c>
      <c r="AE468" s="79" t="s">
        <v>2080</v>
      </c>
      <c r="AF468" s="82">
        <f t="shared" si="43"/>
        <v>0</v>
      </c>
      <c r="AG468" s="79" t="s">
        <v>2079</v>
      </c>
      <c r="AH468" s="81">
        <v>43</v>
      </c>
      <c r="AI468" s="65"/>
      <c r="AJ468" s="65"/>
      <c r="AK468" s="65"/>
      <c r="AL468" s="65"/>
      <c r="AM468" s="65"/>
      <c r="AN468" s="65"/>
      <c r="AO468" s="65"/>
      <c r="AP468" s="65"/>
      <c r="AQ468" s="65"/>
    </row>
    <row r="469" spans="24:43">
      <c r="X469" s="79" t="s">
        <v>10867</v>
      </c>
      <c r="Y469" s="80">
        <v>262.625</v>
      </c>
      <c r="Z469" s="81">
        <f t="shared" si="40"/>
        <v>262.625</v>
      </c>
      <c r="AA469" s="79" t="s">
        <v>2082</v>
      </c>
      <c r="AB469" s="82">
        <f t="shared" si="41"/>
        <v>262</v>
      </c>
      <c r="AC469" s="79" t="s">
        <v>2081</v>
      </c>
      <c r="AD469" s="82">
        <f t="shared" si="42"/>
        <v>6</v>
      </c>
      <c r="AE469" s="79" t="s">
        <v>2080</v>
      </c>
      <c r="AF469" s="82">
        <f t="shared" si="43"/>
        <v>2.5</v>
      </c>
      <c r="AG469" s="79" t="s">
        <v>2079</v>
      </c>
      <c r="AH469" s="81">
        <v>10.5</v>
      </c>
      <c r="AI469" s="65"/>
      <c r="AJ469" s="65"/>
      <c r="AK469" s="65"/>
      <c r="AL469" s="65"/>
      <c r="AM469" s="65"/>
      <c r="AN469" s="65"/>
      <c r="AO469" s="65"/>
      <c r="AP469" s="65"/>
      <c r="AQ469" s="65"/>
    </row>
    <row r="470" spans="24:43">
      <c r="X470" s="79" t="s">
        <v>10868</v>
      </c>
      <c r="Y470" s="80">
        <v>4137.625</v>
      </c>
      <c r="Z470" s="81">
        <f t="shared" si="40"/>
        <v>4137.625</v>
      </c>
      <c r="AA470" s="79" t="s">
        <v>2082</v>
      </c>
      <c r="AB470" s="82">
        <f t="shared" si="41"/>
        <v>4137</v>
      </c>
      <c r="AC470" s="79" t="s">
        <v>2081</v>
      </c>
      <c r="AD470" s="82">
        <f t="shared" si="42"/>
        <v>6</v>
      </c>
      <c r="AE470" s="79" t="s">
        <v>2080</v>
      </c>
      <c r="AF470" s="82">
        <f t="shared" si="43"/>
        <v>2.5</v>
      </c>
      <c r="AG470" s="79" t="s">
        <v>2079</v>
      </c>
      <c r="AH470" s="81">
        <v>165.5</v>
      </c>
      <c r="AI470" s="65"/>
      <c r="AJ470" s="65"/>
      <c r="AK470" s="65"/>
      <c r="AL470" s="65"/>
      <c r="AM470" s="65"/>
      <c r="AN470" s="65"/>
      <c r="AO470" s="65"/>
      <c r="AP470" s="65"/>
      <c r="AQ470" s="65"/>
    </row>
    <row r="471" spans="24:43">
      <c r="X471" s="79" t="s">
        <v>10869</v>
      </c>
      <c r="Y471" s="80">
        <v>6875.25</v>
      </c>
      <c r="Z471" s="81">
        <f t="shared" si="40"/>
        <v>6875.25</v>
      </c>
      <c r="AA471" s="79" t="s">
        <v>2082</v>
      </c>
      <c r="AB471" s="82">
        <f t="shared" si="41"/>
        <v>6875</v>
      </c>
      <c r="AC471" s="79" t="s">
        <v>2081</v>
      </c>
      <c r="AD471" s="82">
        <f t="shared" si="42"/>
        <v>2</v>
      </c>
      <c r="AE471" s="79" t="s">
        <v>2080</v>
      </c>
      <c r="AF471" s="82">
        <f t="shared" si="43"/>
        <v>5</v>
      </c>
      <c r="AG471" s="79" t="s">
        <v>2079</v>
      </c>
      <c r="AH471" s="81">
        <v>275.01</v>
      </c>
      <c r="AI471" s="65"/>
      <c r="AJ471" s="65"/>
      <c r="AK471" s="65"/>
      <c r="AL471" s="65"/>
      <c r="AM471" s="65"/>
      <c r="AN471" s="65"/>
      <c r="AO471" s="65"/>
      <c r="AP471" s="65"/>
      <c r="AQ471" s="65"/>
    </row>
    <row r="472" spans="24:43">
      <c r="X472" s="79" t="s">
        <v>10870</v>
      </c>
      <c r="Y472" s="80">
        <v>54000</v>
      </c>
      <c r="Z472" s="81">
        <f t="shared" si="40"/>
        <v>54000</v>
      </c>
      <c r="AA472" s="79" t="s">
        <v>2082</v>
      </c>
      <c r="AB472" s="82">
        <f t="shared" si="41"/>
        <v>54000</v>
      </c>
      <c r="AC472" s="79" t="s">
        <v>2081</v>
      </c>
      <c r="AD472" s="82">
        <f t="shared" si="42"/>
        <v>0</v>
      </c>
      <c r="AE472" s="79" t="s">
        <v>2080</v>
      </c>
      <c r="AF472" s="82">
        <f t="shared" si="43"/>
        <v>0</v>
      </c>
      <c r="AG472" s="79" t="s">
        <v>2079</v>
      </c>
      <c r="AH472" s="81">
        <v>2160</v>
      </c>
      <c r="AI472" s="65"/>
      <c r="AJ472" s="65"/>
      <c r="AK472" s="65"/>
      <c r="AL472" s="65"/>
      <c r="AM472" s="65"/>
      <c r="AN472" s="65"/>
      <c r="AO472" s="65"/>
      <c r="AP472" s="65"/>
      <c r="AQ472" s="65"/>
    </row>
    <row r="473" spans="24:43">
      <c r="X473" s="79" t="s">
        <v>10871</v>
      </c>
      <c r="Y473" s="80">
        <v>55</v>
      </c>
      <c r="Z473" s="81">
        <f t="shared" si="40"/>
        <v>55</v>
      </c>
      <c r="AA473" s="79" t="s">
        <v>2082</v>
      </c>
      <c r="AB473" s="82">
        <f t="shared" si="41"/>
        <v>55</v>
      </c>
      <c r="AC473" s="79" t="s">
        <v>2081</v>
      </c>
      <c r="AD473" s="82">
        <f t="shared" si="42"/>
        <v>0</v>
      </c>
      <c r="AE473" s="79" t="s">
        <v>2080</v>
      </c>
      <c r="AF473" s="82">
        <f t="shared" si="43"/>
        <v>0</v>
      </c>
      <c r="AG473" s="79" t="s">
        <v>2079</v>
      </c>
      <c r="AH473" s="81">
        <v>2.2000000000000002</v>
      </c>
      <c r="AI473" s="65"/>
      <c r="AJ473" s="65"/>
      <c r="AK473" s="65"/>
      <c r="AL473" s="65"/>
      <c r="AM473" s="65"/>
      <c r="AN473" s="65"/>
      <c r="AO473" s="65"/>
      <c r="AP473" s="65"/>
      <c r="AQ473" s="65"/>
    </row>
    <row r="474" spans="24:43">
      <c r="X474" s="79" t="s">
        <v>10872</v>
      </c>
      <c r="Y474" s="80">
        <v>57.5</v>
      </c>
      <c r="Z474" s="81">
        <f t="shared" si="40"/>
        <v>57.5</v>
      </c>
      <c r="AA474" s="79" t="s">
        <v>2082</v>
      </c>
      <c r="AB474" s="82">
        <f t="shared" si="41"/>
        <v>57</v>
      </c>
      <c r="AC474" s="79" t="s">
        <v>2081</v>
      </c>
      <c r="AD474" s="82">
        <f t="shared" si="42"/>
        <v>5</v>
      </c>
      <c r="AE474" s="79" t="s">
        <v>2080</v>
      </c>
      <c r="AF474" s="82">
        <f t="shared" si="43"/>
        <v>0</v>
      </c>
      <c r="AG474" s="79" t="s">
        <v>2079</v>
      </c>
      <c r="AH474" s="81">
        <v>2.3000000000000003</v>
      </c>
      <c r="AI474" s="65"/>
      <c r="AJ474" s="65"/>
      <c r="AK474" s="65"/>
      <c r="AL474" s="65"/>
      <c r="AM474" s="65"/>
      <c r="AN474" s="65"/>
      <c r="AO474" s="65"/>
      <c r="AP474" s="65"/>
      <c r="AQ474" s="65"/>
    </row>
    <row r="475" spans="24:43">
      <c r="X475" s="79" t="s">
        <v>10873</v>
      </c>
      <c r="Y475" s="80">
        <v>31250.25</v>
      </c>
      <c r="Z475" s="81">
        <f t="shared" si="40"/>
        <v>31250.25</v>
      </c>
      <c r="AA475" s="79" t="s">
        <v>2082</v>
      </c>
      <c r="AB475" s="82">
        <f t="shared" si="41"/>
        <v>31250</v>
      </c>
      <c r="AC475" s="79" t="s">
        <v>2081</v>
      </c>
      <c r="AD475" s="82">
        <f t="shared" si="42"/>
        <v>2</v>
      </c>
      <c r="AE475" s="79" t="s">
        <v>2080</v>
      </c>
      <c r="AF475" s="82">
        <f t="shared" si="43"/>
        <v>5</v>
      </c>
      <c r="AG475" s="79" t="s">
        <v>2079</v>
      </c>
      <c r="AH475" s="81">
        <v>1250.01</v>
      </c>
      <c r="AI475" s="65"/>
      <c r="AJ475" s="65"/>
      <c r="AK475" s="65"/>
      <c r="AL475" s="65"/>
      <c r="AM475" s="65"/>
      <c r="AN475" s="65"/>
      <c r="AO475" s="65"/>
      <c r="AP475" s="65"/>
      <c r="AQ475" s="65"/>
    </row>
    <row r="476" spans="24:43">
      <c r="X476" s="79" t="s">
        <v>7177</v>
      </c>
      <c r="Y476" s="80">
        <v>6500</v>
      </c>
      <c r="Z476" s="81">
        <f t="shared" si="40"/>
        <v>6500</v>
      </c>
      <c r="AA476" s="79" t="s">
        <v>2082</v>
      </c>
      <c r="AB476" s="82">
        <f t="shared" si="41"/>
        <v>6500</v>
      </c>
      <c r="AC476" s="79" t="s">
        <v>2081</v>
      </c>
      <c r="AD476" s="82">
        <f t="shared" si="42"/>
        <v>0</v>
      </c>
      <c r="AE476" s="79" t="s">
        <v>2080</v>
      </c>
      <c r="AF476" s="82">
        <f t="shared" si="43"/>
        <v>0</v>
      </c>
      <c r="AG476" s="79" t="s">
        <v>2079</v>
      </c>
      <c r="AH476" s="81">
        <v>260</v>
      </c>
      <c r="AI476" s="65"/>
      <c r="AJ476" s="65"/>
      <c r="AK476" s="65"/>
      <c r="AL476" s="65"/>
      <c r="AM476" s="65"/>
      <c r="AN476" s="65"/>
      <c r="AO476" s="65"/>
      <c r="AP476" s="65"/>
      <c r="AQ476" s="65"/>
    </row>
    <row r="477" spans="24:43">
      <c r="X477" s="79" t="s">
        <v>10874</v>
      </c>
      <c r="Y477" s="80">
        <v>72.5</v>
      </c>
      <c r="Z477" s="81">
        <f t="shared" si="40"/>
        <v>72.5</v>
      </c>
      <c r="AA477" s="79" t="s">
        <v>2082</v>
      </c>
      <c r="AB477" s="82">
        <f t="shared" si="41"/>
        <v>72</v>
      </c>
      <c r="AC477" s="79" t="s">
        <v>2081</v>
      </c>
      <c r="AD477" s="82">
        <f t="shared" si="42"/>
        <v>5</v>
      </c>
      <c r="AE477" s="79" t="s">
        <v>2080</v>
      </c>
      <c r="AF477" s="82">
        <f t="shared" si="43"/>
        <v>0</v>
      </c>
      <c r="AG477" s="79" t="s">
        <v>2079</v>
      </c>
      <c r="AH477" s="81">
        <v>2.9</v>
      </c>
      <c r="AI477" s="65"/>
      <c r="AJ477" s="65"/>
      <c r="AK477" s="65"/>
      <c r="AL477" s="65"/>
      <c r="AM477" s="65"/>
      <c r="AN477" s="65"/>
      <c r="AO477" s="65"/>
      <c r="AP477" s="65"/>
      <c r="AQ477" s="65"/>
    </row>
    <row r="478" spans="24:43">
      <c r="X478" s="79" t="s">
        <v>10875</v>
      </c>
      <c r="Y478" s="80">
        <v>200</v>
      </c>
      <c r="Z478" s="81">
        <f t="shared" si="40"/>
        <v>200</v>
      </c>
      <c r="AA478" s="79" t="s">
        <v>2082</v>
      </c>
      <c r="AB478" s="82">
        <f t="shared" si="41"/>
        <v>200</v>
      </c>
      <c r="AC478" s="79" t="s">
        <v>2081</v>
      </c>
      <c r="AD478" s="82">
        <f t="shared" si="42"/>
        <v>0</v>
      </c>
      <c r="AE478" s="79" t="s">
        <v>2080</v>
      </c>
      <c r="AF478" s="82">
        <f t="shared" si="43"/>
        <v>0</v>
      </c>
      <c r="AG478" s="79" t="s">
        <v>2079</v>
      </c>
      <c r="AH478" s="81">
        <v>8</v>
      </c>
      <c r="AI478" s="65"/>
      <c r="AJ478" s="65"/>
      <c r="AK478" s="65"/>
      <c r="AL478" s="65"/>
      <c r="AM478" s="65"/>
      <c r="AN478" s="65"/>
      <c r="AO478" s="65"/>
      <c r="AP478" s="65"/>
      <c r="AQ478" s="65"/>
    </row>
    <row r="479" spans="24:43">
      <c r="X479" s="79" t="s">
        <v>10876</v>
      </c>
      <c r="Y479" s="80">
        <v>3937.625</v>
      </c>
      <c r="Z479" s="81">
        <f t="shared" si="40"/>
        <v>3937.625</v>
      </c>
      <c r="AA479" s="79" t="s">
        <v>2082</v>
      </c>
      <c r="AB479" s="82">
        <f t="shared" si="41"/>
        <v>3937</v>
      </c>
      <c r="AC479" s="79" t="s">
        <v>2081</v>
      </c>
      <c r="AD479" s="82">
        <f t="shared" si="42"/>
        <v>6</v>
      </c>
      <c r="AE479" s="79" t="s">
        <v>2080</v>
      </c>
      <c r="AF479" s="82">
        <f t="shared" si="43"/>
        <v>2.5</v>
      </c>
      <c r="AG479" s="79" t="s">
        <v>2079</v>
      </c>
      <c r="AH479" s="81">
        <v>157.5</v>
      </c>
      <c r="AI479" s="65"/>
      <c r="AJ479" s="65"/>
      <c r="AK479" s="65"/>
      <c r="AL479" s="65"/>
      <c r="AM479" s="65"/>
      <c r="AN479" s="65"/>
      <c r="AO479" s="65"/>
      <c r="AP479" s="65"/>
      <c r="AQ479" s="65"/>
    </row>
    <row r="480" spans="24:43">
      <c r="X480" s="79" t="s">
        <v>10877</v>
      </c>
      <c r="Y480" s="80">
        <v>930</v>
      </c>
      <c r="Z480" s="81">
        <f t="shared" si="40"/>
        <v>930</v>
      </c>
      <c r="AA480" s="79" t="s">
        <v>2082</v>
      </c>
      <c r="AB480" s="82">
        <f t="shared" si="41"/>
        <v>930</v>
      </c>
      <c r="AC480" s="79" t="s">
        <v>2081</v>
      </c>
      <c r="AD480" s="82">
        <f t="shared" si="42"/>
        <v>0</v>
      </c>
      <c r="AE480" s="79" t="s">
        <v>2080</v>
      </c>
      <c r="AF480" s="82">
        <f t="shared" si="43"/>
        <v>0</v>
      </c>
      <c r="AG480" s="79" t="s">
        <v>2079</v>
      </c>
      <c r="AH480" s="81">
        <v>37.200000000000003</v>
      </c>
      <c r="AI480" s="65"/>
      <c r="AJ480" s="65"/>
      <c r="AK480" s="65"/>
      <c r="AL480" s="65"/>
      <c r="AM480" s="65"/>
      <c r="AN480" s="65"/>
      <c r="AO480" s="65"/>
      <c r="AP480" s="65"/>
      <c r="AQ480" s="65"/>
    </row>
    <row r="481" spans="24:43">
      <c r="X481" s="79" t="s">
        <v>10878</v>
      </c>
      <c r="Y481" s="80">
        <v>105</v>
      </c>
      <c r="Z481" s="81">
        <f t="shared" si="40"/>
        <v>105</v>
      </c>
      <c r="AA481" s="79" t="s">
        <v>2082</v>
      </c>
      <c r="AB481" s="82">
        <f t="shared" si="41"/>
        <v>105</v>
      </c>
      <c r="AC481" s="79" t="s">
        <v>2081</v>
      </c>
      <c r="AD481" s="82">
        <f t="shared" si="42"/>
        <v>0</v>
      </c>
      <c r="AE481" s="79" t="s">
        <v>2080</v>
      </c>
      <c r="AF481" s="82">
        <f t="shared" si="43"/>
        <v>0</v>
      </c>
      <c r="AG481" s="79" t="s">
        <v>2079</v>
      </c>
      <c r="AH481" s="81">
        <v>4.2</v>
      </c>
      <c r="AI481" s="65"/>
      <c r="AJ481" s="65"/>
      <c r="AK481" s="65"/>
      <c r="AL481" s="65"/>
      <c r="AM481" s="65"/>
      <c r="AN481" s="65"/>
      <c r="AO481" s="65"/>
      <c r="AP481" s="65"/>
      <c r="AQ481" s="65"/>
    </row>
    <row r="482" spans="24:43">
      <c r="X482" s="79" t="s">
        <v>10879</v>
      </c>
      <c r="Y482" s="80">
        <v>60</v>
      </c>
      <c r="Z482" s="81">
        <f t="shared" si="40"/>
        <v>60</v>
      </c>
      <c r="AA482" s="79" t="s">
        <v>2082</v>
      </c>
      <c r="AB482" s="82">
        <f t="shared" si="41"/>
        <v>60</v>
      </c>
      <c r="AC482" s="79" t="s">
        <v>2081</v>
      </c>
      <c r="AD482" s="82">
        <f t="shared" si="42"/>
        <v>0</v>
      </c>
      <c r="AE482" s="79" t="s">
        <v>2080</v>
      </c>
      <c r="AF482" s="82">
        <f t="shared" si="43"/>
        <v>0</v>
      </c>
      <c r="AG482" s="79" t="s">
        <v>2079</v>
      </c>
      <c r="AH482" s="81">
        <v>2.4</v>
      </c>
      <c r="AI482" s="65"/>
      <c r="AJ482" s="65"/>
      <c r="AK482" s="65"/>
      <c r="AL482" s="65"/>
      <c r="AM482" s="65"/>
      <c r="AN482" s="65"/>
      <c r="AO482" s="65"/>
      <c r="AP482" s="65"/>
      <c r="AQ482" s="65"/>
    </row>
    <row r="483" spans="24:43">
      <c r="X483" s="79" t="s">
        <v>10880</v>
      </c>
      <c r="Y483" s="80">
        <v>385</v>
      </c>
      <c r="Z483" s="81">
        <f t="shared" si="40"/>
        <v>385</v>
      </c>
      <c r="AA483" s="79" t="s">
        <v>2082</v>
      </c>
      <c r="AB483" s="82">
        <f t="shared" si="41"/>
        <v>385</v>
      </c>
      <c r="AC483" s="79" t="s">
        <v>2081</v>
      </c>
      <c r="AD483" s="82">
        <f t="shared" si="42"/>
        <v>0</v>
      </c>
      <c r="AE483" s="79" t="s">
        <v>2080</v>
      </c>
      <c r="AF483" s="82">
        <f t="shared" si="43"/>
        <v>0</v>
      </c>
      <c r="AG483" s="79" t="s">
        <v>2079</v>
      </c>
      <c r="AH483" s="81">
        <v>15.4</v>
      </c>
      <c r="AI483" s="65"/>
      <c r="AJ483" s="65"/>
      <c r="AK483" s="65"/>
      <c r="AL483" s="65"/>
      <c r="AM483" s="65"/>
      <c r="AN483" s="65"/>
      <c r="AO483" s="65"/>
      <c r="AP483" s="65"/>
      <c r="AQ483" s="65"/>
    </row>
    <row r="484" spans="24:43">
      <c r="X484" s="79" t="s">
        <v>10881</v>
      </c>
      <c r="Y484" s="80">
        <v>250</v>
      </c>
      <c r="Z484" s="81">
        <f t="shared" si="40"/>
        <v>250</v>
      </c>
      <c r="AA484" s="79" t="s">
        <v>2082</v>
      </c>
      <c r="AB484" s="82">
        <f t="shared" si="41"/>
        <v>250</v>
      </c>
      <c r="AC484" s="79" t="s">
        <v>2081</v>
      </c>
      <c r="AD484" s="82">
        <f t="shared" si="42"/>
        <v>0</v>
      </c>
      <c r="AE484" s="79" t="s">
        <v>2080</v>
      </c>
      <c r="AF484" s="82">
        <f t="shared" si="43"/>
        <v>0</v>
      </c>
      <c r="AG484" s="79" t="s">
        <v>2079</v>
      </c>
      <c r="AH484" s="81">
        <v>10</v>
      </c>
      <c r="AI484" s="65"/>
      <c r="AJ484" s="65"/>
      <c r="AK484" s="65"/>
      <c r="AL484" s="65"/>
      <c r="AM484" s="65"/>
      <c r="AN484" s="65"/>
      <c r="AO484" s="65"/>
      <c r="AP484" s="65"/>
      <c r="AQ484" s="65"/>
    </row>
    <row r="485" spans="24:43">
      <c r="X485" s="79" t="s">
        <v>10882</v>
      </c>
      <c r="Y485" s="80">
        <v>1500</v>
      </c>
      <c r="Z485" s="81">
        <f t="shared" si="40"/>
        <v>1500</v>
      </c>
      <c r="AA485" s="79" t="s">
        <v>2082</v>
      </c>
      <c r="AB485" s="82">
        <f t="shared" si="41"/>
        <v>1500</v>
      </c>
      <c r="AC485" s="79" t="s">
        <v>2081</v>
      </c>
      <c r="AD485" s="82">
        <f t="shared" si="42"/>
        <v>0</v>
      </c>
      <c r="AE485" s="79" t="s">
        <v>2080</v>
      </c>
      <c r="AF485" s="82">
        <f t="shared" si="43"/>
        <v>0</v>
      </c>
      <c r="AG485" s="79" t="s">
        <v>2079</v>
      </c>
      <c r="AH485" s="81">
        <v>60</v>
      </c>
      <c r="AI485" s="65"/>
      <c r="AJ485" s="65"/>
      <c r="AK485" s="65"/>
      <c r="AL485" s="65"/>
      <c r="AM485" s="65"/>
      <c r="AN485" s="65"/>
      <c r="AO485" s="65"/>
      <c r="AP485" s="65"/>
      <c r="AQ485" s="65"/>
    </row>
    <row r="486" spans="24:43">
      <c r="X486" s="79" t="s">
        <v>10883</v>
      </c>
      <c r="Y486" s="80">
        <v>900</v>
      </c>
      <c r="Z486" s="81">
        <f t="shared" si="40"/>
        <v>900</v>
      </c>
      <c r="AA486" s="79" t="s">
        <v>2082</v>
      </c>
      <c r="AB486" s="82">
        <f t="shared" si="41"/>
        <v>900</v>
      </c>
      <c r="AC486" s="79" t="s">
        <v>2081</v>
      </c>
      <c r="AD486" s="82">
        <f t="shared" si="42"/>
        <v>0</v>
      </c>
      <c r="AE486" s="79" t="s">
        <v>2080</v>
      </c>
      <c r="AF486" s="82">
        <f t="shared" si="43"/>
        <v>0</v>
      </c>
      <c r="AG486" s="79" t="s">
        <v>2079</v>
      </c>
      <c r="AH486" s="81">
        <v>36</v>
      </c>
      <c r="AI486" s="65"/>
      <c r="AJ486" s="65"/>
      <c r="AK486" s="65"/>
      <c r="AL486" s="65"/>
      <c r="AM486" s="65"/>
      <c r="AN486" s="65"/>
      <c r="AO486" s="65"/>
      <c r="AP486" s="65"/>
      <c r="AQ486" s="65"/>
    </row>
    <row r="487" spans="24:43">
      <c r="X487" s="79" t="s">
        <v>10884</v>
      </c>
      <c r="Y487" s="80">
        <v>61750.25</v>
      </c>
      <c r="Z487" s="81">
        <f t="shared" si="40"/>
        <v>61750.25</v>
      </c>
      <c r="AA487" s="79" t="s">
        <v>2082</v>
      </c>
      <c r="AB487" s="82">
        <f t="shared" si="41"/>
        <v>61750</v>
      </c>
      <c r="AC487" s="79" t="s">
        <v>2081</v>
      </c>
      <c r="AD487" s="82">
        <f t="shared" si="42"/>
        <v>2</v>
      </c>
      <c r="AE487" s="79" t="s">
        <v>2080</v>
      </c>
      <c r="AF487" s="82">
        <f t="shared" si="43"/>
        <v>5</v>
      </c>
      <c r="AG487" s="79" t="s">
        <v>2079</v>
      </c>
      <c r="AH487" s="81">
        <v>2470.0100000000002</v>
      </c>
      <c r="AI487" s="65"/>
      <c r="AJ487" s="65"/>
      <c r="AK487" s="65"/>
      <c r="AL487" s="65"/>
      <c r="AM487" s="65"/>
      <c r="AN487" s="65"/>
      <c r="AO487" s="65"/>
      <c r="AP487" s="65"/>
      <c r="AQ487" s="65"/>
    </row>
    <row r="488" spans="24:43">
      <c r="X488" s="79" t="s">
        <v>10885</v>
      </c>
      <c r="Y488" s="80">
        <v>16525.125</v>
      </c>
      <c r="Z488" s="81">
        <f t="shared" si="40"/>
        <v>16525.125</v>
      </c>
      <c r="AA488" s="79" t="s">
        <v>2082</v>
      </c>
      <c r="AB488" s="82">
        <f t="shared" si="41"/>
        <v>16525</v>
      </c>
      <c r="AC488" s="79" t="s">
        <v>2081</v>
      </c>
      <c r="AD488" s="82">
        <f t="shared" si="42"/>
        <v>1</v>
      </c>
      <c r="AE488" s="79" t="s">
        <v>2080</v>
      </c>
      <c r="AF488" s="82">
        <f t="shared" si="43"/>
        <v>2.5</v>
      </c>
      <c r="AG488" s="79" t="s">
        <v>2079</v>
      </c>
      <c r="AH488" s="81">
        <v>661</v>
      </c>
      <c r="AI488" s="65"/>
      <c r="AJ488" s="65"/>
      <c r="AK488" s="65"/>
      <c r="AL488" s="65"/>
      <c r="AM488" s="65"/>
      <c r="AN488" s="65"/>
      <c r="AO488" s="65"/>
      <c r="AP488" s="65"/>
      <c r="AQ488" s="65"/>
    </row>
    <row r="489" spans="24:43">
      <c r="X489" s="79" t="s">
        <v>10886</v>
      </c>
      <c r="Y489" s="80">
        <v>4037.625</v>
      </c>
      <c r="Z489" s="81">
        <f t="shared" si="40"/>
        <v>4037.625</v>
      </c>
      <c r="AA489" s="79" t="s">
        <v>2082</v>
      </c>
      <c r="AB489" s="82">
        <f t="shared" si="41"/>
        <v>4037</v>
      </c>
      <c r="AC489" s="79" t="s">
        <v>2081</v>
      </c>
      <c r="AD489" s="82">
        <f t="shared" si="42"/>
        <v>6</v>
      </c>
      <c r="AE489" s="79" t="s">
        <v>2080</v>
      </c>
      <c r="AF489" s="82">
        <f t="shared" si="43"/>
        <v>2.5</v>
      </c>
      <c r="AG489" s="79" t="s">
        <v>2079</v>
      </c>
      <c r="AH489" s="81">
        <v>161.5</v>
      </c>
      <c r="AI489" s="65"/>
      <c r="AJ489" s="65"/>
      <c r="AK489" s="65"/>
      <c r="AL489" s="65"/>
      <c r="AM489" s="65"/>
      <c r="AN489" s="65"/>
      <c r="AO489" s="65"/>
      <c r="AP489" s="65"/>
      <c r="AQ489" s="65"/>
    </row>
    <row r="490" spans="24:43">
      <c r="X490" s="79" t="s">
        <v>10887</v>
      </c>
      <c r="Y490" s="80">
        <v>3762.625</v>
      </c>
      <c r="Z490" s="81">
        <f t="shared" si="40"/>
        <v>3762.625</v>
      </c>
      <c r="AA490" s="79" t="s">
        <v>2082</v>
      </c>
      <c r="AB490" s="82">
        <f t="shared" si="41"/>
        <v>3762</v>
      </c>
      <c r="AC490" s="79" t="s">
        <v>2081</v>
      </c>
      <c r="AD490" s="82">
        <f t="shared" si="42"/>
        <v>6</v>
      </c>
      <c r="AE490" s="79" t="s">
        <v>2080</v>
      </c>
      <c r="AF490" s="82">
        <f t="shared" si="43"/>
        <v>2.5</v>
      </c>
      <c r="AG490" s="79" t="s">
        <v>2079</v>
      </c>
      <c r="AH490" s="81">
        <v>150.5</v>
      </c>
      <c r="AI490" s="65"/>
      <c r="AJ490" s="65"/>
      <c r="AK490" s="65"/>
      <c r="AL490" s="65"/>
      <c r="AM490" s="65"/>
      <c r="AN490" s="65"/>
      <c r="AO490" s="65"/>
      <c r="AP490" s="65"/>
      <c r="AQ490" s="65"/>
    </row>
    <row r="491" spans="24:43">
      <c r="X491" s="79" t="s">
        <v>10888</v>
      </c>
      <c r="Y491" s="80">
        <v>225.125</v>
      </c>
      <c r="Z491" s="81">
        <f t="shared" si="40"/>
        <v>225.125</v>
      </c>
      <c r="AA491" s="79" t="s">
        <v>2082</v>
      </c>
      <c r="AB491" s="82">
        <f t="shared" si="41"/>
        <v>225</v>
      </c>
      <c r="AC491" s="79" t="s">
        <v>2081</v>
      </c>
      <c r="AD491" s="82">
        <f t="shared" si="42"/>
        <v>1</v>
      </c>
      <c r="AE491" s="79" t="s">
        <v>2080</v>
      </c>
      <c r="AF491" s="82">
        <f t="shared" si="43"/>
        <v>2.5</v>
      </c>
      <c r="AG491" s="79" t="s">
        <v>2079</v>
      </c>
      <c r="AH491" s="81">
        <v>9</v>
      </c>
      <c r="AI491" s="65"/>
      <c r="AJ491" s="65"/>
      <c r="AK491" s="65"/>
      <c r="AL491" s="65"/>
      <c r="AM491" s="65"/>
      <c r="AN491" s="65"/>
      <c r="AO491" s="65"/>
      <c r="AP491" s="65"/>
      <c r="AQ491" s="65"/>
    </row>
    <row r="492" spans="24:43">
      <c r="X492" s="79" t="s">
        <v>10889</v>
      </c>
      <c r="Y492" s="80">
        <v>60250.25</v>
      </c>
      <c r="Z492" s="81">
        <f t="shared" si="40"/>
        <v>60250.25</v>
      </c>
      <c r="AA492" s="79" t="s">
        <v>2082</v>
      </c>
      <c r="AB492" s="82">
        <f t="shared" si="41"/>
        <v>60250</v>
      </c>
      <c r="AC492" s="79" t="s">
        <v>2081</v>
      </c>
      <c r="AD492" s="82">
        <f t="shared" si="42"/>
        <v>2</v>
      </c>
      <c r="AE492" s="79" t="s">
        <v>2080</v>
      </c>
      <c r="AF492" s="82">
        <f t="shared" si="43"/>
        <v>5</v>
      </c>
      <c r="AG492" s="79" t="s">
        <v>2079</v>
      </c>
      <c r="AH492" s="81">
        <v>2410.0100000000002</v>
      </c>
      <c r="AI492" s="65"/>
      <c r="AJ492" s="65"/>
      <c r="AK492" s="65"/>
      <c r="AL492" s="65"/>
      <c r="AM492" s="65"/>
      <c r="AN492" s="65"/>
      <c r="AO492" s="65"/>
      <c r="AP492" s="65"/>
      <c r="AQ492" s="65"/>
    </row>
    <row r="493" spans="24:43">
      <c r="X493" s="79" t="s">
        <v>10890</v>
      </c>
      <c r="Y493" s="80">
        <v>285</v>
      </c>
      <c r="Z493" s="81">
        <f t="shared" si="40"/>
        <v>285</v>
      </c>
      <c r="AA493" s="79" t="s">
        <v>2082</v>
      </c>
      <c r="AB493" s="82">
        <f t="shared" si="41"/>
        <v>285</v>
      </c>
      <c r="AC493" s="79" t="s">
        <v>2081</v>
      </c>
      <c r="AD493" s="82">
        <f t="shared" si="42"/>
        <v>0</v>
      </c>
      <c r="AE493" s="79" t="s">
        <v>2080</v>
      </c>
      <c r="AF493" s="82">
        <f t="shared" si="43"/>
        <v>0</v>
      </c>
      <c r="AG493" s="79" t="s">
        <v>2079</v>
      </c>
      <c r="AH493" s="81">
        <v>11.4</v>
      </c>
      <c r="AI493" s="65"/>
      <c r="AJ493" s="65"/>
      <c r="AK493" s="65"/>
      <c r="AL493" s="65"/>
      <c r="AM493" s="65"/>
      <c r="AN493" s="65"/>
      <c r="AO493" s="65"/>
      <c r="AP493" s="65"/>
      <c r="AQ493" s="65"/>
    </row>
    <row r="494" spans="24:43">
      <c r="X494" s="79" t="s">
        <v>10891</v>
      </c>
      <c r="Y494" s="80">
        <v>50</v>
      </c>
      <c r="Z494" s="81">
        <f t="shared" si="40"/>
        <v>50</v>
      </c>
      <c r="AA494" s="79" t="s">
        <v>2082</v>
      </c>
      <c r="AB494" s="82">
        <f t="shared" si="41"/>
        <v>50</v>
      </c>
      <c r="AC494" s="79" t="s">
        <v>2081</v>
      </c>
      <c r="AD494" s="82">
        <f t="shared" si="42"/>
        <v>0</v>
      </c>
      <c r="AE494" s="79" t="s">
        <v>2080</v>
      </c>
      <c r="AF494" s="82">
        <f t="shared" si="43"/>
        <v>0</v>
      </c>
      <c r="AG494" s="79" t="s">
        <v>2079</v>
      </c>
      <c r="AH494" s="81">
        <v>2</v>
      </c>
      <c r="AI494" s="65"/>
      <c r="AJ494" s="65"/>
      <c r="AK494" s="65"/>
      <c r="AL494" s="65"/>
      <c r="AM494" s="65"/>
      <c r="AN494" s="65"/>
      <c r="AO494" s="65"/>
      <c r="AP494" s="65"/>
      <c r="AQ494" s="65"/>
    </row>
    <row r="495" spans="24:43">
      <c r="X495" s="79" t="s">
        <v>10892</v>
      </c>
      <c r="Y495" s="80">
        <v>225</v>
      </c>
      <c r="Z495" s="81">
        <f t="shared" si="40"/>
        <v>225</v>
      </c>
      <c r="AA495" s="79" t="s">
        <v>2082</v>
      </c>
      <c r="AB495" s="82">
        <f t="shared" si="41"/>
        <v>225</v>
      </c>
      <c r="AC495" s="79" t="s">
        <v>2081</v>
      </c>
      <c r="AD495" s="82">
        <f t="shared" si="42"/>
        <v>0</v>
      </c>
      <c r="AE495" s="79" t="s">
        <v>2080</v>
      </c>
      <c r="AF495" s="82">
        <f t="shared" si="43"/>
        <v>0</v>
      </c>
      <c r="AG495" s="79" t="s">
        <v>2079</v>
      </c>
      <c r="AH495" s="81">
        <v>9</v>
      </c>
      <c r="AI495" s="65"/>
      <c r="AJ495" s="65"/>
      <c r="AK495" s="65"/>
      <c r="AL495" s="65"/>
      <c r="AM495" s="65"/>
      <c r="AN495" s="65"/>
      <c r="AO495" s="65"/>
      <c r="AP495" s="65"/>
      <c r="AQ495" s="65"/>
    </row>
    <row r="496" spans="24:43">
      <c r="X496" s="79" t="s">
        <v>10893</v>
      </c>
      <c r="Y496" s="80">
        <v>600</v>
      </c>
      <c r="Z496" s="81">
        <f t="shared" si="40"/>
        <v>600</v>
      </c>
      <c r="AA496" s="79" t="s">
        <v>2082</v>
      </c>
      <c r="AB496" s="82">
        <f t="shared" si="41"/>
        <v>600</v>
      </c>
      <c r="AC496" s="79" t="s">
        <v>2081</v>
      </c>
      <c r="AD496" s="82">
        <f t="shared" si="42"/>
        <v>0</v>
      </c>
      <c r="AE496" s="79" t="s">
        <v>2080</v>
      </c>
      <c r="AF496" s="82">
        <f t="shared" si="43"/>
        <v>0</v>
      </c>
      <c r="AG496" s="79" t="s">
        <v>2079</v>
      </c>
      <c r="AH496" s="81">
        <v>24</v>
      </c>
      <c r="AI496" s="65"/>
      <c r="AJ496" s="65"/>
      <c r="AK496" s="65"/>
      <c r="AL496" s="65"/>
      <c r="AM496" s="65"/>
      <c r="AN496" s="65"/>
      <c r="AO496" s="65"/>
      <c r="AP496" s="65"/>
      <c r="AQ496" s="65"/>
    </row>
    <row r="497" spans="24:43">
      <c r="X497" s="79" t="s">
        <v>10894</v>
      </c>
      <c r="Y497" s="80">
        <v>1425</v>
      </c>
      <c r="Z497" s="81">
        <f t="shared" si="40"/>
        <v>1425</v>
      </c>
      <c r="AA497" s="79" t="s">
        <v>2082</v>
      </c>
      <c r="AB497" s="82">
        <f t="shared" si="41"/>
        <v>1425</v>
      </c>
      <c r="AC497" s="79" t="s">
        <v>2081</v>
      </c>
      <c r="AD497" s="82">
        <f t="shared" si="42"/>
        <v>0</v>
      </c>
      <c r="AE497" s="79" t="s">
        <v>2080</v>
      </c>
      <c r="AF497" s="82">
        <f t="shared" si="43"/>
        <v>0</v>
      </c>
      <c r="AG497" s="79" t="s">
        <v>2079</v>
      </c>
      <c r="AH497" s="81">
        <v>57</v>
      </c>
      <c r="AI497" s="65"/>
      <c r="AJ497" s="65"/>
      <c r="AK497" s="65"/>
      <c r="AL497" s="65"/>
      <c r="AM497" s="65"/>
      <c r="AN497" s="65"/>
      <c r="AO497" s="65"/>
      <c r="AP497" s="65"/>
      <c r="AQ497" s="65"/>
    </row>
    <row r="498" spans="24:43">
      <c r="X498" s="79" t="s">
        <v>10895</v>
      </c>
      <c r="Y498" s="80">
        <v>490</v>
      </c>
      <c r="Z498" s="81">
        <f t="shared" si="40"/>
        <v>490</v>
      </c>
      <c r="AA498" s="79" t="s">
        <v>2082</v>
      </c>
      <c r="AB498" s="82">
        <f t="shared" si="41"/>
        <v>490</v>
      </c>
      <c r="AC498" s="79" t="s">
        <v>2081</v>
      </c>
      <c r="AD498" s="82">
        <f t="shared" si="42"/>
        <v>0</v>
      </c>
      <c r="AE498" s="79" t="s">
        <v>2080</v>
      </c>
      <c r="AF498" s="82">
        <f t="shared" si="43"/>
        <v>0</v>
      </c>
      <c r="AG498" s="79" t="s">
        <v>2079</v>
      </c>
      <c r="AH498" s="81">
        <v>19.600000000000001</v>
      </c>
      <c r="AI498" s="65"/>
      <c r="AJ498" s="65"/>
      <c r="AK498" s="65"/>
      <c r="AL498" s="65"/>
      <c r="AM498" s="65"/>
      <c r="AN498" s="65"/>
      <c r="AO498" s="65"/>
      <c r="AP498" s="65"/>
      <c r="AQ498" s="65"/>
    </row>
    <row r="499" spans="24:43">
      <c r="X499" s="79" t="s">
        <v>10896</v>
      </c>
      <c r="Y499" s="80">
        <v>1090</v>
      </c>
      <c r="Z499" s="81">
        <f t="shared" si="40"/>
        <v>1090</v>
      </c>
      <c r="AA499" s="79" t="s">
        <v>2082</v>
      </c>
      <c r="AB499" s="82">
        <f t="shared" si="41"/>
        <v>1090</v>
      </c>
      <c r="AC499" s="79" t="s">
        <v>2081</v>
      </c>
      <c r="AD499" s="82">
        <f t="shared" si="42"/>
        <v>0</v>
      </c>
      <c r="AE499" s="79" t="s">
        <v>2080</v>
      </c>
      <c r="AF499" s="82">
        <f t="shared" si="43"/>
        <v>0</v>
      </c>
      <c r="AG499" s="79" t="s">
        <v>2079</v>
      </c>
      <c r="AH499" s="81">
        <v>43.6</v>
      </c>
      <c r="AI499" s="65"/>
      <c r="AJ499" s="65"/>
      <c r="AK499" s="65"/>
      <c r="AL499" s="65"/>
      <c r="AM499" s="65"/>
      <c r="AN499" s="65"/>
      <c r="AO499" s="65"/>
      <c r="AP499" s="65"/>
      <c r="AQ499" s="65"/>
    </row>
    <row r="500" spans="24:43">
      <c r="X500" s="79" t="s">
        <v>10897</v>
      </c>
      <c r="Y500" s="80">
        <v>2670</v>
      </c>
      <c r="Z500" s="81">
        <f t="shared" si="40"/>
        <v>2670</v>
      </c>
      <c r="AA500" s="79" t="s">
        <v>2082</v>
      </c>
      <c r="AB500" s="82">
        <f t="shared" si="41"/>
        <v>2670</v>
      </c>
      <c r="AC500" s="79" t="s">
        <v>2081</v>
      </c>
      <c r="AD500" s="82">
        <f t="shared" si="42"/>
        <v>0</v>
      </c>
      <c r="AE500" s="79" t="s">
        <v>2080</v>
      </c>
      <c r="AF500" s="82">
        <f t="shared" si="43"/>
        <v>0</v>
      </c>
      <c r="AG500" s="79" t="s">
        <v>2079</v>
      </c>
      <c r="AH500" s="81">
        <v>106.8</v>
      </c>
      <c r="AI500" s="65"/>
      <c r="AJ500" s="65"/>
      <c r="AK500" s="65"/>
      <c r="AL500" s="65"/>
      <c r="AM500" s="65"/>
      <c r="AN500" s="65"/>
      <c r="AO500" s="65"/>
      <c r="AP500" s="65"/>
      <c r="AQ500" s="65"/>
    </row>
    <row r="501" spans="24:43">
      <c r="X501" s="79" t="s">
        <v>10898</v>
      </c>
      <c r="Y501" s="80">
        <v>6000</v>
      </c>
      <c r="Z501" s="81">
        <f t="shared" si="40"/>
        <v>6000</v>
      </c>
      <c r="AA501" s="79" t="s">
        <v>2082</v>
      </c>
      <c r="AB501" s="82">
        <f t="shared" si="41"/>
        <v>6000</v>
      </c>
      <c r="AC501" s="79" t="s">
        <v>2081</v>
      </c>
      <c r="AD501" s="82">
        <f t="shared" si="42"/>
        <v>0</v>
      </c>
      <c r="AE501" s="79" t="s">
        <v>2080</v>
      </c>
      <c r="AF501" s="82">
        <f t="shared" si="43"/>
        <v>0</v>
      </c>
      <c r="AG501" s="79" t="s">
        <v>2079</v>
      </c>
      <c r="AH501" s="81">
        <v>240</v>
      </c>
      <c r="AI501" s="65"/>
      <c r="AJ501" s="65"/>
      <c r="AK501" s="65"/>
      <c r="AL501" s="65"/>
      <c r="AM501" s="65"/>
      <c r="AN501" s="65"/>
      <c r="AO501" s="65"/>
      <c r="AP501" s="65"/>
      <c r="AQ501" s="65"/>
    </row>
    <row r="502" spans="24:43">
      <c r="X502" s="79" t="s">
        <v>10899</v>
      </c>
      <c r="Y502" s="80">
        <v>4437.625</v>
      </c>
      <c r="Z502" s="81">
        <f t="shared" si="40"/>
        <v>4437.625</v>
      </c>
      <c r="AA502" s="79" t="s">
        <v>2082</v>
      </c>
      <c r="AB502" s="82">
        <f t="shared" si="41"/>
        <v>4437</v>
      </c>
      <c r="AC502" s="79" t="s">
        <v>2081</v>
      </c>
      <c r="AD502" s="82">
        <f t="shared" si="42"/>
        <v>6</v>
      </c>
      <c r="AE502" s="79" t="s">
        <v>2080</v>
      </c>
      <c r="AF502" s="82">
        <f t="shared" si="43"/>
        <v>2.5</v>
      </c>
      <c r="AG502" s="79" t="s">
        <v>2079</v>
      </c>
      <c r="AH502" s="81">
        <v>177.5</v>
      </c>
      <c r="AI502" s="65"/>
      <c r="AJ502" s="65"/>
      <c r="AK502" s="65"/>
      <c r="AL502" s="65"/>
      <c r="AM502" s="65"/>
      <c r="AN502" s="65"/>
      <c r="AO502" s="65"/>
      <c r="AP502" s="65"/>
      <c r="AQ502" s="65"/>
    </row>
    <row r="503" spans="24:43">
      <c r="X503" s="79" t="s">
        <v>10900</v>
      </c>
      <c r="Y503" s="80">
        <v>4237.625</v>
      </c>
      <c r="Z503" s="81">
        <f t="shared" si="40"/>
        <v>4237.625</v>
      </c>
      <c r="AA503" s="79" t="s">
        <v>2082</v>
      </c>
      <c r="AB503" s="82">
        <f t="shared" si="41"/>
        <v>4237</v>
      </c>
      <c r="AC503" s="79" t="s">
        <v>2081</v>
      </c>
      <c r="AD503" s="82">
        <f t="shared" si="42"/>
        <v>6</v>
      </c>
      <c r="AE503" s="79" t="s">
        <v>2080</v>
      </c>
      <c r="AF503" s="82">
        <f t="shared" si="43"/>
        <v>2.5</v>
      </c>
      <c r="AG503" s="79" t="s">
        <v>2079</v>
      </c>
      <c r="AH503" s="81">
        <v>169.5</v>
      </c>
      <c r="AI503" s="65"/>
      <c r="AJ503" s="65"/>
      <c r="AK503" s="65"/>
      <c r="AL503" s="65"/>
      <c r="AM503" s="65"/>
      <c r="AN503" s="65"/>
      <c r="AO503" s="65"/>
      <c r="AP503" s="65"/>
      <c r="AQ503" s="65"/>
    </row>
    <row r="504" spans="24:43">
      <c r="X504" s="79" t="s">
        <v>10901</v>
      </c>
      <c r="Y504" s="80">
        <v>4687.625</v>
      </c>
      <c r="Z504" s="81">
        <f t="shared" si="40"/>
        <v>4687.625</v>
      </c>
      <c r="AA504" s="79" t="s">
        <v>2082</v>
      </c>
      <c r="AB504" s="82">
        <f t="shared" si="41"/>
        <v>4687</v>
      </c>
      <c r="AC504" s="79" t="s">
        <v>2081</v>
      </c>
      <c r="AD504" s="82">
        <f t="shared" si="42"/>
        <v>6</v>
      </c>
      <c r="AE504" s="79" t="s">
        <v>2080</v>
      </c>
      <c r="AF504" s="82">
        <f t="shared" si="43"/>
        <v>2.5</v>
      </c>
      <c r="AG504" s="79" t="s">
        <v>2079</v>
      </c>
      <c r="AH504" s="81">
        <v>187.5</v>
      </c>
      <c r="AI504" s="65"/>
      <c r="AJ504" s="65"/>
      <c r="AK504" s="65"/>
      <c r="AL504" s="65"/>
      <c r="AM504" s="65"/>
      <c r="AN504" s="65"/>
      <c r="AO504" s="65"/>
      <c r="AP504" s="65"/>
      <c r="AQ504" s="65"/>
    </row>
    <row r="505" spans="24:43">
      <c r="X505" s="79" t="s">
        <v>10902</v>
      </c>
      <c r="Y505" s="80">
        <v>18625.125</v>
      </c>
      <c r="Z505" s="81">
        <f t="shared" si="40"/>
        <v>18625.125</v>
      </c>
      <c r="AA505" s="79" t="s">
        <v>2082</v>
      </c>
      <c r="AB505" s="82">
        <f t="shared" si="41"/>
        <v>18625</v>
      </c>
      <c r="AC505" s="79" t="s">
        <v>2081</v>
      </c>
      <c r="AD505" s="82">
        <f t="shared" si="42"/>
        <v>1</v>
      </c>
      <c r="AE505" s="79" t="s">
        <v>2080</v>
      </c>
      <c r="AF505" s="82">
        <f t="shared" si="43"/>
        <v>2.5</v>
      </c>
      <c r="AG505" s="79" t="s">
        <v>2079</v>
      </c>
      <c r="AH505" s="81">
        <v>745</v>
      </c>
      <c r="AI505" s="65"/>
      <c r="AJ505" s="65"/>
      <c r="AK505" s="65"/>
      <c r="AL505" s="65"/>
      <c r="AM505" s="65"/>
      <c r="AN505" s="65"/>
      <c r="AO505" s="65"/>
      <c r="AP505" s="65"/>
      <c r="AQ505" s="65"/>
    </row>
    <row r="506" spans="24:43">
      <c r="X506" s="79" t="s">
        <v>10903</v>
      </c>
      <c r="Y506" s="80">
        <v>640</v>
      </c>
      <c r="Z506" s="81">
        <f t="shared" si="40"/>
        <v>640</v>
      </c>
      <c r="AA506" s="79" t="s">
        <v>2082</v>
      </c>
      <c r="AB506" s="82">
        <f t="shared" si="41"/>
        <v>640</v>
      </c>
      <c r="AC506" s="79" t="s">
        <v>2081</v>
      </c>
      <c r="AD506" s="82">
        <f t="shared" si="42"/>
        <v>0</v>
      </c>
      <c r="AE506" s="79" t="s">
        <v>2080</v>
      </c>
      <c r="AF506" s="82">
        <f t="shared" si="43"/>
        <v>0</v>
      </c>
      <c r="AG506" s="79" t="s">
        <v>2079</v>
      </c>
      <c r="AH506" s="81">
        <v>25.6</v>
      </c>
      <c r="AI506" s="65"/>
      <c r="AJ506" s="65"/>
      <c r="AK506" s="65"/>
      <c r="AL506" s="65"/>
      <c r="AM506" s="65"/>
      <c r="AN506" s="65"/>
      <c r="AO506" s="65"/>
      <c r="AP506" s="65"/>
      <c r="AQ506" s="65"/>
    </row>
    <row r="507" spans="24:43">
      <c r="X507" s="79" t="s">
        <v>10904</v>
      </c>
      <c r="Y507" s="80">
        <v>300</v>
      </c>
      <c r="Z507" s="81">
        <f t="shared" si="40"/>
        <v>300</v>
      </c>
      <c r="AA507" s="79" t="s">
        <v>2082</v>
      </c>
      <c r="AB507" s="82">
        <f t="shared" si="41"/>
        <v>300</v>
      </c>
      <c r="AC507" s="79" t="s">
        <v>2081</v>
      </c>
      <c r="AD507" s="82">
        <f t="shared" si="42"/>
        <v>0</v>
      </c>
      <c r="AE507" s="79" t="s">
        <v>2080</v>
      </c>
      <c r="AF507" s="82">
        <f t="shared" si="43"/>
        <v>0</v>
      </c>
      <c r="AG507" s="79" t="s">
        <v>2079</v>
      </c>
      <c r="AH507" s="81">
        <v>12</v>
      </c>
      <c r="AI507" s="65"/>
      <c r="AJ507" s="65"/>
      <c r="AK507" s="65"/>
      <c r="AL507" s="65"/>
      <c r="AM507" s="65"/>
      <c r="AN507" s="65"/>
      <c r="AO507" s="65"/>
      <c r="AP507" s="65"/>
      <c r="AQ507" s="65"/>
    </row>
    <row r="508" spans="24:43">
      <c r="X508" s="79" t="s">
        <v>10905</v>
      </c>
      <c r="Y508" s="80">
        <v>16575.125</v>
      </c>
      <c r="Z508" s="81">
        <f t="shared" si="40"/>
        <v>16575.125</v>
      </c>
      <c r="AA508" s="79" t="s">
        <v>2082</v>
      </c>
      <c r="AB508" s="82">
        <f t="shared" si="41"/>
        <v>16575</v>
      </c>
      <c r="AC508" s="79" t="s">
        <v>2081</v>
      </c>
      <c r="AD508" s="82">
        <f t="shared" si="42"/>
        <v>1</v>
      </c>
      <c r="AE508" s="79" t="s">
        <v>2080</v>
      </c>
      <c r="AF508" s="82">
        <f t="shared" si="43"/>
        <v>2.5</v>
      </c>
      <c r="AG508" s="79" t="s">
        <v>2079</v>
      </c>
      <c r="AH508" s="81">
        <v>663</v>
      </c>
      <c r="AI508" s="65"/>
      <c r="AJ508" s="65"/>
      <c r="AK508" s="65"/>
      <c r="AL508" s="65"/>
      <c r="AM508" s="65"/>
      <c r="AN508" s="65"/>
      <c r="AO508" s="65"/>
      <c r="AP508" s="65"/>
      <c r="AQ508" s="65"/>
    </row>
    <row r="509" spans="24:43">
      <c r="X509" s="79" t="s">
        <v>10906</v>
      </c>
      <c r="Y509" s="80">
        <v>400</v>
      </c>
      <c r="Z509" s="81">
        <f t="shared" si="40"/>
        <v>400</v>
      </c>
      <c r="AA509" s="79" t="s">
        <v>2082</v>
      </c>
      <c r="AB509" s="82">
        <f t="shared" si="41"/>
        <v>400</v>
      </c>
      <c r="AC509" s="79" t="s">
        <v>2081</v>
      </c>
      <c r="AD509" s="82">
        <f t="shared" si="42"/>
        <v>0</v>
      </c>
      <c r="AE509" s="79" t="s">
        <v>2080</v>
      </c>
      <c r="AF509" s="82">
        <f t="shared" si="43"/>
        <v>0</v>
      </c>
      <c r="AG509" s="79" t="s">
        <v>2079</v>
      </c>
      <c r="AH509" s="81">
        <v>16</v>
      </c>
      <c r="AI509" s="65"/>
      <c r="AJ509" s="65"/>
      <c r="AK509" s="65"/>
      <c r="AL509" s="65"/>
      <c r="AM509" s="65"/>
      <c r="AN509" s="65"/>
      <c r="AO509" s="65"/>
      <c r="AP509" s="65"/>
      <c r="AQ509" s="65"/>
    </row>
    <row r="510" spans="24:43">
      <c r="X510" s="79" t="s">
        <v>10907</v>
      </c>
      <c r="Y510" s="80">
        <v>1200</v>
      </c>
      <c r="Z510" s="81">
        <f t="shared" si="40"/>
        <v>1200</v>
      </c>
      <c r="AA510" s="79" t="s">
        <v>2082</v>
      </c>
      <c r="AB510" s="82">
        <f t="shared" si="41"/>
        <v>1200</v>
      </c>
      <c r="AC510" s="79" t="s">
        <v>2081</v>
      </c>
      <c r="AD510" s="82">
        <f t="shared" si="42"/>
        <v>0</v>
      </c>
      <c r="AE510" s="79" t="s">
        <v>2080</v>
      </c>
      <c r="AF510" s="82">
        <f t="shared" si="43"/>
        <v>0</v>
      </c>
      <c r="AG510" s="79" t="s">
        <v>2079</v>
      </c>
      <c r="AH510" s="81">
        <v>48</v>
      </c>
      <c r="AI510" s="65"/>
      <c r="AJ510" s="65"/>
      <c r="AK510" s="65"/>
      <c r="AL510" s="65"/>
      <c r="AM510" s="65"/>
      <c r="AN510" s="65"/>
      <c r="AO510" s="65"/>
      <c r="AP510" s="65"/>
      <c r="AQ510" s="65"/>
    </row>
    <row r="511" spans="24:43">
      <c r="X511" s="79" t="s">
        <v>10908</v>
      </c>
      <c r="Y511" s="80">
        <v>1380</v>
      </c>
      <c r="Z511" s="81">
        <f t="shared" si="40"/>
        <v>1380</v>
      </c>
      <c r="AA511" s="79" t="s">
        <v>2082</v>
      </c>
      <c r="AB511" s="82">
        <f t="shared" si="41"/>
        <v>1380</v>
      </c>
      <c r="AC511" s="79" t="s">
        <v>2081</v>
      </c>
      <c r="AD511" s="82">
        <f t="shared" si="42"/>
        <v>0</v>
      </c>
      <c r="AE511" s="79" t="s">
        <v>2080</v>
      </c>
      <c r="AF511" s="82">
        <f t="shared" si="43"/>
        <v>0</v>
      </c>
      <c r="AG511" s="79" t="s">
        <v>2079</v>
      </c>
      <c r="AH511" s="81">
        <v>55.2</v>
      </c>
      <c r="AI511" s="65"/>
      <c r="AJ511" s="65"/>
      <c r="AK511" s="65"/>
      <c r="AL511" s="65"/>
      <c r="AM511" s="65"/>
      <c r="AN511" s="65"/>
      <c r="AO511" s="65"/>
      <c r="AP511" s="65"/>
      <c r="AQ511" s="65"/>
    </row>
    <row r="512" spans="24:43">
      <c r="X512" s="79" t="s">
        <v>10909</v>
      </c>
      <c r="Y512" s="80">
        <v>60</v>
      </c>
      <c r="Z512" s="81">
        <f t="shared" si="40"/>
        <v>60</v>
      </c>
      <c r="AA512" s="79" t="s">
        <v>2082</v>
      </c>
      <c r="AB512" s="82">
        <f t="shared" si="41"/>
        <v>60</v>
      </c>
      <c r="AC512" s="79" t="s">
        <v>2081</v>
      </c>
      <c r="AD512" s="82">
        <f t="shared" si="42"/>
        <v>0</v>
      </c>
      <c r="AE512" s="79" t="s">
        <v>2080</v>
      </c>
      <c r="AF512" s="82">
        <f t="shared" si="43"/>
        <v>0</v>
      </c>
      <c r="AG512" s="79" t="s">
        <v>2079</v>
      </c>
      <c r="AH512" s="81">
        <v>2.4</v>
      </c>
      <c r="AI512" s="65"/>
      <c r="AJ512" s="65"/>
      <c r="AK512" s="65"/>
      <c r="AL512" s="65"/>
      <c r="AM512" s="65"/>
      <c r="AN512" s="65"/>
      <c r="AO512" s="65"/>
      <c r="AP512" s="65"/>
      <c r="AQ512" s="65"/>
    </row>
    <row r="513" spans="24:43">
      <c r="X513" s="79" t="s">
        <v>10910</v>
      </c>
      <c r="Y513" s="80">
        <v>290</v>
      </c>
      <c r="Z513" s="81">
        <f t="shared" si="40"/>
        <v>290</v>
      </c>
      <c r="AA513" s="79" t="s">
        <v>2082</v>
      </c>
      <c r="AB513" s="82">
        <f t="shared" si="41"/>
        <v>290</v>
      </c>
      <c r="AC513" s="79" t="s">
        <v>2081</v>
      </c>
      <c r="AD513" s="82">
        <f t="shared" si="42"/>
        <v>0</v>
      </c>
      <c r="AE513" s="79" t="s">
        <v>2080</v>
      </c>
      <c r="AF513" s="82">
        <f t="shared" si="43"/>
        <v>0</v>
      </c>
      <c r="AG513" s="79" t="s">
        <v>2079</v>
      </c>
      <c r="AH513" s="81">
        <v>11.6</v>
      </c>
      <c r="AI513" s="65"/>
      <c r="AJ513" s="65"/>
      <c r="AK513" s="65"/>
      <c r="AL513" s="65"/>
      <c r="AM513" s="65"/>
      <c r="AN513" s="65"/>
      <c r="AO513" s="65"/>
      <c r="AP513" s="65"/>
      <c r="AQ513" s="65"/>
    </row>
    <row r="514" spans="24:43">
      <c r="X514" s="79" t="s">
        <v>10911</v>
      </c>
      <c r="Y514" s="80">
        <v>112500.5</v>
      </c>
      <c r="Z514" s="81">
        <f t="shared" si="40"/>
        <v>112500.5</v>
      </c>
      <c r="AA514" s="79" t="s">
        <v>2082</v>
      </c>
      <c r="AB514" s="82">
        <f t="shared" si="41"/>
        <v>112500</v>
      </c>
      <c r="AC514" s="79" t="s">
        <v>2081</v>
      </c>
      <c r="AD514" s="82">
        <f t="shared" si="42"/>
        <v>5</v>
      </c>
      <c r="AE514" s="79" t="s">
        <v>2080</v>
      </c>
      <c r="AF514" s="82">
        <f t="shared" si="43"/>
        <v>0</v>
      </c>
      <c r="AG514" s="79" t="s">
        <v>2079</v>
      </c>
      <c r="AH514" s="81">
        <v>4500.0200000000004</v>
      </c>
      <c r="AI514" s="65"/>
      <c r="AJ514" s="65"/>
      <c r="AK514" s="65"/>
      <c r="AL514" s="65"/>
      <c r="AM514" s="65"/>
      <c r="AN514" s="65"/>
      <c r="AO514" s="65"/>
      <c r="AP514" s="65"/>
      <c r="AQ514" s="65"/>
    </row>
    <row r="515" spans="24:43">
      <c r="X515" s="79" t="s">
        <v>10912</v>
      </c>
      <c r="Y515" s="80">
        <v>42.5</v>
      </c>
      <c r="Z515" s="81">
        <f t="shared" ref="Z515:Z578" si="44">Y515*$AK$6*$AK$11</f>
        <v>42.5</v>
      </c>
      <c r="AA515" s="79" t="s">
        <v>2082</v>
      </c>
      <c r="AB515" s="82">
        <f t="shared" ref="AB515:AB578" si="45">_xlfn.FLOOR.MATH(Z515,1)</f>
        <v>42</v>
      </c>
      <c r="AC515" s="79" t="s">
        <v>2081</v>
      </c>
      <c r="AD515" s="82">
        <f t="shared" ref="AD515:AD578" si="46">_xlfn.FLOOR.MATH(((Z515-AB515)*10), 1)</f>
        <v>5</v>
      </c>
      <c r="AE515" s="79" t="s">
        <v>2080</v>
      </c>
      <c r="AF515" s="82">
        <f t="shared" ref="AF515:AF578" si="47">((Z515-AB515)*10-AD515)*10</f>
        <v>0</v>
      </c>
      <c r="AG515" s="79" t="s">
        <v>2079</v>
      </c>
      <c r="AH515" s="81">
        <v>1.7</v>
      </c>
      <c r="AI515" s="65"/>
      <c r="AJ515" s="65"/>
      <c r="AK515" s="65"/>
      <c r="AL515" s="65"/>
      <c r="AM515" s="65"/>
      <c r="AN515" s="65"/>
      <c r="AO515" s="65"/>
      <c r="AP515" s="65"/>
      <c r="AQ515" s="65"/>
    </row>
    <row r="516" spans="24:43">
      <c r="X516" s="79" t="s">
        <v>10913</v>
      </c>
      <c r="Y516" s="80">
        <v>6875.25</v>
      </c>
      <c r="Z516" s="81">
        <f t="shared" si="44"/>
        <v>6875.25</v>
      </c>
      <c r="AA516" s="79" t="s">
        <v>2082</v>
      </c>
      <c r="AB516" s="82">
        <f t="shared" si="45"/>
        <v>6875</v>
      </c>
      <c r="AC516" s="79" t="s">
        <v>2081</v>
      </c>
      <c r="AD516" s="82">
        <f t="shared" si="46"/>
        <v>2</v>
      </c>
      <c r="AE516" s="79" t="s">
        <v>2080</v>
      </c>
      <c r="AF516" s="82">
        <f t="shared" si="47"/>
        <v>5</v>
      </c>
      <c r="AG516" s="79" t="s">
        <v>2079</v>
      </c>
      <c r="AH516" s="81">
        <v>275.01</v>
      </c>
      <c r="AI516" s="65"/>
      <c r="AJ516" s="65"/>
      <c r="AK516" s="65"/>
      <c r="AL516" s="65"/>
      <c r="AM516" s="65"/>
      <c r="AN516" s="65"/>
      <c r="AO516" s="65"/>
      <c r="AP516" s="65"/>
      <c r="AQ516" s="65"/>
    </row>
    <row r="517" spans="24:43">
      <c r="X517" s="79" t="s">
        <v>10913</v>
      </c>
      <c r="Y517" s="80">
        <v>6875.25</v>
      </c>
      <c r="Z517" s="81">
        <f t="shared" si="44"/>
        <v>6875.25</v>
      </c>
      <c r="AA517" s="79" t="s">
        <v>2082</v>
      </c>
      <c r="AB517" s="82">
        <f t="shared" si="45"/>
        <v>6875</v>
      </c>
      <c r="AC517" s="79" t="s">
        <v>2081</v>
      </c>
      <c r="AD517" s="82">
        <f t="shared" si="46"/>
        <v>2</v>
      </c>
      <c r="AE517" s="79" t="s">
        <v>2080</v>
      </c>
      <c r="AF517" s="82">
        <f t="shared" si="47"/>
        <v>5</v>
      </c>
      <c r="AG517" s="79" t="s">
        <v>2079</v>
      </c>
      <c r="AH517" s="81">
        <v>275.01</v>
      </c>
      <c r="AI517" s="65"/>
      <c r="AJ517" s="65"/>
      <c r="AK517" s="65"/>
      <c r="AL517" s="65"/>
      <c r="AM517" s="65"/>
      <c r="AN517" s="65"/>
      <c r="AO517" s="65"/>
      <c r="AP517" s="65"/>
      <c r="AQ517" s="65"/>
    </row>
    <row r="518" spans="24:43">
      <c r="X518" s="79" t="s">
        <v>10914</v>
      </c>
      <c r="Y518" s="80">
        <v>325.25</v>
      </c>
      <c r="Z518" s="81">
        <f t="shared" si="44"/>
        <v>325.25</v>
      </c>
      <c r="AA518" s="79" t="s">
        <v>2082</v>
      </c>
      <c r="AB518" s="82">
        <f t="shared" si="45"/>
        <v>325</v>
      </c>
      <c r="AC518" s="79" t="s">
        <v>2081</v>
      </c>
      <c r="AD518" s="82">
        <f t="shared" si="46"/>
        <v>2</v>
      </c>
      <c r="AE518" s="79" t="s">
        <v>2080</v>
      </c>
      <c r="AF518" s="82">
        <f t="shared" si="47"/>
        <v>5</v>
      </c>
      <c r="AG518" s="79" t="s">
        <v>2079</v>
      </c>
      <c r="AH518" s="81">
        <v>13.01</v>
      </c>
      <c r="AI518" s="65"/>
      <c r="AJ518" s="65"/>
      <c r="AK518" s="65"/>
      <c r="AL518" s="65"/>
      <c r="AM518" s="65"/>
      <c r="AN518" s="65"/>
      <c r="AO518" s="65"/>
      <c r="AP518" s="65"/>
      <c r="AQ518" s="65"/>
    </row>
    <row r="519" spans="24:43">
      <c r="X519" s="79" t="s">
        <v>10915</v>
      </c>
      <c r="Y519" s="80">
        <v>80</v>
      </c>
      <c r="Z519" s="81">
        <f t="shared" si="44"/>
        <v>80</v>
      </c>
      <c r="AA519" s="79" t="s">
        <v>2082</v>
      </c>
      <c r="AB519" s="82">
        <f t="shared" si="45"/>
        <v>80</v>
      </c>
      <c r="AC519" s="79" t="s">
        <v>2081</v>
      </c>
      <c r="AD519" s="82">
        <f t="shared" si="46"/>
        <v>0</v>
      </c>
      <c r="AE519" s="79" t="s">
        <v>2080</v>
      </c>
      <c r="AF519" s="82">
        <f t="shared" si="47"/>
        <v>0</v>
      </c>
      <c r="AG519" s="79" t="s">
        <v>2079</v>
      </c>
      <c r="AH519" s="81">
        <v>3.2</v>
      </c>
      <c r="AI519" s="65"/>
      <c r="AJ519" s="65"/>
      <c r="AK519" s="65"/>
      <c r="AL519" s="65"/>
      <c r="AM519" s="65"/>
      <c r="AN519" s="65"/>
      <c r="AO519" s="65"/>
      <c r="AP519" s="65"/>
      <c r="AQ519" s="65"/>
    </row>
    <row r="520" spans="24:43">
      <c r="X520" s="79" t="s">
        <v>10915</v>
      </c>
      <c r="Y520" s="80">
        <v>80</v>
      </c>
      <c r="Z520" s="81">
        <f t="shared" si="44"/>
        <v>80</v>
      </c>
      <c r="AA520" s="79" t="s">
        <v>2082</v>
      </c>
      <c r="AB520" s="82">
        <f t="shared" si="45"/>
        <v>80</v>
      </c>
      <c r="AC520" s="79" t="s">
        <v>2081</v>
      </c>
      <c r="AD520" s="82">
        <f t="shared" si="46"/>
        <v>0</v>
      </c>
      <c r="AE520" s="79" t="s">
        <v>2080</v>
      </c>
      <c r="AF520" s="82">
        <f t="shared" si="47"/>
        <v>0</v>
      </c>
      <c r="AG520" s="79" t="s">
        <v>2079</v>
      </c>
      <c r="AH520" s="81">
        <v>3.2</v>
      </c>
      <c r="AI520" s="65"/>
      <c r="AJ520" s="65"/>
      <c r="AK520" s="65"/>
      <c r="AL520" s="65"/>
      <c r="AM520" s="65"/>
      <c r="AN520" s="65"/>
      <c r="AO520" s="65"/>
      <c r="AP520" s="65"/>
      <c r="AQ520" s="65"/>
    </row>
    <row r="521" spans="24:43">
      <c r="X521" s="79" t="s">
        <v>10915</v>
      </c>
      <c r="Y521" s="80">
        <v>60</v>
      </c>
      <c r="Z521" s="81">
        <f t="shared" si="44"/>
        <v>60</v>
      </c>
      <c r="AA521" s="79" t="s">
        <v>2082</v>
      </c>
      <c r="AB521" s="82">
        <f t="shared" si="45"/>
        <v>60</v>
      </c>
      <c r="AC521" s="79" t="s">
        <v>2081</v>
      </c>
      <c r="AD521" s="82">
        <f t="shared" si="46"/>
        <v>0</v>
      </c>
      <c r="AE521" s="79" t="s">
        <v>2080</v>
      </c>
      <c r="AF521" s="82">
        <f t="shared" si="47"/>
        <v>0</v>
      </c>
      <c r="AG521" s="79" t="s">
        <v>2079</v>
      </c>
      <c r="AH521" s="81">
        <v>2.4</v>
      </c>
      <c r="AI521" s="65"/>
      <c r="AJ521" s="65"/>
      <c r="AK521" s="65"/>
      <c r="AL521" s="65"/>
      <c r="AM521" s="65"/>
      <c r="AN521" s="65"/>
      <c r="AO521" s="65"/>
      <c r="AP521" s="65"/>
      <c r="AQ521" s="65"/>
    </row>
    <row r="522" spans="24:43">
      <c r="X522" s="79" t="s">
        <v>10916</v>
      </c>
      <c r="Y522" s="80">
        <v>6875.25</v>
      </c>
      <c r="Z522" s="81">
        <f t="shared" si="44"/>
        <v>6875.25</v>
      </c>
      <c r="AA522" s="79" t="s">
        <v>2082</v>
      </c>
      <c r="AB522" s="82">
        <f t="shared" si="45"/>
        <v>6875</v>
      </c>
      <c r="AC522" s="79" t="s">
        <v>2081</v>
      </c>
      <c r="AD522" s="82">
        <f t="shared" si="46"/>
        <v>2</v>
      </c>
      <c r="AE522" s="79" t="s">
        <v>2080</v>
      </c>
      <c r="AF522" s="82">
        <f t="shared" si="47"/>
        <v>5</v>
      </c>
      <c r="AG522" s="79" t="s">
        <v>2079</v>
      </c>
      <c r="AH522" s="81">
        <v>275.01</v>
      </c>
      <c r="AI522" s="65"/>
      <c r="AJ522" s="65"/>
      <c r="AK522" s="65"/>
      <c r="AL522" s="65"/>
      <c r="AM522" s="65"/>
      <c r="AN522" s="65"/>
      <c r="AO522" s="65"/>
      <c r="AP522" s="65"/>
      <c r="AQ522" s="65"/>
    </row>
    <row r="523" spans="24:43">
      <c r="X523" s="79" t="s">
        <v>10917</v>
      </c>
      <c r="Y523" s="80">
        <v>325.25</v>
      </c>
      <c r="Z523" s="81">
        <f t="shared" si="44"/>
        <v>325.25</v>
      </c>
      <c r="AA523" s="79" t="s">
        <v>2082</v>
      </c>
      <c r="AB523" s="82">
        <f t="shared" si="45"/>
        <v>325</v>
      </c>
      <c r="AC523" s="79" t="s">
        <v>2081</v>
      </c>
      <c r="AD523" s="82">
        <f t="shared" si="46"/>
        <v>2</v>
      </c>
      <c r="AE523" s="79" t="s">
        <v>2080</v>
      </c>
      <c r="AF523" s="82">
        <f t="shared" si="47"/>
        <v>5</v>
      </c>
      <c r="AG523" s="79" t="s">
        <v>2079</v>
      </c>
      <c r="AH523" s="81">
        <v>13.01</v>
      </c>
      <c r="AI523" s="65"/>
      <c r="AJ523" s="65"/>
      <c r="AK523" s="65"/>
      <c r="AL523" s="65"/>
      <c r="AM523" s="65"/>
      <c r="AN523" s="65"/>
      <c r="AO523" s="65"/>
      <c r="AP523" s="65"/>
      <c r="AQ523" s="65"/>
    </row>
    <row r="524" spans="24:43">
      <c r="X524" s="79" t="s">
        <v>10918</v>
      </c>
      <c r="Y524" s="80">
        <v>287.625</v>
      </c>
      <c r="Z524" s="81">
        <f t="shared" si="44"/>
        <v>287.625</v>
      </c>
      <c r="AA524" s="79" t="s">
        <v>2082</v>
      </c>
      <c r="AB524" s="82">
        <f t="shared" si="45"/>
        <v>287</v>
      </c>
      <c r="AC524" s="79" t="s">
        <v>2081</v>
      </c>
      <c r="AD524" s="82">
        <f t="shared" si="46"/>
        <v>6</v>
      </c>
      <c r="AE524" s="79" t="s">
        <v>2080</v>
      </c>
      <c r="AF524" s="82">
        <f t="shared" si="47"/>
        <v>2.5</v>
      </c>
      <c r="AG524" s="79" t="s">
        <v>2079</v>
      </c>
      <c r="AH524" s="81">
        <v>11.5</v>
      </c>
      <c r="AI524" s="65"/>
      <c r="AJ524" s="65"/>
      <c r="AK524" s="65"/>
      <c r="AL524" s="65"/>
      <c r="AM524" s="65"/>
      <c r="AN524" s="65"/>
      <c r="AO524" s="65"/>
      <c r="AP524" s="65"/>
      <c r="AQ524" s="65"/>
    </row>
    <row r="525" spans="24:43">
      <c r="X525" s="79" t="s">
        <v>10919</v>
      </c>
      <c r="Y525" s="80">
        <v>68750.25</v>
      </c>
      <c r="Z525" s="81">
        <f t="shared" si="44"/>
        <v>68750.25</v>
      </c>
      <c r="AA525" s="79" t="s">
        <v>2082</v>
      </c>
      <c r="AB525" s="82">
        <f t="shared" si="45"/>
        <v>68750</v>
      </c>
      <c r="AC525" s="79" t="s">
        <v>2081</v>
      </c>
      <c r="AD525" s="82">
        <f t="shared" si="46"/>
        <v>2</v>
      </c>
      <c r="AE525" s="79" t="s">
        <v>2080</v>
      </c>
      <c r="AF525" s="82">
        <f t="shared" si="47"/>
        <v>5</v>
      </c>
      <c r="AG525" s="79" t="s">
        <v>2079</v>
      </c>
      <c r="AH525" s="81">
        <v>2750.01</v>
      </c>
      <c r="AI525" s="65"/>
      <c r="AJ525" s="65"/>
      <c r="AK525" s="65"/>
      <c r="AL525" s="65"/>
      <c r="AM525" s="65"/>
      <c r="AN525" s="65"/>
      <c r="AO525" s="65"/>
      <c r="AP525" s="65"/>
      <c r="AQ525" s="65"/>
    </row>
    <row r="526" spans="24:43">
      <c r="X526" s="79" t="s">
        <v>10920</v>
      </c>
      <c r="Y526" s="80">
        <v>525</v>
      </c>
      <c r="Z526" s="81">
        <f t="shared" si="44"/>
        <v>525</v>
      </c>
      <c r="AA526" s="79" t="s">
        <v>2082</v>
      </c>
      <c r="AB526" s="82">
        <f t="shared" si="45"/>
        <v>525</v>
      </c>
      <c r="AC526" s="79" t="s">
        <v>2081</v>
      </c>
      <c r="AD526" s="82">
        <f t="shared" si="46"/>
        <v>0</v>
      </c>
      <c r="AE526" s="79" t="s">
        <v>2080</v>
      </c>
      <c r="AF526" s="82">
        <f t="shared" si="47"/>
        <v>0</v>
      </c>
      <c r="AG526" s="79" t="s">
        <v>2079</v>
      </c>
      <c r="AH526" s="81">
        <v>21</v>
      </c>
      <c r="AI526" s="65"/>
      <c r="AJ526" s="65"/>
      <c r="AK526" s="65"/>
      <c r="AL526" s="65"/>
      <c r="AM526" s="65"/>
      <c r="AN526" s="65"/>
      <c r="AO526" s="65"/>
      <c r="AP526" s="65"/>
      <c r="AQ526" s="65"/>
    </row>
    <row r="527" spans="24:43">
      <c r="X527" s="79" t="s">
        <v>10921</v>
      </c>
      <c r="Y527" s="80">
        <v>2000</v>
      </c>
      <c r="Z527" s="81">
        <f t="shared" si="44"/>
        <v>2000</v>
      </c>
      <c r="AA527" s="79" t="s">
        <v>2082</v>
      </c>
      <c r="AB527" s="82">
        <f t="shared" si="45"/>
        <v>2000</v>
      </c>
      <c r="AC527" s="79" t="s">
        <v>2081</v>
      </c>
      <c r="AD527" s="82">
        <f t="shared" si="46"/>
        <v>0</v>
      </c>
      <c r="AE527" s="79" t="s">
        <v>2080</v>
      </c>
      <c r="AF527" s="82">
        <f t="shared" si="47"/>
        <v>0</v>
      </c>
      <c r="AG527" s="79" t="s">
        <v>2079</v>
      </c>
      <c r="AH527" s="81">
        <v>80</v>
      </c>
      <c r="AI527" s="65"/>
      <c r="AJ527" s="65"/>
      <c r="AK527" s="65"/>
      <c r="AL527" s="65"/>
      <c r="AM527" s="65"/>
      <c r="AN527" s="65"/>
      <c r="AO527" s="65"/>
      <c r="AP527" s="65"/>
      <c r="AQ527" s="65"/>
    </row>
    <row r="528" spans="24:43">
      <c r="X528" s="79" t="s">
        <v>10922</v>
      </c>
      <c r="Y528" s="80">
        <v>625</v>
      </c>
      <c r="Z528" s="81">
        <f t="shared" si="44"/>
        <v>625</v>
      </c>
      <c r="AA528" s="79" t="s">
        <v>2082</v>
      </c>
      <c r="AB528" s="82">
        <f t="shared" si="45"/>
        <v>625</v>
      </c>
      <c r="AC528" s="79" t="s">
        <v>2081</v>
      </c>
      <c r="AD528" s="82">
        <f t="shared" si="46"/>
        <v>0</v>
      </c>
      <c r="AE528" s="79" t="s">
        <v>2080</v>
      </c>
      <c r="AF528" s="82">
        <f t="shared" si="47"/>
        <v>0</v>
      </c>
      <c r="AG528" s="79" t="s">
        <v>2079</v>
      </c>
      <c r="AH528" s="81">
        <v>25</v>
      </c>
      <c r="AI528" s="65"/>
      <c r="AJ528" s="65"/>
      <c r="AK528" s="65"/>
      <c r="AL528" s="65"/>
      <c r="AM528" s="65"/>
      <c r="AN528" s="65"/>
      <c r="AO528" s="65"/>
      <c r="AP528" s="65"/>
      <c r="AQ528" s="65"/>
    </row>
    <row r="529" spans="24:43">
      <c r="X529" s="79" t="s">
        <v>10923</v>
      </c>
      <c r="Y529" s="80">
        <v>2000</v>
      </c>
      <c r="Z529" s="81">
        <f t="shared" si="44"/>
        <v>2000</v>
      </c>
      <c r="AA529" s="79" t="s">
        <v>2082</v>
      </c>
      <c r="AB529" s="82">
        <f t="shared" si="45"/>
        <v>2000</v>
      </c>
      <c r="AC529" s="79" t="s">
        <v>2081</v>
      </c>
      <c r="AD529" s="82">
        <f t="shared" si="46"/>
        <v>0</v>
      </c>
      <c r="AE529" s="79" t="s">
        <v>2080</v>
      </c>
      <c r="AF529" s="82">
        <f t="shared" si="47"/>
        <v>0</v>
      </c>
      <c r="AG529" s="79" t="s">
        <v>2079</v>
      </c>
      <c r="AH529" s="81">
        <v>80</v>
      </c>
      <c r="AI529" s="65"/>
      <c r="AJ529" s="65"/>
      <c r="AK529" s="65"/>
      <c r="AL529" s="65"/>
      <c r="AM529" s="65"/>
      <c r="AN529" s="65"/>
      <c r="AO529" s="65"/>
      <c r="AP529" s="65"/>
      <c r="AQ529" s="65"/>
    </row>
    <row r="530" spans="24:43">
      <c r="X530" s="79" t="s">
        <v>10924</v>
      </c>
      <c r="Y530" s="80">
        <v>625</v>
      </c>
      <c r="Z530" s="81">
        <f t="shared" si="44"/>
        <v>625</v>
      </c>
      <c r="AA530" s="79" t="s">
        <v>2082</v>
      </c>
      <c r="AB530" s="82">
        <f t="shared" si="45"/>
        <v>625</v>
      </c>
      <c r="AC530" s="79" t="s">
        <v>2081</v>
      </c>
      <c r="AD530" s="82">
        <f t="shared" si="46"/>
        <v>0</v>
      </c>
      <c r="AE530" s="79" t="s">
        <v>2080</v>
      </c>
      <c r="AF530" s="82">
        <f t="shared" si="47"/>
        <v>0</v>
      </c>
      <c r="AG530" s="79" t="s">
        <v>2079</v>
      </c>
      <c r="AH530" s="81">
        <v>25</v>
      </c>
      <c r="AI530" s="65"/>
      <c r="AJ530" s="65"/>
      <c r="AK530" s="65"/>
      <c r="AL530" s="65"/>
      <c r="AM530" s="65"/>
      <c r="AN530" s="65"/>
      <c r="AO530" s="65"/>
      <c r="AP530" s="65"/>
      <c r="AQ530" s="65"/>
    </row>
    <row r="531" spans="24:43">
      <c r="X531" s="79" t="s">
        <v>10925</v>
      </c>
      <c r="Y531" s="80">
        <v>625</v>
      </c>
      <c r="Z531" s="81">
        <f t="shared" si="44"/>
        <v>625</v>
      </c>
      <c r="AA531" s="79" t="s">
        <v>2082</v>
      </c>
      <c r="AB531" s="82">
        <f t="shared" si="45"/>
        <v>625</v>
      </c>
      <c r="AC531" s="79" t="s">
        <v>2081</v>
      </c>
      <c r="AD531" s="82">
        <f t="shared" si="46"/>
        <v>0</v>
      </c>
      <c r="AE531" s="79" t="s">
        <v>2080</v>
      </c>
      <c r="AF531" s="82">
        <f t="shared" si="47"/>
        <v>0</v>
      </c>
      <c r="AG531" s="79" t="s">
        <v>2079</v>
      </c>
      <c r="AH531" s="81">
        <v>25</v>
      </c>
      <c r="AI531" s="65"/>
      <c r="AJ531" s="65"/>
      <c r="AK531" s="65"/>
      <c r="AL531" s="65"/>
      <c r="AM531" s="65"/>
      <c r="AN531" s="65"/>
      <c r="AO531" s="65"/>
      <c r="AP531" s="65"/>
      <c r="AQ531" s="65"/>
    </row>
    <row r="532" spans="24:43">
      <c r="X532" s="79" t="s">
        <v>10926</v>
      </c>
      <c r="Y532" s="80">
        <v>60</v>
      </c>
      <c r="Z532" s="81">
        <f t="shared" si="44"/>
        <v>60</v>
      </c>
      <c r="AA532" s="79" t="s">
        <v>2082</v>
      </c>
      <c r="AB532" s="82">
        <f t="shared" si="45"/>
        <v>60</v>
      </c>
      <c r="AC532" s="79" t="s">
        <v>2081</v>
      </c>
      <c r="AD532" s="82">
        <f t="shared" si="46"/>
        <v>0</v>
      </c>
      <c r="AE532" s="79" t="s">
        <v>2080</v>
      </c>
      <c r="AF532" s="82">
        <f t="shared" si="47"/>
        <v>0</v>
      </c>
      <c r="AG532" s="79" t="s">
        <v>2079</v>
      </c>
      <c r="AH532" s="81">
        <v>2.4</v>
      </c>
      <c r="AI532" s="65"/>
      <c r="AJ532" s="65"/>
      <c r="AK532" s="65"/>
      <c r="AL532" s="65"/>
      <c r="AM532" s="65"/>
      <c r="AN532" s="65"/>
      <c r="AO532" s="65"/>
      <c r="AP532" s="65"/>
      <c r="AQ532" s="65"/>
    </row>
    <row r="533" spans="24:43">
      <c r="X533" s="79" t="s">
        <v>10926</v>
      </c>
      <c r="Y533" s="80">
        <v>60</v>
      </c>
      <c r="Z533" s="81">
        <f t="shared" si="44"/>
        <v>60</v>
      </c>
      <c r="AA533" s="79" t="s">
        <v>2082</v>
      </c>
      <c r="AB533" s="82">
        <f t="shared" si="45"/>
        <v>60</v>
      </c>
      <c r="AC533" s="79" t="s">
        <v>2081</v>
      </c>
      <c r="AD533" s="82">
        <f t="shared" si="46"/>
        <v>0</v>
      </c>
      <c r="AE533" s="79" t="s">
        <v>2080</v>
      </c>
      <c r="AF533" s="82">
        <f t="shared" si="47"/>
        <v>0</v>
      </c>
      <c r="AG533" s="79" t="s">
        <v>2079</v>
      </c>
      <c r="AH533" s="81">
        <v>2.4</v>
      </c>
      <c r="AI533" s="65"/>
      <c r="AJ533" s="65"/>
      <c r="AK533" s="65"/>
      <c r="AL533" s="65"/>
      <c r="AM533" s="65"/>
      <c r="AN533" s="65"/>
      <c r="AO533" s="65"/>
      <c r="AP533" s="65"/>
      <c r="AQ533" s="65"/>
    </row>
    <row r="534" spans="24:43">
      <c r="X534" s="79" t="s">
        <v>10927</v>
      </c>
      <c r="Y534" s="80">
        <v>86250.25</v>
      </c>
      <c r="Z534" s="81">
        <f t="shared" si="44"/>
        <v>86250.25</v>
      </c>
      <c r="AA534" s="79" t="s">
        <v>2082</v>
      </c>
      <c r="AB534" s="82">
        <f t="shared" si="45"/>
        <v>86250</v>
      </c>
      <c r="AC534" s="79" t="s">
        <v>2081</v>
      </c>
      <c r="AD534" s="82">
        <f t="shared" si="46"/>
        <v>2</v>
      </c>
      <c r="AE534" s="79" t="s">
        <v>2080</v>
      </c>
      <c r="AF534" s="82">
        <f t="shared" si="47"/>
        <v>5</v>
      </c>
      <c r="AG534" s="79" t="s">
        <v>2079</v>
      </c>
      <c r="AH534" s="81">
        <v>3450.01</v>
      </c>
      <c r="AI534" s="65"/>
      <c r="AJ534" s="65"/>
      <c r="AK534" s="65"/>
      <c r="AL534" s="65"/>
      <c r="AM534" s="65"/>
      <c r="AN534" s="65"/>
      <c r="AO534" s="65"/>
      <c r="AP534" s="65"/>
      <c r="AQ534" s="65"/>
    </row>
    <row r="535" spans="24:43">
      <c r="X535" s="79" t="s">
        <v>10928</v>
      </c>
      <c r="Y535" s="80">
        <v>112500.5</v>
      </c>
      <c r="Z535" s="81">
        <f t="shared" si="44"/>
        <v>112500.5</v>
      </c>
      <c r="AA535" s="79" t="s">
        <v>2082</v>
      </c>
      <c r="AB535" s="82">
        <f t="shared" si="45"/>
        <v>112500</v>
      </c>
      <c r="AC535" s="79" t="s">
        <v>2081</v>
      </c>
      <c r="AD535" s="82">
        <f t="shared" si="46"/>
        <v>5</v>
      </c>
      <c r="AE535" s="79" t="s">
        <v>2080</v>
      </c>
      <c r="AF535" s="82">
        <f t="shared" si="47"/>
        <v>0</v>
      </c>
      <c r="AG535" s="79" t="s">
        <v>2079</v>
      </c>
      <c r="AH535" s="81">
        <v>4500.0200000000004</v>
      </c>
      <c r="AI535" s="65"/>
      <c r="AJ535" s="65"/>
      <c r="AK535" s="65"/>
      <c r="AL535" s="65"/>
      <c r="AM535" s="65"/>
      <c r="AN535" s="65"/>
      <c r="AO535" s="65"/>
      <c r="AP535" s="65"/>
      <c r="AQ535" s="65"/>
    </row>
    <row r="536" spans="24:43">
      <c r="X536" s="79" t="s">
        <v>10929</v>
      </c>
      <c r="Y536" s="80">
        <v>17375.125</v>
      </c>
      <c r="Z536" s="81">
        <f t="shared" si="44"/>
        <v>17375.125</v>
      </c>
      <c r="AA536" s="79" t="s">
        <v>2082</v>
      </c>
      <c r="AB536" s="82">
        <f t="shared" si="45"/>
        <v>17375</v>
      </c>
      <c r="AC536" s="79" t="s">
        <v>2081</v>
      </c>
      <c r="AD536" s="82">
        <f t="shared" si="46"/>
        <v>1</v>
      </c>
      <c r="AE536" s="79" t="s">
        <v>2080</v>
      </c>
      <c r="AF536" s="82">
        <f t="shared" si="47"/>
        <v>2.5</v>
      </c>
      <c r="AG536" s="79" t="s">
        <v>2079</v>
      </c>
      <c r="AH536" s="81">
        <v>695</v>
      </c>
      <c r="AI536" s="65"/>
      <c r="AJ536" s="65"/>
      <c r="AK536" s="65"/>
      <c r="AL536" s="65"/>
      <c r="AM536" s="65"/>
      <c r="AN536" s="65"/>
      <c r="AO536" s="65"/>
      <c r="AP536" s="65"/>
      <c r="AQ536" s="65"/>
    </row>
    <row r="537" spans="24:43">
      <c r="X537" s="79" t="s">
        <v>10930</v>
      </c>
      <c r="Y537" s="80">
        <v>325.25</v>
      </c>
      <c r="Z537" s="81">
        <f t="shared" si="44"/>
        <v>325.25</v>
      </c>
      <c r="AA537" s="79" t="s">
        <v>2082</v>
      </c>
      <c r="AB537" s="82">
        <f t="shared" si="45"/>
        <v>325</v>
      </c>
      <c r="AC537" s="79" t="s">
        <v>2081</v>
      </c>
      <c r="AD537" s="82">
        <f t="shared" si="46"/>
        <v>2</v>
      </c>
      <c r="AE537" s="79" t="s">
        <v>2080</v>
      </c>
      <c r="AF537" s="82">
        <f t="shared" si="47"/>
        <v>5</v>
      </c>
      <c r="AG537" s="79" t="s">
        <v>2079</v>
      </c>
      <c r="AH537" s="81">
        <v>13.01</v>
      </c>
      <c r="AI537" s="65"/>
      <c r="AJ537" s="65"/>
      <c r="AK537" s="65"/>
      <c r="AL537" s="65"/>
      <c r="AM537" s="65"/>
      <c r="AN537" s="65"/>
      <c r="AO537" s="65"/>
      <c r="AP537" s="65"/>
      <c r="AQ537" s="65"/>
    </row>
    <row r="538" spans="24:43">
      <c r="X538" s="79" t="s">
        <v>10931</v>
      </c>
      <c r="Y538" s="80">
        <v>6875.25</v>
      </c>
      <c r="Z538" s="81">
        <f t="shared" si="44"/>
        <v>6875.25</v>
      </c>
      <c r="AA538" s="79" t="s">
        <v>2082</v>
      </c>
      <c r="AB538" s="82">
        <f t="shared" si="45"/>
        <v>6875</v>
      </c>
      <c r="AC538" s="79" t="s">
        <v>2081</v>
      </c>
      <c r="AD538" s="82">
        <f t="shared" si="46"/>
        <v>2</v>
      </c>
      <c r="AE538" s="79" t="s">
        <v>2080</v>
      </c>
      <c r="AF538" s="82">
        <f t="shared" si="47"/>
        <v>5</v>
      </c>
      <c r="AG538" s="79" t="s">
        <v>2079</v>
      </c>
      <c r="AH538" s="81">
        <v>275.01</v>
      </c>
      <c r="AI538" s="65"/>
      <c r="AJ538" s="65"/>
      <c r="AK538" s="65"/>
      <c r="AL538" s="65"/>
      <c r="AM538" s="65"/>
      <c r="AN538" s="65"/>
      <c r="AO538" s="65"/>
      <c r="AP538" s="65"/>
      <c r="AQ538" s="65"/>
    </row>
    <row r="539" spans="24:43">
      <c r="X539" s="79" t="s">
        <v>10932</v>
      </c>
      <c r="Y539" s="80">
        <v>60</v>
      </c>
      <c r="Z539" s="81">
        <f t="shared" si="44"/>
        <v>60</v>
      </c>
      <c r="AA539" s="79" t="s">
        <v>2082</v>
      </c>
      <c r="AB539" s="82">
        <f t="shared" si="45"/>
        <v>60</v>
      </c>
      <c r="AC539" s="79" t="s">
        <v>2081</v>
      </c>
      <c r="AD539" s="82">
        <f t="shared" si="46"/>
        <v>0</v>
      </c>
      <c r="AE539" s="79" t="s">
        <v>2080</v>
      </c>
      <c r="AF539" s="82">
        <f t="shared" si="47"/>
        <v>0</v>
      </c>
      <c r="AG539" s="79" t="s">
        <v>2079</v>
      </c>
      <c r="AH539" s="81">
        <v>2.4</v>
      </c>
      <c r="AI539" s="65"/>
      <c r="AJ539" s="65"/>
      <c r="AK539" s="65"/>
      <c r="AL539" s="65"/>
      <c r="AM539" s="65"/>
      <c r="AN539" s="65"/>
      <c r="AO539" s="65"/>
      <c r="AP539" s="65"/>
      <c r="AQ539" s="65"/>
    </row>
    <row r="540" spans="24:43">
      <c r="X540" s="79" t="s">
        <v>10933</v>
      </c>
      <c r="Y540" s="80">
        <v>60</v>
      </c>
      <c r="Z540" s="81">
        <f t="shared" si="44"/>
        <v>60</v>
      </c>
      <c r="AA540" s="79" t="s">
        <v>2082</v>
      </c>
      <c r="AB540" s="82">
        <f t="shared" si="45"/>
        <v>60</v>
      </c>
      <c r="AC540" s="79" t="s">
        <v>2081</v>
      </c>
      <c r="AD540" s="82">
        <f t="shared" si="46"/>
        <v>0</v>
      </c>
      <c r="AE540" s="79" t="s">
        <v>2080</v>
      </c>
      <c r="AF540" s="82">
        <f t="shared" si="47"/>
        <v>0</v>
      </c>
      <c r="AG540" s="79" t="s">
        <v>2079</v>
      </c>
      <c r="AH540" s="81">
        <v>2.4</v>
      </c>
      <c r="AI540" s="65"/>
      <c r="AJ540" s="65"/>
      <c r="AK540" s="65"/>
      <c r="AL540" s="65"/>
      <c r="AM540" s="65"/>
      <c r="AN540" s="65"/>
      <c r="AO540" s="65"/>
      <c r="AP540" s="65"/>
      <c r="AQ540" s="65"/>
    </row>
    <row r="541" spans="24:43">
      <c r="X541" s="79" t="s">
        <v>10934</v>
      </c>
      <c r="Y541" s="80">
        <v>117500</v>
      </c>
      <c r="Z541" s="81">
        <f t="shared" si="44"/>
        <v>117500</v>
      </c>
      <c r="AA541" s="79" t="s">
        <v>2082</v>
      </c>
      <c r="AB541" s="82">
        <f t="shared" si="45"/>
        <v>117500</v>
      </c>
      <c r="AC541" s="79" t="s">
        <v>2081</v>
      </c>
      <c r="AD541" s="82">
        <f t="shared" si="46"/>
        <v>0</v>
      </c>
      <c r="AE541" s="79" t="s">
        <v>2080</v>
      </c>
      <c r="AF541" s="82">
        <f t="shared" si="47"/>
        <v>0</v>
      </c>
      <c r="AG541" s="79" t="s">
        <v>2079</v>
      </c>
      <c r="AH541" s="81">
        <v>4700</v>
      </c>
      <c r="AI541" s="65"/>
      <c r="AJ541" s="65"/>
      <c r="AK541" s="65"/>
      <c r="AL541" s="65"/>
      <c r="AM541" s="65"/>
      <c r="AN541" s="65"/>
      <c r="AO541" s="65"/>
      <c r="AP541" s="65"/>
      <c r="AQ541" s="65"/>
    </row>
    <row r="542" spans="24:43">
      <c r="X542" s="79" t="s">
        <v>10935</v>
      </c>
      <c r="Y542" s="80">
        <v>2500</v>
      </c>
      <c r="Z542" s="81">
        <f t="shared" si="44"/>
        <v>2500</v>
      </c>
      <c r="AA542" s="79" t="s">
        <v>2082</v>
      </c>
      <c r="AB542" s="82">
        <f t="shared" si="45"/>
        <v>2500</v>
      </c>
      <c r="AC542" s="79" t="s">
        <v>2081</v>
      </c>
      <c r="AD542" s="82">
        <f t="shared" si="46"/>
        <v>0</v>
      </c>
      <c r="AE542" s="79" t="s">
        <v>2080</v>
      </c>
      <c r="AF542" s="82">
        <f t="shared" si="47"/>
        <v>0</v>
      </c>
      <c r="AG542" s="79" t="s">
        <v>2079</v>
      </c>
      <c r="AH542" s="81">
        <v>100</v>
      </c>
      <c r="AI542" s="65"/>
      <c r="AJ542" s="65"/>
      <c r="AK542" s="65"/>
      <c r="AL542" s="65"/>
      <c r="AM542" s="65"/>
      <c r="AN542" s="65"/>
      <c r="AO542" s="65"/>
      <c r="AP542" s="65"/>
      <c r="AQ542" s="65"/>
    </row>
    <row r="543" spans="24:43">
      <c r="X543" s="79" t="s">
        <v>10936</v>
      </c>
      <c r="Y543" s="80">
        <v>118750.25</v>
      </c>
      <c r="Z543" s="81">
        <f t="shared" si="44"/>
        <v>118750.25</v>
      </c>
      <c r="AA543" s="79" t="s">
        <v>2082</v>
      </c>
      <c r="AB543" s="82">
        <f t="shared" si="45"/>
        <v>118750</v>
      </c>
      <c r="AC543" s="79" t="s">
        <v>2081</v>
      </c>
      <c r="AD543" s="82">
        <f t="shared" si="46"/>
        <v>2</v>
      </c>
      <c r="AE543" s="79" t="s">
        <v>2080</v>
      </c>
      <c r="AF543" s="82">
        <f t="shared" si="47"/>
        <v>5</v>
      </c>
      <c r="AG543" s="79" t="s">
        <v>2079</v>
      </c>
      <c r="AH543" s="81">
        <v>4750.01</v>
      </c>
      <c r="AI543" s="65"/>
      <c r="AJ543" s="65"/>
      <c r="AK543" s="65"/>
      <c r="AL543" s="65"/>
      <c r="AM543" s="65"/>
      <c r="AN543" s="65"/>
      <c r="AO543" s="65"/>
      <c r="AP543" s="65"/>
      <c r="AQ543" s="65"/>
    </row>
    <row r="544" spans="24:43">
      <c r="X544" s="79" t="s">
        <v>10937</v>
      </c>
      <c r="Y544" s="80">
        <v>115500</v>
      </c>
      <c r="Z544" s="81">
        <f t="shared" si="44"/>
        <v>115500</v>
      </c>
      <c r="AA544" s="79" t="s">
        <v>2082</v>
      </c>
      <c r="AB544" s="82">
        <f t="shared" si="45"/>
        <v>115500</v>
      </c>
      <c r="AC544" s="79" t="s">
        <v>2081</v>
      </c>
      <c r="AD544" s="82">
        <f t="shared" si="46"/>
        <v>0</v>
      </c>
      <c r="AE544" s="79" t="s">
        <v>2080</v>
      </c>
      <c r="AF544" s="82">
        <f t="shared" si="47"/>
        <v>0</v>
      </c>
      <c r="AG544" s="79" t="s">
        <v>2079</v>
      </c>
      <c r="AH544" s="81">
        <v>4620</v>
      </c>
      <c r="AI544" s="65"/>
      <c r="AJ544" s="65"/>
      <c r="AK544" s="65"/>
      <c r="AL544" s="65"/>
      <c r="AM544" s="65"/>
      <c r="AN544" s="65"/>
      <c r="AO544" s="65"/>
      <c r="AP544" s="65"/>
      <c r="AQ544" s="65"/>
    </row>
    <row r="545" spans="24:43">
      <c r="X545" s="79" t="s">
        <v>10938</v>
      </c>
      <c r="Y545" s="80">
        <v>156250.25</v>
      </c>
      <c r="Z545" s="81">
        <f t="shared" si="44"/>
        <v>156250.25</v>
      </c>
      <c r="AA545" s="79" t="s">
        <v>2082</v>
      </c>
      <c r="AB545" s="82">
        <f t="shared" si="45"/>
        <v>156250</v>
      </c>
      <c r="AC545" s="79" t="s">
        <v>2081</v>
      </c>
      <c r="AD545" s="82">
        <f t="shared" si="46"/>
        <v>2</v>
      </c>
      <c r="AE545" s="79" t="s">
        <v>2080</v>
      </c>
      <c r="AF545" s="82">
        <f t="shared" si="47"/>
        <v>5</v>
      </c>
      <c r="AG545" s="79" t="s">
        <v>2079</v>
      </c>
      <c r="AH545" s="81">
        <v>6250.01</v>
      </c>
      <c r="AI545" s="65"/>
      <c r="AJ545" s="65"/>
      <c r="AK545" s="65"/>
      <c r="AL545" s="65"/>
      <c r="AM545" s="65"/>
      <c r="AN545" s="65"/>
      <c r="AO545" s="65"/>
      <c r="AP545" s="65"/>
      <c r="AQ545" s="65"/>
    </row>
    <row r="546" spans="24:43">
      <c r="X546" s="79" t="s">
        <v>10939</v>
      </c>
      <c r="Y546" s="80">
        <v>4950</v>
      </c>
      <c r="Z546" s="81">
        <f t="shared" si="44"/>
        <v>4950</v>
      </c>
      <c r="AA546" s="79" t="s">
        <v>2082</v>
      </c>
      <c r="AB546" s="82">
        <f t="shared" si="45"/>
        <v>4950</v>
      </c>
      <c r="AC546" s="79" t="s">
        <v>2081</v>
      </c>
      <c r="AD546" s="82">
        <f t="shared" si="46"/>
        <v>0</v>
      </c>
      <c r="AE546" s="79" t="s">
        <v>2080</v>
      </c>
      <c r="AF546" s="82">
        <f t="shared" si="47"/>
        <v>0</v>
      </c>
      <c r="AG546" s="79" t="s">
        <v>2079</v>
      </c>
      <c r="AH546" s="81">
        <v>198</v>
      </c>
      <c r="AI546" s="65"/>
      <c r="AJ546" s="65"/>
      <c r="AK546" s="65"/>
      <c r="AL546" s="65"/>
      <c r="AM546" s="65"/>
      <c r="AN546" s="65"/>
      <c r="AO546" s="65"/>
      <c r="AP546" s="65"/>
      <c r="AQ546" s="65"/>
    </row>
    <row r="547" spans="24:43">
      <c r="X547" s="79" t="s">
        <v>10940</v>
      </c>
      <c r="Y547" s="80">
        <v>2100</v>
      </c>
      <c r="Z547" s="81">
        <f t="shared" si="44"/>
        <v>2100</v>
      </c>
      <c r="AA547" s="79" t="s">
        <v>2082</v>
      </c>
      <c r="AB547" s="82">
        <f t="shared" si="45"/>
        <v>2100</v>
      </c>
      <c r="AC547" s="79" t="s">
        <v>2081</v>
      </c>
      <c r="AD547" s="82">
        <f t="shared" si="46"/>
        <v>0</v>
      </c>
      <c r="AE547" s="79" t="s">
        <v>2080</v>
      </c>
      <c r="AF547" s="82">
        <f t="shared" si="47"/>
        <v>0</v>
      </c>
      <c r="AG547" s="79" t="s">
        <v>2079</v>
      </c>
      <c r="AH547" s="81">
        <v>84</v>
      </c>
      <c r="AI547" s="65"/>
      <c r="AJ547" s="65"/>
      <c r="AK547" s="65"/>
      <c r="AL547" s="65"/>
      <c r="AM547" s="65"/>
      <c r="AN547" s="65"/>
      <c r="AO547" s="65"/>
      <c r="AP547" s="65"/>
      <c r="AQ547" s="65"/>
    </row>
    <row r="548" spans="24:43">
      <c r="X548" s="79" t="s">
        <v>10941</v>
      </c>
      <c r="Y548" s="80">
        <v>108500</v>
      </c>
      <c r="Z548" s="81">
        <f t="shared" si="44"/>
        <v>108500</v>
      </c>
      <c r="AA548" s="79" t="s">
        <v>2082</v>
      </c>
      <c r="AB548" s="82">
        <f t="shared" si="45"/>
        <v>108500</v>
      </c>
      <c r="AC548" s="79" t="s">
        <v>2081</v>
      </c>
      <c r="AD548" s="82">
        <f t="shared" si="46"/>
        <v>0</v>
      </c>
      <c r="AE548" s="79" t="s">
        <v>2080</v>
      </c>
      <c r="AF548" s="82">
        <f t="shared" si="47"/>
        <v>0</v>
      </c>
      <c r="AG548" s="79" t="s">
        <v>2079</v>
      </c>
      <c r="AH548" s="81">
        <v>4340</v>
      </c>
      <c r="AI548" s="65"/>
      <c r="AJ548" s="65"/>
      <c r="AK548" s="65"/>
      <c r="AL548" s="65"/>
      <c r="AM548" s="65"/>
      <c r="AN548" s="65"/>
      <c r="AO548" s="65"/>
      <c r="AP548" s="65"/>
      <c r="AQ548" s="65"/>
    </row>
    <row r="549" spans="24:43">
      <c r="X549" s="79" t="s">
        <v>10942</v>
      </c>
      <c r="Y549" s="80">
        <v>12250</v>
      </c>
      <c r="Z549" s="81">
        <f t="shared" si="44"/>
        <v>12250</v>
      </c>
      <c r="AA549" s="79" t="s">
        <v>2082</v>
      </c>
      <c r="AB549" s="82">
        <f t="shared" si="45"/>
        <v>12250</v>
      </c>
      <c r="AC549" s="79" t="s">
        <v>2081</v>
      </c>
      <c r="AD549" s="82">
        <f t="shared" si="46"/>
        <v>0</v>
      </c>
      <c r="AE549" s="79" t="s">
        <v>2080</v>
      </c>
      <c r="AF549" s="82">
        <f t="shared" si="47"/>
        <v>0</v>
      </c>
      <c r="AG549" s="79" t="s">
        <v>2079</v>
      </c>
      <c r="AH549" s="81">
        <v>490</v>
      </c>
      <c r="AI549" s="65"/>
      <c r="AJ549" s="65"/>
      <c r="AK549" s="65"/>
      <c r="AL549" s="65"/>
      <c r="AM549" s="65"/>
      <c r="AN549" s="65"/>
      <c r="AO549" s="65"/>
      <c r="AP549" s="65"/>
      <c r="AQ549" s="65"/>
    </row>
    <row r="550" spans="24:43">
      <c r="X550" s="79" t="s">
        <v>10943</v>
      </c>
      <c r="Y550" s="80">
        <v>42500</v>
      </c>
      <c r="Z550" s="81">
        <f t="shared" si="44"/>
        <v>42500</v>
      </c>
      <c r="AA550" s="79" t="s">
        <v>2082</v>
      </c>
      <c r="AB550" s="82">
        <f t="shared" si="45"/>
        <v>42500</v>
      </c>
      <c r="AC550" s="79" t="s">
        <v>2081</v>
      </c>
      <c r="AD550" s="82">
        <f t="shared" si="46"/>
        <v>0</v>
      </c>
      <c r="AE550" s="79" t="s">
        <v>2080</v>
      </c>
      <c r="AF550" s="82">
        <f t="shared" si="47"/>
        <v>0</v>
      </c>
      <c r="AG550" s="79" t="s">
        <v>2079</v>
      </c>
      <c r="AH550" s="81">
        <v>1700</v>
      </c>
      <c r="AI550" s="65"/>
      <c r="AJ550" s="65"/>
      <c r="AK550" s="65"/>
      <c r="AL550" s="65"/>
      <c r="AM550" s="65"/>
      <c r="AN550" s="65"/>
      <c r="AO550" s="65"/>
      <c r="AP550" s="65"/>
      <c r="AQ550" s="65"/>
    </row>
    <row r="551" spans="24:43">
      <c r="X551" s="79" t="s">
        <v>10944</v>
      </c>
      <c r="Y551" s="80">
        <v>1375</v>
      </c>
      <c r="Z551" s="81">
        <f t="shared" si="44"/>
        <v>1375</v>
      </c>
      <c r="AA551" s="79" t="s">
        <v>2082</v>
      </c>
      <c r="AB551" s="82">
        <f t="shared" si="45"/>
        <v>1375</v>
      </c>
      <c r="AC551" s="79" t="s">
        <v>2081</v>
      </c>
      <c r="AD551" s="82">
        <f t="shared" si="46"/>
        <v>0</v>
      </c>
      <c r="AE551" s="79" t="s">
        <v>2080</v>
      </c>
      <c r="AF551" s="82">
        <f t="shared" si="47"/>
        <v>0</v>
      </c>
      <c r="AG551" s="79" t="s">
        <v>2079</v>
      </c>
      <c r="AH551" s="81">
        <v>55</v>
      </c>
      <c r="AI551" s="65"/>
      <c r="AJ551" s="65"/>
      <c r="AK551" s="65"/>
      <c r="AL551" s="65"/>
      <c r="AM551" s="65"/>
      <c r="AN551" s="65"/>
      <c r="AO551" s="65"/>
      <c r="AP551" s="65"/>
      <c r="AQ551" s="65"/>
    </row>
    <row r="552" spans="24:43">
      <c r="X552" s="79" t="s">
        <v>10945</v>
      </c>
      <c r="Y552" s="80">
        <v>8125</v>
      </c>
      <c r="Z552" s="81">
        <f t="shared" si="44"/>
        <v>8125</v>
      </c>
      <c r="AA552" s="79" t="s">
        <v>2082</v>
      </c>
      <c r="AB552" s="82">
        <f t="shared" si="45"/>
        <v>8125</v>
      </c>
      <c r="AC552" s="79" t="s">
        <v>2081</v>
      </c>
      <c r="AD552" s="82">
        <f t="shared" si="46"/>
        <v>0</v>
      </c>
      <c r="AE552" s="79" t="s">
        <v>2080</v>
      </c>
      <c r="AF552" s="82">
        <f t="shared" si="47"/>
        <v>0</v>
      </c>
      <c r="AG552" s="79" t="s">
        <v>2079</v>
      </c>
      <c r="AH552" s="81">
        <v>325</v>
      </c>
      <c r="AI552" s="65"/>
      <c r="AJ552" s="65"/>
      <c r="AK552" s="65"/>
      <c r="AL552" s="65"/>
      <c r="AM552" s="65"/>
      <c r="AN552" s="65"/>
      <c r="AO552" s="65"/>
      <c r="AP552" s="65"/>
      <c r="AQ552" s="65"/>
    </row>
    <row r="553" spans="24:43">
      <c r="X553" s="79" t="s">
        <v>10946</v>
      </c>
      <c r="Y553" s="80">
        <v>237.625</v>
      </c>
      <c r="Z553" s="81">
        <f t="shared" si="44"/>
        <v>237.625</v>
      </c>
      <c r="AA553" s="79" t="s">
        <v>2082</v>
      </c>
      <c r="AB553" s="82">
        <f t="shared" si="45"/>
        <v>237</v>
      </c>
      <c r="AC553" s="79" t="s">
        <v>2081</v>
      </c>
      <c r="AD553" s="82">
        <f t="shared" si="46"/>
        <v>6</v>
      </c>
      <c r="AE553" s="79" t="s">
        <v>2080</v>
      </c>
      <c r="AF553" s="82">
        <f t="shared" si="47"/>
        <v>2.5</v>
      </c>
      <c r="AG553" s="79" t="s">
        <v>2079</v>
      </c>
      <c r="AH553" s="81">
        <v>9.5</v>
      </c>
      <c r="AI553" s="65"/>
      <c r="AJ553" s="65"/>
      <c r="AK553" s="65"/>
      <c r="AL553" s="65"/>
      <c r="AM553" s="65"/>
      <c r="AN553" s="65"/>
      <c r="AO553" s="65"/>
      <c r="AP553" s="65"/>
      <c r="AQ553" s="65"/>
    </row>
    <row r="554" spans="24:43">
      <c r="X554" s="79" t="s">
        <v>10947</v>
      </c>
      <c r="Y554" s="80">
        <v>3250</v>
      </c>
      <c r="Z554" s="81">
        <f t="shared" si="44"/>
        <v>3250</v>
      </c>
      <c r="AA554" s="79" t="s">
        <v>2082</v>
      </c>
      <c r="AB554" s="82">
        <f t="shared" si="45"/>
        <v>3250</v>
      </c>
      <c r="AC554" s="79" t="s">
        <v>2081</v>
      </c>
      <c r="AD554" s="82">
        <f t="shared" si="46"/>
        <v>0</v>
      </c>
      <c r="AE554" s="79" t="s">
        <v>2080</v>
      </c>
      <c r="AF554" s="82">
        <f t="shared" si="47"/>
        <v>0</v>
      </c>
      <c r="AG554" s="79" t="s">
        <v>2079</v>
      </c>
      <c r="AH554" s="81">
        <v>130</v>
      </c>
      <c r="AI554" s="65"/>
      <c r="AJ554" s="65"/>
      <c r="AK554" s="65"/>
      <c r="AL554" s="65"/>
      <c r="AM554" s="65"/>
      <c r="AN554" s="65"/>
      <c r="AO554" s="65"/>
      <c r="AP554" s="65"/>
      <c r="AQ554" s="65"/>
    </row>
    <row r="555" spans="24:43">
      <c r="X555" s="79" t="s">
        <v>10948</v>
      </c>
      <c r="Y555" s="80">
        <v>26000</v>
      </c>
      <c r="Z555" s="81">
        <f t="shared" si="44"/>
        <v>26000</v>
      </c>
      <c r="AA555" s="79" t="s">
        <v>2082</v>
      </c>
      <c r="AB555" s="82">
        <f t="shared" si="45"/>
        <v>26000</v>
      </c>
      <c r="AC555" s="79" t="s">
        <v>2081</v>
      </c>
      <c r="AD555" s="82">
        <f t="shared" si="46"/>
        <v>0</v>
      </c>
      <c r="AE555" s="79" t="s">
        <v>2080</v>
      </c>
      <c r="AF555" s="82">
        <f t="shared" si="47"/>
        <v>0</v>
      </c>
      <c r="AG555" s="79" t="s">
        <v>2079</v>
      </c>
      <c r="AH555" s="81">
        <v>1040</v>
      </c>
      <c r="AI555" s="65"/>
      <c r="AJ555" s="65"/>
      <c r="AK555" s="65"/>
      <c r="AL555" s="65"/>
      <c r="AM555" s="65"/>
      <c r="AN555" s="65"/>
      <c r="AO555" s="65"/>
      <c r="AP555" s="65"/>
      <c r="AQ555" s="65"/>
    </row>
    <row r="556" spans="24:43">
      <c r="X556" s="79" t="s">
        <v>10949</v>
      </c>
      <c r="Y556" s="80">
        <v>4750</v>
      </c>
      <c r="Z556" s="81">
        <f t="shared" si="44"/>
        <v>4750</v>
      </c>
      <c r="AA556" s="79" t="s">
        <v>2082</v>
      </c>
      <c r="AB556" s="82">
        <f t="shared" si="45"/>
        <v>4750</v>
      </c>
      <c r="AC556" s="79" t="s">
        <v>2081</v>
      </c>
      <c r="AD556" s="82">
        <f t="shared" si="46"/>
        <v>0</v>
      </c>
      <c r="AE556" s="79" t="s">
        <v>2080</v>
      </c>
      <c r="AF556" s="82">
        <f t="shared" si="47"/>
        <v>0</v>
      </c>
      <c r="AG556" s="79" t="s">
        <v>2079</v>
      </c>
      <c r="AH556" s="81">
        <v>190</v>
      </c>
      <c r="AI556" s="65"/>
      <c r="AJ556" s="65"/>
      <c r="AK556" s="65"/>
      <c r="AL556" s="65"/>
      <c r="AM556" s="65"/>
      <c r="AN556" s="65"/>
      <c r="AO556" s="65"/>
      <c r="AP556" s="65"/>
      <c r="AQ556" s="65"/>
    </row>
    <row r="557" spans="24:43">
      <c r="X557" s="79" t="s">
        <v>10950</v>
      </c>
      <c r="Y557" s="80">
        <v>17000</v>
      </c>
      <c r="Z557" s="81">
        <f t="shared" si="44"/>
        <v>17000</v>
      </c>
      <c r="AA557" s="79" t="s">
        <v>2082</v>
      </c>
      <c r="AB557" s="82">
        <f t="shared" si="45"/>
        <v>17000</v>
      </c>
      <c r="AC557" s="79" t="s">
        <v>2081</v>
      </c>
      <c r="AD557" s="82">
        <f t="shared" si="46"/>
        <v>0</v>
      </c>
      <c r="AE557" s="79" t="s">
        <v>2080</v>
      </c>
      <c r="AF557" s="82">
        <f t="shared" si="47"/>
        <v>0</v>
      </c>
      <c r="AG557" s="79" t="s">
        <v>2079</v>
      </c>
      <c r="AH557" s="81">
        <v>680</v>
      </c>
      <c r="AI557" s="65"/>
      <c r="AJ557" s="65"/>
      <c r="AK557" s="65"/>
      <c r="AL557" s="65"/>
      <c r="AM557" s="65"/>
      <c r="AN557" s="65"/>
      <c r="AO557" s="65"/>
      <c r="AP557" s="65"/>
      <c r="AQ557" s="65"/>
    </row>
    <row r="558" spans="24:43">
      <c r="X558" s="79" t="s">
        <v>10951</v>
      </c>
      <c r="Y558" s="80">
        <v>13800</v>
      </c>
      <c r="Z558" s="81">
        <f t="shared" si="44"/>
        <v>13800</v>
      </c>
      <c r="AA558" s="79" t="s">
        <v>2082</v>
      </c>
      <c r="AB558" s="82">
        <f t="shared" si="45"/>
        <v>13800</v>
      </c>
      <c r="AC558" s="79" t="s">
        <v>2081</v>
      </c>
      <c r="AD558" s="82">
        <f t="shared" si="46"/>
        <v>0</v>
      </c>
      <c r="AE558" s="79" t="s">
        <v>2080</v>
      </c>
      <c r="AF558" s="82">
        <f t="shared" si="47"/>
        <v>0</v>
      </c>
      <c r="AG558" s="79" t="s">
        <v>2079</v>
      </c>
      <c r="AH558" s="81">
        <v>552</v>
      </c>
      <c r="AI558" s="65"/>
      <c r="AJ558" s="65"/>
      <c r="AK558" s="65"/>
      <c r="AL558" s="65"/>
      <c r="AM558" s="65"/>
      <c r="AN558" s="65"/>
      <c r="AO558" s="65"/>
      <c r="AP558" s="65"/>
      <c r="AQ558" s="65"/>
    </row>
    <row r="559" spans="24:43">
      <c r="X559" s="79" t="s">
        <v>10952</v>
      </c>
      <c r="Y559" s="80">
        <v>48000</v>
      </c>
      <c r="Z559" s="81">
        <f t="shared" si="44"/>
        <v>48000</v>
      </c>
      <c r="AA559" s="79" t="s">
        <v>2082</v>
      </c>
      <c r="AB559" s="82">
        <f t="shared" si="45"/>
        <v>48000</v>
      </c>
      <c r="AC559" s="79" t="s">
        <v>2081</v>
      </c>
      <c r="AD559" s="82">
        <f t="shared" si="46"/>
        <v>0</v>
      </c>
      <c r="AE559" s="79" t="s">
        <v>2080</v>
      </c>
      <c r="AF559" s="82">
        <f t="shared" si="47"/>
        <v>0</v>
      </c>
      <c r="AG559" s="79" t="s">
        <v>2079</v>
      </c>
      <c r="AH559" s="81">
        <v>1920</v>
      </c>
      <c r="AI559" s="65"/>
      <c r="AJ559" s="65"/>
      <c r="AK559" s="65"/>
      <c r="AL559" s="65"/>
      <c r="AM559" s="65"/>
      <c r="AN559" s="65"/>
      <c r="AO559" s="65"/>
      <c r="AP559" s="65"/>
      <c r="AQ559" s="65"/>
    </row>
    <row r="560" spans="24:43">
      <c r="X560" s="79" t="s">
        <v>10953</v>
      </c>
      <c r="Y560" s="80">
        <v>1650</v>
      </c>
      <c r="Z560" s="81">
        <f t="shared" si="44"/>
        <v>1650</v>
      </c>
      <c r="AA560" s="79" t="s">
        <v>2082</v>
      </c>
      <c r="AB560" s="82">
        <f t="shared" si="45"/>
        <v>1650</v>
      </c>
      <c r="AC560" s="79" t="s">
        <v>2081</v>
      </c>
      <c r="AD560" s="82">
        <f t="shared" si="46"/>
        <v>0</v>
      </c>
      <c r="AE560" s="79" t="s">
        <v>2080</v>
      </c>
      <c r="AF560" s="82">
        <f t="shared" si="47"/>
        <v>0</v>
      </c>
      <c r="AG560" s="79" t="s">
        <v>2079</v>
      </c>
      <c r="AH560" s="81">
        <v>66</v>
      </c>
      <c r="AI560" s="65"/>
      <c r="AJ560" s="65"/>
      <c r="AK560" s="65"/>
      <c r="AL560" s="65"/>
      <c r="AM560" s="65"/>
      <c r="AN560" s="65"/>
      <c r="AO560" s="65"/>
      <c r="AP560" s="65"/>
      <c r="AQ560" s="65"/>
    </row>
    <row r="561" spans="24:43">
      <c r="X561" s="79" t="s">
        <v>10954</v>
      </c>
      <c r="Y561" s="80">
        <v>52500</v>
      </c>
      <c r="Z561" s="81">
        <f t="shared" si="44"/>
        <v>52500</v>
      </c>
      <c r="AA561" s="79" t="s">
        <v>2082</v>
      </c>
      <c r="AB561" s="82">
        <f t="shared" si="45"/>
        <v>52500</v>
      </c>
      <c r="AC561" s="79" t="s">
        <v>2081</v>
      </c>
      <c r="AD561" s="82">
        <f t="shared" si="46"/>
        <v>0</v>
      </c>
      <c r="AE561" s="79" t="s">
        <v>2080</v>
      </c>
      <c r="AF561" s="82">
        <f t="shared" si="47"/>
        <v>0</v>
      </c>
      <c r="AG561" s="79" t="s">
        <v>2079</v>
      </c>
      <c r="AH561" s="81">
        <v>2100</v>
      </c>
      <c r="AI561" s="65"/>
      <c r="AJ561" s="65"/>
      <c r="AK561" s="65"/>
      <c r="AL561" s="65"/>
      <c r="AM561" s="65"/>
      <c r="AN561" s="65"/>
      <c r="AO561" s="65"/>
      <c r="AP561" s="65"/>
      <c r="AQ561" s="65"/>
    </row>
    <row r="562" spans="24:43">
      <c r="X562" s="79" t="s">
        <v>10955</v>
      </c>
      <c r="Y562" s="80">
        <v>4562.625</v>
      </c>
      <c r="Z562" s="81">
        <f t="shared" si="44"/>
        <v>4562.625</v>
      </c>
      <c r="AA562" s="79" t="s">
        <v>2082</v>
      </c>
      <c r="AB562" s="82">
        <f t="shared" si="45"/>
        <v>4562</v>
      </c>
      <c r="AC562" s="79" t="s">
        <v>2081</v>
      </c>
      <c r="AD562" s="82">
        <f t="shared" si="46"/>
        <v>6</v>
      </c>
      <c r="AE562" s="79" t="s">
        <v>2080</v>
      </c>
      <c r="AF562" s="82">
        <f t="shared" si="47"/>
        <v>2.5</v>
      </c>
      <c r="AG562" s="79" t="s">
        <v>2079</v>
      </c>
      <c r="AH562" s="81">
        <v>182.5</v>
      </c>
      <c r="AI562" s="65"/>
      <c r="AJ562" s="65"/>
      <c r="AK562" s="65"/>
      <c r="AL562" s="65"/>
      <c r="AM562" s="65"/>
      <c r="AN562" s="65"/>
      <c r="AO562" s="65"/>
      <c r="AP562" s="65"/>
      <c r="AQ562" s="65"/>
    </row>
    <row r="563" spans="24:43">
      <c r="X563" s="79" t="s">
        <v>10956</v>
      </c>
      <c r="Y563" s="80">
        <v>4500</v>
      </c>
      <c r="Z563" s="81">
        <f t="shared" si="44"/>
        <v>4500</v>
      </c>
      <c r="AA563" s="79" t="s">
        <v>2082</v>
      </c>
      <c r="AB563" s="82">
        <f t="shared" si="45"/>
        <v>4500</v>
      </c>
      <c r="AC563" s="79" t="s">
        <v>2081</v>
      </c>
      <c r="AD563" s="82">
        <f t="shared" si="46"/>
        <v>0</v>
      </c>
      <c r="AE563" s="79" t="s">
        <v>2080</v>
      </c>
      <c r="AF563" s="82">
        <f t="shared" si="47"/>
        <v>0</v>
      </c>
      <c r="AG563" s="79" t="s">
        <v>2079</v>
      </c>
      <c r="AH563" s="81">
        <v>180</v>
      </c>
      <c r="AI563" s="65"/>
      <c r="AJ563" s="65"/>
      <c r="AK563" s="65"/>
      <c r="AL563" s="65"/>
      <c r="AM563" s="65"/>
      <c r="AN563" s="65"/>
      <c r="AO563" s="65"/>
      <c r="AP563" s="65"/>
      <c r="AQ563" s="65"/>
    </row>
    <row r="564" spans="24:43">
      <c r="X564" s="79" t="s">
        <v>10957</v>
      </c>
      <c r="Y564" s="80">
        <v>105225.25</v>
      </c>
      <c r="Z564" s="81">
        <f t="shared" si="44"/>
        <v>105225.25</v>
      </c>
      <c r="AA564" s="79" t="s">
        <v>2082</v>
      </c>
      <c r="AB564" s="82">
        <f t="shared" si="45"/>
        <v>105225</v>
      </c>
      <c r="AC564" s="79" t="s">
        <v>2081</v>
      </c>
      <c r="AD564" s="82">
        <f t="shared" si="46"/>
        <v>2</v>
      </c>
      <c r="AE564" s="79" t="s">
        <v>2080</v>
      </c>
      <c r="AF564" s="82">
        <f t="shared" si="47"/>
        <v>5</v>
      </c>
      <c r="AG564" s="79" t="s">
        <v>2079</v>
      </c>
      <c r="AH564" s="81">
        <v>4209.01</v>
      </c>
      <c r="AI564" s="65"/>
      <c r="AJ564" s="65"/>
      <c r="AK564" s="65"/>
      <c r="AL564" s="65"/>
      <c r="AM564" s="65"/>
      <c r="AN564" s="65"/>
      <c r="AO564" s="65"/>
      <c r="AP564" s="65"/>
      <c r="AQ564" s="65"/>
    </row>
    <row r="565" spans="24:43">
      <c r="X565" s="79" t="s">
        <v>10958</v>
      </c>
      <c r="Y565" s="80">
        <v>237.625</v>
      </c>
      <c r="Z565" s="81">
        <f t="shared" si="44"/>
        <v>237.625</v>
      </c>
      <c r="AA565" s="79" t="s">
        <v>2082</v>
      </c>
      <c r="AB565" s="82">
        <f t="shared" si="45"/>
        <v>237</v>
      </c>
      <c r="AC565" s="79" t="s">
        <v>2081</v>
      </c>
      <c r="AD565" s="82">
        <f t="shared" si="46"/>
        <v>6</v>
      </c>
      <c r="AE565" s="79" t="s">
        <v>2080</v>
      </c>
      <c r="AF565" s="82">
        <f t="shared" si="47"/>
        <v>2.5</v>
      </c>
      <c r="AG565" s="79" t="s">
        <v>2079</v>
      </c>
      <c r="AH565" s="81">
        <v>9.5</v>
      </c>
      <c r="AI565" s="65"/>
      <c r="AJ565" s="65"/>
      <c r="AK565" s="65"/>
      <c r="AL565" s="65"/>
      <c r="AM565" s="65"/>
      <c r="AN565" s="65"/>
      <c r="AO565" s="65"/>
      <c r="AP565" s="65"/>
      <c r="AQ565" s="65"/>
    </row>
    <row r="566" spans="24:43">
      <c r="X566" s="79" t="s">
        <v>10959</v>
      </c>
      <c r="Y566" s="80">
        <v>740</v>
      </c>
      <c r="Z566" s="81">
        <f t="shared" si="44"/>
        <v>740</v>
      </c>
      <c r="AA566" s="79" t="s">
        <v>2082</v>
      </c>
      <c r="AB566" s="82">
        <f t="shared" si="45"/>
        <v>740</v>
      </c>
      <c r="AC566" s="79" t="s">
        <v>2081</v>
      </c>
      <c r="AD566" s="82">
        <f t="shared" si="46"/>
        <v>0</v>
      </c>
      <c r="AE566" s="79" t="s">
        <v>2080</v>
      </c>
      <c r="AF566" s="82">
        <f t="shared" si="47"/>
        <v>0</v>
      </c>
      <c r="AG566" s="79" t="s">
        <v>2079</v>
      </c>
      <c r="AH566" s="81">
        <v>29.6</v>
      </c>
      <c r="AI566" s="65"/>
      <c r="AJ566" s="65"/>
      <c r="AK566" s="65"/>
      <c r="AL566" s="65"/>
      <c r="AM566" s="65"/>
      <c r="AN566" s="65"/>
      <c r="AO566" s="65"/>
      <c r="AP566" s="65"/>
      <c r="AQ566" s="65"/>
    </row>
    <row r="567" spans="24:43">
      <c r="X567" s="79" t="s">
        <v>10960</v>
      </c>
      <c r="Y567" s="80">
        <v>112500</v>
      </c>
      <c r="Z567" s="81">
        <f t="shared" si="44"/>
        <v>112500</v>
      </c>
      <c r="AA567" s="79" t="s">
        <v>2082</v>
      </c>
      <c r="AB567" s="82">
        <f t="shared" si="45"/>
        <v>112500</v>
      </c>
      <c r="AC567" s="79" t="s">
        <v>2081</v>
      </c>
      <c r="AD567" s="82">
        <f t="shared" si="46"/>
        <v>0</v>
      </c>
      <c r="AE567" s="79" t="s">
        <v>2080</v>
      </c>
      <c r="AF567" s="82">
        <f t="shared" si="47"/>
        <v>0</v>
      </c>
      <c r="AG567" s="79" t="s">
        <v>2079</v>
      </c>
      <c r="AH567" s="81">
        <v>4500</v>
      </c>
      <c r="AI567" s="65"/>
      <c r="AJ567" s="65"/>
      <c r="AK567" s="65"/>
      <c r="AL567" s="65"/>
      <c r="AM567" s="65"/>
      <c r="AN567" s="65"/>
      <c r="AO567" s="65"/>
      <c r="AP567" s="65"/>
      <c r="AQ567" s="65"/>
    </row>
    <row r="568" spans="24:43">
      <c r="X568" s="79" t="s">
        <v>10961</v>
      </c>
      <c r="Y568" s="80">
        <v>1000</v>
      </c>
      <c r="Z568" s="81">
        <f t="shared" si="44"/>
        <v>1000</v>
      </c>
      <c r="AA568" s="79" t="s">
        <v>2082</v>
      </c>
      <c r="AB568" s="82">
        <f t="shared" si="45"/>
        <v>1000</v>
      </c>
      <c r="AC568" s="79" t="s">
        <v>2081</v>
      </c>
      <c r="AD568" s="82">
        <f t="shared" si="46"/>
        <v>0</v>
      </c>
      <c r="AE568" s="79" t="s">
        <v>2080</v>
      </c>
      <c r="AF568" s="82">
        <f t="shared" si="47"/>
        <v>0</v>
      </c>
      <c r="AG568" s="79" t="s">
        <v>2079</v>
      </c>
      <c r="AH568" s="81">
        <v>40</v>
      </c>
      <c r="AI568" s="65"/>
      <c r="AJ568" s="65"/>
      <c r="AK568" s="65"/>
      <c r="AL568" s="65"/>
      <c r="AM568" s="65"/>
      <c r="AN568" s="65"/>
      <c r="AO568" s="65"/>
      <c r="AP568" s="65"/>
      <c r="AQ568" s="65"/>
    </row>
    <row r="569" spans="24:43">
      <c r="X569" s="79" t="s">
        <v>10962</v>
      </c>
      <c r="Y569" s="80">
        <v>4750</v>
      </c>
      <c r="Z569" s="81">
        <f t="shared" si="44"/>
        <v>4750</v>
      </c>
      <c r="AA569" s="79" t="s">
        <v>2082</v>
      </c>
      <c r="AB569" s="82">
        <f t="shared" si="45"/>
        <v>4750</v>
      </c>
      <c r="AC569" s="79" t="s">
        <v>2081</v>
      </c>
      <c r="AD569" s="82">
        <f t="shared" si="46"/>
        <v>0</v>
      </c>
      <c r="AE569" s="79" t="s">
        <v>2080</v>
      </c>
      <c r="AF569" s="82">
        <f t="shared" si="47"/>
        <v>0</v>
      </c>
      <c r="AG569" s="79" t="s">
        <v>2079</v>
      </c>
      <c r="AH569" s="81">
        <v>190</v>
      </c>
      <c r="AI569" s="65"/>
      <c r="AJ569" s="65"/>
      <c r="AK569" s="65"/>
      <c r="AL569" s="65"/>
      <c r="AM569" s="65"/>
      <c r="AN569" s="65"/>
      <c r="AO569" s="65"/>
      <c r="AP569" s="65"/>
      <c r="AQ569" s="65"/>
    </row>
    <row r="570" spans="24:43">
      <c r="X570" s="79" t="s">
        <v>10963</v>
      </c>
      <c r="Y570" s="80">
        <v>325.25</v>
      </c>
      <c r="Z570" s="81">
        <f t="shared" si="44"/>
        <v>325.25</v>
      </c>
      <c r="AA570" s="79" t="s">
        <v>2082</v>
      </c>
      <c r="AB570" s="82">
        <f t="shared" si="45"/>
        <v>325</v>
      </c>
      <c r="AC570" s="79" t="s">
        <v>2081</v>
      </c>
      <c r="AD570" s="82">
        <f t="shared" si="46"/>
        <v>2</v>
      </c>
      <c r="AE570" s="79" t="s">
        <v>2080</v>
      </c>
      <c r="AF570" s="82">
        <f t="shared" si="47"/>
        <v>5</v>
      </c>
      <c r="AG570" s="79" t="s">
        <v>2079</v>
      </c>
      <c r="AH570" s="81">
        <v>13.01</v>
      </c>
      <c r="AI570" s="65"/>
      <c r="AJ570" s="65"/>
      <c r="AK570" s="65"/>
      <c r="AL570" s="65"/>
      <c r="AM570" s="65"/>
      <c r="AN570" s="65"/>
      <c r="AO570" s="65"/>
      <c r="AP570" s="65"/>
      <c r="AQ570" s="65"/>
    </row>
    <row r="571" spans="24:43">
      <c r="X571" s="79" t="s">
        <v>10963</v>
      </c>
      <c r="Y571" s="80">
        <v>325.25</v>
      </c>
      <c r="Z571" s="81">
        <f t="shared" si="44"/>
        <v>325.25</v>
      </c>
      <c r="AA571" s="79" t="s">
        <v>2082</v>
      </c>
      <c r="AB571" s="82">
        <f t="shared" si="45"/>
        <v>325</v>
      </c>
      <c r="AC571" s="79" t="s">
        <v>2081</v>
      </c>
      <c r="AD571" s="82">
        <f t="shared" si="46"/>
        <v>2</v>
      </c>
      <c r="AE571" s="79" t="s">
        <v>2080</v>
      </c>
      <c r="AF571" s="82">
        <f t="shared" si="47"/>
        <v>5</v>
      </c>
      <c r="AG571" s="79" t="s">
        <v>2079</v>
      </c>
      <c r="AH571" s="81">
        <v>13.01</v>
      </c>
      <c r="AI571" s="65"/>
      <c r="AJ571" s="65"/>
      <c r="AK571" s="65"/>
      <c r="AL571" s="65"/>
      <c r="AM571" s="65"/>
      <c r="AN571" s="65"/>
      <c r="AO571" s="65"/>
      <c r="AP571" s="65"/>
      <c r="AQ571" s="65"/>
    </row>
    <row r="572" spans="24:43">
      <c r="X572" s="79" t="s">
        <v>10964</v>
      </c>
      <c r="Y572" s="80">
        <v>60</v>
      </c>
      <c r="Z572" s="81">
        <f t="shared" si="44"/>
        <v>60</v>
      </c>
      <c r="AA572" s="79" t="s">
        <v>2082</v>
      </c>
      <c r="AB572" s="82">
        <f t="shared" si="45"/>
        <v>60</v>
      </c>
      <c r="AC572" s="79" t="s">
        <v>2081</v>
      </c>
      <c r="AD572" s="82">
        <f t="shared" si="46"/>
        <v>0</v>
      </c>
      <c r="AE572" s="79" t="s">
        <v>2080</v>
      </c>
      <c r="AF572" s="82">
        <f t="shared" si="47"/>
        <v>0</v>
      </c>
      <c r="AG572" s="79" t="s">
        <v>2079</v>
      </c>
      <c r="AH572" s="81">
        <v>2.4</v>
      </c>
      <c r="AI572" s="65"/>
      <c r="AJ572" s="65"/>
      <c r="AK572" s="65"/>
      <c r="AL572" s="65"/>
      <c r="AM572" s="65"/>
      <c r="AN572" s="65"/>
      <c r="AO572" s="65"/>
      <c r="AP572" s="65"/>
      <c r="AQ572" s="65"/>
    </row>
    <row r="573" spans="24:43">
      <c r="X573" s="79" t="s">
        <v>10964</v>
      </c>
      <c r="Y573" s="80">
        <v>60</v>
      </c>
      <c r="Z573" s="81">
        <f t="shared" si="44"/>
        <v>60</v>
      </c>
      <c r="AA573" s="79" t="s">
        <v>2082</v>
      </c>
      <c r="AB573" s="82">
        <f t="shared" si="45"/>
        <v>60</v>
      </c>
      <c r="AC573" s="79" t="s">
        <v>2081</v>
      </c>
      <c r="AD573" s="82">
        <f t="shared" si="46"/>
        <v>0</v>
      </c>
      <c r="AE573" s="79" t="s">
        <v>2080</v>
      </c>
      <c r="AF573" s="82">
        <f t="shared" si="47"/>
        <v>0</v>
      </c>
      <c r="AG573" s="79" t="s">
        <v>2079</v>
      </c>
      <c r="AH573" s="81">
        <v>2.4</v>
      </c>
      <c r="AI573" s="65"/>
      <c r="AJ573" s="65"/>
      <c r="AK573" s="65"/>
      <c r="AL573" s="65"/>
      <c r="AM573" s="65"/>
      <c r="AN573" s="65"/>
      <c r="AO573" s="65"/>
      <c r="AP573" s="65"/>
      <c r="AQ573" s="65"/>
    </row>
    <row r="574" spans="24:43">
      <c r="X574" s="79" t="s">
        <v>10965</v>
      </c>
      <c r="Y574" s="80">
        <v>17500</v>
      </c>
      <c r="Z574" s="81">
        <f t="shared" si="44"/>
        <v>17500</v>
      </c>
      <c r="AA574" s="79" t="s">
        <v>2082</v>
      </c>
      <c r="AB574" s="82">
        <f t="shared" si="45"/>
        <v>17500</v>
      </c>
      <c r="AC574" s="79" t="s">
        <v>2081</v>
      </c>
      <c r="AD574" s="82">
        <f t="shared" si="46"/>
        <v>0</v>
      </c>
      <c r="AE574" s="79" t="s">
        <v>2080</v>
      </c>
      <c r="AF574" s="82">
        <f t="shared" si="47"/>
        <v>0</v>
      </c>
      <c r="AG574" s="79" t="s">
        <v>2079</v>
      </c>
      <c r="AH574" s="81">
        <v>700</v>
      </c>
      <c r="AI574" s="65"/>
      <c r="AJ574" s="65"/>
      <c r="AK574" s="65"/>
      <c r="AL574" s="65"/>
      <c r="AM574" s="65"/>
      <c r="AN574" s="65"/>
      <c r="AO574" s="65"/>
      <c r="AP574" s="65"/>
      <c r="AQ574" s="65"/>
    </row>
    <row r="575" spans="24:43">
      <c r="X575" s="79" t="s">
        <v>10966</v>
      </c>
      <c r="Y575" s="80">
        <v>16500</v>
      </c>
      <c r="Z575" s="81">
        <f t="shared" si="44"/>
        <v>16500</v>
      </c>
      <c r="AA575" s="79" t="s">
        <v>2082</v>
      </c>
      <c r="AB575" s="82">
        <f t="shared" si="45"/>
        <v>16500</v>
      </c>
      <c r="AC575" s="79" t="s">
        <v>2081</v>
      </c>
      <c r="AD575" s="82">
        <f t="shared" si="46"/>
        <v>0</v>
      </c>
      <c r="AE575" s="79" t="s">
        <v>2080</v>
      </c>
      <c r="AF575" s="82">
        <f t="shared" si="47"/>
        <v>0</v>
      </c>
      <c r="AG575" s="79" t="s">
        <v>2079</v>
      </c>
      <c r="AH575" s="81">
        <v>660</v>
      </c>
      <c r="AI575" s="65"/>
      <c r="AJ575" s="65"/>
      <c r="AK575" s="65"/>
      <c r="AL575" s="65"/>
      <c r="AM575" s="65"/>
      <c r="AN575" s="65"/>
      <c r="AO575" s="65"/>
      <c r="AP575" s="65"/>
      <c r="AQ575" s="65"/>
    </row>
    <row r="576" spans="24:43">
      <c r="X576" s="79" t="s">
        <v>10967</v>
      </c>
      <c r="Y576" s="80">
        <v>350.125</v>
      </c>
      <c r="Z576" s="81">
        <f t="shared" si="44"/>
        <v>350.125</v>
      </c>
      <c r="AA576" s="79" t="s">
        <v>2082</v>
      </c>
      <c r="AB576" s="82">
        <f t="shared" si="45"/>
        <v>350</v>
      </c>
      <c r="AC576" s="79" t="s">
        <v>2081</v>
      </c>
      <c r="AD576" s="82">
        <f t="shared" si="46"/>
        <v>1</v>
      </c>
      <c r="AE576" s="79" t="s">
        <v>2080</v>
      </c>
      <c r="AF576" s="82">
        <f t="shared" si="47"/>
        <v>2.5</v>
      </c>
      <c r="AG576" s="79" t="s">
        <v>2079</v>
      </c>
      <c r="AH576" s="81">
        <v>14</v>
      </c>
      <c r="AI576" s="65"/>
      <c r="AJ576" s="65"/>
      <c r="AK576" s="65"/>
      <c r="AL576" s="65"/>
      <c r="AM576" s="65"/>
      <c r="AN576" s="65"/>
      <c r="AO576" s="65"/>
      <c r="AP576" s="65"/>
      <c r="AQ576" s="65"/>
    </row>
    <row r="577" spans="24:43">
      <c r="X577" s="79" t="s">
        <v>10968</v>
      </c>
      <c r="Y577" s="80">
        <v>52500</v>
      </c>
      <c r="Z577" s="81">
        <f t="shared" si="44"/>
        <v>52500</v>
      </c>
      <c r="AA577" s="79" t="s">
        <v>2082</v>
      </c>
      <c r="AB577" s="82">
        <f t="shared" si="45"/>
        <v>52500</v>
      </c>
      <c r="AC577" s="79" t="s">
        <v>2081</v>
      </c>
      <c r="AD577" s="82">
        <f t="shared" si="46"/>
        <v>0</v>
      </c>
      <c r="AE577" s="79" t="s">
        <v>2080</v>
      </c>
      <c r="AF577" s="82">
        <f t="shared" si="47"/>
        <v>0</v>
      </c>
      <c r="AG577" s="79" t="s">
        <v>2079</v>
      </c>
      <c r="AH577" s="81">
        <v>2100</v>
      </c>
      <c r="AI577" s="65"/>
      <c r="AJ577" s="65"/>
      <c r="AK577" s="65"/>
      <c r="AL577" s="65"/>
      <c r="AM577" s="65"/>
      <c r="AN577" s="65"/>
      <c r="AO577" s="65"/>
      <c r="AP577" s="65"/>
      <c r="AQ577" s="65"/>
    </row>
    <row r="578" spans="24:43">
      <c r="X578" s="79" t="s">
        <v>10969</v>
      </c>
      <c r="Y578" s="80">
        <v>4887.625</v>
      </c>
      <c r="Z578" s="81">
        <f t="shared" si="44"/>
        <v>4887.625</v>
      </c>
      <c r="AA578" s="79" t="s">
        <v>2082</v>
      </c>
      <c r="AB578" s="82">
        <f t="shared" si="45"/>
        <v>4887</v>
      </c>
      <c r="AC578" s="79" t="s">
        <v>2081</v>
      </c>
      <c r="AD578" s="82">
        <f t="shared" si="46"/>
        <v>6</v>
      </c>
      <c r="AE578" s="79" t="s">
        <v>2080</v>
      </c>
      <c r="AF578" s="82">
        <f t="shared" si="47"/>
        <v>2.5</v>
      </c>
      <c r="AG578" s="79" t="s">
        <v>2079</v>
      </c>
      <c r="AH578" s="81">
        <v>195.5</v>
      </c>
      <c r="AI578" s="65"/>
      <c r="AJ578" s="65"/>
      <c r="AK578" s="65"/>
      <c r="AL578" s="65"/>
      <c r="AM578" s="65"/>
      <c r="AN578" s="65"/>
      <c r="AO578" s="65"/>
      <c r="AP578" s="65"/>
      <c r="AQ578" s="65"/>
    </row>
    <row r="579" spans="24:43">
      <c r="X579" s="79" t="s">
        <v>10970</v>
      </c>
      <c r="Y579" s="80">
        <v>54500</v>
      </c>
      <c r="Z579" s="81">
        <f t="shared" ref="Z579:Z642" si="48">Y579*$AK$6*$AK$11</f>
        <v>54500</v>
      </c>
      <c r="AA579" s="79" t="s">
        <v>2082</v>
      </c>
      <c r="AB579" s="82">
        <f t="shared" ref="AB579:AB642" si="49">_xlfn.FLOOR.MATH(Z579,1)</f>
        <v>54500</v>
      </c>
      <c r="AC579" s="79" t="s">
        <v>2081</v>
      </c>
      <c r="AD579" s="82">
        <f t="shared" ref="AD579:AD642" si="50">_xlfn.FLOOR.MATH(((Z579-AB579)*10), 1)</f>
        <v>0</v>
      </c>
      <c r="AE579" s="79" t="s">
        <v>2080</v>
      </c>
      <c r="AF579" s="82">
        <f t="shared" ref="AF579:AF642" si="51">((Z579-AB579)*10-AD579)*10</f>
        <v>0</v>
      </c>
      <c r="AG579" s="79" t="s">
        <v>2079</v>
      </c>
      <c r="AH579" s="81">
        <v>2180</v>
      </c>
      <c r="AI579" s="65"/>
      <c r="AJ579" s="65"/>
      <c r="AK579" s="65"/>
      <c r="AL579" s="65"/>
      <c r="AM579" s="65"/>
      <c r="AN579" s="65"/>
      <c r="AO579" s="65"/>
      <c r="AP579" s="65"/>
      <c r="AQ579" s="65"/>
    </row>
    <row r="580" spans="24:43">
      <c r="X580" s="79" t="s">
        <v>10971</v>
      </c>
      <c r="Y580" s="80">
        <v>362.625</v>
      </c>
      <c r="Z580" s="81">
        <f t="shared" si="48"/>
        <v>362.625</v>
      </c>
      <c r="AA580" s="79" t="s">
        <v>2082</v>
      </c>
      <c r="AB580" s="82">
        <f t="shared" si="49"/>
        <v>362</v>
      </c>
      <c r="AC580" s="79" t="s">
        <v>2081</v>
      </c>
      <c r="AD580" s="82">
        <f t="shared" si="50"/>
        <v>6</v>
      </c>
      <c r="AE580" s="79" t="s">
        <v>2080</v>
      </c>
      <c r="AF580" s="82">
        <f t="shared" si="51"/>
        <v>2.5</v>
      </c>
      <c r="AG580" s="79" t="s">
        <v>2079</v>
      </c>
      <c r="AH580" s="81">
        <v>14.5</v>
      </c>
      <c r="AI580" s="65"/>
      <c r="AJ580" s="65"/>
      <c r="AK580" s="65"/>
      <c r="AL580" s="65"/>
      <c r="AM580" s="65"/>
      <c r="AN580" s="65"/>
      <c r="AO580" s="65"/>
      <c r="AP580" s="65"/>
      <c r="AQ580" s="65"/>
    </row>
    <row r="581" spans="24:43">
      <c r="X581" s="79" t="s">
        <v>10972</v>
      </c>
      <c r="Y581" s="80">
        <v>49000</v>
      </c>
      <c r="Z581" s="81">
        <f t="shared" si="48"/>
        <v>49000</v>
      </c>
      <c r="AA581" s="79" t="s">
        <v>2082</v>
      </c>
      <c r="AB581" s="82">
        <f t="shared" si="49"/>
        <v>49000</v>
      </c>
      <c r="AC581" s="79" t="s">
        <v>2081</v>
      </c>
      <c r="AD581" s="82">
        <f t="shared" si="50"/>
        <v>0</v>
      </c>
      <c r="AE581" s="79" t="s">
        <v>2080</v>
      </c>
      <c r="AF581" s="82">
        <f t="shared" si="51"/>
        <v>0</v>
      </c>
      <c r="AG581" s="79" t="s">
        <v>2079</v>
      </c>
      <c r="AH581" s="81">
        <v>1960</v>
      </c>
      <c r="AI581" s="65"/>
      <c r="AJ581" s="65"/>
      <c r="AK581" s="65"/>
      <c r="AL581" s="65"/>
      <c r="AM581" s="65"/>
      <c r="AN581" s="65"/>
      <c r="AO581" s="65"/>
      <c r="AP581" s="65"/>
      <c r="AQ581" s="65"/>
    </row>
    <row r="582" spans="24:43">
      <c r="X582" s="79" t="s">
        <v>10973</v>
      </c>
      <c r="Y582" s="80">
        <v>18000</v>
      </c>
      <c r="Z582" s="81">
        <f t="shared" si="48"/>
        <v>18000</v>
      </c>
      <c r="AA582" s="79" t="s">
        <v>2082</v>
      </c>
      <c r="AB582" s="82">
        <f t="shared" si="49"/>
        <v>18000</v>
      </c>
      <c r="AC582" s="79" t="s">
        <v>2081</v>
      </c>
      <c r="AD582" s="82">
        <f t="shared" si="50"/>
        <v>0</v>
      </c>
      <c r="AE582" s="79" t="s">
        <v>2080</v>
      </c>
      <c r="AF582" s="82">
        <f t="shared" si="51"/>
        <v>0</v>
      </c>
      <c r="AG582" s="79" t="s">
        <v>2079</v>
      </c>
      <c r="AH582" s="81">
        <v>720</v>
      </c>
      <c r="AI582" s="65"/>
      <c r="AJ582" s="65"/>
      <c r="AK582" s="65"/>
      <c r="AL582" s="65"/>
      <c r="AM582" s="65"/>
      <c r="AN582" s="65"/>
      <c r="AO582" s="65"/>
      <c r="AP582" s="65"/>
      <c r="AQ582" s="65"/>
    </row>
    <row r="583" spans="24:43">
      <c r="X583" s="79" t="s">
        <v>10974</v>
      </c>
      <c r="Y583" s="80">
        <v>49000</v>
      </c>
      <c r="Z583" s="81">
        <f t="shared" si="48"/>
        <v>49000</v>
      </c>
      <c r="AA583" s="79" t="s">
        <v>2082</v>
      </c>
      <c r="AB583" s="82">
        <f t="shared" si="49"/>
        <v>49000</v>
      </c>
      <c r="AC583" s="79" t="s">
        <v>2081</v>
      </c>
      <c r="AD583" s="82">
        <f t="shared" si="50"/>
        <v>0</v>
      </c>
      <c r="AE583" s="79" t="s">
        <v>2080</v>
      </c>
      <c r="AF583" s="82">
        <f t="shared" si="51"/>
        <v>0</v>
      </c>
      <c r="AG583" s="79" t="s">
        <v>2079</v>
      </c>
      <c r="AH583" s="81">
        <v>1960</v>
      </c>
      <c r="AI583" s="65"/>
      <c r="AJ583" s="65"/>
      <c r="AK583" s="65"/>
      <c r="AL583" s="65"/>
      <c r="AM583" s="65"/>
      <c r="AN583" s="65"/>
      <c r="AO583" s="65"/>
      <c r="AP583" s="65"/>
      <c r="AQ583" s="65"/>
    </row>
    <row r="584" spans="24:43">
      <c r="X584" s="79" t="s">
        <v>10975</v>
      </c>
      <c r="Y584" s="80">
        <v>118750.25</v>
      </c>
      <c r="Z584" s="81">
        <f t="shared" si="48"/>
        <v>118750.25</v>
      </c>
      <c r="AA584" s="79" t="s">
        <v>2082</v>
      </c>
      <c r="AB584" s="82">
        <f t="shared" si="49"/>
        <v>118750</v>
      </c>
      <c r="AC584" s="79" t="s">
        <v>2081</v>
      </c>
      <c r="AD584" s="82">
        <f t="shared" si="50"/>
        <v>2</v>
      </c>
      <c r="AE584" s="79" t="s">
        <v>2080</v>
      </c>
      <c r="AF584" s="82">
        <f t="shared" si="51"/>
        <v>5</v>
      </c>
      <c r="AG584" s="79" t="s">
        <v>2079</v>
      </c>
      <c r="AH584" s="81">
        <v>4750.01</v>
      </c>
      <c r="AI584" s="65"/>
      <c r="AJ584" s="65"/>
      <c r="AK584" s="65"/>
      <c r="AL584" s="65"/>
      <c r="AM584" s="65"/>
      <c r="AN584" s="65"/>
      <c r="AO584" s="65"/>
      <c r="AP584" s="65"/>
      <c r="AQ584" s="65"/>
    </row>
    <row r="585" spans="24:43">
      <c r="X585" s="79" t="s">
        <v>10976</v>
      </c>
      <c r="Y585" s="80">
        <v>287.625</v>
      </c>
      <c r="Z585" s="81">
        <f t="shared" si="48"/>
        <v>287.625</v>
      </c>
      <c r="AA585" s="79" t="s">
        <v>2082</v>
      </c>
      <c r="AB585" s="82">
        <f t="shared" si="49"/>
        <v>287</v>
      </c>
      <c r="AC585" s="79" t="s">
        <v>2081</v>
      </c>
      <c r="AD585" s="82">
        <f t="shared" si="50"/>
        <v>6</v>
      </c>
      <c r="AE585" s="79" t="s">
        <v>2080</v>
      </c>
      <c r="AF585" s="82">
        <f t="shared" si="51"/>
        <v>2.5</v>
      </c>
      <c r="AG585" s="79" t="s">
        <v>2079</v>
      </c>
      <c r="AH585" s="81">
        <v>11.5</v>
      </c>
      <c r="AI585" s="65"/>
      <c r="AJ585" s="65"/>
      <c r="AK585" s="65"/>
      <c r="AL585" s="65"/>
      <c r="AM585" s="65"/>
      <c r="AN585" s="65"/>
      <c r="AO585" s="65"/>
      <c r="AP585" s="65"/>
      <c r="AQ585" s="65"/>
    </row>
    <row r="586" spans="24:43">
      <c r="X586" s="79" t="s">
        <v>10977</v>
      </c>
      <c r="Y586" s="80">
        <v>9800</v>
      </c>
      <c r="Z586" s="81">
        <f t="shared" si="48"/>
        <v>9800</v>
      </c>
      <c r="AA586" s="79" t="s">
        <v>2082</v>
      </c>
      <c r="AB586" s="82">
        <f t="shared" si="49"/>
        <v>9800</v>
      </c>
      <c r="AC586" s="79" t="s">
        <v>2081</v>
      </c>
      <c r="AD586" s="82">
        <f t="shared" si="50"/>
        <v>0</v>
      </c>
      <c r="AE586" s="79" t="s">
        <v>2080</v>
      </c>
      <c r="AF586" s="82">
        <f t="shared" si="51"/>
        <v>0</v>
      </c>
      <c r="AG586" s="79" t="s">
        <v>2079</v>
      </c>
      <c r="AH586" s="81">
        <v>392</v>
      </c>
      <c r="AI586" s="65"/>
      <c r="AJ586" s="65"/>
      <c r="AK586" s="65"/>
      <c r="AL586" s="65"/>
      <c r="AM586" s="65"/>
      <c r="AN586" s="65"/>
      <c r="AO586" s="65"/>
      <c r="AP586" s="65"/>
      <c r="AQ586" s="65"/>
    </row>
    <row r="587" spans="24:43">
      <c r="X587" s="79" t="s">
        <v>10978</v>
      </c>
      <c r="Y587" s="80">
        <v>67500</v>
      </c>
      <c r="Z587" s="81">
        <f t="shared" si="48"/>
        <v>67500</v>
      </c>
      <c r="AA587" s="79" t="s">
        <v>2082</v>
      </c>
      <c r="AB587" s="82">
        <f t="shared" si="49"/>
        <v>67500</v>
      </c>
      <c r="AC587" s="79" t="s">
        <v>2081</v>
      </c>
      <c r="AD587" s="82">
        <f t="shared" si="50"/>
        <v>0</v>
      </c>
      <c r="AE587" s="79" t="s">
        <v>2080</v>
      </c>
      <c r="AF587" s="82">
        <f t="shared" si="51"/>
        <v>0</v>
      </c>
      <c r="AG587" s="79" t="s">
        <v>2079</v>
      </c>
      <c r="AH587" s="81">
        <v>2700</v>
      </c>
      <c r="AI587" s="65"/>
      <c r="AJ587" s="65"/>
      <c r="AK587" s="65"/>
      <c r="AL587" s="65"/>
      <c r="AM587" s="65"/>
      <c r="AN587" s="65"/>
      <c r="AO587" s="65"/>
      <c r="AP587" s="65"/>
      <c r="AQ587" s="65"/>
    </row>
    <row r="588" spans="24:43">
      <c r="X588" s="79" t="s">
        <v>10979</v>
      </c>
      <c r="Y588" s="80">
        <v>6200</v>
      </c>
      <c r="Z588" s="81">
        <f t="shared" si="48"/>
        <v>6200</v>
      </c>
      <c r="AA588" s="79" t="s">
        <v>2082</v>
      </c>
      <c r="AB588" s="82">
        <f t="shared" si="49"/>
        <v>6200</v>
      </c>
      <c r="AC588" s="79" t="s">
        <v>2081</v>
      </c>
      <c r="AD588" s="82">
        <f t="shared" si="50"/>
        <v>0</v>
      </c>
      <c r="AE588" s="79" t="s">
        <v>2080</v>
      </c>
      <c r="AF588" s="82">
        <f t="shared" si="51"/>
        <v>0</v>
      </c>
      <c r="AG588" s="79" t="s">
        <v>2079</v>
      </c>
      <c r="AH588" s="81">
        <v>248</v>
      </c>
      <c r="AI588" s="65"/>
      <c r="AJ588" s="65"/>
      <c r="AK588" s="65"/>
      <c r="AL588" s="65"/>
      <c r="AM588" s="65"/>
      <c r="AN588" s="65"/>
      <c r="AO588" s="65"/>
      <c r="AP588" s="65"/>
      <c r="AQ588" s="65"/>
    </row>
    <row r="589" spans="24:43">
      <c r="X589" s="79" t="s">
        <v>10980</v>
      </c>
      <c r="Y589" s="80">
        <v>10000</v>
      </c>
      <c r="Z589" s="81">
        <f t="shared" si="48"/>
        <v>10000</v>
      </c>
      <c r="AA589" s="79" t="s">
        <v>2082</v>
      </c>
      <c r="AB589" s="82">
        <f t="shared" si="49"/>
        <v>10000</v>
      </c>
      <c r="AC589" s="79" t="s">
        <v>2081</v>
      </c>
      <c r="AD589" s="82">
        <f t="shared" si="50"/>
        <v>0</v>
      </c>
      <c r="AE589" s="79" t="s">
        <v>2080</v>
      </c>
      <c r="AF589" s="82">
        <f t="shared" si="51"/>
        <v>0</v>
      </c>
      <c r="AG589" s="79" t="s">
        <v>2079</v>
      </c>
      <c r="AH589" s="81">
        <v>400</v>
      </c>
      <c r="AI589" s="65"/>
      <c r="AJ589" s="65"/>
      <c r="AK589" s="65"/>
      <c r="AL589" s="65"/>
      <c r="AM589" s="65"/>
      <c r="AN589" s="65"/>
      <c r="AO589" s="65"/>
      <c r="AP589" s="65"/>
      <c r="AQ589" s="65"/>
    </row>
    <row r="590" spans="24:43">
      <c r="X590" s="79" t="s">
        <v>10981</v>
      </c>
      <c r="Y590" s="80">
        <v>21000</v>
      </c>
      <c r="Z590" s="81">
        <f t="shared" si="48"/>
        <v>21000</v>
      </c>
      <c r="AA590" s="79" t="s">
        <v>2082</v>
      </c>
      <c r="AB590" s="82">
        <f t="shared" si="49"/>
        <v>21000</v>
      </c>
      <c r="AC590" s="79" t="s">
        <v>2081</v>
      </c>
      <c r="AD590" s="82">
        <f t="shared" si="50"/>
        <v>0</v>
      </c>
      <c r="AE590" s="79" t="s">
        <v>2080</v>
      </c>
      <c r="AF590" s="82">
        <f t="shared" si="51"/>
        <v>0</v>
      </c>
      <c r="AG590" s="79" t="s">
        <v>2079</v>
      </c>
      <c r="AH590" s="81">
        <v>840</v>
      </c>
      <c r="AI590" s="65"/>
      <c r="AJ590" s="65"/>
      <c r="AK590" s="65"/>
      <c r="AL590" s="65"/>
      <c r="AM590" s="65"/>
      <c r="AN590" s="65"/>
      <c r="AO590" s="65"/>
      <c r="AP590" s="65"/>
      <c r="AQ590" s="65"/>
    </row>
    <row r="591" spans="24:43">
      <c r="X591" s="79" t="s">
        <v>10982</v>
      </c>
      <c r="Y591" s="80">
        <v>5137.625</v>
      </c>
      <c r="Z591" s="81">
        <f t="shared" si="48"/>
        <v>5137.625</v>
      </c>
      <c r="AA591" s="79" t="s">
        <v>2082</v>
      </c>
      <c r="AB591" s="82">
        <f t="shared" si="49"/>
        <v>5137</v>
      </c>
      <c r="AC591" s="79" t="s">
        <v>2081</v>
      </c>
      <c r="AD591" s="82">
        <f t="shared" si="50"/>
        <v>6</v>
      </c>
      <c r="AE591" s="79" t="s">
        <v>2080</v>
      </c>
      <c r="AF591" s="82">
        <f t="shared" si="51"/>
        <v>2.5</v>
      </c>
      <c r="AG591" s="79" t="s">
        <v>2079</v>
      </c>
      <c r="AH591" s="81">
        <v>205.5</v>
      </c>
      <c r="AI591" s="65"/>
      <c r="AJ591" s="65"/>
      <c r="AK591" s="65"/>
      <c r="AL591" s="65"/>
      <c r="AM591" s="65"/>
      <c r="AN591" s="65"/>
      <c r="AO591" s="65"/>
      <c r="AP591" s="65"/>
      <c r="AQ591" s="65"/>
    </row>
    <row r="592" spans="24:43">
      <c r="X592" s="79" t="s">
        <v>10983</v>
      </c>
      <c r="Y592" s="80">
        <v>1175</v>
      </c>
      <c r="Z592" s="81">
        <f t="shared" si="48"/>
        <v>1175</v>
      </c>
      <c r="AA592" s="79" t="s">
        <v>2082</v>
      </c>
      <c r="AB592" s="82">
        <f t="shared" si="49"/>
        <v>1175</v>
      </c>
      <c r="AC592" s="79" t="s">
        <v>2081</v>
      </c>
      <c r="AD592" s="82">
        <f t="shared" si="50"/>
        <v>0</v>
      </c>
      <c r="AE592" s="79" t="s">
        <v>2080</v>
      </c>
      <c r="AF592" s="82">
        <f t="shared" si="51"/>
        <v>0</v>
      </c>
      <c r="AG592" s="79" t="s">
        <v>2079</v>
      </c>
      <c r="AH592" s="81">
        <v>47</v>
      </c>
      <c r="AI592" s="65"/>
      <c r="AJ592" s="65"/>
      <c r="AK592" s="65"/>
      <c r="AL592" s="65"/>
      <c r="AM592" s="65"/>
      <c r="AN592" s="65"/>
      <c r="AO592" s="65"/>
      <c r="AP592" s="65"/>
      <c r="AQ592" s="65"/>
    </row>
    <row r="593" spans="24:43">
      <c r="X593" s="79" t="s">
        <v>10984</v>
      </c>
      <c r="Y593" s="80">
        <v>2500</v>
      </c>
      <c r="Z593" s="81">
        <f t="shared" si="48"/>
        <v>2500</v>
      </c>
      <c r="AA593" s="79" t="s">
        <v>2082</v>
      </c>
      <c r="AB593" s="82">
        <f t="shared" si="49"/>
        <v>2500</v>
      </c>
      <c r="AC593" s="79" t="s">
        <v>2081</v>
      </c>
      <c r="AD593" s="82">
        <f t="shared" si="50"/>
        <v>0</v>
      </c>
      <c r="AE593" s="79" t="s">
        <v>2080</v>
      </c>
      <c r="AF593" s="82">
        <f t="shared" si="51"/>
        <v>0</v>
      </c>
      <c r="AG593" s="79" t="s">
        <v>2079</v>
      </c>
      <c r="AH593" s="81">
        <v>100</v>
      </c>
      <c r="AI593" s="65"/>
      <c r="AJ593" s="65"/>
      <c r="AK593" s="65"/>
      <c r="AL593" s="65"/>
      <c r="AM593" s="65"/>
      <c r="AN593" s="65"/>
      <c r="AO593" s="65"/>
      <c r="AP593" s="65"/>
      <c r="AQ593" s="65"/>
    </row>
    <row r="594" spans="24:43">
      <c r="X594" s="79" t="s">
        <v>10985</v>
      </c>
      <c r="Y594" s="80">
        <v>55</v>
      </c>
      <c r="Z594" s="81">
        <f t="shared" si="48"/>
        <v>55</v>
      </c>
      <c r="AA594" s="79" t="s">
        <v>2082</v>
      </c>
      <c r="AB594" s="82">
        <f t="shared" si="49"/>
        <v>55</v>
      </c>
      <c r="AC594" s="79" t="s">
        <v>2081</v>
      </c>
      <c r="AD594" s="82">
        <f t="shared" si="50"/>
        <v>0</v>
      </c>
      <c r="AE594" s="79" t="s">
        <v>2080</v>
      </c>
      <c r="AF594" s="82">
        <f t="shared" si="51"/>
        <v>0</v>
      </c>
      <c r="AG594" s="79" t="s">
        <v>2079</v>
      </c>
      <c r="AH594" s="81">
        <v>2.2000000000000002</v>
      </c>
      <c r="AI594" s="65"/>
      <c r="AJ594" s="65"/>
      <c r="AK594" s="65"/>
      <c r="AL594" s="65"/>
      <c r="AM594" s="65"/>
      <c r="AN594" s="65"/>
      <c r="AO594" s="65"/>
      <c r="AP594" s="65"/>
      <c r="AQ594" s="65"/>
    </row>
    <row r="595" spans="24:43">
      <c r="X595" s="79" t="s">
        <v>10986</v>
      </c>
      <c r="Y595" s="80">
        <v>16875.125</v>
      </c>
      <c r="Z595" s="81">
        <f t="shared" si="48"/>
        <v>16875.125</v>
      </c>
      <c r="AA595" s="79" t="s">
        <v>2082</v>
      </c>
      <c r="AB595" s="82">
        <f t="shared" si="49"/>
        <v>16875</v>
      </c>
      <c r="AC595" s="79" t="s">
        <v>2081</v>
      </c>
      <c r="AD595" s="82">
        <f t="shared" si="50"/>
        <v>1</v>
      </c>
      <c r="AE595" s="79" t="s">
        <v>2080</v>
      </c>
      <c r="AF595" s="82">
        <f t="shared" si="51"/>
        <v>2.5</v>
      </c>
      <c r="AG595" s="79" t="s">
        <v>2079</v>
      </c>
      <c r="AH595" s="81">
        <v>675</v>
      </c>
      <c r="AI595" s="65"/>
      <c r="AJ595" s="65"/>
      <c r="AK595" s="65"/>
      <c r="AL595" s="65"/>
      <c r="AM595" s="65"/>
      <c r="AN595" s="65"/>
      <c r="AO595" s="65"/>
      <c r="AP595" s="65"/>
      <c r="AQ595" s="65"/>
    </row>
    <row r="596" spans="24:43">
      <c r="X596" s="79" t="s">
        <v>10987</v>
      </c>
      <c r="Y596" s="80">
        <v>80</v>
      </c>
      <c r="Z596" s="81">
        <f t="shared" si="48"/>
        <v>80</v>
      </c>
      <c r="AA596" s="79" t="s">
        <v>2082</v>
      </c>
      <c r="AB596" s="82">
        <f t="shared" si="49"/>
        <v>80</v>
      </c>
      <c r="AC596" s="79" t="s">
        <v>2081</v>
      </c>
      <c r="AD596" s="82">
        <f t="shared" si="50"/>
        <v>0</v>
      </c>
      <c r="AE596" s="79" t="s">
        <v>2080</v>
      </c>
      <c r="AF596" s="82">
        <f t="shared" si="51"/>
        <v>0</v>
      </c>
      <c r="AG596" s="79" t="s">
        <v>2079</v>
      </c>
      <c r="AH596" s="81">
        <v>3.2</v>
      </c>
      <c r="AI596" s="65"/>
      <c r="AJ596" s="65"/>
      <c r="AK596" s="65"/>
      <c r="AL596" s="65"/>
      <c r="AM596" s="65"/>
      <c r="AN596" s="65"/>
      <c r="AO596" s="65"/>
      <c r="AP596" s="65"/>
      <c r="AQ596" s="65"/>
    </row>
    <row r="597" spans="24:43">
      <c r="X597" s="79" t="s">
        <v>10988</v>
      </c>
      <c r="Y597" s="80">
        <v>1125</v>
      </c>
      <c r="Z597" s="81">
        <f t="shared" si="48"/>
        <v>1125</v>
      </c>
      <c r="AA597" s="79" t="s">
        <v>2082</v>
      </c>
      <c r="AB597" s="82">
        <f t="shared" si="49"/>
        <v>1125</v>
      </c>
      <c r="AC597" s="79" t="s">
        <v>2081</v>
      </c>
      <c r="AD597" s="82">
        <f t="shared" si="50"/>
        <v>0</v>
      </c>
      <c r="AE597" s="79" t="s">
        <v>2080</v>
      </c>
      <c r="AF597" s="82">
        <f t="shared" si="51"/>
        <v>0</v>
      </c>
      <c r="AG597" s="79" t="s">
        <v>2079</v>
      </c>
      <c r="AH597" s="81">
        <v>45</v>
      </c>
      <c r="AI597" s="65"/>
      <c r="AJ597" s="65"/>
      <c r="AK597" s="65"/>
      <c r="AL597" s="65"/>
      <c r="AM597" s="65"/>
      <c r="AN597" s="65"/>
      <c r="AO597" s="65"/>
      <c r="AP597" s="65"/>
      <c r="AQ597" s="65"/>
    </row>
    <row r="598" spans="24:43">
      <c r="X598" s="79" t="s">
        <v>10989</v>
      </c>
      <c r="Y598" s="80">
        <v>6875.25</v>
      </c>
      <c r="Z598" s="81">
        <f t="shared" si="48"/>
        <v>6875.25</v>
      </c>
      <c r="AA598" s="79" t="s">
        <v>2082</v>
      </c>
      <c r="AB598" s="82">
        <f t="shared" si="49"/>
        <v>6875</v>
      </c>
      <c r="AC598" s="79" t="s">
        <v>2081</v>
      </c>
      <c r="AD598" s="82">
        <f t="shared" si="50"/>
        <v>2</v>
      </c>
      <c r="AE598" s="79" t="s">
        <v>2080</v>
      </c>
      <c r="AF598" s="82">
        <f t="shared" si="51"/>
        <v>5</v>
      </c>
      <c r="AG598" s="79" t="s">
        <v>2079</v>
      </c>
      <c r="AH598" s="81">
        <v>275.01</v>
      </c>
      <c r="AI598" s="65"/>
      <c r="AJ598" s="65"/>
      <c r="AK598" s="65"/>
      <c r="AL598" s="65"/>
      <c r="AM598" s="65"/>
      <c r="AN598" s="65"/>
      <c r="AO598" s="65"/>
      <c r="AP598" s="65"/>
      <c r="AQ598" s="65"/>
    </row>
    <row r="599" spans="24:43">
      <c r="X599" s="79" t="s">
        <v>10990</v>
      </c>
      <c r="Y599" s="80">
        <v>47000</v>
      </c>
      <c r="Z599" s="81">
        <f t="shared" si="48"/>
        <v>47000</v>
      </c>
      <c r="AA599" s="79" t="s">
        <v>2082</v>
      </c>
      <c r="AB599" s="82">
        <f t="shared" si="49"/>
        <v>47000</v>
      </c>
      <c r="AC599" s="79" t="s">
        <v>2081</v>
      </c>
      <c r="AD599" s="82">
        <f t="shared" si="50"/>
        <v>0</v>
      </c>
      <c r="AE599" s="79" t="s">
        <v>2080</v>
      </c>
      <c r="AF599" s="82">
        <f t="shared" si="51"/>
        <v>0</v>
      </c>
      <c r="AG599" s="79" t="s">
        <v>2079</v>
      </c>
      <c r="AH599" s="81">
        <v>1880</v>
      </c>
      <c r="AI599" s="65"/>
      <c r="AJ599" s="65"/>
      <c r="AK599" s="65"/>
      <c r="AL599" s="65"/>
      <c r="AM599" s="65"/>
      <c r="AN599" s="65"/>
      <c r="AO599" s="65"/>
      <c r="AP599" s="65"/>
      <c r="AQ599" s="65"/>
    </row>
    <row r="600" spans="24:43">
      <c r="X600" s="79" t="s">
        <v>10991</v>
      </c>
      <c r="Y600" s="80">
        <v>6750</v>
      </c>
      <c r="Z600" s="81">
        <f t="shared" si="48"/>
        <v>6750</v>
      </c>
      <c r="AA600" s="79" t="s">
        <v>2082</v>
      </c>
      <c r="AB600" s="82">
        <f t="shared" si="49"/>
        <v>6750</v>
      </c>
      <c r="AC600" s="79" t="s">
        <v>2081</v>
      </c>
      <c r="AD600" s="82">
        <f t="shared" si="50"/>
        <v>0</v>
      </c>
      <c r="AE600" s="79" t="s">
        <v>2080</v>
      </c>
      <c r="AF600" s="82">
        <f t="shared" si="51"/>
        <v>0</v>
      </c>
      <c r="AG600" s="79" t="s">
        <v>2079</v>
      </c>
      <c r="AH600" s="81">
        <v>270</v>
      </c>
      <c r="AI600" s="65"/>
      <c r="AJ600" s="65"/>
      <c r="AK600" s="65"/>
      <c r="AL600" s="65"/>
      <c r="AM600" s="65"/>
      <c r="AN600" s="65"/>
      <c r="AO600" s="65"/>
      <c r="AP600" s="65"/>
      <c r="AQ600" s="65"/>
    </row>
    <row r="601" spans="24:43">
      <c r="X601" s="79" t="s">
        <v>10992</v>
      </c>
      <c r="Y601" s="80">
        <v>4487.625</v>
      </c>
      <c r="Z601" s="81">
        <f t="shared" si="48"/>
        <v>4487.625</v>
      </c>
      <c r="AA601" s="79" t="s">
        <v>2082</v>
      </c>
      <c r="AB601" s="82">
        <f t="shared" si="49"/>
        <v>4487</v>
      </c>
      <c r="AC601" s="79" t="s">
        <v>2081</v>
      </c>
      <c r="AD601" s="82">
        <f t="shared" si="50"/>
        <v>6</v>
      </c>
      <c r="AE601" s="79" t="s">
        <v>2080</v>
      </c>
      <c r="AF601" s="82">
        <f t="shared" si="51"/>
        <v>2.5</v>
      </c>
      <c r="AG601" s="79" t="s">
        <v>2079</v>
      </c>
      <c r="AH601" s="81">
        <v>179.5</v>
      </c>
      <c r="AI601" s="65"/>
      <c r="AJ601" s="65"/>
      <c r="AK601" s="65"/>
      <c r="AL601" s="65"/>
      <c r="AM601" s="65"/>
      <c r="AN601" s="65"/>
      <c r="AO601" s="65"/>
      <c r="AP601" s="65"/>
      <c r="AQ601" s="65"/>
    </row>
    <row r="602" spans="24:43">
      <c r="X602" s="79" t="s">
        <v>10993</v>
      </c>
      <c r="Y602" s="80">
        <v>60</v>
      </c>
      <c r="Z602" s="81">
        <f t="shared" si="48"/>
        <v>60</v>
      </c>
      <c r="AA602" s="79" t="s">
        <v>2082</v>
      </c>
      <c r="AB602" s="82">
        <f t="shared" si="49"/>
        <v>60</v>
      </c>
      <c r="AC602" s="79" t="s">
        <v>2081</v>
      </c>
      <c r="AD602" s="82">
        <f t="shared" si="50"/>
        <v>0</v>
      </c>
      <c r="AE602" s="79" t="s">
        <v>2080</v>
      </c>
      <c r="AF602" s="82">
        <f t="shared" si="51"/>
        <v>0</v>
      </c>
      <c r="AG602" s="79" t="s">
        <v>2079</v>
      </c>
      <c r="AH602" s="81">
        <v>2.4</v>
      </c>
      <c r="AI602" s="65"/>
      <c r="AJ602" s="65"/>
      <c r="AK602" s="65"/>
      <c r="AL602" s="65"/>
      <c r="AM602" s="65"/>
      <c r="AN602" s="65"/>
      <c r="AO602" s="65"/>
      <c r="AP602" s="65"/>
      <c r="AQ602" s="65"/>
    </row>
    <row r="603" spans="24:43">
      <c r="X603" s="79" t="s">
        <v>10994</v>
      </c>
      <c r="Y603" s="80">
        <v>60</v>
      </c>
      <c r="Z603" s="81">
        <f t="shared" si="48"/>
        <v>60</v>
      </c>
      <c r="AA603" s="79" t="s">
        <v>2082</v>
      </c>
      <c r="AB603" s="82">
        <f t="shared" si="49"/>
        <v>60</v>
      </c>
      <c r="AC603" s="79" t="s">
        <v>2081</v>
      </c>
      <c r="AD603" s="82">
        <f t="shared" si="50"/>
        <v>0</v>
      </c>
      <c r="AE603" s="79" t="s">
        <v>2080</v>
      </c>
      <c r="AF603" s="82">
        <f t="shared" si="51"/>
        <v>0</v>
      </c>
      <c r="AG603" s="79" t="s">
        <v>2079</v>
      </c>
      <c r="AH603" s="81">
        <v>2.4</v>
      </c>
      <c r="AI603" s="65"/>
      <c r="AJ603" s="65"/>
      <c r="AK603" s="65"/>
      <c r="AL603" s="65"/>
      <c r="AM603" s="65"/>
      <c r="AN603" s="65"/>
      <c r="AO603" s="65"/>
      <c r="AP603" s="65"/>
      <c r="AQ603" s="65"/>
    </row>
    <row r="604" spans="24:43">
      <c r="X604" s="79" t="s">
        <v>10995</v>
      </c>
      <c r="Y604" s="80">
        <v>1840</v>
      </c>
      <c r="Z604" s="81">
        <f t="shared" si="48"/>
        <v>1840</v>
      </c>
      <c r="AA604" s="79" t="s">
        <v>2082</v>
      </c>
      <c r="AB604" s="82">
        <f t="shared" si="49"/>
        <v>1840</v>
      </c>
      <c r="AC604" s="79" t="s">
        <v>2081</v>
      </c>
      <c r="AD604" s="82">
        <f t="shared" si="50"/>
        <v>0</v>
      </c>
      <c r="AE604" s="79" t="s">
        <v>2080</v>
      </c>
      <c r="AF604" s="82">
        <f t="shared" si="51"/>
        <v>0</v>
      </c>
      <c r="AG604" s="79" t="s">
        <v>2079</v>
      </c>
      <c r="AH604" s="81">
        <v>73.600000000000009</v>
      </c>
      <c r="AI604" s="65"/>
      <c r="AJ604" s="65"/>
      <c r="AK604" s="65"/>
      <c r="AL604" s="65"/>
      <c r="AM604" s="65"/>
      <c r="AN604" s="65"/>
      <c r="AO604" s="65"/>
      <c r="AP604" s="65"/>
      <c r="AQ604" s="65"/>
    </row>
    <row r="605" spans="24:43">
      <c r="X605" s="79" t="s">
        <v>10996</v>
      </c>
      <c r="Y605" s="80">
        <v>112500.5</v>
      </c>
      <c r="Z605" s="81">
        <f t="shared" si="48"/>
        <v>112500.5</v>
      </c>
      <c r="AA605" s="79" t="s">
        <v>2082</v>
      </c>
      <c r="AB605" s="82">
        <f t="shared" si="49"/>
        <v>112500</v>
      </c>
      <c r="AC605" s="79" t="s">
        <v>2081</v>
      </c>
      <c r="AD605" s="82">
        <f t="shared" si="50"/>
        <v>5</v>
      </c>
      <c r="AE605" s="79" t="s">
        <v>2080</v>
      </c>
      <c r="AF605" s="82">
        <f t="shared" si="51"/>
        <v>0</v>
      </c>
      <c r="AG605" s="79" t="s">
        <v>2079</v>
      </c>
      <c r="AH605" s="81">
        <v>4500.0200000000004</v>
      </c>
      <c r="AI605" s="65"/>
      <c r="AJ605" s="65"/>
      <c r="AK605" s="65"/>
      <c r="AL605" s="65"/>
      <c r="AM605" s="65"/>
      <c r="AN605" s="65"/>
      <c r="AO605" s="65"/>
      <c r="AP605" s="65"/>
      <c r="AQ605" s="65"/>
    </row>
    <row r="606" spans="24:43">
      <c r="X606" s="79" t="s">
        <v>10997</v>
      </c>
      <c r="Y606" s="80">
        <v>112500.5</v>
      </c>
      <c r="Z606" s="81">
        <f t="shared" si="48"/>
        <v>112500.5</v>
      </c>
      <c r="AA606" s="79" t="s">
        <v>2082</v>
      </c>
      <c r="AB606" s="82">
        <f t="shared" si="49"/>
        <v>112500</v>
      </c>
      <c r="AC606" s="79" t="s">
        <v>2081</v>
      </c>
      <c r="AD606" s="82">
        <f t="shared" si="50"/>
        <v>5</v>
      </c>
      <c r="AE606" s="79" t="s">
        <v>2080</v>
      </c>
      <c r="AF606" s="82">
        <f t="shared" si="51"/>
        <v>0</v>
      </c>
      <c r="AG606" s="79" t="s">
        <v>2079</v>
      </c>
      <c r="AH606" s="81">
        <v>4500.0200000000004</v>
      </c>
      <c r="AI606" s="65"/>
      <c r="AJ606" s="65"/>
      <c r="AK606" s="65"/>
      <c r="AL606" s="65"/>
      <c r="AM606" s="65"/>
      <c r="AN606" s="65"/>
      <c r="AO606" s="65"/>
      <c r="AP606" s="65"/>
      <c r="AQ606" s="65"/>
    </row>
    <row r="607" spans="24:43">
      <c r="X607" s="79" t="s">
        <v>10998</v>
      </c>
      <c r="Y607" s="80">
        <v>212.625</v>
      </c>
      <c r="Z607" s="81">
        <f t="shared" si="48"/>
        <v>212.625</v>
      </c>
      <c r="AA607" s="79" t="s">
        <v>2082</v>
      </c>
      <c r="AB607" s="82">
        <f t="shared" si="49"/>
        <v>212</v>
      </c>
      <c r="AC607" s="79" t="s">
        <v>2081</v>
      </c>
      <c r="AD607" s="82">
        <f t="shared" si="50"/>
        <v>6</v>
      </c>
      <c r="AE607" s="79" t="s">
        <v>2080</v>
      </c>
      <c r="AF607" s="82">
        <f t="shared" si="51"/>
        <v>2.5</v>
      </c>
      <c r="AG607" s="79" t="s">
        <v>2079</v>
      </c>
      <c r="AH607" s="81">
        <v>8.5</v>
      </c>
      <c r="AI607" s="65"/>
      <c r="AJ607" s="65"/>
      <c r="AK607" s="65"/>
      <c r="AL607" s="65"/>
      <c r="AM607" s="65"/>
      <c r="AN607" s="65"/>
      <c r="AO607" s="65"/>
      <c r="AP607" s="65"/>
      <c r="AQ607" s="65"/>
    </row>
    <row r="608" spans="24:43">
      <c r="X608" s="79" t="s">
        <v>10999</v>
      </c>
      <c r="Y608" s="80">
        <v>55</v>
      </c>
      <c r="Z608" s="81">
        <f t="shared" si="48"/>
        <v>55</v>
      </c>
      <c r="AA608" s="79" t="s">
        <v>2082</v>
      </c>
      <c r="AB608" s="82">
        <f t="shared" si="49"/>
        <v>55</v>
      </c>
      <c r="AC608" s="79" t="s">
        <v>2081</v>
      </c>
      <c r="AD608" s="82">
        <f t="shared" si="50"/>
        <v>0</v>
      </c>
      <c r="AE608" s="79" t="s">
        <v>2080</v>
      </c>
      <c r="AF608" s="82">
        <f t="shared" si="51"/>
        <v>0</v>
      </c>
      <c r="AG608" s="79" t="s">
        <v>2079</v>
      </c>
      <c r="AH608" s="81">
        <v>2.2000000000000002</v>
      </c>
      <c r="AI608" s="65"/>
      <c r="AJ608" s="65"/>
      <c r="AK608" s="65"/>
      <c r="AL608" s="65"/>
      <c r="AM608" s="65"/>
      <c r="AN608" s="65"/>
      <c r="AO608" s="65"/>
      <c r="AP608" s="65"/>
      <c r="AQ608" s="65"/>
    </row>
    <row r="609" spans="24:43">
      <c r="X609" s="79" t="s">
        <v>11000</v>
      </c>
      <c r="Y609" s="80">
        <v>412.625</v>
      </c>
      <c r="Z609" s="81">
        <f t="shared" si="48"/>
        <v>412.625</v>
      </c>
      <c r="AA609" s="79" t="s">
        <v>2082</v>
      </c>
      <c r="AB609" s="82">
        <f t="shared" si="49"/>
        <v>412</v>
      </c>
      <c r="AC609" s="79" t="s">
        <v>2081</v>
      </c>
      <c r="AD609" s="82">
        <f t="shared" si="50"/>
        <v>6</v>
      </c>
      <c r="AE609" s="79" t="s">
        <v>2080</v>
      </c>
      <c r="AF609" s="82">
        <f t="shared" si="51"/>
        <v>2.5</v>
      </c>
      <c r="AG609" s="79" t="s">
        <v>2079</v>
      </c>
      <c r="AH609" s="81">
        <v>16.5</v>
      </c>
      <c r="AI609" s="65"/>
      <c r="AJ609" s="65"/>
      <c r="AK609" s="65"/>
      <c r="AL609" s="65"/>
      <c r="AM609" s="65"/>
      <c r="AN609" s="65"/>
      <c r="AO609" s="65"/>
      <c r="AP609" s="65"/>
      <c r="AQ609" s="65"/>
    </row>
    <row r="610" spans="24:43">
      <c r="X610" s="79" t="s">
        <v>6967</v>
      </c>
      <c r="Y610" s="80">
        <v>1250</v>
      </c>
      <c r="Z610" s="81">
        <f t="shared" si="48"/>
        <v>1250</v>
      </c>
      <c r="AA610" s="79" t="s">
        <v>2082</v>
      </c>
      <c r="AB610" s="82">
        <f t="shared" si="49"/>
        <v>1250</v>
      </c>
      <c r="AC610" s="79" t="s">
        <v>2081</v>
      </c>
      <c r="AD610" s="82">
        <f t="shared" si="50"/>
        <v>0</v>
      </c>
      <c r="AE610" s="79" t="s">
        <v>2080</v>
      </c>
      <c r="AF610" s="82">
        <f t="shared" si="51"/>
        <v>0</v>
      </c>
      <c r="AG610" s="79" t="s">
        <v>2079</v>
      </c>
      <c r="AH610" s="81">
        <v>50</v>
      </c>
      <c r="AI610" s="65"/>
      <c r="AJ610" s="65"/>
      <c r="AK610" s="65"/>
      <c r="AL610" s="65"/>
      <c r="AM610" s="65"/>
      <c r="AN610" s="65"/>
      <c r="AO610" s="65"/>
      <c r="AP610" s="65"/>
      <c r="AQ610" s="65"/>
    </row>
    <row r="611" spans="24:43">
      <c r="X611" s="79" t="s">
        <v>6742</v>
      </c>
      <c r="Y611" s="80">
        <v>10150</v>
      </c>
      <c r="Z611" s="81">
        <f t="shared" si="48"/>
        <v>10150</v>
      </c>
      <c r="AA611" s="79" t="s">
        <v>2082</v>
      </c>
      <c r="AB611" s="82">
        <f t="shared" si="49"/>
        <v>10150</v>
      </c>
      <c r="AC611" s="79" t="s">
        <v>2081</v>
      </c>
      <c r="AD611" s="82">
        <f t="shared" si="50"/>
        <v>0</v>
      </c>
      <c r="AE611" s="79" t="s">
        <v>2080</v>
      </c>
      <c r="AF611" s="82">
        <f t="shared" si="51"/>
        <v>0</v>
      </c>
      <c r="AG611" s="79" t="s">
        <v>2079</v>
      </c>
      <c r="AH611" s="81">
        <v>406</v>
      </c>
      <c r="AI611" s="65"/>
      <c r="AJ611" s="65"/>
      <c r="AK611" s="65"/>
      <c r="AL611" s="65"/>
      <c r="AM611" s="65"/>
      <c r="AN611" s="65"/>
      <c r="AO611" s="65"/>
      <c r="AP611" s="65"/>
      <c r="AQ611" s="65"/>
    </row>
    <row r="612" spans="24:43">
      <c r="X612" s="79" t="s">
        <v>11001</v>
      </c>
      <c r="Y612" s="80">
        <v>6875.25</v>
      </c>
      <c r="Z612" s="81">
        <f t="shared" si="48"/>
        <v>6875.25</v>
      </c>
      <c r="AA612" s="79" t="s">
        <v>2082</v>
      </c>
      <c r="AB612" s="82">
        <f t="shared" si="49"/>
        <v>6875</v>
      </c>
      <c r="AC612" s="79" t="s">
        <v>2081</v>
      </c>
      <c r="AD612" s="82">
        <f t="shared" si="50"/>
        <v>2</v>
      </c>
      <c r="AE612" s="79" t="s">
        <v>2080</v>
      </c>
      <c r="AF612" s="82">
        <f t="shared" si="51"/>
        <v>5</v>
      </c>
      <c r="AG612" s="79" t="s">
        <v>2079</v>
      </c>
      <c r="AH612" s="81">
        <v>275.01</v>
      </c>
      <c r="AI612" s="65"/>
      <c r="AJ612" s="65"/>
      <c r="AK612" s="65"/>
      <c r="AL612" s="65"/>
      <c r="AM612" s="65"/>
      <c r="AN612" s="65"/>
      <c r="AO612" s="65"/>
      <c r="AP612" s="65"/>
      <c r="AQ612" s="65"/>
    </row>
    <row r="613" spans="24:43">
      <c r="X613" s="79" t="s">
        <v>11002</v>
      </c>
      <c r="Y613" s="80">
        <v>6875.25</v>
      </c>
      <c r="Z613" s="81">
        <f t="shared" si="48"/>
        <v>6875.25</v>
      </c>
      <c r="AA613" s="79" t="s">
        <v>2082</v>
      </c>
      <c r="AB613" s="82">
        <f t="shared" si="49"/>
        <v>6875</v>
      </c>
      <c r="AC613" s="79" t="s">
        <v>2081</v>
      </c>
      <c r="AD613" s="82">
        <f t="shared" si="50"/>
        <v>2</v>
      </c>
      <c r="AE613" s="79" t="s">
        <v>2080</v>
      </c>
      <c r="AF613" s="82">
        <f t="shared" si="51"/>
        <v>5</v>
      </c>
      <c r="AG613" s="79" t="s">
        <v>2079</v>
      </c>
      <c r="AH613" s="81">
        <v>275.01</v>
      </c>
      <c r="AI613" s="65"/>
      <c r="AJ613" s="65"/>
      <c r="AK613" s="65"/>
      <c r="AL613" s="65"/>
      <c r="AM613" s="65"/>
      <c r="AN613" s="65"/>
      <c r="AO613" s="65"/>
      <c r="AP613" s="65"/>
      <c r="AQ613" s="65"/>
    </row>
    <row r="614" spans="24:43">
      <c r="X614" s="79" t="s">
        <v>11003</v>
      </c>
      <c r="Y614" s="80">
        <v>20125.125</v>
      </c>
      <c r="Z614" s="81">
        <f t="shared" si="48"/>
        <v>20125.125</v>
      </c>
      <c r="AA614" s="79" t="s">
        <v>2082</v>
      </c>
      <c r="AB614" s="82">
        <f t="shared" si="49"/>
        <v>20125</v>
      </c>
      <c r="AC614" s="79" t="s">
        <v>2081</v>
      </c>
      <c r="AD614" s="82">
        <f t="shared" si="50"/>
        <v>1</v>
      </c>
      <c r="AE614" s="79" t="s">
        <v>2080</v>
      </c>
      <c r="AF614" s="82">
        <f t="shared" si="51"/>
        <v>2.5</v>
      </c>
      <c r="AG614" s="79" t="s">
        <v>2079</v>
      </c>
      <c r="AH614" s="81">
        <v>805</v>
      </c>
      <c r="AI614" s="65"/>
      <c r="AJ614" s="65"/>
      <c r="AK614" s="65"/>
      <c r="AL614" s="65"/>
      <c r="AM614" s="65"/>
      <c r="AN614" s="65"/>
      <c r="AO614" s="65"/>
      <c r="AP614" s="65"/>
      <c r="AQ614" s="65"/>
    </row>
    <row r="615" spans="24:43">
      <c r="X615" s="79" t="s">
        <v>11004</v>
      </c>
      <c r="Y615" s="80">
        <v>437.625</v>
      </c>
      <c r="Z615" s="81">
        <f t="shared" si="48"/>
        <v>437.625</v>
      </c>
      <c r="AA615" s="79" t="s">
        <v>2082</v>
      </c>
      <c r="AB615" s="82">
        <f t="shared" si="49"/>
        <v>437</v>
      </c>
      <c r="AC615" s="79" t="s">
        <v>2081</v>
      </c>
      <c r="AD615" s="82">
        <f t="shared" si="50"/>
        <v>6</v>
      </c>
      <c r="AE615" s="79" t="s">
        <v>2080</v>
      </c>
      <c r="AF615" s="82">
        <f t="shared" si="51"/>
        <v>2.5</v>
      </c>
      <c r="AG615" s="79" t="s">
        <v>2079</v>
      </c>
      <c r="AH615" s="81">
        <v>17.5</v>
      </c>
      <c r="AI615" s="65"/>
      <c r="AJ615" s="65"/>
      <c r="AK615" s="65"/>
      <c r="AL615" s="65"/>
      <c r="AM615" s="65"/>
      <c r="AN615" s="65"/>
      <c r="AO615" s="65"/>
      <c r="AP615" s="65"/>
      <c r="AQ615" s="65"/>
    </row>
    <row r="616" spans="24:43">
      <c r="X616" s="79" t="s">
        <v>11005</v>
      </c>
      <c r="Y616" s="80">
        <v>60</v>
      </c>
      <c r="Z616" s="81">
        <f t="shared" si="48"/>
        <v>60</v>
      </c>
      <c r="AA616" s="79" t="s">
        <v>2082</v>
      </c>
      <c r="AB616" s="82">
        <f t="shared" si="49"/>
        <v>60</v>
      </c>
      <c r="AC616" s="79" t="s">
        <v>2081</v>
      </c>
      <c r="AD616" s="82">
        <f t="shared" si="50"/>
        <v>0</v>
      </c>
      <c r="AE616" s="79" t="s">
        <v>2080</v>
      </c>
      <c r="AF616" s="82">
        <f t="shared" si="51"/>
        <v>0</v>
      </c>
      <c r="AG616" s="79" t="s">
        <v>2079</v>
      </c>
      <c r="AH616" s="81">
        <v>2.4</v>
      </c>
      <c r="AI616" s="65"/>
      <c r="AJ616" s="65"/>
      <c r="AK616" s="65"/>
      <c r="AL616" s="65"/>
      <c r="AM616" s="65"/>
      <c r="AN616" s="65"/>
      <c r="AO616" s="65"/>
      <c r="AP616" s="65"/>
      <c r="AQ616" s="65"/>
    </row>
    <row r="617" spans="24:43">
      <c r="X617" s="79" t="s">
        <v>11006</v>
      </c>
      <c r="Y617" s="80">
        <v>60</v>
      </c>
      <c r="Z617" s="81">
        <f t="shared" si="48"/>
        <v>60</v>
      </c>
      <c r="AA617" s="79" t="s">
        <v>2082</v>
      </c>
      <c r="AB617" s="82">
        <f t="shared" si="49"/>
        <v>60</v>
      </c>
      <c r="AC617" s="79" t="s">
        <v>2081</v>
      </c>
      <c r="AD617" s="82">
        <f t="shared" si="50"/>
        <v>0</v>
      </c>
      <c r="AE617" s="79" t="s">
        <v>2080</v>
      </c>
      <c r="AF617" s="82">
        <f t="shared" si="51"/>
        <v>0</v>
      </c>
      <c r="AG617" s="79" t="s">
        <v>2079</v>
      </c>
      <c r="AH617" s="81">
        <v>2.4</v>
      </c>
      <c r="AI617" s="65"/>
      <c r="AJ617" s="65"/>
      <c r="AK617" s="65"/>
      <c r="AL617" s="65"/>
      <c r="AM617" s="65"/>
      <c r="AN617" s="65"/>
      <c r="AO617" s="65"/>
      <c r="AP617" s="65"/>
      <c r="AQ617" s="65"/>
    </row>
    <row r="618" spans="24:43">
      <c r="X618" s="79" t="s">
        <v>11007</v>
      </c>
      <c r="Y618" s="80">
        <v>55</v>
      </c>
      <c r="Z618" s="81">
        <f t="shared" si="48"/>
        <v>55</v>
      </c>
      <c r="AA618" s="79" t="s">
        <v>2082</v>
      </c>
      <c r="AB618" s="82">
        <f t="shared" si="49"/>
        <v>55</v>
      </c>
      <c r="AC618" s="79" t="s">
        <v>2081</v>
      </c>
      <c r="AD618" s="82">
        <f t="shared" si="50"/>
        <v>0</v>
      </c>
      <c r="AE618" s="79" t="s">
        <v>2080</v>
      </c>
      <c r="AF618" s="82">
        <f t="shared" si="51"/>
        <v>0</v>
      </c>
      <c r="AG618" s="79" t="s">
        <v>2079</v>
      </c>
      <c r="AH618" s="81">
        <v>2.2000000000000002</v>
      </c>
      <c r="AI618" s="65"/>
      <c r="AJ618" s="65"/>
      <c r="AK618" s="65"/>
      <c r="AL618" s="65"/>
      <c r="AM618" s="65"/>
      <c r="AN618" s="65"/>
      <c r="AO618" s="65"/>
      <c r="AP618" s="65"/>
      <c r="AQ618" s="65"/>
    </row>
    <row r="619" spans="24:43">
      <c r="X619" s="79" t="s">
        <v>11008</v>
      </c>
      <c r="Y619" s="80">
        <v>6875.25</v>
      </c>
      <c r="Z619" s="81">
        <f t="shared" si="48"/>
        <v>6875.25</v>
      </c>
      <c r="AA619" s="79" t="s">
        <v>2082</v>
      </c>
      <c r="AB619" s="82">
        <f t="shared" si="49"/>
        <v>6875</v>
      </c>
      <c r="AC619" s="79" t="s">
        <v>2081</v>
      </c>
      <c r="AD619" s="82">
        <f t="shared" si="50"/>
        <v>2</v>
      </c>
      <c r="AE619" s="79" t="s">
        <v>2080</v>
      </c>
      <c r="AF619" s="82">
        <f t="shared" si="51"/>
        <v>5</v>
      </c>
      <c r="AG619" s="79" t="s">
        <v>2079</v>
      </c>
      <c r="AH619" s="81">
        <v>275.01</v>
      </c>
      <c r="AI619" s="65"/>
      <c r="AJ619" s="65"/>
      <c r="AK619" s="65"/>
      <c r="AL619" s="65"/>
      <c r="AM619" s="65"/>
      <c r="AN619" s="65"/>
      <c r="AO619" s="65"/>
      <c r="AP619" s="65"/>
      <c r="AQ619" s="65"/>
    </row>
    <row r="620" spans="24:43">
      <c r="X620" s="79" t="s">
        <v>11009</v>
      </c>
      <c r="Y620" s="80">
        <v>3500</v>
      </c>
      <c r="Z620" s="81">
        <f t="shared" si="48"/>
        <v>3500</v>
      </c>
      <c r="AA620" s="79" t="s">
        <v>2082</v>
      </c>
      <c r="AB620" s="82">
        <f t="shared" si="49"/>
        <v>3500</v>
      </c>
      <c r="AC620" s="79" t="s">
        <v>2081</v>
      </c>
      <c r="AD620" s="82">
        <f t="shared" si="50"/>
        <v>0</v>
      </c>
      <c r="AE620" s="79" t="s">
        <v>2080</v>
      </c>
      <c r="AF620" s="82">
        <f t="shared" si="51"/>
        <v>0</v>
      </c>
      <c r="AG620" s="79" t="s">
        <v>2079</v>
      </c>
      <c r="AH620" s="81">
        <v>140</v>
      </c>
      <c r="AI620" s="65"/>
      <c r="AJ620" s="65"/>
      <c r="AK620" s="65"/>
      <c r="AL620" s="65"/>
      <c r="AM620" s="65"/>
      <c r="AN620" s="65"/>
      <c r="AO620" s="65"/>
      <c r="AP620" s="65"/>
      <c r="AQ620" s="65"/>
    </row>
    <row r="621" spans="24:43">
      <c r="X621" s="79" t="s">
        <v>11010</v>
      </c>
      <c r="Y621" s="80">
        <v>99250.25</v>
      </c>
      <c r="Z621" s="81">
        <f t="shared" si="48"/>
        <v>99250.25</v>
      </c>
      <c r="AA621" s="79" t="s">
        <v>2082</v>
      </c>
      <c r="AB621" s="82">
        <f t="shared" si="49"/>
        <v>99250</v>
      </c>
      <c r="AC621" s="79" t="s">
        <v>2081</v>
      </c>
      <c r="AD621" s="82">
        <f t="shared" si="50"/>
        <v>2</v>
      </c>
      <c r="AE621" s="79" t="s">
        <v>2080</v>
      </c>
      <c r="AF621" s="82">
        <f t="shared" si="51"/>
        <v>5</v>
      </c>
      <c r="AG621" s="79" t="s">
        <v>2079</v>
      </c>
      <c r="AH621" s="81">
        <v>3970.01</v>
      </c>
      <c r="AI621" s="65"/>
      <c r="AJ621" s="65"/>
      <c r="AK621" s="65"/>
      <c r="AL621" s="65"/>
      <c r="AM621" s="65"/>
      <c r="AN621" s="65"/>
      <c r="AO621" s="65"/>
      <c r="AP621" s="65"/>
      <c r="AQ621" s="65"/>
    </row>
    <row r="622" spans="24:43">
      <c r="X622" s="79" t="s">
        <v>11011</v>
      </c>
      <c r="Y622" s="80">
        <v>31250.25</v>
      </c>
      <c r="Z622" s="81">
        <f t="shared" si="48"/>
        <v>31250.25</v>
      </c>
      <c r="AA622" s="79" t="s">
        <v>2082</v>
      </c>
      <c r="AB622" s="82">
        <f t="shared" si="49"/>
        <v>31250</v>
      </c>
      <c r="AC622" s="79" t="s">
        <v>2081</v>
      </c>
      <c r="AD622" s="82">
        <f t="shared" si="50"/>
        <v>2</v>
      </c>
      <c r="AE622" s="79" t="s">
        <v>2080</v>
      </c>
      <c r="AF622" s="82">
        <f t="shared" si="51"/>
        <v>5</v>
      </c>
      <c r="AG622" s="79" t="s">
        <v>2079</v>
      </c>
      <c r="AH622" s="81">
        <v>1250.01</v>
      </c>
      <c r="AI622" s="65"/>
      <c r="AJ622" s="65"/>
      <c r="AK622" s="65"/>
      <c r="AL622" s="65"/>
      <c r="AM622" s="65"/>
      <c r="AN622" s="65"/>
      <c r="AO622" s="65"/>
      <c r="AP622" s="65"/>
      <c r="AQ622" s="65"/>
    </row>
    <row r="623" spans="24:43">
      <c r="X623" s="79" t="s">
        <v>6746</v>
      </c>
      <c r="Y623" s="80">
        <v>975</v>
      </c>
      <c r="Z623" s="81">
        <f t="shared" si="48"/>
        <v>975</v>
      </c>
      <c r="AA623" s="79" t="s">
        <v>2082</v>
      </c>
      <c r="AB623" s="82">
        <f t="shared" si="49"/>
        <v>975</v>
      </c>
      <c r="AC623" s="79" t="s">
        <v>2081</v>
      </c>
      <c r="AD623" s="82">
        <f t="shared" si="50"/>
        <v>0</v>
      </c>
      <c r="AE623" s="79" t="s">
        <v>2080</v>
      </c>
      <c r="AF623" s="82">
        <f t="shared" si="51"/>
        <v>0</v>
      </c>
      <c r="AG623" s="79" t="s">
        <v>2079</v>
      </c>
      <c r="AH623" s="81">
        <v>39</v>
      </c>
      <c r="AI623" s="65"/>
      <c r="AJ623" s="65"/>
      <c r="AK623" s="65"/>
      <c r="AL623" s="65"/>
      <c r="AM623" s="65"/>
      <c r="AN623" s="65"/>
      <c r="AO623" s="65"/>
      <c r="AP623" s="65"/>
      <c r="AQ623" s="65"/>
    </row>
    <row r="624" spans="24:43">
      <c r="X624" s="79" t="s">
        <v>6992</v>
      </c>
      <c r="Y624" s="80">
        <v>5000</v>
      </c>
      <c r="Z624" s="81">
        <f t="shared" si="48"/>
        <v>5000</v>
      </c>
      <c r="AA624" s="79" t="s">
        <v>2082</v>
      </c>
      <c r="AB624" s="82">
        <f t="shared" si="49"/>
        <v>5000</v>
      </c>
      <c r="AC624" s="79" t="s">
        <v>2081</v>
      </c>
      <c r="AD624" s="82">
        <f t="shared" si="50"/>
        <v>0</v>
      </c>
      <c r="AE624" s="79" t="s">
        <v>2080</v>
      </c>
      <c r="AF624" s="82">
        <f t="shared" si="51"/>
        <v>0</v>
      </c>
      <c r="AG624" s="79" t="s">
        <v>2079</v>
      </c>
      <c r="AH624" s="81">
        <v>200</v>
      </c>
      <c r="AI624" s="65"/>
      <c r="AJ624" s="65"/>
      <c r="AK624" s="65"/>
      <c r="AL624" s="65"/>
      <c r="AM624" s="65"/>
      <c r="AN624" s="65"/>
      <c r="AO624" s="65"/>
      <c r="AP624" s="65"/>
      <c r="AQ624" s="65"/>
    </row>
    <row r="625" spans="24:43">
      <c r="X625" s="79" t="s">
        <v>7240</v>
      </c>
      <c r="Y625" s="80">
        <v>23000</v>
      </c>
      <c r="Z625" s="81">
        <f t="shared" si="48"/>
        <v>23000</v>
      </c>
      <c r="AA625" s="79" t="s">
        <v>2082</v>
      </c>
      <c r="AB625" s="82">
        <f t="shared" si="49"/>
        <v>23000</v>
      </c>
      <c r="AC625" s="79" t="s">
        <v>2081</v>
      </c>
      <c r="AD625" s="82">
        <f t="shared" si="50"/>
        <v>0</v>
      </c>
      <c r="AE625" s="79" t="s">
        <v>2080</v>
      </c>
      <c r="AF625" s="82">
        <f t="shared" si="51"/>
        <v>0</v>
      </c>
      <c r="AG625" s="79" t="s">
        <v>2079</v>
      </c>
      <c r="AH625" s="81">
        <v>920</v>
      </c>
      <c r="AI625" s="65"/>
      <c r="AJ625" s="65"/>
      <c r="AK625" s="65"/>
      <c r="AL625" s="65"/>
      <c r="AM625" s="65"/>
      <c r="AN625" s="65"/>
      <c r="AO625" s="65"/>
      <c r="AP625" s="65"/>
      <c r="AQ625" s="65"/>
    </row>
    <row r="626" spans="24:43">
      <c r="X626" s="79" t="s">
        <v>11012</v>
      </c>
      <c r="Y626" s="80">
        <v>80</v>
      </c>
      <c r="Z626" s="81">
        <f t="shared" si="48"/>
        <v>80</v>
      </c>
      <c r="AA626" s="79" t="s">
        <v>2082</v>
      </c>
      <c r="AB626" s="82">
        <f t="shared" si="49"/>
        <v>80</v>
      </c>
      <c r="AC626" s="79" t="s">
        <v>2081</v>
      </c>
      <c r="AD626" s="82">
        <f t="shared" si="50"/>
        <v>0</v>
      </c>
      <c r="AE626" s="79" t="s">
        <v>2080</v>
      </c>
      <c r="AF626" s="82">
        <f t="shared" si="51"/>
        <v>0</v>
      </c>
      <c r="AG626" s="79" t="s">
        <v>2079</v>
      </c>
      <c r="AH626" s="81">
        <v>3.2</v>
      </c>
      <c r="AI626" s="65"/>
      <c r="AJ626" s="65"/>
      <c r="AK626" s="65"/>
      <c r="AL626" s="65"/>
      <c r="AM626" s="65"/>
      <c r="AN626" s="65"/>
      <c r="AO626" s="65"/>
      <c r="AP626" s="65"/>
      <c r="AQ626" s="65"/>
    </row>
    <row r="627" spans="24:43">
      <c r="X627" s="79" t="s">
        <v>11012</v>
      </c>
      <c r="Y627" s="80">
        <v>80</v>
      </c>
      <c r="Z627" s="81">
        <f t="shared" si="48"/>
        <v>80</v>
      </c>
      <c r="AA627" s="79" t="s">
        <v>2082</v>
      </c>
      <c r="AB627" s="82">
        <f t="shared" si="49"/>
        <v>80</v>
      </c>
      <c r="AC627" s="79" t="s">
        <v>2081</v>
      </c>
      <c r="AD627" s="82">
        <f t="shared" si="50"/>
        <v>0</v>
      </c>
      <c r="AE627" s="79" t="s">
        <v>2080</v>
      </c>
      <c r="AF627" s="82">
        <f t="shared" si="51"/>
        <v>0</v>
      </c>
      <c r="AG627" s="79" t="s">
        <v>2079</v>
      </c>
      <c r="AH627" s="81">
        <v>3.2</v>
      </c>
      <c r="AI627" s="65"/>
      <c r="AJ627" s="65"/>
      <c r="AK627" s="65"/>
      <c r="AL627" s="65"/>
      <c r="AM627" s="65"/>
      <c r="AN627" s="65"/>
      <c r="AO627" s="65"/>
      <c r="AP627" s="65"/>
      <c r="AQ627" s="65"/>
    </row>
    <row r="628" spans="24:43">
      <c r="X628" s="79" t="s">
        <v>11013</v>
      </c>
      <c r="Y628" s="80">
        <v>3762.625</v>
      </c>
      <c r="Z628" s="81">
        <f t="shared" si="48"/>
        <v>3762.625</v>
      </c>
      <c r="AA628" s="79" t="s">
        <v>2082</v>
      </c>
      <c r="AB628" s="82">
        <f t="shared" si="49"/>
        <v>3762</v>
      </c>
      <c r="AC628" s="79" t="s">
        <v>2081</v>
      </c>
      <c r="AD628" s="82">
        <f t="shared" si="50"/>
        <v>6</v>
      </c>
      <c r="AE628" s="79" t="s">
        <v>2080</v>
      </c>
      <c r="AF628" s="82">
        <f t="shared" si="51"/>
        <v>2.5</v>
      </c>
      <c r="AG628" s="79" t="s">
        <v>2079</v>
      </c>
      <c r="AH628" s="81">
        <v>150.5</v>
      </c>
      <c r="AI628" s="65"/>
      <c r="AJ628" s="65"/>
      <c r="AK628" s="65"/>
      <c r="AL628" s="65"/>
      <c r="AM628" s="65"/>
      <c r="AN628" s="65"/>
      <c r="AO628" s="65"/>
      <c r="AP628" s="65"/>
      <c r="AQ628" s="65"/>
    </row>
    <row r="629" spans="24:43">
      <c r="X629" s="79" t="s">
        <v>11014</v>
      </c>
      <c r="Y629" s="80">
        <v>350.125</v>
      </c>
      <c r="Z629" s="81">
        <f t="shared" si="48"/>
        <v>350.125</v>
      </c>
      <c r="AA629" s="79" t="s">
        <v>2082</v>
      </c>
      <c r="AB629" s="82">
        <f t="shared" si="49"/>
        <v>350</v>
      </c>
      <c r="AC629" s="79" t="s">
        <v>2081</v>
      </c>
      <c r="AD629" s="82">
        <f t="shared" si="50"/>
        <v>1</v>
      </c>
      <c r="AE629" s="79" t="s">
        <v>2080</v>
      </c>
      <c r="AF629" s="82">
        <f t="shared" si="51"/>
        <v>2.5</v>
      </c>
      <c r="AG629" s="79" t="s">
        <v>2079</v>
      </c>
      <c r="AH629" s="81">
        <v>14</v>
      </c>
      <c r="AI629" s="65"/>
      <c r="AJ629" s="65"/>
      <c r="AK629" s="65"/>
      <c r="AL629" s="65"/>
      <c r="AM629" s="65"/>
      <c r="AN629" s="65"/>
      <c r="AO629" s="65"/>
      <c r="AP629" s="65"/>
      <c r="AQ629" s="65"/>
    </row>
    <row r="630" spans="24:43">
      <c r="X630" s="79" t="s">
        <v>11015</v>
      </c>
      <c r="Y630" s="80">
        <v>18375.125</v>
      </c>
      <c r="Z630" s="81">
        <f t="shared" si="48"/>
        <v>18375.125</v>
      </c>
      <c r="AA630" s="79" t="s">
        <v>2082</v>
      </c>
      <c r="AB630" s="82">
        <f t="shared" si="49"/>
        <v>18375</v>
      </c>
      <c r="AC630" s="79" t="s">
        <v>2081</v>
      </c>
      <c r="AD630" s="82">
        <f t="shared" si="50"/>
        <v>1</v>
      </c>
      <c r="AE630" s="79" t="s">
        <v>2080</v>
      </c>
      <c r="AF630" s="82">
        <f t="shared" si="51"/>
        <v>2.5</v>
      </c>
      <c r="AG630" s="79" t="s">
        <v>2079</v>
      </c>
      <c r="AH630" s="81">
        <v>735</v>
      </c>
      <c r="AI630" s="65"/>
      <c r="AJ630" s="65"/>
      <c r="AK630" s="65"/>
      <c r="AL630" s="65"/>
      <c r="AM630" s="65"/>
      <c r="AN630" s="65"/>
      <c r="AO630" s="65"/>
      <c r="AP630" s="65"/>
      <c r="AQ630" s="65"/>
    </row>
    <row r="631" spans="24:43">
      <c r="X631" s="79" t="s">
        <v>11016</v>
      </c>
      <c r="Y631" s="80">
        <v>2750</v>
      </c>
      <c r="Z631" s="81">
        <f t="shared" si="48"/>
        <v>2750</v>
      </c>
      <c r="AA631" s="79" t="s">
        <v>2082</v>
      </c>
      <c r="AB631" s="82">
        <f t="shared" si="49"/>
        <v>2750</v>
      </c>
      <c r="AC631" s="79" t="s">
        <v>2081</v>
      </c>
      <c r="AD631" s="82">
        <f t="shared" si="50"/>
        <v>0</v>
      </c>
      <c r="AE631" s="79" t="s">
        <v>2080</v>
      </c>
      <c r="AF631" s="82">
        <f t="shared" si="51"/>
        <v>0</v>
      </c>
      <c r="AG631" s="79" t="s">
        <v>2079</v>
      </c>
      <c r="AH631" s="81">
        <v>110</v>
      </c>
      <c r="AI631" s="65"/>
      <c r="AJ631" s="65"/>
      <c r="AK631" s="65"/>
      <c r="AL631" s="65"/>
      <c r="AM631" s="65"/>
      <c r="AN631" s="65"/>
      <c r="AO631" s="65"/>
      <c r="AP631" s="65"/>
      <c r="AQ631" s="65"/>
    </row>
    <row r="632" spans="24:43">
      <c r="X632" s="79" t="s">
        <v>11017</v>
      </c>
      <c r="Y632" s="80">
        <v>325.125</v>
      </c>
      <c r="Z632" s="81">
        <f t="shared" si="48"/>
        <v>325.125</v>
      </c>
      <c r="AA632" s="79" t="s">
        <v>2082</v>
      </c>
      <c r="AB632" s="82">
        <f t="shared" si="49"/>
        <v>325</v>
      </c>
      <c r="AC632" s="79" t="s">
        <v>2081</v>
      </c>
      <c r="AD632" s="82">
        <f t="shared" si="50"/>
        <v>1</v>
      </c>
      <c r="AE632" s="79" t="s">
        <v>2080</v>
      </c>
      <c r="AF632" s="82">
        <f t="shared" si="51"/>
        <v>2.5</v>
      </c>
      <c r="AG632" s="79" t="s">
        <v>2079</v>
      </c>
      <c r="AH632" s="81">
        <v>13</v>
      </c>
      <c r="AI632" s="65"/>
      <c r="AJ632" s="65"/>
      <c r="AK632" s="65"/>
      <c r="AL632" s="65"/>
      <c r="AM632" s="65"/>
      <c r="AN632" s="65"/>
      <c r="AO632" s="65"/>
      <c r="AP632" s="65"/>
      <c r="AQ632" s="65"/>
    </row>
    <row r="633" spans="24:43">
      <c r="X633" s="79" t="s">
        <v>11018</v>
      </c>
      <c r="Y633" s="80">
        <v>67.5</v>
      </c>
      <c r="Z633" s="81">
        <f t="shared" si="48"/>
        <v>67.5</v>
      </c>
      <c r="AA633" s="79" t="s">
        <v>2082</v>
      </c>
      <c r="AB633" s="82">
        <f t="shared" si="49"/>
        <v>67</v>
      </c>
      <c r="AC633" s="79" t="s">
        <v>2081</v>
      </c>
      <c r="AD633" s="82">
        <f t="shared" si="50"/>
        <v>5</v>
      </c>
      <c r="AE633" s="79" t="s">
        <v>2080</v>
      </c>
      <c r="AF633" s="82">
        <f t="shared" si="51"/>
        <v>0</v>
      </c>
      <c r="AG633" s="79" t="s">
        <v>2079</v>
      </c>
      <c r="AH633" s="81">
        <v>2.7</v>
      </c>
      <c r="AI633" s="65"/>
      <c r="AJ633" s="65"/>
      <c r="AK633" s="65"/>
      <c r="AL633" s="65"/>
      <c r="AM633" s="65"/>
      <c r="AN633" s="65"/>
      <c r="AO633" s="65"/>
      <c r="AP633" s="65"/>
      <c r="AQ633" s="65"/>
    </row>
    <row r="634" spans="24:43">
      <c r="X634" s="79" t="s">
        <v>11019</v>
      </c>
      <c r="Y634" s="80">
        <v>287.625</v>
      </c>
      <c r="Z634" s="81">
        <f t="shared" si="48"/>
        <v>287.625</v>
      </c>
      <c r="AA634" s="79" t="s">
        <v>2082</v>
      </c>
      <c r="AB634" s="82">
        <f t="shared" si="49"/>
        <v>287</v>
      </c>
      <c r="AC634" s="79" t="s">
        <v>2081</v>
      </c>
      <c r="AD634" s="82">
        <f t="shared" si="50"/>
        <v>6</v>
      </c>
      <c r="AE634" s="79" t="s">
        <v>2080</v>
      </c>
      <c r="AF634" s="82">
        <f t="shared" si="51"/>
        <v>2.5</v>
      </c>
      <c r="AG634" s="79" t="s">
        <v>2079</v>
      </c>
      <c r="AH634" s="81">
        <v>11.5</v>
      </c>
      <c r="AI634" s="65"/>
      <c r="AJ634" s="65"/>
      <c r="AK634" s="65"/>
      <c r="AL634" s="65"/>
      <c r="AM634" s="65"/>
      <c r="AN634" s="65"/>
      <c r="AO634" s="65"/>
      <c r="AP634" s="65"/>
      <c r="AQ634" s="65"/>
    </row>
    <row r="635" spans="24:43">
      <c r="X635" s="79" t="s">
        <v>7319</v>
      </c>
      <c r="Y635" s="80">
        <v>2700</v>
      </c>
      <c r="Z635" s="81">
        <f t="shared" si="48"/>
        <v>2700</v>
      </c>
      <c r="AA635" s="79" t="s">
        <v>2082</v>
      </c>
      <c r="AB635" s="82">
        <f t="shared" si="49"/>
        <v>2700</v>
      </c>
      <c r="AC635" s="79" t="s">
        <v>2081</v>
      </c>
      <c r="AD635" s="82">
        <f t="shared" si="50"/>
        <v>0</v>
      </c>
      <c r="AE635" s="79" t="s">
        <v>2080</v>
      </c>
      <c r="AF635" s="82">
        <f t="shared" si="51"/>
        <v>0</v>
      </c>
      <c r="AG635" s="79" t="s">
        <v>2079</v>
      </c>
      <c r="AH635" s="81">
        <v>108</v>
      </c>
      <c r="AI635" s="65"/>
      <c r="AJ635" s="65"/>
      <c r="AK635" s="65"/>
      <c r="AL635" s="65"/>
      <c r="AM635" s="65"/>
      <c r="AN635" s="65"/>
      <c r="AO635" s="65"/>
      <c r="AP635" s="65"/>
      <c r="AQ635" s="65"/>
    </row>
    <row r="636" spans="24:43">
      <c r="X636" s="79" t="s">
        <v>11020</v>
      </c>
      <c r="Y636" s="80">
        <v>2662.625</v>
      </c>
      <c r="Z636" s="81">
        <f t="shared" si="48"/>
        <v>2662.625</v>
      </c>
      <c r="AA636" s="79" t="s">
        <v>2082</v>
      </c>
      <c r="AB636" s="82">
        <f t="shared" si="49"/>
        <v>2662</v>
      </c>
      <c r="AC636" s="79" t="s">
        <v>2081</v>
      </c>
      <c r="AD636" s="82">
        <f t="shared" si="50"/>
        <v>6</v>
      </c>
      <c r="AE636" s="79" t="s">
        <v>2080</v>
      </c>
      <c r="AF636" s="82">
        <f t="shared" si="51"/>
        <v>2.5</v>
      </c>
      <c r="AG636" s="79" t="s">
        <v>2079</v>
      </c>
      <c r="AH636" s="81">
        <v>106.5</v>
      </c>
      <c r="AI636" s="65"/>
      <c r="AJ636" s="65"/>
      <c r="AK636" s="65"/>
      <c r="AL636" s="65"/>
      <c r="AM636" s="65"/>
      <c r="AN636" s="65"/>
      <c r="AO636" s="65"/>
      <c r="AP636" s="65"/>
      <c r="AQ636" s="65"/>
    </row>
    <row r="637" spans="24:43">
      <c r="X637" s="79" t="s">
        <v>11020</v>
      </c>
      <c r="Y637" s="80">
        <v>5937.625</v>
      </c>
      <c r="Z637" s="81">
        <f t="shared" si="48"/>
        <v>5937.625</v>
      </c>
      <c r="AA637" s="79" t="s">
        <v>2082</v>
      </c>
      <c r="AB637" s="82">
        <f t="shared" si="49"/>
        <v>5937</v>
      </c>
      <c r="AC637" s="79" t="s">
        <v>2081</v>
      </c>
      <c r="AD637" s="82">
        <f t="shared" si="50"/>
        <v>6</v>
      </c>
      <c r="AE637" s="79" t="s">
        <v>2080</v>
      </c>
      <c r="AF637" s="82">
        <f t="shared" si="51"/>
        <v>2.5</v>
      </c>
      <c r="AG637" s="79" t="s">
        <v>2079</v>
      </c>
      <c r="AH637" s="81">
        <v>237.5</v>
      </c>
      <c r="AI637" s="65"/>
      <c r="AJ637" s="65"/>
      <c r="AK637" s="65"/>
      <c r="AL637" s="65"/>
      <c r="AM637" s="65"/>
      <c r="AN637" s="65"/>
      <c r="AO637" s="65"/>
      <c r="AP637" s="65"/>
      <c r="AQ637" s="65"/>
    </row>
    <row r="638" spans="24:43">
      <c r="X638" s="79" t="s">
        <v>11021</v>
      </c>
      <c r="Y638" s="80">
        <v>18875.125</v>
      </c>
      <c r="Z638" s="81">
        <f t="shared" si="48"/>
        <v>18875.125</v>
      </c>
      <c r="AA638" s="79" t="s">
        <v>2082</v>
      </c>
      <c r="AB638" s="82">
        <f t="shared" si="49"/>
        <v>18875</v>
      </c>
      <c r="AC638" s="79" t="s">
        <v>2081</v>
      </c>
      <c r="AD638" s="82">
        <f t="shared" si="50"/>
        <v>1</v>
      </c>
      <c r="AE638" s="79" t="s">
        <v>2080</v>
      </c>
      <c r="AF638" s="82">
        <f t="shared" si="51"/>
        <v>2.5</v>
      </c>
      <c r="AG638" s="79" t="s">
        <v>2079</v>
      </c>
      <c r="AH638" s="81">
        <v>755</v>
      </c>
      <c r="AI638" s="65"/>
      <c r="AJ638" s="65"/>
      <c r="AK638" s="65"/>
      <c r="AL638" s="65"/>
      <c r="AM638" s="65"/>
      <c r="AN638" s="65"/>
      <c r="AO638" s="65"/>
      <c r="AP638" s="65"/>
      <c r="AQ638" s="65"/>
    </row>
    <row r="639" spans="24:43">
      <c r="X639" s="79" t="s">
        <v>11022</v>
      </c>
      <c r="Y639" s="80">
        <v>93750.25</v>
      </c>
      <c r="Z639" s="81">
        <f t="shared" si="48"/>
        <v>93750.25</v>
      </c>
      <c r="AA639" s="79" t="s">
        <v>2082</v>
      </c>
      <c r="AB639" s="82">
        <f t="shared" si="49"/>
        <v>93750</v>
      </c>
      <c r="AC639" s="79" t="s">
        <v>2081</v>
      </c>
      <c r="AD639" s="82">
        <f t="shared" si="50"/>
        <v>2</v>
      </c>
      <c r="AE639" s="79" t="s">
        <v>2080</v>
      </c>
      <c r="AF639" s="82">
        <f t="shared" si="51"/>
        <v>5</v>
      </c>
      <c r="AG639" s="79" t="s">
        <v>2079</v>
      </c>
      <c r="AH639" s="81">
        <v>3750.01</v>
      </c>
      <c r="AI639" s="65"/>
      <c r="AJ639" s="65"/>
      <c r="AK639" s="65"/>
      <c r="AL639" s="65"/>
      <c r="AM639" s="65"/>
      <c r="AN639" s="65"/>
      <c r="AO639" s="65"/>
      <c r="AP639" s="65"/>
      <c r="AQ639" s="65"/>
    </row>
    <row r="640" spans="24:43">
      <c r="X640" s="79" t="s">
        <v>11023</v>
      </c>
      <c r="Y640" s="80">
        <v>19625.125</v>
      </c>
      <c r="Z640" s="81">
        <f t="shared" si="48"/>
        <v>19625.125</v>
      </c>
      <c r="AA640" s="79" t="s">
        <v>2082</v>
      </c>
      <c r="AB640" s="82">
        <f t="shared" si="49"/>
        <v>19625</v>
      </c>
      <c r="AC640" s="79" t="s">
        <v>2081</v>
      </c>
      <c r="AD640" s="82">
        <f t="shared" si="50"/>
        <v>1</v>
      </c>
      <c r="AE640" s="79" t="s">
        <v>2080</v>
      </c>
      <c r="AF640" s="82">
        <f t="shared" si="51"/>
        <v>2.5</v>
      </c>
      <c r="AG640" s="79" t="s">
        <v>2079</v>
      </c>
      <c r="AH640" s="81">
        <v>785</v>
      </c>
      <c r="AI640" s="65"/>
      <c r="AJ640" s="65"/>
      <c r="AK640" s="65"/>
      <c r="AL640" s="65"/>
      <c r="AM640" s="65"/>
      <c r="AN640" s="65"/>
      <c r="AO640" s="65"/>
      <c r="AP640" s="65"/>
      <c r="AQ640" s="65"/>
    </row>
    <row r="641" spans="24:43">
      <c r="X641" s="79" t="s">
        <v>11024</v>
      </c>
      <c r="Y641" s="80">
        <v>5437.625</v>
      </c>
      <c r="Z641" s="81">
        <f t="shared" si="48"/>
        <v>5437.625</v>
      </c>
      <c r="AA641" s="79" t="s">
        <v>2082</v>
      </c>
      <c r="AB641" s="82">
        <f t="shared" si="49"/>
        <v>5437</v>
      </c>
      <c r="AC641" s="79" t="s">
        <v>2081</v>
      </c>
      <c r="AD641" s="82">
        <f t="shared" si="50"/>
        <v>6</v>
      </c>
      <c r="AE641" s="79" t="s">
        <v>2080</v>
      </c>
      <c r="AF641" s="82">
        <f t="shared" si="51"/>
        <v>2.5</v>
      </c>
      <c r="AG641" s="79" t="s">
        <v>2079</v>
      </c>
      <c r="AH641" s="81">
        <v>217.5</v>
      </c>
      <c r="AI641" s="65"/>
      <c r="AJ641" s="65"/>
      <c r="AK641" s="65"/>
      <c r="AL641" s="65"/>
      <c r="AM641" s="65"/>
      <c r="AN641" s="65"/>
      <c r="AO641" s="65"/>
      <c r="AP641" s="65"/>
      <c r="AQ641" s="65"/>
    </row>
    <row r="642" spans="24:43">
      <c r="X642" s="79" t="s">
        <v>11025</v>
      </c>
      <c r="Y642" s="80">
        <v>95250.25</v>
      </c>
      <c r="Z642" s="81">
        <f t="shared" si="48"/>
        <v>95250.25</v>
      </c>
      <c r="AA642" s="79" t="s">
        <v>2082</v>
      </c>
      <c r="AB642" s="82">
        <f t="shared" si="49"/>
        <v>95250</v>
      </c>
      <c r="AC642" s="79" t="s">
        <v>2081</v>
      </c>
      <c r="AD642" s="82">
        <f t="shared" si="50"/>
        <v>2</v>
      </c>
      <c r="AE642" s="79" t="s">
        <v>2080</v>
      </c>
      <c r="AF642" s="82">
        <f t="shared" si="51"/>
        <v>5</v>
      </c>
      <c r="AG642" s="79" t="s">
        <v>2079</v>
      </c>
      <c r="AH642" s="81">
        <v>3810.01</v>
      </c>
      <c r="AI642" s="65"/>
      <c r="AJ642" s="65"/>
      <c r="AK642" s="65"/>
      <c r="AL642" s="65"/>
      <c r="AM642" s="65"/>
      <c r="AN642" s="65"/>
      <c r="AO642" s="65"/>
      <c r="AP642" s="65"/>
      <c r="AQ642" s="65"/>
    </row>
    <row r="643" spans="24:43">
      <c r="X643" s="79" t="s">
        <v>11026</v>
      </c>
      <c r="Y643" s="80">
        <v>23125.125</v>
      </c>
      <c r="Z643" s="81">
        <f t="shared" ref="Z643:Z706" si="52">Y643*$AK$6*$AK$11</f>
        <v>23125.125</v>
      </c>
      <c r="AA643" s="79" t="s">
        <v>2082</v>
      </c>
      <c r="AB643" s="82">
        <f t="shared" ref="AB643:AB706" si="53">_xlfn.FLOOR.MATH(Z643,1)</f>
        <v>23125</v>
      </c>
      <c r="AC643" s="79" t="s">
        <v>2081</v>
      </c>
      <c r="AD643" s="82">
        <f t="shared" ref="AD643:AD706" si="54">_xlfn.FLOOR.MATH(((Z643-AB643)*10), 1)</f>
        <v>1</v>
      </c>
      <c r="AE643" s="79" t="s">
        <v>2080</v>
      </c>
      <c r="AF643" s="82">
        <f t="shared" ref="AF643:AF706" si="55">((Z643-AB643)*10-AD643)*10</f>
        <v>2.5</v>
      </c>
      <c r="AG643" s="79" t="s">
        <v>2079</v>
      </c>
      <c r="AH643" s="81">
        <v>925</v>
      </c>
      <c r="AI643" s="65"/>
      <c r="AJ643" s="65"/>
      <c r="AK643" s="65"/>
      <c r="AL643" s="65"/>
      <c r="AM643" s="65"/>
      <c r="AN643" s="65"/>
      <c r="AO643" s="65"/>
      <c r="AP643" s="65"/>
      <c r="AQ643" s="65"/>
    </row>
    <row r="644" spans="24:43">
      <c r="X644" s="79" t="s">
        <v>11027</v>
      </c>
      <c r="Y644" s="80">
        <v>337.625</v>
      </c>
      <c r="Z644" s="81">
        <f t="shared" si="52"/>
        <v>337.625</v>
      </c>
      <c r="AA644" s="79" t="s">
        <v>2082</v>
      </c>
      <c r="AB644" s="82">
        <f t="shared" si="53"/>
        <v>337</v>
      </c>
      <c r="AC644" s="79" t="s">
        <v>2081</v>
      </c>
      <c r="AD644" s="82">
        <f t="shared" si="54"/>
        <v>6</v>
      </c>
      <c r="AE644" s="79" t="s">
        <v>2080</v>
      </c>
      <c r="AF644" s="82">
        <f t="shared" si="55"/>
        <v>2.5</v>
      </c>
      <c r="AG644" s="79" t="s">
        <v>2079</v>
      </c>
      <c r="AH644" s="81">
        <v>13.5</v>
      </c>
      <c r="AI644" s="65"/>
      <c r="AJ644" s="65"/>
      <c r="AK644" s="65"/>
      <c r="AL644" s="65"/>
      <c r="AM644" s="65"/>
      <c r="AN644" s="65"/>
      <c r="AO644" s="65"/>
      <c r="AP644" s="65"/>
      <c r="AQ644" s="65"/>
    </row>
    <row r="645" spans="24:43">
      <c r="X645" s="79" t="s">
        <v>11028</v>
      </c>
      <c r="Y645" s="80">
        <v>237.625</v>
      </c>
      <c r="Z645" s="81">
        <f t="shared" si="52"/>
        <v>237.625</v>
      </c>
      <c r="AA645" s="79" t="s">
        <v>2082</v>
      </c>
      <c r="AB645" s="82">
        <f t="shared" si="53"/>
        <v>237</v>
      </c>
      <c r="AC645" s="79" t="s">
        <v>2081</v>
      </c>
      <c r="AD645" s="82">
        <f t="shared" si="54"/>
        <v>6</v>
      </c>
      <c r="AE645" s="79" t="s">
        <v>2080</v>
      </c>
      <c r="AF645" s="82">
        <f t="shared" si="55"/>
        <v>2.5</v>
      </c>
      <c r="AG645" s="79" t="s">
        <v>2079</v>
      </c>
      <c r="AH645" s="81">
        <v>9.5</v>
      </c>
      <c r="AI645" s="65"/>
      <c r="AJ645" s="65"/>
      <c r="AK645" s="65"/>
      <c r="AL645" s="65"/>
      <c r="AM645" s="65"/>
      <c r="AN645" s="65"/>
      <c r="AO645" s="65"/>
      <c r="AP645" s="65"/>
      <c r="AQ645" s="65"/>
    </row>
    <row r="646" spans="24:43">
      <c r="X646" s="79" t="s">
        <v>11029</v>
      </c>
      <c r="Y646" s="80">
        <v>4187.625</v>
      </c>
      <c r="Z646" s="81">
        <f t="shared" si="52"/>
        <v>4187.625</v>
      </c>
      <c r="AA646" s="79" t="s">
        <v>2082</v>
      </c>
      <c r="AB646" s="82">
        <f t="shared" si="53"/>
        <v>4187</v>
      </c>
      <c r="AC646" s="79" t="s">
        <v>2081</v>
      </c>
      <c r="AD646" s="82">
        <f t="shared" si="54"/>
        <v>6</v>
      </c>
      <c r="AE646" s="79" t="s">
        <v>2080</v>
      </c>
      <c r="AF646" s="82">
        <f t="shared" si="55"/>
        <v>2.5</v>
      </c>
      <c r="AG646" s="79" t="s">
        <v>2079</v>
      </c>
      <c r="AH646" s="81">
        <v>167.5</v>
      </c>
      <c r="AI646" s="65"/>
      <c r="AJ646" s="65"/>
      <c r="AK646" s="65"/>
      <c r="AL646" s="65"/>
      <c r="AM646" s="65"/>
      <c r="AN646" s="65"/>
      <c r="AO646" s="65"/>
      <c r="AP646" s="65"/>
      <c r="AQ646" s="65"/>
    </row>
    <row r="647" spans="24:43">
      <c r="X647" s="79" t="s">
        <v>11030</v>
      </c>
      <c r="Y647" s="80">
        <v>81750.25</v>
      </c>
      <c r="Z647" s="81">
        <f t="shared" si="52"/>
        <v>81750.25</v>
      </c>
      <c r="AA647" s="79" t="s">
        <v>2082</v>
      </c>
      <c r="AB647" s="82">
        <f t="shared" si="53"/>
        <v>81750</v>
      </c>
      <c r="AC647" s="79" t="s">
        <v>2081</v>
      </c>
      <c r="AD647" s="82">
        <f t="shared" si="54"/>
        <v>2</v>
      </c>
      <c r="AE647" s="79" t="s">
        <v>2080</v>
      </c>
      <c r="AF647" s="82">
        <f t="shared" si="55"/>
        <v>5</v>
      </c>
      <c r="AG647" s="79" t="s">
        <v>2079</v>
      </c>
      <c r="AH647" s="81">
        <v>3270.01</v>
      </c>
      <c r="AI647" s="65"/>
      <c r="AJ647" s="65"/>
      <c r="AK647" s="65"/>
      <c r="AL647" s="65"/>
      <c r="AM647" s="65"/>
      <c r="AN647" s="65"/>
      <c r="AO647" s="65"/>
      <c r="AP647" s="65"/>
      <c r="AQ647" s="65"/>
    </row>
    <row r="648" spans="24:43">
      <c r="X648" s="79" t="s">
        <v>11031</v>
      </c>
      <c r="Y648" s="80">
        <v>73750.25</v>
      </c>
      <c r="Z648" s="81">
        <f t="shared" si="52"/>
        <v>73750.25</v>
      </c>
      <c r="AA648" s="79" t="s">
        <v>2082</v>
      </c>
      <c r="AB648" s="82">
        <f t="shared" si="53"/>
        <v>73750</v>
      </c>
      <c r="AC648" s="79" t="s">
        <v>2081</v>
      </c>
      <c r="AD648" s="82">
        <f t="shared" si="54"/>
        <v>2</v>
      </c>
      <c r="AE648" s="79" t="s">
        <v>2080</v>
      </c>
      <c r="AF648" s="82">
        <f t="shared" si="55"/>
        <v>5</v>
      </c>
      <c r="AG648" s="79" t="s">
        <v>2079</v>
      </c>
      <c r="AH648" s="81">
        <v>2950.01</v>
      </c>
      <c r="AI648" s="65"/>
      <c r="AJ648" s="65"/>
      <c r="AK648" s="65"/>
      <c r="AL648" s="65"/>
      <c r="AM648" s="65"/>
      <c r="AN648" s="65"/>
      <c r="AO648" s="65"/>
      <c r="AP648" s="65"/>
      <c r="AQ648" s="65"/>
    </row>
    <row r="649" spans="24:43">
      <c r="X649" s="79" t="s">
        <v>11032</v>
      </c>
      <c r="Y649" s="80">
        <v>25625.125</v>
      </c>
      <c r="Z649" s="81">
        <f t="shared" si="52"/>
        <v>25625.125</v>
      </c>
      <c r="AA649" s="79" t="s">
        <v>2082</v>
      </c>
      <c r="AB649" s="82">
        <f t="shared" si="53"/>
        <v>25625</v>
      </c>
      <c r="AC649" s="79" t="s">
        <v>2081</v>
      </c>
      <c r="AD649" s="82">
        <f t="shared" si="54"/>
        <v>1</v>
      </c>
      <c r="AE649" s="79" t="s">
        <v>2080</v>
      </c>
      <c r="AF649" s="82">
        <f t="shared" si="55"/>
        <v>2.5</v>
      </c>
      <c r="AG649" s="79" t="s">
        <v>2079</v>
      </c>
      <c r="AH649" s="81">
        <v>1025</v>
      </c>
      <c r="AI649" s="65"/>
      <c r="AJ649" s="65"/>
      <c r="AK649" s="65"/>
      <c r="AL649" s="65"/>
      <c r="AM649" s="65"/>
      <c r="AN649" s="65"/>
      <c r="AO649" s="65"/>
      <c r="AP649" s="65"/>
      <c r="AQ649" s="65"/>
    </row>
    <row r="650" spans="24:43">
      <c r="X650" s="79" t="s">
        <v>11033</v>
      </c>
      <c r="Y650" s="80">
        <v>12.5</v>
      </c>
      <c r="Z650" s="81">
        <f t="shared" si="52"/>
        <v>12.5</v>
      </c>
      <c r="AA650" s="79" t="s">
        <v>2082</v>
      </c>
      <c r="AB650" s="82">
        <f t="shared" si="53"/>
        <v>12</v>
      </c>
      <c r="AC650" s="79" t="s">
        <v>2081</v>
      </c>
      <c r="AD650" s="82">
        <f t="shared" si="54"/>
        <v>5</v>
      </c>
      <c r="AE650" s="79" t="s">
        <v>2080</v>
      </c>
      <c r="AF650" s="82">
        <f t="shared" si="55"/>
        <v>0</v>
      </c>
      <c r="AG650" s="79" t="s">
        <v>2079</v>
      </c>
      <c r="AH650" s="81">
        <v>0.5</v>
      </c>
      <c r="AI650" s="65"/>
      <c r="AJ650" s="65"/>
      <c r="AK650" s="65"/>
      <c r="AL650" s="65"/>
      <c r="AM650" s="65"/>
      <c r="AN650" s="65"/>
      <c r="AO650" s="65"/>
      <c r="AP650" s="65"/>
      <c r="AQ650" s="65"/>
    </row>
    <row r="651" spans="24:43">
      <c r="X651" s="79" t="s">
        <v>11034</v>
      </c>
      <c r="Y651" s="80">
        <v>42.5</v>
      </c>
      <c r="Z651" s="81">
        <f t="shared" si="52"/>
        <v>42.5</v>
      </c>
      <c r="AA651" s="79" t="s">
        <v>2082</v>
      </c>
      <c r="AB651" s="82">
        <f t="shared" si="53"/>
        <v>42</v>
      </c>
      <c r="AC651" s="79" t="s">
        <v>2081</v>
      </c>
      <c r="AD651" s="82">
        <f t="shared" si="54"/>
        <v>5</v>
      </c>
      <c r="AE651" s="79" t="s">
        <v>2080</v>
      </c>
      <c r="AF651" s="82">
        <f t="shared" si="55"/>
        <v>0</v>
      </c>
      <c r="AG651" s="79" t="s">
        <v>2079</v>
      </c>
      <c r="AH651" s="81">
        <v>1.7</v>
      </c>
      <c r="AI651" s="65"/>
      <c r="AJ651" s="65"/>
      <c r="AK651" s="65"/>
      <c r="AL651" s="65"/>
      <c r="AM651" s="65"/>
      <c r="AN651" s="65"/>
      <c r="AO651" s="65"/>
      <c r="AP651" s="65"/>
      <c r="AQ651" s="65"/>
    </row>
    <row r="652" spans="24:43">
      <c r="X652" s="79" t="s">
        <v>11035</v>
      </c>
      <c r="Y652" s="80">
        <v>135</v>
      </c>
      <c r="Z652" s="81">
        <f t="shared" si="52"/>
        <v>135</v>
      </c>
      <c r="AA652" s="79" t="s">
        <v>2082</v>
      </c>
      <c r="AB652" s="82">
        <f t="shared" si="53"/>
        <v>135</v>
      </c>
      <c r="AC652" s="79" t="s">
        <v>2081</v>
      </c>
      <c r="AD652" s="82">
        <f t="shared" si="54"/>
        <v>0</v>
      </c>
      <c r="AE652" s="79" t="s">
        <v>2080</v>
      </c>
      <c r="AF652" s="82">
        <f t="shared" si="55"/>
        <v>0</v>
      </c>
      <c r="AG652" s="79" t="s">
        <v>2079</v>
      </c>
      <c r="AH652" s="81">
        <v>5.4</v>
      </c>
      <c r="AI652" s="65"/>
      <c r="AJ652" s="65"/>
      <c r="AK652" s="65"/>
      <c r="AL652" s="65"/>
      <c r="AM652" s="65"/>
      <c r="AN652" s="65"/>
      <c r="AO652" s="65"/>
      <c r="AP652" s="65"/>
      <c r="AQ652" s="65"/>
    </row>
    <row r="653" spans="24:43">
      <c r="X653" s="79" t="s">
        <v>11036</v>
      </c>
      <c r="Y653" s="80">
        <v>300</v>
      </c>
      <c r="Z653" s="81">
        <f t="shared" si="52"/>
        <v>300</v>
      </c>
      <c r="AA653" s="79" t="s">
        <v>2082</v>
      </c>
      <c r="AB653" s="82">
        <f t="shared" si="53"/>
        <v>300</v>
      </c>
      <c r="AC653" s="79" t="s">
        <v>2081</v>
      </c>
      <c r="AD653" s="82">
        <f t="shared" si="54"/>
        <v>0</v>
      </c>
      <c r="AE653" s="79" t="s">
        <v>2080</v>
      </c>
      <c r="AF653" s="82">
        <f t="shared" si="55"/>
        <v>0</v>
      </c>
      <c r="AG653" s="79" t="s">
        <v>2079</v>
      </c>
      <c r="AH653" s="81">
        <v>12</v>
      </c>
      <c r="AI653" s="65"/>
      <c r="AJ653" s="65"/>
      <c r="AK653" s="65"/>
      <c r="AL653" s="65"/>
      <c r="AM653" s="65"/>
      <c r="AN653" s="65"/>
      <c r="AO653" s="65"/>
      <c r="AP653" s="65"/>
      <c r="AQ653" s="65"/>
    </row>
    <row r="654" spans="24:43">
      <c r="X654" s="79" t="s">
        <v>11037</v>
      </c>
      <c r="Y654" s="80">
        <v>560</v>
      </c>
      <c r="Z654" s="81">
        <f t="shared" si="52"/>
        <v>560</v>
      </c>
      <c r="AA654" s="79" t="s">
        <v>2082</v>
      </c>
      <c r="AB654" s="82">
        <f t="shared" si="53"/>
        <v>560</v>
      </c>
      <c r="AC654" s="79" t="s">
        <v>2081</v>
      </c>
      <c r="AD654" s="82">
        <f t="shared" si="54"/>
        <v>0</v>
      </c>
      <c r="AE654" s="79" t="s">
        <v>2080</v>
      </c>
      <c r="AF654" s="82">
        <f t="shared" si="55"/>
        <v>0</v>
      </c>
      <c r="AG654" s="79" t="s">
        <v>2079</v>
      </c>
      <c r="AH654" s="81">
        <v>22.400000000000002</v>
      </c>
      <c r="AI654" s="65"/>
      <c r="AJ654" s="65"/>
      <c r="AK654" s="65"/>
      <c r="AL654" s="65"/>
      <c r="AM654" s="65"/>
      <c r="AN654" s="65"/>
      <c r="AO654" s="65"/>
      <c r="AP654" s="65"/>
      <c r="AQ654" s="65"/>
    </row>
    <row r="655" spans="24:43">
      <c r="X655" s="79" t="s">
        <v>11038</v>
      </c>
      <c r="Y655" s="80">
        <v>1070</v>
      </c>
      <c r="Z655" s="81">
        <f t="shared" si="52"/>
        <v>1070</v>
      </c>
      <c r="AA655" s="79" t="s">
        <v>2082</v>
      </c>
      <c r="AB655" s="82">
        <f t="shared" si="53"/>
        <v>1070</v>
      </c>
      <c r="AC655" s="79" t="s">
        <v>2081</v>
      </c>
      <c r="AD655" s="82">
        <f t="shared" si="54"/>
        <v>0</v>
      </c>
      <c r="AE655" s="79" t="s">
        <v>2080</v>
      </c>
      <c r="AF655" s="82">
        <f t="shared" si="55"/>
        <v>0</v>
      </c>
      <c r="AG655" s="79" t="s">
        <v>2079</v>
      </c>
      <c r="AH655" s="81">
        <v>42.800000000000004</v>
      </c>
      <c r="AI655" s="65"/>
      <c r="AJ655" s="65"/>
      <c r="AK655" s="65"/>
      <c r="AL655" s="65"/>
      <c r="AM655" s="65"/>
      <c r="AN655" s="65"/>
      <c r="AO655" s="65"/>
      <c r="AP655" s="65"/>
      <c r="AQ655" s="65"/>
    </row>
    <row r="656" spans="24:43">
      <c r="X656" s="79" t="s">
        <v>11039</v>
      </c>
      <c r="Y656" s="80">
        <v>1640</v>
      </c>
      <c r="Z656" s="81">
        <f t="shared" si="52"/>
        <v>1640</v>
      </c>
      <c r="AA656" s="79" t="s">
        <v>2082</v>
      </c>
      <c r="AB656" s="82">
        <f t="shared" si="53"/>
        <v>1640</v>
      </c>
      <c r="AC656" s="79" t="s">
        <v>2081</v>
      </c>
      <c r="AD656" s="82">
        <f t="shared" si="54"/>
        <v>0</v>
      </c>
      <c r="AE656" s="79" t="s">
        <v>2080</v>
      </c>
      <c r="AF656" s="82">
        <f t="shared" si="55"/>
        <v>0</v>
      </c>
      <c r="AG656" s="79" t="s">
        <v>2079</v>
      </c>
      <c r="AH656" s="81">
        <v>65.599999999999994</v>
      </c>
      <c r="AI656" s="65"/>
      <c r="AJ656" s="65"/>
      <c r="AK656" s="65"/>
      <c r="AL656" s="65"/>
      <c r="AM656" s="65"/>
      <c r="AN656" s="65"/>
      <c r="AO656" s="65"/>
      <c r="AP656" s="65"/>
      <c r="AQ656" s="65"/>
    </row>
    <row r="657" spans="24:43">
      <c r="X657" s="79" t="s">
        <v>11040</v>
      </c>
      <c r="Y657" s="80">
        <v>3030</v>
      </c>
      <c r="Z657" s="81">
        <f t="shared" si="52"/>
        <v>3030</v>
      </c>
      <c r="AA657" s="79" t="s">
        <v>2082</v>
      </c>
      <c r="AB657" s="82">
        <f t="shared" si="53"/>
        <v>3030</v>
      </c>
      <c r="AC657" s="79" t="s">
        <v>2081</v>
      </c>
      <c r="AD657" s="82">
        <f t="shared" si="54"/>
        <v>0</v>
      </c>
      <c r="AE657" s="79" t="s">
        <v>2080</v>
      </c>
      <c r="AF657" s="82">
        <f t="shared" si="55"/>
        <v>0</v>
      </c>
      <c r="AG657" s="79" t="s">
        <v>2079</v>
      </c>
      <c r="AH657" s="81">
        <v>121.2</v>
      </c>
      <c r="AI657" s="65"/>
      <c r="AJ657" s="65"/>
      <c r="AK657" s="65"/>
      <c r="AL657" s="65"/>
      <c r="AM657" s="65"/>
      <c r="AN657" s="65"/>
      <c r="AO657" s="65"/>
      <c r="AP657" s="65"/>
      <c r="AQ657" s="65"/>
    </row>
    <row r="658" spans="24:43">
      <c r="X658" s="79" t="s">
        <v>11041</v>
      </c>
      <c r="Y658" s="80">
        <v>5060</v>
      </c>
      <c r="Z658" s="81">
        <f t="shared" si="52"/>
        <v>5060</v>
      </c>
      <c r="AA658" s="79" t="s">
        <v>2082</v>
      </c>
      <c r="AB658" s="82">
        <f t="shared" si="53"/>
        <v>5060</v>
      </c>
      <c r="AC658" s="79" t="s">
        <v>2081</v>
      </c>
      <c r="AD658" s="82">
        <f t="shared" si="54"/>
        <v>0</v>
      </c>
      <c r="AE658" s="79" t="s">
        <v>2080</v>
      </c>
      <c r="AF658" s="82">
        <f t="shared" si="55"/>
        <v>0</v>
      </c>
      <c r="AG658" s="79" t="s">
        <v>2079</v>
      </c>
      <c r="AH658" s="81">
        <v>202.4</v>
      </c>
      <c r="AI658" s="65"/>
      <c r="AJ658" s="65"/>
      <c r="AK658" s="65"/>
      <c r="AL658" s="65"/>
      <c r="AM658" s="65"/>
      <c r="AN658" s="65"/>
      <c r="AO658" s="65"/>
      <c r="AP658" s="65"/>
      <c r="AQ658" s="65"/>
    </row>
    <row r="659" spans="24:43">
      <c r="X659" s="79" t="s">
        <v>11042</v>
      </c>
      <c r="Y659" s="80">
        <v>15120</v>
      </c>
      <c r="Z659" s="81">
        <f t="shared" si="52"/>
        <v>15120</v>
      </c>
      <c r="AA659" s="79" t="s">
        <v>2082</v>
      </c>
      <c r="AB659" s="82">
        <f t="shared" si="53"/>
        <v>15120</v>
      </c>
      <c r="AC659" s="79" t="s">
        <v>2081</v>
      </c>
      <c r="AD659" s="82">
        <f t="shared" si="54"/>
        <v>0</v>
      </c>
      <c r="AE659" s="79" t="s">
        <v>2080</v>
      </c>
      <c r="AF659" s="82">
        <f t="shared" si="55"/>
        <v>0</v>
      </c>
      <c r="AG659" s="79" t="s">
        <v>2079</v>
      </c>
      <c r="AH659" s="81">
        <v>604.80000000000007</v>
      </c>
      <c r="AI659" s="65"/>
      <c r="AJ659" s="65"/>
      <c r="AK659" s="65"/>
      <c r="AL659" s="65"/>
      <c r="AM659" s="65"/>
      <c r="AN659" s="65"/>
      <c r="AO659" s="65"/>
      <c r="AP659" s="65"/>
      <c r="AQ659" s="65"/>
    </row>
    <row r="660" spans="24:43">
      <c r="X660" s="79" t="s">
        <v>11043</v>
      </c>
      <c r="Y660" s="80">
        <v>112500.5</v>
      </c>
      <c r="Z660" s="81">
        <f t="shared" si="52"/>
        <v>112500.5</v>
      </c>
      <c r="AA660" s="79" t="s">
        <v>2082</v>
      </c>
      <c r="AB660" s="82">
        <f t="shared" si="53"/>
        <v>112500</v>
      </c>
      <c r="AC660" s="79" t="s">
        <v>2081</v>
      </c>
      <c r="AD660" s="82">
        <f t="shared" si="54"/>
        <v>5</v>
      </c>
      <c r="AE660" s="79" t="s">
        <v>2080</v>
      </c>
      <c r="AF660" s="82">
        <f t="shared" si="55"/>
        <v>0</v>
      </c>
      <c r="AG660" s="79" t="s">
        <v>2079</v>
      </c>
      <c r="AH660" s="81">
        <v>4500.0200000000004</v>
      </c>
      <c r="AI660" s="65"/>
      <c r="AJ660" s="65"/>
      <c r="AK660" s="65"/>
      <c r="AL660" s="65"/>
      <c r="AM660" s="65"/>
      <c r="AN660" s="65"/>
      <c r="AO660" s="65"/>
      <c r="AP660" s="65"/>
      <c r="AQ660" s="65"/>
    </row>
    <row r="661" spans="24:43">
      <c r="X661" s="79" t="s">
        <v>11043</v>
      </c>
      <c r="Y661" s="80">
        <v>112500.5</v>
      </c>
      <c r="Z661" s="81">
        <f t="shared" si="52"/>
        <v>112500.5</v>
      </c>
      <c r="AA661" s="79" t="s">
        <v>2082</v>
      </c>
      <c r="AB661" s="82">
        <f t="shared" si="53"/>
        <v>112500</v>
      </c>
      <c r="AC661" s="79" t="s">
        <v>2081</v>
      </c>
      <c r="AD661" s="82">
        <f t="shared" si="54"/>
        <v>5</v>
      </c>
      <c r="AE661" s="79" t="s">
        <v>2080</v>
      </c>
      <c r="AF661" s="82">
        <f t="shared" si="55"/>
        <v>0</v>
      </c>
      <c r="AG661" s="79" t="s">
        <v>2079</v>
      </c>
      <c r="AH661" s="81">
        <v>4500.0200000000004</v>
      </c>
      <c r="AI661" s="65"/>
      <c r="AJ661" s="65"/>
      <c r="AK661" s="65"/>
      <c r="AL661" s="65"/>
      <c r="AM661" s="65"/>
      <c r="AN661" s="65"/>
      <c r="AO661" s="65"/>
      <c r="AP661" s="65"/>
      <c r="AQ661" s="65"/>
    </row>
    <row r="662" spans="24:43">
      <c r="X662" s="79" t="s">
        <v>7241</v>
      </c>
      <c r="Y662" s="80">
        <v>43000</v>
      </c>
      <c r="Z662" s="81">
        <f t="shared" si="52"/>
        <v>43000</v>
      </c>
      <c r="AA662" s="79" t="s">
        <v>2082</v>
      </c>
      <c r="AB662" s="82">
        <f t="shared" si="53"/>
        <v>43000</v>
      </c>
      <c r="AC662" s="79" t="s">
        <v>2081</v>
      </c>
      <c r="AD662" s="82">
        <f t="shared" si="54"/>
        <v>0</v>
      </c>
      <c r="AE662" s="79" t="s">
        <v>2080</v>
      </c>
      <c r="AF662" s="82">
        <f t="shared" si="55"/>
        <v>0</v>
      </c>
      <c r="AG662" s="79" t="s">
        <v>2079</v>
      </c>
      <c r="AH662" s="81">
        <v>1720</v>
      </c>
      <c r="AI662" s="65"/>
      <c r="AJ662" s="65"/>
      <c r="AK662" s="65"/>
      <c r="AL662" s="65"/>
      <c r="AM662" s="65"/>
      <c r="AN662" s="65"/>
      <c r="AO662" s="65"/>
      <c r="AP662" s="65"/>
      <c r="AQ662" s="65"/>
    </row>
    <row r="663" spans="24:43">
      <c r="X663" s="79" t="s">
        <v>11044</v>
      </c>
      <c r="Y663" s="80">
        <v>80</v>
      </c>
      <c r="Z663" s="81">
        <f t="shared" si="52"/>
        <v>80</v>
      </c>
      <c r="AA663" s="79" t="s">
        <v>2082</v>
      </c>
      <c r="AB663" s="82">
        <f t="shared" si="53"/>
        <v>80</v>
      </c>
      <c r="AC663" s="79" t="s">
        <v>2081</v>
      </c>
      <c r="AD663" s="82">
        <f t="shared" si="54"/>
        <v>0</v>
      </c>
      <c r="AE663" s="79" t="s">
        <v>2080</v>
      </c>
      <c r="AF663" s="82">
        <f t="shared" si="55"/>
        <v>0</v>
      </c>
      <c r="AG663" s="79" t="s">
        <v>2079</v>
      </c>
      <c r="AH663" s="81">
        <v>3.2</v>
      </c>
      <c r="AI663" s="65"/>
      <c r="AJ663" s="65"/>
      <c r="AK663" s="65"/>
      <c r="AL663" s="65"/>
      <c r="AM663" s="65"/>
      <c r="AN663" s="65"/>
      <c r="AO663" s="65"/>
      <c r="AP663" s="65"/>
      <c r="AQ663" s="65"/>
    </row>
    <row r="664" spans="24:43">
      <c r="X664" s="79" t="s">
        <v>11044</v>
      </c>
      <c r="Y664" s="80">
        <v>80</v>
      </c>
      <c r="Z664" s="81">
        <f t="shared" si="52"/>
        <v>80</v>
      </c>
      <c r="AA664" s="79" t="s">
        <v>2082</v>
      </c>
      <c r="AB664" s="82">
        <f t="shared" si="53"/>
        <v>80</v>
      </c>
      <c r="AC664" s="79" t="s">
        <v>2081</v>
      </c>
      <c r="AD664" s="82">
        <f t="shared" si="54"/>
        <v>0</v>
      </c>
      <c r="AE664" s="79" t="s">
        <v>2080</v>
      </c>
      <c r="AF664" s="82">
        <f t="shared" si="55"/>
        <v>0</v>
      </c>
      <c r="AG664" s="79" t="s">
        <v>2079</v>
      </c>
      <c r="AH664" s="81">
        <v>3.2</v>
      </c>
      <c r="AI664" s="65"/>
      <c r="AJ664" s="65"/>
      <c r="AK664" s="65"/>
      <c r="AL664" s="65"/>
      <c r="AM664" s="65"/>
      <c r="AN664" s="65"/>
      <c r="AO664" s="65"/>
      <c r="AP664" s="65"/>
      <c r="AQ664" s="65"/>
    </row>
    <row r="665" spans="24:43">
      <c r="X665" s="79" t="s">
        <v>11045</v>
      </c>
      <c r="Y665" s="80">
        <v>107500</v>
      </c>
      <c r="Z665" s="81">
        <f t="shared" si="52"/>
        <v>107500</v>
      </c>
      <c r="AA665" s="79" t="s">
        <v>2082</v>
      </c>
      <c r="AB665" s="82">
        <f t="shared" si="53"/>
        <v>107500</v>
      </c>
      <c r="AC665" s="79" t="s">
        <v>2081</v>
      </c>
      <c r="AD665" s="82">
        <f t="shared" si="54"/>
        <v>0</v>
      </c>
      <c r="AE665" s="79" t="s">
        <v>2080</v>
      </c>
      <c r="AF665" s="82">
        <f t="shared" si="55"/>
        <v>0</v>
      </c>
      <c r="AG665" s="79" t="s">
        <v>2079</v>
      </c>
      <c r="AH665" s="81">
        <v>4300</v>
      </c>
      <c r="AI665" s="65"/>
      <c r="AJ665" s="65"/>
      <c r="AK665" s="65"/>
      <c r="AL665" s="65"/>
      <c r="AM665" s="65"/>
      <c r="AN665" s="65"/>
      <c r="AO665" s="65"/>
      <c r="AP665" s="65"/>
      <c r="AQ665" s="65"/>
    </row>
    <row r="666" spans="24:43">
      <c r="X666" s="79" t="s">
        <v>11046</v>
      </c>
      <c r="Y666" s="80">
        <v>4312.625</v>
      </c>
      <c r="Z666" s="81">
        <f t="shared" si="52"/>
        <v>4312.625</v>
      </c>
      <c r="AA666" s="79" t="s">
        <v>2082</v>
      </c>
      <c r="AB666" s="82">
        <f t="shared" si="53"/>
        <v>4312</v>
      </c>
      <c r="AC666" s="79" t="s">
        <v>2081</v>
      </c>
      <c r="AD666" s="82">
        <f t="shared" si="54"/>
        <v>6</v>
      </c>
      <c r="AE666" s="79" t="s">
        <v>2080</v>
      </c>
      <c r="AF666" s="82">
        <f t="shared" si="55"/>
        <v>2.5</v>
      </c>
      <c r="AG666" s="79" t="s">
        <v>2079</v>
      </c>
      <c r="AH666" s="81">
        <v>172.5</v>
      </c>
      <c r="AI666" s="65"/>
      <c r="AJ666" s="65"/>
      <c r="AK666" s="65"/>
      <c r="AL666" s="65"/>
      <c r="AM666" s="65"/>
      <c r="AN666" s="65"/>
      <c r="AO666" s="65"/>
      <c r="AP666" s="65"/>
      <c r="AQ666" s="65"/>
    </row>
    <row r="667" spans="24:43">
      <c r="X667" s="79" t="s">
        <v>11047</v>
      </c>
      <c r="Y667" s="80">
        <v>400.125</v>
      </c>
      <c r="Z667" s="81">
        <f t="shared" si="52"/>
        <v>400.125</v>
      </c>
      <c r="AA667" s="79" t="s">
        <v>2082</v>
      </c>
      <c r="AB667" s="82">
        <f t="shared" si="53"/>
        <v>400</v>
      </c>
      <c r="AC667" s="79" t="s">
        <v>2081</v>
      </c>
      <c r="AD667" s="82">
        <f t="shared" si="54"/>
        <v>1</v>
      </c>
      <c r="AE667" s="79" t="s">
        <v>2080</v>
      </c>
      <c r="AF667" s="82">
        <f t="shared" si="55"/>
        <v>2.5</v>
      </c>
      <c r="AG667" s="79" t="s">
        <v>2079</v>
      </c>
      <c r="AH667" s="81">
        <v>16</v>
      </c>
      <c r="AI667" s="65"/>
      <c r="AJ667" s="65"/>
      <c r="AK667" s="65"/>
      <c r="AL667" s="65"/>
      <c r="AM667" s="65"/>
      <c r="AN667" s="65"/>
      <c r="AO667" s="65"/>
      <c r="AP667" s="65"/>
      <c r="AQ667" s="65"/>
    </row>
    <row r="668" spans="24:43">
      <c r="X668" s="79" t="s">
        <v>11048</v>
      </c>
      <c r="Y668" s="80">
        <v>60</v>
      </c>
      <c r="Z668" s="81">
        <f t="shared" si="52"/>
        <v>60</v>
      </c>
      <c r="AA668" s="79" t="s">
        <v>2082</v>
      </c>
      <c r="AB668" s="82">
        <f t="shared" si="53"/>
        <v>60</v>
      </c>
      <c r="AC668" s="79" t="s">
        <v>2081</v>
      </c>
      <c r="AD668" s="82">
        <f t="shared" si="54"/>
        <v>0</v>
      </c>
      <c r="AE668" s="79" t="s">
        <v>2080</v>
      </c>
      <c r="AF668" s="82">
        <f t="shared" si="55"/>
        <v>0</v>
      </c>
      <c r="AG668" s="79" t="s">
        <v>2079</v>
      </c>
      <c r="AH668" s="81">
        <v>2.4</v>
      </c>
      <c r="AI668" s="65"/>
      <c r="AJ668" s="65"/>
      <c r="AK668" s="65"/>
      <c r="AL668" s="65"/>
      <c r="AM668" s="65"/>
      <c r="AN668" s="65"/>
      <c r="AO668" s="65"/>
      <c r="AP668" s="65"/>
      <c r="AQ668" s="65"/>
    </row>
    <row r="669" spans="24:43">
      <c r="X669" s="79" t="s">
        <v>11049</v>
      </c>
      <c r="Y669" s="80">
        <v>55</v>
      </c>
      <c r="Z669" s="81">
        <f t="shared" si="52"/>
        <v>55</v>
      </c>
      <c r="AA669" s="79" t="s">
        <v>2082</v>
      </c>
      <c r="AB669" s="82">
        <f t="shared" si="53"/>
        <v>55</v>
      </c>
      <c r="AC669" s="79" t="s">
        <v>2081</v>
      </c>
      <c r="AD669" s="82">
        <f t="shared" si="54"/>
        <v>0</v>
      </c>
      <c r="AE669" s="79" t="s">
        <v>2080</v>
      </c>
      <c r="AF669" s="82">
        <f t="shared" si="55"/>
        <v>0</v>
      </c>
      <c r="AG669" s="79" t="s">
        <v>2079</v>
      </c>
      <c r="AH669" s="81">
        <v>2.2000000000000002</v>
      </c>
      <c r="AI669" s="65"/>
      <c r="AJ669" s="65"/>
      <c r="AK669" s="65"/>
      <c r="AL669" s="65"/>
      <c r="AM669" s="65"/>
      <c r="AN669" s="65"/>
      <c r="AO669" s="65"/>
      <c r="AP669" s="65"/>
      <c r="AQ669" s="65"/>
    </row>
    <row r="670" spans="24:43">
      <c r="X670" s="79" t="s">
        <v>11050</v>
      </c>
      <c r="Y670" s="80">
        <v>65</v>
      </c>
      <c r="Z670" s="81">
        <f t="shared" si="52"/>
        <v>65</v>
      </c>
      <c r="AA670" s="79" t="s">
        <v>2082</v>
      </c>
      <c r="AB670" s="82">
        <f t="shared" si="53"/>
        <v>65</v>
      </c>
      <c r="AC670" s="79" t="s">
        <v>2081</v>
      </c>
      <c r="AD670" s="82">
        <f t="shared" si="54"/>
        <v>0</v>
      </c>
      <c r="AE670" s="79" t="s">
        <v>2080</v>
      </c>
      <c r="AF670" s="82">
        <f t="shared" si="55"/>
        <v>0</v>
      </c>
      <c r="AG670" s="79" t="s">
        <v>2079</v>
      </c>
      <c r="AH670" s="81">
        <v>2.6</v>
      </c>
      <c r="AI670" s="65"/>
      <c r="AJ670" s="65"/>
      <c r="AK670" s="65"/>
      <c r="AL670" s="65"/>
      <c r="AM670" s="65"/>
      <c r="AN670" s="65"/>
      <c r="AO670" s="65"/>
      <c r="AP670" s="65"/>
      <c r="AQ670" s="65"/>
    </row>
    <row r="671" spans="24:43">
      <c r="X671" s="79" t="s">
        <v>11051</v>
      </c>
      <c r="Y671" s="80">
        <v>6875</v>
      </c>
      <c r="Z671" s="81">
        <f t="shared" si="52"/>
        <v>6875</v>
      </c>
      <c r="AA671" s="79" t="s">
        <v>2082</v>
      </c>
      <c r="AB671" s="82">
        <f t="shared" si="53"/>
        <v>6875</v>
      </c>
      <c r="AC671" s="79" t="s">
        <v>2081</v>
      </c>
      <c r="AD671" s="82">
        <f t="shared" si="54"/>
        <v>0</v>
      </c>
      <c r="AE671" s="79" t="s">
        <v>2080</v>
      </c>
      <c r="AF671" s="82">
        <f t="shared" si="55"/>
        <v>0</v>
      </c>
      <c r="AG671" s="79" t="s">
        <v>2079</v>
      </c>
      <c r="AH671" s="81">
        <v>275</v>
      </c>
      <c r="AI671" s="65"/>
      <c r="AJ671" s="65"/>
      <c r="AK671" s="65"/>
      <c r="AL671" s="65"/>
      <c r="AM671" s="65"/>
      <c r="AN671" s="65"/>
      <c r="AO671" s="65"/>
      <c r="AP671" s="65"/>
      <c r="AQ671" s="65"/>
    </row>
    <row r="672" spans="24:43">
      <c r="X672" s="79" t="s">
        <v>11052</v>
      </c>
      <c r="Y672" s="80">
        <v>5137.625</v>
      </c>
      <c r="Z672" s="81">
        <f t="shared" si="52"/>
        <v>5137.625</v>
      </c>
      <c r="AA672" s="79" t="s">
        <v>2082</v>
      </c>
      <c r="AB672" s="82">
        <f t="shared" si="53"/>
        <v>5137</v>
      </c>
      <c r="AC672" s="79" t="s">
        <v>2081</v>
      </c>
      <c r="AD672" s="82">
        <f t="shared" si="54"/>
        <v>6</v>
      </c>
      <c r="AE672" s="79" t="s">
        <v>2080</v>
      </c>
      <c r="AF672" s="82">
        <f t="shared" si="55"/>
        <v>2.5</v>
      </c>
      <c r="AG672" s="79" t="s">
        <v>2079</v>
      </c>
      <c r="AH672" s="81">
        <v>205.5</v>
      </c>
      <c r="AI672" s="65"/>
      <c r="AJ672" s="65"/>
      <c r="AK672" s="65"/>
      <c r="AL672" s="65"/>
      <c r="AM672" s="65"/>
      <c r="AN672" s="65"/>
      <c r="AO672" s="65"/>
      <c r="AP672" s="65"/>
      <c r="AQ672" s="65"/>
    </row>
    <row r="673" spans="24:43">
      <c r="X673" s="79" t="s">
        <v>11053</v>
      </c>
      <c r="Y673" s="80">
        <v>29125.125</v>
      </c>
      <c r="Z673" s="81">
        <f t="shared" si="52"/>
        <v>29125.125</v>
      </c>
      <c r="AA673" s="79" t="s">
        <v>2082</v>
      </c>
      <c r="AB673" s="82">
        <f t="shared" si="53"/>
        <v>29125</v>
      </c>
      <c r="AC673" s="79" t="s">
        <v>2081</v>
      </c>
      <c r="AD673" s="82">
        <f t="shared" si="54"/>
        <v>1</v>
      </c>
      <c r="AE673" s="79" t="s">
        <v>2080</v>
      </c>
      <c r="AF673" s="82">
        <f t="shared" si="55"/>
        <v>2.5</v>
      </c>
      <c r="AG673" s="79" t="s">
        <v>2079</v>
      </c>
      <c r="AH673" s="81">
        <v>1165</v>
      </c>
      <c r="AI673" s="65"/>
      <c r="AJ673" s="65"/>
      <c r="AK673" s="65"/>
      <c r="AL673" s="65"/>
      <c r="AM673" s="65"/>
      <c r="AN673" s="65"/>
      <c r="AO673" s="65"/>
      <c r="AP673" s="65"/>
      <c r="AQ673" s="65"/>
    </row>
    <row r="674" spans="24:43">
      <c r="X674" s="79" t="s">
        <v>11054</v>
      </c>
      <c r="Y674" s="80">
        <v>17000</v>
      </c>
      <c r="Z674" s="81">
        <f t="shared" si="52"/>
        <v>17000</v>
      </c>
      <c r="AA674" s="79" t="s">
        <v>2082</v>
      </c>
      <c r="AB674" s="82">
        <f t="shared" si="53"/>
        <v>17000</v>
      </c>
      <c r="AC674" s="79" t="s">
        <v>2081</v>
      </c>
      <c r="AD674" s="82">
        <f t="shared" si="54"/>
        <v>0</v>
      </c>
      <c r="AE674" s="79" t="s">
        <v>2080</v>
      </c>
      <c r="AF674" s="82">
        <f t="shared" si="55"/>
        <v>0</v>
      </c>
      <c r="AG674" s="79" t="s">
        <v>2079</v>
      </c>
      <c r="AH674" s="81">
        <v>680</v>
      </c>
      <c r="AI674" s="65"/>
      <c r="AJ674" s="65"/>
      <c r="AK674" s="65"/>
      <c r="AL674" s="65"/>
      <c r="AM674" s="65"/>
      <c r="AN674" s="65"/>
      <c r="AO674" s="65"/>
      <c r="AP674" s="65"/>
      <c r="AQ674" s="65"/>
    </row>
    <row r="675" spans="24:43">
      <c r="X675" s="79" t="s">
        <v>11055</v>
      </c>
      <c r="Y675" s="80">
        <v>55</v>
      </c>
      <c r="Z675" s="81">
        <f t="shared" si="52"/>
        <v>55</v>
      </c>
      <c r="AA675" s="79" t="s">
        <v>2082</v>
      </c>
      <c r="AB675" s="82">
        <f t="shared" si="53"/>
        <v>55</v>
      </c>
      <c r="AC675" s="79" t="s">
        <v>2081</v>
      </c>
      <c r="AD675" s="82">
        <f t="shared" si="54"/>
        <v>0</v>
      </c>
      <c r="AE675" s="79" t="s">
        <v>2080</v>
      </c>
      <c r="AF675" s="82">
        <f t="shared" si="55"/>
        <v>0</v>
      </c>
      <c r="AG675" s="79" t="s">
        <v>2079</v>
      </c>
      <c r="AH675" s="81">
        <v>2.2000000000000002</v>
      </c>
      <c r="AI675" s="65"/>
      <c r="AJ675" s="65"/>
      <c r="AK675" s="65"/>
      <c r="AL675" s="65"/>
      <c r="AM675" s="65"/>
      <c r="AN675" s="65"/>
      <c r="AO675" s="65"/>
      <c r="AP675" s="65"/>
      <c r="AQ675" s="65"/>
    </row>
    <row r="676" spans="24:43">
      <c r="X676" s="79" t="s">
        <v>11056</v>
      </c>
      <c r="Y676" s="80">
        <v>22000</v>
      </c>
      <c r="Z676" s="81">
        <f t="shared" si="52"/>
        <v>22000</v>
      </c>
      <c r="AA676" s="79" t="s">
        <v>2082</v>
      </c>
      <c r="AB676" s="82">
        <f t="shared" si="53"/>
        <v>22000</v>
      </c>
      <c r="AC676" s="79" t="s">
        <v>2081</v>
      </c>
      <c r="AD676" s="82">
        <f t="shared" si="54"/>
        <v>0</v>
      </c>
      <c r="AE676" s="79" t="s">
        <v>2080</v>
      </c>
      <c r="AF676" s="82">
        <f t="shared" si="55"/>
        <v>0</v>
      </c>
      <c r="AG676" s="79" t="s">
        <v>2079</v>
      </c>
      <c r="AH676" s="81">
        <v>880</v>
      </c>
      <c r="AI676" s="65"/>
      <c r="AJ676" s="65"/>
      <c r="AK676" s="65"/>
      <c r="AL676" s="65"/>
      <c r="AM676" s="65"/>
      <c r="AN676" s="65"/>
      <c r="AO676" s="65"/>
      <c r="AP676" s="65"/>
      <c r="AQ676" s="65"/>
    </row>
    <row r="677" spans="24:43">
      <c r="X677" s="79" t="s">
        <v>11057</v>
      </c>
      <c r="Y677" s="80">
        <v>8900</v>
      </c>
      <c r="Z677" s="81">
        <f t="shared" si="52"/>
        <v>8900</v>
      </c>
      <c r="AA677" s="79" t="s">
        <v>2082</v>
      </c>
      <c r="AB677" s="82">
        <f t="shared" si="53"/>
        <v>8900</v>
      </c>
      <c r="AC677" s="79" t="s">
        <v>2081</v>
      </c>
      <c r="AD677" s="82">
        <f t="shared" si="54"/>
        <v>0</v>
      </c>
      <c r="AE677" s="79" t="s">
        <v>2080</v>
      </c>
      <c r="AF677" s="82">
        <f t="shared" si="55"/>
        <v>0</v>
      </c>
      <c r="AG677" s="79" t="s">
        <v>2079</v>
      </c>
      <c r="AH677" s="81">
        <v>356</v>
      </c>
      <c r="AI677" s="65"/>
      <c r="AJ677" s="65"/>
      <c r="AK677" s="65"/>
      <c r="AL677" s="65"/>
      <c r="AM677" s="65"/>
      <c r="AN677" s="65"/>
      <c r="AO677" s="65"/>
      <c r="AP677" s="65"/>
      <c r="AQ677" s="65"/>
    </row>
    <row r="678" spans="24:43">
      <c r="X678" s="79" t="s">
        <v>11058</v>
      </c>
      <c r="Y678" s="80">
        <v>70750</v>
      </c>
      <c r="Z678" s="81">
        <f t="shared" si="52"/>
        <v>70750</v>
      </c>
      <c r="AA678" s="79" t="s">
        <v>2082</v>
      </c>
      <c r="AB678" s="82">
        <f t="shared" si="53"/>
        <v>70750</v>
      </c>
      <c r="AC678" s="79" t="s">
        <v>2081</v>
      </c>
      <c r="AD678" s="82">
        <f t="shared" si="54"/>
        <v>0</v>
      </c>
      <c r="AE678" s="79" t="s">
        <v>2080</v>
      </c>
      <c r="AF678" s="82">
        <f t="shared" si="55"/>
        <v>0</v>
      </c>
      <c r="AG678" s="79" t="s">
        <v>2079</v>
      </c>
      <c r="AH678" s="81">
        <v>2830</v>
      </c>
      <c r="AI678" s="65"/>
      <c r="AJ678" s="65"/>
      <c r="AK678" s="65"/>
      <c r="AL678" s="65"/>
      <c r="AM678" s="65"/>
      <c r="AN678" s="65"/>
      <c r="AO678" s="65"/>
      <c r="AP678" s="65"/>
      <c r="AQ678" s="65"/>
    </row>
    <row r="679" spans="24:43">
      <c r="X679" s="79" t="s">
        <v>11059</v>
      </c>
      <c r="Y679" s="80">
        <v>28500</v>
      </c>
      <c r="Z679" s="81">
        <f t="shared" si="52"/>
        <v>28500</v>
      </c>
      <c r="AA679" s="79" t="s">
        <v>2082</v>
      </c>
      <c r="AB679" s="82">
        <f t="shared" si="53"/>
        <v>28500</v>
      </c>
      <c r="AC679" s="79" t="s">
        <v>2081</v>
      </c>
      <c r="AD679" s="82">
        <f t="shared" si="54"/>
        <v>0</v>
      </c>
      <c r="AE679" s="79" t="s">
        <v>2080</v>
      </c>
      <c r="AF679" s="82">
        <f t="shared" si="55"/>
        <v>0</v>
      </c>
      <c r="AG679" s="79" t="s">
        <v>2079</v>
      </c>
      <c r="AH679" s="81">
        <v>1140</v>
      </c>
      <c r="AI679" s="65"/>
      <c r="AJ679" s="65"/>
      <c r="AK679" s="65"/>
      <c r="AL679" s="65"/>
      <c r="AM679" s="65"/>
      <c r="AN679" s="65"/>
      <c r="AO679" s="65"/>
      <c r="AP679" s="65"/>
      <c r="AQ679" s="65"/>
    </row>
    <row r="680" spans="24:43">
      <c r="X680" s="79" t="s">
        <v>11060</v>
      </c>
      <c r="Y680" s="80">
        <v>10250</v>
      </c>
      <c r="Z680" s="81">
        <f t="shared" si="52"/>
        <v>10250</v>
      </c>
      <c r="AA680" s="79" t="s">
        <v>2082</v>
      </c>
      <c r="AB680" s="82">
        <f t="shared" si="53"/>
        <v>10250</v>
      </c>
      <c r="AC680" s="79" t="s">
        <v>2081</v>
      </c>
      <c r="AD680" s="82">
        <f t="shared" si="54"/>
        <v>0</v>
      </c>
      <c r="AE680" s="79" t="s">
        <v>2080</v>
      </c>
      <c r="AF680" s="82">
        <f t="shared" si="55"/>
        <v>0</v>
      </c>
      <c r="AG680" s="79" t="s">
        <v>2079</v>
      </c>
      <c r="AH680" s="81">
        <v>410</v>
      </c>
      <c r="AI680" s="65"/>
      <c r="AJ680" s="65"/>
      <c r="AK680" s="65"/>
      <c r="AL680" s="65"/>
      <c r="AM680" s="65"/>
      <c r="AN680" s="65"/>
      <c r="AO680" s="65"/>
      <c r="AP680" s="65"/>
      <c r="AQ680" s="65"/>
    </row>
    <row r="681" spans="24:43">
      <c r="X681" s="79" t="s">
        <v>11061</v>
      </c>
      <c r="Y681" s="80">
        <v>1075</v>
      </c>
      <c r="Z681" s="81">
        <f t="shared" si="52"/>
        <v>1075</v>
      </c>
      <c r="AA681" s="79" t="s">
        <v>2082</v>
      </c>
      <c r="AB681" s="82">
        <f t="shared" si="53"/>
        <v>1075</v>
      </c>
      <c r="AC681" s="79" t="s">
        <v>2081</v>
      </c>
      <c r="AD681" s="82">
        <f t="shared" si="54"/>
        <v>0</v>
      </c>
      <c r="AE681" s="79" t="s">
        <v>2080</v>
      </c>
      <c r="AF681" s="82">
        <f t="shared" si="55"/>
        <v>0</v>
      </c>
      <c r="AG681" s="79" t="s">
        <v>2079</v>
      </c>
      <c r="AH681" s="81">
        <v>43</v>
      </c>
      <c r="AI681" s="65"/>
      <c r="AJ681" s="65"/>
      <c r="AK681" s="65"/>
      <c r="AL681" s="65"/>
      <c r="AM681" s="65"/>
      <c r="AN681" s="65"/>
      <c r="AO681" s="65"/>
      <c r="AP681" s="65"/>
      <c r="AQ681" s="65"/>
    </row>
    <row r="682" spans="24:43">
      <c r="X682" s="79" t="s">
        <v>11062</v>
      </c>
      <c r="Y682" s="80">
        <v>3937.625</v>
      </c>
      <c r="Z682" s="81">
        <f t="shared" si="52"/>
        <v>3937.625</v>
      </c>
      <c r="AA682" s="79" t="s">
        <v>2082</v>
      </c>
      <c r="AB682" s="82">
        <f t="shared" si="53"/>
        <v>3937</v>
      </c>
      <c r="AC682" s="79" t="s">
        <v>2081</v>
      </c>
      <c r="AD682" s="82">
        <f t="shared" si="54"/>
        <v>6</v>
      </c>
      <c r="AE682" s="79" t="s">
        <v>2080</v>
      </c>
      <c r="AF682" s="82">
        <f t="shared" si="55"/>
        <v>2.5</v>
      </c>
      <c r="AG682" s="79" t="s">
        <v>2079</v>
      </c>
      <c r="AH682" s="81">
        <v>157.5</v>
      </c>
      <c r="AI682" s="65"/>
      <c r="AJ682" s="65"/>
      <c r="AK682" s="65"/>
      <c r="AL682" s="65"/>
      <c r="AM682" s="65"/>
      <c r="AN682" s="65"/>
      <c r="AO682" s="65"/>
      <c r="AP682" s="65"/>
      <c r="AQ682" s="65"/>
    </row>
    <row r="683" spans="24:43">
      <c r="X683" s="79" t="s">
        <v>11063</v>
      </c>
      <c r="Y683" s="80">
        <v>105250.25</v>
      </c>
      <c r="Z683" s="81">
        <f t="shared" si="52"/>
        <v>105250.25</v>
      </c>
      <c r="AA683" s="79" t="s">
        <v>2082</v>
      </c>
      <c r="AB683" s="82">
        <f t="shared" si="53"/>
        <v>105250</v>
      </c>
      <c r="AC683" s="79" t="s">
        <v>2081</v>
      </c>
      <c r="AD683" s="82">
        <f t="shared" si="54"/>
        <v>2</v>
      </c>
      <c r="AE683" s="79" t="s">
        <v>2080</v>
      </c>
      <c r="AF683" s="82">
        <f t="shared" si="55"/>
        <v>5</v>
      </c>
      <c r="AG683" s="79" t="s">
        <v>2079</v>
      </c>
      <c r="AH683" s="81">
        <v>4210.01</v>
      </c>
      <c r="AI683" s="65"/>
      <c r="AJ683" s="65"/>
      <c r="AK683" s="65"/>
      <c r="AL683" s="65"/>
      <c r="AM683" s="65"/>
      <c r="AN683" s="65"/>
      <c r="AO683" s="65"/>
      <c r="AP683" s="65"/>
      <c r="AQ683" s="65"/>
    </row>
    <row r="684" spans="24:43">
      <c r="X684" s="79" t="s">
        <v>11064</v>
      </c>
      <c r="Y684" s="80">
        <v>1125</v>
      </c>
      <c r="Z684" s="81">
        <f t="shared" si="52"/>
        <v>1125</v>
      </c>
      <c r="AA684" s="79" t="s">
        <v>2082</v>
      </c>
      <c r="AB684" s="82">
        <f t="shared" si="53"/>
        <v>1125</v>
      </c>
      <c r="AC684" s="79" t="s">
        <v>2081</v>
      </c>
      <c r="AD684" s="82">
        <f t="shared" si="54"/>
        <v>0</v>
      </c>
      <c r="AE684" s="79" t="s">
        <v>2080</v>
      </c>
      <c r="AF684" s="82">
        <f t="shared" si="55"/>
        <v>0</v>
      </c>
      <c r="AG684" s="79" t="s">
        <v>2079</v>
      </c>
      <c r="AH684" s="81">
        <v>45</v>
      </c>
      <c r="AI684" s="65"/>
      <c r="AJ684" s="65"/>
      <c r="AK684" s="65"/>
      <c r="AL684" s="65"/>
      <c r="AM684" s="65"/>
      <c r="AN684" s="65"/>
      <c r="AO684" s="65"/>
      <c r="AP684" s="65"/>
      <c r="AQ684" s="65"/>
    </row>
    <row r="685" spans="24:43">
      <c r="X685" s="79" t="s">
        <v>11065</v>
      </c>
      <c r="Y685" s="80">
        <v>24250</v>
      </c>
      <c r="Z685" s="81">
        <f t="shared" si="52"/>
        <v>24250</v>
      </c>
      <c r="AA685" s="79" t="s">
        <v>2082</v>
      </c>
      <c r="AB685" s="82">
        <f t="shared" si="53"/>
        <v>24250</v>
      </c>
      <c r="AC685" s="79" t="s">
        <v>2081</v>
      </c>
      <c r="AD685" s="82">
        <f t="shared" si="54"/>
        <v>0</v>
      </c>
      <c r="AE685" s="79" t="s">
        <v>2080</v>
      </c>
      <c r="AF685" s="82">
        <f t="shared" si="55"/>
        <v>0</v>
      </c>
      <c r="AG685" s="79" t="s">
        <v>2079</v>
      </c>
      <c r="AH685" s="81">
        <v>970</v>
      </c>
      <c r="AI685" s="65"/>
      <c r="AJ685" s="65"/>
      <c r="AK685" s="65"/>
      <c r="AL685" s="65"/>
      <c r="AM685" s="65"/>
      <c r="AN685" s="65"/>
      <c r="AO685" s="65"/>
      <c r="AP685" s="65"/>
      <c r="AQ685" s="65"/>
    </row>
    <row r="686" spans="24:43">
      <c r="X686" s="79" t="s">
        <v>11066</v>
      </c>
      <c r="Y686" s="80">
        <v>20000</v>
      </c>
      <c r="Z686" s="81">
        <f t="shared" si="52"/>
        <v>20000</v>
      </c>
      <c r="AA686" s="79" t="s">
        <v>2082</v>
      </c>
      <c r="AB686" s="82">
        <f t="shared" si="53"/>
        <v>20000</v>
      </c>
      <c r="AC686" s="79" t="s">
        <v>2081</v>
      </c>
      <c r="AD686" s="82">
        <f t="shared" si="54"/>
        <v>0</v>
      </c>
      <c r="AE686" s="79" t="s">
        <v>2080</v>
      </c>
      <c r="AF686" s="82">
        <f t="shared" si="55"/>
        <v>0</v>
      </c>
      <c r="AG686" s="79" t="s">
        <v>2079</v>
      </c>
      <c r="AH686" s="81">
        <v>800</v>
      </c>
      <c r="AI686" s="65"/>
      <c r="AJ686" s="65"/>
      <c r="AK686" s="65"/>
      <c r="AL686" s="65"/>
      <c r="AM686" s="65"/>
      <c r="AN686" s="65"/>
      <c r="AO686" s="65"/>
      <c r="AP686" s="65"/>
      <c r="AQ686" s="65"/>
    </row>
    <row r="687" spans="24:43">
      <c r="X687" s="79" t="s">
        <v>11067</v>
      </c>
      <c r="Y687" s="80">
        <v>2550</v>
      </c>
      <c r="Z687" s="81">
        <f t="shared" si="52"/>
        <v>2550</v>
      </c>
      <c r="AA687" s="79" t="s">
        <v>2082</v>
      </c>
      <c r="AB687" s="82">
        <f t="shared" si="53"/>
        <v>2550</v>
      </c>
      <c r="AC687" s="79" t="s">
        <v>2081</v>
      </c>
      <c r="AD687" s="82">
        <f t="shared" si="54"/>
        <v>0</v>
      </c>
      <c r="AE687" s="79" t="s">
        <v>2080</v>
      </c>
      <c r="AF687" s="82">
        <f t="shared" si="55"/>
        <v>0</v>
      </c>
      <c r="AG687" s="79" t="s">
        <v>2079</v>
      </c>
      <c r="AH687" s="81">
        <v>102</v>
      </c>
      <c r="AI687" s="65"/>
      <c r="AJ687" s="65"/>
      <c r="AK687" s="65"/>
      <c r="AL687" s="65"/>
      <c r="AM687" s="65"/>
      <c r="AN687" s="65"/>
      <c r="AO687" s="65"/>
      <c r="AP687" s="65"/>
      <c r="AQ687" s="65"/>
    </row>
    <row r="688" spans="24:43">
      <c r="X688" s="79" t="s">
        <v>11068</v>
      </c>
      <c r="Y688" s="80">
        <v>6350</v>
      </c>
      <c r="Z688" s="81">
        <f t="shared" si="52"/>
        <v>6350</v>
      </c>
      <c r="AA688" s="79" t="s">
        <v>2082</v>
      </c>
      <c r="AB688" s="82">
        <f t="shared" si="53"/>
        <v>6350</v>
      </c>
      <c r="AC688" s="79" t="s">
        <v>2081</v>
      </c>
      <c r="AD688" s="82">
        <f t="shared" si="54"/>
        <v>0</v>
      </c>
      <c r="AE688" s="79" t="s">
        <v>2080</v>
      </c>
      <c r="AF688" s="82">
        <f t="shared" si="55"/>
        <v>0</v>
      </c>
      <c r="AG688" s="79" t="s">
        <v>2079</v>
      </c>
      <c r="AH688" s="81">
        <v>254</v>
      </c>
      <c r="AI688" s="65"/>
      <c r="AJ688" s="65"/>
      <c r="AK688" s="65"/>
      <c r="AL688" s="65"/>
      <c r="AM688" s="65"/>
      <c r="AN688" s="65"/>
      <c r="AO688" s="65"/>
      <c r="AP688" s="65"/>
      <c r="AQ688" s="65"/>
    </row>
    <row r="689" spans="24:43">
      <c r="X689" s="79" t="s">
        <v>11069</v>
      </c>
      <c r="Y689" s="80">
        <v>2300</v>
      </c>
      <c r="Z689" s="81">
        <f t="shared" si="52"/>
        <v>2300</v>
      </c>
      <c r="AA689" s="79" t="s">
        <v>2082</v>
      </c>
      <c r="AB689" s="82">
        <f t="shared" si="53"/>
        <v>2300</v>
      </c>
      <c r="AC689" s="79" t="s">
        <v>2081</v>
      </c>
      <c r="AD689" s="82">
        <f t="shared" si="54"/>
        <v>0</v>
      </c>
      <c r="AE689" s="79" t="s">
        <v>2080</v>
      </c>
      <c r="AF689" s="82">
        <f t="shared" si="55"/>
        <v>0</v>
      </c>
      <c r="AG689" s="79" t="s">
        <v>2079</v>
      </c>
      <c r="AH689" s="81">
        <v>92</v>
      </c>
      <c r="AI689" s="65"/>
      <c r="AJ689" s="65"/>
      <c r="AK689" s="65"/>
      <c r="AL689" s="65"/>
      <c r="AM689" s="65"/>
      <c r="AN689" s="65"/>
      <c r="AO689" s="65"/>
      <c r="AP689" s="65"/>
      <c r="AQ689" s="65"/>
    </row>
    <row r="690" spans="24:43">
      <c r="X690" s="79" t="s">
        <v>11070</v>
      </c>
      <c r="Y690" s="80">
        <v>362.625</v>
      </c>
      <c r="Z690" s="81">
        <f t="shared" si="52"/>
        <v>362.625</v>
      </c>
      <c r="AA690" s="79" t="s">
        <v>2082</v>
      </c>
      <c r="AB690" s="82">
        <f t="shared" si="53"/>
        <v>362</v>
      </c>
      <c r="AC690" s="79" t="s">
        <v>2081</v>
      </c>
      <c r="AD690" s="82">
        <f t="shared" si="54"/>
        <v>6</v>
      </c>
      <c r="AE690" s="79" t="s">
        <v>2080</v>
      </c>
      <c r="AF690" s="82">
        <f t="shared" si="55"/>
        <v>2.5</v>
      </c>
      <c r="AG690" s="79" t="s">
        <v>2079</v>
      </c>
      <c r="AH690" s="81">
        <v>14.5</v>
      </c>
      <c r="AI690" s="65"/>
      <c r="AJ690" s="65"/>
      <c r="AK690" s="65"/>
      <c r="AL690" s="65"/>
      <c r="AM690" s="65"/>
      <c r="AN690" s="65"/>
      <c r="AO690" s="65"/>
      <c r="AP690" s="65"/>
      <c r="AQ690" s="65"/>
    </row>
    <row r="691" spans="24:43">
      <c r="X691" s="79" t="s">
        <v>11071</v>
      </c>
      <c r="Y691" s="80">
        <v>5737.625</v>
      </c>
      <c r="Z691" s="81">
        <f t="shared" si="52"/>
        <v>5737.625</v>
      </c>
      <c r="AA691" s="79" t="s">
        <v>2082</v>
      </c>
      <c r="AB691" s="82">
        <f t="shared" si="53"/>
        <v>5737</v>
      </c>
      <c r="AC691" s="79" t="s">
        <v>2081</v>
      </c>
      <c r="AD691" s="82">
        <f t="shared" si="54"/>
        <v>6</v>
      </c>
      <c r="AE691" s="79" t="s">
        <v>2080</v>
      </c>
      <c r="AF691" s="82">
        <f t="shared" si="55"/>
        <v>2.5</v>
      </c>
      <c r="AG691" s="79" t="s">
        <v>2079</v>
      </c>
      <c r="AH691" s="81">
        <v>229.5</v>
      </c>
      <c r="AI691" s="65"/>
      <c r="AJ691" s="65"/>
      <c r="AK691" s="65"/>
      <c r="AL691" s="65"/>
      <c r="AM691" s="65"/>
      <c r="AN691" s="65"/>
      <c r="AO691" s="65"/>
      <c r="AP691" s="65"/>
      <c r="AQ691" s="65"/>
    </row>
    <row r="692" spans="24:43">
      <c r="X692" s="79" t="s">
        <v>11072</v>
      </c>
      <c r="Y692" s="80">
        <v>237.625</v>
      </c>
      <c r="Z692" s="81">
        <f t="shared" si="52"/>
        <v>237.625</v>
      </c>
      <c r="AA692" s="79" t="s">
        <v>2082</v>
      </c>
      <c r="AB692" s="82">
        <f t="shared" si="53"/>
        <v>237</v>
      </c>
      <c r="AC692" s="79" t="s">
        <v>2081</v>
      </c>
      <c r="AD692" s="82">
        <f t="shared" si="54"/>
        <v>6</v>
      </c>
      <c r="AE692" s="79" t="s">
        <v>2080</v>
      </c>
      <c r="AF692" s="82">
        <f t="shared" si="55"/>
        <v>2.5</v>
      </c>
      <c r="AG692" s="79" t="s">
        <v>2079</v>
      </c>
      <c r="AH692" s="81">
        <v>9.5</v>
      </c>
      <c r="AI692" s="65"/>
      <c r="AJ692" s="65"/>
      <c r="AK692" s="65"/>
      <c r="AL692" s="65"/>
      <c r="AM692" s="65"/>
      <c r="AN692" s="65"/>
      <c r="AO692" s="65"/>
      <c r="AP692" s="65"/>
      <c r="AQ692" s="65"/>
    </row>
    <row r="693" spans="24:43">
      <c r="X693" s="79" t="s">
        <v>11073</v>
      </c>
      <c r="Y693" s="80">
        <v>112500.5</v>
      </c>
      <c r="Z693" s="81">
        <f t="shared" si="52"/>
        <v>112500.5</v>
      </c>
      <c r="AA693" s="79" t="s">
        <v>2082</v>
      </c>
      <c r="AB693" s="82">
        <f t="shared" si="53"/>
        <v>112500</v>
      </c>
      <c r="AC693" s="79" t="s">
        <v>2081</v>
      </c>
      <c r="AD693" s="82">
        <f t="shared" si="54"/>
        <v>5</v>
      </c>
      <c r="AE693" s="79" t="s">
        <v>2080</v>
      </c>
      <c r="AF693" s="82">
        <f t="shared" si="55"/>
        <v>0</v>
      </c>
      <c r="AG693" s="79" t="s">
        <v>2079</v>
      </c>
      <c r="AH693" s="81">
        <v>4500.0200000000004</v>
      </c>
      <c r="AI693" s="65"/>
      <c r="AJ693" s="65"/>
      <c r="AK693" s="65"/>
      <c r="AL693" s="65"/>
      <c r="AM693" s="65"/>
      <c r="AN693" s="65"/>
      <c r="AO693" s="65"/>
      <c r="AP693" s="65"/>
      <c r="AQ693" s="65"/>
    </row>
    <row r="694" spans="24:43">
      <c r="X694" s="79" t="s">
        <v>11073</v>
      </c>
      <c r="Y694" s="80">
        <v>112500.5</v>
      </c>
      <c r="Z694" s="81">
        <f t="shared" si="52"/>
        <v>112500.5</v>
      </c>
      <c r="AA694" s="79" t="s">
        <v>2082</v>
      </c>
      <c r="AB694" s="82">
        <f t="shared" si="53"/>
        <v>112500</v>
      </c>
      <c r="AC694" s="79" t="s">
        <v>2081</v>
      </c>
      <c r="AD694" s="82">
        <f t="shared" si="54"/>
        <v>5</v>
      </c>
      <c r="AE694" s="79" t="s">
        <v>2080</v>
      </c>
      <c r="AF694" s="82">
        <f t="shared" si="55"/>
        <v>0</v>
      </c>
      <c r="AG694" s="79" t="s">
        <v>2079</v>
      </c>
      <c r="AH694" s="81">
        <v>4500.0200000000004</v>
      </c>
      <c r="AI694" s="65"/>
      <c r="AJ694" s="65"/>
      <c r="AK694" s="65"/>
      <c r="AL694" s="65"/>
      <c r="AM694" s="65"/>
      <c r="AN694" s="65"/>
      <c r="AO694" s="65"/>
      <c r="AP694" s="65"/>
      <c r="AQ694" s="65"/>
    </row>
    <row r="695" spans="24:43">
      <c r="X695" s="79" t="s">
        <v>11074</v>
      </c>
      <c r="Y695" s="80">
        <v>112500.5</v>
      </c>
      <c r="Z695" s="81">
        <f t="shared" si="52"/>
        <v>112500.5</v>
      </c>
      <c r="AA695" s="79" t="s">
        <v>2082</v>
      </c>
      <c r="AB695" s="82">
        <f t="shared" si="53"/>
        <v>112500</v>
      </c>
      <c r="AC695" s="79" t="s">
        <v>2081</v>
      </c>
      <c r="AD695" s="82">
        <f t="shared" si="54"/>
        <v>5</v>
      </c>
      <c r="AE695" s="79" t="s">
        <v>2080</v>
      </c>
      <c r="AF695" s="82">
        <f t="shared" si="55"/>
        <v>0</v>
      </c>
      <c r="AG695" s="79" t="s">
        <v>2079</v>
      </c>
      <c r="AH695" s="81">
        <v>4500.0200000000004</v>
      </c>
      <c r="AI695" s="65"/>
      <c r="AJ695" s="65"/>
      <c r="AK695" s="65"/>
      <c r="AL695" s="65"/>
      <c r="AM695" s="65"/>
      <c r="AN695" s="65"/>
      <c r="AO695" s="65"/>
      <c r="AP695" s="65"/>
      <c r="AQ695" s="65"/>
    </row>
    <row r="696" spans="24:43">
      <c r="X696" s="79" t="s">
        <v>11075</v>
      </c>
      <c r="Y696" s="80">
        <v>7000</v>
      </c>
      <c r="Z696" s="81">
        <f t="shared" si="52"/>
        <v>7000</v>
      </c>
      <c r="AA696" s="79" t="s">
        <v>2082</v>
      </c>
      <c r="AB696" s="82">
        <f t="shared" si="53"/>
        <v>7000</v>
      </c>
      <c r="AC696" s="79" t="s">
        <v>2081</v>
      </c>
      <c r="AD696" s="82">
        <f t="shared" si="54"/>
        <v>0</v>
      </c>
      <c r="AE696" s="79" t="s">
        <v>2080</v>
      </c>
      <c r="AF696" s="82">
        <f t="shared" si="55"/>
        <v>0</v>
      </c>
      <c r="AG696" s="79" t="s">
        <v>2079</v>
      </c>
      <c r="AH696" s="81">
        <v>280</v>
      </c>
      <c r="AI696" s="65"/>
      <c r="AJ696" s="65"/>
      <c r="AK696" s="65"/>
      <c r="AL696" s="65"/>
      <c r="AM696" s="65"/>
      <c r="AN696" s="65"/>
      <c r="AO696" s="65"/>
      <c r="AP696" s="65"/>
      <c r="AQ696" s="65"/>
    </row>
    <row r="697" spans="24:43">
      <c r="X697" s="79" t="s">
        <v>11076</v>
      </c>
      <c r="Y697" s="80">
        <v>5737.625</v>
      </c>
      <c r="Z697" s="81">
        <f t="shared" si="52"/>
        <v>5737.625</v>
      </c>
      <c r="AA697" s="79" t="s">
        <v>2082</v>
      </c>
      <c r="AB697" s="82">
        <f t="shared" si="53"/>
        <v>5737</v>
      </c>
      <c r="AC697" s="79" t="s">
        <v>2081</v>
      </c>
      <c r="AD697" s="82">
        <f t="shared" si="54"/>
        <v>6</v>
      </c>
      <c r="AE697" s="79" t="s">
        <v>2080</v>
      </c>
      <c r="AF697" s="82">
        <f t="shared" si="55"/>
        <v>2.5</v>
      </c>
      <c r="AG697" s="79" t="s">
        <v>2079</v>
      </c>
      <c r="AH697" s="81">
        <v>229.5</v>
      </c>
      <c r="AI697" s="65"/>
      <c r="AJ697" s="65"/>
      <c r="AK697" s="65"/>
      <c r="AL697" s="65"/>
      <c r="AM697" s="65"/>
      <c r="AN697" s="65"/>
      <c r="AO697" s="65"/>
      <c r="AP697" s="65"/>
      <c r="AQ697" s="65"/>
    </row>
    <row r="698" spans="24:43">
      <c r="X698" s="79" t="s">
        <v>11077</v>
      </c>
      <c r="Y698" s="80">
        <v>83750.25</v>
      </c>
      <c r="Z698" s="81">
        <f t="shared" si="52"/>
        <v>83750.25</v>
      </c>
      <c r="AA698" s="79" t="s">
        <v>2082</v>
      </c>
      <c r="AB698" s="82">
        <f t="shared" si="53"/>
        <v>83750</v>
      </c>
      <c r="AC698" s="79" t="s">
        <v>2081</v>
      </c>
      <c r="AD698" s="82">
        <f t="shared" si="54"/>
        <v>2</v>
      </c>
      <c r="AE698" s="79" t="s">
        <v>2080</v>
      </c>
      <c r="AF698" s="82">
        <f t="shared" si="55"/>
        <v>5</v>
      </c>
      <c r="AG698" s="79" t="s">
        <v>2079</v>
      </c>
      <c r="AH698" s="81">
        <v>3350.01</v>
      </c>
      <c r="AI698" s="65"/>
      <c r="AJ698" s="65"/>
      <c r="AK698" s="65"/>
      <c r="AL698" s="65"/>
      <c r="AM698" s="65"/>
      <c r="AN698" s="65"/>
      <c r="AO698" s="65"/>
      <c r="AP698" s="65"/>
      <c r="AQ698" s="65"/>
    </row>
    <row r="699" spans="24:43">
      <c r="X699" s="79" t="s">
        <v>11078</v>
      </c>
      <c r="Y699" s="80">
        <v>43500</v>
      </c>
      <c r="Z699" s="81">
        <f t="shared" si="52"/>
        <v>43500</v>
      </c>
      <c r="AA699" s="79" t="s">
        <v>2082</v>
      </c>
      <c r="AB699" s="82">
        <f t="shared" si="53"/>
        <v>43500</v>
      </c>
      <c r="AC699" s="79" t="s">
        <v>2081</v>
      </c>
      <c r="AD699" s="82">
        <f t="shared" si="54"/>
        <v>0</v>
      </c>
      <c r="AE699" s="79" t="s">
        <v>2080</v>
      </c>
      <c r="AF699" s="82">
        <f t="shared" si="55"/>
        <v>0</v>
      </c>
      <c r="AG699" s="79" t="s">
        <v>2079</v>
      </c>
      <c r="AH699" s="81">
        <v>1740</v>
      </c>
      <c r="AI699" s="65"/>
      <c r="AJ699" s="65"/>
      <c r="AK699" s="65"/>
      <c r="AL699" s="65"/>
      <c r="AM699" s="65"/>
      <c r="AN699" s="65"/>
      <c r="AO699" s="65"/>
      <c r="AP699" s="65"/>
      <c r="AQ699" s="65"/>
    </row>
    <row r="700" spans="24:43">
      <c r="X700" s="79" t="s">
        <v>11079</v>
      </c>
      <c r="Y700" s="80">
        <v>1600</v>
      </c>
      <c r="Z700" s="81">
        <f t="shared" si="52"/>
        <v>1600</v>
      </c>
      <c r="AA700" s="79" t="s">
        <v>2082</v>
      </c>
      <c r="AB700" s="82">
        <f t="shared" si="53"/>
        <v>1600</v>
      </c>
      <c r="AC700" s="79" t="s">
        <v>2081</v>
      </c>
      <c r="AD700" s="82">
        <f t="shared" si="54"/>
        <v>0</v>
      </c>
      <c r="AE700" s="79" t="s">
        <v>2080</v>
      </c>
      <c r="AF700" s="82">
        <f t="shared" si="55"/>
        <v>0</v>
      </c>
      <c r="AG700" s="79" t="s">
        <v>2079</v>
      </c>
      <c r="AH700" s="81">
        <v>64</v>
      </c>
      <c r="AI700" s="65"/>
      <c r="AJ700" s="65"/>
      <c r="AK700" s="65"/>
      <c r="AL700" s="65"/>
      <c r="AM700" s="65"/>
      <c r="AN700" s="65"/>
      <c r="AO700" s="65"/>
      <c r="AP700" s="65"/>
      <c r="AQ700" s="65"/>
    </row>
    <row r="701" spans="24:43">
      <c r="X701" s="79" t="s">
        <v>11080</v>
      </c>
      <c r="Y701" s="80">
        <v>21850</v>
      </c>
      <c r="Z701" s="81">
        <f t="shared" si="52"/>
        <v>21850</v>
      </c>
      <c r="AA701" s="79" t="s">
        <v>2082</v>
      </c>
      <c r="AB701" s="82">
        <f t="shared" si="53"/>
        <v>21850</v>
      </c>
      <c r="AC701" s="79" t="s">
        <v>2081</v>
      </c>
      <c r="AD701" s="82">
        <f t="shared" si="54"/>
        <v>0</v>
      </c>
      <c r="AE701" s="79" t="s">
        <v>2080</v>
      </c>
      <c r="AF701" s="82">
        <f t="shared" si="55"/>
        <v>0</v>
      </c>
      <c r="AG701" s="79" t="s">
        <v>2079</v>
      </c>
      <c r="AH701" s="81">
        <v>874</v>
      </c>
      <c r="AI701" s="65"/>
      <c r="AJ701" s="65"/>
      <c r="AK701" s="65"/>
      <c r="AL701" s="65"/>
      <c r="AM701" s="65"/>
      <c r="AN701" s="65"/>
      <c r="AO701" s="65"/>
      <c r="AP701" s="65"/>
      <c r="AQ701" s="65"/>
    </row>
    <row r="702" spans="24:43">
      <c r="X702" s="79" t="s">
        <v>11081</v>
      </c>
      <c r="Y702" s="80">
        <v>23625.125</v>
      </c>
      <c r="Z702" s="81">
        <f t="shared" si="52"/>
        <v>23625.125</v>
      </c>
      <c r="AA702" s="79" t="s">
        <v>2082</v>
      </c>
      <c r="AB702" s="82">
        <f t="shared" si="53"/>
        <v>23625</v>
      </c>
      <c r="AC702" s="79" t="s">
        <v>2081</v>
      </c>
      <c r="AD702" s="82">
        <f t="shared" si="54"/>
        <v>1</v>
      </c>
      <c r="AE702" s="79" t="s">
        <v>2080</v>
      </c>
      <c r="AF702" s="82">
        <f t="shared" si="55"/>
        <v>2.5</v>
      </c>
      <c r="AG702" s="79" t="s">
        <v>2079</v>
      </c>
      <c r="AH702" s="81">
        <v>945</v>
      </c>
      <c r="AI702" s="65"/>
      <c r="AJ702" s="65"/>
      <c r="AK702" s="65"/>
      <c r="AL702" s="65"/>
      <c r="AM702" s="65"/>
      <c r="AN702" s="65"/>
      <c r="AO702" s="65"/>
      <c r="AP702" s="65"/>
      <c r="AQ702" s="65"/>
    </row>
    <row r="703" spans="24:43">
      <c r="X703" s="79" t="s">
        <v>11082</v>
      </c>
      <c r="Y703" s="80">
        <v>362.625</v>
      </c>
      <c r="Z703" s="81">
        <f t="shared" si="52"/>
        <v>362.625</v>
      </c>
      <c r="AA703" s="79" t="s">
        <v>2082</v>
      </c>
      <c r="AB703" s="82">
        <f t="shared" si="53"/>
        <v>362</v>
      </c>
      <c r="AC703" s="79" t="s">
        <v>2081</v>
      </c>
      <c r="AD703" s="82">
        <f t="shared" si="54"/>
        <v>6</v>
      </c>
      <c r="AE703" s="79" t="s">
        <v>2080</v>
      </c>
      <c r="AF703" s="82">
        <f t="shared" si="55"/>
        <v>2.5</v>
      </c>
      <c r="AG703" s="79" t="s">
        <v>2079</v>
      </c>
      <c r="AH703" s="81">
        <v>14.5</v>
      </c>
      <c r="AI703" s="65"/>
      <c r="AJ703" s="65"/>
      <c r="AK703" s="65"/>
      <c r="AL703" s="65"/>
      <c r="AM703" s="65"/>
      <c r="AN703" s="65"/>
      <c r="AO703" s="65"/>
      <c r="AP703" s="65"/>
      <c r="AQ703" s="65"/>
    </row>
    <row r="704" spans="24:43">
      <c r="X704" s="79" t="s">
        <v>11083</v>
      </c>
      <c r="Y704" s="80">
        <v>1600</v>
      </c>
      <c r="Z704" s="81">
        <f t="shared" si="52"/>
        <v>1600</v>
      </c>
      <c r="AA704" s="79" t="s">
        <v>2082</v>
      </c>
      <c r="AB704" s="82">
        <f t="shared" si="53"/>
        <v>1600</v>
      </c>
      <c r="AC704" s="79" t="s">
        <v>2081</v>
      </c>
      <c r="AD704" s="82">
        <f t="shared" si="54"/>
        <v>0</v>
      </c>
      <c r="AE704" s="79" t="s">
        <v>2080</v>
      </c>
      <c r="AF704" s="82">
        <f t="shared" si="55"/>
        <v>0</v>
      </c>
      <c r="AG704" s="79" t="s">
        <v>2079</v>
      </c>
      <c r="AH704" s="81">
        <v>64</v>
      </c>
      <c r="AI704" s="65"/>
      <c r="AJ704" s="65"/>
      <c r="AK704" s="65"/>
      <c r="AL704" s="65"/>
      <c r="AM704" s="65"/>
      <c r="AN704" s="65"/>
      <c r="AO704" s="65"/>
      <c r="AP704" s="65"/>
      <c r="AQ704" s="65"/>
    </row>
    <row r="705" spans="24:43">
      <c r="X705" s="79" t="s">
        <v>11084</v>
      </c>
      <c r="Y705" s="80">
        <v>98340</v>
      </c>
      <c r="Z705" s="81">
        <f t="shared" si="52"/>
        <v>98340</v>
      </c>
      <c r="AA705" s="79" t="s">
        <v>2082</v>
      </c>
      <c r="AB705" s="82">
        <f t="shared" si="53"/>
        <v>98340</v>
      </c>
      <c r="AC705" s="79" t="s">
        <v>2081</v>
      </c>
      <c r="AD705" s="82">
        <f t="shared" si="54"/>
        <v>0</v>
      </c>
      <c r="AE705" s="79" t="s">
        <v>2080</v>
      </c>
      <c r="AF705" s="82">
        <f t="shared" si="55"/>
        <v>0</v>
      </c>
      <c r="AG705" s="79" t="s">
        <v>2079</v>
      </c>
      <c r="AH705" s="81">
        <v>3933.6</v>
      </c>
      <c r="AI705" s="65"/>
      <c r="AJ705" s="65"/>
      <c r="AK705" s="65"/>
      <c r="AL705" s="65"/>
      <c r="AM705" s="65"/>
      <c r="AN705" s="65"/>
      <c r="AO705" s="65"/>
      <c r="AP705" s="65"/>
      <c r="AQ705" s="65"/>
    </row>
    <row r="706" spans="24:43">
      <c r="X706" s="79" t="s">
        <v>11085</v>
      </c>
      <c r="Y706" s="80">
        <v>47500</v>
      </c>
      <c r="Z706" s="81">
        <f t="shared" si="52"/>
        <v>47500</v>
      </c>
      <c r="AA706" s="79" t="s">
        <v>2082</v>
      </c>
      <c r="AB706" s="82">
        <f t="shared" si="53"/>
        <v>47500</v>
      </c>
      <c r="AC706" s="79" t="s">
        <v>2081</v>
      </c>
      <c r="AD706" s="82">
        <f t="shared" si="54"/>
        <v>0</v>
      </c>
      <c r="AE706" s="79" t="s">
        <v>2080</v>
      </c>
      <c r="AF706" s="82">
        <f t="shared" si="55"/>
        <v>0</v>
      </c>
      <c r="AG706" s="79" t="s">
        <v>2079</v>
      </c>
      <c r="AH706" s="81">
        <v>1900</v>
      </c>
      <c r="AI706" s="65"/>
      <c r="AJ706" s="65"/>
      <c r="AK706" s="65"/>
      <c r="AL706" s="65"/>
      <c r="AM706" s="65"/>
      <c r="AN706" s="65"/>
      <c r="AO706" s="65"/>
      <c r="AP706" s="65"/>
      <c r="AQ706" s="65"/>
    </row>
    <row r="707" spans="24:43">
      <c r="X707" s="79" t="s">
        <v>11086</v>
      </c>
      <c r="Y707" s="80">
        <v>93220</v>
      </c>
      <c r="Z707" s="81">
        <f t="shared" ref="Z707:Z770" si="56">Y707*$AK$6*$AK$11</f>
        <v>93220</v>
      </c>
      <c r="AA707" s="79" t="s">
        <v>2082</v>
      </c>
      <c r="AB707" s="82">
        <f t="shared" ref="AB707:AB770" si="57">_xlfn.FLOOR.MATH(Z707,1)</f>
        <v>93220</v>
      </c>
      <c r="AC707" s="79" t="s">
        <v>2081</v>
      </c>
      <c r="AD707" s="82">
        <f t="shared" ref="AD707:AD770" si="58">_xlfn.FLOOR.MATH(((Z707-AB707)*10), 1)</f>
        <v>0</v>
      </c>
      <c r="AE707" s="79" t="s">
        <v>2080</v>
      </c>
      <c r="AF707" s="82">
        <f t="shared" ref="AF707:AF770" si="59">((Z707-AB707)*10-AD707)*10</f>
        <v>0</v>
      </c>
      <c r="AG707" s="79" t="s">
        <v>2079</v>
      </c>
      <c r="AH707" s="81">
        <v>3728.8</v>
      </c>
      <c r="AI707" s="65"/>
      <c r="AJ707" s="65"/>
      <c r="AK707" s="65"/>
      <c r="AL707" s="65"/>
      <c r="AM707" s="65"/>
      <c r="AN707" s="65"/>
      <c r="AO707" s="65"/>
      <c r="AP707" s="65"/>
      <c r="AQ707" s="65"/>
    </row>
    <row r="708" spans="24:43">
      <c r="X708" s="79" t="s">
        <v>11087</v>
      </c>
      <c r="Y708" s="80">
        <v>67.5</v>
      </c>
      <c r="Z708" s="81">
        <f t="shared" si="56"/>
        <v>67.5</v>
      </c>
      <c r="AA708" s="79" t="s">
        <v>2082</v>
      </c>
      <c r="AB708" s="82">
        <f t="shared" si="57"/>
        <v>67</v>
      </c>
      <c r="AC708" s="79" t="s">
        <v>2081</v>
      </c>
      <c r="AD708" s="82">
        <f t="shared" si="58"/>
        <v>5</v>
      </c>
      <c r="AE708" s="79" t="s">
        <v>2080</v>
      </c>
      <c r="AF708" s="82">
        <f t="shared" si="59"/>
        <v>0</v>
      </c>
      <c r="AG708" s="79" t="s">
        <v>2079</v>
      </c>
      <c r="AH708" s="81">
        <v>2.7</v>
      </c>
      <c r="AI708" s="65"/>
      <c r="AJ708" s="65"/>
      <c r="AK708" s="65"/>
      <c r="AL708" s="65"/>
      <c r="AM708" s="65"/>
      <c r="AN708" s="65"/>
      <c r="AO708" s="65"/>
      <c r="AP708" s="65"/>
      <c r="AQ708" s="65"/>
    </row>
    <row r="709" spans="24:43">
      <c r="X709" s="79" t="s">
        <v>11088</v>
      </c>
      <c r="Y709" s="80">
        <v>60</v>
      </c>
      <c r="Z709" s="81">
        <f t="shared" si="56"/>
        <v>60</v>
      </c>
      <c r="AA709" s="79" t="s">
        <v>2082</v>
      </c>
      <c r="AB709" s="82">
        <f t="shared" si="57"/>
        <v>60</v>
      </c>
      <c r="AC709" s="79" t="s">
        <v>2081</v>
      </c>
      <c r="AD709" s="82">
        <f t="shared" si="58"/>
        <v>0</v>
      </c>
      <c r="AE709" s="79" t="s">
        <v>2080</v>
      </c>
      <c r="AF709" s="82">
        <f t="shared" si="59"/>
        <v>0</v>
      </c>
      <c r="AG709" s="79" t="s">
        <v>2079</v>
      </c>
      <c r="AH709" s="81">
        <v>2.4</v>
      </c>
      <c r="AI709" s="65"/>
      <c r="AJ709" s="65"/>
      <c r="AK709" s="65"/>
      <c r="AL709" s="65"/>
      <c r="AM709" s="65"/>
      <c r="AN709" s="65"/>
      <c r="AO709" s="65"/>
      <c r="AP709" s="65"/>
      <c r="AQ709" s="65"/>
    </row>
    <row r="710" spans="24:43">
      <c r="X710" s="79" t="s">
        <v>11089</v>
      </c>
      <c r="Y710" s="80">
        <v>70</v>
      </c>
      <c r="Z710" s="81">
        <f t="shared" si="56"/>
        <v>70</v>
      </c>
      <c r="AA710" s="79" t="s">
        <v>2082</v>
      </c>
      <c r="AB710" s="82">
        <f t="shared" si="57"/>
        <v>70</v>
      </c>
      <c r="AC710" s="79" t="s">
        <v>2081</v>
      </c>
      <c r="AD710" s="82">
        <f t="shared" si="58"/>
        <v>0</v>
      </c>
      <c r="AE710" s="79" t="s">
        <v>2080</v>
      </c>
      <c r="AF710" s="82">
        <f t="shared" si="59"/>
        <v>0</v>
      </c>
      <c r="AG710" s="79" t="s">
        <v>2079</v>
      </c>
      <c r="AH710" s="81">
        <v>2.8000000000000003</v>
      </c>
      <c r="AI710" s="65"/>
      <c r="AJ710" s="65"/>
      <c r="AK710" s="65"/>
      <c r="AL710" s="65"/>
      <c r="AM710" s="65"/>
      <c r="AN710" s="65"/>
      <c r="AO710" s="65"/>
      <c r="AP710" s="65"/>
      <c r="AQ710" s="65"/>
    </row>
    <row r="711" spans="24:43">
      <c r="X711" s="79" t="s">
        <v>7051</v>
      </c>
      <c r="Y711" s="80">
        <v>3500</v>
      </c>
      <c r="Z711" s="81">
        <f t="shared" si="56"/>
        <v>3500</v>
      </c>
      <c r="AA711" s="79" t="s">
        <v>2082</v>
      </c>
      <c r="AB711" s="82">
        <f t="shared" si="57"/>
        <v>3500</v>
      </c>
      <c r="AC711" s="79" t="s">
        <v>2081</v>
      </c>
      <c r="AD711" s="82">
        <f t="shared" si="58"/>
        <v>0</v>
      </c>
      <c r="AE711" s="79" t="s">
        <v>2080</v>
      </c>
      <c r="AF711" s="82">
        <f t="shared" si="59"/>
        <v>0</v>
      </c>
      <c r="AG711" s="79" t="s">
        <v>2079</v>
      </c>
      <c r="AH711" s="81">
        <v>140</v>
      </c>
      <c r="AI711" s="65"/>
      <c r="AJ711" s="65"/>
      <c r="AK711" s="65"/>
      <c r="AL711" s="65"/>
      <c r="AM711" s="65"/>
      <c r="AN711" s="65"/>
      <c r="AO711" s="65"/>
      <c r="AP711" s="65"/>
      <c r="AQ711" s="65"/>
    </row>
    <row r="712" spans="24:43">
      <c r="X712" s="79" t="s">
        <v>11090</v>
      </c>
      <c r="Y712" s="80">
        <v>60</v>
      </c>
      <c r="Z712" s="81">
        <f t="shared" si="56"/>
        <v>60</v>
      </c>
      <c r="AA712" s="79" t="s">
        <v>2082</v>
      </c>
      <c r="AB712" s="82">
        <f t="shared" si="57"/>
        <v>60</v>
      </c>
      <c r="AC712" s="79" t="s">
        <v>2081</v>
      </c>
      <c r="AD712" s="82">
        <f t="shared" si="58"/>
        <v>0</v>
      </c>
      <c r="AE712" s="79" t="s">
        <v>2080</v>
      </c>
      <c r="AF712" s="82">
        <f t="shared" si="59"/>
        <v>0</v>
      </c>
      <c r="AG712" s="79" t="s">
        <v>2079</v>
      </c>
      <c r="AH712" s="81">
        <v>2.4</v>
      </c>
      <c r="AI712" s="65"/>
      <c r="AJ712" s="65"/>
      <c r="AK712" s="65"/>
      <c r="AL712" s="65"/>
      <c r="AM712" s="65"/>
      <c r="AN712" s="65"/>
      <c r="AO712" s="65"/>
      <c r="AP712" s="65"/>
      <c r="AQ712" s="65"/>
    </row>
    <row r="713" spans="24:43">
      <c r="X713" s="79" t="s">
        <v>11091</v>
      </c>
      <c r="Y713" s="80">
        <v>19625.125</v>
      </c>
      <c r="Z713" s="81">
        <f t="shared" si="56"/>
        <v>19625.125</v>
      </c>
      <c r="AA713" s="79" t="s">
        <v>2082</v>
      </c>
      <c r="AB713" s="82">
        <f t="shared" si="57"/>
        <v>19625</v>
      </c>
      <c r="AC713" s="79" t="s">
        <v>2081</v>
      </c>
      <c r="AD713" s="82">
        <f t="shared" si="58"/>
        <v>1</v>
      </c>
      <c r="AE713" s="79" t="s">
        <v>2080</v>
      </c>
      <c r="AF713" s="82">
        <f t="shared" si="59"/>
        <v>2.5</v>
      </c>
      <c r="AG713" s="79" t="s">
        <v>2079</v>
      </c>
      <c r="AH713" s="81">
        <v>785</v>
      </c>
      <c r="AI713" s="65"/>
      <c r="AJ713" s="65"/>
      <c r="AK713" s="65"/>
      <c r="AL713" s="65"/>
      <c r="AM713" s="65"/>
      <c r="AN713" s="65"/>
      <c r="AO713" s="65"/>
      <c r="AP713" s="65"/>
      <c r="AQ713" s="65"/>
    </row>
    <row r="714" spans="24:43">
      <c r="X714" s="79" t="s">
        <v>11092</v>
      </c>
      <c r="Y714" s="80">
        <v>91750.25</v>
      </c>
      <c r="Z714" s="81">
        <f t="shared" si="56"/>
        <v>91750.25</v>
      </c>
      <c r="AA714" s="79" t="s">
        <v>2082</v>
      </c>
      <c r="AB714" s="82">
        <f t="shared" si="57"/>
        <v>91750</v>
      </c>
      <c r="AC714" s="79" t="s">
        <v>2081</v>
      </c>
      <c r="AD714" s="82">
        <f t="shared" si="58"/>
        <v>2</v>
      </c>
      <c r="AE714" s="79" t="s">
        <v>2080</v>
      </c>
      <c r="AF714" s="82">
        <f t="shared" si="59"/>
        <v>5</v>
      </c>
      <c r="AG714" s="79" t="s">
        <v>2079</v>
      </c>
      <c r="AH714" s="81">
        <v>3670.01</v>
      </c>
      <c r="AI714" s="65"/>
      <c r="AJ714" s="65"/>
      <c r="AK714" s="65"/>
      <c r="AL714" s="65"/>
      <c r="AM714" s="65"/>
      <c r="AN714" s="65"/>
      <c r="AO714" s="65"/>
      <c r="AP714" s="65"/>
      <c r="AQ714" s="65"/>
    </row>
    <row r="715" spans="24:43">
      <c r="X715" s="79" t="s">
        <v>11093</v>
      </c>
      <c r="Y715" s="80">
        <v>33625.125</v>
      </c>
      <c r="Z715" s="81">
        <f t="shared" si="56"/>
        <v>33625.125</v>
      </c>
      <c r="AA715" s="79" t="s">
        <v>2082</v>
      </c>
      <c r="AB715" s="82">
        <f t="shared" si="57"/>
        <v>33625</v>
      </c>
      <c r="AC715" s="79" t="s">
        <v>2081</v>
      </c>
      <c r="AD715" s="82">
        <f t="shared" si="58"/>
        <v>1</v>
      </c>
      <c r="AE715" s="79" t="s">
        <v>2080</v>
      </c>
      <c r="AF715" s="82">
        <f t="shared" si="59"/>
        <v>2.5</v>
      </c>
      <c r="AG715" s="79" t="s">
        <v>2079</v>
      </c>
      <c r="AH715" s="81">
        <v>1345</v>
      </c>
      <c r="AI715" s="65"/>
      <c r="AJ715" s="65"/>
      <c r="AK715" s="65"/>
      <c r="AL715" s="65"/>
      <c r="AM715" s="65"/>
      <c r="AN715" s="65"/>
      <c r="AO715" s="65"/>
      <c r="AP715" s="65"/>
      <c r="AQ715" s="65"/>
    </row>
    <row r="716" spans="24:43">
      <c r="X716" s="79" t="s">
        <v>11094</v>
      </c>
      <c r="Y716" s="80">
        <v>33625.125</v>
      </c>
      <c r="Z716" s="81">
        <f t="shared" si="56"/>
        <v>33625.125</v>
      </c>
      <c r="AA716" s="79" t="s">
        <v>2082</v>
      </c>
      <c r="AB716" s="82">
        <f t="shared" si="57"/>
        <v>33625</v>
      </c>
      <c r="AC716" s="79" t="s">
        <v>2081</v>
      </c>
      <c r="AD716" s="82">
        <f t="shared" si="58"/>
        <v>1</v>
      </c>
      <c r="AE716" s="79" t="s">
        <v>2080</v>
      </c>
      <c r="AF716" s="82">
        <f t="shared" si="59"/>
        <v>2.5</v>
      </c>
      <c r="AG716" s="79" t="s">
        <v>2079</v>
      </c>
      <c r="AH716" s="81">
        <v>1345</v>
      </c>
      <c r="AI716" s="65"/>
      <c r="AJ716" s="65"/>
      <c r="AK716" s="65"/>
      <c r="AL716" s="65"/>
      <c r="AM716" s="65"/>
      <c r="AN716" s="65"/>
      <c r="AO716" s="65"/>
      <c r="AP716" s="65"/>
      <c r="AQ716" s="65"/>
    </row>
    <row r="717" spans="24:43">
      <c r="X717" s="79" t="s">
        <v>11095</v>
      </c>
      <c r="Y717" s="80">
        <v>86250.25</v>
      </c>
      <c r="Z717" s="81">
        <f t="shared" si="56"/>
        <v>86250.25</v>
      </c>
      <c r="AA717" s="79" t="s">
        <v>2082</v>
      </c>
      <c r="AB717" s="82">
        <f t="shared" si="57"/>
        <v>86250</v>
      </c>
      <c r="AC717" s="79" t="s">
        <v>2081</v>
      </c>
      <c r="AD717" s="82">
        <f t="shared" si="58"/>
        <v>2</v>
      </c>
      <c r="AE717" s="79" t="s">
        <v>2080</v>
      </c>
      <c r="AF717" s="82">
        <f t="shared" si="59"/>
        <v>5</v>
      </c>
      <c r="AG717" s="79" t="s">
        <v>2079</v>
      </c>
      <c r="AH717" s="81">
        <v>3450.01</v>
      </c>
      <c r="AI717" s="65"/>
      <c r="AJ717" s="65"/>
      <c r="AK717" s="65"/>
      <c r="AL717" s="65"/>
      <c r="AM717" s="65"/>
      <c r="AN717" s="65"/>
      <c r="AO717" s="65"/>
      <c r="AP717" s="65"/>
      <c r="AQ717" s="65"/>
    </row>
    <row r="718" spans="24:43">
      <c r="X718" s="79" t="s">
        <v>11096</v>
      </c>
      <c r="Y718" s="80">
        <v>33625.125</v>
      </c>
      <c r="Z718" s="81">
        <f t="shared" si="56"/>
        <v>33625.125</v>
      </c>
      <c r="AA718" s="79" t="s">
        <v>2082</v>
      </c>
      <c r="AB718" s="82">
        <f t="shared" si="57"/>
        <v>33625</v>
      </c>
      <c r="AC718" s="79" t="s">
        <v>2081</v>
      </c>
      <c r="AD718" s="82">
        <f t="shared" si="58"/>
        <v>1</v>
      </c>
      <c r="AE718" s="79" t="s">
        <v>2080</v>
      </c>
      <c r="AF718" s="82">
        <f t="shared" si="59"/>
        <v>2.5</v>
      </c>
      <c r="AG718" s="79" t="s">
        <v>2079</v>
      </c>
      <c r="AH718" s="81">
        <v>1345</v>
      </c>
      <c r="AI718" s="65"/>
      <c r="AJ718" s="65"/>
      <c r="AK718" s="65"/>
      <c r="AL718" s="65"/>
      <c r="AM718" s="65"/>
      <c r="AN718" s="65"/>
      <c r="AO718" s="65"/>
      <c r="AP718" s="65"/>
      <c r="AQ718" s="65"/>
    </row>
    <row r="719" spans="24:43">
      <c r="X719" s="79" t="s">
        <v>11097</v>
      </c>
      <c r="Y719" s="80">
        <v>325.25</v>
      </c>
      <c r="Z719" s="81">
        <f t="shared" si="56"/>
        <v>325.25</v>
      </c>
      <c r="AA719" s="79" t="s">
        <v>2082</v>
      </c>
      <c r="AB719" s="82">
        <f t="shared" si="57"/>
        <v>325</v>
      </c>
      <c r="AC719" s="79" t="s">
        <v>2081</v>
      </c>
      <c r="AD719" s="82">
        <f t="shared" si="58"/>
        <v>2</v>
      </c>
      <c r="AE719" s="79" t="s">
        <v>2080</v>
      </c>
      <c r="AF719" s="82">
        <f t="shared" si="59"/>
        <v>5</v>
      </c>
      <c r="AG719" s="79" t="s">
        <v>2079</v>
      </c>
      <c r="AH719" s="81">
        <v>13.01</v>
      </c>
      <c r="AI719" s="65"/>
      <c r="AJ719" s="65"/>
      <c r="AK719" s="65"/>
      <c r="AL719" s="65"/>
      <c r="AM719" s="65"/>
      <c r="AN719" s="65"/>
      <c r="AO719" s="65"/>
      <c r="AP719" s="65"/>
      <c r="AQ719" s="65"/>
    </row>
    <row r="720" spans="24:43">
      <c r="X720" s="79" t="s">
        <v>11098</v>
      </c>
      <c r="Y720" s="80">
        <v>550</v>
      </c>
      <c r="Z720" s="81">
        <f t="shared" si="56"/>
        <v>550</v>
      </c>
      <c r="AA720" s="79" t="s">
        <v>2082</v>
      </c>
      <c r="AB720" s="82">
        <f t="shared" si="57"/>
        <v>550</v>
      </c>
      <c r="AC720" s="79" t="s">
        <v>2081</v>
      </c>
      <c r="AD720" s="82">
        <f t="shared" si="58"/>
        <v>0</v>
      </c>
      <c r="AE720" s="79" t="s">
        <v>2080</v>
      </c>
      <c r="AF720" s="82">
        <f t="shared" si="59"/>
        <v>0</v>
      </c>
      <c r="AG720" s="79" t="s">
        <v>2079</v>
      </c>
      <c r="AH720" s="81">
        <v>22</v>
      </c>
      <c r="AI720" s="65"/>
      <c r="AJ720" s="65"/>
      <c r="AK720" s="65"/>
      <c r="AL720" s="65"/>
      <c r="AM720" s="65"/>
      <c r="AN720" s="65"/>
      <c r="AO720" s="65"/>
      <c r="AP720" s="65"/>
      <c r="AQ720" s="65"/>
    </row>
    <row r="721" spans="24:43">
      <c r="X721" s="79" t="s">
        <v>11099</v>
      </c>
      <c r="Y721" s="80">
        <v>5437.625</v>
      </c>
      <c r="Z721" s="81">
        <f t="shared" si="56"/>
        <v>5437.625</v>
      </c>
      <c r="AA721" s="79" t="s">
        <v>2082</v>
      </c>
      <c r="AB721" s="82">
        <f t="shared" si="57"/>
        <v>5437</v>
      </c>
      <c r="AC721" s="79" t="s">
        <v>2081</v>
      </c>
      <c r="AD721" s="82">
        <f t="shared" si="58"/>
        <v>6</v>
      </c>
      <c r="AE721" s="79" t="s">
        <v>2080</v>
      </c>
      <c r="AF721" s="82">
        <f t="shared" si="59"/>
        <v>2.5</v>
      </c>
      <c r="AG721" s="79" t="s">
        <v>2079</v>
      </c>
      <c r="AH721" s="81">
        <v>217.5</v>
      </c>
      <c r="AI721" s="65"/>
      <c r="AJ721" s="65"/>
      <c r="AK721" s="65"/>
      <c r="AL721" s="65"/>
      <c r="AM721" s="65"/>
      <c r="AN721" s="65"/>
      <c r="AO721" s="65"/>
      <c r="AP721" s="65"/>
      <c r="AQ721" s="65"/>
    </row>
    <row r="722" spans="24:43">
      <c r="X722" s="79" t="s">
        <v>11100</v>
      </c>
      <c r="Y722" s="80">
        <v>42.5</v>
      </c>
      <c r="Z722" s="81">
        <f t="shared" si="56"/>
        <v>42.5</v>
      </c>
      <c r="AA722" s="79" t="s">
        <v>2082</v>
      </c>
      <c r="AB722" s="82">
        <f t="shared" si="57"/>
        <v>42</v>
      </c>
      <c r="AC722" s="79" t="s">
        <v>2081</v>
      </c>
      <c r="AD722" s="82">
        <f t="shared" si="58"/>
        <v>5</v>
      </c>
      <c r="AE722" s="79" t="s">
        <v>2080</v>
      </c>
      <c r="AF722" s="82">
        <f t="shared" si="59"/>
        <v>0</v>
      </c>
      <c r="AG722" s="79" t="s">
        <v>2079</v>
      </c>
      <c r="AH722" s="81">
        <v>1.7</v>
      </c>
      <c r="AI722" s="65"/>
      <c r="AJ722" s="65"/>
      <c r="AK722" s="65"/>
      <c r="AL722" s="65"/>
      <c r="AM722" s="65"/>
      <c r="AN722" s="65"/>
      <c r="AO722" s="65"/>
      <c r="AP722" s="65"/>
      <c r="AQ722" s="65"/>
    </row>
    <row r="723" spans="24:43">
      <c r="X723" s="79" t="s">
        <v>7328</v>
      </c>
      <c r="Y723" s="80">
        <v>2650</v>
      </c>
      <c r="Z723" s="81">
        <f t="shared" si="56"/>
        <v>2650</v>
      </c>
      <c r="AA723" s="79" t="s">
        <v>2082</v>
      </c>
      <c r="AB723" s="82">
        <f t="shared" si="57"/>
        <v>2650</v>
      </c>
      <c r="AC723" s="79" t="s">
        <v>2081</v>
      </c>
      <c r="AD723" s="82">
        <f t="shared" si="58"/>
        <v>0</v>
      </c>
      <c r="AE723" s="79" t="s">
        <v>2080</v>
      </c>
      <c r="AF723" s="82">
        <f t="shared" si="59"/>
        <v>0</v>
      </c>
      <c r="AG723" s="79" t="s">
        <v>2079</v>
      </c>
      <c r="AH723" s="81">
        <v>106</v>
      </c>
      <c r="AI723" s="65"/>
      <c r="AJ723" s="65"/>
      <c r="AK723" s="65"/>
      <c r="AL723" s="65"/>
      <c r="AM723" s="65"/>
      <c r="AN723" s="65"/>
      <c r="AO723" s="65"/>
      <c r="AP723" s="65"/>
      <c r="AQ723" s="65"/>
    </row>
    <row r="724" spans="24:43">
      <c r="X724" s="79" t="s">
        <v>11101</v>
      </c>
      <c r="Y724" s="80">
        <v>3937.625</v>
      </c>
      <c r="Z724" s="81">
        <f t="shared" si="56"/>
        <v>3937.625</v>
      </c>
      <c r="AA724" s="79" t="s">
        <v>2082</v>
      </c>
      <c r="AB724" s="82">
        <f t="shared" si="57"/>
        <v>3937</v>
      </c>
      <c r="AC724" s="79" t="s">
        <v>2081</v>
      </c>
      <c r="AD724" s="82">
        <f t="shared" si="58"/>
        <v>6</v>
      </c>
      <c r="AE724" s="79" t="s">
        <v>2080</v>
      </c>
      <c r="AF724" s="82">
        <f t="shared" si="59"/>
        <v>2.5</v>
      </c>
      <c r="AG724" s="79" t="s">
        <v>2079</v>
      </c>
      <c r="AH724" s="81">
        <v>157.5</v>
      </c>
      <c r="AI724" s="65"/>
      <c r="AJ724" s="65"/>
      <c r="AK724" s="65"/>
      <c r="AL724" s="65"/>
      <c r="AM724" s="65"/>
      <c r="AN724" s="65"/>
      <c r="AO724" s="65"/>
      <c r="AP724" s="65"/>
      <c r="AQ724" s="65"/>
    </row>
    <row r="725" spans="24:43">
      <c r="X725" s="79" t="s">
        <v>11102</v>
      </c>
      <c r="Y725" s="80">
        <v>112500.5</v>
      </c>
      <c r="Z725" s="81">
        <f t="shared" si="56"/>
        <v>112500.5</v>
      </c>
      <c r="AA725" s="79" t="s">
        <v>2082</v>
      </c>
      <c r="AB725" s="82">
        <f t="shared" si="57"/>
        <v>112500</v>
      </c>
      <c r="AC725" s="79" t="s">
        <v>2081</v>
      </c>
      <c r="AD725" s="82">
        <f t="shared" si="58"/>
        <v>5</v>
      </c>
      <c r="AE725" s="79" t="s">
        <v>2080</v>
      </c>
      <c r="AF725" s="82">
        <f t="shared" si="59"/>
        <v>0</v>
      </c>
      <c r="AG725" s="79" t="s">
        <v>2079</v>
      </c>
      <c r="AH725" s="81">
        <v>4500.0200000000004</v>
      </c>
      <c r="AI725" s="65"/>
      <c r="AJ725" s="65"/>
      <c r="AK725" s="65"/>
      <c r="AL725" s="65"/>
      <c r="AM725" s="65"/>
      <c r="AN725" s="65"/>
      <c r="AO725" s="65"/>
      <c r="AP725" s="65"/>
      <c r="AQ725" s="65"/>
    </row>
    <row r="726" spans="24:43">
      <c r="X726" s="79" t="s">
        <v>11103</v>
      </c>
      <c r="Y726" s="80">
        <v>55</v>
      </c>
      <c r="Z726" s="81">
        <f t="shared" si="56"/>
        <v>55</v>
      </c>
      <c r="AA726" s="79" t="s">
        <v>2082</v>
      </c>
      <c r="AB726" s="82">
        <f t="shared" si="57"/>
        <v>55</v>
      </c>
      <c r="AC726" s="79" t="s">
        <v>2081</v>
      </c>
      <c r="AD726" s="82">
        <f t="shared" si="58"/>
        <v>0</v>
      </c>
      <c r="AE726" s="79" t="s">
        <v>2080</v>
      </c>
      <c r="AF726" s="82">
        <f t="shared" si="59"/>
        <v>0</v>
      </c>
      <c r="AG726" s="79" t="s">
        <v>2079</v>
      </c>
      <c r="AH726" s="81">
        <v>2.2000000000000002</v>
      </c>
      <c r="AI726" s="65"/>
      <c r="AJ726" s="65"/>
      <c r="AK726" s="65"/>
      <c r="AL726" s="65"/>
      <c r="AM726" s="65"/>
      <c r="AN726" s="65"/>
      <c r="AO726" s="65"/>
      <c r="AP726" s="65"/>
      <c r="AQ726" s="65"/>
    </row>
    <row r="727" spans="24:43">
      <c r="X727" s="79" t="s">
        <v>11104</v>
      </c>
      <c r="Y727" s="80">
        <v>6875.25</v>
      </c>
      <c r="Z727" s="81">
        <f t="shared" si="56"/>
        <v>6875.25</v>
      </c>
      <c r="AA727" s="79" t="s">
        <v>2082</v>
      </c>
      <c r="AB727" s="82">
        <f t="shared" si="57"/>
        <v>6875</v>
      </c>
      <c r="AC727" s="79" t="s">
        <v>2081</v>
      </c>
      <c r="AD727" s="82">
        <f t="shared" si="58"/>
        <v>2</v>
      </c>
      <c r="AE727" s="79" t="s">
        <v>2080</v>
      </c>
      <c r="AF727" s="82">
        <f t="shared" si="59"/>
        <v>5</v>
      </c>
      <c r="AG727" s="79" t="s">
        <v>2079</v>
      </c>
      <c r="AH727" s="81">
        <v>275.01</v>
      </c>
      <c r="AI727" s="65"/>
      <c r="AJ727" s="65"/>
      <c r="AK727" s="65"/>
      <c r="AL727" s="65"/>
      <c r="AM727" s="65"/>
      <c r="AN727" s="65"/>
      <c r="AO727" s="65"/>
      <c r="AP727" s="65"/>
      <c r="AQ727" s="65"/>
    </row>
    <row r="728" spans="24:43">
      <c r="X728" s="79" t="s">
        <v>11105</v>
      </c>
      <c r="Y728" s="80">
        <v>2175</v>
      </c>
      <c r="Z728" s="81">
        <f t="shared" si="56"/>
        <v>2175</v>
      </c>
      <c r="AA728" s="79" t="s">
        <v>2082</v>
      </c>
      <c r="AB728" s="82">
        <f t="shared" si="57"/>
        <v>2175</v>
      </c>
      <c r="AC728" s="79" t="s">
        <v>2081</v>
      </c>
      <c r="AD728" s="82">
        <f t="shared" si="58"/>
        <v>0</v>
      </c>
      <c r="AE728" s="79" t="s">
        <v>2080</v>
      </c>
      <c r="AF728" s="82">
        <f t="shared" si="59"/>
        <v>0</v>
      </c>
      <c r="AG728" s="79" t="s">
        <v>2079</v>
      </c>
      <c r="AH728" s="81">
        <v>87</v>
      </c>
      <c r="AI728" s="65"/>
      <c r="AJ728" s="65"/>
      <c r="AK728" s="65"/>
      <c r="AL728" s="65"/>
      <c r="AM728" s="65"/>
      <c r="AN728" s="65"/>
      <c r="AO728" s="65"/>
      <c r="AP728" s="65"/>
      <c r="AQ728" s="65"/>
    </row>
    <row r="729" spans="24:43">
      <c r="X729" s="79" t="s">
        <v>7300</v>
      </c>
      <c r="Y729" s="80">
        <v>49500</v>
      </c>
      <c r="Z729" s="81">
        <f t="shared" si="56"/>
        <v>49500</v>
      </c>
      <c r="AA729" s="79" t="s">
        <v>2082</v>
      </c>
      <c r="AB729" s="82">
        <f t="shared" si="57"/>
        <v>49500</v>
      </c>
      <c r="AC729" s="79" t="s">
        <v>2081</v>
      </c>
      <c r="AD729" s="82">
        <f t="shared" si="58"/>
        <v>0</v>
      </c>
      <c r="AE729" s="79" t="s">
        <v>2080</v>
      </c>
      <c r="AF729" s="82">
        <f t="shared" si="59"/>
        <v>0</v>
      </c>
      <c r="AG729" s="79" t="s">
        <v>2079</v>
      </c>
      <c r="AH729" s="81">
        <v>1980</v>
      </c>
      <c r="AI729" s="65"/>
      <c r="AJ729" s="65"/>
      <c r="AK729" s="65"/>
      <c r="AL729" s="65"/>
      <c r="AM729" s="65"/>
      <c r="AN729" s="65"/>
      <c r="AO729" s="65"/>
      <c r="AP729" s="65"/>
      <c r="AQ729" s="65"/>
    </row>
    <row r="730" spans="24:43">
      <c r="X730" s="79" t="s">
        <v>11106</v>
      </c>
      <c r="Y730" s="80">
        <v>60</v>
      </c>
      <c r="Z730" s="81">
        <f t="shared" si="56"/>
        <v>60</v>
      </c>
      <c r="AA730" s="79" t="s">
        <v>2082</v>
      </c>
      <c r="AB730" s="82">
        <f t="shared" si="57"/>
        <v>60</v>
      </c>
      <c r="AC730" s="79" t="s">
        <v>2081</v>
      </c>
      <c r="AD730" s="82">
        <f t="shared" si="58"/>
        <v>0</v>
      </c>
      <c r="AE730" s="79" t="s">
        <v>2080</v>
      </c>
      <c r="AF730" s="82">
        <f t="shared" si="59"/>
        <v>0</v>
      </c>
      <c r="AG730" s="79" t="s">
        <v>2079</v>
      </c>
      <c r="AH730" s="81">
        <v>2.4</v>
      </c>
      <c r="AI730" s="65"/>
      <c r="AJ730" s="65"/>
      <c r="AK730" s="65"/>
      <c r="AL730" s="65"/>
      <c r="AM730" s="65"/>
      <c r="AN730" s="65"/>
      <c r="AO730" s="65"/>
      <c r="AP730" s="65"/>
      <c r="AQ730" s="65"/>
    </row>
    <row r="731" spans="24:43">
      <c r="X731" s="79" t="s">
        <v>11107</v>
      </c>
      <c r="Y731" s="80">
        <v>80</v>
      </c>
      <c r="Z731" s="81">
        <f t="shared" si="56"/>
        <v>80</v>
      </c>
      <c r="AA731" s="79" t="s">
        <v>2082</v>
      </c>
      <c r="AB731" s="82">
        <f t="shared" si="57"/>
        <v>80</v>
      </c>
      <c r="AC731" s="79" t="s">
        <v>2081</v>
      </c>
      <c r="AD731" s="82">
        <f t="shared" si="58"/>
        <v>0</v>
      </c>
      <c r="AE731" s="79" t="s">
        <v>2080</v>
      </c>
      <c r="AF731" s="82">
        <f t="shared" si="59"/>
        <v>0</v>
      </c>
      <c r="AG731" s="79" t="s">
        <v>2079</v>
      </c>
      <c r="AH731" s="81">
        <v>3.2</v>
      </c>
      <c r="AI731" s="65"/>
      <c r="AJ731" s="65"/>
      <c r="AK731" s="65"/>
      <c r="AL731" s="65"/>
      <c r="AM731" s="65"/>
      <c r="AN731" s="65"/>
      <c r="AO731" s="65"/>
      <c r="AP731" s="65"/>
      <c r="AQ731" s="65"/>
    </row>
    <row r="732" spans="24:43">
      <c r="X732" s="79" t="s">
        <v>11108</v>
      </c>
      <c r="Y732" s="80">
        <v>20875.125</v>
      </c>
      <c r="Z732" s="81">
        <f t="shared" si="56"/>
        <v>20875.125</v>
      </c>
      <c r="AA732" s="79" t="s">
        <v>2082</v>
      </c>
      <c r="AB732" s="82">
        <f t="shared" si="57"/>
        <v>20875</v>
      </c>
      <c r="AC732" s="79" t="s">
        <v>2081</v>
      </c>
      <c r="AD732" s="82">
        <f t="shared" si="58"/>
        <v>1</v>
      </c>
      <c r="AE732" s="79" t="s">
        <v>2080</v>
      </c>
      <c r="AF732" s="82">
        <f t="shared" si="59"/>
        <v>2.5</v>
      </c>
      <c r="AG732" s="79" t="s">
        <v>2079</v>
      </c>
      <c r="AH732" s="81">
        <v>835</v>
      </c>
      <c r="AI732" s="65"/>
      <c r="AJ732" s="65"/>
      <c r="AK732" s="65"/>
      <c r="AL732" s="65"/>
      <c r="AM732" s="65"/>
      <c r="AN732" s="65"/>
      <c r="AO732" s="65"/>
      <c r="AP732" s="65"/>
      <c r="AQ732" s="65"/>
    </row>
    <row r="733" spans="24:43">
      <c r="X733" s="79" t="s">
        <v>11109</v>
      </c>
      <c r="Y733" s="80">
        <v>45</v>
      </c>
      <c r="Z733" s="81">
        <f t="shared" si="56"/>
        <v>45</v>
      </c>
      <c r="AA733" s="79" t="s">
        <v>2082</v>
      </c>
      <c r="AB733" s="82">
        <f t="shared" si="57"/>
        <v>45</v>
      </c>
      <c r="AC733" s="79" t="s">
        <v>2081</v>
      </c>
      <c r="AD733" s="82">
        <f t="shared" si="58"/>
        <v>0</v>
      </c>
      <c r="AE733" s="79" t="s">
        <v>2080</v>
      </c>
      <c r="AF733" s="82">
        <f t="shared" si="59"/>
        <v>0</v>
      </c>
      <c r="AG733" s="79" t="s">
        <v>2079</v>
      </c>
      <c r="AH733" s="81">
        <v>1.8</v>
      </c>
      <c r="AI733" s="65"/>
      <c r="AJ733" s="65"/>
      <c r="AK733" s="65"/>
      <c r="AL733" s="65"/>
      <c r="AM733" s="65"/>
      <c r="AN733" s="65"/>
      <c r="AO733" s="65"/>
      <c r="AP733" s="65"/>
      <c r="AQ733" s="65"/>
    </row>
    <row r="734" spans="24:43">
      <c r="X734" s="79" t="s">
        <v>11110</v>
      </c>
      <c r="Y734" s="80">
        <v>6250</v>
      </c>
      <c r="Z734" s="81">
        <f t="shared" si="56"/>
        <v>6250</v>
      </c>
      <c r="AA734" s="79" t="s">
        <v>2082</v>
      </c>
      <c r="AB734" s="82">
        <f t="shared" si="57"/>
        <v>6250</v>
      </c>
      <c r="AC734" s="79" t="s">
        <v>2081</v>
      </c>
      <c r="AD734" s="82">
        <f t="shared" si="58"/>
        <v>0</v>
      </c>
      <c r="AE734" s="79" t="s">
        <v>2080</v>
      </c>
      <c r="AF734" s="82">
        <f t="shared" si="59"/>
        <v>0</v>
      </c>
      <c r="AG734" s="79" t="s">
        <v>2079</v>
      </c>
      <c r="AH734" s="81">
        <v>250</v>
      </c>
      <c r="AI734" s="65"/>
      <c r="AJ734" s="65"/>
      <c r="AK734" s="65"/>
      <c r="AL734" s="65"/>
      <c r="AM734" s="65"/>
      <c r="AN734" s="65"/>
      <c r="AO734" s="65"/>
      <c r="AP734" s="65"/>
      <c r="AQ734" s="65"/>
    </row>
    <row r="735" spans="24:43">
      <c r="X735" s="79" t="s">
        <v>11111</v>
      </c>
      <c r="Y735" s="80">
        <v>75</v>
      </c>
      <c r="Z735" s="81">
        <f t="shared" si="56"/>
        <v>75</v>
      </c>
      <c r="AA735" s="79" t="s">
        <v>2082</v>
      </c>
      <c r="AB735" s="82">
        <f t="shared" si="57"/>
        <v>75</v>
      </c>
      <c r="AC735" s="79" t="s">
        <v>2081</v>
      </c>
      <c r="AD735" s="82">
        <f t="shared" si="58"/>
        <v>0</v>
      </c>
      <c r="AE735" s="79" t="s">
        <v>2080</v>
      </c>
      <c r="AF735" s="82">
        <f t="shared" si="59"/>
        <v>0</v>
      </c>
      <c r="AG735" s="79" t="s">
        <v>2079</v>
      </c>
      <c r="AH735" s="81">
        <v>3</v>
      </c>
      <c r="AI735" s="65"/>
      <c r="AJ735" s="65"/>
      <c r="AK735" s="65"/>
      <c r="AL735" s="65"/>
      <c r="AM735" s="65"/>
      <c r="AN735" s="65"/>
      <c r="AO735" s="65"/>
      <c r="AP735" s="65"/>
      <c r="AQ735" s="65"/>
    </row>
    <row r="736" spans="24:43">
      <c r="X736" s="79" t="s">
        <v>11112</v>
      </c>
      <c r="Y736" s="80">
        <v>3875</v>
      </c>
      <c r="Z736" s="81">
        <f t="shared" si="56"/>
        <v>3875</v>
      </c>
      <c r="AA736" s="79" t="s">
        <v>2082</v>
      </c>
      <c r="AB736" s="82">
        <f t="shared" si="57"/>
        <v>3875</v>
      </c>
      <c r="AC736" s="79" t="s">
        <v>2081</v>
      </c>
      <c r="AD736" s="82">
        <f t="shared" si="58"/>
        <v>0</v>
      </c>
      <c r="AE736" s="79" t="s">
        <v>2080</v>
      </c>
      <c r="AF736" s="82">
        <f t="shared" si="59"/>
        <v>0</v>
      </c>
      <c r="AG736" s="79" t="s">
        <v>2079</v>
      </c>
      <c r="AH736" s="81">
        <v>155</v>
      </c>
      <c r="AI736" s="65"/>
      <c r="AJ736" s="65"/>
      <c r="AK736" s="65"/>
      <c r="AL736" s="65"/>
      <c r="AM736" s="65"/>
      <c r="AN736" s="65"/>
      <c r="AO736" s="65"/>
      <c r="AP736" s="65"/>
      <c r="AQ736" s="65"/>
    </row>
    <row r="737" spans="24:43">
      <c r="X737" s="79" t="s">
        <v>11113</v>
      </c>
      <c r="Y737" s="80">
        <v>312.625</v>
      </c>
      <c r="Z737" s="81">
        <f t="shared" si="56"/>
        <v>312.625</v>
      </c>
      <c r="AA737" s="79" t="s">
        <v>2082</v>
      </c>
      <c r="AB737" s="82">
        <f t="shared" si="57"/>
        <v>312</v>
      </c>
      <c r="AC737" s="79" t="s">
        <v>2081</v>
      </c>
      <c r="AD737" s="82">
        <f t="shared" si="58"/>
        <v>6</v>
      </c>
      <c r="AE737" s="79" t="s">
        <v>2080</v>
      </c>
      <c r="AF737" s="82">
        <f t="shared" si="59"/>
        <v>2.5</v>
      </c>
      <c r="AG737" s="79" t="s">
        <v>2079</v>
      </c>
      <c r="AH737" s="81">
        <v>12.5</v>
      </c>
      <c r="AI737" s="65"/>
      <c r="AJ737" s="65"/>
      <c r="AK737" s="65"/>
      <c r="AL737" s="65"/>
      <c r="AM737" s="65"/>
      <c r="AN737" s="65"/>
      <c r="AO737" s="65"/>
      <c r="AP737" s="65"/>
      <c r="AQ737" s="65"/>
    </row>
    <row r="738" spans="24:43">
      <c r="X738" s="79" t="s">
        <v>11114</v>
      </c>
      <c r="Y738" s="80">
        <v>6625</v>
      </c>
      <c r="Z738" s="81">
        <f t="shared" si="56"/>
        <v>6625</v>
      </c>
      <c r="AA738" s="79" t="s">
        <v>2082</v>
      </c>
      <c r="AB738" s="82">
        <f t="shared" si="57"/>
        <v>6625</v>
      </c>
      <c r="AC738" s="79" t="s">
        <v>2081</v>
      </c>
      <c r="AD738" s="82">
        <f t="shared" si="58"/>
        <v>0</v>
      </c>
      <c r="AE738" s="79" t="s">
        <v>2080</v>
      </c>
      <c r="AF738" s="82">
        <f t="shared" si="59"/>
        <v>0</v>
      </c>
      <c r="AG738" s="79" t="s">
        <v>2079</v>
      </c>
      <c r="AH738" s="81">
        <v>265</v>
      </c>
      <c r="AI738" s="65"/>
      <c r="AJ738" s="65"/>
      <c r="AK738" s="65"/>
      <c r="AL738" s="65"/>
      <c r="AM738" s="65"/>
      <c r="AN738" s="65"/>
      <c r="AO738" s="65"/>
      <c r="AP738" s="65"/>
      <c r="AQ738" s="65"/>
    </row>
    <row r="739" spans="24:43">
      <c r="X739" s="79" t="s">
        <v>11115</v>
      </c>
      <c r="Y739" s="80">
        <v>18400</v>
      </c>
      <c r="Z739" s="81">
        <f t="shared" si="56"/>
        <v>18400</v>
      </c>
      <c r="AA739" s="79" t="s">
        <v>2082</v>
      </c>
      <c r="AB739" s="82">
        <f t="shared" si="57"/>
        <v>18400</v>
      </c>
      <c r="AC739" s="79" t="s">
        <v>2081</v>
      </c>
      <c r="AD739" s="82">
        <f t="shared" si="58"/>
        <v>0</v>
      </c>
      <c r="AE739" s="79" t="s">
        <v>2080</v>
      </c>
      <c r="AF739" s="82">
        <f t="shared" si="59"/>
        <v>0</v>
      </c>
      <c r="AG739" s="79" t="s">
        <v>2079</v>
      </c>
      <c r="AH739" s="81">
        <v>736</v>
      </c>
      <c r="AI739" s="65"/>
      <c r="AJ739" s="65"/>
      <c r="AK739" s="65"/>
      <c r="AL739" s="65"/>
      <c r="AM739" s="65"/>
      <c r="AN739" s="65"/>
      <c r="AO739" s="65"/>
      <c r="AP739" s="65"/>
      <c r="AQ739" s="65"/>
    </row>
    <row r="740" spans="24:43">
      <c r="X740" s="79" t="s">
        <v>11116</v>
      </c>
      <c r="Y740" s="80">
        <v>18400</v>
      </c>
      <c r="Z740" s="81">
        <f t="shared" si="56"/>
        <v>18400</v>
      </c>
      <c r="AA740" s="79" t="s">
        <v>2082</v>
      </c>
      <c r="AB740" s="82">
        <f t="shared" si="57"/>
        <v>18400</v>
      </c>
      <c r="AC740" s="79" t="s">
        <v>2081</v>
      </c>
      <c r="AD740" s="82">
        <f t="shared" si="58"/>
        <v>0</v>
      </c>
      <c r="AE740" s="79" t="s">
        <v>2080</v>
      </c>
      <c r="AF740" s="82">
        <f t="shared" si="59"/>
        <v>0</v>
      </c>
      <c r="AG740" s="79" t="s">
        <v>2079</v>
      </c>
      <c r="AH740" s="81">
        <v>736</v>
      </c>
      <c r="AI740" s="65"/>
      <c r="AJ740" s="65"/>
      <c r="AK740" s="65"/>
      <c r="AL740" s="65"/>
      <c r="AM740" s="65"/>
      <c r="AN740" s="65"/>
      <c r="AO740" s="65"/>
      <c r="AP740" s="65"/>
      <c r="AQ740" s="65"/>
    </row>
    <row r="741" spans="24:43">
      <c r="X741" s="79" t="s">
        <v>11117</v>
      </c>
      <c r="Y741" s="80">
        <v>825</v>
      </c>
      <c r="Z741" s="81">
        <f t="shared" si="56"/>
        <v>825</v>
      </c>
      <c r="AA741" s="79" t="s">
        <v>2082</v>
      </c>
      <c r="AB741" s="82">
        <f t="shared" si="57"/>
        <v>825</v>
      </c>
      <c r="AC741" s="79" t="s">
        <v>2081</v>
      </c>
      <c r="AD741" s="82">
        <f t="shared" si="58"/>
        <v>0</v>
      </c>
      <c r="AE741" s="79" t="s">
        <v>2080</v>
      </c>
      <c r="AF741" s="82">
        <f t="shared" si="59"/>
        <v>0</v>
      </c>
      <c r="AG741" s="79" t="s">
        <v>2079</v>
      </c>
      <c r="AH741" s="81">
        <v>33</v>
      </c>
      <c r="AI741" s="65"/>
      <c r="AJ741" s="65"/>
      <c r="AK741" s="65"/>
      <c r="AL741" s="65"/>
      <c r="AM741" s="65"/>
      <c r="AN741" s="65"/>
      <c r="AO741" s="65"/>
      <c r="AP741" s="65"/>
      <c r="AQ741" s="65"/>
    </row>
    <row r="742" spans="24:43">
      <c r="X742" s="79" t="s">
        <v>11118</v>
      </c>
      <c r="Y742" s="80">
        <v>4150</v>
      </c>
      <c r="Z742" s="81">
        <f t="shared" si="56"/>
        <v>4150</v>
      </c>
      <c r="AA742" s="79" t="s">
        <v>2082</v>
      </c>
      <c r="AB742" s="82">
        <f t="shared" si="57"/>
        <v>4150</v>
      </c>
      <c r="AC742" s="79" t="s">
        <v>2081</v>
      </c>
      <c r="AD742" s="82">
        <f t="shared" si="58"/>
        <v>0</v>
      </c>
      <c r="AE742" s="79" t="s">
        <v>2080</v>
      </c>
      <c r="AF742" s="82">
        <f t="shared" si="59"/>
        <v>0</v>
      </c>
      <c r="AG742" s="79" t="s">
        <v>2079</v>
      </c>
      <c r="AH742" s="81">
        <v>166</v>
      </c>
      <c r="AI742" s="65"/>
      <c r="AJ742" s="65"/>
      <c r="AK742" s="65"/>
      <c r="AL742" s="65"/>
      <c r="AM742" s="65"/>
      <c r="AN742" s="65"/>
      <c r="AO742" s="65"/>
      <c r="AP742" s="65"/>
      <c r="AQ742" s="65"/>
    </row>
    <row r="743" spans="24:43">
      <c r="X743" s="79" t="s">
        <v>11119</v>
      </c>
      <c r="Y743" s="80">
        <v>10125</v>
      </c>
      <c r="Z743" s="81">
        <f t="shared" si="56"/>
        <v>10125</v>
      </c>
      <c r="AA743" s="79" t="s">
        <v>2082</v>
      </c>
      <c r="AB743" s="82">
        <f t="shared" si="57"/>
        <v>10125</v>
      </c>
      <c r="AC743" s="79" t="s">
        <v>2081</v>
      </c>
      <c r="AD743" s="82">
        <f t="shared" si="58"/>
        <v>0</v>
      </c>
      <c r="AE743" s="79" t="s">
        <v>2080</v>
      </c>
      <c r="AF743" s="82">
        <f t="shared" si="59"/>
        <v>0</v>
      </c>
      <c r="AG743" s="79" t="s">
        <v>2079</v>
      </c>
      <c r="AH743" s="81">
        <v>405</v>
      </c>
      <c r="AI743" s="65"/>
      <c r="AJ743" s="65"/>
      <c r="AK743" s="65"/>
      <c r="AL743" s="65"/>
      <c r="AM743" s="65"/>
      <c r="AN743" s="65"/>
      <c r="AO743" s="65"/>
      <c r="AP743" s="65"/>
      <c r="AQ743" s="65"/>
    </row>
    <row r="744" spans="24:43">
      <c r="X744" s="79" t="s">
        <v>11120</v>
      </c>
      <c r="Y744" s="80">
        <v>26500</v>
      </c>
      <c r="Z744" s="81">
        <f t="shared" si="56"/>
        <v>26500</v>
      </c>
      <c r="AA744" s="79" t="s">
        <v>2082</v>
      </c>
      <c r="AB744" s="82">
        <f t="shared" si="57"/>
        <v>26500</v>
      </c>
      <c r="AC744" s="79" t="s">
        <v>2081</v>
      </c>
      <c r="AD744" s="82">
        <f t="shared" si="58"/>
        <v>0</v>
      </c>
      <c r="AE744" s="79" t="s">
        <v>2080</v>
      </c>
      <c r="AF744" s="82">
        <f t="shared" si="59"/>
        <v>0</v>
      </c>
      <c r="AG744" s="79" t="s">
        <v>2079</v>
      </c>
      <c r="AH744" s="81">
        <v>1060</v>
      </c>
      <c r="AI744" s="65"/>
      <c r="AJ744" s="65"/>
      <c r="AK744" s="65"/>
      <c r="AL744" s="65"/>
      <c r="AM744" s="65"/>
      <c r="AN744" s="65"/>
      <c r="AO744" s="65"/>
      <c r="AP744" s="65"/>
      <c r="AQ744" s="65"/>
    </row>
    <row r="745" spans="24:43">
      <c r="X745" s="79" t="s">
        <v>11121</v>
      </c>
      <c r="Y745" s="80">
        <v>62.5</v>
      </c>
      <c r="Z745" s="81">
        <f t="shared" si="56"/>
        <v>62.5</v>
      </c>
      <c r="AA745" s="79" t="s">
        <v>2082</v>
      </c>
      <c r="AB745" s="82">
        <f t="shared" si="57"/>
        <v>62</v>
      </c>
      <c r="AC745" s="79" t="s">
        <v>2081</v>
      </c>
      <c r="AD745" s="82">
        <f t="shared" si="58"/>
        <v>5</v>
      </c>
      <c r="AE745" s="79" t="s">
        <v>2080</v>
      </c>
      <c r="AF745" s="82">
        <f t="shared" si="59"/>
        <v>0</v>
      </c>
      <c r="AG745" s="79" t="s">
        <v>2079</v>
      </c>
      <c r="AH745" s="81">
        <v>2.5</v>
      </c>
      <c r="AI745" s="65"/>
      <c r="AJ745" s="65"/>
      <c r="AK745" s="65"/>
      <c r="AL745" s="65"/>
      <c r="AM745" s="65"/>
      <c r="AN745" s="65"/>
      <c r="AO745" s="65"/>
      <c r="AP745" s="65"/>
      <c r="AQ745" s="65"/>
    </row>
    <row r="746" spans="24:43">
      <c r="X746" s="79" t="s">
        <v>11122</v>
      </c>
      <c r="Y746" s="80">
        <v>60</v>
      </c>
      <c r="Z746" s="81">
        <f t="shared" si="56"/>
        <v>60</v>
      </c>
      <c r="AA746" s="79" t="s">
        <v>2082</v>
      </c>
      <c r="AB746" s="82">
        <f t="shared" si="57"/>
        <v>60</v>
      </c>
      <c r="AC746" s="79" t="s">
        <v>2081</v>
      </c>
      <c r="AD746" s="82">
        <f t="shared" si="58"/>
        <v>0</v>
      </c>
      <c r="AE746" s="79" t="s">
        <v>2080</v>
      </c>
      <c r="AF746" s="82">
        <f t="shared" si="59"/>
        <v>0</v>
      </c>
      <c r="AG746" s="79" t="s">
        <v>2079</v>
      </c>
      <c r="AH746" s="81">
        <v>2.4</v>
      </c>
      <c r="AI746" s="65"/>
      <c r="AJ746" s="65"/>
      <c r="AK746" s="65"/>
      <c r="AL746" s="65"/>
      <c r="AM746" s="65"/>
      <c r="AN746" s="65"/>
      <c r="AO746" s="65"/>
      <c r="AP746" s="65"/>
      <c r="AQ746" s="65"/>
    </row>
    <row r="747" spans="24:43">
      <c r="X747" s="79" t="s">
        <v>11123</v>
      </c>
      <c r="Y747" s="80">
        <v>812.5</v>
      </c>
      <c r="Z747" s="81">
        <f t="shared" si="56"/>
        <v>812.5</v>
      </c>
      <c r="AA747" s="79" t="s">
        <v>2082</v>
      </c>
      <c r="AB747" s="82">
        <f t="shared" si="57"/>
        <v>812</v>
      </c>
      <c r="AC747" s="79" t="s">
        <v>2081</v>
      </c>
      <c r="AD747" s="82">
        <f t="shared" si="58"/>
        <v>5</v>
      </c>
      <c r="AE747" s="79" t="s">
        <v>2080</v>
      </c>
      <c r="AF747" s="82">
        <f t="shared" si="59"/>
        <v>0</v>
      </c>
      <c r="AG747" s="79" t="s">
        <v>2079</v>
      </c>
      <c r="AH747" s="81">
        <v>32.5</v>
      </c>
      <c r="AI747" s="65"/>
      <c r="AJ747" s="65"/>
      <c r="AK747" s="65"/>
      <c r="AL747" s="65"/>
      <c r="AM747" s="65"/>
      <c r="AN747" s="65"/>
      <c r="AO747" s="65"/>
      <c r="AP747" s="65"/>
      <c r="AQ747" s="65"/>
    </row>
    <row r="748" spans="24:43">
      <c r="X748" s="79" t="s">
        <v>11124</v>
      </c>
      <c r="Y748" s="80">
        <v>60</v>
      </c>
      <c r="Z748" s="81">
        <f t="shared" si="56"/>
        <v>60</v>
      </c>
      <c r="AA748" s="79" t="s">
        <v>2082</v>
      </c>
      <c r="AB748" s="82">
        <f t="shared" si="57"/>
        <v>60</v>
      </c>
      <c r="AC748" s="79" t="s">
        <v>2081</v>
      </c>
      <c r="AD748" s="82">
        <f t="shared" si="58"/>
        <v>0</v>
      </c>
      <c r="AE748" s="79" t="s">
        <v>2080</v>
      </c>
      <c r="AF748" s="82">
        <f t="shared" si="59"/>
        <v>0</v>
      </c>
      <c r="AG748" s="79" t="s">
        <v>2079</v>
      </c>
      <c r="AH748" s="81">
        <v>2.4</v>
      </c>
      <c r="AI748" s="65"/>
      <c r="AJ748" s="65"/>
      <c r="AK748" s="65"/>
      <c r="AL748" s="65"/>
      <c r="AM748" s="65"/>
      <c r="AN748" s="65"/>
      <c r="AO748" s="65"/>
      <c r="AP748" s="65"/>
      <c r="AQ748" s="65"/>
    </row>
    <row r="749" spans="24:43">
      <c r="X749" s="79" t="s">
        <v>11125</v>
      </c>
      <c r="Y749" s="80">
        <v>800</v>
      </c>
      <c r="Z749" s="81">
        <f t="shared" si="56"/>
        <v>800</v>
      </c>
      <c r="AA749" s="79" t="s">
        <v>2082</v>
      </c>
      <c r="AB749" s="82">
        <f t="shared" si="57"/>
        <v>800</v>
      </c>
      <c r="AC749" s="79" t="s">
        <v>2081</v>
      </c>
      <c r="AD749" s="82">
        <f t="shared" si="58"/>
        <v>0</v>
      </c>
      <c r="AE749" s="79" t="s">
        <v>2080</v>
      </c>
      <c r="AF749" s="82">
        <f t="shared" si="59"/>
        <v>0</v>
      </c>
      <c r="AG749" s="79" t="s">
        <v>2079</v>
      </c>
      <c r="AH749" s="81">
        <v>32</v>
      </c>
      <c r="AI749" s="65"/>
      <c r="AJ749" s="65"/>
      <c r="AK749" s="65"/>
      <c r="AL749" s="65"/>
      <c r="AM749" s="65"/>
      <c r="AN749" s="65"/>
      <c r="AO749" s="65"/>
      <c r="AP749" s="65"/>
      <c r="AQ749" s="65"/>
    </row>
    <row r="750" spans="24:43">
      <c r="X750" s="79" t="s">
        <v>11126</v>
      </c>
      <c r="Y750" s="80">
        <v>4400</v>
      </c>
      <c r="Z750" s="81">
        <f t="shared" si="56"/>
        <v>4400</v>
      </c>
      <c r="AA750" s="79" t="s">
        <v>2082</v>
      </c>
      <c r="AB750" s="82">
        <f t="shared" si="57"/>
        <v>4400</v>
      </c>
      <c r="AC750" s="79" t="s">
        <v>2081</v>
      </c>
      <c r="AD750" s="82">
        <f t="shared" si="58"/>
        <v>0</v>
      </c>
      <c r="AE750" s="79" t="s">
        <v>2080</v>
      </c>
      <c r="AF750" s="82">
        <f t="shared" si="59"/>
        <v>0</v>
      </c>
      <c r="AG750" s="79" t="s">
        <v>2079</v>
      </c>
      <c r="AH750" s="81">
        <v>176</v>
      </c>
      <c r="AI750" s="65"/>
      <c r="AJ750" s="65"/>
      <c r="AK750" s="65"/>
      <c r="AL750" s="65"/>
      <c r="AM750" s="65"/>
      <c r="AN750" s="65"/>
      <c r="AO750" s="65"/>
      <c r="AP750" s="65"/>
      <c r="AQ750" s="65"/>
    </row>
    <row r="751" spans="24:43">
      <c r="X751" s="79" t="s">
        <v>11127</v>
      </c>
      <c r="Y751" s="80">
        <v>16600</v>
      </c>
      <c r="Z751" s="81">
        <f t="shared" si="56"/>
        <v>16600</v>
      </c>
      <c r="AA751" s="79" t="s">
        <v>2082</v>
      </c>
      <c r="AB751" s="82">
        <f t="shared" si="57"/>
        <v>16600</v>
      </c>
      <c r="AC751" s="79" t="s">
        <v>2081</v>
      </c>
      <c r="AD751" s="82">
        <f t="shared" si="58"/>
        <v>0</v>
      </c>
      <c r="AE751" s="79" t="s">
        <v>2080</v>
      </c>
      <c r="AF751" s="82">
        <f t="shared" si="59"/>
        <v>0</v>
      </c>
      <c r="AG751" s="79" t="s">
        <v>2079</v>
      </c>
      <c r="AH751" s="81">
        <v>664</v>
      </c>
      <c r="AI751" s="65"/>
      <c r="AJ751" s="65"/>
      <c r="AK751" s="65"/>
      <c r="AL751" s="65"/>
      <c r="AM751" s="65"/>
      <c r="AN751" s="65"/>
      <c r="AO751" s="65"/>
      <c r="AP751" s="65"/>
      <c r="AQ751" s="65"/>
    </row>
    <row r="752" spans="24:43">
      <c r="X752" s="79" t="s">
        <v>11128</v>
      </c>
      <c r="Y752" s="80">
        <v>3887.625</v>
      </c>
      <c r="Z752" s="81">
        <f t="shared" si="56"/>
        <v>3887.625</v>
      </c>
      <c r="AA752" s="79" t="s">
        <v>2082</v>
      </c>
      <c r="AB752" s="82">
        <f t="shared" si="57"/>
        <v>3887</v>
      </c>
      <c r="AC752" s="79" t="s">
        <v>2081</v>
      </c>
      <c r="AD752" s="82">
        <f t="shared" si="58"/>
        <v>6</v>
      </c>
      <c r="AE752" s="79" t="s">
        <v>2080</v>
      </c>
      <c r="AF752" s="82">
        <f t="shared" si="59"/>
        <v>2.5</v>
      </c>
      <c r="AG752" s="79" t="s">
        <v>2079</v>
      </c>
      <c r="AH752" s="81">
        <v>155.5</v>
      </c>
      <c r="AI752" s="65"/>
      <c r="AJ752" s="65"/>
      <c r="AK752" s="65"/>
      <c r="AL752" s="65"/>
      <c r="AM752" s="65"/>
      <c r="AN752" s="65"/>
      <c r="AO752" s="65"/>
      <c r="AP752" s="65"/>
      <c r="AQ752" s="65"/>
    </row>
    <row r="753" spans="24:43">
      <c r="X753" s="79" t="s">
        <v>11129</v>
      </c>
      <c r="Y753" s="80">
        <v>4125</v>
      </c>
      <c r="Z753" s="81">
        <f t="shared" si="56"/>
        <v>4125</v>
      </c>
      <c r="AA753" s="79" t="s">
        <v>2082</v>
      </c>
      <c r="AB753" s="82">
        <f t="shared" si="57"/>
        <v>4125</v>
      </c>
      <c r="AC753" s="79" t="s">
        <v>2081</v>
      </c>
      <c r="AD753" s="82">
        <f t="shared" si="58"/>
        <v>0</v>
      </c>
      <c r="AE753" s="79" t="s">
        <v>2080</v>
      </c>
      <c r="AF753" s="82">
        <f t="shared" si="59"/>
        <v>0</v>
      </c>
      <c r="AG753" s="79" t="s">
        <v>2079</v>
      </c>
      <c r="AH753" s="81">
        <v>165</v>
      </c>
      <c r="AI753" s="65"/>
      <c r="AJ753" s="65"/>
      <c r="AK753" s="65"/>
      <c r="AL753" s="65"/>
      <c r="AM753" s="65"/>
      <c r="AN753" s="65"/>
      <c r="AO753" s="65"/>
      <c r="AP753" s="65"/>
      <c r="AQ753" s="65"/>
    </row>
    <row r="754" spans="24:43">
      <c r="X754" s="79" t="s">
        <v>11130</v>
      </c>
      <c r="Y754" s="80">
        <v>5487.625</v>
      </c>
      <c r="Z754" s="81">
        <f t="shared" si="56"/>
        <v>5487.625</v>
      </c>
      <c r="AA754" s="79" t="s">
        <v>2082</v>
      </c>
      <c r="AB754" s="82">
        <f t="shared" si="57"/>
        <v>5487</v>
      </c>
      <c r="AC754" s="79" t="s">
        <v>2081</v>
      </c>
      <c r="AD754" s="82">
        <f t="shared" si="58"/>
        <v>6</v>
      </c>
      <c r="AE754" s="79" t="s">
        <v>2080</v>
      </c>
      <c r="AF754" s="82">
        <f t="shared" si="59"/>
        <v>2.5</v>
      </c>
      <c r="AG754" s="79" t="s">
        <v>2079</v>
      </c>
      <c r="AH754" s="81">
        <v>219.5</v>
      </c>
      <c r="AI754" s="65"/>
      <c r="AJ754" s="65"/>
      <c r="AK754" s="65"/>
      <c r="AL754" s="65"/>
      <c r="AM754" s="65"/>
      <c r="AN754" s="65"/>
      <c r="AO754" s="65"/>
      <c r="AP754" s="65"/>
      <c r="AQ754" s="65"/>
    </row>
    <row r="755" spans="24:43">
      <c r="X755" s="79" t="s">
        <v>11131</v>
      </c>
      <c r="Y755" s="80">
        <v>4562.625</v>
      </c>
      <c r="Z755" s="81">
        <f t="shared" si="56"/>
        <v>4562.625</v>
      </c>
      <c r="AA755" s="79" t="s">
        <v>2082</v>
      </c>
      <c r="AB755" s="82">
        <f t="shared" si="57"/>
        <v>4562</v>
      </c>
      <c r="AC755" s="79" t="s">
        <v>2081</v>
      </c>
      <c r="AD755" s="82">
        <f t="shared" si="58"/>
        <v>6</v>
      </c>
      <c r="AE755" s="79" t="s">
        <v>2080</v>
      </c>
      <c r="AF755" s="82">
        <f t="shared" si="59"/>
        <v>2.5</v>
      </c>
      <c r="AG755" s="79" t="s">
        <v>2079</v>
      </c>
      <c r="AH755" s="81">
        <v>182.5</v>
      </c>
      <c r="AI755" s="65"/>
      <c r="AJ755" s="65"/>
      <c r="AK755" s="65"/>
      <c r="AL755" s="65"/>
      <c r="AM755" s="65"/>
      <c r="AN755" s="65"/>
      <c r="AO755" s="65"/>
      <c r="AP755" s="65"/>
      <c r="AQ755" s="65"/>
    </row>
    <row r="756" spans="24:43">
      <c r="X756" s="79" t="s">
        <v>11132</v>
      </c>
      <c r="Y756" s="80">
        <v>67.5</v>
      </c>
      <c r="Z756" s="81">
        <f t="shared" si="56"/>
        <v>67.5</v>
      </c>
      <c r="AA756" s="79" t="s">
        <v>2082</v>
      </c>
      <c r="AB756" s="82">
        <f t="shared" si="57"/>
        <v>67</v>
      </c>
      <c r="AC756" s="79" t="s">
        <v>2081</v>
      </c>
      <c r="AD756" s="82">
        <f t="shared" si="58"/>
        <v>5</v>
      </c>
      <c r="AE756" s="79" t="s">
        <v>2080</v>
      </c>
      <c r="AF756" s="82">
        <f t="shared" si="59"/>
        <v>0</v>
      </c>
      <c r="AG756" s="79" t="s">
        <v>2079</v>
      </c>
      <c r="AH756" s="81">
        <v>2.7</v>
      </c>
      <c r="AI756" s="65"/>
      <c r="AJ756" s="65"/>
      <c r="AK756" s="65"/>
      <c r="AL756" s="65"/>
      <c r="AM756" s="65"/>
      <c r="AN756" s="65"/>
      <c r="AO756" s="65"/>
      <c r="AP756" s="65"/>
      <c r="AQ756" s="65"/>
    </row>
    <row r="757" spans="24:43">
      <c r="X757" s="79" t="s">
        <v>11132</v>
      </c>
      <c r="Y757" s="80">
        <v>67.5</v>
      </c>
      <c r="Z757" s="81">
        <f t="shared" si="56"/>
        <v>67.5</v>
      </c>
      <c r="AA757" s="79" t="s">
        <v>2082</v>
      </c>
      <c r="AB757" s="82">
        <f t="shared" si="57"/>
        <v>67</v>
      </c>
      <c r="AC757" s="79" t="s">
        <v>2081</v>
      </c>
      <c r="AD757" s="82">
        <f t="shared" si="58"/>
        <v>5</v>
      </c>
      <c r="AE757" s="79" t="s">
        <v>2080</v>
      </c>
      <c r="AF757" s="82">
        <f t="shared" si="59"/>
        <v>0</v>
      </c>
      <c r="AG757" s="79" t="s">
        <v>2079</v>
      </c>
      <c r="AH757" s="81">
        <v>2.7</v>
      </c>
      <c r="AI757" s="65"/>
      <c r="AJ757" s="65"/>
      <c r="AK757" s="65"/>
      <c r="AL757" s="65"/>
      <c r="AM757" s="65"/>
      <c r="AN757" s="65"/>
      <c r="AO757" s="65"/>
      <c r="AP757" s="65"/>
      <c r="AQ757" s="65"/>
    </row>
    <row r="758" spans="24:43">
      <c r="X758" s="79" t="s">
        <v>11133</v>
      </c>
      <c r="Y758" s="80">
        <v>112500.5</v>
      </c>
      <c r="Z758" s="81">
        <f t="shared" si="56"/>
        <v>112500.5</v>
      </c>
      <c r="AA758" s="79" t="s">
        <v>2082</v>
      </c>
      <c r="AB758" s="82">
        <f t="shared" si="57"/>
        <v>112500</v>
      </c>
      <c r="AC758" s="79" t="s">
        <v>2081</v>
      </c>
      <c r="AD758" s="82">
        <f t="shared" si="58"/>
        <v>5</v>
      </c>
      <c r="AE758" s="79" t="s">
        <v>2080</v>
      </c>
      <c r="AF758" s="82">
        <f t="shared" si="59"/>
        <v>0</v>
      </c>
      <c r="AG758" s="79" t="s">
        <v>2079</v>
      </c>
      <c r="AH758" s="81">
        <v>4500.0200000000004</v>
      </c>
      <c r="AI758" s="65"/>
      <c r="AJ758" s="65"/>
      <c r="AK758" s="65"/>
      <c r="AL758" s="65"/>
      <c r="AM758" s="65"/>
      <c r="AN758" s="65"/>
      <c r="AO758" s="65"/>
      <c r="AP758" s="65"/>
      <c r="AQ758" s="65"/>
    </row>
    <row r="759" spans="24:43">
      <c r="X759" s="79" t="s">
        <v>11134</v>
      </c>
      <c r="Y759" s="80">
        <v>87250.25</v>
      </c>
      <c r="Z759" s="81">
        <f t="shared" si="56"/>
        <v>87250.25</v>
      </c>
      <c r="AA759" s="79" t="s">
        <v>2082</v>
      </c>
      <c r="AB759" s="82">
        <f t="shared" si="57"/>
        <v>87250</v>
      </c>
      <c r="AC759" s="79" t="s">
        <v>2081</v>
      </c>
      <c r="AD759" s="82">
        <f t="shared" si="58"/>
        <v>2</v>
      </c>
      <c r="AE759" s="79" t="s">
        <v>2080</v>
      </c>
      <c r="AF759" s="82">
        <f t="shared" si="59"/>
        <v>5</v>
      </c>
      <c r="AG759" s="79" t="s">
        <v>2079</v>
      </c>
      <c r="AH759" s="81">
        <v>3490.01</v>
      </c>
      <c r="AI759" s="65"/>
      <c r="AJ759" s="65"/>
      <c r="AK759" s="65"/>
      <c r="AL759" s="65"/>
      <c r="AM759" s="65"/>
      <c r="AN759" s="65"/>
      <c r="AO759" s="65"/>
      <c r="AP759" s="65"/>
      <c r="AQ759" s="65"/>
    </row>
    <row r="760" spans="24:43">
      <c r="X760" s="79" t="s">
        <v>11135</v>
      </c>
      <c r="Y760" s="80">
        <v>4187.625</v>
      </c>
      <c r="Z760" s="81">
        <f t="shared" si="56"/>
        <v>4187.625</v>
      </c>
      <c r="AA760" s="79" t="s">
        <v>2082</v>
      </c>
      <c r="AB760" s="82">
        <f t="shared" si="57"/>
        <v>4187</v>
      </c>
      <c r="AC760" s="79" t="s">
        <v>2081</v>
      </c>
      <c r="AD760" s="82">
        <f t="shared" si="58"/>
        <v>6</v>
      </c>
      <c r="AE760" s="79" t="s">
        <v>2080</v>
      </c>
      <c r="AF760" s="82">
        <f t="shared" si="59"/>
        <v>2.5</v>
      </c>
      <c r="AG760" s="79" t="s">
        <v>2079</v>
      </c>
      <c r="AH760" s="81">
        <v>167.5</v>
      </c>
      <c r="AI760" s="65"/>
      <c r="AJ760" s="65"/>
      <c r="AK760" s="65"/>
      <c r="AL760" s="65"/>
      <c r="AM760" s="65"/>
      <c r="AN760" s="65"/>
      <c r="AO760" s="65"/>
      <c r="AP760" s="65"/>
      <c r="AQ760" s="65"/>
    </row>
    <row r="761" spans="24:43">
      <c r="X761" s="79" t="s">
        <v>11136</v>
      </c>
      <c r="Y761" s="80">
        <v>30200</v>
      </c>
      <c r="Z761" s="81">
        <f t="shared" si="56"/>
        <v>30200</v>
      </c>
      <c r="AA761" s="79" t="s">
        <v>2082</v>
      </c>
      <c r="AB761" s="82">
        <f t="shared" si="57"/>
        <v>30200</v>
      </c>
      <c r="AC761" s="79" t="s">
        <v>2081</v>
      </c>
      <c r="AD761" s="82">
        <f t="shared" si="58"/>
        <v>0</v>
      </c>
      <c r="AE761" s="79" t="s">
        <v>2080</v>
      </c>
      <c r="AF761" s="82">
        <f t="shared" si="59"/>
        <v>0</v>
      </c>
      <c r="AG761" s="79" t="s">
        <v>2079</v>
      </c>
      <c r="AH761" s="81">
        <v>1208</v>
      </c>
      <c r="AI761" s="65"/>
      <c r="AJ761" s="65"/>
      <c r="AK761" s="65"/>
      <c r="AL761" s="65"/>
      <c r="AM761" s="65"/>
      <c r="AN761" s="65"/>
      <c r="AO761" s="65"/>
      <c r="AP761" s="65"/>
      <c r="AQ761" s="65"/>
    </row>
    <row r="762" spans="24:43">
      <c r="X762" s="79" t="s">
        <v>11137</v>
      </c>
      <c r="Y762" s="80">
        <v>750</v>
      </c>
      <c r="Z762" s="81">
        <f t="shared" si="56"/>
        <v>750</v>
      </c>
      <c r="AA762" s="79" t="s">
        <v>2082</v>
      </c>
      <c r="AB762" s="82">
        <f t="shared" si="57"/>
        <v>750</v>
      </c>
      <c r="AC762" s="79" t="s">
        <v>2081</v>
      </c>
      <c r="AD762" s="82">
        <f t="shared" si="58"/>
        <v>0</v>
      </c>
      <c r="AE762" s="79" t="s">
        <v>2080</v>
      </c>
      <c r="AF762" s="82">
        <f t="shared" si="59"/>
        <v>0</v>
      </c>
      <c r="AG762" s="79" t="s">
        <v>2079</v>
      </c>
      <c r="AH762" s="81">
        <v>30</v>
      </c>
      <c r="AI762" s="65"/>
      <c r="AJ762" s="65"/>
      <c r="AK762" s="65"/>
      <c r="AL762" s="65"/>
      <c r="AM762" s="65"/>
      <c r="AN762" s="65"/>
      <c r="AO762" s="65"/>
      <c r="AP762" s="65"/>
      <c r="AQ762" s="65"/>
    </row>
    <row r="763" spans="24:43">
      <c r="X763" s="79" t="s">
        <v>11138</v>
      </c>
      <c r="Y763" s="80">
        <v>3250</v>
      </c>
      <c r="Z763" s="81">
        <f t="shared" si="56"/>
        <v>3250</v>
      </c>
      <c r="AA763" s="79" t="s">
        <v>2082</v>
      </c>
      <c r="AB763" s="82">
        <f t="shared" si="57"/>
        <v>3250</v>
      </c>
      <c r="AC763" s="79" t="s">
        <v>2081</v>
      </c>
      <c r="AD763" s="82">
        <f t="shared" si="58"/>
        <v>0</v>
      </c>
      <c r="AE763" s="79" t="s">
        <v>2080</v>
      </c>
      <c r="AF763" s="82">
        <f t="shared" si="59"/>
        <v>0</v>
      </c>
      <c r="AG763" s="79" t="s">
        <v>2079</v>
      </c>
      <c r="AH763" s="81">
        <v>130</v>
      </c>
      <c r="AI763" s="65"/>
      <c r="AJ763" s="65"/>
      <c r="AK763" s="65"/>
      <c r="AL763" s="65"/>
      <c r="AM763" s="65"/>
      <c r="AN763" s="65"/>
      <c r="AO763" s="65"/>
      <c r="AP763" s="65"/>
      <c r="AQ763" s="65"/>
    </row>
    <row r="764" spans="24:43">
      <c r="X764" s="79" t="s">
        <v>7232</v>
      </c>
      <c r="Y764" s="80">
        <v>15500</v>
      </c>
      <c r="Z764" s="81">
        <f t="shared" si="56"/>
        <v>15500</v>
      </c>
      <c r="AA764" s="79" t="s">
        <v>2082</v>
      </c>
      <c r="AB764" s="82">
        <f t="shared" si="57"/>
        <v>15500</v>
      </c>
      <c r="AC764" s="79" t="s">
        <v>2081</v>
      </c>
      <c r="AD764" s="82">
        <f t="shared" si="58"/>
        <v>0</v>
      </c>
      <c r="AE764" s="79" t="s">
        <v>2080</v>
      </c>
      <c r="AF764" s="82">
        <f t="shared" si="59"/>
        <v>0</v>
      </c>
      <c r="AG764" s="79" t="s">
        <v>2079</v>
      </c>
      <c r="AH764" s="81">
        <v>620</v>
      </c>
      <c r="AI764" s="65"/>
      <c r="AJ764" s="65"/>
      <c r="AK764" s="65"/>
      <c r="AL764" s="65"/>
      <c r="AM764" s="65"/>
      <c r="AN764" s="65"/>
      <c r="AO764" s="65"/>
      <c r="AP764" s="65"/>
      <c r="AQ764" s="65"/>
    </row>
    <row r="765" spans="24:43">
      <c r="X765" s="79" t="s">
        <v>11139</v>
      </c>
      <c r="Y765" s="80">
        <v>4537.625</v>
      </c>
      <c r="Z765" s="81">
        <f t="shared" si="56"/>
        <v>4537.625</v>
      </c>
      <c r="AA765" s="79" t="s">
        <v>2082</v>
      </c>
      <c r="AB765" s="82">
        <f t="shared" si="57"/>
        <v>4537</v>
      </c>
      <c r="AC765" s="79" t="s">
        <v>2081</v>
      </c>
      <c r="AD765" s="82">
        <f t="shared" si="58"/>
        <v>6</v>
      </c>
      <c r="AE765" s="79" t="s">
        <v>2080</v>
      </c>
      <c r="AF765" s="82">
        <f t="shared" si="59"/>
        <v>2.5</v>
      </c>
      <c r="AG765" s="79" t="s">
        <v>2079</v>
      </c>
      <c r="AH765" s="81">
        <v>181.5</v>
      </c>
      <c r="AI765" s="65"/>
      <c r="AJ765" s="65"/>
      <c r="AK765" s="65"/>
      <c r="AL765" s="65"/>
      <c r="AM765" s="65"/>
      <c r="AN765" s="65"/>
      <c r="AO765" s="65"/>
      <c r="AP765" s="65"/>
      <c r="AQ765" s="65"/>
    </row>
    <row r="766" spans="24:43">
      <c r="X766" s="79" t="s">
        <v>11140</v>
      </c>
      <c r="Y766" s="80">
        <v>101250.25</v>
      </c>
      <c r="Z766" s="81">
        <f t="shared" si="56"/>
        <v>101250.25</v>
      </c>
      <c r="AA766" s="79" t="s">
        <v>2082</v>
      </c>
      <c r="AB766" s="82">
        <f t="shared" si="57"/>
        <v>101250</v>
      </c>
      <c r="AC766" s="79" t="s">
        <v>2081</v>
      </c>
      <c r="AD766" s="82">
        <f t="shared" si="58"/>
        <v>2</v>
      </c>
      <c r="AE766" s="79" t="s">
        <v>2080</v>
      </c>
      <c r="AF766" s="82">
        <f t="shared" si="59"/>
        <v>5</v>
      </c>
      <c r="AG766" s="79" t="s">
        <v>2079</v>
      </c>
      <c r="AH766" s="81">
        <v>4050.01</v>
      </c>
      <c r="AI766" s="65"/>
      <c r="AJ766" s="65"/>
      <c r="AK766" s="65"/>
      <c r="AL766" s="65"/>
      <c r="AM766" s="65"/>
      <c r="AN766" s="65"/>
      <c r="AO766" s="65"/>
      <c r="AP766" s="65"/>
      <c r="AQ766" s="65"/>
    </row>
    <row r="767" spans="24:43">
      <c r="X767" s="79" t="s">
        <v>11141</v>
      </c>
      <c r="Y767" s="80">
        <v>18875.125</v>
      </c>
      <c r="Z767" s="81">
        <f t="shared" si="56"/>
        <v>18875.125</v>
      </c>
      <c r="AA767" s="79" t="s">
        <v>2082</v>
      </c>
      <c r="AB767" s="82">
        <f t="shared" si="57"/>
        <v>18875</v>
      </c>
      <c r="AC767" s="79" t="s">
        <v>2081</v>
      </c>
      <c r="AD767" s="82">
        <f t="shared" si="58"/>
        <v>1</v>
      </c>
      <c r="AE767" s="79" t="s">
        <v>2080</v>
      </c>
      <c r="AF767" s="82">
        <f t="shared" si="59"/>
        <v>2.5</v>
      </c>
      <c r="AG767" s="79" t="s">
        <v>2079</v>
      </c>
      <c r="AH767" s="81">
        <v>755</v>
      </c>
      <c r="AI767" s="65"/>
      <c r="AJ767" s="65"/>
      <c r="AK767" s="65"/>
      <c r="AL767" s="65"/>
      <c r="AM767" s="65"/>
      <c r="AN767" s="65"/>
      <c r="AO767" s="65"/>
      <c r="AP767" s="65"/>
      <c r="AQ767" s="65"/>
    </row>
    <row r="768" spans="24:43">
      <c r="X768" s="79" t="s">
        <v>11142</v>
      </c>
      <c r="Y768" s="80">
        <v>337.625</v>
      </c>
      <c r="Z768" s="81">
        <f t="shared" si="56"/>
        <v>337.625</v>
      </c>
      <c r="AA768" s="79" t="s">
        <v>2082</v>
      </c>
      <c r="AB768" s="82">
        <f t="shared" si="57"/>
        <v>337</v>
      </c>
      <c r="AC768" s="79" t="s">
        <v>2081</v>
      </c>
      <c r="AD768" s="82">
        <f t="shared" si="58"/>
        <v>6</v>
      </c>
      <c r="AE768" s="79" t="s">
        <v>2080</v>
      </c>
      <c r="AF768" s="82">
        <f t="shared" si="59"/>
        <v>2.5</v>
      </c>
      <c r="AG768" s="79" t="s">
        <v>2079</v>
      </c>
      <c r="AH768" s="81">
        <v>13.5</v>
      </c>
      <c r="AI768" s="65"/>
      <c r="AJ768" s="65"/>
      <c r="AK768" s="65"/>
      <c r="AL768" s="65"/>
      <c r="AM768" s="65"/>
      <c r="AN768" s="65"/>
      <c r="AO768" s="65"/>
      <c r="AP768" s="65"/>
      <c r="AQ768" s="65"/>
    </row>
    <row r="769" spans="24:43">
      <c r="X769" s="79" t="s">
        <v>11142</v>
      </c>
      <c r="Y769" s="80">
        <v>337.625</v>
      </c>
      <c r="Z769" s="81">
        <f t="shared" si="56"/>
        <v>337.625</v>
      </c>
      <c r="AA769" s="79" t="s">
        <v>2082</v>
      </c>
      <c r="AB769" s="82">
        <f t="shared" si="57"/>
        <v>337</v>
      </c>
      <c r="AC769" s="79" t="s">
        <v>2081</v>
      </c>
      <c r="AD769" s="82">
        <f t="shared" si="58"/>
        <v>6</v>
      </c>
      <c r="AE769" s="79" t="s">
        <v>2080</v>
      </c>
      <c r="AF769" s="82">
        <f t="shared" si="59"/>
        <v>2.5</v>
      </c>
      <c r="AG769" s="79" t="s">
        <v>2079</v>
      </c>
      <c r="AH769" s="81">
        <v>13.5</v>
      </c>
      <c r="AI769" s="65"/>
      <c r="AJ769" s="65"/>
      <c r="AK769" s="65"/>
      <c r="AL769" s="65"/>
      <c r="AM769" s="65"/>
      <c r="AN769" s="65"/>
      <c r="AO769" s="65"/>
      <c r="AP769" s="65"/>
      <c r="AQ769" s="65"/>
    </row>
    <row r="770" spans="24:43">
      <c r="X770" s="79" t="s">
        <v>11143</v>
      </c>
      <c r="Y770" s="80">
        <v>112500.5</v>
      </c>
      <c r="Z770" s="81">
        <f t="shared" si="56"/>
        <v>112500.5</v>
      </c>
      <c r="AA770" s="79" t="s">
        <v>2082</v>
      </c>
      <c r="AB770" s="82">
        <f t="shared" si="57"/>
        <v>112500</v>
      </c>
      <c r="AC770" s="79" t="s">
        <v>2081</v>
      </c>
      <c r="AD770" s="82">
        <f t="shared" si="58"/>
        <v>5</v>
      </c>
      <c r="AE770" s="79" t="s">
        <v>2080</v>
      </c>
      <c r="AF770" s="82">
        <f t="shared" si="59"/>
        <v>0</v>
      </c>
      <c r="AG770" s="79" t="s">
        <v>2079</v>
      </c>
      <c r="AH770" s="81">
        <v>4500.0200000000004</v>
      </c>
      <c r="AI770" s="65"/>
      <c r="AJ770" s="65"/>
      <c r="AK770" s="65"/>
      <c r="AL770" s="65"/>
      <c r="AM770" s="65"/>
      <c r="AN770" s="65"/>
      <c r="AO770" s="65"/>
      <c r="AP770" s="65"/>
      <c r="AQ770" s="65"/>
    </row>
    <row r="771" spans="24:43">
      <c r="X771" s="79" t="s">
        <v>11144</v>
      </c>
      <c r="Y771" s="80">
        <v>112500.5</v>
      </c>
      <c r="Z771" s="81">
        <f t="shared" ref="Z771:Z783" si="60">Y771*$AK$6*$AK$11</f>
        <v>112500.5</v>
      </c>
      <c r="AA771" s="79" t="s">
        <v>2082</v>
      </c>
      <c r="AB771" s="82">
        <f t="shared" ref="AB771:AB783" si="61">_xlfn.FLOOR.MATH(Z771,1)</f>
        <v>112500</v>
      </c>
      <c r="AC771" s="79" t="s">
        <v>2081</v>
      </c>
      <c r="AD771" s="82">
        <f t="shared" ref="AD771:AD783" si="62">_xlfn.FLOOR.MATH(((Z771-AB771)*10), 1)</f>
        <v>5</v>
      </c>
      <c r="AE771" s="79" t="s">
        <v>2080</v>
      </c>
      <c r="AF771" s="82">
        <f t="shared" ref="AF771:AF783" si="63">((Z771-AB771)*10-AD771)*10</f>
        <v>0</v>
      </c>
      <c r="AG771" s="79" t="s">
        <v>2079</v>
      </c>
      <c r="AH771" s="81">
        <v>4500.0200000000004</v>
      </c>
      <c r="AI771" s="65"/>
      <c r="AJ771" s="65"/>
      <c r="AK771" s="65"/>
      <c r="AL771" s="65"/>
      <c r="AM771" s="65"/>
      <c r="AN771" s="65"/>
      <c r="AO771" s="65"/>
      <c r="AP771" s="65"/>
      <c r="AQ771" s="65"/>
    </row>
    <row r="772" spans="24:43">
      <c r="X772" s="79" t="s">
        <v>6974</v>
      </c>
      <c r="Y772" s="80">
        <v>825</v>
      </c>
      <c r="Z772" s="81">
        <f t="shared" si="60"/>
        <v>825</v>
      </c>
      <c r="AA772" s="79" t="s">
        <v>2082</v>
      </c>
      <c r="AB772" s="82">
        <f t="shared" si="61"/>
        <v>825</v>
      </c>
      <c r="AC772" s="79" t="s">
        <v>2081</v>
      </c>
      <c r="AD772" s="82">
        <f t="shared" si="62"/>
        <v>0</v>
      </c>
      <c r="AE772" s="79" t="s">
        <v>2080</v>
      </c>
      <c r="AF772" s="82">
        <f t="shared" si="63"/>
        <v>0</v>
      </c>
      <c r="AG772" s="79" t="s">
        <v>2079</v>
      </c>
      <c r="AH772" s="81">
        <v>33</v>
      </c>
      <c r="AI772" s="65"/>
      <c r="AJ772" s="65"/>
      <c r="AK772" s="65"/>
      <c r="AL772" s="65"/>
      <c r="AM772" s="65"/>
      <c r="AN772" s="65"/>
      <c r="AO772" s="65"/>
      <c r="AP772" s="65"/>
      <c r="AQ772" s="65"/>
    </row>
    <row r="773" spans="24:43">
      <c r="X773" s="79" t="s">
        <v>11145</v>
      </c>
      <c r="Y773" s="80">
        <v>90250.25</v>
      </c>
      <c r="Z773" s="81">
        <f t="shared" si="60"/>
        <v>90250.25</v>
      </c>
      <c r="AA773" s="79" t="s">
        <v>2082</v>
      </c>
      <c r="AB773" s="82">
        <f t="shared" si="61"/>
        <v>90250</v>
      </c>
      <c r="AC773" s="79" t="s">
        <v>2081</v>
      </c>
      <c r="AD773" s="82">
        <f t="shared" si="62"/>
        <v>2</v>
      </c>
      <c r="AE773" s="79" t="s">
        <v>2080</v>
      </c>
      <c r="AF773" s="82">
        <f t="shared" si="63"/>
        <v>5</v>
      </c>
      <c r="AG773" s="79" t="s">
        <v>2079</v>
      </c>
      <c r="AH773" s="81">
        <v>3610.01</v>
      </c>
      <c r="AI773" s="65"/>
      <c r="AJ773" s="65"/>
      <c r="AK773" s="65"/>
      <c r="AL773" s="65"/>
      <c r="AM773" s="65"/>
      <c r="AN773" s="65"/>
      <c r="AO773" s="65"/>
      <c r="AP773" s="65"/>
      <c r="AQ773" s="65"/>
    </row>
    <row r="774" spans="24:43">
      <c r="X774" s="79" t="s">
        <v>6976</v>
      </c>
      <c r="Y774" s="80">
        <v>6500</v>
      </c>
      <c r="Z774" s="81">
        <f t="shared" si="60"/>
        <v>6500</v>
      </c>
      <c r="AA774" s="79" t="s">
        <v>2082</v>
      </c>
      <c r="AB774" s="82">
        <f t="shared" si="61"/>
        <v>6500</v>
      </c>
      <c r="AC774" s="79" t="s">
        <v>2081</v>
      </c>
      <c r="AD774" s="82">
        <f t="shared" si="62"/>
        <v>0</v>
      </c>
      <c r="AE774" s="79" t="s">
        <v>2080</v>
      </c>
      <c r="AF774" s="82">
        <f t="shared" si="63"/>
        <v>0</v>
      </c>
      <c r="AG774" s="79" t="s">
        <v>2079</v>
      </c>
      <c r="AH774" s="81">
        <v>260</v>
      </c>
      <c r="AI774" s="65"/>
      <c r="AJ774" s="65"/>
      <c r="AK774" s="65"/>
      <c r="AL774" s="65"/>
      <c r="AM774" s="65"/>
      <c r="AN774" s="65"/>
      <c r="AO774" s="65"/>
      <c r="AP774" s="65"/>
      <c r="AQ774" s="65"/>
    </row>
    <row r="775" spans="24:43">
      <c r="X775" s="79" t="s">
        <v>11146</v>
      </c>
      <c r="Y775" s="80">
        <v>4300</v>
      </c>
      <c r="Z775" s="81">
        <f t="shared" si="60"/>
        <v>4300</v>
      </c>
      <c r="AA775" s="79" t="s">
        <v>2082</v>
      </c>
      <c r="AB775" s="82">
        <f t="shared" si="61"/>
        <v>4300</v>
      </c>
      <c r="AC775" s="79" t="s">
        <v>2081</v>
      </c>
      <c r="AD775" s="82">
        <f t="shared" si="62"/>
        <v>0</v>
      </c>
      <c r="AE775" s="79" t="s">
        <v>2080</v>
      </c>
      <c r="AF775" s="82">
        <f t="shared" si="63"/>
        <v>0</v>
      </c>
      <c r="AG775" s="79" t="s">
        <v>2079</v>
      </c>
      <c r="AH775" s="81">
        <v>172</v>
      </c>
      <c r="AI775" s="65"/>
      <c r="AJ775" s="65"/>
      <c r="AK775" s="65"/>
      <c r="AL775" s="65"/>
      <c r="AM775" s="65"/>
      <c r="AN775" s="65"/>
      <c r="AO775" s="65"/>
      <c r="AP775" s="65"/>
      <c r="AQ775" s="65"/>
    </row>
    <row r="776" spans="24:43">
      <c r="X776" s="79" t="s">
        <v>11147</v>
      </c>
      <c r="Y776" s="80">
        <v>312.625</v>
      </c>
      <c r="Z776" s="81">
        <f t="shared" si="60"/>
        <v>312.625</v>
      </c>
      <c r="AA776" s="79" t="s">
        <v>2082</v>
      </c>
      <c r="AB776" s="82">
        <f t="shared" si="61"/>
        <v>312</v>
      </c>
      <c r="AC776" s="79" t="s">
        <v>2081</v>
      </c>
      <c r="AD776" s="82">
        <f t="shared" si="62"/>
        <v>6</v>
      </c>
      <c r="AE776" s="79" t="s">
        <v>2080</v>
      </c>
      <c r="AF776" s="82">
        <f t="shared" si="63"/>
        <v>2.5</v>
      </c>
      <c r="AG776" s="79" t="s">
        <v>2079</v>
      </c>
      <c r="AH776" s="81">
        <v>12.5</v>
      </c>
      <c r="AI776" s="65"/>
      <c r="AJ776" s="65"/>
      <c r="AK776" s="65"/>
      <c r="AL776" s="65"/>
      <c r="AM776" s="65"/>
      <c r="AN776" s="65"/>
      <c r="AO776" s="65"/>
      <c r="AP776" s="65"/>
      <c r="AQ776" s="65"/>
    </row>
    <row r="777" spans="24:43">
      <c r="X777" s="79" t="s">
        <v>11148</v>
      </c>
      <c r="Y777" s="80">
        <v>325.25</v>
      </c>
      <c r="Z777" s="81">
        <f t="shared" si="60"/>
        <v>325.25</v>
      </c>
      <c r="AA777" s="79" t="s">
        <v>2082</v>
      </c>
      <c r="AB777" s="82">
        <f t="shared" si="61"/>
        <v>325</v>
      </c>
      <c r="AC777" s="79" t="s">
        <v>2081</v>
      </c>
      <c r="AD777" s="82">
        <f t="shared" si="62"/>
        <v>2</v>
      </c>
      <c r="AE777" s="79" t="s">
        <v>2080</v>
      </c>
      <c r="AF777" s="82">
        <f t="shared" si="63"/>
        <v>5</v>
      </c>
      <c r="AG777" s="79" t="s">
        <v>2079</v>
      </c>
      <c r="AH777" s="81">
        <v>13.01</v>
      </c>
      <c r="AI777" s="65"/>
      <c r="AJ777" s="65"/>
      <c r="AK777" s="65"/>
      <c r="AL777" s="65"/>
      <c r="AM777" s="65"/>
      <c r="AN777" s="65"/>
      <c r="AO777" s="65"/>
      <c r="AP777" s="65"/>
      <c r="AQ777" s="65"/>
    </row>
    <row r="778" spans="24:43">
      <c r="X778" s="79" t="s">
        <v>11149</v>
      </c>
      <c r="Y778" s="80">
        <v>112500.5</v>
      </c>
      <c r="Z778" s="81">
        <f t="shared" si="60"/>
        <v>112500.5</v>
      </c>
      <c r="AA778" s="79" t="s">
        <v>2082</v>
      </c>
      <c r="AB778" s="82">
        <f t="shared" si="61"/>
        <v>112500</v>
      </c>
      <c r="AC778" s="79" t="s">
        <v>2081</v>
      </c>
      <c r="AD778" s="82">
        <f t="shared" si="62"/>
        <v>5</v>
      </c>
      <c r="AE778" s="79" t="s">
        <v>2080</v>
      </c>
      <c r="AF778" s="82">
        <f t="shared" si="63"/>
        <v>0</v>
      </c>
      <c r="AG778" s="79" t="s">
        <v>2079</v>
      </c>
      <c r="AH778" s="81">
        <v>4500.0200000000004</v>
      </c>
      <c r="AI778" s="65"/>
      <c r="AJ778" s="65"/>
      <c r="AK778" s="65"/>
      <c r="AL778" s="65"/>
      <c r="AM778" s="65"/>
      <c r="AN778" s="65"/>
      <c r="AO778" s="65"/>
      <c r="AP778" s="65"/>
      <c r="AQ778" s="65"/>
    </row>
    <row r="779" spans="24:43">
      <c r="X779" s="79" t="s">
        <v>11150</v>
      </c>
      <c r="Y779" s="80">
        <v>60</v>
      </c>
      <c r="Z779" s="81">
        <f t="shared" si="60"/>
        <v>60</v>
      </c>
      <c r="AA779" s="79" t="s">
        <v>2082</v>
      </c>
      <c r="AB779" s="82">
        <f t="shared" si="61"/>
        <v>60</v>
      </c>
      <c r="AC779" s="79" t="s">
        <v>2081</v>
      </c>
      <c r="AD779" s="82">
        <f t="shared" si="62"/>
        <v>0</v>
      </c>
      <c r="AE779" s="79" t="s">
        <v>2080</v>
      </c>
      <c r="AF779" s="82">
        <f t="shared" si="63"/>
        <v>0</v>
      </c>
      <c r="AG779" s="79" t="s">
        <v>2079</v>
      </c>
      <c r="AH779" s="81">
        <v>2.4</v>
      </c>
      <c r="AI779" s="65"/>
      <c r="AJ779" s="65"/>
      <c r="AK779" s="65"/>
      <c r="AL779" s="65"/>
      <c r="AM779" s="65"/>
      <c r="AN779" s="65"/>
      <c r="AO779" s="65"/>
      <c r="AP779" s="65"/>
      <c r="AQ779" s="65"/>
    </row>
    <row r="780" spans="24:43">
      <c r="X780" s="79" t="s">
        <v>11150</v>
      </c>
      <c r="Y780" s="80">
        <v>60</v>
      </c>
      <c r="Z780" s="81">
        <f t="shared" si="60"/>
        <v>60</v>
      </c>
      <c r="AA780" s="79" t="s">
        <v>2082</v>
      </c>
      <c r="AB780" s="82">
        <f t="shared" si="61"/>
        <v>60</v>
      </c>
      <c r="AC780" s="79" t="s">
        <v>2081</v>
      </c>
      <c r="AD780" s="82">
        <f t="shared" si="62"/>
        <v>0</v>
      </c>
      <c r="AE780" s="79" t="s">
        <v>2080</v>
      </c>
      <c r="AF780" s="82">
        <f t="shared" si="63"/>
        <v>0</v>
      </c>
      <c r="AG780" s="79" t="s">
        <v>2079</v>
      </c>
      <c r="AH780" s="81">
        <v>2.4</v>
      </c>
      <c r="AI780" s="65"/>
      <c r="AJ780" s="65"/>
      <c r="AK780" s="65"/>
      <c r="AL780" s="65"/>
      <c r="AM780" s="65"/>
      <c r="AN780" s="65"/>
      <c r="AO780" s="65"/>
      <c r="AP780" s="65"/>
      <c r="AQ780" s="65"/>
    </row>
    <row r="781" spans="24:43">
      <c r="X781" s="79" t="s">
        <v>11151</v>
      </c>
      <c r="Y781" s="80">
        <v>325.25</v>
      </c>
      <c r="Z781" s="81">
        <f t="shared" si="60"/>
        <v>325.25</v>
      </c>
      <c r="AA781" s="79" t="s">
        <v>2082</v>
      </c>
      <c r="AB781" s="82">
        <f t="shared" si="61"/>
        <v>325</v>
      </c>
      <c r="AC781" s="79" t="s">
        <v>2081</v>
      </c>
      <c r="AD781" s="82">
        <f t="shared" si="62"/>
        <v>2</v>
      </c>
      <c r="AE781" s="79" t="s">
        <v>2080</v>
      </c>
      <c r="AF781" s="82">
        <f t="shared" si="63"/>
        <v>5</v>
      </c>
      <c r="AG781" s="79" t="s">
        <v>2079</v>
      </c>
      <c r="AH781" s="81">
        <v>13.01</v>
      </c>
      <c r="AI781" s="65"/>
      <c r="AJ781" s="65"/>
      <c r="AK781" s="65"/>
      <c r="AL781" s="65"/>
      <c r="AM781" s="65"/>
      <c r="AN781" s="65"/>
      <c r="AO781" s="65"/>
      <c r="AP781" s="65"/>
      <c r="AQ781" s="65"/>
    </row>
    <row r="782" spans="24:43">
      <c r="X782" s="79" t="s">
        <v>11152</v>
      </c>
      <c r="Y782" s="80">
        <v>6875.25</v>
      </c>
      <c r="Z782" s="81">
        <f t="shared" si="60"/>
        <v>6875.25</v>
      </c>
      <c r="AA782" s="79" t="s">
        <v>2082</v>
      </c>
      <c r="AB782" s="82">
        <f t="shared" si="61"/>
        <v>6875</v>
      </c>
      <c r="AC782" s="79" t="s">
        <v>2081</v>
      </c>
      <c r="AD782" s="82">
        <f t="shared" si="62"/>
        <v>2</v>
      </c>
      <c r="AE782" s="79" t="s">
        <v>2080</v>
      </c>
      <c r="AF782" s="82">
        <f t="shared" si="63"/>
        <v>5</v>
      </c>
      <c r="AG782" s="79" t="s">
        <v>2079</v>
      </c>
      <c r="AH782" s="81">
        <v>275.01</v>
      </c>
      <c r="AI782" s="65"/>
      <c r="AJ782" s="65"/>
      <c r="AK782" s="65"/>
      <c r="AL782" s="65"/>
      <c r="AM782" s="65"/>
      <c r="AN782" s="65"/>
      <c r="AO782" s="65"/>
      <c r="AP782" s="65"/>
      <c r="AQ782" s="65"/>
    </row>
    <row r="783" spans="24:43">
      <c r="X783" s="79" t="s">
        <v>11153</v>
      </c>
      <c r="Y783" s="80">
        <v>31250.25</v>
      </c>
      <c r="Z783" s="81">
        <f t="shared" si="60"/>
        <v>31250.25</v>
      </c>
      <c r="AA783" s="79" t="s">
        <v>2082</v>
      </c>
      <c r="AB783" s="82">
        <f t="shared" si="61"/>
        <v>31250</v>
      </c>
      <c r="AC783" s="79" t="s">
        <v>2081</v>
      </c>
      <c r="AD783" s="82">
        <f t="shared" si="62"/>
        <v>2</v>
      </c>
      <c r="AE783" s="79" t="s">
        <v>2080</v>
      </c>
      <c r="AF783" s="82">
        <f t="shared" si="63"/>
        <v>5</v>
      </c>
      <c r="AG783" s="79" t="s">
        <v>2079</v>
      </c>
      <c r="AH783" s="81">
        <v>1250.01</v>
      </c>
      <c r="AI783" s="65"/>
      <c r="AJ783" s="65"/>
      <c r="AK783" s="65"/>
      <c r="AL783" s="65"/>
      <c r="AM783" s="65"/>
      <c r="AN783" s="65"/>
      <c r="AO783" s="65"/>
      <c r="AP783" s="65"/>
      <c r="AQ783" s="65"/>
    </row>
    <row r="784" spans="24:43">
      <c r="X784" s="65"/>
      <c r="Y784" s="65"/>
      <c r="Z784" s="65"/>
      <c r="AA784" s="65"/>
      <c r="AB784" s="65"/>
      <c r="AC784" s="65"/>
      <c r="AD784" s="65"/>
      <c r="AE784" s="65"/>
      <c r="AF784" s="69"/>
      <c r="AG784" s="65"/>
      <c r="AH784" s="65"/>
      <c r="AI784" s="65"/>
      <c r="AJ784" s="65"/>
      <c r="AK784" s="65"/>
      <c r="AL784" s="65"/>
      <c r="AM784" s="65"/>
      <c r="AN784" s="65"/>
      <c r="AO784" s="65"/>
      <c r="AP784" s="65"/>
      <c r="AQ784" s="65"/>
    </row>
    <row r="785" spans="32:32">
      <c r="AF785" s="70"/>
    </row>
  </sheetData>
  <sheetProtection sort="0" autoFilter="0" pivotTables="0"/>
  <mergeCells count="27">
    <mergeCell ref="AI17:AJ17"/>
    <mergeCell ref="AI18:AJ18"/>
    <mergeCell ref="AI19:AJ19"/>
    <mergeCell ref="AI16:AK16"/>
    <mergeCell ref="X1:AQ1"/>
    <mergeCell ref="AM5:AQ6"/>
    <mergeCell ref="AM11:AQ11"/>
    <mergeCell ref="AI2:AJ2"/>
    <mergeCell ref="AM2:AQ2"/>
    <mergeCell ref="AM3:AQ3"/>
    <mergeCell ref="AM4:AQ4"/>
    <mergeCell ref="AM10:AQ10"/>
    <mergeCell ref="AI8:AJ8"/>
    <mergeCell ref="AM8:AQ8"/>
    <mergeCell ref="AM9:AQ9"/>
    <mergeCell ref="M19:P19"/>
    <mergeCell ref="M20:P20"/>
    <mergeCell ref="M18:P18"/>
    <mergeCell ref="M8:U9"/>
    <mergeCell ref="M11:O11"/>
    <mergeCell ref="M17:P17"/>
    <mergeCell ref="Q5:U6"/>
    <mergeCell ref="A1:U1"/>
    <mergeCell ref="M2:N2"/>
    <mergeCell ref="Q2:U2"/>
    <mergeCell ref="Q3:U3"/>
    <mergeCell ref="Q4:U4"/>
  </mergeCells>
  <dataValidations count="5">
    <dataValidation type="list" allowBlank="1" showInputMessage="1" showErrorMessage="1" sqref="N5 JC5 SY5 ACU5 AMQ5 AWM5 BGI5 BQE5 CAA5 CJW5 CTS5 DDO5 DNK5 DXG5 EHC5 EQY5 FAU5 FKQ5 FUM5 GEI5 GOE5 GYA5 HHW5 HRS5 IBO5 ILK5 IVG5 JFC5 JOY5 JYU5 KIQ5 KSM5 LCI5 LME5 LWA5 MFW5 MPS5 MZO5 NJK5 NTG5 ODC5 OMY5 OWU5 PGQ5 PQM5 QAI5 QKE5 QUA5 RDW5 RNS5 RXO5 SHK5 SRG5 TBC5 TKY5 TUU5 UEQ5 UOM5 UYI5 VIE5 VSA5 WBW5 WLS5 WVO5 N65541 JC65541 SY65541 ACU65541 AMQ65541 AWM65541 BGI65541 BQE65541 CAA65541 CJW65541 CTS65541 DDO65541 DNK65541 DXG65541 EHC65541 EQY65541 FAU65541 FKQ65541 FUM65541 GEI65541 GOE65541 GYA65541 HHW65541 HRS65541 IBO65541 ILK65541 IVG65541 JFC65541 JOY65541 JYU65541 KIQ65541 KSM65541 LCI65541 LME65541 LWA65541 MFW65541 MPS65541 MZO65541 NJK65541 NTG65541 ODC65541 OMY65541 OWU65541 PGQ65541 PQM65541 QAI65541 QKE65541 QUA65541 RDW65541 RNS65541 RXO65541 SHK65541 SRG65541 TBC65541 TKY65541 TUU65541 UEQ65541 UOM65541 UYI65541 VIE65541 VSA65541 WBW65541 WLS65541 WVO65541 N131077 JC131077 SY131077 ACU131077 AMQ131077 AWM131077 BGI131077 BQE131077 CAA131077 CJW131077 CTS131077 DDO131077 DNK131077 DXG131077 EHC131077 EQY131077 FAU131077 FKQ131077 FUM131077 GEI131077 GOE131077 GYA131077 HHW131077 HRS131077 IBO131077 ILK131077 IVG131077 JFC131077 JOY131077 JYU131077 KIQ131077 KSM131077 LCI131077 LME131077 LWA131077 MFW131077 MPS131077 MZO131077 NJK131077 NTG131077 ODC131077 OMY131077 OWU131077 PGQ131077 PQM131077 QAI131077 QKE131077 QUA131077 RDW131077 RNS131077 RXO131077 SHK131077 SRG131077 TBC131077 TKY131077 TUU131077 UEQ131077 UOM131077 UYI131077 VIE131077 VSA131077 WBW131077 WLS131077 WVO131077 N196613 JC196613 SY196613 ACU196613 AMQ196613 AWM196613 BGI196613 BQE196613 CAA196613 CJW196613 CTS196613 DDO196613 DNK196613 DXG196613 EHC196613 EQY196613 FAU196613 FKQ196613 FUM196613 GEI196613 GOE196613 GYA196613 HHW196613 HRS196613 IBO196613 ILK196613 IVG196613 JFC196613 JOY196613 JYU196613 KIQ196613 KSM196613 LCI196613 LME196613 LWA196613 MFW196613 MPS196613 MZO196613 NJK196613 NTG196613 ODC196613 OMY196613 OWU196613 PGQ196613 PQM196613 QAI196613 QKE196613 QUA196613 RDW196613 RNS196613 RXO196613 SHK196613 SRG196613 TBC196613 TKY196613 TUU196613 UEQ196613 UOM196613 UYI196613 VIE196613 VSA196613 WBW196613 WLS196613 WVO196613 N262149 JC262149 SY262149 ACU262149 AMQ262149 AWM262149 BGI262149 BQE262149 CAA262149 CJW262149 CTS262149 DDO262149 DNK262149 DXG262149 EHC262149 EQY262149 FAU262149 FKQ262149 FUM262149 GEI262149 GOE262149 GYA262149 HHW262149 HRS262149 IBO262149 ILK262149 IVG262149 JFC262149 JOY262149 JYU262149 KIQ262149 KSM262149 LCI262149 LME262149 LWA262149 MFW262149 MPS262149 MZO262149 NJK262149 NTG262149 ODC262149 OMY262149 OWU262149 PGQ262149 PQM262149 QAI262149 QKE262149 QUA262149 RDW262149 RNS262149 RXO262149 SHK262149 SRG262149 TBC262149 TKY262149 TUU262149 UEQ262149 UOM262149 UYI262149 VIE262149 VSA262149 WBW262149 WLS262149 WVO262149 N327685 JC327685 SY327685 ACU327685 AMQ327685 AWM327685 BGI327685 BQE327685 CAA327685 CJW327685 CTS327685 DDO327685 DNK327685 DXG327685 EHC327685 EQY327685 FAU327685 FKQ327685 FUM327685 GEI327685 GOE327685 GYA327685 HHW327685 HRS327685 IBO327685 ILK327685 IVG327685 JFC327685 JOY327685 JYU327685 KIQ327685 KSM327685 LCI327685 LME327685 LWA327685 MFW327685 MPS327685 MZO327685 NJK327685 NTG327685 ODC327685 OMY327685 OWU327685 PGQ327685 PQM327685 QAI327685 QKE327685 QUA327685 RDW327685 RNS327685 RXO327685 SHK327685 SRG327685 TBC327685 TKY327685 TUU327685 UEQ327685 UOM327685 UYI327685 VIE327685 VSA327685 WBW327685 WLS327685 WVO327685 N393221 JC393221 SY393221 ACU393221 AMQ393221 AWM393221 BGI393221 BQE393221 CAA393221 CJW393221 CTS393221 DDO393221 DNK393221 DXG393221 EHC393221 EQY393221 FAU393221 FKQ393221 FUM393221 GEI393221 GOE393221 GYA393221 HHW393221 HRS393221 IBO393221 ILK393221 IVG393221 JFC393221 JOY393221 JYU393221 KIQ393221 KSM393221 LCI393221 LME393221 LWA393221 MFW393221 MPS393221 MZO393221 NJK393221 NTG393221 ODC393221 OMY393221 OWU393221 PGQ393221 PQM393221 QAI393221 QKE393221 QUA393221 RDW393221 RNS393221 RXO393221 SHK393221 SRG393221 TBC393221 TKY393221 TUU393221 UEQ393221 UOM393221 UYI393221 VIE393221 VSA393221 WBW393221 WLS393221 WVO393221 N458757 JC458757 SY458757 ACU458757 AMQ458757 AWM458757 BGI458757 BQE458757 CAA458757 CJW458757 CTS458757 DDO458757 DNK458757 DXG458757 EHC458757 EQY458757 FAU458757 FKQ458757 FUM458757 GEI458757 GOE458757 GYA458757 HHW458757 HRS458757 IBO458757 ILK458757 IVG458757 JFC458757 JOY458757 JYU458757 KIQ458757 KSM458757 LCI458757 LME458757 LWA458757 MFW458757 MPS458757 MZO458757 NJK458757 NTG458757 ODC458757 OMY458757 OWU458757 PGQ458757 PQM458757 QAI458757 QKE458757 QUA458757 RDW458757 RNS458757 RXO458757 SHK458757 SRG458757 TBC458757 TKY458757 TUU458757 UEQ458757 UOM458757 UYI458757 VIE458757 VSA458757 WBW458757 WLS458757 WVO458757 N524293 JC524293 SY524293 ACU524293 AMQ524293 AWM524293 BGI524293 BQE524293 CAA524293 CJW524293 CTS524293 DDO524293 DNK524293 DXG524293 EHC524293 EQY524293 FAU524293 FKQ524293 FUM524293 GEI524293 GOE524293 GYA524293 HHW524293 HRS524293 IBO524293 ILK524293 IVG524293 JFC524293 JOY524293 JYU524293 KIQ524293 KSM524293 LCI524293 LME524293 LWA524293 MFW524293 MPS524293 MZO524293 NJK524293 NTG524293 ODC524293 OMY524293 OWU524293 PGQ524293 PQM524293 QAI524293 QKE524293 QUA524293 RDW524293 RNS524293 RXO524293 SHK524293 SRG524293 TBC524293 TKY524293 TUU524293 UEQ524293 UOM524293 UYI524293 VIE524293 VSA524293 WBW524293 WLS524293 WVO524293 N589829 JC589829 SY589829 ACU589829 AMQ589829 AWM589829 BGI589829 BQE589829 CAA589829 CJW589829 CTS589829 DDO589829 DNK589829 DXG589829 EHC589829 EQY589829 FAU589829 FKQ589829 FUM589829 GEI589829 GOE589829 GYA589829 HHW589829 HRS589829 IBO589829 ILK589829 IVG589829 JFC589829 JOY589829 JYU589829 KIQ589829 KSM589829 LCI589829 LME589829 LWA589829 MFW589829 MPS589829 MZO589829 NJK589829 NTG589829 ODC589829 OMY589829 OWU589829 PGQ589829 PQM589829 QAI589829 QKE589829 QUA589829 RDW589829 RNS589829 RXO589829 SHK589829 SRG589829 TBC589829 TKY589829 TUU589829 UEQ589829 UOM589829 UYI589829 VIE589829 VSA589829 WBW589829 WLS589829 WVO589829 N655365 JC655365 SY655365 ACU655365 AMQ655365 AWM655365 BGI655365 BQE655365 CAA655365 CJW655365 CTS655365 DDO655365 DNK655365 DXG655365 EHC655365 EQY655365 FAU655365 FKQ655365 FUM655365 GEI655365 GOE655365 GYA655365 HHW655365 HRS655365 IBO655365 ILK655365 IVG655365 JFC655365 JOY655365 JYU655365 KIQ655365 KSM655365 LCI655365 LME655365 LWA655365 MFW655365 MPS655365 MZO655365 NJK655365 NTG655365 ODC655365 OMY655365 OWU655365 PGQ655365 PQM655365 QAI655365 QKE655365 QUA655365 RDW655365 RNS655365 RXO655365 SHK655365 SRG655365 TBC655365 TKY655365 TUU655365 UEQ655365 UOM655365 UYI655365 VIE655365 VSA655365 WBW655365 WLS655365 WVO655365 N720901 JC720901 SY720901 ACU720901 AMQ720901 AWM720901 BGI720901 BQE720901 CAA720901 CJW720901 CTS720901 DDO720901 DNK720901 DXG720901 EHC720901 EQY720901 FAU720901 FKQ720901 FUM720901 GEI720901 GOE720901 GYA720901 HHW720901 HRS720901 IBO720901 ILK720901 IVG720901 JFC720901 JOY720901 JYU720901 KIQ720901 KSM720901 LCI720901 LME720901 LWA720901 MFW720901 MPS720901 MZO720901 NJK720901 NTG720901 ODC720901 OMY720901 OWU720901 PGQ720901 PQM720901 QAI720901 QKE720901 QUA720901 RDW720901 RNS720901 RXO720901 SHK720901 SRG720901 TBC720901 TKY720901 TUU720901 UEQ720901 UOM720901 UYI720901 VIE720901 VSA720901 WBW720901 WLS720901 WVO720901 N786437 JC786437 SY786437 ACU786437 AMQ786437 AWM786437 BGI786437 BQE786437 CAA786437 CJW786437 CTS786437 DDO786437 DNK786437 DXG786437 EHC786437 EQY786437 FAU786437 FKQ786437 FUM786437 GEI786437 GOE786437 GYA786437 HHW786437 HRS786437 IBO786437 ILK786437 IVG786437 JFC786437 JOY786437 JYU786437 KIQ786437 KSM786437 LCI786437 LME786437 LWA786437 MFW786437 MPS786437 MZO786437 NJK786437 NTG786437 ODC786437 OMY786437 OWU786437 PGQ786437 PQM786437 QAI786437 QKE786437 QUA786437 RDW786437 RNS786437 RXO786437 SHK786437 SRG786437 TBC786437 TKY786437 TUU786437 UEQ786437 UOM786437 UYI786437 VIE786437 VSA786437 WBW786437 WLS786437 WVO786437 N851973 JC851973 SY851973 ACU851973 AMQ851973 AWM851973 BGI851973 BQE851973 CAA851973 CJW851973 CTS851973 DDO851973 DNK851973 DXG851973 EHC851973 EQY851973 FAU851973 FKQ851973 FUM851973 GEI851973 GOE851973 GYA851973 HHW851973 HRS851973 IBO851973 ILK851973 IVG851973 JFC851973 JOY851973 JYU851973 KIQ851973 KSM851973 LCI851973 LME851973 LWA851973 MFW851973 MPS851973 MZO851973 NJK851973 NTG851973 ODC851973 OMY851973 OWU851973 PGQ851973 PQM851973 QAI851973 QKE851973 QUA851973 RDW851973 RNS851973 RXO851973 SHK851973 SRG851973 TBC851973 TKY851973 TUU851973 UEQ851973 UOM851973 UYI851973 VIE851973 VSA851973 WBW851973 WLS851973 WVO851973 N917509 JC917509 SY917509 ACU917509 AMQ917509 AWM917509 BGI917509 BQE917509 CAA917509 CJW917509 CTS917509 DDO917509 DNK917509 DXG917509 EHC917509 EQY917509 FAU917509 FKQ917509 FUM917509 GEI917509 GOE917509 GYA917509 HHW917509 HRS917509 IBO917509 ILK917509 IVG917509 JFC917509 JOY917509 JYU917509 KIQ917509 KSM917509 LCI917509 LME917509 LWA917509 MFW917509 MPS917509 MZO917509 NJK917509 NTG917509 ODC917509 OMY917509 OWU917509 PGQ917509 PQM917509 QAI917509 QKE917509 QUA917509 RDW917509 RNS917509 RXO917509 SHK917509 SRG917509 TBC917509 TKY917509 TUU917509 UEQ917509 UOM917509 UYI917509 VIE917509 VSA917509 WBW917509 WLS917509 WVO917509 N983045 JC983045 SY983045 ACU983045 AMQ983045 AWM983045 BGI983045 BQE983045 CAA983045 CJW983045 CTS983045 DDO983045 DNK983045 DXG983045 EHC983045 EQY983045 FAU983045 FKQ983045 FUM983045 GEI983045 GOE983045 GYA983045 HHW983045 HRS983045 IBO983045 ILK983045 IVG983045 JFC983045 JOY983045 JYU983045 KIQ983045 KSM983045 LCI983045 LME983045 LWA983045 MFW983045 MPS983045 MZO983045 NJK983045 NTG983045 ODC983045 OMY983045 OWU983045 PGQ983045 PQM983045 QAI983045 QKE983045 QUA983045 RDW983045 RNS983045 RXO983045 SHK983045 SRG983045 TBC983045 TKY983045 TUU983045 UEQ983045 UOM983045 UYI983045 VIE983045 VSA983045 WBW983045 WLS983045 WVO983045 AJ5" xr:uid="{741FCB57-581F-4629-97A9-BB7D4D734457}">
      <formula1>"Y,N"</formula1>
    </dataValidation>
    <dataValidation type="list" allowBlank="1" showInputMessage="1" showErrorMessage="1" sqref="N3:N4 JC3:JC4 SY3:SY4 ACU3:ACU4 AMQ3:AMQ4 AWM3:AWM4 BGI3:BGI4 BQE3:BQE4 CAA3:CAA4 CJW3:CJW4 CTS3:CTS4 DDO3:DDO4 DNK3:DNK4 DXG3:DXG4 EHC3:EHC4 EQY3:EQY4 FAU3:FAU4 FKQ3:FKQ4 FUM3:FUM4 GEI3:GEI4 GOE3:GOE4 GYA3:GYA4 HHW3:HHW4 HRS3:HRS4 IBO3:IBO4 ILK3:ILK4 IVG3:IVG4 JFC3:JFC4 JOY3:JOY4 JYU3:JYU4 KIQ3:KIQ4 KSM3:KSM4 LCI3:LCI4 LME3:LME4 LWA3:LWA4 MFW3:MFW4 MPS3:MPS4 MZO3:MZO4 NJK3:NJK4 NTG3:NTG4 ODC3:ODC4 OMY3:OMY4 OWU3:OWU4 PGQ3:PGQ4 PQM3:PQM4 QAI3:QAI4 QKE3:QKE4 QUA3:QUA4 RDW3:RDW4 RNS3:RNS4 RXO3:RXO4 SHK3:SHK4 SRG3:SRG4 TBC3:TBC4 TKY3:TKY4 TUU3:TUU4 UEQ3:UEQ4 UOM3:UOM4 UYI3:UYI4 VIE3:VIE4 VSA3:VSA4 WBW3:WBW4 WLS3:WLS4 WVO3:WVO4 N65539:N65540 JC65539:JC65540 SY65539:SY65540 ACU65539:ACU65540 AMQ65539:AMQ65540 AWM65539:AWM65540 BGI65539:BGI65540 BQE65539:BQE65540 CAA65539:CAA65540 CJW65539:CJW65540 CTS65539:CTS65540 DDO65539:DDO65540 DNK65539:DNK65540 DXG65539:DXG65540 EHC65539:EHC65540 EQY65539:EQY65540 FAU65539:FAU65540 FKQ65539:FKQ65540 FUM65539:FUM65540 GEI65539:GEI65540 GOE65539:GOE65540 GYA65539:GYA65540 HHW65539:HHW65540 HRS65539:HRS65540 IBO65539:IBO65540 ILK65539:ILK65540 IVG65539:IVG65540 JFC65539:JFC65540 JOY65539:JOY65540 JYU65539:JYU65540 KIQ65539:KIQ65540 KSM65539:KSM65540 LCI65539:LCI65540 LME65539:LME65540 LWA65539:LWA65540 MFW65539:MFW65540 MPS65539:MPS65540 MZO65539:MZO65540 NJK65539:NJK65540 NTG65539:NTG65540 ODC65539:ODC65540 OMY65539:OMY65540 OWU65539:OWU65540 PGQ65539:PGQ65540 PQM65539:PQM65540 QAI65539:QAI65540 QKE65539:QKE65540 QUA65539:QUA65540 RDW65539:RDW65540 RNS65539:RNS65540 RXO65539:RXO65540 SHK65539:SHK65540 SRG65539:SRG65540 TBC65539:TBC65540 TKY65539:TKY65540 TUU65539:TUU65540 UEQ65539:UEQ65540 UOM65539:UOM65540 UYI65539:UYI65540 VIE65539:VIE65540 VSA65539:VSA65540 WBW65539:WBW65540 WLS65539:WLS65540 WVO65539:WVO65540 N131075:N131076 JC131075:JC131076 SY131075:SY131076 ACU131075:ACU131076 AMQ131075:AMQ131076 AWM131075:AWM131076 BGI131075:BGI131076 BQE131075:BQE131076 CAA131075:CAA131076 CJW131075:CJW131076 CTS131075:CTS131076 DDO131075:DDO131076 DNK131075:DNK131076 DXG131075:DXG131076 EHC131075:EHC131076 EQY131075:EQY131076 FAU131075:FAU131076 FKQ131075:FKQ131076 FUM131075:FUM131076 GEI131075:GEI131076 GOE131075:GOE131076 GYA131075:GYA131076 HHW131075:HHW131076 HRS131075:HRS131076 IBO131075:IBO131076 ILK131075:ILK131076 IVG131075:IVG131076 JFC131075:JFC131076 JOY131075:JOY131076 JYU131075:JYU131076 KIQ131075:KIQ131076 KSM131075:KSM131076 LCI131075:LCI131076 LME131075:LME131076 LWA131075:LWA131076 MFW131075:MFW131076 MPS131075:MPS131076 MZO131075:MZO131076 NJK131075:NJK131076 NTG131075:NTG131076 ODC131075:ODC131076 OMY131075:OMY131076 OWU131075:OWU131076 PGQ131075:PGQ131076 PQM131075:PQM131076 QAI131075:QAI131076 QKE131075:QKE131076 QUA131075:QUA131076 RDW131075:RDW131076 RNS131075:RNS131076 RXO131075:RXO131076 SHK131075:SHK131076 SRG131075:SRG131076 TBC131075:TBC131076 TKY131075:TKY131076 TUU131075:TUU131076 UEQ131075:UEQ131076 UOM131075:UOM131076 UYI131075:UYI131076 VIE131075:VIE131076 VSA131075:VSA131076 WBW131075:WBW131076 WLS131075:WLS131076 WVO131075:WVO131076 N196611:N196612 JC196611:JC196612 SY196611:SY196612 ACU196611:ACU196612 AMQ196611:AMQ196612 AWM196611:AWM196612 BGI196611:BGI196612 BQE196611:BQE196612 CAA196611:CAA196612 CJW196611:CJW196612 CTS196611:CTS196612 DDO196611:DDO196612 DNK196611:DNK196612 DXG196611:DXG196612 EHC196611:EHC196612 EQY196611:EQY196612 FAU196611:FAU196612 FKQ196611:FKQ196612 FUM196611:FUM196612 GEI196611:GEI196612 GOE196611:GOE196612 GYA196611:GYA196612 HHW196611:HHW196612 HRS196611:HRS196612 IBO196611:IBO196612 ILK196611:ILK196612 IVG196611:IVG196612 JFC196611:JFC196612 JOY196611:JOY196612 JYU196611:JYU196612 KIQ196611:KIQ196612 KSM196611:KSM196612 LCI196611:LCI196612 LME196611:LME196612 LWA196611:LWA196612 MFW196611:MFW196612 MPS196611:MPS196612 MZO196611:MZO196612 NJK196611:NJK196612 NTG196611:NTG196612 ODC196611:ODC196612 OMY196611:OMY196612 OWU196611:OWU196612 PGQ196611:PGQ196612 PQM196611:PQM196612 QAI196611:QAI196612 QKE196611:QKE196612 QUA196611:QUA196612 RDW196611:RDW196612 RNS196611:RNS196612 RXO196611:RXO196612 SHK196611:SHK196612 SRG196611:SRG196612 TBC196611:TBC196612 TKY196611:TKY196612 TUU196611:TUU196612 UEQ196611:UEQ196612 UOM196611:UOM196612 UYI196611:UYI196612 VIE196611:VIE196612 VSA196611:VSA196612 WBW196611:WBW196612 WLS196611:WLS196612 WVO196611:WVO196612 N262147:N262148 JC262147:JC262148 SY262147:SY262148 ACU262147:ACU262148 AMQ262147:AMQ262148 AWM262147:AWM262148 BGI262147:BGI262148 BQE262147:BQE262148 CAA262147:CAA262148 CJW262147:CJW262148 CTS262147:CTS262148 DDO262147:DDO262148 DNK262147:DNK262148 DXG262147:DXG262148 EHC262147:EHC262148 EQY262147:EQY262148 FAU262147:FAU262148 FKQ262147:FKQ262148 FUM262147:FUM262148 GEI262147:GEI262148 GOE262147:GOE262148 GYA262147:GYA262148 HHW262147:HHW262148 HRS262147:HRS262148 IBO262147:IBO262148 ILK262147:ILK262148 IVG262147:IVG262148 JFC262147:JFC262148 JOY262147:JOY262148 JYU262147:JYU262148 KIQ262147:KIQ262148 KSM262147:KSM262148 LCI262147:LCI262148 LME262147:LME262148 LWA262147:LWA262148 MFW262147:MFW262148 MPS262147:MPS262148 MZO262147:MZO262148 NJK262147:NJK262148 NTG262147:NTG262148 ODC262147:ODC262148 OMY262147:OMY262148 OWU262147:OWU262148 PGQ262147:PGQ262148 PQM262147:PQM262148 QAI262147:QAI262148 QKE262147:QKE262148 QUA262147:QUA262148 RDW262147:RDW262148 RNS262147:RNS262148 RXO262147:RXO262148 SHK262147:SHK262148 SRG262147:SRG262148 TBC262147:TBC262148 TKY262147:TKY262148 TUU262147:TUU262148 UEQ262147:UEQ262148 UOM262147:UOM262148 UYI262147:UYI262148 VIE262147:VIE262148 VSA262147:VSA262148 WBW262147:WBW262148 WLS262147:WLS262148 WVO262147:WVO262148 N327683:N327684 JC327683:JC327684 SY327683:SY327684 ACU327683:ACU327684 AMQ327683:AMQ327684 AWM327683:AWM327684 BGI327683:BGI327684 BQE327683:BQE327684 CAA327683:CAA327684 CJW327683:CJW327684 CTS327683:CTS327684 DDO327683:DDO327684 DNK327683:DNK327684 DXG327683:DXG327684 EHC327683:EHC327684 EQY327683:EQY327684 FAU327683:FAU327684 FKQ327683:FKQ327684 FUM327683:FUM327684 GEI327683:GEI327684 GOE327683:GOE327684 GYA327683:GYA327684 HHW327683:HHW327684 HRS327683:HRS327684 IBO327683:IBO327684 ILK327683:ILK327684 IVG327683:IVG327684 JFC327683:JFC327684 JOY327683:JOY327684 JYU327683:JYU327684 KIQ327683:KIQ327684 KSM327683:KSM327684 LCI327683:LCI327684 LME327683:LME327684 LWA327683:LWA327684 MFW327683:MFW327684 MPS327683:MPS327684 MZO327683:MZO327684 NJK327683:NJK327684 NTG327683:NTG327684 ODC327683:ODC327684 OMY327683:OMY327684 OWU327683:OWU327684 PGQ327683:PGQ327684 PQM327683:PQM327684 QAI327683:QAI327684 QKE327683:QKE327684 QUA327683:QUA327684 RDW327683:RDW327684 RNS327683:RNS327684 RXO327683:RXO327684 SHK327683:SHK327684 SRG327683:SRG327684 TBC327683:TBC327684 TKY327683:TKY327684 TUU327683:TUU327684 UEQ327683:UEQ327684 UOM327683:UOM327684 UYI327683:UYI327684 VIE327683:VIE327684 VSA327683:VSA327684 WBW327683:WBW327684 WLS327683:WLS327684 WVO327683:WVO327684 N393219:N393220 JC393219:JC393220 SY393219:SY393220 ACU393219:ACU393220 AMQ393219:AMQ393220 AWM393219:AWM393220 BGI393219:BGI393220 BQE393219:BQE393220 CAA393219:CAA393220 CJW393219:CJW393220 CTS393219:CTS393220 DDO393219:DDO393220 DNK393219:DNK393220 DXG393219:DXG393220 EHC393219:EHC393220 EQY393219:EQY393220 FAU393219:FAU393220 FKQ393219:FKQ393220 FUM393219:FUM393220 GEI393219:GEI393220 GOE393219:GOE393220 GYA393219:GYA393220 HHW393219:HHW393220 HRS393219:HRS393220 IBO393219:IBO393220 ILK393219:ILK393220 IVG393219:IVG393220 JFC393219:JFC393220 JOY393219:JOY393220 JYU393219:JYU393220 KIQ393219:KIQ393220 KSM393219:KSM393220 LCI393219:LCI393220 LME393219:LME393220 LWA393219:LWA393220 MFW393219:MFW393220 MPS393219:MPS393220 MZO393219:MZO393220 NJK393219:NJK393220 NTG393219:NTG393220 ODC393219:ODC393220 OMY393219:OMY393220 OWU393219:OWU393220 PGQ393219:PGQ393220 PQM393219:PQM393220 QAI393219:QAI393220 QKE393219:QKE393220 QUA393219:QUA393220 RDW393219:RDW393220 RNS393219:RNS393220 RXO393219:RXO393220 SHK393219:SHK393220 SRG393219:SRG393220 TBC393219:TBC393220 TKY393219:TKY393220 TUU393219:TUU393220 UEQ393219:UEQ393220 UOM393219:UOM393220 UYI393219:UYI393220 VIE393219:VIE393220 VSA393219:VSA393220 WBW393219:WBW393220 WLS393219:WLS393220 WVO393219:WVO393220 N458755:N458756 JC458755:JC458756 SY458755:SY458756 ACU458755:ACU458756 AMQ458755:AMQ458756 AWM458755:AWM458756 BGI458755:BGI458756 BQE458755:BQE458756 CAA458755:CAA458756 CJW458755:CJW458756 CTS458755:CTS458756 DDO458755:DDO458756 DNK458755:DNK458756 DXG458755:DXG458756 EHC458755:EHC458756 EQY458755:EQY458756 FAU458755:FAU458756 FKQ458755:FKQ458756 FUM458755:FUM458756 GEI458755:GEI458756 GOE458755:GOE458756 GYA458755:GYA458756 HHW458755:HHW458756 HRS458755:HRS458756 IBO458755:IBO458756 ILK458755:ILK458756 IVG458755:IVG458756 JFC458755:JFC458756 JOY458755:JOY458756 JYU458755:JYU458756 KIQ458755:KIQ458756 KSM458755:KSM458756 LCI458755:LCI458756 LME458755:LME458756 LWA458755:LWA458756 MFW458755:MFW458756 MPS458755:MPS458756 MZO458755:MZO458756 NJK458755:NJK458756 NTG458755:NTG458756 ODC458755:ODC458756 OMY458755:OMY458756 OWU458755:OWU458756 PGQ458755:PGQ458756 PQM458755:PQM458756 QAI458755:QAI458756 QKE458755:QKE458756 QUA458755:QUA458756 RDW458755:RDW458756 RNS458755:RNS458756 RXO458755:RXO458756 SHK458755:SHK458756 SRG458755:SRG458756 TBC458755:TBC458756 TKY458755:TKY458756 TUU458755:TUU458756 UEQ458755:UEQ458756 UOM458755:UOM458756 UYI458755:UYI458756 VIE458755:VIE458756 VSA458755:VSA458756 WBW458755:WBW458756 WLS458755:WLS458756 WVO458755:WVO458756 N524291:N524292 JC524291:JC524292 SY524291:SY524292 ACU524291:ACU524292 AMQ524291:AMQ524292 AWM524291:AWM524292 BGI524291:BGI524292 BQE524291:BQE524292 CAA524291:CAA524292 CJW524291:CJW524292 CTS524291:CTS524292 DDO524291:DDO524292 DNK524291:DNK524292 DXG524291:DXG524292 EHC524291:EHC524292 EQY524291:EQY524292 FAU524291:FAU524292 FKQ524291:FKQ524292 FUM524291:FUM524292 GEI524291:GEI524292 GOE524291:GOE524292 GYA524291:GYA524292 HHW524291:HHW524292 HRS524291:HRS524292 IBO524291:IBO524292 ILK524291:ILK524292 IVG524291:IVG524292 JFC524291:JFC524292 JOY524291:JOY524292 JYU524291:JYU524292 KIQ524291:KIQ524292 KSM524291:KSM524292 LCI524291:LCI524292 LME524291:LME524292 LWA524291:LWA524292 MFW524291:MFW524292 MPS524291:MPS524292 MZO524291:MZO524292 NJK524291:NJK524292 NTG524291:NTG524292 ODC524291:ODC524292 OMY524291:OMY524292 OWU524291:OWU524292 PGQ524291:PGQ524292 PQM524291:PQM524292 QAI524291:QAI524292 QKE524291:QKE524292 QUA524291:QUA524292 RDW524291:RDW524292 RNS524291:RNS524292 RXO524291:RXO524292 SHK524291:SHK524292 SRG524291:SRG524292 TBC524291:TBC524292 TKY524291:TKY524292 TUU524291:TUU524292 UEQ524291:UEQ524292 UOM524291:UOM524292 UYI524291:UYI524292 VIE524291:VIE524292 VSA524291:VSA524292 WBW524291:WBW524292 WLS524291:WLS524292 WVO524291:WVO524292 N589827:N589828 JC589827:JC589828 SY589827:SY589828 ACU589827:ACU589828 AMQ589827:AMQ589828 AWM589827:AWM589828 BGI589827:BGI589828 BQE589827:BQE589828 CAA589827:CAA589828 CJW589827:CJW589828 CTS589827:CTS589828 DDO589827:DDO589828 DNK589827:DNK589828 DXG589827:DXG589828 EHC589827:EHC589828 EQY589827:EQY589828 FAU589827:FAU589828 FKQ589827:FKQ589828 FUM589827:FUM589828 GEI589827:GEI589828 GOE589827:GOE589828 GYA589827:GYA589828 HHW589827:HHW589828 HRS589827:HRS589828 IBO589827:IBO589828 ILK589827:ILK589828 IVG589827:IVG589828 JFC589827:JFC589828 JOY589827:JOY589828 JYU589827:JYU589828 KIQ589827:KIQ589828 KSM589827:KSM589828 LCI589827:LCI589828 LME589827:LME589828 LWA589827:LWA589828 MFW589827:MFW589828 MPS589827:MPS589828 MZO589827:MZO589828 NJK589827:NJK589828 NTG589827:NTG589828 ODC589827:ODC589828 OMY589827:OMY589828 OWU589827:OWU589828 PGQ589827:PGQ589828 PQM589827:PQM589828 QAI589827:QAI589828 QKE589827:QKE589828 QUA589827:QUA589828 RDW589827:RDW589828 RNS589827:RNS589828 RXO589827:RXO589828 SHK589827:SHK589828 SRG589827:SRG589828 TBC589827:TBC589828 TKY589827:TKY589828 TUU589827:TUU589828 UEQ589827:UEQ589828 UOM589827:UOM589828 UYI589827:UYI589828 VIE589827:VIE589828 VSA589827:VSA589828 WBW589827:WBW589828 WLS589827:WLS589828 WVO589827:WVO589828 N655363:N655364 JC655363:JC655364 SY655363:SY655364 ACU655363:ACU655364 AMQ655363:AMQ655364 AWM655363:AWM655364 BGI655363:BGI655364 BQE655363:BQE655364 CAA655363:CAA655364 CJW655363:CJW655364 CTS655363:CTS655364 DDO655363:DDO655364 DNK655363:DNK655364 DXG655363:DXG655364 EHC655363:EHC655364 EQY655363:EQY655364 FAU655363:FAU655364 FKQ655363:FKQ655364 FUM655363:FUM655364 GEI655363:GEI655364 GOE655363:GOE655364 GYA655363:GYA655364 HHW655363:HHW655364 HRS655363:HRS655364 IBO655363:IBO655364 ILK655363:ILK655364 IVG655363:IVG655364 JFC655363:JFC655364 JOY655363:JOY655364 JYU655363:JYU655364 KIQ655363:KIQ655364 KSM655363:KSM655364 LCI655363:LCI655364 LME655363:LME655364 LWA655363:LWA655364 MFW655363:MFW655364 MPS655363:MPS655364 MZO655363:MZO655364 NJK655363:NJK655364 NTG655363:NTG655364 ODC655363:ODC655364 OMY655363:OMY655364 OWU655363:OWU655364 PGQ655363:PGQ655364 PQM655363:PQM655364 QAI655363:QAI655364 QKE655363:QKE655364 QUA655363:QUA655364 RDW655363:RDW655364 RNS655363:RNS655364 RXO655363:RXO655364 SHK655363:SHK655364 SRG655363:SRG655364 TBC655363:TBC655364 TKY655363:TKY655364 TUU655363:TUU655364 UEQ655363:UEQ655364 UOM655363:UOM655364 UYI655363:UYI655364 VIE655363:VIE655364 VSA655363:VSA655364 WBW655363:WBW655364 WLS655363:WLS655364 WVO655363:WVO655364 N720899:N720900 JC720899:JC720900 SY720899:SY720900 ACU720899:ACU720900 AMQ720899:AMQ720900 AWM720899:AWM720900 BGI720899:BGI720900 BQE720899:BQE720900 CAA720899:CAA720900 CJW720899:CJW720900 CTS720899:CTS720900 DDO720899:DDO720900 DNK720899:DNK720900 DXG720899:DXG720900 EHC720899:EHC720900 EQY720899:EQY720900 FAU720899:FAU720900 FKQ720899:FKQ720900 FUM720899:FUM720900 GEI720899:GEI720900 GOE720899:GOE720900 GYA720899:GYA720900 HHW720899:HHW720900 HRS720899:HRS720900 IBO720899:IBO720900 ILK720899:ILK720900 IVG720899:IVG720900 JFC720899:JFC720900 JOY720899:JOY720900 JYU720899:JYU720900 KIQ720899:KIQ720900 KSM720899:KSM720900 LCI720899:LCI720900 LME720899:LME720900 LWA720899:LWA720900 MFW720899:MFW720900 MPS720899:MPS720900 MZO720899:MZO720900 NJK720899:NJK720900 NTG720899:NTG720900 ODC720899:ODC720900 OMY720899:OMY720900 OWU720899:OWU720900 PGQ720899:PGQ720900 PQM720899:PQM720900 QAI720899:QAI720900 QKE720899:QKE720900 QUA720899:QUA720900 RDW720899:RDW720900 RNS720899:RNS720900 RXO720899:RXO720900 SHK720899:SHK720900 SRG720899:SRG720900 TBC720899:TBC720900 TKY720899:TKY720900 TUU720899:TUU720900 UEQ720899:UEQ720900 UOM720899:UOM720900 UYI720899:UYI720900 VIE720899:VIE720900 VSA720899:VSA720900 WBW720899:WBW720900 WLS720899:WLS720900 WVO720899:WVO720900 N786435:N786436 JC786435:JC786436 SY786435:SY786436 ACU786435:ACU786436 AMQ786435:AMQ786436 AWM786435:AWM786436 BGI786435:BGI786436 BQE786435:BQE786436 CAA786435:CAA786436 CJW786435:CJW786436 CTS786435:CTS786436 DDO786435:DDO786436 DNK786435:DNK786436 DXG786435:DXG786436 EHC786435:EHC786436 EQY786435:EQY786436 FAU786435:FAU786436 FKQ786435:FKQ786436 FUM786435:FUM786436 GEI786435:GEI786436 GOE786435:GOE786436 GYA786435:GYA786436 HHW786435:HHW786436 HRS786435:HRS786436 IBO786435:IBO786436 ILK786435:ILK786436 IVG786435:IVG786436 JFC786435:JFC786436 JOY786435:JOY786436 JYU786435:JYU786436 KIQ786435:KIQ786436 KSM786435:KSM786436 LCI786435:LCI786436 LME786435:LME786436 LWA786435:LWA786436 MFW786435:MFW786436 MPS786435:MPS786436 MZO786435:MZO786436 NJK786435:NJK786436 NTG786435:NTG786436 ODC786435:ODC786436 OMY786435:OMY786436 OWU786435:OWU786436 PGQ786435:PGQ786436 PQM786435:PQM786436 QAI786435:QAI786436 QKE786435:QKE786436 QUA786435:QUA786436 RDW786435:RDW786436 RNS786435:RNS786436 RXO786435:RXO786436 SHK786435:SHK786436 SRG786435:SRG786436 TBC786435:TBC786436 TKY786435:TKY786436 TUU786435:TUU786436 UEQ786435:UEQ786436 UOM786435:UOM786436 UYI786435:UYI786436 VIE786435:VIE786436 VSA786435:VSA786436 WBW786435:WBW786436 WLS786435:WLS786436 WVO786435:WVO786436 N851971:N851972 JC851971:JC851972 SY851971:SY851972 ACU851971:ACU851972 AMQ851971:AMQ851972 AWM851971:AWM851972 BGI851971:BGI851972 BQE851971:BQE851972 CAA851971:CAA851972 CJW851971:CJW851972 CTS851971:CTS851972 DDO851971:DDO851972 DNK851971:DNK851972 DXG851971:DXG851972 EHC851971:EHC851972 EQY851971:EQY851972 FAU851971:FAU851972 FKQ851971:FKQ851972 FUM851971:FUM851972 GEI851971:GEI851972 GOE851971:GOE851972 GYA851971:GYA851972 HHW851971:HHW851972 HRS851971:HRS851972 IBO851971:IBO851972 ILK851971:ILK851972 IVG851971:IVG851972 JFC851971:JFC851972 JOY851971:JOY851972 JYU851971:JYU851972 KIQ851971:KIQ851972 KSM851971:KSM851972 LCI851971:LCI851972 LME851971:LME851972 LWA851971:LWA851972 MFW851971:MFW851972 MPS851971:MPS851972 MZO851971:MZO851972 NJK851971:NJK851972 NTG851971:NTG851972 ODC851971:ODC851972 OMY851971:OMY851972 OWU851971:OWU851972 PGQ851971:PGQ851972 PQM851971:PQM851972 QAI851971:QAI851972 QKE851971:QKE851972 QUA851971:QUA851972 RDW851971:RDW851972 RNS851971:RNS851972 RXO851971:RXO851972 SHK851971:SHK851972 SRG851971:SRG851972 TBC851971:TBC851972 TKY851971:TKY851972 TUU851971:TUU851972 UEQ851971:UEQ851972 UOM851971:UOM851972 UYI851971:UYI851972 VIE851971:VIE851972 VSA851971:VSA851972 WBW851971:WBW851972 WLS851971:WLS851972 WVO851971:WVO851972 N917507:N917508 JC917507:JC917508 SY917507:SY917508 ACU917507:ACU917508 AMQ917507:AMQ917508 AWM917507:AWM917508 BGI917507:BGI917508 BQE917507:BQE917508 CAA917507:CAA917508 CJW917507:CJW917508 CTS917507:CTS917508 DDO917507:DDO917508 DNK917507:DNK917508 DXG917507:DXG917508 EHC917507:EHC917508 EQY917507:EQY917508 FAU917507:FAU917508 FKQ917507:FKQ917508 FUM917507:FUM917508 GEI917507:GEI917508 GOE917507:GOE917508 GYA917507:GYA917508 HHW917507:HHW917508 HRS917507:HRS917508 IBO917507:IBO917508 ILK917507:ILK917508 IVG917507:IVG917508 JFC917507:JFC917508 JOY917507:JOY917508 JYU917507:JYU917508 KIQ917507:KIQ917508 KSM917507:KSM917508 LCI917507:LCI917508 LME917507:LME917508 LWA917507:LWA917508 MFW917507:MFW917508 MPS917507:MPS917508 MZO917507:MZO917508 NJK917507:NJK917508 NTG917507:NTG917508 ODC917507:ODC917508 OMY917507:OMY917508 OWU917507:OWU917508 PGQ917507:PGQ917508 PQM917507:PQM917508 QAI917507:QAI917508 QKE917507:QKE917508 QUA917507:QUA917508 RDW917507:RDW917508 RNS917507:RNS917508 RXO917507:RXO917508 SHK917507:SHK917508 SRG917507:SRG917508 TBC917507:TBC917508 TKY917507:TKY917508 TUU917507:TUU917508 UEQ917507:UEQ917508 UOM917507:UOM917508 UYI917507:UYI917508 VIE917507:VIE917508 VSA917507:VSA917508 WBW917507:WBW917508 WLS917507:WLS917508 WVO917507:WVO917508 N983043:N983044 JC983043:JC983044 SY983043:SY983044 ACU983043:ACU983044 AMQ983043:AMQ983044 AWM983043:AWM983044 BGI983043:BGI983044 BQE983043:BQE983044 CAA983043:CAA983044 CJW983043:CJW983044 CTS983043:CTS983044 DDO983043:DDO983044 DNK983043:DNK983044 DXG983043:DXG983044 EHC983043:EHC983044 EQY983043:EQY983044 FAU983043:FAU983044 FKQ983043:FKQ983044 FUM983043:FUM983044 GEI983043:GEI983044 GOE983043:GOE983044 GYA983043:GYA983044 HHW983043:HHW983044 HRS983043:HRS983044 IBO983043:IBO983044 ILK983043:ILK983044 IVG983043:IVG983044 JFC983043:JFC983044 JOY983043:JOY983044 JYU983043:JYU983044 KIQ983043:KIQ983044 KSM983043:KSM983044 LCI983043:LCI983044 LME983043:LME983044 LWA983043:LWA983044 MFW983043:MFW983044 MPS983043:MPS983044 MZO983043:MZO983044 NJK983043:NJK983044 NTG983043:NTG983044 ODC983043:ODC983044 OMY983043:OMY983044 OWU983043:OWU983044 PGQ983043:PGQ983044 PQM983043:PQM983044 QAI983043:QAI983044 QKE983043:QKE983044 QUA983043:QUA983044 RDW983043:RDW983044 RNS983043:RNS983044 RXO983043:RXO983044 SHK983043:SHK983044 SRG983043:SRG983044 TBC983043:TBC983044 TKY983043:TKY983044 TUU983043:TUU983044 UEQ983043:UEQ983044 UOM983043:UOM983044 UYI983043:UYI983044 VIE983043:VIE983044 VSA983043:VSA983044 WBW983043:WBW983044 WLS983043:WLS983044 WVO983043:WVO983044" xr:uid="{AC5EE95A-C0A5-42CD-B508-1E3595BBDA31}">
      <formula1>"-3,-2,-1,0,1,2,3,4"</formula1>
    </dataValidation>
    <dataValidation type="list" allowBlank="1" showInputMessage="1" promptTitle="Select" prompt="from drop-down list" sqref="AJ4" xr:uid="{DFE5E0EC-8EC6-4B74-B9A9-0413E6FA67FD}">
      <formula1>"-3,-2,-1,0,1,2,3,4"</formula1>
    </dataValidation>
    <dataValidation type="list" allowBlank="1" showInputMessage="1" showErrorMessage="1" promptTitle="Select " prompt="from drop-down list" sqref="AJ3" xr:uid="{55920D9C-9590-4B44-9982-5E4C064F9EE4}">
      <formula1>"-3,-2,-1,0,1,2,3,4"</formula1>
    </dataValidation>
    <dataValidation type="list" allowBlank="1" showInputMessage="1" showErrorMessage="1" sqref="AJ9:AJ11" xr:uid="{108CB36A-1641-4C52-A9B3-7CF33B234BBB}">
      <formula1>"-2,-1,0,1,2"</formula1>
    </dataValidation>
  </dataValidations>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legacyDrawing r:id="rId2"/>
  <tableParts count="2">
    <tablePart r:id="rId3"/>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4E7BF-7367-43D7-9212-340AC90E51DC}">
  <sheetPr codeName="Аркуш34"/>
  <dimension ref="S1:AC23"/>
  <sheetViews>
    <sheetView zoomScale="140" zoomScaleNormal="140" workbookViewId="0">
      <selection activeCell="Q20" sqref="Q20"/>
    </sheetView>
  </sheetViews>
  <sheetFormatPr defaultColWidth="2.88671875" defaultRowHeight="15" customHeight="1"/>
  <cols>
    <col min="1" max="16384" width="2.88671875" style="36"/>
  </cols>
  <sheetData>
    <row r="1" spans="19:29" ht="15" customHeight="1">
      <c r="S1" s="2181" t="s">
        <v>1931</v>
      </c>
      <c r="T1" s="2181"/>
      <c r="U1" s="2181"/>
      <c r="V1" s="2181"/>
      <c r="W1" s="2181"/>
      <c r="X1" s="2181"/>
      <c r="Y1" s="2181"/>
      <c r="Z1" s="2181"/>
      <c r="AA1" s="2181"/>
      <c r="AB1" s="2181"/>
      <c r="AC1" s="2181"/>
    </row>
    <row r="2" spans="19:29" ht="15" customHeight="1">
      <c r="S2" s="2181"/>
      <c r="T2" s="2181"/>
      <c r="U2" s="2181"/>
      <c r="V2" s="2181"/>
      <c r="W2" s="2181"/>
      <c r="X2" s="2181"/>
      <c r="Y2" s="2181"/>
      <c r="Z2" s="2181"/>
      <c r="AA2" s="2181"/>
      <c r="AB2" s="2181"/>
      <c r="AC2" s="2181"/>
    </row>
    <row r="21" spans="19:19" ht="15" customHeight="1">
      <c r="S21" s="37"/>
    </row>
    <row r="23" spans="19:19" ht="15" customHeight="1">
      <c r="S23" s="37" t="s">
        <v>1911</v>
      </c>
    </row>
  </sheetData>
  <mergeCells count="1">
    <mergeCell ref="S1:AC2"/>
  </mergeCells>
  <conditionalFormatting sqref="S21 A24:XFD1048576 A16:R23 T16:XFD23 S23 A3:XFD15 A2:R2 A1:S1 AD1:XFD2">
    <cfRule type="cellIs" dxfId="79" priority="33" operator="equal">
      <formula>"F"</formula>
    </cfRule>
  </conditionalFormatting>
  <conditionalFormatting sqref="S21 A24:XFD1048576 A16:R23 T16:XFD23 S23 A3:XFD15 A2:R2 A1:S1 AD1:XFD2">
    <cfRule type="cellIs" dxfId="78" priority="32" operator="equal">
      <formula>"T"</formula>
    </cfRule>
  </conditionalFormatting>
  <conditionalFormatting sqref="S21 A24:XFD1048576 A16:R23 T16:XFD23 S23 A3:XFD15 A2:R2 A1:S1 AD1:XFD2">
    <cfRule type="cellIs" dxfId="77" priority="31" operator="equal">
      <formula>"B"</formula>
    </cfRule>
  </conditionalFormatting>
  <conditionalFormatting sqref="S21 A24:XFD1048576 A16:R23 T16:XFD23 S23 A3:XFD15 A2:R2 A1:S1 AD1:XFD2">
    <cfRule type="cellIs" dxfId="76" priority="30" operator="equal">
      <formula>"L"</formula>
    </cfRule>
  </conditionalFormatting>
  <conditionalFormatting sqref="S21 A24:XFD1048576 A16:R23 T16:XFD23 S23 A3:XFD15 A2:R2 A1:S1 AD1:XFD2">
    <cfRule type="cellIs" dxfId="75" priority="29" operator="equal">
      <formula>"R"</formula>
    </cfRule>
  </conditionalFormatting>
  <conditionalFormatting sqref="S21 A24:XFD1048576 A16:R23 T16:XFD23 S23 A3:XFD15 A2:R2 A1:S1 AD1:XFD2">
    <cfRule type="cellIs" dxfId="74" priority="28" operator="equal">
      <formula>"C1"</formula>
    </cfRule>
  </conditionalFormatting>
  <conditionalFormatting sqref="S21 A24:XFD1048576 A16:R23 T16:XFD23 S23 A3:XFD15 A2:R2 A1:S1 AD1:XFD2">
    <cfRule type="cellIs" dxfId="73" priority="27" operator="equal">
      <formula>"C2"</formula>
    </cfRule>
  </conditionalFormatting>
  <conditionalFormatting sqref="S21 A24:XFD1048576 A16:R23 T16:XFD23 S23 A3:XFD15 A2:R2 A1:S1 AD1:XFD2">
    <cfRule type="cellIs" dxfId="72" priority="26" operator="equal">
      <formula>"C3"</formula>
    </cfRule>
  </conditionalFormatting>
  <conditionalFormatting sqref="S21 A24:XFD1048576 A16:R23 T16:XFD23 S23 A3:XFD15 A2:R2 A1:S1 AD1:XFD2">
    <cfRule type="cellIs" dxfId="71" priority="25" operator="equal">
      <formula>"C4"</formula>
    </cfRule>
  </conditionalFormatting>
  <conditionalFormatting sqref="S21 A24:XFD1048576 A16:R23 T16:XFD23 S23 A3:XFD15 A2:R2 A1:S1 AD1:XFD2">
    <cfRule type="cellIs" dxfId="70" priority="24" operator="equal">
      <formula>"V"</formula>
    </cfRule>
  </conditionalFormatting>
  <conditionalFormatting sqref="S21 A24:XFD1048576 A16:R23 T16:XFD23 S23 A3:XFD15 A2:R2 A1:S1 AD1:XFD2">
    <cfRule type="cellIs" dxfId="69" priority="23" operator="equal">
      <formula>"LR"</formula>
    </cfRule>
  </conditionalFormatting>
  <conditionalFormatting sqref="S21 A24:XFD1048576 A16:R23 T16:XFD23 S23 A3:XFD15 A2:R2 A1:S1 AD1:XFD2">
    <cfRule type="cellIs" dxfId="68" priority="22" operator="equal">
      <formula>"H"</formula>
    </cfRule>
  </conditionalFormatting>
  <conditionalFormatting sqref="S21 A24:XFD1048576 A16:R23 T16:XFD23 S23 A3:XFD15 A2:R2 A1:S1 AD1:XFD2">
    <cfRule type="cellIs" dxfId="67" priority="21" operator="equal">
      <formula>"TB"</formula>
    </cfRule>
  </conditionalFormatting>
  <conditionalFormatting sqref="S21 A24:XFD1048576 A16:R23 T16:XFD23 S23 A3:XFD15 A2:R2 A1:S1 AD1:XFD2">
    <cfRule type="cellIs" dxfId="66" priority="20" operator="equal">
      <formula>"N"</formula>
    </cfRule>
  </conditionalFormatting>
  <conditionalFormatting sqref="S21 A24:XFD1048576 A16:R23 T16:XFD23 S23 A3:XFD15 A2:R2 A1:S1 AD1:XFD2">
    <cfRule type="cellIs" dxfId="65" priority="19" operator="equal">
      <formula>"U"</formula>
    </cfRule>
  </conditionalFormatting>
  <conditionalFormatting sqref="S21 A24:XFD1048576 A16:R23 T16:XFD23 S23 A3:XFD15 A2:R2 A1:S1 AD1:XFD2">
    <cfRule type="cellIs" dxfId="64" priority="18" operator="equal">
      <formula>"C"</formula>
    </cfRule>
  </conditionalFormatting>
  <conditionalFormatting sqref="S21 A24:XFD1048576 A16:R23 T16:XFD23 S23 A3:XFD15 A2:R2 A1:S1 AD1:XFD2">
    <cfRule type="cellIs" dxfId="63" priority="17" operator="equal">
      <formula>"D"</formula>
    </cfRule>
  </conditionalFormatting>
  <conditionalFormatting sqref="S21 A24:XFD1048576 A16:R23 T16:XFD23 S23 A3:XFD15 A2:R2 A1:S1 AD1:XFD2">
    <cfRule type="cellIs" dxfId="62" priority="16" operator="equal">
      <formula>"S"</formula>
    </cfRule>
  </conditionalFormatting>
  <conditionalFormatting sqref="S21 A24:XFD1048576 A16:R23 T16:XFD23 S23 A3:XFD15 A2:R2 A1:S1 AD1:XFD2">
    <cfRule type="cellIs" dxfId="61" priority="15" operator="equal">
      <formula>"TL"</formula>
    </cfRule>
  </conditionalFormatting>
  <conditionalFormatting sqref="S21 A24:XFD1048576 A16:R23 T16:XFD23 S23 A3:XFD15 A2:R2 A1:S1 AD1:XFD2">
    <cfRule type="cellIs" dxfId="60" priority="14" operator="equal">
      <formula>"TR"</formula>
    </cfRule>
  </conditionalFormatting>
  <conditionalFormatting sqref="S21 A24:XFD1048576 A16:R23 T16:XFD23 S23 A3:XFD15 A2:R2 A1:S1 AD1:XFD2">
    <cfRule type="cellIs" dxfId="59" priority="13" operator="equal">
      <formula>"BR"</formula>
    </cfRule>
  </conditionalFormatting>
  <conditionalFormatting sqref="S21 A24:XFD1048576 A16:R23 T16:XFD23 S23 A3:XFD15 A2:R2 A1:S1 AD1:XFD2">
    <cfRule type="cellIs" dxfId="58" priority="12" operator="equal">
      <formula>"BL"</formula>
    </cfRule>
  </conditionalFormatting>
  <conditionalFormatting sqref="S21 A24:XFD1048576 A16:R23 T16:XFD23 S23 A3:XFD15 A2:R2 A1:S1 AD1:XFD2">
    <cfRule type="cellIs" dxfId="57" priority="11" operator="equal">
      <formula>"LT"</formula>
    </cfRule>
  </conditionalFormatting>
  <conditionalFormatting sqref="S21 A24:XFD1048576 A16:R23 T16:XFD23 S23 A3:XFD15 A2:R2 A1:S1 AD1:XFD2">
    <cfRule type="cellIs" dxfId="56" priority="10" operator="equal">
      <formula>"RT"</formula>
    </cfRule>
  </conditionalFormatting>
  <conditionalFormatting sqref="S21 A24:XFD1048576 A16:R23 T16:XFD23 S23 A3:XFD15 A2:R2 A1:S1 AD1:XFD2">
    <cfRule type="cellIs" dxfId="55" priority="9" operator="equal">
      <formula>"RB"</formula>
    </cfRule>
  </conditionalFormatting>
  <conditionalFormatting sqref="S21 A24:XFD1048576 A16:R23 T16:XFD23 S23 A3:XFD15 A2:R2 A1:S1 AD1:XFD2">
    <cfRule type="cellIs" dxfId="54" priority="8" operator="equal">
      <formula>"LB"</formula>
    </cfRule>
  </conditionalFormatting>
  <conditionalFormatting sqref="S21 A24:XFD1048576 A16:R23 T16:XFD23 S23 A3:XFD15 A2:R2 A1:S1 AD1:XFD2">
    <cfRule type="cellIs" dxfId="53" priority="7" operator="equal">
      <formula>"RL"</formula>
    </cfRule>
  </conditionalFormatting>
  <conditionalFormatting sqref="S21 A24:XFD1048576 A16:R23 T16:XFD23 S23 A3:XFD15 A2:R2 A1:S1 AD1:XFD2">
    <cfRule type="cellIs" dxfId="52" priority="6" operator="equal">
      <formula>"BT"</formula>
    </cfRule>
  </conditionalFormatting>
  <conditionalFormatting sqref="S21 A24:XFD1048576 A16:R23 T16:XFD23 S23 A3:XFD15 A2:R2 A1:S1 AD1:XFD2">
    <cfRule type="cellIs" dxfId="51" priority="5" operator="equal">
      <formula>"["</formula>
    </cfRule>
  </conditionalFormatting>
  <conditionalFormatting sqref="S21 A24:XFD1048576 A16:R23 T16:XFD23 S23 A3:XFD15 A2:R2 A1:S1 AD1:XFD2">
    <cfRule type="cellIs" dxfId="50" priority="4" operator="equal">
      <formula>"]"</formula>
    </cfRule>
  </conditionalFormatting>
  <conditionalFormatting sqref="S21 A24:XFD1048576 A16:R23 T16:XFD23 S23 A3:XFD15 A2:R2 A1:S1 AD1:XFD2">
    <cfRule type="cellIs" dxfId="49" priority="3" operator="equal">
      <formula>"M"</formula>
    </cfRule>
  </conditionalFormatting>
  <conditionalFormatting sqref="S21 A24:XFD1048576 A16:R23 T16:XFD23 S23 A3:XFD15 A2:R2 A1:S1 AD1:XFD2">
    <cfRule type="cellIs" dxfId="48" priority="2" operator="equal">
      <formula>"$"</formula>
    </cfRule>
  </conditionalFormatting>
  <conditionalFormatting sqref="S21 A24:XFD1048576 A16:R23 T16:XFD23 S23 A3:XFD15 A2:R2 A1:S1 AD1:XFD2">
    <cfRule type="cellIs" dxfId="47" priority="1" operator="equal">
      <formula>"^"</formula>
    </cfRule>
  </conditionalFormatting>
  <conditionalFormatting sqref="S21 A24:XFD1048576 A16:R23 T16:XFD23 S23 A3:XFD15 A2:R2 A1:S1 AD1:XFD2">
    <cfRule type="cellIs" dxfId="46" priority="35" operator="equal">
      <formula>"W"</formula>
    </cfRule>
  </conditionalFormatting>
  <conditionalFormatting sqref="S21 A24:XFD1048576 A16:R23 T16:XFD23 S23 A3:XFD15 A2:R2 A1:S1 AD1:XFD2">
    <cfRule type="cellIs" dxfId="45" priority="34" operator="equal">
      <formula>"G"</formula>
    </cfRule>
  </conditionalFormatting>
  <hyperlinks>
    <hyperlink ref="S1:AC2" r:id="rId1" display="Icons" xr:uid="{D426C4AA-81AC-44B0-9563-C962B66A58A0}"/>
  </hyperlinks>
  <pageMargins left="0.7" right="0.7" top="0.75" bottom="0.75" header="0.3" footer="0.3"/>
  <pageSetup paperSize="9" orientation="portrait" horizontalDpi="300" verticalDpi="300"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8DDC-EB4C-477F-B3D2-A32FEE8C8583}">
  <sheetPr codeName="Аркуш35">
    <tabColor rgb="FF1D1DEB"/>
  </sheetPr>
  <dimension ref="A1:AT102"/>
  <sheetViews>
    <sheetView topLeftCell="A21" zoomScale="145" zoomScaleNormal="145" workbookViewId="0">
      <selection activeCell="BB9" sqref="AT1:BB9"/>
    </sheetView>
  </sheetViews>
  <sheetFormatPr defaultRowHeight="14.25"/>
  <cols>
    <col min="1" max="6" width="13.77734375" style="31" customWidth="1"/>
    <col min="7" max="7" width="26.88671875" style="31" customWidth="1"/>
    <col min="8" max="8" width="8.88671875" style="31"/>
    <col min="9" max="9" width="11" style="31" customWidth="1"/>
    <col min="10" max="10" width="27" style="31" customWidth="1"/>
    <col min="11" max="12" width="8.88671875" style="31"/>
    <col min="13" max="13" width="11.44140625" style="31" customWidth="1"/>
    <col min="14" max="14" width="9.21875" style="31" customWidth="1"/>
    <col min="15" max="15" width="15.44140625" style="31" customWidth="1"/>
    <col min="16" max="16" width="14.77734375" style="31" customWidth="1"/>
    <col min="17" max="17" width="9" style="31" customWidth="1"/>
    <col min="18" max="19" width="8.88671875" style="31"/>
    <col min="20" max="20" width="9" style="31" customWidth="1"/>
    <col min="21" max="21" width="11.6640625" style="31" customWidth="1"/>
    <col min="22" max="22" width="8.88671875" style="31"/>
    <col min="23" max="23" width="12.44140625" style="31" customWidth="1"/>
    <col min="24" max="24" width="9.77734375" style="31" customWidth="1"/>
    <col min="25" max="25" width="9.5546875" style="31" customWidth="1"/>
    <col min="26" max="26" width="12.109375" style="31" customWidth="1"/>
    <col min="27" max="27" width="9.6640625" style="31" customWidth="1"/>
    <col min="28" max="16384" width="8.88671875" style="31"/>
  </cols>
  <sheetData>
    <row r="1" spans="1:46" ht="16.5" customHeight="1">
      <c r="A1" s="633" t="s">
        <v>1645</v>
      </c>
      <c r="B1" s="633"/>
      <c r="C1" s="633"/>
      <c r="D1" s="633"/>
      <c r="E1" s="633"/>
      <c r="F1" s="633"/>
      <c r="G1" s="633"/>
      <c r="H1" s="633"/>
      <c r="M1" s="47" t="s">
        <v>1646</v>
      </c>
      <c r="N1" s="47" t="s">
        <v>1647</v>
      </c>
      <c r="O1" s="47" t="s">
        <v>1648</v>
      </c>
      <c r="P1" s="47" t="s">
        <v>1649</v>
      </c>
      <c r="Q1" s="47" t="s">
        <v>1650</v>
      </c>
      <c r="R1" s="47" t="s">
        <v>1651</v>
      </c>
      <c r="S1" s="47" t="s">
        <v>1652</v>
      </c>
      <c r="T1" s="47" t="s">
        <v>1653</v>
      </c>
      <c r="U1" s="47" t="s">
        <v>1654</v>
      </c>
      <c r="V1" s="47" t="s">
        <v>1655</v>
      </c>
      <c r="W1" s="47" t="s">
        <v>1656</v>
      </c>
      <c r="X1" s="47" t="s">
        <v>1657</v>
      </c>
      <c r="Y1" s="47" t="s">
        <v>1658</v>
      </c>
      <c r="Z1" s="47" t="s">
        <v>1918</v>
      </c>
      <c r="AA1" s="47" t="s">
        <v>1919</v>
      </c>
      <c r="AB1" s="47" t="s">
        <v>1920</v>
      </c>
      <c r="AC1" s="47" t="s">
        <v>1662</v>
      </c>
      <c r="AD1" s="47" t="s">
        <v>1663</v>
      </c>
      <c r="AE1" s="47" t="s">
        <v>1664</v>
      </c>
      <c r="AS1" t="s">
        <v>1643</v>
      </c>
      <c r="AT1" t="s">
        <v>8364</v>
      </c>
    </row>
    <row r="2" spans="1:46" ht="14.25" customHeight="1">
      <c r="A2" s="633"/>
      <c r="B2" s="633"/>
      <c r="C2" s="633"/>
      <c r="D2" s="633"/>
      <c r="E2" s="633"/>
      <c r="F2" s="633"/>
      <c r="G2" s="633"/>
      <c r="H2" s="633"/>
      <c r="M2" t="str">
        <f ca="1">INDEX($Q2:$Q24,RANDBETWEEN(1,COUNTA($Q2:$Q24)),1)</f>
        <v>lantern</v>
      </c>
      <c r="N2" t="str">
        <f ca="1">INDEX($R2:$R59,RANDBETWEEN(1,COUNTA($R2:$R59)),1)</f>
        <v>quaterstaff</v>
      </c>
      <c r="O2" t="str">
        <f ca="1">INDEX($T2:$T21,RANDBETWEEN(1,COUNTA($T2:$T21)),1)</f>
        <v>greatsword</v>
      </c>
      <c r="P2" t="str">
        <f ca="1">INDEX($S2:$S21,RANDBETWEEN(1,COUNTA($S2:$S21)),1)</f>
        <v>leather +1 (8)</v>
      </c>
      <c r="Q2" t="s">
        <v>1665</v>
      </c>
      <c r="R2" t="s">
        <v>1665</v>
      </c>
      <c r="S2" t="s">
        <v>1666</v>
      </c>
      <c r="T2" t="s">
        <v>1667</v>
      </c>
      <c r="U2" t="s">
        <v>1668</v>
      </c>
      <c r="V2" t="s">
        <v>1668</v>
      </c>
      <c r="W2" t="s">
        <v>1669</v>
      </c>
      <c r="X2" t="s">
        <v>1670</v>
      </c>
      <c r="Y2" t="s">
        <v>1671</v>
      </c>
      <c r="Z2" t="s">
        <v>1671</v>
      </c>
      <c r="AA2" t="s">
        <v>1672</v>
      </c>
      <c r="AB2" t="s">
        <v>1912</v>
      </c>
      <c r="AC2" t="s">
        <v>1674</v>
      </c>
      <c r="AD2" t="s">
        <v>1675</v>
      </c>
      <c r="AE2" t="s">
        <v>1676</v>
      </c>
      <c r="AF2"/>
      <c r="AS2" t="s">
        <v>8365</v>
      </c>
      <c r="AT2" t="s">
        <v>8344</v>
      </c>
    </row>
    <row r="3" spans="1:46">
      <c r="M3" t="str">
        <f ca="1">INDEX($U2:$U26,RANDBETWEEN(1,COUNTA($U2:$U26)),1)</f>
        <v>polymorph inanimate object</v>
      </c>
      <c r="N3" t="str">
        <f ca="1">INDEX($V2:$V50,RANDBETWEEN(1,COUNTA($V2:$V50)),1)</f>
        <v>purify</v>
      </c>
      <c r="O3" t="str">
        <f ca="1">INDEX($W2:$W21,RANDBETWEEN(1,COUNTA($W2:$W21)),1)</f>
        <v>combat adv</v>
      </c>
      <c r="P3" t="str">
        <f ca="1">INDEX($W2:$W21,RANDBETWEEN(1,COUNTA($W2:$W21)),1)</f>
        <v>hit 1 dmg 1</v>
      </c>
      <c r="Q3" t="s">
        <v>1677</v>
      </c>
      <c r="R3" t="s">
        <v>1677</v>
      </c>
      <c r="S3" t="s">
        <v>1678</v>
      </c>
      <c r="T3" t="s">
        <v>1679</v>
      </c>
      <c r="U3" t="s">
        <v>1680</v>
      </c>
      <c r="V3" t="s">
        <v>1680</v>
      </c>
      <c r="W3" t="s">
        <v>1681</v>
      </c>
      <c r="X3" t="s">
        <v>1682</v>
      </c>
      <c r="Y3" t="s">
        <v>1683</v>
      </c>
      <c r="Z3" t="s">
        <v>1684</v>
      </c>
      <c r="AA3" t="s">
        <v>1672</v>
      </c>
      <c r="AB3" t="s">
        <v>1913</v>
      </c>
      <c r="AC3" t="s">
        <v>1674</v>
      </c>
      <c r="AD3" t="s">
        <v>1675</v>
      </c>
      <c r="AE3" t="s">
        <v>1686</v>
      </c>
      <c r="AF3"/>
      <c r="AS3" s="1" t="s">
        <v>8471</v>
      </c>
      <c r="AT3" t="s">
        <v>8345</v>
      </c>
    </row>
    <row r="4" spans="1:46" ht="17.25" thickBot="1">
      <c r="A4" s="2186" t="s">
        <v>1687</v>
      </c>
      <c r="B4" s="2186"/>
      <c r="C4" s="2182" t="s">
        <v>1688</v>
      </c>
      <c r="D4" s="2182"/>
      <c r="E4" s="2182" t="s">
        <v>1689</v>
      </c>
      <c r="F4" s="2182"/>
      <c r="M4"/>
      <c r="N4"/>
      <c r="O4"/>
      <c r="P4"/>
      <c r="Q4" t="s">
        <v>1690</v>
      </c>
      <c r="R4" t="s">
        <v>1690</v>
      </c>
      <c r="S4" t="s">
        <v>1691</v>
      </c>
      <c r="T4" t="s">
        <v>1692</v>
      </c>
      <c r="U4" t="s">
        <v>1693</v>
      </c>
      <c r="V4" t="s">
        <v>1693</v>
      </c>
      <c r="W4" t="s">
        <v>1694</v>
      </c>
      <c r="X4" t="s">
        <v>1695</v>
      </c>
      <c r="Y4" t="s">
        <v>1696</v>
      </c>
      <c r="Z4" t="s">
        <v>1683</v>
      </c>
      <c r="AA4" t="s">
        <v>1672</v>
      </c>
      <c r="AB4" t="s">
        <v>1691</v>
      </c>
      <c r="AC4" t="s">
        <v>1674</v>
      </c>
      <c r="AD4" t="s">
        <v>1675</v>
      </c>
      <c r="AE4" t="s">
        <v>1697</v>
      </c>
      <c r="AF4"/>
      <c r="AS4" s="1" t="s">
        <v>8472</v>
      </c>
      <c r="AT4" t="s">
        <v>8346</v>
      </c>
    </row>
    <row r="5" spans="1:46" ht="15" thickTop="1">
      <c r="A5" s="44" t="s">
        <v>708</v>
      </c>
      <c r="B5" s="93" t="str">
        <f ca="1">RANDBETWEEN(2,24)&amp;" gp"</f>
        <v>22 gp</v>
      </c>
      <c r="C5" s="44" t="s">
        <v>708</v>
      </c>
      <c r="D5" s="46" t="str">
        <f ca="1">RANDBETWEEN(3,36)&amp;" gp"</f>
        <v>3 gp</v>
      </c>
      <c r="E5" s="44" t="s">
        <v>708</v>
      </c>
      <c r="F5" s="46" t="str">
        <f ca="1">RANDBETWEEN(10,50)&amp;" gp"</f>
        <v>12 gp</v>
      </c>
      <c r="M5"/>
      <c r="N5"/>
      <c r="O5"/>
      <c r="P5"/>
      <c r="Q5" t="s">
        <v>1699</v>
      </c>
      <c r="R5" t="s">
        <v>1699</v>
      </c>
      <c r="S5" t="s">
        <v>1700</v>
      </c>
      <c r="T5" t="s">
        <v>1701</v>
      </c>
      <c r="U5" t="s">
        <v>1702</v>
      </c>
      <c r="V5" t="s">
        <v>1702</v>
      </c>
      <c r="W5" t="s">
        <v>1703</v>
      </c>
      <c r="X5" t="s">
        <v>1704</v>
      </c>
      <c r="Y5" t="s">
        <v>1705</v>
      </c>
      <c r="Z5" t="s">
        <v>1696</v>
      </c>
      <c r="AA5" t="s">
        <v>1672</v>
      </c>
      <c r="AB5" t="s">
        <v>1914</v>
      </c>
      <c r="AC5" t="s">
        <v>1674</v>
      </c>
      <c r="AD5" t="s">
        <v>1675</v>
      </c>
      <c r="AE5" t="s">
        <v>1707</v>
      </c>
      <c r="AF5"/>
      <c r="AS5" s="1" t="s">
        <v>8473</v>
      </c>
      <c r="AT5" t="s">
        <v>8347</v>
      </c>
    </row>
    <row r="6" spans="1:46" ht="42.75">
      <c r="A6" s="44" t="s">
        <v>1708</v>
      </c>
      <c r="B6" s="94" t="str">
        <f ca="1">LootGen!M2&amp;" of " &amp;LootGen!M3</f>
        <v>lantern of polymorph inanimate object</v>
      </c>
      <c r="C6" s="44" t="s">
        <v>1708</v>
      </c>
      <c r="D6" s="500" t="str">
        <f ca="1">LootGen!N2&amp;" of "&amp;LootGen!N3</f>
        <v>quaterstaff of purify</v>
      </c>
      <c r="E6" s="44" t="s">
        <v>1708</v>
      </c>
      <c r="F6" s="500" t="str">
        <f ca="1">LootGen!N2&amp;" of "&amp;LootGen!N3</f>
        <v>quaterstaff of purify</v>
      </c>
      <c r="M6"/>
      <c r="N6"/>
      <c r="O6"/>
      <c r="P6"/>
      <c r="Q6" t="s">
        <v>1709</v>
      </c>
      <c r="R6" t="s">
        <v>1709</v>
      </c>
      <c r="S6" t="s">
        <v>1710</v>
      </c>
      <c r="T6" t="s">
        <v>1711</v>
      </c>
      <c r="U6" t="s">
        <v>1712</v>
      </c>
      <c r="V6" t="s">
        <v>1712</v>
      </c>
      <c r="W6" t="s">
        <v>1713</v>
      </c>
      <c r="X6" t="s">
        <v>1714</v>
      </c>
      <c r="Y6" t="s">
        <v>1715</v>
      </c>
      <c r="Z6" t="s">
        <v>1705</v>
      </c>
      <c r="AA6" t="s">
        <v>1672</v>
      </c>
      <c r="AB6" t="s">
        <v>1915</v>
      </c>
      <c r="AC6" t="s">
        <v>1717</v>
      </c>
      <c r="AD6" t="s">
        <v>1675</v>
      </c>
      <c r="AE6" t="s">
        <v>1718</v>
      </c>
      <c r="AF6"/>
      <c r="AS6" s="1" t="s">
        <v>8474</v>
      </c>
      <c r="AT6" t="s">
        <v>8348</v>
      </c>
    </row>
    <row r="7" spans="1:46">
      <c r="A7" s="44" t="s">
        <v>1741</v>
      </c>
      <c r="B7" s="94" t="str">
        <f ca="1">INDEX(Таблиця14[quality],MATCH(RANDBETWEEN(20,80),Таблиця14[low range],1),1)</f>
        <v>reversed</v>
      </c>
      <c r="C7" s="44" t="s">
        <v>1741</v>
      </c>
      <c r="D7" s="53" t="str">
        <f ca="1">INDEX(Таблиця14[quality],MATCH(RANDBETWEEN(1,100),Таблиця14[low range],1),1)</f>
        <v>good</v>
      </c>
      <c r="E7" s="44" t="s">
        <v>1741</v>
      </c>
      <c r="F7" s="53" t="str">
        <f ca="1">INDEX(Таблиця14[quality],MATCH(RANDBETWEEN(1,100),Таблиця14[low range],1),1)</f>
        <v>good</v>
      </c>
      <c r="M7"/>
      <c r="N7"/>
      <c r="O7"/>
      <c r="P7"/>
      <c r="Q7" t="s">
        <v>1719</v>
      </c>
      <c r="R7" t="s">
        <v>1719</v>
      </c>
      <c r="S7" t="s">
        <v>1720</v>
      </c>
      <c r="T7" t="s">
        <v>1721</v>
      </c>
      <c r="U7" t="s">
        <v>1722</v>
      </c>
      <c r="V7" t="s">
        <v>1722</v>
      </c>
      <c r="W7" t="s">
        <v>1723</v>
      </c>
      <c r="X7" t="s">
        <v>1724</v>
      </c>
      <c r="Y7" t="s">
        <v>1725</v>
      </c>
      <c r="Z7" t="s">
        <v>1726</v>
      </c>
      <c r="AA7" t="s">
        <v>1672</v>
      </c>
      <c r="AB7" t="s">
        <v>1916</v>
      </c>
      <c r="AC7" t="s">
        <v>1717</v>
      </c>
      <c r="AD7" t="s">
        <v>1728</v>
      </c>
      <c r="AE7" t="s">
        <v>1729</v>
      </c>
      <c r="AF7"/>
      <c r="AS7" s="1" t="s">
        <v>8475</v>
      </c>
      <c r="AT7" t="s">
        <v>8349</v>
      </c>
    </row>
    <row r="8" spans="1:46" ht="16.5">
      <c r="A8" s="44" t="s">
        <v>1753</v>
      </c>
      <c r="B8" s="501">
        <f ca="1">RANDBETWEEN(1,2)</f>
        <v>2</v>
      </c>
      <c r="C8" s="44" t="s">
        <v>1753</v>
      </c>
      <c r="D8" s="501">
        <f ca="1">RANDBETWEEN(1,6)</f>
        <v>6</v>
      </c>
      <c r="E8" s="44" t="s">
        <v>1753</v>
      </c>
      <c r="F8" s="501">
        <f ca="1">RANDBETWEEN(1,6)</f>
        <v>3</v>
      </c>
      <c r="M8"/>
      <c r="N8"/>
      <c r="O8"/>
      <c r="P8"/>
      <c r="Q8" t="s">
        <v>1731</v>
      </c>
      <c r="R8" t="s">
        <v>1731</v>
      </c>
      <c r="S8" t="s">
        <v>1732</v>
      </c>
      <c r="T8" t="s">
        <v>1733</v>
      </c>
      <c r="U8" t="s">
        <v>1734</v>
      </c>
      <c r="V8" t="s">
        <v>1734</v>
      </c>
      <c r="W8" t="s">
        <v>1735</v>
      </c>
      <c r="X8" t="s">
        <v>1736</v>
      </c>
      <c r="Y8" t="s">
        <v>1737</v>
      </c>
      <c r="Z8" t="s">
        <v>1725</v>
      </c>
      <c r="AA8" t="s">
        <v>1672</v>
      </c>
      <c r="AB8" t="s">
        <v>1738</v>
      </c>
      <c r="AC8" t="s">
        <v>1717</v>
      </c>
      <c r="AD8" t="s">
        <v>1739</v>
      </c>
      <c r="AE8" t="s">
        <v>1740</v>
      </c>
      <c r="AF8"/>
      <c r="AS8" s="1" t="s">
        <v>8476</v>
      </c>
      <c r="AT8" t="s">
        <v>8350</v>
      </c>
    </row>
    <row r="9" spans="1:46">
      <c r="M9"/>
      <c r="N9"/>
      <c r="O9"/>
      <c r="P9"/>
      <c r="Q9" t="s">
        <v>1742</v>
      </c>
      <c r="R9" t="s">
        <v>1742</v>
      </c>
      <c r="S9" t="s">
        <v>1743</v>
      </c>
      <c r="T9" t="s">
        <v>1744</v>
      </c>
      <c r="U9" t="s">
        <v>1745</v>
      </c>
      <c r="V9" t="s">
        <v>1745</v>
      </c>
      <c r="W9" t="s">
        <v>1746</v>
      </c>
      <c r="X9" t="s">
        <v>1747</v>
      </c>
      <c r="Y9" t="s">
        <v>1748</v>
      </c>
      <c r="Z9" t="s">
        <v>1749</v>
      </c>
      <c r="AA9" t="s">
        <v>1672</v>
      </c>
      <c r="AB9" t="s">
        <v>1917</v>
      </c>
      <c r="AC9" t="s">
        <v>1717</v>
      </c>
      <c r="AD9" t="s">
        <v>1751</v>
      </c>
      <c r="AE9" t="s">
        <v>1752</v>
      </c>
      <c r="AF9"/>
      <c r="AS9" s="1" t="s">
        <v>8477</v>
      </c>
      <c r="AT9" t="s">
        <v>8351</v>
      </c>
    </row>
    <row r="10" spans="1:46">
      <c r="M10"/>
      <c r="N10"/>
      <c r="O10"/>
      <c r="P10"/>
      <c r="Q10" t="s">
        <v>1757</v>
      </c>
      <c r="R10" t="s">
        <v>1757</v>
      </c>
      <c r="S10" t="s">
        <v>1758</v>
      </c>
      <c r="T10" t="s">
        <v>1759</v>
      </c>
      <c r="U10" t="s">
        <v>1760</v>
      </c>
      <c r="V10" t="s">
        <v>1760</v>
      </c>
      <c r="W10" t="s">
        <v>1761</v>
      </c>
      <c r="X10" t="s">
        <v>1762</v>
      </c>
      <c r="Y10" t="s">
        <v>1763</v>
      </c>
      <c r="Z10" t="s">
        <v>1737</v>
      </c>
      <c r="AA10" t="s">
        <v>1672</v>
      </c>
      <c r="AB10" t="s">
        <v>1764</v>
      </c>
      <c r="AC10" t="s">
        <v>1765</v>
      </c>
      <c r="AD10" t="s">
        <v>1766</v>
      </c>
      <c r="AE10" t="s">
        <v>1767</v>
      </c>
      <c r="AF10"/>
      <c r="AS10" s="1" t="s">
        <v>8478</v>
      </c>
      <c r="AT10" t="s">
        <v>8352</v>
      </c>
    </row>
    <row r="11" spans="1:46">
      <c r="M11"/>
      <c r="N11"/>
      <c r="O11"/>
      <c r="P11"/>
      <c r="Q11" t="s">
        <v>1768</v>
      </c>
      <c r="R11" t="s">
        <v>1768</v>
      </c>
      <c r="S11" t="s">
        <v>1769</v>
      </c>
      <c r="T11" t="s">
        <v>1770</v>
      </c>
      <c r="U11" t="s">
        <v>1771</v>
      </c>
      <c r="V11" t="s">
        <v>1771</v>
      </c>
      <c r="W11" t="s">
        <v>1772</v>
      </c>
      <c r="X11" t="s">
        <v>1773</v>
      </c>
      <c r="Y11" t="s">
        <v>1774</v>
      </c>
      <c r="Z11" t="s">
        <v>1774</v>
      </c>
      <c r="AA11" t="s">
        <v>1672</v>
      </c>
      <c r="AB11" t="s">
        <v>1775</v>
      </c>
      <c r="AC11" t="s">
        <v>1765</v>
      </c>
      <c r="AD11" t="s">
        <v>1776</v>
      </c>
      <c r="AE11" t="s">
        <v>1777</v>
      </c>
      <c r="AF11"/>
      <c r="AS11" s="1" t="s">
        <v>8479</v>
      </c>
      <c r="AT11" t="s">
        <v>8353</v>
      </c>
    </row>
    <row r="12" spans="1:46" ht="17.25" thickBot="1">
      <c r="A12" s="2182" t="s">
        <v>1778</v>
      </c>
      <c r="B12" s="2182"/>
      <c r="C12" s="2182" t="s">
        <v>1779</v>
      </c>
      <c r="D12" s="2182"/>
      <c r="M12"/>
      <c r="N12"/>
      <c r="O12"/>
      <c r="P12"/>
      <c r="Q12" t="s">
        <v>1780</v>
      </c>
      <c r="R12" t="s">
        <v>1780</v>
      </c>
      <c r="S12" t="s">
        <v>1781</v>
      </c>
      <c r="T12" t="s">
        <v>1782</v>
      </c>
      <c r="U12" t="s">
        <v>1783</v>
      </c>
      <c r="V12" t="s">
        <v>1783</v>
      </c>
      <c r="W12" t="s">
        <v>1784</v>
      </c>
      <c r="X12"/>
      <c r="Y12"/>
      <c r="Z12" t="s">
        <v>1748</v>
      </c>
      <c r="AA12" t="s">
        <v>1672</v>
      </c>
      <c r="AB12" t="s">
        <v>1785</v>
      </c>
      <c r="AC12" t="s">
        <v>1765</v>
      </c>
      <c r="AD12" t="s">
        <v>1786</v>
      </c>
      <c r="AE12"/>
      <c r="AF12"/>
      <c r="AS12" s="1" t="s">
        <v>8480</v>
      </c>
      <c r="AT12" t="s">
        <v>8354</v>
      </c>
    </row>
    <row r="13" spans="1:46" ht="15" thickTop="1">
      <c r="A13" s="44" t="s">
        <v>708</v>
      </c>
      <c r="B13" s="46" t="str">
        <f ca="1">RANDBETWEEN(100,200)&amp;" gp"</f>
        <v>152 gp</v>
      </c>
      <c r="C13" s="44" t="s">
        <v>1787</v>
      </c>
      <c r="D13" s="48" t="str">
        <f ca="1">LootGen!C48</f>
        <v>food shop</v>
      </c>
      <c r="M13"/>
      <c r="N13"/>
      <c r="O13"/>
      <c r="P13"/>
      <c r="Q13" t="s">
        <v>1789</v>
      </c>
      <c r="R13" t="s">
        <v>1789</v>
      </c>
      <c r="S13" t="s">
        <v>1790</v>
      </c>
      <c r="T13" t="s">
        <v>1791</v>
      </c>
      <c r="U13" t="s">
        <v>1657</v>
      </c>
      <c r="V13" t="s">
        <v>1657</v>
      </c>
      <c r="W13" t="s">
        <v>1792</v>
      </c>
      <c r="X13"/>
      <c r="Y13"/>
      <c r="Z13" t="s">
        <v>1793</v>
      </c>
      <c r="AA13" t="s">
        <v>1672</v>
      </c>
      <c r="AB13" t="s">
        <v>1794</v>
      </c>
      <c r="AC13" t="s">
        <v>1765</v>
      </c>
      <c r="AD13" t="s">
        <v>1795</v>
      </c>
      <c r="AE13"/>
      <c r="AF13"/>
      <c r="AS13" s="1" t="s">
        <v>8481</v>
      </c>
      <c r="AT13" t="s">
        <v>8355</v>
      </c>
    </row>
    <row r="14" spans="1:46">
      <c r="A14" s="44" t="s">
        <v>1708</v>
      </c>
      <c r="B14" s="45" t="str">
        <f ca="1">LootGen!A48&amp;" of "&amp;LootGen!N3</f>
        <v>amulet of purify</v>
      </c>
      <c r="C14" s="44" t="s">
        <v>1796</v>
      </c>
      <c r="D14" s="49" t="str">
        <f ca="1">RANDBETWEEN(1,6)&amp;" Lbs/items"</f>
        <v>3 Lbs/items</v>
      </c>
      <c r="M14"/>
      <c r="N14"/>
      <c r="O14"/>
      <c r="P14"/>
      <c r="Q14" t="s">
        <v>1797</v>
      </c>
      <c r="R14" t="s">
        <v>1797</v>
      </c>
      <c r="S14" t="s">
        <v>1798</v>
      </c>
      <c r="T14" t="s">
        <v>1799</v>
      </c>
      <c r="U14" t="s">
        <v>1800</v>
      </c>
      <c r="V14" t="s">
        <v>1800</v>
      </c>
      <c r="W14" t="s">
        <v>1801</v>
      </c>
      <c r="X14"/>
      <c r="Y14"/>
      <c r="Z14" t="s">
        <v>1763</v>
      </c>
      <c r="AA14" t="s">
        <v>1672</v>
      </c>
      <c r="AB14" t="s">
        <v>1798</v>
      </c>
      <c r="AC14" t="s">
        <v>1802</v>
      </c>
      <c r="AD14" t="s">
        <v>1803</v>
      </c>
      <c r="AE14"/>
      <c r="AF14"/>
      <c r="AS14" s="1" t="s">
        <v>8482</v>
      </c>
      <c r="AT14" t="s">
        <v>8356</v>
      </c>
    </row>
    <row r="15" spans="1:46">
      <c r="A15" s="44" t="s">
        <v>1741</v>
      </c>
      <c r="B15" s="53" t="str">
        <f ca="1">INDEX(Таблиця14[quality],MATCH(RANDBETWEEN(30,100),Таблиця14[low range],1),1)</f>
        <v>superior</v>
      </c>
      <c r="C15" s="44" t="s">
        <v>1804</v>
      </c>
      <c r="D15" s="53" t="str">
        <f ca="1">INDEX(Таблиця14[quality],MATCH(RANDBETWEEN(50,100),Таблиця14[low range],1),1)</f>
        <v>superior</v>
      </c>
      <c r="M15"/>
      <c r="N15"/>
      <c r="O15"/>
      <c r="P15"/>
      <c r="Q15" t="s">
        <v>1806</v>
      </c>
      <c r="R15" t="s">
        <v>1806</v>
      </c>
      <c r="S15" t="s">
        <v>1807</v>
      </c>
      <c r="T15" t="s">
        <v>1808</v>
      </c>
      <c r="U15" t="s">
        <v>1809</v>
      </c>
      <c r="V15" t="s">
        <v>1809</v>
      </c>
      <c r="W15" t="s">
        <v>1810</v>
      </c>
      <c r="X15"/>
      <c r="Y15"/>
      <c r="Z15" t="s">
        <v>1811</v>
      </c>
      <c r="AA15" t="s">
        <v>1672</v>
      </c>
      <c r="AB15" t="s">
        <v>1807</v>
      </c>
      <c r="AC15" t="s">
        <v>1802</v>
      </c>
      <c r="AD15" t="s">
        <v>1812</v>
      </c>
      <c r="AE15"/>
      <c r="AF15"/>
      <c r="AS15" s="1" t="s">
        <v>8483</v>
      </c>
      <c r="AT15" t="s">
        <v>8357</v>
      </c>
    </row>
    <row r="16" spans="1:46" ht="16.5">
      <c r="A16" s="44" t="s">
        <v>1753</v>
      </c>
      <c r="B16" s="54">
        <v>6</v>
      </c>
      <c r="C16" s="44" t="s">
        <v>1813</v>
      </c>
      <c r="D16" s="49" t="str">
        <f ca="1">RANDBETWEEN(1,1000)*10&amp;" gp"</f>
        <v>1130 gp</v>
      </c>
      <c r="M16"/>
      <c r="N16"/>
      <c r="O16"/>
      <c r="P16"/>
      <c r="Q16" t="s">
        <v>1815</v>
      </c>
      <c r="R16" t="s">
        <v>1815</v>
      </c>
      <c r="S16" t="s">
        <v>1816</v>
      </c>
      <c r="T16" t="s">
        <v>1817</v>
      </c>
      <c r="U16" t="s">
        <v>1818</v>
      </c>
      <c r="V16" t="s">
        <v>1818</v>
      </c>
      <c r="W16" t="s">
        <v>1819</v>
      </c>
      <c r="X16"/>
      <c r="Y16"/>
      <c r="Z16" t="s">
        <v>1820</v>
      </c>
      <c r="AA16" t="s">
        <v>1672</v>
      </c>
      <c r="AB16" t="s">
        <v>1816</v>
      </c>
      <c r="AC16" t="s">
        <v>1802</v>
      </c>
      <c r="AD16" t="s">
        <v>1821</v>
      </c>
      <c r="AE16"/>
      <c r="AF16"/>
      <c r="AS16" s="1" t="s">
        <v>8484</v>
      </c>
      <c r="AT16" t="s">
        <v>8358</v>
      </c>
    </row>
    <row r="17" spans="1:46">
      <c r="M17"/>
      <c r="N17"/>
      <c r="O17"/>
      <c r="P17"/>
      <c r="Q17" t="s">
        <v>1822</v>
      </c>
      <c r="R17" t="s">
        <v>1822</v>
      </c>
      <c r="S17" t="s">
        <v>1823</v>
      </c>
      <c r="T17" t="s">
        <v>1824</v>
      </c>
      <c r="U17" t="s">
        <v>1825</v>
      </c>
      <c r="V17" t="s">
        <v>1825</v>
      </c>
      <c r="W17" t="s">
        <v>1826</v>
      </c>
      <c r="X17"/>
      <c r="Y17"/>
      <c r="Z17" t="s">
        <v>1827</v>
      </c>
      <c r="AA17" t="s">
        <v>1672</v>
      </c>
      <c r="AB17" t="s">
        <v>1823</v>
      </c>
      <c r="AC17" t="s">
        <v>1802</v>
      </c>
      <c r="AD17" t="s">
        <v>1828</v>
      </c>
      <c r="AE17"/>
      <c r="AF17"/>
      <c r="AS17" s="1" t="s">
        <v>8485</v>
      </c>
      <c r="AT17" t="s">
        <v>8359</v>
      </c>
    </row>
    <row r="18" spans="1:46" ht="17.25" thickBot="1">
      <c r="A18" s="2182" t="s">
        <v>1805</v>
      </c>
      <c r="B18" s="2182"/>
      <c r="C18" s="52" t="s">
        <v>1845</v>
      </c>
      <c r="D18" s="52"/>
      <c r="M18"/>
      <c r="N18"/>
      <c r="O18"/>
      <c r="P18"/>
      <c r="Q18" t="s">
        <v>1829</v>
      </c>
      <c r="R18" t="s">
        <v>1829</v>
      </c>
      <c r="S18" t="s">
        <v>1830</v>
      </c>
      <c r="T18" t="s">
        <v>1831</v>
      </c>
      <c r="U18" t="s">
        <v>1832</v>
      </c>
      <c r="V18" t="s">
        <v>1832</v>
      </c>
      <c r="W18" t="s">
        <v>1833</v>
      </c>
      <c r="X18"/>
      <c r="Y18"/>
      <c r="Z18" t="s">
        <v>1834</v>
      </c>
      <c r="AA18" t="s">
        <v>1672</v>
      </c>
      <c r="AB18" t="s">
        <v>1830</v>
      </c>
      <c r="AC18" t="s">
        <v>1802</v>
      </c>
      <c r="AD18" t="s">
        <v>1835</v>
      </c>
      <c r="AE18"/>
      <c r="AF18"/>
      <c r="AS18" s="1" t="s">
        <v>8486</v>
      </c>
      <c r="AT18" t="s">
        <v>8360</v>
      </c>
    </row>
    <row r="19" spans="1:46" ht="15" thickTop="1">
      <c r="A19" s="44" t="s">
        <v>1814</v>
      </c>
      <c r="B19" s="33" t="str">
        <f ca="1">LootGen!A51</f>
        <v>evil</v>
      </c>
      <c r="C19" s="44" t="s">
        <v>1854</v>
      </c>
      <c r="D19" s="35" t="str">
        <f ca="1">LootGen!B48</f>
        <v>none</v>
      </c>
      <c r="M19"/>
      <c r="N19"/>
      <c r="O19"/>
      <c r="P19"/>
      <c r="Q19" t="s">
        <v>1837</v>
      </c>
      <c r="R19" t="s">
        <v>1837</v>
      </c>
      <c r="S19" t="s">
        <v>1838</v>
      </c>
      <c r="T19" t="s">
        <v>1839</v>
      </c>
      <c r="U19" t="s">
        <v>1840</v>
      </c>
      <c r="V19" t="s">
        <v>1840</v>
      </c>
      <c r="W19" t="s">
        <v>1841</v>
      </c>
      <c r="X19"/>
      <c r="Y19"/>
      <c r="Z19" t="s">
        <v>1842</v>
      </c>
      <c r="AA19" t="s">
        <v>1672</v>
      </c>
      <c r="AB19" t="s">
        <v>1838</v>
      </c>
      <c r="AC19" t="s">
        <v>1813</v>
      </c>
      <c r="AD19" t="s">
        <v>1843</v>
      </c>
      <c r="AE19"/>
      <c r="AF19"/>
      <c r="AS19" s="1" t="s">
        <v>8487</v>
      </c>
      <c r="AT19" t="s">
        <v>8361</v>
      </c>
    </row>
    <row r="20" spans="1:46">
      <c r="A20" s="44" t="s">
        <v>1756</v>
      </c>
      <c r="B20" s="34" t="str">
        <f ca="1">LootGen!C51</f>
        <v>bludgeoning</v>
      </c>
      <c r="C20" s="44" t="s">
        <v>1862</v>
      </c>
      <c r="D20" s="32">
        <f ca="1">RANDBETWEEN(2,29)</f>
        <v>22</v>
      </c>
      <c r="M20"/>
      <c r="N20"/>
      <c r="O20"/>
      <c r="P20"/>
      <c r="Q20" t="s">
        <v>1846</v>
      </c>
      <c r="R20" t="s">
        <v>1846</v>
      </c>
      <c r="S20"/>
      <c r="T20" t="s">
        <v>1847</v>
      </c>
      <c r="U20" t="s">
        <v>1848</v>
      </c>
      <c r="V20" t="s">
        <v>1848</v>
      </c>
      <c r="W20" t="s">
        <v>1849</v>
      </c>
      <c r="X20"/>
      <c r="Y20"/>
      <c r="Z20" t="s">
        <v>1850</v>
      </c>
      <c r="AA20" t="s">
        <v>1672</v>
      </c>
      <c r="AB20" t="s">
        <v>1667</v>
      </c>
      <c r="AC20" t="s">
        <v>1851</v>
      </c>
      <c r="AD20" t="s">
        <v>1852</v>
      </c>
      <c r="AE20"/>
      <c r="AF20"/>
      <c r="AS20" s="1" t="s">
        <v>8488</v>
      </c>
      <c r="AT20" t="s">
        <v>8362</v>
      </c>
    </row>
    <row r="21" spans="1:46">
      <c r="A21" s="44" t="s">
        <v>1755</v>
      </c>
      <c r="B21" s="33" t="str">
        <f ca="1">LootGen!B51</f>
        <v>fire</v>
      </c>
      <c r="M21"/>
      <c r="N21"/>
      <c r="O21"/>
      <c r="P21"/>
      <c r="Q21" t="s">
        <v>1855</v>
      </c>
      <c r="R21" t="s">
        <v>1855</v>
      </c>
      <c r="S21"/>
      <c r="T21" t="s">
        <v>1856</v>
      </c>
      <c r="U21" t="s">
        <v>1857</v>
      </c>
      <c r="V21" t="s">
        <v>1857</v>
      </c>
      <c r="W21" t="s">
        <v>1659</v>
      </c>
      <c r="X21"/>
      <c r="Y21"/>
      <c r="Z21" t="s">
        <v>1858</v>
      </c>
      <c r="AA21" t="s">
        <v>1672</v>
      </c>
      <c r="AB21" t="s">
        <v>1679</v>
      </c>
      <c r="AC21" t="s">
        <v>1859</v>
      </c>
      <c r="AD21" t="s">
        <v>1860</v>
      </c>
      <c r="AE21"/>
      <c r="AF21"/>
      <c r="AS21" s="1" t="s">
        <v>8489</v>
      </c>
      <c r="AT21" t="s">
        <v>8363</v>
      </c>
    </row>
    <row r="22" spans="1:46">
      <c r="M22"/>
      <c r="N22"/>
      <c r="O22"/>
      <c r="P22"/>
      <c r="Q22" t="s">
        <v>1838</v>
      </c>
      <c r="R22" t="s">
        <v>1667</v>
      </c>
      <c r="S22"/>
      <c r="T22"/>
      <c r="U22" t="s">
        <v>1863</v>
      </c>
      <c r="V22" t="s">
        <v>1669</v>
      </c>
      <c r="W22"/>
      <c r="X22"/>
      <c r="Y22"/>
      <c r="Z22" t="s">
        <v>1864</v>
      </c>
      <c r="AA22" t="s">
        <v>1672</v>
      </c>
      <c r="AB22" t="s">
        <v>1692</v>
      </c>
      <c r="AC22"/>
      <c r="AD22"/>
      <c r="AE22"/>
      <c r="AF22"/>
    </row>
    <row r="23" spans="1:46">
      <c r="M23"/>
      <c r="N23"/>
      <c r="O23"/>
      <c r="P23"/>
      <c r="Q23" t="s">
        <v>1830</v>
      </c>
      <c r="R23" t="s">
        <v>1679</v>
      </c>
      <c r="S23"/>
      <c r="T23"/>
      <c r="U23" t="s">
        <v>1865</v>
      </c>
      <c r="V23" t="s">
        <v>1681</v>
      </c>
      <c r="W23"/>
      <c r="X23"/>
      <c r="Y23"/>
      <c r="Z23" t="s">
        <v>1866</v>
      </c>
      <c r="AA23" t="s">
        <v>1672</v>
      </c>
      <c r="AB23" t="s">
        <v>1701</v>
      </c>
      <c r="AC23"/>
      <c r="AD23"/>
      <c r="AE23"/>
      <c r="AF23"/>
    </row>
    <row r="24" spans="1:46" ht="15" customHeight="1">
      <c r="A24" s="2183" t="s">
        <v>1867</v>
      </c>
      <c r="B24" s="2183"/>
      <c r="C24" s="2183"/>
      <c r="D24" s="2183"/>
      <c r="E24" s="2183"/>
      <c r="F24" s="2183"/>
      <c r="G24" s="2183"/>
      <c r="H24" s="2183"/>
      <c r="M24"/>
      <c r="N24"/>
      <c r="O24"/>
      <c r="P24"/>
      <c r="Q24" t="s">
        <v>1667</v>
      </c>
      <c r="R24" t="s">
        <v>1692</v>
      </c>
      <c r="S24"/>
      <c r="T24"/>
      <c r="U24" t="s">
        <v>1868</v>
      </c>
      <c r="V24" t="s">
        <v>1694</v>
      </c>
      <c r="W24"/>
      <c r="X24"/>
      <c r="Y24"/>
      <c r="Z24" t="s">
        <v>1869</v>
      </c>
      <c r="AA24" t="s">
        <v>1672</v>
      </c>
      <c r="AB24" t="s">
        <v>1711</v>
      </c>
      <c r="AC24"/>
      <c r="AD24"/>
      <c r="AE24"/>
      <c r="AF24"/>
    </row>
    <row r="25" spans="1:46" ht="15" thickBot="1">
      <c r="A25" s="2183"/>
      <c r="B25" s="2183"/>
      <c r="C25" s="2183"/>
      <c r="D25" s="2183"/>
      <c r="E25" s="2183"/>
      <c r="F25" s="2183"/>
      <c r="G25" s="2183"/>
      <c r="H25" s="2183"/>
      <c r="M25"/>
      <c r="N25"/>
      <c r="O25"/>
      <c r="P25"/>
      <c r="Q25"/>
      <c r="R25" t="s">
        <v>1701</v>
      </c>
      <c r="S25"/>
      <c r="T25"/>
      <c r="U25" t="s">
        <v>1870</v>
      </c>
      <c r="V25" t="s">
        <v>1703</v>
      </c>
      <c r="W25"/>
      <c r="X25"/>
      <c r="Y25"/>
      <c r="Z25" t="s">
        <v>1871</v>
      </c>
      <c r="AA25" t="s">
        <v>1672</v>
      </c>
      <c r="AB25" t="s">
        <v>1721</v>
      </c>
      <c r="AC25"/>
      <c r="AD25"/>
      <c r="AE25"/>
      <c r="AF25"/>
    </row>
    <row r="26" spans="1:46" ht="16.5" thickTop="1" thickBot="1">
      <c r="A26" s="39" t="s">
        <v>1872</v>
      </c>
      <c r="B26" s="50" t="str">
        <f ca="1">LootGen!A54</f>
        <v>half elf</v>
      </c>
      <c r="C26" s="39" t="s">
        <v>1873</v>
      </c>
      <c r="D26" s="34" t="str">
        <f ca="1">LootGen!A51</f>
        <v>evil</v>
      </c>
      <c r="M26"/>
      <c r="N26"/>
      <c r="O26"/>
      <c r="P26"/>
      <c r="Q26"/>
      <c r="R26" t="s">
        <v>1874</v>
      </c>
      <c r="S26"/>
      <c r="T26"/>
      <c r="U26" t="s">
        <v>1875</v>
      </c>
      <c r="V26" t="s">
        <v>1713</v>
      </c>
      <c r="W26"/>
      <c r="X26"/>
      <c r="Y26"/>
      <c r="Z26" t="s">
        <v>1876</v>
      </c>
      <c r="AA26" t="s">
        <v>1672</v>
      </c>
      <c r="AB26" t="s">
        <v>1733</v>
      </c>
      <c r="AC26"/>
      <c r="AD26"/>
      <c r="AE26"/>
      <c r="AF26"/>
    </row>
    <row r="27" spans="1:46" ht="16.5" thickTop="1" thickBot="1">
      <c r="A27" s="39" t="s">
        <v>1877</v>
      </c>
      <c r="B27" s="34">
        <f ca="1">SUM(10)+B32</f>
        <v>13</v>
      </c>
      <c r="C27" s="39" t="s">
        <v>1664</v>
      </c>
      <c r="D27" s="50" t="str">
        <f ca="1">INDEX($AE2:$AE16,RANDBETWEEN(1,COUNTA($AE2:$AE16)),1)</f>
        <v>scrapper</v>
      </c>
      <c r="M27"/>
      <c r="N27"/>
      <c r="O27"/>
      <c r="P27"/>
      <c r="Q27"/>
      <c r="R27" t="s">
        <v>1721</v>
      </c>
      <c r="S27"/>
      <c r="T27"/>
      <c r="U27"/>
      <c r="V27" t="s">
        <v>1723</v>
      </c>
      <c r="W27"/>
      <c r="X27"/>
      <c r="Y27"/>
      <c r="Z27" t="s">
        <v>1878</v>
      </c>
      <c r="AA27" t="s">
        <v>1672</v>
      </c>
      <c r="AB27" t="s">
        <v>1744</v>
      </c>
      <c r="AC27"/>
      <c r="AD27"/>
      <c r="AE27"/>
      <c r="AF27"/>
    </row>
    <row r="28" spans="1:46" ht="15" thickTop="1">
      <c r="A28" s="39" t="s">
        <v>1879</v>
      </c>
      <c r="B28" s="34">
        <f ca="1">RANDBETWEEN(15,60)</f>
        <v>24</v>
      </c>
      <c r="M28"/>
      <c r="N28"/>
      <c r="O28"/>
      <c r="P28"/>
      <c r="Q28"/>
      <c r="R28" t="s">
        <v>1733</v>
      </c>
      <c r="S28"/>
      <c r="T28"/>
      <c r="U28"/>
      <c r="V28" t="s">
        <v>1735</v>
      </c>
      <c r="W28"/>
      <c r="X28"/>
      <c r="Y28"/>
      <c r="Z28" t="s">
        <v>1880</v>
      </c>
      <c r="AA28" t="s">
        <v>1672</v>
      </c>
      <c r="AB28" t="s">
        <v>1759</v>
      </c>
      <c r="AC28"/>
      <c r="AD28"/>
      <c r="AE28"/>
      <c r="AF28"/>
    </row>
    <row r="29" spans="1:46">
      <c r="A29" s="39" t="s">
        <v>1881</v>
      </c>
      <c r="B29" s="34">
        <v>30</v>
      </c>
      <c r="M29"/>
      <c r="N29"/>
      <c r="O29"/>
      <c r="P29"/>
      <c r="Q29"/>
      <c r="R29" t="s">
        <v>1882</v>
      </c>
      <c r="S29"/>
      <c r="T29"/>
      <c r="U29"/>
      <c r="V29" t="s">
        <v>1746</v>
      </c>
      <c r="W29"/>
      <c r="X29"/>
      <c r="Y29"/>
      <c r="Z29" t="s">
        <v>1883</v>
      </c>
      <c r="AA29" t="s">
        <v>1672</v>
      </c>
      <c r="AB29" t="s">
        <v>1770</v>
      </c>
      <c r="AC29"/>
      <c r="AD29"/>
      <c r="AE29"/>
      <c r="AF29"/>
    </row>
    <row r="30" spans="1:46">
      <c r="A30" s="40" t="s">
        <v>1884</v>
      </c>
      <c r="B30" s="40" t="s">
        <v>1885</v>
      </c>
      <c r="C30" s="40" t="s">
        <v>1886</v>
      </c>
      <c r="D30" s="40" t="s">
        <v>1887</v>
      </c>
      <c r="E30" s="40" t="s">
        <v>1888</v>
      </c>
      <c r="F30" s="40" t="s">
        <v>1889</v>
      </c>
      <c r="M30"/>
      <c r="N30"/>
      <c r="O30"/>
      <c r="P30"/>
      <c r="Q30"/>
      <c r="R30" t="s">
        <v>1759</v>
      </c>
      <c r="S30"/>
      <c r="T30"/>
      <c r="U30"/>
      <c r="V30" t="s">
        <v>1761</v>
      </c>
      <c r="W30"/>
      <c r="X30"/>
      <c r="Y30"/>
      <c r="Z30"/>
      <c r="AA30" t="s">
        <v>1672</v>
      </c>
      <c r="AB30" t="s">
        <v>1782</v>
      </c>
      <c r="AC30"/>
      <c r="AD30"/>
      <c r="AE30"/>
      <c r="AF30"/>
    </row>
    <row r="31" spans="1:46">
      <c r="A31" s="41">
        <f t="shared" ref="A31:F31" ca="1" si="0">RANDBETWEEN(10,18)</f>
        <v>10</v>
      </c>
      <c r="B31" s="41">
        <f t="shared" ca="1" si="0"/>
        <v>16</v>
      </c>
      <c r="C31" s="41">
        <f t="shared" ca="1" si="0"/>
        <v>11</v>
      </c>
      <c r="D31" s="41">
        <f t="shared" ca="1" si="0"/>
        <v>17</v>
      </c>
      <c r="E31" s="41">
        <f t="shared" ca="1" si="0"/>
        <v>15</v>
      </c>
      <c r="F31" s="41">
        <f t="shared" ca="1" si="0"/>
        <v>15</v>
      </c>
      <c r="M31"/>
      <c r="N31"/>
      <c r="O31"/>
      <c r="P31"/>
      <c r="Q31"/>
      <c r="R31" t="s">
        <v>1890</v>
      </c>
      <c r="S31"/>
      <c r="T31"/>
      <c r="U31"/>
      <c r="V31" t="s">
        <v>1772</v>
      </c>
      <c r="W31"/>
      <c r="X31"/>
      <c r="Y31"/>
      <c r="Z31"/>
      <c r="AA31" t="s">
        <v>1672</v>
      </c>
      <c r="AB31" t="s">
        <v>1791</v>
      </c>
      <c r="AC31"/>
      <c r="AD31"/>
      <c r="AE31"/>
      <c r="AF31"/>
    </row>
    <row r="32" spans="1:46">
      <c r="A32" s="42">
        <f t="shared" ref="A32:F32" ca="1" si="1">ROUNDDOWN((A31-10)/2,0)</f>
        <v>0</v>
      </c>
      <c r="B32" s="42">
        <f t="shared" ca="1" si="1"/>
        <v>3</v>
      </c>
      <c r="C32" s="42">
        <f t="shared" ca="1" si="1"/>
        <v>0</v>
      </c>
      <c r="D32" s="42">
        <f t="shared" ca="1" si="1"/>
        <v>3</v>
      </c>
      <c r="E32" s="43">
        <f t="shared" ca="1" si="1"/>
        <v>2</v>
      </c>
      <c r="F32" s="42">
        <f t="shared" ca="1" si="1"/>
        <v>2</v>
      </c>
      <c r="M32"/>
      <c r="N32"/>
      <c r="O32"/>
      <c r="P32"/>
      <c r="Q32"/>
      <c r="R32" t="s">
        <v>1782</v>
      </c>
      <c r="S32"/>
      <c r="T32"/>
      <c r="U32"/>
      <c r="V32" t="s">
        <v>1784</v>
      </c>
      <c r="W32"/>
      <c r="X32"/>
      <c r="Y32"/>
      <c r="Z32"/>
      <c r="AA32" t="s">
        <v>1672</v>
      </c>
      <c r="AB32" t="s">
        <v>1799</v>
      </c>
      <c r="AC32"/>
      <c r="AD32"/>
      <c r="AE32"/>
      <c r="AF32"/>
    </row>
    <row r="33" spans="1:32">
      <c r="M33"/>
      <c r="N33"/>
      <c r="O33"/>
      <c r="P33"/>
      <c r="Q33"/>
      <c r="R33" t="s">
        <v>1791</v>
      </c>
      <c r="S33"/>
      <c r="T33"/>
      <c r="U33"/>
      <c r="V33" t="s">
        <v>1792</v>
      </c>
      <c r="W33"/>
      <c r="X33"/>
      <c r="Y33"/>
      <c r="Z33"/>
      <c r="AA33" t="s">
        <v>1672</v>
      </c>
      <c r="AB33" t="s">
        <v>1808</v>
      </c>
      <c r="AC33"/>
      <c r="AD33"/>
      <c r="AE33"/>
      <c r="AF33"/>
    </row>
    <row r="34" spans="1:32">
      <c r="A34" s="2185" t="s">
        <v>1661</v>
      </c>
      <c r="B34" s="2185"/>
      <c r="C34" s="2185"/>
      <c r="D34" s="2185"/>
      <c r="E34" s="2185"/>
      <c r="F34" s="2185"/>
      <c r="M34"/>
      <c r="N34"/>
      <c r="O34"/>
      <c r="P34"/>
      <c r="Q34"/>
      <c r="R34" t="s">
        <v>1799</v>
      </c>
      <c r="S34"/>
      <c r="T34"/>
      <c r="U34"/>
      <c r="V34" t="s">
        <v>1893</v>
      </c>
      <c r="W34"/>
      <c r="X34"/>
      <c r="Y34"/>
      <c r="Z34"/>
      <c r="AA34" t="s">
        <v>1672</v>
      </c>
      <c r="AB34" t="s">
        <v>1817</v>
      </c>
      <c r="AC34"/>
      <c r="AD34"/>
      <c r="AE34"/>
      <c r="AF34"/>
    </row>
    <row r="35" spans="1:32">
      <c r="A35" s="39" t="s">
        <v>1891</v>
      </c>
      <c r="C35" s="51" t="str">
        <f ca="1">LootGen!P2</f>
        <v>leather +1 (8)</v>
      </c>
      <c r="D35" s="2184" t="str">
        <f ca="1">LootGen!N3</f>
        <v>purify</v>
      </c>
      <c r="E35" s="2184"/>
      <c r="F35" s="2184"/>
      <c r="M35"/>
      <c r="N35"/>
      <c r="O35"/>
      <c r="P35"/>
      <c r="Q35"/>
      <c r="R35" t="s">
        <v>1896</v>
      </c>
      <c r="S35"/>
      <c r="T35"/>
      <c r="U35"/>
      <c r="V35" t="s">
        <v>1810</v>
      </c>
      <c r="W35"/>
      <c r="X35"/>
      <c r="Y35"/>
      <c r="Z35"/>
      <c r="AA35" t="s">
        <v>1672</v>
      </c>
      <c r="AB35" t="s">
        <v>1824</v>
      </c>
      <c r="AC35"/>
      <c r="AD35"/>
      <c r="AE35"/>
      <c r="AF35"/>
    </row>
    <row r="36" spans="1:32">
      <c r="A36" s="39" t="s">
        <v>1892</v>
      </c>
      <c r="C36" s="51" t="str">
        <f ca="1">LootGen!O2</f>
        <v>greatsword</v>
      </c>
      <c r="D36" s="51" t="str">
        <f ca="1">LootGen!O3</f>
        <v>combat adv</v>
      </c>
      <c r="M36"/>
      <c r="N36"/>
      <c r="O36"/>
      <c r="P36"/>
      <c r="Q36"/>
      <c r="R36" t="s">
        <v>1817</v>
      </c>
      <c r="S36"/>
      <c r="T36"/>
      <c r="U36"/>
      <c r="V36" t="s">
        <v>1819</v>
      </c>
      <c r="W36"/>
      <c r="X36"/>
      <c r="Y36"/>
      <c r="Z36"/>
      <c r="AA36" t="s">
        <v>1672</v>
      </c>
      <c r="AB36" t="s">
        <v>1831</v>
      </c>
      <c r="AC36"/>
      <c r="AD36"/>
      <c r="AE36"/>
      <c r="AF36"/>
    </row>
    <row r="37" spans="1:32">
      <c r="A37" s="39" t="s">
        <v>1894</v>
      </c>
      <c r="B37" s="51" t="str">
        <f ca="1">LootGen!N2</f>
        <v>quaterstaff</v>
      </c>
      <c r="C37" s="51" t="str">
        <f ca="1">LootGen!C54</f>
        <v>1d6 elemental</v>
      </c>
      <c r="D37" s="44" t="s">
        <v>1895</v>
      </c>
      <c r="E37" s="53" t="str">
        <f ca="1">INDEX(Таблиця14[quality],MATCH(RANDBETWEEN(1,100),Таблиця14[low range],1),1)</f>
        <v>reversed</v>
      </c>
      <c r="M37"/>
      <c r="N37"/>
      <c r="O37"/>
      <c r="P37"/>
      <c r="Q37"/>
      <c r="R37" t="s">
        <v>1824</v>
      </c>
      <c r="S37"/>
      <c r="T37"/>
      <c r="U37"/>
      <c r="V37" t="s">
        <v>1826</v>
      </c>
      <c r="W37"/>
      <c r="X37"/>
      <c r="Y37"/>
      <c r="Z37"/>
      <c r="AA37" t="s">
        <v>1672</v>
      </c>
      <c r="AB37" t="s">
        <v>1839</v>
      </c>
      <c r="AC37"/>
      <c r="AD37"/>
      <c r="AE37"/>
      <c r="AF37"/>
    </row>
    <row r="38" spans="1:32">
      <c r="M38"/>
      <c r="N38"/>
      <c r="O38"/>
      <c r="P38"/>
      <c r="Q38"/>
      <c r="R38" t="s">
        <v>1831</v>
      </c>
      <c r="S38"/>
      <c r="T38"/>
      <c r="U38"/>
      <c r="V38" t="s">
        <v>1833</v>
      </c>
      <c r="W38"/>
      <c r="X38"/>
      <c r="Y38"/>
      <c r="Z38"/>
      <c r="AA38" t="s">
        <v>1672</v>
      </c>
      <c r="AB38" t="s">
        <v>1847</v>
      </c>
      <c r="AC38"/>
      <c r="AD38"/>
      <c r="AE38"/>
      <c r="AF38"/>
    </row>
    <row r="39" spans="1:32">
      <c r="M39"/>
      <c r="N39"/>
      <c r="O39"/>
      <c r="P39"/>
      <c r="Q39"/>
      <c r="R39" t="s">
        <v>1839</v>
      </c>
      <c r="S39"/>
      <c r="T39"/>
      <c r="U39"/>
      <c r="V39" t="s">
        <v>1841</v>
      </c>
      <c r="W39"/>
      <c r="X39"/>
      <c r="Y39"/>
      <c r="Z39"/>
      <c r="AA39" t="s">
        <v>1672</v>
      </c>
      <c r="AB39" t="s">
        <v>1856</v>
      </c>
      <c r="AC39"/>
      <c r="AD39"/>
      <c r="AE39"/>
      <c r="AF39"/>
    </row>
    <row r="40" spans="1:32">
      <c r="M40"/>
      <c r="N40"/>
      <c r="O40"/>
      <c r="P40"/>
      <c r="Q40"/>
      <c r="R40" t="s">
        <v>1847</v>
      </c>
      <c r="S40"/>
      <c r="T40"/>
      <c r="U40"/>
      <c r="V40" t="s">
        <v>1849</v>
      </c>
      <c r="W40"/>
      <c r="X40"/>
      <c r="Y40"/>
      <c r="Z40"/>
      <c r="AA40" t="s">
        <v>1672</v>
      </c>
      <c r="AB40"/>
      <c r="AC40"/>
      <c r="AD40"/>
      <c r="AE40"/>
      <c r="AF40"/>
    </row>
    <row r="41" spans="1:32">
      <c r="M41"/>
      <c r="N41"/>
      <c r="O41"/>
      <c r="P41"/>
      <c r="Q41"/>
      <c r="R41" t="s">
        <v>1856</v>
      </c>
      <c r="S41"/>
      <c r="T41"/>
      <c r="U41"/>
      <c r="V41" t="s">
        <v>1659</v>
      </c>
      <c r="W41"/>
      <c r="X41"/>
      <c r="Y41"/>
      <c r="Z41"/>
      <c r="AA41" t="s">
        <v>1672</v>
      </c>
      <c r="AB41"/>
      <c r="AC41"/>
      <c r="AD41"/>
      <c r="AE41"/>
      <c r="AF41"/>
    </row>
    <row r="42" spans="1:32">
      <c r="M42"/>
      <c r="N42"/>
      <c r="O42"/>
      <c r="P42"/>
      <c r="Q42"/>
      <c r="R42" t="s">
        <v>1673</v>
      </c>
      <c r="S42"/>
      <c r="T42"/>
      <c r="U42"/>
      <c r="V42" t="s">
        <v>1897</v>
      </c>
      <c r="W42"/>
      <c r="X42"/>
      <c r="Y42"/>
      <c r="Z42"/>
      <c r="AA42" t="s">
        <v>1672</v>
      </c>
      <c r="AB42"/>
      <c r="AC42"/>
      <c r="AD42"/>
      <c r="AE42"/>
      <c r="AF42"/>
    </row>
    <row r="43" spans="1:32">
      <c r="M43"/>
      <c r="N43"/>
      <c r="O43"/>
      <c r="P43"/>
      <c r="Q43"/>
      <c r="R43" t="s">
        <v>1685</v>
      </c>
      <c r="S43"/>
      <c r="T43"/>
      <c r="U43"/>
      <c r="V43" t="s">
        <v>1898</v>
      </c>
      <c r="W43"/>
      <c r="X43"/>
      <c r="Y43"/>
      <c r="Z43"/>
      <c r="AA43" t="s">
        <v>1672</v>
      </c>
      <c r="AB43"/>
      <c r="AC43"/>
      <c r="AD43"/>
      <c r="AE43"/>
      <c r="AF43"/>
    </row>
    <row r="44" spans="1:32">
      <c r="M44"/>
      <c r="N44"/>
      <c r="O44"/>
      <c r="P44"/>
      <c r="Q44"/>
      <c r="R44" t="s">
        <v>1691</v>
      </c>
      <c r="S44"/>
      <c r="T44"/>
      <c r="U44"/>
      <c r="V44" t="s">
        <v>1899</v>
      </c>
      <c r="W44"/>
      <c r="X44"/>
      <c r="Y44"/>
      <c r="Z44"/>
      <c r="AA44" t="s">
        <v>1672</v>
      </c>
      <c r="AB44"/>
      <c r="AC44"/>
      <c r="AD44"/>
      <c r="AE44"/>
      <c r="AF44"/>
    </row>
    <row r="45" spans="1:32">
      <c r="M45"/>
      <c r="N45"/>
      <c r="O45"/>
      <c r="P45"/>
      <c r="Q45"/>
      <c r="R45" t="s">
        <v>1706</v>
      </c>
      <c r="S45"/>
      <c r="T45"/>
      <c r="U45"/>
      <c r="V45" t="s">
        <v>1900</v>
      </c>
      <c r="W45"/>
      <c r="X45"/>
      <c r="Y45"/>
      <c r="Z45"/>
      <c r="AA45" t="s">
        <v>1672</v>
      </c>
      <c r="AB45"/>
      <c r="AC45"/>
      <c r="AD45"/>
      <c r="AE45"/>
      <c r="AF45"/>
    </row>
    <row r="46" spans="1:32">
      <c r="M46"/>
      <c r="N46"/>
      <c r="O46"/>
      <c r="P46"/>
      <c r="Q46"/>
      <c r="R46" t="s">
        <v>1716</v>
      </c>
      <c r="S46"/>
      <c r="T46"/>
      <c r="U46"/>
      <c r="V46" t="s">
        <v>1863</v>
      </c>
      <c r="W46"/>
      <c r="X46"/>
      <c r="Y46"/>
      <c r="Z46"/>
      <c r="AA46" t="s">
        <v>1672</v>
      </c>
      <c r="AB46"/>
      <c r="AC46"/>
      <c r="AD46"/>
      <c r="AE46"/>
      <c r="AF46"/>
    </row>
    <row r="47" spans="1:32">
      <c r="A47" s="39" t="s">
        <v>1698</v>
      </c>
      <c r="B47" s="39" t="s">
        <v>1660</v>
      </c>
      <c r="C47" s="39" t="s">
        <v>1730</v>
      </c>
      <c r="M47"/>
      <c r="N47"/>
      <c r="O47"/>
      <c r="P47"/>
      <c r="Q47"/>
      <c r="R47" t="s">
        <v>1727</v>
      </c>
      <c r="S47"/>
      <c r="T47"/>
      <c r="U47"/>
      <c r="V47" t="s">
        <v>1865</v>
      </c>
      <c r="W47"/>
      <c r="X47"/>
      <c r="Y47"/>
      <c r="Z47"/>
      <c r="AA47" t="s">
        <v>1672</v>
      </c>
      <c r="AB47"/>
      <c r="AC47"/>
      <c r="AD47"/>
      <c r="AE47"/>
      <c r="AF47"/>
    </row>
    <row r="48" spans="1:32">
      <c r="A48" s="51" t="str">
        <f ca="1">INDEX($AB2:$AB39,RANDBETWEEN(1,COUNTA($AB2:$AB39)),1)</f>
        <v>amulet</v>
      </c>
      <c r="B48" s="51" t="str">
        <f ca="1">INDEX($AA2:$AA50,RANDBETWEEN(1,COUNTA($AA2:$AA50)),1)</f>
        <v>none</v>
      </c>
      <c r="C48" s="51" t="str">
        <f ca="1">INDEX($AC2:$AC21,RANDBETWEEN(1,COUNTA($AC2:$AC21)),1)</f>
        <v>food shop</v>
      </c>
      <c r="F48" t="s">
        <v>1922</v>
      </c>
      <c r="G48" t="s">
        <v>1923</v>
      </c>
      <c r="H48" t="s">
        <v>1924</v>
      </c>
      <c r="I48" s="31" t="s">
        <v>551</v>
      </c>
      <c r="M48"/>
      <c r="N48"/>
      <c r="O48"/>
      <c r="P48"/>
      <c r="Q48"/>
      <c r="R48" t="s">
        <v>1738</v>
      </c>
      <c r="S48"/>
      <c r="T48"/>
      <c r="U48"/>
      <c r="V48" t="s">
        <v>1868</v>
      </c>
      <c r="W48"/>
      <c r="X48"/>
      <c r="Y48"/>
      <c r="Z48"/>
      <c r="AA48" t="s">
        <v>1672</v>
      </c>
      <c r="AB48"/>
      <c r="AC48"/>
      <c r="AD48"/>
      <c r="AE48"/>
      <c r="AF48"/>
    </row>
    <row r="49" spans="1:32">
      <c r="F49" t="s">
        <v>1925</v>
      </c>
      <c r="G49">
        <v>0</v>
      </c>
      <c r="H49" t="s">
        <v>1926</v>
      </c>
      <c r="M49"/>
      <c r="N49"/>
      <c r="O49"/>
      <c r="P49"/>
      <c r="Q49"/>
      <c r="R49" t="s">
        <v>1750</v>
      </c>
      <c r="S49"/>
      <c r="T49"/>
      <c r="U49"/>
      <c r="V49" t="s">
        <v>1870</v>
      </c>
      <c r="W49"/>
      <c r="X49"/>
      <c r="Y49"/>
      <c r="Z49"/>
      <c r="AA49" t="s">
        <v>1672</v>
      </c>
      <c r="AB49"/>
      <c r="AC49"/>
      <c r="AD49"/>
      <c r="AE49"/>
      <c r="AF49"/>
    </row>
    <row r="50" spans="1:32">
      <c r="A50" s="39" t="s">
        <v>1754</v>
      </c>
      <c r="B50" s="39" t="s">
        <v>1755</v>
      </c>
      <c r="C50" s="39" t="s">
        <v>1756</v>
      </c>
      <c r="F50" t="s">
        <v>1927</v>
      </c>
      <c r="G50">
        <v>30</v>
      </c>
      <c r="H50" t="s">
        <v>1682</v>
      </c>
      <c r="M50"/>
      <c r="N50"/>
      <c r="O50"/>
      <c r="P50"/>
      <c r="Q50"/>
      <c r="R50" t="s">
        <v>1764</v>
      </c>
      <c r="S50"/>
      <c r="T50"/>
      <c r="U50"/>
      <c r="V50" t="s">
        <v>1875</v>
      </c>
      <c r="W50"/>
      <c r="X50"/>
      <c r="Y50"/>
      <c r="Z50"/>
      <c r="AA50" t="s">
        <v>1854</v>
      </c>
      <c r="AB50"/>
      <c r="AC50"/>
      <c r="AD50"/>
      <c r="AE50"/>
      <c r="AF50"/>
    </row>
    <row r="51" spans="1:32">
      <c r="A51" s="51" t="str">
        <f ca="1">INDEX($X2:$X11,RANDBETWEEN(1,COUNTA($X2:$X11)),1)</f>
        <v>evil</v>
      </c>
      <c r="B51" s="51" t="str">
        <f ca="1">INDEX($Y2:$Y11,RANDBETWEEN(1,COUNTA($Y2:$Y11)),1)</f>
        <v>fire</v>
      </c>
      <c r="C51" s="51" t="str">
        <f ca="1">INDEX($Z2:$Z19,RANDBETWEEN(1,COUNTA($Z2:$Z19)),1)</f>
        <v>bludgeoning</v>
      </c>
      <c r="F51" t="s">
        <v>1928</v>
      </c>
      <c r="G51">
        <v>70</v>
      </c>
      <c r="H51" t="s">
        <v>1929</v>
      </c>
      <c r="I51" s="31">
        <v>1</v>
      </c>
      <c r="M51"/>
      <c r="N51"/>
      <c r="O51"/>
      <c r="P51"/>
      <c r="Q51"/>
      <c r="R51" t="s">
        <v>1775</v>
      </c>
      <c r="S51"/>
      <c r="T51"/>
      <c r="U51"/>
      <c r="V51"/>
      <c r="W51"/>
      <c r="X51"/>
      <c r="Y51"/>
      <c r="Z51"/>
      <c r="AA51"/>
      <c r="AB51"/>
      <c r="AC51"/>
      <c r="AD51"/>
      <c r="AE51"/>
      <c r="AF51"/>
    </row>
    <row r="52" spans="1:32">
      <c r="F52">
        <v>100</v>
      </c>
      <c r="G52">
        <v>99</v>
      </c>
      <c r="H52" t="s">
        <v>1930</v>
      </c>
      <c r="I52" s="31">
        <v>2</v>
      </c>
      <c r="M52"/>
      <c r="N52"/>
      <c r="O52"/>
      <c r="P52"/>
      <c r="Q52"/>
      <c r="R52" t="s">
        <v>1785</v>
      </c>
      <c r="S52"/>
      <c r="T52"/>
      <c r="U52"/>
      <c r="V52"/>
      <c r="W52"/>
      <c r="X52"/>
      <c r="Y52"/>
      <c r="Z52"/>
      <c r="AA52"/>
      <c r="AB52"/>
      <c r="AC52"/>
      <c r="AD52"/>
      <c r="AE52"/>
      <c r="AF52"/>
    </row>
    <row r="53" spans="1:32">
      <c r="A53" s="39" t="s">
        <v>1663</v>
      </c>
      <c r="B53" s="39"/>
      <c r="C53" s="39" t="s">
        <v>1788</v>
      </c>
      <c r="M53"/>
      <c r="N53"/>
      <c r="O53"/>
      <c r="P53"/>
      <c r="Q53"/>
      <c r="R53" t="s">
        <v>1794</v>
      </c>
      <c r="S53"/>
      <c r="T53"/>
      <c r="U53"/>
      <c r="V53"/>
      <c r="W53"/>
      <c r="X53"/>
      <c r="Y53"/>
      <c r="Z53"/>
      <c r="AA53"/>
      <c r="AB53"/>
      <c r="AC53"/>
      <c r="AD53"/>
      <c r="AE53"/>
      <c r="AF53"/>
    </row>
    <row r="54" spans="1:32">
      <c r="A54" s="51" t="str">
        <f ca="1">INDEX($AD2:$AD21,RANDBETWEEN(1,COUNTA($AD2:$AD21)),1)</f>
        <v>half elf</v>
      </c>
      <c r="B54" s="51"/>
      <c r="C54" s="51" t="str">
        <f ca="1">INDEX($V2:$V50,RANDBETWEEN(1,COUNTA($V2:$V50)),1)</f>
        <v>1d6 elemental</v>
      </c>
      <c r="M54"/>
      <c r="N54"/>
      <c r="O54"/>
      <c r="P54"/>
      <c r="Q54"/>
      <c r="R54" t="s">
        <v>1798</v>
      </c>
      <c r="S54"/>
      <c r="T54"/>
      <c r="U54"/>
      <c r="V54"/>
      <c r="W54"/>
      <c r="X54"/>
      <c r="Y54"/>
      <c r="Z54"/>
      <c r="AA54"/>
      <c r="AB54"/>
      <c r="AC54"/>
      <c r="AD54"/>
      <c r="AE54"/>
      <c r="AF54"/>
    </row>
    <row r="55" spans="1:32">
      <c r="G55" s="33" t="s">
        <v>1836</v>
      </c>
      <c r="M55"/>
      <c r="N55"/>
      <c r="O55"/>
      <c r="P55"/>
      <c r="Q55"/>
      <c r="R55" t="s">
        <v>1807</v>
      </c>
      <c r="S55"/>
      <c r="T55"/>
      <c r="U55"/>
      <c r="V55"/>
      <c r="W55"/>
      <c r="X55"/>
      <c r="Y55"/>
      <c r="Z55"/>
      <c r="AA55"/>
      <c r="AB55"/>
      <c r="AC55"/>
      <c r="AD55"/>
      <c r="AE55"/>
      <c r="AF55"/>
    </row>
    <row r="56" spans="1:32">
      <c r="G56" s="32" t="s">
        <v>1844</v>
      </c>
      <c r="M56"/>
      <c r="N56"/>
      <c r="O56"/>
      <c r="P56"/>
      <c r="Q56"/>
      <c r="R56" t="s">
        <v>1816</v>
      </c>
      <c r="S56"/>
      <c r="T56"/>
      <c r="U56"/>
      <c r="V56"/>
      <c r="W56"/>
      <c r="X56"/>
      <c r="Y56"/>
      <c r="Z56"/>
      <c r="AA56"/>
      <c r="AB56"/>
      <c r="AC56"/>
      <c r="AD56"/>
      <c r="AE56"/>
      <c r="AF56"/>
    </row>
    <row r="57" spans="1:32">
      <c r="G57" s="33" t="s">
        <v>1853</v>
      </c>
      <c r="M57"/>
      <c r="N57"/>
      <c r="O57"/>
      <c r="P57"/>
      <c r="Q57"/>
      <c r="R57" t="s">
        <v>1823</v>
      </c>
      <c r="S57"/>
      <c r="T57"/>
      <c r="U57"/>
      <c r="V57"/>
      <c r="W57"/>
      <c r="X57"/>
      <c r="Y57"/>
      <c r="Z57"/>
      <c r="AA57"/>
      <c r="AB57"/>
      <c r="AC57"/>
      <c r="AD57"/>
      <c r="AE57"/>
      <c r="AF57"/>
    </row>
    <row r="58" spans="1:32">
      <c r="G58" s="32" t="s">
        <v>1861</v>
      </c>
      <c r="M58"/>
      <c r="N58"/>
      <c r="O58"/>
      <c r="P58"/>
      <c r="Q58"/>
      <c r="R58" t="s">
        <v>1830</v>
      </c>
      <c r="S58"/>
      <c r="T58"/>
      <c r="U58"/>
      <c r="V58"/>
      <c r="W58"/>
      <c r="X58"/>
      <c r="Y58"/>
      <c r="Z58"/>
      <c r="AA58"/>
      <c r="AB58"/>
      <c r="AC58"/>
      <c r="AD58"/>
      <c r="AE58"/>
      <c r="AF58"/>
    </row>
    <row r="59" spans="1:32">
      <c r="M59"/>
      <c r="N59"/>
      <c r="O59"/>
      <c r="P59"/>
      <c r="Q59"/>
      <c r="R59" t="s">
        <v>1838</v>
      </c>
      <c r="S59"/>
      <c r="T59"/>
      <c r="U59"/>
      <c r="V59"/>
      <c r="W59"/>
      <c r="X59"/>
      <c r="Y59"/>
      <c r="Z59"/>
      <c r="AA59"/>
      <c r="AB59"/>
      <c r="AC59"/>
      <c r="AD59"/>
      <c r="AE59"/>
      <c r="AF59"/>
    </row>
    <row r="60" spans="1:32">
      <c r="M60"/>
      <c r="N60"/>
      <c r="O60"/>
      <c r="P60"/>
      <c r="Q60"/>
      <c r="R60"/>
      <c r="S60"/>
      <c r="T60"/>
      <c r="U60"/>
      <c r="V60"/>
      <c r="W60"/>
      <c r="X60"/>
      <c r="Y60"/>
      <c r="Z60"/>
      <c r="AA60"/>
      <c r="AB60"/>
      <c r="AC60"/>
      <c r="AD60"/>
      <c r="AE60"/>
      <c r="AF60"/>
    </row>
    <row r="61" spans="1:32">
      <c r="M61"/>
      <c r="N61"/>
      <c r="O61"/>
      <c r="P61"/>
      <c r="Q61"/>
      <c r="R61"/>
      <c r="S61"/>
      <c r="T61"/>
      <c r="U61"/>
      <c r="V61"/>
      <c r="W61"/>
      <c r="X61"/>
      <c r="Y61"/>
      <c r="Z61"/>
      <c r="AA61"/>
      <c r="AB61"/>
      <c r="AC61"/>
      <c r="AD61"/>
      <c r="AE61"/>
      <c r="AF61"/>
    </row>
    <row r="62" spans="1:32">
      <c r="M62"/>
      <c r="N62"/>
      <c r="O62"/>
      <c r="P62"/>
      <c r="Q62"/>
      <c r="R62"/>
      <c r="S62"/>
      <c r="T62"/>
      <c r="U62"/>
      <c r="V62"/>
      <c r="W62"/>
      <c r="X62"/>
      <c r="Y62"/>
      <c r="Z62"/>
      <c r="AA62"/>
      <c r="AB62"/>
      <c r="AC62"/>
      <c r="AD62"/>
      <c r="AE62"/>
      <c r="AF62"/>
    </row>
    <row r="63" spans="1:32">
      <c r="M63"/>
      <c r="N63"/>
      <c r="O63"/>
      <c r="P63"/>
      <c r="Q63"/>
      <c r="R63"/>
      <c r="S63"/>
      <c r="T63"/>
      <c r="U63"/>
      <c r="V63"/>
      <c r="W63"/>
      <c r="X63"/>
      <c r="Y63"/>
      <c r="Z63"/>
      <c r="AA63"/>
      <c r="AB63"/>
      <c r="AC63"/>
      <c r="AD63"/>
      <c r="AE63"/>
      <c r="AF63"/>
    </row>
    <row r="64" spans="1:32">
      <c r="M64"/>
      <c r="N64"/>
      <c r="O64"/>
      <c r="P64"/>
      <c r="Q64"/>
      <c r="R64"/>
      <c r="S64"/>
      <c r="T64"/>
      <c r="U64"/>
      <c r="V64"/>
      <c r="W64"/>
      <c r="X64"/>
      <c r="Y64"/>
      <c r="Z64"/>
      <c r="AA64"/>
      <c r="AB64"/>
      <c r="AC64"/>
      <c r="AD64"/>
      <c r="AE64"/>
      <c r="AF64"/>
    </row>
    <row r="65" spans="13:32">
      <c r="M65"/>
      <c r="N65"/>
      <c r="O65"/>
      <c r="P65"/>
      <c r="Q65"/>
      <c r="R65"/>
      <c r="S65"/>
      <c r="T65"/>
      <c r="U65"/>
      <c r="V65"/>
      <c r="W65"/>
      <c r="X65"/>
      <c r="Y65"/>
      <c r="Z65"/>
      <c r="AA65"/>
      <c r="AB65"/>
      <c r="AC65"/>
      <c r="AD65"/>
      <c r="AE65"/>
      <c r="AF65"/>
    </row>
    <row r="66" spans="13:32">
      <c r="M66"/>
      <c r="N66"/>
      <c r="O66"/>
      <c r="P66"/>
      <c r="Q66"/>
      <c r="R66"/>
      <c r="S66"/>
      <c r="T66"/>
      <c r="U66"/>
      <c r="V66"/>
      <c r="W66"/>
      <c r="X66"/>
      <c r="Y66"/>
      <c r="Z66"/>
      <c r="AA66"/>
      <c r="AB66"/>
      <c r="AC66"/>
      <c r="AD66"/>
      <c r="AE66"/>
      <c r="AF66"/>
    </row>
    <row r="67" spans="13:32">
      <c r="M67"/>
      <c r="N67"/>
      <c r="O67"/>
      <c r="P67"/>
      <c r="Q67"/>
      <c r="R67"/>
      <c r="S67"/>
      <c r="T67"/>
      <c r="U67"/>
      <c r="V67"/>
      <c r="W67"/>
      <c r="X67"/>
      <c r="Y67"/>
      <c r="Z67"/>
      <c r="AA67"/>
      <c r="AB67"/>
      <c r="AC67"/>
      <c r="AD67"/>
      <c r="AE67"/>
      <c r="AF67"/>
    </row>
    <row r="68" spans="13:32">
      <c r="M68"/>
      <c r="N68"/>
      <c r="O68"/>
      <c r="P68"/>
      <c r="Q68"/>
      <c r="R68"/>
      <c r="S68"/>
      <c r="T68"/>
      <c r="U68"/>
      <c r="V68"/>
      <c r="W68"/>
      <c r="X68"/>
      <c r="Y68"/>
      <c r="Z68"/>
      <c r="AA68"/>
      <c r="AB68"/>
      <c r="AC68"/>
      <c r="AD68"/>
      <c r="AE68"/>
      <c r="AF68"/>
    </row>
    <row r="69" spans="13:32">
      <c r="M69"/>
      <c r="N69"/>
      <c r="O69"/>
      <c r="P69"/>
      <c r="Q69"/>
      <c r="R69"/>
      <c r="S69"/>
      <c r="T69"/>
      <c r="U69"/>
      <c r="V69"/>
      <c r="W69"/>
      <c r="X69"/>
      <c r="Y69"/>
      <c r="Z69"/>
      <c r="AA69"/>
      <c r="AB69"/>
      <c r="AC69"/>
      <c r="AD69"/>
      <c r="AE69"/>
      <c r="AF69"/>
    </row>
    <row r="70" spans="13:32">
      <c r="M70"/>
      <c r="N70"/>
      <c r="O70"/>
      <c r="P70"/>
      <c r="Q70"/>
      <c r="R70"/>
      <c r="S70"/>
      <c r="T70"/>
      <c r="U70"/>
      <c r="V70"/>
      <c r="W70"/>
      <c r="X70"/>
      <c r="Y70"/>
      <c r="Z70"/>
      <c r="AA70"/>
      <c r="AB70"/>
      <c r="AC70"/>
      <c r="AD70"/>
      <c r="AE70"/>
      <c r="AF70"/>
    </row>
    <row r="71" spans="13:32">
      <c r="M71"/>
      <c r="N71"/>
      <c r="O71"/>
      <c r="P71"/>
      <c r="Q71"/>
      <c r="R71"/>
      <c r="S71"/>
      <c r="T71"/>
      <c r="U71"/>
      <c r="V71"/>
      <c r="W71"/>
      <c r="X71"/>
      <c r="Y71"/>
      <c r="Z71"/>
      <c r="AA71"/>
      <c r="AB71"/>
      <c r="AC71"/>
      <c r="AD71"/>
      <c r="AE71"/>
      <c r="AF71"/>
    </row>
    <row r="72" spans="13:32">
      <c r="M72"/>
      <c r="N72"/>
      <c r="O72"/>
      <c r="P72"/>
      <c r="Q72"/>
      <c r="R72"/>
      <c r="S72"/>
      <c r="T72"/>
      <c r="U72"/>
      <c r="V72"/>
      <c r="W72"/>
      <c r="X72"/>
      <c r="Y72"/>
      <c r="Z72"/>
      <c r="AA72"/>
      <c r="AB72"/>
      <c r="AC72"/>
      <c r="AD72"/>
      <c r="AE72"/>
      <c r="AF72"/>
    </row>
    <row r="73" spans="13:32">
      <c r="M73"/>
      <c r="N73"/>
      <c r="O73"/>
      <c r="P73"/>
      <c r="Q73"/>
      <c r="R73"/>
      <c r="S73"/>
      <c r="T73"/>
      <c r="U73"/>
      <c r="V73"/>
      <c r="W73"/>
      <c r="X73"/>
      <c r="Y73"/>
      <c r="Z73"/>
      <c r="AA73"/>
      <c r="AB73"/>
      <c r="AC73"/>
      <c r="AD73"/>
      <c r="AE73"/>
      <c r="AF73"/>
    </row>
    <row r="74" spans="13:32">
      <c r="M74"/>
      <c r="N74"/>
      <c r="O74"/>
      <c r="P74"/>
      <c r="Q74"/>
      <c r="R74"/>
      <c r="S74"/>
      <c r="T74"/>
      <c r="U74"/>
      <c r="V74"/>
      <c r="W74"/>
      <c r="X74"/>
      <c r="Y74"/>
      <c r="Z74"/>
      <c r="AA74"/>
      <c r="AB74"/>
      <c r="AC74"/>
      <c r="AD74"/>
      <c r="AE74"/>
      <c r="AF74"/>
    </row>
    <row r="75" spans="13:32">
      <c r="M75"/>
      <c r="N75"/>
      <c r="O75"/>
      <c r="P75"/>
      <c r="Q75"/>
      <c r="R75"/>
      <c r="S75"/>
      <c r="T75"/>
      <c r="U75"/>
      <c r="V75"/>
      <c r="W75"/>
      <c r="X75"/>
      <c r="Y75"/>
      <c r="Z75"/>
      <c r="AA75"/>
      <c r="AB75"/>
      <c r="AC75"/>
      <c r="AD75"/>
      <c r="AE75"/>
      <c r="AF75"/>
    </row>
    <row r="76" spans="13:32">
      <c r="M76"/>
      <c r="N76"/>
      <c r="O76"/>
      <c r="P76"/>
      <c r="Q76"/>
      <c r="R76"/>
      <c r="S76"/>
      <c r="T76"/>
      <c r="U76"/>
      <c r="V76"/>
      <c r="W76"/>
      <c r="X76"/>
      <c r="Y76"/>
      <c r="Z76"/>
      <c r="AA76"/>
      <c r="AB76"/>
      <c r="AC76"/>
      <c r="AD76"/>
      <c r="AE76"/>
      <c r="AF76"/>
    </row>
    <row r="77" spans="13:32">
      <c r="M77"/>
      <c r="N77"/>
      <c r="O77"/>
      <c r="P77"/>
      <c r="Q77"/>
      <c r="R77"/>
      <c r="S77"/>
      <c r="T77"/>
      <c r="U77"/>
      <c r="V77"/>
      <c r="W77"/>
      <c r="X77"/>
      <c r="Y77"/>
      <c r="Z77"/>
      <c r="AA77"/>
      <c r="AB77"/>
      <c r="AC77"/>
      <c r="AD77"/>
      <c r="AE77"/>
      <c r="AF77"/>
    </row>
    <row r="78" spans="13:32">
      <c r="M78"/>
      <c r="N78"/>
      <c r="O78"/>
      <c r="P78"/>
      <c r="Q78"/>
      <c r="R78"/>
      <c r="S78"/>
      <c r="T78"/>
      <c r="U78"/>
      <c r="V78"/>
      <c r="W78"/>
      <c r="X78"/>
      <c r="Y78"/>
      <c r="Z78"/>
      <c r="AA78"/>
      <c r="AB78"/>
      <c r="AC78"/>
      <c r="AD78"/>
      <c r="AE78"/>
      <c r="AF78"/>
    </row>
    <row r="79" spans="13:32">
      <c r="M79"/>
      <c r="N79"/>
      <c r="O79"/>
      <c r="P79"/>
      <c r="Q79"/>
      <c r="R79"/>
      <c r="S79"/>
      <c r="T79"/>
      <c r="U79"/>
      <c r="V79"/>
      <c r="W79"/>
      <c r="X79"/>
      <c r="Y79"/>
      <c r="Z79"/>
      <c r="AA79"/>
      <c r="AB79"/>
      <c r="AC79"/>
      <c r="AD79"/>
      <c r="AE79"/>
      <c r="AF79"/>
    </row>
    <row r="80" spans="13:32">
      <c r="M80"/>
      <c r="N80"/>
      <c r="O80"/>
      <c r="P80"/>
      <c r="Q80"/>
      <c r="R80"/>
      <c r="S80"/>
      <c r="T80"/>
      <c r="U80"/>
      <c r="V80"/>
      <c r="W80"/>
      <c r="X80"/>
      <c r="Y80"/>
      <c r="Z80"/>
      <c r="AA80"/>
      <c r="AB80"/>
      <c r="AC80"/>
      <c r="AD80"/>
      <c r="AE80"/>
      <c r="AF80"/>
    </row>
    <row r="81" spans="13:32">
      <c r="M81"/>
      <c r="N81"/>
      <c r="O81"/>
      <c r="P81"/>
      <c r="Q81"/>
      <c r="R81"/>
      <c r="S81"/>
      <c r="T81"/>
      <c r="U81"/>
      <c r="V81"/>
      <c r="W81"/>
      <c r="X81"/>
      <c r="Y81"/>
      <c r="Z81"/>
      <c r="AA81"/>
      <c r="AB81"/>
      <c r="AC81"/>
      <c r="AD81"/>
      <c r="AE81"/>
      <c r="AF81"/>
    </row>
    <row r="82" spans="13:32">
      <c r="M82"/>
      <c r="N82"/>
      <c r="O82"/>
      <c r="P82"/>
      <c r="Q82"/>
      <c r="R82"/>
      <c r="S82"/>
      <c r="T82"/>
      <c r="U82"/>
      <c r="V82"/>
      <c r="W82"/>
      <c r="X82"/>
      <c r="Y82"/>
      <c r="Z82"/>
      <c r="AA82"/>
      <c r="AB82"/>
      <c r="AC82"/>
      <c r="AD82"/>
      <c r="AE82"/>
      <c r="AF82"/>
    </row>
    <row r="83" spans="13:32">
      <c r="M83"/>
      <c r="N83"/>
      <c r="O83"/>
      <c r="P83"/>
      <c r="Q83"/>
      <c r="R83"/>
      <c r="S83"/>
      <c r="T83"/>
      <c r="U83"/>
      <c r="V83"/>
      <c r="W83"/>
      <c r="X83"/>
      <c r="Y83"/>
      <c r="Z83"/>
      <c r="AA83"/>
      <c r="AB83"/>
      <c r="AC83"/>
      <c r="AD83"/>
      <c r="AE83"/>
      <c r="AF83"/>
    </row>
    <row r="84" spans="13:32">
      <c r="M84"/>
      <c r="N84"/>
      <c r="O84"/>
      <c r="P84"/>
      <c r="Q84"/>
      <c r="R84"/>
      <c r="S84"/>
      <c r="T84"/>
      <c r="U84"/>
      <c r="V84"/>
      <c r="W84"/>
      <c r="X84"/>
      <c r="Y84"/>
      <c r="Z84"/>
      <c r="AA84"/>
      <c r="AB84"/>
      <c r="AC84"/>
      <c r="AD84"/>
      <c r="AE84"/>
      <c r="AF84"/>
    </row>
    <row r="85" spans="13:32">
      <c r="M85"/>
      <c r="N85"/>
      <c r="O85"/>
      <c r="P85"/>
      <c r="Q85"/>
      <c r="R85"/>
      <c r="S85"/>
      <c r="T85"/>
      <c r="U85"/>
      <c r="V85"/>
      <c r="W85"/>
      <c r="X85"/>
      <c r="Y85"/>
      <c r="Z85"/>
      <c r="AA85"/>
      <c r="AB85"/>
      <c r="AC85"/>
      <c r="AD85"/>
      <c r="AE85"/>
      <c r="AF85"/>
    </row>
    <row r="86" spans="13:32">
      <c r="M86"/>
      <c r="N86"/>
      <c r="O86"/>
      <c r="P86"/>
      <c r="Q86"/>
      <c r="R86"/>
      <c r="S86"/>
      <c r="T86"/>
      <c r="U86"/>
      <c r="V86"/>
      <c r="W86"/>
      <c r="X86"/>
      <c r="Y86"/>
      <c r="Z86"/>
      <c r="AA86"/>
      <c r="AB86"/>
      <c r="AC86"/>
      <c r="AD86"/>
      <c r="AE86"/>
      <c r="AF86"/>
    </row>
    <row r="87" spans="13:32">
      <c r="M87"/>
      <c r="N87"/>
      <c r="O87"/>
      <c r="P87"/>
      <c r="Q87"/>
      <c r="R87"/>
      <c r="S87"/>
      <c r="T87"/>
      <c r="U87"/>
      <c r="V87"/>
      <c r="W87"/>
      <c r="X87"/>
      <c r="Y87"/>
      <c r="Z87"/>
      <c r="AA87"/>
      <c r="AB87"/>
      <c r="AC87"/>
      <c r="AD87"/>
      <c r="AE87"/>
      <c r="AF87"/>
    </row>
    <row r="88" spans="13:32">
      <c r="M88"/>
      <c r="N88"/>
      <c r="O88"/>
      <c r="P88"/>
      <c r="Q88"/>
      <c r="R88"/>
      <c r="S88"/>
      <c r="T88"/>
      <c r="U88"/>
      <c r="V88"/>
      <c r="W88"/>
      <c r="X88"/>
      <c r="Y88"/>
      <c r="Z88"/>
      <c r="AA88"/>
      <c r="AB88"/>
      <c r="AC88"/>
      <c r="AD88"/>
      <c r="AE88"/>
      <c r="AF88"/>
    </row>
    <row r="89" spans="13:32">
      <c r="M89"/>
      <c r="N89"/>
      <c r="O89"/>
      <c r="P89"/>
      <c r="Q89"/>
      <c r="R89"/>
      <c r="S89"/>
      <c r="T89"/>
      <c r="U89"/>
      <c r="V89"/>
      <c r="W89"/>
      <c r="X89"/>
      <c r="Y89"/>
      <c r="Z89"/>
      <c r="AA89"/>
      <c r="AB89"/>
      <c r="AC89"/>
      <c r="AD89"/>
      <c r="AE89"/>
      <c r="AF89"/>
    </row>
    <row r="90" spans="13:32">
      <c r="M90"/>
      <c r="N90"/>
      <c r="O90"/>
      <c r="P90"/>
      <c r="Q90"/>
      <c r="R90"/>
      <c r="S90"/>
      <c r="T90"/>
      <c r="U90"/>
      <c r="V90"/>
      <c r="W90"/>
      <c r="X90"/>
      <c r="Y90"/>
      <c r="Z90"/>
      <c r="AA90"/>
      <c r="AB90"/>
      <c r="AC90"/>
      <c r="AD90"/>
      <c r="AE90"/>
      <c r="AF90"/>
    </row>
    <row r="91" spans="13:32">
      <c r="M91"/>
      <c r="N91"/>
      <c r="O91"/>
      <c r="P91"/>
      <c r="Q91"/>
      <c r="R91"/>
      <c r="S91"/>
      <c r="T91"/>
      <c r="U91"/>
      <c r="V91"/>
      <c r="W91"/>
      <c r="X91"/>
      <c r="Y91"/>
      <c r="Z91"/>
      <c r="AA91"/>
      <c r="AB91"/>
      <c r="AC91"/>
      <c r="AD91"/>
      <c r="AE91"/>
      <c r="AF91"/>
    </row>
    <row r="92" spans="13:32">
      <c r="M92"/>
      <c r="N92"/>
      <c r="O92"/>
      <c r="P92"/>
      <c r="Q92"/>
      <c r="R92"/>
      <c r="S92"/>
      <c r="T92"/>
      <c r="U92"/>
      <c r="V92"/>
      <c r="W92"/>
      <c r="X92"/>
      <c r="Y92"/>
      <c r="Z92"/>
      <c r="AA92"/>
      <c r="AB92"/>
      <c r="AC92"/>
      <c r="AD92"/>
      <c r="AE92"/>
      <c r="AF92"/>
    </row>
    <row r="93" spans="13:32">
      <c r="M93"/>
      <c r="N93"/>
      <c r="O93"/>
      <c r="P93"/>
      <c r="Q93"/>
      <c r="R93"/>
      <c r="S93"/>
      <c r="T93"/>
      <c r="U93"/>
      <c r="V93"/>
      <c r="W93"/>
      <c r="X93"/>
      <c r="Y93"/>
      <c r="Z93"/>
      <c r="AA93"/>
      <c r="AB93"/>
      <c r="AC93"/>
      <c r="AD93"/>
      <c r="AE93"/>
      <c r="AF93"/>
    </row>
    <row r="94" spans="13:32">
      <c r="M94"/>
      <c r="N94"/>
      <c r="O94"/>
      <c r="P94"/>
      <c r="Q94"/>
      <c r="R94"/>
      <c r="S94"/>
      <c r="T94"/>
      <c r="U94"/>
      <c r="V94"/>
      <c r="W94"/>
      <c r="X94"/>
      <c r="Y94"/>
      <c r="Z94"/>
      <c r="AA94"/>
      <c r="AB94"/>
      <c r="AC94"/>
      <c r="AD94"/>
      <c r="AE94"/>
      <c r="AF94"/>
    </row>
    <row r="95" spans="13:32">
      <c r="M95"/>
      <c r="N95"/>
      <c r="O95"/>
      <c r="P95"/>
      <c r="Q95"/>
      <c r="R95"/>
      <c r="S95"/>
      <c r="T95"/>
      <c r="U95"/>
      <c r="V95"/>
      <c r="W95"/>
      <c r="X95"/>
      <c r="Y95"/>
      <c r="Z95"/>
      <c r="AA95"/>
      <c r="AB95"/>
      <c r="AC95"/>
      <c r="AD95"/>
      <c r="AE95"/>
      <c r="AF95"/>
    </row>
    <row r="96" spans="13:32">
      <c r="M96"/>
      <c r="N96"/>
      <c r="O96"/>
      <c r="P96"/>
      <c r="Q96"/>
      <c r="R96"/>
      <c r="S96"/>
      <c r="T96"/>
      <c r="U96"/>
      <c r="V96"/>
      <c r="W96"/>
      <c r="X96"/>
      <c r="Y96"/>
      <c r="Z96"/>
      <c r="AA96"/>
      <c r="AB96"/>
      <c r="AC96"/>
      <c r="AD96"/>
      <c r="AE96"/>
      <c r="AF96"/>
    </row>
    <row r="97" spans="13:32">
      <c r="M97"/>
      <c r="N97"/>
      <c r="O97"/>
      <c r="P97"/>
      <c r="Q97"/>
      <c r="R97"/>
      <c r="S97"/>
      <c r="T97"/>
      <c r="U97"/>
      <c r="V97"/>
      <c r="W97"/>
      <c r="X97"/>
      <c r="Y97"/>
      <c r="Z97"/>
      <c r="AA97"/>
      <c r="AB97"/>
      <c r="AC97"/>
      <c r="AD97"/>
      <c r="AE97"/>
      <c r="AF97"/>
    </row>
    <row r="98" spans="13:32">
      <c r="M98"/>
      <c r="N98"/>
      <c r="O98"/>
      <c r="P98"/>
      <c r="Q98"/>
      <c r="R98"/>
      <c r="S98"/>
      <c r="T98"/>
      <c r="U98"/>
      <c r="V98"/>
      <c r="W98"/>
      <c r="X98"/>
      <c r="Y98"/>
      <c r="Z98"/>
      <c r="AA98"/>
      <c r="AB98"/>
      <c r="AC98"/>
      <c r="AD98"/>
      <c r="AE98"/>
      <c r="AF98"/>
    </row>
    <row r="99" spans="13:32">
      <c r="M99"/>
      <c r="N99"/>
      <c r="O99"/>
      <c r="P99"/>
      <c r="Q99"/>
      <c r="R99"/>
      <c r="S99"/>
      <c r="T99"/>
      <c r="U99"/>
      <c r="V99"/>
      <c r="W99"/>
      <c r="X99"/>
      <c r="Y99"/>
      <c r="Z99"/>
      <c r="AA99"/>
      <c r="AB99"/>
      <c r="AC99"/>
      <c r="AD99"/>
      <c r="AE99"/>
      <c r="AF99"/>
    </row>
    <row r="100" spans="13:32">
      <c r="M100"/>
      <c r="N100"/>
      <c r="O100"/>
      <c r="P100"/>
      <c r="Q100"/>
      <c r="R100"/>
      <c r="S100"/>
      <c r="T100"/>
      <c r="U100"/>
      <c r="V100"/>
      <c r="W100"/>
      <c r="X100"/>
      <c r="Y100"/>
      <c r="Z100"/>
      <c r="AA100"/>
      <c r="AB100"/>
      <c r="AC100"/>
      <c r="AD100"/>
      <c r="AE100"/>
      <c r="AF100"/>
    </row>
    <row r="101" spans="13:32">
      <c r="M101"/>
      <c r="N101"/>
      <c r="O101"/>
      <c r="P101"/>
      <c r="Q101"/>
      <c r="R101"/>
      <c r="S101"/>
      <c r="T101"/>
      <c r="U101"/>
      <c r="V101"/>
      <c r="W101"/>
      <c r="X101"/>
      <c r="Y101"/>
      <c r="Z101"/>
      <c r="AA101"/>
      <c r="AB101"/>
      <c r="AC101"/>
      <c r="AD101"/>
      <c r="AE101"/>
      <c r="AF101"/>
    </row>
    <row r="102" spans="13:32">
      <c r="M102"/>
      <c r="N102"/>
      <c r="O102"/>
      <c r="P102"/>
      <c r="Q102"/>
      <c r="R102"/>
      <c r="S102"/>
      <c r="T102"/>
      <c r="U102"/>
      <c r="V102"/>
      <c r="W102"/>
      <c r="X102"/>
      <c r="Y102"/>
      <c r="Z102"/>
      <c r="AA102"/>
      <c r="AB102"/>
      <c r="AC102"/>
      <c r="AD102"/>
      <c r="AE102"/>
      <c r="AF102"/>
    </row>
  </sheetData>
  <mergeCells count="9">
    <mergeCell ref="E4:F4"/>
    <mergeCell ref="A18:B18"/>
    <mergeCell ref="A24:H25"/>
    <mergeCell ref="D35:F35"/>
    <mergeCell ref="A34:F34"/>
    <mergeCell ref="C4:D4"/>
    <mergeCell ref="C12:D12"/>
    <mergeCell ref="A12:B12"/>
    <mergeCell ref="A4:B4"/>
  </mergeCells>
  <phoneticPr fontId="182" type="noConversion"/>
  <pageMargins left="0.7" right="0.7" top="0.75" bottom="0.75" header="0.3" footer="0.3"/>
  <pageSetup paperSize="9" orientation="portrait" horizontalDpi="4294967293" r:id="rId1"/>
  <drawing r:id="rId2"/>
  <tableParts count="3">
    <tablePart r:id="rId3"/>
    <tablePart r:id="rId4"/>
    <tablePart r:id="rId5"/>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4AC77-03DC-4496-9190-E8C361D8E747}">
  <sheetPr codeName="Аркуш23">
    <tabColor rgb="FF7030A0"/>
    <outlinePr summaryBelow="0" summaryRight="0"/>
  </sheetPr>
  <dimension ref="A1:L995"/>
  <sheetViews>
    <sheetView workbookViewId="0">
      <pane xSplit="1" ySplit="1" topLeftCell="B37" activePane="bottomRight" state="frozen"/>
      <selection activeCell="BB9" sqref="AT1:BB9"/>
      <selection pane="topRight" activeCell="BB9" sqref="AT1:BB9"/>
      <selection pane="bottomLeft" activeCell="BB9" sqref="AT1:BB9"/>
      <selection pane="bottomRight" activeCell="BB9" sqref="AT1:BB9"/>
    </sheetView>
  </sheetViews>
  <sheetFormatPr defaultColWidth="11.21875" defaultRowHeight="15.75" customHeight="1"/>
  <cols>
    <col min="1" max="1" width="27.5546875" style="103" customWidth="1"/>
    <col min="2" max="3" width="27.5546875" style="212" customWidth="1"/>
    <col min="4" max="4" width="18.44140625" bestFit="1" customWidth="1"/>
    <col min="5" max="5" width="32.21875" customWidth="1"/>
    <col min="6" max="7" width="8.6640625" customWidth="1"/>
    <col min="8" max="8" width="8.88671875" customWidth="1"/>
    <col min="9" max="9" width="10" customWidth="1"/>
    <col min="10" max="11" width="10.77734375" bestFit="1" customWidth="1"/>
    <col min="12" max="12" width="6.77734375" bestFit="1" customWidth="1"/>
    <col min="13" max="13" width="4.21875" customWidth="1"/>
    <col min="14" max="15" width="4.44140625" customWidth="1"/>
    <col min="16" max="16" width="3.33203125" customWidth="1"/>
    <col min="17" max="17" width="3.44140625" customWidth="1"/>
    <col min="18" max="18" width="3.33203125" customWidth="1"/>
    <col min="19" max="19" width="5.77734375" customWidth="1"/>
    <col min="20" max="20" width="9.44140625" customWidth="1"/>
    <col min="21" max="21" width="10.21875" customWidth="1"/>
    <col min="22" max="22" width="8.33203125" customWidth="1"/>
    <col min="23" max="23" width="6.21875" customWidth="1"/>
    <col min="24" max="24" width="8" customWidth="1"/>
    <col min="25" max="25" width="6.6640625" customWidth="1"/>
    <col min="26" max="26" width="4.77734375" customWidth="1"/>
    <col min="27" max="27" width="6.5546875" customWidth="1"/>
    <col min="28" max="28" width="4.44140625" customWidth="1"/>
    <col min="29" max="30" width="5.21875" customWidth="1"/>
    <col min="31" max="31" width="4.44140625" customWidth="1"/>
    <col min="32" max="32" width="5.21875" customWidth="1"/>
    <col min="33" max="33" width="5" customWidth="1"/>
    <col min="34" max="34" width="5.44140625" customWidth="1"/>
    <col min="35" max="35" width="5.33203125" customWidth="1"/>
    <col min="36" max="36" width="6.109375" customWidth="1"/>
    <col min="37" max="37" width="5.5546875" customWidth="1"/>
    <col min="38" max="38" width="5.6640625" customWidth="1"/>
    <col min="39" max="39" width="5.33203125" customWidth="1"/>
    <col min="40" max="40" width="5.5546875" customWidth="1"/>
    <col min="41" max="41" width="6" customWidth="1"/>
    <col min="42" max="42" width="5.21875" customWidth="1"/>
    <col min="43" max="43" width="5.6640625" customWidth="1"/>
    <col min="44" max="44" width="5.33203125" customWidth="1"/>
    <col min="45" max="45" width="7.21875" customWidth="1"/>
    <col min="46" max="46" width="13.77734375" customWidth="1"/>
    <col min="47" max="47" width="5.5546875" customWidth="1"/>
    <col min="48" max="48" width="7.21875" customWidth="1"/>
    <col min="49" max="49" width="13.77734375" customWidth="1"/>
    <col min="50" max="50" width="7.21875" customWidth="1"/>
    <col min="51" max="105" width="13.77734375" customWidth="1"/>
  </cols>
  <sheetData>
    <row r="1" spans="1:12" ht="15.75" customHeight="1">
      <c r="A1" s="933" t="s">
        <v>721</v>
      </c>
      <c r="B1" s="933" t="s">
        <v>13115</v>
      </c>
      <c r="C1" s="933" t="s">
        <v>13114</v>
      </c>
      <c r="D1" s="933" t="s">
        <v>8686</v>
      </c>
      <c r="E1" s="933" t="s">
        <v>8687</v>
      </c>
      <c r="F1" s="934" t="s">
        <v>7369</v>
      </c>
      <c r="G1" s="934" t="s">
        <v>7426</v>
      </c>
      <c r="H1" s="934" t="s">
        <v>7430</v>
      </c>
      <c r="I1" s="934" t="s">
        <v>7431</v>
      </c>
      <c r="J1" s="934" t="s">
        <v>7386</v>
      </c>
      <c r="K1" s="934" t="s">
        <v>13116</v>
      </c>
      <c r="L1" s="934" t="s">
        <v>6725</v>
      </c>
    </row>
    <row r="2" spans="1:12" ht="15.75" customHeight="1">
      <c r="A2" s="935" t="s">
        <v>8507</v>
      </c>
      <c r="B2" s="935" t="s">
        <v>8508</v>
      </c>
      <c r="C2" s="935"/>
      <c r="D2" s="548"/>
      <c r="E2" s="548"/>
      <c r="F2" s="548"/>
      <c r="G2" s="548"/>
      <c r="H2" s="548"/>
      <c r="I2" s="548"/>
      <c r="J2" s="548"/>
      <c r="K2" s="548"/>
      <c r="L2" s="548"/>
    </row>
    <row r="3" spans="1:12" ht="15.75" customHeight="1">
      <c r="A3" s="935" t="s">
        <v>8510</v>
      </c>
      <c r="B3" s="935"/>
      <c r="C3" s="935"/>
      <c r="D3" s="548"/>
      <c r="E3" s="548"/>
      <c r="F3" s="548"/>
      <c r="G3" s="548"/>
      <c r="H3" s="548"/>
      <c r="I3" s="548"/>
      <c r="J3" s="548"/>
      <c r="K3" s="548"/>
      <c r="L3" s="548"/>
    </row>
    <row r="4" spans="1:12" ht="15.75" customHeight="1">
      <c r="A4" s="935" t="s">
        <v>8511</v>
      </c>
      <c r="B4" s="935"/>
      <c r="C4" s="935"/>
      <c r="D4" s="548"/>
      <c r="E4" s="548"/>
      <c r="F4" s="548"/>
      <c r="G4" s="548"/>
      <c r="H4" s="548"/>
      <c r="I4" s="548"/>
      <c r="J4" s="548"/>
      <c r="K4" s="548"/>
      <c r="L4" s="548"/>
    </row>
    <row r="5" spans="1:12" ht="15.75" customHeight="1">
      <c r="A5" s="935" t="s">
        <v>8512</v>
      </c>
      <c r="B5" s="935"/>
      <c r="C5" s="935"/>
      <c r="D5" s="548"/>
      <c r="E5" s="548"/>
      <c r="F5" s="548"/>
      <c r="G5" s="548"/>
      <c r="H5" s="548"/>
      <c r="I5" s="548"/>
      <c r="J5" s="548"/>
      <c r="K5" s="548"/>
      <c r="L5" s="548"/>
    </row>
    <row r="6" spans="1:12" ht="15.75" customHeight="1">
      <c r="A6" s="935" t="s">
        <v>8513</v>
      </c>
      <c r="B6" s="935"/>
      <c r="C6" s="935"/>
      <c r="D6" s="548"/>
      <c r="E6" s="548"/>
      <c r="F6" s="548"/>
      <c r="G6" s="548"/>
      <c r="H6" s="548"/>
      <c r="I6" s="548"/>
      <c r="J6" s="548"/>
      <c r="K6" s="548"/>
      <c r="L6" s="548"/>
    </row>
    <row r="7" spans="1:12" ht="15.75" customHeight="1">
      <c r="A7" s="935" t="s">
        <v>8514</v>
      </c>
      <c r="B7" s="935"/>
      <c r="C7" s="935"/>
      <c r="D7" s="548"/>
      <c r="E7" s="548"/>
      <c r="F7" s="548"/>
      <c r="G7" s="548"/>
      <c r="H7" s="548"/>
      <c r="I7" s="548"/>
      <c r="J7" s="548"/>
      <c r="K7" s="548"/>
      <c r="L7" s="548"/>
    </row>
    <row r="8" spans="1:12" ht="15.75" customHeight="1">
      <c r="A8" s="935" t="s">
        <v>8515</v>
      </c>
      <c r="B8" s="935"/>
      <c r="C8" s="935"/>
      <c r="D8" s="548"/>
      <c r="E8" s="548"/>
      <c r="F8" s="548"/>
      <c r="G8" s="548"/>
      <c r="H8" s="548"/>
      <c r="I8" s="548"/>
      <c r="J8" s="548"/>
      <c r="K8" s="548"/>
      <c r="L8" s="548"/>
    </row>
    <row r="9" spans="1:12" ht="15.75" customHeight="1">
      <c r="A9" s="935" t="s">
        <v>8516</v>
      </c>
      <c r="B9" s="935"/>
      <c r="C9" s="935"/>
      <c r="D9" s="548"/>
      <c r="E9" s="548"/>
      <c r="F9" s="548"/>
      <c r="G9" s="548"/>
      <c r="H9" s="548"/>
      <c r="I9" s="548"/>
      <c r="J9" s="548"/>
      <c r="K9" s="548"/>
      <c r="L9" s="548"/>
    </row>
    <row r="10" spans="1:12" ht="15.75" customHeight="1">
      <c r="A10" s="935" t="s">
        <v>8517</v>
      </c>
      <c r="B10" s="935"/>
      <c r="C10" s="935"/>
      <c r="D10" s="548"/>
      <c r="E10" s="548"/>
      <c r="F10" s="548"/>
      <c r="G10" s="548"/>
      <c r="H10" s="548"/>
      <c r="I10" s="548"/>
      <c r="J10" s="548"/>
      <c r="K10" s="548"/>
      <c r="L10" s="548"/>
    </row>
    <row r="11" spans="1:12" ht="15.75" customHeight="1">
      <c r="A11" s="935" t="s">
        <v>11897</v>
      </c>
      <c r="B11" s="935"/>
      <c r="C11" s="935"/>
      <c r="D11" s="548"/>
      <c r="E11" s="548"/>
      <c r="F11" s="548"/>
      <c r="G11" s="548"/>
      <c r="H11" s="548"/>
      <c r="I11" s="548"/>
      <c r="J11" s="548"/>
      <c r="K11" s="548"/>
      <c r="L11" s="548"/>
    </row>
    <row r="12" spans="1:12" ht="15.75" customHeight="1">
      <c r="A12" s="935" t="s">
        <v>11823</v>
      </c>
      <c r="B12" s="935"/>
      <c r="C12" s="935"/>
      <c r="D12" s="548"/>
      <c r="E12" s="548"/>
      <c r="F12" s="548"/>
      <c r="G12" s="548"/>
      <c r="H12" s="548"/>
      <c r="I12" s="548"/>
      <c r="J12" s="548"/>
      <c r="K12" s="548"/>
      <c r="L12" s="548"/>
    </row>
    <row r="13" spans="1:12" ht="15.75" customHeight="1">
      <c r="A13" s="936" t="s">
        <v>8532</v>
      </c>
      <c r="B13" s="937" t="s">
        <v>11496</v>
      </c>
      <c r="C13" s="936" t="s">
        <v>374</v>
      </c>
      <c r="D13" s="708" t="s">
        <v>11495</v>
      </c>
      <c r="E13" s="548"/>
      <c r="F13" s="548"/>
      <c r="G13" s="548"/>
      <c r="H13" s="548"/>
      <c r="I13" s="548"/>
      <c r="J13" s="548"/>
      <c r="K13" s="548"/>
      <c r="L13" s="548"/>
    </row>
    <row r="14" spans="1:12" ht="15.75" customHeight="1">
      <c r="A14" s="936" t="s">
        <v>8534</v>
      </c>
      <c r="B14" s="937" t="s">
        <v>11501</v>
      </c>
      <c r="C14" s="936" t="s">
        <v>374</v>
      </c>
      <c r="D14" s="708" t="s">
        <v>11498</v>
      </c>
      <c r="E14" s="548"/>
      <c r="F14" s="548"/>
      <c r="G14" s="548"/>
      <c r="H14" s="548"/>
      <c r="I14" s="548"/>
      <c r="J14" s="548"/>
      <c r="K14" s="548"/>
      <c r="L14" s="548"/>
    </row>
    <row r="15" spans="1:12" ht="15.75" customHeight="1">
      <c r="A15" s="936" t="s">
        <v>8535</v>
      </c>
      <c r="B15" s="936" t="s">
        <v>11499</v>
      </c>
      <c r="C15" s="936" t="s">
        <v>374</v>
      </c>
      <c r="D15" s="708" t="s">
        <v>11497</v>
      </c>
      <c r="E15" s="548"/>
      <c r="F15" s="548"/>
      <c r="G15" s="548"/>
      <c r="H15" s="548"/>
      <c r="I15" s="548"/>
      <c r="J15" s="548"/>
      <c r="K15" s="548"/>
      <c r="L15" s="548"/>
    </row>
    <row r="16" spans="1:12" ht="15.75" customHeight="1">
      <c r="A16" s="936" t="s">
        <v>8536</v>
      </c>
      <c r="B16" s="937" t="s">
        <v>11500</v>
      </c>
      <c r="C16" s="936" t="s">
        <v>374</v>
      </c>
      <c r="D16" s="708" t="s">
        <v>11502</v>
      </c>
      <c r="E16" s="548"/>
      <c r="F16" s="548"/>
      <c r="G16" s="548"/>
      <c r="H16" s="548"/>
      <c r="I16" s="548"/>
      <c r="J16" s="548"/>
      <c r="K16" s="548"/>
      <c r="L16" s="548"/>
    </row>
    <row r="17" spans="1:12" ht="15.75" customHeight="1">
      <c r="A17" s="936" t="s">
        <v>8537</v>
      </c>
      <c r="B17" s="936" t="s">
        <v>11504</v>
      </c>
      <c r="C17" s="936" t="s">
        <v>374</v>
      </c>
      <c r="D17" s="708" t="s">
        <v>11503</v>
      </c>
      <c r="E17" s="548"/>
      <c r="F17" s="548"/>
      <c r="G17" s="548"/>
      <c r="H17" s="548"/>
      <c r="I17" s="548"/>
      <c r="J17" s="548"/>
      <c r="K17" s="548"/>
      <c r="L17" s="548"/>
    </row>
    <row r="18" spans="1:12" ht="15.75" customHeight="1">
      <c r="A18" s="936" t="s">
        <v>8538</v>
      </c>
      <c r="B18" s="936" t="s">
        <v>11506</v>
      </c>
      <c r="C18" s="936" t="s">
        <v>374</v>
      </c>
      <c r="D18" s="708" t="s">
        <v>11505</v>
      </c>
      <c r="E18" s="548"/>
      <c r="F18" s="548"/>
      <c r="G18" s="548"/>
      <c r="H18" s="548"/>
      <c r="I18" s="548"/>
      <c r="J18" s="548"/>
      <c r="K18" s="548"/>
      <c r="L18" s="548"/>
    </row>
    <row r="19" spans="1:12" ht="15.75" customHeight="1">
      <c r="A19" s="935" t="s">
        <v>8542</v>
      </c>
      <c r="B19" s="935"/>
      <c r="C19" s="935" t="s">
        <v>77</v>
      </c>
      <c r="D19" s="548"/>
      <c r="E19" s="548"/>
      <c r="F19" s="548"/>
      <c r="G19" s="548"/>
      <c r="H19" s="548"/>
      <c r="I19" s="548"/>
      <c r="J19" s="548"/>
      <c r="K19" s="548"/>
      <c r="L19" s="548"/>
    </row>
    <row r="20" spans="1:12" ht="15.75" customHeight="1">
      <c r="A20" s="935" t="s">
        <v>8545</v>
      </c>
      <c r="B20" s="935"/>
      <c r="C20" s="935" t="s">
        <v>8546</v>
      </c>
      <c r="D20" s="548"/>
      <c r="E20" s="548"/>
      <c r="F20" s="548"/>
      <c r="G20" s="548"/>
      <c r="H20" s="548"/>
      <c r="I20" s="548"/>
      <c r="J20" s="548"/>
      <c r="K20" s="548"/>
      <c r="L20" s="548"/>
    </row>
    <row r="21" spans="1:12" ht="15.75" customHeight="1">
      <c r="A21" s="935" t="s">
        <v>8547</v>
      </c>
      <c r="B21" s="937" t="s">
        <v>11223</v>
      </c>
      <c r="C21" s="935" t="s">
        <v>11220</v>
      </c>
      <c r="D21" s="548" t="s">
        <v>11221</v>
      </c>
      <c r="E21" s="938" t="s">
        <v>11222</v>
      </c>
      <c r="F21" s="548"/>
      <c r="G21" s="548"/>
      <c r="H21" s="548"/>
      <c r="I21" s="548"/>
      <c r="J21" s="548"/>
      <c r="K21" s="548"/>
      <c r="L21" s="548"/>
    </row>
    <row r="22" spans="1:12" ht="15.75" customHeight="1">
      <c r="A22" s="935" t="s">
        <v>8548</v>
      </c>
      <c r="B22" s="935" t="s">
        <v>11226</v>
      </c>
      <c r="C22" s="935" t="s">
        <v>11220</v>
      </c>
      <c r="D22" s="548" t="s">
        <v>11224</v>
      </c>
      <c r="E22" s="938" t="s">
        <v>11225</v>
      </c>
      <c r="F22" s="548"/>
      <c r="G22" s="548"/>
      <c r="H22" s="548"/>
      <c r="I22" s="548"/>
      <c r="J22" s="548"/>
      <c r="K22" s="548"/>
      <c r="L22" s="548"/>
    </row>
    <row r="23" spans="1:12" ht="15.75" customHeight="1">
      <c r="A23" s="935" t="s">
        <v>8549</v>
      </c>
      <c r="B23" s="937" t="s">
        <v>11229</v>
      </c>
      <c r="C23" s="935" t="s">
        <v>11220</v>
      </c>
      <c r="D23" s="548" t="s">
        <v>11227</v>
      </c>
      <c r="E23" s="548" t="s">
        <v>11228</v>
      </c>
      <c r="F23" s="548"/>
      <c r="G23" s="548"/>
      <c r="H23" s="548"/>
      <c r="I23" s="548"/>
      <c r="J23" s="548"/>
      <c r="K23" s="548"/>
      <c r="L23" s="548"/>
    </row>
    <row r="24" spans="1:12" ht="15.75" customHeight="1">
      <c r="A24" s="935" t="s">
        <v>11515</v>
      </c>
      <c r="B24" s="935" t="s">
        <v>11517</v>
      </c>
      <c r="C24" s="935"/>
      <c r="D24" s="548" t="s">
        <v>11516</v>
      </c>
      <c r="E24" s="548"/>
      <c r="F24" s="548"/>
      <c r="G24" s="548"/>
      <c r="H24" s="548"/>
      <c r="I24" s="548"/>
      <c r="J24" s="548"/>
      <c r="K24" s="548"/>
      <c r="L24" s="548"/>
    </row>
    <row r="25" spans="1:12" ht="15.75" customHeight="1">
      <c r="A25" s="935" t="s">
        <v>8566</v>
      </c>
      <c r="B25" s="935"/>
      <c r="C25" s="935"/>
      <c r="D25" s="548" t="s">
        <v>11522</v>
      </c>
      <c r="E25" s="548"/>
      <c r="F25" s="548"/>
      <c r="G25" s="548"/>
      <c r="H25" s="548"/>
      <c r="I25" s="548"/>
      <c r="J25" s="548"/>
      <c r="K25" s="548"/>
      <c r="L25" s="548"/>
    </row>
    <row r="26" spans="1:12" ht="15.75" customHeight="1">
      <c r="A26" s="935" t="s">
        <v>8565</v>
      </c>
      <c r="B26" s="937" t="s">
        <v>11525</v>
      </c>
      <c r="C26" s="935" t="s">
        <v>11521</v>
      </c>
      <c r="D26" s="548" t="s">
        <v>11526</v>
      </c>
      <c r="E26" s="548"/>
      <c r="F26" s="548"/>
      <c r="G26" s="548"/>
      <c r="H26" s="548"/>
      <c r="I26" s="548"/>
      <c r="J26" s="548"/>
      <c r="K26" s="548"/>
      <c r="L26" s="548"/>
    </row>
    <row r="27" spans="1:12" ht="15.75" customHeight="1">
      <c r="A27" s="935" t="s">
        <v>8566</v>
      </c>
      <c r="B27" s="935"/>
      <c r="C27" s="935" t="s">
        <v>11521</v>
      </c>
      <c r="D27" s="548" t="s">
        <v>11522</v>
      </c>
      <c r="E27" s="548"/>
      <c r="F27" s="548"/>
      <c r="G27" s="548"/>
      <c r="H27" s="548"/>
      <c r="I27" s="548"/>
      <c r="J27" s="548"/>
      <c r="K27" s="548"/>
      <c r="L27" s="548"/>
    </row>
    <row r="28" spans="1:12" ht="15.75" customHeight="1">
      <c r="A28" s="935" t="s">
        <v>8564</v>
      </c>
      <c r="B28" s="937" t="s">
        <v>11524</v>
      </c>
      <c r="C28" s="935" t="s">
        <v>11521</v>
      </c>
      <c r="D28" s="548" t="s">
        <v>11523</v>
      </c>
      <c r="E28" s="548"/>
      <c r="F28" s="548"/>
      <c r="G28" s="548"/>
      <c r="H28" s="548"/>
      <c r="I28" s="548"/>
      <c r="J28" s="548"/>
      <c r="K28" s="548"/>
      <c r="L28" s="548"/>
    </row>
    <row r="29" spans="1:12" ht="15.75" customHeight="1">
      <c r="A29" s="935" t="s">
        <v>8568</v>
      </c>
      <c r="B29" s="935" t="s">
        <v>11533</v>
      </c>
      <c r="C29" s="935"/>
      <c r="D29" s="548" t="s">
        <v>11531</v>
      </c>
      <c r="E29" s="548" t="s">
        <v>11532</v>
      </c>
      <c r="F29" s="548"/>
      <c r="G29" s="548"/>
      <c r="H29" s="548"/>
      <c r="I29" s="548"/>
      <c r="J29" s="548"/>
      <c r="K29" s="548"/>
      <c r="L29" s="548"/>
    </row>
    <row r="30" spans="1:12" ht="15.75" customHeight="1">
      <c r="A30" s="935" t="s">
        <v>11527</v>
      </c>
      <c r="B30" s="935" t="s">
        <v>11530</v>
      </c>
      <c r="C30" s="935"/>
      <c r="D30" s="548" t="s">
        <v>11528</v>
      </c>
      <c r="E30" s="548" t="s">
        <v>11529</v>
      </c>
      <c r="F30" s="548"/>
      <c r="G30" s="548"/>
      <c r="H30" s="548"/>
      <c r="I30" s="548"/>
      <c r="J30" s="548"/>
      <c r="K30" s="548"/>
      <c r="L30" s="548"/>
    </row>
    <row r="31" spans="1:12" ht="14.25">
      <c r="A31" s="935" t="s">
        <v>8570</v>
      </c>
      <c r="B31" s="935"/>
      <c r="C31" s="935"/>
      <c r="D31" s="548"/>
      <c r="E31" s="548"/>
      <c r="F31" s="548"/>
      <c r="G31" s="548"/>
      <c r="H31" s="548"/>
      <c r="I31" s="548"/>
      <c r="J31" s="548"/>
      <c r="K31" s="548"/>
      <c r="L31" s="548"/>
    </row>
    <row r="32" spans="1:12" ht="14.25">
      <c r="A32" s="935" t="s">
        <v>8685</v>
      </c>
      <c r="B32" s="935" t="s">
        <v>8688</v>
      </c>
      <c r="C32" s="935" t="s">
        <v>125</v>
      </c>
      <c r="D32" s="548" t="s">
        <v>8689</v>
      </c>
      <c r="E32" s="548" t="s">
        <v>8690</v>
      </c>
      <c r="F32" s="548"/>
      <c r="G32" s="548"/>
      <c r="H32" s="548"/>
      <c r="I32" s="548"/>
      <c r="J32" s="548"/>
      <c r="K32" s="548"/>
      <c r="L32" s="548"/>
    </row>
    <row r="33" spans="1:12" ht="14.25">
      <c r="A33" s="935" t="s">
        <v>8691</v>
      </c>
      <c r="B33" s="935"/>
      <c r="C33" s="935" t="s">
        <v>435</v>
      </c>
      <c r="D33" s="548"/>
      <c r="E33" s="548"/>
      <c r="F33" s="548"/>
      <c r="G33" s="548"/>
      <c r="H33" s="548"/>
      <c r="I33" s="548"/>
      <c r="J33" s="548"/>
      <c r="K33" s="548"/>
      <c r="L33" s="548"/>
    </row>
    <row r="34" spans="1:12" ht="14.25">
      <c r="A34" s="935"/>
      <c r="B34" s="935"/>
      <c r="C34" s="935"/>
      <c r="D34" s="548"/>
      <c r="E34" s="548"/>
      <c r="F34" s="548"/>
      <c r="G34" s="548"/>
      <c r="H34" s="548"/>
      <c r="I34" s="548"/>
      <c r="J34" s="548"/>
      <c r="K34" s="548"/>
      <c r="L34" s="548"/>
    </row>
    <row r="35" spans="1:12" ht="14.25">
      <c r="A35" s="935" t="s">
        <v>8545</v>
      </c>
      <c r="B35" s="935"/>
      <c r="C35" s="935" t="s">
        <v>77</v>
      </c>
      <c r="D35" s="548"/>
      <c r="E35" s="548"/>
      <c r="F35" s="548"/>
      <c r="G35" s="548"/>
      <c r="H35" s="548"/>
      <c r="I35" s="548"/>
      <c r="J35" s="548"/>
      <c r="K35" s="548"/>
      <c r="L35" s="548"/>
    </row>
    <row r="36" spans="1:12" ht="14.25">
      <c r="A36" s="935"/>
      <c r="B36" s="935"/>
      <c r="C36" s="935"/>
      <c r="D36" s="548"/>
      <c r="E36" s="548"/>
      <c r="F36" s="548"/>
      <c r="G36" s="548"/>
      <c r="H36" s="548"/>
      <c r="I36" s="548"/>
      <c r="J36" s="548"/>
      <c r="K36" s="548"/>
      <c r="L36" s="548"/>
    </row>
    <row r="37" spans="1:12" ht="15">
      <c r="A37" s="939" t="s">
        <v>11385</v>
      </c>
      <c r="B37" s="936" t="s">
        <v>11386</v>
      </c>
      <c r="C37" s="935"/>
      <c r="D37" s="548"/>
      <c r="E37" s="548"/>
      <c r="F37" s="548"/>
      <c r="G37" s="548"/>
      <c r="H37" s="548"/>
      <c r="I37" s="548"/>
      <c r="J37" s="548"/>
      <c r="K37" s="548"/>
      <c r="L37" s="548"/>
    </row>
    <row r="38" spans="1:12" ht="15">
      <c r="A38" s="939" t="s">
        <v>11387</v>
      </c>
      <c r="B38" s="936" t="s">
        <v>11388</v>
      </c>
      <c r="C38" s="935"/>
      <c r="D38" s="548"/>
      <c r="E38" s="548"/>
      <c r="F38" s="548"/>
      <c r="G38" s="548"/>
      <c r="H38" s="548"/>
      <c r="I38" s="548"/>
      <c r="J38" s="548"/>
      <c r="K38" s="548"/>
      <c r="L38" s="548"/>
    </row>
    <row r="39" spans="1:12" ht="15">
      <c r="A39" s="939" t="s">
        <v>11389</v>
      </c>
      <c r="B39" s="936" t="s">
        <v>11390</v>
      </c>
      <c r="C39" s="935"/>
      <c r="D39" s="548"/>
      <c r="E39" s="548"/>
      <c r="F39" s="548"/>
      <c r="G39" s="548"/>
      <c r="H39" s="548"/>
      <c r="I39" s="548"/>
      <c r="J39" s="548"/>
      <c r="K39" s="548"/>
      <c r="L39" s="548"/>
    </row>
    <row r="40" spans="1:12" ht="15">
      <c r="A40" s="939" t="s">
        <v>11391</v>
      </c>
      <c r="B40" s="936" t="s">
        <v>11392</v>
      </c>
      <c r="C40" s="935"/>
      <c r="D40" s="548"/>
      <c r="E40" s="548"/>
      <c r="F40" s="548"/>
      <c r="G40" s="548"/>
      <c r="H40" s="548"/>
      <c r="I40" s="548"/>
      <c r="J40" s="548"/>
      <c r="K40" s="548"/>
      <c r="L40" s="548"/>
    </row>
    <row r="41" spans="1:12" ht="14.25">
      <c r="A41" s="935" t="s">
        <v>11509</v>
      </c>
      <c r="B41" s="936" t="s">
        <v>11512</v>
      </c>
      <c r="C41" s="935" t="s">
        <v>1</v>
      </c>
      <c r="D41" s="548" t="s">
        <v>11510</v>
      </c>
      <c r="E41" s="548" t="s">
        <v>11511</v>
      </c>
      <c r="F41" s="548"/>
      <c r="G41" s="548"/>
      <c r="H41" s="548"/>
      <c r="I41" s="548"/>
      <c r="J41" s="548"/>
      <c r="K41" s="548"/>
      <c r="L41" s="548"/>
    </row>
    <row r="42" spans="1:12" ht="14.25">
      <c r="A42" s="935" t="s">
        <v>11513</v>
      </c>
      <c r="B42" s="935" t="s">
        <v>11514</v>
      </c>
      <c r="C42" s="935"/>
      <c r="D42" s="548"/>
      <c r="E42" s="548"/>
      <c r="F42" s="548"/>
      <c r="G42" s="548"/>
      <c r="H42" s="548"/>
      <c r="I42" s="548"/>
      <c r="J42" s="548"/>
      <c r="K42" s="548"/>
      <c r="L42" s="548"/>
    </row>
    <row r="43" spans="1:12" ht="14.25">
      <c r="A43" s="935" t="s">
        <v>8550</v>
      </c>
      <c r="B43" s="935"/>
      <c r="C43" s="935" t="s">
        <v>1</v>
      </c>
      <c r="D43" s="548"/>
      <c r="E43" s="548"/>
      <c r="F43" s="548"/>
      <c r="G43" s="548"/>
      <c r="H43" s="548"/>
      <c r="I43" s="548"/>
      <c r="J43" s="548"/>
      <c r="K43" s="548"/>
      <c r="L43" s="548"/>
    </row>
    <row r="44" spans="1:12" ht="14.25">
      <c r="A44" s="935"/>
      <c r="B44" s="935"/>
      <c r="C44" s="935"/>
      <c r="D44" s="548"/>
      <c r="E44" s="548"/>
      <c r="F44" s="548"/>
      <c r="G44" s="548"/>
      <c r="H44" s="548"/>
      <c r="I44" s="548"/>
      <c r="J44" s="548"/>
      <c r="K44" s="548"/>
      <c r="L44" s="548"/>
    </row>
    <row r="45" spans="1:12" ht="14.25">
      <c r="A45" s="935" t="s">
        <v>8569</v>
      </c>
      <c r="B45" s="936" t="s">
        <v>11535</v>
      </c>
      <c r="C45" s="935"/>
      <c r="D45" s="548" t="s">
        <v>11534</v>
      </c>
      <c r="E45" s="548"/>
      <c r="F45" s="548"/>
      <c r="G45" s="548"/>
      <c r="H45" s="548"/>
      <c r="I45" s="548"/>
      <c r="J45" s="548"/>
      <c r="K45" s="548"/>
      <c r="L45" s="548"/>
    </row>
    <row r="46" spans="1:12" ht="14.25">
      <c r="A46" s="935" t="s">
        <v>11821</v>
      </c>
      <c r="B46" s="936" t="s">
        <v>11825</v>
      </c>
      <c r="C46" s="935"/>
      <c r="D46" s="548"/>
      <c r="E46" s="548"/>
      <c r="F46" s="548"/>
      <c r="G46" s="548"/>
      <c r="H46" s="548"/>
      <c r="I46" s="548"/>
      <c r="J46" s="548"/>
      <c r="K46" s="548"/>
      <c r="L46" s="548"/>
    </row>
    <row r="47" spans="1:12" ht="14.25">
      <c r="A47" s="935" t="s">
        <v>11391</v>
      </c>
      <c r="B47" s="936" t="s">
        <v>11826</v>
      </c>
      <c r="C47" s="935"/>
      <c r="D47" s="548"/>
      <c r="E47" s="548"/>
      <c r="F47" s="548"/>
      <c r="G47" s="548"/>
      <c r="H47" s="548"/>
      <c r="I47" s="548"/>
      <c r="J47" s="548"/>
      <c r="K47" s="548"/>
      <c r="L47" s="548"/>
    </row>
    <row r="48" spans="1:12" ht="14.25">
      <c r="A48" s="935" t="s">
        <v>11827</v>
      </c>
      <c r="B48" s="935"/>
      <c r="C48" s="935"/>
      <c r="D48" s="548"/>
      <c r="E48" s="548"/>
      <c r="F48" s="548"/>
      <c r="G48" s="548"/>
      <c r="H48" s="548"/>
      <c r="I48" s="548"/>
      <c r="J48" s="548"/>
      <c r="K48" s="548"/>
      <c r="L48" s="548"/>
    </row>
    <row r="49" spans="1:12" ht="14.25">
      <c r="A49" s="935" t="s">
        <v>11888</v>
      </c>
      <c r="B49" s="935" t="s">
        <v>11896</v>
      </c>
      <c r="C49" s="935" t="s">
        <v>272</v>
      </c>
      <c r="D49" s="548"/>
      <c r="E49" s="548"/>
      <c r="F49" s="548"/>
      <c r="G49" s="548"/>
      <c r="H49" s="548"/>
      <c r="I49" s="548"/>
      <c r="J49" s="548"/>
      <c r="K49" s="548"/>
      <c r="L49" s="548"/>
    </row>
    <row r="50" spans="1:12" ht="14.25">
      <c r="A50" s="935" t="s">
        <v>11890</v>
      </c>
      <c r="B50" s="935" t="s">
        <v>11889</v>
      </c>
      <c r="C50" s="935"/>
      <c r="D50" s="548"/>
      <c r="E50" s="548"/>
      <c r="F50" s="548"/>
      <c r="G50" s="548"/>
      <c r="H50" s="548"/>
      <c r="I50" s="548"/>
      <c r="J50" s="548"/>
      <c r="K50" s="548"/>
      <c r="L50" s="548"/>
    </row>
    <row r="51" spans="1:12" ht="14.25">
      <c r="A51" s="105"/>
      <c r="B51" s="211"/>
      <c r="C51" s="211"/>
    </row>
    <row r="52" spans="1:12" ht="14.25">
      <c r="A52" s="105"/>
      <c r="B52" s="211"/>
      <c r="C52" s="211"/>
    </row>
    <row r="53" spans="1:12" ht="14.25">
      <c r="A53" s="105"/>
      <c r="B53" s="211"/>
      <c r="C53" s="211"/>
    </row>
    <row r="54" spans="1:12" ht="14.25">
      <c r="A54" s="105"/>
      <c r="B54" s="211"/>
      <c r="C54" s="211"/>
    </row>
    <row r="55" spans="1:12" ht="14.25">
      <c r="A55" s="105"/>
      <c r="B55" s="211"/>
      <c r="C55" s="211"/>
    </row>
    <row r="56" spans="1:12" ht="14.25">
      <c r="A56" s="105"/>
      <c r="B56" s="211"/>
      <c r="C56" s="211"/>
    </row>
    <row r="57" spans="1:12" ht="14.25">
      <c r="A57" s="105"/>
      <c r="B57" s="211"/>
      <c r="C57" s="211"/>
    </row>
    <row r="58" spans="1:12" ht="14.25">
      <c r="A58" s="105"/>
      <c r="B58" s="211"/>
      <c r="C58" s="211"/>
    </row>
    <row r="59" spans="1:12" ht="14.25">
      <c r="A59" s="105"/>
      <c r="B59" s="211"/>
      <c r="C59" s="211"/>
    </row>
    <row r="60" spans="1:12" ht="14.25">
      <c r="A60" s="105"/>
      <c r="B60" s="211"/>
      <c r="C60" s="211"/>
    </row>
    <row r="61" spans="1:12" ht="14.25">
      <c r="A61" s="105"/>
      <c r="B61" s="211"/>
      <c r="C61" s="211"/>
    </row>
    <row r="62" spans="1:12" ht="14.25">
      <c r="A62" s="105"/>
      <c r="B62" s="211"/>
      <c r="C62" s="211"/>
    </row>
    <row r="63" spans="1:12" ht="14.25">
      <c r="A63" s="105"/>
      <c r="B63" s="211"/>
      <c r="C63" s="211"/>
    </row>
    <row r="64" spans="1:12" ht="14.25">
      <c r="A64" s="105"/>
      <c r="B64" s="211"/>
      <c r="C64" s="211"/>
    </row>
    <row r="65" spans="1:3" ht="14.25">
      <c r="A65" s="105"/>
      <c r="B65" s="211"/>
      <c r="C65" s="211"/>
    </row>
    <row r="66" spans="1:3" ht="14.25">
      <c r="A66" s="105"/>
      <c r="B66" s="211"/>
      <c r="C66" s="211"/>
    </row>
    <row r="67" spans="1:3" ht="14.25">
      <c r="A67" s="105"/>
      <c r="B67" s="211"/>
      <c r="C67" s="211"/>
    </row>
    <row r="68" spans="1:3" ht="14.25">
      <c r="A68" s="105"/>
      <c r="B68" s="211"/>
      <c r="C68" s="211"/>
    </row>
    <row r="69" spans="1:3" ht="14.25">
      <c r="A69" s="105"/>
      <c r="B69" s="211"/>
      <c r="C69" s="211"/>
    </row>
    <row r="70" spans="1:3" ht="14.25">
      <c r="A70" s="105"/>
      <c r="B70" s="211"/>
      <c r="C70" s="211"/>
    </row>
    <row r="71" spans="1:3" ht="14.25">
      <c r="A71" s="105"/>
      <c r="B71" s="211"/>
      <c r="C71" s="211"/>
    </row>
    <row r="72" spans="1:3" ht="14.25">
      <c r="A72" s="105"/>
      <c r="B72" s="211"/>
      <c r="C72" s="211"/>
    </row>
    <row r="73" spans="1:3" ht="14.25">
      <c r="A73" s="105"/>
      <c r="B73" s="211"/>
      <c r="C73" s="211"/>
    </row>
    <row r="74" spans="1:3" ht="14.25">
      <c r="A74" s="105"/>
      <c r="B74" s="211"/>
      <c r="C74" s="211"/>
    </row>
    <row r="75" spans="1:3" ht="14.25">
      <c r="A75" s="105"/>
      <c r="B75" s="211"/>
      <c r="C75" s="211"/>
    </row>
    <row r="76" spans="1:3" ht="14.25">
      <c r="A76" s="105"/>
      <c r="B76" s="211"/>
      <c r="C76" s="211"/>
    </row>
    <row r="77" spans="1:3" ht="14.25">
      <c r="A77" s="105"/>
      <c r="B77" s="211"/>
      <c r="C77" s="211"/>
    </row>
    <row r="78" spans="1:3" ht="14.25">
      <c r="A78" s="105"/>
      <c r="B78" s="211"/>
      <c r="C78" s="211"/>
    </row>
    <row r="79" spans="1:3" ht="14.25">
      <c r="A79" s="105"/>
      <c r="B79" s="211"/>
      <c r="C79" s="211"/>
    </row>
    <row r="80" spans="1:3" ht="14.25">
      <c r="A80" s="105"/>
      <c r="B80" s="211"/>
      <c r="C80" s="211"/>
    </row>
    <row r="81" spans="1:3" ht="14.25">
      <c r="A81" s="105"/>
      <c r="B81" s="211"/>
      <c r="C81" s="211"/>
    </row>
    <row r="82" spans="1:3" ht="14.25">
      <c r="A82" s="105"/>
      <c r="B82" s="211"/>
      <c r="C82" s="211"/>
    </row>
    <row r="83" spans="1:3" ht="14.25">
      <c r="A83" s="105"/>
      <c r="B83" s="211"/>
      <c r="C83" s="211"/>
    </row>
    <row r="84" spans="1:3" ht="14.25">
      <c r="A84" s="105"/>
      <c r="B84" s="211"/>
      <c r="C84" s="211"/>
    </row>
    <row r="85" spans="1:3" ht="14.25">
      <c r="A85" s="105"/>
      <c r="B85" s="211"/>
      <c r="C85" s="211"/>
    </row>
    <row r="86" spans="1:3" ht="14.25">
      <c r="A86" s="105"/>
      <c r="B86" s="211"/>
      <c r="C86" s="211"/>
    </row>
    <row r="87" spans="1:3" ht="14.25">
      <c r="A87" s="105"/>
      <c r="B87" s="211"/>
      <c r="C87" s="211"/>
    </row>
    <row r="88" spans="1:3" ht="14.25">
      <c r="A88" s="105"/>
      <c r="B88" s="211"/>
      <c r="C88" s="211"/>
    </row>
    <row r="89" spans="1:3" ht="14.25">
      <c r="A89" s="105"/>
      <c r="B89" s="211"/>
      <c r="C89" s="211"/>
    </row>
    <row r="90" spans="1:3" ht="14.25">
      <c r="A90" s="105"/>
      <c r="B90" s="211"/>
      <c r="C90" s="211"/>
    </row>
    <row r="91" spans="1:3" ht="14.25">
      <c r="A91" s="105"/>
      <c r="B91" s="211"/>
      <c r="C91" s="211"/>
    </row>
    <row r="92" spans="1:3" ht="14.25">
      <c r="A92" s="105"/>
      <c r="B92" s="211"/>
      <c r="C92" s="211"/>
    </row>
    <row r="93" spans="1:3" ht="14.25">
      <c r="A93" s="105"/>
      <c r="B93" s="211"/>
      <c r="C93" s="211"/>
    </row>
    <row r="94" spans="1:3" ht="14.25">
      <c r="A94" s="105"/>
      <c r="B94" s="211"/>
      <c r="C94" s="211"/>
    </row>
    <row r="95" spans="1:3" ht="14.25">
      <c r="A95" s="105"/>
      <c r="B95" s="211"/>
      <c r="C95" s="211"/>
    </row>
    <row r="96" spans="1:3" ht="14.25">
      <c r="A96" s="105"/>
      <c r="B96" s="211"/>
      <c r="C96" s="211"/>
    </row>
    <row r="97" spans="1:3" ht="14.25">
      <c r="A97" s="105"/>
      <c r="B97" s="211"/>
      <c r="C97" s="211"/>
    </row>
    <row r="98" spans="1:3" ht="14.25">
      <c r="A98" s="105"/>
      <c r="B98" s="211"/>
      <c r="C98" s="211"/>
    </row>
    <row r="99" spans="1:3" ht="14.25">
      <c r="A99" s="105"/>
      <c r="B99" s="211"/>
      <c r="C99" s="211"/>
    </row>
    <row r="100" spans="1:3" ht="14.25">
      <c r="A100" s="105"/>
      <c r="B100" s="211"/>
      <c r="C100" s="211"/>
    </row>
    <row r="101" spans="1:3" ht="14.25">
      <c r="A101" s="105"/>
      <c r="B101" s="211"/>
      <c r="C101" s="211"/>
    </row>
    <row r="102" spans="1:3" ht="14.25">
      <c r="A102" s="105"/>
      <c r="B102" s="211"/>
      <c r="C102" s="211"/>
    </row>
    <row r="103" spans="1:3" ht="14.25">
      <c r="A103" s="105"/>
      <c r="B103" s="211"/>
      <c r="C103" s="211"/>
    </row>
    <row r="104" spans="1:3" ht="14.25">
      <c r="A104" s="105"/>
      <c r="B104" s="211"/>
      <c r="C104" s="211"/>
    </row>
    <row r="105" spans="1:3" ht="14.25">
      <c r="A105" s="105"/>
      <c r="B105" s="211"/>
      <c r="C105" s="211"/>
    </row>
    <row r="106" spans="1:3" ht="14.25">
      <c r="A106" s="105"/>
      <c r="B106" s="211"/>
      <c r="C106" s="211"/>
    </row>
    <row r="107" spans="1:3" ht="14.25">
      <c r="A107" s="105"/>
      <c r="B107" s="211"/>
      <c r="C107" s="211"/>
    </row>
    <row r="108" spans="1:3" ht="14.25">
      <c r="A108" s="105"/>
      <c r="B108" s="211"/>
      <c r="C108" s="211"/>
    </row>
    <row r="109" spans="1:3" ht="14.25">
      <c r="A109" s="105"/>
      <c r="B109" s="211"/>
      <c r="C109" s="211"/>
    </row>
    <row r="110" spans="1:3" ht="14.25">
      <c r="A110" s="105"/>
      <c r="B110" s="211"/>
      <c r="C110" s="211"/>
    </row>
    <row r="111" spans="1:3" ht="14.25">
      <c r="A111" s="105"/>
      <c r="B111" s="211"/>
      <c r="C111" s="211"/>
    </row>
    <row r="112" spans="1:3" ht="14.25">
      <c r="A112" s="105"/>
      <c r="B112" s="211"/>
      <c r="C112" s="211"/>
    </row>
    <row r="113" spans="1:3" ht="14.25">
      <c r="A113" s="105"/>
      <c r="B113" s="211"/>
      <c r="C113" s="211"/>
    </row>
    <row r="114" spans="1:3" ht="14.25">
      <c r="A114" s="105"/>
      <c r="B114" s="211"/>
      <c r="C114" s="211"/>
    </row>
    <row r="115" spans="1:3" ht="14.25">
      <c r="A115" s="105"/>
      <c r="B115" s="211"/>
      <c r="C115" s="211"/>
    </row>
    <row r="116" spans="1:3" ht="14.25">
      <c r="A116" s="105"/>
      <c r="B116" s="211"/>
      <c r="C116" s="211"/>
    </row>
    <row r="117" spans="1:3" ht="14.25">
      <c r="A117" s="105"/>
      <c r="B117" s="211"/>
      <c r="C117" s="211"/>
    </row>
    <row r="118" spans="1:3" ht="14.25">
      <c r="A118" s="105"/>
      <c r="B118" s="211"/>
      <c r="C118" s="211"/>
    </row>
    <row r="119" spans="1:3" ht="14.25">
      <c r="A119" s="105"/>
      <c r="B119" s="211"/>
      <c r="C119" s="211"/>
    </row>
    <row r="120" spans="1:3" ht="14.25">
      <c r="A120" s="105"/>
      <c r="B120" s="211"/>
      <c r="C120" s="211"/>
    </row>
    <row r="121" spans="1:3" ht="14.25">
      <c r="A121" s="105"/>
      <c r="B121" s="211"/>
      <c r="C121" s="211"/>
    </row>
    <row r="122" spans="1:3" ht="14.25">
      <c r="A122" s="105"/>
      <c r="B122" s="211"/>
      <c r="C122" s="211"/>
    </row>
    <row r="123" spans="1:3" ht="14.25">
      <c r="A123" s="105"/>
      <c r="B123" s="211"/>
      <c r="C123" s="211"/>
    </row>
    <row r="124" spans="1:3" ht="14.25">
      <c r="A124" s="105"/>
      <c r="B124" s="211"/>
      <c r="C124" s="211"/>
    </row>
    <row r="125" spans="1:3" ht="14.25">
      <c r="A125" s="105"/>
      <c r="B125" s="211"/>
      <c r="C125" s="211"/>
    </row>
    <row r="126" spans="1:3" ht="14.25">
      <c r="A126" s="105"/>
      <c r="B126" s="211"/>
      <c r="C126" s="211"/>
    </row>
    <row r="127" spans="1:3" ht="14.25">
      <c r="A127" s="105"/>
      <c r="B127" s="211"/>
      <c r="C127" s="211"/>
    </row>
    <row r="128" spans="1:3" ht="14.25">
      <c r="A128" s="105"/>
      <c r="B128" s="211"/>
      <c r="C128" s="211"/>
    </row>
    <row r="129" spans="1:3" ht="14.25">
      <c r="A129" s="105"/>
      <c r="B129" s="211"/>
      <c r="C129" s="211"/>
    </row>
    <row r="130" spans="1:3" ht="14.25">
      <c r="A130" s="105"/>
      <c r="B130" s="211"/>
      <c r="C130" s="211"/>
    </row>
    <row r="131" spans="1:3" ht="14.25">
      <c r="A131" s="105"/>
      <c r="B131" s="211"/>
      <c r="C131" s="211"/>
    </row>
    <row r="132" spans="1:3" ht="14.25">
      <c r="A132" s="105"/>
      <c r="B132" s="211"/>
      <c r="C132" s="211"/>
    </row>
    <row r="133" spans="1:3" ht="14.25">
      <c r="A133" s="105"/>
      <c r="B133" s="211"/>
      <c r="C133" s="211"/>
    </row>
    <row r="134" spans="1:3" ht="14.25">
      <c r="A134" s="105"/>
      <c r="B134" s="211"/>
      <c r="C134" s="211"/>
    </row>
    <row r="135" spans="1:3" ht="14.25">
      <c r="A135" s="105"/>
      <c r="B135" s="211"/>
      <c r="C135" s="211"/>
    </row>
    <row r="136" spans="1:3" ht="14.25">
      <c r="A136" s="105"/>
      <c r="B136" s="211"/>
      <c r="C136" s="211"/>
    </row>
    <row r="137" spans="1:3" ht="14.25">
      <c r="A137" s="105"/>
      <c r="B137" s="211"/>
      <c r="C137" s="211"/>
    </row>
    <row r="138" spans="1:3" ht="14.25">
      <c r="A138" s="105"/>
      <c r="B138" s="211"/>
      <c r="C138" s="211"/>
    </row>
    <row r="139" spans="1:3" ht="14.25">
      <c r="A139" s="105"/>
      <c r="B139" s="211"/>
      <c r="C139" s="211"/>
    </row>
    <row r="140" spans="1:3" ht="14.25">
      <c r="A140" s="105"/>
      <c r="B140" s="211"/>
      <c r="C140" s="211"/>
    </row>
    <row r="141" spans="1:3" ht="14.25">
      <c r="A141" s="105"/>
      <c r="B141" s="211"/>
      <c r="C141" s="211"/>
    </row>
    <row r="142" spans="1:3" ht="14.25">
      <c r="A142" s="105"/>
      <c r="B142" s="211"/>
      <c r="C142" s="211"/>
    </row>
    <row r="143" spans="1:3" ht="14.25">
      <c r="A143" s="105"/>
      <c r="B143" s="211"/>
      <c r="C143" s="211"/>
    </row>
    <row r="144" spans="1:3" ht="14.25">
      <c r="A144" s="105"/>
      <c r="B144" s="211"/>
      <c r="C144" s="211"/>
    </row>
    <row r="145" spans="1:3" ht="14.25">
      <c r="A145" s="105"/>
      <c r="B145" s="211"/>
      <c r="C145" s="211"/>
    </row>
    <row r="146" spans="1:3" ht="14.25">
      <c r="A146" s="105"/>
      <c r="B146" s="211"/>
      <c r="C146" s="211"/>
    </row>
    <row r="147" spans="1:3" ht="14.25">
      <c r="A147" s="105"/>
      <c r="B147" s="211"/>
      <c r="C147" s="211"/>
    </row>
    <row r="148" spans="1:3" ht="14.25">
      <c r="A148" s="105"/>
      <c r="B148" s="211"/>
      <c r="C148" s="211"/>
    </row>
    <row r="149" spans="1:3" ht="14.25">
      <c r="A149" s="105"/>
      <c r="B149" s="211"/>
      <c r="C149" s="211"/>
    </row>
    <row r="150" spans="1:3" ht="14.25">
      <c r="A150" s="105"/>
      <c r="B150" s="211"/>
      <c r="C150" s="211"/>
    </row>
    <row r="151" spans="1:3" ht="14.25">
      <c r="A151" s="105"/>
      <c r="B151" s="211"/>
      <c r="C151" s="211"/>
    </row>
    <row r="152" spans="1:3" ht="14.25">
      <c r="A152" s="105"/>
      <c r="B152" s="211"/>
      <c r="C152" s="211"/>
    </row>
    <row r="153" spans="1:3" ht="14.25">
      <c r="A153" s="105"/>
      <c r="B153" s="211"/>
      <c r="C153" s="211"/>
    </row>
    <row r="154" spans="1:3" ht="14.25">
      <c r="A154" s="105"/>
      <c r="B154" s="211"/>
      <c r="C154" s="211"/>
    </row>
    <row r="155" spans="1:3" ht="14.25">
      <c r="A155" s="105"/>
      <c r="B155" s="211"/>
      <c r="C155" s="211"/>
    </row>
    <row r="156" spans="1:3" ht="14.25">
      <c r="A156" s="105"/>
      <c r="B156" s="211"/>
      <c r="C156" s="211"/>
    </row>
    <row r="157" spans="1:3" ht="14.25">
      <c r="A157" s="105"/>
      <c r="B157" s="211"/>
      <c r="C157" s="211"/>
    </row>
    <row r="158" spans="1:3" ht="14.25">
      <c r="A158" s="105"/>
      <c r="B158" s="211"/>
      <c r="C158" s="211"/>
    </row>
    <row r="159" spans="1:3" ht="14.25">
      <c r="A159" s="105"/>
      <c r="B159" s="211"/>
      <c r="C159" s="211"/>
    </row>
    <row r="160" spans="1:3" ht="14.25">
      <c r="A160" s="105"/>
      <c r="B160" s="211"/>
      <c r="C160" s="211"/>
    </row>
    <row r="161" spans="1:3" ht="14.25">
      <c r="A161" s="105"/>
      <c r="B161" s="211"/>
      <c r="C161" s="211"/>
    </row>
    <row r="162" spans="1:3" ht="14.25">
      <c r="A162" s="105"/>
      <c r="B162" s="211"/>
      <c r="C162" s="211"/>
    </row>
    <row r="163" spans="1:3" ht="14.25">
      <c r="A163" s="105"/>
      <c r="B163" s="211"/>
      <c r="C163" s="211"/>
    </row>
    <row r="164" spans="1:3" ht="14.25">
      <c r="A164" s="105"/>
      <c r="B164" s="211"/>
      <c r="C164" s="211"/>
    </row>
    <row r="165" spans="1:3" ht="14.25">
      <c r="A165" s="105"/>
      <c r="B165" s="211"/>
      <c r="C165" s="211"/>
    </row>
    <row r="166" spans="1:3" ht="14.25">
      <c r="A166" s="105"/>
      <c r="B166" s="211"/>
      <c r="C166" s="211"/>
    </row>
    <row r="167" spans="1:3" ht="14.25">
      <c r="A167" s="105"/>
      <c r="B167" s="211"/>
      <c r="C167" s="211"/>
    </row>
    <row r="168" spans="1:3" ht="14.25">
      <c r="A168" s="105"/>
      <c r="B168" s="211"/>
      <c r="C168" s="211"/>
    </row>
    <row r="169" spans="1:3" ht="14.25">
      <c r="A169" s="105"/>
      <c r="B169" s="211"/>
      <c r="C169" s="211"/>
    </row>
    <row r="170" spans="1:3" ht="14.25">
      <c r="A170" s="105"/>
      <c r="B170" s="211"/>
      <c r="C170" s="211"/>
    </row>
    <row r="171" spans="1:3" ht="14.25">
      <c r="A171" s="105"/>
      <c r="B171" s="211"/>
      <c r="C171" s="211"/>
    </row>
    <row r="172" spans="1:3" ht="14.25">
      <c r="A172" s="105"/>
      <c r="B172" s="211"/>
      <c r="C172" s="211"/>
    </row>
    <row r="173" spans="1:3" ht="14.25">
      <c r="A173" s="105"/>
      <c r="B173" s="211"/>
      <c r="C173" s="211"/>
    </row>
    <row r="174" spans="1:3" ht="14.25">
      <c r="A174" s="105"/>
      <c r="B174" s="211"/>
      <c r="C174" s="211"/>
    </row>
    <row r="175" spans="1:3" ht="14.25">
      <c r="A175" s="105"/>
      <c r="B175" s="211"/>
      <c r="C175" s="211"/>
    </row>
    <row r="176" spans="1:3" ht="14.25">
      <c r="A176" s="105"/>
      <c r="B176" s="211"/>
      <c r="C176" s="211"/>
    </row>
    <row r="177" spans="1:3" ht="14.25">
      <c r="A177" s="105"/>
      <c r="B177" s="211"/>
      <c r="C177" s="211"/>
    </row>
    <row r="178" spans="1:3" ht="14.25">
      <c r="A178" s="105"/>
      <c r="B178" s="211"/>
      <c r="C178" s="211"/>
    </row>
    <row r="179" spans="1:3" ht="14.25">
      <c r="A179" s="105"/>
      <c r="B179" s="211"/>
      <c r="C179" s="211"/>
    </row>
    <row r="180" spans="1:3" ht="14.25">
      <c r="A180" s="105"/>
      <c r="B180" s="211"/>
      <c r="C180" s="211"/>
    </row>
    <row r="181" spans="1:3" ht="14.25">
      <c r="A181" s="105"/>
      <c r="B181" s="211"/>
      <c r="C181" s="211"/>
    </row>
    <row r="182" spans="1:3" ht="14.25">
      <c r="A182" s="105"/>
      <c r="B182" s="211"/>
      <c r="C182" s="211"/>
    </row>
    <row r="183" spans="1:3" ht="14.25">
      <c r="A183" s="105"/>
      <c r="B183" s="211"/>
      <c r="C183" s="211"/>
    </row>
    <row r="184" spans="1:3" ht="14.25">
      <c r="A184" s="105"/>
      <c r="B184" s="211"/>
      <c r="C184" s="211"/>
    </row>
    <row r="185" spans="1:3" ht="14.25">
      <c r="A185" s="105"/>
      <c r="B185" s="211"/>
      <c r="C185" s="211"/>
    </row>
    <row r="186" spans="1:3" ht="14.25">
      <c r="A186" s="105"/>
      <c r="B186" s="211"/>
      <c r="C186" s="211"/>
    </row>
    <row r="187" spans="1:3" ht="14.25">
      <c r="A187" s="105"/>
      <c r="B187" s="211"/>
      <c r="C187" s="211"/>
    </row>
    <row r="188" spans="1:3" ht="14.25">
      <c r="A188" s="105"/>
      <c r="B188" s="211"/>
      <c r="C188" s="211"/>
    </row>
    <row r="189" spans="1:3" ht="14.25">
      <c r="A189" s="105"/>
      <c r="B189" s="211"/>
      <c r="C189" s="211"/>
    </row>
    <row r="190" spans="1:3" ht="14.25">
      <c r="A190" s="105"/>
      <c r="B190" s="211"/>
      <c r="C190" s="211"/>
    </row>
    <row r="191" spans="1:3" ht="14.25">
      <c r="A191" s="105"/>
      <c r="B191" s="211"/>
      <c r="C191" s="211"/>
    </row>
    <row r="192" spans="1:3" ht="14.25">
      <c r="A192" s="105"/>
      <c r="B192" s="211"/>
      <c r="C192" s="211"/>
    </row>
    <row r="193" spans="1:3" ht="14.25">
      <c r="A193" s="105"/>
      <c r="B193" s="211"/>
      <c r="C193" s="211"/>
    </row>
    <row r="194" spans="1:3" ht="14.25">
      <c r="A194" s="105"/>
      <c r="B194" s="211"/>
      <c r="C194" s="211"/>
    </row>
    <row r="195" spans="1:3" ht="14.25">
      <c r="A195" s="105"/>
      <c r="B195" s="211"/>
      <c r="C195" s="211"/>
    </row>
    <row r="196" spans="1:3" ht="14.25">
      <c r="A196" s="105"/>
      <c r="B196" s="211"/>
      <c r="C196" s="211"/>
    </row>
    <row r="197" spans="1:3" ht="14.25">
      <c r="A197" s="105"/>
      <c r="B197" s="211"/>
      <c r="C197" s="211"/>
    </row>
    <row r="198" spans="1:3" ht="14.25">
      <c r="A198" s="105"/>
      <c r="B198" s="211"/>
      <c r="C198" s="211"/>
    </row>
    <row r="199" spans="1:3" ht="14.25">
      <c r="A199" s="105"/>
      <c r="B199" s="211"/>
      <c r="C199" s="211"/>
    </row>
    <row r="200" spans="1:3" ht="14.25">
      <c r="A200" s="105"/>
      <c r="B200" s="211"/>
      <c r="C200" s="211"/>
    </row>
    <row r="201" spans="1:3" ht="14.25">
      <c r="A201" s="105"/>
      <c r="B201" s="211"/>
      <c r="C201" s="211"/>
    </row>
    <row r="202" spans="1:3" ht="14.25">
      <c r="A202" s="105"/>
      <c r="B202" s="211"/>
      <c r="C202" s="211"/>
    </row>
    <row r="203" spans="1:3" ht="14.25">
      <c r="A203" s="105"/>
      <c r="B203" s="211"/>
      <c r="C203" s="211"/>
    </row>
    <row r="204" spans="1:3" ht="14.25">
      <c r="A204" s="105"/>
      <c r="B204" s="211"/>
      <c r="C204" s="211"/>
    </row>
    <row r="205" spans="1:3" ht="14.25">
      <c r="A205" s="105"/>
      <c r="B205" s="211"/>
      <c r="C205" s="211"/>
    </row>
    <row r="206" spans="1:3" ht="14.25">
      <c r="A206" s="105"/>
      <c r="B206" s="211"/>
      <c r="C206" s="211"/>
    </row>
    <row r="207" spans="1:3" ht="14.25">
      <c r="A207" s="105"/>
      <c r="B207" s="211"/>
      <c r="C207" s="211"/>
    </row>
    <row r="208" spans="1:3" ht="14.25">
      <c r="A208" s="105"/>
      <c r="B208" s="211"/>
      <c r="C208" s="211"/>
    </row>
    <row r="209" spans="1:3" ht="14.25">
      <c r="A209" s="105"/>
      <c r="B209" s="211"/>
      <c r="C209" s="211"/>
    </row>
    <row r="210" spans="1:3" ht="14.25">
      <c r="A210" s="105"/>
      <c r="B210" s="211"/>
      <c r="C210" s="211"/>
    </row>
    <row r="211" spans="1:3" ht="14.25">
      <c r="A211" s="105"/>
      <c r="B211" s="211"/>
      <c r="C211" s="211"/>
    </row>
    <row r="212" spans="1:3" ht="14.25">
      <c r="A212" s="105"/>
      <c r="B212" s="211"/>
      <c r="C212" s="211"/>
    </row>
    <row r="213" spans="1:3" ht="14.25">
      <c r="A213" s="105"/>
      <c r="B213" s="211"/>
      <c r="C213" s="211"/>
    </row>
    <row r="214" spans="1:3" ht="14.25">
      <c r="A214" s="105"/>
      <c r="B214" s="211"/>
      <c r="C214" s="211"/>
    </row>
    <row r="215" spans="1:3" ht="14.25">
      <c r="A215" s="105"/>
      <c r="B215" s="211"/>
      <c r="C215" s="211"/>
    </row>
    <row r="216" spans="1:3" ht="14.25">
      <c r="A216" s="105"/>
      <c r="B216" s="211"/>
      <c r="C216" s="211"/>
    </row>
    <row r="217" spans="1:3" ht="14.25">
      <c r="A217" s="105"/>
      <c r="B217" s="211"/>
      <c r="C217" s="211"/>
    </row>
    <row r="218" spans="1:3" ht="14.25">
      <c r="A218" s="105"/>
      <c r="B218" s="211"/>
      <c r="C218" s="211"/>
    </row>
    <row r="219" spans="1:3" ht="14.25">
      <c r="A219" s="105"/>
      <c r="B219" s="211"/>
      <c r="C219" s="211"/>
    </row>
    <row r="220" spans="1:3" ht="14.25">
      <c r="A220" s="105"/>
      <c r="B220" s="211"/>
      <c r="C220" s="211"/>
    </row>
    <row r="221" spans="1:3" ht="14.25">
      <c r="A221" s="105"/>
      <c r="B221" s="211"/>
      <c r="C221" s="211"/>
    </row>
    <row r="222" spans="1:3" ht="14.25">
      <c r="A222" s="105"/>
      <c r="B222" s="211"/>
      <c r="C222" s="211"/>
    </row>
    <row r="223" spans="1:3" ht="14.25">
      <c r="A223" s="105"/>
      <c r="B223" s="211"/>
      <c r="C223" s="211"/>
    </row>
    <row r="224" spans="1:3" ht="14.25">
      <c r="A224" s="105"/>
      <c r="B224" s="211"/>
      <c r="C224" s="211"/>
    </row>
    <row r="225" spans="1:3" ht="14.25">
      <c r="A225" s="105"/>
      <c r="B225" s="211"/>
      <c r="C225" s="211"/>
    </row>
    <row r="226" spans="1:3" ht="14.25">
      <c r="A226" s="105"/>
      <c r="B226" s="211"/>
      <c r="C226" s="211"/>
    </row>
    <row r="227" spans="1:3" ht="14.25">
      <c r="A227" s="105"/>
      <c r="B227" s="211"/>
      <c r="C227" s="211"/>
    </row>
    <row r="228" spans="1:3" ht="14.25">
      <c r="A228" s="105"/>
      <c r="B228" s="211"/>
      <c r="C228" s="211"/>
    </row>
    <row r="229" spans="1:3" ht="14.25">
      <c r="A229" s="105"/>
      <c r="B229" s="211"/>
      <c r="C229" s="211"/>
    </row>
    <row r="230" spans="1:3" ht="14.25">
      <c r="A230" s="105"/>
      <c r="B230" s="211"/>
      <c r="C230" s="211"/>
    </row>
    <row r="231" spans="1:3" ht="14.25">
      <c r="A231" s="105"/>
      <c r="B231" s="211"/>
      <c r="C231" s="211"/>
    </row>
    <row r="232" spans="1:3" ht="14.25">
      <c r="A232" s="105"/>
      <c r="B232" s="211"/>
      <c r="C232" s="211"/>
    </row>
    <row r="233" spans="1:3" ht="14.25">
      <c r="A233" s="105"/>
      <c r="B233" s="211"/>
      <c r="C233" s="211"/>
    </row>
    <row r="234" spans="1:3" ht="14.25">
      <c r="A234" s="105"/>
      <c r="B234" s="211"/>
      <c r="C234" s="211"/>
    </row>
    <row r="235" spans="1:3" ht="14.25">
      <c r="A235" s="105"/>
      <c r="B235" s="211"/>
      <c r="C235" s="211"/>
    </row>
    <row r="236" spans="1:3" ht="14.25">
      <c r="A236" s="105"/>
      <c r="B236" s="211"/>
      <c r="C236" s="211"/>
    </row>
    <row r="237" spans="1:3" ht="14.25">
      <c r="A237" s="105"/>
      <c r="B237" s="211"/>
      <c r="C237" s="211"/>
    </row>
    <row r="238" spans="1:3" ht="14.25">
      <c r="A238" s="105"/>
      <c r="B238" s="211"/>
      <c r="C238" s="211"/>
    </row>
    <row r="239" spans="1:3" ht="14.25">
      <c r="A239" s="105"/>
      <c r="B239" s="211"/>
      <c r="C239" s="211"/>
    </row>
    <row r="240" spans="1:3" ht="14.25">
      <c r="A240" s="105"/>
      <c r="B240" s="211"/>
      <c r="C240" s="211"/>
    </row>
    <row r="241" spans="1:3" ht="14.25">
      <c r="A241" s="105"/>
      <c r="B241" s="211"/>
      <c r="C241" s="211"/>
    </row>
    <row r="242" spans="1:3" ht="14.25">
      <c r="A242" s="105"/>
      <c r="B242" s="211"/>
      <c r="C242" s="211"/>
    </row>
    <row r="243" spans="1:3" ht="14.25">
      <c r="A243" s="105"/>
      <c r="B243" s="211"/>
      <c r="C243" s="211"/>
    </row>
    <row r="244" spans="1:3" ht="14.25">
      <c r="A244" s="105"/>
      <c r="B244" s="211"/>
      <c r="C244" s="211"/>
    </row>
    <row r="245" spans="1:3" ht="14.25">
      <c r="A245" s="105"/>
      <c r="B245" s="211"/>
      <c r="C245" s="211"/>
    </row>
    <row r="246" spans="1:3" ht="14.25">
      <c r="A246" s="105"/>
      <c r="B246" s="211"/>
      <c r="C246" s="211"/>
    </row>
    <row r="247" spans="1:3" ht="14.25">
      <c r="A247" s="105"/>
      <c r="B247" s="211"/>
      <c r="C247" s="211"/>
    </row>
    <row r="248" spans="1:3" ht="14.25">
      <c r="A248" s="105"/>
      <c r="B248" s="211"/>
      <c r="C248" s="211"/>
    </row>
    <row r="249" spans="1:3" ht="14.25">
      <c r="A249" s="105"/>
      <c r="B249" s="211"/>
      <c r="C249" s="211"/>
    </row>
    <row r="250" spans="1:3" ht="14.25">
      <c r="A250" s="105"/>
      <c r="B250" s="211"/>
      <c r="C250" s="211"/>
    </row>
    <row r="251" spans="1:3" ht="14.25">
      <c r="A251" s="105"/>
      <c r="B251" s="211"/>
      <c r="C251" s="211"/>
    </row>
    <row r="252" spans="1:3" ht="14.25">
      <c r="A252" s="105"/>
      <c r="B252" s="211"/>
      <c r="C252" s="211"/>
    </row>
    <row r="253" spans="1:3" ht="14.25">
      <c r="A253" s="105"/>
      <c r="B253" s="211"/>
      <c r="C253" s="211"/>
    </row>
    <row r="254" spans="1:3" ht="14.25">
      <c r="A254" s="105"/>
      <c r="B254" s="211"/>
      <c r="C254" s="211"/>
    </row>
    <row r="255" spans="1:3" ht="14.25">
      <c r="A255" s="105"/>
      <c r="B255" s="211"/>
      <c r="C255" s="211"/>
    </row>
    <row r="256" spans="1:3" ht="14.25">
      <c r="A256" s="105"/>
      <c r="B256" s="211"/>
      <c r="C256" s="211"/>
    </row>
    <row r="257" spans="1:3" ht="14.25">
      <c r="A257" s="105"/>
      <c r="B257" s="211"/>
      <c r="C257" s="211"/>
    </row>
    <row r="258" spans="1:3" ht="14.25">
      <c r="A258" s="105"/>
      <c r="B258" s="211"/>
      <c r="C258" s="211"/>
    </row>
    <row r="259" spans="1:3" ht="14.25">
      <c r="A259" s="105"/>
      <c r="B259" s="211"/>
      <c r="C259" s="211"/>
    </row>
    <row r="260" spans="1:3" ht="14.25">
      <c r="A260" s="105"/>
      <c r="B260" s="211"/>
      <c r="C260" s="211"/>
    </row>
    <row r="261" spans="1:3" ht="14.25">
      <c r="A261" s="105"/>
      <c r="B261" s="211"/>
      <c r="C261" s="211"/>
    </row>
    <row r="262" spans="1:3" ht="14.25">
      <c r="A262" s="105"/>
      <c r="B262" s="211"/>
      <c r="C262" s="211"/>
    </row>
    <row r="263" spans="1:3" ht="14.25">
      <c r="A263" s="105"/>
      <c r="B263" s="211"/>
      <c r="C263" s="211"/>
    </row>
    <row r="264" spans="1:3" ht="14.25">
      <c r="A264" s="105"/>
      <c r="B264" s="211"/>
      <c r="C264" s="211"/>
    </row>
    <row r="265" spans="1:3" ht="14.25">
      <c r="A265" s="105"/>
      <c r="B265" s="211"/>
      <c r="C265" s="211"/>
    </row>
    <row r="266" spans="1:3" ht="14.25">
      <c r="A266" s="105"/>
      <c r="B266" s="211"/>
      <c r="C266" s="211"/>
    </row>
    <row r="267" spans="1:3" ht="14.25">
      <c r="A267" s="105"/>
      <c r="B267" s="211"/>
      <c r="C267" s="211"/>
    </row>
    <row r="268" spans="1:3" ht="14.25">
      <c r="A268" s="105"/>
      <c r="B268" s="211"/>
      <c r="C268" s="211"/>
    </row>
    <row r="269" spans="1:3" ht="14.25">
      <c r="A269" s="105"/>
      <c r="B269" s="211"/>
      <c r="C269" s="211"/>
    </row>
    <row r="270" spans="1:3" ht="14.25">
      <c r="A270" s="105"/>
      <c r="B270" s="211"/>
      <c r="C270" s="211"/>
    </row>
    <row r="271" spans="1:3" ht="14.25">
      <c r="A271" s="105"/>
      <c r="B271" s="211"/>
      <c r="C271" s="211"/>
    </row>
    <row r="272" spans="1:3" ht="14.25">
      <c r="A272" s="105"/>
      <c r="B272" s="211"/>
      <c r="C272" s="211"/>
    </row>
    <row r="273" spans="1:3" ht="14.25">
      <c r="A273" s="105"/>
      <c r="B273" s="211"/>
      <c r="C273" s="211"/>
    </row>
    <row r="274" spans="1:3" ht="14.25">
      <c r="A274" s="105"/>
      <c r="B274" s="211"/>
      <c r="C274" s="211"/>
    </row>
    <row r="275" spans="1:3" ht="14.25">
      <c r="A275" s="105"/>
      <c r="B275" s="211"/>
      <c r="C275" s="211"/>
    </row>
    <row r="276" spans="1:3" ht="14.25">
      <c r="A276" s="105"/>
      <c r="B276" s="211"/>
      <c r="C276" s="211"/>
    </row>
    <row r="277" spans="1:3" ht="14.25">
      <c r="A277" s="105"/>
      <c r="B277" s="211"/>
      <c r="C277" s="211"/>
    </row>
    <row r="278" spans="1:3" ht="14.25">
      <c r="A278" s="105"/>
      <c r="B278" s="211"/>
      <c r="C278" s="211"/>
    </row>
    <row r="279" spans="1:3" ht="14.25">
      <c r="A279" s="105"/>
      <c r="B279" s="211"/>
      <c r="C279" s="211"/>
    </row>
    <row r="280" spans="1:3" ht="14.25">
      <c r="A280" s="105"/>
      <c r="B280" s="211"/>
      <c r="C280" s="211"/>
    </row>
    <row r="281" spans="1:3" ht="14.25">
      <c r="A281" s="105"/>
      <c r="B281" s="211"/>
      <c r="C281" s="211"/>
    </row>
    <row r="282" spans="1:3" ht="14.25">
      <c r="A282" s="105"/>
      <c r="B282" s="211"/>
      <c r="C282" s="211"/>
    </row>
    <row r="283" spans="1:3" ht="14.25">
      <c r="A283" s="105"/>
      <c r="B283" s="211"/>
      <c r="C283" s="211"/>
    </row>
    <row r="284" spans="1:3" ht="14.25">
      <c r="A284" s="105"/>
      <c r="B284" s="211"/>
      <c r="C284" s="211"/>
    </row>
    <row r="285" spans="1:3" ht="14.25">
      <c r="A285" s="105"/>
      <c r="B285" s="211"/>
      <c r="C285" s="211"/>
    </row>
    <row r="286" spans="1:3" ht="14.25">
      <c r="A286" s="105"/>
      <c r="B286" s="211"/>
      <c r="C286" s="211"/>
    </row>
    <row r="287" spans="1:3" ht="14.25">
      <c r="A287" s="105"/>
      <c r="B287" s="211"/>
      <c r="C287" s="211"/>
    </row>
    <row r="288" spans="1:3" ht="14.25">
      <c r="A288" s="105"/>
      <c r="B288" s="211"/>
      <c r="C288" s="211"/>
    </row>
    <row r="289" spans="1:3" ht="14.25">
      <c r="A289" s="105"/>
      <c r="B289" s="211"/>
      <c r="C289" s="211"/>
    </row>
    <row r="290" spans="1:3" ht="14.25">
      <c r="A290" s="105"/>
      <c r="B290" s="211"/>
      <c r="C290" s="211"/>
    </row>
    <row r="291" spans="1:3" ht="14.25">
      <c r="A291" s="105"/>
      <c r="B291" s="211"/>
      <c r="C291" s="211"/>
    </row>
    <row r="292" spans="1:3" ht="14.25">
      <c r="A292" s="105"/>
      <c r="B292" s="211"/>
      <c r="C292" s="211"/>
    </row>
    <row r="293" spans="1:3" ht="14.25">
      <c r="A293" s="105"/>
      <c r="B293" s="211"/>
      <c r="C293" s="211"/>
    </row>
    <row r="294" spans="1:3" ht="14.25">
      <c r="A294" s="105"/>
      <c r="B294" s="211"/>
      <c r="C294" s="211"/>
    </row>
    <row r="295" spans="1:3" ht="14.25">
      <c r="A295" s="105"/>
      <c r="B295" s="211"/>
      <c r="C295" s="211"/>
    </row>
    <row r="296" spans="1:3" ht="14.25">
      <c r="A296" s="105"/>
      <c r="B296" s="211"/>
      <c r="C296" s="211"/>
    </row>
    <row r="297" spans="1:3" ht="14.25">
      <c r="A297" s="105"/>
      <c r="B297" s="211"/>
      <c r="C297" s="211"/>
    </row>
    <row r="298" spans="1:3" ht="14.25">
      <c r="A298" s="105"/>
      <c r="B298" s="211"/>
      <c r="C298" s="211"/>
    </row>
    <row r="299" spans="1:3" ht="14.25">
      <c r="A299" s="105"/>
      <c r="B299" s="211"/>
      <c r="C299" s="211"/>
    </row>
    <row r="300" spans="1:3" ht="14.25">
      <c r="A300" s="105"/>
      <c r="B300" s="211"/>
      <c r="C300" s="211"/>
    </row>
    <row r="301" spans="1:3" ht="14.25">
      <c r="A301" s="105"/>
      <c r="B301" s="211"/>
      <c r="C301" s="211"/>
    </row>
    <row r="302" spans="1:3" ht="14.25">
      <c r="A302" s="105"/>
      <c r="B302" s="211"/>
      <c r="C302" s="211"/>
    </row>
    <row r="303" spans="1:3" ht="14.25">
      <c r="A303" s="105"/>
      <c r="B303" s="211"/>
      <c r="C303" s="211"/>
    </row>
    <row r="304" spans="1:3" ht="14.25">
      <c r="A304" s="105"/>
      <c r="B304" s="211"/>
      <c r="C304" s="211"/>
    </row>
    <row r="305" spans="1:3" ht="14.25">
      <c r="A305" s="105"/>
      <c r="B305" s="211"/>
      <c r="C305" s="211"/>
    </row>
    <row r="306" spans="1:3" ht="14.25">
      <c r="A306" s="105"/>
      <c r="B306" s="211"/>
      <c r="C306" s="211"/>
    </row>
    <row r="307" spans="1:3" ht="14.25">
      <c r="A307" s="105"/>
      <c r="B307" s="211"/>
      <c r="C307" s="211"/>
    </row>
    <row r="308" spans="1:3" ht="14.25">
      <c r="A308" s="105"/>
      <c r="B308" s="211"/>
      <c r="C308" s="211"/>
    </row>
    <row r="309" spans="1:3" ht="14.25">
      <c r="A309" s="105"/>
      <c r="B309" s="211"/>
      <c r="C309" s="211"/>
    </row>
    <row r="310" spans="1:3" ht="14.25">
      <c r="A310" s="105"/>
      <c r="B310" s="211"/>
      <c r="C310" s="211"/>
    </row>
    <row r="311" spans="1:3" ht="14.25">
      <c r="A311" s="105"/>
      <c r="B311" s="211"/>
      <c r="C311" s="211"/>
    </row>
    <row r="312" spans="1:3" ht="14.25">
      <c r="A312" s="105"/>
      <c r="B312" s="211"/>
      <c r="C312" s="211"/>
    </row>
    <row r="313" spans="1:3" ht="14.25">
      <c r="A313" s="105"/>
      <c r="B313" s="211"/>
      <c r="C313" s="211"/>
    </row>
    <row r="314" spans="1:3" ht="14.25">
      <c r="A314" s="105"/>
      <c r="B314" s="211"/>
      <c r="C314" s="211"/>
    </row>
    <row r="315" spans="1:3" ht="14.25">
      <c r="A315" s="105"/>
      <c r="B315" s="211"/>
      <c r="C315" s="211"/>
    </row>
    <row r="316" spans="1:3" ht="14.25">
      <c r="A316" s="105"/>
      <c r="B316" s="211"/>
      <c r="C316" s="211"/>
    </row>
    <row r="317" spans="1:3" ht="14.25">
      <c r="A317" s="105"/>
      <c r="B317" s="211"/>
      <c r="C317" s="211"/>
    </row>
    <row r="318" spans="1:3" ht="14.25">
      <c r="A318" s="105"/>
      <c r="B318" s="211"/>
      <c r="C318" s="211"/>
    </row>
    <row r="319" spans="1:3" ht="14.25">
      <c r="A319" s="105"/>
      <c r="B319" s="211"/>
      <c r="C319" s="211"/>
    </row>
    <row r="320" spans="1:3" ht="14.25">
      <c r="A320" s="105"/>
      <c r="B320" s="211"/>
      <c r="C320" s="211"/>
    </row>
    <row r="321" spans="1:3" ht="14.25">
      <c r="A321" s="105"/>
      <c r="B321" s="211"/>
      <c r="C321" s="211"/>
    </row>
    <row r="322" spans="1:3" ht="14.25">
      <c r="A322" s="105"/>
      <c r="B322" s="211"/>
      <c r="C322" s="211"/>
    </row>
    <row r="323" spans="1:3" ht="14.25">
      <c r="A323" s="105"/>
      <c r="B323" s="211"/>
      <c r="C323" s="211"/>
    </row>
    <row r="324" spans="1:3" ht="14.25">
      <c r="A324" s="105"/>
      <c r="B324" s="211"/>
      <c r="C324" s="211"/>
    </row>
    <row r="325" spans="1:3" ht="14.25">
      <c r="A325" s="105"/>
      <c r="B325" s="211"/>
      <c r="C325" s="211"/>
    </row>
    <row r="326" spans="1:3" ht="14.25">
      <c r="A326" s="105"/>
      <c r="B326" s="211"/>
      <c r="C326" s="211"/>
    </row>
    <row r="327" spans="1:3" ht="14.25">
      <c r="A327" s="105"/>
      <c r="B327" s="211"/>
      <c r="C327" s="211"/>
    </row>
    <row r="328" spans="1:3" ht="14.25">
      <c r="A328" s="105"/>
      <c r="B328" s="211"/>
      <c r="C328" s="211"/>
    </row>
    <row r="329" spans="1:3" ht="14.25">
      <c r="A329" s="105"/>
      <c r="B329" s="211"/>
      <c r="C329" s="211"/>
    </row>
    <row r="330" spans="1:3" ht="14.25">
      <c r="A330" s="105"/>
      <c r="B330" s="211"/>
      <c r="C330" s="211"/>
    </row>
    <row r="331" spans="1:3" ht="14.25">
      <c r="A331" s="105"/>
      <c r="B331" s="211"/>
      <c r="C331" s="211"/>
    </row>
    <row r="332" spans="1:3" ht="14.25">
      <c r="A332" s="105"/>
      <c r="B332" s="211"/>
      <c r="C332" s="211"/>
    </row>
    <row r="333" spans="1:3" ht="14.25">
      <c r="A333" s="105"/>
      <c r="B333" s="211"/>
      <c r="C333" s="211"/>
    </row>
    <row r="334" spans="1:3" ht="14.25">
      <c r="A334" s="105"/>
      <c r="B334" s="211"/>
      <c r="C334" s="211"/>
    </row>
    <row r="335" spans="1:3" ht="14.25">
      <c r="A335" s="105"/>
      <c r="B335" s="211"/>
      <c r="C335" s="211"/>
    </row>
    <row r="336" spans="1:3" ht="14.25">
      <c r="A336" s="105"/>
      <c r="B336" s="211"/>
      <c r="C336" s="211"/>
    </row>
    <row r="337" spans="1:3" ht="14.25">
      <c r="A337" s="105"/>
      <c r="B337" s="211"/>
      <c r="C337" s="211"/>
    </row>
    <row r="338" spans="1:3" ht="14.25">
      <c r="A338" s="105"/>
      <c r="B338" s="211"/>
      <c r="C338" s="211"/>
    </row>
    <row r="339" spans="1:3" ht="14.25">
      <c r="A339" s="105"/>
      <c r="B339" s="211"/>
      <c r="C339" s="211"/>
    </row>
    <row r="340" spans="1:3" ht="14.25">
      <c r="A340" s="105"/>
      <c r="B340" s="211"/>
      <c r="C340" s="211"/>
    </row>
    <row r="341" spans="1:3" ht="14.25">
      <c r="A341" s="105"/>
      <c r="B341" s="211"/>
      <c r="C341" s="211"/>
    </row>
    <row r="342" spans="1:3" ht="14.25">
      <c r="A342" s="105"/>
      <c r="B342" s="211"/>
      <c r="C342" s="211"/>
    </row>
    <row r="343" spans="1:3" ht="14.25">
      <c r="A343" s="105"/>
      <c r="B343" s="211"/>
      <c r="C343" s="211"/>
    </row>
    <row r="344" spans="1:3" ht="14.25">
      <c r="A344" s="105"/>
      <c r="B344" s="211"/>
      <c r="C344" s="211"/>
    </row>
    <row r="345" spans="1:3" ht="14.25">
      <c r="A345" s="105"/>
      <c r="B345" s="211"/>
      <c r="C345" s="211"/>
    </row>
    <row r="346" spans="1:3" ht="14.25">
      <c r="A346" s="105"/>
      <c r="B346" s="211"/>
      <c r="C346" s="211"/>
    </row>
    <row r="347" spans="1:3" ht="14.25">
      <c r="A347" s="105"/>
      <c r="B347" s="211"/>
      <c r="C347" s="211"/>
    </row>
    <row r="348" spans="1:3" ht="14.25">
      <c r="A348" s="105"/>
      <c r="B348" s="211"/>
      <c r="C348" s="211"/>
    </row>
    <row r="349" spans="1:3" ht="14.25">
      <c r="A349" s="105"/>
      <c r="B349" s="211"/>
      <c r="C349" s="211"/>
    </row>
    <row r="350" spans="1:3" ht="14.25">
      <c r="A350" s="105"/>
      <c r="B350" s="211"/>
      <c r="C350" s="211"/>
    </row>
    <row r="351" spans="1:3" ht="14.25">
      <c r="A351" s="105"/>
      <c r="B351" s="211"/>
      <c r="C351" s="211"/>
    </row>
    <row r="352" spans="1:3" ht="14.25">
      <c r="A352" s="105"/>
      <c r="B352" s="211"/>
      <c r="C352" s="211"/>
    </row>
    <row r="353" spans="1:3" ht="14.25">
      <c r="A353" s="105"/>
      <c r="B353" s="211"/>
      <c r="C353" s="211"/>
    </row>
    <row r="354" spans="1:3" ht="14.25">
      <c r="A354" s="105"/>
      <c r="B354" s="211"/>
      <c r="C354" s="211"/>
    </row>
    <row r="355" spans="1:3" ht="14.25">
      <c r="A355" s="105"/>
      <c r="B355" s="211"/>
      <c r="C355" s="211"/>
    </row>
    <row r="356" spans="1:3" ht="14.25">
      <c r="A356" s="105"/>
      <c r="B356" s="211"/>
      <c r="C356" s="211"/>
    </row>
    <row r="357" spans="1:3" ht="14.25">
      <c r="A357" s="105"/>
      <c r="B357" s="211"/>
      <c r="C357" s="211"/>
    </row>
    <row r="358" spans="1:3" ht="14.25">
      <c r="A358" s="105"/>
      <c r="B358" s="211"/>
      <c r="C358" s="211"/>
    </row>
    <row r="359" spans="1:3" ht="14.25">
      <c r="A359" s="105"/>
      <c r="B359" s="211"/>
      <c r="C359" s="211"/>
    </row>
    <row r="360" spans="1:3" ht="14.25">
      <c r="A360" s="105"/>
      <c r="B360" s="211"/>
      <c r="C360" s="211"/>
    </row>
    <row r="361" spans="1:3" ht="14.25">
      <c r="A361" s="105"/>
      <c r="B361" s="211"/>
      <c r="C361" s="211"/>
    </row>
    <row r="362" spans="1:3" ht="14.25">
      <c r="A362" s="105"/>
      <c r="B362" s="211"/>
      <c r="C362" s="211"/>
    </row>
    <row r="363" spans="1:3" ht="14.25">
      <c r="A363" s="105"/>
      <c r="B363" s="211"/>
      <c r="C363" s="211"/>
    </row>
    <row r="364" spans="1:3" ht="14.25">
      <c r="A364" s="105"/>
      <c r="B364" s="211"/>
      <c r="C364" s="211"/>
    </row>
    <row r="365" spans="1:3" ht="14.25">
      <c r="A365" s="105"/>
      <c r="B365" s="211"/>
      <c r="C365" s="211"/>
    </row>
    <row r="366" spans="1:3" ht="14.25">
      <c r="A366" s="105"/>
      <c r="B366" s="211"/>
      <c r="C366" s="211"/>
    </row>
    <row r="367" spans="1:3" ht="14.25">
      <c r="A367" s="105"/>
      <c r="B367" s="211"/>
      <c r="C367" s="211"/>
    </row>
    <row r="368" spans="1:3" ht="14.25">
      <c r="A368" s="105"/>
      <c r="B368" s="211"/>
      <c r="C368" s="211"/>
    </row>
    <row r="369" spans="1:3" ht="14.25">
      <c r="A369" s="105"/>
      <c r="B369" s="211"/>
      <c r="C369" s="211"/>
    </row>
    <row r="370" spans="1:3" ht="14.25">
      <c r="A370" s="105"/>
      <c r="B370" s="211"/>
      <c r="C370" s="211"/>
    </row>
    <row r="371" spans="1:3" ht="14.25">
      <c r="A371" s="105"/>
      <c r="B371" s="211"/>
      <c r="C371" s="211"/>
    </row>
    <row r="372" spans="1:3" ht="14.25">
      <c r="A372" s="105"/>
      <c r="B372" s="211"/>
      <c r="C372" s="211"/>
    </row>
    <row r="373" spans="1:3" ht="14.25">
      <c r="A373" s="105"/>
      <c r="B373" s="211"/>
      <c r="C373" s="211"/>
    </row>
    <row r="374" spans="1:3" ht="14.25">
      <c r="A374" s="105"/>
      <c r="B374" s="211"/>
      <c r="C374" s="211"/>
    </row>
    <row r="375" spans="1:3" ht="14.25">
      <c r="A375" s="105"/>
      <c r="B375" s="211"/>
      <c r="C375" s="211"/>
    </row>
    <row r="376" spans="1:3" ht="14.25">
      <c r="A376" s="105"/>
      <c r="B376" s="211"/>
      <c r="C376" s="211"/>
    </row>
    <row r="377" spans="1:3" ht="14.25">
      <c r="A377" s="105"/>
      <c r="B377" s="211"/>
      <c r="C377" s="211"/>
    </row>
    <row r="378" spans="1:3" ht="14.25">
      <c r="A378" s="105"/>
      <c r="B378" s="211"/>
      <c r="C378" s="211"/>
    </row>
    <row r="379" spans="1:3" ht="14.25">
      <c r="A379" s="105"/>
      <c r="B379" s="211"/>
      <c r="C379" s="211"/>
    </row>
    <row r="380" spans="1:3" ht="14.25">
      <c r="A380" s="105"/>
      <c r="B380" s="211"/>
      <c r="C380" s="211"/>
    </row>
    <row r="381" spans="1:3" ht="14.25">
      <c r="A381" s="105"/>
      <c r="B381" s="211"/>
      <c r="C381" s="211"/>
    </row>
    <row r="382" spans="1:3" ht="14.25">
      <c r="A382" s="105"/>
      <c r="B382" s="211"/>
      <c r="C382" s="211"/>
    </row>
    <row r="383" spans="1:3" ht="14.25">
      <c r="A383" s="105"/>
      <c r="B383" s="211"/>
      <c r="C383" s="211"/>
    </row>
    <row r="384" spans="1:3" ht="14.25">
      <c r="A384" s="105"/>
      <c r="B384" s="211"/>
      <c r="C384" s="211"/>
    </row>
    <row r="385" spans="1:3" ht="14.25">
      <c r="A385" s="105"/>
      <c r="B385" s="211"/>
      <c r="C385" s="211"/>
    </row>
    <row r="386" spans="1:3" ht="14.25">
      <c r="A386" s="105"/>
      <c r="B386" s="211"/>
      <c r="C386" s="211"/>
    </row>
    <row r="387" spans="1:3" ht="14.25">
      <c r="A387" s="105"/>
      <c r="B387" s="211"/>
      <c r="C387" s="211"/>
    </row>
    <row r="388" spans="1:3" ht="14.25">
      <c r="A388" s="105"/>
      <c r="B388" s="211"/>
      <c r="C388" s="211"/>
    </row>
    <row r="389" spans="1:3" ht="14.25">
      <c r="A389" s="105"/>
      <c r="B389" s="211"/>
      <c r="C389" s="211"/>
    </row>
    <row r="390" spans="1:3" ht="14.25">
      <c r="A390" s="105"/>
      <c r="B390" s="211"/>
      <c r="C390" s="211"/>
    </row>
    <row r="391" spans="1:3" ht="14.25">
      <c r="A391" s="105"/>
      <c r="B391" s="211"/>
      <c r="C391" s="211"/>
    </row>
    <row r="392" spans="1:3" ht="14.25">
      <c r="A392" s="105"/>
      <c r="B392" s="211"/>
      <c r="C392" s="211"/>
    </row>
    <row r="393" spans="1:3" ht="14.25">
      <c r="A393" s="105"/>
      <c r="B393" s="211"/>
      <c r="C393" s="211"/>
    </row>
    <row r="394" spans="1:3" ht="14.25">
      <c r="A394" s="105"/>
      <c r="B394" s="211"/>
      <c r="C394" s="211"/>
    </row>
    <row r="395" spans="1:3" ht="14.25">
      <c r="A395" s="105"/>
      <c r="B395" s="211"/>
      <c r="C395" s="211"/>
    </row>
    <row r="396" spans="1:3" ht="14.25">
      <c r="A396" s="105"/>
      <c r="B396" s="211"/>
      <c r="C396" s="211"/>
    </row>
    <row r="397" spans="1:3" ht="14.25">
      <c r="A397" s="105"/>
      <c r="B397" s="211"/>
      <c r="C397" s="211"/>
    </row>
    <row r="398" spans="1:3" ht="14.25">
      <c r="A398" s="105"/>
      <c r="B398" s="211"/>
      <c r="C398" s="211"/>
    </row>
    <row r="399" spans="1:3" ht="14.25">
      <c r="A399" s="105"/>
      <c r="B399" s="211"/>
      <c r="C399" s="211"/>
    </row>
    <row r="400" spans="1:3" ht="14.25">
      <c r="A400" s="105"/>
      <c r="B400" s="211"/>
      <c r="C400" s="211"/>
    </row>
    <row r="401" spans="1:3" ht="14.25">
      <c r="A401" s="105"/>
      <c r="B401" s="211"/>
      <c r="C401" s="211"/>
    </row>
    <row r="402" spans="1:3" ht="14.25">
      <c r="A402" s="105"/>
      <c r="B402" s="211"/>
      <c r="C402" s="211"/>
    </row>
    <row r="403" spans="1:3" ht="14.25">
      <c r="A403" s="105"/>
      <c r="B403" s="211"/>
      <c r="C403" s="211"/>
    </row>
    <row r="404" spans="1:3" ht="14.25">
      <c r="A404" s="105"/>
      <c r="B404" s="211"/>
      <c r="C404" s="211"/>
    </row>
    <row r="405" spans="1:3" ht="14.25">
      <c r="A405" s="105"/>
      <c r="B405" s="211"/>
      <c r="C405" s="211"/>
    </row>
    <row r="406" spans="1:3" ht="14.25">
      <c r="A406" s="105"/>
      <c r="B406" s="211"/>
      <c r="C406" s="211"/>
    </row>
    <row r="407" spans="1:3" ht="14.25">
      <c r="A407" s="105"/>
      <c r="B407" s="211"/>
      <c r="C407" s="211"/>
    </row>
    <row r="408" spans="1:3" ht="14.25">
      <c r="A408" s="105"/>
      <c r="B408" s="211"/>
      <c r="C408" s="211"/>
    </row>
    <row r="409" spans="1:3" ht="14.25">
      <c r="A409" s="105"/>
      <c r="B409" s="211"/>
      <c r="C409" s="211"/>
    </row>
    <row r="410" spans="1:3" ht="14.25">
      <c r="A410" s="105"/>
      <c r="B410" s="211"/>
      <c r="C410" s="211"/>
    </row>
    <row r="411" spans="1:3" ht="14.25">
      <c r="A411" s="105"/>
      <c r="B411" s="211"/>
      <c r="C411" s="211"/>
    </row>
    <row r="412" spans="1:3" ht="14.25">
      <c r="A412" s="105"/>
      <c r="B412" s="211"/>
      <c r="C412" s="211"/>
    </row>
    <row r="413" spans="1:3" ht="14.25">
      <c r="A413" s="105"/>
      <c r="B413" s="211"/>
      <c r="C413" s="211"/>
    </row>
    <row r="414" spans="1:3" ht="14.25">
      <c r="A414" s="105"/>
      <c r="B414" s="211"/>
      <c r="C414" s="211"/>
    </row>
    <row r="415" spans="1:3" ht="14.25">
      <c r="A415" s="105"/>
      <c r="B415" s="211"/>
      <c r="C415" s="211"/>
    </row>
    <row r="416" spans="1:3" ht="14.25">
      <c r="A416" s="105"/>
      <c r="B416" s="211"/>
      <c r="C416" s="211"/>
    </row>
    <row r="417" spans="1:3" ht="14.25">
      <c r="A417" s="105"/>
      <c r="B417" s="211"/>
      <c r="C417" s="211"/>
    </row>
    <row r="418" spans="1:3" ht="14.25">
      <c r="A418" s="105"/>
      <c r="B418" s="211"/>
      <c r="C418" s="211"/>
    </row>
    <row r="419" spans="1:3" ht="14.25">
      <c r="A419" s="105"/>
      <c r="B419" s="211"/>
      <c r="C419" s="211"/>
    </row>
    <row r="420" spans="1:3" ht="14.25">
      <c r="A420" s="105"/>
      <c r="B420" s="211"/>
      <c r="C420" s="211"/>
    </row>
    <row r="421" spans="1:3" ht="14.25">
      <c r="A421" s="105"/>
      <c r="B421" s="211"/>
      <c r="C421" s="211"/>
    </row>
    <row r="422" spans="1:3" ht="14.25">
      <c r="A422" s="105"/>
      <c r="B422" s="211"/>
      <c r="C422" s="211"/>
    </row>
    <row r="423" spans="1:3" ht="14.25">
      <c r="A423" s="105"/>
      <c r="B423" s="211"/>
      <c r="C423" s="211"/>
    </row>
    <row r="424" spans="1:3" ht="14.25">
      <c r="A424" s="105"/>
      <c r="B424" s="211"/>
      <c r="C424" s="211"/>
    </row>
    <row r="425" spans="1:3" ht="14.25">
      <c r="A425" s="105"/>
      <c r="B425" s="211"/>
      <c r="C425" s="211"/>
    </row>
    <row r="426" spans="1:3" ht="14.25">
      <c r="A426" s="105"/>
      <c r="B426" s="211"/>
      <c r="C426" s="211"/>
    </row>
    <row r="427" spans="1:3" ht="14.25">
      <c r="A427" s="105"/>
      <c r="B427" s="211"/>
      <c r="C427" s="211"/>
    </row>
    <row r="428" spans="1:3" ht="14.25">
      <c r="A428" s="105"/>
      <c r="B428" s="211"/>
      <c r="C428" s="211"/>
    </row>
    <row r="429" spans="1:3" ht="14.25">
      <c r="A429" s="105"/>
      <c r="B429" s="211"/>
      <c r="C429" s="211"/>
    </row>
    <row r="430" spans="1:3" ht="14.25">
      <c r="A430" s="105"/>
      <c r="B430" s="211"/>
      <c r="C430" s="211"/>
    </row>
    <row r="431" spans="1:3" ht="14.25">
      <c r="A431" s="105"/>
      <c r="B431" s="211"/>
      <c r="C431" s="211"/>
    </row>
    <row r="432" spans="1:3" ht="14.25">
      <c r="A432" s="105"/>
      <c r="B432" s="211"/>
      <c r="C432" s="211"/>
    </row>
    <row r="433" spans="1:3" ht="14.25">
      <c r="A433" s="105"/>
      <c r="B433" s="211"/>
      <c r="C433" s="211"/>
    </row>
    <row r="434" spans="1:3" ht="14.25">
      <c r="A434" s="105"/>
      <c r="B434" s="211"/>
      <c r="C434" s="211"/>
    </row>
    <row r="435" spans="1:3" ht="14.25">
      <c r="A435" s="105"/>
      <c r="B435" s="211"/>
      <c r="C435" s="211"/>
    </row>
    <row r="436" spans="1:3" ht="14.25">
      <c r="A436" s="105"/>
      <c r="B436" s="211"/>
      <c r="C436" s="211"/>
    </row>
    <row r="437" spans="1:3" ht="14.25">
      <c r="A437" s="105"/>
      <c r="B437" s="211"/>
      <c r="C437" s="211"/>
    </row>
    <row r="438" spans="1:3" ht="14.25">
      <c r="A438" s="105"/>
      <c r="B438" s="211"/>
      <c r="C438" s="211"/>
    </row>
    <row r="439" spans="1:3" ht="14.25">
      <c r="A439" s="105"/>
      <c r="B439" s="211"/>
      <c r="C439" s="211"/>
    </row>
    <row r="440" spans="1:3" ht="14.25">
      <c r="A440" s="105"/>
      <c r="B440" s="211"/>
      <c r="C440" s="211"/>
    </row>
    <row r="441" spans="1:3" ht="14.25">
      <c r="A441" s="105"/>
      <c r="B441" s="211"/>
      <c r="C441" s="211"/>
    </row>
    <row r="442" spans="1:3" ht="14.25">
      <c r="A442" s="105"/>
      <c r="B442" s="211"/>
      <c r="C442" s="211"/>
    </row>
    <row r="443" spans="1:3" ht="14.25">
      <c r="A443" s="105"/>
      <c r="B443" s="211"/>
      <c r="C443" s="211"/>
    </row>
    <row r="444" spans="1:3" ht="14.25">
      <c r="A444" s="105"/>
      <c r="B444" s="211"/>
      <c r="C444" s="211"/>
    </row>
    <row r="445" spans="1:3" ht="14.25">
      <c r="A445" s="105"/>
      <c r="B445" s="211"/>
      <c r="C445" s="211"/>
    </row>
    <row r="446" spans="1:3" ht="14.25">
      <c r="A446" s="105"/>
      <c r="B446" s="211"/>
      <c r="C446" s="211"/>
    </row>
    <row r="447" spans="1:3" ht="14.25">
      <c r="A447" s="105"/>
      <c r="B447" s="211"/>
      <c r="C447" s="211"/>
    </row>
    <row r="448" spans="1:3" ht="14.25">
      <c r="A448" s="105"/>
      <c r="B448" s="211"/>
      <c r="C448" s="211"/>
    </row>
    <row r="449" spans="1:3" ht="14.25">
      <c r="A449" s="105"/>
      <c r="B449" s="211"/>
      <c r="C449" s="211"/>
    </row>
    <row r="450" spans="1:3" ht="14.25">
      <c r="A450" s="105"/>
      <c r="B450" s="211"/>
      <c r="C450" s="211"/>
    </row>
    <row r="451" spans="1:3" ht="14.25">
      <c r="A451" s="105"/>
      <c r="B451" s="211"/>
      <c r="C451" s="211"/>
    </row>
    <row r="452" spans="1:3" ht="14.25">
      <c r="A452" s="105"/>
      <c r="B452" s="211"/>
      <c r="C452" s="211"/>
    </row>
    <row r="453" spans="1:3" ht="14.25">
      <c r="A453" s="105"/>
      <c r="B453" s="211"/>
      <c r="C453" s="211"/>
    </row>
    <row r="454" spans="1:3" ht="14.25">
      <c r="A454" s="105"/>
      <c r="B454" s="211"/>
      <c r="C454" s="211"/>
    </row>
    <row r="455" spans="1:3" ht="14.25">
      <c r="A455" s="105"/>
      <c r="B455" s="211"/>
      <c r="C455" s="211"/>
    </row>
    <row r="456" spans="1:3" ht="14.25">
      <c r="A456" s="105"/>
      <c r="B456" s="211"/>
      <c r="C456" s="211"/>
    </row>
    <row r="457" spans="1:3" ht="14.25">
      <c r="A457" s="105"/>
      <c r="B457" s="211"/>
      <c r="C457" s="211"/>
    </row>
    <row r="458" spans="1:3" ht="14.25">
      <c r="A458" s="105"/>
      <c r="B458" s="211"/>
      <c r="C458" s="211"/>
    </row>
    <row r="459" spans="1:3" ht="14.25">
      <c r="A459" s="105"/>
      <c r="B459" s="211"/>
      <c r="C459" s="211"/>
    </row>
    <row r="460" spans="1:3" ht="14.25">
      <c r="A460" s="105"/>
      <c r="B460" s="211"/>
      <c r="C460" s="211"/>
    </row>
    <row r="461" spans="1:3" ht="14.25">
      <c r="A461" s="105"/>
      <c r="B461" s="211"/>
      <c r="C461" s="211"/>
    </row>
    <row r="462" spans="1:3" ht="14.25">
      <c r="A462" s="105"/>
      <c r="B462" s="211"/>
      <c r="C462" s="211"/>
    </row>
    <row r="463" spans="1:3" ht="14.25">
      <c r="A463" s="105"/>
      <c r="B463" s="211"/>
      <c r="C463" s="211"/>
    </row>
    <row r="464" spans="1:3" ht="14.25">
      <c r="A464" s="105"/>
      <c r="B464" s="211"/>
      <c r="C464" s="211"/>
    </row>
    <row r="465" spans="1:3" ht="14.25">
      <c r="A465" s="105"/>
      <c r="B465" s="211"/>
      <c r="C465" s="211"/>
    </row>
    <row r="466" spans="1:3" ht="14.25">
      <c r="A466" s="105"/>
      <c r="B466" s="211"/>
      <c r="C466" s="211"/>
    </row>
    <row r="467" spans="1:3" ht="14.25">
      <c r="A467" s="105"/>
      <c r="B467" s="211"/>
      <c r="C467" s="211"/>
    </row>
    <row r="468" spans="1:3" ht="14.25">
      <c r="A468" s="105"/>
      <c r="B468" s="211"/>
      <c r="C468" s="211"/>
    </row>
    <row r="469" spans="1:3" ht="14.25">
      <c r="A469" s="105"/>
      <c r="B469" s="211"/>
      <c r="C469" s="211"/>
    </row>
    <row r="470" spans="1:3" ht="14.25">
      <c r="A470" s="105"/>
      <c r="B470" s="211"/>
      <c r="C470" s="211"/>
    </row>
    <row r="471" spans="1:3" ht="14.25">
      <c r="A471" s="105"/>
      <c r="B471" s="211"/>
      <c r="C471" s="211"/>
    </row>
    <row r="472" spans="1:3" ht="14.25">
      <c r="A472" s="105"/>
      <c r="B472" s="211"/>
      <c r="C472" s="211"/>
    </row>
    <row r="473" spans="1:3" ht="14.25">
      <c r="A473" s="105"/>
      <c r="B473" s="211"/>
      <c r="C473" s="211"/>
    </row>
    <row r="474" spans="1:3" ht="14.25">
      <c r="A474" s="105"/>
      <c r="B474" s="211"/>
      <c r="C474" s="211"/>
    </row>
    <row r="475" spans="1:3" ht="14.25">
      <c r="A475" s="105"/>
      <c r="B475" s="211"/>
      <c r="C475" s="211"/>
    </row>
    <row r="476" spans="1:3" ht="14.25">
      <c r="A476" s="105"/>
      <c r="B476" s="211"/>
      <c r="C476" s="211"/>
    </row>
    <row r="477" spans="1:3" ht="14.25">
      <c r="A477" s="105"/>
      <c r="B477" s="211"/>
      <c r="C477" s="211"/>
    </row>
    <row r="478" spans="1:3" ht="14.25">
      <c r="A478" s="105"/>
      <c r="B478" s="211"/>
      <c r="C478" s="211"/>
    </row>
    <row r="479" spans="1:3" ht="14.25">
      <c r="A479" s="105"/>
      <c r="B479" s="211"/>
      <c r="C479" s="211"/>
    </row>
    <row r="480" spans="1:3" ht="14.25">
      <c r="A480" s="105"/>
      <c r="B480" s="211"/>
      <c r="C480" s="211"/>
    </row>
    <row r="481" spans="1:3" ht="14.25">
      <c r="A481" s="105"/>
      <c r="B481" s="211"/>
      <c r="C481" s="211"/>
    </row>
    <row r="482" spans="1:3" ht="14.25">
      <c r="A482" s="105"/>
      <c r="B482" s="211"/>
      <c r="C482" s="211"/>
    </row>
    <row r="483" spans="1:3" ht="14.25">
      <c r="A483" s="105"/>
      <c r="B483" s="211"/>
      <c r="C483" s="211"/>
    </row>
    <row r="484" spans="1:3" ht="14.25">
      <c r="A484" s="105"/>
      <c r="B484" s="211"/>
      <c r="C484" s="211"/>
    </row>
    <row r="485" spans="1:3" ht="14.25">
      <c r="A485" s="105"/>
      <c r="B485" s="211"/>
      <c r="C485" s="211"/>
    </row>
    <row r="486" spans="1:3" ht="14.25">
      <c r="A486" s="105"/>
      <c r="B486" s="211"/>
      <c r="C486" s="211"/>
    </row>
    <row r="487" spans="1:3" ht="14.25">
      <c r="A487" s="105"/>
      <c r="B487" s="211"/>
      <c r="C487" s="211"/>
    </row>
    <row r="488" spans="1:3" ht="14.25">
      <c r="A488" s="105"/>
      <c r="B488" s="211"/>
      <c r="C488" s="211"/>
    </row>
    <row r="489" spans="1:3" ht="14.25">
      <c r="A489" s="105"/>
      <c r="B489" s="211"/>
      <c r="C489" s="211"/>
    </row>
    <row r="490" spans="1:3" ht="14.25">
      <c r="A490" s="105"/>
      <c r="B490" s="211"/>
      <c r="C490" s="211"/>
    </row>
    <row r="491" spans="1:3" ht="14.25">
      <c r="A491" s="105"/>
      <c r="B491" s="211"/>
      <c r="C491" s="211"/>
    </row>
    <row r="492" spans="1:3" ht="14.25">
      <c r="A492" s="105"/>
      <c r="B492" s="211"/>
      <c r="C492" s="211"/>
    </row>
    <row r="493" spans="1:3" ht="14.25">
      <c r="A493" s="105"/>
      <c r="B493" s="211"/>
      <c r="C493" s="211"/>
    </row>
    <row r="494" spans="1:3" ht="14.25">
      <c r="A494" s="105"/>
      <c r="B494" s="211"/>
      <c r="C494" s="211"/>
    </row>
    <row r="495" spans="1:3" ht="14.25">
      <c r="A495" s="105"/>
      <c r="B495" s="211"/>
      <c r="C495" s="211"/>
    </row>
    <row r="496" spans="1:3" ht="14.25">
      <c r="A496" s="105"/>
      <c r="B496" s="211"/>
      <c r="C496" s="211"/>
    </row>
    <row r="497" spans="1:3" ht="14.25">
      <c r="A497" s="105"/>
      <c r="B497" s="211"/>
      <c r="C497" s="211"/>
    </row>
    <row r="498" spans="1:3" ht="14.25">
      <c r="A498" s="105"/>
      <c r="B498" s="211"/>
      <c r="C498" s="211"/>
    </row>
    <row r="499" spans="1:3" ht="14.25">
      <c r="A499" s="105"/>
      <c r="B499" s="211"/>
      <c r="C499" s="211"/>
    </row>
    <row r="500" spans="1:3" ht="14.25">
      <c r="A500" s="105"/>
      <c r="B500" s="211"/>
      <c r="C500" s="211"/>
    </row>
    <row r="501" spans="1:3" ht="14.25">
      <c r="A501" s="105"/>
      <c r="B501" s="211"/>
      <c r="C501" s="211"/>
    </row>
    <row r="502" spans="1:3" ht="14.25">
      <c r="A502" s="105"/>
      <c r="B502" s="211"/>
      <c r="C502" s="211"/>
    </row>
    <row r="503" spans="1:3" ht="14.25">
      <c r="A503" s="105"/>
      <c r="B503" s="211"/>
      <c r="C503" s="211"/>
    </row>
    <row r="504" spans="1:3" ht="14.25">
      <c r="A504" s="105"/>
      <c r="B504" s="211"/>
      <c r="C504" s="211"/>
    </row>
    <row r="505" spans="1:3" ht="14.25">
      <c r="A505" s="105"/>
      <c r="B505" s="211"/>
      <c r="C505" s="211"/>
    </row>
    <row r="506" spans="1:3" ht="14.25">
      <c r="A506" s="105"/>
      <c r="B506" s="211"/>
      <c r="C506" s="211"/>
    </row>
    <row r="507" spans="1:3" ht="14.25">
      <c r="A507" s="105"/>
      <c r="B507" s="211"/>
      <c r="C507" s="211"/>
    </row>
    <row r="508" spans="1:3" ht="14.25">
      <c r="A508" s="105"/>
      <c r="B508" s="211"/>
      <c r="C508" s="211"/>
    </row>
    <row r="509" spans="1:3" ht="14.25">
      <c r="A509" s="105"/>
      <c r="B509" s="211"/>
      <c r="C509" s="211"/>
    </row>
    <row r="510" spans="1:3" ht="14.25">
      <c r="A510" s="105"/>
      <c r="B510" s="211"/>
      <c r="C510" s="211"/>
    </row>
    <row r="511" spans="1:3" ht="14.25">
      <c r="A511" s="105"/>
      <c r="B511" s="211"/>
      <c r="C511" s="211"/>
    </row>
    <row r="512" spans="1:3" ht="14.25">
      <c r="A512" s="105"/>
      <c r="B512" s="211"/>
      <c r="C512" s="211"/>
    </row>
    <row r="513" spans="1:3" ht="14.25">
      <c r="A513" s="105"/>
      <c r="B513" s="211"/>
      <c r="C513" s="211"/>
    </row>
    <row r="514" spans="1:3" ht="14.25">
      <c r="A514" s="105"/>
      <c r="B514" s="211"/>
      <c r="C514" s="211"/>
    </row>
    <row r="515" spans="1:3" ht="14.25">
      <c r="A515" s="105"/>
      <c r="B515" s="211"/>
      <c r="C515" s="211"/>
    </row>
    <row r="516" spans="1:3" ht="14.25">
      <c r="A516" s="105"/>
      <c r="B516" s="211"/>
      <c r="C516" s="211"/>
    </row>
    <row r="517" spans="1:3" ht="14.25">
      <c r="A517" s="105"/>
      <c r="B517" s="211"/>
      <c r="C517" s="211"/>
    </row>
    <row r="518" spans="1:3" ht="14.25">
      <c r="A518" s="105"/>
      <c r="B518" s="211"/>
      <c r="C518" s="211"/>
    </row>
    <row r="519" spans="1:3" ht="14.25">
      <c r="A519" s="105"/>
      <c r="B519" s="211"/>
      <c r="C519" s="211"/>
    </row>
    <row r="520" spans="1:3" ht="14.25">
      <c r="A520" s="105"/>
      <c r="B520" s="211"/>
      <c r="C520" s="211"/>
    </row>
    <row r="521" spans="1:3" ht="14.25">
      <c r="A521" s="105"/>
      <c r="B521" s="211"/>
      <c r="C521" s="211"/>
    </row>
    <row r="522" spans="1:3" ht="14.25">
      <c r="A522" s="105"/>
      <c r="B522" s="211"/>
      <c r="C522" s="211"/>
    </row>
    <row r="523" spans="1:3" ht="14.25">
      <c r="A523" s="105"/>
      <c r="B523" s="211"/>
      <c r="C523" s="211"/>
    </row>
    <row r="524" spans="1:3" ht="14.25">
      <c r="A524" s="105"/>
      <c r="B524" s="211"/>
      <c r="C524" s="211"/>
    </row>
    <row r="525" spans="1:3" ht="14.25">
      <c r="A525" s="105"/>
      <c r="B525" s="211"/>
      <c r="C525" s="211"/>
    </row>
    <row r="526" spans="1:3" ht="14.25">
      <c r="A526" s="105"/>
      <c r="B526" s="211"/>
      <c r="C526" s="211"/>
    </row>
    <row r="527" spans="1:3" ht="14.25">
      <c r="A527" s="105"/>
      <c r="B527" s="211"/>
      <c r="C527" s="211"/>
    </row>
    <row r="528" spans="1:3" ht="14.25">
      <c r="A528" s="105"/>
      <c r="B528" s="211"/>
      <c r="C528" s="211"/>
    </row>
    <row r="529" spans="1:3" ht="14.25">
      <c r="A529" s="105"/>
      <c r="B529" s="211"/>
      <c r="C529" s="211"/>
    </row>
    <row r="530" spans="1:3" ht="14.25">
      <c r="A530" s="105"/>
      <c r="B530" s="211"/>
      <c r="C530" s="211"/>
    </row>
    <row r="531" spans="1:3" ht="14.25">
      <c r="A531" s="105"/>
      <c r="B531" s="211"/>
      <c r="C531" s="211"/>
    </row>
    <row r="532" spans="1:3" ht="14.25">
      <c r="A532" s="105"/>
      <c r="B532" s="211"/>
      <c r="C532" s="211"/>
    </row>
    <row r="533" spans="1:3" ht="14.25">
      <c r="A533" s="105"/>
      <c r="B533" s="211"/>
      <c r="C533" s="211"/>
    </row>
    <row r="534" spans="1:3" ht="14.25">
      <c r="A534" s="105"/>
      <c r="B534" s="211"/>
      <c r="C534" s="211"/>
    </row>
    <row r="535" spans="1:3" ht="14.25">
      <c r="A535" s="105"/>
      <c r="B535" s="211"/>
      <c r="C535" s="211"/>
    </row>
    <row r="536" spans="1:3" ht="14.25">
      <c r="A536" s="105"/>
      <c r="B536" s="211"/>
      <c r="C536" s="211"/>
    </row>
    <row r="537" spans="1:3" ht="14.25">
      <c r="A537" s="105"/>
      <c r="B537" s="211"/>
      <c r="C537" s="211"/>
    </row>
    <row r="538" spans="1:3" ht="14.25">
      <c r="A538" s="105"/>
      <c r="B538" s="211"/>
      <c r="C538" s="211"/>
    </row>
    <row r="539" spans="1:3" ht="14.25">
      <c r="A539" s="105"/>
      <c r="B539" s="211"/>
      <c r="C539" s="211"/>
    </row>
    <row r="540" spans="1:3" ht="14.25">
      <c r="A540" s="105"/>
      <c r="B540" s="211"/>
      <c r="C540" s="211"/>
    </row>
    <row r="541" spans="1:3" ht="14.25">
      <c r="A541" s="105"/>
      <c r="B541" s="211"/>
      <c r="C541" s="211"/>
    </row>
    <row r="542" spans="1:3" ht="14.25">
      <c r="A542" s="105"/>
      <c r="B542" s="211"/>
      <c r="C542" s="211"/>
    </row>
    <row r="543" spans="1:3" ht="14.25">
      <c r="A543" s="105"/>
      <c r="B543" s="211"/>
      <c r="C543" s="211"/>
    </row>
    <row r="544" spans="1:3" ht="14.25">
      <c r="A544" s="105"/>
      <c r="B544" s="211"/>
      <c r="C544" s="211"/>
    </row>
    <row r="545" spans="1:3" ht="14.25">
      <c r="A545" s="105"/>
      <c r="B545" s="211"/>
      <c r="C545" s="211"/>
    </row>
    <row r="546" spans="1:3" ht="14.25">
      <c r="A546" s="105"/>
      <c r="B546" s="211"/>
      <c r="C546" s="211"/>
    </row>
    <row r="547" spans="1:3" ht="14.25">
      <c r="A547" s="105"/>
      <c r="B547" s="211"/>
      <c r="C547" s="211"/>
    </row>
    <row r="548" spans="1:3" ht="14.25">
      <c r="A548" s="105"/>
      <c r="B548" s="211"/>
      <c r="C548" s="211"/>
    </row>
    <row r="549" spans="1:3" ht="14.25">
      <c r="A549" s="105"/>
      <c r="B549" s="211"/>
      <c r="C549" s="211"/>
    </row>
    <row r="550" spans="1:3" ht="14.25">
      <c r="A550" s="105"/>
      <c r="B550" s="211"/>
      <c r="C550" s="211"/>
    </row>
    <row r="551" spans="1:3" ht="14.25">
      <c r="A551" s="105"/>
      <c r="B551" s="211"/>
      <c r="C551" s="211"/>
    </row>
    <row r="552" spans="1:3" ht="14.25">
      <c r="A552" s="105"/>
      <c r="B552" s="211"/>
      <c r="C552" s="211"/>
    </row>
    <row r="553" spans="1:3" ht="14.25">
      <c r="A553" s="105"/>
      <c r="B553" s="211"/>
      <c r="C553" s="211"/>
    </row>
    <row r="554" spans="1:3" ht="14.25">
      <c r="A554" s="105"/>
      <c r="B554" s="211"/>
      <c r="C554" s="211"/>
    </row>
    <row r="555" spans="1:3" ht="14.25">
      <c r="A555" s="105"/>
      <c r="B555" s="211"/>
      <c r="C555" s="211"/>
    </row>
    <row r="556" spans="1:3" ht="14.25">
      <c r="A556" s="105"/>
      <c r="B556" s="211"/>
      <c r="C556" s="211"/>
    </row>
    <row r="557" spans="1:3" ht="14.25">
      <c r="A557" s="105"/>
      <c r="B557" s="211"/>
      <c r="C557" s="211"/>
    </row>
    <row r="558" spans="1:3" ht="14.25">
      <c r="A558" s="105"/>
      <c r="B558" s="211"/>
      <c r="C558" s="211"/>
    </row>
    <row r="559" spans="1:3" ht="14.25">
      <c r="A559" s="105"/>
      <c r="B559" s="211"/>
      <c r="C559" s="211"/>
    </row>
    <row r="560" spans="1:3" ht="14.25">
      <c r="A560" s="105"/>
      <c r="B560" s="211"/>
      <c r="C560" s="211"/>
    </row>
    <row r="561" spans="1:3" ht="14.25">
      <c r="A561" s="105"/>
      <c r="B561" s="211"/>
      <c r="C561" s="211"/>
    </row>
    <row r="562" spans="1:3" ht="14.25">
      <c r="A562" s="105"/>
      <c r="B562" s="211"/>
      <c r="C562" s="211"/>
    </row>
    <row r="563" spans="1:3" ht="14.25">
      <c r="A563" s="105"/>
      <c r="B563" s="211"/>
      <c r="C563" s="211"/>
    </row>
    <row r="564" spans="1:3" ht="14.25">
      <c r="A564" s="105"/>
      <c r="B564" s="211"/>
      <c r="C564" s="211"/>
    </row>
    <row r="565" spans="1:3" ht="14.25">
      <c r="A565" s="105"/>
      <c r="B565" s="211"/>
      <c r="C565" s="211"/>
    </row>
    <row r="566" spans="1:3" ht="14.25">
      <c r="A566" s="105"/>
      <c r="B566" s="211"/>
      <c r="C566" s="211"/>
    </row>
    <row r="567" spans="1:3" ht="14.25">
      <c r="A567" s="105"/>
      <c r="B567" s="211"/>
      <c r="C567" s="211"/>
    </row>
    <row r="568" spans="1:3" ht="14.25">
      <c r="A568" s="105"/>
      <c r="B568" s="211"/>
      <c r="C568" s="211"/>
    </row>
    <row r="569" spans="1:3" ht="14.25">
      <c r="A569" s="105"/>
      <c r="B569" s="211"/>
      <c r="C569" s="211"/>
    </row>
    <row r="570" spans="1:3" ht="14.25">
      <c r="A570" s="105"/>
      <c r="B570" s="211"/>
      <c r="C570" s="211"/>
    </row>
    <row r="571" spans="1:3" ht="14.25">
      <c r="A571" s="105"/>
      <c r="B571" s="211"/>
      <c r="C571" s="211"/>
    </row>
    <row r="572" spans="1:3" ht="14.25">
      <c r="A572" s="105"/>
      <c r="B572" s="211"/>
      <c r="C572" s="211"/>
    </row>
    <row r="573" spans="1:3" ht="14.25">
      <c r="A573" s="105"/>
      <c r="B573" s="211"/>
      <c r="C573" s="211"/>
    </row>
    <row r="574" spans="1:3" ht="14.25">
      <c r="A574" s="105"/>
      <c r="B574" s="211"/>
      <c r="C574" s="211"/>
    </row>
    <row r="575" spans="1:3" ht="14.25">
      <c r="A575" s="105"/>
      <c r="B575" s="211"/>
      <c r="C575" s="211"/>
    </row>
    <row r="576" spans="1:3" ht="14.25">
      <c r="A576" s="105"/>
      <c r="B576" s="211"/>
      <c r="C576" s="211"/>
    </row>
    <row r="577" spans="1:3" ht="14.25">
      <c r="A577" s="105"/>
      <c r="B577" s="211"/>
      <c r="C577" s="211"/>
    </row>
    <row r="578" spans="1:3" ht="14.25">
      <c r="A578" s="105"/>
      <c r="B578" s="211"/>
      <c r="C578" s="211"/>
    </row>
    <row r="579" spans="1:3" ht="14.25">
      <c r="A579" s="105"/>
      <c r="B579" s="211"/>
      <c r="C579" s="211"/>
    </row>
    <row r="580" spans="1:3" ht="14.25">
      <c r="A580" s="105"/>
      <c r="B580" s="211"/>
      <c r="C580" s="211"/>
    </row>
    <row r="581" spans="1:3" ht="14.25">
      <c r="A581" s="105"/>
      <c r="B581" s="211"/>
      <c r="C581" s="211"/>
    </row>
    <row r="582" spans="1:3" ht="14.25">
      <c r="A582" s="105"/>
      <c r="B582" s="211"/>
      <c r="C582" s="211"/>
    </row>
    <row r="583" spans="1:3" ht="14.25">
      <c r="A583" s="105"/>
      <c r="B583" s="211"/>
      <c r="C583" s="211"/>
    </row>
    <row r="584" spans="1:3" ht="14.25">
      <c r="A584" s="105"/>
      <c r="B584" s="211"/>
      <c r="C584" s="211"/>
    </row>
    <row r="585" spans="1:3" ht="14.25">
      <c r="A585" s="105"/>
      <c r="B585" s="211"/>
      <c r="C585" s="211"/>
    </row>
    <row r="586" spans="1:3" ht="14.25">
      <c r="A586" s="105"/>
      <c r="B586" s="211"/>
      <c r="C586" s="211"/>
    </row>
    <row r="587" spans="1:3" ht="14.25">
      <c r="A587" s="105"/>
      <c r="B587" s="211"/>
      <c r="C587" s="211"/>
    </row>
    <row r="588" spans="1:3" ht="14.25">
      <c r="A588" s="105"/>
      <c r="B588" s="211"/>
      <c r="C588" s="211"/>
    </row>
    <row r="589" spans="1:3" ht="14.25">
      <c r="A589" s="105"/>
      <c r="B589" s="211"/>
      <c r="C589" s="211"/>
    </row>
    <row r="590" spans="1:3" ht="14.25">
      <c r="A590" s="105"/>
      <c r="B590" s="211"/>
      <c r="C590" s="211"/>
    </row>
    <row r="591" spans="1:3" ht="14.25">
      <c r="A591" s="105"/>
      <c r="B591" s="211"/>
      <c r="C591" s="211"/>
    </row>
    <row r="592" spans="1:3" ht="14.25">
      <c r="A592" s="105"/>
      <c r="B592" s="211"/>
      <c r="C592" s="211"/>
    </row>
    <row r="593" spans="1:3" ht="14.25">
      <c r="A593" s="105"/>
      <c r="B593" s="211"/>
      <c r="C593" s="211"/>
    </row>
    <row r="594" spans="1:3" ht="14.25">
      <c r="A594" s="105"/>
      <c r="B594" s="211"/>
      <c r="C594" s="211"/>
    </row>
    <row r="595" spans="1:3" ht="14.25">
      <c r="A595" s="105"/>
      <c r="B595" s="211"/>
      <c r="C595" s="211"/>
    </row>
    <row r="596" spans="1:3" ht="14.25">
      <c r="A596" s="105"/>
      <c r="B596" s="211"/>
      <c r="C596" s="211"/>
    </row>
    <row r="597" spans="1:3" ht="14.25">
      <c r="A597" s="105"/>
      <c r="B597" s="211"/>
      <c r="C597" s="211"/>
    </row>
    <row r="598" spans="1:3" ht="14.25">
      <c r="A598" s="105"/>
      <c r="B598" s="211"/>
      <c r="C598" s="211"/>
    </row>
    <row r="599" spans="1:3" ht="14.25">
      <c r="A599" s="105"/>
      <c r="B599" s="211"/>
      <c r="C599" s="211"/>
    </row>
    <row r="600" spans="1:3" ht="14.25">
      <c r="A600" s="105"/>
      <c r="B600" s="211"/>
      <c r="C600" s="211"/>
    </row>
    <row r="601" spans="1:3" ht="14.25">
      <c r="A601" s="105"/>
      <c r="B601" s="211"/>
      <c r="C601" s="211"/>
    </row>
    <row r="602" spans="1:3" ht="14.25">
      <c r="A602" s="105"/>
      <c r="B602" s="211"/>
      <c r="C602" s="211"/>
    </row>
    <row r="603" spans="1:3" ht="14.25">
      <c r="A603" s="105"/>
      <c r="B603" s="211"/>
      <c r="C603" s="211"/>
    </row>
    <row r="604" spans="1:3" ht="14.25">
      <c r="A604" s="105"/>
      <c r="B604" s="211"/>
      <c r="C604" s="211"/>
    </row>
    <row r="605" spans="1:3" ht="14.25">
      <c r="A605" s="105"/>
      <c r="B605" s="211"/>
      <c r="C605" s="211"/>
    </row>
    <row r="606" spans="1:3" ht="14.25">
      <c r="A606" s="105"/>
      <c r="B606" s="211"/>
      <c r="C606" s="211"/>
    </row>
    <row r="607" spans="1:3" ht="14.25">
      <c r="A607" s="105"/>
      <c r="B607" s="211"/>
      <c r="C607" s="211"/>
    </row>
    <row r="608" spans="1:3" ht="14.25">
      <c r="A608" s="105"/>
      <c r="B608" s="211"/>
      <c r="C608" s="211"/>
    </row>
    <row r="609" spans="1:3" ht="14.25">
      <c r="A609" s="105"/>
      <c r="B609" s="211"/>
      <c r="C609" s="211"/>
    </row>
    <row r="610" spans="1:3" ht="14.25">
      <c r="A610" s="105"/>
      <c r="B610" s="211"/>
      <c r="C610" s="211"/>
    </row>
    <row r="611" spans="1:3" ht="14.25">
      <c r="A611" s="105"/>
      <c r="B611" s="211"/>
      <c r="C611" s="211"/>
    </row>
    <row r="612" spans="1:3" ht="14.25">
      <c r="A612" s="105"/>
      <c r="B612" s="211"/>
      <c r="C612" s="211"/>
    </row>
    <row r="613" spans="1:3" ht="14.25">
      <c r="A613" s="105"/>
      <c r="B613" s="211"/>
      <c r="C613" s="211"/>
    </row>
    <row r="614" spans="1:3" ht="14.25">
      <c r="A614" s="105"/>
      <c r="B614" s="211"/>
      <c r="C614" s="211"/>
    </row>
    <row r="615" spans="1:3" ht="14.25">
      <c r="A615" s="105"/>
      <c r="B615" s="211"/>
      <c r="C615" s="211"/>
    </row>
    <row r="616" spans="1:3" ht="14.25">
      <c r="A616" s="105"/>
      <c r="B616" s="211"/>
      <c r="C616" s="211"/>
    </row>
    <row r="617" spans="1:3" ht="14.25">
      <c r="A617" s="105"/>
      <c r="B617" s="211"/>
      <c r="C617" s="211"/>
    </row>
    <row r="618" spans="1:3" ht="14.25">
      <c r="A618" s="105"/>
      <c r="B618" s="211"/>
      <c r="C618" s="211"/>
    </row>
    <row r="619" spans="1:3" ht="14.25">
      <c r="A619" s="105"/>
      <c r="B619" s="211"/>
      <c r="C619" s="211"/>
    </row>
    <row r="620" spans="1:3" ht="14.25">
      <c r="A620" s="105"/>
      <c r="B620" s="211"/>
      <c r="C620" s="211"/>
    </row>
    <row r="621" spans="1:3" ht="14.25">
      <c r="A621" s="105"/>
      <c r="B621" s="211"/>
      <c r="C621" s="211"/>
    </row>
    <row r="622" spans="1:3" ht="14.25">
      <c r="A622" s="105"/>
      <c r="B622" s="211"/>
      <c r="C622" s="211"/>
    </row>
    <row r="623" spans="1:3" ht="14.25">
      <c r="A623" s="105"/>
      <c r="B623" s="211"/>
      <c r="C623" s="211"/>
    </row>
    <row r="624" spans="1:3" ht="14.25">
      <c r="A624" s="105"/>
      <c r="B624" s="211"/>
      <c r="C624" s="211"/>
    </row>
    <row r="625" spans="1:3" ht="14.25">
      <c r="A625" s="105"/>
      <c r="B625" s="211"/>
      <c r="C625" s="211"/>
    </row>
    <row r="626" spans="1:3" ht="14.25">
      <c r="A626" s="105"/>
      <c r="B626" s="211"/>
      <c r="C626" s="211"/>
    </row>
    <row r="627" spans="1:3" ht="14.25">
      <c r="A627" s="105"/>
      <c r="B627" s="211"/>
      <c r="C627" s="211"/>
    </row>
    <row r="628" spans="1:3" ht="14.25">
      <c r="A628" s="105"/>
      <c r="B628" s="211"/>
      <c r="C628" s="211"/>
    </row>
    <row r="629" spans="1:3" ht="14.25">
      <c r="A629" s="105"/>
      <c r="B629" s="211"/>
      <c r="C629" s="211"/>
    </row>
    <row r="630" spans="1:3" ht="14.25">
      <c r="A630" s="105"/>
      <c r="B630" s="211"/>
      <c r="C630" s="211"/>
    </row>
    <row r="631" spans="1:3" ht="14.25">
      <c r="A631" s="105"/>
      <c r="B631" s="211"/>
      <c r="C631" s="211"/>
    </row>
    <row r="632" spans="1:3" ht="14.25">
      <c r="A632" s="105"/>
      <c r="B632" s="211"/>
      <c r="C632" s="211"/>
    </row>
    <row r="633" spans="1:3" ht="14.25">
      <c r="A633" s="105"/>
      <c r="B633" s="211"/>
      <c r="C633" s="211"/>
    </row>
    <row r="634" spans="1:3" ht="14.25">
      <c r="A634" s="105"/>
      <c r="B634" s="211"/>
      <c r="C634" s="211"/>
    </row>
    <row r="635" spans="1:3" ht="14.25">
      <c r="A635" s="105"/>
      <c r="B635" s="211"/>
      <c r="C635" s="211"/>
    </row>
    <row r="636" spans="1:3" ht="14.25">
      <c r="A636" s="105"/>
      <c r="B636" s="211"/>
      <c r="C636" s="211"/>
    </row>
    <row r="637" spans="1:3" ht="14.25">
      <c r="A637" s="105"/>
      <c r="B637" s="211"/>
      <c r="C637" s="211"/>
    </row>
    <row r="638" spans="1:3" ht="14.25">
      <c r="A638" s="105"/>
      <c r="B638" s="211"/>
      <c r="C638" s="211"/>
    </row>
    <row r="639" spans="1:3" ht="14.25">
      <c r="A639" s="105"/>
      <c r="B639" s="211"/>
      <c r="C639" s="211"/>
    </row>
    <row r="640" spans="1:3" ht="14.25">
      <c r="A640" s="105"/>
      <c r="B640" s="211"/>
      <c r="C640" s="211"/>
    </row>
    <row r="641" spans="1:3" ht="14.25">
      <c r="A641" s="105"/>
      <c r="B641" s="211"/>
      <c r="C641" s="211"/>
    </row>
    <row r="642" spans="1:3" ht="14.25">
      <c r="A642" s="105"/>
      <c r="B642" s="211"/>
      <c r="C642" s="211"/>
    </row>
    <row r="643" spans="1:3" ht="14.25">
      <c r="A643" s="105"/>
      <c r="B643" s="211"/>
      <c r="C643" s="211"/>
    </row>
    <row r="644" spans="1:3" ht="14.25">
      <c r="A644" s="105"/>
      <c r="B644" s="211"/>
      <c r="C644" s="211"/>
    </row>
    <row r="645" spans="1:3" ht="14.25">
      <c r="A645" s="105"/>
      <c r="B645" s="211"/>
      <c r="C645" s="211"/>
    </row>
    <row r="646" spans="1:3" ht="14.25">
      <c r="A646" s="105"/>
      <c r="B646" s="211"/>
      <c r="C646" s="211"/>
    </row>
    <row r="647" spans="1:3" ht="14.25">
      <c r="A647" s="105"/>
      <c r="B647" s="211"/>
      <c r="C647" s="211"/>
    </row>
    <row r="648" spans="1:3" ht="14.25">
      <c r="A648" s="105"/>
      <c r="B648" s="211"/>
      <c r="C648" s="211"/>
    </row>
    <row r="649" spans="1:3" ht="14.25">
      <c r="A649" s="105"/>
      <c r="B649" s="211"/>
      <c r="C649" s="211"/>
    </row>
    <row r="650" spans="1:3" ht="14.25">
      <c r="A650" s="105"/>
      <c r="B650" s="211"/>
      <c r="C650" s="211"/>
    </row>
    <row r="651" spans="1:3" ht="14.25">
      <c r="A651" s="105"/>
      <c r="B651" s="211"/>
      <c r="C651" s="211"/>
    </row>
    <row r="652" spans="1:3" ht="14.25">
      <c r="A652" s="105"/>
      <c r="B652" s="211"/>
      <c r="C652" s="211"/>
    </row>
    <row r="653" spans="1:3" ht="14.25">
      <c r="A653" s="105"/>
      <c r="B653" s="211"/>
      <c r="C653" s="211"/>
    </row>
    <row r="654" spans="1:3" ht="14.25">
      <c r="A654" s="105"/>
      <c r="B654" s="211"/>
      <c r="C654" s="211"/>
    </row>
    <row r="655" spans="1:3" ht="14.25">
      <c r="A655" s="105"/>
      <c r="B655" s="211"/>
      <c r="C655" s="211"/>
    </row>
    <row r="656" spans="1:3" ht="14.25">
      <c r="A656" s="105"/>
      <c r="B656" s="211"/>
      <c r="C656" s="211"/>
    </row>
    <row r="657" spans="1:3" ht="14.25">
      <c r="A657" s="105"/>
      <c r="B657" s="211"/>
      <c r="C657" s="211"/>
    </row>
    <row r="658" spans="1:3" ht="14.25">
      <c r="A658" s="105"/>
      <c r="B658" s="211"/>
      <c r="C658" s="211"/>
    </row>
    <row r="659" spans="1:3" ht="14.25">
      <c r="A659" s="105"/>
      <c r="B659" s="211"/>
      <c r="C659" s="211"/>
    </row>
    <row r="660" spans="1:3" ht="14.25">
      <c r="A660" s="105"/>
      <c r="B660" s="211"/>
      <c r="C660" s="211"/>
    </row>
    <row r="661" spans="1:3" ht="14.25">
      <c r="A661" s="105"/>
      <c r="B661" s="211"/>
      <c r="C661" s="211"/>
    </row>
    <row r="662" spans="1:3" ht="14.25">
      <c r="A662" s="105"/>
      <c r="B662" s="211"/>
      <c r="C662" s="211"/>
    </row>
    <row r="663" spans="1:3" ht="14.25">
      <c r="A663" s="105"/>
      <c r="B663" s="211"/>
      <c r="C663" s="211"/>
    </row>
    <row r="664" spans="1:3" ht="14.25">
      <c r="A664" s="105"/>
      <c r="B664" s="211"/>
      <c r="C664" s="211"/>
    </row>
    <row r="665" spans="1:3" ht="14.25">
      <c r="A665" s="105"/>
      <c r="B665" s="211"/>
      <c r="C665" s="211"/>
    </row>
    <row r="666" spans="1:3" ht="14.25">
      <c r="A666" s="105"/>
      <c r="B666" s="211"/>
      <c r="C666" s="211"/>
    </row>
    <row r="667" spans="1:3" ht="14.25">
      <c r="A667" s="105"/>
      <c r="B667" s="211"/>
      <c r="C667" s="211"/>
    </row>
    <row r="668" spans="1:3" ht="14.25">
      <c r="A668" s="105"/>
      <c r="B668" s="211"/>
      <c r="C668" s="211"/>
    </row>
    <row r="669" spans="1:3" ht="14.25">
      <c r="A669" s="105"/>
      <c r="B669" s="211"/>
      <c r="C669" s="211"/>
    </row>
    <row r="670" spans="1:3" ht="14.25">
      <c r="A670" s="105"/>
      <c r="B670" s="211"/>
      <c r="C670" s="211"/>
    </row>
    <row r="671" spans="1:3" ht="14.25">
      <c r="A671" s="105"/>
      <c r="B671" s="211"/>
      <c r="C671" s="211"/>
    </row>
    <row r="672" spans="1:3" ht="14.25">
      <c r="A672" s="105"/>
      <c r="B672" s="211"/>
      <c r="C672" s="211"/>
    </row>
    <row r="673" spans="1:3" ht="14.25">
      <c r="A673" s="105"/>
      <c r="B673" s="211"/>
      <c r="C673" s="211"/>
    </row>
    <row r="674" spans="1:3" ht="14.25">
      <c r="A674" s="105"/>
      <c r="B674" s="211"/>
      <c r="C674" s="211"/>
    </row>
    <row r="675" spans="1:3" ht="14.25">
      <c r="A675" s="105"/>
      <c r="B675" s="211"/>
      <c r="C675" s="211"/>
    </row>
    <row r="676" spans="1:3" ht="14.25">
      <c r="A676" s="105"/>
      <c r="B676" s="211"/>
      <c r="C676" s="211"/>
    </row>
    <row r="677" spans="1:3" ht="14.25">
      <c r="A677" s="105"/>
      <c r="B677" s="211"/>
      <c r="C677" s="211"/>
    </row>
    <row r="678" spans="1:3" ht="14.25">
      <c r="A678" s="105"/>
      <c r="B678" s="211"/>
      <c r="C678" s="211"/>
    </row>
    <row r="679" spans="1:3" ht="14.25">
      <c r="A679" s="105"/>
      <c r="B679" s="211"/>
      <c r="C679" s="211"/>
    </row>
    <row r="680" spans="1:3" ht="14.25">
      <c r="A680" s="105"/>
      <c r="B680" s="211"/>
      <c r="C680" s="211"/>
    </row>
    <row r="681" spans="1:3" ht="14.25">
      <c r="A681" s="105"/>
      <c r="B681" s="211"/>
      <c r="C681" s="211"/>
    </row>
    <row r="682" spans="1:3" ht="14.25">
      <c r="A682" s="105"/>
      <c r="B682" s="211"/>
      <c r="C682" s="211"/>
    </row>
    <row r="683" spans="1:3" ht="14.25">
      <c r="A683" s="105"/>
      <c r="B683" s="211"/>
      <c r="C683" s="211"/>
    </row>
    <row r="684" spans="1:3" ht="14.25">
      <c r="A684" s="105"/>
      <c r="B684" s="211"/>
      <c r="C684" s="211"/>
    </row>
    <row r="685" spans="1:3" ht="14.25">
      <c r="A685" s="105"/>
      <c r="B685" s="211"/>
      <c r="C685" s="211"/>
    </row>
    <row r="686" spans="1:3" ht="14.25">
      <c r="A686" s="105"/>
      <c r="B686" s="211"/>
      <c r="C686" s="211"/>
    </row>
    <row r="687" spans="1:3" ht="14.25">
      <c r="A687" s="105"/>
      <c r="B687" s="211"/>
      <c r="C687" s="211"/>
    </row>
    <row r="688" spans="1:3" ht="14.25">
      <c r="A688" s="105"/>
      <c r="B688" s="211"/>
      <c r="C688" s="211"/>
    </row>
    <row r="689" spans="1:3" ht="14.25">
      <c r="A689" s="105"/>
      <c r="B689" s="211"/>
      <c r="C689" s="211"/>
    </row>
    <row r="690" spans="1:3" ht="14.25">
      <c r="A690" s="105"/>
      <c r="B690" s="211"/>
      <c r="C690" s="211"/>
    </row>
    <row r="691" spans="1:3" ht="14.25">
      <c r="A691" s="105"/>
      <c r="B691" s="211"/>
      <c r="C691" s="211"/>
    </row>
    <row r="692" spans="1:3" ht="14.25">
      <c r="A692" s="105"/>
      <c r="B692" s="211"/>
      <c r="C692" s="211"/>
    </row>
    <row r="693" spans="1:3" ht="14.25">
      <c r="A693" s="105"/>
      <c r="B693" s="211"/>
      <c r="C693" s="211"/>
    </row>
    <row r="694" spans="1:3" ht="14.25">
      <c r="A694" s="105"/>
      <c r="B694" s="211"/>
      <c r="C694" s="211"/>
    </row>
    <row r="695" spans="1:3" ht="14.25">
      <c r="A695" s="105"/>
      <c r="B695" s="211"/>
      <c r="C695" s="211"/>
    </row>
    <row r="696" spans="1:3" ht="14.25">
      <c r="A696" s="105"/>
      <c r="B696" s="211"/>
      <c r="C696" s="211"/>
    </row>
    <row r="697" spans="1:3" ht="14.25">
      <c r="A697" s="105"/>
      <c r="B697" s="211"/>
      <c r="C697" s="211"/>
    </row>
    <row r="698" spans="1:3" ht="14.25">
      <c r="A698" s="105"/>
      <c r="B698" s="211"/>
      <c r="C698" s="211"/>
    </row>
    <row r="699" spans="1:3" ht="14.25">
      <c r="A699" s="105"/>
      <c r="B699" s="211"/>
      <c r="C699" s="211"/>
    </row>
    <row r="700" spans="1:3" ht="14.25">
      <c r="A700" s="105"/>
      <c r="B700" s="211"/>
      <c r="C700" s="211"/>
    </row>
    <row r="701" spans="1:3" ht="14.25">
      <c r="A701" s="105"/>
      <c r="B701" s="211"/>
      <c r="C701" s="211"/>
    </row>
    <row r="702" spans="1:3" ht="14.25">
      <c r="A702" s="105"/>
      <c r="B702" s="211"/>
      <c r="C702" s="211"/>
    </row>
    <row r="703" spans="1:3" ht="14.25">
      <c r="A703" s="105"/>
      <c r="B703" s="211"/>
      <c r="C703" s="211"/>
    </row>
    <row r="704" spans="1:3" ht="14.25">
      <c r="A704" s="105"/>
      <c r="B704" s="211"/>
      <c r="C704" s="211"/>
    </row>
    <row r="705" spans="1:3" ht="14.25">
      <c r="A705" s="105"/>
      <c r="B705" s="211"/>
      <c r="C705" s="211"/>
    </row>
    <row r="706" spans="1:3" ht="14.25">
      <c r="A706" s="105"/>
      <c r="B706" s="211"/>
      <c r="C706" s="211"/>
    </row>
    <row r="707" spans="1:3" ht="14.25">
      <c r="A707" s="105"/>
      <c r="B707" s="211"/>
      <c r="C707" s="211"/>
    </row>
    <row r="708" spans="1:3" ht="14.25">
      <c r="A708" s="105"/>
      <c r="B708" s="211"/>
      <c r="C708" s="211"/>
    </row>
    <row r="709" spans="1:3" ht="14.25">
      <c r="A709" s="105"/>
      <c r="B709" s="211"/>
      <c r="C709" s="211"/>
    </row>
    <row r="710" spans="1:3" ht="14.25">
      <c r="A710" s="105"/>
      <c r="B710" s="211"/>
      <c r="C710" s="211"/>
    </row>
    <row r="711" spans="1:3" ht="14.25">
      <c r="A711" s="105"/>
      <c r="B711" s="211"/>
      <c r="C711" s="211"/>
    </row>
    <row r="712" spans="1:3" ht="14.25">
      <c r="A712" s="105"/>
      <c r="B712" s="211"/>
      <c r="C712" s="211"/>
    </row>
    <row r="713" spans="1:3" ht="14.25">
      <c r="A713" s="105"/>
      <c r="B713" s="211"/>
      <c r="C713" s="211"/>
    </row>
    <row r="714" spans="1:3" ht="14.25">
      <c r="A714" s="105"/>
      <c r="B714" s="211"/>
      <c r="C714" s="211"/>
    </row>
    <row r="715" spans="1:3" ht="14.25">
      <c r="A715" s="105"/>
      <c r="B715" s="211"/>
      <c r="C715" s="211"/>
    </row>
    <row r="716" spans="1:3" ht="14.25">
      <c r="A716" s="105"/>
      <c r="B716" s="211"/>
      <c r="C716" s="211"/>
    </row>
    <row r="717" spans="1:3" ht="14.25">
      <c r="A717" s="105"/>
      <c r="B717" s="211"/>
      <c r="C717" s="211"/>
    </row>
    <row r="718" spans="1:3" ht="14.25">
      <c r="A718" s="105"/>
      <c r="B718" s="211"/>
      <c r="C718" s="211"/>
    </row>
    <row r="719" spans="1:3" ht="14.25">
      <c r="A719" s="105"/>
      <c r="B719" s="211"/>
      <c r="C719" s="211"/>
    </row>
    <row r="720" spans="1:3" ht="14.25">
      <c r="A720" s="105"/>
      <c r="B720" s="211"/>
      <c r="C720" s="211"/>
    </row>
    <row r="721" spans="1:3" ht="14.25">
      <c r="A721" s="105"/>
      <c r="B721" s="211"/>
      <c r="C721" s="211"/>
    </row>
    <row r="722" spans="1:3" ht="14.25">
      <c r="A722" s="105"/>
      <c r="B722" s="211"/>
      <c r="C722" s="211"/>
    </row>
    <row r="723" spans="1:3" ht="14.25">
      <c r="A723" s="105"/>
      <c r="B723" s="211"/>
      <c r="C723" s="211"/>
    </row>
    <row r="724" spans="1:3" ht="14.25">
      <c r="A724" s="105"/>
      <c r="B724" s="211"/>
      <c r="C724" s="211"/>
    </row>
    <row r="725" spans="1:3" ht="14.25">
      <c r="A725" s="105"/>
      <c r="B725" s="211"/>
      <c r="C725" s="211"/>
    </row>
    <row r="726" spans="1:3" ht="14.25">
      <c r="A726" s="105"/>
      <c r="B726" s="211"/>
      <c r="C726" s="211"/>
    </row>
    <row r="727" spans="1:3" ht="14.25">
      <c r="A727" s="105"/>
      <c r="B727" s="211"/>
      <c r="C727" s="211"/>
    </row>
    <row r="728" spans="1:3" ht="14.25">
      <c r="A728" s="105"/>
      <c r="B728" s="211"/>
      <c r="C728" s="211"/>
    </row>
    <row r="729" spans="1:3" ht="14.25">
      <c r="A729" s="105"/>
      <c r="B729" s="211"/>
      <c r="C729" s="211"/>
    </row>
    <row r="730" spans="1:3" ht="14.25">
      <c r="A730" s="105"/>
      <c r="B730" s="211"/>
      <c r="C730" s="211"/>
    </row>
    <row r="731" spans="1:3" ht="14.25">
      <c r="A731" s="105"/>
      <c r="B731" s="211"/>
      <c r="C731" s="211"/>
    </row>
    <row r="732" spans="1:3" ht="14.25">
      <c r="A732" s="105"/>
      <c r="B732" s="211"/>
      <c r="C732" s="211"/>
    </row>
    <row r="733" spans="1:3" ht="14.25">
      <c r="A733" s="105"/>
      <c r="B733" s="211"/>
      <c r="C733" s="211"/>
    </row>
    <row r="734" spans="1:3" ht="14.25">
      <c r="A734" s="105"/>
      <c r="B734" s="211"/>
      <c r="C734" s="211"/>
    </row>
    <row r="735" spans="1:3" ht="14.25">
      <c r="A735" s="105"/>
      <c r="B735" s="211"/>
      <c r="C735" s="211"/>
    </row>
    <row r="736" spans="1:3" ht="14.25">
      <c r="A736" s="105"/>
      <c r="B736" s="211"/>
      <c r="C736" s="211"/>
    </row>
    <row r="737" spans="1:3" ht="14.25">
      <c r="A737" s="105"/>
      <c r="B737" s="211"/>
      <c r="C737" s="211"/>
    </row>
    <row r="738" spans="1:3" ht="14.25">
      <c r="A738" s="105"/>
      <c r="B738" s="211"/>
      <c r="C738" s="211"/>
    </row>
    <row r="739" spans="1:3" ht="14.25">
      <c r="A739" s="105"/>
      <c r="B739" s="211"/>
      <c r="C739" s="211"/>
    </row>
    <row r="740" spans="1:3" ht="14.25">
      <c r="A740" s="105"/>
      <c r="B740" s="211"/>
      <c r="C740" s="211"/>
    </row>
    <row r="741" spans="1:3" ht="14.25">
      <c r="A741" s="105"/>
      <c r="B741" s="211"/>
      <c r="C741" s="211"/>
    </row>
    <row r="742" spans="1:3" ht="14.25">
      <c r="A742" s="105"/>
      <c r="B742" s="211"/>
      <c r="C742" s="211"/>
    </row>
    <row r="743" spans="1:3" ht="14.25">
      <c r="A743" s="105"/>
      <c r="B743" s="211"/>
      <c r="C743" s="211"/>
    </row>
    <row r="744" spans="1:3" ht="14.25">
      <c r="A744" s="105"/>
      <c r="B744" s="211"/>
      <c r="C744" s="211"/>
    </row>
    <row r="745" spans="1:3" ht="14.25">
      <c r="A745" s="105"/>
      <c r="B745" s="211"/>
      <c r="C745" s="211"/>
    </row>
    <row r="746" spans="1:3" ht="14.25">
      <c r="A746" s="105"/>
      <c r="B746" s="211"/>
      <c r="C746" s="211"/>
    </row>
    <row r="747" spans="1:3" ht="14.25">
      <c r="A747" s="105"/>
      <c r="B747" s="211"/>
      <c r="C747" s="211"/>
    </row>
    <row r="748" spans="1:3" ht="14.25">
      <c r="A748" s="105"/>
      <c r="B748" s="211"/>
      <c r="C748" s="211"/>
    </row>
    <row r="749" spans="1:3" ht="14.25">
      <c r="A749" s="105"/>
      <c r="B749" s="211"/>
      <c r="C749" s="211"/>
    </row>
    <row r="750" spans="1:3" ht="14.25">
      <c r="A750" s="105"/>
      <c r="B750" s="211"/>
      <c r="C750" s="211"/>
    </row>
    <row r="751" spans="1:3" ht="14.25">
      <c r="A751" s="105"/>
      <c r="B751" s="211"/>
      <c r="C751" s="211"/>
    </row>
    <row r="752" spans="1:3" ht="14.25">
      <c r="A752" s="105"/>
      <c r="B752" s="211"/>
      <c r="C752" s="211"/>
    </row>
    <row r="753" spans="1:3" ht="14.25">
      <c r="A753" s="105"/>
      <c r="B753" s="211"/>
      <c r="C753" s="211"/>
    </row>
    <row r="754" spans="1:3" ht="14.25">
      <c r="A754" s="105"/>
      <c r="B754" s="211"/>
      <c r="C754" s="211"/>
    </row>
    <row r="755" spans="1:3" ht="14.25">
      <c r="A755" s="105"/>
      <c r="B755" s="211"/>
      <c r="C755" s="211"/>
    </row>
    <row r="756" spans="1:3" ht="14.25">
      <c r="A756" s="105"/>
      <c r="B756" s="211"/>
      <c r="C756" s="211"/>
    </row>
    <row r="757" spans="1:3" ht="14.25">
      <c r="A757" s="105"/>
      <c r="B757" s="211"/>
      <c r="C757" s="211"/>
    </row>
    <row r="758" spans="1:3" ht="14.25">
      <c r="A758" s="105"/>
      <c r="B758" s="211"/>
      <c r="C758" s="211"/>
    </row>
    <row r="759" spans="1:3" ht="14.25">
      <c r="A759" s="105"/>
      <c r="B759" s="211"/>
      <c r="C759" s="211"/>
    </row>
    <row r="760" spans="1:3" ht="14.25">
      <c r="A760" s="105"/>
      <c r="B760" s="211"/>
      <c r="C760" s="211"/>
    </row>
    <row r="761" spans="1:3" ht="14.25">
      <c r="A761" s="105"/>
      <c r="B761" s="211"/>
      <c r="C761" s="211"/>
    </row>
    <row r="762" spans="1:3" ht="14.25">
      <c r="A762" s="105"/>
      <c r="B762" s="211"/>
      <c r="C762" s="211"/>
    </row>
    <row r="763" spans="1:3" ht="14.25">
      <c r="A763" s="105"/>
      <c r="B763" s="211"/>
      <c r="C763" s="211"/>
    </row>
    <row r="764" spans="1:3" ht="14.25">
      <c r="A764" s="105"/>
      <c r="B764" s="211"/>
      <c r="C764" s="211"/>
    </row>
    <row r="765" spans="1:3" ht="14.25">
      <c r="A765" s="105"/>
      <c r="B765" s="211"/>
      <c r="C765" s="211"/>
    </row>
    <row r="766" spans="1:3" ht="14.25">
      <c r="A766" s="105"/>
      <c r="B766" s="211"/>
      <c r="C766" s="211"/>
    </row>
    <row r="767" spans="1:3" ht="14.25">
      <c r="A767" s="105"/>
      <c r="B767" s="211"/>
      <c r="C767" s="211"/>
    </row>
    <row r="768" spans="1:3" ht="14.25">
      <c r="A768" s="105"/>
      <c r="B768" s="211"/>
      <c r="C768" s="211"/>
    </row>
    <row r="769" spans="1:3" ht="14.25">
      <c r="A769" s="105"/>
      <c r="B769" s="211"/>
      <c r="C769" s="211"/>
    </row>
    <row r="770" spans="1:3" ht="14.25">
      <c r="A770" s="105"/>
      <c r="B770" s="211"/>
      <c r="C770" s="211"/>
    </row>
    <row r="771" spans="1:3" ht="14.25">
      <c r="A771" s="105"/>
      <c r="B771" s="211"/>
      <c r="C771" s="211"/>
    </row>
    <row r="772" spans="1:3" ht="14.25">
      <c r="A772" s="105"/>
      <c r="B772" s="211"/>
      <c r="C772" s="211"/>
    </row>
    <row r="773" spans="1:3" ht="14.25">
      <c r="A773" s="105"/>
      <c r="B773" s="211"/>
      <c r="C773" s="211"/>
    </row>
    <row r="774" spans="1:3" ht="14.25">
      <c r="A774" s="105"/>
      <c r="B774" s="211"/>
      <c r="C774" s="211"/>
    </row>
    <row r="775" spans="1:3" ht="14.25">
      <c r="A775" s="105"/>
      <c r="B775" s="211"/>
      <c r="C775" s="211"/>
    </row>
    <row r="776" spans="1:3" ht="14.25">
      <c r="A776" s="105"/>
      <c r="B776" s="211"/>
      <c r="C776" s="211"/>
    </row>
    <row r="777" spans="1:3" ht="14.25">
      <c r="A777" s="105"/>
      <c r="B777" s="211"/>
      <c r="C777" s="211"/>
    </row>
    <row r="778" spans="1:3" ht="14.25">
      <c r="A778" s="105"/>
      <c r="B778" s="211"/>
      <c r="C778" s="211"/>
    </row>
    <row r="779" spans="1:3" ht="14.25">
      <c r="A779" s="105"/>
      <c r="B779" s="211"/>
      <c r="C779" s="211"/>
    </row>
    <row r="780" spans="1:3" ht="14.25">
      <c r="A780" s="105"/>
      <c r="B780" s="211"/>
      <c r="C780" s="211"/>
    </row>
    <row r="781" spans="1:3" ht="14.25">
      <c r="A781" s="105"/>
      <c r="B781" s="211"/>
      <c r="C781" s="211"/>
    </row>
    <row r="782" spans="1:3" ht="14.25">
      <c r="A782" s="105"/>
      <c r="B782" s="211"/>
      <c r="C782" s="211"/>
    </row>
    <row r="783" spans="1:3" ht="14.25">
      <c r="A783" s="105"/>
      <c r="B783" s="211"/>
      <c r="C783" s="211"/>
    </row>
    <row r="784" spans="1:3" ht="14.25">
      <c r="A784" s="105"/>
      <c r="B784" s="211"/>
      <c r="C784" s="211"/>
    </row>
    <row r="785" spans="1:3" ht="14.25">
      <c r="A785" s="105"/>
      <c r="B785" s="211"/>
      <c r="C785" s="211"/>
    </row>
    <row r="786" spans="1:3" ht="14.25">
      <c r="A786" s="105"/>
      <c r="B786" s="211"/>
      <c r="C786" s="211"/>
    </row>
    <row r="787" spans="1:3" ht="14.25">
      <c r="A787" s="105"/>
      <c r="B787" s="211"/>
      <c r="C787" s="211"/>
    </row>
    <row r="788" spans="1:3" ht="14.25">
      <c r="A788" s="105"/>
      <c r="B788" s="211"/>
      <c r="C788" s="211"/>
    </row>
    <row r="789" spans="1:3" ht="14.25">
      <c r="A789" s="105"/>
      <c r="B789" s="211"/>
      <c r="C789" s="211"/>
    </row>
    <row r="790" spans="1:3" ht="14.25">
      <c r="A790" s="105"/>
      <c r="B790" s="211"/>
      <c r="C790" s="211"/>
    </row>
    <row r="791" spans="1:3" ht="14.25">
      <c r="A791" s="105"/>
      <c r="B791" s="211"/>
      <c r="C791" s="211"/>
    </row>
    <row r="792" spans="1:3" ht="14.25">
      <c r="A792" s="105"/>
      <c r="B792" s="211"/>
      <c r="C792" s="211"/>
    </row>
    <row r="793" spans="1:3" ht="14.25">
      <c r="A793" s="105"/>
      <c r="B793" s="211"/>
      <c r="C793" s="211"/>
    </row>
    <row r="794" spans="1:3" ht="14.25">
      <c r="A794" s="105"/>
      <c r="B794" s="211"/>
      <c r="C794" s="211"/>
    </row>
    <row r="795" spans="1:3" ht="14.25">
      <c r="A795" s="105"/>
      <c r="B795" s="211"/>
      <c r="C795" s="211"/>
    </row>
    <row r="796" spans="1:3" ht="14.25">
      <c r="A796" s="105"/>
      <c r="B796" s="211"/>
      <c r="C796" s="211"/>
    </row>
    <row r="797" spans="1:3" ht="14.25">
      <c r="A797" s="105"/>
      <c r="B797" s="211"/>
      <c r="C797" s="211"/>
    </row>
    <row r="798" spans="1:3" ht="14.25">
      <c r="A798" s="105"/>
      <c r="B798" s="211"/>
      <c r="C798" s="211"/>
    </row>
    <row r="799" spans="1:3" ht="14.25">
      <c r="A799" s="105"/>
      <c r="B799" s="211"/>
      <c r="C799" s="211"/>
    </row>
    <row r="800" spans="1:3" ht="14.25">
      <c r="A800" s="105"/>
      <c r="B800" s="211"/>
      <c r="C800" s="211"/>
    </row>
    <row r="801" spans="1:3" ht="14.25">
      <c r="A801" s="105"/>
      <c r="B801" s="211"/>
      <c r="C801" s="211"/>
    </row>
    <row r="802" spans="1:3" ht="14.25">
      <c r="A802" s="105"/>
      <c r="B802" s="211"/>
      <c r="C802" s="211"/>
    </row>
    <row r="803" spans="1:3" ht="14.25">
      <c r="A803" s="105"/>
      <c r="B803" s="211"/>
      <c r="C803" s="211"/>
    </row>
    <row r="804" spans="1:3" ht="14.25">
      <c r="A804" s="105"/>
      <c r="B804" s="211"/>
      <c r="C804" s="211"/>
    </row>
    <row r="805" spans="1:3" ht="14.25">
      <c r="A805" s="105"/>
      <c r="B805" s="211"/>
      <c r="C805" s="211"/>
    </row>
    <row r="806" spans="1:3" ht="14.25">
      <c r="A806" s="105"/>
      <c r="B806" s="211"/>
      <c r="C806" s="211"/>
    </row>
    <row r="807" spans="1:3" ht="14.25">
      <c r="A807" s="105"/>
      <c r="B807" s="211"/>
      <c r="C807" s="211"/>
    </row>
    <row r="808" spans="1:3" ht="14.25">
      <c r="A808" s="105"/>
      <c r="B808" s="211"/>
      <c r="C808" s="211"/>
    </row>
    <row r="809" spans="1:3" ht="14.25">
      <c r="A809" s="105"/>
      <c r="B809" s="211"/>
      <c r="C809" s="211"/>
    </row>
    <row r="810" spans="1:3" ht="14.25">
      <c r="A810" s="105"/>
      <c r="B810" s="211"/>
      <c r="C810" s="211"/>
    </row>
    <row r="811" spans="1:3" ht="14.25">
      <c r="A811" s="105"/>
      <c r="B811" s="211"/>
      <c r="C811" s="211"/>
    </row>
    <row r="812" spans="1:3" ht="14.25">
      <c r="A812" s="105"/>
      <c r="B812" s="211"/>
      <c r="C812" s="211"/>
    </row>
    <row r="813" spans="1:3" ht="14.25">
      <c r="A813" s="105"/>
      <c r="B813" s="211"/>
      <c r="C813" s="211"/>
    </row>
    <row r="814" spans="1:3" ht="14.25">
      <c r="A814" s="105"/>
      <c r="B814" s="211"/>
      <c r="C814" s="211"/>
    </row>
    <row r="815" spans="1:3" ht="14.25">
      <c r="A815" s="105"/>
      <c r="B815" s="211"/>
      <c r="C815" s="211"/>
    </row>
    <row r="816" spans="1:3" ht="14.25">
      <c r="A816" s="105"/>
      <c r="B816" s="211"/>
      <c r="C816" s="211"/>
    </row>
    <row r="817" spans="1:3" ht="14.25">
      <c r="A817" s="105"/>
      <c r="B817" s="211"/>
      <c r="C817" s="211"/>
    </row>
    <row r="818" spans="1:3" ht="14.25">
      <c r="A818" s="105"/>
      <c r="B818" s="211"/>
      <c r="C818" s="211"/>
    </row>
    <row r="819" spans="1:3" ht="14.25">
      <c r="A819" s="105"/>
      <c r="B819" s="211"/>
      <c r="C819" s="211"/>
    </row>
    <row r="820" spans="1:3" ht="14.25">
      <c r="A820" s="105"/>
      <c r="B820" s="211"/>
      <c r="C820" s="211"/>
    </row>
    <row r="821" spans="1:3" ht="14.25">
      <c r="A821" s="105"/>
      <c r="B821" s="211"/>
      <c r="C821" s="211"/>
    </row>
    <row r="822" spans="1:3" ht="14.25">
      <c r="A822" s="105"/>
      <c r="B822" s="211"/>
      <c r="C822" s="211"/>
    </row>
    <row r="823" spans="1:3" ht="14.25">
      <c r="A823" s="105"/>
      <c r="B823" s="211"/>
      <c r="C823" s="211"/>
    </row>
    <row r="824" spans="1:3" ht="14.25">
      <c r="A824" s="105"/>
      <c r="B824" s="211"/>
      <c r="C824" s="211"/>
    </row>
    <row r="825" spans="1:3" ht="14.25">
      <c r="A825" s="105"/>
      <c r="B825" s="211"/>
      <c r="C825" s="211"/>
    </row>
    <row r="826" spans="1:3" ht="14.25">
      <c r="A826" s="105"/>
      <c r="B826" s="211"/>
      <c r="C826" s="211"/>
    </row>
    <row r="827" spans="1:3" ht="14.25">
      <c r="A827" s="105"/>
      <c r="B827" s="211"/>
      <c r="C827" s="211"/>
    </row>
    <row r="828" spans="1:3" ht="14.25">
      <c r="A828" s="105"/>
      <c r="B828" s="211"/>
      <c r="C828" s="211"/>
    </row>
    <row r="829" spans="1:3" ht="14.25">
      <c r="A829" s="105"/>
      <c r="B829" s="211"/>
      <c r="C829" s="211"/>
    </row>
    <row r="830" spans="1:3" ht="14.25">
      <c r="A830" s="105"/>
      <c r="B830" s="211"/>
      <c r="C830" s="211"/>
    </row>
    <row r="831" spans="1:3" ht="14.25">
      <c r="A831" s="105"/>
      <c r="B831" s="211"/>
      <c r="C831" s="211"/>
    </row>
    <row r="832" spans="1:3" ht="14.25">
      <c r="A832" s="105"/>
      <c r="B832" s="211"/>
      <c r="C832" s="211"/>
    </row>
    <row r="833" spans="1:3" ht="14.25">
      <c r="A833" s="105"/>
      <c r="B833" s="211"/>
      <c r="C833" s="211"/>
    </row>
    <row r="834" spans="1:3" ht="14.25">
      <c r="A834" s="105"/>
      <c r="B834" s="211"/>
      <c r="C834" s="211"/>
    </row>
    <row r="835" spans="1:3" ht="14.25">
      <c r="A835" s="105"/>
      <c r="B835" s="211"/>
      <c r="C835" s="211"/>
    </row>
    <row r="836" spans="1:3" ht="14.25">
      <c r="A836" s="105"/>
      <c r="B836" s="211"/>
      <c r="C836" s="211"/>
    </row>
    <row r="837" spans="1:3" ht="14.25">
      <c r="A837" s="105"/>
      <c r="B837" s="211"/>
      <c r="C837" s="211"/>
    </row>
    <row r="838" spans="1:3" ht="14.25">
      <c r="A838" s="105"/>
      <c r="B838" s="211"/>
      <c r="C838" s="211"/>
    </row>
    <row r="839" spans="1:3" ht="14.25">
      <c r="A839" s="105"/>
      <c r="B839" s="211"/>
      <c r="C839" s="211"/>
    </row>
    <row r="840" spans="1:3" ht="14.25">
      <c r="A840" s="105"/>
      <c r="B840" s="211"/>
      <c r="C840" s="211"/>
    </row>
    <row r="841" spans="1:3" ht="14.25">
      <c r="A841" s="105"/>
      <c r="B841" s="211"/>
      <c r="C841" s="211"/>
    </row>
    <row r="842" spans="1:3" ht="14.25">
      <c r="A842" s="105"/>
      <c r="B842" s="211"/>
      <c r="C842" s="211"/>
    </row>
    <row r="843" spans="1:3" ht="14.25">
      <c r="A843" s="105"/>
      <c r="B843" s="211"/>
      <c r="C843" s="211"/>
    </row>
    <row r="844" spans="1:3" ht="14.25">
      <c r="A844" s="105"/>
      <c r="B844" s="211"/>
      <c r="C844" s="211"/>
    </row>
    <row r="845" spans="1:3" ht="14.25">
      <c r="A845" s="105"/>
      <c r="B845" s="211"/>
      <c r="C845" s="211"/>
    </row>
    <row r="846" spans="1:3" ht="14.25">
      <c r="A846" s="105"/>
      <c r="B846" s="211"/>
      <c r="C846" s="211"/>
    </row>
    <row r="847" spans="1:3" ht="14.25">
      <c r="A847" s="105"/>
      <c r="B847" s="211"/>
      <c r="C847" s="211"/>
    </row>
    <row r="848" spans="1:3" ht="14.25">
      <c r="A848" s="105"/>
      <c r="B848" s="211"/>
      <c r="C848" s="211"/>
    </row>
    <row r="849" spans="1:3" ht="14.25">
      <c r="A849" s="105"/>
      <c r="B849" s="211"/>
      <c r="C849" s="211"/>
    </row>
    <row r="850" spans="1:3" ht="14.25">
      <c r="A850" s="105"/>
      <c r="B850" s="211"/>
      <c r="C850" s="211"/>
    </row>
    <row r="851" spans="1:3" ht="14.25">
      <c r="A851" s="105"/>
      <c r="B851" s="211"/>
      <c r="C851" s="211"/>
    </row>
    <row r="852" spans="1:3" ht="14.25">
      <c r="A852" s="105"/>
      <c r="B852" s="211"/>
      <c r="C852" s="211"/>
    </row>
    <row r="853" spans="1:3" ht="14.25">
      <c r="A853" s="105"/>
      <c r="B853" s="211"/>
      <c r="C853" s="211"/>
    </row>
    <row r="854" spans="1:3" ht="14.25">
      <c r="A854" s="105"/>
      <c r="B854" s="211"/>
      <c r="C854" s="211"/>
    </row>
    <row r="855" spans="1:3" ht="14.25">
      <c r="A855" s="105"/>
      <c r="B855" s="211"/>
      <c r="C855" s="211"/>
    </row>
    <row r="856" spans="1:3" ht="14.25">
      <c r="A856" s="105"/>
      <c r="B856" s="211"/>
      <c r="C856" s="211"/>
    </row>
    <row r="857" spans="1:3" ht="14.25">
      <c r="A857" s="105"/>
      <c r="B857" s="211"/>
      <c r="C857" s="211"/>
    </row>
    <row r="858" spans="1:3" ht="14.25">
      <c r="A858" s="105"/>
      <c r="B858" s="211"/>
      <c r="C858" s="211"/>
    </row>
    <row r="859" spans="1:3" ht="14.25">
      <c r="A859" s="105"/>
      <c r="B859" s="211"/>
      <c r="C859" s="211"/>
    </row>
    <row r="860" spans="1:3" ht="14.25">
      <c r="A860" s="105"/>
      <c r="B860" s="211"/>
      <c r="C860" s="211"/>
    </row>
    <row r="861" spans="1:3" ht="14.25">
      <c r="A861" s="105"/>
      <c r="B861" s="211"/>
      <c r="C861" s="211"/>
    </row>
    <row r="862" spans="1:3" ht="14.25">
      <c r="A862" s="105"/>
      <c r="B862" s="211"/>
      <c r="C862" s="211"/>
    </row>
    <row r="863" spans="1:3" ht="14.25">
      <c r="A863" s="105"/>
      <c r="B863" s="211"/>
      <c r="C863" s="211"/>
    </row>
    <row r="864" spans="1:3" ht="14.25">
      <c r="A864" s="105"/>
      <c r="B864" s="211"/>
      <c r="C864" s="211"/>
    </row>
    <row r="865" spans="1:3" ht="14.25">
      <c r="A865" s="105"/>
      <c r="B865" s="211"/>
      <c r="C865" s="211"/>
    </row>
    <row r="866" spans="1:3" ht="14.25">
      <c r="A866" s="105"/>
      <c r="B866" s="211"/>
      <c r="C866" s="211"/>
    </row>
    <row r="867" spans="1:3" ht="14.25">
      <c r="A867" s="105"/>
      <c r="B867" s="211"/>
      <c r="C867" s="211"/>
    </row>
    <row r="868" spans="1:3" ht="14.25">
      <c r="A868" s="105"/>
      <c r="B868" s="211"/>
      <c r="C868" s="211"/>
    </row>
    <row r="869" spans="1:3" ht="14.25">
      <c r="A869" s="105"/>
      <c r="B869" s="211"/>
      <c r="C869" s="211"/>
    </row>
    <row r="870" spans="1:3" ht="14.25">
      <c r="A870" s="105"/>
      <c r="B870" s="211"/>
      <c r="C870" s="211"/>
    </row>
    <row r="871" spans="1:3" ht="14.25">
      <c r="A871" s="105"/>
      <c r="B871" s="211"/>
      <c r="C871" s="211"/>
    </row>
    <row r="872" spans="1:3" ht="14.25">
      <c r="A872" s="105"/>
      <c r="B872" s="211"/>
      <c r="C872" s="211"/>
    </row>
    <row r="873" spans="1:3" ht="14.25">
      <c r="A873" s="105"/>
      <c r="B873" s="211"/>
      <c r="C873" s="211"/>
    </row>
    <row r="874" spans="1:3" ht="14.25">
      <c r="A874" s="105"/>
      <c r="B874" s="211"/>
      <c r="C874" s="211"/>
    </row>
    <row r="875" spans="1:3" ht="14.25">
      <c r="A875" s="105"/>
      <c r="B875" s="211"/>
      <c r="C875" s="211"/>
    </row>
    <row r="876" spans="1:3" ht="14.25">
      <c r="A876" s="105"/>
      <c r="B876" s="211"/>
      <c r="C876" s="211"/>
    </row>
    <row r="877" spans="1:3" ht="14.25">
      <c r="A877" s="105"/>
      <c r="B877" s="211"/>
      <c r="C877" s="211"/>
    </row>
    <row r="878" spans="1:3" ht="14.25">
      <c r="A878" s="105"/>
      <c r="B878" s="211"/>
      <c r="C878" s="211"/>
    </row>
    <row r="879" spans="1:3" ht="14.25">
      <c r="A879" s="105"/>
      <c r="B879" s="211"/>
      <c r="C879" s="211"/>
    </row>
    <row r="880" spans="1:3" ht="14.25">
      <c r="A880" s="105"/>
      <c r="B880" s="211"/>
      <c r="C880" s="211"/>
    </row>
    <row r="881" spans="1:3" ht="14.25">
      <c r="A881" s="105"/>
      <c r="B881" s="211"/>
      <c r="C881" s="211"/>
    </row>
    <row r="882" spans="1:3" ht="14.25">
      <c r="A882" s="105"/>
      <c r="B882" s="211"/>
      <c r="C882" s="211"/>
    </row>
    <row r="883" spans="1:3" ht="14.25">
      <c r="A883" s="105"/>
      <c r="B883" s="211"/>
      <c r="C883" s="211"/>
    </row>
    <row r="884" spans="1:3" ht="14.25">
      <c r="A884" s="105"/>
      <c r="B884" s="211"/>
      <c r="C884" s="211"/>
    </row>
    <row r="885" spans="1:3" ht="14.25">
      <c r="A885" s="105"/>
      <c r="B885" s="211"/>
      <c r="C885" s="211"/>
    </row>
    <row r="886" spans="1:3" ht="14.25">
      <c r="A886" s="105"/>
      <c r="B886" s="211"/>
      <c r="C886" s="211"/>
    </row>
    <row r="887" spans="1:3" ht="14.25">
      <c r="A887" s="105"/>
      <c r="B887" s="211"/>
      <c r="C887" s="211"/>
    </row>
    <row r="888" spans="1:3" ht="14.25">
      <c r="A888" s="105"/>
      <c r="B888" s="211"/>
      <c r="C888" s="211"/>
    </row>
    <row r="889" spans="1:3" ht="14.25">
      <c r="A889" s="105"/>
      <c r="B889" s="211"/>
      <c r="C889" s="211"/>
    </row>
    <row r="890" spans="1:3" ht="14.25">
      <c r="A890" s="105"/>
      <c r="B890" s="211"/>
      <c r="C890" s="211"/>
    </row>
    <row r="891" spans="1:3" ht="14.25">
      <c r="A891" s="105"/>
      <c r="B891" s="211"/>
      <c r="C891" s="211"/>
    </row>
    <row r="892" spans="1:3" ht="14.25">
      <c r="A892" s="105"/>
      <c r="B892" s="211"/>
      <c r="C892" s="211"/>
    </row>
    <row r="893" spans="1:3" ht="14.25">
      <c r="A893" s="105"/>
      <c r="B893" s="211"/>
      <c r="C893" s="211"/>
    </row>
    <row r="894" spans="1:3" ht="14.25">
      <c r="A894" s="105"/>
      <c r="B894" s="211"/>
      <c r="C894" s="211"/>
    </row>
    <row r="895" spans="1:3" ht="14.25">
      <c r="A895" s="105"/>
      <c r="B895" s="211"/>
      <c r="C895" s="211"/>
    </row>
    <row r="896" spans="1:3" ht="14.25">
      <c r="A896" s="105"/>
      <c r="B896" s="211"/>
      <c r="C896" s="211"/>
    </row>
    <row r="897" spans="1:3" ht="14.25">
      <c r="A897" s="105"/>
      <c r="B897" s="211"/>
      <c r="C897" s="211"/>
    </row>
    <row r="898" spans="1:3" ht="14.25">
      <c r="A898" s="105"/>
      <c r="B898" s="211"/>
      <c r="C898" s="211"/>
    </row>
    <row r="899" spans="1:3" ht="14.25">
      <c r="A899" s="105"/>
      <c r="B899" s="211"/>
      <c r="C899" s="211"/>
    </row>
    <row r="900" spans="1:3" ht="14.25">
      <c r="A900" s="105"/>
      <c r="B900" s="211"/>
      <c r="C900" s="211"/>
    </row>
    <row r="901" spans="1:3" ht="14.25">
      <c r="A901" s="105"/>
      <c r="B901" s="211"/>
      <c r="C901" s="211"/>
    </row>
    <row r="902" spans="1:3" ht="14.25">
      <c r="A902" s="105"/>
      <c r="B902" s="211"/>
      <c r="C902" s="211"/>
    </row>
    <row r="903" spans="1:3" ht="14.25">
      <c r="A903" s="105"/>
      <c r="B903" s="211"/>
      <c r="C903" s="211"/>
    </row>
    <row r="904" spans="1:3" ht="14.25">
      <c r="A904" s="105"/>
      <c r="B904" s="211"/>
      <c r="C904" s="211"/>
    </row>
    <row r="905" spans="1:3" ht="14.25">
      <c r="A905" s="105"/>
      <c r="B905" s="211"/>
      <c r="C905" s="211"/>
    </row>
    <row r="906" spans="1:3" ht="14.25">
      <c r="A906" s="105"/>
      <c r="B906" s="211"/>
      <c r="C906" s="211"/>
    </row>
    <row r="907" spans="1:3" ht="14.25">
      <c r="A907" s="105"/>
      <c r="B907" s="211"/>
      <c r="C907" s="211"/>
    </row>
    <row r="908" spans="1:3" ht="14.25">
      <c r="A908" s="105"/>
      <c r="B908" s="211"/>
      <c r="C908" s="211"/>
    </row>
    <row r="909" spans="1:3" ht="14.25">
      <c r="A909" s="105"/>
      <c r="B909" s="211"/>
      <c r="C909" s="211"/>
    </row>
    <row r="910" spans="1:3" ht="14.25">
      <c r="A910" s="105"/>
      <c r="B910" s="211"/>
      <c r="C910" s="211"/>
    </row>
    <row r="911" spans="1:3" ht="14.25">
      <c r="A911" s="105"/>
      <c r="B911" s="211"/>
      <c r="C911" s="211"/>
    </row>
    <row r="912" spans="1:3" ht="14.25">
      <c r="A912" s="105"/>
      <c r="B912" s="211"/>
      <c r="C912" s="211"/>
    </row>
    <row r="913" spans="1:3" ht="14.25">
      <c r="A913" s="105"/>
      <c r="B913" s="211"/>
      <c r="C913" s="211"/>
    </row>
    <row r="914" spans="1:3" ht="14.25">
      <c r="A914" s="105"/>
      <c r="B914" s="211"/>
      <c r="C914" s="211"/>
    </row>
    <row r="915" spans="1:3" ht="14.25">
      <c r="A915" s="105"/>
      <c r="B915" s="211"/>
      <c r="C915" s="211"/>
    </row>
    <row r="916" spans="1:3" ht="14.25">
      <c r="A916" s="105"/>
      <c r="B916" s="211"/>
      <c r="C916" s="211"/>
    </row>
    <row r="917" spans="1:3" ht="14.25">
      <c r="A917" s="105"/>
      <c r="B917" s="211"/>
      <c r="C917" s="211"/>
    </row>
    <row r="918" spans="1:3" ht="14.25">
      <c r="A918" s="105"/>
      <c r="B918" s="211"/>
      <c r="C918" s="211"/>
    </row>
    <row r="919" spans="1:3" ht="14.25">
      <c r="A919" s="105"/>
      <c r="B919" s="211"/>
      <c r="C919" s="211"/>
    </row>
    <row r="920" spans="1:3" ht="14.25">
      <c r="A920" s="105"/>
      <c r="B920" s="211"/>
      <c r="C920" s="211"/>
    </row>
    <row r="921" spans="1:3" ht="14.25">
      <c r="A921" s="105"/>
      <c r="B921" s="211"/>
      <c r="C921" s="211"/>
    </row>
    <row r="922" spans="1:3" ht="14.25">
      <c r="A922" s="105"/>
      <c r="B922" s="211"/>
      <c r="C922" s="211"/>
    </row>
    <row r="923" spans="1:3" ht="14.25">
      <c r="A923" s="105"/>
      <c r="B923" s="211"/>
      <c r="C923" s="211"/>
    </row>
    <row r="924" spans="1:3" ht="14.25">
      <c r="A924" s="105"/>
      <c r="B924" s="211"/>
      <c r="C924" s="211"/>
    </row>
    <row r="925" spans="1:3" ht="14.25">
      <c r="A925" s="105"/>
      <c r="B925" s="211"/>
      <c r="C925" s="211"/>
    </row>
    <row r="926" spans="1:3" ht="14.25">
      <c r="A926" s="105"/>
      <c r="B926" s="211"/>
      <c r="C926" s="211"/>
    </row>
    <row r="927" spans="1:3" ht="14.25">
      <c r="A927" s="105"/>
      <c r="B927" s="211"/>
      <c r="C927" s="211"/>
    </row>
    <row r="928" spans="1:3" ht="14.25">
      <c r="A928" s="105"/>
      <c r="B928" s="211"/>
      <c r="C928" s="211"/>
    </row>
    <row r="929" spans="1:3" ht="14.25">
      <c r="A929" s="105"/>
      <c r="B929" s="211"/>
      <c r="C929" s="211"/>
    </row>
    <row r="930" spans="1:3" ht="14.25">
      <c r="A930" s="105"/>
      <c r="B930" s="211"/>
      <c r="C930" s="211"/>
    </row>
    <row r="931" spans="1:3" ht="14.25">
      <c r="A931" s="105"/>
      <c r="B931" s="211"/>
      <c r="C931" s="211"/>
    </row>
    <row r="932" spans="1:3" ht="14.25">
      <c r="A932" s="105"/>
      <c r="B932" s="211"/>
      <c r="C932" s="211"/>
    </row>
    <row r="933" spans="1:3" ht="14.25">
      <c r="A933" s="105"/>
      <c r="B933" s="211"/>
      <c r="C933" s="211"/>
    </row>
    <row r="934" spans="1:3" ht="14.25">
      <c r="A934" s="105"/>
      <c r="B934" s="211"/>
      <c r="C934" s="211"/>
    </row>
    <row r="935" spans="1:3" ht="14.25">
      <c r="A935" s="105"/>
      <c r="B935" s="211"/>
      <c r="C935" s="211"/>
    </row>
    <row r="936" spans="1:3" ht="14.25">
      <c r="A936" s="105"/>
      <c r="B936" s="211"/>
      <c r="C936" s="211"/>
    </row>
    <row r="937" spans="1:3" ht="14.25">
      <c r="A937" s="105"/>
      <c r="B937" s="211"/>
      <c r="C937" s="211"/>
    </row>
    <row r="938" spans="1:3" ht="14.25">
      <c r="A938" s="105"/>
      <c r="B938" s="211"/>
      <c r="C938" s="211"/>
    </row>
    <row r="939" spans="1:3" ht="14.25">
      <c r="A939" s="105"/>
      <c r="B939" s="211"/>
      <c r="C939" s="211"/>
    </row>
    <row r="940" spans="1:3" ht="14.25">
      <c r="A940" s="105"/>
      <c r="B940" s="211"/>
      <c r="C940" s="211"/>
    </row>
    <row r="941" spans="1:3" ht="14.25">
      <c r="A941" s="105"/>
      <c r="B941" s="211"/>
      <c r="C941" s="211"/>
    </row>
    <row r="942" spans="1:3" ht="14.25">
      <c r="A942" s="105"/>
      <c r="B942" s="211"/>
      <c r="C942" s="211"/>
    </row>
    <row r="943" spans="1:3" ht="14.25">
      <c r="A943" s="105"/>
      <c r="B943" s="211"/>
      <c r="C943" s="211"/>
    </row>
    <row r="944" spans="1:3" ht="14.25">
      <c r="A944" s="105"/>
      <c r="B944" s="211"/>
      <c r="C944" s="211"/>
    </row>
    <row r="945" spans="1:3" ht="14.25">
      <c r="A945" s="105"/>
      <c r="B945" s="211"/>
      <c r="C945" s="211"/>
    </row>
    <row r="946" spans="1:3" ht="14.25">
      <c r="A946" s="105"/>
      <c r="B946" s="211"/>
      <c r="C946" s="211"/>
    </row>
    <row r="947" spans="1:3" ht="14.25">
      <c r="A947" s="105"/>
      <c r="B947" s="211"/>
      <c r="C947" s="211"/>
    </row>
    <row r="948" spans="1:3" ht="14.25">
      <c r="A948" s="105"/>
      <c r="B948" s="211"/>
      <c r="C948" s="211"/>
    </row>
    <row r="949" spans="1:3" ht="14.25">
      <c r="A949" s="105"/>
      <c r="B949" s="211"/>
      <c r="C949" s="211"/>
    </row>
    <row r="950" spans="1:3" ht="14.25">
      <c r="A950" s="105"/>
      <c r="B950" s="211"/>
      <c r="C950" s="211"/>
    </row>
    <row r="951" spans="1:3" ht="14.25">
      <c r="A951" s="105"/>
      <c r="B951" s="211"/>
      <c r="C951" s="211"/>
    </row>
    <row r="952" spans="1:3" ht="14.25">
      <c r="A952" s="105"/>
      <c r="B952" s="211"/>
      <c r="C952" s="211"/>
    </row>
    <row r="953" spans="1:3" ht="14.25">
      <c r="A953" s="105"/>
      <c r="B953" s="211"/>
      <c r="C953" s="211"/>
    </row>
    <row r="954" spans="1:3" ht="14.25">
      <c r="A954" s="105"/>
      <c r="B954" s="211"/>
      <c r="C954" s="211"/>
    </row>
    <row r="955" spans="1:3" ht="14.25">
      <c r="A955" s="105"/>
      <c r="B955" s="211"/>
      <c r="C955" s="211"/>
    </row>
    <row r="956" spans="1:3" ht="14.25">
      <c r="A956" s="105"/>
      <c r="B956" s="211"/>
      <c r="C956" s="211"/>
    </row>
    <row r="957" spans="1:3" ht="14.25">
      <c r="A957" s="105"/>
      <c r="B957" s="211"/>
      <c r="C957" s="211"/>
    </row>
    <row r="958" spans="1:3" ht="14.25">
      <c r="A958" s="105"/>
      <c r="B958" s="211"/>
      <c r="C958" s="211"/>
    </row>
    <row r="959" spans="1:3" ht="14.25">
      <c r="A959" s="105"/>
      <c r="B959" s="211"/>
      <c r="C959" s="211"/>
    </row>
    <row r="960" spans="1:3" ht="14.25">
      <c r="A960" s="105"/>
      <c r="B960" s="211"/>
      <c r="C960" s="211"/>
    </row>
    <row r="961" spans="1:3" ht="14.25">
      <c r="A961" s="105"/>
      <c r="B961" s="211"/>
      <c r="C961" s="211"/>
    </row>
    <row r="962" spans="1:3" ht="14.25">
      <c r="A962" s="105"/>
      <c r="B962" s="211"/>
      <c r="C962" s="211"/>
    </row>
    <row r="963" spans="1:3" ht="14.25">
      <c r="A963" s="105"/>
      <c r="B963" s="211"/>
      <c r="C963" s="211"/>
    </row>
    <row r="964" spans="1:3" ht="14.25">
      <c r="A964" s="105"/>
      <c r="B964" s="211"/>
      <c r="C964" s="211"/>
    </row>
    <row r="965" spans="1:3" ht="14.25">
      <c r="A965" s="105"/>
      <c r="B965" s="211"/>
      <c r="C965" s="211"/>
    </row>
    <row r="966" spans="1:3" ht="14.25">
      <c r="A966" s="105"/>
      <c r="B966" s="211"/>
      <c r="C966" s="211"/>
    </row>
    <row r="967" spans="1:3" ht="14.25">
      <c r="A967" s="105"/>
      <c r="B967" s="211"/>
      <c r="C967" s="211"/>
    </row>
    <row r="968" spans="1:3" ht="14.25">
      <c r="A968" s="105"/>
      <c r="B968" s="211"/>
      <c r="C968" s="211"/>
    </row>
    <row r="969" spans="1:3" ht="14.25">
      <c r="A969" s="105"/>
      <c r="B969" s="211"/>
      <c r="C969" s="211"/>
    </row>
    <row r="970" spans="1:3" ht="14.25">
      <c r="A970" s="105"/>
      <c r="B970" s="211"/>
      <c r="C970" s="211"/>
    </row>
    <row r="971" spans="1:3" ht="14.25">
      <c r="A971" s="105"/>
      <c r="B971" s="211"/>
      <c r="C971" s="211"/>
    </row>
    <row r="972" spans="1:3" ht="14.25">
      <c r="A972" s="105"/>
      <c r="B972" s="211"/>
      <c r="C972" s="211"/>
    </row>
    <row r="973" spans="1:3" ht="14.25">
      <c r="A973" s="105"/>
      <c r="B973" s="211"/>
      <c r="C973" s="211"/>
    </row>
    <row r="974" spans="1:3" ht="14.25">
      <c r="A974" s="105"/>
      <c r="B974" s="211"/>
      <c r="C974" s="211"/>
    </row>
    <row r="975" spans="1:3" ht="14.25">
      <c r="A975" s="105"/>
      <c r="B975" s="211"/>
      <c r="C975" s="211"/>
    </row>
    <row r="976" spans="1:3" ht="14.25">
      <c r="A976" s="105"/>
      <c r="B976" s="211"/>
      <c r="C976" s="211"/>
    </row>
    <row r="977" spans="1:3" ht="14.25">
      <c r="A977" s="105"/>
      <c r="B977" s="211"/>
      <c r="C977" s="211"/>
    </row>
    <row r="978" spans="1:3" ht="14.25">
      <c r="A978" s="105"/>
      <c r="B978" s="211"/>
      <c r="C978" s="211"/>
    </row>
    <row r="979" spans="1:3" ht="14.25">
      <c r="A979" s="105"/>
      <c r="B979" s="211"/>
      <c r="C979" s="211"/>
    </row>
    <row r="980" spans="1:3" ht="14.25">
      <c r="A980" s="105"/>
      <c r="B980" s="211"/>
      <c r="C980" s="211"/>
    </row>
    <row r="981" spans="1:3" ht="14.25">
      <c r="A981" s="105"/>
      <c r="B981" s="211"/>
      <c r="C981" s="211"/>
    </row>
    <row r="982" spans="1:3" ht="14.25">
      <c r="A982" s="105"/>
      <c r="B982" s="211"/>
      <c r="C982" s="211"/>
    </row>
    <row r="983" spans="1:3" ht="14.25">
      <c r="A983" s="105"/>
      <c r="B983" s="211"/>
      <c r="C983" s="211"/>
    </row>
    <row r="984" spans="1:3" ht="14.25">
      <c r="A984" s="105"/>
      <c r="B984" s="211"/>
      <c r="C984" s="211"/>
    </row>
    <row r="985" spans="1:3" ht="14.25">
      <c r="A985" s="105"/>
      <c r="B985" s="211"/>
      <c r="C985" s="211"/>
    </row>
    <row r="986" spans="1:3" ht="14.25">
      <c r="A986" s="105"/>
      <c r="B986" s="211"/>
      <c r="C986" s="211"/>
    </row>
    <row r="987" spans="1:3" ht="14.25">
      <c r="A987" s="105"/>
      <c r="B987" s="211"/>
      <c r="C987" s="211"/>
    </row>
    <row r="988" spans="1:3" ht="14.25">
      <c r="A988" s="105"/>
      <c r="B988" s="211"/>
      <c r="C988" s="211"/>
    </row>
    <row r="989" spans="1:3" ht="14.25">
      <c r="A989" s="105"/>
      <c r="B989" s="211"/>
      <c r="C989" s="211"/>
    </row>
    <row r="990" spans="1:3" ht="14.25">
      <c r="A990" s="105"/>
      <c r="B990" s="211"/>
      <c r="C990" s="211"/>
    </row>
    <row r="991" spans="1:3" ht="14.25">
      <c r="A991" s="105"/>
      <c r="B991" s="211"/>
      <c r="C991" s="211"/>
    </row>
    <row r="992" spans="1:3" ht="14.25">
      <c r="A992" s="105"/>
      <c r="B992" s="211"/>
      <c r="C992" s="211"/>
    </row>
    <row r="993" spans="1:3" ht="14.25">
      <c r="A993" s="105"/>
      <c r="B993" s="211"/>
      <c r="C993" s="211"/>
    </row>
    <row r="994" spans="1:3" ht="14.25">
      <c r="A994" s="105"/>
      <c r="B994" s="211"/>
      <c r="C994" s="211"/>
    </row>
    <row r="995" spans="1:3" ht="14.25">
      <c r="A995" s="105"/>
      <c r="B995" s="211"/>
      <c r="C995" s="211"/>
    </row>
  </sheetData>
  <pageMargins left="0.7" right="0.7" top="0.75" bottom="0.75" header="0" footer="0"/>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402E-69CF-4B8A-9275-AEA06E10A571}">
  <sheetPr codeName="Аркуш38">
    <tabColor rgb="FF7030A0"/>
  </sheetPr>
  <dimension ref="A1:N543"/>
  <sheetViews>
    <sheetView topLeftCell="A443" zoomScale="115" zoomScaleNormal="115" workbookViewId="0">
      <selection activeCell="B395" sqref="B395"/>
    </sheetView>
  </sheetViews>
  <sheetFormatPr defaultRowHeight="12.75"/>
  <cols>
    <col min="1" max="1" width="17.5546875" style="4" customWidth="1"/>
    <col min="2" max="2" width="18.77734375" style="4" customWidth="1"/>
    <col min="3" max="3" width="37.77734375" style="4" customWidth="1"/>
    <col min="4" max="4" width="20" style="4" customWidth="1"/>
    <col min="5" max="6" width="8.88671875" style="4"/>
    <col min="7" max="7" width="7.6640625" style="4" customWidth="1"/>
    <col min="8" max="8" width="7.44140625" style="4" customWidth="1"/>
    <col min="9" max="10" width="8.88671875" style="4"/>
    <col min="11" max="256" width="7.109375" style="4"/>
    <col min="257" max="257" width="13.5546875" style="4" customWidth="1"/>
    <col min="258" max="258" width="14.5546875" style="4" customWidth="1"/>
    <col min="259" max="259" width="29.33203125" style="4" customWidth="1"/>
    <col min="260" max="260" width="15.5546875" style="4" customWidth="1"/>
    <col min="261" max="262" width="7.109375" style="4"/>
    <col min="263" max="263" width="5.88671875" style="4" customWidth="1"/>
    <col min="264" max="264" width="5.6640625" style="4" customWidth="1"/>
    <col min="265" max="512" width="7.109375" style="4"/>
    <col min="513" max="513" width="13.5546875" style="4" customWidth="1"/>
    <col min="514" max="514" width="14.5546875" style="4" customWidth="1"/>
    <col min="515" max="515" width="29.33203125" style="4" customWidth="1"/>
    <col min="516" max="516" width="15.5546875" style="4" customWidth="1"/>
    <col min="517" max="518" width="7.109375" style="4"/>
    <col min="519" max="519" width="5.88671875" style="4" customWidth="1"/>
    <col min="520" max="520" width="5.6640625" style="4" customWidth="1"/>
    <col min="521" max="768" width="7.109375" style="4"/>
    <col min="769" max="769" width="13.5546875" style="4" customWidth="1"/>
    <col min="770" max="770" width="14.5546875" style="4" customWidth="1"/>
    <col min="771" max="771" width="29.33203125" style="4" customWidth="1"/>
    <col min="772" max="772" width="15.5546875" style="4" customWidth="1"/>
    <col min="773" max="774" width="7.109375" style="4"/>
    <col min="775" max="775" width="5.88671875" style="4" customWidth="1"/>
    <col min="776" max="776" width="5.6640625" style="4" customWidth="1"/>
    <col min="777" max="1024" width="8.88671875" style="4"/>
    <col min="1025" max="1025" width="13.5546875" style="4" customWidth="1"/>
    <col min="1026" max="1026" width="14.5546875" style="4" customWidth="1"/>
    <col min="1027" max="1027" width="29.33203125" style="4" customWidth="1"/>
    <col min="1028" max="1028" width="15.5546875" style="4" customWidth="1"/>
    <col min="1029" max="1030" width="7.109375" style="4"/>
    <col min="1031" max="1031" width="5.88671875" style="4" customWidth="1"/>
    <col min="1032" max="1032" width="5.6640625" style="4" customWidth="1"/>
    <col min="1033" max="1280" width="7.109375" style="4"/>
    <col min="1281" max="1281" width="13.5546875" style="4" customWidth="1"/>
    <col min="1282" max="1282" width="14.5546875" style="4" customWidth="1"/>
    <col min="1283" max="1283" width="29.33203125" style="4" customWidth="1"/>
    <col min="1284" max="1284" width="15.5546875" style="4" customWidth="1"/>
    <col min="1285" max="1286" width="7.109375" style="4"/>
    <col min="1287" max="1287" width="5.88671875" style="4" customWidth="1"/>
    <col min="1288" max="1288" width="5.6640625" style="4" customWidth="1"/>
    <col min="1289" max="1536" width="7.109375" style="4"/>
    <col min="1537" max="1537" width="13.5546875" style="4" customWidth="1"/>
    <col min="1538" max="1538" width="14.5546875" style="4" customWidth="1"/>
    <col min="1539" max="1539" width="29.33203125" style="4" customWidth="1"/>
    <col min="1540" max="1540" width="15.5546875" style="4" customWidth="1"/>
    <col min="1541" max="1542" width="7.109375" style="4"/>
    <col min="1543" max="1543" width="5.88671875" style="4" customWidth="1"/>
    <col min="1544" max="1544" width="5.6640625" style="4" customWidth="1"/>
    <col min="1545" max="1792" width="7.109375" style="4"/>
    <col min="1793" max="1793" width="13.5546875" style="4" customWidth="1"/>
    <col min="1794" max="1794" width="14.5546875" style="4" customWidth="1"/>
    <col min="1795" max="1795" width="29.33203125" style="4" customWidth="1"/>
    <col min="1796" max="1796" width="15.5546875" style="4" customWidth="1"/>
    <col min="1797" max="1798" width="7.109375" style="4"/>
    <col min="1799" max="1799" width="5.88671875" style="4" customWidth="1"/>
    <col min="1800" max="1800" width="5.6640625" style="4" customWidth="1"/>
    <col min="1801" max="2048" width="8.88671875" style="4"/>
    <col min="2049" max="2049" width="13.5546875" style="4" customWidth="1"/>
    <col min="2050" max="2050" width="14.5546875" style="4" customWidth="1"/>
    <col min="2051" max="2051" width="29.33203125" style="4" customWidth="1"/>
    <col min="2052" max="2052" width="15.5546875" style="4" customWidth="1"/>
    <col min="2053" max="2054" width="7.109375" style="4"/>
    <col min="2055" max="2055" width="5.88671875" style="4" customWidth="1"/>
    <col min="2056" max="2056" width="5.6640625" style="4" customWidth="1"/>
    <col min="2057" max="2304" width="7.109375" style="4"/>
    <col min="2305" max="2305" width="13.5546875" style="4" customWidth="1"/>
    <col min="2306" max="2306" width="14.5546875" style="4" customWidth="1"/>
    <col min="2307" max="2307" width="29.33203125" style="4" customWidth="1"/>
    <col min="2308" max="2308" width="15.5546875" style="4" customWidth="1"/>
    <col min="2309" max="2310" width="7.109375" style="4"/>
    <col min="2311" max="2311" width="5.88671875" style="4" customWidth="1"/>
    <col min="2312" max="2312" width="5.6640625" style="4" customWidth="1"/>
    <col min="2313" max="2560" width="7.109375" style="4"/>
    <col min="2561" max="2561" width="13.5546875" style="4" customWidth="1"/>
    <col min="2562" max="2562" width="14.5546875" style="4" customWidth="1"/>
    <col min="2563" max="2563" width="29.33203125" style="4" customWidth="1"/>
    <col min="2564" max="2564" width="15.5546875" style="4" customWidth="1"/>
    <col min="2565" max="2566" width="7.109375" style="4"/>
    <col min="2567" max="2567" width="5.88671875" style="4" customWidth="1"/>
    <col min="2568" max="2568" width="5.6640625" style="4" customWidth="1"/>
    <col min="2569" max="2816" width="7.109375" style="4"/>
    <col min="2817" max="2817" width="13.5546875" style="4" customWidth="1"/>
    <col min="2818" max="2818" width="14.5546875" style="4" customWidth="1"/>
    <col min="2819" max="2819" width="29.33203125" style="4" customWidth="1"/>
    <col min="2820" max="2820" width="15.5546875" style="4" customWidth="1"/>
    <col min="2821" max="2822" width="7.109375" style="4"/>
    <col min="2823" max="2823" width="5.88671875" style="4" customWidth="1"/>
    <col min="2824" max="2824" width="5.6640625" style="4" customWidth="1"/>
    <col min="2825" max="3072" width="8.88671875" style="4"/>
    <col min="3073" max="3073" width="13.5546875" style="4" customWidth="1"/>
    <col min="3074" max="3074" width="14.5546875" style="4" customWidth="1"/>
    <col min="3075" max="3075" width="29.33203125" style="4" customWidth="1"/>
    <col min="3076" max="3076" width="15.5546875" style="4" customWidth="1"/>
    <col min="3077" max="3078" width="7.109375" style="4"/>
    <col min="3079" max="3079" width="5.88671875" style="4" customWidth="1"/>
    <col min="3080" max="3080" width="5.6640625" style="4" customWidth="1"/>
    <col min="3081" max="3328" width="7.109375" style="4"/>
    <col min="3329" max="3329" width="13.5546875" style="4" customWidth="1"/>
    <col min="3330" max="3330" width="14.5546875" style="4" customWidth="1"/>
    <col min="3331" max="3331" width="29.33203125" style="4" customWidth="1"/>
    <col min="3332" max="3332" width="15.5546875" style="4" customWidth="1"/>
    <col min="3333" max="3334" width="7.109375" style="4"/>
    <col min="3335" max="3335" width="5.88671875" style="4" customWidth="1"/>
    <col min="3336" max="3336" width="5.6640625" style="4" customWidth="1"/>
    <col min="3337" max="3584" width="7.109375" style="4"/>
    <col min="3585" max="3585" width="13.5546875" style="4" customWidth="1"/>
    <col min="3586" max="3586" width="14.5546875" style="4" customWidth="1"/>
    <col min="3587" max="3587" width="29.33203125" style="4" customWidth="1"/>
    <col min="3588" max="3588" width="15.5546875" style="4" customWidth="1"/>
    <col min="3589" max="3590" width="7.109375" style="4"/>
    <col min="3591" max="3591" width="5.88671875" style="4" customWidth="1"/>
    <col min="3592" max="3592" width="5.6640625" style="4" customWidth="1"/>
    <col min="3593" max="3840" width="7.109375" style="4"/>
    <col min="3841" max="3841" width="13.5546875" style="4" customWidth="1"/>
    <col min="3842" max="3842" width="14.5546875" style="4" customWidth="1"/>
    <col min="3843" max="3843" width="29.33203125" style="4" customWidth="1"/>
    <col min="3844" max="3844" width="15.5546875" style="4" customWidth="1"/>
    <col min="3845" max="3846" width="7.109375" style="4"/>
    <col min="3847" max="3847" width="5.88671875" style="4" customWidth="1"/>
    <col min="3848" max="3848" width="5.6640625" style="4" customWidth="1"/>
    <col min="3849" max="4096" width="8.88671875" style="4"/>
    <col min="4097" max="4097" width="13.5546875" style="4" customWidth="1"/>
    <col min="4098" max="4098" width="14.5546875" style="4" customWidth="1"/>
    <col min="4099" max="4099" width="29.33203125" style="4" customWidth="1"/>
    <col min="4100" max="4100" width="15.5546875" style="4" customWidth="1"/>
    <col min="4101" max="4102" width="7.109375" style="4"/>
    <col min="4103" max="4103" width="5.88671875" style="4" customWidth="1"/>
    <col min="4104" max="4104" width="5.6640625" style="4" customWidth="1"/>
    <col min="4105" max="4352" width="7.109375" style="4"/>
    <col min="4353" max="4353" width="13.5546875" style="4" customWidth="1"/>
    <col min="4354" max="4354" width="14.5546875" style="4" customWidth="1"/>
    <col min="4355" max="4355" width="29.33203125" style="4" customWidth="1"/>
    <col min="4356" max="4356" width="15.5546875" style="4" customWidth="1"/>
    <col min="4357" max="4358" width="7.109375" style="4"/>
    <col min="4359" max="4359" width="5.88671875" style="4" customWidth="1"/>
    <col min="4360" max="4360" width="5.6640625" style="4" customWidth="1"/>
    <col min="4361" max="4608" width="7.109375" style="4"/>
    <col min="4609" max="4609" width="13.5546875" style="4" customWidth="1"/>
    <col min="4610" max="4610" width="14.5546875" style="4" customWidth="1"/>
    <col min="4611" max="4611" width="29.33203125" style="4" customWidth="1"/>
    <col min="4612" max="4612" width="15.5546875" style="4" customWidth="1"/>
    <col min="4613" max="4614" width="7.109375" style="4"/>
    <col min="4615" max="4615" width="5.88671875" style="4" customWidth="1"/>
    <col min="4616" max="4616" width="5.6640625" style="4" customWidth="1"/>
    <col min="4617" max="4864" width="7.109375" style="4"/>
    <col min="4865" max="4865" width="13.5546875" style="4" customWidth="1"/>
    <col min="4866" max="4866" width="14.5546875" style="4" customWidth="1"/>
    <col min="4867" max="4867" width="29.33203125" style="4" customWidth="1"/>
    <col min="4868" max="4868" width="15.5546875" style="4" customWidth="1"/>
    <col min="4869" max="4870" width="7.109375" style="4"/>
    <col min="4871" max="4871" width="5.88671875" style="4" customWidth="1"/>
    <col min="4872" max="4872" width="5.6640625" style="4" customWidth="1"/>
    <col min="4873" max="5120" width="8.88671875" style="4"/>
    <col min="5121" max="5121" width="13.5546875" style="4" customWidth="1"/>
    <col min="5122" max="5122" width="14.5546875" style="4" customWidth="1"/>
    <col min="5123" max="5123" width="29.33203125" style="4" customWidth="1"/>
    <col min="5124" max="5124" width="15.5546875" style="4" customWidth="1"/>
    <col min="5125" max="5126" width="7.109375" style="4"/>
    <col min="5127" max="5127" width="5.88671875" style="4" customWidth="1"/>
    <col min="5128" max="5128" width="5.6640625" style="4" customWidth="1"/>
    <col min="5129" max="5376" width="7.109375" style="4"/>
    <col min="5377" max="5377" width="13.5546875" style="4" customWidth="1"/>
    <col min="5378" max="5378" width="14.5546875" style="4" customWidth="1"/>
    <col min="5379" max="5379" width="29.33203125" style="4" customWidth="1"/>
    <col min="5380" max="5380" width="15.5546875" style="4" customWidth="1"/>
    <col min="5381" max="5382" width="7.109375" style="4"/>
    <col min="5383" max="5383" width="5.88671875" style="4" customWidth="1"/>
    <col min="5384" max="5384" width="5.6640625" style="4" customWidth="1"/>
    <col min="5385" max="5632" width="7.109375" style="4"/>
    <col min="5633" max="5633" width="13.5546875" style="4" customWidth="1"/>
    <col min="5634" max="5634" width="14.5546875" style="4" customWidth="1"/>
    <col min="5635" max="5635" width="29.33203125" style="4" customWidth="1"/>
    <col min="5636" max="5636" width="15.5546875" style="4" customWidth="1"/>
    <col min="5637" max="5638" width="7.109375" style="4"/>
    <col min="5639" max="5639" width="5.88671875" style="4" customWidth="1"/>
    <col min="5640" max="5640" width="5.6640625" style="4" customWidth="1"/>
    <col min="5641" max="5888" width="7.109375" style="4"/>
    <col min="5889" max="5889" width="13.5546875" style="4" customWidth="1"/>
    <col min="5890" max="5890" width="14.5546875" style="4" customWidth="1"/>
    <col min="5891" max="5891" width="29.33203125" style="4" customWidth="1"/>
    <col min="5892" max="5892" width="15.5546875" style="4" customWidth="1"/>
    <col min="5893" max="5894" width="7.109375" style="4"/>
    <col min="5895" max="5895" width="5.88671875" style="4" customWidth="1"/>
    <col min="5896" max="5896" width="5.6640625" style="4" customWidth="1"/>
    <col min="5897" max="6144" width="8.88671875" style="4"/>
    <col min="6145" max="6145" width="13.5546875" style="4" customWidth="1"/>
    <col min="6146" max="6146" width="14.5546875" style="4" customWidth="1"/>
    <col min="6147" max="6147" width="29.33203125" style="4" customWidth="1"/>
    <col min="6148" max="6148" width="15.5546875" style="4" customWidth="1"/>
    <col min="6149" max="6150" width="7.109375" style="4"/>
    <col min="6151" max="6151" width="5.88671875" style="4" customWidth="1"/>
    <col min="6152" max="6152" width="5.6640625" style="4" customWidth="1"/>
    <col min="6153" max="6400" width="7.109375" style="4"/>
    <col min="6401" max="6401" width="13.5546875" style="4" customWidth="1"/>
    <col min="6402" max="6402" width="14.5546875" style="4" customWidth="1"/>
    <col min="6403" max="6403" width="29.33203125" style="4" customWidth="1"/>
    <col min="6404" max="6404" width="15.5546875" style="4" customWidth="1"/>
    <col min="6405" max="6406" width="7.109375" style="4"/>
    <col min="6407" max="6407" width="5.88671875" style="4" customWidth="1"/>
    <col min="6408" max="6408" width="5.6640625" style="4" customWidth="1"/>
    <col min="6409" max="6656" width="7.109375" style="4"/>
    <col min="6657" max="6657" width="13.5546875" style="4" customWidth="1"/>
    <col min="6658" max="6658" width="14.5546875" style="4" customWidth="1"/>
    <col min="6659" max="6659" width="29.33203125" style="4" customWidth="1"/>
    <col min="6660" max="6660" width="15.5546875" style="4" customWidth="1"/>
    <col min="6661" max="6662" width="7.109375" style="4"/>
    <col min="6663" max="6663" width="5.88671875" style="4" customWidth="1"/>
    <col min="6664" max="6664" width="5.6640625" style="4" customWidth="1"/>
    <col min="6665" max="6912" width="7.109375" style="4"/>
    <col min="6913" max="6913" width="13.5546875" style="4" customWidth="1"/>
    <col min="6914" max="6914" width="14.5546875" style="4" customWidth="1"/>
    <col min="6915" max="6915" width="29.33203125" style="4" customWidth="1"/>
    <col min="6916" max="6916" width="15.5546875" style="4" customWidth="1"/>
    <col min="6917" max="6918" width="7.109375" style="4"/>
    <col min="6919" max="6919" width="5.88671875" style="4" customWidth="1"/>
    <col min="6920" max="6920" width="5.6640625" style="4" customWidth="1"/>
    <col min="6921" max="7168" width="8.88671875" style="4"/>
    <col min="7169" max="7169" width="13.5546875" style="4" customWidth="1"/>
    <col min="7170" max="7170" width="14.5546875" style="4" customWidth="1"/>
    <col min="7171" max="7171" width="29.33203125" style="4" customWidth="1"/>
    <col min="7172" max="7172" width="15.5546875" style="4" customWidth="1"/>
    <col min="7173" max="7174" width="7.109375" style="4"/>
    <col min="7175" max="7175" width="5.88671875" style="4" customWidth="1"/>
    <col min="7176" max="7176" width="5.6640625" style="4" customWidth="1"/>
    <col min="7177" max="7424" width="7.109375" style="4"/>
    <col min="7425" max="7425" width="13.5546875" style="4" customWidth="1"/>
    <col min="7426" max="7426" width="14.5546875" style="4" customWidth="1"/>
    <col min="7427" max="7427" width="29.33203125" style="4" customWidth="1"/>
    <col min="7428" max="7428" width="15.5546875" style="4" customWidth="1"/>
    <col min="7429" max="7430" width="7.109375" style="4"/>
    <col min="7431" max="7431" width="5.88671875" style="4" customWidth="1"/>
    <col min="7432" max="7432" width="5.6640625" style="4" customWidth="1"/>
    <col min="7433" max="7680" width="7.109375" style="4"/>
    <col min="7681" max="7681" width="13.5546875" style="4" customWidth="1"/>
    <col min="7682" max="7682" width="14.5546875" style="4" customWidth="1"/>
    <col min="7683" max="7683" width="29.33203125" style="4" customWidth="1"/>
    <col min="7684" max="7684" width="15.5546875" style="4" customWidth="1"/>
    <col min="7685" max="7686" width="7.109375" style="4"/>
    <col min="7687" max="7687" width="5.88671875" style="4" customWidth="1"/>
    <col min="7688" max="7688" width="5.6640625" style="4" customWidth="1"/>
    <col min="7689" max="7936" width="7.109375" style="4"/>
    <col min="7937" max="7937" width="13.5546875" style="4" customWidth="1"/>
    <col min="7938" max="7938" width="14.5546875" style="4" customWidth="1"/>
    <col min="7939" max="7939" width="29.33203125" style="4" customWidth="1"/>
    <col min="7940" max="7940" width="15.5546875" style="4" customWidth="1"/>
    <col min="7941" max="7942" width="7.109375" style="4"/>
    <col min="7943" max="7943" width="5.88671875" style="4" customWidth="1"/>
    <col min="7944" max="7944" width="5.6640625" style="4" customWidth="1"/>
    <col min="7945" max="8192" width="8.88671875" style="4"/>
    <col min="8193" max="8193" width="13.5546875" style="4" customWidth="1"/>
    <col min="8194" max="8194" width="14.5546875" style="4" customWidth="1"/>
    <col min="8195" max="8195" width="29.33203125" style="4" customWidth="1"/>
    <col min="8196" max="8196" width="15.5546875" style="4" customWidth="1"/>
    <col min="8197" max="8198" width="7.109375" style="4"/>
    <col min="8199" max="8199" width="5.88671875" style="4" customWidth="1"/>
    <col min="8200" max="8200" width="5.6640625" style="4" customWidth="1"/>
    <col min="8201" max="8448" width="7.109375" style="4"/>
    <col min="8449" max="8449" width="13.5546875" style="4" customWidth="1"/>
    <col min="8450" max="8450" width="14.5546875" style="4" customWidth="1"/>
    <col min="8451" max="8451" width="29.33203125" style="4" customWidth="1"/>
    <col min="8452" max="8452" width="15.5546875" style="4" customWidth="1"/>
    <col min="8453" max="8454" width="7.109375" style="4"/>
    <col min="8455" max="8455" width="5.88671875" style="4" customWidth="1"/>
    <col min="8456" max="8456" width="5.6640625" style="4" customWidth="1"/>
    <col min="8457" max="8704" width="7.109375" style="4"/>
    <col min="8705" max="8705" width="13.5546875" style="4" customWidth="1"/>
    <col min="8706" max="8706" width="14.5546875" style="4" customWidth="1"/>
    <col min="8707" max="8707" width="29.33203125" style="4" customWidth="1"/>
    <col min="8708" max="8708" width="15.5546875" style="4" customWidth="1"/>
    <col min="8709" max="8710" width="7.109375" style="4"/>
    <col min="8711" max="8711" width="5.88671875" style="4" customWidth="1"/>
    <col min="8712" max="8712" width="5.6640625" style="4" customWidth="1"/>
    <col min="8713" max="8960" width="7.109375" style="4"/>
    <col min="8961" max="8961" width="13.5546875" style="4" customWidth="1"/>
    <col min="8962" max="8962" width="14.5546875" style="4" customWidth="1"/>
    <col min="8963" max="8963" width="29.33203125" style="4" customWidth="1"/>
    <col min="8964" max="8964" width="15.5546875" style="4" customWidth="1"/>
    <col min="8965" max="8966" width="7.109375" style="4"/>
    <col min="8967" max="8967" width="5.88671875" style="4" customWidth="1"/>
    <col min="8968" max="8968" width="5.6640625" style="4" customWidth="1"/>
    <col min="8969" max="9216" width="8.88671875" style="4"/>
    <col min="9217" max="9217" width="13.5546875" style="4" customWidth="1"/>
    <col min="9218" max="9218" width="14.5546875" style="4" customWidth="1"/>
    <col min="9219" max="9219" width="29.33203125" style="4" customWidth="1"/>
    <col min="9220" max="9220" width="15.5546875" style="4" customWidth="1"/>
    <col min="9221" max="9222" width="7.109375" style="4"/>
    <col min="9223" max="9223" width="5.88671875" style="4" customWidth="1"/>
    <col min="9224" max="9224" width="5.6640625" style="4" customWidth="1"/>
    <col min="9225" max="9472" width="7.109375" style="4"/>
    <col min="9473" max="9473" width="13.5546875" style="4" customWidth="1"/>
    <col min="9474" max="9474" width="14.5546875" style="4" customWidth="1"/>
    <col min="9475" max="9475" width="29.33203125" style="4" customWidth="1"/>
    <col min="9476" max="9476" width="15.5546875" style="4" customWidth="1"/>
    <col min="9477" max="9478" width="7.109375" style="4"/>
    <col min="9479" max="9479" width="5.88671875" style="4" customWidth="1"/>
    <col min="9480" max="9480" width="5.6640625" style="4" customWidth="1"/>
    <col min="9481" max="9728" width="7.109375" style="4"/>
    <col min="9729" max="9729" width="13.5546875" style="4" customWidth="1"/>
    <col min="9730" max="9730" width="14.5546875" style="4" customWidth="1"/>
    <col min="9731" max="9731" width="29.33203125" style="4" customWidth="1"/>
    <col min="9732" max="9732" width="15.5546875" style="4" customWidth="1"/>
    <col min="9733" max="9734" width="7.109375" style="4"/>
    <col min="9735" max="9735" width="5.88671875" style="4" customWidth="1"/>
    <col min="9736" max="9736" width="5.6640625" style="4" customWidth="1"/>
    <col min="9737" max="9984" width="7.109375" style="4"/>
    <col min="9985" max="9985" width="13.5546875" style="4" customWidth="1"/>
    <col min="9986" max="9986" width="14.5546875" style="4" customWidth="1"/>
    <col min="9987" max="9987" width="29.33203125" style="4" customWidth="1"/>
    <col min="9988" max="9988" width="15.5546875" style="4" customWidth="1"/>
    <col min="9989" max="9990" width="7.109375" style="4"/>
    <col min="9991" max="9991" width="5.88671875" style="4" customWidth="1"/>
    <col min="9992" max="9992" width="5.6640625" style="4" customWidth="1"/>
    <col min="9993" max="10240" width="8.88671875" style="4"/>
    <col min="10241" max="10241" width="13.5546875" style="4" customWidth="1"/>
    <col min="10242" max="10242" width="14.5546875" style="4" customWidth="1"/>
    <col min="10243" max="10243" width="29.33203125" style="4" customWidth="1"/>
    <col min="10244" max="10244" width="15.5546875" style="4" customWidth="1"/>
    <col min="10245" max="10246" width="7.109375" style="4"/>
    <col min="10247" max="10247" width="5.88671875" style="4" customWidth="1"/>
    <col min="10248" max="10248" width="5.6640625" style="4" customWidth="1"/>
    <col min="10249" max="10496" width="7.109375" style="4"/>
    <col min="10497" max="10497" width="13.5546875" style="4" customWidth="1"/>
    <col min="10498" max="10498" width="14.5546875" style="4" customWidth="1"/>
    <col min="10499" max="10499" width="29.33203125" style="4" customWidth="1"/>
    <col min="10500" max="10500" width="15.5546875" style="4" customWidth="1"/>
    <col min="10501" max="10502" width="7.109375" style="4"/>
    <col min="10503" max="10503" width="5.88671875" style="4" customWidth="1"/>
    <col min="10504" max="10504" width="5.6640625" style="4" customWidth="1"/>
    <col min="10505" max="10752" width="7.109375" style="4"/>
    <col min="10753" max="10753" width="13.5546875" style="4" customWidth="1"/>
    <col min="10754" max="10754" width="14.5546875" style="4" customWidth="1"/>
    <col min="10755" max="10755" width="29.33203125" style="4" customWidth="1"/>
    <col min="10756" max="10756" width="15.5546875" style="4" customWidth="1"/>
    <col min="10757" max="10758" width="7.109375" style="4"/>
    <col min="10759" max="10759" width="5.88671875" style="4" customWidth="1"/>
    <col min="10760" max="10760" width="5.6640625" style="4" customWidth="1"/>
    <col min="10761" max="11008" width="7.109375" style="4"/>
    <col min="11009" max="11009" width="13.5546875" style="4" customWidth="1"/>
    <col min="11010" max="11010" width="14.5546875" style="4" customWidth="1"/>
    <col min="11011" max="11011" width="29.33203125" style="4" customWidth="1"/>
    <col min="11012" max="11012" width="15.5546875" style="4" customWidth="1"/>
    <col min="11013" max="11014" width="7.109375" style="4"/>
    <col min="11015" max="11015" width="5.88671875" style="4" customWidth="1"/>
    <col min="11016" max="11016" width="5.6640625" style="4" customWidth="1"/>
    <col min="11017" max="11264" width="8.88671875" style="4"/>
    <col min="11265" max="11265" width="13.5546875" style="4" customWidth="1"/>
    <col min="11266" max="11266" width="14.5546875" style="4" customWidth="1"/>
    <col min="11267" max="11267" width="29.33203125" style="4" customWidth="1"/>
    <col min="11268" max="11268" width="15.5546875" style="4" customWidth="1"/>
    <col min="11269" max="11270" width="7.109375" style="4"/>
    <col min="11271" max="11271" width="5.88671875" style="4" customWidth="1"/>
    <col min="11272" max="11272" width="5.6640625" style="4" customWidth="1"/>
    <col min="11273" max="11520" width="7.109375" style="4"/>
    <col min="11521" max="11521" width="13.5546875" style="4" customWidth="1"/>
    <col min="11522" max="11522" width="14.5546875" style="4" customWidth="1"/>
    <col min="11523" max="11523" width="29.33203125" style="4" customWidth="1"/>
    <col min="11524" max="11524" width="15.5546875" style="4" customWidth="1"/>
    <col min="11525" max="11526" width="7.109375" style="4"/>
    <col min="11527" max="11527" width="5.88671875" style="4" customWidth="1"/>
    <col min="11528" max="11528" width="5.6640625" style="4" customWidth="1"/>
    <col min="11529" max="11776" width="7.109375" style="4"/>
    <col min="11777" max="11777" width="13.5546875" style="4" customWidth="1"/>
    <col min="11778" max="11778" width="14.5546875" style="4" customWidth="1"/>
    <col min="11779" max="11779" width="29.33203125" style="4" customWidth="1"/>
    <col min="11780" max="11780" width="15.5546875" style="4" customWidth="1"/>
    <col min="11781" max="11782" width="7.109375" style="4"/>
    <col min="11783" max="11783" width="5.88671875" style="4" customWidth="1"/>
    <col min="11784" max="11784" width="5.6640625" style="4" customWidth="1"/>
    <col min="11785" max="12032" width="7.109375" style="4"/>
    <col min="12033" max="12033" width="13.5546875" style="4" customWidth="1"/>
    <col min="12034" max="12034" width="14.5546875" style="4" customWidth="1"/>
    <col min="12035" max="12035" width="29.33203125" style="4" customWidth="1"/>
    <col min="12036" max="12036" width="15.5546875" style="4" customWidth="1"/>
    <col min="12037" max="12038" width="7.109375" style="4"/>
    <col min="12039" max="12039" width="5.88671875" style="4" customWidth="1"/>
    <col min="12040" max="12040" width="5.6640625" style="4" customWidth="1"/>
    <col min="12041" max="12288" width="8.88671875" style="4"/>
    <col min="12289" max="12289" width="13.5546875" style="4" customWidth="1"/>
    <col min="12290" max="12290" width="14.5546875" style="4" customWidth="1"/>
    <col min="12291" max="12291" width="29.33203125" style="4" customWidth="1"/>
    <col min="12292" max="12292" width="15.5546875" style="4" customWidth="1"/>
    <col min="12293" max="12294" width="7.109375" style="4"/>
    <col min="12295" max="12295" width="5.88671875" style="4" customWidth="1"/>
    <col min="12296" max="12296" width="5.6640625" style="4" customWidth="1"/>
    <col min="12297" max="12544" width="7.109375" style="4"/>
    <col min="12545" max="12545" width="13.5546875" style="4" customWidth="1"/>
    <col min="12546" max="12546" width="14.5546875" style="4" customWidth="1"/>
    <col min="12547" max="12547" width="29.33203125" style="4" customWidth="1"/>
    <col min="12548" max="12548" width="15.5546875" style="4" customWidth="1"/>
    <col min="12549" max="12550" width="7.109375" style="4"/>
    <col min="12551" max="12551" width="5.88671875" style="4" customWidth="1"/>
    <col min="12552" max="12552" width="5.6640625" style="4" customWidth="1"/>
    <col min="12553" max="12800" width="7.109375" style="4"/>
    <col min="12801" max="12801" width="13.5546875" style="4" customWidth="1"/>
    <col min="12802" max="12802" width="14.5546875" style="4" customWidth="1"/>
    <col min="12803" max="12803" width="29.33203125" style="4" customWidth="1"/>
    <col min="12804" max="12804" width="15.5546875" style="4" customWidth="1"/>
    <col min="12805" max="12806" width="7.109375" style="4"/>
    <col min="12807" max="12807" width="5.88671875" style="4" customWidth="1"/>
    <col min="12808" max="12808" width="5.6640625" style="4" customWidth="1"/>
    <col min="12809" max="13056" width="7.109375" style="4"/>
    <col min="13057" max="13057" width="13.5546875" style="4" customWidth="1"/>
    <col min="13058" max="13058" width="14.5546875" style="4" customWidth="1"/>
    <col min="13059" max="13059" width="29.33203125" style="4" customWidth="1"/>
    <col min="13060" max="13060" width="15.5546875" style="4" customWidth="1"/>
    <col min="13061" max="13062" width="7.109375" style="4"/>
    <col min="13063" max="13063" width="5.88671875" style="4" customWidth="1"/>
    <col min="13064" max="13064" width="5.6640625" style="4" customWidth="1"/>
    <col min="13065" max="13312" width="8.88671875" style="4"/>
    <col min="13313" max="13313" width="13.5546875" style="4" customWidth="1"/>
    <col min="13314" max="13314" width="14.5546875" style="4" customWidth="1"/>
    <col min="13315" max="13315" width="29.33203125" style="4" customWidth="1"/>
    <col min="13316" max="13316" width="15.5546875" style="4" customWidth="1"/>
    <col min="13317" max="13318" width="7.109375" style="4"/>
    <col min="13319" max="13319" width="5.88671875" style="4" customWidth="1"/>
    <col min="13320" max="13320" width="5.6640625" style="4" customWidth="1"/>
    <col min="13321" max="13568" width="7.109375" style="4"/>
    <col min="13569" max="13569" width="13.5546875" style="4" customWidth="1"/>
    <col min="13570" max="13570" width="14.5546875" style="4" customWidth="1"/>
    <col min="13571" max="13571" width="29.33203125" style="4" customWidth="1"/>
    <col min="13572" max="13572" width="15.5546875" style="4" customWidth="1"/>
    <col min="13573" max="13574" width="7.109375" style="4"/>
    <col min="13575" max="13575" width="5.88671875" style="4" customWidth="1"/>
    <col min="13576" max="13576" width="5.6640625" style="4" customWidth="1"/>
    <col min="13577" max="13824" width="7.109375" style="4"/>
    <col min="13825" max="13825" width="13.5546875" style="4" customWidth="1"/>
    <col min="13826" max="13826" width="14.5546875" style="4" customWidth="1"/>
    <col min="13827" max="13827" width="29.33203125" style="4" customWidth="1"/>
    <col min="13828" max="13828" width="15.5546875" style="4" customWidth="1"/>
    <col min="13829" max="13830" width="7.109375" style="4"/>
    <col min="13831" max="13831" width="5.88671875" style="4" customWidth="1"/>
    <col min="13832" max="13832" width="5.6640625" style="4" customWidth="1"/>
    <col min="13833" max="14080" width="7.109375" style="4"/>
    <col min="14081" max="14081" width="13.5546875" style="4" customWidth="1"/>
    <col min="14082" max="14082" width="14.5546875" style="4" customWidth="1"/>
    <col min="14083" max="14083" width="29.33203125" style="4" customWidth="1"/>
    <col min="14084" max="14084" width="15.5546875" style="4" customWidth="1"/>
    <col min="14085" max="14086" width="7.109375" style="4"/>
    <col min="14087" max="14087" width="5.88671875" style="4" customWidth="1"/>
    <col min="14088" max="14088" width="5.6640625" style="4" customWidth="1"/>
    <col min="14089" max="14336" width="8.88671875" style="4"/>
    <col min="14337" max="14337" width="13.5546875" style="4" customWidth="1"/>
    <col min="14338" max="14338" width="14.5546875" style="4" customWidth="1"/>
    <col min="14339" max="14339" width="29.33203125" style="4" customWidth="1"/>
    <col min="14340" max="14340" width="15.5546875" style="4" customWidth="1"/>
    <col min="14341" max="14342" width="7.109375" style="4"/>
    <col min="14343" max="14343" width="5.88671875" style="4" customWidth="1"/>
    <col min="14344" max="14344" width="5.6640625" style="4" customWidth="1"/>
    <col min="14345" max="14592" width="7.109375" style="4"/>
    <col min="14593" max="14593" width="13.5546875" style="4" customWidth="1"/>
    <col min="14594" max="14594" width="14.5546875" style="4" customWidth="1"/>
    <col min="14595" max="14595" width="29.33203125" style="4" customWidth="1"/>
    <col min="14596" max="14596" width="15.5546875" style="4" customWidth="1"/>
    <col min="14597" max="14598" width="7.109375" style="4"/>
    <col min="14599" max="14599" width="5.88671875" style="4" customWidth="1"/>
    <col min="14600" max="14600" width="5.6640625" style="4" customWidth="1"/>
    <col min="14601" max="14848" width="7.109375" style="4"/>
    <col min="14849" max="14849" width="13.5546875" style="4" customWidth="1"/>
    <col min="14850" max="14850" width="14.5546875" style="4" customWidth="1"/>
    <col min="14851" max="14851" width="29.33203125" style="4" customWidth="1"/>
    <col min="14852" max="14852" width="15.5546875" style="4" customWidth="1"/>
    <col min="14853" max="14854" width="7.109375" style="4"/>
    <col min="14855" max="14855" width="5.88671875" style="4" customWidth="1"/>
    <col min="14856" max="14856" width="5.6640625" style="4" customWidth="1"/>
    <col min="14857" max="15104" width="7.109375" style="4"/>
    <col min="15105" max="15105" width="13.5546875" style="4" customWidth="1"/>
    <col min="15106" max="15106" width="14.5546875" style="4" customWidth="1"/>
    <col min="15107" max="15107" width="29.33203125" style="4" customWidth="1"/>
    <col min="15108" max="15108" width="15.5546875" style="4" customWidth="1"/>
    <col min="15109" max="15110" width="7.109375" style="4"/>
    <col min="15111" max="15111" width="5.88671875" style="4" customWidth="1"/>
    <col min="15112" max="15112" width="5.6640625" style="4" customWidth="1"/>
    <col min="15113" max="15360" width="8.88671875" style="4"/>
    <col min="15361" max="15361" width="13.5546875" style="4" customWidth="1"/>
    <col min="15362" max="15362" width="14.5546875" style="4" customWidth="1"/>
    <col min="15363" max="15363" width="29.33203125" style="4" customWidth="1"/>
    <col min="15364" max="15364" width="15.5546875" style="4" customWidth="1"/>
    <col min="15365" max="15366" width="7.109375" style="4"/>
    <col min="15367" max="15367" width="5.88671875" style="4" customWidth="1"/>
    <col min="15368" max="15368" width="5.6640625" style="4" customWidth="1"/>
    <col min="15369" max="15616" width="7.109375" style="4"/>
    <col min="15617" max="15617" width="13.5546875" style="4" customWidth="1"/>
    <col min="15618" max="15618" width="14.5546875" style="4" customWidth="1"/>
    <col min="15619" max="15619" width="29.33203125" style="4" customWidth="1"/>
    <col min="15620" max="15620" width="15.5546875" style="4" customWidth="1"/>
    <col min="15621" max="15622" width="7.109375" style="4"/>
    <col min="15623" max="15623" width="5.88671875" style="4" customWidth="1"/>
    <col min="15624" max="15624" width="5.6640625" style="4" customWidth="1"/>
    <col min="15625" max="15872" width="7.109375" style="4"/>
    <col min="15873" max="15873" width="13.5546875" style="4" customWidth="1"/>
    <col min="15874" max="15874" width="14.5546875" style="4" customWidth="1"/>
    <col min="15875" max="15875" width="29.33203125" style="4" customWidth="1"/>
    <col min="15876" max="15876" width="15.5546875" style="4" customWidth="1"/>
    <col min="15877" max="15878" width="7.109375" style="4"/>
    <col min="15879" max="15879" width="5.88671875" style="4" customWidth="1"/>
    <col min="15880" max="15880" width="5.6640625" style="4" customWidth="1"/>
    <col min="15881" max="16128" width="7.109375" style="4"/>
    <col min="16129" max="16129" width="13.5546875" style="4" customWidth="1"/>
    <col min="16130" max="16130" width="14.5546875" style="4" customWidth="1"/>
    <col min="16131" max="16131" width="29.33203125" style="4" customWidth="1"/>
    <col min="16132" max="16132" width="15.5546875" style="4" customWidth="1"/>
    <col min="16133" max="16134" width="7.109375" style="4"/>
    <col min="16135" max="16135" width="5.88671875" style="4" customWidth="1"/>
    <col min="16136" max="16136" width="5.6640625" style="4" customWidth="1"/>
    <col min="16137" max="16384" width="8.88671875" style="4"/>
  </cols>
  <sheetData>
    <row r="1" spans="1:9">
      <c r="A1" s="2187" t="s">
        <v>0</v>
      </c>
      <c r="B1" s="2187"/>
      <c r="C1" s="2187"/>
      <c r="D1" s="2187"/>
      <c r="E1" s="2187"/>
      <c r="F1" s="2187"/>
      <c r="G1" s="2187"/>
      <c r="H1" s="2187"/>
    </row>
    <row r="2" spans="1:9">
      <c r="A2" s="5" t="s">
        <v>1234</v>
      </c>
      <c r="B2" s="6"/>
      <c r="C2" s="6"/>
      <c r="D2" s="6"/>
      <c r="E2" s="6"/>
      <c r="F2" s="6"/>
      <c r="G2" s="6"/>
      <c r="H2" s="6"/>
    </row>
    <row r="3" spans="1:9">
      <c r="A3" s="5"/>
      <c r="C3" s="6"/>
      <c r="D3" s="6"/>
      <c r="F3" s="6"/>
      <c r="G3" s="6"/>
      <c r="H3" s="6"/>
    </row>
    <row r="4" spans="1:9">
      <c r="A4" s="5" t="s">
        <v>1</v>
      </c>
      <c r="B4" s="7" t="s">
        <v>2</v>
      </c>
      <c r="C4" s="6"/>
      <c r="D4" s="6"/>
      <c r="E4" s="7"/>
      <c r="F4" s="6"/>
      <c r="G4" s="6"/>
      <c r="H4" s="6"/>
    </row>
    <row r="5" spans="1:9">
      <c r="A5" s="7" t="str">
        <f>_xlfn.TEXTJOIN(", ",1,A6:A18)</f>
        <v>Huntcrown, Lhal, Marliir, Morler</v>
      </c>
      <c r="B5" s="7" t="str">
        <f>_xlfn.TEXTJOIN(", ",1,B6:B18)</f>
        <v xml:space="preserve"> ,  </v>
      </c>
      <c r="C5" s="7" t="str">
        <f>_xlfn.TEXTJOIN(", ",1,C6:C18)</f>
        <v>Baerlear, Bhela, Dragoneye, Gelzunduth, Hiloar, Iron House, Raliqh, Misrim, Nyaril, Six Coffers, Thond, Thousandheads, Trueshields</v>
      </c>
      <c r="D5" s="7" t="str">
        <f>_xlfn.TEXTJOIN(", ",1,D6:D18)</f>
        <v>Horsebreeding, Woodworking, Farming, Livestock, Furniture, Locks, Jewellers; Fine Art-crafting, Armor and weapons, Tannery, Tailors</v>
      </c>
      <c r="E5" s="9"/>
      <c r="F5" s="7"/>
      <c r="G5" s="7"/>
      <c r="H5" s="7"/>
      <c r="I5" s="25" t="s">
        <v>1358</v>
      </c>
    </row>
    <row r="6" spans="1:9">
      <c r="A6" s="6" t="s">
        <v>11</v>
      </c>
      <c r="B6" s="6"/>
      <c r="C6" s="6" t="s">
        <v>12</v>
      </c>
      <c r="D6" s="6" t="s">
        <v>13</v>
      </c>
      <c r="E6" s="10"/>
      <c r="F6" s="11"/>
      <c r="G6" s="11"/>
      <c r="H6" s="11"/>
      <c r="I6" s="25" t="s">
        <v>1359</v>
      </c>
    </row>
    <row r="7" spans="1:9">
      <c r="A7" s="12" t="s">
        <v>14</v>
      </c>
      <c r="B7" s="12" t="s">
        <v>1235</v>
      </c>
      <c r="C7" s="12" t="s">
        <v>15</v>
      </c>
      <c r="D7" s="12" t="s">
        <v>16</v>
      </c>
      <c r="E7" s="10"/>
      <c r="F7" s="13"/>
      <c r="G7" s="13"/>
      <c r="H7" s="13"/>
      <c r="I7" s="26" t="s">
        <v>1360</v>
      </c>
    </row>
    <row r="8" spans="1:9">
      <c r="A8" s="12" t="s">
        <v>17</v>
      </c>
      <c r="B8" s="12"/>
      <c r="C8" s="12" t="s">
        <v>18</v>
      </c>
      <c r="D8" s="12" t="s">
        <v>19</v>
      </c>
      <c r="E8" s="10"/>
      <c r="F8" s="13"/>
      <c r="G8" s="13"/>
      <c r="H8" s="13"/>
    </row>
    <row r="9" spans="1:9">
      <c r="A9" s="12" t="s">
        <v>20</v>
      </c>
      <c r="B9" s="12" t="s">
        <v>1235</v>
      </c>
      <c r="C9" s="12" t="s">
        <v>21</v>
      </c>
      <c r="D9" s="12" t="s">
        <v>22</v>
      </c>
      <c r="E9" s="10"/>
      <c r="F9" s="13"/>
      <c r="G9" s="13"/>
      <c r="H9" s="13"/>
    </row>
    <row r="10" spans="1:9">
      <c r="A10" s="12"/>
      <c r="B10" s="12"/>
      <c r="C10" s="12" t="s">
        <v>23</v>
      </c>
      <c r="D10" s="12" t="s">
        <v>24</v>
      </c>
      <c r="E10" s="12"/>
      <c r="F10" s="13"/>
      <c r="G10" s="13"/>
      <c r="H10" s="13"/>
    </row>
    <row r="11" spans="1:9">
      <c r="A11" s="12"/>
      <c r="B11" s="12"/>
      <c r="C11" s="12" t="s">
        <v>25</v>
      </c>
      <c r="D11" s="12" t="s">
        <v>26</v>
      </c>
      <c r="E11" s="12"/>
      <c r="F11" s="13"/>
      <c r="G11" s="13"/>
      <c r="H11" s="13"/>
    </row>
    <row r="12" spans="1:9">
      <c r="A12" s="12"/>
      <c r="B12" s="12"/>
      <c r="C12" s="12" t="s">
        <v>27</v>
      </c>
      <c r="D12" s="12" t="s">
        <v>28</v>
      </c>
      <c r="E12" s="12"/>
      <c r="F12" s="13"/>
      <c r="G12" s="13"/>
      <c r="H12" s="13"/>
    </row>
    <row r="13" spans="1:9" ht="12.75" customHeight="1">
      <c r="A13" s="12"/>
      <c r="B13" s="12"/>
      <c r="C13" s="12" t="s">
        <v>29</v>
      </c>
      <c r="D13" s="12"/>
      <c r="E13" s="12"/>
      <c r="F13" s="6" t="s">
        <v>30</v>
      </c>
      <c r="G13" s="13"/>
      <c r="H13" s="13"/>
    </row>
    <row r="14" spans="1:9" ht="12.75" customHeight="1">
      <c r="A14" s="12"/>
      <c r="B14" s="12"/>
      <c r="C14" s="12" t="s">
        <v>31</v>
      </c>
      <c r="D14" s="12"/>
      <c r="E14" s="12"/>
      <c r="F14" s="13"/>
      <c r="G14" s="13"/>
      <c r="H14" s="13"/>
    </row>
    <row r="15" spans="1:9" ht="12.75" customHeight="1">
      <c r="A15" s="12"/>
      <c r="B15" s="12"/>
      <c r="C15" s="12" t="s">
        <v>32</v>
      </c>
      <c r="D15" s="12"/>
      <c r="E15" s="12"/>
      <c r="F15" s="13"/>
      <c r="G15" s="13"/>
      <c r="H15" s="13"/>
    </row>
    <row r="16" spans="1:9" ht="12.75" customHeight="1">
      <c r="A16" s="12"/>
      <c r="B16" s="12"/>
      <c r="C16" s="12" t="s">
        <v>33</v>
      </c>
      <c r="D16" s="12"/>
      <c r="E16" s="12"/>
      <c r="F16" s="13"/>
      <c r="G16" s="13"/>
      <c r="H16" s="13"/>
    </row>
    <row r="17" spans="1:8" ht="12.75" customHeight="1">
      <c r="A17" s="12"/>
      <c r="B17" s="12"/>
      <c r="C17" s="12" t="s">
        <v>34</v>
      </c>
      <c r="D17" s="12"/>
      <c r="E17" s="12"/>
      <c r="F17" s="13"/>
      <c r="G17" s="13"/>
      <c r="H17" s="13"/>
    </row>
    <row r="18" spans="1:8" ht="12.75" customHeight="1">
      <c r="A18" s="12"/>
      <c r="B18" s="12"/>
      <c r="C18" s="12" t="s">
        <v>35</v>
      </c>
      <c r="D18" s="12"/>
      <c r="E18" s="12"/>
      <c r="F18" s="13"/>
      <c r="G18" s="13"/>
      <c r="H18" s="13"/>
    </row>
    <row r="19" spans="1:8" ht="12.75" customHeight="1">
      <c r="A19" s="12"/>
      <c r="B19" s="12"/>
      <c r="C19" s="12"/>
      <c r="D19" s="12"/>
      <c r="E19" s="12"/>
      <c r="F19" s="13"/>
      <c r="G19" s="13"/>
      <c r="H19" s="13"/>
    </row>
    <row r="20" spans="1:8" ht="12.75" customHeight="1">
      <c r="A20" s="5" t="s">
        <v>36</v>
      </c>
      <c r="B20" s="7" t="s">
        <v>2</v>
      </c>
      <c r="C20" s="6"/>
      <c r="D20" s="6"/>
      <c r="E20" s="7" t="s">
        <v>4</v>
      </c>
      <c r="F20" s="13"/>
      <c r="G20" s="13"/>
      <c r="H20" s="13"/>
    </row>
    <row r="21" spans="1:8">
      <c r="A21" s="7" t="str">
        <f>_xlfn.TEXTJOIN(", ",1,A22:A25)</f>
        <v>Blackwagon, Calantar</v>
      </c>
      <c r="B21" s="7" t="str">
        <f>_xlfn.TEXTJOIN(", ",1,B22:B25)</f>
        <v>Philip Calantar</v>
      </c>
      <c r="C21" s="7" t="str">
        <f>_xlfn.TEXTJOIN(", ",1,C22:C26)</f>
        <v>Royal Blood Carvers and Carpenters (NMH)</v>
      </c>
      <c r="D21" s="7" t="str">
        <f>_xlfn.TEXTJOIN(", ",1,D22:D25)</f>
        <v>Farming; Horsebreeders</v>
      </c>
      <c r="E21" s="10" t="s">
        <v>15335</v>
      </c>
      <c r="F21" s="7"/>
      <c r="G21" s="7"/>
      <c r="H21" s="7"/>
    </row>
    <row r="22" spans="1:8">
      <c r="A22" s="6" t="s">
        <v>38</v>
      </c>
      <c r="B22" s="12"/>
      <c r="C22" s="12" t="s">
        <v>39</v>
      </c>
      <c r="D22" s="12" t="s">
        <v>40</v>
      </c>
      <c r="E22" s="10"/>
      <c r="F22" s="11"/>
      <c r="G22" s="11"/>
      <c r="H22" s="11"/>
    </row>
    <row r="23" spans="1:8" ht="12.75" customHeight="1">
      <c r="A23" s="12" t="s">
        <v>41</v>
      </c>
      <c r="B23" s="12" t="s">
        <v>42</v>
      </c>
      <c r="D23" s="12"/>
      <c r="E23" s="10"/>
      <c r="F23" s="13"/>
      <c r="G23" s="13"/>
      <c r="H23" s="13"/>
    </row>
    <row r="24" spans="1:8" ht="12.75" customHeight="1">
      <c r="A24" s="12"/>
      <c r="B24" s="12"/>
      <c r="C24" s="12"/>
      <c r="D24" s="12"/>
      <c r="E24" s="12">
        <f>742+121+203</f>
        <v>1066</v>
      </c>
      <c r="F24" s="13"/>
      <c r="G24" s="13"/>
      <c r="H24" s="13"/>
    </row>
    <row r="25" spans="1:8" ht="12.75" customHeight="1">
      <c r="A25" s="12"/>
      <c r="B25" s="12"/>
      <c r="C25" s="12"/>
      <c r="D25" s="12"/>
      <c r="E25" s="12"/>
      <c r="F25" s="13"/>
      <c r="G25" s="13"/>
      <c r="H25" s="13"/>
    </row>
    <row r="26" spans="1:8" ht="12.75" customHeight="1">
      <c r="A26" s="12"/>
      <c r="B26" s="12"/>
      <c r="C26" s="12"/>
      <c r="D26" s="12"/>
      <c r="E26" s="12"/>
      <c r="F26" s="13"/>
      <c r="G26" s="13"/>
      <c r="H26" s="13"/>
    </row>
    <row r="27" spans="1:8" ht="12.75" customHeight="1">
      <c r="A27" s="5" t="s">
        <v>43</v>
      </c>
      <c r="B27" s="7" t="s">
        <v>2</v>
      </c>
      <c r="C27" s="12" t="s">
        <v>44</v>
      </c>
      <c r="D27" s="6"/>
      <c r="E27" s="7" t="s">
        <v>4</v>
      </c>
      <c r="F27" s="13"/>
      <c r="G27" s="13"/>
      <c r="H27" s="13"/>
    </row>
    <row r="28" spans="1:8">
      <c r="A28" s="7" t="str">
        <f>_xlfn.TEXTJOIN(", ",1,A29:A32)</f>
        <v>Auantiver (crazy family yet still a Noble House), Hawksong</v>
      </c>
      <c r="B28" s="7" t="str">
        <f>_xlfn.TEXTJOIN(", ",1,B29:B32)</f>
        <v/>
      </c>
      <c r="C28" s="7" t="str">
        <f>_xlfn.TEXTJOIN(", ",1,C29:C33)</f>
        <v/>
      </c>
      <c r="D28" s="7" t="str">
        <f>_xlfn.TEXTJOIN(", ",1,D29:D32)</f>
        <v>Farming; Timbering, Woodcrafting, Furniture</v>
      </c>
      <c r="E28" s="10">
        <v>345</v>
      </c>
      <c r="F28" s="7" t="s">
        <v>8</v>
      </c>
      <c r="G28" s="7" t="s">
        <v>9</v>
      </c>
      <c r="H28" s="7" t="s">
        <v>10</v>
      </c>
    </row>
    <row r="29" spans="1:8">
      <c r="A29" s="12" t="s">
        <v>46</v>
      </c>
      <c r="B29" s="12"/>
      <c r="D29" s="12" t="s">
        <v>47</v>
      </c>
      <c r="E29" s="12"/>
      <c r="F29" s="11">
        <v>2.1</v>
      </c>
      <c r="G29" s="11">
        <v>0.6</v>
      </c>
      <c r="H29" s="11">
        <v>7.1</v>
      </c>
    </row>
    <row r="30" spans="1:8">
      <c r="A30" s="12" t="s">
        <v>48</v>
      </c>
      <c r="B30" s="12"/>
      <c r="C30" s="12"/>
      <c r="D30" s="12" t="s">
        <v>49</v>
      </c>
      <c r="E30" s="12"/>
      <c r="F30" s="13"/>
      <c r="G30" s="13"/>
      <c r="H30" s="13"/>
    </row>
    <row r="31" spans="1:8" ht="12.75" customHeight="1">
      <c r="A31" s="12"/>
      <c r="B31" s="12"/>
      <c r="C31" s="12"/>
      <c r="D31" s="12"/>
      <c r="E31" s="12"/>
      <c r="F31" s="13"/>
      <c r="G31" s="13"/>
      <c r="H31" s="13"/>
    </row>
    <row r="32" spans="1:8" ht="12.75" customHeight="1">
      <c r="A32" s="12"/>
      <c r="B32" s="12"/>
      <c r="C32" s="12"/>
      <c r="D32" s="12"/>
      <c r="E32" s="12"/>
      <c r="F32" s="13"/>
      <c r="G32" s="13"/>
      <c r="H32" s="13"/>
    </row>
    <row r="33" spans="1:8" ht="12.75" customHeight="1">
      <c r="A33" s="5" t="s">
        <v>50</v>
      </c>
      <c r="B33" s="7" t="s">
        <v>2</v>
      </c>
      <c r="C33" s="6"/>
      <c r="D33" s="6"/>
      <c r="E33" s="7" t="s">
        <v>4</v>
      </c>
      <c r="F33" s="13"/>
      <c r="G33" s="13"/>
      <c r="H33" s="13"/>
    </row>
    <row r="34" spans="1:8">
      <c r="A34" s="7" t="s">
        <v>5</v>
      </c>
      <c r="B34" s="8" t="s">
        <v>51</v>
      </c>
      <c r="C34" s="7" t="s">
        <v>6</v>
      </c>
      <c r="D34" s="7" t="s">
        <v>7</v>
      </c>
      <c r="E34" s="10">
        <v>356</v>
      </c>
      <c r="F34" s="7" t="s">
        <v>8</v>
      </c>
      <c r="G34" s="7" t="s">
        <v>9</v>
      </c>
      <c r="H34" s="7" t="s">
        <v>10</v>
      </c>
    </row>
    <row r="35" spans="1:8">
      <c r="A35" s="12" t="s">
        <v>52</v>
      </c>
      <c r="B35" s="12"/>
      <c r="C35" s="12" t="s">
        <v>53</v>
      </c>
      <c r="D35" s="12" t="s">
        <v>54</v>
      </c>
      <c r="E35" s="12"/>
      <c r="F35" s="11">
        <v>2.2999999999999998</v>
      </c>
      <c r="G35" s="11">
        <v>1.9</v>
      </c>
      <c r="H35" s="11">
        <v>3.5</v>
      </c>
    </row>
    <row r="36" spans="1:8" ht="12.75" customHeight="1">
      <c r="A36" s="12"/>
      <c r="B36" s="12"/>
      <c r="C36" s="12"/>
      <c r="D36" s="12"/>
      <c r="E36" s="12"/>
      <c r="F36" s="13"/>
      <c r="G36" s="13"/>
      <c r="H36" s="13"/>
    </row>
    <row r="37" spans="1:8" ht="12.75" customHeight="1">
      <c r="A37" s="12"/>
      <c r="B37" s="12"/>
      <c r="C37" s="12"/>
      <c r="D37" s="12"/>
      <c r="E37" s="12"/>
      <c r="F37" s="13"/>
      <c r="G37" s="13"/>
      <c r="H37" s="13"/>
    </row>
    <row r="38" spans="1:8" ht="12.75" customHeight="1">
      <c r="A38" s="12"/>
      <c r="B38" s="12"/>
      <c r="C38" s="12"/>
      <c r="D38" s="12"/>
      <c r="E38" s="12"/>
      <c r="F38" s="13"/>
      <c r="G38" s="13"/>
      <c r="H38" s="13"/>
    </row>
    <row r="39" spans="1:8" ht="12.75" customHeight="1">
      <c r="A39" s="5" t="s">
        <v>55</v>
      </c>
      <c r="C39" s="6"/>
      <c r="D39" s="6"/>
      <c r="E39" s="7"/>
      <c r="F39" s="13"/>
      <c r="G39" s="13"/>
      <c r="H39" s="13"/>
    </row>
    <row r="40" spans="1:8">
      <c r="A40" s="7" t="str">
        <f>_xlfn.TEXTJOIN(", ",1,A41:A44)</f>
        <v>Kuhtan</v>
      </c>
      <c r="B40" s="7" t="str">
        <f>_xlfn.TEXTJOIN(", ",1,B41:B44)</f>
        <v/>
      </c>
      <c r="C40" s="7" t="str">
        <f>_xlfn.TEXTJOIN(", ",1,C41:C45)</f>
        <v>Bogbrook Winery; "Utterdark"  (Kuhtan family), Jhalonson Winery, Ittreer Winery, Athantal Winery, GrapesofBogville Trading House (NMH)</v>
      </c>
      <c r="D40" s="7" t="str">
        <f>_xlfn.TEXTJOIN(", ",1,D41:D44)</f>
        <v>Variants of Utterdark wine, Crayfish; bogfish, Woodcrafting, Fruits; famous melons</v>
      </c>
      <c r="E40" s="10"/>
      <c r="F40" s="7"/>
      <c r="G40" s="7"/>
      <c r="H40" s="7"/>
    </row>
    <row r="41" spans="1:8">
      <c r="A41" s="12" t="s">
        <v>57</v>
      </c>
      <c r="B41" s="12"/>
      <c r="C41" s="12" t="s">
        <v>1236</v>
      </c>
      <c r="D41" s="14" t="s">
        <v>58</v>
      </c>
      <c r="E41" s="12"/>
      <c r="F41" s="11"/>
      <c r="G41" s="11"/>
      <c r="H41" s="11"/>
    </row>
    <row r="42" spans="1:8">
      <c r="A42" s="12"/>
      <c r="B42" s="12"/>
      <c r="C42" s="12" t="s">
        <v>59</v>
      </c>
      <c r="D42" s="14" t="s">
        <v>60</v>
      </c>
      <c r="E42" s="12"/>
      <c r="F42" s="13"/>
      <c r="G42" s="13"/>
      <c r="H42" s="13"/>
    </row>
    <row r="43" spans="1:8">
      <c r="A43" s="12"/>
      <c r="B43" s="12"/>
      <c r="C43" s="12" t="s">
        <v>61</v>
      </c>
      <c r="D43" s="12" t="s">
        <v>62</v>
      </c>
      <c r="E43" s="12"/>
      <c r="F43" s="13"/>
      <c r="G43" s="13"/>
      <c r="H43" s="13"/>
    </row>
    <row r="44" spans="1:8">
      <c r="A44" s="12"/>
      <c r="B44" s="12"/>
      <c r="C44" s="12" t="s">
        <v>63</v>
      </c>
      <c r="D44" s="12" t="s">
        <v>64</v>
      </c>
      <c r="E44" s="12"/>
      <c r="F44" s="13"/>
      <c r="G44" s="13"/>
      <c r="H44" s="13"/>
    </row>
    <row r="45" spans="1:8" ht="12.75" customHeight="1">
      <c r="A45" s="12"/>
      <c r="B45" s="12"/>
      <c r="C45" s="12" t="s">
        <v>65</v>
      </c>
      <c r="D45" s="12"/>
      <c r="E45" s="12"/>
      <c r="F45" s="13"/>
      <c r="G45" s="13"/>
      <c r="H45" s="13"/>
    </row>
    <row r="46" spans="1:8" ht="12.75" customHeight="1">
      <c r="A46" s="12"/>
      <c r="B46" s="12"/>
      <c r="C46" s="12"/>
      <c r="D46" s="12"/>
      <c r="E46" s="12"/>
      <c r="F46" s="13"/>
      <c r="G46" s="13"/>
      <c r="H46" s="13"/>
    </row>
    <row r="47" spans="1:8" ht="12.75" customHeight="1">
      <c r="A47" s="5" t="s">
        <v>66</v>
      </c>
      <c r="B47" s="7" t="s">
        <v>2</v>
      </c>
      <c r="C47" s="6"/>
      <c r="D47" s="6"/>
      <c r="E47" s="7" t="s">
        <v>4</v>
      </c>
      <c r="F47" s="13"/>
      <c r="G47" s="13"/>
      <c r="H47" s="13"/>
    </row>
    <row r="48" spans="1:8">
      <c r="A48" s="7" t="str">
        <f>_xlfn.TEXTJOIN(", ",1,A49:A52)</f>
        <v>Slthuvarin</v>
      </c>
      <c r="B48" s="7" t="str">
        <f>_xlfn.TEXTJOIN(", ",1,B49:B52)</f>
        <v/>
      </c>
      <c r="C48" s="7" t="str">
        <f>_xlfn.TEXTJOIN(", ",1,C49:C52)</f>
        <v>Slthuvarin Jewellers (NMH)</v>
      </c>
      <c r="D48" s="7" t="str">
        <f>_xlfn.TEXTJOIN(", ",1,D49:D52)</f>
        <v>Clothing/textiles, Sheeps; Dairy</v>
      </c>
      <c r="E48" s="10">
        <v>436</v>
      </c>
      <c r="F48" s="7" t="s">
        <v>8</v>
      </c>
      <c r="G48" s="7" t="s">
        <v>9</v>
      </c>
      <c r="H48" s="7" t="s">
        <v>10</v>
      </c>
    </row>
    <row r="49" spans="1:8">
      <c r="A49" s="12" t="s">
        <v>67</v>
      </c>
      <c r="B49" s="12"/>
      <c r="C49" s="12" t="s">
        <v>68</v>
      </c>
      <c r="D49" s="12" t="s">
        <v>69</v>
      </c>
      <c r="E49" s="12"/>
      <c r="F49" s="11">
        <v>2.7</v>
      </c>
      <c r="G49" s="11">
        <v>1.8</v>
      </c>
      <c r="H49" s="11">
        <v>3.6</v>
      </c>
    </row>
    <row r="50" spans="1:8">
      <c r="A50" s="12"/>
      <c r="B50" s="12"/>
      <c r="C50" s="12"/>
      <c r="D50" s="12" t="s">
        <v>70</v>
      </c>
      <c r="E50" s="12"/>
      <c r="F50" s="13"/>
      <c r="G50" s="13"/>
      <c r="H50" s="13"/>
    </row>
    <row r="51" spans="1:8" ht="12.75" customHeight="1">
      <c r="A51" s="12"/>
      <c r="B51" s="12"/>
      <c r="C51" s="12"/>
      <c r="D51" s="12"/>
      <c r="E51" s="12"/>
      <c r="F51" s="13"/>
      <c r="G51" s="13"/>
      <c r="H51" s="13"/>
    </row>
    <row r="52" spans="1:8" ht="12.75" customHeight="1">
      <c r="A52" s="12"/>
      <c r="B52" s="12"/>
      <c r="C52" s="12"/>
      <c r="D52" s="12"/>
      <c r="E52" s="12"/>
      <c r="F52" s="13"/>
      <c r="G52" s="13"/>
      <c r="H52" s="13"/>
    </row>
    <row r="53" spans="1:8" ht="12.75" customHeight="1">
      <c r="A53" s="5" t="s">
        <v>71</v>
      </c>
      <c r="B53" s="7" t="s">
        <v>2</v>
      </c>
      <c r="C53" s="6"/>
      <c r="D53" s="6"/>
      <c r="E53" s="7"/>
      <c r="F53" s="13"/>
      <c r="G53" s="13"/>
      <c r="H53" s="13"/>
    </row>
    <row r="54" spans="1:8">
      <c r="A54" s="7" t="str">
        <f>_xlfn.TEXTJOIN(", ",1,A55:A58)</f>
        <v>Axehand, Tallswords, Hawklin</v>
      </c>
      <c r="B54" s="7" t="str">
        <f>_xlfn.TEXTJOIN(", ",1,B55:B58)</f>
        <v xml:space="preserve"> </v>
      </c>
      <c r="C54" s="7" t="str">
        <f>_xlfn.TEXTJOIN(", ",1,C55:C58)</f>
        <v xml:space="preserve"> </v>
      </c>
      <c r="D54" s="7" t="str">
        <f>_xlfn.TEXTJOIN(", ",1,D55:D58)</f>
        <v/>
      </c>
      <c r="F54" s="7"/>
      <c r="G54" s="7"/>
      <c r="H54" s="7"/>
    </row>
    <row r="55" spans="1:8" ht="12.75" customHeight="1">
      <c r="A55" s="6" t="s">
        <v>74</v>
      </c>
      <c r="B55" s="12" t="s">
        <v>1235</v>
      </c>
      <c r="C55" s="12" t="s">
        <v>1235</v>
      </c>
      <c r="D55" s="12"/>
      <c r="E55" s="12"/>
      <c r="F55" s="11"/>
      <c r="G55" s="11"/>
      <c r="H55" s="11"/>
    </row>
    <row r="56" spans="1:8" ht="12.75" customHeight="1">
      <c r="A56" s="6" t="s">
        <v>75</v>
      </c>
      <c r="B56" s="12"/>
      <c r="C56" s="12"/>
      <c r="D56" s="12"/>
      <c r="E56" s="12"/>
      <c r="F56" s="13"/>
      <c r="G56" s="13"/>
      <c r="H56" s="13"/>
    </row>
    <row r="57" spans="1:8" ht="12.75" customHeight="1">
      <c r="A57" s="6" t="s">
        <v>76</v>
      </c>
      <c r="B57" s="12"/>
      <c r="C57" s="12"/>
      <c r="D57" s="12"/>
      <c r="E57" s="12"/>
      <c r="F57" s="13"/>
      <c r="G57" s="13"/>
      <c r="H57" s="13"/>
    </row>
    <row r="58" spans="1:8" ht="12.75" customHeight="1">
      <c r="A58" s="6"/>
      <c r="B58" s="12"/>
      <c r="C58" s="12"/>
      <c r="D58" s="12"/>
      <c r="E58" s="12"/>
      <c r="F58" s="13"/>
      <c r="G58" s="13"/>
      <c r="H58" s="13"/>
    </row>
    <row r="59" spans="1:8" ht="12.75" customHeight="1">
      <c r="A59" s="6"/>
      <c r="B59" s="12"/>
      <c r="C59" s="12"/>
      <c r="D59" s="12"/>
      <c r="E59" s="12"/>
      <c r="F59" s="13"/>
      <c r="G59" s="13"/>
      <c r="H59" s="13"/>
    </row>
    <row r="60" spans="1:8" ht="12.75" customHeight="1">
      <c r="A60" s="5" t="s">
        <v>77</v>
      </c>
      <c r="B60" s="7" t="s">
        <v>2</v>
      </c>
      <c r="C60" s="6" t="s">
        <v>78</v>
      </c>
      <c r="D60" s="6"/>
      <c r="E60" s="7" t="s">
        <v>4</v>
      </c>
      <c r="F60" s="13"/>
      <c r="G60" s="13"/>
      <c r="H60" s="13"/>
    </row>
    <row r="61" spans="1:8">
      <c r="A61" s="7" t="str">
        <f>_xlfn.TEXTJOIN(", ",1,A62:A64)</f>
        <v>Illance</v>
      </c>
      <c r="B61" s="7" t="str">
        <f>_xlfn.TEXTJOIN(", ",1,B62:B65)</f>
        <v/>
      </c>
      <c r="C61" s="7" t="str">
        <f>_xlfn.TEXTJOIN(", ",1,C62:C65)</f>
        <v>Austas Argyr; lg General Store, Hornblower Shipwright (NMH)</v>
      </c>
      <c r="D61" s="7" t="str">
        <f>_xlfn.TEXTJOIN(", ",1,D62:D65)</f>
        <v>Fastest growth in Cormyr; specialized shellfish, Pearls, Woodcarvers; herbalists, Farming, Dairy, livestock</v>
      </c>
      <c r="E61" s="10"/>
      <c r="F61" s="7" t="s">
        <v>8</v>
      </c>
      <c r="G61" s="7" t="s">
        <v>9</v>
      </c>
      <c r="H61" s="7" t="s">
        <v>10</v>
      </c>
    </row>
    <row r="62" spans="1:8" ht="22.5">
      <c r="A62" s="15" t="s">
        <v>79</v>
      </c>
      <c r="B62" s="12"/>
      <c r="C62" s="12" t="s">
        <v>80</v>
      </c>
      <c r="D62" s="14" t="s">
        <v>81</v>
      </c>
      <c r="E62" s="10"/>
      <c r="F62" s="11">
        <v>2.1</v>
      </c>
      <c r="G62" s="11">
        <v>1.9</v>
      </c>
      <c r="H62" s="11">
        <v>4.0999999999999996</v>
      </c>
    </row>
    <row r="63" spans="1:8">
      <c r="A63" s="12"/>
      <c r="B63" s="12"/>
      <c r="C63" s="12" t="s">
        <v>82</v>
      </c>
      <c r="D63" s="14" t="s">
        <v>83</v>
      </c>
      <c r="E63" s="12"/>
      <c r="F63" s="13"/>
      <c r="G63" s="13"/>
      <c r="H63" s="13"/>
    </row>
    <row r="64" spans="1:8" ht="12.75" customHeight="1">
      <c r="A64" s="12"/>
      <c r="B64" s="12"/>
      <c r="C64" s="12"/>
      <c r="D64" s="14"/>
      <c r="E64" s="12"/>
      <c r="F64" s="13"/>
      <c r="G64" s="13"/>
      <c r="H64" s="13"/>
    </row>
    <row r="65" spans="1:8" ht="12.75" customHeight="1">
      <c r="B65" s="12" t="s">
        <v>2494</v>
      </c>
      <c r="C65" s="12" t="s">
        <v>2494</v>
      </c>
      <c r="D65" s="12" t="s">
        <v>11903</v>
      </c>
      <c r="E65" s="12"/>
      <c r="F65" s="13"/>
      <c r="G65" s="13"/>
      <c r="H65" s="13"/>
    </row>
    <row r="66" spans="1:8" ht="12.75" customHeight="1">
      <c r="A66" s="5" t="s">
        <v>84</v>
      </c>
      <c r="B66" s="7" t="s">
        <v>2</v>
      </c>
      <c r="C66" s="6" t="s">
        <v>85</v>
      </c>
      <c r="D66" s="6"/>
      <c r="E66" s="7" t="s">
        <v>4</v>
      </c>
      <c r="F66" s="6"/>
      <c r="G66" s="6"/>
      <c r="H66" s="6"/>
    </row>
    <row r="67" spans="1:8">
      <c r="A67" s="7" t="str">
        <f>_xlfn.TEXTJOIN(", ",1,A68:A71)</f>
        <v>Huntsilver</v>
      </c>
      <c r="B67" s="7" t="str">
        <f>_xlfn.TEXTJOIN(", ",1,B68:B71)</f>
        <v/>
      </c>
      <c r="C67" s="7" t="str">
        <f>_xlfn.TEXTJOIN(", ",1,C68:C71)</f>
        <v/>
      </c>
      <c r="D67" s="7"/>
      <c r="E67" s="10"/>
      <c r="F67" s="7" t="s">
        <v>8</v>
      </c>
      <c r="G67" s="7" t="s">
        <v>9</v>
      </c>
      <c r="H67" s="7" t="s">
        <v>10</v>
      </c>
    </row>
    <row r="68" spans="1:8">
      <c r="A68" s="6" t="s">
        <v>86</v>
      </c>
      <c r="B68" s="6"/>
      <c r="C68" s="6"/>
      <c r="D68" s="6" t="s">
        <v>87</v>
      </c>
      <c r="E68" s="10" t="s">
        <v>88</v>
      </c>
      <c r="F68" s="11">
        <v>1.1000000000000001</v>
      </c>
      <c r="G68" s="11">
        <v>0.9</v>
      </c>
      <c r="H68" s="11">
        <v>3.6</v>
      </c>
    </row>
    <row r="69" spans="1:8">
      <c r="A69" s="6"/>
      <c r="B69" s="6"/>
      <c r="C69" s="6"/>
      <c r="D69" s="6" t="s">
        <v>89</v>
      </c>
      <c r="E69" s="6"/>
      <c r="F69" s="6"/>
      <c r="G69" s="6"/>
      <c r="H69" s="6"/>
    </row>
    <row r="70" spans="1:8" ht="12.75" customHeight="1">
      <c r="A70" s="6"/>
      <c r="B70" s="6"/>
      <c r="C70" s="6"/>
      <c r="D70" s="6"/>
      <c r="E70" s="6"/>
      <c r="F70" s="6"/>
      <c r="G70" s="6"/>
      <c r="H70" s="6"/>
    </row>
    <row r="71" spans="1:8" ht="12.75" customHeight="1">
      <c r="A71" s="6"/>
      <c r="B71" s="6"/>
      <c r="C71" s="6"/>
      <c r="D71" s="6"/>
      <c r="E71" s="6"/>
      <c r="F71" s="6"/>
      <c r="G71" s="6"/>
      <c r="H71" s="6"/>
    </row>
    <row r="72" spans="1:8" ht="12.75" customHeight="1">
      <c r="A72" s="5" t="s">
        <v>90</v>
      </c>
      <c r="B72" s="7" t="s">
        <v>2</v>
      </c>
      <c r="C72" s="6" t="s">
        <v>91</v>
      </c>
      <c r="D72" s="6"/>
      <c r="E72" s="7" t="s">
        <v>4</v>
      </c>
      <c r="F72" s="6"/>
      <c r="G72" s="6"/>
      <c r="H72" s="6"/>
    </row>
    <row r="73" spans="1:8">
      <c r="A73" s="7" t="str">
        <f>_xlfn.TEXTJOIN(", ",1,A74:A80)</f>
        <v xml:space="preserve">Cormaeril, Zathchos </v>
      </c>
      <c r="B73" s="7" t="str">
        <f>_xlfn.TEXTJOIN(", ",1,B74:B80)</f>
        <v/>
      </c>
      <c r="C73" s="7" t="str">
        <f>_xlfn.TEXTJOIN(", ",1,C74:C88)</f>
        <v>Cormaeril Trade House, Zathchos Trade House (RMH), Baerlear, Bhela, Dragoneye, Gelzunduth, Hiloar, Iron House, Raliqh, Misrim, Nyaril, Six Coffers, Thond, Thousandheads, Trueshields</v>
      </c>
      <c r="D73" s="7" t="str">
        <f>_xlfn.TEXTJOIN(", ",1,D74:D80)</f>
        <v>sheep; farming, fishing, crude copper mines, Shellfish; pearls, Dairy, Livestock</v>
      </c>
      <c r="E73" s="10"/>
      <c r="F73" s="7" t="s">
        <v>8</v>
      </c>
      <c r="G73" s="7" t="s">
        <v>9</v>
      </c>
      <c r="H73" s="7" t="s">
        <v>10</v>
      </c>
    </row>
    <row r="74" spans="1:8">
      <c r="A74" s="12" t="s">
        <v>92</v>
      </c>
      <c r="B74" s="6"/>
      <c r="C74" s="6" t="s">
        <v>93</v>
      </c>
      <c r="D74" s="6" t="s">
        <v>94</v>
      </c>
      <c r="E74" s="10"/>
      <c r="F74" s="11"/>
      <c r="G74" s="11"/>
      <c r="H74" s="11"/>
    </row>
    <row r="75" spans="1:8">
      <c r="A75" s="12" t="s">
        <v>1237</v>
      </c>
      <c r="B75" s="6"/>
      <c r="C75" s="12" t="s">
        <v>53</v>
      </c>
      <c r="D75" s="6" t="s">
        <v>95</v>
      </c>
      <c r="E75" s="6"/>
      <c r="F75" s="6"/>
      <c r="G75" s="6"/>
      <c r="H75" s="6"/>
    </row>
    <row r="76" spans="1:8">
      <c r="A76" s="12"/>
      <c r="B76" s="6"/>
      <c r="C76" s="6" t="s">
        <v>12</v>
      </c>
      <c r="D76" s="6" t="s">
        <v>96</v>
      </c>
      <c r="E76" s="6"/>
      <c r="F76" s="6"/>
      <c r="G76" s="6"/>
      <c r="H76" s="6"/>
    </row>
    <row r="77" spans="1:8">
      <c r="A77" s="12"/>
      <c r="B77" s="6"/>
      <c r="C77" s="12" t="s">
        <v>15</v>
      </c>
      <c r="D77" s="6" t="s">
        <v>97</v>
      </c>
      <c r="E77" s="6"/>
      <c r="F77" s="6"/>
      <c r="G77" s="6"/>
      <c r="H77" s="6"/>
    </row>
    <row r="78" spans="1:8" ht="12.75" customHeight="1">
      <c r="A78" s="12"/>
      <c r="B78" s="6"/>
      <c r="C78" s="12" t="s">
        <v>18</v>
      </c>
      <c r="D78" s="6"/>
      <c r="E78" s="6"/>
      <c r="F78" s="6"/>
      <c r="G78" s="6"/>
      <c r="H78" s="6"/>
    </row>
    <row r="79" spans="1:8" ht="12.75" customHeight="1">
      <c r="A79" s="12"/>
      <c r="B79" s="6"/>
      <c r="C79" s="12" t="s">
        <v>21</v>
      </c>
      <c r="D79" s="6"/>
      <c r="E79" s="6"/>
      <c r="F79" s="6"/>
      <c r="G79" s="6"/>
      <c r="H79" s="6"/>
    </row>
    <row r="80" spans="1:8" ht="12.75" customHeight="1">
      <c r="A80" s="12"/>
      <c r="B80" s="6"/>
      <c r="C80" s="12" t="s">
        <v>23</v>
      </c>
      <c r="D80" s="6"/>
      <c r="E80" s="6"/>
      <c r="F80" s="6"/>
      <c r="G80" s="6"/>
      <c r="H80" s="6"/>
    </row>
    <row r="81" spans="1:10" ht="12.75" customHeight="1">
      <c r="A81" s="12"/>
      <c r="B81" s="6"/>
      <c r="C81" s="12" t="s">
        <v>25</v>
      </c>
      <c r="D81" s="6"/>
      <c r="E81" s="6"/>
      <c r="F81" s="6"/>
      <c r="G81" s="6"/>
      <c r="H81" s="6"/>
    </row>
    <row r="82" spans="1:10" ht="12.75" customHeight="1">
      <c r="A82" s="12"/>
      <c r="B82" s="6"/>
      <c r="C82" s="12" t="s">
        <v>27</v>
      </c>
      <c r="D82" s="6"/>
      <c r="E82" s="6"/>
      <c r="F82" s="6"/>
      <c r="G82" s="6"/>
      <c r="H82" s="6"/>
      <c r="J82" s="4" t="s">
        <v>8551</v>
      </c>
    </row>
    <row r="83" spans="1:10" ht="12.75" customHeight="1">
      <c r="A83" s="12"/>
      <c r="B83" s="6"/>
      <c r="C83" s="12" t="s">
        <v>29</v>
      </c>
      <c r="D83" s="6"/>
      <c r="E83" s="6"/>
      <c r="F83" s="6"/>
      <c r="G83" s="6"/>
      <c r="H83" s="6"/>
      <c r="J83" s="4" t="s">
        <v>8552</v>
      </c>
    </row>
    <row r="84" spans="1:10" ht="12.75" customHeight="1">
      <c r="A84" s="12"/>
      <c r="B84" s="6"/>
      <c r="C84" s="12" t="s">
        <v>31</v>
      </c>
      <c r="D84" s="6"/>
      <c r="E84" s="6"/>
      <c r="F84" s="6"/>
      <c r="G84" s="6"/>
      <c r="H84" s="6"/>
      <c r="J84" s="4" t="s">
        <v>8553</v>
      </c>
    </row>
    <row r="85" spans="1:10" ht="12.75" customHeight="1">
      <c r="A85" s="12"/>
      <c r="B85" s="6"/>
      <c r="C85" s="12" t="s">
        <v>32</v>
      </c>
      <c r="D85" s="6"/>
      <c r="E85" s="6"/>
      <c r="F85" s="6"/>
      <c r="G85" s="6"/>
      <c r="H85" s="6"/>
      <c r="J85" s="4" t="s">
        <v>8554</v>
      </c>
    </row>
    <row r="86" spans="1:10" ht="12.75" customHeight="1">
      <c r="A86" s="12"/>
      <c r="B86" s="6"/>
      <c r="C86" s="12" t="s">
        <v>33</v>
      </c>
      <c r="D86" s="6"/>
      <c r="E86" s="6"/>
      <c r="F86" s="6"/>
      <c r="G86" s="6"/>
      <c r="H86" s="6"/>
      <c r="J86" s="4" t="s">
        <v>8555</v>
      </c>
    </row>
    <row r="87" spans="1:10" ht="12.75" customHeight="1">
      <c r="A87" s="12"/>
      <c r="B87" s="6"/>
      <c r="C87" s="12" t="s">
        <v>34</v>
      </c>
      <c r="D87" s="6"/>
      <c r="E87" s="6"/>
      <c r="F87" s="6"/>
      <c r="G87" s="6"/>
      <c r="H87" s="6"/>
      <c r="J87" s="4" t="s">
        <v>8556</v>
      </c>
    </row>
    <row r="88" spans="1:10" ht="12.75" customHeight="1">
      <c r="A88" s="12"/>
      <c r="B88" s="6"/>
      <c r="C88" s="12" t="s">
        <v>35</v>
      </c>
      <c r="D88" s="6"/>
      <c r="E88" s="6"/>
      <c r="F88" s="6"/>
      <c r="G88" s="6"/>
      <c r="H88" s="6"/>
      <c r="J88" s="4" t="s">
        <v>8557</v>
      </c>
    </row>
    <row r="89" spans="1:10" ht="12.75" customHeight="1">
      <c r="A89" s="12"/>
      <c r="B89" s="6"/>
      <c r="C89" s="12"/>
      <c r="D89" s="6"/>
      <c r="E89" s="6"/>
      <c r="F89" s="6"/>
      <c r="G89" s="6"/>
      <c r="H89" s="6"/>
      <c r="J89" s="4" t="s">
        <v>8558</v>
      </c>
    </row>
    <row r="90" spans="1:10" ht="12.75" customHeight="1">
      <c r="A90" s="5" t="s">
        <v>1229</v>
      </c>
      <c r="B90" s="7" t="s">
        <v>2</v>
      </c>
      <c r="C90" s="6"/>
      <c r="D90" s="6"/>
      <c r="E90" s="7" t="s">
        <v>4</v>
      </c>
      <c r="F90" s="6"/>
      <c r="G90" s="6"/>
      <c r="H90" s="6"/>
      <c r="J90" s="4" t="s">
        <v>8559</v>
      </c>
    </row>
    <row r="91" spans="1:10">
      <c r="A91" s="7" t="str">
        <f>_xlfn.TEXTJOIN(", ",1,A92:A98)</f>
        <v>Magnoir, Bleth, Illance, Cormaeril, Skatterhawk, Iravan, Zathchos</v>
      </c>
      <c r="B91" s="7" t="str">
        <f>_xlfn.TEXTJOIN(", ",1,B92:B98)</f>
        <v>Thiombur Magnoir</v>
      </c>
      <c r="C91" s="7" t="str">
        <f>_xlfn.TEXTJOIN(", ",1,C92:C98)</f>
        <v>Iravan (RMH), Zathchos Trade House (RMH), Cormaeril Trade House (RMH)</v>
      </c>
      <c r="D91" s="7" t="str">
        <f>_xlfn.TEXTJOIN(", ",1,D92:D98)</f>
        <v>Mining; metals and gems, Dairy; DeathCheese, Herbalists, Farming; oils; tars</v>
      </c>
      <c r="E91" s="10"/>
      <c r="F91" s="7" t="s">
        <v>8</v>
      </c>
      <c r="G91" s="7" t="s">
        <v>9</v>
      </c>
      <c r="H91" s="7" t="s">
        <v>10</v>
      </c>
      <c r="J91" s="4" t="s">
        <v>8560</v>
      </c>
    </row>
    <row r="92" spans="1:10">
      <c r="A92" s="12" t="s">
        <v>100</v>
      </c>
      <c r="B92" s="12" t="s">
        <v>101</v>
      </c>
      <c r="C92" s="12" t="s">
        <v>102</v>
      </c>
      <c r="D92" s="12" t="s">
        <v>103</v>
      </c>
      <c r="E92" s="10"/>
      <c r="F92" s="11">
        <v>1.6</v>
      </c>
      <c r="G92" s="11">
        <v>1.2</v>
      </c>
      <c r="H92" s="11">
        <v>4.9000000000000004</v>
      </c>
      <c r="J92" s="4" t="s">
        <v>8561</v>
      </c>
    </row>
    <row r="93" spans="1:10">
      <c r="A93" s="12" t="s">
        <v>104</v>
      </c>
      <c r="B93" s="12"/>
      <c r="C93" s="12" t="s">
        <v>53</v>
      </c>
      <c r="D93" s="12" t="s">
        <v>105</v>
      </c>
      <c r="E93" s="12"/>
      <c r="F93" s="13"/>
      <c r="G93" s="13"/>
      <c r="H93" s="13"/>
      <c r="J93" s="4" t="s">
        <v>8562</v>
      </c>
    </row>
    <row r="94" spans="1:10">
      <c r="A94" s="15" t="s">
        <v>79</v>
      </c>
      <c r="B94" s="12"/>
      <c r="C94" s="12" t="s">
        <v>106</v>
      </c>
      <c r="D94" s="12" t="s">
        <v>107</v>
      </c>
      <c r="E94" s="12"/>
      <c r="F94" s="13"/>
      <c r="G94" s="13"/>
      <c r="H94" s="13"/>
    </row>
    <row r="95" spans="1:10">
      <c r="A95" s="12" t="s">
        <v>92</v>
      </c>
      <c r="B95" s="12"/>
      <c r="D95" s="6" t="s">
        <v>108</v>
      </c>
      <c r="E95" s="12"/>
      <c r="F95" s="13"/>
      <c r="G95" s="13"/>
      <c r="H95" s="13"/>
    </row>
    <row r="96" spans="1:10" ht="12.75" customHeight="1">
      <c r="A96" s="12" t="s">
        <v>109</v>
      </c>
      <c r="B96" s="12"/>
      <c r="C96" s="12"/>
      <c r="D96" s="12"/>
      <c r="E96" s="12"/>
      <c r="F96" s="13"/>
      <c r="G96" s="13"/>
      <c r="H96" s="13"/>
    </row>
    <row r="97" spans="1:8" ht="12.75" customHeight="1">
      <c r="A97" s="12" t="s">
        <v>110</v>
      </c>
      <c r="B97" s="12"/>
      <c r="C97" s="12"/>
      <c r="D97" s="12"/>
      <c r="E97" s="12"/>
      <c r="F97" s="13"/>
      <c r="G97" s="13"/>
      <c r="H97" s="13"/>
    </row>
    <row r="98" spans="1:8" ht="12.75" customHeight="1">
      <c r="A98" s="12" t="s">
        <v>52</v>
      </c>
      <c r="B98" s="12"/>
      <c r="D98" s="12"/>
      <c r="E98" s="12"/>
      <c r="F98" s="13"/>
      <c r="G98" s="13"/>
      <c r="H98" s="13"/>
    </row>
    <row r="99" spans="1:8" ht="12.75" customHeight="1">
      <c r="A99" s="12"/>
      <c r="B99" s="12"/>
      <c r="D99" s="12"/>
      <c r="E99" s="12"/>
      <c r="F99" s="13"/>
      <c r="G99" s="13"/>
      <c r="H99" s="13"/>
    </row>
    <row r="100" spans="1:8" ht="12.75" customHeight="1">
      <c r="A100" s="12"/>
      <c r="B100" s="12"/>
      <c r="D100" s="12"/>
      <c r="E100" s="12"/>
      <c r="F100" s="13"/>
      <c r="G100" s="13"/>
      <c r="H100" s="13"/>
    </row>
    <row r="101" spans="1:8" ht="12.75" customHeight="1">
      <c r="A101" s="12"/>
      <c r="B101" s="12"/>
      <c r="D101" s="12"/>
      <c r="E101" s="12"/>
      <c r="F101" s="13"/>
      <c r="G101" s="13"/>
      <c r="H101" s="13"/>
    </row>
    <row r="102" spans="1:8" ht="12.75" customHeight="1">
      <c r="A102" s="5" t="s">
        <v>111</v>
      </c>
      <c r="B102" s="7" t="s">
        <v>2</v>
      </c>
      <c r="C102" s="6"/>
      <c r="D102" s="6"/>
      <c r="E102" s="7" t="s">
        <v>4</v>
      </c>
      <c r="F102" s="17" t="s">
        <v>1235</v>
      </c>
      <c r="G102" s="17" t="s">
        <v>1235</v>
      </c>
      <c r="H102" s="17" t="s">
        <v>1235</v>
      </c>
    </row>
    <row r="103" spans="1:8">
      <c r="A103" s="7" t="str">
        <f>_xlfn.TEXTJOIN(", ",1,A104:A110)</f>
        <v>Huntcrown</v>
      </c>
      <c r="B103" s="7" t="str">
        <f>_xlfn.TEXTJOIN(", ",1,B104:B110)</f>
        <v/>
      </c>
      <c r="C103" s="7" t="s">
        <v>12258</v>
      </c>
      <c r="D103" s="7"/>
      <c r="E103" s="10" t="s">
        <v>8699</v>
      </c>
      <c r="F103" s="7" t="s">
        <v>8</v>
      </c>
      <c r="G103" s="7" t="s">
        <v>9</v>
      </c>
      <c r="H103" s="7" t="s">
        <v>10</v>
      </c>
    </row>
    <row r="104" spans="1:8">
      <c r="A104" s="6" t="s">
        <v>11</v>
      </c>
      <c r="B104" s="6"/>
      <c r="C104" s="6" t="s">
        <v>114</v>
      </c>
      <c r="D104" s="6" t="s">
        <v>115</v>
      </c>
      <c r="E104" s="10"/>
      <c r="F104" s="11">
        <v>1.3</v>
      </c>
      <c r="G104" s="11">
        <v>1.6</v>
      </c>
      <c r="H104" s="11">
        <v>3.2</v>
      </c>
    </row>
    <row r="105" spans="1:8">
      <c r="A105" s="6"/>
      <c r="B105" s="6"/>
      <c r="C105" s="6" t="s">
        <v>116</v>
      </c>
      <c r="D105" s="6" t="s">
        <v>117</v>
      </c>
      <c r="E105" s="10"/>
      <c r="F105" s="6" t="s">
        <v>119</v>
      </c>
      <c r="G105" s="6"/>
      <c r="H105" s="6"/>
    </row>
    <row r="106" spans="1:8">
      <c r="A106" s="6"/>
      <c r="B106" s="6"/>
      <c r="C106" s="6"/>
      <c r="D106" s="6" t="s">
        <v>120</v>
      </c>
      <c r="E106" s="10"/>
      <c r="F106" s="6"/>
      <c r="G106" s="6"/>
      <c r="H106" s="6"/>
    </row>
    <row r="107" spans="1:8">
      <c r="A107" s="6"/>
      <c r="B107" s="6"/>
      <c r="C107" s="6"/>
      <c r="D107" s="6" t="s">
        <v>121</v>
      </c>
      <c r="E107" s="6"/>
      <c r="F107" s="6"/>
      <c r="G107" s="6"/>
      <c r="H107" s="6"/>
    </row>
    <row r="108" spans="1:8">
      <c r="A108" s="6"/>
      <c r="B108" s="6"/>
      <c r="C108" s="6"/>
      <c r="D108" s="6" t="s">
        <v>122</v>
      </c>
      <c r="E108" s="6"/>
      <c r="F108" s="6"/>
      <c r="G108" s="6"/>
      <c r="H108" s="6"/>
    </row>
    <row r="109" spans="1:8">
      <c r="A109" s="6"/>
      <c r="B109" s="6"/>
      <c r="C109" s="6"/>
      <c r="D109" s="6" t="s">
        <v>123</v>
      </c>
      <c r="E109" s="6"/>
      <c r="F109" s="6"/>
      <c r="G109" s="6"/>
      <c r="H109" s="6"/>
    </row>
    <row r="110" spans="1:8">
      <c r="A110" s="6"/>
      <c r="B110" s="6"/>
      <c r="C110" s="6"/>
      <c r="D110" s="6" t="s">
        <v>124</v>
      </c>
      <c r="E110" s="6"/>
      <c r="F110" s="6"/>
      <c r="G110" s="6"/>
      <c r="H110" s="6"/>
    </row>
    <row r="111" spans="1:8" ht="12.75" customHeight="1">
      <c r="A111" s="6"/>
      <c r="B111" s="6"/>
      <c r="C111" s="6"/>
      <c r="D111" s="6"/>
      <c r="E111" s="6"/>
      <c r="F111" s="6"/>
      <c r="G111" s="6"/>
      <c r="H111" s="6"/>
    </row>
    <row r="112" spans="1:8" ht="12.75" customHeight="1">
      <c r="A112" s="5" t="s">
        <v>125</v>
      </c>
      <c r="B112" s="7" t="s">
        <v>2</v>
      </c>
      <c r="C112" s="6" t="s">
        <v>126</v>
      </c>
      <c r="D112" s="6"/>
      <c r="E112" s="7" t="s">
        <v>4</v>
      </c>
      <c r="F112" s="17" t="s">
        <v>1235</v>
      </c>
      <c r="G112" s="17" t="s">
        <v>1235</v>
      </c>
      <c r="H112" s="17" t="s">
        <v>1235</v>
      </c>
    </row>
    <row r="113" spans="1:8">
      <c r="A113" s="7"/>
      <c r="B113" s="7" t="str">
        <f>_xlfn.TEXTJOIN(", ",1,B114:B118)</f>
        <v xml:space="preserve"> ,  </v>
      </c>
      <c r="C113" s="7" t="s">
        <v>15332</v>
      </c>
      <c r="D113" s="7"/>
      <c r="E113" s="10">
        <v>1425</v>
      </c>
      <c r="F113" s="7" t="s">
        <v>8</v>
      </c>
      <c r="G113" s="7" t="s">
        <v>9</v>
      </c>
      <c r="H113" s="7" t="s">
        <v>10</v>
      </c>
    </row>
    <row r="114" spans="1:8">
      <c r="A114" s="6" t="s">
        <v>92</v>
      </c>
      <c r="B114" s="6"/>
      <c r="C114" s="12" t="s">
        <v>128</v>
      </c>
      <c r="D114" s="6" t="s">
        <v>129</v>
      </c>
      <c r="E114" s="6"/>
      <c r="F114" s="11">
        <v>0.9</v>
      </c>
      <c r="G114" s="11">
        <v>1.1000000000000001</v>
      </c>
      <c r="H114" s="11">
        <v>2.2000000000000002</v>
      </c>
    </row>
    <row r="115" spans="1:8">
      <c r="A115" s="12" t="s">
        <v>20</v>
      </c>
      <c r="B115" s="12" t="s">
        <v>1235</v>
      </c>
      <c r="C115" s="12" t="s">
        <v>1235</v>
      </c>
      <c r="D115" s="12" t="s">
        <v>130</v>
      </c>
      <c r="E115" s="12"/>
      <c r="F115" s="13" t="s">
        <v>1235</v>
      </c>
      <c r="G115" s="13" t="s">
        <v>1235</v>
      </c>
      <c r="H115" s="13" t="s">
        <v>1235</v>
      </c>
    </row>
    <row r="116" spans="1:8">
      <c r="A116" s="12" t="s">
        <v>131</v>
      </c>
      <c r="B116" s="12" t="s">
        <v>1235</v>
      </c>
      <c r="C116" s="12" t="s">
        <v>1235</v>
      </c>
      <c r="D116" s="12" t="s">
        <v>132</v>
      </c>
      <c r="E116" s="12"/>
      <c r="F116" s="13" t="s">
        <v>1235</v>
      </c>
      <c r="G116" s="13" t="s">
        <v>1235</v>
      </c>
      <c r="H116" s="13" t="s">
        <v>1235</v>
      </c>
    </row>
    <row r="117" spans="1:8">
      <c r="A117" s="12"/>
      <c r="B117" s="12"/>
      <c r="D117" s="6" t="s">
        <v>133</v>
      </c>
      <c r="E117" s="12"/>
      <c r="F117" s="13"/>
      <c r="G117" s="13"/>
      <c r="H117" s="13"/>
    </row>
    <row r="118" spans="1:8" ht="12.75" customHeight="1">
      <c r="A118" s="12"/>
      <c r="B118" s="12"/>
      <c r="C118" s="12"/>
      <c r="D118" s="12"/>
      <c r="E118" s="12"/>
      <c r="F118" s="13"/>
      <c r="G118" s="13"/>
      <c r="H118" s="13"/>
    </row>
    <row r="119" spans="1:8" ht="12.75" customHeight="1">
      <c r="A119" s="12"/>
      <c r="B119" s="12"/>
      <c r="C119" s="12"/>
      <c r="D119" s="12"/>
      <c r="E119" s="12"/>
      <c r="F119" s="13"/>
      <c r="G119" s="13"/>
      <c r="H119" s="13"/>
    </row>
    <row r="120" spans="1:8" ht="12.75" customHeight="1">
      <c r="A120" s="12"/>
      <c r="B120" s="12"/>
      <c r="C120" s="12"/>
      <c r="D120" s="12"/>
      <c r="E120" s="12"/>
      <c r="F120" s="13"/>
      <c r="G120" s="13"/>
      <c r="H120" s="13"/>
    </row>
    <row r="121" spans="1:8" ht="12.75" customHeight="1">
      <c r="A121" s="5" t="s">
        <v>134</v>
      </c>
      <c r="B121" s="7" t="s">
        <v>2</v>
      </c>
      <c r="C121" s="6" t="s">
        <v>135</v>
      </c>
      <c r="D121" s="6"/>
      <c r="E121" s="7" t="s">
        <v>4</v>
      </c>
      <c r="F121" s="13"/>
      <c r="G121" s="13"/>
      <c r="H121" s="13"/>
    </row>
    <row r="122" spans="1:8">
      <c r="A122" s="7" t="str">
        <f>_xlfn.TEXTJOIN(", ",1,A123:A127)</f>
        <v>Flurryfeet, Gladehap</v>
      </c>
      <c r="B122" s="7" t="str">
        <f>_xlfn.TEXTJOIN(", ",1,B123:B127)</f>
        <v>Lord of City</v>
      </c>
      <c r="C122" s="7" t="str">
        <f>_xlfn.TEXTJOIN(", ",1,C123:C127)</f>
        <v>Flurryfeet Produce (NMH), On Trade Route; Merchant houses/stores</v>
      </c>
      <c r="D122" s="7" t="str">
        <f>_xlfn.TEXTJOIN(", ",1,D123:D127)</f>
        <v>Farming; Dairy; Livestock</v>
      </c>
      <c r="E122" s="10"/>
      <c r="F122" s="7" t="s">
        <v>8</v>
      </c>
      <c r="G122" s="7" t="s">
        <v>9</v>
      </c>
      <c r="H122" s="7" t="s">
        <v>10</v>
      </c>
    </row>
    <row r="123" spans="1:8">
      <c r="A123" s="12" t="s">
        <v>137</v>
      </c>
      <c r="B123" s="12"/>
      <c r="C123" s="12" t="s">
        <v>138</v>
      </c>
      <c r="D123" s="12" t="s">
        <v>139</v>
      </c>
      <c r="E123" s="10"/>
      <c r="F123" s="11">
        <v>3.1</v>
      </c>
      <c r="G123" s="11">
        <v>2.1</v>
      </c>
      <c r="H123" s="11">
        <v>5.0999999999999996</v>
      </c>
    </row>
    <row r="124" spans="1:8" ht="12.75" customHeight="1">
      <c r="A124" s="12"/>
      <c r="B124" s="12"/>
      <c r="C124" s="12"/>
      <c r="D124" s="12"/>
      <c r="E124" s="12"/>
      <c r="F124" s="13"/>
      <c r="G124" s="13"/>
      <c r="H124" s="13"/>
    </row>
    <row r="125" spans="1:8" ht="12.75" customHeight="1">
      <c r="A125" s="12"/>
      <c r="B125" s="12"/>
      <c r="C125" s="12"/>
      <c r="D125" s="12"/>
      <c r="E125" s="12"/>
      <c r="F125" s="13"/>
      <c r="G125" s="13"/>
      <c r="H125" s="13"/>
    </row>
    <row r="126" spans="1:8" ht="12.75" customHeight="1">
      <c r="A126" s="12"/>
      <c r="B126" s="12"/>
      <c r="C126" s="12"/>
      <c r="D126" s="12"/>
      <c r="E126" s="12"/>
      <c r="F126" s="13"/>
      <c r="G126" s="13"/>
      <c r="H126" s="13"/>
    </row>
    <row r="127" spans="1:8" ht="12.75" customHeight="1">
      <c r="A127" s="5" t="s">
        <v>140</v>
      </c>
      <c r="B127" s="7" t="s">
        <v>2</v>
      </c>
      <c r="C127" s="6" t="s">
        <v>141</v>
      </c>
      <c r="D127" s="6"/>
      <c r="E127" s="7" t="s">
        <v>4</v>
      </c>
      <c r="F127" s="13"/>
      <c r="G127" s="13"/>
      <c r="H127" s="13"/>
    </row>
    <row r="128" spans="1:8">
      <c r="A128" s="7" t="str">
        <f>_xlfn.TEXTJOIN(", ",1,A129:A133)</f>
        <v/>
      </c>
      <c r="B128" s="7" t="str">
        <f>_xlfn.TEXTJOIN(", ",1,B129:B133)</f>
        <v/>
      </c>
      <c r="C128" s="7" t="str">
        <f>_xlfn.TEXTJOIN(", ",1,C129:C133)</f>
        <v>Barthemeir Needles and Nails;Steelsmith, Wyrmkindler's Sausagery</v>
      </c>
      <c r="D128" s="7" t="str">
        <f>_xlfn.TEXTJOIN(", ",1,D129:D133)</f>
        <v>Massive flea market, Crafters refuge</v>
      </c>
      <c r="E128" s="10" t="s">
        <v>142</v>
      </c>
      <c r="F128" s="7" t="s">
        <v>8</v>
      </c>
      <c r="G128" s="7" t="s">
        <v>9</v>
      </c>
      <c r="H128" s="7" t="s">
        <v>10</v>
      </c>
    </row>
    <row r="129" spans="1:8">
      <c r="A129" s="12"/>
      <c r="B129" s="12"/>
      <c r="C129" s="12" t="s">
        <v>143</v>
      </c>
      <c r="D129" s="12" t="s">
        <v>144</v>
      </c>
      <c r="E129" s="10" t="s">
        <v>145</v>
      </c>
      <c r="F129" s="11">
        <v>0.9</v>
      </c>
      <c r="G129" s="11">
        <v>0.7</v>
      </c>
      <c r="H129" s="11">
        <v>2.2999999999999998</v>
      </c>
    </row>
    <row r="130" spans="1:8">
      <c r="A130" s="12"/>
      <c r="B130" s="12"/>
      <c r="C130" s="12" t="s">
        <v>146</v>
      </c>
      <c r="D130" s="12" t="s">
        <v>147</v>
      </c>
      <c r="E130" s="12"/>
      <c r="F130" s="13"/>
      <c r="G130" s="13"/>
      <c r="H130" s="13"/>
    </row>
    <row r="131" spans="1:8" ht="12.75" customHeight="1">
      <c r="A131" s="12"/>
      <c r="B131" s="12"/>
      <c r="C131" s="12"/>
      <c r="E131" s="12"/>
      <c r="F131" s="13"/>
      <c r="G131" s="13"/>
      <c r="H131" s="13"/>
    </row>
    <row r="132" spans="1:8" ht="12.75" customHeight="1">
      <c r="A132" s="12"/>
      <c r="B132" s="12"/>
      <c r="C132" s="12"/>
      <c r="D132" s="12"/>
      <c r="E132" s="12"/>
      <c r="F132" s="13"/>
      <c r="G132" s="13"/>
      <c r="H132" s="13"/>
    </row>
    <row r="133" spans="1:8" ht="12.75" customHeight="1">
      <c r="A133" s="12"/>
      <c r="B133" s="12"/>
      <c r="C133" s="12"/>
      <c r="D133" s="12"/>
      <c r="E133" s="12"/>
      <c r="F133" s="13"/>
      <c r="G133" s="13"/>
      <c r="H133" s="13"/>
    </row>
    <row r="134" spans="1:8" ht="12.75" customHeight="1">
      <c r="A134" s="12"/>
      <c r="B134" s="12"/>
      <c r="C134" s="12"/>
      <c r="D134" s="12"/>
      <c r="E134" s="12"/>
      <c r="F134" s="13"/>
      <c r="G134" s="13"/>
      <c r="H134" s="13"/>
    </row>
    <row r="135" spans="1:8" ht="12.75" customHeight="1">
      <c r="A135" s="12"/>
      <c r="B135" s="12"/>
      <c r="C135" s="12"/>
      <c r="D135" s="12"/>
      <c r="E135" s="12"/>
      <c r="F135" s="13"/>
      <c r="G135" s="13"/>
      <c r="H135" s="13"/>
    </row>
    <row r="136" spans="1:8" ht="12.75" customHeight="1">
      <c r="A136" s="12"/>
      <c r="B136" s="12"/>
      <c r="C136" s="12"/>
      <c r="D136" s="12"/>
      <c r="E136" s="12"/>
      <c r="F136" s="13"/>
      <c r="G136" s="13"/>
      <c r="H136" s="13"/>
    </row>
    <row r="137" spans="1:8" ht="12.75" customHeight="1">
      <c r="A137" s="5" t="s">
        <v>148</v>
      </c>
      <c r="B137" s="7" t="s">
        <v>2</v>
      </c>
      <c r="C137" s="14" t="s">
        <v>149</v>
      </c>
      <c r="E137" s="7" t="s">
        <v>4</v>
      </c>
      <c r="F137" s="13"/>
      <c r="G137" s="13"/>
      <c r="H137" s="13"/>
    </row>
    <row r="138" spans="1:8">
      <c r="A138" s="7" t="str">
        <f>_xlfn.TEXTJOIN(", ",1,A139:A143)</f>
        <v/>
      </c>
      <c r="B138" s="7" t="str">
        <f>_xlfn.TEXTJOIN(", ",1,B139:B143)</f>
        <v/>
      </c>
      <c r="C138" s="7" t="str">
        <f>_xlfn.TEXTJOIN(", ",1,C139:C143)</f>
        <v/>
      </c>
      <c r="D138" s="7" t="str">
        <f>_xlfn.TEXTJOIN(", ",1,D139:D143)</f>
        <v>Sheep, farming, berries, Dairy, Livestock,</v>
      </c>
      <c r="F138" s="7" t="s">
        <v>8</v>
      </c>
      <c r="G138" s="7" t="s">
        <v>9</v>
      </c>
      <c r="H138" s="7" t="s">
        <v>10</v>
      </c>
    </row>
    <row r="139" spans="1:8">
      <c r="A139" s="12"/>
      <c r="B139" s="12"/>
      <c r="C139" s="12"/>
      <c r="D139" s="12" t="s">
        <v>150</v>
      </c>
      <c r="E139" s="10"/>
      <c r="F139" s="11">
        <v>3.1</v>
      </c>
      <c r="G139" s="11">
        <v>2.1</v>
      </c>
      <c r="H139" s="11">
        <v>5.0999999999999996</v>
      </c>
    </row>
    <row r="140" spans="1:8">
      <c r="A140" s="12"/>
      <c r="B140" s="12"/>
      <c r="C140" s="12"/>
      <c r="D140" s="18" t="s">
        <v>151</v>
      </c>
      <c r="E140" s="10"/>
      <c r="F140" s="13"/>
      <c r="G140" s="13"/>
      <c r="H140" s="13"/>
    </row>
    <row r="141" spans="1:8" ht="12.75" customHeight="1">
      <c r="A141" s="12"/>
      <c r="B141" s="12"/>
      <c r="C141" s="12"/>
      <c r="D141" s="14"/>
      <c r="E141" s="12"/>
      <c r="F141" s="13"/>
      <c r="G141" s="13"/>
      <c r="H141" s="13"/>
    </row>
    <row r="142" spans="1:8" ht="12.75" customHeight="1">
      <c r="A142" s="12"/>
      <c r="B142" s="12"/>
      <c r="C142" s="12"/>
      <c r="D142" s="14"/>
      <c r="E142" s="12"/>
      <c r="F142" s="13"/>
      <c r="G142" s="13"/>
      <c r="H142" s="13"/>
    </row>
    <row r="143" spans="1:8" ht="12.75" customHeight="1">
      <c r="A143" s="12"/>
      <c r="B143" s="12"/>
      <c r="C143" s="12"/>
      <c r="D143" s="14"/>
      <c r="E143" s="12"/>
      <c r="F143" s="13"/>
      <c r="G143" s="13"/>
      <c r="H143" s="13"/>
    </row>
    <row r="144" spans="1:8" ht="12.75" customHeight="1">
      <c r="A144" s="5" t="s">
        <v>152</v>
      </c>
      <c r="B144" s="7" t="s">
        <v>2</v>
      </c>
      <c r="C144" s="6"/>
      <c r="D144" s="6"/>
      <c r="E144" s="7" t="s">
        <v>4</v>
      </c>
      <c r="F144" s="6"/>
      <c r="G144" s="6"/>
      <c r="H144" s="6"/>
    </row>
    <row r="145" spans="1:14" ht="14.25">
      <c r="A145" s="7" t="str">
        <f>_xlfn.TEXTJOIN(", ",1,A146:A150)</f>
        <v>Janders</v>
      </c>
      <c r="B145" s="7" t="str">
        <f>_xlfn.TEXTJOIN(", ",1,B146:B150)</f>
        <v/>
      </c>
      <c r="C145" s="7" t="str">
        <f>_xlfn.TEXTJOIN(", ",1,C146:C150)</f>
        <v/>
      </c>
      <c r="D145" s="7"/>
      <c r="E145" s="10" t="s">
        <v>155</v>
      </c>
      <c r="F145" s="7" t="s">
        <v>8</v>
      </c>
      <c r="G145" s="7" t="s">
        <v>9</v>
      </c>
      <c r="H145" s="7" t="s">
        <v>10</v>
      </c>
      <c r="N145"/>
    </row>
    <row r="146" spans="1:14" ht="14.25">
      <c r="A146" s="6" t="s">
        <v>156</v>
      </c>
      <c r="B146" s="6"/>
      <c r="C146" s="6"/>
      <c r="D146" s="6" t="s">
        <v>157</v>
      </c>
      <c r="E146" s="10" t="s">
        <v>158</v>
      </c>
      <c r="F146" s="11">
        <v>2.7</v>
      </c>
      <c r="G146" s="11">
        <v>1.9</v>
      </c>
      <c r="H146" s="11">
        <v>6.3</v>
      </c>
      <c r="N146"/>
    </row>
    <row r="147" spans="1:14" ht="14.25">
      <c r="A147" s="6"/>
      <c r="B147" s="6"/>
      <c r="C147" s="6"/>
      <c r="D147" s="6" t="s">
        <v>159</v>
      </c>
      <c r="E147" s="6"/>
      <c r="F147" s="6"/>
      <c r="G147" s="6"/>
      <c r="H147" s="6"/>
      <c r="N147"/>
    </row>
    <row r="148" spans="1:14" ht="14.25">
      <c r="A148" s="6"/>
      <c r="B148" s="6"/>
      <c r="C148" s="6"/>
      <c r="D148" s="19" t="s">
        <v>160</v>
      </c>
      <c r="E148" s="6"/>
      <c r="F148" s="6"/>
      <c r="G148" s="6"/>
      <c r="H148" s="6"/>
      <c r="N148"/>
    </row>
    <row r="149" spans="1:14" ht="12.75" customHeight="1">
      <c r="A149" s="6"/>
      <c r="B149" s="6"/>
      <c r="C149" s="6"/>
      <c r="D149" s="19"/>
      <c r="E149" s="6"/>
      <c r="F149" s="6"/>
      <c r="G149" s="6"/>
      <c r="H149" s="6"/>
      <c r="N149"/>
    </row>
    <row r="150" spans="1:14" ht="12.75" customHeight="1">
      <c r="A150" s="6"/>
      <c r="B150" s="6"/>
      <c r="C150" s="6"/>
      <c r="D150" s="19"/>
      <c r="E150" s="6"/>
      <c r="F150" s="6"/>
      <c r="G150" s="6"/>
      <c r="H150" s="6"/>
      <c r="N150"/>
    </row>
    <row r="151" spans="1:14" ht="12.75" customHeight="1">
      <c r="A151" s="5" t="s">
        <v>161</v>
      </c>
      <c r="B151" s="7" t="s">
        <v>2</v>
      </c>
      <c r="C151" s="6" t="s">
        <v>162</v>
      </c>
      <c r="D151" s="6"/>
      <c r="E151" s="7" t="s">
        <v>4</v>
      </c>
      <c r="F151" s="6"/>
      <c r="G151" s="6"/>
      <c r="H151" s="6"/>
      <c r="N151"/>
    </row>
    <row r="152" spans="1:14" ht="14.25">
      <c r="A152" s="7" t="str">
        <f>_xlfn.TEXTJOIN(", ",1,A153:A159)</f>
        <v>Dauntinghorn, Rallyhorn</v>
      </c>
      <c r="B152" s="7" t="str">
        <f>_xlfn.TEXTJOIN(", ",1,B153:B159)</f>
        <v/>
      </c>
      <c r="C152" s="7" t="str">
        <f>_xlfn.TEXTJOIN(", ",1,C153:C159)</f>
        <v/>
      </c>
      <c r="D152" s="7" t="str">
        <f>_xlfn.TEXTJOIN(", ",1,D153:D159)</f>
        <v>Mining; Jewelry; Armor, Adventuring equipment, Cartwrights, Dwarven ales and Beers</v>
      </c>
      <c r="E152" s="10" t="s">
        <v>163</v>
      </c>
      <c r="F152" s="7" t="s">
        <v>8</v>
      </c>
      <c r="G152" s="7" t="s">
        <v>9</v>
      </c>
      <c r="H152" s="7" t="s">
        <v>10</v>
      </c>
      <c r="N152"/>
    </row>
    <row r="153" spans="1:14" ht="14.25">
      <c r="A153" s="12" t="s">
        <v>164</v>
      </c>
      <c r="B153" s="6"/>
      <c r="C153" s="6"/>
      <c r="D153" s="6" t="s">
        <v>165</v>
      </c>
      <c r="E153" s="10" t="s">
        <v>166</v>
      </c>
      <c r="F153" s="11">
        <v>2.9</v>
      </c>
      <c r="G153" s="11">
        <v>2.1</v>
      </c>
      <c r="H153" s="11">
        <v>4.2</v>
      </c>
      <c r="N153"/>
    </row>
    <row r="154" spans="1:14" ht="14.25">
      <c r="A154" s="12" t="s">
        <v>167</v>
      </c>
      <c r="B154" s="6"/>
      <c r="C154" s="6"/>
      <c r="D154" s="6" t="s">
        <v>168</v>
      </c>
      <c r="E154" s="10" t="s">
        <v>169</v>
      </c>
      <c r="F154" s="6"/>
      <c r="G154" s="6"/>
      <c r="H154" s="6"/>
      <c r="N154"/>
    </row>
    <row r="155" spans="1:14" ht="14.25">
      <c r="A155" s="12"/>
      <c r="B155" s="6"/>
      <c r="C155" s="6"/>
      <c r="D155" s="6" t="s">
        <v>170</v>
      </c>
      <c r="E155" s="6"/>
      <c r="F155" s="6"/>
      <c r="G155" s="6"/>
      <c r="H155" s="6"/>
      <c r="N155"/>
    </row>
    <row r="156" spans="1:14" ht="14.25">
      <c r="A156" s="12"/>
      <c r="B156" s="6"/>
      <c r="C156" s="6"/>
      <c r="D156" s="6" t="s">
        <v>171</v>
      </c>
      <c r="E156" s="6"/>
      <c r="F156" s="6"/>
      <c r="G156" s="6"/>
      <c r="H156" s="6"/>
      <c r="N156"/>
    </row>
    <row r="157" spans="1:14" ht="12.75" customHeight="1">
      <c r="A157" s="12"/>
      <c r="B157" s="6"/>
      <c r="D157" s="6"/>
      <c r="E157" s="6"/>
      <c r="F157" s="6"/>
      <c r="G157" s="6"/>
      <c r="H157" s="6"/>
      <c r="N157"/>
    </row>
    <row r="158" spans="1:14" ht="12.75" customHeight="1">
      <c r="A158" s="12"/>
      <c r="B158" s="6"/>
      <c r="D158" s="6"/>
      <c r="E158" s="6"/>
      <c r="F158" s="6"/>
      <c r="G158" s="6"/>
      <c r="H158" s="6"/>
      <c r="N158"/>
    </row>
    <row r="159" spans="1:14" ht="12.75" customHeight="1">
      <c r="A159" s="12"/>
      <c r="B159" s="6"/>
      <c r="D159" s="6"/>
      <c r="E159" s="6"/>
      <c r="F159" s="6"/>
      <c r="G159" s="6"/>
      <c r="H159" s="6"/>
      <c r="N159"/>
    </row>
    <row r="160" spans="1:14" ht="12.75" customHeight="1">
      <c r="A160" s="12"/>
      <c r="B160" s="6"/>
      <c r="D160" s="6"/>
      <c r="E160" s="6"/>
      <c r="F160" s="6"/>
      <c r="G160" s="6"/>
      <c r="H160" s="6"/>
      <c r="N160"/>
    </row>
    <row r="161" spans="1:14" ht="12.75" customHeight="1">
      <c r="A161" s="5" t="s">
        <v>172</v>
      </c>
      <c r="B161" s="7" t="s">
        <v>2</v>
      </c>
      <c r="C161" s="6" t="s">
        <v>173</v>
      </c>
      <c r="D161" s="6"/>
      <c r="E161" s="7" t="s">
        <v>4</v>
      </c>
      <c r="F161" s="6"/>
      <c r="G161" s="6"/>
      <c r="H161" s="6"/>
      <c r="N161"/>
    </row>
    <row r="162" spans="1:14" ht="14.25">
      <c r="A162" s="7" t="str">
        <f>_xlfn.TEXTJOIN(", ",1,A163:A169)</f>
        <v>Emmarasks, Cormaerils, Silverswords</v>
      </c>
      <c r="B162" s="7" t="str">
        <f>_xlfn.TEXTJOIN(", ",1,B163:B169)</f>
        <v/>
      </c>
      <c r="C162" s="7" t="str">
        <f>_xlfn.TEXTJOIN(", ",1,C163:C169)</f>
        <v/>
      </c>
      <c r="D162" s="7" t="str">
        <f>_xlfn.TEXTJOIN(", ",1,D163:D169)</f>
        <v>Customs and Taxes</v>
      </c>
      <c r="E162" s="10">
        <v>4286</v>
      </c>
      <c r="F162" s="7" t="s">
        <v>8</v>
      </c>
      <c r="G162" s="7" t="s">
        <v>9</v>
      </c>
      <c r="H162" s="7" t="s">
        <v>10</v>
      </c>
      <c r="N162"/>
    </row>
    <row r="163" spans="1:14" ht="14.25">
      <c r="A163" s="6" t="s">
        <v>174</v>
      </c>
      <c r="B163" s="6"/>
      <c r="C163" s="6"/>
      <c r="D163" s="6" t="s">
        <v>175</v>
      </c>
      <c r="E163" s="6"/>
      <c r="F163" s="11">
        <v>2.9</v>
      </c>
      <c r="G163" s="11">
        <v>2.1</v>
      </c>
      <c r="H163" s="11">
        <v>4.2</v>
      </c>
      <c r="N163"/>
    </row>
    <row r="164" spans="1:14" ht="12.75" customHeight="1">
      <c r="A164" s="6" t="s">
        <v>176</v>
      </c>
      <c r="B164" s="6"/>
      <c r="C164" s="6"/>
      <c r="D164" s="6"/>
      <c r="E164" s="6"/>
      <c r="F164" s="6"/>
      <c r="G164" s="6"/>
      <c r="H164" s="6"/>
      <c r="N164"/>
    </row>
    <row r="165" spans="1:14" ht="12.75" customHeight="1">
      <c r="A165" s="6" t="s">
        <v>177</v>
      </c>
      <c r="B165" s="6"/>
      <c r="C165" s="6"/>
      <c r="D165" s="6"/>
      <c r="E165" s="6"/>
      <c r="F165" s="6"/>
      <c r="G165" s="6"/>
      <c r="H165" s="6"/>
      <c r="N165"/>
    </row>
    <row r="166" spans="1:14" ht="12.75" customHeight="1">
      <c r="A166" s="6"/>
      <c r="B166" s="6"/>
      <c r="C166" s="6"/>
      <c r="D166" s="6"/>
      <c r="E166" s="6"/>
      <c r="F166" s="6"/>
      <c r="G166" s="6"/>
      <c r="H166" s="6"/>
      <c r="N166" s="1"/>
    </row>
    <row r="167" spans="1:14" ht="12.75" customHeight="1">
      <c r="A167" s="6"/>
      <c r="B167" s="6"/>
      <c r="C167" s="6"/>
      <c r="D167" s="6"/>
      <c r="E167" s="6"/>
      <c r="F167" s="6"/>
      <c r="G167" s="6"/>
      <c r="H167" s="6"/>
      <c r="N167" s="1"/>
    </row>
    <row r="168" spans="1:14" ht="12.75" customHeight="1">
      <c r="A168" s="6"/>
      <c r="B168" s="6"/>
      <c r="C168" s="6"/>
      <c r="D168" s="6"/>
      <c r="E168" s="6"/>
      <c r="F168" s="6"/>
      <c r="G168" s="6"/>
      <c r="H168" s="6"/>
      <c r="N168" s="1"/>
    </row>
    <row r="169" spans="1:14" ht="12.75" customHeight="1">
      <c r="A169" s="6"/>
      <c r="B169" s="6"/>
      <c r="C169" s="6"/>
      <c r="D169" s="6"/>
      <c r="E169" s="6"/>
      <c r="F169" s="6"/>
      <c r="G169" s="6"/>
      <c r="H169" s="6"/>
      <c r="N169"/>
    </row>
    <row r="170" spans="1:14" ht="12.75" customHeight="1">
      <c r="A170" s="6"/>
      <c r="B170" s="6"/>
      <c r="C170" s="6"/>
      <c r="D170" s="6"/>
      <c r="E170" s="6"/>
      <c r="F170" s="6"/>
      <c r="G170" s="6"/>
      <c r="H170" s="6"/>
      <c r="N170"/>
    </row>
    <row r="171" spans="1:14" ht="12.75" customHeight="1">
      <c r="A171" s="6"/>
      <c r="B171" s="6"/>
      <c r="D171" s="6"/>
      <c r="E171" s="6"/>
      <c r="F171" s="6"/>
      <c r="G171" s="6"/>
      <c r="H171" s="6"/>
      <c r="N171"/>
    </row>
    <row r="172" spans="1:14" ht="12.75" customHeight="1">
      <c r="A172" s="5" t="s">
        <v>178</v>
      </c>
      <c r="B172" s="7" t="s">
        <v>2</v>
      </c>
      <c r="C172" s="6" t="s">
        <v>179</v>
      </c>
      <c r="D172" s="6"/>
      <c r="E172" s="7" t="s">
        <v>4</v>
      </c>
      <c r="F172" s="6"/>
      <c r="G172" s="6"/>
      <c r="H172" s="6"/>
      <c r="N172"/>
    </row>
    <row r="173" spans="1:14" ht="14.25">
      <c r="A173" s="7" t="str">
        <f>_xlfn.TEXTJOIN(", ",1,A174:A180)</f>
        <v>Axehands, Obarskyrs</v>
      </c>
      <c r="B173" s="7" t="str">
        <f>_xlfn.TEXTJOIN(", ",1,B174:B180)</f>
        <v>Beldamy Axehand</v>
      </c>
      <c r="C173" s="7" t="str">
        <f>_xlfn.TEXTJOIN(", ",1,C174:C180)</f>
        <v xml:space="preserve"> </v>
      </c>
      <c r="D173" s="7" t="str">
        <f>_xlfn.TEXTJOIN(", ",1,D174:D180)</f>
        <v>Mountaineering; mines, Jewelry, Armor &amp; wpns</v>
      </c>
      <c r="E173" s="10">
        <v>7500</v>
      </c>
      <c r="F173" s="7" t="s">
        <v>8</v>
      </c>
      <c r="G173" s="7" t="s">
        <v>9</v>
      </c>
      <c r="H173" s="7" t="s">
        <v>10</v>
      </c>
      <c r="N173"/>
    </row>
    <row r="174" spans="1:14" ht="14.25">
      <c r="A174" s="6" t="s">
        <v>180</v>
      </c>
      <c r="B174" s="12" t="s">
        <v>181</v>
      </c>
      <c r="C174" s="12" t="s">
        <v>1235</v>
      </c>
      <c r="D174" s="6" t="s">
        <v>182</v>
      </c>
      <c r="E174" s="12"/>
      <c r="F174" s="11">
        <v>2.9</v>
      </c>
      <c r="G174" s="11">
        <v>2.1</v>
      </c>
      <c r="H174" s="11">
        <v>4.2</v>
      </c>
      <c r="N174"/>
    </row>
    <row r="175" spans="1:14" ht="14.25">
      <c r="A175" s="6" t="s">
        <v>183</v>
      </c>
      <c r="B175" s="12"/>
      <c r="C175" s="12"/>
      <c r="D175" s="12" t="s">
        <v>184</v>
      </c>
      <c r="E175" s="12"/>
      <c r="F175" s="13"/>
      <c r="G175" s="13"/>
      <c r="H175" s="13"/>
      <c r="N175"/>
    </row>
    <row r="176" spans="1:14" ht="14.25">
      <c r="A176" s="6"/>
      <c r="B176" s="12"/>
      <c r="C176" s="12"/>
      <c r="D176" s="12"/>
      <c r="E176" s="12"/>
      <c r="F176" s="13"/>
      <c r="G176" s="13"/>
      <c r="H176" s="13"/>
      <c r="N176" s="1"/>
    </row>
    <row r="177" spans="1:14" ht="14.25">
      <c r="A177" s="6"/>
      <c r="B177" s="12"/>
      <c r="C177" s="12"/>
      <c r="D177" s="12"/>
      <c r="E177" s="12"/>
      <c r="F177" s="13"/>
      <c r="G177" s="13"/>
      <c r="H177" s="13"/>
      <c r="N177" s="1"/>
    </row>
    <row r="178" spans="1:14" ht="14.25">
      <c r="A178" s="6"/>
      <c r="B178" s="12"/>
      <c r="C178" s="12"/>
      <c r="D178" s="12"/>
      <c r="E178" s="12"/>
      <c r="F178" s="13"/>
      <c r="G178" s="13"/>
      <c r="H178" s="13"/>
      <c r="N178" s="1"/>
    </row>
    <row r="179" spans="1:14" ht="14.25">
      <c r="A179" s="6"/>
      <c r="B179" s="12"/>
      <c r="C179" s="12"/>
      <c r="D179" s="12"/>
      <c r="E179" s="12"/>
      <c r="F179" s="13"/>
      <c r="G179" s="13"/>
      <c r="H179" s="13"/>
      <c r="N179" s="1"/>
    </row>
    <row r="180" spans="1:14" ht="12.75" customHeight="1">
      <c r="A180" s="6"/>
      <c r="B180" s="12"/>
      <c r="C180" s="12"/>
      <c r="D180" s="12"/>
      <c r="E180" s="12"/>
      <c r="F180" s="13"/>
      <c r="G180" s="13"/>
      <c r="H180" s="13"/>
      <c r="N180"/>
    </row>
    <row r="181" spans="1:14" ht="12.75" customHeight="1">
      <c r="A181" s="6"/>
      <c r="B181" s="12"/>
      <c r="C181" s="12"/>
      <c r="D181" s="12"/>
      <c r="E181" s="12"/>
      <c r="F181" s="13"/>
      <c r="G181" s="13"/>
      <c r="H181" s="13"/>
      <c r="N181"/>
    </row>
    <row r="182" spans="1:14" ht="12.75" customHeight="1">
      <c r="A182" s="6"/>
      <c r="B182" s="12"/>
      <c r="D182" s="12"/>
      <c r="E182" s="12"/>
      <c r="F182" s="13"/>
      <c r="G182" s="13"/>
      <c r="H182" s="13"/>
      <c r="N182"/>
    </row>
    <row r="183" spans="1:14" ht="12.75" customHeight="1">
      <c r="A183" s="5" t="s">
        <v>185</v>
      </c>
      <c r="B183" s="7" t="s">
        <v>2</v>
      </c>
      <c r="C183" s="12" t="s">
        <v>186</v>
      </c>
      <c r="D183" s="6"/>
      <c r="E183" s="7" t="s">
        <v>4</v>
      </c>
      <c r="F183" s="13"/>
      <c r="G183" s="13"/>
      <c r="H183" s="13"/>
      <c r="N183"/>
    </row>
    <row r="184" spans="1:14" ht="14.25">
      <c r="A184" s="5"/>
      <c r="B184" s="8" t="s">
        <v>187</v>
      </c>
      <c r="C184" s="7" t="s">
        <v>6</v>
      </c>
      <c r="D184" s="7" t="s">
        <v>7</v>
      </c>
      <c r="E184" s="10">
        <v>747</v>
      </c>
      <c r="F184" s="7" t="s">
        <v>8</v>
      </c>
      <c r="G184" s="7" t="s">
        <v>9</v>
      </c>
      <c r="H184" s="7" t="s">
        <v>10</v>
      </c>
      <c r="N184"/>
    </row>
    <row r="185" spans="1:14" ht="14.25">
      <c r="A185" s="12"/>
      <c r="B185" s="12"/>
      <c r="C185" s="12"/>
      <c r="D185" s="12" t="s">
        <v>188</v>
      </c>
      <c r="E185" s="12"/>
      <c r="F185" s="11">
        <v>2.9</v>
      </c>
      <c r="G185" s="11">
        <v>2.1</v>
      </c>
      <c r="H185" s="11">
        <v>4.2</v>
      </c>
      <c r="N185"/>
    </row>
    <row r="186" spans="1:14" ht="14.25">
      <c r="A186" s="12"/>
      <c r="B186" s="12"/>
      <c r="C186" s="12"/>
      <c r="D186" s="12" t="s">
        <v>189</v>
      </c>
      <c r="E186" s="12"/>
      <c r="F186" s="13"/>
      <c r="G186" s="13"/>
      <c r="H186" s="13"/>
      <c r="N186"/>
    </row>
    <row r="187" spans="1:14" ht="12.75" customHeight="1">
      <c r="A187" s="12"/>
      <c r="B187" s="12"/>
      <c r="C187" s="12"/>
      <c r="D187" s="12"/>
      <c r="E187" s="12"/>
      <c r="F187" s="13"/>
      <c r="G187" s="13"/>
      <c r="H187" s="13"/>
      <c r="N187"/>
    </row>
    <row r="188" spans="1:14" ht="12.75" customHeight="1">
      <c r="A188" s="12"/>
      <c r="B188" s="12"/>
      <c r="C188" s="12"/>
      <c r="D188" s="12"/>
      <c r="E188" s="12"/>
      <c r="F188" s="13"/>
      <c r="G188" s="13"/>
      <c r="H188" s="13"/>
      <c r="N188"/>
    </row>
    <row r="189" spans="1:14" ht="12.75" customHeight="1">
      <c r="A189" s="5" t="s">
        <v>190</v>
      </c>
      <c r="B189" s="7" t="s">
        <v>2</v>
      </c>
      <c r="C189" s="6" t="s">
        <v>191</v>
      </c>
      <c r="D189" s="6"/>
      <c r="E189" s="7" t="s">
        <v>4</v>
      </c>
      <c r="F189" s="6"/>
      <c r="G189" s="6"/>
      <c r="H189" s="6"/>
      <c r="N189"/>
    </row>
    <row r="190" spans="1:14" ht="14.25">
      <c r="A190" s="7" t="str">
        <f>_xlfn.TEXTJOIN(", ",1,A191:A197)</f>
        <v/>
      </c>
      <c r="B190" s="7" t="str">
        <f>_xlfn.TEXTJOIN(", ",1,B191:B197)</f>
        <v xml:space="preserve"> </v>
      </c>
      <c r="C190" s="7" t="str">
        <f>_xlfn.TEXTJOIN(", ",1,C191:C197)</f>
        <v xml:space="preserve"> </v>
      </c>
      <c r="D190" s="7"/>
      <c r="E190" s="10"/>
      <c r="F190" s="7" t="s">
        <v>8</v>
      </c>
      <c r="G190" s="7" t="s">
        <v>9</v>
      </c>
      <c r="H190" s="7" t="s">
        <v>10</v>
      </c>
      <c r="N190"/>
    </row>
    <row r="191" spans="1:14" ht="14.25">
      <c r="A191" s="12"/>
      <c r="B191" s="12" t="s">
        <v>1235</v>
      </c>
      <c r="C191" s="12" t="s">
        <v>1235</v>
      </c>
      <c r="D191" s="12" t="s">
        <v>194</v>
      </c>
      <c r="E191" s="12"/>
      <c r="F191" s="11">
        <v>0.9</v>
      </c>
      <c r="G191" s="11">
        <v>0.7</v>
      </c>
      <c r="H191" s="11">
        <v>2.2999999999999998</v>
      </c>
      <c r="N191"/>
    </row>
    <row r="192" spans="1:14" ht="14.25">
      <c r="A192" s="12"/>
      <c r="B192" s="12"/>
      <c r="C192" s="12"/>
      <c r="D192" s="6" t="s">
        <v>195</v>
      </c>
      <c r="E192" s="12"/>
      <c r="F192" s="13"/>
      <c r="G192" s="13"/>
      <c r="H192" s="13"/>
      <c r="N192"/>
    </row>
    <row r="193" spans="1:14" ht="14.25">
      <c r="A193" s="12"/>
      <c r="B193" s="12"/>
      <c r="C193" s="12"/>
      <c r="D193" s="6" t="s">
        <v>196</v>
      </c>
      <c r="E193" s="12"/>
      <c r="F193" s="13"/>
      <c r="G193" s="13"/>
      <c r="H193" s="13"/>
      <c r="N193"/>
    </row>
    <row r="194" spans="1:14" ht="12.75" customHeight="1">
      <c r="A194" s="12"/>
      <c r="B194" s="12"/>
      <c r="C194" s="12"/>
      <c r="D194" s="6"/>
      <c r="E194" s="12"/>
      <c r="F194" s="13"/>
      <c r="G194" s="13"/>
      <c r="H194" s="13"/>
      <c r="N194"/>
    </row>
    <row r="195" spans="1:14" ht="12.75" customHeight="1">
      <c r="A195" s="12"/>
      <c r="B195" s="12"/>
      <c r="C195" s="12"/>
      <c r="D195" s="6"/>
      <c r="E195" s="12"/>
      <c r="F195" s="13"/>
      <c r="G195" s="13"/>
      <c r="H195" s="13"/>
      <c r="N195"/>
    </row>
    <row r="196" spans="1:14" ht="12.75" customHeight="1">
      <c r="A196" s="12"/>
      <c r="B196" s="12"/>
      <c r="C196" s="12"/>
      <c r="D196" s="12"/>
      <c r="E196" s="12"/>
      <c r="F196" s="13"/>
      <c r="G196" s="13"/>
      <c r="H196" s="13"/>
      <c r="N196"/>
    </row>
    <row r="197" spans="1:14" ht="12.75" customHeight="1">
      <c r="A197" s="12"/>
      <c r="B197" s="12"/>
      <c r="C197" s="12"/>
      <c r="D197" s="12"/>
      <c r="E197" s="12"/>
      <c r="F197" s="13"/>
      <c r="G197" s="13"/>
      <c r="H197" s="13"/>
      <c r="N197"/>
    </row>
    <row r="198" spans="1:14" ht="12.75" customHeight="1">
      <c r="A198" s="5" t="s">
        <v>197</v>
      </c>
      <c r="B198" s="7" t="s">
        <v>2</v>
      </c>
      <c r="C198" s="6" t="s">
        <v>198</v>
      </c>
      <c r="D198" s="6"/>
      <c r="E198" s="7" t="s">
        <v>4</v>
      </c>
      <c r="F198" s="6"/>
      <c r="G198" s="6"/>
      <c r="H198" s="6"/>
      <c r="N198"/>
    </row>
    <row r="199" spans="1:14" ht="14.25">
      <c r="A199" s="7" t="str">
        <f>_xlfn.TEXTJOIN(", ",1,A200:A206)</f>
        <v>Hornshields, Nelduks, Soreshores, Tilthars</v>
      </c>
      <c r="B199" s="7" t="str">
        <f>_xlfn.TEXTJOIN(", ",1,B200:B206)</f>
        <v xml:space="preserve"> </v>
      </c>
      <c r="C199" s="7" t="str">
        <f>_xlfn.TEXTJOIN(", ",1,C200:C206)</f>
        <v/>
      </c>
      <c r="D199" s="7" t="str">
        <f>_xlfn.TEXTJOIN(", ",1,D200:D206)</f>
        <v>Mountaineering; wpns, Magiks; Mining; Armor</v>
      </c>
      <c r="E199" s="10" t="s">
        <v>200</v>
      </c>
      <c r="F199" s="7" t="s">
        <v>8</v>
      </c>
      <c r="G199" s="7" t="s">
        <v>9</v>
      </c>
      <c r="H199" s="7" t="s">
        <v>10</v>
      </c>
      <c r="N199"/>
    </row>
    <row r="200" spans="1:14" ht="14.25">
      <c r="A200" s="12" t="s">
        <v>201</v>
      </c>
      <c r="B200" s="6" t="s">
        <v>1235</v>
      </c>
      <c r="C200" s="6"/>
      <c r="D200" s="6" t="s">
        <v>202</v>
      </c>
      <c r="E200" s="10" t="s">
        <v>203</v>
      </c>
      <c r="F200" s="11">
        <v>2.1</v>
      </c>
      <c r="G200" s="11">
        <v>1.85</v>
      </c>
      <c r="H200" s="11">
        <v>2.9</v>
      </c>
      <c r="N200"/>
    </row>
    <row r="201" spans="1:14" ht="14.25">
      <c r="A201" s="12" t="s">
        <v>204</v>
      </c>
      <c r="B201" s="6"/>
      <c r="C201" s="6"/>
      <c r="D201" s="6" t="s">
        <v>205</v>
      </c>
      <c r="E201" s="6"/>
      <c r="F201" s="6"/>
      <c r="G201" s="6"/>
      <c r="H201" s="6"/>
      <c r="N201"/>
    </row>
    <row r="202" spans="1:14" ht="12.75" customHeight="1">
      <c r="A202" s="12" t="s">
        <v>206</v>
      </c>
      <c r="B202" s="6"/>
      <c r="C202" s="6"/>
      <c r="D202" s="6"/>
      <c r="E202" s="6"/>
      <c r="F202" s="6"/>
      <c r="G202" s="6"/>
      <c r="H202" s="6"/>
      <c r="N202"/>
    </row>
    <row r="203" spans="1:14" ht="12.75" customHeight="1">
      <c r="A203" s="12" t="s">
        <v>207</v>
      </c>
      <c r="B203" s="6"/>
      <c r="C203" s="6"/>
      <c r="D203" s="6"/>
      <c r="E203" s="6"/>
      <c r="F203" s="6"/>
      <c r="G203" s="6"/>
      <c r="H203" s="6"/>
      <c r="N203"/>
    </row>
    <row r="204" spans="1:14" ht="12.75" customHeight="1">
      <c r="A204" s="12"/>
      <c r="B204" s="6"/>
      <c r="C204" s="6"/>
      <c r="D204" s="6"/>
      <c r="E204" s="6"/>
      <c r="F204" s="6"/>
      <c r="G204" s="6"/>
      <c r="H204" s="6"/>
      <c r="N204" s="1"/>
    </row>
    <row r="205" spans="1:14" ht="12.75" customHeight="1">
      <c r="A205" s="12"/>
      <c r="B205" s="6"/>
      <c r="C205" s="6"/>
      <c r="D205" s="6"/>
      <c r="E205" s="6"/>
      <c r="F205" s="6"/>
      <c r="G205" s="6"/>
      <c r="H205" s="6"/>
      <c r="N205" s="1"/>
    </row>
    <row r="206" spans="1:14" ht="12.75" customHeight="1">
      <c r="A206" s="12"/>
      <c r="B206" s="6"/>
      <c r="C206" s="6"/>
      <c r="D206" s="6"/>
      <c r="E206" s="6"/>
      <c r="F206" s="6"/>
      <c r="G206" s="6"/>
      <c r="H206" s="6"/>
      <c r="N206" s="1"/>
    </row>
    <row r="207" spans="1:14" ht="12.75" customHeight="1">
      <c r="A207" s="12"/>
      <c r="B207" s="6"/>
      <c r="C207" s="6"/>
      <c r="D207" s="6"/>
      <c r="E207" s="6"/>
      <c r="F207" s="6"/>
      <c r="G207" s="6"/>
      <c r="H207" s="6"/>
      <c r="N207" s="1"/>
    </row>
    <row r="208" spans="1:14" ht="12.75" customHeight="1">
      <c r="A208" s="12"/>
      <c r="B208" s="6"/>
      <c r="C208" s="6"/>
      <c r="D208" s="6"/>
      <c r="E208" s="6"/>
      <c r="F208" s="6"/>
      <c r="G208" s="6"/>
      <c r="H208" s="6"/>
      <c r="N208" s="1"/>
    </row>
    <row r="209" spans="1:14" ht="12.75" customHeight="1">
      <c r="A209" s="12"/>
      <c r="B209" s="6"/>
      <c r="C209" s="6"/>
      <c r="D209" s="6"/>
      <c r="E209" s="6"/>
      <c r="F209" s="6"/>
      <c r="G209" s="6"/>
      <c r="H209" s="6"/>
      <c r="N209" s="1"/>
    </row>
    <row r="210" spans="1:14" ht="12.75" customHeight="1">
      <c r="A210" s="12"/>
      <c r="B210" s="6"/>
      <c r="C210" s="6"/>
      <c r="D210" s="6"/>
      <c r="E210" s="6"/>
      <c r="F210" s="6"/>
      <c r="G210" s="6"/>
      <c r="H210" s="6"/>
      <c r="N210"/>
    </row>
    <row r="211" spans="1:14" ht="12.75" customHeight="1">
      <c r="A211" s="12"/>
      <c r="B211" s="6"/>
      <c r="C211" s="6"/>
      <c r="D211" s="6"/>
      <c r="E211" s="6"/>
      <c r="F211" s="6"/>
      <c r="G211" s="6"/>
      <c r="H211" s="6"/>
      <c r="N211"/>
    </row>
    <row r="212" spans="1:14" ht="12.75" customHeight="1">
      <c r="A212" s="5" t="s">
        <v>208</v>
      </c>
      <c r="B212" s="7" t="s">
        <v>2</v>
      </c>
      <c r="C212" s="6"/>
      <c r="D212" s="6"/>
      <c r="E212" s="7" t="s">
        <v>4</v>
      </c>
      <c r="F212" s="6"/>
      <c r="G212" s="6"/>
      <c r="H212" s="6"/>
      <c r="N212"/>
    </row>
    <row r="213" spans="1:14" ht="14.25">
      <c r="A213" s="7" t="str">
        <f>_xlfn.TEXTJOIN(", ",1,A214:A220)</f>
        <v>Longbrookes, Hawklins</v>
      </c>
      <c r="B213" s="7" t="str">
        <f>_xlfn.TEXTJOIN(", ",1,B214:B220)</f>
        <v/>
      </c>
      <c r="C213" s="7" t="str">
        <f>_xlfn.TEXTJOIN(", ",1,C214:C220)</f>
        <v>Trindar Shipyards</v>
      </c>
      <c r="D213" s="7" t="str">
        <f>_xlfn.TEXTJOIN(", ",1,D214:D220)</f>
        <v>Oils, farming;candles, Shipwrights; fishing, Livestock; Tannery</v>
      </c>
      <c r="E213" s="10">
        <v>689</v>
      </c>
      <c r="F213" s="7" t="s">
        <v>8</v>
      </c>
      <c r="G213" s="7" t="s">
        <v>9</v>
      </c>
      <c r="H213" s="7" t="s">
        <v>10</v>
      </c>
      <c r="N213"/>
    </row>
    <row r="214" spans="1:14" ht="14.25">
      <c r="A214" s="6" t="s">
        <v>210</v>
      </c>
      <c r="B214" s="6"/>
      <c r="C214" s="6" t="s">
        <v>211</v>
      </c>
      <c r="D214" s="6" t="s">
        <v>212</v>
      </c>
      <c r="E214" s="6"/>
      <c r="F214" s="11">
        <v>3.1</v>
      </c>
      <c r="G214" s="11">
        <v>1.4</v>
      </c>
      <c r="H214" s="11">
        <v>3.5</v>
      </c>
      <c r="N214" s="1"/>
    </row>
    <row r="215" spans="1:14" ht="14.25">
      <c r="A215" s="6" t="s">
        <v>213</v>
      </c>
      <c r="B215" s="6"/>
      <c r="C215" s="6"/>
      <c r="D215" s="6" t="s">
        <v>214</v>
      </c>
      <c r="E215" s="6"/>
      <c r="F215" s="6"/>
      <c r="G215" s="6"/>
      <c r="H215" s="6"/>
      <c r="N215" s="1"/>
    </row>
    <row r="216" spans="1:14" ht="14.25">
      <c r="A216" s="6"/>
      <c r="B216" s="6"/>
      <c r="C216" s="6"/>
      <c r="D216" s="6" t="s">
        <v>215</v>
      </c>
      <c r="E216" s="6"/>
      <c r="F216" s="6"/>
      <c r="G216" s="6"/>
      <c r="H216" s="6"/>
      <c r="N216" s="1"/>
    </row>
    <row r="217" spans="1:14" ht="14.25">
      <c r="A217" s="658"/>
      <c r="B217" s="16"/>
      <c r="C217" s="7"/>
      <c r="D217" s="7"/>
      <c r="E217" s="10"/>
      <c r="F217" s="7"/>
      <c r="G217" s="7"/>
      <c r="H217" s="7"/>
      <c r="N217" s="1"/>
    </row>
    <row r="218" spans="1:14" ht="14.25">
      <c r="N218"/>
    </row>
    <row r="219" spans="1:14" ht="14.25">
      <c r="N219"/>
    </row>
    <row r="220" spans="1:14" ht="14.25">
      <c r="N220"/>
    </row>
    <row r="221" spans="1:14" ht="12.75" customHeight="1">
      <c r="A221" s="6"/>
      <c r="B221" s="6"/>
      <c r="C221" s="6"/>
      <c r="D221" s="6"/>
      <c r="E221" s="6"/>
      <c r="F221" s="6"/>
      <c r="G221" s="6"/>
      <c r="H221" s="6"/>
      <c r="N221"/>
    </row>
    <row r="222" spans="1:14" ht="12.75" customHeight="1">
      <c r="A222" s="5" t="s">
        <v>216</v>
      </c>
      <c r="B222" s="7" t="s">
        <v>2</v>
      </c>
      <c r="C222" s="6" t="s">
        <v>217</v>
      </c>
      <c r="E222" s="7" t="s">
        <v>4</v>
      </c>
      <c r="F222" s="6"/>
      <c r="G222" s="6"/>
      <c r="H222" s="6"/>
      <c r="N222"/>
    </row>
    <row r="223" spans="1:14" ht="14.25">
      <c r="A223" s="5"/>
      <c r="B223" s="8" t="s">
        <v>218</v>
      </c>
      <c r="C223" s="7" t="s">
        <v>6</v>
      </c>
      <c r="D223" s="7" t="s">
        <v>7</v>
      </c>
      <c r="E223" s="10">
        <v>378</v>
      </c>
      <c r="F223" s="7" t="s">
        <v>8</v>
      </c>
      <c r="G223" s="7" t="s">
        <v>9</v>
      </c>
      <c r="H223" s="7" t="s">
        <v>10</v>
      </c>
      <c r="N223"/>
    </row>
    <row r="224" spans="1:14" ht="14.25">
      <c r="A224" s="6" t="s">
        <v>219</v>
      </c>
      <c r="B224" s="6"/>
      <c r="C224" s="6"/>
      <c r="D224" s="6" t="s">
        <v>220</v>
      </c>
      <c r="E224" s="6"/>
      <c r="F224" s="11">
        <v>2.7</v>
      </c>
      <c r="G224" s="11">
        <v>1.9</v>
      </c>
      <c r="H224" s="11">
        <v>6.3</v>
      </c>
      <c r="N224"/>
    </row>
    <row r="225" spans="1:14" ht="12.75" customHeight="1">
      <c r="A225" s="6"/>
      <c r="B225" s="6"/>
      <c r="C225" s="6"/>
      <c r="D225" s="6"/>
      <c r="E225" s="6"/>
      <c r="F225" s="6"/>
      <c r="G225" s="6"/>
      <c r="H225" s="6"/>
      <c r="N225"/>
    </row>
    <row r="226" spans="1:14" ht="12.75" customHeight="1">
      <c r="A226" s="6"/>
      <c r="B226" s="6"/>
      <c r="C226" s="6"/>
      <c r="D226" s="6"/>
      <c r="E226" s="6"/>
      <c r="F226" s="6"/>
      <c r="G226" s="6"/>
      <c r="H226" s="6"/>
      <c r="N226"/>
    </row>
    <row r="227" spans="1:14" ht="12.75" customHeight="1">
      <c r="A227" s="5" t="s">
        <v>221</v>
      </c>
      <c r="B227" s="7" t="s">
        <v>2</v>
      </c>
      <c r="C227" s="6" t="s">
        <v>222</v>
      </c>
      <c r="E227" s="7" t="s">
        <v>4</v>
      </c>
      <c r="F227" s="6"/>
      <c r="G227" s="6"/>
      <c r="H227" s="6"/>
      <c r="N227"/>
    </row>
    <row r="228" spans="1:14" ht="14.25">
      <c r="A228" s="7" t="str">
        <f>_xlfn.TEXTJOIN(", ",1,A229:A235)</f>
        <v>Sudacar, Cormaeril, Thunderswords, Wyvernspur</v>
      </c>
      <c r="B228" s="7" t="str">
        <f>_xlfn.TEXTJOIN(", ",1,B229:B235)</f>
        <v xml:space="preserve"> </v>
      </c>
      <c r="C228" s="7" t="s">
        <v>15359</v>
      </c>
      <c r="D228" s="7" t="s">
        <v>15360</v>
      </c>
      <c r="E228" s="10"/>
      <c r="F228" s="7" t="s">
        <v>8</v>
      </c>
      <c r="G228" s="7" t="s">
        <v>9</v>
      </c>
      <c r="H228" s="7" t="s">
        <v>10</v>
      </c>
      <c r="N228"/>
    </row>
    <row r="229" spans="1:14" ht="14.25">
      <c r="A229" s="12" t="s">
        <v>224</v>
      </c>
      <c r="B229" s="12" t="s">
        <v>1235</v>
      </c>
      <c r="C229" s="12" t="s">
        <v>53</v>
      </c>
      <c r="D229" s="12" t="s">
        <v>225</v>
      </c>
      <c r="E229" s="12"/>
      <c r="F229" s="11">
        <v>0.5</v>
      </c>
      <c r="G229" s="11">
        <v>0.7</v>
      </c>
      <c r="H229" s="11">
        <v>1.9</v>
      </c>
      <c r="N229"/>
    </row>
    <row r="230" spans="1:14" ht="14.25">
      <c r="A230" s="12" t="s">
        <v>92</v>
      </c>
      <c r="B230" s="12"/>
      <c r="C230" s="12" t="s">
        <v>226</v>
      </c>
      <c r="D230" s="12" t="s">
        <v>227</v>
      </c>
      <c r="E230" s="12"/>
      <c r="F230" s="13"/>
      <c r="G230" s="13"/>
      <c r="H230" s="13"/>
      <c r="N230"/>
    </row>
    <row r="231" spans="1:14" ht="14.25">
      <c r="A231" s="12" t="s">
        <v>228</v>
      </c>
      <c r="B231" s="12"/>
      <c r="C231" s="12" t="s">
        <v>229</v>
      </c>
      <c r="D231" s="12" t="s">
        <v>230</v>
      </c>
      <c r="E231" s="12"/>
      <c r="F231" s="13"/>
      <c r="G231" s="13"/>
      <c r="H231" s="13"/>
      <c r="N231"/>
    </row>
    <row r="232" spans="1:14" ht="14.25">
      <c r="A232" s="12" t="s">
        <v>231</v>
      </c>
      <c r="B232" s="12"/>
      <c r="C232" s="12" t="s">
        <v>232</v>
      </c>
      <c r="D232" s="6" t="s">
        <v>233</v>
      </c>
      <c r="E232" s="12"/>
      <c r="F232" s="13"/>
      <c r="G232" s="13"/>
      <c r="H232" s="13"/>
      <c r="N232"/>
    </row>
    <row r="233" spans="1:14" ht="12.75" customHeight="1">
      <c r="A233" s="12"/>
      <c r="B233" s="12"/>
      <c r="C233" s="12"/>
      <c r="D233" s="12"/>
      <c r="E233" s="12"/>
      <c r="F233" s="13"/>
      <c r="G233" s="13"/>
      <c r="H233" s="13"/>
      <c r="N233"/>
    </row>
    <row r="234" spans="1:14" ht="12.75" customHeight="1">
      <c r="A234" s="12"/>
      <c r="B234" s="12"/>
      <c r="C234" s="12"/>
      <c r="D234" s="12"/>
      <c r="E234" s="12"/>
      <c r="F234" s="13"/>
      <c r="G234" s="13"/>
      <c r="H234" s="13"/>
      <c r="N234"/>
    </row>
    <row r="235" spans="1:14" ht="12.75" customHeight="1">
      <c r="A235" s="12"/>
      <c r="B235" s="12"/>
      <c r="C235" s="12"/>
      <c r="D235" s="12"/>
      <c r="E235" s="12"/>
      <c r="F235" s="13"/>
      <c r="G235" s="13"/>
      <c r="H235" s="13"/>
      <c r="N235"/>
    </row>
    <row r="236" spans="1:14" ht="12.75" customHeight="1">
      <c r="A236" s="12"/>
      <c r="B236" s="12"/>
      <c r="C236" s="12"/>
      <c r="D236" s="12"/>
      <c r="E236" s="12"/>
      <c r="F236" s="13"/>
      <c r="G236" s="13"/>
      <c r="H236" s="13"/>
      <c r="N236"/>
    </row>
    <row r="237" spans="1:14" ht="12.75" customHeight="1">
      <c r="A237" s="5" t="s">
        <v>234</v>
      </c>
      <c r="B237" s="7" t="s">
        <v>2</v>
      </c>
      <c r="C237" s="12" t="s">
        <v>235</v>
      </c>
      <c r="E237" s="7" t="s">
        <v>4</v>
      </c>
      <c r="F237" s="13"/>
      <c r="G237" s="13"/>
      <c r="H237" s="13"/>
      <c r="N237"/>
    </row>
    <row r="238" spans="1:14" ht="14.25">
      <c r="A238" s="5"/>
      <c r="B238" s="8" t="s">
        <v>236</v>
      </c>
      <c r="C238" s="7" t="s">
        <v>6</v>
      </c>
      <c r="D238" s="7" t="str">
        <f>_xlfn.TEXTJOIN(", ",1,D239:D245)</f>
        <v>Cattle; Dairy; tar, Fishing; farming; sheep, Shellfish, shipwrights</v>
      </c>
      <c r="E238" s="10" t="s">
        <v>237</v>
      </c>
      <c r="F238" s="7" t="s">
        <v>8</v>
      </c>
      <c r="G238" s="7" t="s">
        <v>9</v>
      </c>
      <c r="H238" s="7" t="s">
        <v>10</v>
      </c>
      <c r="N238"/>
    </row>
    <row r="239" spans="1:14" ht="14.25">
      <c r="A239" s="12" t="s">
        <v>238</v>
      </c>
      <c r="B239" s="12"/>
      <c r="C239" s="12"/>
      <c r="D239" s="12" t="s">
        <v>239</v>
      </c>
      <c r="E239" s="10" t="s">
        <v>240</v>
      </c>
      <c r="F239" s="11">
        <v>2.6</v>
      </c>
      <c r="G239" s="11">
        <v>1.4</v>
      </c>
      <c r="H239" s="11">
        <v>3.1</v>
      </c>
      <c r="N239"/>
    </row>
    <row r="240" spans="1:14" ht="14.25">
      <c r="A240" s="12"/>
      <c r="B240" s="12"/>
      <c r="C240" s="12"/>
      <c r="D240" s="12" t="s">
        <v>241</v>
      </c>
      <c r="E240" s="12"/>
      <c r="F240" s="13"/>
      <c r="G240" s="13"/>
      <c r="H240" s="13"/>
      <c r="N240"/>
    </row>
    <row r="241" spans="1:14" ht="14.25">
      <c r="A241" s="12"/>
      <c r="B241" s="12"/>
      <c r="C241" s="12"/>
      <c r="D241" s="12" t="s">
        <v>242</v>
      </c>
      <c r="E241" s="12"/>
      <c r="F241" s="13"/>
      <c r="G241" s="13"/>
      <c r="H241" s="13"/>
      <c r="N241"/>
    </row>
    <row r="242" spans="1:14" ht="12.75" customHeight="1">
      <c r="A242" s="12"/>
      <c r="B242" s="12"/>
      <c r="C242" s="12"/>
      <c r="D242" s="12"/>
      <c r="E242" s="12"/>
      <c r="F242" s="13"/>
      <c r="G242" s="13"/>
      <c r="H242" s="13"/>
      <c r="N242"/>
    </row>
    <row r="243" spans="1:14" ht="12.75" customHeight="1">
      <c r="A243" s="12"/>
      <c r="B243" s="12"/>
      <c r="C243" s="12"/>
      <c r="D243" s="12"/>
      <c r="E243" s="12"/>
      <c r="F243" s="13"/>
      <c r="G243" s="13"/>
      <c r="H243" s="13"/>
      <c r="N243" s="1"/>
    </row>
    <row r="244" spans="1:14" ht="12.75" customHeight="1">
      <c r="A244" s="12"/>
      <c r="B244" s="12"/>
      <c r="C244" s="12"/>
      <c r="D244" s="12"/>
      <c r="E244" s="12"/>
      <c r="F244" s="13"/>
      <c r="G244" s="13"/>
      <c r="H244" s="13"/>
      <c r="N244" s="1"/>
    </row>
    <row r="245" spans="1:14" ht="12.75" customHeight="1">
      <c r="A245" s="12"/>
      <c r="B245" s="12"/>
      <c r="C245" s="12"/>
      <c r="D245" s="12"/>
      <c r="E245" s="12"/>
      <c r="F245" s="13"/>
      <c r="G245" s="13"/>
      <c r="H245" s="13"/>
      <c r="N245" s="1"/>
    </row>
    <row r="246" spans="1:14" ht="12.75" customHeight="1">
      <c r="A246" s="12"/>
      <c r="B246" s="12"/>
      <c r="C246" s="12"/>
      <c r="D246" s="12"/>
      <c r="E246" s="12"/>
      <c r="F246" s="13"/>
      <c r="G246" s="13"/>
      <c r="H246" s="13"/>
      <c r="N246" s="1"/>
    </row>
    <row r="247" spans="1:14" ht="12.75" customHeight="1">
      <c r="A247" s="12"/>
      <c r="B247" s="12"/>
      <c r="C247" s="12"/>
      <c r="D247" s="12"/>
      <c r="E247" s="12"/>
      <c r="F247" s="13"/>
      <c r="G247" s="13"/>
      <c r="H247" s="13"/>
      <c r="N247"/>
    </row>
    <row r="248" spans="1:14" ht="12.75" customHeight="1">
      <c r="A248" s="5" t="s">
        <v>243</v>
      </c>
      <c r="B248" s="7" t="s">
        <v>2</v>
      </c>
      <c r="C248" s="12" t="s">
        <v>244</v>
      </c>
      <c r="E248" s="7" t="s">
        <v>4</v>
      </c>
      <c r="F248" s="13"/>
      <c r="G248" s="13"/>
      <c r="H248" s="13"/>
      <c r="N248"/>
    </row>
    <row r="249" spans="1:14" ht="14.25">
      <c r="A249" s="7" t="str">
        <f>_xlfn.TEXTJOIN(", ",1,A250:A256)</f>
        <v>Tapstorns</v>
      </c>
      <c r="B249" s="7" t="str">
        <f>_xlfn.TEXTJOIN(", ",1,B250:B256)</f>
        <v/>
      </c>
      <c r="C249" s="7" t="str">
        <f>_xlfn.TEXTJOIN(", ",1,C250:C256)</f>
        <v/>
      </c>
      <c r="D249" s="7" t="str">
        <f>_xlfn.TEXTJOIN(", ",1,D250:D256)</f>
        <v>Fruits and farming, Riverfishing, Special green apples</v>
      </c>
      <c r="E249" s="10" t="s">
        <v>246</v>
      </c>
      <c r="F249" s="7" t="s">
        <v>8</v>
      </c>
      <c r="G249" s="7" t="s">
        <v>9</v>
      </c>
      <c r="H249" s="7" t="s">
        <v>10</v>
      </c>
      <c r="N249"/>
    </row>
    <row r="250" spans="1:14" ht="14.25">
      <c r="A250" s="12" t="s">
        <v>247</v>
      </c>
      <c r="B250" s="12"/>
      <c r="C250" s="12"/>
      <c r="D250" s="12" t="s">
        <v>248</v>
      </c>
      <c r="E250" s="10" t="s">
        <v>249</v>
      </c>
      <c r="F250" s="11">
        <v>1.7</v>
      </c>
      <c r="G250" s="11">
        <v>1.1000000000000001</v>
      </c>
      <c r="H250" s="11">
        <v>2.2999999999999998</v>
      </c>
      <c r="N250"/>
    </row>
    <row r="251" spans="1:14" ht="14.25">
      <c r="A251" s="12"/>
      <c r="B251" s="12"/>
      <c r="C251" s="12"/>
      <c r="D251" s="12" t="s">
        <v>250</v>
      </c>
      <c r="E251" s="12"/>
      <c r="F251" s="13"/>
      <c r="G251" s="13"/>
      <c r="H251" s="13"/>
      <c r="N251"/>
    </row>
    <row r="252" spans="1:14" ht="14.25">
      <c r="A252" s="12"/>
      <c r="B252" s="12"/>
      <c r="C252" s="12"/>
      <c r="D252" s="12" t="s">
        <v>251</v>
      </c>
      <c r="E252" s="12"/>
      <c r="F252" s="13"/>
      <c r="G252" s="13"/>
      <c r="H252" s="13"/>
      <c r="N252"/>
    </row>
    <row r="253" spans="1:14" ht="14.25">
      <c r="A253" s="12"/>
      <c r="B253" s="12"/>
      <c r="C253" s="12"/>
      <c r="D253" s="12"/>
      <c r="E253" s="12"/>
      <c r="F253" s="13"/>
      <c r="G253" s="13"/>
      <c r="H253" s="13"/>
      <c r="N253" s="1"/>
    </row>
    <row r="254" spans="1:14" ht="14.25">
      <c r="A254" s="12"/>
      <c r="B254" s="12"/>
      <c r="C254" s="12"/>
      <c r="D254" s="12"/>
      <c r="E254" s="12"/>
      <c r="F254" s="13"/>
      <c r="G254" s="13"/>
      <c r="H254" s="13"/>
      <c r="N254" s="1"/>
    </row>
    <row r="255" spans="1:14" ht="12.75" customHeight="1">
      <c r="A255" s="12"/>
      <c r="B255" s="12"/>
      <c r="C255" s="12"/>
      <c r="D255" s="12"/>
      <c r="E255" s="12"/>
      <c r="F255" s="13"/>
      <c r="G255" s="13"/>
      <c r="H255" s="13"/>
      <c r="N255"/>
    </row>
    <row r="256" spans="1:14" ht="12.75" customHeight="1">
      <c r="A256" s="12"/>
      <c r="B256" s="12"/>
      <c r="C256" s="12"/>
      <c r="D256" s="12"/>
      <c r="E256" s="12"/>
      <c r="F256" s="13"/>
      <c r="G256" s="13"/>
      <c r="H256" s="13"/>
      <c r="N256"/>
    </row>
    <row r="257" spans="1:14" ht="12.75" customHeight="1">
      <c r="A257" s="12"/>
      <c r="B257" s="12"/>
      <c r="C257" s="12"/>
      <c r="D257" s="12"/>
      <c r="E257" s="12"/>
      <c r="F257" s="13"/>
      <c r="G257" s="13"/>
      <c r="H257" s="13"/>
      <c r="N257"/>
    </row>
    <row r="258" spans="1:14" ht="12.75" customHeight="1">
      <c r="A258" s="5" t="s">
        <v>252</v>
      </c>
      <c r="B258" s="7" t="s">
        <v>2</v>
      </c>
      <c r="C258" s="12" t="s">
        <v>253</v>
      </c>
      <c r="E258" s="7" t="s">
        <v>4</v>
      </c>
      <c r="F258" s="13"/>
      <c r="G258" s="13"/>
      <c r="H258" s="13"/>
      <c r="N258"/>
    </row>
    <row r="259" spans="1:14" ht="14.25">
      <c r="A259" s="5"/>
      <c r="B259" s="8" t="s">
        <v>254</v>
      </c>
      <c r="C259" s="7" t="s">
        <v>6</v>
      </c>
      <c r="D259" s="7" t="s">
        <v>7</v>
      </c>
      <c r="E259" s="10">
        <v>1354</v>
      </c>
      <c r="F259" s="7" t="s">
        <v>8</v>
      </c>
      <c r="G259" s="7" t="s">
        <v>9</v>
      </c>
      <c r="H259" s="7" t="s">
        <v>10</v>
      </c>
      <c r="N259"/>
    </row>
    <row r="260" spans="1:14" ht="14.25">
      <c r="A260" s="12" t="s">
        <v>255</v>
      </c>
      <c r="B260" s="12"/>
      <c r="C260" s="12" t="s">
        <v>256</v>
      </c>
      <c r="D260" s="12" t="s">
        <v>257</v>
      </c>
      <c r="E260" s="12"/>
      <c r="F260" s="11">
        <v>2.7</v>
      </c>
      <c r="G260" s="11">
        <v>1.9</v>
      </c>
      <c r="H260" s="11">
        <v>4.0999999999999996</v>
      </c>
      <c r="N260"/>
    </row>
    <row r="261" spans="1:14" ht="14.25">
      <c r="A261" s="12"/>
      <c r="B261" s="12"/>
      <c r="C261" s="12" t="s">
        <v>258</v>
      </c>
      <c r="D261" s="12" t="s">
        <v>259</v>
      </c>
      <c r="E261" s="12"/>
      <c r="F261" s="13"/>
      <c r="G261" s="13"/>
      <c r="H261" s="13"/>
      <c r="N261"/>
    </row>
    <row r="262" spans="1:14" ht="14.25">
      <c r="A262" s="12"/>
      <c r="B262" s="12"/>
      <c r="C262" s="12" t="s">
        <v>260</v>
      </c>
      <c r="D262" s="12" t="s">
        <v>261</v>
      </c>
      <c r="E262" s="12"/>
      <c r="F262" s="13"/>
      <c r="G262" s="13"/>
      <c r="H262" s="13"/>
      <c r="N262"/>
    </row>
    <row r="263" spans="1:14" ht="14.25">
      <c r="A263" s="12"/>
      <c r="B263" s="12"/>
      <c r="C263" s="12"/>
      <c r="D263" s="12" t="s">
        <v>262</v>
      </c>
      <c r="E263" s="12"/>
      <c r="F263" s="13"/>
      <c r="G263" s="13"/>
      <c r="H263" s="13"/>
      <c r="N263"/>
    </row>
    <row r="264" spans="1:14" ht="14.25">
      <c r="A264" s="12"/>
      <c r="B264" s="12"/>
      <c r="C264" s="12"/>
      <c r="D264" s="12" t="s">
        <v>263</v>
      </c>
      <c r="E264" s="12"/>
      <c r="F264" s="13"/>
      <c r="G264" s="13"/>
      <c r="H264" s="13"/>
      <c r="N264"/>
    </row>
    <row r="265" spans="1:14" ht="14.25">
      <c r="A265" s="12"/>
      <c r="B265" s="12"/>
      <c r="C265" s="12"/>
      <c r="D265" s="12" t="s">
        <v>264</v>
      </c>
      <c r="E265" s="12"/>
      <c r="F265" s="13"/>
      <c r="G265" s="13"/>
      <c r="H265" s="13"/>
      <c r="N265"/>
    </row>
    <row r="266" spans="1:14" ht="14.25">
      <c r="A266" s="12"/>
      <c r="B266" s="12"/>
      <c r="C266" s="12"/>
      <c r="D266" s="12" t="s">
        <v>265</v>
      </c>
      <c r="E266" s="12"/>
      <c r="F266" s="13"/>
      <c r="G266" s="13"/>
      <c r="H266" s="13"/>
      <c r="N266"/>
    </row>
    <row r="267" spans="1:14" ht="12.75" customHeight="1">
      <c r="A267" s="12"/>
      <c r="B267" s="12"/>
      <c r="C267" s="12"/>
      <c r="D267" s="12"/>
      <c r="E267" s="12"/>
      <c r="F267" s="13"/>
      <c r="G267" s="13"/>
      <c r="H267" s="13"/>
      <c r="N267"/>
    </row>
    <row r="268" spans="1:14" ht="12.75" customHeight="1">
      <c r="A268" s="12"/>
      <c r="B268" s="12"/>
      <c r="C268" s="12"/>
      <c r="D268" s="12"/>
      <c r="E268" s="12"/>
      <c r="F268" s="13"/>
      <c r="G268" s="13"/>
      <c r="H268" s="13"/>
      <c r="N268"/>
    </row>
    <row r="269" spans="1:14" ht="12.75" customHeight="1">
      <c r="A269" s="12"/>
      <c r="B269" s="12"/>
      <c r="C269" s="12"/>
      <c r="D269" s="12"/>
      <c r="E269" s="12"/>
      <c r="F269" s="13"/>
      <c r="G269" s="13"/>
      <c r="H269" s="13"/>
      <c r="N269"/>
    </row>
    <row r="270" spans="1:14" ht="12.75" customHeight="1">
      <c r="A270" s="5" t="s">
        <v>266</v>
      </c>
      <c r="B270" s="7" t="s">
        <v>2</v>
      </c>
      <c r="C270" s="18" t="s">
        <v>267</v>
      </c>
      <c r="E270" s="7" t="s">
        <v>4</v>
      </c>
      <c r="F270" s="13"/>
      <c r="G270" s="13"/>
      <c r="H270" s="13"/>
      <c r="N270"/>
    </row>
    <row r="271" spans="1:14" ht="14.25">
      <c r="A271" s="7" t="str">
        <f>_xlfn.TEXTJOIN(", ",1,A272:A273)</f>
        <v/>
      </c>
      <c r="B271" s="7" t="str">
        <f>_xlfn.TEXTJOIN(", ",1,B272:B273)</f>
        <v/>
      </c>
      <c r="C271" s="7" t="str">
        <f>_xlfn.TEXTJOIN(", ",1,C272:C273)</f>
        <v>Aunglar's Sawmill</v>
      </c>
      <c r="D271" s="7"/>
      <c r="E271" s="10">
        <v>245</v>
      </c>
      <c r="F271" s="7" t="s">
        <v>8</v>
      </c>
      <c r="G271" s="7" t="s">
        <v>9</v>
      </c>
      <c r="H271" s="7" t="s">
        <v>10</v>
      </c>
      <c r="N271"/>
    </row>
    <row r="272" spans="1:14" ht="14.25">
      <c r="A272" s="12"/>
      <c r="B272" s="12"/>
      <c r="C272" s="12" t="s">
        <v>268</v>
      </c>
      <c r="D272" s="12" t="s">
        <v>269</v>
      </c>
      <c r="E272" s="12"/>
      <c r="F272" s="11">
        <v>3.2</v>
      </c>
      <c r="G272" s="11">
        <v>2.5</v>
      </c>
      <c r="H272" s="11" t="s">
        <v>270</v>
      </c>
      <c r="N272"/>
    </row>
    <row r="273" spans="1:14" ht="14.25">
      <c r="A273" s="12"/>
      <c r="B273" s="12"/>
      <c r="C273" s="12"/>
      <c r="D273" s="12" t="s">
        <v>271</v>
      </c>
      <c r="E273" s="12"/>
      <c r="F273" s="13"/>
      <c r="G273" s="13"/>
      <c r="H273" s="13"/>
      <c r="N273"/>
    </row>
    <row r="274" spans="1:14" ht="12.75" customHeight="1">
      <c r="A274" s="12"/>
      <c r="B274" s="12"/>
      <c r="C274" s="12"/>
      <c r="D274" s="12"/>
      <c r="E274" s="12"/>
      <c r="F274" s="13"/>
      <c r="G274" s="13"/>
      <c r="H274" s="13"/>
      <c r="N274"/>
    </row>
    <row r="275" spans="1:14" ht="12.75" customHeight="1">
      <c r="A275" s="12"/>
      <c r="B275" s="12"/>
      <c r="C275" s="12"/>
      <c r="D275" s="12"/>
      <c r="E275" s="12"/>
      <c r="F275" s="13"/>
      <c r="G275" s="13"/>
      <c r="H275" s="13"/>
      <c r="N275"/>
    </row>
    <row r="276" spans="1:14" ht="12.75" customHeight="1">
      <c r="A276" s="5" t="s">
        <v>272</v>
      </c>
      <c r="B276" s="7" t="s">
        <v>2</v>
      </c>
      <c r="C276" s="6" t="s">
        <v>273</v>
      </c>
      <c r="D276" s="6"/>
      <c r="E276" s="7" t="s">
        <v>4</v>
      </c>
      <c r="F276" s="6"/>
      <c r="G276" s="6"/>
      <c r="H276" s="6"/>
      <c r="N276"/>
    </row>
    <row r="277" spans="1:14" ht="14.25">
      <c r="A277" s="5"/>
      <c r="B277" s="20" t="s">
        <v>274</v>
      </c>
      <c r="C277" s="7" t="s">
        <v>6</v>
      </c>
      <c r="D277" s="7" t="s">
        <v>7</v>
      </c>
      <c r="E277" s="9">
        <v>52000</v>
      </c>
      <c r="F277" s="7" t="s">
        <v>8</v>
      </c>
      <c r="G277" s="7" t="s">
        <v>9</v>
      </c>
      <c r="H277" s="7" t="s">
        <v>10</v>
      </c>
      <c r="N277"/>
    </row>
    <row r="278" spans="1:14" ht="14.25">
      <c r="A278" s="6" t="s">
        <v>275</v>
      </c>
      <c r="B278" s="6"/>
      <c r="C278" s="6" t="s">
        <v>276</v>
      </c>
      <c r="D278" s="6" t="s">
        <v>277</v>
      </c>
      <c r="E278" s="21"/>
      <c r="F278" s="11">
        <v>1.7</v>
      </c>
      <c r="G278" s="11">
        <v>1.3</v>
      </c>
      <c r="H278" s="11">
        <v>2.2999999999999998</v>
      </c>
      <c r="N278"/>
    </row>
    <row r="279" spans="1:14" ht="14.25">
      <c r="A279" s="6" t="s">
        <v>278</v>
      </c>
      <c r="B279" s="6"/>
      <c r="C279" s="6" t="s">
        <v>279</v>
      </c>
      <c r="D279" s="6" t="s">
        <v>280</v>
      </c>
      <c r="E279" s="6"/>
      <c r="F279" s="6"/>
      <c r="G279" s="6"/>
      <c r="H279" s="6"/>
      <c r="N279"/>
    </row>
    <row r="280" spans="1:14" ht="14.25">
      <c r="A280" s="6" t="s">
        <v>281</v>
      </c>
      <c r="B280" s="6"/>
      <c r="C280" s="6"/>
      <c r="D280" s="6" t="s">
        <v>282</v>
      </c>
      <c r="E280" s="6"/>
      <c r="F280" s="6"/>
      <c r="G280" s="6"/>
      <c r="H280" s="6"/>
      <c r="N280"/>
    </row>
    <row r="281" spans="1:14" ht="14.25">
      <c r="A281" s="6" t="s">
        <v>283</v>
      </c>
      <c r="B281" s="6" t="s">
        <v>284</v>
      </c>
      <c r="C281" s="6"/>
      <c r="D281" s="6" t="s">
        <v>285</v>
      </c>
      <c r="E281" s="6"/>
      <c r="F281" s="6"/>
      <c r="G281" s="6"/>
      <c r="H281" s="6"/>
      <c r="N281"/>
    </row>
    <row r="282" spans="1:14" ht="12.75" customHeight="1">
      <c r="A282" s="6" t="s">
        <v>286</v>
      </c>
      <c r="B282" s="6"/>
      <c r="C282" s="6"/>
      <c r="D282" s="6"/>
      <c r="E282" s="6"/>
      <c r="F282" s="6"/>
      <c r="G282" s="6"/>
      <c r="H282" s="6"/>
      <c r="N282"/>
    </row>
    <row r="283" spans="1:14" ht="12.75" customHeight="1">
      <c r="A283" s="6" t="s">
        <v>228</v>
      </c>
      <c r="B283" s="6"/>
      <c r="C283" s="6"/>
      <c r="D283" s="6"/>
      <c r="E283" s="6"/>
      <c r="F283" s="6"/>
      <c r="G283" s="6"/>
      <c r="H283" s="6"/>
      <c r="N283"/>
    </row>
    <row r="284" spans="1:14" ht="12.75" customHeight="1">
      <c r="A284" s="6"/>
      <c r="B284" s="6"/>
      <c r="C284" s="6"/>
      <c r="D284" s="6"/>
      <c r="E284" s="6"/>
      <c r="F284" s="6"/>
      <c r="G284" s="6"/>
      <c r="H284" s="6"/>
      <c r="N284"/>
    </row>
    <row r="285" spans="1:14" ht="12.75" customHeight="1">
      <c r="A285" s="6"/>
      <c r="B285" s="6"/>
      <c r="C285" s="6"/>
      <c r="D285" s="6"/>
      <c r="E285" s="6"/>
      <c r="F285" s="6"/>
      <c r="G285" s="6"/>
      <c r="H285" s="6"/>
      <c r="N285"/>
    </row>
    <row r="286" spans="1:14" ht="12.75" customHeight="1">
      <c r="A286" s="6"/>
      <c r="B286" s="6"/>
      <c r="C286" s="6"/>
      <c r="D286" s="6"/>
      <c r="E286" s="6"/>
      <c r="F286" s="6"/>
      <c r="G286" s="6"/>
      <c r="H286" s="6"/>
      <c r="N286"/>
    </row>
    <row r="287" spans="1:14" ht="12.75" customHeight="1">
      <c r="A287" s="6"/>
      <c r="B287" s="6"/>
      <c r="C287" s="6"/>
      <c r="D287" s="6"/>
      <c r="E287" s="6"/>
      <c r="F287" s="6"/>
      <c r="G287" s="6"/>
      <c r="H287" s="6"/>
      <c r="N287"/>
    </row>
    <row r="288" spans="1:14" ht="12.75" customHeight="1">
      <c r="A288" s="6"/>
      <c r="B288" s="6"/>
      <c r="C288" s="6"/>
      <c r="D288" s="6"/>
      <c r="E288" s="6"/>
      <c r="F288" s="6"/>
      <c r="G288" s="6"/>
      <c r="H288" s="6"/>
      <c r="N288"/>
    </row>
    <row r="289" spans="1:14" ht="12.75" customHeight="1">
      <c r="A289" s="5" t="s">
        <v>287</v>
      </c>
      <c r="B289" s="7" t="s">
        <v>2</v>
      </c>
      <c r="C289" s="6"/>
      <c r="E289" s="7" t="s">
        <v>4</v>
      </c>
      <c r="F289" s="6"/>
      <c r="G289" s="6"/>
      <c r="H289" s="6"/>
      <c r="N289"/>
    </row>
    <row r="290" spans="1:14" ht="14.25">
      <c r="A290" s="5"/>
      <c r="B290" s="16" t="s">
        <v>113</v>
      </c>
      <c r="C290" s="7" t="s">
        <v>6</v>
      </c>
      <c r="D290" s="7"/>
      <c r="E290" s="10">
        <v>102</v>
      </c>
      <c r="F290" s="7" t="s">
        <v>8</v>
      </c>
      <c r="G290" s="7" t="s">
        <v>9</v>
      </c>
      <c r="H290" s="7" t="s">
        <v>10</v>
      </c>
      <c r="N290"/>
    </row>
    <row r="291" spans="1:14" ht="14.25">
      <c r="A291" s="6" t="s">
        <v>288</v>
      </c>
      <c r="B291" s="6"/>
      <c r="C291" s="6"/>
      <c r="D291" s="6" t="s">
        <v>290</v>
      </c>
      <c r="E291" s="6"/>
      <c r="F291" s="11">
        <v>2.8</v>
      </c>
      <c r="G291" s="11">
        <v>0.9</v>
      </c>
      <c r="H291" s="11">
        <v>3.9</v>
      </c>
      <c r="N291"/>
    </row>
    <row r="292" spans="1:14" ht="14.25">
      <c r="A292" s="6"/>
      <c r="B292" s="6"/>
      <c r="C292" s="6"/>
      <c r="D292" s="6" t="s">
        <v>291</v>
      </c>
      <c r="E292" s="6"/>
      <c r="F292" s="6"/>
      <c r="G292" s="6"/>
      <c r="H292" s="6"/>
      <c r="N292"/>
    </row>
    <row r="293" spans="1:14" ht="14.25">
      <c r="A293" s="6"/>
      <c r="B293" s="6"/>
      <c r="C293" s="6"/>
      <c r="D293" s="6" t="s">
        <v>292</v>
      </c>
      <c r="E293" s="6"/>
      <c r="F293" s="6"/>
      <c r="G293" s="6"/>
      <c r="H293" s="6"/>
      <c r="N293"/>
    </row>
    <row r="294" spans="1:14" ht="12.75" customHeight="1">
      <c r="A294" s="6"/>
      <c r="B294" s="6"/>
      <c r="C294" s="6"/>
      <c r="D294" s="6"/>
      <c r="E294" s="6"/>
      <c r="F294" s="6"/>
      <c r="G294" s="6"/>
      <c r="H294" s="6"/>
      <c r="N294"/>
    </row>
    <row r="295" spans="1:14" ht="12.75" customHeight="1">
      <c r="A295" s="6"/>
      <c r="B295" s="6"/>
      <c r="C295" s="6"/>
      <c r="D295" s="6"/>
      <c r="E295" s="6"/>
      <c r="F295" s="6"/>
      <c r="G295" s="6"/>
      <c r="H295" s="6"/>
      <c r="N295"/>
    </row>
    <row r="296" spans="1:14" ht="12.75" customHeight="1">
      <c r="A296" s="5" t="s">
        <v>293</v>
      </c>
      <c r="B296" s="7" t="s">
        <v>2</v>
      </c>
      <c r="C296" s="18" t="s">
        <v>294</v>
      </c>
      <c r="E296" s="7" t="s">
        <v>4</v>
      </c>
      <c r="F296" s="6"/>
      <c r="G296" s="6"/>
      <c r="H296" s="6"/>
      <c r="N296"/>
    </row>
    <row r="297" spans="1:14" ht="14.25">
      <c r="A297" s="7" t="str">
        <f>_xlfn.TEXTJOIN(", ",1,A298:A304)</f>
        <v>Goldwyns</v>
      </c>
      <c r="B297" s="7" t="str">
        <f>_xlfn.TEXTJOIN(", ",1,B298:B304)</f>
        <v/>
      </c>
      <c r="C297" s="7" t="str">
        <f>_xlfn.TEXTJOIN(", ",1,C298:C304)</f>
        <v>Hobble's Hooks; hooks, fishing equipment and wares</v>
      </c>
      <c r="D297" s="7" t="str">
        <f>_xlfn.TEXTJOIN(", ",1,D298:D304)</f>
        <v>Ropemakers, netmakers, shellfish; small wood boats; seafood</v>
      </c>
      <c r="E297" s="10">
        <v>834</v>
      </c>
      <c r="F297" s="7" t="s">
        <v>8</v>
      </c>
      <c r="G297" s="7" t="s">
        <v>9</v>
      </c>
      <c r="H297" s="7" t="s">
        <v>10</v>
      </c>
      <c r="N297"/>
    </row>
    <row r="298" spans="1:14" ht="14.25">
      <c r="A298" s="12" t="s">
        <v>296</v>
      </c>
      <c r="B298" s="6"/>
      <c r="C298" s="6" t="s">
        <v>297</v>
      </c>
      <c r="D298" s="6" t="s">
        <v>298</v>
      </c>
      <c r="E298" s="6"/>
      <c r="F298" s="11">
        <v>1.1000000000000001</v>
      </c>
      <c r="G298" s="11">
        <v>0.7</v>
      </c>
      <c r="H298" s="11">
        <v>3.1</v>
      </c>
      <c r="N298"/>
    </row>
    <row r="299" spans="1:14" ht="14.25">
      <c r="A299" s="12"/>
      <c r="B299" s="6"/>
      <c r="C299" s="6"/>
      <c r="D299" s="6" t="s">
        <v>299</v>
      </c>
      <c r="E299" s="6"/>
      <c r="F299" s="6"/>
      <c r="G299" s="6"/>
      <c r="H299" s="6"/>
      <c r="N299"/>
    </row>
    <row r="300" spans="1:14" ht="22.5">
      <c r="A300" s="12"/>
      <c r="B300" s="6"/>
      <c r="C300" s="6"/>
      <c r="D300" s="22" t="s">
        <v>300</v>
      </c>
      <c r="E300" s="6"/>
      <c r="F300" s="6"/>
      <c r="G300" s="6"/>
      <c r="H300" s="6"/>
      <c r="N300"/>
    </row>
    <row r="301" spans="1:14" ht="14.25">
      <c r="A301" s="12"/>
      <c r="B301" s="6"/>
      <c r="C301" s="6"/>
      <c r="D301" s="22"/>
      <c r="E301" s="6"/>
      <c r="F301" s="6"/>
      <c r="G301" s="6"/>
      <c r="H301" s="6"/>
      <c r="N301" s="1"/>
    </row>
    <row r="302" spans="1:14" ht="14.25">
      <c r="A302" s="12"/>
      <c r="B302" s="6"/>
      <c r="C302" s="6"/>
      <c r="D302" s="22"/>
      <c r="E302" s="6"/>
      <c r="F302" s="6"/>
      <c r="G302" s="6"/>
      <c r="H302" s="6"/>
      <c r="N302" s="1"/>
    </row>
    <row r="303" spans="1:14" ht="14.25">
      <c r="A303" s="12"/>
      <c r="B303" s="6"/>
      <c r="C303" s="6"/>
      <c r="D303" s="22"/>
      <c r="E303" s="6"/>
      <c r="F303" s="6"/>
      <c r="G303" s="6"/>
      <c r="H303" s="6"/>
      <c r="N303" s="1"/>
    </row>
    <row r="304" spans="1:14" ht="12.75" customHeight="1">
      <c r="A304" s="12"/>
      <c r="B304" s="6"/>
      <c r="C304" s="6"/>
      <c r="D304" s="22"/>
      <c r="E304" s="6"/>
      <c r="F304" s="6"/>
      <c r="G304" s="6"/>
      <c r="H304" s="6"/>
      <c r="N304"/>
    </row>
    <row r="305" spans="1:14" ht="12.75" customHeight="1">
      <c r="A305" s="12"/>
      <c r="B305" s="6"/>
      <c r="C305" s="6"/>
      <c r="D305" s="22"/>
      <c r="E305" s="6"/>
      <c r="F305" s="6"/>
      <c r="G305" s="6"/>
      <c r="H305" s="6"/>
      <c r="N305"/>
    </row>
    <row r="306" spans="1:14" ht="12.75" customHeight="1">
      <c r="A306" s="12"/>
      <c r="B306" s="6"/>
      <c r="C306" s="6"/>
      <c r="D306" s="22"/>
      <c r="E306" s="6"/>
      <c r="F306" s="6"/>
      <c r="G306" s="6"/>
      <c r="H306" s="6"/>
      <c r="N306"/>
    </row>
    <row r="307" spans="1:14" ht="12.75" customHeight="1">
      <c r="A307" s="5" t="s">
        <v>301</v>
      </c>
      <c r="B307" s="7" t="s">
        <v>2</v>
      </c>
      <c r="C307" s="6" t="s">
        <v>302</v>
      </c>
      <c r="E307" s="7" t="s">
        <v>4</v>
      </c>
      <c r="F307" s="6"/>
      <c r="G307" s="6"/>
      <c r="H307" s="6"/>
      <c r="N307"/>
    </row>
    <row r="308" spans="1:14" ht="14.25">
      <c r="A308" s="7" t="str">
        <f>_xlfn.TEXTJOIN(", ",1,A309:A315)</f>
        <v xml:space="preserve">4 temple monk enclave; Chauntea, Tempus, Tymora, Umberlee </v>
      </c>
      <c r="B308" s="7" t="str">
        <f>_xlfn.TEXTJOIN(", ",1,B309:B315)</f>
        <v/>
      </c>
      <c r="C308" s="7" t="str">
        <f>_xlfn.TEXTJOIN(", ",1,C309:C315)</f>
        <v/>
      </c>
      <c r="D308" s="7" t="str">
        <f>_xlfn.TEXTJOIN(", ",1,D309:D315)</f>
        <v/>
      </c>
      <c r="E308" s="10">
        <v>900</v>
      </c>
      <c r="F308" s="7" t="s">
        <v>8</v>
      </c>
      <c r="G308" s="7" t="s">
        <v>9</v>
      </c>
      <c r="H308" s="7" t="s">
        <v>10</v>
      </c>
      <c r="N308"/>
    </row>
    <row r="309" spans="1:14" ht="12.75" customHeight="1">
      <c r="A309" s="6" t="s">
        <v>1238</v>
      </c>
      <c r="B309" s="6"/>
      <c r="C309" s="6"/>
      <c r="E309" s="6"/>
      <c r="F309" s="11">
        <v>2.1</v>
      </c>
      <c r="G309" s="11">
        <v>1.5</v>
      </c>
      <c r="H309" s="11" t="s">
        <v>270</v>
      </c>
      <c r="N309"/>
    </row>
    <row r="310" spans="1:14" ht="12.75" customHeight="1">
      <c r="A310" s="12"/>
      <c r="B310" s="6"/>
      <c r="C310" s="6"/>
      <c r="D310" s="6"/>
      <c r="E310" s="6"/>
      <c r="F310" s="6"/>
      <c r="G310" s="6"/>
      <c r="H310" s="6"/>
      <c r="N310"/>
    </row>
    <row r="311" spans="1:14" ht="12.75" customHeight="1">
      <c r="A311" s="12"/>
      <c r="B311" s="6"/>
      <c r="C311" s="6"/>
      <c r="D311" s="6"/>
      <c r="E311" s="6"/>
      <c r="F311" s="6"/>
      <c r="G311" s="6"/>
      <c r="H311" s="6"/>
      <c r="N311"/>
    </row>
    <row r="312" spans="1:14" ht="12.75" customHeight="1">
      <c r="A312" s="12"/>
      <c r="B312" s="6"/>
      <c r="C312" s="6"/>
      <c r="D312" s="6"/>
      <c r="E312" s="6"/>
      <c r="F312" s="6"/>
      <c r="G312" s="6"/>
      <c r="H312" s="6"/>
      <c r="N312" s="1"/>
    </row>
    <row r="313" spans="1:14" ht="12.75" customHeight="1">
      <c r="A313" s="12"/>
      <c r="B313" s="6"/>
      <c r="C313" s="6"/>
      <c r="D313" s="6"/>
      <c r="E313" s="6"/>
      <c r="F313" s="6"/>
      <c r="G313" s="6"/>
      <c r="H313" s="6"/>
      <c r="N313" s="1"/>
    </row>
    <row r="314" spans="1:14" ht="12.75" customHeight="1">
      <c r="A314" s="12"/>
      <c r="B314" s="6"/>
      <c r="C314" s="6"/>
      <c r="D314" s="6"/>
      <c r="E314" s="6"/>
      <c r="F314" s="6"/>
      <c r="G314" s="6"/>
      <c r="H314" s="6"/>
      <c r="N314" s="1"/>
    </row>
    <row r="315" spans="1:14" ht="12.75" customHeight="1">
      <c r="A315" s="12"/>
      <c r="B315" s="6"/>
      <c r="C315" s="6"/>
      <c r="D315" s="6"/>
      <c r="E315" s="6"/>
      <c r="F315" s="6"/>
      <c r="G315" s="6"/>
      <c r="H315" s="6"/>
      <c r="N315" s="1"/>
    </row>
    <row r="316" spans="1:14" ht="12.75" customHeight="1">
      <c r="A316" s="12"/>
      <c r="B316" s="6"/>
      <c r="C316" s="6"/>
      <c r="D316" s="6"/>
      <c r="E316" s="6"/>
      <c r="F316" s="6"/>
      <c r="G316" s="6"/>
      <c r="H316" s="6"/>
      <c r="N316" s="1"/>
    </row>
    <row r="317" spans="1:14" ht="12.75" customHeight="1">
      <c r="A317" s="12"/>
      <c r="B317" s="6"/>
      <c r="C317" s="6"/>
      <c r="D317" s="6"/>
      <c r="E317" s="6"/>
      <c r="F317" s="6"/>
      <c r="G317" s="6"/>
      <c r="H317" s="6"/>
      <c r="N317"/>
    </row>
    <row r="318" spans="1:14" ht="12.75" customHeight="1">
      <c r="A318" s="12"/>
      <c r="B318" s="6"/>
      <c r="C318" s="6"/>
      <c r="D318" s="6"/>
      <c r="E318" s="6"/>
      <c r="F318" s="6"/>
      <c r="G318" s="6"/>
      <c r="H318" s="6"/>
      <c r="N318"/>
    </row>
    <row r="319" spans="1:14" ht="12.75" customHeight="1">
      <c r="A319" s="5" t="s">
        <v>303</v>
      </c>
      <c r="B319" s="7" t="s">
        <v>2</v>
      </c>
      <c r="C319" s="18" t="s">
        <v>304</v>
      </c>
      <c r="E319" s="7" t="s">
        <v>4</v>
      </c>
      <c r="F319" s="6"/>
      <c r="G319" s="6"/>
      <c r="H319" s="6"/>
      <c r="N319"/>
    </row>
    <row r="320" spans="1:14" ht="14.25">
      <c r="A320" s="7" t="str">
        <f>_xlfn.TEXTJOIN(", ",1,A321:A327)</f>
        <v>Ebonhawks</v>
      </c>
      <c r="B320" s="7" t="str">
        <f>_xlfn.TEXTJOIN(", ",1,B321:B327)</f>
        <v/>
      </c>
      <c r="C320" s="7"/>
      <c r="D320" s="7"/>
      <c r="E320" s="10"/>
      <c r="F320" s="7" t="s">
        <v>8</v>
      </c>
      <c r="G320" s="7" t="s">
        <v>9</v>
      </c>
      <c r="H320" s="7" t="s">
        <v>10</v>
      </c>
      <c r="N320"/>
    </row>
    <row r="321" spans="1:14" ht="14.25">
      <c r="A321" s="12" t="s">
        <v>306</v>
      </c>
      <c r="B321" s="6"/>
      <c r="C321" s="6" t="s">
        <v>307</v>
      </c>
      <c r="D321" s="6" t="s">
        <v>308</v>
      </c>
      <c r="E321" s="10"/>
      <c r="F321" s="11">
        <v>1.1000000000000001</v>
      </c>
      <c r="G321" s="11">
        <v>0.9</v>
      </c>
      <c r="H321" s="11">
        <v>3.6</v>
      </c>
      <c r="N321"/>
    </row>
    <row r="322" spans="1:14" ht="14.25">
      <c r="A322" s="12"/>
      <c r="B322" s="6"/>
      <c r="C322" s="6" t="s">
        <v>309</v>
      </c>
      <c r="D322" s="6" t="s">
        <v>310</v>
      </c>
      <c r="E322" s="6"/>
      <c r="F322" s="6"/>
      <c r="G322" s="6"/>
      <c r="H322" s="6"/>
      <c r="N322"/>
    </row>
    <row r="323" spans="1:14" ht="14.25">
      <c r="A323" s="12"/>
      <c r="B323" s="6"/>
      <c r="C323" s="6"/>
      <c r="D323" s="6" t="s">
        <v>311</v>
      </c>
      <c r="E323" s="6"/>
      <c r="F323" s="6"/>
      <c r="G323" s="6"/>
      <c r="H323" s="6"/>
      <c r="N323"/>
    </row>
    <row r="324" spans="1:14" ht="14.25">
      <c r="A324" s="12"/>
      <c r="B324" s="6"/>
      <c r="C324" s="6"/>
      <c r="D324" s="6" t="s">
        <v>312</v>
      </c>
      <c r="E324" s="6"/>
      <c r="F324" s="6"/>
      <c r="G324" s="6"/>
      <c r="H324" s="6"/>
      <c r="N324"/>
    </row>
    <row r="325" spans="1:14" ht="14.25">
      <c r="A325" s="12"/>
      <c r="B325" s="6"/>
      <c r="C325" s="6"/>
      <c r="D325" s="6"/>
      <c r="E325" s="6"/>
      <c r="F325" s="6"/>
      <c r="G325" s="6"/>
      <c r="H325" s="6"/>
      <c r="N325" s="1"/>
    </row>
    <row r="326" spans="1:14" ht="14.25">
      <c r="A326" s="12"/>
      <c r="B326" s="6"/>
      <c r="C326" s="6"/>
      <c r="D326" s="6"/>
      <c r="E326" s="6"/>
      <c r="F326" s="6"/>
      <c r="G326" s="6"/>
      <c r="H326" s="6"/>
      <c r="N326" s="1"/>
    </row>
    <row r="327" spans="1:14" ht="14.25">
      <c r="A327" s="12"/>
      <c r="B327" s="6"/>
      <c r="C327" s="6"/>
      <c r="D327" s="6"/>
      <c r="E327" s="6"/>
      <c r="F327" s="6"/>
      <c r="G327" s="6"/>
      <c r="H327" s="6"/>
      <c r="N327" s="1"/>
    </row>
    <row r="328" spans="1:14" ht="14.25">
      <c r="A328" s="12"/>
      <c r="B328" s="6"/>
      <c r="C328" s="6"/>
      <c r="D328" s="6"/>
      <c r="E328" s="6"/>
      <c r="F328" s="6"/>
      <c r="G328" s="6"/>
      <c r="H328" s="6"/>
      <c r="N328" s="1"/>
    </row>
    <row r="329" spans="1:14" ht="14.25">
      <c r="A329" s="12"/>
      <c r="B329" s="6"/>
      <c r="C329" s="6"/>
      <c r="D329" s="6"/>
      <c r="E329" s="6"/>
      <c r="F329" s="6"/>
      <c r="G329" s="6"/>
      <c r="H329" s="6"/>
      <c r="N329" s="1"/>
    </row>
    <row r="330" spans="1:14" ht="14.25">
      <c r="A330" s="12"/>
      <c r="B330" s="6"/>
      <c r="C330" s="6"/>
      <c r="D330" s="6"/>
      <c r="E330" s="6"/>
      <c r="F330" s="6"/>
      <c r="G330" s="6"/>
      <c r="H330" s="6"/>
      <c r="N330" s="1"/>
    </row>
    <row r="331" spans="1:14" ht="12.75" customHeight="1">
      <c r="A331" s="12"/>
      <c r="B331" s="6"/>
      <c r="C331" s="6"/>
      <c r="D331" s="6"/>
      <c r="E331" s="6"/>
      <c r="F331" s="6"/>
      <c r="G331" s="6"/>
      <c r="H331" s="6"/>
      <c r="N331"/>
    </row>
    <row r="332" spans="1:14" ht="12.75" customHeight="1">
      <c r="A332" s="5" t="s">
        <v>313</v>
      </c>
      <c r="B332" s="7" t="s">
        <v>2</v>
      </c>
      <c r="C332" s="6" t="s">
        <v>314</v>
      </c>
      <c r="E332" s="7" t="s">
        <v>4</v>
      </c>
      <c r="F332" s="6"/>
      <c r="G332" s="6"/>
      <c r="H332" s="6"/>
      <c r="N332"/>
    </row>
    <row r="333" spans="1:14" ht="14.25">
      <c r="A333" s="7" t="str">
        <f>_xlfn.TEXTJOIN(", ",1,A334:A340)</f>
        <v xml:space="preserve">Jacyllyths,  </v>
      </c>
      <c r="B333" s="7" t="str">
        <f>_xlfn.TEXTJOIN(", ",1,B334:B340)</f>
        <v/>
      </c>
      <c r="C333" s="7" t="str">
        <f>_xlfn.TEXTJOIN(", ",1,C334:C340)</f>
        <v/>
      </c>
      <c r="D333" s="7" t="str">
        <f>_xlfn.TEXTJOIN(", ",1,D334:D340)</f>
        <v>Eels; farming; glowlight, Horses; Livestock; Dairy, Poultry</v>
      </c>
      <c r="E333" s="10">
        <v>450</v>
      </c>
      <c r="F333" s="7" t="s">
        <v>8</v>
      </c>
      <c r="G333" s="7" t="s">
        <v>9</v>
      </c>
      <c r="H333" s="7" t="s">
        <v>10</v>
      </c>
      <c r="N333"/>
    </row>
    <row r="334" spans="1:14" ht="14.25">
      <c r="A334" s="12" t="s">
        <v>316</v>
      </c>
      <c r="B334" s="6"/>
      <c r="C334" s="6"/>
      <c r="D334" s="6" t="s">
        <v>317</v>
      </c>
      <c r="E334" s="6"/>
      <c r="F334" s="11">
        <v>2</v>
      </c>
      <c r="G334" s="11">
        <v>1.6</v>
      </c>
      <c r="H334" s="11">
        <v>4.0999999999999996</v>
      </c>
      <c r="N334"/>
    </row>
    <row r="335" spans="1:14" ht="14.25">
      <c r="A335" s="13" t="s">
        <v>1235</v>
      </c>
      <c r="B335" s="6"/>
      <c r="C335" s="6"/>
      <c r="D335" s="6" t="s">
        <v>318</v>
      </c>
      <c r="E335" s="6"/>
      <c r="F335" s="6"/>
      <c r="G335" s="6"/>
      <c r="H335" s="6"/>
      <c r="N335"/>
    </row>
    <row r="336" spans="1:14" ht="14.25">
      <c r="A336" s="13"/>
      <c r="B336" s="6"/>
      <c r="C336" s="6"/>
      <c r="D336" s="6" t="s">
        <v>319</v>
      </c>
      <c r="E336" s="6"/>
      <c r="F336" s="6"/>
      <c r="G336" s="6"/>
      <c r="H336" s="6"/>
      <c r="N336" s="1"/>
    </row>
    <row r="337" spans="1:14" ht="14.25">
      <c r="A337" s="13"/>
      <c r="B337" s="6"/>
      <c r="C337" s="6"/>
      <c r="D337" s="6"/>
      <c r="E337" s="6"/>
      <c r="F337" s="6"/>
      <c r="G337" s="6"/>
      <c r="H337" s="6"/>
      <c r="N337" s="1"/>
    </row>
    <row r="338" spans="1:14" ht="14.25">
      <c r="A338" s="13"/>
      <c r="B338" s="6"/>
      <c r="C338" s="6"/>
      <c r="D338" s="6"/>
      <c r="E338" s="6"/>
      <c r="F338" s="6"/>
      <c r="G338" s="6"/>
      <c r="H338" s="6"/>
      <c r="N338" s="1"/>
    </row>
    <row r="339" spans="1:14" ht="14.25">
      <c r="A339" s="13"/>
      <c r="B339" s="6"/>
      <c r="C339" s="6"/>
      <c r="D339" s="6"/>
      <c r="E339" s="6"/>
      <c r="F339" s="6"/>
      <c r="G339" s="6"/>
      <c r="H339" s="6"/>
      <c r="N339" s="1"/>
    </row>
    <row r="340" spans="1:14" ht="14.25">
      <c r="A340" s="13"/>
      <c r="B340" s="6"/>
      <c r="C340" s="6"/>
      <c r="D340" s="6"/>
      <c r="E340" s="6"/>
      <c r="F340" s="6"/>
      <c r="G340" s="6"/>
      <c r="H340" s="6"/>
      <c r="N340" s="1"/>
    </row>
    <row r="341" spans="1:14" ht="14.25">
      <c r="A341" s="13"/>
      <c r="B341" s="6"/>
      <c r="C341" s="6"/>
      <c r="D341" s="6"/>
      <c r="E341" s="6"/>
      <c r="F341" s="6"/>
      <c r="G341" s="6"/>
      <c r="H341" s="6"/>
      <c r="N341" s="1"/>
    </row>
    <row r="342" spans="1:14" ht="14.25">
      <c r="A342" s="13"/>
      <c r="B342" s="6"/>
      <c r="C342" s="6"/>
      <c r="E342" s="6"/>
      <c r="F342" s="6"/>
      <c r="G342" s="6"/>
      <c r="H342" s="6"/>
      <c r="N342"/>
    </row>
    <row r="343" spans="1:14" ht="12.75" customHeight="1">
      <c r="A343" s="12"/>
      <c r="B343" s="6"/>
      <c r="C343" s="6"/>
      <c r="D343" s="6"/>
      <c r="E343" s="6"/>
      <c r="F343" s="6"/>
      <c r="G343" s="6"/>
      <c r="H343" s="6"/>
      <c r="N343"/>
    </row>
    <row r="344" spans="1:14" ht="12.75" customHeight="1">
      <c r="A344" s="5" t="s">
        <v>320</v>
      </c>
      <c r="B344" s="7" t="s">
        <v>2</v>
      </c>
      <c r="C344" s="6" t="s">
        <v>321</v>
      </c>
      <c r="D344" s="6"/>
      <c r="E344" s="7" t="s">
        <v>4</v>
      </c>
      <c r="F344" s="6"/>
      <c r="G344" s="6"/>
      <c r="H344" s="6"/>
      <c r="N344"/>
    </row>
    <row r="345" spans="1:14" ht="14.25">
      <c r="A345" s="7" t="str">
        <f>_xlfn.TEXTJOIN(", ",1,A346:A352)</f>
        <v>Bloodil</v>
      </c>
      <c r="B345" s="7" t="str">
        <f>_xlfn.TEXTJOIN(", ",1,B346:B352)</f>
        <v xml:space="preserve"> </v>
      </c>
      <c r="C345" s="7" t="str">
        <f>_xlfn.TEXTJOIN(", ",1,C346:C352)</f>
        <v/>
      </c>
      <c r="D345" s="7" t="str">
        <f>_xlfn.TEXTJOIN(", ",1,D346:D352)</f>
        <v>Tinkered goods, Artworks, Metalsmithing, Mining, Armor and weapons</v>
      </c>
      <c r="E345" s="10" t="s">
        <v>323</v>
      </c>
      <c r="F345" s="7" t="s">
        <v>8</v>
      </c>
      <c r="G345" s="7" t="s">
        <v>9</v>
      </c>
      <c r="H345" s="7" t="s">
        <v>10</v>
      </c>
      <c r="N345"/>
    </row>
    <row r="346" spans="1:14" ht="14.25">
      <c r="A346" s="12" t="s">
        <v>324</v>
      </c>
      <c r="B346" s="6" t="s">
        <v>1235</v>
      </c>
      <c r="C346" s="6"/>
      <c r="D346" s="6" t="s">
        <v>325</v>
      </c>
      <c r="E346" s="10" t="s">
        <v>326</v>
      </c>
      <c r="F346" s="11">
        <v>2.8</v>
      </c>
      <c r="G346" s="11">
        <v>1.86</v>
      </c>
      <c r="H346" s="11">
        <v>4.7</v>
      </c>
      <c r="N346"/>
    </row>
    <row r="347" spans="1:14" ht="14.25">
      <c r="A347" s="12"/>
      <c r="B347" s="6"/>
      <c r="C347" s="6"/>
      <c r="D347" s="6" t="s">
        <v>327</v>
      </c>
      <c r="E347" s="10" t="s">
        <v>328</v>
      </c>
      <c r="F347" s="6"/>
      <c r="G347" s="6"/>
      <c r="H347" s="6"/>
      <c r="N347"/>
    </row>
    <row r="348" spans="1:14" ht="14.25">
      <c r="A348" s="12"/>
      <c r="B348" s="6"/>
      <c r="C348" s="6"/>
      <c r="D348" s="6" t="s">
        <v>26</v>
      </c>
      <c r="E348" s="6"/>
      <c r="F348" s="6"/>
      <c r="G348" s="6"/>
      <c r="H348" s="6"/>
      <c r="N348"/>
    </row>
    <row r="349" spans="1:14" ht="12.75" customHeight="1">
      <c r="A349" s="12"/>
      <c r="B349" s="6"/>
      <c r="C349" s="6"/>
      <c r="D349" s="6"/>
      <c r="E349" s="6"/>
      <c r="F349" s="6"/>
      <c r="G349" s="6"/>
      <c r="H349" s="6"/>
      <c r="N349"/>
    </row>
    <row r="350" spans="1:14" ht="12.75" customHeight="1">
      <c r="A350" s="12"/>
      <c r="B350" s="6"/>
      <c r="C350" s="6"/>
      <c r="D350" s="6"/>
      <c r="E350" s="6"/>
      <c r="F350" s="6"/>
      <c r="G350" s="6"/>
      <c r="H350" s="6"/>
      <c r="N350" s="1"/>
    </row>
    <row r="351" spans="1:14" ht="12.75" customHeight="1">
      <c r="A351" s="12"/>
      <c r="B351" s="6"/>
      <c r="C351" s="6"/>
      <c r="D351" s="6"/>
      <c r="E351" s="6"/>
      <c r="F351" s="6"/>
      <c r="G351" s="6"/>
      <c r="H351" s="6"/>
      <c r="N351" s="1"/>
    </row>
    <row r="352" spans="1:14" ht="12.75" customHeight="1">
      <c r="A352" s="12"/>
      <c r="B352" s="6"/>
      <c r="C352" s="6"/>
      <c r="D352" s="6"/>
      <c r="E352" s="6"/>
      <c r="F352" s="6"/>
      <c r="G352" s="6"/>
      <c r="H352" s="6"/>
      <c r="N352"/>
    </row>
    <row r="353" spans="1:14" ht="12.75" customHeight="1">
      <c r="A353" s="12"/>
      <c r="B353" s="6"/>
      <c r="C353" s="6"/>
      <c r="D353" s="6"/>
      <c r="E353" s="6"/>
      <c r="F353" s="6"/>
      <c r="G353" s="6"/>
      <c r="H353" s="6"/>
      <c r="N353"/>
    </row>
    <row r="354" spans="1:14" ht="14.25">
      <c r="A354" s="5" t="s">
        <v>329</v>
      </c>
      <c r="B354" s="7" t="s">
        <v>2</v>
      </c>
      <c r="C354" s="6" t="s">
        <v>330</v>
      </c>
      <c r="D354" s="22" t="s">
        <v>331</v>
      </c>
      <c r="E354" s="7" t="s">
        <v>4</v>
      </c>
      <c r="F354" s="6"/>
      <c r="G354" s="6"/>
      <c r="H354" s="6"/>
      <c r="N354"/>
    </row>
    <row r="355" spans="1:14" ht="14.25">
      <c r="A355" s="7" t="str">
        <f>_xlfn.TEXTJOIN(", ",1,A356:A362)</f>
        <v xml:space="preserve">Ongul </v>
      </c>
      <c r="B355" s="7" t="str">
        <f>_xlfn.TEXTJOIN(", ",1,B356:B362)</f>
        <v/>
      </c>
      <c r="C355" s="7" t="str">
        <f>_xlfn.TEXTJOIN(", ",1,C356:C362)</f>
        <v/>
      </c>
      <c r="D355" s="7" t="str">
        <f>_xlfn.TEXTJOIN(", ",1,D356:D362)</f>
        <v>Prosperous Miners, Forestry, Lumber, Furniture, Metalworking, Farming, Livestock</v>
      </c>
      <c r="E355" s="10">
        <v>221</v>
      </c>
      <c r="F355" s="7" t="s">
        <v>8</v>
      </c>
      <c r="G355" s="7" t="s">
        <v>9</v>
      </c>
      <c r="H355" s="7" t="s">
        <v>10</v>
      </c>
      <c r="N355"/>
    </row>
    <row r="356" spans="1:14" ht="14.25">
      <c r="A356" s="12" t="s">
        <v>1239</v>
      </c>
      <c r="B356" s="6"/>
      <c r="C356" s="6"/>
      <c r="D356" s="22" t="s">
        <v>332</v>
      </c>
      <c r="E356" s="6"/>
      <c r="F356" s="11">
        <v>2</v>
      </c>
      <c r="G356" s="11">
        <v>1.6</v>
      </c>
      <c r="H356" s="11">
        <v>4.0999999999999996</v>
      </c>
      <c r="N356"/>
    </row>
    <row r="357" spans="1:14" ht="14.25">
      <c r="A357" s="12"/>
      <c r="B357" s="6"/>
      <c r="C357" s="6"/>
      <c r="D357" s="6" t="s">
        <v>333</v>
      </c>
      <c r="E357" s="6"/>
      <c r="F357" s="6"/>
      <c r="G357" s="6"/>
      <c r="H357" s="6"/>
      <c r="N357"/>
    </row>
    <row r="358" spans="1:14" ht="14.25">
      <c r="A358" s="12"/>
      <c r="B358" s="6"/>
      <c r="C358" s="6"/>
      <c r="D358" s="6" t="s">
        <v>334</v>
      </c>
      <c r="E358" s="6"/>
      <c r="F358" s="6"/>
      <c r="G358" s="6"/>
      <c r="H358" s="6"/>
      <c r="N358"/>
    </row>
    <row r="359" spans="1:14" ht="14.25">
      <c r="A359" s="12"/>
      <c r="B359" s="6"/>
      <c r="C359" s="6"/>
      <c r="D359" s="6" t="s">
        <v>19</v>
      </c>
      <c r="E359" s="6"/>
      <c r="F359" s="6"/>
      <c r="G359" s="6"/>
      <c r="H359" s="6"/>
      <c r="N359"/>
    </row>
    <row r="360" spans="1:14" ht="12.75" customHeight="1">
      <c r="A360" s="12"/>
      <c r="B360" s="6"/>
      <c r="C360" s="6"/>
      <c r="D360" s="6"/>
      <c r="E360" s="6"/>
      <c r="F360" s="6"/>
      <c r="G360" s="6"/>
      <c r="H360" s="6"/>
      <c r="N360"/>
    </row>
    <row r="361" spans="1:14" ht="12.75" customHeight="1">
      <c r="A361" s="12"/>
      <c r="B361" s="6"/>
      <c r="C361" s="6"/>
      <c r="D361" s="6"/>
      <c r="E361" s="6"/>
      <c r="F361" s="6"/>
      <c r="G361" s="6"/>
      <c r="H361" s="6"/>
      <c r="N361"/>
    </row>
    <row r="362" spans="1:14" ht="12.75" customHeight="1">
      <c r="A362" s="12"/>
      <c r="B362" s="6"/>
      <c r="C362" s="6"/>
      <c r="D362" s="6"/>
      <c r="E362" s="6"/>
      <c r="F362" s="6"/>
      <c r="G362" s="6"/>
      <c r="H362" s="6"/>
      <c r="N362"/>
    </row>
    <row r="363" spans="1:14" ht="12.75" customHeight="1">
      <c r="A363" s="12"/>
      <c r="B363" s="6"/>
      <c r="C363" s="6"/>
      <c r="D363" s="6"/>
      <c r="E363" s="6"/>
      <c r="F363" s="6"/>
      <c r="G363" s="6"/>
      <c r="H363" s="6"/>
      <c r="N363"/>
    </row>
    <row r="364" spans="1:14" ht="12.75" customHeight="1">
      <c r="A364" s="5" t="s">
        <v>335</v>
      </c>
      <c r="B364" s="7" t="s">
        <v>2</v>
      </c>
      <c r="C364" s="6" t="s">
        <v>336</v>
      </c>
      <c r="E364" s="7" t="s">
        <v>4</v>
      </c>
      <c r="F364" s="6"/>
      <c r="G364" s="6"/>
      <c r="H364" s="6"/>
      <c r="N364"/>
    </row>
    <row r="365" spans="1:14" ht="14.25">
      <c r="A365" s="7" t="str">
        <f>_xlfn.TEXTJOIN(", ",1,A366:A372)</f>
        <v>Cormaerils, Obarstal</v>
      </c>
      <c r="B365" s="7" t="str">
        <f>_xlfn.TEXTJOIN(", ",1,B366:B372)</f>
        <v/>
      </c>
      <c r="C365" s="7" t="str">
        <f>_xlfn.TEXTJOIN(", ",1,C366:C372)</f>
        <v>Seven Suns Trading Coaster, Zathchos Trade House (RMH)</v>
      </c>
      <c r="D365" s="7" t="str">
        <f>_xlfn.TEXTJOIN(", ",1,D366:D372)</f>
        <v>Major City, Lot's of stuff</v>
      </c>
      <c r="E365" s="9">
        <v>12500</v>
      </c>
      <c r="F365" s="7" t="s">
        <v>8</v>
      </c>
      <c r="G365" s="7" t="s">
        <v>9</v>
      </c>
      <c r="H365" s="7" t="s">
        <v>10</v>
      </c>
      <c r="N365"/>
    </row>
    <row r="366" spans="1:14" ht="14.25">
      <c r="A366" s="6" t="s">
        <v>176</v>
      </c>
      <c r="B366" s="6"/>
      <c r="C366" s="6" t="s">
        <v>338</v>
      </c>
      <c r="D366" s="18" t="s">
        <v>339</v>
      </c>
      <c r="E366" s="6"/>
      <c r="F366" s="11">
        <v>2.9</v>
      </c>
      <c r="G366" s="11">
        <v>2.1</v>
      </c>
      <c r="H366" s="11">
        <v>4.7</v>
      </c>
      <c r="N366"/>
    </row>
    <row r="367" spans="1:14" ht="12.75" customHeight="1">
      <c r="A367" s="6" t="s">
        <v>340</v>
      </c>
      <c r="B367" s="6"/>
      <c r="C367" s="12" t="s">
        <v>53</v>
      </c>
      <c r="D367" s="18"/>
      <c r="E367" s="6"/>
      <c r="F367" s="6"/>
      <c r="G367" s="6"/>
      <c r="H367" s="6"/>
      <c r="N367"/>
    </row>
    <row r="368" spans="1:14" ht="12.75" customHeight="1">
      <c r="A368" s="6"/>
      <c r="B368" s="6"/>
      <c r="C368" s="12"/>
      <c r="D368" s="18"/>
      <c r="E368" s="6"/>
      <c r="F368" s="6"/>
      <c r="G368" s="6"/>
      <c r="H368" s="6"/>
      <c r="N368" s="1"/>
    </row>
    <row r="369" spans="1:14" ht="12.75" customHeight="1">
      <c r="A369" s="6"/>
      <c r="B369" s="6"/>
      <c r="C369" s="12"/>
      <c r="D369" s="18"/>
      <c r="E369" s="6"/>
      <c r="F369" s="6"/>
      <c r="G369" s="6"/>
      <c r="H369" s="6"/>
      <c r="N369" s="1"/>
    </row>
    <row r="370" spans="1:14" ht="12.75" customHeight="1">
      <c r="A370" s="6"/>
      <c r="B370" s="6"/>
      <c r="C370" s="12"/>
      <c r="D370" s="18"/>
      <c r="E370" s="6"/>
      <c r="F370" s="6"/>
      <c r="G370" s="6"/>
      <c r="H370" s="6"/>
      <c r="N370" s="1"/>
    </row>
    <row r="371" spans="1:14" ht="12.75" customHeight="1">
      <c r="A371" s="6"/>
      <c r="B371" s="6"/>
      <c r="C371" s="12"/>
      <c r="D371" s="18"/>
      <c r="E371" s="6"/>
      <c r="F371" s="6"/>
      <c r="G371" s="6"/>
      <c r="H371" s="6"/>
      <c r="N371" s="1"/>
    </row>
    <row r="372" spans="1:14" ht="12.75" customHeight="1">
      <c r="A372" s="6"/>
      <c r="B372" s="6"/>
      <c r="C372" s="12"/>
      <c r="D372" s="18"/>
      <c r="E372" s="6"/>
      <c r="F372" s="6"/>
      <c r="G372" s="6"/>
      <c r="H372" s="6"/>
      <c r="N372" s="1"/>
    </row>
    <row r="373" spans="1:14" ht="12.75" customHeight="1">
      <c r="A373" s="6"/>
      <c r="B373" s="6"/>
      <c r="C373" s="12"/>
      <c r="D373" s="18"/>
      <c r="E373" s="6"/>
      <c r="F373" s="6"/>
      <c r="G373" s="6"/>
      <c r="H373" s="6"/>
      <c r="N373" s="1"/>
    </row>
    <row r="374" spans="1:14" ht="12.75" customHeight="1">
      <c r="A374" s="6" t="s">
        <v>320</v>
      </c>
      <c r="B374" s="6"/>
      <c r="C374" s="6"/>
      <c r="D374" s="6"/>
      <c r="E374" s="6"/>
      <c r="F374" s="6"/>
      <c r="G374" s="6"/>
      <c r="H374" s="6"/>
      <c r="N374"/>
    </row>
    <row r="375" spans="1:14" ht="12.75" customHeight="1">
      <c r="A375" s="6"/>
      <c r="B375" s="6"/>
      <c r="C375" s="6"/>
      <c r="D375" s="6"/>
      <c r="E375" s="6"/>
      <c r="F375" s="6"/>
      <c r="G375" s="6"/>
      <c r="H375" s="6"/>
      <c r="N375"/>
    </row>
    <row r="376" spans="1:14" ht="12.75" customHeight="1">
      <c r="A376" s="5" t="s">
        <v>341</v>
      </c>
      <c r="B376" s="7" t="s">
        <v>2</v>
      </c>
      <c r="C376" s="6" t="s">
        <v>342</v>
      </c>
      <c r="E376" s="7" t="s">
        <v>4</v>
      </c>
      <c r="F376" s="6"/>
      <c r="G376" s="6"/>
      <c r="H376" s="6"/>
      <c r="N376"/>
    </row>
    <row r="377" spans="1:14" ht="14.25">
      <c r="A377" s="7" t="str">
        <f>_xlfn.TEXTJOIN(", ",1,A378:A384)</f>
        <v/>
      </c>
      <c r="B377" s="7" t="str">
        <f>_xlfn.TEXTJOIN(", ",1,B378:B384)</f>
        <v/>
      </c>
      <c r="C377" s="7" t="str">
        <f>_xlfn.TEXTJOIN(", ",1,C378:C384)</f>
        <v/>
      </c>
      <c r="D377" s="7" t="str">
        <f>_xlfn.TEXTJOIN(", ",1,D378:D384)</f>
        <v>Bricks; Adv Charterhouse, Merchant town</v>
      </c>
      <c r="E377" s="10">
        <v>1396</v>
      </c>
      <c r="F377" s="7" t="s">
        <v>8</v>
      </c>
      <c r="G377" s="7" t="s">
        <v>9</v>
      </c>
      <c r="H377" s="7" t="s">
        <v>10</v>
      </c>
      <c r="N377"/>
    </row>
    <row r="378" spans="1:14" ht="14.25">
      <c r="A378" s="6"/>
      <c r="B378" s="6"/>
      <c r="C378" s="6"/>
      <c r="D378" s="6" t="s">
        <v>343</v>
      </c>
      <c r="E378" s="6"/>
      <c r="F378" s="11">
        <v>2.8</v>
      </c>
      <c r="G378" s="11">
        <v>2.1</v>
      </c>
      <c r="H378" s="11">
        <v>6.7</v>
      </c>
      <c r="N378"/>
    </row>
    <row r="379" spans="1:14" ht="14.25">
      <c r="A379" s="6"/>
      <c r="B379" s="6"/>
      <c r="C379" s="6"/>
      <c r="D379" s="6" t="s">
        <v>344</v>
      </c>
      <c r="E379" s="6"/>
      <c r="F379" s="6"/>
      <c r="G379" s="6"/>
      <c r="H379" s="6"/>
      <c r="N379"/>
    </row>
    <row r="380" spans="1:14" ht="14.25">
      <c r="A380" s="6"/>
      <c r="B380" s="6"/>
      <c r="C380" s="6"/>
      <c r="D380" s="6"/>
      <c r="E380" s="6"/>
      <c r="F380" s="6"/>
      <c r="G380" s="6"/>
      <c r="H380" s="6"/>
      <c r="N380" s="1"/>
    </row>
    <row r="381" spans="1:14" ht="14.25">
      <c r="A381" s="6"/>
      <c r="B381" s="6"/>
      <c r="C381" s="6"/>
      <c r="D381" s="6"/>
      <c r="E381" s="6"/>
      <c r="F381" s="6"/>
      <c r="G381" s="6"/>
      <c r="H381" s="6"/>
      <c r="N381" s="1"/>
    </row>
    <row r="382" spans="1:14" ht="14.25">
      <c r="A382" s="6"/>
      <c r="B382" s="6"/>
      <c r="C382" s="6"/>
      <c r="D382" s="6"/>
      <c r="E382" s="6"/>
      <c r="F382" s="6"/>
      <c r="G382" s="6"/>
      <c r="H382" s="6"/>
      <c r="N382" s="1"/>
    </row>
    <row r="383" spans="1:14" ht="14.25">
      <c r="A383" s="6"/>
      <c r="B383" s="6"/>
      <c r="C383" s="6"/>
      <c r="D383" s="6"/>
      <c r="E383" s="6"/>
      <c r="F383" s="6"/>
      <c r="G383" s="6"/>
      <c r="H383" s="6"/>
      <c r="N383" s="1"/>
    </row>
    <row r="384" spans="1:14" ht="12.75" customHeight="1">
      <c r="A384" s="13"/>
      <c r="B384" s="6"/>
      <c r="C384" s="6"/>
      <c r="D384" s="6"/>
      <c r="E384" s="6"/>
      <c r="F384" s="6"/>
      <c r="G384" s="6"/>
      <c r="H384" s="6"/>
      <c r="N384"/>
    </row>
    <row r="385" spans="1:14" ht="12.75" customHeight="1">
      <c r="A385" s="12"/>
      <c r="B385" s="6"/>
      <c r="C385" s="6"/>
      <c r="D385" s="6"/>
      <c r="E385" s="6"/>
      <c r="F385" s="6"/>
      <c r="G385" s="6"/>
      <c r="H385" s="6"/>
      <c r="N385"/>
    </row>
    <row r="386" spans="1:14" ht="12.75" customHeight="1">
      <c r="A386" s="5" t="s">
        <v>345</v>
      </c>
      <c r="B386" s="7" t="s">
        <v>2</v>
      </c>
      <c r="C386" s="6" t="s">
        <v>346</v>
      </c>
      <c r="E386" s="7" t="s">
        <v>4</v>
      </c>
      <c r="F386" s="6"/>
      <c r="G386" s="6"/>
      <c r="H386" s="6"/>
      <c r="N386"/>
    </row>
    <row r="387" spans="1:14" ht="14.25">
      <c r="A387" s="7" t="str">
        <f>_xlfn.TEXTJOIN(", ",1,A388:A394)</f>
        <v>Nelduks, Slingdyke</v>
      </c>
      <c r="B387" s="7" t="str">
        <f>_xlfn.TEXTJOIN(", ",1,B388:B394)</f>
        <v>Lord of City</v>
      </c>
      <c r="C387" s="7" t="str">
        <f>_xlfn.TEXTJOIN(", ",1,C388:C394)</f>
        <v>Major Trade Route, Horse-breeders, Advernturers Charter House</v>
      </c>
      <c r="D387" s="7" t="str">
        <f>_xlfn.TEXTJOIN(", ",1,D388:D394)</f>
        <v>Mining; Adventuring, Quarried Rock, Marble, Armor and Weapons</v>
      </c>
      <c r="E387" s="10" t="s">
        <v>348</v>
      </c>
      <c r="F387" s="7" t="s">
        <v>8</v>
      </c>
      <c r="G387" s="7" t="s">
        <v>9</v>
      </c>
      <c r="H387" s="7" t="s">
        <v>10</v>
      </c>
      <c r="N387"/>
    </row>
    <row r="388" spans="1:14" ht="14.25">
      <c r="A388" s="12" t="s">
        <v>204</v>
      </c>
      <c r="B388" s="6"/>
      <c r="C388" s="6"/>
      <c r="D388" s="6" t="s">
        <v>349</v>
      </c>
      <c r="E388" s="10" t="s">
        <v>118</v>
      </c>
      <c r="F388" s="11">
        <v>2.7</v>
      </c>
      <c r="G388" s="11">
        <v>2.2000000000000002</v>
      </c>
      <c r="H388" s="11">
        <v>5.6</v>
      </c>
      <c r="N388"/>
    </row>
    <row r="389" spans="1:14" ht="14.25">
      <c r="A389" s="12"/>
      <c r="B389" s="6"/>
      <c r="C389" s="6"/>
      <c r="D389" s="6" t="s">
        <v>350</v>
      </c>
      <c r="E389" s="6"/>
      <c r="F389" s="6"/>
      <c r="G389" s="6"/>
      <c r="H389" s="6"/>
      <c r="N389"/>
    </row>
    <row r="390" spans="1:14" ht="14.25">
      <c r="A390" s="12"/>
      <c r="B390" s="6"/>
      <c r="C390" s="6"/>
      <c r="D390" s="6" t="s">
        <v>123</v>
      </c>
      <c r="E390" s="6"/>
      <c r="F390" s="6"/>
      <c r="G390" s="6"/>
      <c r="H390" s="6"/>
      <c r="N390"/>
    </row>
    <row r="391" spans="1:14" ht="14.25">
      <c r="A391" s="12"/>
      <c r="B391" s="6"/>
      <c r="C391" s="6"/>
      <c r="D391" s="6"/>
      <c r="E391" s="6"/>
      <c r="F391" s="6"/>
      <c r="G391" s="6"/>
      <c r="H391" s="6"/>
      <c r="N391" s="1"/>
    </row>
    <row r="392" spans="1:14" ht="12.75" customHeight="1">
      <c r="A392" s="12"/>
      <c r="B392" s="6"/>
      <c r="C392" s="6"/>
      <c r="D392" s="6"/>
      <c r="E392" s="6"/>
      <c r="F392" s="6"/>
      <c r="G392" s="6"/>
      <c r="H392" s="6"/>
      <c r="N392"/>
    </row>
    <row r="393" spans="1:14" ht="12.75" customHeight="1">
      <c r="A393" s="12"/>
      <c r="B393" s="6"/>
      <c r="C393" s="6"/>
      <c r="D393" s="6"/>
      <c r="E393" s="6"/>
      <c r="F393" s="6"/>
      <c r="G393" s="6"/>
      <c r="H393" s="6"/>
      <c r="N393"/>
    </row>
    <row r="394" spans="1:14" ht="12.75" customHeight="1">
      <c r="A394" s="5" t="s">
        <v>351</v>
      </c>
      <c r="B394" s="7" t="s">
        <v>2</v>
      </c>
      <c r="C394" s="6" t="s">
        <v>352</v>
      </c>
      <c r="E394" s="7" t="s">
        <v>4</v>
      </c>
      <c r="F394" s="6"/>
      <c r="G394" s="6"/>
      <c r="H394" s="6"/>
      <c r="N394"/>
    </row>
    <row r="395" spans="1:14" ht="14.25">
      <c r="A395" s="7" t="str">
        <f>_xlfn.TEXTJOIN(", ",1,A396:A402)</f>
        <v>Seshores</v>
      </c>
      <c r="B395" s="7" t="str">
        <f>_xlfn.TEXTJOIN(", ",1,B396:B402)</f>
        <v/>
      </c>
      <c r="C395" s="7" t="str">
        <f>_xlfn.TEXTJOIN(", ",1,C396:C402)</f>
        <v/>
      </c>
      <c r="D395" s="7" t="str">
        <f>_xlfn.TEXTJOIN(", ",1,D396:D402)</f>
        <v>Farming, Horse-breeding, Livestock, Dairy, Breads, Cheeses</v>
      </c>
      <c r="E395" s="10">
        <v>1211</v>
      </c>
      <c r="F395" s="7" t="s">
        <v>8</v>
      </c>
      <c r="G395" s="7" t="s">
        <v>9</v>
      </c>
      <c r="H395" s="7" t="s">
        <v>10</v>
      </c>
      <c r="N395"/>
    </row>
    <row r="396" spans="1:14" ht="14.25">
      <c r="A396" s="12" t="s">
        <v>354</v>
      </c>
      <c r="B396" s="6"/>
      <c r="C396" s="6"/>
      <c r="D396" s="6" t="s">
        <v>355</v>
      </c>
      <c r="E396" s="6"/>
      <c r="F396" s="11">
        <v>1.1000000000000001</v>
      </c>
      <c r="G396" s="11">
        <v>0.85</v>
      </c>
      <c r="H396" s="11">
        <v>3.1</v>
      </c>
      <c r="N396"/>
    </row>
    <row r="397" spans="1:14" ht="14.25">
      <c r="A397" s="12"/>
      <c r="B397" s="6"/>
      <c r="C397" s="6"/>
      <c r="D397" s="6" t="s">
        <v>356</v>
      </c>
      <c r="E397" s="6"/>
      <c r="F397" s="6"/>
      <c r="G397" s="6"/>
      <c r="H397" s="6"/>
      <c r="N397"/>
    </row>
    <row r="398" spans="1:14" ht="14.25">
      <c r="A398" s="12"/>
      <c r="B398" s="6"/>
      <c r="C398" s="6"/>
      <c r="D398" s="6" t="s">
        <v>357</v>
      </c>
      <c r="E398" s="6"/>
      <c r="F398" s="6"/>
      <c r="G398" s="6"/>
      <c r="H398" s="6"/>
      <c r="N398"/>
    </row>
    <row r="399" spans="1:14" ht="14.25">
      <c r="A399" s="12"/>
      <c r="B399" s="6"/>
      <c r="C399" s="6"/>
      <c r="D399" s="6"/>
      <c r="E399" s="6"/>
      <c r="F399" s="6"/>
      <c r="G399" s="6"/>
      <c r="H399" s="6"/>
      <c r="N399" s="1"/>
    </row>
    <row r="400" spans="1:14" ht="14.25">
      <c r="A400" s="12"/>
      <c r="B400" s="6"/>
      <c r="C400" s="6"/>
      <c r="D400" s="6"/>
      <c r="E400" s="6"/>
      <c r="F400" s="6"/>
      <c r="G400" s="6"/>
      <c r="H400" s="6"/>
      <c r="N400" s="1"/>
    </row>
    <row r="401" spans="1:14" ht="14.25">
      <c r="A401" s="12"/>
      <c r="B401" s="6"/>
      <c r="C401" s="6"/>
      <c r="D401" s="6"/>
      <c r="E401" s="6"/>
      <c r="F401" s="6"/>
      <c r="G401" s="6"/>
      <c r="H401" s="6"/>
      <c r="N401" s="1"/>
    </row>
    <row r="402" spans="1:14" ht="14.25">
      <c r="A402" s="12"/>
      <c r="B402" s="6"/>
      <c r="C402" s="6"/>
      <c r="D402" s="6"/>
      <c r="E402" s="6"/>
      <c r="F402" s="6"/>
      <c r="G402" s="6"/>
      <c r="H402" s="6"/>
      <c r="N402" s="1"/>
    </row>
    <row r="403" spans="1:14" ht="12.75" customHeight="1">
      <c r="A403" s="12"/>
      <c r="B403" s="6"/>
      <c r="C403" s="6"/>
      <c r="D403" s="6"/>
      <c r="E403" s="6"/>
      <c r="F403" s="6"/>
      <c r="G403" s="6"/>
      <c r="H403" s="6"/>
      <c r="N403"/>
    </row>
    <row r="404" spans="1:14" ht="12.75" customHeight="1">
      <c r="A404" s="5" t="s">
        <v>358</v>
      </c>
      <c r="B404" s="7" t="s">
        <v>2</v>
      </c>
      <c r="C404" s="6" t="s">
        <v>359</v>
      </c>
      <c r="E404" s="7" t="s">
        <v>4</v>
      </c>
      <c r="F404" s="6"/>
      <c r="G404" s="6"/>
      <c r="H404" s="6"/>
      <c r="N404"/>
    </row>
    <row r="405" spans="1:14" ht="14.25">
      <c r="A405" s="7" t="str">
        <f>_xlfn.TEXTJOIN(", ",1,A406:A412)</f>
        <v>Bleths</v>
      </c>
      <c r="B405" s="7" t="str">
        <f>_xlfn.TEXTJOIN(", ",1,B406:B412)</f>
        <v/>
      </c>
      <c r="C405" s="7" t="str">
        <f>_xlfn.TEXTJOIN(", ",1,C406:C412)</f>
        <v>Iron House (RMH), Zathchos Trade House (RMH), Iron Throne (RMH)</v>
      </c>
      <c r="D405" s="7" t="str">
        <f>_xlfn.TEXTJOIN(", ",1,D406:D412)</f>
        <v>Seafood; shellfish; pirate-booty</v>
      </c>
      <c r="E405" s="10" t="s">
        <v>360</v>
      </c>
      <c r="F405" s="7" t="s">
        <v>8</v>
      </c>
      <c r="G405" s="7" t="s">
        <v>9</v>
      </c>
      <c r="H405" s="7" t="s">
        <v>10</v>
      </c>
      <c r="N405"/>
    </row>
    <row r="406" spans="1:14" ht="14.25">
      <c r="A406" s="6" t="s">
        <v>361</v>
      </c>
      <c r="B406" s="6"/>
      <c r="C406" s="6" t="s">
        <v>362</v>
      </c>
      <c r="D406" s="22" t="s">
        <v>363</v>
      </c>
      <c r="E406" s="10" t="s">
        <v>364</v>
      </c>
      <c r="F406" s="11">
        <v>0.85</v>
      </c>
      <c r="G406" s="11">
        <v>0.79</v>
      </c>
      <c r="H406" s="11">
        <v>2.1</v>
      </c>
      <c r="N406"/>
    </row>
    <row r="407" spans="1:14" ht="12.75" customHeight="1">
      <c r="A407" s="6"/>
      <c r="B407" s="6"/>
      <c r="C407" s="12" t="s">
        <v>53</v>
      </c>
      <c r="D407" s="22"/>
      <c r="E407" s="6"/>
      <c r="F407" s="6"/>
      <c r="G407" s="6"/>
      <c r="H407" s="6"/>
      <c r="N407"/>
    </row>
    <row r="408" spans="1:14" ht="12.75" customHeight="1">
      <c r="A408" s="6"/>
      <c r="B408" s="6"/>
      <c r="C408" s="6" t="s">
        <v>365</v>
      </c>
      <c r="D408" s="22"/>
      <c r="E408" s="6"/>
      <c r="F408" s="6"/>
      <c r="G408" s="6"/>
      <c r="H408" s="6"/>
      <c r="N408"/>
    </row>
    <row r="409" spans="1:14" ht="12.75" customHeight="1">
      <c r="A409" s="6"/>
      <c r="B409" s="6"/>
      <c r="C409" s="6"/>
      <c r="D409" s="22"/>
      <c r="E409" s="6"/>
      <c r="F409" s="6"/>
      <c r="G409" s="6"/>
      <c r="H409" s="6"/>
      <c r="N409" s="1"/>
    </row>
    <row r="410" spans="1:14" ht="12.75" customHeight="1">
      <c r="A410" s="6"/>
      <c r="B410" s="6"/>
      <c r="C410" s="6"/>
      <c r="D410" s="22"/>
      <c r="E410" s="6"/>
      <c r="F410" s="6"/>
      <c r="G410" s="6"/>
      <c r="H410" s="6"/>
      <c r="N410" s="1"/>
    </row>
    <row r="411" spans="1:14" ht="12.75" customHeight="1">
      <c r="A411" s="6"/>
      <c r="B411" s="6"/>
      <c r="C411" s="6"/>
      <c r="D411" s="22"/>
      <c r="E411" s="6"/>
      <c r="F411" s="6"/>
      <c r="G411" s="6"/>
      <c r="H411" s="6"/>
      <c r="N411"/>
    </row>
    <row r="412" spans="1:14" ht="12.75" customHeight="1">
      <c r="A412" s="6"/>
      <c r="B412" s="6"/>
      <c r="C412" s="6"/>
      <c r="D412" s="22"/>
      <c r="E412" s="6"/>
      <c r="F412" s="6"/>
      <c r="G412" s="6"/>
      <c r="H412" s="6"/>
      <c r="N412"/>
    </row>
    <row r="413" spans="1:14" ht="12.75" customHeight="1">
      <c r="A413" s="5" t="s">
        <v>366</v>
      </c>
      <c r="B413" s="7" t="s">
        <v>2</v>
      </c>
      <c r="C413" s="6" t="s">
        <v>367</v>
      </c>
      <c r="D413" s="6"/>
      <c r="E413" s="7" t="s">
        <v>4</v>
      </c>
      <c r="F413" s="6"/>
      <c r="G413" s="6"/>
      <c r="H413" s="6"/>
      <c r="N413"/>
    </row>
    <row r="414" spans="1:14" ht="14.25">
      <c r="A414" s="7" t="str">
        <f>_xlfn.TEXTJOIN(", ",1,A415:A421)</f>
        <v>Crownsilvers, Hawksongs, Huntsilvers, Truesilvers</v>
      </c>
      <c r="B414" s="7" t="str">
        <f>_xlfn.TEXTJOIN(", ",1,B415:B421)</f>
        <v/>
      </c>
      <c r="C414" s="7" t="str">
        <f>_xlfn.TEXTJOIN(", ",1,C415:C421)</f>
        <v/>
      </c>
      <c r="D414" s="7" t="str">
        <f>_xlfn.TEXTJOIN(", ",1,D415:D421)</f>
        <v/>
      </c>
      <c r="E414" s="10">
        <v>219</v>
      </c>
      <c r="F414" s="7" t="s">
        <v>8</v>
      </c>
      <c r="G414" s="7" t="s">
        <v>9</v>
      </c>
      <c r="H414" s="7" t="s">
        <v>10</v>
      </c>
      <c r="N414"/>
    </row>
    <row r="415" spans="1:14" ht="12.75" customHeight="1">
      <c r="A415" s="6" t="s">
        <v>369</v>
      </c>
      <c r="B415" s="6"/>
      <c r="C415" s="6"/>
      <c r="D415" s="6"/>
      <c r="E415" s="6"/>
      <c r="F415" s="11">
        <v>3.2</v>
      </c>
      <c r="G415" s="11">
        <v>2.9</v>
      </c>
      <c r="H415" s="11">
        <v>5.6</v>
      </c>
      <c r="N415"/>
    </row>
    <row r="416" spans="1:14" ht="12.75" customHeight="1">
      <c r="A416" s="6" t="s">
        <v>370</v>
      </c>
      <c r="B416" s="6"/>
      <c r="C416" s="6"/>
      <c r="D416" s="6"/>
      <c r="E416" s="6"/>
      <c r="F416" s="6" t="s">
        <v>371</v>
      </c>
      <c r="G416" s="6"/>
      <c r="H416" s="6"/>
      <c r="N416"/>
    </row>
    <row r="417" spans="1:14" ht="12.75" customHeight="1">
      <c r="A417" s="6" t="s">
        <v>372</v>
      </c>
      <c r="B417" s="6"/>
      <c r="C417" s="6"/>
      <c r="D417" s="6"/>
      <c r="E417" s="6"/>
      <c r="F417" s="6" t="s">
        <v>373</v>
      </c>
      <c r="G417" s="6"/>
      <c r="H417" s="6"/>
      <c r="N417"/>
    </row>
    <row r="418" spans="1:14" ht="12.75" customHeight="1">
      <c r="A418" s="6" t="s">
        <v>278</v>
      </c>
      <c r="B418" s="6"/>
      <c r="C418" s="6"/>
      <c r="D418" s="6"/>
      <c r="E418" s="6"/>
      <c r="F418" s="6"/>
      <c r="G418" s="6"/>
      <c r="H418" s="6"/>
      <c r="N418"/>
    </row>
    <row r="419" spans="1:14" ht="12.75" customHeight="1">
      <c r="A419" s="6"/>
      <c r="B419" s="6"/>
      <c r="C419" s="6"/>
      <c r="D419" s="6"/>
      <c r="E419" s="6"/>
      <c r="F419" s="6"/>
      <c r="G419" s="6"/>
      <c r="H419" s="6"/>
      <c r="N419"/>
    </row>
    <row r="420" spans="1:14" ht="12.75" customHeight="1">
      <c r="A420" s="6"/>
      <c r="B420" s="6"/>
      <c r="C420" s="6"/>
      <c r="D420" s="6"/>
      <c r="E420" s="6"/>
      <c r="F420" s="6"/>
      <c r="G420" s="6"/>
      <c r="H420" s="6"/>
      <c r="N420"/>
    </row>
    <row r="421" spans="1:14" ht="12.75" customHeight="1">
      <c r="A421" s="6"/>
      <c r="B421" s="6"/>
      <c r="C421" s="6"/>
      <c r="D421" s="6"/>
      <c r="E421" s="6"/>
      <c r="F421" s="6"/>
      <c r="G421" s="6"/>
      <c r="H421" s="6"/>
      <c r="N421"/>
    </row>
    <row r="422" spans="1:14" ht="12.75" customHeight="1">
      <c r="A422" s="6"/>
      <c r="B422" s="6"/>
      <c r="C422" s="6"/>
      <c r="D422" s="6"/>
      <c r="E422" s="6"/>
      <c r="F422" s="6"/>
      <c r="G422" s="6"/>
      <c r="H422" s="6"/>
      <c r="N422"/>
    </row>
    <row r="423" spans="1:14" ht="12.75" customHeight="1">
      <c r="A423" s="6"/>
      <c r="B423" s="6"/>
      <c r="C423" s="6"/>
      <c r="D423" s="6"/>
      <c r="E423" s="6"/>
      <c r="F423" s="6"/>
      <c r="G423" s="6"/>
      <c r="H423" s="6"/>
      <c r="N423"/>
    </row>
    <row r="424" spans="1:14" ht="12.75" customHeight="1">
      <c r="A424" s="6"/>
      <c r="B424" s="6"/>
      <c r="C424" s="6"/>
      <c r="D424" s="6"/>
      <c r="E424" s="6"/>
      <c r="F424" s="6"/>
      <c r="G424" s="6"/>
      <c r="H424" s="6"/>
      <c r="N424"/>
    </row>
    <row r="425" spans="1:14" ht="12.75" customHeight="1">
      <c r="A425" s="6"/>
      <c r="B425" s="6"/>
      <c r="C425" s="6"/>
      <c r="D425" s="6"/>
      <c r="E425" s="6"/>
      <c r="F425" s="6"/>
      <c r="G425" s="6"/>
      <c r="H425" s="6"/>
      <c r="N425"/>
    </row>
    <row r="426" spans="1:14" ht="12.75" customHeight="1">
      <c r="A426" s="5" t="s">
        <v>374</v>
      </c>
      <c r="B426" s="7" t="s">
        <v>2</v>
      </c>
      <c r="C426" s="6" t="s">
        <v>375</v>
      </c>
      <c r="D426" s="6"/>
      <c r="E426" s="7" t="s">
        <v>4</v>
      </c>
      <c r="F426" s="6" t="s">
        <v>30</v>
      </c>
      <c r="G426" s="6"/>
      <c r="H426" s="6"/>
      <c r="N426"/>
    </row>
    <row r="427" spans="1:14" ht="14.25">
      <c r="A427" s="7" t="str">
        <f>_xlfn.TEXTJOIN(", ",1,A428:A468)</f>
        <v>Obarskyrs, Sthavars, Crownsilvers, Huntsilver, Truesilver, Blacksilvers, Cormaeril, Dauntinghorn, Goldsword, Huntcrown, Illance, Blackwagon, Belstable, Bleth, Calantar, Ebonhawk, Emmarask, Goldwyn, Greenmantle, Hardcastle, Hawklin, Hornshields, Ireabor, Jacyllyth, Jarnuxlin, Lionsyn, Longbrooke, Marliir, Nelduks, Rallyhorn, Rowanmantle, Santedul, Seshores, Silverhorn, Silversword, Tapstorn, Thunderswords, Tilthars, Wyvernspur, Zathchos</v>
      </c>
      <c r="B427" s="7" t="str">
        <f>_xlfn.TEXTJOIN(", ",1,B428:B468)</f>
        <v>Auantiver, Axehand, Bloodil, Dzavar, Flurryfeet, Greybeards, Hawksongs, Janders, Kisbins, Kranior, Kuhtan, Lhal, Magnoir, Morler, Obarstal, Redbeard, Scoril, Sthavar, Sudacar, Winter, Woodbrand</v>
      </c>
      <c r="C427" s="7" t="str">
        <f>_xlfn.TEXTJOIN(", ",1,C428:C468)</f>
        <v>Dragoneye Dealing Coster (RMH)   Bezenttar, Firehands Group, Six Coffers Market Priakos, Trueshields Trading Priakos, Zathchos Trade House (RMH), Baerlar Tradesons (NMH), Bhela, Dragoneye Trading Coster (RMH), Gelzunduth, Hiloar, Iron House Trading Emporioum (RMH), Raliqh, Misrim, Nyaril, Thond, Thousandheads, Seven Suns Trading Coaster, Thaelin's Fineworks (NMH) Nice wooden craftings, Pixie Cap Traders (NMH) - Huntcrowns -, Five Fine Fish Brewery (ales &amp; beer)Elminster's brew, Immersea Winery (NMH), Mrastos (NMH), Galandor's Glassworks, Belstable Farms (NMH), Tuskin's Herbs (NMH), Maerun Stoutbold (NMH), Flurryfeet Produce (NMH), Tilverton Horse Emporium (RMH), Tanalar's Fine Mounts (RMH), Dundar's Fine Blades (NMH), Cormaeril Trade House (RMH), Battlestorm Brewery (NMH), Jaarginaarg Hlugnorgyn Tradekind (dwarfMerchants), GrapesofBogville Trading House (NMH), Royal Blood Carvers and Carpenters (NMH)</v>
      </c>
      <c r="D427" s="7" t="str">
        <f>_xlfn.TEXTJOIN(", ",1,D428:D468)</f>
        <v>Everything you'd possibly want</v>
      </c>
      <c r="E427" s="9" t="s">
        <v>376</v>
      </c>
      <c r="F427" s="7" t="s">
        <v>8</v>
      </c>
      <c r="G427" s="7" t="s">
        <v>9</v>
      </c>
      <c r="H427" s="7" t="s">
        <v>10</v>
      </c>
      <c r="N427"/>
    </row>
    <row r="428" spans="1:14" ht="14.25">
      <c r="A428" s="6" t="s">
        <v>183</v>
      </c>
      <c r="B428" s="6"/>
      <c r="C428" s="6" t="s">
        <v>1240</v>
      </c>
      <c r="D428" s="22" t="s">
        <v>377</v>
      </c>
      <c r="E428" s="10" t="s">
        <v>378</v>
      </c>
      <c r="F428" s="11">
        <v>2.4</v>
      </c>
      <c r="G428" s="11">
        <v>1.85</v>
      </c>
      <c r="H428" s="11">
        <v>3.5</v>
      </c>
      <c r="N428"/>
    </row>
    <row r="429" spans="1:14" ht="12.75" customHeight="1">
      <c r="A429" s="6" t="s">
        <v>379</v>
      </c>
      <c r="B429" s="6"/>
      <c r="C429" s="6" t="s">
        <v>380</v>
      </c>
      <c r="D429" s="22"/>
      <c r="E429" s="10" t="s">
        <v>381</v>
      </c>
      <c r="F429" s="6"/>
      <c r="G429" s="6"/>
      <c r="H429" s="6"/>
      <c r="N429"/>
    </row>
    <row r="430" spans="1:14" ht="12.75" customHeight="1">
      <c r="A430" s="12" t="s">
        <v>369</v>
      </c>
      <c r="B430" s="6"/>
      <c r="C430" s="6" t="s">
        <v>382</v>
      </c>
      <c r="D430" s="6"/>
      <c r="E430" s="10" t="s">
        <v>383</v>
      </c>
      <c r="F430" s="6"/>
      <c r="G430" s="6"/>
      <c r="H430" s="6"/>
      <c r="N430"/>
    </row>
    <row r="431" spans="1:14" ht="12.75" customHeight="1">
      <c r="A431" s="12" t="s">
        <v>86</v>
      </c>
      <c r="B431" s="6"/>
      <c r="C431" s="6" t="s">
        <v>384</v>
      </c>
      <c r="D431" s="6"/>
      <c r="E431" s="10" t="s">
        <v>385</v>
      </c>
      <c r="F431" s="6"/>
      <c r="G431" s="6"/>
      <c r="H431" s="6"/>
      <c r="N431"/>
    </row>
    <row r="432" spans="1:14" ht="12.75" customHeight="1">
      <c r="A432" s="12" t="s">
        <v>386</v>
      </c>
      <c r="B432" s="6"/>
      <c r="C432" s="12" t="s">
        <v>53</v>
      </c>
      <c r="D432" s="6"/>
      <c r="E432" s="6"/>
      <c r="F432" s="6"/>
      <c r="G432" s="6"/>
      <c r="H432" s="6"/>
      <c r="N432"/>
    </row>
    <row r="433" spans="1:14" ht="12.75" customHeight="1">
      <c r="A433" s="12" t="s">
        <v>387</v>
      </c>
      <c r="B433" s="6"/>
      <c r="C433" s="6" t="s">
        <v>388</v>
      </c>
      <c r="D433" s="6"/>
      <c r="E433" s="6"/>
      <c r="F433" s="6"/>
      <c r="G433" s="6"/>
      <c r="H433" s="6"/>
      <c r="N433"/>
    </row>
    <row r="434" spans="1:14" ht="12.75" customHeight="1">
      <c r="A434" s="12" t="s">
        <v>92</v>
      </c>
      <c r="B434" s="6"/>
      <c r="C434" s="12" t="s">
        <v>15</v>
      </c>
      <c r="D434" s="6"/>
      <c r="E434" s="6"/>
      <c r="F434" s="6"/>
      <c r="G434" s="6"/>
      <c r="H434" s="6"/>
      <c r="N434"/>
    </row>
    <row r="435" spans="1:14" ht="12.75" customHeight="1">
      <c r="A435" s="12" t="s">
        <v>164</v>
      </c>
      <c r="B435" s="6"/>
      <c r="C435" s="12" t="s">
        <v>389</v>
      </c>
      <c r="D435" s="6"/>
      <c r="E435" s="6"/>
      <c r="F435" s="6"/>
      <c r="G435" s="6"/>
      <c r="H435" s="6"/>
      <c r="N435"/>
    </row>
    <row r="436" spans="1:14" ht="12.75" customHeight="1">
      <c r="A436" s="12" t="s">
        <v>390</v>
      </c>
      <c r="B436" s="6"/>
      <c r="C436" s="12" t="s">
        <v>21</v>
      </c>
      <c r="D436" s="6"/>
      <c r="E436" s="6"/>
      <c r="F436" s="6"/>
      <c r="G436" s="6"/>
      <c r="H436" s="6"/>
      <c r="N436"/>
    </row>
    <row r="437" spans="1:14" ht="12.75" customHeight="1">
      <c r="A437" s="12" t="s">
        <v>11</v>
      </c>
      <c r="B437" s="6"/>
      <c r="C437" s="12" t="s">
        <v>23</v>
      </c>
      <c r="D437" s="6"/>
      <c r="E437" s="6"/>
      <c r="F437" s="6"/>
      <c r="G437" s="6"/>
      <c r="H437" s="6"/>
      <c r="N437"/>
    </row>
    <row r="438" spans="1:14" ht="12.75" customHeight="1">
      <c r="A438" s="15" t="s">
        <v>79</v>
      </c>
      <c r="B438" s="6"/>
      <c r="C438" s="12" t="s">
        <v>391</v>
      </c>
      <c r="D438" s="6"/>
      <c r="E438" s="6"/>
      <c r="F438" s="6"/>
      <c r="G438" s="6"/>
      <c r="H438" s="6"/>
      <c r="N438"/>
    </row>
    <row r="439" spans="1:14" ht="12.75" customHeight="1">
      <c r="A439" s="6" t="s">
        <v>38</v>
      </c>
      <c r="B439" s="6"/>
      <c r="C439" s="12" t="s">
        <v>27</v>
      </c>
      <c r="D439" s="6"/>
      <c r="E439" s="6"/>
      <c r="F439" s="6"/>
      <c r="G439" s="6"/>
      <c r="H439" s="6"/>
      <c r="N439"/>
    </row>
    <row r="440" spans="1:14" ht="12.75" customHeight="1">
      <c r="A440" s="6" t="s">
        <v>392</v>
      </c>
      <c r="B440" s="6"/>
      <c r="C440" s="12" t="s">
        <v>29</v>
      </c>
      <c r="D440" s="6"/>
      <c r="E440" s="6"/>
      <c r="F440" s="6"/>
      <c r="G440" s="6"/>
      <c r="H440" s="6"/>
      <c r="N440"/>
    </row>
    <row r="441" spans="1:14" ht="12.75" customHeight="1">
      <c r="A441" s="12" t="s">
        <v>104</v>
      </c>
      <c r="B441" s="6"/>
      <c r="C441" s="12" t="s">
        <v>31</v>
      </c>
      <c r="D441" s="6"/>
      <c r="E441" s="6"/>
      <c r="F441" s="6"/>
      <c r="G441" s="6"/>
      <c r="H441" s="6"/>
      <c r="N441"/>
    </row>
    <row r="442" spans="1:14" ht="12.75" customHeight="1">
      <c r="A442" s="12" t="s">
        <v>41</v>
      </c>
      <c r="B442" s="6"/>
      <c r="C442" s="12" t="s">
        <v>33</v>
      </c>
      <c r="D442" s="6"/>
      <c r="E442" s="6"/>
      <c r="F442" s="6"/>
      <c r="G442" s="6"/>
      <c r="H442" s="6"/>
      <c r="N442"/>
    </row>
    <row r="443" spans="1:14" ht="12.75" customHeight="1">
      <c r="A443" s="12" t="s">
        <v>393</v>
      </c>
      <c r="B443" s="6" t="s">
        <v>394</v>
      </c>
      <c r="C443" s="12" t="s">
        <v>34</v>
      </c>
      <c r="D443" s="6"/>
      <c r="E443" s="6"/>
      <c r="F443" s="6"/>
      <c r="G443" s="6"/>
      <c r="H443" s="6"/>
      <c r="N443"/>
    </row>
    <row r="444" spans="1:14" ht="12.75" customHeight="1">
      <c r="A444" s="12" t="s">
        <v>395</v>
      </c>
      <c r="B444" s="6" t="s">
        <v>74</v>
      </c>
      <c r="C444" s="6" t="s">
        <v>338</v>
      </c>
      <c r="D444" s="6"/>
      <c r="E444" s="6"/>
      <c r="F444" s="6"/>
      <c r="G444" s="6"/>
      <c r="H444" s="6"/>
      <c r="N444"/>
    </row>
    <row r="445" spans="1:14" ht="12.75" customHeight="1">
      <c r="A445" s="12" t="s">
        <v>396</v>
      </c>
      <c r="B445" s="6" t="s">
        <v>324</v>
      </c>
      <c r="C445" s="6" t="s">
        <v>307</v>
      </c>
      <c r="D445" s="6"/>
      <c r="E445" s="6"/>
      <c r="F445" s="6"/>
      <c r="G445" s="6"/>
      <c r="H445" s="6"/>
      <c r="N445"/>
    </row>
    <row r="446" spans="1:14" ht="12.75" customHeight="1">
      <c r="A446" s="12" t="s">
        <v>397</v>
      </c>
      <c r="B446" s="12" t="s">
        <v>398</v>
      </c>
      <c r="C446" s="6" t="s">
        <v>289</v>
      </c>
      <c r="D446" s="6"/>
      <c r="E446" s="6"/>
      <c r="F446" s="6"/>
      <c r="G446" s="6"/>
      <c r="H446" s="6"/>
      <c r="N446"/>
    </row>
    <row r="447" spans="1:14" ht="12.75" customHeight="1">
      <c r="A447" s="12" t="s">
        <v>399</v>
      </c>
      <c r="B447" s="12" t="s">
        <v>137</v>
      </c>
      <c r="C447" s="12" t="s">
        <v>226</v>
      </c>
      <c r="D447" s="6"/>
      <c r="E447" s="6"/>
      <c r="F447" s="6"/>
      <c r="G447" s="6"/>
      <c r="H447" s="6"/>
      <c r="N447"/>
    </row>
    <row r="448" spans="1:14" ht="12.75" customHeight="1">
      <c r="A448" s="12" t="s">
        <v>76</v>
      </c>
      <c r="B448" s="12" t="s">
        <v>400</v>
      </c>
      <c r="C448" s="12" t="s">
        <v>229</v>
      </c>
      <c r="D448" s="6"/>
      <c r="E448" s="6"/>
      <c r="F448" s="6"/>
      <c r="G448" s="6"/>
      <c r="H448" s="6"/>
      <c r="N448"/>
    </row>
    <row r="449" spans="1:14" ht="12.75" customHeight="1">
      <c r="A449" s="12" t="s">
        <v>201</v>
      </c>
      <c r="B449" s="12" t="s">
        <v>370</v>
      </c>
      <c r="C449" s="12" t="s">
        <v>232</v>
      </c>
      <c r="D449" s="6"/>
      <c r="E449" s="6"/>
      <c r="F449" s="6"/>
      <c r="G449" s="6"/>
      <c r="H449" s="6"/>
      <c r="N449"/>
    </row>
    <row r="450" spans="1:14" ht="12.75" customHeight="1">
      <c r="A450" s="12" t="s">
        <v>401</v>
      </c>
      <c r="B450" s="12" t="s">
        <v>156</v>
      </c>
      <c r="C450" s="12" t="s">
        <v>256</v>
      </c>
      <c r="D450" s="6"/>
      <c r="E450" s="6"/>
      <c r="F450" s="6"/>
      <c r="G450" s="6"/>
      <c r="H450" s="6"/>
      <c r="N450"/>
    </row>
    <row r="451" spans="1:14" ht="12.75" customHeight="1">
      <c r="A451" s="12" t="s">
        <v>402</v>
      </c>
      <c r="B451" s="12" t="s">
        <v>281</v>
      </c>
      <c r="C451" s="12" t="s">
        <v>258</v>
      </c>
      <c r="D451" s="6"/>
      <c r="E451" s="6"/>
      <c r="F451" s="6"/>
      <c r="G451" s="6"/>
      <c r="H451" s="6"/>
      <c r="N451"/>
    </row>
    <row r="452" spans="1:14" ht="12.75" customHeight="1">
      <c r="A452" s="12" t="s">
        <v>403</v>
      </c>
      <c r="B452" s="12" t="s">
        <v>404</v>
      </c>
      <c r="C452" s="12" t="s">
        <v>260</v>
      </c>
      <c r="D452" s="6"/>
      <c r="E452" s="6"/>
      <c r="F452" s="6"/>
      <c r="G452" s="6"/>
      <c r="H452" s="6"/>
      <c r="N452"/>
    </row>
    <row r="453" spans="1:14" ht="12.75" customHeight="1">
      <c r="A453" s="12" t="s">
        <v>405</v>
      </c>
      <c r="B453" s="12" t="s">
        <v>57</v>
      </c>
      <c r="C453" s="6" t="s">
        <v>279</v>
      </c>
      <c r="D453" s="6"/>
      <c r="E453" s="6"/>
      <c r="F453" s="6"/>
      <c r="G453" s="6"/>
      <c r="H453" s="6"/>
      <c r="N453"/>
    </row>
    <row r="454" spans="1:14" ht="12.75" customHeight="1">
      <c r="A454" s="12" t="s">
        <v>406</v>
      </c>
      <c r="B454" s="12" t="s">
        <v>14</v>
      </c>
      <c r="C454" s="12" t="s">
        <v>138</v>
      </c>
      <c r="D454" s="6"/>
      <c r="E454" s="6"/>
      <c r="F454" s="6"/>
      <c r="G454" s="6"/>
      <c r="H454" s="6"/>
      <c r="N454"/>
    </row>
    <row r="455" spans="1:14" ht="12.75" customHeight="1">
      <c r="A455" s="12" t="s">
        <v>17</v>
      </c>
      <c r="B455" s="12" t="s">
        <v>100</v>
      </c>
      <c r="C455" s="6" t="s">
        <v>407</v>
      </c>
      <c r="D455" s="6"/>
      <c r="E455" s="6"/>
      <c r="F455" s="6"/>
      <c r="G455" s="6"/>
      <c r="H455" s="6"/>
      <c r="N455"/>
    </row>
    <row r="456" spans="1:14" ht="12.75" customHeight="1">
      <c r="A456" s="12" t="s">
        <v>204</v>
      </c>
      <c r="B456" s="12" t="s">
        <v>20</v>
      </c>
      <c r="C456" s="6" t="s">
        <v>408</v>
      </c>
      <c r="D456" s="6"/>
      <c r="E456" s="6"/>
      <c r="F456" s="6"/>
      <c r="G456" s="6"/>
      <c r="H456" s="6"/>
      <c r="N456"/>
    </row>
    <row r="457" spans="1:14" ht="12.75" customHeight="1">
      <c r="A457" s="12" t="s">
        <v>167</v>
      </c>
      <c r="B457" s="12" t="s">
        <v>340</v>
      </c>
      <c r="C457" s="6" t="s">
        <v>409</v>
      </c>
      <c r="D457" s="6"/>
      <c r="E457" s="6"/>
      <c r="F457" s="6"/>
      <c r="G457" s="6"/>
      <c r="H457" s="6"/>
      <c r="N457"/>
    </row>
    <row r="458" spans="1:14" ht="12.75" customHeight="1">
      <c r="A458" s="12" t="s">
        <v>410</v>
      </c>
      <c r="B458" s="12" t="s">
        <v>411</v>
      </c>
      <c r="C458" s="12" t="s">
        <v>106</v>
      </c>
      <c r="D458" s="6"/>
      <c r="E458" s="6"/>
      <c r="F458" s="6"/>
      <c r="G458" s="6"/>
      <c r="H458" s="6"/>
      <c r="N458"/>
    </row>
    <row r="459" spans="1:14" ht="12.75" customHeight="1">
      <c r="A459" s="12" t="s">
        <v>412</v>
      </c>
      <c r="B459" s="12" t="s">
        <v>413</v>
      </c>
      <c r="C459" s="6" t="s">
        <v>114</v>
      </c>
      <c r="D459" s="6"/>
      <c r="E459" s="6"/>
      <c r="F459" s="6"/>
      <c r="G459" s="6"/>
      <c r="H459" s="6"/>
      <c r="N459"/>
    </row>
    <row r="460" spans="1:14" ht="12.75" customHeight="1">
      <c r="A460" s="12" t="s">
        <v>354</v>
      </c>
      <c r="B460" s="12" t="s">
        <v>414</v>
      </c>
      <c r="C460" s="6" t="s">
        <v>116</v>
      </c>
      <c r="D460" s="6"/>
      <c r="E460" s="6"/>
      <c r="F460" s="6"/>
      <c r="G460" s="6"/>
      <c r="H460" s="6"/>
      <c r="N460"/>
    </row>
    <row r="461" spans="1:14" ht="12.75" customHeight="1">
      <c r="A461" s="12" t="s">
        <v>415</v>
      </c>
      <c r="B461" s="12" t="s">
        <v>224</v>
      </c>
      <c r="C461" s="12" t="s">
        <v>65</v>
      </c>
      <c r="D461" s="6"/>
      <c r="E461" s="6"/>
      <c r="F461" s="6"/>
      <c r="G461" s="6"/>
      <c r="H461" s="6"/>
      <c r="N461"/>
    </row>
    <row r="462" spans="1:14" ht="12.75" customHeight="1">
      <c r="A462" s="12" t="s">
        <v>416</v>
      </c>
      <c r="B462" s="12" t="s">
        <v>131</v>
      </c>
      <c r="C462" s="12" t="s">
        <v>39</v>
      </c>
      <c r="D462" s="6"/>
      <c r="E462" s="6"/>
      <c r="F462" s="6"/>
      <c r="G462" s="6"/>
      <c r="H462" s="6"/>
      <c r="N462"/>
    </row>
    <row r="463" spans="1:14" ht="12.75" customHeight="1">
      <c r="A463" s="12" t="s">
        <v>417</v>
      </c>
      <c r="B463" s="12" t="s">
        <v>418</v>
      </c>
      <c r="C463" s="6"/>
      <c r="D463" s="6"/>
      <c r="E463" s="6"/>
      <c r="F463" s="6"/>
      <c r="G463" s="6"/>
      <c r="H463" s="6"/>
      <c r="N463"/>
    </row>
    <row r="464" spans="1:14" ht="12.75" customHeight="1">
      <c r="A464" s="12" t="s">
        <v>228</v>
      </c>
      <c r="B464" s="6"/>
      <c r="C464" s="6"/>
      <c r="D464" s="6"/>
      <c r="E464" s="6"/>
      <c r="F464" s="6"/>
      <c r="G464" s="6"/>
      <c r="H464" s="6"/>
      <c r="N464"/>
    </row>
    <row r="465" spans="1:14" ht="12.75" customHeight="1">
      <c r="A465" s="12" t="s">
        <v>207</v>
      </c>
      <c r="B465" s="6"/>
      <c r="C465" s="6"/>
      <c r="D465" s="6"/>
      <c r="E465" s="6"/>
      <c r="F465" s="6"/>
      <c r="G465" s="6"/>
      <c r="H465" s="6"/>
      <c r="N465"/>
    </row>
    <row r="466" spans="1:14" ht="12.75" customHeight="1">
      <c r="A466" s="12" t="s">
        <v>231</v>
      </c>
      <c r="B466" s="6"/>
      <c r="C466" s="6"/>
      <c r="D466" s="6"/>
      <c r="E466" s="6"/>
      <c r="F466" s="6"/>
      <c r="G466" s="6"/>
      <c r="H466" s="6"/>
      <c r="N466"/>
    </row>
    <row r="467" spans="1:14" ht="12.75" customHeight="1">
      <c r="A467" s="12" t="s">
        <v>52</v>
      </c>
      <c r="B467" s="6"/>
      <c r="C467" s="6"/>
      <c r="D467" s="6"/>
      <c r="E467" s="6"/>
      <c r="F467" s="6"/>
      <c r="G467" s="6"/>
      <c r="H467" s="6"/>
      <c r="N467"/>
    </row>
    <row r="468" spans="1:14" ht="12.75" customHeight="1">
      <c r="A468" s="6"/>
      <c r="B468" s="6"/>
      <c r="C468" s="6"/>
      <c r="D468" s="6"/>
      <c r="E468" s="6"/>
      <c r="F468" s="6"/>
      <c r="G468" s="6"/>
      <c r="H468" s="6"/>
      <c r="N468"/>
    </row>
    <row r="469" spans="1:14" ht="12.75" customHeight="1">
      <c r="A469" s="5" t="s">
        <v>419</v>
      </c>
      <c r="B469" s="7" t="s">
        <v>2</v>
      </c>
      <c r="C469" s="6" t="s">
        <v>304</v>
      </c>
      <c r="E469" s="7" t="s">
        <v>4</v>
      </c>
      <c r="F469" s="6"/>
      <c r="G469" s="6"/>
      <c r="H469" s="6"/>
      <c r="N469"/>
    </row>
    <row r="470" spans="1:14" ht="14.25">
      <c r="A470" s="7" t="str">
        <f>_xlfn.TEXTJOIN(", ",1,A471:A477)</f>
        <v>Redbeard, Hawklin, Huntsilver</v>
      </c>
      <c r="B470" s="7" t="str">
        <f>_xlfn.TEXTJOIN(", ",1,B471:B477)</f>
        <v>Hurm Thiodor Crn hrld</v>
      </c>
      <c r="C470" s="7" t="str">
        <f>_xlfn.TEXTJOIN(", ",1,C471:C477)</f>
        <v>Zathchos Trade House (RMH)</v>
      </c>
      <c r="D470" s="7" t="str">
        <f>_xlfn.TEXTJOIN(", ",1,D471:D477)</f>
        <v>Adventuring, Farming; Dairy; Livestock</v>
      </c>
      <c r="E470" s="10" t="s">
        <v>420</v>
      </c>
      <c r="F470" s="7" t="s">
        <v>8</v>
      </c>
      <c r="G470" s="7" t="s">
        <v>9</v>
      </c>
      <c r="H470" s="7" t="s">
        <v>10</v>
      </c>
      <c r="N470"/>
    </row>
    <row r="471" spans="1:14" ht="14.25">
      <c r="A471" s="12" t="s">
        <v>411</v>
      </c>
      <c r="B471" s="12" t="s">
        <v>1241</v>
      </c>
      <c r="C471" s="12" t="s">
        <v>53</v>
      </c>
      <c r="D471" s="12" t="s">
        <v>421</v>
      </c>
      <c r="E471" s="10" t="s">
        <v>422</v>
      </c>
      <c r="F471" s="11">
        <v>2.5</v>
      </c>
      <c r="G471" s="11">
        <v>1.8</v>
      </c>
      <c r="H471" s="11">
        <v>4.3</v>
      </c>
      <c r="N471"/>
    </row>
    <row r="472" spans="1:14" ht="14.25">
      <c r="A472" s="12" t="s">
        <v>76</v>
      </c>
      <c r="B472" s="12"/>
      <c r="C472" s="12"/>
      <c r="D472" s="6" t="s">
        <v>139</v>
      </c>
      <c r="E472" s="10" t="s">
        <v>423</v>
      </c>
      <c r="F472" s="13"/>
      <c r="G472" s="13"/>
      <c r="H472" s="13"/>
      <c r="N472"/>
    </row>
    <row r="473" spans="1:14" ht="12.75" customHeight="1">
      <c r="A473" s="12" t="s">
        <v>86</v>
      </c>
      <c r="B473" s="12"/>
      <c r="C473" s="12"/>
      <c r="D473" s="12"/>
      <c r="E473" s="12"/>
      <c r="F473" s="13"/>
      <c r="G473" s="13"/>
      <c r="H473" s="13"/>
      <c r="N473"/>
    </row>
    <row r="474" spans="1:14" ht="12.75" customHeight="1">
      <c r="A474" s="12"/>
      <c r="B474" s="12"/>
      <c r="C474" s="12"/>
      <c r="D474" s="12"/>
      <c r="E474" s="12"/>
      <c r="F474" s="13"/>
      <c r="G474" s="13"/>
      <c r="H474" s="13"/>
      <c r="N474"/>
    </row>
    <row r="475" spans="1:14" ht="12.75" customHeight="1">
      <c r="A475" s="12"/>
      <c r="B475" s="12"/>
      <c r="C475" s="12"/>
      <c r="D475" s="12"/>
      <c r="E475" s="12"/>
      <c r="F475" s="13"/>
      <c r="G475" s="13"/>
      <c r="H475" s="13"/>
      <c r="N475"/>
    </row>
    <row r="476" spans="1:14" ht="12.75" customHeight="1">
      <c r="A476" s="12"/>
      <c r="B476" s="12"/>
      <c r="C476" s="12"/>
      <c r="D476" s="12"/>
      <c r="E476" s="12"/>
      <c r="F476" s="13"/>
      <c r="G476" s="13"/>
      <c r="H476" s="13"/>
      <c r="N476"/>
    </row>
    <row r="477" spans="1:14" ht="12.75" customHeight="1">
      <c r="A477" s="12"/>
      <c r="B477" s="12"/>
      <c r="C477" s="12"/>
      <c r="D477" s="12"/>
      <c r="E477" s="12"/>
      <c r="F477" s="13"/>
      <c r="G477" s="13"/>
      <c r="H477" s="13"/>
      <c r="N477"/>
    </row>
    <row r="478" spans="1:14" ht="12.75" customHeight="1">
      <c r="A478" s="5" t="s">
        <v>424</v>
      </c>
      <c r="B478" s="7" t="s">
        <v>2</v>
      </c>
      <c r="E478" s="7" t="s">
        <v>4</v>
      </c>
      <c r="F478" s="6"/>
      <c r="G478" s="6"/>
      <c r="H478" s="6"/>
      <c r="N478"/>
    </row>
    <row r="479" spans="1:14" ht="14.25">
      <c r="A479" s="7" t="str">
        <f>_xlfn.TEXTJOIN(", ",1,A480:A486)</f>
        <v>Huntcrown, Rowanmantle</v>
      </c>
      <c r="B479" s="7" t="str">
        <f>_xlfn.TEXTJOIN(", ",1,B480:B486)</f>
        <v/>
      </c>
      <c r="C479" s="7" t="str">
        <f>_xlfn.TEXTJOIN(", ",1,C480:C486)</f>
        <v>Dundar's Fine Blades (NMH), Tanalar's Fine Mounts (RMH), Zathchos Trade House (RMH), Tilverton Horse Emporium (RMH)</v>
      </c>
      <c r="D479" s="7" t="str">
        <f>_xlfn.TEXTJOIN(", ",1,D480:D486)</f>
        <v>Hunting; Adventuring, Blackmarket; pottery, gems; furs; Hardy Horses, Prospecting; logging</v>
      </c>
      <c r="E479" s="10">
        <v>13500</v>
      </c>
      <c r="F479" s="7" t="s">
        <v>8</v>
      </c>
      <c r="G479" s="7" t="s">
        <v>9</v>
      </c>
      <c r="H479" s="7" t="s">
        <v>10</v>
      </c>
      <c r="N479"/>
    </row>
    <row r="480" spans="1:14" ht="14.25">
      <c r="A480" s="6" t="s">
        <v>11</v>
      </c>
      <c r="B480" s="6"/>
      <c r="C480" s="6" t="s">
        <v>409</v>
      </c>
      <c r="D480" s="6" t="s">
        <v>425</v>
      </c>
      <c r="E480" s="6"/>
      <c r="F480" s="11">
        <v>1.3</v>
      </c>
      <c r="G480" s="11">
        <v>1.6</v>
      </c>
      <c r="H480" s="11">
        <v>3.2</v>
      </c>
      <c r="N480"/>
    </row>
    <row r="481" spans="1:14" ht="14.25">
      <c r="A481" s="6" t="s">
        <v>410</v>
      </c>
      <c r="B481" s="6"/>
      <c r="C481" s="6" t="s">
        <v>408</v>
      </c>
      <c r="D481" s="6" t="s">
        <v>426</v>
      </c>
      <c r="E481" s="6"/>
      <c r="F481" s="6" t="s">
        <v>119</v>
      </c>
      <c r="G481" s="6"/>
      <c r="H481" s="6"/>
      <c r="N481"/>
    </row>
    <row r="482" spans="1:14" ht="14.25">
      <c r="A482" s="6"/>
      <c r="B482" s="6"/>
      <c r="C482" s="12" t="s">
        <v>53</v>
      </c>
      <c r="D482" s="6" t="s">
        <v>427</v>
      </c>
      <c r="E482" s="6"/>
      <c r="F482" s="6"/>
      <c r="G482" s="6"/>
      <c r="H482" s="6"/>
      <c r="N482"/>
    </row>
    <row r="483" spans="1:14" ht="14.25">
      <c r="A483" s="6"/>
      <c r="B483" s="6"/>
      <c r="C483" s="6" t="s">
        <v>407</v>
      </c>
      <c r="D483" s="6" t="s">
        <v>428</v>
      </c>
      <c r="E483" s="6"/>
      <c r="F483" s="6"/>
      <c r="G483" s="6"/>
      <c r="H483" s="6"/>
      <c r="N483"/>
    </row>
    <row r="484" spans="1:14" ht="12.75" customHeight="1">
      <c r="A484" s="6"/>
      <c r="B484" s="6"/>
      <c r="C484" s="6"/>
      <c r="D484" s="6"/>
      <c r="E484" s="6"/>
      <c r="F484" s="6"/>
      <c r="G484" s="6"/>
      <c r="H484" s="6"/>
      <c r="N484"/>
    </row>
    <row r="485" spans="1:14" ht="12.75" customHeight="1">
      <c r="A485" s="6"/>
      <c r="B485" s="6"/>
      <c r="C485" s="6"/>
      <c r="D485" s="6"/>
      <c r="E485" s="6"/>
      <c r="F485" s="6"/>
      <c r="G485" s="6"/>
      <c r="H485" s="6"/>
      <c r="N485"/>
    </row>
    <row r="486" spans="1:14" ht="12.75" customHeight="1">
      <c r="A486" s="6"/>
      <c r="B486" s="6"/>
      <c r="C486" s="6"/>
      <c r="D486" s="6"/>
      <c r="E486" s="6"/>
      <c r="F486" s="6"/>
      <c r="G486" s="6"/>
      <c r="H486" s="6"/>
      <c r="N486"/>
    </row>
    <row r="487" spans="1:14" ht="12.75" customHeight="1">
      <c r="A487" s="6"/>
      <c r="B487" s="6"/>
      <c r="C487" s="6"/>
      <c r="D487" s="6"/>
      <c r="E487" s="6"/>
      <c r="F487" s="6"/>
      <c r="G487" s="6"/>
      <c r="H487" s="6"/>
      <c r="N487"/>
    </row>
    <row r="488" spans="1:14" ht="12.75" customHeight="1">
      <c r="A488" s="5" t="s">
        <v>429</v>
      </c>
      <c r="B488" s="7" t="s">
        <v>2</v>
      </c>
      <c r="C488" s="6" t="s">
        <v>430</v>
      </c>
      <c r="D488" s="6"/>
      <c r="E488" s="7" t="s">
        <v>4</v>
      </c>
      <c r="F488" s="6"/>
      <c r="G488" s="6"/>
      <c r="H488" s="6"/>
      <c r="N488"/>
    </row>
    <row r="489" spans="1:14" ht="14.25">
      <c r="A489" s="7" t="str">
        <f>_xlfn.TEXTJOIN(", ",1,A490:A495)</f>
        <v>Kranior, Nelduks</v>
      </c>
      <c r="B489" s="7" t="str">
        <f>_xlfn.TEXTJOIN(", ",1,B490:B495)</f>
        <v/>
      </c>
      <c r="C489" s="7" t="str">
        <f>_xlfn.TEXTJOIN(", ",1,C490:C495)</f>
        <v>Durgarthyn's Adventures Hut, Silturr Shadowshield Mounts (NMH)</v>
      </c>
      <c r="D489" s="7" t="str">
        <f>_xlfn.TEXTJOIN(", ",1,D490:D495)</f>
        <v>Farming; Farmers market, Cartwrights;Mtneering, Mountain-scaling mounts</v>
      </c>
      <c r="E489" s="10">
        <v>254</v>
      </c>
      <c r="F489" s="7" t="s">
        <v>8</v>
      </c>
      <c r="G489" s="7" t="s">
        <v>9</v>
      </c>
      <c r="H489" s="7" t="s">
        <v>10</v>
      </c>
      <c r="N489"/>
    </row>
    <row r="490" spans="1:14" ht="14.25">
      <c r="A490" s="12" t="s">
        <v>404</v>
      </c>
      <c r="C490" s="12" t="s">
        <v>11855</v>
      </c>
      <c r="D490" s="12" t="s">
        <v>432</v>
      </c>
      <c r="E490" s="12"/>
      <c r="N490"/>
    </row>
    <row r="491" spans="1:14" ht="14.25">
      <c r="A491" s="12" t="s">
        <v>204</v>
      </c>
      <c r="B491" s="12"/>
      <c r="C491" s="12"/>
      <c r="D491" s="12" t="s">
        <v>433</v>
      </c>
      <c r="E491" s="12"/>
      <c r="F491" s="13"/>
      <c r="G491" s="13"/>
      <c r="H491" s="13"/>
      <c r="N491"/>
    </row>
    <row r="492" spans="1:14" ht="14.25">
      <c r="A492" s="12"/>
      <c r="B492" s="12"/>
      <c r="C492" s="12"/>
      <c r="D492" s="12" t="s">
        <v>434</v>
      </c>
      <c r="E492" s="12"/>
      <c r="F492" s="13"/>
      <c r="G492" s="13"/>
      <c r="H492" s="13"/>
      <c r="N492"/>
    </row>
    <row r="493" spans="1:14" ht="12.75" customHeight="1">
      <c r="B493" s="12" t="s">
        <v>2494</v>
      </c>
      <c r="E493" s="12"/>
      <c r="F493" s="13"/>
      <c r="G493" s="13"/>
      <c r="H493" s="13"/>
      <c r="N493"/>
    </row>
    <row r="494" spans="1:14" ht="12.75" customHeight="1">
      <c r="A494" s="12"/>
      <c r="B494" s="12"/>
      <c r="C494" s="12"/>
      <c r="D494" s="12"/>
      <c r="E494" s="12"/>
      <c r="F494" s="13"/>
      <c r="G494" s="13"/>
      <c r="H494" s="13"/>
      <c r="N494"/>
    </row>
    <row r="495" spans="1:14" ht="12.75" customHeight="1">
      <c r="A495" s="12"/>
      <c r="B495" s="12"/>
      <c r="C495" s="12"/>
      <c r="D495" s="12"/>
      <c r="E495" s="12"/>
      <c r="F495" s="13"/>
      <c r="G495" s="13"/>
      <c r="H495" s="13"/>
      <c r="N495"/>
    </row>
    <row r="496" spans="1:14" ht="12.75" customHeight="1">
      <c r="A496" s="5" t="s">
        <v>435</v>
      </c>
      <c r="B496" s="7" t="s">
        <v>2</v>
      </c>
      <c r="C496" s="6"/>
      <c r="E496" s="7" t="s">
        <v>4</v>
      </c>
      <c r="F496" s="6"/>
      <c r="G496" s="6"/>
      <c r="H496" s="6"/>
      <c r="N496"/>
    </row>
    <row r="497" spans="1:14" ht="14.25">
      <c r="A497" s="7" t="str">
        <f>_xlfn.TEXTJOIN(", ",1,A498:A503)</f>
        <v>Woodbrands, Morlers, Greybeards, Hawksongs</v>
      </c>
      <c r="B497" s="7" t="str">
        <f>_xlfn.TEXTJOIN(", ",1,B498:B503)</f>
        <v/>
      </c>
      <c r="C497" s="7" t="str">
        <f>_xlfn.TEXTJOIN(", ",1,C498:C503)</f>
        <v>Jerlak (NMH), Marker (NMH)</v>
      </c>
      <c r="D497" s="7" t="str">
        <f>_xlfn.TEXTJOIN(", ",1,D498:D503)</f>
        <v>Cartwrights;Lumber, Horsebreeders</v>
      </c>
      <c r="E497" s="10">
        <v>1211</v>
      </c>
      <c r="F497" s="7" t="s">
        <v>8</v>
      </c>
      <c r="G497" s="7" t="s">
        <v>9</v>
      </c>
      <c r="H497" s="7" t="s">
        <v>10</v>
      </c>
      <c r="N497"/>
    </row>
    <row r="498" spans="1:14" ht="14.25">
      <c r="A498" s="12" t="s">
        <v>437</v>
      </c>
      <c r="C498" s="12" t="s">
        <v>438</v>
      </c>
      <c r="D498" s="12" t="s">
        <v>439</v>
      </c>
      <c r="E498" s="12"/>
      <c r="F498" s="11">
        <v>1.3</v>
      </c>
      <c r="G498" s="11">
        <v>1.6</v>
      </c>
      <c r="H498" s="11">
        <v>3.2</v>
      </c>
      <c r="N498"/>
    </row>
    <row r="499" spans="1:14" ht="14.25">
      <c r="A499" s="12" t="s">
        <v>440</v>
      </c>
      <c r="B499" s="12"/>
      <c r="C499" s="12" t="s">
        <v>441</v>
      </c>
      <c r="D499" s="6" t="s">
        <v>442</v>
      </c>
      <c r="E499" s="12"/>
      <c r="F499" s="13"/>
      <c r="G499" s="13"/>
      <c r="H499" s="13"/>
      <c r="N499"/>
    </row>
    <row r="500" spans="1:14" ht="12.75" customHeight="1">
      <c r="A500" s="12" t="s">
        <v>400</v>
      </c>
      <c r="B500" s="12"/>
      <c r="C500" s="12"/>
      <c r="D500" s="12"/>
      <c r="E500" s="12"/>
      <c r="F500" s="13"/>
      <c r="G500" s="13"/>
      <c r="H500" s="13"/>
      <c r="N500"/>
    </row>
    <row r="501" spans="1:14" ht="12.75" customHeight="1">
      <c r="A501" s="12" t="s">
        <v>370</v>
      </c>
      <c r="B501" s="12"/>
      <c r="C501" s="12"/>
      <c r="D501" s="12"/>
      <c r="E501" s="12"/>
      <c r="F501" s="13"/>
      <c r="G501" s="13"/>
      <c r="H501" s="13"/>
      <c r="N501"/>
    </row>
    <row r="502" spans="1:14" ht="12.75" customHeight="1">
      <c r="A502" s="12"/>
      <c r="B502" s="12"/>
      <c r="C502" s="12"/>
      <c r="D502" s="12"/>
      <c r="E502" s="12"/>
      <c r="F502" s="13"/>
      <c r="G502" s="13"/>
      <c r="H502" s="13"/>
      <c r="N502"/>
    </row>
    <row r="503" spans="1:14" ht="12.75" customHeight="1">
      <c r="A503" s="12"/>
      <c r="B503" s="12"/>
      <c r="C503" s="12"/>
      <c r="D503" s="12"/>
      <c r="E503" s="12"/>
      <c r="F503" s="13"/>
      <c r="G503" s="13"/>
      <c r="H503" s="13"/>
      <c r="N503"/>
    </row>
    <row r="504" spans="1:14" ht="12.75" customHeight="1">
      <c r="A504" s="12"/>
      <c r="B504" s="12"/>
      <c r="C504" s="12"/>
      <c r="D504" s="12"/>
      <c r="E504" s="12"/>
      <c r="F504" s="13"/>
      <c r="G504" s="13"/>
      <c r="H504" s="13"/>
      <c r="N504"/>
    </row>
    <row r="505" spans="1:14" ht="12.75" customHeight="1">
      <c r="A505" s="12"/>
      <c r="B505" s="12"/>
      <c r="C505" s="12"/>
      <c r="D505" s="12"/>
      <c r="E505" s="12"/>
      <c r="F505" s="13"/>
      <c r="G505" s="13"/>
      <c r="H505" s="13"/>
      <c r="N505"/>
    </row>
    <row r="506" spans="1:14" ht="12.75" customHeight="1">
      <c r="A506" s="12"/>
      <c r="B506" s="12"/>
      <c r="C506" s="12"/>
      <c r="D506" s="12"/>
      <c r="E506" s="12"/>
      <c r="F506" s="13"/>
      <c r="G506" s="13"/>
      <c r="H506" s="13"/>
      <c r="N506"/>
    </row>
    <row r="507" spans="1:14" ht="12.75" customHeight="1">
      <c r="A507" s="5" t="s">
        <v>443</v>
      </c>
      <c r="B507" s="7" t="s">
        <v>2</v>
      </c>
      <c r="C507" s="6" t="s">
        <v>444</v>
      </c>
      <c r="E507" s="7" t="s">
        <v>4</v>
      </c>
      <c r="F507" s="6"/>
      <c r="G507" s="6"/>
      <c r="H507" s="6"/>
      <c r="N507"/>
    </row>
    <row r="508" spans="1:14" ht="14.25">
      <c r="A508" s="7" t="str">
        <f>_xlfn.TEXTJOIN(", ",1,A509:A515)</f>
        <v>Redbeards, Zathchos</v>
      </c>
      <c r="B508" s="7" t="str">
        <f>_xlfn.TEXTJOIN(", ",1,B509:B515)</f>
        <v/>
      </c>
      <c r="C508" s="7" t="str">
        <f>_xlfn.TEXTJOIN(", ",1,C509:C515)</f>
        <v xml:space="preserve"> , Blackbard Docks and shipwright, Cormyrean Coins Coaster (RMH), Falconstar Wayshipping (shipping / warehouses) (NMH), Haerldoun's Armors and Weapons (NMH), Sendever's Stables Equestrian house (NMH), Woumar's Grist Mill</v>
      </c>
      <c r="D508" s="7" t="str">
        <f>_xlfn.TEXTJOIN(", ",1,D509:D515)</f>
        <v>Everything one needs</v>
      </c>
      <c r="E508" s="10">
        <v>4218</v>
      </c>
      <c r="F508" s="7" t="s">
        <v>8</v>
      </c>
      <c r="G508" s="7" t="s">
        <v>9</v>
      </c>
      <c r="H508" s="7" t="s">
        <v>10</v>
      </c>
      <c r="N508"/>
    </row>
    <row r="509" spans="1:14" ht="14.25">
      <c r="A509" s="12" t="s">
        <v>446</v>
      </c>
      <c r="C509" s="12" t="s">
        <v>1235</v>
      </c>
      <c r="D509" s="6" t="s">
        <v>447</v>
      </c>
      <c r="E509" s="12"/>
      <c r="F509" s="11">
        <v>0.8</v>
      </c>
      <c r="G509" s="11">
        <v>1.1000000000000001</v>
      </c>
      <c r="H509" s="11">
        <v>2.2999999999999998</v>
      </c>
      <c r="N509"/>
    </row>
    <row r="510" spans="1:14" ht="12.75" customHeight="1">
      <c r="A510" s="12" t="s">
        <v>52</v>
      </c>
      <c r="B510" s="12"/>
      <c r="C510" s="12" t="s">
        <v>448</v>
      </c>
      <c r="D510" s="12"/>
      <c r="E510" s="12"/>
      <c r="F510" s="13"/>
      <c r="G510" s="13"/>
      <c r="H510" s="13"/>
      <c r="N510"/>
    </row>
    <row r="511" spans="1:14" ht="12.75" customHeight="1">
      <c r="A511" s="12"/>
      <c r="B511" s="12"/>
      <c r="C511" s="12" t="s">
        <v>449</v>
      </c>
      <c r="D511" s="12"/>
      <c r="E511" s="12"/>
      <c r="F511" s="13"/>
      <c r="G511" s="13"/>
      <c r="H511" s="13"/>
      <c r="N511"/>
    </row>
    <row r="512" spans="1:14" ht="12.75" customHeight="1">
      <c r="A512" s="12"/>
      <c r="B512" s="12"/>
      <c r="C512" s="12" t="s">
        <v>450</v>
      </c>
      <c r="D512" s="12"/>
      <c r="E512" s="12"/>
      <c r="F512" s="13"/>
      <c r="G512" s="13"/>
      <c r="H512" s="13"/>
      <c r="N512"/>
    </row>
    <row r="513" spans="1:14" ht="12.75" customHeight="1">
      <c r="A513" s="12"/>
      <c r="B513" s="12"/>
      <c r="C513" s="12" t="s">
        <v>451</v>
      </c>
      <c r="D513" s="12"/>
      <c r="E513" s="12"/>
      <c r="F513" s="13"/>
      <c r="G513" s="13"/>
      <c r="H513" s="13"/>
      <c r="N513"/>
    </row>
    <row r="514" spans="1:14" ht="12.75" customHeight="1">
      <c r="A514" s="12"/>
      <c r="B514" s="12"/>
      <c r="C514" s="12" t="s">
        <v>452</v>
      </c>
      <c r="D514" s="12"/>
      <c r="E514" s="12"/>
      <c r="F514" s="13"/>
      <c r="G514" s="13"/>
      <c r="H514" s="13"/>
      <c r="N514"/>
    </row>
    <row r="515" spans="1:14" ht="12.75" customHeight="1">
      <c r="A515" s="12"/>
      <c r="B515" s="12"/>
      <c r="C515" s="12" t="s">
        <v>453</v>
      </c>
      <c r="D515" s="12"/>
      <c r="E515" s="12"/>
      <c r="F515" s="13"/>
      <c r="G515" s="13"/>
      <c r="H515" s="13"/>
      <c r="N515"/>
    </row>
    <row r="516" spans="1:14" ht="12.75" customHeight="1">
      <c r="A516" s="12"/>
      <c r="B516" s="12"/>
      <c r="C516" s="12" t="s">
        <v>53</v>
      </c>
      <c r="D516" s="12"/>
      <c r="E516" s="12"/>
      <c r="F516" s="13"/>
      <c r="G516" s="13"/>
      <c r="H516" s="13"/>
      <c r="N516"/>
    </row>
    <row r="517" spans="1:14" ht="12.75" customHeight="1">
      <c r="A517" s="12"/>
      <c r="B517" s="12"/>
      <c r="C517" s="12"/>
      <c r="D517" s="12"/>
      <c r="E517" s="12"/>
      <c r="F517" s="13"/>
      <c r="G517" s="13"/>
      <c r="H517" s="13"/>
      <c r="N517"/>
    </row>
    <row r="518" spans="1:14" ht="12.75" customHeight="1">
      <c r="A518" s="12"/>
      <c r="B518" s="12"/>
      <c r="C518" s="12"/>
      <c r="D518" s="12"/>
      <c r="E518" s="12"/>
      <c r="F518" s="13"/>
      <c r="G518" s="13"/>
      <c r="H518" s="13"/>
      <c r="N518"/>
    </row>
    <row r="519" spans="1:14" ht="12.75" customHeight="1">
      <c r="A519" s="5" t="s">
        <v>454</v>
      </c>
      <c r="B519" s="7" t="s">
        <v>2</v>
      </c>
      <c r="C519" s="12"/>
      <c r="E519" s="7" t="s">
        <v>4</v>
      </c>
      <c r="F519" s="13"/>
      <c r="G519" s="13"/>
      <c r="H519" s="13"/>
      <c r="N519"/>
    </row>
    <row r="520" spans="1:14" ht="14.25">
      <c r="A520" s="7" t="str">
        <f>_xlfn.TEXTJOIN(", ",1,A521:A524)</f>
        <v>Tilthars</v>
      </c>
      <c r="B520" s="7" t="str">
        <f>_xlfn.TEXTJOIN(", ",1,B521:B524)</f>
        <v/>
      </c>
      <c r="C520" s="7" t="str">
        <f>_xlfn.TEXTJOIN(", ",1,C521:C524)</f>
        <v/>
      </c>
      <c r="D520" s="7" t="str">
        <f>_xlfn.TEXTJOIN(", ",1,D521:D524)</f>
        <v>Potters; farming; , Woodcraft, Furniture, Carpentry, Cobblers</v>
      </c>
      <c r="E520" s="10">
        <v>532</v>
      </c>
      <c r="F520" s="7" t="s">
        <v>8</v>
      </c>
      <c r="G520" s="7" t="s">
        <v>9</v>
      </c>
      <c r="H520" s="7" t="s">
        <v>10</v>
      </c>
      <c r="N520"/>
    </row>
    <row r="521" spans="1:14" ht="14.25">
      <c r="A521" s="12" t="s">
        <v>207</v>
      </c>
      <c r="B521" s="12"/>
      <c r="C521" s="12"/>
      <c r="D521" s="12" t="s">
        <v>1242</v>
      </c>
      <c r="E521" s="12"/>
      <c r="F521" s="11">
        <v>2.6</v>
      </c>
      <c r="G521" s="11">
        <v>2.2000000000000002</v>
      </c>
      <c r="H521" s="11">
        <v>4.3</v>
      </c>
      <c r="N521"/>
    </row>
    <row r="522" spans="1:14" ht="14.25">
      <c r="A522" s="12"/>
      <c r="B522" s="12"/>
      <c r="C522" s="12"/>
      <c r="D522" s="12" t="s">
        <v>456</v>
      </c>
      <c r="E522" s="12"/>
      <c r="F522" s="13"/>
      <c r="G522" s="13"/>
      <c r="H522" s="13"/>
      <c r="N522"/>
    </row>
    <row r="523" spans="1:14" ht="14.25">
      <c r="A523" s="12"/>
      <c r="B523" s="12"/>
      <c r="C523" s="12"/>
      <c r="D523" s="12" t="s">
        <v>457</v>
      </c>
      <c r="E523" s="12"/>
      <c r="F523" s="13"/>
      <c r="G523" s="13"/>
      <c r="H523" s="13"/>
      <c r="N523"/>
    </row>
    <row r="524" spans="1:14" ht="12.75" customHeight="1">
      <c r="A524" s="12"/>
      <c r="B524" s="12"/>
      <c r="C524" s="12"/>
      <c r="E524" s="12"/>
      <c r="F524" s="13"/>
      <c r="G524" s="13"/>
      <c r="H524" s="13"/>
      <c r="N524"/>
    </row>
    <row r="525" spans="1:14" ht="12.75" customHeight="1">
      <c r="A525" s="12"/>
      <c r="B525" s="12"/>
      <c r="C525" s="12"/>
      <c r="D525" s="12"/>
      <c r="E525" s="12"/>
      <c r="F525" s="13"/>
      <c r="G525" s="13"/>
      <c r="H525" s="13"/>
      <c r="N525"/>
    </row>
    <row r="526" spans="1:14" ht="12.75" customHeight="1">
      <c r="A526" s="5" t="s">
        <v>458</v>
      </c>
      <c r="B526" s="7" t="s">
        <v>2</v>
      </c>
      <c r="C526" s="12" t="s">
        <v>459</v>
      </c>
      <c r="D526" s="12"/>
      <c r="E526" s="7" t="s">
        <v>4</v>
      </c>
      <c r="F526" s="12"/>
      <c r="G526" s="12"/>
      <c r="H526" s="12"/>
      <c r="N526"/>
    </row>
    <row r="527" spans="1:14" ht="14.25">
      <c r="A527" s="5"/>
      <c r="B527" s="8" t="s">
        <v>460</v>
      </c>
      <c r="C527" s="7" t="s">
        <v>6</v>
      </c>
      <c r="D527" s="7" t="s">
        <v>7</v>
      </c>
      <c r="E527" s="10">
        <v>96</v>
      </c>
      <c r="F527" s="7" t="s">
        <v>8</v>
      </c>
      <c r="G527" s="7" t="s">
        <v>9</v>
      </c>
      <c r="H527" s="7" t="s">
        <v>10</v>
      </c>
      <c r="N527"/>
    </row>
    <row r="528" spans="1:14" ht="12.75" customHeight="1">
      <c r="A528" s="12"/>
      <c r="B528" s="12"/>
      <c r="C528" s="12"/>
      <c r="D528" s="12"/>
      <c r="E528" s="12"/>
      <c r="F528" s="11" t="s">
        <v>270</v>
      </c>
      <c r="G528" s="11" t="s">
        <v>270</v>
      </c>
      <c r="H528" s="11" t="s">
        <v>270</v>
      </c>
      <c r="N528"/>
    </row>
    <row r="529" spans="1:14" ht="12.75" customHeight="1">
      <c r="A529" s="12"/>
      <c r="B529" s="12"/>
      <c r="C529" s="12"/>
      <c r="D529" s="12"/>
      <c r="E529" s="12"/>
      <c r="F529" s="12"/>
      <c r="G529" s="12"/>
      <c r="H529" s="12"/>
      <c r="N529"/>
    </row>
    <row r="530" spans="1:14" ht="12.75" customHeight="1">
      <c r="A530" s="12"/>
      <c r="B530" s="12"/>
      <c r="C530" s="12"/>
      <c r="D530" s="12"/>
      <c r="E530" s="12"/>
      <c r="F530" s="12"/>
      <c r="G530" s="12"/>
      <c r="H530" s="12"/>
      <c r="N530"/>
    </row>
    <row r="531" spans="1:14" ht="12.75" customHeight="1">
      <c r="A531" s="12"/>
      <c r="B531" s="12"/>
      <c r="C531" s="12"/>
      <c r="D531" s="12"/>
      <c r="E531" s="12"/>
      <c r="F531" s="12"/>
      <c r="G531" s="12"/>
      <c r="H531" s="12"/>
      <c r="N531"/>
    </row>
    <row r="532" spans="1:14" ht="12.75" customHeight="1">
      <c r="A532" s="12"/>
      <c r="B532" s="12"/>
      <c r="C532" s="12"/>
      <c r="D532" s="12"/>
      <c r="E532" s="12"/>
      <c r="F532" s="12"/>
      <c r="G532" s="12"/>
      <c r="H532" s="12"/>
      <c r="N532"/>
    </row>
    <row r="533" spans="1:14" ht="12.75" customHeight="1">
      <c r="A533" s="5" t="s">
        <v>461</v>
      </c>
      <c r="B533" s="7" t="s">
        <v>2</v>
      </c>
      <c r="C533" s="12" t="s">
        <v>462</v>
      </c>
      <c r="E533" s="7" t="s">
        <v>4</v>
      </c>
      <c r="F533" s="12"/>
      <c r="G533" s="12"/>
      <c r="H533" s="12"/>
      <c r="N533"/>
    </row>
    <row r="534" spans="1:14" ht="14.25">
      <c r="A534" s="7" t="str">
        <f>_xlfn.TEXTJOIN(", ",1,A535:A538)</f>
        <v>Silverhorns</v>
      </c>
      <c r="B534" s="7" t="str">
        <f>_xlfn.TEXTJOIN(", ",1,B535:B538)</f>
        <v xml:space="preserve"> </v>
      </c>
      <c r="C534" s="7" t="str">
        <f>_xlfn.TEXTJOIN(", ",1,C535:C540)</f>
        <v>Rangulthyn Winery, Silverhorn Brewery and Vineyards, Yeoman's Winery, Blazing Bridge Vineyards, Wyvern wines and Vineyard, Zathchos Trade House (RMH)</v>
      </c>
      <c r="D534" s="7" t="str">
        <f>_xlfn.TEXTJOIN(", ",1,D535:D538)</f>
        <v>Inks; Dyes; oils, Fishing; Farming, Herbs, Livestock, Dairy, Emeralds, wines</v>
      </c>
      <c r="E534" s="10" t="s">
        <v>464</v>
      </c>
      <c r="F534" s="7" t="s">
        <v>8</v>
      </c>
      <c r="G534" s="7" t="s">
        <v>9</v>
      </c>
      <c r="H534" s="7" t="s">
        <v>10</v>
      </c>
      <c r="N534"/>
    </row>
    <row r="535" spans="1:14" ht="14.25">
      <c r="A535" s="12" t="s">
        <v>465</v>
      </c>
      <c r="B535" s="12"/>
      <c r="C535" s="12" t="s">
        <v>466</v>
      </c>
      <c r="D535" s="12" t="s">
        <v>467</v>
      </c>
      <c r="E535" s="10" t="s">
        <v>468</v>
      </c>
      <c r="F535" s="11">
        <v>2.4</v>
      </c>
      <c r="G535" s="11">
        <v>1.5</v>
      </c>
      <c r="H535" s="11">
        <v>3.85</v>
      </c>
      <c r="N535"/>
    </row>
    <row r="536" spans="1:14" ht="14.25">
      <c r="A536" s="12"/>
      <c r="B536" s="12"/>
      <c r="C536" s="12" t="s">
        <v>469</v>
      </c>
      <c r="D536" s="12" t="s">
        <v>470</v>
      </c>
      <c r="E536" s="12"/>
      <c r="F536" s="12"/>
      <c r="G536" s="12"/>
      <c r="H536" s="12"/>
      <c r="N536"/>
    </row>
    <row r="537" spans="1:14" ht="14.25">
      <c r="A537" s="12"/>
      <c r="B537" s="12"/>
      <c r="C537" s="12" t="s">
        <v>471</v>
      </c>
      <c r="D537" s="12" t="s">
        <v>472</v>
      </c>
      <c r="E537" s="12"/>
      <c r="F537" s="12"/>
      <c r="G537" s="12"/>
      <c r="H537" s="12"/>
      <c r="N537"/>
    </row>
    <row r="538" spans="1:14" ht="14.25">
      <c r="A538" s="12"/>
      <c r="B538" s="12" t="s">
        <v>1235</v>
      </c>
      <c r="C538" s="12" t="s">
        <v>473</v>
      </c>
      <c r="D538" s="12" t="s">
        <v>474</v>
      </c>
      <c r="E538" s="12"/>
      <c r="F538" s="13" t="s">
        <v>1235</v>
      </c>
      <c r="G538" s="13" t="s">
        <v>1235</v>
      </c>
      <c r="H538" s="13" t="s">
        <v>1235</v>
      </c>
      <c r="N538"/>
    </row>
    <row r="539" spans="1:14" ht="14.25">
      <c r="C539" s="12" t="s">
        <v>475</v>
      </c>
      <c r="N539"/>
    </row>
    <row r="540" spans="1:14" ht="14.25">
      <c r="C540" s="12" t="s">
        <v>53</v>
      </c>
      <c r="N540"/>
    </row>
    <row r="541" spans="1:14" ht="14.25">
      <c r="N541"/>
    </row>
    <row r="542" spans="1:14" ht="14.25">
      <c r="N542"/>
    </row>
    <row r="543" spans="1:14" ht="14.25">
      <c r="N543"/>
    </row>
  </sheetData>
  <autoFilter ref="A4:G540" xr:uid="{2788019B-CD90-49AE-97E9-39576ABEC530}"/>
  <sortState xmlns:xlrd2="http://schemas.microsoft.com/office/spreadsheetml/2017/richdata2" ref="N9:N543">
    <sortCondition ref="N9:N543"/>
  </sortState>
  <mergeCells count="1">
    <mergeCell ref="A1:H1"/>
  </mergeCells>
  <pageMargins left="0.25" right="0.25" top="0.25" bottom="0.25" header="0.5" footer="0.5"/>
  <pageSetup orientation="landscape" horizontalDpi="4294967294" verticalDpi="0" r:id="rId1"/>
  <headerFooter alignWithMargins="0"/>
  <rowBreaks count="3" manualBreakCount="3">
    <brk id="88" max="16383" man="1"/>
    <brk id="467" max="16383" man="1"/>
    <brk id="505"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D8AC9-608F-41D0-9B13-503013C1C9F4}">
  <sheetPr codeName="Аркуш10"/>
  <dimension ref="A1:A179"/>
  <sheetViews>
    <sheetView topLeftCell="A33" zoomScale="130" zoomScaleNormal="130" workbookViewId="0">
      <selection activeCell="DR152" sqref="DR152"/>
    </sheetView>
  </sheetViews>
  <sheetFormatPr defaultRowHeight="14.25"/>
  <cols>
    <col min="1" max="108" width="1.88671875" customWidth="1"/>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AD4-51D5-43F7-9405-4C1BF3CBA2AE}">
  <sheetPr codeName="Аркуш40">
    <tabColor rgb="FF7030A0"/>
  </sheetPr>
  <dimension ref="A1:AC72"/>
  <sheetViews>
    <sheetView topLeftCell="A16" zoomScaleNormal="100" workbookViewId="0">
      <selection activeCell="H9" sqref="H9"/>
    </sheetView>
  </sheetViews>
  <sheetFormatPr defaultRowHeight="14.25"/>
  <cols>
    <col min="1" max="1" width="10.77734375" style="2" customWidth="1"/>
    <col min="2" max="3" width="8.88671875" style="2"/>
    <col min="4" max="4" width="9" style="2" customWidth="1"/>
    <col min="5" max="5" width="8.44140625" style="2" customWidth="1"/>
    <col min="6" max="6" width="17.21875" style="2" customWidth="1"/>
    <col min="7" max="8" width="22.88671875" style="2" customWidth="1"/>
    <col min="9" max="9" width="5" style="2" customWidth="1"/>
    <col min="10" max="10" width="15.6640625" style="2" customWidth="1"/>
    <col min="11" max="11" width="11.33203125" style="2" customWidth="1"/>
    <col min="12" max="16384" width="8.88671875" style="2"/>
  </cols>
  <sheetData>
    <row r="1" spans="1:29" ht="19.5">
      <c r="A1" s="2203" t="s">
        <v>17677</v>
      </c>
      <c r="B1" s="2204"/>
      <c r="C1" s="2204"/>
      <c r="D1" s="2205"/>
      <c r="E1" s="1189"/>
      <c r="F1" s="2201" t="s">
        <v>15307</v>
      </c>
      <c r="G1" s="2202"/>
      <c r="H1" s="2202"/>
      <c r="I1" s="1189"/>
      <c r="J1" s="2201" t="s">
        <v>13113</v>
      </c>
      <c r="K1" s="2202"/>
      <c r="L1" s="2202"/>
      <c r="M1" s="2202"/>
      <c r="N1" s="1189"/>
    </row>
    <row r="2" spans="1:29">
      <c r="A2" s="2206"/>
      <c r="B2" s="2207"/>
      <c r="C2" s="2207"/>
      <c r="D2" s="2208"/>
      <c r="E2" s="1189"/>
      <c r="F2" s="1189"/>
      <c r="G2" s="1189"/>
      <c r="H2" s="1189"/>
      <c r="I2" s="1189"/>
      <c r="N2" s="1189"/>
      <c r="U2" s="1160" t="s">
        <v>12876</v>
      </c>
      <c r="V2" s="1160" t="s">
        <v>17667</v>
      </c>
      <c r="W2" s="795" t="s">
        <v>17668</v>
      </c>
      <c r="Y2" t="s">
        <v>17426</v>
      </c>
      <c r="Z2"/>
      <c r="AA2"/>
      <c r="AB2"/>
      <c r="AC2"/>
    </row>
    <row r="3" spans="1:29" ht="17.25" thickBot="1">
      <c r="A3" s="1188"/>
      <c r="B3" s="1188"/>
      <c r="C3" s="1188"/>
      <c r="D3" s="1188"/>
      <c r="E3" s="1189"/>
      <c r="F3" s="796" t="s">
        <v>15308</v>
      </c>
      <c r="G3" s="2214"/>
      <c r="H3" s="2215"/>
      <c r="I3" s="1189"/>
      <c r="J3" s="796" t="s">
        <v>7930</v>
      </c>
      <c r="K3" s="796" t="s">
        <v>12241</v>
      </c>
      <c r="L3" s="796" t="s">
        <v>12244</v>
      </c>
      <c r="M3" s="796"/>
      <c r="N3" s="1189"/>
      <c r="U3" s="1160" t="s">
        <v>12877</v>
      </c>
      <c r="V3" s="1243">
        <v>68</v>
      </c>
      <c r="W3" s="1243"/>
      <c r="Y3" t="s">
        <v>12241</v>
      </c>
      <c r="Z3" t="s">
        <v>17427</v>
      </c>
      <c r="AA3" t="s">
        <v>17428</v>
      </c>
      <c r="AB3" t="s">
        <v>8572</v>
      </c>
      <c r="AC3"/>
    </row>
    <row r="4" spans="1:29" ht="21" thickTop="1" thickBot="1">
      <c r="A4" s="2201" t="s">
        <v>1933</v>
      </c>
      <c r="B4" s="2202"/>
      <c r="C4" s="2202"/>
      <c r="D4" s="2202"/>
      <c r="E4" s="1189"/>
      <c r="F4" s="796" t="s">
        <v>15309</v>
      </c>
      <c r="G4" s="2214"/>
      <c r="H4" s="2215"/>
      <c r="I4" s="1189"/>
      <c r="J4" s="659">
        <v>5</v>
      </c>
      <c r="K4" s="758">
        <v>15</v>
      </c>
      <c r="L4" s="659" t="s">
        <v>12231</v>
      </c>
      <c r="M4" s="758">
        <f ca="1">RANDBETWEEN(1,20)++INDEX('Cormyr Encounters'!R28:R32,MATCH('GM SCREEN'!K4,'Cormyr Encounters'!Q28:Q32,0),1)+1</f>
        <v>7</v>
      </c>
      <c r="N4" s="1189"/>
      <c r="U4" s="1160" t="s">
        <v>12878</v>
      </c>
      <c r="V4" s="1243"/>
      <c r="W4" s="1243"/>
      <c r="Y4" t="s">
        <v>12236</v>
      </c>
      <c r="Z4">
        <v>5</v>
      </c>
      <c r="AA4">
        <v>-5</v>
      </c>
      <c r="AB4" t="s">
        <v>17429</v>
      </c>
      <c r="AC4"/>
    </row>
    <row r="5" spans="1:29" ht="18" thickTop="1" thickBot="1">
      <c r="A5" s="2" t="s">
        <v>1643</v>
      </c>
      <c r="B5" s="2" t="s">
        <v>13233</v>
      </c>
      <c r="C5" s="2" t="s">
        <v>13234</v>
      </c>
      <c r="D5" t="s">
        <v>13235</v>
      </c>
      <c r="E5" s="1189"/>
      <c r="F5" s="796" t="s">
        <v>9522</v>
      </c>
      <c r="G5" s="2214"/>
      <c r="H5" s="2215"/>
      <c r="I5" s="1189"/>
      <c r="N5" s="1189"/>
      <c r="U5" s="1160" t="s">
        <v>12879</v>
      </c>
      <c r="V5" s="1243">
        <v>86</v>
      </c>
      <c r="W5" s="1243"/>
      <c r="Y5" t="s">
        <v>12237</v>
      </c>
      <c r="Z5">
        <v>10</v>
      </c>
      <c r="AA5">
        <v>-2</v>
      </c>
      <c r="AB5" t="s">
        <v>17430</v>
      </c>
      <c r="AC5"/>
    </row>
    <row r="6" spans="1:29" ht="20.25" thickTop="1">
      <c r="A6" s="2">
        <v>1</v>
      </c>
      <c r="B6" s="2" t="str" cm="1">
        <f t="array" aca="1" ref="B6" ca="1">INDEX(CONFIG000!$B$3:$B$55,RANDBETWEEN(1,53),1)</f>
        <v>Darlethra</v>
      </c>
      <c r="C6" s="2" t="str" cm="1">
        <f t="array" aca="1" ref="C6" ca="1">INDEX(CONFIG000!$D$3:$D$56,RANDBETWEEN(1,54),1)</f>
        <v>Welwyn</v>
      </c>
      <c r="D6" cm="1">
        <f t="array" aca="1" ref="D6" ca="1">INDEX(Таблиця283[Cormyrean Surnames],RANDBETWEEN(1,180),1)</f>
        <v>0</v>
      </c>
      <c r="E6" s="1189"/>
      <c r="F6" s="1189"/>
      <c r="G6" s="1189"/>
      <c r="H6" s="1189"/>
      <c r="I6" s="1189"/>
      <c r="J6" s="2193" t="str">
        <f ca="1">INDEX(Таблиця2[Encounter],MATCH('Cormyr Encounters'!R2,Таблиця2[d20 low],1),1)</f>
        <v>13 An Ill Omen. You encounter some type of ill omen: a snake eating its own tail, a rotting corpse, skulls and bones strung from tree branches, or another sign of trouble. The Guide must make a Wisdom (Insight) check. If the check is a failure, immediately roll on the encounter table with a +5 to the roll.</v>
      </c>
      <c r="K6" s="2193"/>
      <c r="L6" s="2193"/>
      <c r="M6" s="2193"/>
      <c r="N6" s="1189"/>
      <c r="P6" s="2188" t="s">
        <v>7512</v>
      </c>
      <c r="Q6" s="2189"/>
      <c r="U6" s="1160" t="s">
        <v>12880</v>
      </c>
      <c r="V6" s="1243">
        <v>62</v>
      </c>
      <c r="W6" s="1243"/>
      <c r="Y6" t="s">
        <v>12238</v>
      </c>
      <c r="Z6">
        <v>12</v>
      </c>
      <c r="AA6">
        <v>0</v>
      </c>
      <c r="AB6" t="s">
        <v>17431</v>
      </c>
      <c r="AC6"/>
    </row>
    <row r="7" spans="1:29" ht="15">
      <c r="A7" s="2">
        <v>2</v>
      </c>
      <c r="B7" s="2" t="str" cm="1">
        <f t="array" aca="1" ref="B7" ca="1">INDEX(CONFIG000!$B$3:$B$55,RANDBETWEEN(1,53),1)</f>
        <v>Varimbra</v>
      </c>
      <c r="C7" s="2" t="str" cm="1">
        <f t="array" aca="1" ref="C7" ca="1">INDEX(CONFIG000!$D$3:$D$56,RANDBETWEEN(1,54),1)</f>
        <v>Halance</v>
      </c>
      <c r="D7" t="str" cm="1">
        <f t="array" aca="1" ref="D7" ca="1">INDEX(Таблиця283[Cormyrean Surnames],RANDBETWEEN(1,180),1)</f>
        <v>Heldeth</v>
      </c>
      <c r="E7" s="1189"/>
      <c r="F7" s="1189"/>
      <c r="G7" s="1189"/>
      <c r="H7" s="1189"/>
      <c r="I7" s="1189"/>
      <c r="J7" s="2193"/>
      <c r="K7" s="2193"/>
      <c r="L7" s="2193"/>
      <c r="M7" s="2193"/>
      <c r="N7" s="1189"/>
      <c r="P7" s="512" t="s">
        <v>7510</v>
      </c>
      <c r="Q7" s="467" t="s">
        <v>7513</v>
      </c>
      <c r="U7" s="1160" t="s">
        <v>12881</v>
      </c>
      <c r="V7" s="1243">
        <v>40</v>
      </c>
      <c r="W7" s="1243"/>
      <c r="Y7" t="s">
        <v>17432</v>
      </c>
      <c r="Z7">
        <v>15</v>
      </c>
      <c r="AA7">
        <v>2</v>
      </c>
      <c r="AB7" t="s">
        <v>17433</v>
      </c>
      <c r="AC7"/>
    </row>
    <row r="8" spans="1:29">
      <c r="A8" s="2">
        <v>3</v>
      </c>
      <c r="B8" s="2" t="str" cm="1">
        <f t="array" aca="1" ref="B8" ca="1">INDEX(CONFIG000!$B$3:$B$55,RANDBETWEEN(1,53),1)</f>
        <v>Tamphara</v>
      </c>
      <c r="C8" s="2" t="str" cm="1">
        <f t="array" aca="1" ref="C8" ca="1">INDEX(CONFIG000!$D$3:$D$56,RANDBETWEEN(1,54),1)</f>
        <v>Foril</v>
      </c>
      <c r="D8" t="str" cm="1">
        <f t="array" aca="1" ref="D8" ca="1">INDEX(Таблиця283[Cormyrean Surnames],RANDBETWEEN(1,180),1)</f>
        <v>Downdagger</v>
      </c>
      <c r="E8" s="1189"/>
      <c r="I8" s="1189"/>
      <c r="J8" s="2193"/>
      <c r="K8" s="2193"/>
      <c r="L8" s="2193"/>
      <c r="M8" s="2193"/>
      <c r="N8" s="1189"/>
      <c r="P8" s="2190" t="s">
        <v>7514</v>
      </c>
      <c r="Q8" s="2192" t="s">
        <v>7515</v>
      </c>
      <c r="U8" s="1160" t="s">
        <v>12882</v>
      </c>
      <c r="V8" s="1243">
        <v>2</v>
      </c>
      <c r="W8" s="1243"/>
      <c r="Y8" t="s">
        <v>17434</v>
      </c>
      <c r="Z8">
        <v>20</v>
      </c>
      <c r="AA8">
        <v>5</v>
      </c>
      <c r="AB8" t="s">
        <v>17433</v>
      </c>
      <c r="AC8"/>
    </row>
    <row r="9" spans="1:29" ht="15" thickBot="1">
      <c r="A9" s="2">
        <v>4</v>
      </c>
      <c r="B9" s="2" t="str" cm="1">
        <f t="array" aca="1" ref="B9" ca="1">INDEX(CONFIG000!$B$3:$B$55,RANDBETWEEN(1,53),1)</f>
        <v>Varimbra</v>
      </c>
      <c r="C9" s="2" t="str" cm="1">
        <f t="array" aca="1" ref="C9" ca="1">INDEX(CONFIG000!$D$3:$D$56,RANDBETWEEN(1,54),1)</f>
        <v>Helharbras</v>
      </c>
      <c r="D9" t="str" cm="1">
        <f t="array" aca="1" ref="D9" ca="1">INDEX(Таблиця283[Cormyrean Surnames],RANDBETWEEN(1,180),1)</f>
        <v>Marshfall</v>
      </c>
      <c r="E9" s="1189"/>
      <c r="I9" s="1189"/>
      <c r="J9" s="2193"/>
      <c r="K9" s="2193"/>
      <c r="L9" s="2193"/>
      <c r="M9" s="2193"/>
      <c r="N9" s="1189"/>
      <c r="P9" s="2191"/>
      <c r="Q9" s="2191"/>
      <c r="U9" s="1160" t="s">
        <v>12883</v>
      </c>
      <c r="V9" s="1243">
        <v>101</v>
      </c>
      <c r="W9" s="1243"/>
      <c r="Y9"/>
      <c r="Z9"/>
      <c r="AA9"/>
      <c r="AB9"/>
      <c r="AC9"/>
    </row>
    <row r="10" spans="1:29" ht="19.5">
      <c r="A10" s="2">
        <v>5</v>
      </c>
      <c r="B10" s="2" t="str" cm="1">
        <f t="array" aca="1" ref="B10" ca="1">INDEX(CONFIG000!$B$3:$B$55,RANDBETWEEN(1,53),1)</f>
        <v>Daluthra</v>
      </c>
      <c r="C10" s="2" t="str" cm="1">
        <f t="array" aca="1" ref="C10" ca="1">INDEX(CONFIG000!$D$3:$D$56,RANDBETWEEN(1,54),1)</f>
        <v>Harmond</v>
      </c>
      <c r="D10" cm="1">
        <f t="array" aca="1" ref="D10" ca="1">INDEX(Таблиця283[Cormyrean Surnames],RANDBETWEEN(1,180),1)</f>
        <v>0</v>
      </c>
      <c r="E10" s="1189"/>
      <c r="F10" s="2201" t="s">
        <v>17664</v>
      </c>
      <c r="G10" s="2202"/>
      <c r="H10" s="2202"/>
      <c r="I10" s="1189"/>
      <c r="J10" s="2193"/>
      <c r="K10" s="2193"/>
      <c r="L10" s="2193"/>
      <c r="M10" s="2193"/>
      <c r="N10" s="1189"/>
      <c r="P10" s="2196" t="s">
        <v>7516</v>
      </c>
      <c r="Q10" s="2198" t="s">
        <v>7517</v>
      </c>
      <c r="U10" s="1160" t="s">
        <v>12884</v>
      </c>
      <c r="V10" s="1243">
        <v>63</v>
      </c>
      <c r="W10" s="1243">
        <f>Таблиця345[[#This Row],[AVERAGE]]*2.54/100</f>
        <v>1.6002000000000001</v>
      </c>
      <c r="Y10" t="s">
        <v>17435</v>
      </c>
      <c r="Z10" s="1186"/>
      <c r="AA10" s="1186"/>
      <c r="AB10"/>
      <c r="AC10"/>
    </row>
    <row r="11" spans="1:29">
      <c r="A11" s="2">
        <v>6</v>
      </c>
      <c r="B11" s="2" t="str" cm="1">
        <f t="array" aca="1" ref="B11" ca="1">INDEX(CONFIG000!$B$3:$B$55,RANDBETWEEN(1,53),1)</f>
        <v>Narnra</v>
      </c>
      <c r="C11" s="2" t="str" cm="1">
        <f t="array" aca="1" ref="C11" ca="1">INDEX(CONFIG000!$D$3:$D$56,RANDBETWEEN(1,54),1)</f>
        <v>Harmond</v>
      </c>
      <c r="D11" cm="1">
        <f t="array" aca="1" ref="D11" ca="1">INDEX(Таблиця283[Cormyrean Surnames],RANDBETWEEN(1,180),1)</f>
        <v>0</v>
      </c>
      <c r="E11" s="1189"/>
      <c r="F11" s="1188"/>
      <c r="G11" s="1188"/>
      <c r="H11" s="1188"/>
      <c r="I11" s="1189"/>
      <c r="J11" s="2193"/>
      <c r="K11" s="2193"/>
      <c r="L11" s="2193"/>
      <c r="M11" s="2193"/>
      <c r="N11" s="1189"/>
      <c r="P11" s="2197"/>
      <c r="Q11" s="2197"/>
      <c r="U11" s="1160" t="s">
        <v>12885</v>
      </c>
      <c r="V11" s="1243" t="s">
        <v>12886</v>
      </c>
      <c r="W11" s="1243"/>
      <c r="Y11" t="s">
        <v>17436</v>
      </c>
      <c r="Z11" t="s">
        <v>17437</v>
      </c>
      <c r="AA11" t="s">
        <v>17438</v>
      </c>
      <c r="AB11" t="s">
        <v>551</v>
      </c>
      <c r="AC11"/>
    </row>
    <row r="12" spans="1:29">
      <c r="A12" s="2">
        <v>7</v>
      </c>
      <c r="B12" s="2" t="str" cm="1">
        <f t="array" aca="1" ref="B12" ca="1">INDEX(CONFIG000!$B$3:$B$55,RANDBETWEEN(1,53),1)</f>
        <v>Alusair</v>
      </c>
      <c r="C12" s="2" t="str" cm="1">
        <f t="array" aca="1" ref="C12" ca="1">INDEX(CONFIG000!$D$3:$D$56,RANDBETWEEN(1,54),1)</f>
        <v>Palaghard</v>
      </c>
      <c r="D12" t="str" cm="1">
        <f t="array" aca="1" ref="D12" ca="1">INDEX(Таблиця283[Cormyrean Surnames],RANDBETWEEN(1,180),1)</f>
        <v>Dauntinghorn</v>
      </c>
      <c r="E12" s="1189"/>
      <c r="F12" s="1188"/>
      <c r="G12" s="1188"/>
      <c r="H12" s="1188"/>
      <c r="I12" s="1189"/>
      <c r="J12" s="2193"/>
      <c r="K12" s="2193"/>
      <c r="L12" s="2193"/>
      <c r="M12" s="2193"/>
      <c r="N12" s="1189"/>
      <c r="P12" s="2200" t="s">
        <v>7518</v>
      </c>
      <c r="Q12" s="2192" t="s">
        <v>7519</v>
      </c>
      <c r="Y12" t="s">
        <v>17439</v>
      </c>
      <c r="Z12" t="s">
        <v>17440</v>
      </c>
      <c r="AA12" t="s">
        <v>9074</v>
      </c>
      <c r="AB12">
        <f t="shared" ref="AB12" ca="1" si="0">RANDBETWEEN(1,2)-1</f>
        <v>0</v>
      </c>
      <c r="AC12"/>
    </row>
    <row r="13" spans="1:29">
      <c r="A13" s="2">
        <v>8</v>
      </c>
      <c r="B13" s="2" t="str" cm="1">
        <f t="array" aca="1" ref="B13" ca="1">INDEX(CONFIG000!$B$3:$B$55,RANDBETWEEN(1,53),1)</f>
        <v>Taerlene</v>
      </c>
      <c r="C13" s="2" t="str" cm="1">
        <f t="array" aca="1" ref="C13" ca="1">INDEX(CONFIG000!$D$3:$D$56,RANDBETWEEN(1,54),1)</f>
        <v>Unstrarr</v>
      </c>
      <c r="D13" t="str" cm="1">
        <f t="array" aca="1" ref="D13" ca="1">INDEX(Таблиця283[Cormyrean Surnames],RANDBETWEEN(1,180),1)</f>
        <v>Heldeth</v>
      </c>
      <c r="E13" s="1189"/>
      <c r="F13" s="1188"/>
      <c r="G13" s="1188"/>
      <c r="H13" s="1188"/>
      <c r="I13" s="1189"/>
      <c r="J13" s="2193"/>
      <c r="K13" s="2193"/>
      <c r="L13" s="2193"/>
      <c r="M13" s="2193"/>
      <c r="N13" s="1189"/>
      <c r="P13" s="2197"/>
      <c r="Q13" s="2191"/>
      <c r="Y13" t="s">
        <v>17441</v>
      </c>
      <c r="Z13" t="s">
        <v>17442</v>
      </c>
      <c r="AA13" t="s">
        <v>17443</v>
      </c>
      <c r="AB13">
        <f ca="1">RANDBETWEEN(1,3)</f>
        <v>1</v>
      </c>
      <c r="AC13"/>
    </row>
    <row r="14" spans="1:29">
      <c r="A14" s="2">
        <v>9</v>
      </c>
      <c r="B14" s="2" t="str" cm="1">
        <f t="array" aca="1" ref="B14" ca="1">INDEX(CONFIG000!$B$3:$B$55,RANDBETWEEN(1,53),1)</f>
        <v>Esheena</v>
      </c>
      <c r="C14" s="2" t="str" cm="1">
        <f t="array" aca="1" ref="C14" ca="1">INDEX(CONFIG000!$D$3:$D$56,RANDBETWEEN(1,54),1)</f>
        <v>Ruthgul</v>
      </c>
      <c r="D14" t="str" cm="1">
        <f t="array" aca="1" ref="D14" ca="1">INDEX(Таблиця283[Cormyrean Surnames],RANDBETWEEN(1,180),1)</f>
        <v>Hawkmantle</v>
      </c>
      <c r="E14" s="1189"/>
      <c r="F14" s="1188"/>
      <c r="G14" s="1188"/>
      <c r="H14" s="1188"/>
      <c r="I14" s="1189"/>
      <c r="J14" s="2193"/>
      <c r="K14" s="2193"/>
      <c r="L14" s="2193"/>
      <c r="M14" s="2193"/>
      <c r="N14" s="1189"/>
      <c r="P14" s="2197"/>
      <c r="Q14" s="2191"/>
      <c r="Y14" t="s">
        <v>2320</v>
      </c>
      <c r="Z14" t="s">
        <v>17444</v>
      </c>
      <c r="AA14" t="s">
        <v>17445</v>
      </c>
      <c r="AB14">
        <f ca="1">RANDBETWEEN(1,4)+1</f>
        <v>2</v>
      </c>
      <c r="AC14"/>
    </row>
    <row r="15" spans="1:29">
      <c r="A15" s="2">
        <v>9</v>
      </c>
      <c r="B15" s="2" t="str" cm="1">
        <f t="array" aca="1" ref="B15" ca="1">INDEX(CONFIG000!$B$3:$B$55,RANDBETWEEN(1,53),1)</f>
        <v>Nechelseiya</v>
      </c>
      <c r="C15" s="2" t="str" cm="1">
        <f t="array" aca="1" ref="C15" ca="1">INDEX(CONFIG000!$D$3:$D$56,RANDBETWEEN(1,54),1)</f>
        <v>Essard</v>
      </c>
      <c r="D15" cm="1">
        <f t="array" aca="1" ref="D15" ca="1">INDEX(Таблиця283[Cormyrean Surnames],RANDBETWEEN(1,180),1)</f>
        <v>0</v>
      </c>
      <c r="E15" s="1189"/>
      <c r="F15" s="1188"/>
      <c r="G15" s="1188"/>
      <c r="H15" s="1188"/>
      <c r="I15" s="1189"/>
      <c r="N15" s="1189"/>
      <c r="P15" s="2197"/>
      <c r="Q15" s="2191"/>
      <c r="Y15" t="s">
        <v>14437</v>
      </c>
      <c r="Z15" t="s">
        <v>17446</v>
      </c>
      <c r="AA15">
        <v>8</v>
      </c>
      <c r="AB15" s="1153">
        <f ca="1">RANDBETWEEN(1,6)+2</f>
        <v>3</v>
      </c>
      <c r="AC15"/>
    </row>
    <row r="16" spans="1:29" ht="16.5">
      <c r="A16" s="2">
        <v>10</v>
      </c>
      <c r="B16" s="2" t="str" cm="1">
        <f t="array" aca="1" ref="B16" ca="1">INDEX(CONFIG000!$B$3:$B$55,RANDBETWEEN(1,53),1)</f>
        <v>Mythandra</v>
      </c>
      <c r="C16" s="2" t="str" cm="1">
        <f t="array" aca="1" ref="C16" ca="1">INDEX(CONFIG000!$D$3:$D$56,RANDBETWEEN(1,54),1)</f>
        <v>Delnor</v>
      </c>
      <c r="D16" t="str" cm="1">
        <f t="array" aca="1" ref="D16" ca="1">INDEX(Таблиця283[Cormyrean Surnames],RANDBETWEEN(1,180),1)</f>
        <v>Starbridge</v>
      </c>
      <c r="E16" s="1189"/>
      <c r="F16" s="1188"/>
      <c r="G16" s="1188"/>
      <c r="H16" s="1188"/>
      <c r="I16" s="1189"/>
      <c r="J16" s="2194" t="s">
        <v>12245</v>
      </c>
      <c r="K16" s="2195"/>
      <c r="L16" s="2195"/>
      <c r="M16" s="758">
        <f ca="1">INDEX('Cormyr Encounters'!$C$3:$M$28,MATCH(M4,'Cormyr Encounters'!B3:B28,0),MATCH(L4,'Cormyr Encounters'!C2:M2,0))</f>
        <v>5</v>
      </c>
      <c r="N16" s="1189"/>
      <c r="P16" s="2197"/>
      <c r="Q16" s="2191"/>
      <c r="AB16"/>
      <c r="AC16"/>
    </row>
    <row r="17" spans="1:29" ht="20.25" thickBot="1">
      <c r="A17" s="1189"/>
      <c r="B17" s="1189"/>
      <c r="C17" s="1189"/>
      <c r="D17" s="1189"/>
      <c r="E17" s="1189"/>
      <c r="F17" s="2201" t="s">
        <v>17665</v>
      </c>
      <c r="G17" s="2202"/>
      <c r="H17" s="2202"/>
      <c r="I17" s="1189"/>
      <c r="J17" s="1189"/>
      <c r="K17" s="1189"/>
      <c r="L17" s="1189"/>
      <c r="M17" s="1189"/>
      <c r="N17" s="1189"/>
      <c r="O17" s="1189"/>
      <c r="P17" s="2197"/>
      <c r="Q17" s="2191"/>
      <c r="Y17"/>
      <c r="Z17"/>
      <c r="AA17"/>
      <c r="AB17"/>
      <c r="AC17"/>
    </row>
    <row r="18" spans="1:29" ht="21" thickTop="1" thickBot="1">
      <c r="A18" s="2201" t="s">
        <v>1932</v>
      </c>
      <c r="B18" s="2202"/>
      <c r="C18" s="2202"/>
      <c r="D18" s="2202"/>
      <c r="E18" s="1189"/>
      <c r="F18" s="1188"/>
      <c r="G18" s="1188"/>
      <c r="H18" s="1188"/>
      <c r="I18" s="1189"/>
      <c r="J18" s="759" t="s">
        <v>1362</v>
      </c>
      <c r="P18" s="2196" t="s">
        <v>7520</v>
      </c>
      <c r="Q18" s="2198" t="s">
        <v>7521</v>
      </c>
      <c r="U18" s="760" t="s">
        <v>1940</v>
      </c>
      <c r="V18" s="610" t="str" cm="1">
        <f t="array" aca="1" ref="V18" ca="1">INDEX(Таблиця26[Extraction:],RANDBETWEEN(1,8),1)</f>
        <v>You are the macguffin to be retrieved</v>
      </c>
      <c r="Y18"/>
      <c r="Z18"/>
      <c r="AA18"/>
      <c r="AB18"/>
      <c r="AC18"/>
    </row>
    <row r="19" spans="1:29" ht="21" customHeight="1">
      <c r="A19" s="57" t="s">
        <v>1643</v>
      </c>
      <c r="B19" s="2" t="s">
        <v>13236</v>
      </c>
      <c r="C19" s="2" t="s">
        <v>13237</v>
      </c>
      <c r="D19" s="800" t="s">
        <v>13238</v>
      </c>
      <c r="E19" s="1189"/>
      <c r="F19" s="1188"/>
      <c r="G19" s="1188"/>
      <c r="H19" s="1188"/>
      <c r="I19" s="1189"/>
      <c r="J19" s="2212" t="str">
        <f ca="1">CONFIG000!T2</f>
        <v>What embarrassing thing did you see them doing?</v>
      </c>
      <c r="K19" s="2213"/>
      <c r="L19" s="2213"/>
      <c r="M19" s="2213"/>
      <c r="N19" s="2213"/>
      <c r="P19" s="2197"/>
      <c r="Q19" s="2197"/>
      <c r="V19" s="610" t="str" cm="1">
        <f t="array" aca="1" ref="V19" ca="1">INDEX(Таблиця20[1. Extraction (Voluntary/Involuntary)],RANDBETWEEN(1,8),1)</f>
        <v>7. From hostile forces</v>
      </c>
    </row>
    <row r="20" spans="1:29" ht="17.25" thickBot="1">
      <c r="A20" s="2">
        <v>1</v>
      </c>
      <c r="B20" s="2" t="str" cm="1">
        <f t="array" aca="1" ref="B20" ca="1">INDEX(Таблиця15[Female],RANDBETWEEN(1,51),1)</f>
        <v>Alanstel</v>
      </c>
      <c r="C20" s="2" t="str" cm="1">
        <f t="array" aca="1" ref="C20" ca="1">INDEX(Таблиця15[Male],RANDBETWEEN(1,51),1)</f>
        <v>Arkanon</v>
      </c>
      <c r="D20" t="str" cm="1">
        <f t="array" aca="1" ref="D20" ca="1">INDEX(Таблиця16[Noble Family],RANDBETWEEN(1,60),1)</f>
        <v>Emmarask</v>
      </c>
      <c r="E20" s="1189"/>
      <c r="F20" s="1188"/>
      <c r="G20" s="1188"/>
      <c r="H20" s="1188"/>
      <c r="I20" s="1189"/>
      <c r="J20" s="759" t="s">
        <v>1384</v>
      </c>
      <c r="P20" s="2197"/>
      <c r="Q20" s="2197"/>
      <c r="V20" s="610" t="str" cm="1">
        <f t="array" aca="1" ref="V20" ca="1">INDEX(Таблиця26[Extraction:],RANDBETWEEN(1,8),1)</f>
        <v>The maguffin is surprisingly difficult to retrieve</v>
      </c>
    </row>
    <row r="21" spans="1:29">
      <c r="A21" s="2">
        <v>2</v>
      </c>
      <c r="B21" s="2" t="str" cm="1">
        <f t="array" aca="1" ref="B21" ca="1">INDEX(Таблиця15[Female],RANDBETWEEN(1,51),1)</f>
        <v>Marantine</v>
      </c>
      <c r="C21" s="2" t="str" cm="1">
        <f t="array" aca="1" ref="C21" ca="1">INDEX(Таблиця15[Male],RANDBETWEEN(1,51),1)</f>
        <v>Belophar</v>
      </c>
      <c r="D21" t="str" cm="1">
        <f t="array" aca="1" ref="D21" ca="1">INDEX(Таблиця16[Noble Family],RANDBETWEEN(1,60),1)</f>
        <v>Janders</v>
      </c>
      <c r="E21" s="1189"/>
      <c r="F21" s="1188"/>
      <c r="G21" s="1188"/>
      <c r="H21" s="1188"/>
      <c r="I21" s="1189"/>
      <c r="J21" s="2211" t="str">
        <f ca="1">CONFIG000!W2</f>
        <v>What is the most cruel and hurtful thing you have ever said? Do you regret it?</v>
      </c>
      <c r="K21" s="2211"/>
      <c r="L21" s="2211"/>
      <c r="M21" s="2211"/>
      <c r="N21" s="2211"/>
      <c r="P21" s="2197"/>
      <c r="Q21" s="2197"/>
    </row>
    <row r="22" spans="1:29" ht="15">
      <c r="A22" s="2">
        <v>3</v>
      </c>
      <c r="B22" s="2" t="str" cm="1">
        <f t="array" aca="1" ref="B22" ca="1">INDEX(Таблиця15[Female],RANDBETWEEN(1,51),1)</f>
        <v>Anglorae</v>
      </c>
      <c r="C22" s="2" t="str" cm="1">
        <f t="array" aca="1" ref="C22" ca="1">INDEX(Таблиця15[Male],RANDBETWEEN(1,51),1)</f>
        <v>Relgadrar</v>
      </c>
      <c r="D22" t="str" cm="1">
        <f t="array" aca="1" ref="D22" ca="1">INDEX(Таблиця16[Noble Family],RANDBETWEEN(1,60),1)</f>
        <v>Illance</v>
      </c>
      <c r="E22" s="1189"/>
      <c r="F22" s="1188"/>
      <c r="G22" s="1188"/>
      <c r="H22" s="1188"/>
      <c r="I22" s="1189"/>
      <c r="J22" s="2211"/>
      <c r="K22" s="2211"/>
      <c r="L22" s="2211"/>
      <c r="M22" s="2211"/>
      <c r="N22" s="2211"/>
      <c r="P22" s="620"/>
      <c r="Q22" s="621"/>
    </row>
    <row r="23" spans="1:29" ht="15.75" thickBot="1">
      <c r="A23" s="2">
        <v>4</v>
      </c>
      <c r="B23" s="2" t="str" cm="1">
        <f t="array" aca="1" ref="B23" ca="1">INDEX(Таблиця15[Female],RANDBETWEEN(1,51),1)</f>
        <v>Taerenthe</v>
      </c>
      <c r="C23" s="2" t="str" cm="1">
        <f t="array" aca="1" ref="C23" ca="1">INDEX(Таблиця15[Male],RANDBETWEEN(1,51),1)</f>
        <v>Jeskren</v>
      </c>
      <c r="D23" t="str" cm="1">
        <f t="array" aca="1" ref="D23" ca="1">INDEX(Таблиця16[Noble Family],RANDBETWEEN(1,60),1)</f>
        <v>Truesilver</v>
      </c>
      <c r="E23" s="1189"/>
      <c r="F23" s="1188"/>
      <c r="G23" s="1188"/>
      <c r="H23" s="1188"/>
      <c r="I23" s="1189"/>
      <c r="J23" s="2211"/>
      <c r="K23" s="2211"/>
      <c r="L23" s="2211"/>
      <c r="M23" s="2211"/>
      <c r="N23" s="2211"/>
      <c r="P23" s="512" t="s">
        <v>7511</v>
      </c>
      <c r="Q23" s="467" t="s">
        <v>7513</v>
      </c>
    </row>
    <row r="24" spans="1:29" ht="21" thickTop="1" thickBot="1">
      <c r="A24" s="2">
        <v>5</v>
      </c>
      <c r="B24" s="2" t="str" cm="1">
        <f t="array" aca="1" ref="B24" ca="1">INDEX(Таблиця15[Female],RANDBETWEEN(1,51),1)</f>
        <v>Sammereza</v>
      </c>
      <c r="C24" s="2" t="str" cm="1">
        <f t="array" aca="1" ref="C24" ca="1">INDEX(Таблиця15[Male],RANDBETWEEN(1,51),1)</f>
        <v>Arkeld</v>
      </c>
      <c r="D24" t="str" cm="1">
        <f t="array" aca="1" ref="D24" ca="1">INDEX(Таблиця16[Noble Family],RANDBETWEEN(1,60),1)</f>
        <v>Greenmantle</v>
      </c>
      <c r="E24" s="1189"/>
      <c r="F24" s="1188"/>
      <c r="G24" s="1188"/>
      <c r="H24" s="1188"/>
      <c r="I24" s="1189"/>
      <c r="J24" s="2201" t="s">
        <v>17666</v>
      </c>
      <c r="K24" s="2202"/>
      <c r="L24" s="2202"/>
      <c r="M24" s="2202"/>
      <c r="N24" s="2202"/>
      <c r="P24" s="511" t="s">
        <v>7522</v>
      </c>
      <c r="Q24" s="468" t="s">
        <v>7523</v>
      </c>
      <c r="U24" s="599" t="s">
        <v>1963</v>
      </c>
      <c r="W24" s="95" t="s">
        <v>1969</v>
      </c>
      <c r="X24" s="96"/>
    </row>
    <row r="25" spans="1:29" ht="20.25" thickTop="1">
      <c r="A25" s="2">
        <v>6</v>
      </c>
      <c r="B25" s="2" t="str" cm="1">
        <f t="array" aca="1" ref="B25" ca="1">INDEX(Таблиця15[Female],RANDBETWEEN(1,51),1)</f>
        <v>Yaraela</v>
      </c>
      <c r="C25" s="2" t="str" cm="1">
        <f t="array" aca="1" ref="C25" ca="1">INDEX(Таблиця15[Male],RANDBETWEEN(1,51),1)</f>
        <v>Belophar</v>
      </c>
      <c r="D25" t="str" cm="1">
        <f t="array" aca="1" ref="D25" ca="1">INDEX(Таблиця16[Noble Family],RANDBETWEEN(1,60),1)</f>
        <v>Wyvernspur</v>
      </c>
      <c r="E25" s="1189"/>
      <c r="F25" s="2201" t="s">
        <v>17676</v>
      </c>
      <c r="G25" s="2202"/>
      <c r="H25" s="2202"/>
      <c r="I25" s="1189"/>
      <c r="P25" s="2196" t="s">
        <v>7524</v>
      </c>
      <c r="Q25" s="2198" t="s">
        <v>7525</v>
      </c>
      <c r="U25" s="610" t="str" cm="1">
        <f t="array" aca="1" ref="U25" ca="1">INDEX(Таблиця22[1. Bounty],RANDBETWEEN(1,6),1)</f>
        <v>4. Pest-Control</v>
      </c>
    </row>
    <row r="26" spans="1:29" ht="17.25" thickBot="1">
      <c r="A26" s="2">
        <v>7</v>
      </c>
      <c r="B26" s="2" t="str" cm="1">
        <f t="array" aca="1" ref="B26" ca="1">INDEX(Таблиця15[Female],RANDBETWEEN(1,51),1)</f>
        <v>Marantine</v>
      </c>
      <c r="C26" s="2" t="str" cm="1">
        <f t="array" aca="1" ref="C26" ca="1">INDEX(Таблиця15[Male],RANDBETWEEN(1,51),1)</f>
        <v>Rorell</v>
      </c>
      <c r="D26" t="str" cm="1">
        <f t="array" aca="1" ref="D26" ca="1">INDEX(Таблиця16[Noble Family],RANDBETWEEN(1,60),1)</f>
        <v>Belstable</v>
      </c>
      <c r="E26" s="1189"/>
      <c r="F26" s="2193" t="str">
        <f ca="1">CONFIG000!DF191&amp;" "&amp;CONFIG000!DF203&amp;" "&amp;CONFIG000!DH191&amp;" "&amp;CONFIG000!DH203&amp;" "&amp;CONFIG000!DJ191&amp;" "&amp;CONFIG000!DJ203&amp;" "&amp;CONFIG000!DL191&amp;" "&amp;CONFIG000!DL203</f>
        <v>My cousin told me about...  A Child And they...  Disappeared for 3 days And discovered...  A new disease And now..  The moon might fracture!</v>
      </c>
      <c r="G26" s="2193"/>
      <c r="H26" s="2193"/>
      <c r="I26" s="1189"/>
      <c r="P26" s="2197"/>
      <c r="Q26" s="2197"/>
      <c r="U26" s="610" t="str" cm="1">
        <f t="array" aca="1" ref="U26" ca="1">INDEX(CONFIG000!BY48:BY53,RANDBETWEEN(1,6),1)</f>
        <v>The bounty on a creature is very high, after killing many of them, the effects on the ecosystem become known</v>
      </c>
    </row>
    <row r="27" spans="1:29" ht="21" thickTop="1" thickBot="1">
      <c r="A27" s="2">
        <v>8</v>
      </c>
      <c r="B27" s="2" t="str" cm="1">
        <f t="array" aca="1" ref="B27" ca="1">INDEX(Таблиця15[Female],RANDBETWEEN(1,51),1)</f>
        <v>Noenel</v>
      </c>
      <c r="C27" s="2" t="str" cm="1">
        <f t="array" aca="1" ref="C27" ca="1">INDEX(Таблиця15[Male],RANDBETWEEN(1,51),1)</f>
        <v>Ergluth</v>
      </c>
      <c r="D27" t="str" cm="1">
        <f t="array" aca="1" ref="D27" ca="1">INDEX(Таблиця16[Noble Family],RANDBETWEEN(1,60),1)</f>
        <v>Dzavar</v>
      </c>
      <c r="E27" s="1189"/>
      <c r="F27" s="2193"/>
      <c r="G27" s="2193"/>
      <c r="H27" s="2193"/>
      <c r="I27" s="1189"/>
      <c r="P27" s="2197"/>
      <c r="Q27" s="2197"/>
      <c r="U27" s="599" t="s">
        <v>1934</v>
      </c>
    </row>
    <row r="28" spans="1:29" ht="17.25" thickTop="1">
      <c r="A28" s="2">
        <v>9</v>
      </c>
      <c r="B28" s="2" t="str" cm="1">
        <f t="array" aca="1" ref="B28" ca="1">INDEX(Таблиця15[Female],RANDBETWEEN(1,51),1)</f>
        <v>Darlethra</v>
      </c>
      <c r="C28" s="2" t="str" cm="1">
        <f t="array" aca="1" ref="C28" ca="1">INDEX(Таблиця15[Male],RANDBETWEEN(1,51),1)</f>
        <v>Landrar</v>
      </c>
      <c r="D28" t="str" cm="1">
        <f t="array" aca="1" ref="D28" ca="1">INDEX(Таблиця16[Noble Family],RANDBETWEEN(1,60),1)</f>
        <v>Longbrooke</v>
      </c>
      <c r="E28" s="1189"/>
      <c r="F28" s="2193"/>
      <c r="G28" s="2193"/>
      <c r="H28" s="2193"/>
      <c r="I28" s="1189"/>
      <c r="P28" s="2197"/>
      <c r="Q28" s="2197"/>
      <c r="U28" s="610" t="str" cm="1">
        <f t="array" aca="1" ref="U28" ca="1">INDEX(Таблиця21[From],RANDBETWEEN(1,5),1)</f>
        <v>1. Tower</v>
      </c>
    </row>
    <row r="29" spans="1:29" ht="16.5">
      <c r="A29" s="2">
        <v>9</v>
      </c>
      <c r="B29" s="2" t="str" cm="1">
        <f t="array" aca="1" ref="B29" ca="1">INDEX(Таблиця15[Female],RANDBETWEEN(1,51),1)</f>
        <v>Dalutheera</v>
      </c>
      <c r="C29" s="2" t="str" cm="1">
        <f t="array" aca="1" ref="C29" ca="1">INDEX(Таблиця15[Male],RANDBETWEEN(1,51),1)</f>
        <v>Kaerond</v>
      </c>
      <c r="D29" t="str" cm="1">
        <f t="array" aca="1" ref="D29" ca="1">INDEX(Таблиця16[Noble Family],RANDBETWEEN(1,60),1)</f>
        <v>Hawksongs</v>
      </c>
      <c r="E29" s="1189"/>
      <c r="F29" s="1189"/>
      <c r="G29" s="1189"/>
      <c r="H29" s="1189"/>
      <c r="I29" s="1189"/>
      <c r="P29" s="2197"/>
      <c r="Q29" s="2197"/>
      <c r="U29" s="610" t="str" cm="1">
        <f t="array" aca="1" ref="U29" ca="1">INDEX(Таблиця25[Assault/Raid: ],RANDBETWEEN(1,5),1)</f>
        <v>You attack the structure, but the 'victims' welcome you</v>
      </c>
    </row>
    <row r="30" spans="1:29" ht="19.5">
      <c r="A30" s="2">
        <v>10</v>
      </c>
      <c r="B30" s="2" t="str" cm="1">
        <f t="array" aca="1" ref="B30" ca="1">INDEX(Таблиця15[Female],RANDBETWEEN(1,51),1)</f>
        <v>Aumbrelle</v>
      </c>
      <c r="C30" s="2" t="str" cm="1">
        <f t="array" aca="1" ref="C30" ca="1">INDEX(Таблиця15[Male],RANDBETWEEN(1,51),1)</f>
        <v>Irlake</v>
      </c>
      <c r="D30" t="str" cm="1">
        <f t="array" aca="1" ref="D30" ca="1">INDEX(Таблиця16[Noble Family],RANDBETWEEN(1,60),1)</f>
        <v>Cormaeril</v>
      </c>
      <c r="E30" s="1189"/>
      <c r="F30" s="2209" t="s">
        <v>1933</v>
      </c>
      <c r="G30" s="2210"/>
      <c r="H30" s="2210"/>
      <c r="I30" s="1189"/>
      <c r="P30" s="2200" t="s">
        <v>5716</v>
      </c>
      <c r="Q30" s="2192" t="s">
        <v>7526</v>
      </c>
    </row>
    <row r="31" spans="1:29">
      <c r="E31" s="1189"/>
      <c r="F31" s="708"/>
      <c r="G31" s="708"/>
      <c r="H31" s="708"/>
      <c r="I31" s="1189"/>
      <c r="P31" s="2197"/>
      <c r="Q31" s="2191"/>
    </row>
    <row r="32" spans="1:29" ht="19.5">
      <c r="A32" s="2201" t="s">
        <v>13094</v>
      </c>
      <c r="B32" s="2202"/>
      <c r="C32" s="2202"/>
      <c r="D32" s="2202"/>
      <c r="E32" s="1189"/>
      <c r="F32" s="708"/>
      <c r="G32" s="708"/>
      <c r="H32" s="708"/>
      <c r="I32" s="1189"/>
      <c r="P32" s="620"/>
      <c r="Q32" s="621"/>
    </row>
    <row r="33" spans="1:17" ht="15.75" thickBot="1">
      <c r="A33" s="786" t="s">
        <v>1643</v>
      </c>
      <c r="B33" s="786" t="s">
        <v>1351</v>
      </c>
      <c r="C33" s="786" t="s">
        <v>1352</v>
      </c>
      <c r="E33" s="1189"/>
      <c r="F33" s="708"/>
      <c r="G33" s="708"/>
      <c r="H33" s="708"/>
      <c r="I33" s="1189"/>
      <c r="P33" s="2196" t="s">
        <v>7527</v>
      </c>
      <c r="Q33" s="467" t="s">
        <v>7528</v>
      </c>
    </row>
    <row r="34" spans="1:17" ht="15">
      <c r="A34" s="729">
        <v>1</v>
      </c>
      <c r="E34" s="1189"/>
      <c r="F34" s="708"/>
      <c r="G34" s="708"/>
      <c r="H34" s="708"/>
      <c r="I34" s="1189"/>
      <c r="P34" s="2197"/>
      <c r="Q34" s="467" t="s">
        <v>7529</v>
      </c>
    </row>
    <row r="35" spans="1:17" ht="15">
      <c r="A35" s="729">
        <v>2</v>
      </c>
      <c r="E35" s="1189"/>
      <c r="F35" s="708"/>
      <c r="G35" s="708"/>
      <c r="H35" s="708"/>
      <c r="I35" s="1189"/>
      <c r="P35" s="2197"/>
      <c r="Q35" s="467" t="s">
        <v>7530</v>
      </c>
    </row>
    <row r="36" spans="1:17" ht="15">
      <c r="A36" s="729">
        <v>3</v>
      </c>
      <c r="E36" s="1189"/>
      <c r="F36" s="1189"/>
      <c r="G36" s="1189"/>
      <c r="H36" s="1189"/>
      <c r="I36" s="1189"/>
      <c r="P36" s="2197"/>
      <c r="Q36" s="467" t="s">
        <v>7531</v>
      </c>
    </row>
    <row r="37" spans="1:17" ht="15">
      <c r="A37" s="729">
        <v>4</v>
      </c>
      <c r="E37" s="1189"/>
      <c r="I37" s="1189"/>
      <c r="P37" s="2190" t="s">
        <v>7532</v>
      </c>
      <c r="Q37" s="630" t="s">
        <v>7533</v>
      </c>
    </row>
    <row r="38" spans="1:17">
      <c r="A38" s="729">
        <v>5</v>
      </c>
      <c r="E38" s="1189"/>
      <c r="I38" s="1189"/>
      <c r="P38" s="2191"/>
      <c r="Q38" s="2199" t="s">
        <v>7534</v>
      </c>
    </row>
    <row r="39" spans="1:17">
      <c r="E39" s="1189"/>
      <c r="P39" s="2191"/>
      <c r="Q39" s="2191"/>
    </row>
    <row r="40" spans="1:17" ht="19.5">
      <c r="A40" s="2201" t="s">
        <v>13092</v>
      </c>
      <c r="B40" s="2202"/>
      <c r="C40" s="2202"/>
      <c r="D40" s="2202"/>
      <c r="E40" s="1189"/>
      <c r="P40" s="620"/>
      <c r="Q40" s="621"/>
    </row>
    <row r="41" spans="1:17" ht="15" thickBot="1">
      <c r="A41" s="786" t="s">
        <v>1643</v>
      </c>
      <c r="B41" s="786" t="s">
        <v>1351</v>
      </c>
      <c r="C41" s="786" t="s">
        <v>1352</v>
      </c>
      <c r="D41" s="786" t="s">
        <v>13093</v>
      </c>
      <c r="E41" s="1189"/>
    </row>
    <row r="42" spans="1:17">
      <c r="A42" s="2">
        <v>1</v>
      </c>
      <c r="E42" s="1189"/>
    </row>
    <row r="43" spans="1:17">
      <c r="A43" s="2">
        <v>2</v>
      </c>
    </row>
    <row r="44" spans="1:17">
      <c r="A44" s="2">
        <v>3</v>
      </c>
    </row>
    <row r="45" spans="1:17">
      <c r="A45" s="2">
        <v>4</v>
      </c>
    </row>
    <row r="46" spans="1:17">
      <c r="A46" s="2">
        <v>5</v>
      </c>
    </row>
    <row r="48" spans="1:17" ht="19.5">
      <c r="A48" s="2201" t="s">
        <v>13832</v>
      </c>
      <c r="B48" s="2202"/>
      <c r="C48" s="2202"/>
      <c r="D48" s="2202"/>
      <c r="E48" s="1187"/>
      <c r="F48" s="1187"/>
      <c r="G48" s="1187"/>
      <c r="H48" s="1187"/>
      <c r="I48" s="1187"/>
      <c r="J48" s="1187"/>
    </row>
    <row r="49" spans="1:9" ht="15">
      <c r="A49" s="600" t="s">
        <v>8469</v>
      </c>
      <c r="B49" s="624" t="s">
        <v>8470</v>
      </c>
      <c r="H49" s="603"/>
    </row>
    <row r="50" spans="1:9" ht="15">
      <c r="A50" s="625" t="s">
        <v>5774</v>
      </c>
      <c r="B50" s="626">
        <f t="array" ref="B50">C56*C57*C58*INDEX(CONFIG000!$BO$127:$BQ$138,MATCH(B59,CONFIG000!$BN$127:$BN$138,0),MATCH(B60,CONFIG000!$BN$126:$BS$126,0)-1)*C61</f>
        <v>0.84375</v>
      </c>
      <c r="H50" s="603"/>
    </row>
    <row r="51" spans="1:9" ht="15">
      <c r="A51" s="625" t="s">
        <v>5773</v>
      </c>
      <c r="B51" s="626">
        <f>B50*4</f>
        <v>3.375</v>
      </c>
      <c r="H51" s="603"/>
    </row>
    <row r="52" spans="1:9" ht="15">
      <c r="A52" s="625" t="s">
        <v>5772</v>
      </c>
      <c r="B52" s="627">
        <f>VLOOKUP(B59,CONFIG000!$BN$127:$BS$138,5,FALSE)+SUM(D56:D61)</f>
        <v>10</v>
      </c>
      <c r="H52" s="603"/>
    </row>
    <row r="53" spans="1:9" ht="15">
      <c r="A53" s="628" t="s">
        <v>5771</v>
      </c>
      <c r="B53" s="629">
        <f>VLOOKUP(B59,CONFIG000!$BN$127:$BS$138,6,FALSE)+SUM(E56:E61)</f>
        <v>10</v>
      </c>
      <c r="H53" s="603"/>
      <c r="I53" s="603"/>
    </row>
    <row r="54" spans="1:9">
      <c r="H54" s="603"/>
      <c r="I54" s="603"/>
    </row>
    <row r="55" spans="1:9" ht="15">
      <c r="A55" s="600" t="s">
        <v>8469</v>
      </c>
      <c r="B55" s="2" t="s">
        <v>8470</v>
      </c>
      <c r="C55" s="601" t="s">
        <v>5781</v>
      </c>
      <c r="D55" s="601" t="s">
        <v>5780</v>
      </c>
      <c r="E55" s="602" t="s">
        <v>5779</v>
      </c>
      <c r="H55" s="603"/>
      <c r="I55" s="603"/>
    </row>
    <row r="56" spans="1:9" ht="15">
      <c r="A56" s="601" t="s">
        <v>5778</v>
      </c>
      <c r="B56" s="604" t="s">
        <v>5713</v>
      </c>
      <c r="C56" s="605">
        <f>VLOOKUP(B56,CONFIG000!$BN$153:$BQ$168,2,FALSE)</f>
        <v>3</v>
      </c>
      <c r="D56" s="606">
        <f>VLOOKUP(B56,CONFIG000!$BN$153:$BQ$168,3,FALSE)</f>
        <v>0</v>
      </c>
      <c r="E56" s="607">
        <f>VLOOKUP(B56,CONFIG000!$BN$153:$BQ$168,4,FALSE)</f>
        <v>0</v>
      </c>
    </row>
    <row r="57" spans="1:9" ht="15">
      <c r="A57" s="601" t="s">
        <v>5698</v>
      </c>
      <c r="B57" s="604" t="s">
        <v>5693</v>
      </c>
      <c r="C57" s="608">
        <f>VLOOKUP(B57,CONFIG000!$BN$171:$BQ$175,2,FALSE)</f>
        <v>0.5</v>
      </c>
      <c r="D57" s="608">
        <f>VLOOKUP(B57,CONFIG000!$BN$171:$BQ$175,3,FALSE)</f>
        <v>0</v>
      </c>
      <c r="E57" s="609">
        <f>VLOOKUP(B57,CONFIG000!$BN$171:$BQ$175,4,FALSE)</f>
        <v>0</v>
      </c>
      <c r="F57" s="603"/>
    </row>
    <row r="58" spans="1:9" ht="15">
      <c r="A58" s="601" t="s">
        <v>5777</v>
      </c>
      <c r="B58" s="604" t="s">
        <v>7442</v>
      </c>
      <c r="C58" s="608">
        <f>IF(B58="yes",0.75,1)</f>
        <v>0.75</v>
      </c>
      <c r="D58" s="608">
        <f>IF(B58="yes",-4,0)</f>
        <v>-4</v>
      </c>
      <c r="E58" s="609">
        <f>IF(B58="yes",-4,0)</f>
        <v>-4</v>
      </c>
    </row>
    <row r="59" spans="1:9" ht="15">
      <c r="A59" s="601" t="s">
        <v>5776</v>
      </c>
      <c r="B59" s="604" t="s">
        <v>5735</v>
      </c>
      <c r="C59" s="498">
        <f t="array" ref="C59">INDEX(CONFIG000!$BO$127:$BQ$138,MATCH(B59,CONFIG000!$BN$127:$BN$138,0),MATCH(B60,CONFIG000!$BN$126:$BS$126,0)-1)</f>
        <v>1</v>
      </c>
      <c r="D59" s="499"/>
      <c r="E59" s="611"/>
    </row>
    <row r="60" spans="1:9" ht="15">
      <c r="A60" s="601" t="s">
        <v>5775</v>
      </c>
      <c r="B60" s="604" t="s">
        <v>5742</v>
      </c>
      <c r="C60" s="612"/>
      <c r="D60" s="613"/>
      <c r="E60" s="614"/>
    </row>
    <row r="61" spans="1:9" ht="15">
      <c r="A61" s="615" t="s">
        <v>5725</v>
      </c>
      <c r="B61" s="616" t="s">
        <v>5724</v>
      </c>
      <c r="C61" s="617">
        <f>VLOOKUP(B61,CONFIG000!$BN$141:$BQ$150,2,FALSE)</f>
        <v>0.75</v>
      </c>
      <c r="D61" s="618">
        <f>VLOOKUP(B61,CONFIG000!$BN$141:$BQ$150,3,FALSE)</f>
        <v>0</v>
      </c>
      <c r="E61" s="619">
        <f>VLOOKUP(B61,CONFIG000!$BN$141:$BQ$150,4,FALSE)</f>
        <v>0</v>
      </c>
    </row>
    <row r="62" spans="1:9" ht="15">
      <c r="A62" s="603"/>
      <c r="B62" s="603"/>
      <c r="C62" s="623" t="str">
        <f>IF(B57="Hunting",IF(B58="Yes","d8","d4"),IF(B58="Yes","d16","d8"))</f>
        <v>d16</v>
      </c>
      <c r="D62" s="603"/>
      <c r="E62" s="603"/>
    </row>
    <row r="72" spans="1:4">
      <c r="A72" s="603"/>
      <c r="B72" s="603"/>
      <c r="C72" s="603"/>
      <c r="D72" s="603"/>
    </row>
  </sheetData>
  <mergeCells count="37">
    <mergeCell ref="A1:D2"/>
    <mergeCell ref="F30:H30"/>
    <mergeCell ref="J21:N23"/>
    <mergeCell ref="J19:N19"/>
    <mergeCell ref="J24:N24"/>
    <mergeCell ref="J1:M1"/>
    <mergeCell ref="F1:H1"/>
    <mergeCell ref="G3:H3"/>
    <mergeCell ref="G4:H4"/>
    <mergeCell ref="G5:H5"/>
    <mergeCell ref="A4:D4"/>
    <mergeCell ref="A32:D32"/>
    <mergeCell ref="F10:H10"/>
    <mergeCell ref="F17:H17"/>
    <mergeCell ref="A48:D48"/>
    <mergeCell ref="A40:D40"/>
    <mergeCell ref="A18:D18"/>
    <mergeCell ref="F26:H28"/>
    <mergeCell ref="F25:H25"/>
    <mergeCell ref="P37:P39"/>
    <mergeCell ref="Q38:Q39"/>
    <mergeCell ref="P12:P17"/>
    <mergeCell ref="Q12:Q17"/>
    <mergeCell ref="P18:P21"/>
    <mergeCell ref="Q18:Q21"/>
    <mergeCell ref="P25:P29"/>
    <mergeCell ref="Q25:Q29"/>
    <mergeCell ref="P30:P31"/>
    <mergeCell ref="Q30:Q31"/>
    <mergeCell ref="P33:P36"/>
    <mergeCell ref="P6:Q6"/>
    <mergeCell ref="P8:P9"/>
    <mergeCell ref="Q8:Q9"/>
    <mergeCell ref="J6:M14"/>
    <mergeCell ref="J16:L16"/>
    <mergeCell ref="P10:P11"/>
    <mergeCell ref="Q10:Q11"/>
  </mergeCells>
  <phoneticPr fontId="182" type="noConversion"/>
  <dataValidations count="3">
    <dataValidation type="list" allowBlank="1" showErrorMessage="1" sqref="B58" xr:uid="{00000000-0002-0000-0000-000002000000}">
      <formula1>"Yes,No"</formula1>
    </dataValidation>
    <dataValidation type="list" allowBlank="1" showInputMessage="1" showErrorMessage="1" sqref="K4" xr:uid="{E5FB194C-7B4D-44D1-A3A8-A1F6F459027A}">
      <formula1>$R$28:$R$32</formula1>
    </dataValidation>
    <dataValidation type="list" allowBlank="1" showInputMessage="1" showErrorMessage="1" sqref="L4" xr:uid="{76F92D0F-7D52-4A39-87C0-2D8BE83D6445}">
      <formula1>$C$2:$N$2</formula1>
    </dataValidation>
  </dataValidations>
  <pageMargins left="0.7" right="0.7" top="0.75" bottom="0.75" header="0.3" footer="0.3"/>
  <tableParts count="9">
    <tablePart r:id="rId1"/>
    <tablePart r:id="rId2"/>
    <tablePart r:id="rId3"/>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count="5">
        <x14:dataValidation type="list" allowBlank="1" showErrorMessage="1" xr:uid="{00000000-0002-0000-0000-000000000000}">
          <x14:formula1>
            <xm:f>CONFIG000!$BN$171:$BN$175</xm:f>
          </x14:formula1>
          <xm:sqref>B57</xm:sqref>
        </x14:dataValidation>
        <x14:dataValidation type="list" allowBlank="1" showErrorMessage="1" xr:uid="{00000000-0002-0000-0000-000001000000}">
          <x14:formula1>
            <xm:f>CONFIG000!$BN$141:$BN$150</xm:f>
          </x14:formula1>
          <xm:sqref>B61</xm:sqref>
        </x14:dataValidation>
        <x14:dataValidation type="list" allowBlank="1" showErrorMessage="1" xr:uid="{00000000-0002-0000-0000-000003000000}">
          <x14:formula1>
            <xm:f>CONFIG000!$BN$127:$BN$138</xm:f>
          </x14:formula1>
          <xm:sqref>B59</xm:sqref>
        </x14:dataValidation>
        <x14:dataValidation type="list" allowBlank="1" showErrorMessage="1" xr:uid="{00000000-0002-0000-0000-000004000000}">
          <x14:formula1>
            <xm:f>CONFIG000!$BO$126:$BQ$126</xm:f>
          </x14:formula1>
          <xm:sqref>B60</xm:sqref>
        </x14:dataValidation>
        <x14:dataValidation type="list" allowBlank="1" showErrorMessage="1" xr:uid="{00000000-0002-0000-0000-000005000000}">
          <x14:formula1>
            <xm:f>CONFIG000!$BU$127:$BU$142</xm:f>
          </x14:formula1>
          <xm:sqref>B56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1841-267B-43E5-B27B-FDEE2A8821CD}">
  <sheetPr>
    <tabColor rgb="FF7030A0"/>
  </sheetPr>
  <dimension ref="A1:S59"/>
  <sheetViews>
    <sheetView topLeftCell="H1" zoomScale="55" zoomScaleNormal="55" workbookViewId="0">
      <selection activeCell="H60" sqref="A60:XFD1048576"/>
    </sheetView>
  </sheetViews>
  <sheetFormatPr defaultColWidth="0" defaultRowHeight="14.25" zeroHeight="1"/>
  <cols>
    <col min="1" max="19" width="8.88671875" customWidth="1"/>
    <col min="20" max="16384" width="8.88671875"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4676E-BB4A-4A44-AD1C-6A7F9CFE961C}">
  <sheetPr>
    <tabColor rgb="FF7030A0"/>
  </sheetPr>
  <dimension ref="A2:O39"/>
  <sheetViews>
    <sheetView zoomScaleNormal="100" workbookViewId="0">
      <selection activeCell="I12" sqref="I12:I25"/>
    </sheetView>
  </sheetViews>
  <sheetFormatPr defaultRowHeight="14.25"/>
  <sheetData>
    <row r="2" spans="1:15" ht="39.75" thickBot="1">
      <c r="A2" s="2216" t="s">
        <v>16486</v>
      </c>
      <c r="B2" s="2216"/>
      <c r="C2" s="2216"/>
      <c r="D2" s="2216"/>
      <c r="E2" s="2216"/>
      <c r="I2" s="2217" t="s">
        <v>17336</v>
      </c>
      <c r="J2" s="2217"/>
      <c r="K2" s="2217"/>
      <c r="L2" s="2217"/>
      <c r="M2" s="2217"/>
      <c r="N2" s="2217"/>
      <c r="O2" s="2217"/>
    </row>
    <row r="3" spans="1:15" ht="21" thickTop="1" thickBot="1">
      <c r="A3" s="1173" t="s">
        <v>17678</v>
      </c>
      <c r="C3" s="1173" t="s">
        <v>7382</v>
      </c>
      <c r="F3" s="1248"/>
    </row>
    <row r="4" spans="1:15" ht="15" thickTop="1">
      <c r="A4" s="1158" t="s">
        <v>15435</v>
      </c>
      <c r="B4" s="1154"/>
      <c r="C4" s="1158" t="s">
        <v>15433</v>
      </c>
      <c r="D4" s="1154"/>
      <c r="I4" t="s">
        <v>17337</v>
      </c>
    </row>
    <row r="5" spans="1:15">
      <c r="A5" s="1158" t="s">
        <v>15436</v>
      </c>
      <c r="C5" s="1158" t="s">
        <v>15434</v>
      </c>
      <c r="I5" t="s">
        <v>17337</v>
      </c>
    </row>
    <row r="6" spans="1:15">
      <c r="A6" s="1158" t="s">
        <v>15437</v>
      </c>
      <c r="C6" s="1249" t="s">
        <v>17698</v>
      </c>
      <c r="I6" t="s">
        <v>17338</v>
      </c>
    </row>
    <row r="7" spans="1:15">
      <c r="C7" s="1249" t="s">
        <v>17699</v>
      </c>
      <c r="I7" t="s">
        <v>17339</v>
      </c>
    </row>
    <row r="8" spans="1:15" ht="20.25" thickBot="1">
      <c r="A8" s="1173" t="s">
        <v>2462</v>
      </c>
      <c r="C8" s="1249" t="s">
        <v>17697</v>
      </c>
      <c r="D8" s="1173" t="s">
        <v>17679</v>
      </c>
      <c r="I8" t="s">
        <v>17340</v>
      </c>
    </row>
    <row r="9" spans="1:15" ht="15" thickTop="1">
      <c r="A9" s="1158" t="s">
        <v>15438</v>
      </c>
      <c r="D9" s="1158" t="s">
        <v>15442</v>
      </c>
    </row>
    <row r="10" spans="1:15">
      <c r="A10" s="1158" t="s">
        <v>15439</v>
      </c>
      <c r="D10" s="1158" t="s">
        <v>15443</v>
      </c>
    </row>
    <row r="11" spans="1:15">
      <c r="A11" s="1158" t="s">
        <v>15440</v>
      </c>
      <c r="D11" s="1158" t="s">
        <v>15444</v>
      </c>
    </row>
    <row r="12" spans="1:15" ht="18.75">
      <c r="A12" s="1158" t="s">
        <v>15441</v>
      </c>
      <c r="D12" s="1158" t="s">
        <v>15445</v>
      </c>
      <c r="I12" s="1248"/>
    </row>
    <row r="13" spans="1:15">
      <c r="A13" s="1249" t="s">
        <v>17688</v>
      </c>
      <c r="D13" s="1158" t="s">
        <v>15446</v>
      </c>
    </row>
    <row r="14" spans="1:15" ht="20.25" thickBot="1">
      <c r="D14" s="1173" t="s">
        <v>17680</v>
      </c>
    </row>
    <row r="15" spans="1:15" ht="15" thickTop="1">
      <c r="D15" s="1158" t="s">
        <v>15449</v>
      </c>
    </row>
    <row r="16" spans="1:15" ht="20.25" thickBot="1">
      <c r="A16" s="1173" t="s">
        <v>17681</v>
      </c>
      <c r="D16" s="1248" t="s">
        <v>17692</v>
      </c>
      <c r="I16" s="596"/>
    </row>
    <row r="17" spans="1:12" ht="15" thickTop="1">
      <c r="A17" s="1158" t="s">
        <v>15447</v>
      </c>
      <c r="C17" s="1153"/>
      <c r="D17" s="1249" t="s">
        <v>17693</v>
      </c>
      <c r="E17" s="1153"/>
      <c r="F17" s="1153"/>
      <c r="G17" s="1153"/>
      <c r="H17" s="1153"/>
      <c r="J17" s="1153"/>
    </row>
    <row r="18" spans="1:12">
      <c r="A18" s="1158" t="s">
        <v>15448</v>
      </c>
      <c r="D18" s="1153"/>
      <c r="E18" s="1155"/>
      <c r="F18" s="1154"/>
      <c r="G18" s="1155"/>
      <c r="H18" s="1154"/>
      <c r="J18" s="1154"/>
    </row>
    <row r="19" spans="1:12" ht="18.75">
      <c r="A19" s="1249" t="s">
        <v>17682</v>
      </c>
      <c r="B19" s="1154"/>
      <c r="C19" s="1154"/>
      <c r="D19" s="1248" t="s">
        <v>5725</v>
      </c>
      <c r="E19" s="1154"/>
      <c r="F19" s="1154"/>
      <c r="G19" s="1154"/>
      <c r="H19" s="1154"/>
      <c r="I19" s="596"/>
      <c r="J19" s="1154"/>
    </row>
    <row r="20" spans="1:12">
      <c r="A20" s="1249" t="s">
        <v>17683</v>
      </c>
      <c r="D20" s="1249" t="s">
        <v>17691</v>
      </c>
      <c r="H20" s="1154"/>
      <c r="J20" s="1154"/>
    </row>
    <row r="21" spans="1:12">
      <c r="B21" s="1154"/>
      <c r="C21" s="1154"/>
      <c r="D21" s="1154"/>
      <c r="E21" s="1154"/>
      <c r="F21" s="1154"/>
      <c r="G21" s="1154"/>
      <c r="H21" s="1154"/>
      <c r="J21" s="1154"/>
    </row>
    <row r="22" spans="1:12" ht="20.25" thickBot="1">
      <c r="B22" s="1153"/>
      <c r="D22" s="1173" t="s">
        <v>17684</v>
      </c>
      <c r="E22" s="1153"/>
      <c r="F22" s="1153"/>
      <c r="G22" s="1153"/>
      <c r="H22" s="1153"/>
      <c r="I22" s="596"/>
      <c r="J22" s="1153"/>
      <c r="K22" s="1153"/>
      <c r="L22" s="1153"/>
    </row>
    <row r="23" spans="1:12" ht="21" thickTop="1" thickBot="1">
      <c r="A23" s="1173" t="s">
        <v>17686</v>
      </c>
      <c r="B23" s="1153"/>
      <c r="D23" s="1249" t="s">
        <v>17685</v>
      </c>
      <c r="E23" s="1153"/>
      <c r="F23" s="1153"/>
      <c r="G23" s="1153"/>
      <c r="H23" s="1153"/>
      <c r="I23" s="1248"/>
      <c r="J23" s="1153"/>
      <c r="K23" s="1153"/>
      <c r="L23" s="1153"/>
    </row>
    <row r="24" spans="1:12" ht="15" thickTop="1">
      <c r="A24" s="1249" t="s">
        <v>17687</v>
      </c>
      <c r="B24" s="1153"/>
      <c r="C24" s="1153"/>
      <c r="D24" s="1153"/>
      <c r="E24" s="1153"/>
      <c r="F24" s="1153"/>
      <c r="G24" s="1153"/>
      <c r="H24" s="1153"/>
      <c r="J24" s="1153"/>
      <c r="K24" s="1153"/>
      <c r="L24" s="1153"/>
    </row>
    <row r="25" spans="1:12" ht="20.25" thickBot="1">
      <c r="B25" s="1153"/>
      <c r="C25" s="1153"/>
      <c r="D25" s="1173" t="s">
        <v>17689</v>
      </c>
      <c r="E25" s="1153"/>
      <c r="F25" s="1153"/>
      <c r="G25" s="1153"/>
      <c r="H25" s="1153"/>
      <c r="I25" s="1248"/>
      <c r="J25" s="1153"/>
      <c r="K25" s="1153"/>
      <c r="L25" s="1153"/>
    </row>
    <row r="26" spans="1:12" ht="15" thickTop="1">
      <c r="B26" s="1153"/>
      <c r="C26" s="1153"/>
      <c r="D26" s="1249" t="s">
        <v>17690</v>
      </c>
      <c r="E26" s="1153"/>
      <c r="F26" s="1153"/>
      <c r="G26" s="1153"/>
      <c r="H26" s="1153"/>
      <c r="J26" s="1153"/>
      <c r="K26" s="1153"/>
      <c r="L26" s="1153"/>
    </row>
    <row r="27" spans="1:12">
      <c r="A27" s="1154"/>
      <c r="B27" s="1153"/>
      <c r="C27" s="1153"/>
      <c r="D27" s="1153"/>
      <c r="E27" s="1153"/>
      <c r="F27" s="1153"/>
      <c r="G27" s="1153"/>
      <c r="H27" s="1153"/>
      <c r="J27" s="1153"/>
      <c r="K27" s="1153"/>
      <c r="L27" s="1153"/>
    </row>
    <row r="28" spans="1:12" ht="15">
      <c r="A28" s="1153"/>
      <c r="B28" s="1153"/>
      <c r="C28" s="1153"/>
      <c r="D28" s="1153"/>
      <c r="E28" s="1153"/>
      <c r="F28" s="1153"/>
      <c r="G28" s="1153"/>
      <c r="H28" s="1153"/>
      <c r="I28" s="596"/>
      <c r="J28" s="1153"/>
      <c r="K28" s="1153"/>
      <c r="L28" s="1153"/>
    </row>
    <row r="29" spans="1:12">
      <c r="A29" s="1153"/>
      <c r="B29" s="1153"/>
      <c r="C29" s="1153"/>
      <c r="D29" s="1153"/>
      <c r="E29" s="1153"/>
      <c r="F29" s="1153"/>
      <c r="G29" s="1153"/>
      <c r="H29" s="1153"/>
      <c r="J29" s="1153"/>
      <c r="K29" s="1153"/>
      <c r="L29" s="1153"/>
    </row>
    <row r="30" spans="1:12">
      <c r="A30" s="1153"/>
      <c r="B30" s="1153"/>
      <c r="C30" s="1153"/>
      <c r="D30" s="1153"/>
      <c r="E30" s="1153"/>
      <c r="F30" s="1153"/>
      <c r="G30" s="1153"/>
      <c r="H30" s="1153"/>
      <c r="J30" s="1153"/>
      <c r="K30" s="1153"/>
      <c r="L30" s="1153"/>
    </row>
    <row r="31" spans="1:12" ht="18.75">
      <c r="A31" s="1153"/>
      <c r="B31" s="1153"/>
      <c r="C31" s="1153"/>
      <c r="D31" s="1153"/>
      <c r="E31" s="1153"/>
      <c r="F31" s="1153"/>
      <c r="G31" s="1153"/>
      <c r="H31" s="1153"/>
      <c r="I31" s="1248"/>
      <c r="J31" s="1153"/>
      <c r="K31" s="1153"/>
    </row>
    <row r="34" spans="9:9" ht="15">
      <c r="I34" s="596"/>
    </row>
    <row r="35" spans="9:9">
      <c r="I35" s="1249" t="s">
        <v>17694</v>
      </c>
    </row>
    <row r="36" spans="9:9" ht="15">
      <c r="I36" s="596"/>
    </row>
    <row r="37" spans="9:9" ht="18.75">
      <c r="I37" s="1248" t="s">
        <v>17695</v>
      </c>
    </row>
    <row r="38" spans="9:9">
      <c r="I38" s="1249" t="s">
        <v>17696</v>
      </c>
    </row>
    <row r="39" spans="9:9" ht="15">
      <c r="I39" s="596"/>
    </row>
  </sheetData>
  <mergeCells count="2">
    <mergeCell ref="A2:E2"/>
    <mergeCell ref="I2:O2"/>
  </mergeCells>
  <hyperlinks>
    <hyperlink ref="C4" r:id="rId1" xr:uid="{48EABD57-1883-4DDA-A993-2265088490C7}"/>
    <hyperlink ref="C5" r:id="rId2" xr:uid="{A01223FF-7EC3-4E79-A5E8-402E1ACE420C}"/>
    <hyperlink ref="A4" r:id="rId3" xr:uid="{79D2E5C8-87A0-4BBF-B008-59175AA4EB83}"/>
    <hyperlink ref="A5" r:id="rId4" xr:uid="{725422F2-CC61-4398-8801-8B099409FB0A}"/>
    <hyperlink ref="A6" r:id="rId5" xr:uid="{8D8134EB-392C-45A0-B36C-6F7482A2577D}"/>
    <hyperlink ref="A9" r:id="rId6" xr:uid="{6A5E7376-34A0-4F9A-BCC4-397F31B3C2A0}"/>
    <hyperlink ref="A10" r:id="rId7" xr:uid="{C9A5A198-6338-4E99-8F9F-900CB2041B5A}"/>
    <hyperlink ref="A11" r:id="rId8" xr:uid="{FCA798AF-D8D1-4BE3-8490-C13B7EBD7E12}"/>
    <hyperlink ref="A12" r:id="rId9" xr:uid="{68CEC751-D760-4463-8D7A-57097A1B8288}"/>
    <hyperlink ref="D9" r:id="rId10" xr:uid="{01709FC4-498F-4272-ABEC-69B1F9D91683}"/>
    <hyperlink ref="C24" r:id="rId11" display="Random Town Generator 2" xr:uid="{EEE766E9-FCC8-410B-B412-E5E61F578B3D}"/>
    <hyperlink ref="E24" r:id="rId12" location="unusualgrippingbluemorphobutterfly" display="Random Town Generator 3" xr:uid="{70235F6F-7C8F-4251-9B10-E608F0E669DC}"/>
    <hyperlink ref="G24" r:id="rId13" display="Random Town Generator 4" xr:uid="{E569D808-BB98-4034-A52A-C51F3C89D046}"/>
    <hyperlink ref="C26" r:id="rId14" display="Random Encounter Generator 2" xr:uid="{DFB4E2F9-BF97-4796-9E8F-BA88030513EA}"/>
    <hyperlink ref="E26" r:id="rId15" display="Random Tavern Generator" xr:uid="{8CFB34FC-F398-40BD-9660-8C70D7CC2759}"/>
    <hyperlink ref="D10" r:id="rId16" xr:uid="{03CDA1E5-86C2-4D87-A00E-18D56963B529}"/>
    <hyperlink ref="D11" r:id="rId17" location="unusualgrippingbluemorphobutterfly" xr:uid="{DD134888-841B-4616-8EAC-6E00A269BD79}"/>
    <hyperlink ref="D12" r:id="rId18" xr:uid="{171D8D58-9767-4B1A-8CBC-116697440E9D}"/>
    <hyperlink ref="D13" r:id="rId19" xr:uid="{C3F36F05-EBE6-432E-BFAA-C164C02DA419}"/>
    <hyperlink ref="A17" r:id="rId20" location="type=encounter" xr:uid="{6C5B15EF-CA80-4B63-AC42-25A1E2C3F7D5}"/>
    <hyperlink ref="A18" r:id="rId21" xr:uid="{3E82CFB9-BEAF-4FBE-838F-C1B966C414DC}"/>
    <hyperlink ref="D15" r:id="rId22" xr:uid="{F8ACFBCE-847B-483E-9564-F1E6C51186CA}"/>
    <hyperlink ref="A19" r:id="rId23" location="/encounter-builder" display="http://kobold.club/fight/ - /encounter-builder" xr:uid="{94F7D0E0-B538-4C4A-B6DF-8CE33A0A9C88}"/>
    <hyperlink ref="A20" r:id="rId24" xr:uid="{4D5C2A91-04F7-4EDB-82C7-66C37F20C845}"/>
    <hyperlink ref="D23" r:id="rId25" location="purse" display="http://donjon.bin.sh/pathfinder/random/ - purse" xr:uid="{7F269667-D78A-4C1E-AABA-F323A7F420B7}"/>
    <hyperlink ref="A24" r:id="rId26" location="treasure" display="http://donjon.bin.sh/5e/random/ - treasure" xr:uid="{A86E471A-1E3F-45D1-AA3A-08F29EE8B322}"/>
    <hyperlink ref="A13" r:id="rId27" xr:uid="{FF78D466-F248-4FD0-B811-C3EF34ED2DCC}"/>
    <hyperlink ref="D26" r:id="rId28" xr:uid="{9E8416BC-FC20-4C24-A697-1A85C93902D1}"/>
    <hyperlink ref="D20" r:id="rId29" xr:uid="{0E5032E9-42BD-4A83-A5C1-11D48F8FD5BC}"/>
    <hyperlink ref="D17" r:id="rId30" xr:uid="{3EA53044-4845-4314-BF1A-5448CDF73FC3}"/>
    <hyperlink ref="I35" r:id="rId31" xr:uid="{EE81A16C-1D7C-4664-81BA-E845BADED85C}"/>
    <hyperlink ref="I38" r:id="rId32" xr:uid="{DE66F7FB-D8C3-41E7-99A6-0BC8280A85AC}"/>
    <hyperlink ref="C8" r:id="rId33" xr:uid="{3C02EC41-6DDE-4F8D-BF5E-3399403A111D}"/>
    <hyperlink ref="C6" r:id="rId34" xr:uid="{C7E91F2C-ECEA-4FAE-AE6A-9914418BD92A}"/>
    <hyperlink ref="C7" r:id="rId35" xr:uid="{3B58D948-6729-4AEC-9BB2-7AE9ADD613D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0051-4566-4776-9663-D8F20015886F}">
  <sheetPr>
    <tabColor rgb="FF7030A0"/>
  </sheetPr>
  <dimension ref="A2:AG148"/>
  <sheetViews>
    <sheetView workbookViewId="0">
      <selection activeCell="A49" sqref="A49:C57"/>
    </sheetView>
  </sheetViews>
  <sheetFormatPr defaultRowHeight="14.25"/>
  <cols>
    <col min="3" max="3" width="10.77734375" customWidth="1"/>
    <col min="7" max="7" width="10.77734375" customWidth="1"/>
    <col min="9" max="9" width="20.6640625" customWidth="1"/>
    <col min="10" max="10" width="12" customWidth="1"/>
    <col min="12" max="12" width="10.109375" customWidth="1"/>
    <col min="13" max="13" width="18.5546875" customWidth="1"/>
    <col min="14" max="14" width="10.6640625" customWidth="1"/>
    <col min="15" max="15" width="16.109375" customWidth="1"/>
    <col min="16" max="16" width="17.21875" customWidth="1"/>
    <col min="17" max="17" width="19.21875" customWidth="1"/>
    <col min="18" max="18" width="19.33203125" customWidth="1"/>
    <col min="19" max="19" width="10.77734375" customWidth="1"/>
    <col min="24" max="24" width="10.77734375" customWidth="1"/>
    <col min="27" max="27" width="14.21875" customWidth="1"/>
  </cols>
  <sheetData>
    <row r="2" spans="1:33">
      <c r="A2" s="1250" t="s">
        <v>17700</v>
      </c>
      <c r="B2" s="1250"/>
      <c r="C2" s="1250"/>
      <c r="D2" s="1250"/>
      <c r="E2" s="1250" t="s">
        <v>17701</v>
      </c>
      <c r="F2" s="1250"/>
      <c r="G2" s="1250"/>
      <c r="H2" s="1250"/>
      <c r="I2" s="1250" t="s">
        <v>17702</v>
      </c>
      <c r="J2" s="1250"/>
      <c r="K2" s="1250"/>
      <c r="L2" s="1250"/>
      <c r="M2" s="1250"/>
      <c r="N2" s="1250"/>
      <c r="O2" s="1250"/>
      <c r="P2" s="1250"/>
      <c r="Q2" s="1250" t="s">
        <v>17703</v>
      </c>
      <c r="R2" s="1250"/>
      <c r="S2" s="1250"/>
      <c r="T2" s="1250"/>
      <c r="U2" s="1250"/>
      <c r="V2" s="1250" t="s">
        <v>17704</v>
      </c>
      <c r="W2" s="1250"/>
      <c r="X2" s="1250"/>
      <c r="Y2" s="1250"/>
      <c r="Z2" s="1250"/>
      <c r="AA2" s="1250"/>
      <c r="AB2" s="1250"/>
      <c r="AC2" s="1250"/>
      <c r="AD2" s="1250"/>
      <c r="AE2" s="1250"/>
      <c r="AF2" s="1250"/>
      <c r="AG2" s="1250"/>
    </row>
    <row r="3" spans="1:33">
      <c r="A3" s="1250" t="s">
        <v>9648</v>
      </c>
      <c r="B3" s="1250" t="s">
        <v>2088</v>
      </c>
      <c r="C3" s="1250" t="s">
        <v>551</v>
      </c>
      <c r="D3" s="1250"/>
      <c r="E3" s="1250" t="s">
        <v>11184</v>
      </c>
      <c r="F3" s="1250" t="s">
        <v>9648</v>
      </c>
      <c r="G3" s="1250" t="s">
        <v>2088</v>
      </c>
      <c r="H3" s="1250"/>
      <c r="I3" s="1250" t="s">
        <v>6245</v>
      </c>
      <c r="J3" s="1250" t="s">
        <v>17705</v>
      </c>
      <c r="K3" s="1250"/>
      <c r="L3" s="1250"/>
      <c r="M3" s="1250"/>
      <c r="N3" s="1250"/>
      <c r="O3" s="1250"/>
      <c r="P3" s="1250"/>
      <c r="Q3" s="1250" t="s">
        <v>9648</v>
      </c>
      <c r="R3" s="1250" t="s">
        <v>5784</v>
      </c>
      <c r="S3" s="1250" t="s">
        <v>2088</v>
      </c>
      <c r="T3" s="1250" t="s">
        <v>5642</v>
      </c>
      <c r="U3" s="1250"/>
      <c r="V3" s="1250" t="s">
        <v>9648</v>
      </c>
      <c r="W3" s="1250" t="s">
        <v>2088</v>
      </c>
      <c r="X3" s="1250" t="s">
        <v>551</v>
      </c>
      <c r="Y3" s="1250"/>
      <c r="Z3" s="1250"/>
      <c r="AA3" s="1250"/>
      <c r="AB3" s="1250"/>
      <c r="AC3" s="1250"/>
      <c r="AD3" s="1250"/>
      <c r="AE3" s="1250"/>
      <c r="AF3" s="1250"/>
      <c r="AG3" s="1250"/>
    </row>
    <row r="4" spans="1:33">
      <c r="A4" s="1250" t="s">
        <v>17706</v>
      </c>
      <c r="B4" s="1250" t="s">
        <v>17707</v>
      </c>
      <c r="C4" s="1250">
        <v>0.4</v>
      </c>
      <c r="D4" s="1250"/>
      <c r="E4" s="1250" t="s">
        <v>17708</v>
      </c>
      <c r="F4" s="1250" t="s">
        <v>17709</v>
      </c>
      <c r="G4" s="1250">
        <v>7</v>
      </c>
      <c r="H4" s="1250"/>
      <c r="I4" s="1250"/>
      <c r="J4" s="1250"/>
      <c r="K4" s="1250"/>
      <c r="L4" s="1250"/>
      <c r="M4" s="1250"/>
      <c r="N4" s="1250"/>
      <c r="O4" s="1250"/>
      <c r="P4" s="1250"/>
      <c r="Q4" s="1250" t="s">
        <v>17710</v>
      </c>
      <c r="R4" s="1250"/>
      <c r="S4" s="1250" t="s">
        <v>2315</v>
      </c>
      <c r="T4" s="1250">
        <v>0</v>
      </c>
      <c r="U4" s="1250"/>
      <c r="V4" s="1250" t="s">
        <v>5061</v>
      </c>
      <c r="W4" s="1250" t="s">
        <v>17711</v>
      </c>
      <c r="X4" s="1250">
        <v>100</v>
      </c>
      <c r="Y4" s="1250"/>
      <c r="Z4" s="1250"/>
      <c r="AA4" s="1250"/>
      <c r="AB4" s="1250"/>
      <c r="AC4" s="1250"/>
      <c r="AD4" s="1250"/>
      <c r="AE4" s="1250"/>
      <c r="AF4" s="1250"/>
      <c r="AG4" s="1250"/>
    </row>
    <row r="5" spans="1:33" ht="16.5">
      <c r="A5" s="1250" t="s">
        <v>17712</v>
      </c>
      <c r="B5" s="1250" t="s">
        <v>17713</v>
      </c>
      <c r="C5" s="1250">
        <v>0.6</v>
      </c>
      <c r="D5" s="1250"/>
      <c r="E5" s="1250" t="s">
        <v>17708</v>
      </c>
      <c r="F5" s="1250" t="s">
        <v>17714</v>
      </c>
      <c r="G5" s="1250">
        <v>10</v>
      </c>
      <c r="H5" s="1250"/>
      <c r="I5" s="1250" t="s">
        <v>17715</v>
      </c>
      <c r="J5" s="1250" t="s">
        <v>8366</v>
      </c>
      <c r="K5" s="1250"/>
      <c r="L5" s="1250"/>
      <c r="M5" s="1250"/>
      <c r="N5" s="1250"/>
      <c r="O5" s="1250"/>
      <c r="P5" s="1250"/>
      <c r="Q5" s="1250" t="s">
        <v>17716</v>
      </c>
      <c r="R5" s="1250"/>
      <c r="S5" s="1250">
        <v>10</v>
      </c>
      <c r="T5" s="1250">
        <v>1</v>
      </c>
      <c r="U5" s="1250"/>
      <c r="V5" s="1250" t="s">
        <v>17717</v>
      </c>
      <c r="W5" s="1250" t="s">
        <v>17718</v>
      </c>
      <c r="X5" s="1250">
        <v>20</v>
      </c>
      <c r="Y5" s="1250"/>
      <c r="Z5" s="1250"/>
      <c r="AA5" s="1250" t="s">
        <v>17719</v>
      </c>
      <c r="AB5" s="1255" t="s">
        <v>17720</v>
      </c>
      <c r="AC5" s="1255" t="s">
        <v>17721</v>
      </c>
      <c r="AD5" s="1255" t="s">
        <v>17722</v>
      </c>
      <c r="AE5" s="1255" t="s">
        <v>17723</v>
      </c>
      <c r="AF5" s="1255" t="s">
        <v>17724</v>
      </c>
      <c r="AG5" s="1256" t="s">
        <v>17725</v>
      </c>
    </row>
    <row r="6" spans="1:33">
      <c r="A6" s="1250" t="s">
        <v>17726</v>
      </c>
      <c r="B6" s="1250" t="s">
        <v>17727</v>
      </c>
      <c r="C6" s="1250">
        <v>3</v>
      </c>
      <c r="D6" s="1250"/>
      <c r="E6" s="1250" t="s">
        <v>17708</v>
      </c>
      <c r="F6" s="1250" t="s">
        <v>7085</v>
      </c>
      <c r="G6" s="1250">
        <v>4</v>
      </c>
      <c r="H6" s="1250"/>
      <c r="I6" s="1250" t="s">
        <v>17728</v>
      </c>
      <c r="J6" s="1250">
        <v>0.3</v>
      </c>
      <c r="K6" s="1250"/>
      <c r="L6" s="1250"/>
      <c r="M6" s="1250"/>
      <c r="N6" s="1250"/>
      <c r="O6" s="1250"/>
      <c r="P6" s="1250"/>
      <c r="Q6" s="1250" t="s">
        <v>17729</v>
      </c>
      <c r="R6" s="1250"/>
      <c r="S6" s="1250">
        <v>20</v>
      </c>
      <c r="T6" s="1250">
        <v>2</v>
      </c>
      <c r="U6" s="1250"/>
      <c r="V6" s="1250" t="s">
        <v>17730</v>
      </c>
      <c r="W6" s="1250" t="s">
        <v>17731</v>
      </c>
      <c r="X6" s="1250">
        <v>25</v>
      </c>
      <c r="Y6" s="1250"/>
      <c r="Z6" s="1250"/>
      <c r="AA6" s="1250">
        <v>1</v>
      </c>
      <c r="AB6" s="1250">
        <v>1.7</v>
      </c>
      <c r="AC6" s="1250">
        <v>585</v>
      </c>
      <c r="AD6" s="1250">
        <v>260</v>
      </c>
      <c r="AE6" s="1250">
        <v>65</v>
      </c>
      <c r="AF6" s="1250">
        <v>30</v>
      </c>
      <c r="AG6" s="1250">
        <v>10</v>
      </c>
    </row>
    <row r="7" spans="1:33">
      <c r="A7" s="1250" t="s">
        <v>17732</v>
      </c>
      <c r="B7" s="1250" t="s">
        <v>17733</v>
      </c>
      <c r="C7" s="1250">
        <v>7</v>
      </c>
      <c r="D7" s="1250"/>
      <c r="E7" s="1250" t="s">
        <v>17734</v>
      </c>
      <c r="F7" s="1250" t="s">
        <v>17735</v>
      </c>
      <c r="G7" s="1250">
        <v>50</v>
      </c>
      <c r="H7" s="1250"/>
      <c r="I7" s="1250" t="s">
        <v>17736</v>
      </c>
      <c r="J7" s="1250">
        <v>10</v>
      </c>
      <c r="K7" s="1250"/>
      <c r="L7" s="1250"/>
      <c r="M7" s="1250"/>
      <c r="N7" s="1250"/>
      <c r="O7" s="1250"/>
      <c r="P7" s="1250"/>
      <c r="Q7" s="1250" t="s">
        <v>17737</v>
      </c>
      <c r="R7" s="1250"/>
      <c r="S7" s="1250">
        <v>30</v>
      </c>
      <c r="T7" s="1250">
        <v>3</v>
      </c>
      <c r="U7" s="1250"/>
      <c r="V7" s="1250" t="s">
        <v>17738</v>
      </c>
      <c r="W7" s="1250" t="s">
        <v>10126</v>
      </c>
      <c r="X7" s="1250">
        <v>50</v>
      </c>
      <c r="Y7" s="1250"/>
      <c r="Z7" s="1250"/>
      <c r="AA7" s="1250">
        <v>10</v>
      </c>
      <c r="AB7" s="1250">
        <v>100</v>
      </c>
      <c r="AC7" s="1250">
        <v>30</v>
      </c>
      <c r="AD7" s="1250">
        <v>15</v>
      </c>
      <c r="AE7" s="1250">
        <v>5</v>
      </c>
      <c r="AF7" s="1250">
        <v>1</v>
      </c>
      <c r="AG7" s="1250">
        <v>1</v>
      </c>
    </row>
    <row r="8" spans="1:33">
      <c r="A8" s="1250" t="s">
        <v>17739</v>
      </c>
      <c r="B8" s="1250" t="s">
        <v>17740</v>
      </c>
      <c r="C8" s="1250">
        <v>15</v>
      </c>
      <c r="D8" s="1250"/>
      <c r="E8" s="1250" t="s">
        <v>17734</v>
      </c>
      <c r="F8" s="1250" t="s">
        <v>17741</v>
      </c>
      <c r="G8" s="1250">
        <v>30</v>
      </c>
      <c r="H8" s="1250"/>
      <c r="I8" s="1250" t="s">
        <v>17742</v>
      </c>
      <c r="J8" s="1250">
        <v>2</v>
      </c>
      <c r="K8" s="1250"/>
      <c r="L8" s="1250"/>
      <c r="M8" s="1250"/>
      <c r="N8" s="1250"/>
      <c r="O8" s="1250"/>
      <c r="P8" s="1250"/>
      <c r="Q8" s="1250" t="s">
        <v>17743</v>
      </c>
      <c r="R8" s="1250"/>
      <c r="S8" s="1250">
        <v>40</v>
      </c>
      <c r="T8" s="1250">
        <v>4</v>
      </c>
      <c r="U8" s="1250"/>
      <c r="V8" s="1250" t="s">
        <v>17744</v>
      </c>
      <c r="W8" s="1250" t="s">
        <v>17745</v>
      </c>
      <c r="X8" s="1250">
        <v>8</v>
      </c>
      <c r="Y8" s="1250"/>
      <c r="Z8" s="1250"/>
      <c r="AA8" s="1250">
        <v>100</v>
      </c>
      <c r="AB8" s="1250">
        <v>15</v>
      </c>
      <c r="AC8" s="1250">
        <v>5</v>
      </c>
      <c r="AD8" s="1250">
        <v>2</v>
      </c>
      <c r="AE8" s="1250">
        <v>1</v>
      </c>
      <c r="AF8" s="1254">
        <v>0.25</v>
      </c>
      <c r="AG8" s="1254">
        <v>0.1</v>
      </c>
    </row>
    <row r="9" spans="1:33">
      <c r="A9" s="1250" t="s">
        <v>17746</v>
      </c>
      <c r="B9" s="1250" t="s">
        <v>17747</v>
      </c>
      <c r="C9" s="1250">
        <v>1</v>
      </c>
      <c r="D9" s="1250"/>
      <c r="E9" s="1250" t="s">
        <v>17734</v>
      </c>
      <c r="F9" s="1250" t="s">
        <v>17748</v>
      </c>
      <c r="G9" s="1250">
        <v>2</v>
      </c>
      <c r="H9" s="1250"/>
      <c r="I9" s="1250" t="s">
        <v>17749</v>
      </c>
      <c r="J9" s="1250">
        <v>10</v>
      </c>
      <c r="K9" s="1250"/>
      <c r="L9" s="1250"/>
      <c r="M9" s="1250"/>
      <c r="N9" s="1250"/>
      <c r="O9" s="1250"/>
      <c r="P9" s="1250"/>
      <c r="Q9" s="1250" t="s">
        <v>17750</v>
      </c>
      <c r="R9" s="1250"/>
      <c r="S9" s="1250">
        <v>50</v>
      </c>
      <c r="T9" s="1250">
        <v>5</v>
      </c>
      <c r="U9" s="1250"/>
      <c r="V9" s="1250" t="s">
        <v>3715</v>
      </c>
      <c r="W9" s="1250" t="s">
        <v>17718</v>
      </c>
      <c r="X9" s="1250">
        <v>20</v>
      </c>
      <c r="Y9" s="1250"/>
      <c r="Z9" s="1250"/>
      <c r="AA9" s="1250">
        <v>1000</v>
      </c>
      <c r="AB9" s="1250">
        <v>7</v>
      </c>
      <c r="AC9" s="1250">
        <v>2</v>
      </c>
      <c r="AD9" s="1250">
        <v>1</v>
      </c>
      <c r="AE9" s="1254">
        <v>0.25</v>
      </c>
      <c r="AF9" s="1254">
        <v>0.1</v>
      </c>
      <c r="AG9" s="1254">
        <v>0.05</v>
      </c>
    </row>
    <row r="10" spans="1:33">
      <c r="A10" s="1250" t="s">
        <v>17751</v>
      </c>
      <c r="B10" s="1250" t="s">
        <v>17752</v>
      </c>
      <c r="C10" s="1250">
        <v>4</v>
      </c>
      <c r="D10" s="1250"/>
      <c r="E10" s="1250" t="s">
        <v>17734</v>
      </c>
      <c r="F10" s="1250" t="s">
        <v>17753</v>
      </c>
      <c r="G10" s="1250">
        <v>40</v>
      </c>
      <c r="H10" s="1250"/>
      <c r="I10" s="1250" t="s">
        <v>17754</v>
      </c>
      <c r="J10" s="1250">
        <v>0.2</v>
      </c>
      <c r="K10" s="1250"/>
      <c r="L10" s="1250"/>
      <c r="M10" s="1250"/>
      <c r="N10" s="1250"/>
      <c r="O10" s="1250"/>
      <c r="P10" s="1250"/>
      <c r="Q10" s="1250" t="s">
        <v>17755</v>
      </c>
      <c r="R10" s="1250"/>
      <c r="S10" s="1250">
        <v>60</v>
      </c>
      <c r="T10" s="1250">
        <v>6</v>
      </c>
      <c r="U10" s="1250"/>
      <c r="V10" s="1250" t="s">
        <v>17756</v>
      </c>
      <c r="W10" s="1250" t="s">
        <v>17757</v>
      </c>
      <c r="X10" s="1250">
        <v>40</v>
      </c>
      <c r="Y10" s="1250"/>
      <c r="Z10" s="1250"/>
      <c r="AA10" s="1250">
        <v>10000</v>
      </c>
      <c r="AB10" s="1250">
        <v>2</v>
      </c>
      <c r="AC10" s="1250">
        <v>1</v>
      </c>
      <c r="AD10" s="1254">
        <v>0.25</v>
      </c>
      <c r="AE10" s="1254">
        <v>0.1</v>
      </c>
      <c r="AF10" s="1254">
        <v>0.05</v>
      </c>
      <c r="AG10" s="1254">
        <v>0.01</v>
      </c>
    </row>
    <row r="11" spans="1:33">
      <c r="A11" s="1250" t="s">
        <v>17758</v>
      </c>
      <c r="B11" s="1250" t="s">
        <v>17718</v>
      </c>
      <c r="C11" s="1250">
        <v>20</v>
      </c>
      <c r="D11" s="1250"/>
      <c r="E11" s="1250" t="s">
        <v>17734</v>
      </c>
      <c r="F11" s="1250" t="s">
        <v>2577</v>
      </c>
      <c r="G11" s="1250">
        <v>7</v>
      </c>
      <c r="H11" s="1250"/>
      <c r="I11" s="1250" t="s">
        <v>17759</v>
      </c>
      <c r="J11" s="1250">
        <v>0.6</v>
      </c>
      <c r="K11" s="1250"/>
      <c r="L11" s="1250"/>
      <c r="M11" s="1250"/>
      <c r="N11" s="1250"/>
      <c r="O11" s="1250"/>
      <c r="P11" s="1250"/>
      <c r="Q11" s="1250" t="s">
        <v>3171</v>
      </c>
      <c r="R11" s="1250"/>
      <c r="S11" s="1250">
        <v>10</v>
      </c>
      <c r="T11" s="1250">
        <v>1</v>
      </c>
      <c r="U11" s="1250"/>
      <c r="V11" s="1250" t="s">
        <v>17760</v>
      </c>
      <c r="W11" s="1250" t="s">
        <v>17761</v>
      </c>
      <c r="X11" s="1250">
        <v>5</v>
      </c>
      <c r="Y11" s="1250"/>
      <c r="Z11" s="1250"/>
      <c r="AA11" s="1250" t="s">
        <v>17762</v>
      </c>
      <c r="AB11" s="1254">
        <v>0.1</v>
      </c>
      <c r="AC11" s="1254">
        <v>0.05</v>
      </c>
      <c r="AD11" s="1254">
        <v>0.02</v>
      </c>
      <c r="AE11" s="1250" t="s">
        <v>17763</v>
      </c>
      <c r="AF11" s="1250" t="s">
        <v>17763</v>
      </c>
      <c r="AG11" s="1250" t="s">
        <v>17763</v>
      </c>
    </row>
    <row r="12" spans="1:33">
      <c r="A12" s="1250" t="s">
        <v>17764</v>
      </c>
      <c r="B12" s="1250" t="s">
        <v>17711</v>
      </c>
      <c r="C12" s="1250">
        <v>100</v>
      </c>
      <c r="D12" s="1250"/>
      <c r="E12" s="1250" t="s">
        <v>17734</v>
      </c>
      <c r="F12" s="1250" t="s">
        <v>3081</v>
      </c>
      <c r="G12" s="1250">
        <v>3</v>
      </c>
      <c r="H12" s="1250"/>
      <c r="I12" s="1250" t="s">
        <v>17765</v>
      </c>
      <c r="J12" s="1250">
        <v>22</v>
      </c>
      <c r="K12" s="1250"/>
      <c r="L12" s="1250"/>
      <c r="M12" s="1250"/>
      <c r="N12" s="1250"/>
      <c r="O12" s="1250"/>
      <c r="P12" s="1250"/>
      <c r="Q12" s="1250" t="s">
        <v>17766</v>
      </c>
      <c r="R12" s="1250"/>
      <c r="S12" s="1250">
        <v>40</v>
      </c>
      <c r="T12" s="1250">
        <v>1</v>
      </c>
      <c r="U12" s="1250"/>
      <c r="V12" s="1250" t="s">
        <v>17767</v>
      </c>
      <c r="W12" s="1250" t="s">
        <v>17768</v>
      </c>
      <c r="X12" s="1250">
        <v>10</v>
      </c>
      <c r="Y12" s="1250"/>
      <c r="Z12" s="1250"/>
      <c r="AA12" s="1250"/>
      <c r="AB12" s="1250"/>
      <c r="AC12" s="1250"/>
      <c r="AD12" s="1250"/>
      <c r="AE12" s="1250"/>
      <c r="AF12" s="1250"/>
      <c r="AG12" s="1250"/>
    </row>
    <row r="13" spans="1:33">
      <c r="A13" s="1250" t="s">
        <v>17769</v>
      </c>
      <c r="B13" s="1250" t="s">
        <v>17770</v>
      </c>
      <c r="C13" s="1250">
        <v>1000</v>
      </c>
      <c r="D13" s="1250"/>
      <c r="E13" s="1250" t="s">
        <v>17734</v>
      </c>
      <c r="F13" s="1250" t="s">
        <v>17771</v>
      </c>
      <c r="G13" s="1250">
        <v>1</v>
      </c>
      <c r="H13" s="1250"/>
      <c r="I13" s="1250" t="s">
        <v>17772</v>
      </c>
      <c r="J13" s="1250">
        <v>10</v>
      </c>
      <c r="K13" s="1250"/>
      <c r="L13" s="1250"/>
      <c r="M13" s="1250"/>
      <c r="N13" s="1250"/>
      <c r="O13" s="1250"/>
      <c r="P13" s="1250"/>
      <c r="Q13" s="1250" t="s">
        <v>17773</v>
      </c>
      <c r="R13" s="1250"/>
      <c r="S13" s="1250">
        <v>75</v>
      </c>
      <c r="T13" s="1250">
        <v>2</v>
      </c>
      <c r="U13" s="1250"/>
      <c r="V13" s="1250" t="s">
        <v>17774</v>
      </c>
      <c r="W13" s="1250" t="s">
        <v>17731</v>
      </c>
      <c r="X13" s="1250">
        <v>25</v>
      </c>
      <c r="Y13" s="1250"/>
      <c r="Z13" s="1250"/>
      <c r="AA13" s="1250"/>
      <c r="AB13" s="1250"/>
      <c r="AC13" s="1250"/>
      <c r="AD13" s="1250"/>
      <c r="AE13" s="1250"/>
      <c r="AF13" s="1250"/>
      <c r="AG13" s="1250"/>
    </row>
    <row r="14" spans="1:33">
      <c r="A14" s="1250" t="s">
        <v>13607</v>
      </c>
      <c r="B14" s="1250" t="s">
        <v>17707</v>
      </c>
      <c r="C14" s="1250">
        <v>4</v>
      </c>
      <c r="D14" s="1250"/>
      <c r="E14" s="1250" t="s">
        <v>17734</v>
      </c>
      <c r="F14" s="1250" t="s">
        <v>17775</v>
      </c>
      <c r="G14" s="1250">
        <v>5</v>
      </c>
      <c r="H14" s="1250"/>
      <c r="I14" s="1250" t="s">
        <v>6260</v>
      </c>
      <c r="J14" s="1250">
        <v>1</v>
      </c>
      <c r="K14" s="1250"/>
      <c r="L14" s="1250"/>
      <c r="M14" s="1250"/>
      <c r="N14" s="1250"/>
      <c r="O14" s="1250"/>
      <c r="P14" s="1250"/>
      <c r="Q14" s="1250" t="s">
        <v>17776</v>
      </c>
      <c r="R14" s="1250"/>
      <c r="S14" s="1250">
        <v>150</v>
      </c>
      <c r="T14" s="1250">
        <v>3</v>
      </c>
      <c r="U14" s="1250"/>
      <c r="V14" s="1250" t="s">
        <v>17777</v>
      </c>
      <c r="W14" s="1250" t="s">
        <v>17761</v>
      </c>
      <c r="X14" s="1250">
        <v>5</v>
      </c>
      <c r="Y14" s="1250"/>
      <c r="Z14" s="1250"/>
      <c r="AA14" s="1250"/>
      <c r="AB14" s="1250"/>
      <c r="AC14" s="1250"/>
      <c r="AD14" s="1250"/>
      <c r="AE14" s="1250"/>
      <c r="AF14" s="1250"/>
      <c r="AG14" s="1250"/>
    </row>
    <row r="15" spans="1:33">
      <c r="A15" s="1250" t="s">
        <v>17778</v>
      </c>
      <c r="B15" s="1250" t="s">
        <v>17779</v>
      </c>
      <c r="C15" s="1250">
        <v>10</v>
      </c>
      <c r="D15" s="1250"/>
      <c r="E15" s="1250" t="s">
        <v>17780</v>
      </c>
      <c r="F15" s="1250" t="s">
        <v>17781</v>
      </c>
      <c r="G15" s="1250">
        <v>80</v>
      </c>
      <c r="H15" s="1250"/>
      <c r="I15" s="1250" t="s">
        <v>17782</v>
      </c>
      <c r="J15" s="1250">
        <v>0.3</v>
      </c>
      <c r="K15" s="1250"/>
      <c r="L15" s="1250"/>
      <c r="M15" s="1250"/>
      <c r="N15" s="1250"/>
      <c r="O15" s="1250"/>
      <c r="P15" s="1250"/>
      <c r="Q15" s="1250" t="s">
        <v>17783</v>
      </c>
      <c r="R15" s="1250"/>
      <c r="S15" s="1250">
        <v>300</v>
      </c>
      <c r="T15" s="1250">
        <v>4</v>
      </c>
      <c r="U15" s="1250"/>
      <c r="V15" s="1250" t="s">
        <v>17784</v>
      </c>
      <c r="W15" s="1250" t="s">
        <v>17785</v>
      </c>
      <c r="X15" s="1250"/>
      <c r="Y15" s="1250"/>
      <c r="Z15" s="1250"/>
      <c r="AA15" s="1250"/>
      <c r="AB15" s="1250"/>
      <c r="AC15" s="1250"/>
      <c r="AD15" s="1250"/>
      <c r="AE15" s="1250"/>
      <c r="AF15" s="1250"/>
      <c r="AG15" s="1250"/>
    </row>
    <row r="16" spans="1:33">
      <c r="A16" s="1250" t="s">
        <v>17786</v>
      </c>
      <c r="B16" s="1250" t="s">
        <v>17747</v>
      </c>
      <c r="C16" s="1250">
        <v>1</v>
      </c>
      <c r="D16" s="1250"/>
      <c r="E16" s="1250" t="s">
        <v>17780</v>
      </c>
      <c r="F16" s="1250" t="s">
        <v>17787</v>
      </c>
      <c r="G16" s="1250">
        <v>4</v>
      </c>
      <c r="H16" s="1250"/>
      <c r="I16" s="1250" t="s">
        <v>17788</v>
      </c>
      <c r="J16" s="1250">
        <v>2</v>
      </c>
      <c r="K16" s="1250"/>
      <c r="L16" s="1250"/>
      <c r="M16" s="1250"/>
      <c r="N16" s="1250"/>
      <c r="O16" s="1250"/>
      <c r="P16" s="1250"/>
      <c r="Q16" s="1250" t="s">
        <v>17789</v>
      </c>
      <c r="R16" s="1250"/>
      <c r="S16" s="1250">
        <v>600</v>
      </c>
      <c r="T16" s="1250">
        <v>5</v>
      </c>
      <c r="U16" s="1250"/>
      <c r="V16" s="1250" t="s">
        <v>17790</v>
      </c>
      <c r="W16" s="1250" t="s">
        <v>17791</v>
      </c>
      <c r="X16" s="1250"/>
      <c r="Y16" s="1250"/>
      <c r="Z16" s="1250"/>
      <c r="AA16" s="1250"/>
      <c r="AB16" s="1250"/>
      <c r="AC16" s="1250"/>
      <c r="AD16" s="1250"/>
      <c r="AE16" s="1250"/>
      <c r="AF16" s="1250"/>
      <c r="AG16" s="1250"/>
    </row>
    <row r="17" spans="1:24">
      <c r="A17" s="1250" t="s">
        <v>17792</v>
      </c>
      <c r="B17" s="1250" t="s">
        <v>17733</v>
      </c>
      <c r="C17" s="1250">
        <v>7</v>
      </c>
      <c r="D17" s="1250"/>
      <c r="E17" s="1250" t="s">
        <v>17780</v>
      </c>
      <c r="F17" s="1250" t="s">
        <v>17793</v>
      </c>
      <c r="G17" s="1250">
        <v>200</v>
      </c>
      <c r="H17" s="1250"/>
      <c r="I17" s="1250" t="s">
        <v>17794</v>
      </c>
      <c r="J17" s="1250">
        <v>5</v>
      </c>
      <c r="K17" s="1250"/>
      <c r="L17" s="1250"/>
      <c r="M17" s="1250"/>
      <c r="N17" s="1250"/>
      <c r="O17" s="1250"/>
      <c r="P17" s="1250"/>
      <c r="Q17" s="1250"/>
      <c r="R17" s="1250"/>
      <c r="S17" s="1250"/>
      <c r="T17" s="1250"/>
      <c r="U17" s="1250"/>
      <c r="V17" s="1250" t="s">
        <v>16610</v>
      </c>
      <c r="W17" s="1250" t="s">
        <v>17795</v>
      </c>
      <c r="X17" s="1250">
        <v>200</v>
      </c>
    </row>
    <row r="18" spans="1:24">
      <c r="A18" s="1250" t="s">
        <v>17796</v>
      </c>
      <c r="B18" s="1250" t="s">
        <v>17797</v>
      </c>
      <c r="C18" s="1250">
        <v>6</v>
      </c>
      <c r="D18" s="1250"/>
      <c r="E18" s="1250" t="s">
        <v>17780</v>
      </c>
      <c r="F18" s="1250" t="s">
        <v>17798</v>
      </c>
      <c r="G18" s="1250">
        <v>100</v>
      </c>
      <c r="H18" s="1250"/>
      <c r="I18" s="1250" t="s">
        <v>17799</v>
      </c>
      <c r="J18" s="1250">
        <v>10</v>
      </c>
      <c r="K18" s="1250"/>
      <c r="L18" s="1250"/>
      <c r="M18" s="1250"/>
      <c r="N18" s="1250"/>
      <c r="O18" s="1250"/>
      <c r="P18" s="1250"/>
      <c r="Q18" s="1250"/>
      <c r="R18" s="1250"/>
      <c r="S18" s="1250"/>
      <c r="T18" s="1250"/>
      <c r="U18" s="1250"/>
      <c r="V18" s="1250" t="s">
        <v>8741</v>
      </c>
      <c r="W18" s="1250"/>
      <c r="X18" s="1250"/>
    </row>
    <row r="19" spans="1:24">
      <c r="A19" s="1250" t="s">
        <v>17800</v>
      </c>
      <c r="B19" s="1250" t="s">
        <v>17740</v>
      </c>
      <c r="C19" s="1250">
        <v>15</v>
      </c>
      <c r="D19" s="1250"/>
      <c r="E19" s="1250" t="s">
        <v>17780</v>
      </c>
      <c r="F19" s="1250" t="s">
        <v>17801</v>
      </c>
      <c r="G19" s="1250">
        <v>5</v>
      </c>
      <c r="H19" s="1250"/>
      <c r="I19" s="1250" t="s">
        <v>17802</v>
      </c>
      <c r="J19" s="1250">
        <v>25</v>
      </c>
      <c r="K19" s="1250"/>
      <c r="L19" s="1250"/>
      <c r="M19" s="1250"/>
      <c r="N19" s="1250"/>
      <c r="O19" s="1250"/>
      <c r="P19" s="1250"/>
      <c r="Q19" s="1250" t="s">
        <v>17803</v>
      </c>
      <c r="R19" s="1250"/>
      <c r="S19" s="1250"/>
      <c r="T19" s="1250"/>
      <c r="U19" s="1250"/>
      <c r="V19" s="1250" t="s">
        <v>17804</v>
      </c>
      <c r="W19" s="1250" t="s">
        <v>17757</v>
      </c>
      <c r="X19" s="1250">
        <v>40</v>
      </c>
    </row>
    <row r="20" spans="1:24">
      <c r="A20" s="1250" t="s">
        <v>17805</v>
      </c>
      <c r="B20" s="1250" t="s">
        <v>17707</v>
      </c>
      <c r="C20" s="1250">
        <v>0.4</v>
      </c>
      <c r="D20" s="1250"/>
      <c r="E20" s="1250" t="s">
        <v>17780</v>
      </c>
      <c r="F20" s="1250" t="s">
        <v>17806</v>
      </c>
      <c r="G20" s="1250">
        <v>25</v>
      </c>
      <c r="H20" s="1250"/>
      <c r="I20" s="1250" t="s">
        <v>17807</v>
      </c>
      <c r="J20" s="1250">
        <v>2</v>
      </c>
      <c r="K20" s="1250"/>
      <c r="L20" s="1250"/>
      <c r="M20" s="1250"/>
      <c r="N20" s="1250"/>
      <c r="O20" s="1250"/>
      <c r="P20" s="1250"/>
      <c r="Q20" s="1250" t="s">
        <v>9648</v>
      </c>
      <c r="R20" s="1250" t="s">
        <v>2088</v>
      </c>
      <c r="S20" s="1250" t="s">
        <v>551</v>
      </c>
      <c r="T20" s="1250"/>
      <c r="U20" s="1250"/>
      <c r="V20" s="1250" t="s">
        <v>15592</v>
      </c>
      <c r="W20" s="1250" t="s">
        <v>17808</v>
      </c>
      <c r="X20" s="1250">
        <v>700</v>
      </c>
    </row>
    <row r="21" spans="1:24">
      <c r="A21" s="1250" t="s">
        <v>17809</v>
      </c>
      <c r="B21" s="1250" t="s">
        <v>17810</v>
      </c>
      <c r="C21" s="1250">
        <v>2</v>
      </c>
      <c r="D21" s="1250"/>
      <c r="E21" s="1250" t="s">
        <v>17811</v>
      </c>
      <c r="F21" s="1250" t="s">
        <v>4154</v>
      </c>
      <c r="G21" s="1250">
        <v>1</v>
      </c>
      <c r="H21" s="1250"/>
      <c r="I21" s="1250" t="s">
        <v>17812</v>
      </c>
      <c r="J21" s="1250">
        <v>25</v>
      </c>
      <c r="K21" s="1250"/>
      <c r="L21" s="1250"/>
      <c r="M21" s="1250"/>
      <c r="N21" s="1250"/>
      <c r="O21" s="1250"/>
      <c r="P21" s="1250"/>
      <c r="Q21" s="1250" t="s">
        <v>17813</v>
      </c>
      <c r="R21" s="1250" t="s">
        <v>17814</v>
      </c>
      <c r="S21" s="1250">
        <v>300</v>
      </c>
      <c r="T21" s="1250"/>
      <c r="U21" s="1250"/>
      <c r="V21" s="1250" t="s">
        <v>17815</v>
      </c>
      <c r="W21" s="1250" t="s">
        <v>17816</v>
      </c>
      <c r="X21" s="1250">
        <v>30</v>
      </c>
    </row>
    <row r="22" spans="1:24">
      <c r="A22" s="1250" t="s">
        <v>17817</v>
      </c>
      <c r="B22" s="1250" t="s">
        <v>17752</v>
      </c>
      <c r="C22" s="1250">
        <v>4</v>
      </c>
      <c r="D22" s="1250"/>
      <c r="E22" s="1250" t="s">
        <v>17811</v>
      </c>
      <c r="F22" s="1250" t="s">
        <v>5847</v>
      </c>
      <c r="G22" s="1250">
        <v>5</v>
      </c>
      <c r="H22" s="1250"/>
      <c r="I22" s="1250" t="s">
        <v>17818</v>
      </c>
      <c r="J22" s="1250">
        <v>25</v>
      </c>
      <c r="K22" s="1250"/>
      <c r="L22" s="1250"/>
      <c r="M22" s="1250"/>
      <c r="N22" s="1250"/>
      <c r="O22" s="1250"/>
      <c r="P22" s="1250"/>
      <c r="Q22" s="1250" t="s">
        <v>17819</v>
      </c>
      <c r="R22" s="1250" t="s">
        <v>17820</v>
      </c>
      <c r="S22" s="1250">
        <v>0.1</v>
      </c>
      <c r="T22" s="1250"/>
      <c r="U22" s="1250"/>
      <c r="V22" s="1250" t="s">
        <v>17821</v>
      </c>
      <c r="W22" s="1250" t="s">
        <v>17757</v>
      </c>
      <c r="X22" s="1250">
        <v>40</v>
      </c>
    </row>
    <row r="23" spans="1:24">
      <c r="A23" s="1250" t="s">
        <v>17822</v>
      </c>
      <c r="B23" s="1250" t="s">
        <v>17718</v>
      </c>
      <c r="C23" s="1250">
        <v>20</v>
      </c>
      <c r="D23" s="1250"/>
      <c r="E23" s="1250" t="s">
        <v>17811</v>
      </c>
      <c r="F23" s="1250" t="s">
        <v>2450</v>
      </c>
      <c r="G23" s="1250">
        <v>5</v>
      </c>
      <c r="H23" s="1250"/>
      <c r="I23" s="1250" t="s">
        <v>17823</v>
      </c>
      <c r="J23" s="1250">
        <v>8</v>
      </c>
      <c r="K23" s="1250"/>
      <c r="L23" s="1250"/>
      <c r="M23" s="1250"/>
      <c r="N23" s="1250"/>
      <c r="O23" s="1250"/>
      <c r="P23" s="1250"/>
      <c r="Q23" s="1250" t="s">
        <v>17824</v>
      </c>
      <c r="R23" s="1250" t="s">
        <v>17825</v>
      </c>
      <c r="S23" s="1250">
        <v>0.5</v>
      </c>
      <c r="T23" s="1250"/>
      <c r="U23" s="1250"/>
      <c r="V23" s="1250" t="s">
        <v>15591</v>
      </c>
      <c r="W23" s="1250" t="s">
        <v>17826</v>
      </c>
      <c r="X23" s="1250">
        <v>250</v>
      </c>
    </row>
    <row r="24" spans="1:24">
      <c r="A24" s="1250" t="s">
        <v>17827</v>
      </c>
      <c r="B24" s="1250" t="s">
        <v>17711</v>
      </c>
      <c r="C24" s="1250">
        <v>100</v>
      </c>
      <c r="D24" s="1250"/>
      <c r="E24" s="1250" t="s">
        <v>17811</v>
      </c>
      <c r="F24" s="1250" t="s">
        <v>17828</v>
      </c>
      <c r="G24" s="1250">
        <v>10</v>
      </c>
      <c r="H24" s="1250"/>
      <c r="I24" s="1250" t="s">
        <v>17829</v>
      </c>
      <c r="J24" s="1250">
        <v>1</v>
      </c>
      <c r="K24" s="1250"/>
      <c r="L24" s="1250"/>
      <c r="M24" s="1250"/>
      <c r="N24" s="1250"/>
      <c r="O24" s="1250"/>
      <c r="P24" s="1250"/>
      <c r="Q24" s="1250" t="s">
        <v>17830</v>
      </c>
      <c r="R24" s="1250" t="s">
        <v>17810</v>
      </c>
      <c r="S24" s="1250">
        <v>2</v>
      </c>
      <c r="T24" s="1250"/>
      <c r="U24" s="1250"/>
      <c r="V24" s="1250" t="s">
        <v>17831</v>
      </c>
      <c r="W24" s="1250" t="s">
        <v>17832</v>
      </c>
      <c r="X24" s="1250">
        <v>75</v>
      </c>
    </row>
    <row r="25" spans="1:24">
      <c r="A25" s="1250" t="s">
        <v>17833</v>
      </c>
      <c r="B25" s="1250" t="s">
        <v>17713</v>
      </c>
      <c r="C25" s="1250">
        <v>0.6</v>
      </c>
      <c r="D25" s="1250"/>
      <c r="E25" s="1250" t="s">
        <v>17811</v>
      </c>
      <c r="F25" s="1250" t="s">
        <v>17834</v>
      </c>
      <c r="G25" s="1250">
        <v>5</v>
      </c>
      <c r="H25" s="1250"/>
      <c r="I25" s="1250" t="s">
        <v>13756</v>
      </c>
      <c r="J25" s="1250">
        <v>10</v>
      </c>
      <c r="K25" s="1250"/>
      <c r="L25" s="1250"/>
      <c r="M25" s="1250"/>
      <c r="N25" s="1250"/>
      <c r="O25" s="1250"/>
      <c r="P25" s="1250"/>
      <c r="Q25" s="1250" t="s">
        <v>17835</v>
      </c>
      <c r="R25" s="1250" t="s">
        <v>17731</v>
      </c>
      <c r="S25" s="1250">
        <v>25</v>
      </c>
      <c r="T25" s="1250"/>
      <c r="U25" s="1250"/>
      <c r="V25" s="1250" t="s">
        <v>17836</v>
      </c>
      <c r="W25" s="1250" t="s">
        <v>17837</v>
      </c>
      <c r="X25" s="1250">
        <v>150</v>
      </c>
    </row>
    <row r="26" spans="1:24">
      <c r="A26" s="1250" t="s">
        <v>17838</v>
      </c>
      <c r="B26" s="1250" t="s">
        <v>17797</v>
      </c>
      <c r="C26" s="1250">
        <v>6</v>
      </c>
      <c r="D26" s="1250"/>
      <c r="E26" s="1250" t="s">
        <v>17839</v>
      </c>
      <c r="F26" s="1250" t="s">
        <v>17840</v>
      </c>
      <c r="G26" s="1250">
        <v>1</v>
      </c>
      <c r="H26" s="1250"/>
      <c r="I26" s="1250" t="s">
        <v>17841</v>
      </c>
      <c r="J26" s="1250">
        <v>20</v>
      </c>
      <c r="K26" s="1250"/>
      <c r="L26" s="1250"/>
      <c r="M26" s="1250"/>
      <c r="N26" s="1250"/>
      <c r="O26" s="1250"/>
      <c r="P26" s="1250"/>
      <c r="Q26" s="1250" t="s">
        <v>17842</v>
      </c>
      <c r="R26" s="1250" t="s">
        <v>10126</v>
      </c>
      <c r="S26" s="1250">
        <v>50</v>
      </c>
      <c r="T26" s="1250"/>
      <c r="U26" s="1250"/>
      <c r="V26" s="1250"/>
      <c r="W26" s="1250"/>
      <c r="X26" s="1250"/>
    </row>
    <row r="27" spans="1:24">
      <c r="A27" s="1250"/>
      <c r="B27" s="1250"/>
      <c r="C27" s="1250"/>
      <c r="D27" s="1250"/>
      <c r="E27" s="1250" t="s">
        <v>17839</v>
      </c>
      <c r="F27" s="1250" t="s">
        <v>3572</v>
      </c>
      <c r="G27" s="1250">
        <v>1</v>
      </c>
      <c r="H27" s="1250"/>
      <c r="I27" s="1250" t="s">
        <v>17843</v>
      </c>
      <c r="J27" s="1250">
        <v>5</v>
      </c>
      <c r="K27" s="1250"/>
      <c r="L27" s="1250"/>
      <c r="M27" s="1250"/>
      <c r="N27" s="1250"/>
      <c r="O27" s="1250"/>
      <c r="P27" s="1250"/>
      <c r="Q27" s="1250" t="s">
        <v>17844</v>
      </c>
      <c r="R27" s="1250" t="s">
        <v>17845</v>
      </c>
      <c r="S27" s="1250">
        <v>1200</v>
      </c>
      <c r="T27" s="1250"/>
      <c r="U27" s="1250"/>
      <c r="V27" s="1250"/>
      <c r="W27" s="1250"/>
      <c r="X27" s="1250"/>
    </row>
    <row r="28" spans="1:24">
      <c r="A28" s="1250"/>
      <c r="B28" s="1250"/>
      <c r="C28" s="1250"/>
      <c r="D28" s="1250"/>
      <c r="E28" s="1250" t="s">
        <v>17839</v>
      </c>
      <c r="F28" s="1250" t="s">
        <v>17846</v>
      </c>
      <c r="G28" s="1250">
        <v>7</v>
      </c>
      <c r="H28" s="1250"/>
      <c r="I28" s="1250" t="s">
        <v>17847</v>
      </c>
      <c r="J28" s="1250" t="s">
        <v>17848</v>
      </c>
      <c r="K28" s="1250"/>
      <c r="L28" s="1250"/>
      <c r="M28" s="1250"/>
      <c r="N28" s="1250"/>
      <c r="O28" s="1250"/>
      <c r="P28" s="1250"/>
      <c r="Q28" s="1250" t="s">
        <v>17849</v>
      </c>
      <c r="R28" s="1250" t="s">
        <v>17810</v>
      </c>
      <c r="S28" s="1250">
        <v>2</v>
      </c>
      <c r="T28" s="1250"/>
      <c r="U28" s="1250"/>
      <c r="V28" s="1250"/>
      <c r="W28" s="1250"/>
      <c r="X28" s="1250"/>
    </row>
    <row r="29" spans="1:24">
      <c r="A29" s="1250" t="s">
        <v>17850</v>
      </c>
      <c r="B29" s="1250"/>
      <c r="C29" s="1250"/>
      <c r="D29" s="1250"/>
      <c r="E29" s="1250" t="s">
        <v>17839</v>
      </c>
      <c r="F29" s="1250" t="s">
        <v>2255</v>
      </c>
      <c r="G29" s="1250">
        <v>3</v>
      </c>
      <c r="H29" s="1250"/>
      <c r="I29" s="1250" t="s">
        <v>17851</v>
      </c>
      <c r="J29" s="1250">
        <v>0.5</v>
      </c>
      <c r="K29" s="1250"/>
      <c r="L29" s="1250"/>
      <c r="M29" s="1250"/>
      <c r="N29" s="1250"/>
      <c r="O29" s="1250"/>
      <c r="P29" s="1250"/>
      <c r="Q29" s="1250"/>
      <c r="R29" s="1250"/>
      <c r="S29" s="1250"/>
      <c r="T29" s="1250"/>
      <c r="U29" s="1250"/>
      <c r="V29" s="1250"/>
      <c r="W29" s="1250"/>
      <c r="X29" s="1250"/>
    </row>
    <row r="30" spans="1:24">
      <c r="A30" s="1250" t="s">
        <v>9648</v>
      </c>
      <c r="B30" s="1250" t="s">
        <v>2088</v>
      </c>
      <c r="C30" s="1250" t="s">
        <v>551</v>
      </c>
      <c r="D30" s="1250"/>
      <c r="E30" s="1250" t="s">
        <v>17852</v>
      </c>
      <c r="F30" s="1250" t="s">
        <v>3858</v>
      </c>
      <c r="G30" s="1250">
        <v>3</v>
      </c>
      <c r="H30" s="1250"/>
      <c r="I30" s="1250" t="s">
        <v>17853</v>
      </c>
      <c r="J30" s="1250">
        <v>0.1</v>
      </c>
      <c r="K30" s="1250"/>
      <c r="L30" s="1250"/>
      <c r="M30" s="1250"/>
      <c r="N30" s="1250"/>
      <c r="O30" s="1250"/>
      <c r="P30" s="1250"/>
      <c r="Q30" s="1250"/>
      <c r="R30" s="1250"/>
      <c r="S30" s="1250"/>
      <c r="T30" s="1250"/>
      <c r="U30" s="1250"/>
      <c r="V30" s="1250"/>
      <c r="W30" s="1250"/>
      <c r="X30" s="1250"/>
    </row>
    <row r="31" spans="1:24">
      <c r="A31" s="1250" t="s">
        <v>17854</v>
      </c>
      <c r="B31" s="1250" t="s">
        <v>17855</v>
      </c>
      <c r="C31" s="1250">
        <v>0.01</v>
      </c>
      <c r="D31" s="1250"/>
      <c r="E31" s="1250" t="s">
        <v>17852</v>
      </c>
      <c r="F31" s="1250" t="s">
        <v>17856</v>
      </c>
      <c r="G31" s="1250">
        <v>30</v>
      </c>
      <c r="H31" s="1250"/>
      <c r="I31" s="1250" t="s">
        <v>17857</v>
      </c>
      <c r="J31" s="1252">
        <v>43983</v>
      </c>
      <c r="K31" s="1252"/>
      <c r="L31" s="1252"/>
      <c r="M31" s="1252"/>
      <c r="N31" s="1252"/>
      <c r="O31" s="1252"/>
      <c r="P31" s="1250"/>
      <c r="Q31" s="1250"/>
      <c r="R31" s="1250"/>
      <c r="S31" s="1250"/>
      <c r="T31" s="1250"/>
      <c r="U31" s="1250"/>
      <c r="V31" s="1250"/>
      <c r="W31" s="1250"/>
      <c r="X31" s="1250"/>
    </row>
    <row r="32" spans="1:24">
      <c r="A32" s="1250" t="s">
        <v>17858</v>
      </c>
      <c r="B32" s="1250" t="s">
        <v>17859</v>
      </c>
      <c r="C32" s="1250">
        <v>0.02</v>
      </c>
      <c r="D32" s="1250"/>
      <c r="E32" s="1250" t="s">
        <v>17852</v>
      </c>
      <c r="F32" s="1250" t="s">
        <v>17860</v>
      </c>
      <c r="G32" s="1250">
        <v>7</v>
      </c>
      <c r="H32" s="1250"/>
      <c r="I32" s="1250" t="s">
        <v>17861</v>
      </c>
      <c r="J32" s="1250" t="s">
        <v>17862</v>
      </c>
      <c r="K32" s="1250"/>
      <c r="L32" s="1250"/>
      <c r="M32" s="1250"/>
      <c r="N32" s="1250"/>
      <c r="O32" s="1250"/>
      <c r="P32" s="1250"/>
      <c r="Q32" s="1250"/>
      <c r="R32" s="1250"/>
      <c r="S32" s="1250"/>
      <c r="T32" s="1250"/>
      <c r="U32" s="1250"/>
      <c r="V32" s="1250"/>
      <c r="W32" s="1250"/>
      <c r="X32" s="1250"/>
    </row>
    <row r="33" spans="1:22">
      <c r="A33" s="1250" t="s">
        <v>17863</v>
      </c>
      <c r="B33" s="1250" t="s">
        <v>17820</v>
      </c>
      <c r="C33" s="1250">
        <v>0.1</v>
      </c>
      <c r="D33" s="1250"/>
      <c r="E33" s="1250" t="s">
        <v>17852</v>
      </c>
      <c r="F33" s="1250" t="s">
        <v>3993</v>
      </c>
      <c r="G33" s="1250">
        <v>10</v>
      </c>
      <c r="H33" s="1250"/>
      <c r="I33" s="1250" t="s">
        <v>17864</v>
      </c>
      <c r="J33" s="1250">
        <v>1</v>
      </c>
      <c r="K33" s="1250"/>
      <c r="L33" s="1250"/>
      <c r="M33" s="1250"/>
      <c r="N33" s="1250"/>
      <c r="O33" s="1250"/>
      <c r="P33" s="1250"/>
      <c r="Q33" s="1250" t="s">
        <v>17865</v>
      </c>
      <c r="R33" s="1250"/>
      <c r="S33" s="1250"/>
      <c r="T33" s="1250"/>
      <c r="U33" s="1250"/>
      <c r="V33" s="1250"/>
    </row>
    <row r="34" spans="1:22">
      <c r="A34" s="1250" t="s">
        <v>17866</v>
      </c>
      <c r="B34" s="1250" t="s">
        <v>17820</v>
      </c>
      <c r="C34" s="1250">
        <v>0.1</v>
      </c>
      <c r="D34" s="1250"/>
      <c r="E34" s="1250" t="s">
        <v>17852</v>
      </c>
      <c r="F34" s="1250" t="s">
        <v>17867</v>
      </c>
      <c r="G34" s="1250">
        <v>15</v>
      </c>
      <c r="H34" s="1250"/>
      <c r="I34" s="1250" t="s">
        <v>17868</v>
      </c>
      <c r="J34" s="1250">
        <v>0.3</v>
      </c>
      <c r="K34" s="1250"/>
      <c r="L34" s="1250"/>
      <c r="M34" s="1250"/>
      <c r="N34" s="1250"/>
      <c r="O34" s="1250"/>
      <c r="P34" s="1250"/>
      <c r="Q34" s="1250" t="s">
        <v>17869</v>
      </c>
      <c r="R34" s="1250" t="s">
        <v>17870</v>
      </c>
      <c r="S34" s="1250" t="s">
        <v>4758</v>
      </c>
      <c r="T34" s="1250" t="s">
        <v>4788</v>
      </c>
      <c r="U34" s="1250" t="s">
        <v>4269</v>
      </c>
      <c r="V34" s="1250" t="s">
        <v>3580</v>
      </c>
    </row>
    <row r="35" spans="1:22">
      <c r="A35" s="1250" t="s">
        <v>17871</v>
      </c>
      <c r="B35" s="1250" t="s">
        <v>17820</v>
      </c>
      <c r="C35" s="1250">
        <v>0.1</v>
      </c>
      <c r="D35" s="1250"/>
      <c r="E35" s="1250" t="s">
        <v>17872</v>
      </c>
      <c r="F35" s="1250" t="s">
        <v>17873</v>
      </c>
      <c r="G35" s="1250">
        <v>5</v>
      </c>
      <c r="H35" s="1250"/>
      <c r="I35" s="1250" t="s">
        <v>17874</v>
      </c>
      <c r="J35" s="1250">
        <v>0.8</v>
      </c>
      <c r="K35" s="1250"/>
      <c r="L35" s="1250"/>
      <c r="M35" s="1250"/>
      <c r="N35" s="1250"/>
      <c r="O35" s="1250"/>
      <c r="P35" s="1250"/>
      <c r="Q35" s="1250" t="s">
        <v>17875</v>
      </c>
      <c r="R35" s="1250">
        <v>3</v>
      </c>
      <c r="S35" s="1250" t="s">
        <v>2315</v>
      </c>
      <c r="T35" s="1250" t="s">
        <v>2315</v>
      </c>
      <c r="U35" s="1250" t="s">
        <v>2315</v>
      </c>
      <c r="V35" s="1250" t="s">
        <v>2315</v>
      </c>
    </row>
    <row r="36" spans="1:22">
      <c r="A36" s="1250" t="s">
        <v>17876</v>
      </c>
      <c r="B36" s="1250" t="s">
        <v>17877</v>
      </c>
      <c r="C36" s="1250">
        <v>0.05</v>
      </c>
      <c r="D36" s="1250"/>
      <c r="E36" s="1250" t="s">
        <v>17872</v>
      </c>
      <c r="F36" s="1250" t="s">
        <v>17878</v>
      </c>
      <c r="G36" s="1250">
        <v>2</v>
      </c>
      <c r="H36" s="1250"/>
      <c r="I36" s="1250" t="s">
        <v>17879</v>
      </c>
      <c r="J36" s="1250">
        <v>20</v>
      </c>
      <c r="K36" s="1250"/>
      <c r="L36" s="1250"/>
      <c r="M36" s="1250"/>
      <c r="N36" s="1250"/>
      <c r="O36" s="1250"/>
      <c r="P36" s="1250"/>
      <c r="Q36" s="1250" t="s">
        <v>17880</v>
      </c>
      <c r="R36" s="1250">
        <v>6</v>
      </c>
      <c r="S36" s="1250" t="s">
        <v>2315</v>
      </c>
      <c r="T36" s="1250">
        <v>10</v>
      </c>
      <c r="U36" s="1250">
        <v>2</v>
      </c>
      <c r="V36" s="1250">
        <v>4</v>
      </c>
    </row>
    <row r="37" spans="1:22">
      <c r="A37" s="1250" t="s">
        <v>17881</v>
      </c>
      <c r="B37" s="1250" t="s">
        <v>17727</v>
      </c>
      <c r="C37" s="1250">
        <v>3</v>
      </c>
      <c r="D37" s="1250"/>
      <c r="E37" s="1250" t="s">
        <v>17872</v>
      </c>
      <c r="F37" s="1250" t="s">
        <v>2250</v>
      </c>
      <c r="G37" s="1250">
        <v>1</v>
      </c>
      <c r="H37" s="1250"/>
      <c r="I37" s="1250" t="s">
        <v>17882</v>
      </c>
      <c r="J37" s="1250">
        <v>3</v>
      </c>
      <c r="K37" s="1250"/>
      <c r="L37" s="1250"/>
      <c r="M37" s="1250"/>
      <c r="N37" s="1250"/>
      <c r="O37" s="1250"/>
      <c r="P37" s="1250"/>
      <c r="Q37" s="1250" t="s">
        <v>17883</v>
      </c>
      <c r="R37" s="1250">
        <v>6</v>
      </c>
      <c r="S37" s="1250" t="s">
        <v>2315</v>
      </c>
      <c r="T37" s="1250" t="s">
        <v>2315</v>
      </c>
      <c r="U37" s="1250">
        <v>2</v>
      </c>
      <c r="V37" s="1250" t="s">
        <v>2315</v>
      </c>
    </row>
    <row r="38" spans="1:22">
      <c r="A38" s="1250" t="s">
        <v>17884</v>
      </c>
      <c r="B38" s="1250" t="s">
        <v>17820</v>
      </c>
      <c r="C38" s="1250">
        <v>0.1</v>
      </c>
      <c r="D38" s="1250"/>
      <c r="E38" s="1250" t="s">
        <v>17872</v>
      </c>
      <c r="F38" s="1250" t="s">
        <v>17885</v>
      </c>
      <c r="G38" s="1250">
        <v>2</v>
      </c>
      <c r="H38" s="1250"/>
      <c r="I38" s="1250" t="s">
        <v>17886</v>
      </c>
      <c r="J38" s="1250">
        <v>20</v>
      </c>
      <c r="K38" s="1250"/>
      <c r="L38" s="1250"/>
      <c r="M38" s="1250"/>
      <c r="N38" s="1250"/>
      <c r="O38" s="1250"/>
      <c r="P38" s="1250"/>
      <c r="Q38" s="1250" t="s">
        <v>17887</v>
      </c>
      <c r="R38" s="1250">
        <v>12</v>
      </c>
      <c r="S38" s="1250">
        <v>20</v>
      </c>
      <c r="T38" s="1250">
        <v>24</v>
      </c>
      <c r="U38" s="1250" t="s">
        <v>2315</v>
      </c>
      <c r="V38" s="1250">
        <v>6</v>
      </c>
    </row>
    <row r="39" spans="1:22">
      <c r="A39" s="1250" t="s">
        <v>17888</v>
      </c>
      <c r="B39" s="1250" t="s">
        <v>17877</v>
      </c>
      <c r="C39" s="1250">
        <v>0.05</v>
      </c>
      <c r="D39" s="1250"/>
      <c r="E39" s="1250" t="s">
        <v>17872</v>
      </c>
      <c r="F39" s="1250" t="s">
        <v>17889</v>
      </c>
      <c r="G39" s="1250">
        <v>1</v>
      </c>
      <c r="H39" s="1250"/>
      <c r="I39" s="1250" t="s">
        <v>17890</v>
      </c>
      <c r="J39" s="1250">
        <v>25</v>
      </c>
      <c r="K39" s="1250"/>
      <c r="L39" s="1250"/>
      <c r="M39" s="1250"/>
      <c r="N39" s="1250"/>
      <c r="O39" s="1250"/>
      <c r="P39" s="1250"/>
      <c r="Q39" s="1250" t="s">
        <v>17891</v>
      </c>
      <c r="R39" s="1250">
        <v>12</v>
      </c>
      <c r="S39" s="1250">
        <v>24</v>
      </c>
      <c r="T39" s="1250" t="s">
        <v>2315</v>
      </c>
      <c r="U39" s="1250" t="s">
        <v>2315</v>
      </c>
      <c r="V39" s="1250">
        <v>8</v>
      </c>
    </row>
    <row r="40" spans="1:22">
      <c r="A40" s="1250" t="s">
        <v>17892</v>
      </c>
      <c r="B40" s="1250" t="s">
        <v>17893</v>
      </c>
      <c r="C40" s="1250"/>
      <c r="D40" s="1250"/>
      <c r="E40" s="1250" t="s">
        <v>17872</v>
      </c>
      <c r="F40" s="1250" t="s">
        <v>17894</v>
      </c>
      <c r="G40" s="1250">
        <v>1</v>
      </c>
      <c r="H40" s="1250"/>
      <c r="I40" s="1250" t="s">
        <v>17895</v>
      </c>
      <c r="J40" s="1250" t="s">
        <v>17896</v>
      </c>
      <c r="K40" s="1250"/>
      <c r="L40" s="1250"/>
      <c r="M40" s="1250"/>
      <c r="N40" s="1250"/>
      <c r="O40" s="1250"/>
      <c r="P40" s="1250"/>
      <c r="Q40" s="1250" t="s">
        <v>17897</v>
      </c>
      <c r="R40" s="1250">
        <v>15</v>
      </c>
      <c r="S40" s="1250" t="s">
        <v>2315</v>
      </c>
      <c r="T40" s="1250">
        <v>30</v>
      </c>
      <c r="U40" s="1250">
        <v>6</v>
      </c>
      <c r="V40" s="1250">
        <v>9</v>
      </c>
    </row>
    <row r="41" spans="1:22">
      <c r="A41" s="1250" t="s">
        <v>17898</v>
      </c>
      <c r="B41" s="1250" t="s">
        <v>17820</v>
      </c>
      <c r="C41" s="1250">
        <v>0.1</v>
      </c>
      <c r="D41" s="1250"/>
      <c r="E41" s="1250" t="s">
        <v>17872</v>
      </c>
      <c r="F41" s="1250" t="s">
        <v>5248</v>
      </c>
      <c r="G41" s="1250">
        <v>5</v>
      </c>
      <c r="H41" s="1250"/>
      <c r="I41" s="1250" t="s">
        <v>17899</v>
      </c>
      <c r="J41" s="1250" t="s">
        <v>17820</v>
      </c>
      <c r="K41" s="1250"/>
      <c r="L41" s="1250"/>
      <c r="M41" s="1250"/>
      <c r="N41" s="1250"/>
      <c r="O41" s="1250"/>
      <c r="P41" s="1250"/>
      <c r="Q41" s="1250" t="s">
        <v>17900</v>
      </c>
      <c r="R41" s="1250">
        <v>30</v>
      </c>
      <c r="S41" s="1250" t="s">
        <v>2315</v>
      </c>
      <c r="T41" s="1250">
        <v>60</v>
      </c>
      <c r="U41" s="1250" t="s">
        <v>2315</v>
      </c>
      <c r="V41" s="1250" t="s">
        <v>2315</v>
      </c>
    </row>
    <row r="42" spans="1:22">
      <c r="A42" s="1250" t="s">
        <v>17901</v>
      </c>
      <c r="B42" s="1250" t="s">
        <v>17740</v>
      </c>
      <c r="C42" s="1250">
        <v>15</v>
      </c>
      <c r="D42" s="1250"/>
      <c r="E42" s="1250"/>
      <c r="F42" s="1250"/>
      <c r="G42" s="1250"/>
      <c r="H42" s="1250"/>
      <c r="I42" s="1250" t="s">
        <v>17902</v>
      </c>
      <c r="J42" s="1250" t="s">
        <v>17713</v>
      </c>
      <c r="K42" s="1250"/>
      <c r="L42" s="1250"/>
      <c r="M42" s="1250"/>
      <c r="N42" s="1250"/>
      <c r="O42" s="1250"/>
      <c r="P42" s="1250"/>
      <c r="Q42" s="1250" t="s">
        <v>17903</v>
      </c>
      <c r="R42" s="1250">
        <v>30</v>
      </c>
      <c r="S42" s="1250" t="s">
        <v>2315</v>
      </c>
      <c r="T42" s="1250">
        <v>60</v>
      </c>
      <c r="U42" s="1250" t="s">
        <v>2315</v>
      </c>
      <c r="V42" s="1250" t="s">
        <v>2315</v>
      </c>
    </row>
    <row r="43" spans="1:22">
      <c r="A43" s="1250" t="s">
        <v>17904</v>
      </c>
      <c r="B43" s="1250" t="s">
        <v>17859</v>
      </c>
      <c r="C43" s="1250">
        <v>0.02</v>
      </c>
      <c r="D43" s="1250"/>
      <c r="E43" s="1250"/>
      <c r="F43" s="1250"/>
      <c r="G43" s="1250"/>
      <c r="H43" s="1250"/>
      <c r="I43" s="1250" t="s">
        <v>17905</v>
      </c>
      <c r="J43" s="1250">
        <v>10</v>
      </c>
      <c r="K43" s="1250"/>
      <c r="L43" s="1250"/>
      <c r="M43" s="1250"/>
      <c r="N43" s="1250"/>
      <c r="O43" s="1250"/>
      <c r="P43" s="1250"/>
      <c r="Q43" s="1250" t="s">
        <v>17906</v>
      </c>
      <c r="R43" s="1250" t="s">
        <v>2315</v>
      </c>
      <c r="S43" s="1250">
        <v>45</v>
      </c>
      <c r="T43" s="1250" t="s">
        <v>2315</v>
      </c>
      <c r="U43" s="1250" t="s">
        <v>2315</v>
      </c>
      <c r="V43" s="1250" t="s">
        <v>2315</v>
      </c>
    </row>
    <row r="44" spans="1:22">
      <c r="A44" s="1250" t="s">
        <v>17907</v>
      </c>
      <c r="B44" s="1250" t="s">
        <v>17820</v>
      </c>
      <c r="C44" s="1250">
        <v>0.1</v>
      </c>
      <c r="D44" s="1250"/>
      <c r="E44" s="1250"/>
      <c r="F44" s="1250"/>
      <c r="G44" s="1250"/>
      <c r="H44" s="1250"/>
      <c r="I44" s="1250" t="s">
        <v>17908</v>
      </c>
      <c r="J44" s="1250">
        <v>10</v>
      </c>
      <c r="K44" s="1250"/>
      <c r="L44" s="1250"/>
      <c r="M44" s="1250"/>
      <c r="N44" s="1250"/>
      <c r="O44" s="1250"/>
      <c r="P44" s="1250"/>
      <c r="Q44" s="1250" t="s">
        <v>17909</v>
      </c>
      <c r="R44" s="1250">
        <v>45</v>
      </c>
      <c r="S44" s="1250" t="s">
        <v>2315</v>
      </c>
      <c r="T44" s="1250">
        <v>90</v>
      </c>
      <c r="U44" s="1250" t="s">
        <v>2315</v>
      </c>
      <c r="V44" s="1250" t="s">
        <v>2315</v>
      </c>
    </row>
    <row r="45" spans="1:22">
      <c r="A45" s="1250" t="s">
        <v>17910</v>
      </c>
      <c r="B45" s="1250" t="s">
        <v>17825</v>
      </c>
      <c r="C45" s="1250">
        <v>0.5</v>
      </c>
      <c r="D45" s="1250"/>
      <c r="E45" s="1250"/>
      <c r="F45" s="1250"/>
      <c r="G45" s="1250"/>
      <c r="H45" s="1250"/>
      <c r="I45" s="1250"/>
      <c r="J45" s="1250"/>
      <c r="K45" s="1250"/>
      <c r="L45" s="1250"/>
      <c r="M45" s="1250"/>
      <c r="N45" s="1250"/>
      <c r="O45" s="1250"/>
      <c r="P45" s="1250"/>
      <c r="Q45" s="1250" t="s">
        <v>17911</v>
      </c>
      <c r="R45" s="1250">
        <v>45</v>
      </c>
      <c r="S45" s="1250" t="s">
        <v>2315</v>
      </c>
      <c r="T45" s="1250" t="s">
        <v>2315</v>
      </c>
      <c r="U45" s="1250" t="s">
        <v>2315</v>
      </c>
      <c r="V45" s="1250" t="s">
        <v>2315</v>
      </c>
    </row>
    <row r="46" spans="1:22">
      <c r="A46" s="1250"/>
      <c r="B46" s="1250"/>
      <c r="C46" s="1250"/>
      <c r="D46" s="1250"/>
      <c r="E46" s="1250"/>
      <c r="F46" s="1250"/>
      <c r="G46" s="1250"/>
      <c r="H46" s="1250"/>
      <c r="I46" s="1250"/>
      <c r="J46" s="1250"/>
      <c r="K46" s="1250"/>
      <c r="L46" s="1250"/>
      <c r="M46" s="1250"/>
      <c r="N46" s="1250"/>
      <c r="O46" s="1250"/>
      <c r="P46" s="1250"/>
      <c r="Q46" s="1250" t="s">
        <v>17912</v>
      </c>
      <c r="R46" s="1250">
        <v>60</v>
      </c>
      <c r="S46" s="1250" t="s">
        <v>2315</v>
      </c>
      <c r="T46" s="1250" t="s">
        <v>2315</v>
      </c>
      <c r="U46" s="1250" t="s">
        <v>2315</v>
      </c>
      <c r="V46" s="1250" t="s">
        <v>2315</v>
      </c>
    </row>
    <row r="47" spans="1:22">
      <c r="A47" s="1250"/>
      <c r="B47" s="1250"/>
      <c r="C47" s="1250"/>
      <c r="D47" s="1250"/>
      <c r="E47" s="1250"/>
      <c r="F47" s="1250"/>
      <c r="G47" s="1250"/>
      <c r="H47" s="1250"/>
      <c r="I47" s="1279" t="s">
        <v>9648</v>
      </c>
      <c r="J47" s="1279" t="s">
        <v>2088</v>
      </c>
      <c r="K47" s="1253"/>
      <c r="L47" s="1253"/>
      <c r="M47" s="1253"/>
      <c r="N47" s="1253"/>
      <c r="O47" s="1253"/>
      <c r="P47" s="1250"/>
      <c r="Q47" s="1250" t="s">
        <v>17913</v>
      </c>
      <c r="R47" s="1250">
        <v>75</v>
      </c>
      <c r="S47" s="1250"/>
      <c r="T47" s="1250"/>
      <c r="U47" s="1250"/>
      <c r="V47" s="1250"/>
    </row>
    <row r="48" spans="1:22">
      <c r="A48" s="1250" t="s">
        <v>17914</v>
      </c>
      <c r="B48" s="1250"/>
      <c r="C48" s="1250"/>
      <c r="D48" s="1250"/>
      <c r="E48" s="1250" t="s">
        <v>17915</v>
      </c>
      <c r="F48" s="1250"/>
      <c r="G48" s="1250"/>
      <c r="H48" s="1250"/>
      <c r="I48" s="1278" t="s">
        <v>17916</v>
      </c>
      <c r="J48" s="1278" t="s">
        <v>17820</v>
      </c>
      <c r="K48" s="1257"/>
      <c r="L48" s="1257"/>
      <c r="M48" s="1257"/>
      <c r="N48" s="1257"/>
      <c r="O48" s="1257"/>
      <c r="P48" s="1250"/>
      <c r="Q48" s="1250" t="s">
        <v>17917</v>
      </c>
      <c r="R48" s="1250" t="s">
        <v>2315</v>
      </c>
      <c r="S48" s="1250" t="s">
        <v>2315</v>
      </c>
      <c r="T48" s="1250" t="s">
        <v>2315</v>
      </c>
      <c r="U48" s="1250">
        <v>15</v>
      </c>
      <c r="V48" s="1250" t="s">
        <v>2315</v>
      </c>
    </row>
    <row r="49" spans="1:17">
      <c r="A49" s="1250" t="s">
        <v>9648</v>
      </c>
      <c r="B49" s="1250" t="s">
        <v>2088</v>
      </c>
      <c r="C49" s="1250" t="s">
        <v>551</v>
      </c>
      <c r="D49" s="1250"/>
      <c r="E49" s="1250" t="s">
        <v>9648</v>
      </c>
      <c r="F49" s="1250" t="s">
        <v>2088</v>
      </c>
      <c r="G49" s="1250" t="s">
        <v>551</v>
      </c>
      <c r="H49" s="1250"/>
      <c r="I49" s="1277" t="s">
        <v>17918</v>
      </c>
      <c r="J49" s="1277" t="s">
        <v>17768</v>
      </c>
      <c r="K49" s="1253"/>
      <c r="L49" s="1253"/>
      <c r="M49" s="1253"/>
      <c r="N49" s="1253"/>
      <c r="O49" s="1253"/>
      <c r="P49" s="1250"/>
      <c r="Q49" s="1250"/>
    </row>
    <row r="50" spans="1:17">
      <c r="A50" s="1250" t="s">
        <v>17813</v>
      </c>
      <c r="B50" s="1250" t="s">
        <v>17814</v>
      </c>
      <c r="C50" s="1250">
        <v>300</v>
      </c>
      <c r="D50" s="1250"/>
      <c r="E50" s="1250" t="s">
        <v>5061</v>
      </c>
      <c r="F50" s="1250" t="s">
        <v>17711</v>
      </c>
      <c r="G50" s="1250">
        <v>100</v>
      </c>
      <c r="H50" s="1250"/>
      <c r="I50" s="1278" t="s">
        <v>17919</v>
      </c>
      <c r="J50" s="1278" t="s">
        <v>17768</v>
      </c>
      <c r="K50" s="1257"/>
      <c r="L50" s="1257"/>
      <c r="M50" s="1257"/>
      <c r="N50" s="1257"/>
      <c r="O50" s="1257"/>
      <c r="P50" s="1250"/>
      <c r="Q50" s="1250"/>
    </row>
    <row r="51" spans="1:17">
      <c r="A51" s="1250" t="s">
        <v>17819</v>
      </c>
      <c r="B51" s="1250" t="s">
        <v>17820</v>
      </c>
      <c r="C51" s="1250">
        <v>0.1</v>
      </c>
      <c r="D51" s="1250"/>
      <c r="E51" s="1250" t="s">
        <v>17717</v>
      </c>
      <c r="F51" s="1250" t="s">
        <v>17718</v>
      </c>
      <c r="G51" s="1250">
        <v>20</v>
      </c>
      <c r="H51" s="1250"/>
      <c r="I51" s="1277" t="s">
        <v>17920</v>
      </c>
      <c r="J51" s="1277" t="s">
        <v>17832</v>
      </c>
      <c r="K51" s="1253"/>
      <c r="L51" s="1253"/>
      <c r="M51" s="1253"/>
      <c r="N51" s="1253"/>
      <c r="O51" s="1253"/>
      <c r="P51" s="1250"/>
      <c r="Q51" s="1250"/>
    </row>
    <row r="52" spans="1:17">
      <c r="A52" s="1250" t="s">
        <v>17824</v>
      </c>
      <c r="B52" s="1250" t="s">
        <v>17825</v>
      </c>
      <c r="C52" s="1250">
        <v>0.5</v>
      </c>
      <c r="D52" s="1250"/>
      <c r="E52" s="1250" t="s">
        <v>17730</v>
      </c>
      <c r="F52" s="1250" t="s">
        <v>17731</v>
      </c>
      <c r="G52" s="1250">
        <v>25</v>
      </c>
      <c r="H52" s="1250"/>
      <c r="I52" s="1278" t="s">
        <v>17921</v>
      </c>
      <c r="J52" s="1278" t="s">
        <v>17727</v>
      </c>
      <c r="K52" s="1257"/>
      <c r="L52" s="1257"/>
      <c r="M52" s="1257"/>
      <c r="N52" s="1257"/>
      <c r="O52" s="1257"/>
      <c r="P52" s="1250"/>
      <c r="Q52" s="1250"/>
    </row>
    <row r="53" spans="1:17">
      <c r="A53" s="1250" t="s">
        <v>17830</v>
      </c>
      <c r="B53" s="1250" t="s">
        <v>17810</v>
      </c>
      <c r="C53" s="1250">
        <v>2</v>
      </c>
      <c r="D53" s="1250"/>
      <c r="E53" s="1250" t="s">
        <v>17738</v>
      </c>
      <c r="F53" s="1250" t="s">
        <v>10126</v>
      </c>
      <c r="G53" s="1250">
        <v>50</v>
      </c>
      <c r="H53" s="1250"/>
      <c r="I53" s="1277" t="s">
        <v>17922</v>
      </c>
      <c r="J53" s="1277" t="s">
        <v>17718</v>
      </c>
      <c r="K53" s="1253"/>
      <c r="L53" s="1253"/>
      <c r="M53" s="1253"/>
      <c r="N53" s="1253"/>
      <c r="O53" s="1253"/>
      <c r="P53" s="1250"/>
      <c r="Q53" s="1250"/>
    </row>
    <row r="54" spans="1:17">
      <c r="A54" s="1250" t="s">
        <v>17835</v>
      </c>
      <c r="B54" s="1250" t="s">
        <v>17731</v>
      </c>
      <c r="C54" s="1250">
        <v>25</v>
      </c>
      <c r="D54" s="1250"/>
      <c r="E54" s="1250" t="s">
        <v>17744</v>
      </c>
      <c r="F54" s="1250" t="s">
        <v>17745</v>
      </c>
      <c r="G54" s="1250">
        <v>8</v>
      </c>
      <c r="H54" s="1250"/>
      <c r="I54" s="1278" t="s">
        <v>17923</v>
      </c>
      <c r="J54" s="1278" t="s">
        <v>17727</v>
      </c>
      <c r="K54" s="1257"/>
      <c r="L54" s="1257"/>
      <c r="M54" s="1257"/>
      <c r="N54" s="1257"/>
      <c r="O54" s="1257"/>
      <c r="P54" s="1250"/>
      <c r="Q54" s="1250"/>
    </row>
    <row r="55" spans="1:17">
      <c r="A55" s="1250" t="s">
        <v>17842</v>
      </c>
      <c r="B55" s="1250" t="s">
        <v>10126</v>
      </c>
      <c r="C55" s="1250">
        <v>50</v>
      </c>
      <c r="D55" s="1250"/>
      <c r="E55" s="1250" t="s">
        <v>3715</v>
      </c>
      <c r="F55" s="1250" t="s">
        <v>17718</v>
      </c>
      <c r="G55" s="1250">
        <v>20</v>
      </c>
      <c r="H55" s="1250"/>
      <c r="I55" s="1280" t="s">
        <v>17849</v>
      </c>
      <c r="J55" s="1280" t="s">
        <v>17810</v>
      </c>
      <c r="K55" s="1253"/>
      <c r="L55" s="1253"/>
      <c r="M55" s="1253"/>
      <c r="N55" s="1253"/>
      <c r="O55" s="1253"/>
      <c r="P55" s="1250"/>
      <c r="Q55" s="1250"/>
    </row>
    <row r="56" spans="1:17">
      <c r="A56" s="1250" t="s">
        <v>17844</v>
      </c>
      <c r="B56" s="1250" t="s">
        <v>17845</v>
      </c>
      <c r="C56" s="1250">
        <v>1200</v>
      </c>
      <c r="D56" s="1250"/>
      <c r="E56" s="1250" t="s">
        <v>17756</v>
      </c>
      <c r="F56" s="1250" t="s">
        <v>17757</v>
      </c>
      <c r="G56" s="1250">
        <v>40</v>
      </c>
      <c r="H56" s="1250"/>
      <c r="I56" s="1250"/>
      <c r="J56" s="1250"/>
      <c r="K56" s="1250"/>
      <c r="L56" s="1250"/>
      <c r="M56" s="1250"/>
      <c r="N56" s="1250"/>
      <c r="O56" s="1250"/>
      <c r="P56" s="1250"/>
      <c r="Q56" s="1250"/>
    </row>
    <row r="57" spans="1:17">
      <c r="A57" s="1250" t="s">
        <v>17849</v>
      </c>
      <c r="B57" s="1250" t="s">
        <v>17810</v>
      </c>
      <c r="C57" s="1250">
        <v>2</v>
      </c>
      <c r="D57" s="1250"/>
      <c r="E57" s="1250" t="s">
        <v>17760</v>
      </c>
      <c r="F57" s="1250" t="s">
        <v>17761</v>
      </c>
      <c r="G57" s="1250">
        <v>5</v>
      </c>
      <c r="H57" s="1250"/>
      <c r="I57" s="1250"/>
      <c r="J57" s="1250"/>
      <c r="K57" s="1250"/>
      <c r="L57" s="1250"/>
      <c r="M57" s="1250"/>
      <c r="N57" s="1250"/>
      <c r="O57" s="1250"/>
      <c r="P57" s="1250"/>
      <c r="Q57" s="1250"/>
    </row>
    <row r="58" spans="1:17">
      <c r="A58" s="1250"/>
      <c r="B58" s="1250"/>
      <c r="C58" s="1250"/>
      <c r="D58" s="1250"/>
      <c r="E58" s="1250" t="s">
        <v>17767</v>
      </c>
      <c r="F58" s="1250" t="s">
        <v>17768</v>
      </c>
      <c r="G58" s="1250">
        <v>10</v>
      </c>
      <c r="H58" s="1250"/>
      <c r="I58" s="1250"/>
      <c r="J58" s="1250"/>
      <c r="K58" s="1250"/>
      <c r="L58" s="1250"/>
      <c r="M58" s="1250"/>
      <c r="N58" s="1250"/>
      <c r="O58" s="1250"/>
      <c r="P58" s="1250"/>
      <c r="Q58" s="1250"/>
    </row>
    <row r="59" spans="1:17">
      <c r="A59" s="1250"/>
      <c r="B59" s="1250"/>
      <c r="C59" s="1250"/>
      <c r="D59" s="1250"/>
      <c r="E59" s="1250" t="s">
        <v>17774</v>
      </c>
      <c r="F59" s="1250" t="s">
        <v>17731</v>
      </c>
      <c r="G59" s="1250">
        <v>25</v>
      </c>
      <c r="H59" s="1250"/>
      <c r="I59" s="1250"/>
      <c r="J59" s="1250"/>
      <c r="K59" s="1250"/>
      <c r="L59" s="1250"/>
      <c r="M59" s="1250"/>
      <c r="N59" s="1250"/>
      <c r="O59" s="1250"/>
      <c r="P59" s="1250"/>
      <c r="Q59" s="1250"/>
    </row>
    <row r="60" spans="1:17">
      <c r="A60" s="1250" t="s">
        <v>17924</v>
      </c>
      <c r="B60" s="1250"/>
      <c r="C60" s="1250"/>
      <c r="D60" s="1250"/>
      <c r="E60" s="1250" t="s">
        <v>17777</v>
      </c>
      <c r="F60" s="1250" t="s">
        <v>17761</v>
      </c>
      <c r="G60" s="1250">
        <v>5</v>
      </c>
      <c r="H60" s="1250"/>
      <c r="I60" s="1250"/>
      <c r="J60" s="1250" t="s">
        <v>17925</v>
      </c>
      <c r="K60" s="1250"/>
      <c r="L60" s="1250"/>
      <c r="M60" s="1250"/>
      <c r="N60" s="1250"/>
      <c r="O60" s="1250"/>
      <c r="P60" s="1250"/>
      <c r="Q60" s="1250"/>
    </row>
    <row r="61" spans="1:17">
      <c r="A61" s="1250" t="s">
        <v>9648</v>
      </c>
      <c r="B61" s="1250" t="s">
        <v>2088</v>
      </c>
      <c r="C61" s="1250" t="s">
        <v>551</v>
      </c>
      <c r="D61" s="1250"/>
      <c r="E61" s="1250" t="s">
        <v>17784</v>
      </c>
      <c r="F61" s="1250" t="s">
        <v>17785</v>
      </c>
      <c r="G61" s="1250"/>
      <c r="H61" s="1250"/>
      <c r="I61" s="1250"/>
      <c r="J61" s="1250" t="s">
        <v>17926</v>
      </c>
      <c r="K61" s="1250" t="s">
        <v>9191</v>
      </c>
      <c r="L61" s="1250" t="s">
        <v>9192</v>
      </c>
      <c r="M61" s="1250" t="s">
        <v>17927</v>
      </c>
      <c r="N61" s="1250" t="s">
        <v>17928</v>
      </c>
      <c r="O61" s="1250" t="s">
        <v>17929</v>
      </c>
      <c r="P61" s="1250" t="s">
        <v>17930</v>
      </c>
      <c r="Q61" s="1250" t="s">
        <v>9033</v>
      </c>
    </row>
    <row r="62" spans="1:17">
      <c r="A62" s="1250" t="s">
        <v>17931</v>
      </c>
      <c r="B62" s="1250" t="s">
        <v>17932</v>
      </c>
      <c r="C62" s="1250">
        <v>1</v>
      </c>
      <c r="D62" s="1250"/>
      <c r="E62" s="1250" t="s">
        <v>17790</v>
      </c>
      <c r="F62" s="1250" t="s">
        <v>17791</v>
      </c>
      <c r="G62" s="1250"/>
      <c r="H62" s="1250"/>
      <c r="I62" s="1250"/>
      <c r="J62" s="1250" t="s">
        <v>17933</v>
      </c>
      <c r="K62" s="1250">
        <v>1</v>
      </c>
      <c r="L62" s="1250">
        <v>74</v>
      </c>
      <c r="M62" s="1250" t="s">
        <v>17934</v>
      </c>
      <c r="N62" s="1250"/>
      <c r="O62" s="1250"/>
      <c r="P62" s="1250" t="s">
        <v>17935</v>
      </c>
      <c r="Q62" s="1250" t="s">
        <v>17936</v>
      </c>
    </row>
    <row r="63" spans="1:17">
      <c r="A63" s="1250" t="s">
        <v>17937</v>
      </c>
      <c r="B63" s="1250" t="s">
        <v>17938</v>
      </c>
      <c r="C63" s="1250">
        <v>4000</v>
      </c>
      <c r="D63" s="1250"/>
      <c r="E63" s="1250" t="s">
        <v>16610</v>
      </c>
      <c r="F63" s="1250" t="s">
        <v>17795</v>
      </c>
      <c r="G63" s="1250">
        <v>200</v>
      </c>
      <c r="H63" s="1250"/>
      <c r="I63" s="1250"/>
      <c r="J63" s="1250" t="s">
        <v>17939</v>
      </c>
      <c r="K63" s="1250">
        <v>75</v>
      </c>
      <c r="L63" s="1250">
        <v>99</v>
      </c>
      <c r="M63" s="1250">
        <v>18</v>
      </c>
      <c r="N63" s="1250">
        <v>24</v>
      </c>
      <c r="O63" s="1250"/>
      <c r="P63" s="1250" t="s">
        <v>17940</v>
      </c>
      <c r="Q63" s="1250" t="s">
        <v>17725</v>
      </c>
    </row>
    <row r="64" spans="1:17">
      <c r="A64" s="1250" t="s">
        <v>17941</v>
      </c>
      <c r="B64" s="1250" t="s">
        <v>17942</v>
      </c>
      <c r="C64" s="1250">
        <v>2000</v>
      </c>
      <c r="D64" s="1250"/>
      <c r="E64" s="1250" t="s">
        <v>8741</v>
      </c>
      <c r="F64" s="1250"/>
      <c r="G64" s="1250"/>
      <c r="H64" s="1250"/>
      <c r="I64" s="1250"/>
      <c r="J64" s="1250" t="s">
        <v>17943</v>
      </c>
      <c r="K64" s="1250">
        <v>100</v>
      </c>
      <c r="L64" s="1250">
        <v>159</v>
      </c>
      <c r="M64" s="1250">
        <v>25</v>
      </c>
      <c r="N64" s="1250">
        <v>39</v>
      </c>
      <c r="O64" s="1250"/>
      <c r="P64" s="1250" t="s">
        <v>17944</v>
      </c>
      <c r="Q64" s="1250" t="s">
        <v>17725</v>
      </c>
    </row>
    <row r="65" spans="1:17">
      <c r="A65" s="1250" t="s">
        <v>17945</v>
      </c>
      <c r="B65" s="1250" t="s">
        <v>17757</v>
      </c>
      <c r="C65" s="1250">
        <v>20</v>
      </c>
      <c r="D65" s="1250"/>
      <c r="E65" s="1250" t="s">
        <v>17804</v>
      </c>
      <c r="F65" s="1250" t="s">
        <v>17757</v>
      </c>
      <c r="G65" s="1250">
        <v>40</v>
      </c>
      <c r="H65" s="1250"/>
      <c r="I65" s="1250"/>
      <c r="J65" s="1250" t="s">
        <v>17946</v>
      </c>
      <c r="K65" s="1250">
        <v>160</v>
      </c>
      <c r="L65" s="1250">
        <v>249</v>
      </c>
      <c r="M65" s="1250">
        <v>40</v>
      </c>
      <c r="N65" s="1250">
        <v>60</v>
      </c>
      <c r="O65" s="1250"/>
      <c r="P65" s="1250" t="s">
        <v>17947</v>
      </c>
      <c r="Q65" s="1250" t="s">
        <v>17725</v>
      </c>
    </row>
    <row r="66" spans="1:17">
      <c r="A66" s="1250" t="s">
        <v>17948</v>
      </c>
      <c r="B66" s="1250" t="s">
        <v>17949</v>
      </c>
      <c r="C66" s="1250">
        <v>30000</v>
      </c>
      <c r="D66" s="1250"/>
      <c r="E66" s="1250" t="s">
        <v>15592</v>
      </c>
      <c r="F66" s="1250" t="s">
        <v>17808</v>
      </c>
      <c r="G66" s="1250">
        <v>700</v>
      </c>
      <c r="H66" s="1250"/>
      <c r="I66" s="1250"/>
      <c r="J66" s="1250" t="s">
        <v>17950</v>
      </c>
      <c r="K66" s="1250">
        <v>250</v>
      </c>
      <c r="L66" s="1250">
        <v>449</v>
      </c>
      <c r="M66" s="1250">
        <v>150</v>
      </c>
      <c r="N66" s="1250">
        <v>264</v>
      </c>
      <c r="O66" s="1250"/>
      <c r="P66" s="1250" t="s">
        <v>17951</v>
      </c>
      <c r="Q66" s="1250" t="s">
        <v>17724</v>
      </c>
    </row>
    <row r="67" spans="1:17">
      <c r="A67" s="1250" t="s">
        <v>17952</v>
      </c>
      <c r="B67" s="1250" t="s">
        <v>17953</v>
      </c>
      <c r="C67" s="1250">
        <v>10000</v>
      </c>
      <c r="D67" s="1250"/>
      <c r="E67" s="1250" t="s">
        <v>17815</v>
      </c>
      <c r="F67" s="1250" t="s">
        <v>17816</v>
      </c>
      <c r="G67" s="1250">
        <v>30</v>
      </c>
      <c r="H67" s="1250"/>
      <c r="I67" s="1250"/>
      <c r="J67" s="1250" t="s">
        <v>17954</v>
      </c>
      <c r="K67" s="1250">
        <v>450</v>
      </c>
      <c r="L67" s="1250">
        <v>624</v>
      </c>
      <c r="M67" s="1250">
        <v>265</v>
      </c>
      <c r="N67" s="1250">
        <v>369</v>
      </c>
      <c r="O67" s="1250"/>
      <c r="P67" s="1250" t="s">
        <v>17955</v>
      </c>
      <c r="Q67" s="1250" t="s">
        <v>17724</v>
      </c>
    </row>
    <row r="68" spans="1:17">
      <c r="A68" s="1250" t="s">
        <v>17956</v>
      </c>
      <c r="B68" s="1250" t="s">
        <v>17957</v>
      </c>
      <c r="C68" s="1250">
        <v>60000</v>
      </c>
      <c r="D68" s="1250"/>
      <c r="E68" s="1250" t="s">
        <v>17821</v>
      </c>
      <c r="F68" s="1250" t="s">
        <v>17757</v>
      </c>
      <c r="G68" s="1250">
        <v>40</v>
      </c>
      <c r="H68" s="1250"/>
      <c r="I68" s="1250"/>
      <c r="J68" s="1250" t="s">
        <v>17958</v>
      </c>
      <c r="K68" s="1250">
        <v>625</v>
      </c>
      <c r="L68" s="1250">
        <v>1249</v>
      </c>
      <c r="M68" s="1250">
        <v>370</v>
      </c>
      <c r="N68" s="1250">
        <v>739</v>
      </c>
      <c r="O68" s="1250"/>
      <c r="P68" s="1250" t="s">
        <v>17959</v>
      </c>
      <c r="Q68" s="1250" t="s">
        <v>17723</v>
      </c>
    </row>
    <row r="69" spans="1:17">
      <c r="A69" s="1250" t="s">
        <v>17960</v>
      </c>
      <c r="B69" s="1250" t="s">
        <v>17961</v>
      </c>
      <c r="C69" s="1250">
        <v>15000</v>
      </c>
      <c r="D69" s="1250"/>
      <c r="E69" s="1250" t="s">
        <v>15591</v>
      </c>
      <c r="F69" s="1250" t="s">
        <v>17826</v>
      </c>
      <c r="G69" s="1250">
        <v>250</v>
      </c>
      <c r="H69" s="1250"/>
      <c r="I69" s="1250"/>
      <c r="J69" s="1250" t="s">
        <v>17962</v>
      </c>
      <c r="K69" s="1250">
        <v>1250</v>
      </c>
      <c r="L69" s="1250">
        <v>2499</v>
      </c>
      <c r="M69" s="1250">
        <v>740</v>
      </c>
      <c r="N69" s="1250">
        <v>1474</v>
      </c>
      <c r="O69" s="1250"/>
      <c r="P69" s="1250" t="s">
        <v>17963</v>
      </c>
      <c r="Q69" s="1250" t="s">
        <v>17723</v>
      </c>
    </row>
    <row r="70" spans="1:17">
      <c r="A70" s="1250" t="s">
        <v>17964</v>
      </c>
      <c r="B70" s="1250" t="s">
        <v>17965</v>
      </c>
      <c r="C70" s="1250">
        <v>20000</v>
      </c>
      <c r="D70" s="1250"/>
      <c r="E70" s="1250" t="s">
        <v>17831</v>
      </c>
      <c r="F70" s="1250" t="s">
        <v>17832</v>
      </c>
      <c r="G70" s="1250">
        <v>75</v>
      </c>
      <c r="H70" s="1250"/>
      <c r="I70" s="1250"/>
      <c r="J70" s="1250" t="s">
        <v>17966</v>
      </c>
      <c r="K70" s="1250">
        <v>2500</v>
      </c>
      <c r="L70" s="1250">
        <v>4999</v>
      </c>
      <c r="M70" s="1250">
        <v>1474</v>
      </c>
      <c r="N70" s="1250">
        <v>2950</v>
      </c>
      <c r="O70" s="1250"/>
      <c r="P70" s="1250" t="s">
        <v>17967</v>
      </c>
      <c r="Q70" s="1250" t="s">
        <v>17722</v>
      </c>
    </row>
    <row r="71" spans="1:17">
      <c r="A71" s="1250" t="s">
        <v>17968</v>
      </c>
      <c r="B71" s="1250" t="s">
        <v>17953</v>
      </c>
      <c r="C71" s="1250">
        <v>10000</v>
      </c>
      <c r="D71" s="1250"/>
      <c r="E71" s="1250" t="s">
        <v>17836</v>
      </c>
      <c r="F71" s="1250" t="s">
        <v>17837</v>
      </c>
      <c r="G71" s="1250">
        <v>150</v>
      </c>
      <c r="H71" s="1250"/>
      <c r="I71" s="1250"/>
      <c r="J71" s="1250" t="s">
        <v>17969</v>
      </c>
      <c r="K71" s="1250">
        <v>5000</v>
      </c>
      <c r="L71" s="1250">
        <v>9999</v>
      </c>
      <c r="M71" s="1250">
        <v>4700</v>
      </c>
      <c r="N71" s="1250">
        <v>9399</v>
      </c>
      <c r="O71" s="1250"/>
      <c r="P71" s="1250" t="s">
        <v>17970</v>
      </c>
      <c r="Q71" s="1250" t="s">
        <v>17721</v>
      </c>
    </row>
    <row r="72" spans="1:17">
      <c r="A72" s="1250" t="s">
        <v>17971</v>
      </c>
      <c r="B72" s="1250" t="s">
        <v>17949</v>
      </c>
      <c r="C72" s="1250">
        <v>30000</v>
      </c>
      <c r="D72" s="1250"/>
      <c r="E72" s="1250"/>
      <c r="F72" s="1250"/>
      <c r="G72" s="1250"/>
      <c r="H72" s="1250"/>
      <c r="I72" s="1250"/>
      <c r="J72" s="1250" t="s">
        <v>17972</v>
      </c>
      <c r="K72" s="1250">
        <v>10000</v>
      </c>
      <c r="L72" s="1250">
        <v>14999</v>
      </c>
      <c r="M72" s="1250">
        <v>9400</v>
      </c>
      <c r="N72" s="1250">
        <v>14099</v>
      </c>
      <c r="O72" s="1250"/>
      <c r="P72" s="1250" t="s">
        <v>17973</v>
      </c>
      <c r="Q72" s="1250" t="s">
        <v>17721</v>
      </c>
    </row>
    <row r="73" spans="1:17">
      <c r="A73" s="1250" t="s">
        <v>17974</v>
      </c>
      <c r="B73" s="1250" t="s">
        <v>17961</v>
      </c>
      <c r="C73" s="1250">
        <v>15000</v>
      </c>
      <c r="D73" s="1250"/>
      <c r="E73" s="1250"/>
      <c r="F73" s="1250"/>
      <c r="G73" s="1250"/>
      <c r="H73" s="1250"/>
      <c r="I73" s="1250"/>
      <c r="J73" s="1250" t="s">
        <v>17975</v>
      </c>
      <c r="K73" s="1250">
        <v>15000</v>
      </c>
      <c r="L73" s="1250">
        <v>19999</v>
      </c>
      <c r="M73" s="1250">
        <v>14100</v>
      </c>
      <c r="N73" s="1250">
        <v>18799</v>
      </c>
      <c r="O73" s="1250"/>
      <c r="P73" s="1250" t="s">
        <v>17976</v>
      </c>
      <c r="Q73" s="1250" t="s">
        <v>17721</v>
      </c>
    </row>
    <row r="74" spans="1:17">
      <c r="A74" s="1250"/>
      <c r="B74" s="1250"/>
      <c r="C74" s="1250"/>
      <c r="D74" s="1250"/>
      <c r="E74" s="1250"/>
      <c r="F74" s="1250"/>
      <c r="G74" s="1250"/>
      <c r="H74" s="1250"/>
      <c r="I74" s="1250"/>
      <c r="J74" s="1250" t="s">
        <v>17977</v>
      </c>
      <c r="K74" s="1250">
        <v>20000</v>
      </c>
      <c r="L74" s="1250">
        <v>39999</v>
      </c>
      <c r="M74" s="1250">
        <v>25800</v>
      </c>
      <c r="N74" s="1250">
        <v>51599</v>
      </c>
      <c r="O74" s="1250"/>
      <c r="P74" s="1250" t="s">
        <v>17978</v>
      </c>
      <c r="Q74" s="1250" t="s">
        <v>17720</v>
      </c>
    </row>
    <row r="75" spans="1:17">
      <c r="A75" s="1250"/>
      <c r="B75" s="1250"/>
      <c r="C75" s="1250"/>
      <c r="D75" s="1250"/>
      <c r="E75" s="1250"/>
      <c r="F75" s="1250"/>
      <c r="G75" s="1250"/>
      <c r="H75" s="1250"/>
      <c r="I75" s="1250"/>
      <c r="J75" s="1250" t="s">
        <v>17979</v>
      </c>
      <c r="K75" s="1250">
        <v>40000</v>
      </c>
      <c r="L75" s="1250"/>
      <c r="M75" s="1250">
        <v>51600</v>
      </c>
      <c r="N75" s="1250"/>
      <c r="O75" s="1250"/>
      <c r="P75" s="1250" t="s">
        <v>17980</v>
      </c>
      <c r="Q75" s="1250" t="s">
        <v>17720</v>
      </c>
    </row>
    <row r="80" spans="1:17">
      <c r="A80" s="1250"/>
      <c r="B80" s="1250"/>
      <c r="C80" s="1250"/>
      <c r="D80" s="1250"/>
      <c r="E80" s="1250"/>
      <c r="F80" s="1250"/>
      <c r="G80" s="1250"/>
      <c r="H80" s="1250"/>
      <c r="I80" s="1250"/>
      <c r="J80" s="1250" t="s">
        <v>9211</v>
      </c>
      <c r="K80" s="1250"/>
      <c r="L80" s="1250"/>
      <c r="M80" s="1250"/>
      <c r="N80" s="1250"/>
      <c r="O80" s="1250"/>
      <c r="P80" s="1250"/>
      <c r="Q80" s="1250"/>
    </row>
    <row r="81" spans="1:23">
      <c r="A81" s="1250"/>
      <c r="B81" s="1250"/>
      <c r="C81" s="1250"/>
      <c r="D81" s="1250"/>
      <c r="E81" s="1250"/>
      <c r="F81" s="1250"/>
      <c r="G81" s="1250"/>
      <c r="H81" s="1250"/>
      <c r="I81" s="1250"/>
      <c r="J81" s="1250" t="s">
        <v>9033</v>
      </c>
      <c r="K81" s="1250" t="s">
        <v>9034</v>
      </c>
      <c r="L81" s="1250" t="s">
        <v>9035</v>
      </c>
      <c r="M81" s="1250" t="s">
        <v>9036</v>
      </c>
      <c r="N81" s="1250" t="s">
        <v>9037</v>
      </c>
      <c r="O81" s="1250" t="s">
        <v>9038</v>
      </c>
      <c r="P81" s="1250" t="s">
        <v>9039</v>
      </c>
      <c r="Q81" s="1251" t="s">
        <v>9040</v>
      </c>
      <c r="R81" s="1251" t="s">
        <v>9041</v>
      </c>
      <c r="S81" t="s">
        <v>551</v>
      </c>
      <c r="T81" t="s">
        <v>7706</v>
      </c>
      <c r="U81" t="s">
        <v>7705</v>
      </c>
      <c r="V81" t="s">
        <v>18183</v>
      </c>
      <c r="W81" t="s">
        <v>18184</v>
      </c>
    </row>
    <row r="82" spans="1:23">
      <c r="A82" s="1250"/>
      <c r="B82" s="1250"/>
      <c r="C82" s="1250"/>
      <c r="D82" s="1250"/>
      <c r="E82" s="1250"/>
      <c r="F82" s="1250"/>
      <c r="G82" s="1250"/>
      <c r="H82" s="1250"/>
      <c r="I82" s="1250"/>
      <c r="J82" s="1250" t="s">
        <v>9042</v>
      </c>
      <c r="K82" s="1250" t="s">
        <v>9043</v>
      </c>
      <c r="L82" s="1250" t="s">
        <v>9044</v>
      </c>
      <c r="M82" s="1250" t="s">
        <v>9045</v>
      </c>
      <c r="N82" s="1250" t="s">
        <v>9046</v>
      </c>
      <c r="O82" s="1250" t="s">
        <v>9044</v>
      </c>
      <c r="P82" s="1250" t="s">
        <v>9045</v>
      </c>
      <c r="Q82" s="1251" t="s">
        <v>9047</v>
      </c>
      <c r="R82" s="1251" t="s">
        <v>9048</v>
      </c>
      <c r="S82">
        <v>168</v>
      </c>
      <c r="T82">
        <f>Таблиця355[[#This Row],[Стовпець1]]/6</f>
        <v>28</v>
      </c>
      <c r="U82">
        <v>480</v>
      </c>
      <c r="V82">
        <f>Таблиця355[[#This Row],[Стовпець3]]/6</f>
        <v>80</v>
      </c>
      <c r="W82">
        <f t="shared" ref="W82" ca="1" si="0">RANDBETWEEN(1,6)+15</f>
        <v>21</v>
      </c>
    </row>
    <row r="83" spans="1:23">
      <c r="A83" s="1250"/>
      <c r="B83" s="1250"/>
      <c r="C83" s="1250"/>
      <c r="D83" s="1250"/>
      <c r="E83" s="1250"/>
      <c r="F83" s="1250"/>
      <c r="G83" s="1250"/>
      <c r="H83" s="1250"/>
      <c r="I83" s="1250"/>
      <c r="J83" s="1250" t="s">
        <v>9049</v>
      </c>
      <c r="K83" s="1250" t="s">
        <v>9050</v>
      </c>
      <c r="L83" s="1250" t="s">
        <v>9046</v>
      </c>
      <c r="M83" s="1250" t="s">
        <v>9051</v>
      </c>
      <c r="N83" s="1250" t="s">
        <v>9052</v>
      </c>
      <c r="O83" s="1250" t="s">
        <v>9046</v>
      </c>
      <c r="P83" s="1250" t="s">
        <v>9051</v>
      </c>
      <c r="Q83" s="1251" t="s">
        <v>9053</v>
      </c>
      <c r="R83" s="1251" t="s">
        <v>9054</v>
      </c>
      <c r="S83">
        <v>144</v>
      </c>
      <c r="T83">
        <f>Таблиця355[[#This Row],[Стовпець1]]/6</f>
        <v>24</v>
      </c>
      <c r="U83">
        <v>360</v>
      </c>
      <c r="V83">
        <f>Таблиця355[[#This Row],[Стовпець3]]/6</f>
        <v>60</v>
      </c>
      <c r="W83">
        <f ca="1">RANDBETWEEN(1,10)+10</f>
        <v>16</v>
      </c>
    </row>
    <row r="84" spans="1:23">
      <c r="A84" s="1250"/>
      <c r="B84" s="1250"/>
      <c r="C84" s="1250"/>
      <c r="D84" s="1250"/>
      <c r="E84" s="1250"/>
      <c r="F84" s="1250"/>
      <c r="G84" s="1250"/>
      <c r="H84" s="1250"/>
      <c r="I84" s="1250"/>
      <c r="J84" s="1250" t="s">
        <v>9055</v>
      </c>
      <c r="K84" s="1250" t="s">
        <v>9056</v>
      </c>
      <c r="L84" s="1250" t="s">
        <v>9052</v>
      </c>
      <c r="M84" s="1250" t="s">
        <v>9057</v>
      </c>
      <c r="N84" s="1250" t="s">
        <v>5815</v>
      </c>
      <c r="O84" s="1250" t="s">
        <v>9052</v>
      </c>
      <c r="P84" s="1250" t="s">
        <v>9057</v>
      </c>
      <c r="Q84" s="1251" t="s">
        <v>9058</v>
      </c>
      <c r="R84" s="1251" t="s">
        <v>9059</v>
      </c>
      <c r="S84">
        <v>96</v>
      </c>
      <c r="T84">
        <f>Таблиця355[[#This Row],[Стовпець1]]/6</f>
        <v>16</v>
      </c>
      <c r="U84">
        <v>240</v>
      </c>
      <c r="V84">
        <f>Таблиця355[[#This Row],[Стовпець3]]/6</f>
        <v>40</v>
      </c>
      <c r="W84">
        <f ca="1">RANDBETWEEN(1,8)+5</f>
        <v>10</v>
      </c>
    </row>
    <row r="85" spans="1:23">
      <c r="A85" s="1250"/>
      <c r="B85" s="1250"/>
      <c r="C85" s="1250"/>
      <c r="D85" s="1250"/>
      <c r="E85" s="1250"/>
      <c r="F85" s="1250"/>
      <c r="G85" s="1250"/>
      <c r="H85" s="1250"/>
      <c r="I85" s="1250"/>
      <c r="J85" s="1250" t="s">
        <v>9060</v>
      </c>
      <c r="K85" s="1250" t="s">
        <v>9061</v>
      </c>
      <c r="L85" s="1250" t="s">
        <v>5815</v>
      </c>
      <c r="M85" s="1250" t="s">
        <v>9062</v>
      </c>
      <c r="N85" s="1250" t="s">
        <v>9063</v>
      </c>
      <c r="O85" s="1250" t="s">
        <v>5815</v>
      </c>
      <c r="P85" s="1250" t="s">
        <v>9062</v>
      </c>
      <c r="Q85" s="1251" t="s">
        <v>9064</v>
      </c>
      <c r="R85" s="1251" t="s">
        <v>9065</v>
      </c>
      <c r="S85">
        <v>72</v>
      </c>
      <c r="T85">
        <f>Таблиця355[[#This Row],[Стовпець1]]/6</f>
        <v>12</v>
      </c>
      <c r="U85">
        <v>120</v>
      </c>
      <c r="V85">
        <f>Таблиця355[[#This Row],[Стовпець3]]/6</f>
        <v>20</v>
      </c>
      <c r="W85">
        <f ca="1">RANDBETWEEN(1,6)+3</f>
        <v>9</v>
      </c>
    </row>
    <row r="86" spans="1:23">
      <c r="A86" s="1250"/>
      <c r="B86" s="1250"/>
      <c r="C86" s="1250"/>
      <c r="D86" s="1250"/>
      <c r="E86" s="1250"/>
      <c r="F86" s="1250"/>
      <c r="G86" s="1250"/>
      <c r="H86" s="1250"/>
      <c r="I86" s="1250"/>
      <c r="J86" s="1250" t="s">
        <v>1907</v>
      </c>
      <c r="K86" s="1250" t="s">
        <v>9066</v>
      </c>
      <c r="L86" s="1250" t="s">
        <v>9063</v>
      </c>
      <c r="M86" s="1250" t="s">
        <v>9067</v>
      </c>
      <c r="N86" s="1250" t="s">
        <v>9068</v>
      </c>
      <c r="O86" s="1250" t="s">
        <v>9063</v>
      </c>
      <c r="P86" s="1250" t="s">
        <v>9067</v>
      </c>
      <c r="Q86" s="1251" t="s">
        <v>9069</v>
      </c>
      <c r="R86" s="1251" t="s">
        <v>9070</v>
      </c>
      <c r="S86">
        <v>48</v>
      </c>
      <c r="T86">
        <f>Таблиця355[[#This Row],[Стовпець1]]/6</f>
        <v>8</v>
      </c>
      <c r="U86">
        <v>96</v>
      </c>
      <c r="V86">
        <f>Таблиця355[[#This Row],[Стовпець3]]/6</f>
        <v>16</v>
      </c>
      <c r="W86">
        <f ca="1">RANDBETWEEN(1,6)</f>
        <v>1</v>
      </c>
    </row>
    <row r="87" spans="1:23">
      <c r="A87" s="1250"/>
      <c r="B87" s="1250"/>
      <c r="C87" s="1250"/>
      <c r="D87" s="1250"/>
      <c r="E87" s="1250"/>
      <c r="F87" s="1250"/>
      <c r="G87" s="1250"/>
      <c r="H87" s="1250"/>
      <c r="I87" s="1250"/>
      <c r="J87" s="1250" t="s">
        <v>9071</v>
      </c>
      <c r="K87" s="1250" t="s">
        <v>9072</v>
      </c>
      <c r="L87" s="1250" t="s">
        <v>9068</v>
      </c>
      <c r="M87" s="1250" t="s">
        <v>9073</v>
      </c>
      <c r="N87" s="1250" t="s">
        <v>9074</v>
      </c>
      <c r="O87" s="1250" t="s">
        <v>9068</v>
      </c>
      <c r="P87" s="1250" t="s">
        <v>9073</v>
      </c>
      <c r="Q87" s="1251" t="s">
        <v>9075</v>
      </c>
      <c r="R87" s="1251" t="s">
        <v>9069</v>
      </c>
      <c r="S87">
        <v>24</v>
      </c>
      <c r="T87">
        <f>Таблиця355[[#This Row],[Стовпець1]]/6</f>
        <v>4</v>
      </c>
      <c r="U87">
        <v>48</v>
      </c>
      <c r="V87">
        <f>Таблиця355[[#This Row],[Стовпець3]]/6</f>
        <v>8</v>
      </c>
      <c r="W87">
        <f ca="1">RANDBETWEEN(1,3)</f>
        <v>2</v>
      </c>
    </row>
    <row r="88" spans="1:23">
      <c r="A88" s="1250"/>
      <c r="B88" s="1250"/>
      <c r="C88" s="1250"/>
      <c r="D88" s="1250"/>
      <c r="E88" s="1250"/>
      <c r="F88" s="1250"/>
      <c r="G88" s="1250"/>
      <c r="H88" s="1250"/>
      <c r="I88" s="1250"/>
      <c r="J88" s="1250"/>
      <c r="K88" s="1250"/>
      <c r="L88" s="1250"/>
      <c r="M88" s="1250"/>
      <c r="N88" s="1250"/>
      <c r="O88" s="1250"/>
      <c r="P88" s="1250"/>
      <c r="Q88" s="1250"/>
      <c r="R88" s="1250"/>
    </row>
    <row r="89" spans="1:23">
      <c r="A89" s="1250"/>
      <c r="B89" s="1250"/>
      <c r="C89" s="1250"/>
      <c r="D89" s="1250"/>
      <c r="E89" s="1250"/>
      <c r="F89" s="1250"/>
      <c r="G89" s="1250"/>
      <c r="H89" s="1250"/>
      <c r="I89" s="1250"/>
      <c r="J89" s="1250"/>
      <c r="K89" s="1250"/>
      <c r="L89" s="1250"/>
      <c r="M89" s="1250"/>
      <c r="N89" s="1250"/>
      <c r="O89" s="1250"/>
      <c r="P89" s="1250"/>
      <c r="Q89" s="1250"/>
      <c r="R89" s="1250"/>
    </row>
    <row r="90" spans="1:23">
      <c r="A90" s="1250"/>
      <c r="B90" s="1250"/>
      <c r="C90" s="1250"/>
      <c r="D90" s="1250"/>
      <c r="E90" s="1250"/>
      <c r="F90" s="1250"/>
      <c r="G90" s="1250"/>
      <c r="H90" s="1250"/>
      <c r="I90" s="1250"/>
      <c r="J90" s="1250"/>
      <c r="K90" s="1250"/>
      <c r="L90" s="1250"/>
      <c r="M90" s="1250"/>
      <c r="N90" s="1250"/>
      <c r="O90" s="1250"/>
      <c r="P90" s="1250"/>
      <c r="Q90" s="1250"/>
      <c r="R90" s="1250"/>
    </row>
    <row r="91" spans="1:23">
      <c r="A91" s="1250"/>
      <c r="B91" s="1250"/>
      <c r="C91" s="1250"/>
      <c r="D91" s="1250"/>
      <c r="E91" s="1250"/>
      <c r="F91" s="1250"/>
      <c r="G91" s="1250"/>
      <c r="H91" s="1250"/>
      <c r="I91" s="1250"/>
      <c r="J91" s="1250"/>
      <c r="K91" s="1250"/>
      <c r="L91" s="1250"/>
      <c r="M91" s="1250"/>
      <c r="N91" s="1250"/>
      <c r="O91" s="1250"/>
      <c r="P91" s="1250"/>
      <c r="Q91" s="1250"/>
      <c r="R91" s="1250"/>
    </row>
    <row r="92" spans="1:23">
      <c r="A92" s="1250"/>
      <c r="B92" s="1250"/>
      <c r="C92" s="1250"/>
      <c r="D92" s="1250"/>
      <c r="E92" s="1250"/>
      <c r="F92" s="1250"/>
      <c r="G92" s="1250"/>
      <c r="H92" s="1250"/>
      <c r="I92" s="1250"/>
      <c r="J92" s="1251" t="s">
        <v>17981</v>
      </c>
      <c r="K92" s="1251"/>
      <c r="L92" s="1251"/>
      <c r="M92" s="1251"/>
      <c r="N92" s="1251"/>
      <c r="O92" s="1251"/>
      <c r="P92" s="1251"/>
      <c r="Q92" s="1250"/>
      <c r="R92" s="1250"/>
    </row>
    <row r="93" spans="1:23">
      <c r="A93" s="1250"/>
      <c r="B93" s="1250"/>
      <c r="C93" s="1250"/>
      <c r="D93" s="1250"/>
      <c r="E93" s="1250"/>
      <c r="F93" s="1250"/>
      <c r="G93" s="1250"/>
      <c r="H93" s="1250"/>
      <c r="I93" s="1250"/>
      <c r="J93" s="1251" t="s">
        <v>17982</v>
      </c>
      <c r="K93" s="1251"/>
      <c r="L93" s="1251"/>
      <c r="M93" s="1251"/>
      <c r="N93" s="1251"/>
      <c r="O93" s="1251"/>
      <c r="P93" s="1251"/>
      <c r="Q93" s="1250"/>
      <c r="R93" s="1250"/>
    </row>
    <row r="94" spans="1:23">
      <c r="A94" s="1250"/>
      <c r="B94" s="1250"/>
      <c r="C94" s="1250"/>
      <c r="D94" s="1250"/>
      <c r="E94" s="1250"/>
      <c r="F94" s="1250"/>
      <c r="G94" s="1250"/>
      <c r="H94" s="1250"/>
      <c r="I94" s="1250"/>
      <c r="J94" s="1251" t="s">
        <v>17983</v>
      </c>
      <c r="K94" s="1251" t="s">
        <v>17984</v>
      </c>
      <c r="L94" s="1251" t="s">
        <v>9049</v>
      </c>
      <c r="M94" s="1251" t="s">
        <v>9055</v>
      </c>
      <c r="N94" s="1251" t="s">
        <v>9060</v>
      </c>
      <c r="O94" s="1251" t="s">
        <v>1907</v>
      </c>
      <c r="P94" s="1251" t="s">
        <v>9071</v>
      </c>
      <c r="Q94" s="1260" t="s">
        <v>551</v>
      </c>
      <c r="R94" s="1250"/>
    </row>
    <row r="95" spans="1:23">
      <c r="A95" s="1250"/>
      <c r="B95" s="1250"/>
      <c r="C95" s="1250"/>
      <c r="D95" s="1250"/>
      <c r="E95" s="1250"/>
      <c r="F95" s="1250"/>
      <c r="G95" s="1250"/>
      <c r="H95" s="1250"/>
      <c r="I95" s="1250"/>
      <c r="J95" s="1251" t="s">
        <v>17985</v>
      </c>
      <c r="K95" s="1251" t="s">
        <v>17986</v>
      </c>
      <c r="L95" s="1251" t="s">
        <v>17987</v>
      </c>
      <c r="M95" s="1251" t="s">
        <v>17988</v>
      </c>
      <c r="N95" s="1251" t="s">
        <v>8429</v>
      </c>
      <c r="O95" s="1251" t="s">
        <v>8394</v>
      </c>
      <c r="P95" s="1251" t="s">
        <v>8374</v>
      </c>
      <c r="Q95" s="1260">
        <v>1</v>
      </c>
      <c r="R95" s="1250"/>
    </row>
    <row r="96" spans="1:23">
      <c r="A96" s="1250"/>
      <c r="B96" s="1250"/>
      <c r="C96" s="1250"/>
      <c r="D96" s="1250"/>
      <c r="E96" s="1250"/>
      <c r="F96" s="1250"/>
      <c r="G96" s="1250"/>
      <c r="H96" s="1250"/>
      <c r="I96" s="1250"/>
      <c r="J96" s="1251" t="s">
        <v>17989</v>
      </c>
      <c r="K96" s="1251" t="s">
        <v>8464</v>
      </c>
      <c r="L96" s="1251" t="s">
        <v>8394</v>
      </c>
      <c r="M96" s="1251" t="s">
        <v>8379</v>
      </c>
      <c r="N96" s="1251" t="s">
        <v>8369</v>
      </c>
      <c r="O96" s="1251" t="s">
        <v>7698</v>
      </c>
      <c r="P96" s="1251" t="s">
        <v>7698</v>
      </c>
      <c r="Q96" s="1260" t="s">
        <v>8374</v>
      </c>
      <c r="R96" s="1250"/>
    </row>
    <row r="97" spans="1:17">
      <c r="A97" s="1250"/>
      <c r="B97" s="1250"/>
      <c r="C97" s="1250"/>
      <c r="D97" s="1250"/>
      <c r="E97" s="1250"/>
      <c r="F97" s="1250"/>
      <c r="G97" s="1250"/>
      <c r="H97" s="1250"/>
      <c r="I97" s="1250"/>
      <c r="J97" s="1251" t="s">
        <v>17990</v>
      </c>
      <c r="K97" s="1251" t="s">
        <v>8379</v>
      </c>
      <c r="L97" s="1251" t="s">
        <v>8369</v>
      </c>
      <c r="M97" s="1251" t="s">
        <v>8366</v>
      </c>
      <c r="N97" s="1251" t="s">
        <v>7698</v>
      </c>
      <c r="O97" s="1251" t="s">
        <v>17991</v>
      </c>
      <c r="P97" s="1251" t="s">
        <v>17992</v>
      </c>
      <c r="Q97" s="1260" t="s">
        <v>8464</v>
      </c>
    </row>
    <row r="98" spans="1:17">
      <c r="A98" s="1250"/>
      <c r="B98" s="1250"/>
      <c r="C98" s="1250"/>
      <c r="D98" s="1250"/>
      <c r="E98" s="1250"/>
      <c r="F98" s="1250"/>
      <c r="G98" s="1250"/>
      <c r="H98" s="1250"/>
      <c r="I98" s="1250"/>
      <c r="J98" s="1251" t="s">
        <v>17993</v>
      </c>
      <c r="K98" s="1251" t="s">
        <v>8371</v>
      </c>
      <c r="L98" s="1251" t="s">
        <v>8366</v>
      </c>
      <c r="M98" s="1251" t="s">
        <v>7698</v>
      </c>
      <c r="N98" s="1251" t="s">
        <v>17991</v>
      </c>
      <c r="O98" s="1251" t="s">
        <v>17992</v>
      </c>
      <c r="P98" s="1251" t="s">
        <v>17994</v>
      </c>
      <c r="Q98" s="1260" t="s">
        <v>9330</v>
      </c>
    </row>
    <row r="99" spans="1:17">
      <c r="A99" s="1250"/>
      <c r="B99" s="1250"/>
      <c r="C99" s="1250"/>
      <c r="D99" s="1250"/>
      <c r="E99" s="1250"/>
      <c r="F99" s="1250"/>
      <c r="G99" s="1250"/>
      <c r="H99" s="1250"/>
      <c r="I99" s="1250"/>
      <c r="J99" s="1251" t="s">
        <v>17995</v>
      </c>
      <c r="K99" s="1251" t="s">
        <v>8366</v>
      </c>
      <c r="L99" s="1251" t="s">
        <v>7698</v>
      </c>
      <c r="M99" s="1251" t="s">
        <v>17991</v>
      </c>
      <c r="N99" s="1251" t="s">
        <v>17992</v>
      </c>
      <c r="O99" s="1251" t="s">
        <v>17994</v>
      </c>
      <c r="P99" s="1251" t="s">
        <v>17996</v>
      </c>
      <c r="Q99" s="1260" t="s">
        <v>18160</v>
      </c>
    </row>
    <row r="100" spans="1:17">
      <c r="A100" s="1250"/>
      <c r="B100" s="1250"/>
      <c r="C100" s="1250"/>
      <c r="D100" s="1250"/>
      <c r="E100" s="1250"/>
      <c r="F100" s="1250"/>
      <c r="G100" s="1250"/>
      <c r="H100" s="1250"/>
      <c r="I100" s="1250"/>
      <c r="J100" s="1251" t="s">
        <v>17997</v>
      </c>
      <c r="K100" s="1251" t="s">
        <v>17992</v>
      </c>
      <c r="L100" s="1251" t="s">
        <v>17994</v>
      </c>
      <c r="M100" s="1251" t="s">
        <v>17998</v>
      </c>
      <c r="N100" s="1251" t="s">
        <v>17763</v>
      </c>
      <c r="O100" s="1251" t="s">
        <v>17763</v>
      </c>
      <c r="P100" s="1251" t="s">
        <v>17763</v>
      </c>
      <c r="Q100" s="1260" t="s">
        <v>2315</v>
      </c>
    </row>
    <row r="101" spans="1:17">
      <c r="A101" s="1250"/>
      <c r="B101" s="1250"/>
      <c r="C101" s="1250"/>
      <c r="D101" s="1250"/>
      <c r="E101" s="1250"/>
      <c r="F101" s="1250"/>
      <c r="G101" s="1250"/>
      <c r="H101" s="1250"/>
      <c r="I101" s="1250"/>
      <c r="J101" s="1250"/>
      <c r="K101" s="1250"/>
      <c r="L101" s="1250"/>
      <c r="M101" s="1250"/>
      <c r="N101" s="1250"/>
      <c r="O101" s="1250"/>
      <c r="P101" s="1250"/>
    </row>
    <row r="104" spans="1:17">
      <c r="A104" s="1250"/>
      <c r="B104" s="1250"/>
      <c r="C104" s="1250"/>
      <c r="D104" s="1250"/>
      <c r="E104" s="1250"/>
      <c r="F104" s="1250"/>
      <c r="G104" s="1250"/>
      <c r="H104" s="1250"/>
      <c r="I104" s="1250"/>
      <c r="J104" s="1250"/>
      <c r="K104" s="1250"/>
      <c r="L104" s="1251"/>
      <c r="M104" s="1250"/>
      <c r="N104" s="1250"/>
      <c r="O104" s="1250"/>
      <c r="P104" s="1250"/>
    </row>
    <row r="105" spans="1:17">
      <c r="A105" s="1250"/>
      <c r="B105" s="1250"/>
      <c r="C105" s="1250"/>
      <c r="D105" s="1250"/>
      <c r="E105" s="1250"/>
      <c r="F105" s="1250"/>
      <c r="G105" s="1250"/>
      <c r="H105" s="1250"/>
      <c r="I105" s="1250"/>
      <c r="J105" s="1250"/>
      <c r="K105" s="1250"/>
      <c r="L105" s="1251"/>
      <c r="M105" s="1250"/>
      <c r="N105" s="1250"/>
      <c r="O105" s="1250"/>
      <c r="P105" s="1250"/>
    </row>
    <row r="106" spans="1:17">
      <c r="A106" s="1250"/>
      <c r="B106" s="1250"/>
      <c r="C106" s="1250"/>
      <c r="D106" s="1250"/>
      <c r="E106" s="1250"/>
      <c r="F106" s="1250"/>
      <c r="G106" s="1250"/>
      <c r="H106" s="1250"/>
      <c r="I106" s="1250"/>
      <c r="J106" s="1250"/>
      <c r="K106" s="1250"/>
      <c r="L106" s="1251"/>
      <c r="M106" s="1250"/>
      <c r="N106" s="1250"/>
      <c r="O106" s="1250"/>
      <c r="P106" s="1250"/>
    </row>
    <row r="107" spans="1:17">
      <c r="A107" s="1250"/>
      <c r="B107" s="1250"/>
      <c r="C107" s="1250"/>
      <c r="D107" s="1250"/>
      <c r="E107" s="1250"/>
      <c r="F107" s="1250"/>
      <c r="G107" s="1250"/>
      <c r="H107" s="1250"/>
      <c r="I107" s="1250"/>
      <c r="J107" s="1250"/>
      <c r="K107" s="1250"/>
      <c r="L107" s="1251"/>
      <c r="M107" s="1250"/>
      <c r="N107" s="1250"/>
      <c r="O107" s="1250"/>
      <c r="P107" s="1250"/>
    </row>
    <row r="108" spans="1:17">
      <c r="A108" s="1250"/>
      <c r="B108" s="1250"/>
      <c r="C108" s="1250"/>
      <c r="D108" s="1250"/>
      <c r="E108" s="1250"/>
      <c r="F108" s="1250"/>
      <c r="G108" s="1250"/>
      <c r="H108" s="1250"/>
      <c r="I108" s="1250"/>
      <c r="J108" s="1250"/>
      <c r="K108" s="1250"/>
      <c r="L108" s="1251"/>
      <c r="M108" s="1250"/>
      <c r="N108" s="1250"/>
      <c r="O108" s="1250"/>
      <c r="P108" s="1250"/>
    </row>
    <row r="109" spans="1:17">
      <c r="A109" s="1250"/>
      <c r="B109" s="1250"/>
      <c r="C109" s="1250"/>
      <c r="D109" s="1250"/>
      <c r="E109" s="1250"/>
      <c r="F109" s="1250"/>
      <c r="G109" s="1250"/>
      <c r="H109" s="1250"/>
      <c r="I109" s="1250"/>
      <c r="J109" s="1250"/>
      <c r="K109" s="1250"/>
      <c r="L109" s="1251"/>
      <c r="M109" s="1250"/>
      <c r="N109" s="1250"/>
      <c r="O109" s="1250"/>
      <c r="P109" s="1250"/>
    </row>
    <row r="110" spans="1:17">
      <c r="A110" s="1250"/>
      <c r="B110" s="1250"/>
      <c r="C110" s="1250"/>
      <c r="D110" s="1250"/>
      <c r="E110" s="1250"/>
      <c r="F110" s="1250"/>
      <c r="G110" s="1250"/>
      <c r="H110" s="1250"/>
      <c r="I110" s="1250"/>
      <c r="J110" s="1250"/>
      <c r="K110" s="1250"/>
      <c r="L110" s="1251"/>
      <c r="M110" s="1250"/>
      <c r="N110" s="1250"/>
      <c r="O110" s="1250"/>
      <c r="P110" s="1250"/>
    </row>
    <row r="117" spans="11:15">
      <c r="K117" s="1250" t="s">
        <v>17999</v>
      </c>
      <c r="L117" s="1250" t="s">
        <v>18000</v>
      </c>
      <c r="M117" s="1250" t="s">
        <v>17999</v>
      </c>
      <c r="N117" s="1250" t="s">
        <v>18001</v>
      </c>
      <c r="O117" s="1250" t="s">
        <v>18002</v>
      </c>
    </row>
    <row r="118" spans="11:15">
      <c r="K118" s="1250"/>
      <c r="L118" s="1250"/>
      <c r="M118" s="1250" t="s">
        <v>18003</v>
      </c>
      <c r="N118" s="1250"/>
      <c r="O118" s="1250"/>
    </row>
    <row r="119" spans="11:15">
      <c r="K119" s="1250" t="s">
        <v>4485</v>
      </c>
      <c r="L119" s="1250" t="s">
        <v>10126</v>
      </c>
      <c r="M119" s="1250" t="s">
        <v>18004</v>
      </c>
      <c r="N119" s="1250">
        <v>2</v>
      </c>
      <c r="O119" s="1250" t="s">
        <v>18005</v>
      </c>
    </row>
    <row r="120" spans="11:15">
      <c r="K120" s="1250" t="s">
        <v>18006</v>
      </c>
      <c r="L120" s="1250" t="s">
        <v>17711</v>
      </c>
      <c r="M120" s="1250" t="s">
        <v>18004</v>
      </c>
      <c r="N120" s="1250">
        <v>2</v>
      </c>
      <c r="O120" s="1250" t="s">
        <v>18007</v>
      </c>
    </row>
    <row r="121" spans="11:15">
      <c r="K121" s="1250" t="s">
        <v>18008</v>
      </c>
      <c r="L121" s="1250" t="s">
        <v>17711</v>
      </c>
      <c r="M121" s="1250" t="s">
        <v>18009</v>
      </c>
      <c r="N121" s="1250">
        <v>4</v>
      </c>
      <c r="O121" s="1250" t="s">
        <v>18010</v>
      </c>
    </row>
    <row r="122" spans="11:15">
      <c r="K122" s="1250" t="s">
        <v>18011</v>
      </c>
      <c r="L122" s="1250" t="s">
        <v>17795</v>
      </c>
      <c r="M122" s="1250" t="s">
        <v>18009</v>
      </c>
      <c r="N122" s="1250">
        <v>2</v>
      </c>
      <c r="O122" s="1250" t="s">
        <v>18010</v>
      </c>
    </row>
    <row r="123" spans="11:15">
      <c r="K123" s="1250" t="s">
        <v>18012</v>
      </c>
      <c r="L123" s="1250" t="s">
        <v>17826</v>
      </c>
      <c r="M123" s="1250" t="s">
        <v>18004</v>
      </c>
      <c r="N123" s="1250">
        <v>2</v>
      </c>
      <c r="O123" s="1250" t="s">
        <v>18010</v>
      </c>
    </row>
    <row r="124" spans="11:15">
      <c r="K124" s="1250" t="s">
        <v>18013</v>
      </c>
      <c r="L124" s="1250" t="s">
        <v>17826</v>
      </c>
      <c r="M124" s="1250" t="s">
        <v>18004</v>
      </c>
      <c r="N124" s="1250">
        <v>2</v>
      </c>
      <c r="O124" s="1250" t="s">
        <v>18014</v>
      </c>
    </row>
    <row r="125" spans="11:15">
      <c r="K125" s="1250" t="s">
        <v>18015</v>
      </c>
      <c r="L125" s="1250" t="s">
        <v>18016</v>
      </c>
      <c r="M125" s="1250" t="s">
        <v>18009</v>
      </c>
      <c r="N125" s="1250">
        <v>2</v>
      </c>
      <c r="O125" s="1250" t="s">
        <v>18017</v>
      </c>
    </row>
    <row r="126" spans="11:15">
      <c r="K126" s="1250" t="s">
        <v>18018</v>
      </c>
      <c r="L126" s="1250" t="s">
        <v>17814</v>
      </c>
      <c r="M126" s="1250" t="s">
        <v>18019</v>
      </c>
      <c r="N126" s="1250">
        <v>2</v>
      </c>
      <c r="O126" s="1250" t="s">
        <v>18017</v>
      </c>
    </row>
    <row r="127" spans="11:15">
      <c r="K127" s="1250" t="s">
        <v>18020</v>
      </c>
      <c r="L127" s="1250" t="s">
        <v>17814</v>
      </c>
      <c r="M127" s="1250" t="s">
        <v>18009</v>
      </c>
      <c r="N127" s="1250">
        <v>2</v>
      </c>
      <c r="O127" s="1250" t="s">
        <v>18021</v>
      </c>
    </row>
    <row r="128" spans="11:15">
      <c r="K128" s="1250" t="s">
        <v>18022</v>
      </c>
      <c r="L128" s="1250" t="s">
        <v>18023</v>
      </c>
      <c r="M128" s="1250" t="s">
        <v>18019</v>
      </c>
      <c r="N128" s="1250">
        <v>2</v>
      </c>
      <c r="O128" s="1250" t="s">
        <v>18021</v>
      </c>
    </row>
    <row r="129" spans="11:16">
      <c r="K129" s="1250" t="s">
        <v>4380</v>
      </c>
      <c r="L129" s="1250" t="s">
        <v>18024</v>
      </c>
      <c r="M129" s="1250" t="s">
        <v>18004</v>
      </c>
      <c r="N129" s="1250">
        <v>2</v>
      </c>
      <c r="O129" s="1250" t="s">
        <v>18021</v>
      </c>
      <c r="P129" s="1250"/>
    </row>
    <row r="130" spans="11:16">
      <c r="K130" s="1250" t="s">
        <v>18025</v>
      </c>
      <c r="L130" s="1250" t="s">
        <v>18026</v>
      </c>
      <c r="M130" s="1250" t="s">
        <v>18027</v>
      </c>
      <c r="N130" s="1250">
        <v>1</v>
      </c>
      <c r="O130" s="1250" t="s">
        <v>18028</v>
      </c>
      <c r="P130" s="1250"/>
    </row>
    <row r="131" spans="11:16">
      <c r="K131" s="1250" t="s">
        <v>2512</v>
      </c>
      <c r="L131" s="1250" t="s">
        <v>17808</v>
      </c>
      <c r="M131" s="1250" t="s">
        <v>18027</v>
      </c>
      <c r="N131" s="1250">
        <v>1</v>
      </c>
      <c r="O131" s="1250" t="s">
        <v>18029</v>
      </c>
      <c r="P131" s="1250"/>
    </row>
    <row r="132" spans="11:16">
      <c r="K132" s="1250" t="s">
        <v>3439</v>
      </c>
      <c r="L132" s="1250" t="s">
        <v>18030</v>
      </c>
      <c r="M132" s="1250" t="s">
        <v>18031</v>
      </c>
      <c r="N132" s="1250" t="s">
        <v>2315</v>
      </c>
      <c r="O132" s="1250" t="s">
        <v>18032</v>
      </c>
      <c r="P132" s="1250"/>
    </row>
    <row r="133" spans="11:16">
      <c r="K133" s="1250" t="s">
        <v>18033</v>
      </c>
      <c r="L133" s="1250" t="s">
        <v>18030</v>
      </c>
      <c r="M133" s="1250" t="s">
        <v>18031</v>
      </c>
      <c r="N133" s="1250" t="s">
        <v>2315</v>
      </c>
      <c r="O133" s="1250" t="s">
        <v>18032</v>
      </c>
      <c r="P133" s="1250"/>
    </row>
    <row r="136" spans="11:16">
      <c r="K136" s="1250" t="s">
        <v>18034</v>
      </c>
      <c r="L136" s="1250" t="s">
        <v>18035</v>
      </c>
      <c r="M136" s="1250" t="s">
        <v>18000</v>
      </c>
      <c r="N136" s="1250" t="s">
        <v>18003</v>
      </c>
      <c r="O136" s="1250" t="s">
        <v>18001</v>
      </c>
      <c r="P136" s="1250" t="s">
        <v>18002</v>
      </c>
    </row>
    <row r="137" spans="11:16">
      <c r="K137" s="1250" t="s">
        <v>18036</v>
      </c>
      <c r="L137" s="1250" t="s">
        <v>18037</v>
      </c>
      <c r="M137" s="1250" t="s">
        <v>18023</v>
      </c>
      <c r="N137" s="1250" t="s">
        <v>18038</v>
      </c>
      <c r="O137" s="1250">
        <v>2</v>
      </c>
      <c r="P137" s="1250" t="s">
        <v>18039</v>
      </c>
    </row>
    <row r="138" spans="11:16">
      <c r="K138" s="1250"/>
      <c r="L138" s="1250"/>
      <c r="M138" s="1250"/>
      <c r="N138" s="1250" t="s">
        <v>18040</v>
      </c>
      <c r="O138" s="1250"/>
      <c r="P138" s="1250"/>
    </row>
    <row r="139" spans="11:16">
      <c r="K139" s="1250" t="s">
        <v>18041</v>
      </c>
      <c r="L139" s="1250" t="s">
        <v>18042</v>
      </c>
      <c r="M139" s="1250" t="s">
        <v>18030</v>
      </c>
      <c r="N139" s="1250" t="s">
        <v>18043</v>
      </c>
      <c r="O139" s="1250" t="s">
        <v>2315</v>
      </c>
      <c r="P139" s="1250" t="s">
        <v>18044</v>
      </c>
    </row>
    <row r="140" spans="11:16">
      <c r="K140" s="1250" t="s">
        <v>18045</v>
      </c>
      <c r="L140" s="1250" t="s">
        <v>18046</v>
      </c>
      <c r="M140" s="1250" t="s">
        <v>18016</v>
      </c>
      <c r="N140" s="1250" t="s">
        <v>18047</v>
      </c>
      <c r="O140" s="1250">
        <v>-3</v>
      </c>
      <c r="P140" s="1250" t="s">
        <v>18039</v>
      </c>
    </row>
    <row r="141" spans="11:16">
      <c r="K141" s="1250" t="s">
        <v>18048</v>
      </c>
      <c r="L141" s="1250" t="s">
        <v>18049</v>
      </c>
      <c r="M141" s="1250" t="s">
        <v>18050</v>
      </c>
      <c r="N141" s="1250" t="s">
        <v>18038</v>
      </c>
      <c r="O141" s="1250">
        <v>2</v>
      </c>
      <c r="P141" s="1250" t="s">
        <v>18051</v>
      </c>
    </row>
    <row r="142" spans="11:16">
      <c r="K142" s="1250"/>
      <c r="L142" s="1250"/>
      <c r="M142" s="1250"/>
      <c r="N142" s="1250" t="s">
        <v>18040</v>
      </c>
      <c r="O142" s="1250"/>
      <c r="P142" s="1250"/>
    </row>
    <row r="143" spans="11:16">
      <c r="K143" s="1250" t="s">
        <v>18052</v>
      </c>
      <c r="L143" s="1250" t="s">
        <v>18049</v>
      </c>
      <c r="M143" s="1250" t="s">
        <v>18050</v>
      </c>
      <c r="N143" s="1250" t="s">
        <v>18053</v>
      </c>
      <c r="O143" s="1250">
        <v>4</v>
      </c>
      <c r="P143" s="1250" t="s">
        <v>18054</v>
      </c>
    </row>
    <row r="144" spans="11:16">
      <c r="K144" s="1250" t="s">
        <v>18055</v>
      </c>
      <c r="L144" s="1250" t="s">
        <v>18049</v>
      </c>
      <c r="M144" s="1250" t="s">
        <v>18023</v>
      </c>
      <c r="N144" s="1250" t="s">
        <v>18038</v>
      </c>
      <c r="O144" s="1250">
        <v>2</v>
      </c>
      <c r="P144" s="1250" t="s">
        <v>18056</v>
      </c>
    </row>
    <row r="145" spans="11:16">
      <c r="K145" s="1250"/>
      <c r="L145" s="1250"/>
      <c r="M145" s="1250"/>
      <c r="N145" s="1250" t="s">
        <v>18047</v>
      </c>
      <c r="O145" s="1250"/>
      <c r="P145" s="1250"/>
    </row>
    <row r="146" spans="11:16">
      <c r="K146" s="1250" t="s">
        <v>18057</v>
      </c>
      <c r="L146" s="1250" t="s">
        <v>18058</v>
      </c>
      <c r="M146" s="1250" t="s">
        <v>18023</v>
      </c>
      <c r="N146" s="1250" t="s">
        <v>18038</v>
      </c>
      <c r="O146" s="1250">
        <v>2</v>
      </c>
      <c r="P146" s="1250" t="s">
        <v>18059</v>
      </c>
    </row>
    <row r="147" spans="11:16">
      <c r="K147" s="1250"/>
      <c r="L147" s="1250"/>
      <c r="M147" s="1250"/>
      <c r="N147" s="1250" t="s">
        <v>18053</v>
      </c>
      <c r="O147" s="1250"/>
      <c r="P147" s="1250"/>
    </row>
    <row r="148" spans="11:16">
      <c r="K148" s="1250" t="s">
        <v>18060</v>
      </c>
      <c r="L148" s="1250" t="s">
        <v>18061</v>
      </c>
      <c r="M148" s="1250" t="s">
        <v>17795</v>
      </c>
      <c r="N148" s="1250" t="s">
        <v>18062</v>
      </c>
      <c r="O148" s="1250">
        <v>4</v>
      </c>
      <c r="P148" s="1250" t="s">
        <v>18010</v>
      </c>
    </row>
  </sheetData>
  <phoneticPr fontId="182" type="noConversion"/>
  <pageMargins left="0.7" right="0.7" top="0.75" bottom="0.75" header="0.3" footer="0.3"/>
  <tableParts count="15">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845F7-C2F8-484E-9E69-FE0BA8B7A22C}">
  <sheetPr>
    <tabColor rgb="FF7030A0"/>
  </sheetPr>
  <dimension ref="A1:X102"/>
  <sheetViews>
    <sheetView topLeftCell="L51" workbookViewId="0">
      <selection activeCell="T9" sqref="T9"/>
    </sheetView>
  </sheetViews>
  <sheetFormatPr defaultRowHeight="14.25"/>
  <cols>
    <col min="2" max="2" width="9.33203125" customWidth="1"/>
    <col min="3" max="3" width="10.33203125" customWidth="1"/>
    <col min="4" max="4" width="13.6640625" customWidth="1"/>
    <col min="5" max="5" width="13.88671875" customWidth="1"/>
    <col min="6" max="6" width="15.5546875" customWidth="1"/>
    <col min="7" max="7" width="16.6640625" customWidth="1"/>
    <col min="8" max="8" width="16.77734375" customWidth="1"/>
    <col min="9" max="9" width="18.21875" customWidth="1"/>
    <col min="10" max="10" width="12.44140625" customWidth="1"/>
    <col min="11" max="11" width="16.88671875" customWidth="1"/>
    <col min="12" max="12" width="13.109375" customWidth="1"/>
    <col min="13" max="13" width="14" customWidth="1"/>
    <col min="14" max="14" width="18.33203125" customWidth="1"/>
    <col min="15" max="15" width="15" customWidth="1"/>
    <col min="16" max="16" width="16.109375" customWidth="1"/>
    <col min="17" max="17" width="16.6640625" customWidth="1"/>
    <col min="18" max="18" width="13.44140625" customWidth="1"/>
    <col min="19" max="19" width="15.88671875" customWidth="1"/>
    <col min="20" max="20" width="18" customWidth="1"/>
    <col min="21" max="21" width="19.109375" customWidth="1"/>
    <col min="22" max="22" width="17.6640625" customWidth="1"/>
    <col min="24" max="24" width="16.88671875" customWidth="1"/>
  </cols>
  <sheetData>
    <row r="1" spans="1:24">
      <c r="A1" s="1258" t="s">
        <v>9109</v>
      </c>
      <c r="B1" s="1258" t="s">
        <v>1787</v>
      </c>
      <c r="C1" s="1258" t="s">
        <v>4</v>
      </c>
      <c r="D1" s="1258" t="s">
        <v>18063</v>
      </c>
      <c r="E1" s="1258" t="s">
        <v>18064</v>
      </c>
      <c r="F1" s="1258" t="s">
        <v>1354</v>
      </c>
      <c r="G1" s="1271" t="s">
        <v>18065</v>
      </c>
      <c r="H1" s="1258" t="s">
        <v>18066</v>
      </c>
      <c r="I1" s="1258" t="s">
        <v>18067</v>
      </c>
      <c r="J1" s="1258" t="s">
        <v>18068</v>
      </c>
      <c r="K1" s="1258" t="s">
        <v>18069</v>
      </c>
      <c r="L1" s="1258" t="s">
        <v>18070</v>
      </c>
      <c r="M1" s="1258" t="s">
        <v>3088</v>
      </c>
      <c r="N1" s="1258" t="s">
        <v>18071</v>
      </c>
      <c r="O1" s="1258" t="s">
        <v>2320</v>
      </c>
      <c r="P1" s="1258" t="s">
        <v>702</v>
      </c>
      <c r="Q1" s="1265" t="s">
        <v>18072</v>
      </c>
      <c r="R1" s="1265" t="s">
        <v>551</v>
      </c>
      <c r="S1" s="1258" t="s">
        <v>18073</v>
      </c>
      <c r="T1" s="1258" t="s">
        <v>18074</v>
      </c>
      <c r="U1" s="1258" t="s">
        <v>9194</v>
      </c>
      <c r="V1" s="1258" t="s">
        <v>9195</v>
      </c>
      <c r="W1" s="1258" t="s">
        <v>9196</v>
      </c>
      <c r="X1" s="1258" t="s">
        <v>9197</v>
      </c>
    </row>
    <row r="2" spans="1:24">
      <c r="A2" s="1258">
        <v>10</v>
      </c>
      <c r="B2" s="1258" t="s">
        <v>9198</v>
      </c>
      <c r="C2" s="1258" t="s">
        <v>18075</v>
      </c>
      <c r="D2" s="1258">
        <v>20</v>
      </c>
      <c r="E2" s="1258">
        <v>80</v>
      </c>
      <c r="F2" s="1258">
        <v>1</v>
      </c>
      <c r="G2" s="1258" t="s">
        <v>9071</v>
      </c>
      <c r="H2" s="58" t="s">
        <v>18076</v>
      </c>
      <c r="I2" s="58">
        <v>1</v>
      </c>
      <c r="J2" s="58" t="s">
        <v>18077</v>
      </c>
      <c r="K2" s="58">
        <v>50</v>
      </c>
      <c r="L2" s="58">
        <v>500</v>
      </c>
      <c r="M2" s="58">
        <v>1</v>
      </c>
      <c r="N2" s="1258" t="s">
        <v>5815</v>
      </c>
      <c r="O2" s="1258" t="s">
        <v>7685</v>
      </c>
      <c r="P2" s="1258" t="s">
        <v>7685</v>
      </c>
      <c r="Q2" s="1265">
        <v>-3</v>
      </c>
      <c r="R2" s="1265" t="s">
        <v>18078</v>
      </c>
      <c r="S2" s="1258">
        <v>40</v>
      </c>
      <c r="T2" s="1258">
        <v>-1</v>
      </c>
      <c r="U2" s="1258">
        <v>100</v>
      </c>
      <c r="V2" s="1258">
        <v>100</v>
      </c>
      <c r="W2" s="1258">
        <v>1</v>
      </c>
      <c r="X2" s="1258" t="s">
        <v>9199</v>
      </c>
    </row>
    <row r="3" spans="1:24">
      <c r="A3" s="1258">
        <v>30</v>
      </c>
      <c r="B3" s="1258" t="s">
        <v>9200</v>
      </c>
      <c r="C3" s="1258" t="s">
        <v>18079</v>
      </c>
      <c r="D3" s="1258">
        <v>81</v>
      </c>
      <c r="E3" s="1258">
        <v>400</v>
      </c>
      <c r="F3" s="1258">
        <v>2</v>
      </c>
      <c r="G3" s="1258" t="s">
        <v>1907</v>
      </c>
      <c r="H3" s="58" t="s">
        <v>18080</v>
      </c>
      <c r="I3" s="58">
        <v>1</v>
      </c>
      <c r="J3" s="58" t="s">
        <v>18081</v>
      </c>
      <c r="K3" s="58">
        <v>200</v>
      </c>
      <c r="L3" s="58">
        <v>1000</v>
      </c>
      <c r="M3" s="58">
        <v>2</v>
      </c>
      <c r="N3" s="1258" t="s">
        <v>18082</v>
      </c>
      <c r="O3" s="1258" t="s">
        <v>7685</v>
      </c>
      <c r="P3" s="1258" t="s">
        <v>7685</v>
      </c>
      <c r="Q3" s="1265">
        <v>-2</v>
      </c>
      <c r="R3" s="1265" t="s">
        <v>18078</v>
      </c>
      <c r="S3" s="1258">
        <v>100</v>
      </c>
      <c r="T3" s="1258">
        <v>0</v>
      </c>
      <c r="U3" s="1258">
        <v>200</v>
      </c>
      <c r="V3" s="1258">
        <v>200</v>
      </c>
      <c r="W3" s="1258">
        <v>1</v>
      </c>
      <c r="X3" s="1258" t="s">
        <v>9199</v>
      </c>
    </row>
    <row r="4" spans="1:24">
      <c r="A4" s="1258">
        <v>50</v>
      </c>
      <c r="B4" s="1258" t="s">
        <v>1357</v>
      </c>
      <c r="C4" s="1258" t="s">
        <v>18083</v>
      </c>
      <c r="D4" s="1258">
        <v>401</v>
      </c>
      <c r="E4" s="1258">
        <v>900</v>
      </c>
      <c r="F4" s="1258">
        <v>3</v>
      </c>
      <c r="G4" s="1258" t="s">
        <v>9060</v>
      </c>
      <c r="H4" s="58" t="s">
        <v>18084</v>
      </c>
      <c r="I4" s="58">
        <v>2</v>
      </c>
      <c r="J4" s="58">
        <v>0</v>
      </c>
      <c r="K4" s="58">
        <v>500</v>
      </c>
      <c r="L4" s="58">
        <v>2500</v>
      </c>
      <c r="M4" s="58">
        <v>3</v>
      </c>
      <c r="N4" s="1258" t="s">
        <v>18085</v>
      </c>
      <c r="O4" s="1258" t="s">
        <v>18086</v>
      </c>
      <c r="P4" s="1258" t="s">
        <v>7685</v>
      </c>
      <c r="Q4" s="1265">
        <v>-1</v>
      </c>
      <c r="R4" s="1265"/>
      <c r="S4" s="1258">
        <v>200</v>
      </c>
      <c r="T4" s="1258">
        <v>1</v>
      </c>
      <c r="U4" s="1258">
        <v>400</v>
      </c>
      <c r="V4" s="1258">
        <v>400</v>
      </c>
      <c r="W4" s="1258">
        <v>1</v>
      </c>
      <c r="X4" s="1258" t="s">
        <v>9199</v>
      </c>
    </row>
    <row r="5" spans="1:24">
      <c r="A5" s="1258">
        <v>70</v>
      </c>
      <c r="B5" s="1258" t="s">
        <v>9201</v>
      </c>
      <c r="C5" s="1258" t="s">
        <v>18087</v>
      </c>
      <c r="D5" s="1258">
        <v>901</v>
      </c>
      <c r="E5" s="1258">
        <v>2000</v>
      </c>
      <c r="F5" s="1258">
        <v>4</v>
      </c>
      <c r="G5" s="1258" t="s">
        <v>9060</v>
      </c>
      <c r="H5" s="58">
        <v>0</v>
      </c>
      <c r="I5" s="58">
        <v>2</v>
      </c>
      <c r="J5" s="58">
        <v>0</v>
      </c>
      <c r="K5" s="58">
        <v>1000</v>
      </c>
      <c r="L5" s="58">
        <v>5000</v>
      </c>
      <c r="M5" s="58">
        <v>4</v>
      </c>
      <c r="N5" s="1258" t="s">
        <v>18088</v>
      </c>
      <c r="O5" s="1258" t="s">
        <v>18082</v>
      </c>
      <c r="P5" s="1258" t="s">
        <v>7685</v>
      </c>
      <c r="Q5" s="1265">
        <v>0</v>
      </c>
      <c r="R5" s="1265"/>
      <c r="S5" s="1258">
        <v>800</v>
      </c>
      <c r="T5" s="1258">
        <v>42</v>
      </c>
      <c r="U5" s="1258">
        <v>1600</v>
      </c>
      <c r="V5" s="1258">
        <v>1000</v>
      </c>
      <c r="W5" s="1258">
        <v>4</v>
      </c>
      <c r="X5" s="1258" t="s">
        <v>9202</v>
      </c>
    </row>
    <row r="6" spans="1:24">
      <c r="A6" s="1258">
        <v>85</v>
      </c>
      <c r="B6" s="1258" t="s">
        <v>9203</v>
      </c>
      <c r="C6" s="1258" t="s">
        <v>13888</v>
      </c>
      <c r="D6" s="1258">
        <v>2001</v>
      </c>
      <c r="E6" s="1258">
        <v>5000</v>
      </c>
      <c r="F6" s="1258">
        <v>5</v>
      </c>
      <c r="G6" s="1258" t="s">
        <v>9055</v>
      </c>
      <c r="H6" s="58">
        <v>0</v>
      </c>
      <c r="I6" s="58">
        <v>3</v>
      </c>
      <c r="J6" s="58">
        <v>5</v>
      </c>
      <c r="K6" s="58">
        <v>2000</v>
      </c>
      <c r="L6" s="58">
        <v>10000</v>
      </c>
      <c r="M6" s="58">
        <v>5</v>
      </c>
      <c r="N6" s="1258" t="s">
        <v>18088</v>
      </c>
      <c r="O6" s="1258" t="s">
        <v>18085</v>
      </c>
      <c r="P6" s="1258" t="s">
        <v>18086</v>
      </c>
      <c r="Q6" s="1265">
        <v>3</v>
      </c>
      <c r="R6" s="1265"/>
      <c r="S6" s="1258">
        <v>3000</v>
      </c>
      <c r="T6" s="1258">
        <v>3</v>
      </c>
      <c r="U6" s="1258">
        <v>6000</v>
      </c>
      <c r="V6" s="1258">
        <v>3000</v>
      </c>
      <c r="W6" s="1258">
        <v>8</v>
      </c>
      <c r="X6" s="1258" t="s">
        <v>9204</v>
      </c>
    </row>
    <row r="7" spans="1:24">
      <c r="A7" s="1258">
        <v>95</v>
      </c>
      <c r="B7" s="1258" t="s">
        <v>9205</v>
      </c>
      <c r="C7" s="1258" t="s">
        <v>18089</v>
      </c>
      <c r="D7" s="1258">
        <v>5001</v>
      </c>
      <c r="E7" s="1258">
        <v>12000</v>
      </c>
      <c r="F7" s="1258">
        <v>6</v>
      </c>
      <c r="G7" s="1258" t="s">
        <v>9049</v>
      </c>
      <c r="H7" s="58">
        <v>1</v>
      </c>
      <c r="I7" s="58">
        <v>4</v>
      </c>
      <c r="J7" s="58">
        <v>5</v>
      </c>
      <c r="K7" s="58">
        <v>4000</v>
      </c>
      <c r="L7" s="58">
        <v>25000</v>
      </c>
      <c r="M7" s="58">
        <v>6</v>
      </c>
      <c r="N7" s="1258" t="s">
        <v>18090</v>
      </c>
      <c r="O7" s="1258" t="s">
        <v>18088</v>
      </c>
      <c r="P7" s="1258" t="s">
        <v>18082</v>
      </c>
      <c r="Q7" s="1265">
        <v>6</v>
      </c>
      <c r="R7" s="1265" t="s">
        <v>18091</v>
      </c>
      <c r="S7" s="1258">
        <v>15000</v>
      </c>
      <c r="T7" s="1258" t="s">
        <v>18092</v>
      </c>
      <c r="U7" s="1258">
        <v>30000</v>
      </c>
      <c r="V7" s="1258">
        <v>10000</v>
      </c>
      <c r="W7" s="1258">
        <v>12</v>
      </c>
      <c r="X7" s="1258" t="s">
        <v>9206</v>
      </c>
    </row>
    <row r="8" spans="1:24">
      <c r="A8" s="1258">
        <v>99</v>
      </c>
      <c r="B8" s="1258" t="s">
        <v>9207</v>
      </c>
      <c r="C8" s="1258" t="s">
        <v>18093</v>
      </c>
      <c r="D8" s="1258">
        <v>12001</v>
      </c>
      <c r="E8" s="1258">
        <v>25000</v>
      </c>
      <c r="F8" s="1258">
        <v>7</v>
      </c>
      <c r="G8" s="1258" t="s">
        <v>9049</v>
      </c>
      <c r="H8" s="58">
        <v>2</v>
      </c>
      <c r="I8" s="58">
        <v>5</v>
      </c>
      <c r="J8" s="58">
        <v>10</v>
      </c>
      <c r="K8" s="58">
        <v>8000</v>
      </c>
      <c r="L8" s="58">
        <v>50000</v>
      </c>
      <c r="M8" s="58">
        <v>7</v>
      </c>
      <c r="N8" s="1258" t="s">
        <v>18090</v>
      </c>
      <c r="O8" s="1258" t="s">
        <v>18088</v>
      </c>
      <c r="P8" s="1258" t="s">
        <v>18085</v>
      </c>
      <c r="Q8" s="1265">
        <v>9</v>
      </c>
      <c r="R8" s="1265" t="s">
        <v>18094</v>
      </c>
      <c r="S8" s="1258">
        <v>40000</v>
      </c>
      <c r="T8" s="1258" t="s">
        <v>18095</v>
      </c>
      <c r="U8" s="1258">
        <v>80000</v>
      </c>
      <c r="V8" s="1258">
        <v>20000</v>
      </c>
      <c r="W8" s="1258">
        <v>15</v>
      </c>
      <c r="X8" s="1258" t="s">
        <v>9208</v>
      </c>
    </row>
    <row r="9" spans="1:24">
      <c r="A9" s="1258">
        <v>100</v>
      </c>
      <c r="B9" s="1258" t="s">
        <v>9209</v>
      </c>
      <c r="C9" s="1258" t="s">
        <v>18096</v>
      </c>
      <c r="D9" s="1258">
        <v>25001</v>
      </c>
      <c r="E9" s="1258" t="s">
        <v>18097</v>
      </c>
      <c r="F9" s="1258">
        <v>8</v>
      </c>
      <c r="G9" s="1258" t="s">
        <v>9042</v>
      </c>
      <c r="H9" s="58">
        <v>4</v>
      </c>
      <c r="I9" s="58">
        <v>6</v>
      </c>
      <c r="J9" s="58">
        <v>10</v>
      </c>
      <c r="K9" s="58">
        <v>16000</v>
      </c>
      <c r="L9" s="58">
        <v>100000</v>
      </c>
      <c r="M9" s="58">
        <v>8</v>
      </c>
      <c r="N9" s="1258" t="s">
        <v>9013</v>
      </c>
      <c r="O9" s="1258" t="s">
        <v>18090</v>
      </c>
      <c r="P9" s="1258" t="s">
        <v>18088</v>
      </c>
      <c r="Q9" s="1265">
        <v>12</v>
      </c>
      <c r="R9" s="1265" t="s">
        <v>18098</v>
      </c>
      <c r="S9" s="1258">
        <v>100000</v>
      </c>
      <c r="T9" s="1258" t="s">
        <v>18099</v>
      </c>
      <c r="U9" s="1258">
        <v>200000</v>
      </c>
      <c r="V9" s="1258">
        <v>50000</v>
      </c>
      <c r="W9" s="1258">
        <v>18</v>
      </c>
      <c r="X9" t="s">
        <v>9210</v>
      </c>
    </row>
    <row r="10" spans="1:24">
      <c r="A10" s="1258"/>
      <c r="B10" s="1258"/>
      <c r="C10" s="1258"/>
      <c r="D10" s="1258"/>
      <c r="E10" s="1258"/>
      <c r="F10" s="1258"/>
      <c r="G10" s="1258"/>
      <c r="H10" s="1258"/>
      <c r="I10" s="1258"/>
      <c r="J10" s="1258"/>
      <c r="K10" s="1258"/>
      <c r="L10" s="1258"/>
      <c r="M10" s="1258"/>
      <c r="N10" s="1258"/>
      <c r="O10" s="1258"/>
      <c r="P10" s="1258"/>
      <c r="Q10" s="1265"/>
      <c r="R10" s="1265"/>
      <c r="S10" s="1258"/>
      <c r="T10" s="1258"/>
      <c r="U10" s="1265"/>
      <c r="V10" s="1265"/>
      <c r="W10" s="1265"/>
      <c r="X10" s="1265"/>
    </row>
    <row r="11" spans="1:24">
      <c r="A11" s="1258"/>
      <c r="B11" s="1258"/>
      <c r="C11" s="1258"/>
      <c r="D11" s="1258"/>
      <c r="E11" s="1258"/>
      <c r="F11" s="1258"/>
      <c r="G11" s="1258"/>
      <c r="H11" s="1258"/>
      <c r="I11" s="1258"/>
      <c r="J11" s="1258"/>
      <c r="K11" s="1258"/>
      <c r="L11" s="1258"/>
      <c r="M11" s="1258"/>
      <c r="N11" s="1258"/>
      <c r="O11" s="1258"/>
      <c r="P11" s="1258"/>
      <c r="Q11" s="1258"/>
      <c r="R11" s="1258"/>
      <c r="S11" s="1258"/>
      <c r="T11" s="1258"/>
      <c r="U11" s="1258"/>
      <c r="V11" s="1258"/>
      <c r="W11" s="1258"/>
      <c r="X11" s="1258"/>
    </row>
    <row r="12" spans="1:24">
      <c r="A12" s="1258"/>
      <c r="B12" s="1258"/>
      <c r="C12" s="1258"/>
      <c r="D12" s="1258"/>
      <c r="E12" s="1258"/>
      <c r="F12" s="1258"/>
      <c r="G12" s="1258"/>
      <c r="H12" s="1258"/>
      <c r="I12" s="1258"/>
      <c r="J12" s="1258"/>
      <c r="K12" s="1258"/>
      <c r="L12" s="1258"/>
      <c r="M12" s="1258"/>
      <c r="N12" s="1258"/>
      <c r="O12" s="1258"/>
      <c r="P12" s="1258"/>
      <c r="Q12" s="1258"/>
      <c r="R12" s="1258"/>
      <c r="S12" s="1258"/>
      <c r="T12" s="1258"/>
      <c r="U12" s="1258"/>
      <c r="V12" s="1258"/>
      <c r="W12" s="1258"/>
      <c r="X12" s="1258"/>
    </row>
    <row r="13" spans="1:24" ht="16.5">
      <c r="A13" s="1258"/>
      <c r="B13" s="1258"/>
      <c r="C13" s="1258"/>
      <c r="D13" s="1258"/>
      <c r="E13" s="1258"/>
      <c r="F13" s="1258" t="s">
        <v>17719</v>
      </c>
      <c r="G13" s="1272" t="s">
        <v>17720</v>
      </c>
      <c r="H13" s="1272" t="s">
        <v>17721</v>
      </c>
      <c r="I13" s="1272" t="s">
        <v>17722</v>
      </c>
      <c r="J13" s="1272" t="s">
        <v>17723</v>
      </c>
      <c r="K13" s="1272" t="s">
        <v>17724</v>
      </c>
      <c r="L13" s="1273" t="s">
        <v>17725</v>
      </c>
      <c r="M13" s="1258"/>
      <c r="N13" s="1258"/>
      <c r="O13" s="1275" t="s">
        <v>18100</v>
      </c>
      <c r="P13" s="1258"/>
      <c r="Q13" s="1258"/>
      <c r="R13" s="1258"/>
      <c r="S13" s="1258"/>
      <c r="T13" s="1258"/>
      <c r="U13" s="1258"/>
      <c r="V13" s="1258"/>
      <c r="W13" s="1258"/>
      <c r="X13" s="1258"/>
    </row>
    <row r="14" spans="1:24">
      <c r="A14" s="1265" t="s">
        <v>18101</v>
      </c>
      <c r="B14" s="1258"/>
      <c r="C14" s="1258"/>
      <c r="D14" s="1258"/>
      <c r="E14" s="1258"/>
      <c r="F14" s="1258">
        <v>1</v>
      </c>
      <c r="G14" s="1258">
        <v>1.7</v>
      </c>
      <c r="H14" s="1258">
        <v>585</v>
      </c>
      <c r="I14" s="1258">
        <v>260</v>
      </c>
      <c r="J14" s="1258">
        <v>65</v>
      </c>
      <c r="K14" s="1258">
        <v>30</v>
      </c>
      <c r="L14" s="1258">
        <v>10</v>
      </c>
      <c r="M14" s="1267"/>
      <c r="N14" s="1258"/>
      <c r="O14" s="1275" t="s">
        <v>18102</v>
      </c>
      <c r="P14" s="1265"/>
      <c r="Q14" s="1258"/>
      <c r="R14" s="1258"/>
      <c r="S14" s="1258"/>
      <c r="T14" s="1258"/>
      <c r="U14" s="1258"/>
      <c r="V14" s="1258"/>
      <c r="W14" s="1258"/>
      <c r="X14" s="1258"/>
    </row>
    <row r="15" spans="1:24">
      <c r="A15" s="1265" t="s">
        <v>18103</v>
      </c>
      <c r="B15" s="1265" t="s">
        <v>13902</v>
      </c>
      <c r="C15" s="1258"/>
      <c r="D15" s="1258"/>
      <c r="E15" s="1258"/>
      <c r="F15" s="1258">
        <v>10</v>
      </c>
      <c r="G15" s="1258">
        <v>100</v>
      </c>
      <c r="H15" s="1258">
        <v>30</v>
      </c>
      <c r="I15" s="1258">
        <v>15</v>
      </c>
      <c r="J15" s="1258">
        <v>5</v>
      </c>
      <c r="K15" s="1258">
        <v>1</v>
      </c>
      <c r="L15" s="1258">
        <v>1</v>
      </c>
      <c r="M15" s="1266"/>
      <c r="N15" s="1258"/>
      <c r="O15" s="1268"/>
      <c r="P15" s="1265"/>
      <c r="Q15" s="1265"/>
      <c r="R15" s="1265"/>
      <c r="S15" s="1258"/>
      <c r="T15" s="1258"/>
      <c r="U15" s="1258"/>
      <c r="V15" s="1258"/>
      <c r="W15" s="1258"/>
      <c r="X15" s="1258"/>
    </row>
    <row r="16" spans="1:24">
      <c r="A16" s="1258">
        <v>35</v>
      </c>
      <c r="B16" s="1265" t="s">
        <v>18104</v>
      </c>
      <c r="C16" s="1258">
        <v>1</v>
      </c>
      <c r="D16" s="1258"/>
      <c r="E16" s="1258"/>
      <c r="F16" s="1258">
        <v>100</v>
      </c>
      <c r="G16" s="1258">
        <v>15</v>
      </c>
      <c r="H16" s="1258">
        <v>5</v>
      </c>
      <c r="I16" s="1258">
        <v>2</v>
      </c>
      <c r="J16" s="1258">
        <v>1</v>
      </c>
      <c r="K16" s="1263">
        <v>0.25</v>
      </c>
      <c r="L16" s="1263">
        <v>0.1</v>
      </c>
      <c r="M16" s="1266"/>
      <c r="N16" s="1258"/>
      <c r="O16" s="1265"/>
      <c r="P16" s="1265"/>
      <c r="Q16" s="1258"/>
      <c r="R16" s="1258"/>
      <c r="S16" s="1258"/>
      <c r="T16" s="1258"/>
      <c r="U16" s="1258"/>
      <c r="V16" s="1258"/>
      <c r="W16" s="1258"/>
      <c r="X16" s="1258"/>
    </row>
    <row r="17" spans="1:24">
      <c r="A17" s="1258">
        <v>39</v>
      </c>
      <c r="B17" s="1265" t="s">
        <v>18105</v>
      </c>
      <c r="C17" s="1258"/>
      <c r="D17" s="1258"/>
      <c r="E17" s="1258"/>
      <c r="F17" s="1258">
        <v>1000</v>
      </c>
      <c r="G17" s="1258">
        <v>7</v>
      </c>
      <c r="H17" s="1258">
        <v>2</v>
      </c>
      <c r="I17" s="1258">
        <v>1</v>
      </c>
      <c r="J17" s="1263">
        <v>0.25</v>
      </c>
      <c r="K17" s="1263">
        <v>0.1</v>
      </c>
      <c r="L17" s="1263">
        <v>0.05</v>
      </c>
      <c r="M17" s="1266"/>
      <c r="N17" s="1258"/>
      <c r="O17" s="1265"/>
      <c r="P17" s="1265"/>
      <c r="Q17" s="1265"/>
      <c r="R17" s="1265"/>
      <c r="S17" s="1258"/>
      <c r="T17" s="1258"/>
      <c r="U17" s="1258"/>
      <c r="V17" s="1258"/>
      <c r="W17" s="1258"/>
      <c r="X17" s="1258"/>
    </row>
    <row r="18" spans="1:24">
      <c r="A18" s="1258">
        <v>41</v>
      </c>
      <c r="B18" s="1265" t="s">
        <v>18106</v>
      </c>
      <c r="C18" s="1258"/>
      <c r="D18" s="1258"/>
      <c r="E18" s="1258"/>
      <c r="F18" s="1258">
        <v>10000</v>
      </c>
      <c r="G18" s="1258">
        <v>2</v>
      </c>
      <c r="H18" s="1258">
        <v>1</v>
      </c>
      <c r="I18" s="1263">
        <v>0.25</v>
      </c>
      <c r="J18" s="1263">
        <v>0.1</v>
      </c>
      <c r="K18" s="1263">
        <v>0.05</v>
      </c>
      <c r="L18" s="1263">
        <v>0.01</v>
      </c>
      <c r="M18" s="1266"/>
      <c r="N18" s="1258"/>
      <c r="O18" s="1258"/>
      <c r="P18" s="1258"/>
      <c r="Q18" s="1258"/>
      <c r="R18" s="1258"/>
      <c r="S18" s="1258"/>
      <c r="T18" s="1258"/>
      <c r="U18" s="1258"/>
      <c r="V18" s="1258"/>
      <c r="W18" s="1258"/>
      <c r="X18" s="1258"/>
    </row>
    <row r="19" spans="1:24" ht="17.25">
      <c r="A19" s="1258">
        <v>61</v>
      </c>
      <c r="B19" s="1265" t="s">
        <v>18107</v>
      </c>
      <c r="C19" s="1258"/>
      <c r="D19" s="1258"/>
      <c r="E19" s="1258"/>
      <c r="F19" s="1258" t="s">
        <v>17762</v>
      </c>
      <c r="G19" s="1263">
        <v>0.1</v>
      </c>
      <c r="H19" s="1263">
        <v>0.05</v>
      </c>
      <c r="I19" s="1263">
        <v>0.02</v>
      </c>
      <c r="J19" s="1258" t="s">
        <v>17763</v>
      </c>
      <c r="K19" s="1258" t="s">
        <v>17763</v>
      </c>
      <c r="L19" s="1258" t="s">
        <v>17763</v>
      </c>
      <c r="M19" s="1264"/>
      <c r="N19" s="1258"/>
      <c r="O19" s="1258"/>
      <c r="P19" s="1258"/>
      <c r="Q19" s="1258"/>
      <c r="R19" s="1258"/>
      <c r="S19" s="1258"/>
      <c r="T19" s="1258"/>
      <c r="U19" s="1258"/>
      <c r="V19" s="1258"/>
      <c r="W19" s="1258"/>
      <c r="X19" s="1258"/>
    </row>
    <row r="20" spans="1:24">
      <c r="A20" s="1258">
        <v>63</v>
      </c>
      <c r="B20" s="1265" t="s">
        <v>18108</v>
      </c>
      <c r="C20" s="1258"/>
      <c r="D20" s="1258"/>
      <c r="E20" s="1258"/>
      <c r="F20" s="1265"/>
      <c r="G20" s="1265"/>
      <c r="H20" s="1258"/>
      <c r="I20" s="1258"/>
      <c r="J20" s="1258"/>
      <c r="K20" s="1258"/>
      <c r="L20" s="1258"/>
      <c r="M20" s="1266"/>
      <c r="N20" s="1258"/>
      <c r="O20" s="1258"/>
      <c r="P20" s="1258"/>
      <c r="Q20" s="1258"/>
      <c r="R20" s="1258"/>
      <c r="S20" s="1258"/>
      <c r="T20" s="1258"/>
      <c r="U20" s="1258"/>
      <c r="V20" s="1258"/>
      <c r="W20" s="1258"/>
      <c r="X20" s="1258"/>
    </row>
    <row r="21" spans="1:24" ht="16.5">
      <c r="A21" s="1258">
        <v>64</v>
      </c>
      <c r="B21" s="1265" t="s">
        <v>18109</v>
      </c>
      <c r="C21" s="1258"/>
      <c r="D21" s="1258"/>
      <c r="E21" s="1258"/>
      <c r="F21" s="1276" t="s">
        <v>18110</v>
      </c>
      <c r="G21" s="1265"/>
      <c r="H21" s="1258"/>
      <c r="I21" s="1258"/>
      <c r="J21" s="1258"/>
      <c r="K21" s="1258"/>
      <c r="L21" s="1258"/>
      <c r="M21" s="1266"/>
      <c r="N21" s="1258"/>
      <c r="O21" s="1258"/>
      <c r="P21" s="1258"/>
      <c r="Q21" s="1258"/>
      <c r="R21" s="1258"/>
      <c r="S21" s="1258"/>
      <c r="T21" s="1258"/>
      <c r="U21" s="1258"/>
      <c r="V21" s="1258"/>
      <c r="W21" s="1258"/>
      <c r="X21" s="1258"/>
    </row>
    <row r="22" spans="1:24">
      <c r="A22" s="1258">
        <v>90</v>
      </c>
      <c r="B22" s="1265" t="s">
        <v>18111</v>
      </c>
      <c r="C22" s="1258"/>
      <c r="D22" s="1258"/>
      <c r="E22" s="1258"/>
      <c r="F22" s="1265"/>
      <c r="G22" s="1265"/>
      <c r="H22" s="1258"/>
      <c r="I22" s="1258"/>
      <c r="J22" s="1258"/>
      <c r="K22" s="1258"/>
      <c r="L22" s="1258"/>
      <c r="M22" s="1266"/>
      <c r="N22" s="1258"/>
      <c r="O22" s="1258"/>
      <c r="P22" s="1258"/>
      <c r="Q22" s="1258"/>
      <c r="R22" s="1258"/>
      <c r="S22" s="1258"/>
      <c r="T22" s="1258"/>
      <c r="U22" s="1258"/>
      <c r="V22" s="1258"/>
      <c r="W22" s="1258"/>
      <c r="X22" s="1258"/>
    </row>
    <row r="23" spans="1:24">
      <c r="A23" s="1258">
        <v>98</v>
      </c>
      <c r="B23" s="1265" t="s">
        <v>18112</v>
      </c>
      <c r="C23" s="1258"/>
      <c r="D23" s="1258"/>
      <c r="E23" s="1258"/>
      <c r="F23" s="1265"/>
      <c r="G23" s="1265"/>
      <c r="H23" s="1258"/>
      <c r="I23" s="1258"/>
      <c r="J23" s="1258"/>
      <c r="K23" s="1258"/>
      <c r="L23" s="1258"/>
      <c r="M23" s="1266"/>
      <c r="N23" s="1258"/>
      <c r="O23" s="1258"/>
      <c r="P23" s="1258"/>
      <c r="Q23" s="1258"/>
      <c r="R23" s="1258"/>
      <c r="S23" s="1258"/>
      <c r="T23" s="1258"/>
      <c r="U23" s="1258"/>
      <c r="V23" s="1258"/>
      <c r="W23" s="1258"/>
      <c r="X23" s="1258"/>
    </row>
    <row r="24" spans="1:24">
      <c r="A24" s="1258">
        <v>100</v>
      </c>
      <c r="B24" s="1265" t="s">
        <v>18113</v>
      </c>
      <c r="C24" s="1265"/>
      <c r="D24" s="1258"/>
      <c r="E24" s="1258"/>
      <c r="F24" s="1265"/>
      <c r="G24" s="1265"/>
      <c r="H24" s="1258"/>
      <c r="I24" s="1258"/>
      <c r="J24" s="1258"/>
      <c r="K24" s="1258"/>
      <c r="L24" s="1258"/>
      <c r="M24" s="1258"/>
      <c r="N24" s="1258"/>
      <c r="O24" s="1258"/>
      <c r="P24" s="1258"/>
      <c r="Q24" s="1258"/>
      <c r="R24" s="1258"/>
      <c r="S24" s="1258"/>
      <c r="T24" s="1258"/>
      <c r="U24" s="1258"/>
      <c r="V24" s="1258"/>
      <c r="W24" s="1258"/>
      <c r="X24" s="1258"/>
    </row>
    <row r="25" spans="1:24">
      <c r="A25" s="1258"/>
      <c r="B25" s="1258"/>
      <c r="C25" s="1265"/>
      <c r="D25" s="1258"/>
      <c r="E25" s="1258"/>
      <c r="F25" s="1265" t="s">
        <v>9808</v>
      </c>
      <c r="G25" s="1265" t="s">
        <v>18114</v>
      </c>
      <c r="H25" s="1258" t="s">
        <v>18115</v>
      </c>
      <c r="I25" s="1258" t="s">
        <v>9809</v>
      </c>
      <c r="J25" s="1258" t="s">
        <v>18116</v>
      </c>
      <c r="K25" s="1258" t="s">
        <v>8533</v>
      </c>
      <c r="L25" s="1258" t="s">
        <v>18117</v>
      </c>
      <c r="M25" s="1271" t="s">
        <v>18118</v>
      </c>
      <c r="N25" s="1271" t="s">
        <v>18119</v>
      </c>
      <c r="O25" s="1271" t="s">
        <v>18120</v>
      </c>
      <c r="P25" s="1262" t="s">
        <v>18121</v>
      </c>
      <c r="Q25" s="1262" t="s">
        <v>18122</v>
      </c>
      <c r="R25" s="1270" t="s">
        <v>18123</v>
      </c>
      <c r="S25" s="1262" t="s">
        <v>18124</v>
      </c>
      <c r="T25" s="1258"/>
      <c r="U25" s="1258"/>
      <c r="V25" s="1258"/>
      <c r="W25" s="1258"/>
      <c r="X25" s="1258"/>
    </row>
    <row r="26" spans="1:24">
      <c r="A26" s="1258"/>
      <c r="B26" s="1258"/>
      <c r="C26" s="1265"/>
      <c r="D26" s="1258"/>
      <c r="E26" s="1258"/>
      <c r="F26" s="1258" t="s">
        <v>6281</v>
      </c>
      <c r="G26" s="1258"/>
      <c r="H26" s="1258"/>
      <c r="I26" s="1258">
        <v>0</v>
      </c>
      <c r="J26" s="1258">
        <v>0</v>
      </c>
      <c r="K26" s="1258" t="s">
        <v>18125</v>
      </c>
      <c r="L26" s="1258"/>
      <c r="M26" s="1258" t="s">
        <v>6281</v>
      </c>
      <c r="N26" s="1258">
        <v>1</v>
      </c>
      <c r="O26" s="1258"/>
      <c r="P26" s="1258">
        <v>1</v>
      </c>
      <c r="Q26" s="1258"/>
      <c r="R26" s="1258"/>
      <c r="S26" s="1258"/>
      <c r="T26" s="1258"/>
      <c r="U26" s="1258"/>
      <c r="V26" s="1258"/>
      <c r="W26" s="1258"/>
      <c r="X26" s="1258"/>
    </row>
    <row r="27" spans="1:24">
      <c r="A27" s="1258"/>
      <c r="B27" s="1258"/>
      <c r="C27" s="1265"/>
      <c r="D27" s="1258"/>
      <c r="E27" s="1258"/>
      <c r="F27" s="1265" t="s">
        <v>9810</v>
      </c>
      <c r="G27" s="1265">
        <v>0.03</v>
      </c>
      <c r="H27" s="1258">
        <v>7.0000000000000007E-2</v>
      </c>
      <c r="I27" s="1258">
        <v>0.1</v>
      </c>
      <c r="J27" s="1258">
        <v>3</v>
      </c>
      <c r="K27" s="1258" t="s">
        <v>18126</v>
      </c>
      <c r="L27" s="1258" t="s">
        <v>18127</v>
      </c>
      <c r="M27" s="1258"/>
      <c r="N27" s="1258"/>
      <c r="O27" s="1258"/>
      <c r="P27" s="1258">
        <v>6</v>
      </c>
      <c r="Q27" s="1258">
        <v>0.2</v>
      </c>
      <c r="R27" s="1265">
        <v>0.06</v>
      </c>
      <c r="S27" s="1258">
        <v>0.15</v>
      </c>
      <c r="T27" s="1258"/>
      <c r="U27" s="1258"/>
      <c r="V27" s="1258"/>
      <c r="W27" s="1258"/>
      <c r="X27" s="1258"/>
    </row>
    <row r="28" spans="1:24">
      <c r="A28" s="1258"/>
      <c r="B28" s="1258"/>
      <c r="C28" s="1265"/>
      <c r="D28" s="1258"/>
      <c r="E28" s="1258"/>
      <c r="F28" s="1265" t="s">
        <v>7344</v>
      </c>
      <c r="G28" s="1265">
        <v>0.06</v>
      </c>
      <c r="H28" s="1258">
        <v>0.1</v>
      </c>
      <c r="I28" s="1258">
        <v>0.2</v>
      </c>
      <c r="J28" s="1258">
        <v>6</v>
      </c>
      <c r="K28" s="1258" t="s">
        <v>18128</v>
      </c>
      <c r="L28" s="1258" t="s">
        <v>18129</v>
      </c>
      <c r="M28" s="1258" t="s">
        <v>18130</v>
      </c>
      <c r="N28" s="1258">
        <v>12</v>
      </c>
      <c r="O28" s="1258">
        <v>2</v>
      </c>
      <c r="P28" s="1258">
        <v>12</v>
      </c>
      <c r="Q28" s="1258">
        <v>0.4</v>
      </c>
      <c r="R28" s="1265">
        <v>0.12</v>
      </c>
      <c r="S28" s="1258">
        <v>0.2</v>
      </c>
      <c r="T28" s="1258"/>
      <c r="U28" s="1258"/>
      <c r="V28" s="1258"/>
      <c r="W28" s="1258"/>
      <c r="X28" s="1258"/>
    </row>
    <row r="29" spans="1:24">
      <c r="A29" s="1258"/>
      <c r="B29" s="1258"/>
      <c r="C29" s="1265"/>
      <c r="D29" s="1258"/>
      <c r="E29" s="1258"/>
      <c r="F29" s="1265" t="s">
        <v>7332</v>
      </c>
      <c r="G29" s="1265">
        <v>0.3</v>
      </c>
      <c r="H29" s="1258">
        <v>0.5</v>
      </c>
      <c r="I29" s="1258">
        <v>1</v>
      </c>
      <c r="J29" s="1258">
        <v>30</v>
      </c>
      <c r="K29" s="1258" t="s">
        <v>18131</v>
      </c>
      <c r="L29" s="1258" t="s">
        <v>18132</v>
      </c>
      <c r="M29" s="1258" t="s">
        <v>18133</v>
      </c>
      <c r="N29" s="1258">
        <v>40</v>
      </c>
      <c r="O29" s="1258">
        <v>1.33</v>
      </c>
      <c r="P29" s="1258">
        <v>45</v>
      </c>
      <c r="Q29" s="1258">
        <v>1.5</v>
      </c>
      <c r="R29" s="1265">
        <v>0.45</v>
      </c>
      <c r="S29" s="1258">
        <v>1</v>
      </c>
      <c r="T29" s="1258"/>
      <c r="U29" s="1258"/>
      <c r="V29" s="1258"/>
      <c r="W29" s="1258"/>
      <c r="X29" s="1258"/>
    </row>
    <row r="30" spans="1:24">
      <c r="A30" s="1258"/>
      <c r="B30" s="1258"/>
      <c r="C30" s="1265"/>
      <c r="D30" s="1258"/>
      <c r="E30" s="1258"/>
      <c r="F30" s="1265" t="s">
        <v>7333</v>
      </c>
      <c r="G30" s="1265">
        <v>0.5</v>
      </c>
      <c r="H30" s="1258">
        <v>0.8</v>
      </c>
      <c r="I30" s="1258">
        <v>2</v>
      </c>
      <c r="J30" s="1258">
        <v>60</v>
      </c>
      <c r="K30" s="1258" t="s">
        <v>18134</v>
      </c>
      <c r="L30" s="1258" t="s">
        <v>18135</v>
      </c>
      <c r="M30" s="1258" t="s">
        <v>7333</v>
      </c>
      <c r="N30" s="1258">
        <v>100</v>
      </c>
      <c r="O30" s="1258">
        <v>1.67</v>
      </c>
      <c r="P30" s="1258">
        <v>120</v>
      </c>
      <c r="Q30" s="1258">
        <v>4</v>
      </c>
      <c r="R30" s="1265">
        <v>1</v>
      </c>
      <c r="S30" s="1258">
        <v>2</v>
      </c>
      <c r="T30" s="1258"/>
      <c r="U30" s="1258"/>
      <c r="V30" s="1258"/>
      <c r="W30" s="1258"/>
      <c r="X30" s="1258"/>
    </row>
    <row r="31" spans="1:24">
      <c r="A31" s="1258"/>
      <c r="B31" s="1258"/>
      <c r="C31" s="1265"/>
      <c r="D31" s="1258"/>
      <c r="E31" s="1258"/>
      <c r="F31" s="1265" t="s">
        <v>7341</v>
      </c>
      <c r="G31" s="1265">
        <v>0.8</v>
      </c>
      <c r="H31" s="1258">
        <v>2</v>
      </c>
      <c r="I31" s="1258">
        <v>4</v>
      </c>
      <c r="J31" s="1258">
        <v>120</v>
      </c>
      <c r="K31" s="1258" t="s">
        <v>18136</v>
      </c>
      <c r="L31" s="1258" t="s">
        <v>18137</v>
      </c>
      <c r="M31" s="1258" t="s">
        <v>18138</v>
      </c>
      <c r="N31" s="1258">
        <v>450</v>
      </c>
      <c r="O31" s="1258">
        <v>3.75</v>
      </c>
      <c r="P31" s="1258">
        <v>450</v>
      </c>
      <c r="Q31" s="1258">
        <v>15</v>
      </c>
      <c r="R31" s="1265">
        <v>2</v>
      </c>
      <c r="S31" s="1258">
        <v>4</v>
      </c>
      <c r="T31" s="1269"/>
      <c r="U31" s="1269"/>
      <c r="V31" s="1269"/>
      <c r="W31" s="1269"/>
      <c r="X31" s="1269"/>
    </row>
    <row r="32" spans="1:24">
      <c r="A32" s="1258"/>
      <c r="B32" s="1258"/>
      <c r="C32" s="1265"/>
      <c r="D32" s="1258"/>
      <c r="E32" s="1258"/>
      <c r="F32" s="1265" t="s">
        <v>9812</v>
      </c>
      <c r="G32" s="1265">
        <v>2</v>
      </c>
      <c r="H32" s="1258">
        <v>4</v>
      </c>
      <c r="I32" s="1258">
        <v>10</v>
      </c>
      <c r="J32" s="1258">
        <v>300</v>
      </c>
      <c r="K32" s="1258" t="s">
        <v>18139</v>
      </c>
      <c r="L32" s="1258" t="s">
        <v>18140</v>
      </c>
      <c r="M32" s="1258" t="s">
        <v>18141</v>
      </c>
      <c r="N32" s="1258">
        <v>2000</v>
      </c>
      <c r="O32" s="1258">
        <v>6.666666666666667</v>
      </c>
      <c r="P32" s="1258">
        <v>2250</v>
      </c>
      <c r="Q32" s="1258">
        <v>75</v>
      </c>
      <c r="R32" s="1265">
        <v>10</v>
      </c>
      <c r="S32" s="1258">
        <v>20</v>
      </c>
      <c r="T32" s="1269"/>
      <c r="U32" s="1269"/>
      <c r="V32" s="1269"/>
      <c r="W32" s="1269"/>
      <c r="X32" s="1269"/>
    </row>
    <row r="33" spans="1:24">
      <c r="A33" s="1258"/>
      <c r="B33" s="1265"/>
      <c r="C33" s="1258"/>
      <c r="D33" s="1258"/>
      <c r="E33" s="1258"/>
      <c r="F33" s="1265"/>
      <c r="G33" s="1265"/>
      <c r="H33" s="1258"/>
      <c r="I33" s="1258"/>
      <c r="J33" s="1258"/>
      <c r="K33" s="1258"/>
      <c r="L33" s="1258"/>
      <c r="M33" s="1258"/>
      <c r="N33" s="1258"/>
      <c r="O33" s="1258"/>
      <c r="P33" s="1258"/>
      <c r="Q33" s="1258"/>
      <c r="R33" s="1258"/>
      <c r="S33" s="1258"/>
      <c r="T33" s="1263"/>
      <c r="U33" s="1263"/>
      <c r="V33" s="1263"/>
      <c r="W33" s="1263"/>
      <c r="X33" s="1263"/>
    </row>
    <row r="34" spans="1:24">
      <c r="A34" s="1258"/>
      <c r="B34" s="1265"/>
      <c r="C34" s="1258"/>
      <c r="D34" s="1258"/>
      <c r="E34" s="1258"/>
      <c r="F34" s="1258" t="s">
        <v>18142</v>
      </c>
      <c r="G34" s="1258"/>
      <c r="H34" s="1258"/>
      <c r="I34" s="1258"/>
      <c r="J34" s="1258"/>
      <c r="K34" s="1258"/>
      <c r="L34" s="1258"/>
      <c r="M34" s="1258"/>
      <c r="N34" s="1258"/>
      <c r="O34" s="1258"/>
      <c r="P34" s="1258"/>
      <c r="Q34" s="1258"/>
      <c r="R34" s="1258"/>
      <c r="S34" s="1258"/>
      <c r="T34" s="1263"/>
      <c r="U34" s="1263"/>
      <c r="V34" s="1263"/>
      <c r="W34" s="1263"/>
      <c r="X34" s="1263"/>
    </row>
    <row r="35" spans="1:24">
      <c r="A35" s="1258"/>
      <c r="B35" s="1265"/>
      <c r="C35" s="1258"/>
      <c r="D35" s="1258"/>
      <c r="E35" s="1258"/>
      <c r="F35" s="1261" t="s">
        <v>18143</v>
      </c>
      <c r="G35" s="1261" t="s">
        <v>18144</v>
      </c>
      <c r="H35" s="1261" t="s">
        <v>18145</v>
      </c>
      <c r="I35" s="1261" t="s">
        <v>18146</v>
      </c>
      <c r="J35" s="1258"/>
      <c r="K35" s="1258"/>
      <c r="L35" s="1258"/>
      <c r="M35" s="1258"/>
      <c r="N35" s="1258"/>
      <c r="O35" s="1258"/>
      <c r="P35" s="1258"/>
      <c r="Q35" s="1258"/>
      <c r="R35" s="1258"/>
      <c r="S35" s="1258"/>
      <c r="T35" s="1263"/>
      <c r="U35" s="1263"/>
      <c r="V35" s="1263"/>
      <c r="W35" s="1263"/>
      <c r="X35" s="1263"/>
    </row>
    <row r="36" spans="1:24">
      <c r="A36" s="1258"/>
      <c r="B36" s="1265"/>
      <c r="C36" s="1258"/>
      <c r="D36" s="1258"/>
      <c r="E36" s="1258"/>
      <c r="F36" s="1261" t="s">
        <v>6281</v>
      </c>
      <c r="G36" s="1261">
        <v>0</v>
      </c>
      <c r="H36" s="1261">
        <v>1</v>
      </c>
      <c r="I36" s="1261" t="s">
        <v>18147</v>
      </c>
      <c r="J36" s="1258"/>
      <c r="K36" s="1258"/>
      <c r="L36" s="1258"/>
      <c r="M36" s="1258"/>
      <c r="N36" s="1258"/>
      <c r="O36" s="1258"/>
      <c r="P36" s="1258"/>
      <c r="Q36" s="1258"/>
      <c r="R36" s="1258"/>
      <c r="S36" s="1258"/>
      <c r="T36" s="1258"/>
      <c r="U36" s="1258"/>
      <c r="V36" s="1258"/>
      <c r="W36" s="1258"/>
      <c r="X36" s="1258"/>
    </row>
    <row r="37" spans="1:24" ht="28.5">
      <c r="A37" s="1258"/>
      <c r="B37" s="1265"/>
      <c r="C37" s="1258"/>
      <c r="D37" s="1258"/>
      <c r="E37" s="1258"/>
      <c r="F37" s="1261" t="s">
        <v>18130</v>
      </c>
      <c r="G37" s="1261">
        <v>2</v>
      </c>
      <c r="H37" s="1261">
        <v>12</v>
      </c>
      <c r="I37" s="1261" t="s">
        <v>18148</v>
      </c>
      <c r="J37" s="1258"/>
      <c r="K37" s="1258"/>
      <c r="L37" s="1258"/>
      <c r="M37" s="1258"/>
      <c r="N37" s="1258"/>
      <c r="O37" s="1265"/>
      <c r="P37" s="1258"/>
      <c r="Q37" s="1258"/>
      <c r="R37" s="1258"/>
      <c r="S37" s="1258"/>
      <c r="T37" s="1258"/>
      <c r="U37" s="1258"/>
      <c r="V37" s="1258"/>
      <c r="W37" s="1258"/>
      <c r="X37" s="1258"/>
    </row>
    <row r="38" spans="1:24" ht="42.75">
      <c r="A38" s="1258"/>
      <c r="B38" s="1265"/>
      <c r="C38" s="1258"/>
      <c r="D38" s="1258"/>
      <c r="E38" s="1258"/>
      <c r="F38" s="1261" t="s">
        <v>18133</v>
      </c>
      <c r="G38" s="1261">
        <v>13</v>
      </c>
      <c r="H38" s="1261">
        <v>40</v>
      </c>
      <c r="I38" s="1261" t="s">
        <v>18149</v>
      </c>
      <c r="J38" s="1258"/>
      <c r="K38" s="1258"/>
      <c r="L38" s="1258"/>
      <c r="M38" s="1258"/>
      <c r="N38" s="1258"/>
      <c r="O38" s="1265"/>
      <c r="P38" s="1258"/>
      <c r="Q38" s="1258"/>
      <c r="R38" s="1258"/>
      <c r="S38" s="1258"/>
      <c r="T38" s="1258"/>
      <c r="U38" s="1258"/>
      <c r="V38" s="1258"/>
      <c r="W38" s="1258"/>
      <c r="X38" s="1258"/>
    </row>
    <row r="39" spans="1:24" ht="57">
      <c r="A39" s="1258"/>
      <c r="B39" s="1265"/>
      <c r="C39" s="1258"/>
      <c r="D39" s="1258"/>
      <c r="E39" s="1258"/>
      <c r="F39" s="1261" t="s">
        <v>7333</v>
      </c>
      <c r="G39" s="1261">
        <v>41</v>
      </c>
      <c r="H39" s="1261">
        <v>100</v>
      </c>
      <c r="I39" s="1261" t="s">
        <v>18150</v>
      </c>
      <c r="J39" s="1258"/>
      <c r="K39" s="1258"/>
      <c r="L39" s="1258"/>
      <c r="M39" s="1258"/>
      <c r="N39" s="1258"/>
      <c r="O39" s="1258"/>
      <c r="P39" s="1258"/>
      <c r="Q39" s="1258"/>
      <c r="R39" s="1258"/>
      <c r="S39" s="1258"/>
      <c r="T39" s="1258"/>
      <c r="U39" s="1258"/>
      <c r="V39" s="1258"/>
      <c r="W39" s="1258"/>
      <c r="X39" s="1258"/>
    </row>
    <row r="40" spans="1:24" ht="57">
      <c r="A40" s="1258"/>
      <c r="B40" s="1265"/>
      <c r="C40" s="1258"/>
      <c r="D40" s="1258"/>
      <c r="E40" s="1258"/>
      <c r="F40" s="1261" t="s">
        <v>18138</v>
      </c>
      <c r="G40" s="1261">
        <v>101</v>
      </c>
      <c r="H40" s="1261">
        <v>450</v>
      </c>
      <c r="I40" s="1261" t="s">
        <v>18151</v>
      </c>
      <c r="J40" s="1258"/>
      <c r="K40" s="1258"/>
      <c r="L40" s="1258"/>
      <c r="M40" s="1258"/>
      <c r="N40" s="1258"/>
      <c r="O40" s="1258"/>
      <c r="P40" s="1258"/>
      <c r="Q40" s="1258"/>
      <c r="R40" s="1258"/>
      <c r="S40" s="1258"/>
      <c r="T40" s="1258"/>
      <c r="U40" s="1258"/>
      <c r="V40" s="1258"/>
      <c r="W40" s="1258"/>
      <c r="X40" s="1258"/>
    </row>
    <row r="41" spans="1:24" ht="42.75">
      <c r="A41" s="1258"/>
      <c r="B41" s="1265"/>
      <c r="C41" s="1258"/>
      <c r="D41" s="1258"/>
      <c r="E41" s="1258"/>
      <c r="F41" s="1261" t="s">
        <v>18141</v>
      </c>
      <c r="G41" s="1261">
        <v>451</v>
      </c>
      <c r="H41" s="1261">
        <v>2000</v>
      </c>
      <c r="I41" s="1261" t="s">
        <v>18152</v>
      </c>
      <c r="J41" s="1258"/>
      <c r="K41" s="1258"/>
      <c r="L41" s="1258"/>
      <c r="M41" s="1258"/>
      <c r="N41" s="1258"/>
      <c r="O41" s="1258"/>
      <c r="P41" s="1258"/>
      <c r="Q41" s="1258"/>
      <c r="R41" s="1258"/>
      <c r="S41" s="1258"/>
      <c r="T41" s="1258"/>
      <c r="U41" s="1258"/>
      <c r="V41" s="1258"/>
      <c r="W41" s="1258"/>
      <c r="X41" s="1258"/>
    </row>
    <row r="42" spans="1:24" ht="28.5">
      <c r="A42" s="1258"/>
      <c r="B42" s="1265"/>
      <c r="C42" s="1258"/>
      <c r="D42" s="1258"/>
      <c r="E42" s="1258"/>
      <c r="F42" s="1261" t="s">
        <v>18153</v>
      </c>
      <c r="G42" s="1261">
        <v>2001</v>
      </c>
      <c r="H42" s="1261">
        <v>12000</v>
      </c>
      <c r="I42" s="1261" t="s">
        <v>18154</v>
      </c>
      <c r="J42" s="1258"/>
      <c r="K42" s="1258"/>
      <c r="L42" s="1258"/>
      <c r="M42" s="1258"/>
      <c r="N42" s="1258"/>
      <c r="O42" s="1258"/>
      <c r="P42" s="1258"/>
      <c r="Q42" s="1258"/>
      <c r="R42" s="1258"/>
      <c r="S42" s="1258"/>
      <c r="T42" s="1258"/>
      <c r="U42" s="1258"/>
      <c r="V42" s="1258"/>
      <c r="W42" s="1258"/>
      <c r="X42" s="1258"/>
    </row>
    <row r="43" spans="1:24" ht="28.5">
      <c r="A43" s="1258"/>
      <c r="B43" s="1265"/>
      <c r="C43" s="1258"/>
      <c r="D43" s="1258"/>
      <c r="E43" s="1258"/>
      <c r="F43" s="1261" t="s">
        <v>18155</v>
      </c>
      <c r="G43" s="1261">
        <v>12001</v>
      </c>
      <c r="H43" s="1261">
        <v>80000</v>
      </c>
      <c r="I43" s="1261" t="s">
        <v>18156</v>
      </c>
      <c r="J43" s="1258"/>
      <c r="K43" s="1258"/>
      <c r="L43" s="1258"/>
      <c r="M43" s="1258"/>
      <c r="N43" s="1258"/>
      <c r="O43" s="1258"/>
      <c r="P43" s="1258"/>
      <c r="Q43" s="1258"/>
      <c r="R43" s="1258"/>
      <c r="S43" s="1258"/>
      <c r="T43" s="1258"/>
      <c r="U43" s="1258"/>
      <c r="V43" s="1258"/>
      <c r="W43" s="1258"/>
      <c r="X43" s="1258"/>
    </row>
    <row r="44" spans="1:24" ht="42.75">
      <c r="A44" s="1258"/>
      <c r="B44" s="1265"/>
      <c r="C44" s="1258"/>
      <c r="D44" s="1258"/>
      <c r="E44" s="1258"/>
      <c r="F44" s="1261" t="s">
        <v>18157</v>
      </c>
      <c r="G44" s="1261">
        <v>80001</v>
      </c>
      <c r="H44" s="1261"/>
      <c r="I44" s="1261" t="s">
        <v>18158</v>
      </c>
      <c r="J44" s="1258"/>
      <c r="K44" s="1258"/>
      <c r="L44" s="1258"/>
      <c r="M44" s="1258"/>
      <c r="N44" s="1258"/>
      <c r="O44" s="1258"/>
      <c r="P44" s="1258"/>
      <c r="Q44" s="1258"/>
      <c r="R44" s="1258"/>
      <c r="S44" s="1258"/>
      <c r="T44" s="1258"/>
      <c r="U44" s="1258"/>
      <c r="V44" s="1258"/>
      <c r="W44" s="1258"/>
      <c r="X44" s="1258"/>
    </row>
    <row r="45" spans="1:24">
      <c r="A45" s="1258"/>
      <c r="B45" s="1265"/>
      <c r="C45" s="1258"/>
      <c r="D45" s="1258"/>
      <c r="E45" s="1258"/>
      <c r="F45" s="1265"/>
      <c r="G45" s="1265"/>
      <c r="H45" s="1258"/>
      <c r="I45" s="1258"/>
      <c r="J45" s="1258"/>
      <c r="K45" s="1258"/>
      <c r="L45" s="1258"/>
      <c r="M45" s="1258"/>
      <c r="N45" s="1258"/>
      <c r="O45" s="1258"/>
      <c r="P45" s="1258"/>
      <c r="Q45" s="1258"/>
      <c r="R45" s="1258"/>
      <c r="S45" s="1258"/>
      <c r="T45" s="1258"/>
      <c r="U45" s="1258"/>
      <c r="V45" s="1258"/>
      <c r="W45" s="1258"/>
      <c r="X45" s="1258"/>
    </row>
    <row r="46" spans="1:24">
      <c r="A46" s="1258"/>
      <c r="B46" s="1265"/>
      <c r="C46" s="1258"/>
      <c r="D46" s="1258"/>
      <c r="E46" s="1258"/>
      <c r="F46" s="1265"/>
      <c r="G46" s="1265"/>
      <c r="H46" s="1258"/>
      <c r="I46" s="1258"/>
      <c r="J46" s="1258"/>
      <c r="K46" s="1258"/>
      <c r="L46" s="1258"/>
      <c r="M46" s="1258"/>
      <c r="N46" s="1258"/>
      <c r="O46" s="1258"/>
      <c r="P46" s="1258"/>
      <c r="Q46" s="1258"/>
      <c r="R46" s="1258"/>
      <c r="S46" s="1258"/>
      <c r="T46" s="1258"/>
      <c r="U46" s="1258"/>
      <c r="V46" s="1258"/>
      <c r="W46" s="1258"/>
      <c r="X46" s="1258"/>
    </row>
    <row r="47" spans="1:24">
      <c r="A47" s="1258"/>
      <c r="B47" s="1265"/>
      <c r="C47" s="1258"/>
      <c r="D47" s="1258"/>
      <c r="E47" s="1258"/>
      <c r="F47" s="1265"/>
      <c r="G47" s="1265"/>
      <c r="H47" s="1258"/>
      <c r="I47" s="1258"/>
      <c r="J47" s="1258"/>
      <c r="K47" s="1258"/>
      <c r="L47" s="1258"/>
      <c r="M47" s="1258"/>
      <c r="N47" s="1258"/>
      <c r="O47" s="1258"/>
      <c r="P47" s="1258"/>
      <c r="Q47" s="1258"/>
      <c r="R47" s="1258"/>
      <c r="S47" s="1258"/>
      <c r="T47" s="1258"/>
      <c r="U47" s="1258"/>
      <c r="V47" s="1258"/>
      <c r="W47" s="1258"/>
      <c r="X47" s="1258"/>
    </row>
    <row r="48" spans="1:24">
      <c r="A48" s="1258"/>
      <c r="B48" s="1265"/>
      <c r="C48" s="1258"/>
      <c r="D48" s="1258"/>
      <c r="E48" s="1258"/>
      <c r="F48" s="1265"/>
      <c r="G48" s="1265"/>
      <c r="H48" s="1258"/>
      <c r="I48" s="1258"/>
      <c r="J48" s="1258"/>
      <c r="K48" s="1258"/>
      <c r="L48" s="1258"/>
      <c r="M48" s="1258"/>
      <c r="N48" s="1258"/>
      <c r="O48" s="1258"/>
      <c r="P48" s="1258"/>
      <c r="Q48" s="1258"/>
      <c r="R48" s="1258"/>
      <c r="S48" s="1258"/>
      <c r="T48" s="1258"/>
      <c r="U48" s="1258"/>
      <c r="V48" s="1258"/>
      <c r="W48" s="1258"/>
      <c r="X48" s="1258"/>
    </row>
    <row r="49" spans="1:14">
      <c r="A49" s="1258"/>
      <c r="B49" s="1265"/>
      <c r="C49" s="1258"/>
      <c r="D49" s="1258"/>
      <c r="E49" s="1258"/>
      <c r="F49" s="1265"/>
      <c r="G49" s="1265"/>
      <c r="H49" s="1258"/>
      <c r="I49" s="1258"/>
      <c r="J49" s="1258"/>
      <c r="K49" s="1258"/>
      <c r="L49" s="1258"/>
      <c r="M49" s="1258"/>
      <c r="N49" s="1258"/>
    </row>
    <row r="50" spans="1:14">
      <c r="A50" s="1258"/>
      <c r="B50" s="1265"/>
      <c r="C50" s="1258"/>
      <c r="D50" s="1258"/>
      <c r="E50" s="1258"/>
      <c r="F50" s="1260" t="s">
        <v>17983</v>
      </c>
      <c r="G50" s="1260" t="s">
        <v>17984</v>
      </c>
      <c r="H50" s="1260" t="s">
        <v>9049</v>
      </c>
      <c r="I50" s="1260" t="s">
        <v>9055</v>
      </c>
      <c r="J50" s="1260" t="s">
        <v>9060</v>
      </c>
      <c r="K50" s="1260" t="s">
        <v>1907</v>
      </c>
      <c r="L50" s="1260" t="s">
        <v>9071</v>
      </c>
      <c r="M50" s="1258"/>
      <c r="N50" s="1258"/>
    </row>
    <row r="51" spans="1:14">
      <c r="A51" s="1258"/>
      <c r="B51" s="1265"/>
      <c r="C51" s="1258"/>
      <c r="D51" s="1258"/>
      <c r="E51" s="1258"/>
      <c r="F51" s="1260" t="s">
        <v>7698</v>
      </c>
      <c r="G51" s="1260" t="s">
        <v>18159</v>
      </c>
      <c r="H51" s="1260" t="s">
        <v>17987</v>
      </c>
      <c r="I51" s="1260" t="s">
        <v>17988</v>
      </c>
      <c r="J51" s="1260" t="s">
        <v>8429</v>
      </c>
      <c r="K51" s="1260" t="s">
        <v>8394</v>
      </c>
      <c r="L51" s="1260" t="s">
        <v>8374</v>
      </c>
      <c r="M51" s="1258"/>
      <c r="N51" s="1258"/>
    </row>
    <row r="52" spans="1:14">
      <c r="A52" s="1258"/>
      <c r="B52" s="1265"/>
      <c r="C52" s="1258"/>
      <c r="D52" s="1258"/>
      <c r="E52" s="1258"/>
      <c r="F52" s="1260" t="s">
        <v>8374</v>
      </c>
      <c r="G52" s="1260" t="s">
        <v>8464</v>
      </c>
      <c r="H52" s="1260" t="s">
        <v>8394</v>
      </c>
      <c r="I52" s="1260" t="s">
        <v>8379</v>
      </c>
      <c r="J52" s="1260" t="s">
        <v>8369</v>
      </c>
      <c r="K52" s="1260" t="s">
        <v>7698</v>
      </c>
      <c r="L52" s="1260" t="s">
        <v>7698</v>
      </c>
      <c r="M52" s="1258"/>
      <c r="N52" s="1258"/>
    </row>
    <row r="53" spans="1:14">
      <c r="A53" s="1258"/>
      <c r="B53" s="1265"/>
      <c r="C53" s="1258"/>
      <c r="D53" s="1258"/>
      <c r="E53" s="1258"/>
      <c r="F53" s="1260" t="s">
        <v>8464</v>
      </c>
      <c r="G53" s="1260" t="s">
        <v>8379</v>
      </c>
      <c r="H53" s="1260" t="s">
        <v>8369</v>
      </c>
      <c r="I53" s="1260" t="s">
        <v>8366</v>
      </c>
      <c r="J53" s="1260" t="s">
        <v>7698</v>
      </c>
      <c r="K53" s="1260" t="s">
        <v>17991</v>
      </c>
      <c r="L53" s="1260" t="s">
        <v>17992</v>
      </c>
      <c r="M53" s="1258"/>
      <c r="N53" s="1258"/>
    </row>
    <row r="54" spans="1:14">
      <c r="A54" s="1258"/>
      <c r="B54" s="1265"/>
      <c r="C54" s="1258"/>
      <c r="D54" s="1258"/>
      <c r="E54" s="1258"/>
      <c r="F54" s="1260" t="s">
        <v>9330</v>
      </c>
      <c r="G54" s="1260" t="s">
        <v>8371</v>
      </c>
      <c r="H54" s="1260" t="s">
        <v>8366</v>
      </c>
      <c r="I54" s="1260" t="s">
        <v>7698</v>
      </c>
      <c r="J54" s="1260" t="s">
        <v>17991</v>
      </c>
      <c r="K54" s="1260" t="s">
        <v>17992</v>
      </c>
      <c r="L54" s="1260" t="s">
        <v>17994</v>
      </c>
      <c r="M54" s="1258"/>
      <c r="N54" s="1258"/>
    </row>
    <row r="55" spans="1:14">
      <c r="A55" s="1258"/>
      <c r="B55" s="1265"/>
      <c r="C55" s="1258"/>
      <c r="D55" s="1258"/>
      <c r="E55" s="1258"/>
      <c r="F55" s="1260" t="s">
        <v>18160</v>
      </c>
      <c r="G55" s="1260" t="s">
        <v>8366</v>
      </c>
      <c r="H55" s="1260" t="s">
        <v>7698</v>
      </c>
      <c r="I55" s="1260" t="s">
        <v>17991</v>
      </c>
      <c r="J55" s="1260" t="s">
        <v>17992</v>
      </c>
      <c r="K55" s="1260" t="s">
        <v>17994</v>
      </c>
      <c r="L55" s="1260" t="s">
        <v>17996</v>
      </c>
      <c r="M55" s="1258"/>
      <c r="N55" s="1258"/>
    </row>
    <row r="56" spans="1:14">
      <c r="A56" s="1258"/>
      <c r="B56" s="1265"/>
      <c r="C56" s="1258"/>
      <c r="D56" s="1258"/>
      <c r="E56" s="1258"/>
      <c r="F56" s="1274" t="s">
        <v>18161</v>
      </c>
      <c r="G56" s="1260" t="s">
        <v>17992</v>
      </c>
      <c r="H56" s="1260" t="s">
        <v>17994</v>
      </c>
      <c r="I56" s="1260" t="s">
        <v>17998</v>
      </c>
      <c r="J56" s="1260" t="s">
        <v>17763</v>
      </c>
      <c r="K56" s="1260" t="s">
        <v>17763</v>
      </c>
      <c r="L56" s="1260" t="s">
        <v>17763</v>
      </c>
      <c r="M56" s="1258"/>
      <c r="N56" s="1258"/>
    </row>
    <row r="57" spans="1:14">
      <c r="A57" s="1258"/>
      <c r="B57" s="1265"/>
      <c r="C57" s="1258"/>
      <c r="D57" s="1258"/>
      <c r="E57" s="1258"/>
      <c r="F57" s="1274"/>
      <c r="G57" s="1260"/>
      <c r="H57" s="1260"/>
      <c r="I57" s="1260"/>
      <c r="J57" s="1260"/>
      <c r="K57" s="1260"/>
      <c r="L57" s="1260"/>
      <c r="M57" s="1258"/>
      <c r="N57" s="1258"/>
    </row>
    <row r="58" spans="1:14">
      <c r="A58" s="1258"/>
      <c r="B58" s="1265"/>
      <c r="C58" s="1258"/>
      <c r="D58" s="1258"/>
      <c r="E58" s="1258"/>
      <c r="F58" s="1274"/>
      <c r="G58" s="1260"/>
      <c r="H58" s="1260"/>
      <c r="I58" s="1260"/>
      <c r="J58" s="1260"/>
      <c r="K58" s="1260"/>
      <c r="L58" s="1260"/>
      <c r="M58" s="1258"/>
      <c r="N58" s="1258"/>
    </row>
    <row r="59" spans="1:14">
      <c r="A59" s="1258"/>
      <c r="B59" s="1265"/>
      <c r="C59" s="1258"/>
      <c r="D59" s="1258"/>
      <c r="E59" s="1258"/>
      <c r="F59" s="1274"/>
      <c r="G59" s="1260"/>
      <c r="H59" s="1260"/>
      <c r="I59" s="1260"/>
      <c r="J59" s="1260"/>
      <c r="K59" s="1260"/>
      <c r="L59" s="1260"/>
      <c r="M59" s="1258"/>
      <c r="N59" s="1258"/>
    </row>
    <row r="60" spans="1:14">
      <c r="A60" s="1258"/>
      <c r="B60" s="1265"/>
      <c r="C60" s="1258"/>
      <c r="D60" s="1258"/>
      <c r="E60" s="1258"/>
      <c r="F60" s="1274"/>
      <c r="G60" s="1260"/>
      <c r="H60" s="1260"/>
      <c r="I60" s="1260"/>
      <c r="J60" s="1260"/>
      <c r="K60" s="1260"/>
      <c r="L60" s="1260"/>
      <c r="M60" s="1258"/>
      <c r="N60" s="1258"/>
    </row>
    <row r="61" spans="1:14">
      <c r="A61" s="1258"/>
      <c r="B61" s="1265"/>
      <c r="C61" s="1258"/>
      <c r="D61" s="1258"/>
      <c r="E61" s="1258"/>
      <c r="F61" s="1274"/>
      <c r="G61" s="1260"/>
      <c r="H61" s="1260"/>
      <c r="I61" s="1260"/>
      <c r="J61" s="1260"/>
      <c r="K61" s="1260"/>
      <c r="L61" s="1260"/>
      <c r="M61" s="1258"/>
      <c r="N61" s="1258"/>
    </row>
    <row r="62" spans="1:14">
      <c r="A62" s="1258"/>
      <c r="B62" s="1265"/>
      <c r="C62" s="1258"/>
      <c r="D62" s="1258"/>
      <c r="E62" s="1258"/>
      <c r="F62" s="1265"/>
      <c r="G62" s="1265"/>
      <c r="H62" s="1258"/>
      <c r="I62" s="1258"/>
      <c r="J62" s="1258"/>
      <c r="K62" s="1258"/>
      <c r="L62" s="1258"/>
      <c r="M62" s="1258"/>
      <c r="N62" s="1258"/>
    </row>
    <row r="63" spans="1:14">
      <c r="A63" s="1258"/>
      <c r="B63" s="1265"/>
      <c r="C63" s="1258"/>
      <c r="D63" s="1258"/>
      <c r="E63" s="1258"/>
      <c r="F63" s="1265" t="s">
        <v>722</v>
      </c>
      <c r="G63" s="1265" t="s">
        <v>18162</v>
      </c>
      <c r="H63" s="1265" t="s">
        <v>18163</v>
      </c>
      <c r="I63" s="1265" t="s">
        <v>18164</v>
      </c>
      <c r="J63" s="1265" t="s">
        <v>18165</v>
      </c>
      <c r="K63" s="1265" t="s">
        <v>18166</v>
      </c>
      <c r="L63" s="1265" t="s">
        <v>18167</v>
      </c>
      <c r="M63" s="1265" t="s">
        <v>18168</v>
      </c>
      <c r="N63" s="1265" t="s">
        <v>18169</v>
      </c>
    </row>
    <row r="64" spans="1:14">
      <c r="A64" s="1258"/>
      <c r="B64" s="1265"/>
      <c r="C64" s="1258"/>
      <c r="D64" s="1258"/>
      <c r="E64" s="1258"/>
      <c r="F64">
        <v>1</v>
      </c>
      <c r="G64">
        <v>1</v>
      </c>
      <c r="H64">
        <v>1</v>
      </c>
      <c r="I64">
        <v>12</v>
      </c>
      <c r="L64">
        <v>300</v>
      </c>
      <c r="M64">
        <v>900</v>
      </c>
      <c r="N64">
        <v>2</v>
      </c>
    </row>
    <row r="65" spans="1:14">
      <c r="A65" s="1258"/>
      <c r="B65" s="1265"/>
      <c r="C65" s="1258"/>
      <c r="D65" s="1258"/>
      <c r="E65" s="1258"/>
      <c r="F65">
        <v>2</v>
      </c>
      <c r="G65">
        <v>1</v>
      </c>
      <c r="H65">
        <v>1</v>
      </c>
      <c r="I65">
        <v>40</v>
      </c>
      <c r="M65">
        <v>0</v>
      </c>
      <c r="N65">
        <v>2</v>
      </c>
    </row>
    <row r="66" spans="1:14">
      <c r="A66" s="1258"/>
      <c r="B66" s="1265"/>
      <c r="C66" s="1258"/>
      <c r="D66" s="1258"/>
      <c r="E66" s="1258"/>
      <c r="F66">
        <v>3</v>
      </c>
      <c r="G66">
        <v>1</v>
      </c>
      <c r="H66">
        <v>2</v>
      </c>
      <c r="I66">
        <v>100</v>
      </c>
      <c r="M66">
        <v>0</v>
      </c>
      <c r="N66">
        <v>2</v>
      </c>
    </row>
    <row r="67" spans="1:14">
      <c r="A67" s="1258"/>
      <c r="B67" s="1265"/>
      <c r="C67" s="1258"/>
      <c r="D67" s="1258"/>
      <c r="E67" s="1258"/>
      <c r="F67">
        <v>4</v>
      </c>
      <c r="G67">
        <v>1</v>
      </c>
      <c r="H67">
        <v>2</v>
      </c>
      <c r="I67">
        <v>200</v>
      </c>
      <c r="M67">
        <v>0</v>
      </c>
      <c r="N67">
        <v>2</v>
      </c>
    </row>
    <row r="68" spans="1:14">
      <c r="A68" s="1258"/>
      <c r="B68" s="1265"/>
      <c r="C68" s="1258"/>
      <c r="D68" s="1258"/>
      <c r="E68" s="1258"/>
      <c r="F68">
        <v>5</v>
      </c>
      <c r="G68">
        <v>2</v>
      </c>
      <c r="H68">
        <v>3</v>
      </c>
      <c r="I68">
        <v>500</v>
      </c>
      <c r="M68">
        <v>0</v>
      </c>
      <c r="N68">
        <v>3</v>
      </c>
    </row>
    <row r="69" spans="1:14">
      <c r="A69" s="1258"/>
      <c r="B69" s="1265"/>
      <c r="C69" s="1258"/>
      <c r="D69" s="1258"/>
      <c r="E69" s="1258"/>
      <c r="F69">
        <v>6</v>
      </c>
      <c r="G69">
        <v>2</v>
      </c>
      <c r="H69">
        <v>3</v>
      </c>
      <c r="I69">
        <v>2000</v>
      </c>
      <c r="M69">
        <v>0</v>
      </c>
      <c r="N69">
        <v>3</v>
      </c>
    </row>
    <row r="70" spans="1:14">
      <c r="A70" s="1258"/>
      <c r="B70" s="1265"/>
      <c r="C70" s="1258"/>
      <c r="D70" s="1258"/>
      <c r="E70" s="1258"/>
      <c r="F70">
        <v>7</v>
      </c>
      <c r="G70">
        <v>2</v>
      </c>
      <c r="H70">
        <v>3</v>
      </c>
      <c r="I70">
        <v>6000</v>
      </c>
      <c r="M70">
        <v>0</v>
      </c>
      <c r="N70">
        <v>3</v>
      </c>
    </row>
    <row r="71" spans="1:14">
      <c r="A71" s="1258"/>
      <c r="B71" s="1265"/>
      <c r="C71" s="1258"/>
      <c r="D71" s="1258"/>
      <c r="E71" s="1258"/>
      <c r="F71">
        <v>8</v>
      </c>
      <c r="G71">
        <v>2</v>
      </c>
      <c r="H71">
        <v>3</v>
      </c>
      <c r="I71">
        <v>10000</v>
      </c>
      <c r="M71">
        <v>0</v>
      </c>
      <c r="N71">
        <v>3</v>
      </c>
    </row>
    <row r="72" spans="1:14">
      <c r="A72" s="1258"/>
      <c r="B72" s="1265"/>
      <c r="C72" s="1258"/>
      <c r="D72" s="1258"/>
      <c r="E72" s="1258"/>
      <c r="F72">
        <v>9</v>
      </c>
      <c r="G72">
        <v>2</v>
      </c>
      <c r="H72">
        <v>4</v>
      </c>
      <c r="I72">
        <v>30000</v>
      </c>
      <c r="M72">
        <v>0</v>
      </c>
      <c r="N72">
        <v>4</v>
      </c>
    </row>
    <row r="73" spans="1:14">
      <c r="A73" s="1258"/>
      <c r="B73" s="1265"/>
      <c r="C73" s="1258"/>
      <c r="D73" s="1258"/>
      <c r="E73" s="1258"/>
      <c r="F73">
        <v>10</v>
      </c>
      <c r="G73">
        <v>2</v>
      </c>
      <c r="H73">
        <v>4</v>
      </c>
      <c r="I73">
        <v>50000</v>
      </c>
      <c r="M73">
        <v>0</v>
      </c>
      <c r="N73">
        <v>4</v>
      </c>
    </row>
    <row r="74" spans="1:14">
      <c r="A74" s="1258"/>
      <c r="B74" s="1265"/>
      <c r="C74" s="1258"/>
      <c r="D74" s="1258"/>
      <c r="E74" s="1258"/>
      <c r="F74">
        <v>11</v>
      </c>
      <c r="G74">
        <v>3</v>
      </c>
      <c r="H74">
        <v>4</v>
      </c>
      <c r="I74">
        <v>75000</v>
      </c>
      <c r="M74">
        <v>0</v>
      </c>
      <c r="N74">
        <v>4</v>
      </c>
    </row>
    <row r="75" spans="1:14">
      <c r="A75" s="1258"/>
      <c r="B75" s="1265"/>
      <c r="C75" s="1258"/>
      <c r="D75" s="1258"/>
      <c r="E75" s="1258"/>
      <c r="F75">
        <v>12</v>
      </c>
      <c r="G75">
        <v>3</v>
      </c>
      <c r="H75">
        <v>5</v>
      </c>
      <c r="I75">
        <v>100000</v>
      </c>
      <c r="M75">
        <v>0</v>
      </c>
      <c r="N75">
        <v>4</v>
      </c>
    </row>
    <row r="76" spans="1:14">
      <c r="A76" s="1258"/>
      <c r="B76" s="1265"/>
      <c r="C76" s="1258"/>
      <c r="D76" s="1258"/>
      <c r="E76" s="1258"/>
      <c r="F76">
        <v>13</v>
      </c>
      <c r="G76">
        <v>3</v>
      </c>
      <c r="H76">
        <v>5</v>
      </c>
      <c r="I76">
        <v>250000</v>
      </c>
      <c r="M76">
        <v>0</v>
      </c>
      <c r="N76">
        <v>5</v>
      </c>
    </row>
    <row r="77" spans="1:14">
      <c r="A77" s="1258"/>
      <c r="B77" s="1265"/>
      <c r="C77" s="1258"/>
      <c r="D77" s="1258"/>
      <c r="E77" s="1258"/>
      <c r="F77">
        <v>14</v>
      </c>
      <c r="G77">
        <v>3</v>
      </c>
      <c r="H77">
        <v>5</v>
      </c>
      <c r="I77">
        <v>500000</v>
      </c>
      <c r="M77">
        <v>0</v>
      </c>
      <c r="N77">
        <v>5</v>
      </c>
    </row>
    <row r="78" spans="1:14">
      <c r="A78" s="1258"/>
      <c r="B78" s="1265"/>
      <c r="C78" s="1258"/>
      <c r="D78" s="1258"/>
      <c r="E78" s="1258"/>
      <c r="F78">
        <v>15</v>
      </c>
      <c r="G78">
        <v>3</v>
      </c>
      <c r="H78">
        <v>6</v>
      </c>
      <c r="I78">
        <v>750000</v>
      </c>
      <c r="M78">
        <v>0</v>
      </c>
      <c r="N78">
        <v>5</v>
      </c>
    </row>
    <row r="79" spans="1:14">
      <c r="A79" s="1258"/>
      <c r="B79" s="1265"/>
      <c r="C79" s="1258"/>
      <c r="D79" s="1258"/>
      <c r="E79" s="1258"/>
      <c r="F79">
        <v>16</v>
      </c>
      <c r="G79">
        <v>4</v>
      </c>
      <c r="H79">
        <v>6</v>
      </c>
      <c r="I79">
        <v>1000000</v>
      </c>
      <c r="M79">
        <v>0</v>
      </c>
      <c r="N79">
        <v>5</v>
      </c>
    </row>
    <row r="80" spans="1:14">
      <c r="A80" s="1258"/>
      <c r="B80" s="1265"/>
      <c r="C80" s="1258"/>
      <c r="D80" s="1258"/>
      <c r="E80" s="1258"/>
      <c r="F80">
        <v>17</v>
      </c>
      <c r="G80">
        <v>4</v>
      </c>
      <c r="H80">
        <v>6</v>
      </c>
      <c r="I80">
        <v>1750000</v>
      </c>
      <c r="M80">
        <v>0</v>
      </c>
      <c r="N80">
        <v>6</v>
      </c>
    </row>
    <row r="81" spans="1:14">
      <c r="A81" s="1258"/>
      <c r="B81" s="1265"/>
      <c r="C81" s="1258"/>
      <c r="D81" s="1258"/>
      <c r="E81" s="1258"/>
      <c r="F81">
        <v>18</v>
      </c>
      <c r="G81">
        <v>4</v>
      </c>
      <c r="H81">
        <v>7</v>
      </c>
      <c r="I81">
        <v>2500000</v>
      </c>
      <c r="M81">
        <v>0</v>
      </c>
      <c r="N81">
        <v>6</v>
      </c>
    </row>
    <row r="82" spans="1:14">
      <c r="A82" s="1258"/>
      <c r="B82" s="1265"/>
      <c r="C82" s="1258"/>
      <c r="D82" s="1258"/>
      <c r="E82" s="1258"/>
      <c r="F82">
        <v>19</v>
      </c>
      <c r="G82">
        <v>4</v>
      </c>
      <c r="H82">
        <v>7</v>
      </c>
      <c r="I82">
        <v>5000000</v>
      </c>
      <c r="M82">
        <v>0</v>
      </c>
      <c r="N82">
        <v>6</v>
      </c>
    </row>
    <row r="83" spans="1:14">
      <c r="A83" s="1258"/>
      <c r="B83" s="1265"/>
      <c r="C83" s="1258"/>
      <c r="D83" s="1258"/>
      <c r="E83" s="1258"/>
      <c r="F83">
        <v>20</v>
      </c>
      <c r="G83">
        <v>4</v>
      </c>
      <c r="H83">
        <v>7</v>
      </c>
      <c r="I83">
        <v>7750000</v>
      </c>
      <c r="M83">
        <v>0</v>
      </c>
      <c r="N83">
        <v>6</v>
      </c>
    </row>
    <row r="84" spans="1:14">
      <c r="A84" s="1258"/>
      <c r="B84" s="1265"/>
      <c r="C84" s="1258"/>
      <c r="D84" s="1258"/>
      <c r="E84" s="1258"/>
      <c r="F84" s="1258"/>
      <c r="G84" s="1258"/>
      <c r="H84" s="1258"/>
      <c r="I84" s="1258"/>
      <c r="J84" s="1258"/>
      <c r="K84" s="1258"/>
      <c r="L84" s="1258"/>
      <c r="M84" s="1258"/>
      <c r="N84" s="1258"/>
    </row>
    <row r="92" spans="1:14">
      <c r="A92" s="1258"/>
      <c r="B92" s="1258"/>
      <c r="C92" s="1258"/>
      <c r="D92" s="1258"/>
      <c r="E92" s="1258"/>
      <c r="F92" s="1258" t="s">
        <v>17925</v>
      </c>
      <c r="G92" s="1258"/>
      <c r="H92" s="1258"/>
      <c r="I92" s="1258"/>
      <c r="J92" s="1258"/>
      <c r="K92" s="1258"/>
      <c r="L92" s="1258"/>
      <c r="M92" s="1258"/>
      <c r="N92" s="1258"/>
    </row>
    <row r="93" spans="1:14">
      <c r="A93" s="1258"/>
      <c r="B93" s="1258"/>
      <c r="C93" s="1258"/>
      <c r="D93" s="1258"/>
      <c r="E93" s="1258"/>
      <c r="F93" s="1258" t="s">
        <v>17926</v>
      </c>
      <c r="G93" s="1258" t="s">
        <v>17930</v>
      </c>
      <c r="H93" s="1258" t="s">
        <v>9033</v>
      </c>
      <c r="I93" s="1258"/>
      <c r="J93" s="1258"/>
      <c r="K93" s="1258"/>
      <c r="L93" s="1258"/>
      <c r="M93" s="1258"/>
      <c r="N93" s="1258"/>
    </row>
    <row r="94" spans="1:14">
      <c r="A94" s="1258"/>
      <c r="B94" s="1258"/>
      <c r="C94" s="1258"/>
      <c r="D94" s="1258"/>
      <c r="E94" s="1258"/>
      <c r="F94" s="1258" t="s">
        <v>17933</v>
      </c>
      <c r="G94" s="1258" t="s">
        <v>17935</v>
      </c>
      <c r="H94" s="1258" t="s">
        <v>17936</v>
      </c>
      <c r="I94" s="1258"/>
      <c r="J94" s="1258"/>
      <c r="K94" s="1258"/>
      <c r="L94" s="1258"/>
      <c r="M94" s="1258"/>
      <c r="N94" s="1258"/>
    </row>
    <row r="95" spans="1:14">
      <c r="A95" s="1258"/>
      <c r="B95" s="1258"/>
      <c r="C95" s="1258"/>
      <c r="D95" s="1258"/>
      <c r="E95" s="1258"/>
      <c r="F95" s="1258" t="s">
        <v>17939</v>
      </c>
      <c r="G95" s="1258" t="s">
        <v>17940</v>
      </c>
      <c r="H95" s="1258" t="s">
        <v>17725</v>
      </c>
      <c r="I95" s="1258"/>
      <c r="J95" s="1258"/>
      <c r="K95" s="1258"/>
      <c r="L95" s="1258"/>
      <c r="M95" s="1258"/>
      <c r="N95" s="1258"/>
    </row>
    <row r="96" spans="1:14">
      <c r="A96" s="1258"/>
      <c r="B96" s="1258"/>
      <c r="C96" s="1258"/>
      <c r="D96" s="1258"/>
      <c r="E96" s="1258"/>
      <c r="F96" s="1258" t="s">
        <v>17943</v>
      </c>
      <c r="G96" s="1258" t="s">
        <v>17944</v>
      </c>
      <c r="H96" s="1258" t="s">
        <v>17725</v>
      </c>
      <c r="I96" s="1258"/>
      <c r="J96" s="1258"/>
      <c r="K96" s="1258"/>
      <c r="L96" s="1258"/>
      <c r="M96" s="1258"/>
      <c r="N96" s="1258"/>
    </row>
    <row r="97" spans="6:8">
      <c r="F97" s="1258" t="s">
        <v>17946</v>
      </c>
      <c r="G97" s="1258" t="s">
        <v>17947</v>
      </c>
      <c r="H97" s="1258" t="s">
        <v>17725</v>
      </c>
    </row>
    <row r="98" spans="6:8">
      <c r="F98" s="1258" t="s">
        <v>17950</v>
      </c>
      <c r="G98" s="1258" t="s">
        <v>17951</v>
      </c>
      <c r="H98" s="1258" t="s">
        <v>17724</v>
      </c>
    </row>
    <row r="99" spans="6:8">
      <c r="F99" s="1258" t="s">
        <v>17954</v>
      </c>
      <c r="G99" s="1258" t="s">
        <v>17955</v>
      </c>
      <c r="H99" s="1258" t="s">
        <v>17724</v>
      </c>
    </row>
    <row r="100" spans="6:8">
      <c r="F100" s="1258" t="s">
        <v>17958</v>
      </c>
      <c r="G100" s="1258" t="s">
        <v>17959</v>
      </c>
      <c r="H100" s="1258" t="s">
        <v>17723</v>
      </c>
    </row>
    <row r="101" spans="6:8">
      <c r="F101" s="1258" t="s">
        <v>17962</v>
      </c>
      <c r="G101" s="1258" t="s">
        <v>17963</v>
      </c>
      <c r="H101" s="1258" t="s">
        <v>17723</v>
      </c>
    </row>
    <row r="102" spans="6:8">
      <c r="F102" s="1258" t="s">
        <v>17966</v>
      </c>
      <c r="G102" s="1258" t="s">
        <v>17967</v>
      </c>
      <c r="H102" s="1258" t="s">
        <v>17722</v>
      </c>
    </row>
  </sheetData>
  <hyperlinks>
    <hyperlink ref="O13" r:id="rId1" display="https://1drv.ms/w/s!Atcrhwwo1lBAx8UvUBYmUIEl-1LCzQ?e=cFOdLS" xr:uid="{87E17088-CC80-4DB3-942A-CAADEF7C5860}"/>
    <hyperlink ref="O14" r:id="rId2" display="https://1drv.ms/w/s!Atcrhwwo1lBAx8UwDDro_p7x-WJc7w?e=d60vOn" xr:uid="{36DC2DE3-2E0F-46A2-9BE7-AD044D7B58BF}"/>
  </hyperlinks>
  <pageMargins left="0.7" right="0.7" top="0.75" bottom="0.75" header="0.3" footer="0.3"/>
  <tableParts count="6">
    <tablePart r:id="rId3"/>
    <tablePart r:id="rId4"/>
    <tablePart r:id="rId5"/>
    <tablePart r:id="rId6"/>
    <tablePart r:id="rId7"/>
    <tablePart r:id="rId8"/>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6C32E-A742-4A6D-80E2-D618E9FD271D}">
  <sheetPr>
    <tabColor rgb="FF7030A0"/>
  </sheetPr>
  <dimension ref="A1:G165"/>
  <sheetViews>
    <sheetView zoomScale="115" zoomScaleNormal="115" workbookViewId="0">
      <selection activeCell="B128" sqref="B128"/>
    </sheetView>
  </sheetViews>
  <sheetFormatPr defaultRowHeight="25.5"/>
  <cols>
    <col min="1" max="1" width="24.77734375" style="1146" customWidth="1"/>
    <col min="2" max="2" width="78.44140625" style="1146" bestFit="1" customWidth="1"/>
    <col min="3" max="3" width="31.109375" style="1146" customWidth="1"/>
    <col min="4" max="4" width="43" style="1146" customWidth="1"/>
    <col min="5" max="5" width="29.33203125" style="1146" customWidth="1"/>
    <col min="6" max="6" width="17.5546875" style="1146" customWidth="1"/>
    <col min="7" max="7" width="17.77734375" style="1146" customWidth="1"/>
    <col min="8" max="14" width="8.88671875" style="1146"/>
    <col min="15" max="15" width="52.109375" style="1146" bestFit="1" customWidth="1"/>
    <col min="16" max="16" width="8.88671875" style="1146"/>
    <col min="17" max="17" width="67.21875" style="1146" bestFit="1" customWidth="1"/>
    <col min="18" max="18" width="25.88671875" style="1146" bestFit="1" customWidth="1"/>
    <col min="19" max="19" width="39.21875" style="1146" bestFit="1" customWidth="1"/>
    <col min="20" max="16384" width="8.88671875" style="1146"/>
  </cols>
  <sheetData>
    <row r="1" spans="1:5" ht="39">
      <c r="A1" s="2219" t="s">
        <v>17346</v>
      </c>
      <c r="B1" s="2219"/>
      <c r="C1" s="2219"/>
      <c r="D1" s="2219"/>
      <c r="E1" s="2219"/>
    </row>
    <row r="2" spans="1:5">
      <c r="A2" s="2218" t="s">
        <v>17347</v>
      </c>
      <c r="B2" s="2218"/>
      <c r="C2" s="2218"/>
      <c r="D2" s="2218"/>
      <c r="E2" s="2218"/>
    </row>
    <row r="3" spans="1:5" ht="26.25" thickBot="1">
      <c r="A3" s="1177" t="s">
        <v>17341</v>
      </c>
    </row>
    <row r="4" spans="1:5" ht="26.25" thickTop="1">
      <c r="A4" s="2218" t="s">
        <v>17396</v>
      </c>
      <c r="B4" s="2218"/>
      <c r="C4" s="2218"/>
      <c r="D4" s="2218"/>
      <c r="E4" s="2218"/>
    </row>
    <row r="5" spans="1:5">
      <c r="A5" s="2218" t="s">
        <v>17521</v>
      </c>
      <c r="B5" s="2218"/>
      <c r="C5" s="2218"/>
      <c r="D5" s="2218"/>
      <c r="E5" s="2218"/>
    </row>
    <row r="6" spans="1:5" ht="26.25" thickBot="1">
      <c r="A6" s="1177" t="s">
        <v>17342</v>
      </c>
    </row>
    <row r="7" spans="1:5" ht="26.25" thickTop="1">
      <c r="A7" s="2218" t="s">
        <v>17397</v>
      </c>
      <c r="B7" s="2218"/>
      <c r="C7" s="2218"/>
      <c r="D7" s="2218"/>
      <c r="E7" s="2218"/>
    </row>
    <row r="8" spans="1:5">
      <c r="A8" s="2218" t="s">
        <v>17522</v>
      </c>
      <c r="B8" s="2218"/>
      <c r="C8" s="2218"/>
      <c r="D8" s="2218"/>
      <c r="E8" s="2218"/>
    </row>
    <row r="9" spans="1:5" ht="26.25" thickBot="1">
      <c r="A9" s="1177" t="s">
        <v>17343</v>
      </c>
    </row>
    <row r="10" spans="1:5" ht="26.25" thickTop="1">
      <c r="A10" s="2218" t="s">
        <v>17344</v>
      </c>
      <c r="B10" s="2218"/>
      <c r="C10" s="2218"/>
      <c r="D10" s="2218"/>
      <c r="E10" s="2218"/>
    </row>
    <row r="11" spans="1:5">
      <c r="A11" s="2218" t="s">
        <v>17523</v>
      </c>
      <c r="B11" s="2218"/>
      <c r="C11" s="2218"/>
      <c r="D11" s="2218"/>
      <c r="E11" s="2218"/>
    </row>
    <row r="12" spans="1:5" ht="26.25" thickBot="1">
      <c r="A12" s="1177" t="s">
        <v>17345</v>
      </c>
    </row>
    <row r="13" spans="1:5" ht="26.25" thickTop="1">
      <c r="A13" s="2218" t="s">
        <v>17542</v>
      </c>
      <c r="B13" s="2218"/>
      <c r="C13" s="2218"/>
      <c r="D13" s="2218"/>
      <c r="E13" s="2218"/>
    </row>
    <row r="14" spans="1:5">
      <c r="A14" s="2218" t="s">
        <v>17524</v>
      </c>
      <c r="B14" s="2218"/>
      <c r="C14" s="2218"/>
      <c r="D14" s="2218"/>
      <c r="E14" s="2218"/>
    </row>
    <row r="15" spans="1:5">
      <c r="A15" s="1178"/>
    </row>
    <row r="16" spans="1:5" ht="39">
      <c r="A16" s="2219" t="s">
        <v>17395</v>
      </c>
      <c r="B16" s="2219"/>
      <c r="C16" s="2219"/>
      <c r="D16" s="2219"/>
      <c r="E16" s="2219"/>
    </row>
    <row r="17" spans="1:7">
      <c r="A17" s="1178"/>
    </row>
    <row r="18" spans="1:7">
      <c r="A18" s="2218" t="s">
        <v>17525</v>
      </c>
      <c r="B18" s="2218"/>
      <c r="C18" s="2218"/>
      <c r="D18" s="2218"/>
      <c r="E18" s="2218"/>
    </row>
    <row r="19" spans="1:7">
      <c r="A19" s="2218" t="s">
        <v>17529</v>
      </c>
      <c r="B19" s="2218"/>
      <c r="C19" s="2218"/>
      <c r="D19" s="2218"/>
      <c r="E19" s="2218"/>
    </row>
    <row r="20" spans="1:7" ht="26.25" thickBot="1">
      <c r="A20" s="1173" t="s">
        <v>17535</v>
      </c>
    </row>
    <row r="21" spans="1:7" ht="26.25" thickTop="1">
      <c r="A21" s="1261" t="s">
        <v>17526</v>
      </c>
      <c r="B21" s="1261" t="s">
        <v>721</v>
      </c>
      <c r="C21" s="1261" t="s">
        <v>17479</v>
      </c>
      <c r="D21" s="1261" t="s">
        <v>7932</v>
      </c>
      <c r="E21"/>
      <c r="F21"/>
      <c r="G21"/>
    </row>
    <row r="22" spans="1:7" ht="73.5">
      <c r="A22" s="1261" t="s">
        <v>17416</v>
      </c>
      <c r="B22" s="1261" t="s">
        <v>17465</v>
      </c>
      <c r="C22" s="1261" t="s">
        <v>17466</v>
      </c>
      <c r="D22" s="1261" t="s">
        <v>17467</v>
      </c>
      <c r="E22"/>
      <c r="F22"/>
      <c r="G22"/>
    </row>
    <row r="23" spans="1:7" ht="87.75">
      <c r="A23" s="1261" t="s">
        <v>17417</v>
      </c>
      <c r="B23" s="1261" t="s">
        <v>13691</v>
      </c>
      <c r="C23" s="1261" t="s">
        <v>17468</v>
      </c>
      <c r="D23" s="1261" t="s">
        <v>17469</v>
      </c>
      <c r="E23"/>
      <c r="F23"/>
      <c r="G23"/>
    </row>
    <row r="24" spans="1:7" ht="73.5">
      <c r="A24" s="1261" t="s">
        <v>17418</v>
      </c>
      <c r="B24" s="1261" t="s">
        <v>17470</v>
      </c>
      <c r="C24" s="1261" t="s">
        <v>17471</v>
      </c>
      <c r="D24" s="1261" t="s">
        <v>17472</v>
      </c>
      <c r="E24"/>
      <c r="F24"/>
      <c r="G24"/>
    </row>
    <row r="25" spans="1:7" ht="59.25">
      <c r="A25" s="1261" t="s">
        <v>17419</v>
      </c>
      <c r="B25" s="1261" t="s">
        <v>17477</v>
      </c>
      <c r="C25" s="1261" t="s">
        <v>17473</v>
      </c>
      <c r="D25" s="1261" t="s">
        <v>17474</v>
      </c>
      <c r="E25"/>
      <c r="F25"/>
      <c r="G25"/>
    </row>
    <row r="26" spans="1:7" ht="59.25">
      <c r="A26" s="1261" t="s">
        <v>17420</v>
      </c>
      <c r="B26" s="1261" t="s">
        <v>17478</v>
      </c>
      <c r="C26" s="1261" t="s">
        <v>17475</v>
      </c>
      <c r="D26" s="1261" t="s">
        <v>17476</v>
      </c>
      <c r="E26"/>
      <c r="F26"/>
      <c r="G26"/>
    </row>
    <row r="27" spans="1:7" ht="26.25" thickBot="1">
      <c r="A27" s="1173" t="s">
        <v>17536</v>
      </c>
      <c r="B27" s="1153"/>
      <c r="C27" s="1153"/>
      <c r="D27" s="1153"/>
      <c r="E27" s="1153"/>
      <c r="F27" s="1153"/>
      <c r="G27" s="1153"/>
    </row>
    <row r="28" spans="1:7" ht="26.25" thickTop="1">
      <c r="A28" s="1261" t="s">
        <v>17527</v>
      </c>
      <c r="B28" s="1261" t="s">
        <v>721</v>
      </c>
      <c r="C28" s="1261" t="s">
        <v>8533</v>
      </c>
      <c r="D28" s="1261" t="s">
        <v>17490</v>
      </c>
      <c r="E28" s="1261" t="s">
        <v>17479</v>
      </c>
      <c r="F28" s="1261" t="s">
        <v>7932</v>
      </c>
      <c r="G28" s="1261" t="s">
        <v>17491</v>
      </c>
    </row>
    <row r="29" spans="1:7" ht="116.25">
      <c r="A29" s="1261" t="s">
        <v>17421</v>
      </c>
      <c r="B29" s="1261" t="s">
        <v>17480</v>
      </c>
      <c r="C29" s="1261" t="s">
        <v>17481</v>
      </c>
      <c r="D29" s="1261" t="s">
        <v>7341</v>
      </c>
      <c r="E29" s="1261" t="s">
        <v>17504</v>
      </c>
      <c r="F29" s="1261" t="s">
        <v>17505</v>
      </c>
      <c r="G29" s="1261" t="s">
        <v>17506</v>
      </c>
    </row>
    <row r="30" spans="1:7" ht="162">
      <c r="A30" s="1261" t="s">
        <v>17422</v>
      </c>
      <c r="B30" s="1261" t="s">
        <v>17482</v>
      </c>
      <c r="C30" s="1261" t="s">
        <v>17483</v>
      </c>
      <c r="D30" s="1261" t="s">
        <v>7333</v>
      </c>
      <c r="E30" s="1261" t="s">
        <v>17492</v>
      </c>
      <c r="F30" s="1261" t="s">
        <v>17493</v>
      </c>
      <c r="G30" s="1261" t="s">
        <v>17494</v>
      </c>
    </row>
    <row r="31" spans="1:7" ht="162">
      <c r="A31" s="1261" t="s">
        <v>17423</v>
      </c>
      <c r="B31" s="1261" t="s">
        <v>17484</v>
      </c>
      <c r="C31" s="1261" t="s">
        <v>17485</v>
      </c>
      <c r="D31" s="1261" t="s">
        <v>7332</v>
      </c>
      <c r="E31" s="1261" t="s">
        <v>17495</v>
      </c>
      <c r="F31" s="1261" t="s">
        <v>17496</v>
      </c>
      <c r="G31" s="1261" t="s">
        <v>17497</v>
      </c>
    </row>
    <row r="32" spans="1:7" ht="116.25">
      <c r="A32" s="1261" t="s">
        <v>17424</v>
      </c>
      <c r="B32" s="1261" t="s">
        <v>17487</v>
      </c>
      <c r="C32" s="1261" t="s">
        <v>17486</v>
      </c>
      <c r="D32" s="1261" t="s">
        <v>7344</v>
      </c>
      <c r="E32" s="1261" t="s">
        <v>17499</v>
      </c>
      <c r="F32" s="1261" t="s">
        <v>17498</v>
      </c>
      <c r="G32" s="1261" t="s">
        <v>17500</v>
      </c>
    </row>
    <row r="33" spans="1:7" ht="162">
      <c r="A33" s="1261" t="s">
        <v>17425</v>
      </c>
      <c r="B33" s="1261" t="s">
        <v>17489</v>
      </c>
      <c r="C33" s="1261" t="s">
        <v>17488</v>
      </c>
      <c r="D33" s="1261" t="s">
        <v>9810</v>
      </c>
      <c r="E33" s="1261" t="s">
        <v>17503</v>
      </c>
      <c r="F33" s="1261" t="s">
        <v>17501</v>
      </c>
      <c r="G33" s="1261" t="s">
        <v>17502</v>
      </c>
    </row>
    <row r="34" spans="1:7" ht="26.25" thickBot="1">
      <c r="A34" s="1173" t="s">
        <v>17537</v>
      </c>
    </row>
    <row r="35" spans="1:7" ht="26.25" thickTop="1">
      <c r="A35" t="s">
        <v>17528</v>
      </c>
      <c r="B35" t="s">
        <v>17512</v>
      </c>
      <c r="C35" t="s">
        <v>8572</v>
      </c>
    </row>
    <row r="36" spans="1:7">
      <c r="A36" t="s">
        <v>17359</v>
      </c>
      <c r="B36" t="s">
        <v>9812</v>
      </c>
      <c r="C36" t="s">
        <v>17507</v>
      </c>
    </row>
    <row r="37" spans="1:7">
      <c r="A37" t="s">
        <v>17360</v>
      </c>
      <c r="B37" t="s">
        <v>7341</v>
      </c>
      <c r="C37" t="s">
        <v>17508</v>
      </c>
    </row>
    <row r="38" spans="1:7">
      <c r="A38" t="s">
        <v>17361</v>
      </c>
      <c r="B38" t="s">
        <v>7333</v>
      </c>
      <c r="C38" t="s">
        <v>17509</v>
      </c>
    </row>
    <row r="39" spans="1:7">
      <c r="A39" t="s">
        <v>17362</v>
      </c>
      <c r="B39" t="s">
        <v>7332</v>
      </c>
      <c r="C39" t="s">
        <v>17510</v>
      </c>
    </row>
    <row r="40" spans="1:7">
      <c r="A40" t="s">
        <v>17363</v>
      </c>
      <c r="B40" t="s">
        <v>7344</v>
      </c>
      <c r="C40" t="s">
        <v>17511</v>
      </c>
    </row>
    <row r="41" spans="1:7">
      <c r="A41" s="1153"/>
      <c r="B41" s="1153"/>
      <c r="C41" s="1153"/>
    </row>
    <row r="42" spans="1:7" ht="26.25" thickBot="1">
      <c r="A42" s="1173" t="s">
        <v>17538</v>
      </c>
      <c r="B42" s="1153"/>
      <c r="C42" s="1153"/>
    </row>
    <row r="43" spans="1:7" ht="26.25" thickTop="1">
      <c r="A43" s="1153" t="s">
        <v>17530</v>
      </c>
    </row>
    <row r="44" spans="1:7">
      <c r="A44" t="s">
        <v>17518</v>
      </c>
      <c r="B44" t="s">
        <v>721</v>
      </c>
      <c r="C44" t="s">
        <v>8572</v>
      </c>
    </row>
    <row r="45" spans="1:7" ht="29.25">
      <c r="A45" s="1149" t="s">
        <v>17354</v>
      </c>
      <c r="B45" s="1149"/>
    </row>
    <row r="46" spans="1:7" ht="29.25">
      <c r="A46" s="1149" t="s">
        <v>17355</v>
      </c>
      <c r="B46" s="1150"/>
    </row>
    <row r="47" spans="1:7" ht="29.25">
      <c r="A47" s="1149" t="s">
        <v>17356</v>
      </c>
      <c r="B47" s="1150"/>
    </row>
    <row r="48" spans="1:7" ht="29.25">
      <c r="A48" s="1149" t="s">
        <v>17357</v>
      </c>
      <c r="B48" s="1150"/>
    </row>
    <row r="49" spans="1:3" ht="29.25">
      <c r="A49" s="1149" t="s">
        <v>17358</v>
      </c>
      <c r="B49" s="1150"/>
    </row>
    <row r="50" spans="1:3" ht="29.25">
      <c r="A50" s="1175"/>
      <c r="B50" s="1174"/>
    </row>
    <row r="51" spans="1:3" ht="26.25" thickBot="1">
      <c r="A51" s="1173" t="s">
        <v>9827</v>
      </c>
    </row>
    <row r="52" spans="1:3" ht="26.25" thickTop="1">
      <c r="A52" s="1153" t="s">
        <v>17531</v>
      </c>
    </row>
    <row r="53" spans="1:3" ht="26.25" thickBot="1">
      <c r="A53" t="s">
        <v>17348</v>
      </c>
      <c r="B53" s="759" t="s">
        <v>721</v>
      </c>
      <c r="C53" s="1162" t="s">
        <v>8572</v>
      </c>
    </row>
    <row r="54" spans="1:3" ht="29.25">
      <c r="A54" s="1149" t="s">
        <v>17349</v>
      </c>
      <c r="B54" s="1149"/>
    </row>
    <row r="55" spans="1:3" ht="29.25">
      <c r="A55" s="1149" t="s">
        <v>17350</v>
      </c>
      <c r="B55" s="1150"/>
    </row>
    <row r="56" spans="1:3" ht="29.25">
      <c r="A56" s="1149" t="s">
        <v>17351</v>
      </c>
      <c r="B56" s="1150"/>
    </row>
    <row r="57" spans="1:3" ht="29.25">
      <c r="A57" s="1149" t="s">
        <v>17352</v>
      </c>
      <c r="B57" s="1150"/>
    </row>
    <row r="58" spans="1:3" ht="29.25">
      <c r="A58" s="1149" t="s">
        <v>17353</v>
      </c>
      <c r="B58" s="1150"/>
    </row>
    <row r="60" spans="1:3" ht="26.25" thickBot="1">
      <c r="A60" s="1173" t="s">
        <v>17539</v>
      </c>
    </row>
    <row r="61" spans="1:3" ht="26.25" thickTop="1">
      <c r="A61" s="1153" t="s">
        <v>17532</v>
      </c>
    </row>
    <row r="62" spans="1:3" ht="29.25">
      <c r="A62" s="1147" t="s">
        <v>17380</v>
      </c>
      <c r="B62" s="1163" t="s">
        <v>8792</v>
      </c>
    </row>
    <row r="63" spans="1:3" ht="29.25">
      <c r="A63" s="1164" t="s">
        <v>17381</v>
      </c>
      <c r="B63" s="1164"/>
    </row>
    <row r="64" spans="1:3" ht="29.25">
      <c r="A64" s="1164" t="s">
        <v>17382</v>
      </c>
      <c r="B64" s="1165"/>
    </row>
    <row r="65" spans="1:2" ht="29.25">
      <c r="A65" s="1164" t="s">
        <v>17383</v>
      </c>
      <c r="B65" s="1165"/>
    </row>
    <row r="66" spans="1:2" ht="29.25">
      <c r="A66" s="1164" t="s">
        <v>17384</v>
      </c>
      <c r="B66" s="1165"/>
    </row>
    <row r="67" spans="1:2" ht="29.25">
      <c r="A67" s="1166" t="s">
        <v>17385</v>
      </c>
      <c r="B67" s="1167"/>
    </row>
    <row r="68" spans="1:2" ht="29.25">
      <c r="A68" s="1147" t="s">
        <v>17515</v>
      </c>
      <c r="B68" s="1163" t="s">
        <v>8792</v>
      </c>
    </row>
    <row r="69" spans="1:2" ht="29.25">
      <c r="A69" s="1164" t="s">
        <v>17394</v>
      </c>
      <c r="B69" s="1164"/>
    </row>
    <row r="70" spans="1:2" ht="29.25">
      <c r="A70" s="1164" t="s">
        <v>17403</v>
      </c>
      <c r="B70" s="1165"/>
    </row>
    <row r="71" spans="1:2" ht="29.25">
      <c r="A71" s="1164" t="s">
        <v>17404</v>
      </c>
      <c r="B71" s="1165"/>
    </row>
    <row r="72" spans="1:2" ht="29.25">
      <c r="A72" s="1164" t="s">
        <v>17405</v>
      </c>
      <c r="B72" s="1165"/>
    </row>
    <row r="73" spans="1:2" ht="29.25">
      <c r="A73" s="1166" t="s">
        <v>17406</v>
      </c>
      <c r="B73" s="1167"/>
    </row>
    <row r="74" spans="1:2" ht="26.25">
      <c r="A74" s="1148" t="s">
        <v>17516</v>
      </c>
      <c r="B74" s="1163" t="s">
        <v>8792</v>
      </c>
    </row>
    <row r="75" spans="1:2" ht="29.25">
      <c r="A75" s="1164" t="s">
        <v>17386</v>
      </c>
      <c r="B75" s="1164"/>
    </row>
    <row r="76" spans="1:2" ht="29.25">
      <c r="A76" s="1164" t="s">
        <v>17387</v>
      </c>
      <c r="B76" s="1165"/>
    </row>
    <row r="77" spans="1:2" ht="29.25">
      <c r="A77" s="1164" t="s">
        <v>17388</v>
      </c>
      <c r="B77" s="1165"/>
    </row>
    <row r="78" spans="1:2" ht="29.25">
      <c r="A78" s="1164" t="s">
        <v>17389</v>
      </c>
      <c r="B78" s="1165"/>
    </row>
    <row r="79" spans="1:2" ht="29.25">
      <c r="A79" s="1166" t="s">
        <v>17390</v>
      </c>
      <c r="B79" s="1167"/>
    </row>
    <row r="80" spans="1:2">
      <c r="A80" s="1146" t="s">
        <v>17533</v>
      </c>
      <c r="B80" s="1146" t="s">
        <v>8792</v>
      </c>
    </row>
    <row r="81" spans="1:4">
      <c r="A81" s="1146">
        <v>5</v>
      </c>
    </row>
    <row r="82" spans="1:4">
      <c r="A82" s="1146">
        <v>4</v>
      </c>
    </row>
    <row r="83" spans="1:4">
      <c r="A83" s="1146">
        <v>3</v>
      </c>
    </row>
    <row r="84" spans="1:4">
      <c r="A84" s="1146">
        <v>2</v>
      </c>
    </row>
    <row r="85" spans="1:4">
      <c r="A85" s="1146">
        <v>1</v>
      </c>
    </row>
    <row r="86" spans="1:4" ht="26.25" thickBot="1">
      <c r="D86" s="1176" t="s">
        <v>17534</v>
      </c>
    </row>
    <row r="87" spans="1:4" ht="26.25" thickBot="1">
      <c r="A87" s="1173" t="s">
        <v>17540</v>
      </c>
      <c r="D87" s="1174"/>
    </row>
    <row r="88" spans="1:4" ht="26.25" thickTop="1">
      <c r="A88" s="1153" t="s">
        <v>17534</v>
      </c>
      <c r="D88" s="1174"/>
    </row>
    <row r="89" spans="1:4" ht="26.25">
      <c r="A89" s="1148" t="s">
        <v>17398</v>
      </c>
      <c r="B89" s="1146" t="s">
        <v>17517</v>
      </c>
      <c r="C89" s="1169" t="s">
        <v>8792</v>
      </c>
    </row>
    <row r="90" spans="1:4">
      <c r="A90" t="s">
        <v>17391</v>
      </c>
      <c r="B90"/>
      <c r="C90"/>
    </row>
    <row r="91" spans="1:4">
      <c r="A91" t="s">
        <v>17412</v>
      </c>
      <c r="B91"/>
      <c r="C91"/>
    </row>
    <row r="92" spans="1:4">
      <c r="A92" t="s">
        <v>17413</v>
      </c>
      <c r="B92"/>
      <c r="C92"/>
    </row>
    <row r="93" spans="1:4">
      <c r="A93" t="s">
        <v>17414</v>
      </c>
      <c r="B93"/>
      <c r="C93"/>
    </row>
    <row r="94" spans="1:4">
      <c r="A94" t="s">
        <v>17415</v>
      </c>
      <c r="B94"/>
      <c r="C94"/>
    </row>
    <row r="95" spans="1:4">
      <c r="A95" s="1153"/>
      <c r="B95" s="1153"/>
      <c r="C95" s="1153"/>
    </row>
    <row r="96" spans="1:4" ht="26.25" thickBot="1">
      <c r="A96" s="1173" t="s">
        <v>17541</v>
      </c>
    </row>
    <row r="97" spans="1:3" ht="27" thickTop="1">
      <c r="A97" s="1170" t="s">
        <v>17519</v>
      </c>
      <c r="B97" s="1169" t="s">
        <v>7382</v>
      </c>
      <c r="C97" s="1169" t="s">
        <v>8792</v>
      </c>
    </row>
    <row r="98" spans="1:3">
      <c r="A98" t="s">
        <v>17392</v>
      </c>
      <c r="B98"/>
      <c r="C98"/>
    </row>
    <row r="99" spans="1:3">
      <c r="A99" t="s">
        <v>17408</v>
      </c>
      <c r="B99"/>
      <c r="C99"/>
    </row>
    <row r="100" spans="1:3">
      <c r="A100" t="s">
        <v>17409</v>
      </c>
      <c r="B100"/>
      <c r="C100"/>
    </row>
    <row r="101" spans="1:3">
      <c r="A101" t="s">
        <v>17410</v>
      </c>
      <c r="B101"/>
      <c r="C101"/>
    </row>
    <row r="102" spans="1:3">
      <c r="A102" t="s">
        <v>17411</v>
      </c>
      <c r="B102"/>
      <c r="C102"/>
    </row>
    <row r="103" spans="1:3">
      <c r="A103" s="1153"/>
      <c r="B103" s="1153"/>
      <c r="C103" s="1153"/>
    </row>
    <row r="104" spans="1:3" ht="26.25" thickBot="1">
      <c r="A104" s="1173" t="s">
        <v>17541</v>
      </c>
    </row>
    <row r="105" spans="1:3" ht="30" thickTop="1">
      <c r="A105" s="1168" t="s">
        <v>17369</v>
      </c>
      <c r="B105" s="1172" t="s">
        <v>7382</v>
      </c>
      <c r="C105" s="1172" t="s">
        <v>8792</v>
      </c>
    </row>
    <row r="106" spans="1:3">
      <c r="A106" t="s">
        <v>17370</v>
      </c>
      <c r="B106"/>
      <c r="C106"/>
    </row>
    <row r="107" spans="1:3">
      <c r="A107" t="s">
        <v>17371</v>
      </c>
      <c r="B107"/>
      <c r="C107"/>
    </row>
    <row r="108" spans="1:3">
      <c r="A108" t="s">
        <v>17372</v>
      </c>
      <c r="B108"/>
      <c r="C108"/>
    </row>
    <row r="109" spans="1:3">
      <c r="A109" t="s">
        <v>17373</v>
      </c>
      <c r="B109"/>
      <c r="C109"/>
    </row>
    <row r="110" spans="1:3">
      <c r="A110" t="s">
        <v>17374</v>
      </c>
      <c r="B110"/>
      <c r="C110"/>
    </row>
    <row r="112" spans="1:3" ht="26.25" thickBot="1">
      <c r="A112" s="1173" t="s">
        <v>17541</v>
      </c>
    </row>
    <row r="113" spans="1:3" ht="30" thickTop="1">
      <c r="A113" s="1168" t="s">
        <v>17407</v>
      </c>
      <c r="B113" s="1169" t="s">
        <v>7382</v>
      </c>
      <c r="C113" s="1169" t="s">
        <v>8792</v>
      </c>
    </row>
    <row r="114" spans="1:3">
      <c r="A114" t="s">
        <v>17375</v>
      </c>
      <c r="B114"/>
      <c r="C114"/>
    </row>
    <row r="115" spans="1:3">
      <c r="A115" t="s">
        <v>17376</v>
      </c>
      <c r="B115"/>
      <c r="C115"/>
    </row>
    <row r="116" spans="1:3">
      <c r="A116" t="s">
        <v>17377</v>
      </c>
      <c r="B116"/>
      <c r="C116"/>
    </row>
    <row r="117" spans="1:3">
      <c r="A117" t="s">
        <v>17378</v>
      </c>
      <c r="B117"/>
      <c r="C117"/>
    </row>
    <row r="118" spans="1:3">
      <c r="A118" t="s">
        <v>17379</v>
      </c>
      <c r="B118"/>
      <c r="C118"/>
    </row>
    <row r="120" spans="1:3" ht="26.25" thickBot="1">
      <c r="A120" s="1173" t="s">
        <v>17541</v>
      </c>
    </row>
    <row r="121" spans="1:3" ht="30" thickTop="1">
      <c r="A121" s="1168" t="s">
        <v>17364</v>
      </c>
      <c r="B121" s="1169" t="s">
        <v>551</v>
      </c>
      <c r="C121" s="1169" t="s">
        <v>7706</v>
      </c>
    </row>
    <row r="122" spans="1:3">
      <c r="A122" t="s">
        <v>17365</v>
      </c>
      <c r="B122"/>
      <c r="C122"/>
    </row>
    <row r="123" spans="1:3">
      <c r="A123" t="s">
        <v>17366</v>
      </c>
      <c r="B123"/>
      <c r="C123"/>
    </row>
    <row r="124" spans="1:3">
      <c r="A124" t="s">
        <v>17367</v>
      </c>
      <c r="B124"/>
      <c r="C124"/>
    </row>
    <row r="125" spans="1:3">
      <c r="A125" t="s">
        <v>17368</v>
      </c>
      <c r="B125"/>
      <c r="C125"/>
    </row>
    <row r="126" spans="1:3">
      <c r="A126" t="s">
        <v>17364</v>
      </c>
      <c r="B126"/>
      <c r="C126"/>
    </row>
    <row r="127" spans="1:3">
      <c r="A127" s="1258"/>
      <c r="B127" s="1258"/>
      <c r="C127" s="1258"/>
    </row>
    <row r="128" spans="1:3">
      <c r="A128" s="1258"/>
      <c r="B128" s="1258"/>
      <c r="C128" s="1258"/>
    </row>
    <row r="129" spans="1:3">
      <c r="A129" s="1146" t="s">
        <v>18182</v>
      </c>
      <c r="B129" s="1146" t="s">
        <v>16361</v>
      </c>
      <c r="C129" s="1146" t="s">
        <v>18181</v>
      </c>
    </row>
    <row r="130" spans="1:3">
      <c r="A130" s="1146" t="s">
        <v>18180</v>
      </c>
      <c r="B130" s="1146" t="s">
        <v>6883</v>
      </c>
    </row>
    <row r="131" spans="1:3">
      <c r="A131" s="1146" t="s">
        <v>18178</v>
      </c>
      <c r="B131" s="1146" t="s">
        <v>6778</v>
      </c>
      <c r="C131" s="1146" t="s">
        <v>9503</v>
      </c>
    </row>
    <row r="132" spans="1:3">
      <c r="A132" s="1146" t="s">
        <v>18170</v>
      </c>
      <c r="B132" s="1146" t="s">
        <v>6907</v>
      </c>
      <c r="C132" s="1146" t="s">
        <v>18179</v>
      </c>
    </row>
    <row r="133" spans="1:3">
      <c r="A133" s="1146" t="s">
        <v>18171</v>
      </c>
      <c r="B133" s="1146" t="s">
        <v>6876</v>
      </c>
      <c r="C133" s="1146" t="s">
        <v>18176</v>
      </c>
    </row>
    <row r="134" spans="1:3">
      <c r="A134" s="1146" t="s">
        <v>18172</v>
      </c>
      <c r="B134" s="1146" t="s">
        <v>18177</v>
      </c>
      <c r="C134" s="1146" t="s">
        <v>7300</v>
      </c>
    </row>
    <row r="135" spans="1:3">
      <c r="A135" s="1146" t="s">
        <v>18173</v>
      </c>
      <c r="B135" s="1146" t="s">
        <v>18175</v>
      </c>
      <c r="C135" s="1146" t="s">
        <v>7295</v>
      </c>
    </row>
    <row r="136" spans="1:3">
      <c r="A136" s="1146" t="s">
        <v>18174</v>
      </c>
    </row>
    <row r="160" spans="1:3" ht="26.25">
      <c r="A160" s="1171" t="s">
        <v>17520</v>
      </c>
      <c r="B160" s="1171" t="s">
        <v>7382</v>
      </c>
      <c r="C160" s="1171" t="s">
        <v>8792</v>
      </c>
    </row>
    <row r="161" spans="1:3">
      <c r="A161" t="s">
        <v>17393</v>
      </c>
      <c r="B161"/>
      <c r="C161"/>
    </row>
    <row r="162" spans="1:3">
      <c r="A162" t="s">
        <v>17399</v>
      </c>
      <c r="B162"/>
      <c r="C162"/>
    </row>
    <row r="163" spans="1:3">
      <c r="A163" t="s">
        <v>17400</v>
      </c>
      <c r="B163"/>
      <c r="C163"/>
    </row>
    <row r="164" spans="1:3">
      <c r="A164" t="s">
        <v>17401</v>
      </c>
      <c r="B164"/>
      <c r="C164"/>
    </row>
    <row r="165" spans="1:3">
      <c r="A165" t="s">
        <v>17402</v>
      </c>
      <c r="B165"/>
      <c r="C165"/>
    </row>
  </sheetData>
  <mergeCells count="13">
    <mergeCell ref="A18:E18"/>
    <mergeCell ref="A19:E19"/>
    <mergeCell ref="A1:E1"/>
    <mergeCell ref="A16:E16"/>
    <mergeCell ref="A2:E2"/>
    <mergeCell ref="A4:E4"/>
    <mergeCell ref="A5:E5"/>
    <mergeCell ref="A7:E7"/>
    <mergeCell ref="A8:E8"/>
    <mergeCell ref="A10:E10"/>
    <mergeCell ref="A11:E11"/>
    <mergeCell ref="A13:E13"/>
    <mergeCell ref="A14:E14"/>
  </mergeCells>
  <pageMargins left="0.7" right="0.7" top="0.75" bottom="0.75" header="0.3" footer="0.3"/>
  <pageSetup paperSize="9" orientation="portrait" r:id="rId1"/>
  <drawing r:id="rId2"/>
  <tableParts count="16">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C88DD-8A3A-46A9-957A-1D275C3D64B6}">
  <sheetPr>
    <tabColor rgb="FF7030A0"/>
  </sheetPr>
  <dimension ref="A4:M16"/>
  <sheetViews>
    <sheetView zoomScale="145" zoomScaleNormal="145" workbookViewId="0">
      <selection activeCell="D13" sqref="D13"/>
    </sheetView>
  </sheetViews>
  <sheetFormatPr defaultRowHeight="14.25"/>
  <cols>
    <col min="1" max="1" width="10.77734375" style="1259" customWidth="1"/>
    <col min="2" max="2" width="10.88671875" style="1259" customWidth="1"/>
    <col min="3" max="3" width="15.5546875" style="1259" customWidth="1"/>
    <col min="4" max="4" width="11.5546875" style="1259" customWidth="1"/>
    <col min="5" max="6" width="10.109375" style="1259" customWidth="1"/>
    <col min="7" max="16384" width="8.88671875" style="1259"/>
  </cols>
  <sheetData>
    <row r="4" spans="1:13">
      <c r="A4" s="1259" t="s">
        <v>17513</v>
      </c>
      <c r="B4" s="1259" t="s">
        <v>8572</v>
      </c>
      <c r="C4" s="1259" t="s">
        <v>17452</v>
      </c>
      <c r="D4" s="1259" t="s">
        <v>17453</v>
      </c>
      <c r="E4" s="1259" t="s">
        <v>8810</v>
      </c>
      <c r="G4" s="1259" t="s">
        <v>17514</v>
      </c>
      <c r="H4" s="1259" t="s">
        <v>8881</v>
      </c>
      <c r="I4" s="1259" t="s">
        <v>8868</v>
      </c>
      <c r="J4" s="1259" t="s">
        <v>8853</v>
      </c>
      <c r="K4" s="1259" t="s">
        <v>17451</v>
      </c>
      <c r="L4" s="1259" t="s">
        <v>8837</v>
      </c>
      <c r="M4" s="1259" t="s">
        <v>8825</v>
      </c>
    </row>
    <row r="5" spans="1:13">
      <c r="A5" s="1259" t="s">
        <v>18185</v>
      </c>
      <c r="B5" s="1259" t="s">
        <v>18186</v>
      </c>
      <c r="C5" s="1259" t="s">
        <v>18187</v>
      </c>
      <c r="D5" s="1259" t="s">
        <v>18188</v>
      </c>
      <c r="G5" s="1259" t="s">
        <v>17447</v>
      </c>
      <c r="H5" s="1259">
        <v>0</v>
      </c>
      <c r="I5" s="1259">
        <v>0</v>
      </c>
      <c r="J5" s="1259">
        <v>1</v>
      </c>
      <c r="K5" s="1259">
        <v>2</v>
      </c>
      <c r="L5" s="1259">
        <v>3</v>
      </c>
      <c r="M5" s="1259">
        <v>4</v>
      </c>
    </row>
    <row r="6" spans="1:13">
      <c r="A6" s="1259" t="s">
        <v>18189</v>
      </c>
      <c r="B6" s="1259" t="s">
        <v>18190</v>
      </c>
      <c r="C6" s="1259" t="s">
        <v>18191</v>
      </c>
      <c r="D6" s="1259" t="s">
        <v>18192</v>
      </c>
      <c r="G6" s="1259" t="s">
        <v>17448</v>
      </c>
      <c r="H6" s="1259">
        <v>1</v>
      </c>
      <c r="I6" s="1259">
        <v>2</v>
      </c>
      <c r="J6" s="1259">
        <v>3</v>
      </c>
      <c r="K6" s="1259">
        <v>3</v>
      </c>
      <c r="L6" s="1259">
        <v>4</v>
      </c>
      <c r="M6" s="1259">
        <v>5</v>
      </c>
    </row>
    <row r="7" spans="1:13">
      <c r="A7" s="1259" t="s">
        <v>18193</v>
      </c>
      <c r="B7" s="1259" t="s">
        <v>18194</v>
      </c>
      <c r="C7" s="1259" t="s">
        <v>18195</v>
      </c>
      <c r="D7" s="1259" t="s">
        <v>18196</v>
      </c>
      <c r="E7" s="1259" t="s">
        <v>18197</v>
      </c>
      <c r="G7" s="1259" t="s">
        <v>17449</v>
      </c>
      <c r="H7" s="1259">
        <v>1</v>
      </c>
      <c r="I7" s="1259">
        <v>3</v>
      </c>
      <c r="J7" s="1259">
        <v>3</v>
      </c>
      <c r="K7" s="1259">
        <v>3</v>
      </c>
      <c r="L7" s="1259">
        <v>4</v>
      </c>
      <c r="M7" s="1259">
        <v>4</v>
      </c>
    </row>
    <row r="8" spans="1:13">
      <c r="A8" s="1259" t="s">
        <v>18201</v>
      </c>
      <c r="B8" s="1259" t="s">
        <v>18200</v>
      </c>
      <c r="C8" s="1259" t="s">
        <v>18199</v>
      </c>
      <c r="D8" s="1259" t="s">
        <v>18198</v>
      </c>
      <c r="E8" s="1259" t="s">
        <v>18197</v>
      </c>
      <c r="G8" s="1259" t="s">
        <v>17450</v>
      </c>
      <c r="H8" s="1259">
        <v>3</v>
      </c>
      <c r="I8" s="1259">
        <v>4</v>
      </c>
      <c r="J8" s="1259">
        <v>5</v>
      </c>
      <c r="K8" s="1259">
        <v>5</v>
      </c>
      <c r="L8" s="1259">
        <v>5</v>
      </c>
      <c r="M8" s="1259">
        <v>5</v>
      </c>
    </row>
    <row r="9" spans="1:13">
      <c r="A9" s="1259" t="s">
        <v>18202</v>
      </c>
      <c r="B9" s="1259" t="s">
        <v>18219</v>
      </c>
      <c r="C9" s="1259" t="s">
        <v>18221</v>
      </c>
      <c r="D9" s="1259" t="s">
        <v>18220</v>
      </c>
      <c r="E9" s="1259" t="s">
        <v>18197</v>
      </c>
    </row>
    <row r="10" spans="1:13">
      <c r="A10" s="1259" t="s">
        <v>18203</v>
      </c>
      <c r="B10" s="1259" t="s">
        <v>18222</v>
      </c>
      <c r="C10" s="1259" t="s">
        <v>18223</v>
      </c>
      <c r="D10" s="1259" t="s">
        <v>18224</v>
      </c>
      <c r="E10" s="1259" t="s">
        <v>18213</v>
      </c>
    </row>
    <row r="11" spans="1:13">
      <c r="A11" s="1259" t="s">
        <v>18204</v>
      </c>
      <c r="D11" s="1259" t="s">
        <v>18227</v>
      </c>
    </row>
    <row r="12" spans="1:13">
      <c r="A12" s="1259" t="s">
        <v>18205</v>
      </c>
      <c r="B12" s="1259" t="s">
        <v>18225</v>
      </c>
      <c r="C12" s="1259" t="s">
        <v>18217</v>
      </c>
      <c r="D12" s="1259" t="s">
        <v>18226</v>
      </c>
    </row>
    <row r="13" spans="1:13">
      <c r="A13" s="1259" t="s">
        <v>18206</v>
      </c>
    </row>
    <row r="14" spans="1:13">
      <c r="A14" s="1259" t="s">
        <v>18207</v>
      </c>
      <c r="B14" s="1259" t="s">
        <v>18218</v>
      </c>
      <c r="C14" s="1259" t="s">
        <v>18217</v>
      </c>
      <c r="D14" s="1259" t="s">
        <v>18216</v>
      </c>
    </row>
    <row r="15" spans="1:13">
      <c r="A15" s="1259" t="s">
        <v>18208</v>
      </c>
      <c r="B15" s="1259" t="s">
        <v>18215</v>
      </c>
      <c r="C15" s="1259" t="s">
        <v>5833</v>
      </c>
      <c r="D15" s="1259" t="s">
        <v>18214</v>
      </c>
      <c r="E15" s="1259" t="s">
        <v>18213</v>
      </c>
    </row>
    <row r="16" spans="1:13">
      <c r="A16" s="1259" t="s">
        <v>18209</v>
      </c>
      <c r="B16" s="1259" t="s">
        <v>18210</v>
      </c>
      <c r="C16" s="1259" t="s">
        <v>18211</v>
      </c>
      <c r="D16" s="1259" t="s">
        <v>18212</v>
      </c>
    </row>
  </sheetData>
  <pageMargins left="0.7" right="0.7" top="0.75" bottom="0.75" header="0.3" footer="0.3"/>
  <pageSetup paperSize="9" orientation="portrait" r:id="rId1"/>
  <tableParts count="2">
    <tablePart r:id="rId2"/>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D042-65AF-4686-9895-2E7B50CFE918}">
  <sheetPr codeName="Аркуш15">
    <tabColor rgb="FF7030A0"/>
  </sheetPr>
  <dimension ref="A1:I60"/>
  <sheetViews>
    <sheetView zoomScale="115" zoomScaleNormal="115" workbookViewId="0">
      <selection activeCell="I1" sqref="I1:I1048576"/>
    </sheetView>
  </sheetViews>
  <sheetFormatPr defaultRowHeight="14.25"/>
  <cols>
    <col min="1" max="1" width="16.109375" customWidth="1"/>
    <col min="3" max="3" width="10.88671875" customWidth="1"/>
    <col min="5" max="5" width="11.33203125" customWidth="1"/>
    <col min="9" max="9" width="16.33203125" customWidth="1"/>
  </cols>
  <sheetData>
    <row r="1" spans="1:9">
      <c r="A1" t="s">
        <v>11193</v>
      </c>
      <c r="B1" t="s">
        <v>1787</v>
      </c>
      <c r="C1" t="s">
        <v>8572</v>
      </c>
      <c r="D1" t="s">
        <v>11194</v>
      </c>
      <c r="E1" t="s">
        <v>11195</v>
      </c>
      <c r="F1" t="s">
        <v>11196</v>
      </c>
      <c r="G1" t="s">
        <v>5608</v>
      </c>
      <c r="I1" t="s">
        <v>13102</v>
      </c>
    </row>
    <row r="2" spans="1:9">
      <c r="A2" s="2" t="s">
        <v>11197</v>
      </c>
      <c r="B2" s="2" t="s">
        <v>11198</v>
      </c>
      <c r="C2" s="2"/>
      <c r="F2" t="s">
        <v>11204</v>
      </c>
      <c r="I2" t="s">
        <v>13101</v>
      </c>
    </row>
    <row r="3" spans="1:9">
      <c r="A3" s="2" t="s">
        <v>11200</v>
      </c>
      <c r="B3" s="2" t="s">
        <v>11199</v>
      </c>
      <c r="C3" s="2"/>
      <c r="F3" t="s">
        <v>11202</v>
      </c>
      <c r="I3" t="s">
        <v>11858</v>
      </c>
    </row>
    <row r="4" spans="1:9">
      <c r="A4" s="2" t="s">
        <v>11201</v>
      </c>
      <c r="B4" s="2" t="s">
        <v>11199</v>
      </c>
      <c r="C4" s="2"/>
      <c r="I4" t="s">
        <v>11856</v>
      </c>
    </row>
    <row r="5" spans="1:9">
      <c r="A5" s="2" t="s">
        <v>11203</v>
      </c>
      <c r="B5" s="2" t="s">
        <v>11199</v>
      </c>
      <c r="C5" s="2"/>
      <c r="F5" t="s">
        <v>11419</v>
      </c>
      <c r="I5" t="s">
        <v>13095</v>
      </c>
    </row>
    <row r="6" spans="1:9">
      <c r="A6" s="2" t="s">
        <v>11420</v>
      </c>
      <c r="B6" s="2" t="s">
        <v>11856</v>
      </c>
      <c r="C6" s="2" t="s">
        <v>11421</v>
      </c>
      <c r="I6" t="s">
        <v>11859</v>
      </c>
    </row>
    <row r="7" spans="1:9">
      <c r="A7" s="2" t="s">
        <v>11422</v>
      </c>
      <c r="B7" s="2" t="s">
        <v>11857</v>
      </c>
      <c r="C7" s="2" t="s">
        <v>11423</v>
      </c>
      <c r="I7" t="s">
        <v>13098</v>
      </c>
    </row>
    <row r="8" spans="1:9">
      <c r="A8" s="2" t="s">
        <v>11424</v>
      </c>
      <c r="B8" s="2" t="s">
        <v>15306</v>
      </c>
      <c r="C8" s="649" t="s">
        <v>11425</v>
      </c>
      <c r="I8" t="s">
        <v>11198</v>
      </c>
    </row>
    <row r="9" spans="1:9">
      <c r="A9" s="2" t="s">
        <v>11426</v>
      </c>
      <c r="B9" s="2" t="s">
        <v>11857</v>
      </c>
      <c r="C9" s="2"/>
      <c r="F9" t="s">
        <v>11202</v>
      </c>
      <c r="I9" t="s">
        <v>11199</v>
      </c>
    </row>
    <row r="10" spans="1:9">
      <c r="A10" s="2" t="s">
        <v>11427</v>
      </c>
      <c r="B10" s="2" t="s">
        <v>11858</v>
      </c>
      <c r="C10" s="2"/>
      <c r="I10" t="s">
        <v>13100</v>
      </c>
    </row>
    <row r="11" spans="1:9">
      <c r="A11" s="1180" t="s">
        <v>11428</v>
      </c>
      <c r="B11" s="2" t="s">
        <v>11858</v>
      </c>
      <c r="C11" s="2"/>
      <c r="I11" t="s">
        <v>11857</v>
      </c>
    </row>
    <row r="12" spans="1:9">
      <c r="A12" s="2" t="s">
        <v>11429</v>
      </c>
      <c r="B12" s="2" t="s">
        <v>11858</v>
      </c>
      <c r="C12" s="2"/>
      <c r="I12" t="s">
        <v>12895</v>
      </c>
    </row>
    <row r="13" spans="1:9">
      <c r="A13" s="2" t="s">
        <v>11430</v>
      </c>
      <c r="B13" s="2" t="s">
        <v>11858</v>
      </c>
      <c r="C13" s="2"/>
      <c r="I13" t="s">
        <v>13099</v>
      </c>
    </row>
    <row r="14" spans="1:9">
      <c r="A14" s="2" t="s">
        <v>11431</v>
      </c>
      <c r="B14" s="2" t="s">
        <v>11858</v>
      </c>
      <c r="C14" s="2"/>
      <c r="I14" t="s">
        <v>12896</v>
      </c>
    </row>
    <row r="15" spans="1:9" ht="17.25">
      <c r="A15" s="1181" t="s">
        <v>11454</v>
      </c>
      <c r="B15" s="2" t="s">
        <v>11859</v>
      </c>
      <c r="C15" s="2"/>
      <c r="I15" t="s">
        <v>11860</v>
      </c>
    </row>
    <row r="16" spans="1:9" ht="15">
      <c r="A16" s="646" t="s">
        <v>11455</v>
      </c>
      <c r="B16" s="2" t="s">
        <v>11860</v>
      </c>
      <c r="C16" s="2" t="s">
        <v>11456</v>
      </c>
      <c r="I16" t="s">
        <v>15306</v>
      </c>
    </row>
    <row r="17" spans="1:3">
      <c r="A17" s="2" t="s">
        <v>11457</v>
      </c>
      <c r="B17" s="2" t="s">
        <v>11860</v>
      </c>
      <c r="C17" s="2" t="s">
        <v>11458</v>
      </c>
    </row>
    <row r="18" spans="1:3" ht="15">
      <c r="A18" s="646" t="s">
        <v>11459</v>
      </c>
      <c r="B18" s="2" t="s">
        <v>12896</v>
      </c>
      <c r="C18" s="2"/>
    </row>
    <row r="19" spans="1:3">
      <c r="A19" s="2" t="s">
        <v>7330</v>
      </c>
      <c r="B19" s="2" t="s">
        <v>12896</v>
      </c>
      <c r="C19" s="2"/>
    </row>
    <row r="20" spans="1:3">
      <c r="A20" s="2" t="s">
        <v>7335</v>
      </c>
      <c r="B20" s="2" t="s">
        <v>12896</v>
      </c>
      <c r="C20" s="2"/>
    </row>
    <row r="21" spans="1:3" ht="17.25">
      <c r="A21" s="1181" t="s">
        <v>11460</v>
      </c>
      <c r="B21" s="2" t="s">
        <v>11198</v>
      </c>
      <c r="C21" s="1181" t="s">
        <v>11461</v>
      </c>
    </row>
    <row r="22" spans="1:3" ht="17.25">
      <c r="A22" s="1181" t="s">
        <v>11462</v>
      </c>
      <c r="B22" s="2" t="s">
        <v>11198</v>
      </c>
      <c r="C22" s="1181" t="s">
        <v>11463</v>
      </c>
    </row>
    <row r="23" spans="1:3">
      <c r="A23" s="2" t="s">
        <v>11561</v>
      </c>
      <c r="B23" s="2" t="s">
        <v>11198</v>
      </c>
      <c r="C23" s="2" t="s">
        <v>11562</v>
      </c>
    </row>
    <row r="24" spans="1:3">
      <c r="A24" s="2" t="s">
        <v>11563</v>
      </c>
      <c r="B24" s="2" t="s">
        <v>11198</v>
      </c>
      <c r="C24" s="2" t="s">
        <v>11564</v>
      </c>
    </row>
    <row r="25" spans="1:3" ht="17.25">
      <c r="A25" s="1182" t="s">
        <v>11464</v>
      </c>
      <c r="B25" s="2" t="s">
        <v>11858</v>
      </c>
      <c r="C25" s="2" t="s">
        <v>11465</v>
      </c>
    </row>
    <row r="26" spans="1:3">
      <c r="A26" s="2" t="s">
        <v>11466</v>
      </c>
      <c r="B26" s="2" t="s">
        <v>11198</v>
      </c>
      <c r="C26" s="2" t="s">
        <v>11467</v>
      </c>
    </row>
    <row r="27" spans="1:3">
      <c r="A27" s="2" t="s">
        <v>11519</v>
      </c>
      <c r="B27" s="2" t="s">
        <v>11857</v>
      </c>
      <c r="C27" s="2" t="s">
        <v>11520</v>
      </c>
    </row>
    <row r="28" spans="1:3">
      <c r="A28" s="2" t="s">
        <v>11546</v>
      </c>
      <c r="B28" s="2" t="s">
        <v>11198</v>
      </c>
      <c r="C28" s="2" t="s">
        <v>11547</v>
      </c>
    </row>
    <row r="29" spans="1:3">
      <c r="A29" s="2" t="s">
        <v>11548</v>
      </c>
      <c r="B29" s="2" t="s">
        <v>11198</v>
      </c>
      <c r="C29" s="2" t="s">
        <v>11549</v>
      </c>
    </row>
    <row r="30" spans="1:3">
      <c r="A30" s="2" t="s">
        <v>11550</v>
      </c>
      <c r="B30" s="2" t="s">
        <v>11198</v>
      </c>
      <c r="C30" s="2" t="s">
        <v>11551</v>
      </c>
    </row>
    <row r="31" spans="1:3">
      <c r="A31" s="2" t="s">
        <v>11552</v>
      </c>
      <c r="B31" s="2" t="s">
        <v>11198</v>
      </c>
      <c r="C31" s="2" t="s">
        <v>11553</v>
      </c>
    </row>
    <row r="32" spans="1:3">
      <c r="A32" s="2" t="s">
        <v>11554</v>
      </c>
      <c r="B32" s="2" t="s">
        <v>11198</v>
      </c>
      <c r="C32" s="2" t="s">
        <v>11555</v>
      </c>
    </row>
    <row r="33" spans="1:3">
      <c r="A33" s="2" t="s">
        <v>11460</v>
      </c>
      <c r="B33" s="2" t="s">
        <v>11198</v>
      </c>
      <c r="C33" s="2" t="s">
        <v>11556</v>
      </c>
    </row>
    <row r="34" spans="1:3">
      <c r="A34" s="2" t="s">
        <v>11557</v>
      </c>
      <c r="B34" s="2" t="s">
        <v>11198</v>
      </c>
      <c r="C34" s="2" t="s">
        <v>11558</v>
      </c>
    </row>
    <row r="35" spans="1:3">
      <c r="A35" s="2" t="s">
        <v>11559</v>
      </c>
      <c r="B35" s="2" t="s">
        <v>11198</v>
      </c>
      <c r="C35" s="2" t="s">
        <v>11560</v>
      </c>
    </row>
    <row r="36" spans="1:3">
      <c r="A36" s="2" t="s">
        <v>11561</v>
      </c>
      <c r="B36" s="2" t="s">
        <v>11198</v>
      </c>
      <c r="C36" s="2" t="s">
        <v>11562</v>
      </c>
    </row>
    <row r="37" spans="1:3">
      <c r="A37" s="2" t="s">
        <v>11563</v>
      </c>
      <c r="B37" s="2" t="s">
        <v>11198</v>
      </c>
      <c r="C37" s="2" t="s">
        <v>11564</v>
      </c>
    </row>
    <row r="38" spans="1:3">
      <c r="A38" t="s">
        <v>17556</v>
      </c>
      <c r="B38" t="s">
        <v>12895</v>
      </c>
      <c r="C38" t="s">
        <v>17568</v>
      </c>
    </row>
    <row r="39" spans="1:3">
      <c r="A39" t="s">
        <v>17557</v>
      </c>
      <c r="B39" t="s">
        <v>12895</v>
      </c>
      <c r="C39" t="s">
        <v>17558</v>
      </c>
    </row>
    <row r="40" spans="1:3">
      <c r="A40" t="s">
        <v>31</v>
      </c>
      <c r="B40" t="s">
        <v>12895</v>
      </c>
      <c r="C40" t="s">
        <v>17569</v>
      </c>
    </row>
    <row r="41" spans="1:3">
      <c r="A41" t="s">
        <v>17570</v>
      </c>
      <c r="B41" t="s">
        <v>12895</v>
      </c>
      <c r="C41" t="s">
        <v>17571</v>
      </c>
    </row>
    <row r="42" spans="1:3">
      <c r="A42" t="s">
        <v>17572</v>
      </c>
      <c r="B42" t="s">
        <v>12895</v>
      </c>
      <c r="C42" t="s">
        <v>17573</v>
      </c>
    </row>
    <row r="43" spans="1:3">
      <c r="A43" t="s">
        <v>1237</v>
      </c>
      <c r="B43" t="s">
        <v>12895</v>
      </c>
      <c r="C43" t="s">
        <v>17574</v>
      </c>
    </row>
    <row r="44" spans="1:3">
      <c r="A44" t="s">
        <v>17575</v>
      </c>
      <c r="B44" t="s">
        <v>12895</v>
      </c>
      <c r="C44" t="s">
        <v>17576</v>
      </c>
    </row>
    <row r="45" spans="1:3">
      <c r="A45" t="s">
        <v>17578</v>
      </c>
      <c r="B45" t="s">
        <v>12895</v>
      </c>
      <c r="C45" t="s">
        <v>17577</v>
      </c>
    </row>
    <row r="46" spans="1:3">
      <c r="A46" t="s">
        <v>17579</v>
      </c>
      <c r="B46" t="s">
        <v>12895</v>
      </c>
      <c r="C46" t="s">
        <v>17580</v>
      </c>
    </row>
    <row r="47" spans="1:3">
      <c r="A47" t="s">
        <v>17581</v>
      </c>
      <c r="B47" t="s">
        <v>12895</v>
      </c>
      <c r="C47" t="s">
        <v>17582</v>
      </c>
    </row>
    <row r="48" spans="1:3">
      <c r="A48" t="s">
        <v>17584</v>
      </c>
      <c r="B48" t="s">
        <v>12895</v>
      </c>
      <c r="C48" t="s">
        <v>17583</v>
      </c>
    </row>
    <row r="49" spans="1:3">
      <c r="A49" t="s">
        <v>17585</v>
      </c>
      <c r="B49" t="s">
        <v>12895</v>
      </c>
      <c r="C49" t="s">
        <v>17586</v>
      </c>
    </row>
    <row r="50" spans="1:3">
      <c r="A50" t="s">
        <v>17588</v>
      </c>
      <c r="B50" t="s">
        <v>12895</v>
      </c>
      <c r="C50" t="s">
        <v>17587</v>
      </c>
    </row>
    <row r="51" spans="1:3">
      <c r="A51" t="s">
        <v>17589</v>
      </c>
      <c r="B51" t="s">
        <v>12895</v>
      </c>
      <c r="C51" t="s">
        <v>17590</v>
      </c>
    </row>
    <row r="52" spans="1:3">
      <c r="A52" t="s">
        <v>17591</v>
      </c>
      <c r="B52" t="s">
        <v>12895</v>
      </c>
      <c r="C52" t="s">
        <v>17590</v>
      </c>
    </row>
    <row r="53" spans="1:3">
      <c r="A53" t="s">
        <v>17593</v>
      </c>
      <c r="B53" t="s">
        <v>12895</v>
      </c>
      <c r="C53" t="s">
        <v>17592</v>
      </c>
    </row>
    <row r="54" spans="1:3">
      <c r="A54" t="s">
        <v>21</v>
      </c>
      <c r="B54" t="s">
        <v>12895</v>
      </c>
      <c r="C54" t="s">
        <v>17594</v>
      </c>
    </row>
    <row r="55" spans="1:3">
      <c r="A55" s="2" t="s">
        <v>13096</v>
      </c>
      <c r="B55" s="2" t="s">
        <v>13095</v>
      </c>
      <c r="C55" s="2"/>
    </row>
    <row r="56" spans="1:3">
      <c r="A56" s="2" t="s">
        <v>13097</v>
      </c>
      <c r="B56" s="2" t="s">
        <v>13095</v>
      </c>
      <c r="C56" s="2"/>
    </row>
    <row r="57" spans="1:3">
      <c r="A57" s="2"/>
      <c r="B57" s="2" t="s">
        <v>13098</v>
      </c>
      <c r="C57" s="2"/>
    </row>
    <row r="58" spans="1:3">
      <c r="A58" s="2"/>
      <c r="B58" s="2" t="s">
        <v>13099</v>
      </c>
      <c r="C58" s="2"/>
    </row>
    <row r="59" spans="1:3">
      <c r="A59" s="2"/>
      <c r="B59" s="2" t="s">
        <v>13100</v>
      </c>
      <c r="C59" s="2"/>
    </row>
    <row r="60" spans="1:3">
      <c r="A60" s="2"/>
      <c r="B60" s="2" t="s">
        <v>13101</v>
      </c>
      <c r="C60" s="2"/>
    </row>
  </sheetData>
  <sortState xmlns:xlrd2="http://schemas.microsoft.com/office/spreadsheetml/2017/richdata2" ref="I2:I77">
    <sortCondition ref="I2:I77"/>
  </sortState>
  <pageMargins left="0.7" right="0.7" top="0.75" bottom="0.75" header="0.3" footer="0.3"/>
  <pageSetup paperSize="9" orientation="portrait" r:id="rId1"/>
  <tableParts count="2">
    <tablePart r:id="rId2"/>
    <tablePart r:id="rId3"/>
  </tablePar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B0B8-7923-4E20-AC7A-293E7EE5A484}">
  <sheetPr codeName="Аркуш41">
    <tabColor rgb="FF7030A0"/>
  </sheetPr>
  <dimension ref="A1:AG214"/>
  <sheetViews>
    <sheetView workbookViewId="0">
      <selection activeCell="G62" sqref="G62"/>
    </sheetView>
  </sheetViews>
  <sheetFormatPr defaultRowHeight="14.25"/>
  <cols>
    <col min="1" max="1" width="15.5546875" style="1" customWidth="1"/>
    <col min="2" max="2" width="14.88671875" customWidth="1"/>
    <col min="3" max="3" width="23.88671875" customWidth="1"/>
    <col min="4" max="4" width="23.88671875" style="1" customWidth="1"/>
    <col min="5" max="5" width="59.109375" customWidth="1"/>
    <col min="6" max="6" width="10.77734375" customWidth="1"/>
    <col min="7" max="7" width="12.77734375" customWidth="1"/>
    <col min="8" max="8" width="11" customWidth="1"/>
    <col min="9" max="9" width="9.6640625" customWidth="1"/>
    <col min="12" max="12" width="36.88671875" bestFit="1" customWidth="1"/>
    <col min="13" max="13" width="12.109375" bestFit="1" customWidth="1"/>
    <col min="14" max="16" width="12.109375" style="1" customWidth="1"/>
    <col min="17" max="19" width="12.109375" style="2" customWidth="1"/>
    <col min="20" max="25" width="11" style="2" customWidth="1"/>
    <col min="26" max="26" width="8.88671875" style="2"/>
  </cols>
  <sheetData>
    <row r="1" spans="1:33" ht="27">
      <c r="A1" s="634" t="s">
        <v>550</v>
      </c>
      <c r="B1" s="634" t="s">
        <v>476</v>
      </c>
      <c r="C1" s="634" t="s">
        <v>8495</v>
      </c>
      <c r="D1" s="634" t="s">
        <v>8496</v>
      </c>
      <c r="E1" s="634" t="s">
        <v>477</v>
      </c>
      <c r="F1" s="634" t="s">
        <v>478</v>
      </c>
      <c r="G1" s="634" t="s">
        <v>551</v>
      </c>
      <c r="H1" s="634" t="s">
        <v>479</v>
      </c>
      <c r="I1" s="634" t="s">
        <v>480</v>
      </c>
      <c r="J1" s="634" t="s">
        <v>481</v>
      </c>
      <c r="L1" s="101" t="s">
        <v>650</v>
      </c>
      <c r="M1" s="102" t="s">
        <v>651</v>
      </c>
      <c r="N1" s="102" t="s">
        <v>11194</v>
      </c>
      <c r="O1" s="102" t="s">
        <v>11862</v>
      </c>
      <c r="P1" s="102" t="s">
        <v>12076</v>
      </c>
      <c r="Q1" s="102" t="s">
        <v>8572</v>
      </c>
      <c r="R1" s="102" t="s">
        <v>12077</v>
      </c>
      <c r="S1" s="102" t="s">
        <v>12078</v>
      </c>
      <c r="T1" s="102" t="s">
        <v>12132</v>
      </c>
      <c r="U1" s="1179" t="s">
        <v>17545</v>
      </c>
      <c r="V1" s="1179" t="s">
        <v>17543</v>
      </c>
      <c r="W1" s="1179" t="s">
        <v>17544</v>
      </c>
      <c r="X1" s="102" t="s">
        <v>551</v>
      </c>
      <c r="Y1" s="102" t="s">
        <v>1921</v>
      </c>
      <c r="Z1" s="102" t="s">
        <v>5608</v>
      </c>
      <c r="AA1" s="102" t="s">
        <v>1643</v>
      </c>
      <c r="AE1" s="654"/>
    </row>
    <row r="2" spans="1:33" ht="18">
      <c r="A2" s="472" t="s">
        <v>7559</v>
      </c>
      <c r="B2" s="2" t="s">
        <v>479</v>
      </c>
      <c r="C2" s="2" t="s">
        <v>482</v>
      </c>
      <c r="D2" s="2"/>
      <c r="E2" s="2" t="s">
        <v>374</v>
      </c>
      <c r="F2" s="2"/>
      <c r="G2" s="2">
        <f>MATCH(Таблиця1[[#This Row],[House]],Таблиця4[name],0)</f>
        <v>1</v>
      </c>
      <c r="H2" s="2">
        <v>1</v>
      </c>
      <c r="I2" s="2">
        <v>1</v>
      </c>
      <c r="J2" s="2">
        <v>1</v>
      </c>
      <c r="L2" s="99" t="s">
        <v>552</v>
      </c>
      <c r="M2" t="s">
        <v>479</v>
      </c>
      <c r="N2" s="1" t="s">
        <v>11861</v>
      </c>
      <c r="P2" s="636"/>
      <c r="T2">
        <v>1</v>
      </c>
      <c r="U2" s="1153"/>
      <c r="V2" s="1153"/>
      <c r="W2" s="1153"/>
      <c r="X2" s="1153"/>
      <c r="Y2" s="1"/>
      <c r="Z2"/>
      <c r="AA2">
        <v>1</v>
      </c>
      <c r="AF2" s="1"/>
      <c r="AG2" s="1"/>
    </row>
    <row r="3" spans="1:33" ht="18">
      <c r="A3" s="472" t="s">
        <v>483</v>
      </c>
      <c r="B3" s="2" t="s">
        <v>554</v>
      </c>
      <c r="C3" s="2" t="s">
        <v>484</v>
      </c>
      <c r="D3" s="2"/>
      <c r="E3" s="2" t="s">
        <v>374</v>
      </c>
      <c r="F3" s="2"/>
      <c r="G3" s="2">
        <f>MATCH(Таблиця1[[#This Row],[House]],Таблиця4[name],0)</f>
        <v>2</v>
      </c>
      <c r="H3" s="2">
        <v>2</v>
      </c>
      <c r="I3" s="2">
        <v>3</v>
      </c>
      <c r="J3" s="2">
        <v>3</v>
      </c>
      <c r="L3" s="100" t="s">
        <v>553</v>
      </c>
      <c r="M3" t="s">
        <v>554</v>
      </c>
      <c r="N3"/>
      <c r="O3"/>
      <c r="P3" t="s">
        <v>12577</v>
      </c>
      <c r="Q3" t="s">
        <v>12082</v>
      </c>
      <c r="R3"/>
      <c r="S3" t="s">
        <v>12079</v>
      </c>
      <c r="T3">
        <v>2</v>
      </c>
      <c r="U3"/>
      <c r="V3"/>
      <c r="W3"/>
      <c r="X3"/>
      <c r="Y3"/>
      <c r="Z3" t="s">
        <v>11944</v>
      </c>
      <c r="AA3">
        <v>2</v>
      </c>
      <c r="AD3" s="1"/>
      <c r="AF3" s="1"/>
      <c r="AG3" s="1"/>
    </row>
    <row r="4" spans="1:33" ht="18">
      <c r="A4" s="472" t="s">
        <v>483</v>
      </c>
      <c r="B4" s="2" t="s">
        <v>86</v>
      </c>
      <c r="C4" s="2" t="s">
        <v>485</v>
      </c>
      <c r="D4" s="2"/>
      <c r="E4" s="2" t="s">
        <v>486</v>
      </c>
      <c r="F4" s="2"/>
      <c r="G4" s="2">
        <f>MATCH(Таблиця1[[#This Row],[House]],Таблиця4[name],0)</f>
        <v>3</v>
      </c>
      <c r="H4" s="2">
        <v>2</v>
      </c>
      <c r="I4" s="2">
        <v>2</v>
      </c>
      <c r="J4" s="2">
        <v>3</v>
      </c>
      <c r="L4" s="100" t="s">
        <v>553</v>
      </c>
      <c r="M4" t="s">
        <v>86</v>
      </c>
      <c r="N4"/>
      <c r="O4"/>
      <c r="P4" t="s">
        <v>11942</v>
      </c>
      <c r="Q4" t="s">
        <v>12083</v>
      </c>
      <c r="R4"/>
      <c r="S4"/>
      <c r="T4">
        <v>2</v>
      </c>
      <c r="U4"/>
      <c r="V4"/>
      <c r="W4"/>
      <c r="X4"/>
      <c r="Y4"/>
      <c r="Z4" t="s">
        <v>11944</v>
      </c>
      <c r="AA4">
        <v>3</v>
      </c>
      <c r="AD4" s="1"/>
      <c r="AF4" s="1"/>
      <c r="AG4" s="1"/>
    </row>
    <row r="5" spans="1:33" ht="18">
      <c r="A5" s="472" t="s">
        <v>483</v>
      </c>
      <c r="B5" s="2" t="s">
        <v>386</v>
      </c>
      <c r="C5" s="2" t="s">
        <v>487</v>
      </c>
      <c r="D5" s="2"/>
      <c r="E5" s="2" t="s">
        <v>488</v>
      </c>
      <c r="F5" s="2"/>
      <c r="G5" s="2">
        <f>MATCH(Таблиця1[[#This Row],[House]],Таблиця4[name],0)</f>
        <v>4</v>
      </c>
      <c r="H5" s="2">
        <v>1</v>
      </c>
      <c r="I5" s="2">
        <v>2</v>
      </c>
      <c r="J5" s="2">
        <v>3</v>
      </c>
      <c r="L5" s="100" t="s">
        <v>553</v>
      </c>
      <c r="M5" t="s">
        <v>386</v>
      </c>
      <c r="N5"/>
      <c r="O5"/>
      <c r="P5" t="s">
        <v>11943</v>
      </c>
      <c r="Q5" t="s">
        <v>12084</v>
      </c>
      <c r="R5"/>
      <c r="S5"/>
      <c r="T5">
        <v>2</v>
      </c>
      <c r="U5"/>
      <c r="V5"/>
      <c r="W5"/>
      <c r="X5"/>
      <c r="Y5"/>
      <c r="Z5" t="s">
        <v>11944</v>
      </c>
      <c r="AA5">
        <v>4</v>
      </c>
      <c r="AD5" s="1"/>
      <c r="AF5" s="1"/>
      <c r="AG5" s="1"/>
    </row>
    <row r="6" spans="1:33">
      <c r="A6" s="471">
        <v>1</v>
      </c>
      <c r="B6" s="2" t="s">
        <v>565</v>
      </c>
      <c r="C6" s="2" t="s">
        <v>489</v>
      </c>
      <c r="D6" s="2"/>
      <c r="E6" s="2" t="s">
        <v>490</v>
      </c>
      <c r="F6" s="2"/>
      <c r="G6" s="2">
        <f>MATCH(Таблиця1[[#This Row],[House]],Таблиця4[name],0)</f>
        <v>32</v>
      </c>
      <c r="H6" s="2">
        <v>1</v>
      </c>
      <c r="I6" s="2">
        <v>1</v>
      </c>
      <c r="J6" s="2">
        <v>2</v>
      </c>
      <c r="L6" s="97" t="s">
        <v>555</v>
      </c>
      <c r="M6" t="s">
        <v>164</v>
      </c>
      <c r="N6"/>
      <c r="O6"/>
      <c r="P6"/>
      <c r="Q6" t="s">
        <v>17559</v>
      </c>
      <c r="R6"/>
      <c r="S6"/>
      <c r="T6">
        <v>5</v>
      </c>
      <c r="U6"/>
      <c r="V6"/>
      <c r="W6"/>
      <c r="X6"/>
      <c r="Y6"/>
      <c r="Z6"/>
      <c r="AA6">
        <v>5</v>
      </c>
      <c r="AD6" s="1"/>
      <c r="AF6" s="1"/>
      <c r="AG6" s="1"/>
    </row>
    <row r="7" spans="1:33">
      <c r="A7" s="471">
        <v>1</v>
      </c>
      <c r="B7" s="2" t="s">
        <v>92</v>
      </c>
      <c r="C7" s="2" t="s">
        <v>491</v>
      </c>
      <c r="D7" s="2"/>
      <c r="E7" s="2" t="s">
        <v>492</v>
      </c>
      <c r="F7" s="2"/>
      <c r="G7" s="2">
        <f>MATCH(Таблиця1[[#This Row],[House]],Таблиця4[name],0)</f>
        <v>193</v>
      </c>
      <c r="H7" s="2">
        <v>5</v>
      </c>
      <c r="I7" s="2">
        <v>2</v>
      </c>
      <c r="J7" s="2">
        <v>5</v>
      </c>
      <c r="L7" s="97" t="s">
        <v>555</v>
      </c>
      <c r="M7" t="s">
        <v>395</v>
      </c>
      <c r="N7"/>
      <c r="O7"/>
      <c r="P7"/>
      <c r="Q7" t="s">
        <v>17560</v>
      </c>
      <c r="R7"/>
      <c r="S7"/>
      <c r="T7">
        <v>5</v>
      </c>
      <c r="U7"/>
      <c r="V7"/>
      <c r="W7"/>
      <c r="X7"/>
      <c r="Y7"/>
      <c r="Z7"/>
      <c r="AA7">
        <v>6</v>
      </c>
      <c r="AD7" s="1"/>
      <c r="AF7" s="1"/>
      <c r="AG7" s="1"/>
    </row>
    <row r="8" spans="1:33">
      <c r="A8" s="471">
        <v>1</v>
      </c>
      <c r="B8" s="2" t="s">
        <v>164</v>
      </c>
      <c r="C8" s="2" t="s">
        <v>493</v>
      </c>
      <c r="D8" s="2"/>
      <c r="E8" s="2" t="s">
        <v>494</v>
      </c>
      <c r="F8" s="2"/>
      <c r="G8" s="2">
        <f>MATCH(Таблиця1[[#This Row],[House]],Таблиця4[name],0)</f>
        <v>5</v>
      </c>
      <c r="H8" s="2">
        <v>1</v>
      </c>
      <c r="I8" s="2">
        <v>2</v>
      </c>
      <c r="J8" s="2">
        <v>2</v>
      </c>
      <c r="L8" s="97" t="s">
        <v>555</v>
      </c>
      <c r="M8" t="s">
        <v>11</v>
      </c>
      <c r="N8"/>
      <c r="O8"/>
      <c r="P8"/>
      <c r="Q8" t="s">
        <v>17561</v>
      </c>
      <c r="R8"/>
      <c r="S8"/>
      <c r="T8">
        <v>5</v>
      </c>
      <c r="U8"/>
      <c r="V8"/>
      <c r="W8"/>
      <c r="X8"/>
      <c r="Y8" t="s">
        <v>11854</v>
      </c>
      <c r="Z8"/>
      <c r="AA8">
        <v>7</v>
      </c>
      <c r="AD8" s="1"/>
      <c r="AF8" s="1"/>
      <c r="AG8" s="1"/>
    </row>
    <row r="9" spans="1:33">
      <c r="A9" s="471">
        <v>1</v>
      </c>
      <c r="B9" s="2" t="s">
        <v>390</v>
      </c>
      <c r="C9" s="2" t="s">
        <v>495</v>
      </c>
      <c r="D9" s="2"/>
      <c r="E9" s="2" t="s">
        <v>496</v>
      </c>
      <c r="F9" s="2"/>
      <c r="G9" s="2">
        <f>MATCH(Таблиця1[[#This Row],[House]],Таблиця4[name],0)</f>
        <v>188</v>
      </c>
      <c r="H9" s="2">
        <v>4</v>
      </c>
      <c r="I9" s="2">
        <v>4</v>
      </c>
      <c r="J9" s="2">
        <v>5</v>
      </c>
      <c r="L9" s="97" t="s">
        <v>555</v>
      </c>
      <c r="M9" t="s">
        <v>79</v>
      </c>
      <c r="N9"/>
      <c r="O9"/>
      <c r="P9"/>
      <c r="Q9" t="s">
        <v>17562</v>
      </c>
      <c r="R9"/>
      <c r="S9"/>
      <c r="T9">
        <v>5</v>
      </c>
      <c r="U9"/>
      <c r="V9"/>
      <c r="W9"/>
      <c r="X9"/>
      <c r="Y9"/>
      <c r="Z9" t="s">
        <v>11939</v>
      </c>
      <c r="AA9">
        <v>8</v>
      </c>
      <c r="AD9" s="1"/>
      <c r="AF9" s="1"/>
      <c r="AG9" s="1"/>
    </row>
    <row r="10" spans="1:33">
      <c r="A10" s="471">
        <v>1</v>
      </c>
      <c r="B10" s="2" t="s">
        <v>11</v>
      </c>
      <c r="C10" s="2" t="s">
        <v>497</v>
      </c>
      <c r="D10" s="2"/>
      <c r="E10" s="2" t="s">
        <v>498</v>
      </c>
      <c r="F10" s="2"/>
      <c r="G10" s="2">
        <f>MATCH(Таблиця1[[#This Row],[House]],Таблиця4[name],0)</f>
        <v>7</v>
      </c>
      <c r="H10" s="2">
        <v>3</v>
      </c>
      <c r="I10" s="2">
        <v>3</v>
      </c>
      <c r="J10" s="2">
        <v>3</v>
      </c>
      <c r="L10" s="97" t="s">
        <v>555</v>
      </c>
      <c r="M10" t="s">
        <v>17</v>
      </c>
      <c r="N10"/>
      <c r="O10"/>
      <c r="P10"/>
      <c r="Q10" t="s">
        <v>17563</v>
      </c>
      <c r="R10"/>
      <c r="S10" t="s">
        <v>12081</v>
      </c>
      <c r="T10">
        <v>5</v>
      </c>
      <c r="U10"/>
      <c r="V10"/>
      <c r="W10"/>
      <c r="X10"/>
      <c r="Y10"/>
      <c r="Z10"/>
      <c r="AA10">
        <v>9</v>
      </c>
      <c r="AD10" s="1"/>
      <c r="AF10" s="1"/>
      <c r="AG10" s="1"/>
    </row>
    <row r="11" spans="1:33">
      <c r="A11" s="471">
        <v>1</v>
      </c>
      <c r="B11" s="2" t="s">
        <v>79</v>
      </c>
      <c r="C11" s="2" t="s">
        <v>499</v>
      </c>
      <c r="D11" s="2"/>
      <c r="E11" s="2" t="s">
        <v>500</v>
      </c>
      <c r="F11" s="2"/>
      <c r="G11" s="2">
        <f>MATCH(Таблиця1[[#This Row],[House]],Таблиця4[name],0)</f>
        <v>8</v>
      </c>
      <c r="H11" s="2">
        <v>5</v>
      </c>
      <c r="I11" s="2">
        <v>3</v>
      </c>
      <c r="J11" s="2">
        <v>5</v>
      </c>
      <c r="L11" s="97" t="s">
        <v>555</v>
      </c>
      <c r="M11" t="s">
        <v>410</v>
      </c>
      <c r="N11"/>
      <c r="O11"/>
      <c r="P11"/>
      <c r="Q11" t="s">
        <v>17564</v>
      </c>
      <c r="R11"/>
      <c r="S11"/>
      <c r="T11">
        <v>5</v>
      </c>
      <c r="U11"/>
      <c r="V11"/>
      <c r="W11"/>
      <c r="X11"/>
      <c r="Y11"/>
      <c r="Z11"/>
      <c r="AA11">
        <v>10</v>
      </c>
      <c r="AD11" s="1"/>
      <c r="AF11" s="1"/>
      <c r="AG11" s="1"/>
    </row>
    <row r="12" spans="1:33">
      <c r="A12" s="470">
        <v>2</v>
      </c>
      <c r="B12" s="2" t="s">
        <v>38</v>
      </c>
      <c r="C12" s="2"/>
      <c r="D12" s="2"/>
      <c r="E12" s="2" t="s">
        <v>36</v>
      </c>
      <c r="F12" s="2"/>
      <c r="G12" s="2">
        <f>MATCH(Таблиця1[[#This Row],[House]],Таблиця4[name],0)</f>
        <v>157</v>
      </c>
      <c r="H12" s="2"/>
      <c r="I12" s="2"/>
      <c r="J12" s="2"/>
      <c r="L12" s="97" t="s">
        <v>555</v>
      </c>
      <c r="M12" t="s">
        <v>416</v>
      </c>
      <c r="N12"/>
      <c r="O12"/>
      <c r="P12"/>
      <c r="Q12" t="s">
        <v>17551</v>
      </c>
      <c r="R12"/>
      <c r="S12"/>
      <c r="T12">
        <v>5</v>
      </c>
      <c r="U12"/>
      <c r="V12"/>
      <c r="W12"/>
      <c r="X12"/>
      <c r="Y12"/>
      <c r="Z12" t="s">
        <v>17552</v>
      </c>
      <c r="AA12">
        <v>11</v>
      </c>
      <c r="AD12" s="1"/>
      <c r="AF12" s="1"/>
      <c r="AG12" s="1"/>
    </row>
    <row r="13" spans="1:33">
      <c r="A13" s="470">
        <v>2</v>
      </c>
      <c r="B13" s="2" t="s">
        <v>392</v>
      </c>
      <c r="C13" s="2" t="s">
        <v>254</v>
      </c>
      <c r="D13" s="2"/>
      <c r="E13" s="2" t="s">
        <v>252</v>
      </c>
      <c r="F13" s="2"/>
      <c r="G13" s="2">
        <f>MATCH(Таблиця1[[#This Row],[House]],Таблиця4[name],0)</f>
        <v>156</v>
      </c>
      <c r="H13" s="2"/>
      <c r="I13" s="2"/>
      <c r="J13" s="2"/>
      <c r="L13" s="97" t="s">
        <v>555</v>
      </c>
      <c r="M13" t="s">
        <v>109</v>
      </c>
      <c r="N13"/>
      <c r="O13"/>
      <c r="P13"/>
      <c r="Q13" t="s">
        <v>17550</v>
      </c>
      <c r="R13"/>
      <c r="S13"/>
      <c r="T13">
        <v>5</v>
      </c>
      <c r="U13" t="s">
        <v>17549</v>
      </c>
      <c r="V13"/>
      <c r="W13"/>
      <c r="X13"/>
      <c r="Y13"/>
      <c r="Z13" t="s">
        <v>17548</v>
      </c>
      <c r="AA13">
        <v>12</v>
      </c>
      <c r="AD13" s="1"/>
      <c r="AF13" s="1"/>
      <c r="AG13" s="1"/>
    </row>
    <row r="14" spans="1:33">
      <c r="A14" s="470">
        <v>2</v>
      </c>
      <c r="B14" s="2" t="s">
        <v>104</v>
      </c>
      <c r="C14" s="2" t="s">
        <v>501</v>
      </c>
      <c r="D14" s="2"/>
      <c r="E14" s="2" t="s">
        <v>502</v>
      </c>
      <c r="F14" s="2"/>
      <c r="G14" s="2">
        <f>MATCH(Таблиця1[[#This Row],[House]],Таблиця4[name],0)</f>
        <v>186</v>
      </c>
      <c r="H14" s="2">
        <v>5</v>
      </c>
      <c r="I14" s="2">
        <v>3</v>
      </c>
      <c r="J14" s="2">
        <v>5</v>
      </c>
      <c r="L14" s="97" t="s">
        <v>555</v>
      </c>
      <c r="M14" t="s">
        <v>556</v>
      </c>
      <c r="N14"/>
      <c r="O14"/>
      <c r="P14"/>
      <c r="Q14" t="s">
        <v>17547</v>
      </c>
      <c r="R14"/>
      <c r="S14"/>
      <c r="T14">
        <v>5</v>
      </c>
      <c r="U14" t="s">
        <v>17546</v>
      </c>
      <c r="V14"/>
      <c r="W14"/>
      <c r="X14"/>
      <c r="Y14"/>
      <c r="Z14" t="s">
        <v>17548</v>
      </c>
      <c r="AA14">
        <v>13</v>
      </c>
      <c r="AD14" s="1"/>
      <c r="AF14" s="1"/>
      <c r="AG14" s="1"/>
    </row>
    <row r="15" spans="1:33">
      <c r="A15" s="470">
        <v>2</v>
      </c>
      <c r="B15" s="2" t="s">
        <v>41</v>
      </c>
      <c r="C15" s="2" t="s">
        <v>37</v>
      </c>
      <c r="D15" s="2"/>
      <c r="E15" s="2" t="s">
        <v>36</v>
      </c>
      <c r="F15" s="2" t="s">
        <v>503</v>
      </c>
      <c r="G15" s="2">
        <f>MATCH(Таблиця1[[#This Row],[House]],Таблиця4[name],0)</f>
        <v>44</v>
      </c>
      <c r="H15" s="2">
        <v>4</v>
      </c>
      <c r="I15" s="2">
        <v>2</v>
      </c>
      <c r="J15" s="2">
        <v>3</v>
      </c>
      <c r="L15" s="97" t="s">
        <v>555</v>
      </c>
      <c r="M15" t="s">
        <v>231</v>
      </c>
      <c r="N15"/>
      <c r="O15"/>
      <c r="P15"/>
      <c r="Q15" t="s">
        <v>17565</v>
      </c>
      <c r="R15"/>
      <c r="S15"/>
      <c r="T15">
        <v>5</v>
      </c>
      <c r="U15"/>
      <c r="V15"/>
      <c r="W15"/>
      <c r="X15"/>
      <c r="Y15"/>
      <c r="Z15" t="s">
        <v>12127</v>
      </c>
      <c r="AA15">
        <v>14</v>
      </c>
      <c r="AD15" s="1"/>
      <c r="AF15" s="1"/>
      <c r="AG15" s="1"/>
    </row>
    <row r="16" spans="1:33">
      <c r="A16" s="470">
        <v>2</v>
      </c>
      <c r="B16" s="2" t="s">
        <v>393</v>
      </c>
      <c r="C16" s="2" t="s">
        <v>305</v>
      </c>
      <c r="D16" s="2"/>
      <c r="E16" s="2" t="s">
        <v>504</v>
      </c>
      <c r="F16" s="2"/>
      <c r="G16" s="2">
        <f>MATCH(Таблиця1[[#This Row],[House]],Таблиця4[name],0)</f>
        <v>62</v>
      </c>
      <c r="H16" s="2">
        <v>2</v>
      </c>
      <c r="I16" s="2">
        <v>2</v>
      </c>
      <c r="J16" s="2">
        <v>2</v>
      </c>
      <c r="L16" s="98" t="s">
        <v>557</v>
      </c>
      <c r="M16" t="s">
        <v>558</v>
      </c>
      <c r="N16"/>
      <c r="O16"/>
      <c r="P16"/>
      <c r="Q16" t="s">
        <v>17604</v>
      </c>
      <c r="R16"/>
      <c r="S16"/>
      <c r="T16">
        <v>10</v>
      </c>
      <c r="U16"/>
      <c r="V16"/>
      <c r="W16"/>
      <c r="X16"/>
      <c r="Y16"/>
      <c r="Z16"/>
      <c r="AA16">
        <v>15</v>
      </c>
      <c r="AD16" s="1"/>
      <c r="AF16" s="1"/>
      <c r="AG16" s="1"/>
    </row>
    <row r="17" spans="1:33">
      <c r="A17" s="470">
        <v>2</v>
      </c>
      <c r="B17" s="2" t="s">
        <v>395</v>
      </c>
      <c r="C17" s="2" t="s">
        <v>505</v>
      </c>
      <c r="D17" s="2"/>
      <c r="E17" s="2" t="s">
        <v>374</v>
      </c>
      <c r="F17" s="2"/>
      <c r="G17" s="2">
        <f>MATCH(Таблиця1[[#This Row],[House]],Таблиця4[name],0)</f>
        <v>6</v>
      </c>
      <c r="H17" s="2">
        <v>1</v>
      </c>
      <c r="I17" s="2">
        <v>1</v>
      </c>
      <c r="J17" s="2">
        <v>1</v>
      </c>
      <c r="L17" s="98" t="s">
        <v>557</v>
      </c>
      <c r="M17" t="s">
        <v>1566</v>
      </c>
      <c r="N17"/>
      <c r="O17"/>
      <c r="P17"/>
      <c r="Q17"/>
      <c r="R17"/>
      <c r="S17" t="s">
        <v>12080</v>
      </c>
      <c r="T17">
        <v>10</v>
      </c>
      <c r="U17"/>
      <c r="V17"/>
      <c r="W17"/>
      <c r="X17"/>
      <c r="Y17"/>
      <c r="Z17"/>
      <c r="AA17">
        <v>16</v>
      </c>
      <c r="AD17" s="1"/>
      <c r="AF17" s="1"/>
      <c r="AG17" s="1"/>
    </row>
    <row r="18" spans="1:33">
      <c r="A18" s="470">
        <v>2</v>
      </c>
      <c r="B18" s="2" t="s">
        <v>396</v>
      </c>
      <c r="C18" s="2" t="s">
        <v>295</v>
      </c>
      <c r="D18" s="2"/>
      <c r="E18" s="2" t="s">
        <v>293</v>
      </c>
      <c r="F18" s="2"/>
      <c r="G18" s="2">
        <f>MATCH(Таблиця1[[#This Row],[House]],Таблиця4[name],0)</f>
        <v>161</v>
      </c>
      <c r="H18" s="2">
        <v>3</v>
      </c>
      <c r="I18" s="2">
        <v>2</v>
      </c>
      <c r="J18" s="2">
        <v>4</v>
      </c>
      <c r="L18" s="98" t="s">
        <v>557</v>
      </c>
      <c r="M18" t="s">
        <v>1568</v>
      </c>
      <c r="N18"/>
      <c r="O18"/>
      <c r="P18"/>
      <c r="Q18"/>
      <c r="R18"/>
      <c r="S18"/>
      <c r="T18">
        <v>10</v>
      </c>
      <c r="U18"/>
      <c r="V18"/>
      <c r="W18"/>
      <c r="X18"/>
      <c r="Y18"/>
      <c r="Z18"/>
      <c r="AA18">
        <v>17</v>
      </c>
      <c r="AD18" s="1"/>
      <c r="AF18" s="1"/>
      <c r="AG18" s="1"/>
    </row>
    <row r="19" spans="1:33">
      <c r="A19" s="470">
        <v>2</v>
      </c>
      <c r="B19" s="2" t="s">
        <v>397</v>
      </c>
      <c r="C19" s="2" t="s">
        <v>506</v>
      </c>
      <c r="D19" s="2"/>
      <c r="E19" s="2" t="s">
        <v>507</v>
      </c>
      <c r="F19" s="2"/>
      <c r="G19" s="2">
        <f>MATCH(Таблиця1[[#This Row],[House]],Таблиця4[name],0)</f>
        <v>72</v>
      </c>
      <c r="H19" s="2">
        <v>2</v>
      </c>
      <c r="I19" s="2">
        <v>3</v>
      </c>
      <c r="J19" s="2">
        <v>2</v>
      </c>
      <c r="L19" s="98" t="s">
        <v>557</v>
      </c>
      <c r="M19" t="s">
        <v>559</v>
      </c>
      <c r="N19"/>
      <c r="O19"/>
      <c r="P19"/>
      <c r="Q19" t="s">
        <v>17605</v>
      </c>
      <c r="R19"/>
      <c r="S19"/>
      <c r="T19">
        <v>10</v>
      </c>
      <c r="U19"/>
      <c r="V19"/>
      <c r="W19"/>
      <c r="X19"/>
      <c r="Y19"/>
      <c r="Z19"/>
      <c r="AA19">
        <v>18</v>
      </c>
      <c r="AD19" s="1"/>
      <c r="AF19" s="1"/>
      <c r="AG19" s="1"/>
    </row>
    <row r="20" spans="1:33">
      <c r="A20" s="470">
        <v>2</v>
      </c>
      <c r="B20" s="2" t="s">
        <v>399</v>
      </c>
      <c r="C20" s="2" t="s">
        <v>508</v>
      </c>
      <c r="D20" s="2"/>
      <c r="E20" s="2" t="s">
        <v>509</v>
      </c>
      <c r="F20" s="2"/>
      <c r="G20" s="2">
        <f>MATCH(Таблиця1[[#This Row],[House]],Таблиця4[name],0)</f>
        <v>80</v>
      </c>
      <c r="H20" s="2">
        <v>3</v>
      </c>
      <c r="I20" s="2">
        <v>3</v>
      </c>
      <c r="J20" s="2">
        <v>4</v>
      </c>
      <c r="L20" s="98" t="s">
        <v>557</v>
      </c>
      <c r="M20" t="s">
        <v>560</v>
      </c>
      <c r="N20"/>
      <c r="O20"/>
      <c r="P20"/>
      <c r="Q20" t="s">
        <v>17606</v>
      </c>
      <c r="R20"/>
      <c r="S20"/>
      <c r="T20">
        <v>10</v>
      </c>
      <c r="U20"/>
      <c r="V20"/>
      <c r="W20"/>
      <c r="X20"/>
      <c r="Y20"/>
      <c r="Z20"/>
      <c r="AA20">
        <v>19</v>
      </c>
      <c r="AD20" s="1"/>
      <c r="AF20" s="1"/>
      <c r="AG20" s="1"/>
    </row>
    <row r="21" spans="1:33">
      <c r="A21" s="470">
        <v>2</v>
      </c>
      <c r="B21" s="2" t="s">
        <v>76</v>
      </c>
      <c r="C21" s="2" t="s">
        <v>510</v>
      </c>
      <c r="D21" s="2"/>
      <c r="E21" s="2" t="s">
        <v>511</v>
      </c>
      <c r="F21" s="2"/>
      <c r="G21" s="2">
        <f>MATCH(Таблиця1[[#This Row],[House]],Таблиця4[name],0)</f>
        <v>88</v>
      </c>
      <c r="H21" s="2">
        <v>1</v>
      </c>
      <c r="I21" s="2">
        <v>3</v>
      </c>
      <c r="J21" s="2">
        <v>1</v>
      </c>
      <c r="L21" s="98" t="s">
        <v>557</v>
      </c>
      <c r="M21" t="s">
        <v>1569</v>
      </c>
      <c r="N21"/>
      <c r="O21"/>
      <c r="P21"/>
      <c r="Q21"/>
      <c r="R21"/>
      <c r="S21"/>
      <c r="T21">
        <v>10</v>
      </c>
      <c r="U21"/>
      <c r="V21"/>
      <c r="W21"/>
      <c r="X21"/>
      <c r="Y21"/>
      <c r="Z21"/>
      <c r="AA21">
        <v>20</v>
      </c>
      <c r="AD21" s="1"/>
      <c r="AF21" s="1"/>
      <c r="AG21" s="1"/>
    </row>
    <row r="22" spans="1:33">
      <c r="A22" s="470">
        <v>2</v>
      </c>
      <c r="B22" s="2" t="s">
        <v>197</v>
      </c>
      <c r="C22" s="2" t="s">
        <v>199</v>
      </c>
      <c r="D22" s="2"/>
      <c r="E22" s="2" t="s">
        <v>197</v>
      </c>
      <c r="F22" s="2"/>
      <c r="G22" s="2">
        <f>MATCH(Таблиця1[[#This Row],[House]],Таблиця4[name],0)</f>
        <v>198</v>
      </c>
      <c r="H22" s="2">
        <v>1</v>
      </c>
      <c r="I22" s="2">
        <v>3</v>
      </c>
      <c r="J22" s="2">
        <v>1</v>
      </c>
      <c r="L22" s="98" t="s">
        <v>557</v>
      </c>
      <c r="M22" t="s">
        <v>11567</v>
      </c>
      <c r="N22"/>
      <c r="O22"/>
      <c r="P22"/>
      <c r="Q22"/>
      <c r="R22"/>
      <c r="S22"/>
      <c r="T22">
        <v>10</v>
      </c>
      <c r="U22"/>
      <c r="V22"/>
      <c r="W22"/>
      <c r="X22"/>
      <c r="Y22"/>
      <c r="Z22"/>
      <c r="AA22">
        <v>21</v>
      </c>
      <c r="AD22" s="1"/>
      <c r="AF22" s="1"/>
      <c r="AG22" s="1"/>
    </row>
    <row r="23" spans="1:33">
      <c r="A23" s="470">
        <v>2</v>
      </c>
      <c r="B23" s="2" t="s">
        <v>401</v>
      </c>
      <c r="C23" s="2" t="s">
        <v>512</v>
      </c>
      <c r="D23" s="2"/>
      <c r="E23" s="2" t="s">
        <v>513</v>
      </c>
      <c r="F23" s="2"/>
      <c r="G23" s="2">
        <f>MATCH(Таблиця1[[#This Row],[House]],Таблиця4[name],0)</f>
        <v>164</v>
      </c>
      <c r="H23" s="2">
        <v>3</v>
      </c>
      <c r="I23" s="2">
        <v>3</v>
      </c>
      <c r="J23" s="2">
        <v>3</v>
      </c>
      <c r="L23" s="98" t="s">
        <v>557</v>
      </c>
      <c r="M23" t="s">
        <v>1570</v>
      </c>
      <c r="N23"/>
      <c r="O23"/>
      <c r="P23" t="s">
        <v>17601</v>
      </c>
      <c r="Q23" t="s">
        <v>17602</v>
      </c>
      <c r="R23"/>
      <c r="S23"/>
      <c r="T23">
        <v>10</v>
      </c>
      <c r="U23"/>
      <c r="V23"/>
      <c r="W23"/>
      <c r="X23"/>
      <c r="Y23"/>
      <c r="Z23"/>
      <c r="AA23">
        <v>22</v>
      </c>
      <c r="AD23" s="1"/>
      <c r="AF23" s="1"/>
      <c r="AG23" s="1"/>
    </row>
    <row r="24" spans="1:33">
      <c r="A24" s="470">
        <v>2</v>
      </c>
      <c r="B24" s="2" t="s">
        <v>402</v>
      </c>
      <c r="C24" s="2" t="s">
        <v>315</v>
      </c>
      <c r="D24" s="2"/>
      <c r="E24" s="2" t="s">
        <v>313</v>
      </c>
      <c r="F24" s="2"/>
      <c r="G24" s="2">
        <f>MATCH(Таблиця1[[#This Row],[House]],Таблиця4[name],0)</f>
        <v>165</v>
      </c>
      <c r="H24" s="2">
        <v>3</v>
      </c>
      <c r="I24" s="2">
        <v>2</v>
      </c>
      <c r="J24" s="2">
        <v>5</v>
      </c>
      <c r="L24" s="98" t="s">
        <v>557</v>
      </c>
      <c r="M24" t="s">
        <v>11568</v>
      </c>
      <c r="N24"/>
      <c r="O24"/>
      <c r="P24"/>
      <c r="Q24"/>
      <c r="R24"/>
      <c r="S24"/>
      <c r="T24">
        <v>10</v>
      </c>
      <c r="U24"/>
      <c r="V24"/>
      <c r="W24"/>
      <c r="X24"/>
      <c r="Y24"/>
      <c r="Z24"/>
      <c r="AA24">
        <v>23</v>
      </c>
      <c r="AD24" s="1"/>
      <c r="AF24" s="1"/>
      <c r="AG24" s="1"/>
    </row>
    <row r="25" spans="1:33">
      <c r="A25" s="470">
        <v>2</v>
      </c>
      <c r="B25" s="2" t="s">
        <v>403</v>
      </c>
      <c r="C25" s="2" t="s">
        <v>514</v>
      </c>
      <c r="D25" s="2"/>
      <c r="E25" s="2" t="s">
        <v>515</v>
      </c>
      <c r="F25" s="2"/>
      <c r="G25" s="2">
        <f>MATCH(Таблиця1[[#This Row],[House]],Таблиця4[name],0)</f>
        <v>167</v>
      </c>
      <c r="H25" s="2">
        <v>4</v>
      </c>
      <c r="I25" s="2">
        <v>5</v>
      </c>
      <c r="J25" s="2">
        <v>3</v>
      </c>
      <c r="L25" s="98" t="s">
        <v>557</v>
      </c>
      <c r="M25" t="s">
        <v>561</v>
      </c>
      <c r="N25"/>
      <c r="O25"/>
      <c r="P25"/>
      <c r="Q25" t="s">
        <v>17607</v>
      </c>
      <c r="R25"/>
      <c r="S25"/>
      <c r="T25">
        <v>10</v>
      </c>
      <c r="U25"/>
      <c r="V25"/>
      <c r="W25"/>
      <c r="X25"/>
      <c r="Y25"/>
      <c r="Z25"/>
      <c r="AA25">
        <v>24</v>
      </c>
      <c r="AD25" s="1"/>
      <c r="AF25" s="1"/>
      <c r="AG25" s="1"/>
    </row>
    <row r="26" spans="1:33">
      <c r="A26" s="470">
        <v>2</v>
      </c>
      <c r="B26" s="2" t="s">
        <v>405</v>
      </c>
      <c r="C26" s="2" t="s">
        <v>218</v>
      </c>
      <c r="D26" s="2"/>
      <c r="E26" s="2" t="s">
        <v>216</v>
      </c>
      <c r="F26" s="2"/>
      <c r="G26" s="2">
        <f>MATCH(Таблиця1[[#This Row],[House]],Таблиця4[name],0)</f>
        <v>172</v>
      </c>
      <c r="H26" s="2"/>
      <c r="I26" s="2"/>
      <c r="J26" s="2"/>
      <c r="L26" s="98" t="s">
        <v>557</v>
      </c>
      <c r="M26" t="s">
        <v>1571</v>
      </c>
      <c r="N26"/>
      <c r="O26"/>
      <c r="P26"/>
      <c r="Q26"/>
      <c r="R26"/>
      <c r="S26"/>
      <c r="T26">
        <v>10</v>
      </c>
      <c r="U26"/>
      <c r="V26"/>
      <c r="W26"/>
      <c r="X26"/>
      <c r="Y26"/>
      <c r="Z26"/>
      <c r="AA26">
        <v>25</v>
      </c>
      <c r="AD26" s="1"/>
      <c r="AF26" s="1"/>
      <c r="AG26" s="1"/>
    </row>
    <row r="27" spans="1:33">
      <c r="A27" s="470">
        <v>2</v>
      </c>
      <c r="B27" s="2" t="s">
        <v>406</v>
      </c>
      <c r="C27" s="2" t="s">
        <v>209</v>
      </c>
      <c r="D27" s="2"/>
      <c r="E27" s="2" t="s">
        <v>208</v>
      </c>
      <c r="F27" s="2"/>
      <c r="G27" s="2">
        <f>MATCH(Таблиця1[[#This Row],[House]],Таблиця4[name],0)</f>
        <v>112</v>
      </c>
      <c r="H27" s="2"/>
      <c r="I27" s="2"/>
      <c r="J27" s="2"/>
      <c r="L27" s="98" t="s">
        <v>557</v>
      </c>
      <c r="M27" t="s">
        <v>74</v>
      </c>
      <c r="N27"/>
      <c r="O27"/>
      <c r="P27"/>
      <c r="Q27" t="s">
        <v>17608</v>
      </c>
      <c r="R27"/>
      <c r="S27"/>
      <c r="T27">
        <v>10</v>
      </c>
      <c r="U27"/>
      <c r="V27"/>
      <c r="W27"/>
      <c r="X27"/>
      <c r="Y27"/>
      <c r="Z27"/>
      <c r="AA27">
        <v>26</v>
      </c>
      <c r="AD27" s="1"/>
      <c r="AF27" s="1"/>
      <c r="AG27" s="1"/>
    </row>
    <row r="28" spans="1:33">
      <c r="A28" s="470">
        <v>2</v>
      </c>
      <c r="B28" s="2" t="s">
        <v>17</v>
      </c>
      <c r="C28" s="2" t="s">
        <v>516</v>
      </c>
      <c r="D28" s="2"/>
      <c r="E28" s="2" t="s">
        <v>517</v>
      </c>
      <c r="F28" s="2"/>
      <c r="G28" s="2">
        <f>MATCH(Таблиця1[[#This Row],[House]],Таблиця4[name],0)</f>
        <v>9</v>
      </c>
      <c r="H28" s="2">
        <v>4</v>
      </c>
      <c r="I28" s="2">
        <v>3</v>
      </c>
      <c r="J28" s="2">
        <v>5</v>
      </c>
      <c r="L28" s="98" t="s">
        <v>557</v>
      </c>
      <c r="M28" t="s">
        <v>1632</v>
      </c>
      <c r="N28"/>
      <c r="O28"/>
      <c r="P28"/>
      <c r="Q28"/>
      <c r="R28"/>
      <c r="S28"/>
      <c r="T28">
        <v>10</v>
      </c>
      <c r="U28"/>
      <c r="V28"/>
      <c r="W28"/>
      <c r="X28"/>
      <c r="Y28"/>
      <c r="Z28"/>
      <c r="AA28">
        <v>27</v>
      </c>
      <c r="AD28" s="1"/>
      <c r="AF28" s="1"/>
      <c r="AG28" s="1"/>
    </row>
    <row r="29" spans="1:33">
      <c r="A29" s="470">
        <v>2</v>
      </c>
      <c r="B29" s="2" t="s">
        <v>204</v>
      </c>
      <c r="C29" s="2" t="s">
        <v>347</v>
      </c>
      <c r="D29" s="2"/>
      <c r="E29" s="2" t="s">
        <v>518</v>
      </c>
      <c r="F29" s="2"/>
      <c r="G29" s="2">
        <f>MATCH(Таблиця1[[#This Row],[House]],Таблиця4[name],0)</f>
        <v>174</v>
      </c>
      <c r="H29" s="2">
        <v>2</v>
      </c>
      <c r="I29" s="2">
        <v>3</v>
      </c>
      <c r="J29" s="2">
        <v>2</v>
      </c>
      <c r="L29" s="98" t="s">
        <v>557</v>
      </c>
      <c r="M29" t="s">
        <v>562</v>
      </c>
      <c r="N29"/>
      <c r="O29"/>
      <c r="P29"/>
      <c r="Q29" t="s">
        <v>17609</v>
      </c>
      <c r="R29"/>
      <c r="S29"/>
      <c r="T29">
        <v>10</v>
      </c>
      <c r="U29"/>
      <c r="V29"/>
      <c r="W29"/>
      <c r="X29"/>
      <c r="Y29"/>
      <c r="Z29"/>
      <c r="AA29">
        <v>28</v>
      </c>
      <c r="AD29" s="1"/>
      <c r="AF29" s="1"/>
      <c r="AG29" s="1"/>
    </row>
    <row r="30" spans="1:33">
      <c r="A30" s="470">
        <v>2</v>
      </c>
      <c r="B30" s="2" t="s">
        <v>167</v>
      </c>
      <c r="C30" s="2" t="s">
        <v>519</v>
      </c>
      <c r="D30" s="2"/>
      <c r="E30" s="2" t="s">
        <v>520</v>
      </c>
      <c r="F30" s="2"/>
      <c r="G30" s="2">
        <f>MATCH(Таблиця1[[#This Row],[House]],Таблиця4[name],0)</f>
        <v>127</v>
      </c>
      <c r="H30" s="2">
        <v>1</v>
      </c>
      <c r="I30" s="2">
        <v>2</v>
      </c>
      <c r="J30" s="2">
        <v>2</v>
      </c>
      <c r="L30" s="98" t="s">
        <v>557</v>
      </c>
      <c r="M30" t="s">
        <v>563</v>
      </c>
      <c r="N30"/>
      <c r="O30"/>
      <c r="P30"/>
      <c r="Q30" t="s">
        <v>12107</v>
      </c>
      <c r="R30"/>
      <c r="S30"/>
      <c r="T30">
        <v>10</v>
      </c>
      <c r="U30"/>
      <c r="V30"/>
      <c r="W30"/>
      <c r="X30"/>
      <c r="Y30"/>
      <c r="Z30"/>
      <c r="AA30">
        <v>29</v>
      </c>
      <c r="AD30" s="1"/>
      <c r="AF30" s="1"/>
      <c r="AG30" s="1"/>
    </row>
    <row r="31" spans="1:33">
      <c r="A31" s="470">
        <v>2</v>
      </c>
      <c r="B31" s="2" t="s">
        <v>410</v>
      </c>
      <c r="C31" s="2" t="s">
        <v>521</v>
      </c>
      <c r="D31" s="2"/>
      <c r="E31" s="2" t="s">
        <v>522</v>
      </c>
      <c r="F31" s="2"/>
      <c r="G31" s="2">
        <f>MATCH(Таблиця1[[#This Row],[House]],Таблиця4[name],0)</f>
        <v>10</v>
      </c>
      <c r="H31" s="2">
        <v>1</v>
      </c>
      <c r="I31" s="2">
        <v>1</v>
      </c>
      <c r="J31" s="2">
        <v>1</v>
      </c>
      <c r="L31" s="98" t="s">
        <v>557</v>
      </c>
      <c r="M31" t="s">
        <v>564</v>
      </c>
      <c r="N31"/>
      <c r="O31" t="s">
        <v>12108</v>
      </c>
      <c r="P31"/>
      <c r="Q31" t="s">
        <v>17663</v>
      </c>
      <c r="R31"/>
      <c r="S31"/>
      <c r="T31">
        <v>10</v>
      </c>
      <c r="U31"/>
      <c r="V31"/>
      <c r="W31"/>
      <c r="X31"/>
      <c r="Y31"/>
      <c r="Z31"/>
      <c r="AA31">
        <v>30</v>
      </c>
      <c r="AD31" s="1"/>
      <c r="AF31" s="1"/>
      <c r="AG31" s="1"/>
    </row>
    <row r="32" spans="1:33">
      <c r="A32" s="470">
        <v>2</v>
      </c>
      <c r="B32" s="2" t="s">
        <v>412</v>
      </c>
      <c r="C32" s="2" t="s">
        <v>236</v>
      </c>
      <c r="D32" s="2"/>
      <c r="E32" s="2" t="s">
        <v>523</v>
      </c>
      <c r="F32" s="2"/>
      <c r="G32" s="2">
        <f>MATCH(Таблиця1[[#This Row],[House]],Таблиця4[name],0)</f>
        <v>177</v>
      </c>
      <c r="H32" s="2">
        <v>3</v>
      </c>
      <c r="I32" s="2">
        <v>5</v>
      </c>
      <c r="J32" s="2">
        <v>5</v>
      </c>
      <c r="L32" s="98" t="s">
        <v>557</v>
      </c>
      <c r="M32" t="s">
        <v>15</v>
      </c>
      <c r="N32"/>
      <c r="O32" t="s">
        <v>1</v>
      </c>
      <c r="P32"/>
      <c r="Q32" t="s">
        <v>12119</v>
      </c>
      <c r="R32"/>
      <c r="S32"/>
      <c r="T32">
        <v>10</v>
      </c>
      <c r="U32"/>
      <c r="V32"/>
      <c r="W32"/>
      <c r="X32"/>
      <c r="Y32"/>
      <c r="Z32"/>
      <c r="AA32">
        <v>31</v>
      </c>
      <c r="AD32" s="1"/>
      <c r="AF32" s="1"/>
      <c r="AG32" s="1"/>
    </row>
    <row r="33" spans="1:33">
      <c r="A33" s="470">
        <v>2</v>
      </c>
      <c r="B33" s="2" t="s">
        <v>354</v>
      </c>
      <c r="C33" s="2" t="s">
        <v>353</v>
      </c>
      <c r="D33" s="2"/>
      <c r="E33" s="2" t="s">
        <v>524</v>
      </c>
      <c r="F33" s="2"/>
      <c r="G33" s="2">
        <f>MATCH(Таблиця1[[#This Row],[House]],Таблиця4[name],0)</f>
        <v>178</v>
      </c>
      <c r="H33" s="2">
        <v>2</v>
      </c>
      <c r="I33" s="2">
        <v>3</v>
      </c>
      <c r="J33" s="2">
        <v>3</v>
      </c>
      <c r="L33" s="98" t="s">
        <v>557</v>
      </c>
      <c r="M33" t="s">
        <v>565</v>
      </c>
      <c r="N33"/>
      <c r="O33"/>
      <c r="P33"/>
      <c r="Q33" t="s">
        <v>17615</v>
      </c>
      <c r="R33"/>
      <c r="S33"/>
      <c r="T33">
        <v>10</v>
      </c>
      <c r="U33"/>
      <c r="V33"/>
      <c r="W33"/>
      <c r="X33"/>
      <c r="Y33"/>
      <c r="Z33"/>
      <c r="AA33">
        <v>32</v>
      </c>
      <c r="AD33" s="1"/>
      <c r="AF33" s="1"/>
      <c r="AG33" s="1"/>
    </row>
    <row r="34" spans="1:33">
      <c r="A34" s="470">
        <v>2</v>
      </c>
      <c r="B34" s="2" t="s">
        <v>415</v>
      </c>
      <c r="C34" s="2" t="s">
        <v>463</v>
      </c>
      <c r="D34" s="2"/>
      <c r="E34" s="2" t="s">
        <v>461</v>
      </c>
      <c r="F34" s="2"/>
      <c r="G34" s="2">
        <f>MATCH(Таблиця1[[#This Row],[House]],Таблиця4[name],0)</f>
        <v>135</v>
      </c>
      <c r="H34" s="2"/>
      <c r="I34" s="2"/>
      <c r="J34" s="2"/>
      <c r="L34" s="98" t="s">
        <v>557</v>
      </c>
      <c r="M34" t="s">
        <v>566</v>
      </c>
      <c r="N34"/>
      <c r="O34"/>
      <c r="P34"/>
      <c r="Q34" t="s">
        <v>17638</v>
      </c>
      <c r="R34"/>
      <c r="S34"/>
      <c r="T34">
        <v>10</v>
      </c>
      <c r="U34"/>
      <c r="V34"/>
      <c r="W34"/>
      <c r="X34"/>
      <c r="Y34"/>
      <c r="Z34"/>
      <c r="AA34">
        <v>33</v>
      </c>
      <c r="AD34" s="1"/>
      <c r="AF34" s="1"/>
      <c r="AG34" s="1"/>
    </row>
    <row r="35" spans="1:33">
      <c r="A35" s="470">
        <v>2</v>
      </c>
      <c r="B35" s="2" t="s">
        <v>416</v>
      </c>
      <c r="C35" s="2" t="s">
        <v>525</v>
      </c>
      <c r="D35" s="2"/>
      <c r="E35" s="2" t="s">
        <v>374</v>
      </c>
      <c r="F35" s="2"/>
      <c r="G35" s="2">
        <f>MATCH(Таблиця1[[#This Row],[House]],Таблиця4[name],0)</f>
        <v>11</v>
      </c>
      <c r="H35" s="2">
        <v>1</v>
      </c>
      <c r="I35" s="2">
        <v>1</v>
      </c>
      <c r="J35" s="2">
        <v>1</v>
      </c>
      <c r="L35" s="98" t="s">
        <v>557</v>
      </c>
      <c r="M35" t="s">
        <v>567</v>
      </c>
      <c r="N35"/>
      <c r="O35"/>
      <c r="P35"/>
      <c r="Q35" t="s">
        <v>12099</v>
      </c>
      <c r="R35"/>
      <c r="S35"/>
      <c r="T35">
        <v>10</v>
      </c>
      <c r="U35"/>
      <c r="V35"/>
      <c r="W35"/>
      <c r="X35"/>
      <c r="Y35"/>
      <c r="Z35"/>
      <c r="AA35">
        <v>34</v>
      </c>
      <c r="AD35" s="1"/>
      <c r="AF35" s="1"/>
      <c r="AG35" s="1"/>
    </row>
    <row r="36" spans="1:33">
      <c r="A36" s="470">
        <v>2</v>
      </c>
      <c r="B36" s="2" t="s">
        <v>417</v>
      </c>
      <c r="C36" s="2" t="s">
        <v>245</v>
      </c>
      <c r="D36" s="2"/>
      <c r="E36" s="2" t="s">
        <v>243</v>
      </c>
      <c r="F36" s="2"/>
      <c r="G36" s="2">
        <f>MATCH(Таблиця1[[#This Row],[House]],Таблиця4[name],0)</f>
        <v>181</v>
      </c>
      <c r="H36" s="2"/>
      <c r="I36" s="2"/>
      <c r="J36" s="2"/>
      <c r="L36" s="98" t="s">
        <v>557</v>
      </c>
      <c r="M36" t="s">
        <v>1572</v>
      </c>
      <c r="N36"/>
      <c r="O36"/>
      <c r="P36"/>
      <c r="Q36" t="s">
        <v>12128</v>
      </c>
      <c r="R36"/>
      <c r="S36"/>
      <c r="T36">
        <v>10</v>
      </c>
      <c r="U36"/>
      <c r="V36"/>
      <c r="W36"/>
      <c r="X36"/>
      <c r="Y36"/>
      <c r="Z36" t="s">
        <v>12129</v>
      </c>
      <c r="AA36">
        <v>35</v>
      </c>
      <c r="AD36" s="1"/>
      <c r="AF36" s="1"/>
      <c r="AG36" s="1"/>
    </row>
    <row r="37" spans="1:33">
      <c r="A37" s="470">
        <v>2</v>
      </c>
      <c r="B37" s="2" t="s">
        <v>556</v>
      </c>
      <c r="C37" s="2" t="s">
        <v>526</v>
      </c>
      <c r="D37" s="2"/>
      <c r="E37" s="2" t="s">
        <v>527</v>
      </c>
      <c r="F37" s="2"/>
      <c r="G37" s="2">
        <f>MATCH(Таблиця1[[#This Row],[House]],Таблиця4[name],0)</f>
        <v>13</v>
      </c>
      <c r="H37" s="2">
        <v>1</v>
      </c>
      <c r="I37" s="2">
        <v>1</v>
      </c>
      <c r="J37" s="2">
        <v>1</v>
      </c>
      <c r="L37" s="98" t="s">
        <v>557</v>
      </c>
      <c r="M37" t="s">
        <v>11569</v>
      </c>
      <c r="N37"/>
      <c r="O37"/>
      <c r="P37"/>
      <c r="Q37"/>
      <c r="R37"/>
      <c r="S37"/>
      <c r="T37">
        <v>10</v>
      </c>
      <c r="U37"/>
      <c r="V37"/>
      <c r="W37"/>
      <c r="X37"/>
      <c r="Y37"/>
      <c r="Z37"/>
      <c r="AA37">
        <v>36</v>
      </c>
      <c r="AD37" s="1"/>
      <c r="AF37" s="1"/>
      <c r="AG37" s="1"/>
    </row>
    <row r="38" spans="1:33">
      <c r="A38" s="470">
        <v>2</v>
      </c>
      <c r="B38" s="2" t="s">
        <v>207</v>
      </c>
      <c r="C38" s="2" t="s">
        <v>455</v>
      </c>
      <c r="D38" s="2"/>
      <c r="E38" s="2" t="s">
        <v>528</v>
      </c>
      <c r="F38" s="2"/>
      <c r="G38" s="2">
        <f>MATCH(Таблиця1[[#This Row],[House]],Таблиця4[name],0)</f>
        <v>182</v>
      </c>
      <c r="H38" s="2">
        <v>3</v>
      </c>
      <c r="I38" s="2">
        <v>3</v>
      </c>
      <c r="J38" s="2">
        <v>3</v>
      </c>
      <c r="L38" s="98" t="s">
        <v>557</v>
      </c>
      <c r="M38" t="s">
        <v>568</v>
      </c>
      <c r="N38"/>
      <c r="O38"/>
      <c r="P38"/>
      <c r="Q38" t="s">
        <v>17632</v>
      </c>
      <c r="R38"/>
      <c r="S38"/>
      <c r="T38">
        <v>10</v>
      </c>
      <c r="U38"/>
      <c r="V38"/>
      <c r="W38"/>
      <c r="X38"/>
      <c r="Y38"/>
      <c r="Z38"/>
      <c r="AA38">
        <v>37</v>
      </c>
      <c r="AD38" s="1"/>
      <c r="AF38" s="1"/>
      <c r="AG38" s="1"/>
    </row>
    <row r="39" spans="1:33">
      <c r="A39" s="470">
        <v>2</v>
      </c>
      <c r="B39" s="2" t="s">
        <v>231</v>
      </c>
      <c r="C39" s="2" t="s">
        <v>529</v>
      </c>
      <c r="D39" s="2"/>
      <c r="E39" s="2" t="s">
        <v>530</v>
      </c>
      <c r="F39" s="2"/>
      <c r="G39" s="2">
        <f>MATCH(Таблиця1[[#This Row],[House]],Таблиця4[name],0)</f>
        <v>14</v>
      </c>
      <c r="H39" s="2">
        <v>1</v>
      </c>
      <c r="I39" s="2">
        <v>1</v>
      </c>
      <c r="J39" s="2">
        <v>1</v>
      </c>
      <c r="L39" s="98" t="s">
        <v>557</v>
      </c>
      <c r="M39" t="s">
        <v>1573</v>
      </c>
      <c r="N39"/>
      <c r="O39"/>
      <c r="P39"/>
      <c r="Q39"/>
      <c r="R39"/>
      <c r="S39"/>
      <c r="T39">
        <v>10</v>
      </c>
      <c r="U39"/>
      <c r="V39"/>
      <c r="W39"/>
      <c r="X39"/>
      <c r="Y39"/>
      <c r="Z39"/>
      <c r="AA39">
        <v>38</v>
      </c>
      <c r="AD39" s="1"/>
      <c r="AF39" s="1"/>
      <c r="AG39" s="1"/>
    </row>
    <row r="40" spans="1:33">
      <c r="A40" s="470">
        <v>2</v>
      </c>
      <c r="B40" s="2" t="s">
        <v>52</v>
      </c>
      <c r="C40" s="2" t="s">
        <v>531</v>
      </c>
      <c r="D40" s="2"/>
      <c r="E40" s="2" t="s">
        <v>532</v>
      </c>
      <c r="F40" s="2"/>
      <c r="G40" s="2">
        <f>MATCH(Таблиця1[[#This Row],[House]],Таблиця4[name],0)</f>
        <v>185</v>
      </c>
      <c r="H40" s="2">
        <v>4</v>
      </c>
      <c r="I40" s="2">
        <v>4</v>
      </c>
      <c r="J40" s="2">
        <v>5</v>
      </c>
      <c r="L40" s="98" t="s">
        <v>557</v>
      </c>
      <c r="M40" t="s">
        <v>569</v>
      </c>
      <c r="N40"/>
      <c r="O40"/>
      <c r="P40"/>
      <c r="Q40"/>
      <c r="R40"/>
      <c r="S40"/>
      <c r="T40">
        <v>10</v>
      </c>
      <c r="U40"/>
      <c r="V40"/>
      <c r="W40"/>
      <c r="X40"/>
      <c r="Y40"/>
      <c r="Z40"/>
      <c r="AA40">
        <v>39</v>
      </c>
      <c r="AD40" s="1"/>
      <c r="AF40" s="1"/>
      <c r="AG40" s="1"/>
    </row>
    <row r="41" spans="1:33">
      <c r="A41" s="469" t="s">
        <v>533</v>
      </c>
      <c r="B41" s="2" t="s">
        <v>394</v>
      </c>
      <c r="C41" s="2" t="s">
        <v>45</v>
      </c>
      <c r="D41" s="2"/>
      <c r="E41" s="2" t="s">
        <v>43</v>
      </c>
      <c r="F41" s="2" t="s">
        <v>534</v>
      </c>
      <c r="G41" s="2">
        <f>MATCH(Таблиця1[[#This Row],[House]],Таблиця4[name],0)</f>
        <v>189</v>
      </c>
      <c r="H41" s="2">
        <v>4</v>
      </c>
      <c r="I41" s="2">
        <v>4</v>
      </c>
      <c r="J41" s="2">
        <v>2</v>
      </c>
      <c r="L41" s="98" t="s">
        <v>557</v>
      </c>
      <c r="M41" t="s">
        <v>1574</v>
      </c>
      <c r="N41"/>
      <c r="O41"/>
      <c r="P41"/>
      <c r="Q41"/>
      <c r="R41"/>
      <c r="S41"/>
      <c r="T41">
        <v>10</v>
      </c>
      <c r="U41"/>
      <c r="V41"/>
      <c r="W41"/>
      <c r="X41"/>
      <c r="Y41"/>
      <c r="Z41"/>
      <c r="AA41">
        <v>40</v>
      </c>
      <c r="AD41" s="1"/>
      <c r="AF41" s="1"/>
      <c r="AG41" s="1"/>
    </row>
    <row r="42" spans="1:33">
      <c r="A42" s="469" t="s">
        <v>533</v>
      </c>
      <c r="B42" s="2" t="s">
        <v>74</v>
      </c>
      <c r="C42" s="2" t="s">
        <v>181</v>
      </c>
      <c r="D42" s="2"/>
      <c r="E42" s="2" t="s">
        <v>535</v>
      </c>
      <c r="F42" s="2"/>
      <c r="G42" s="2">
        <f>MATCH(Таблиця1[[#This Row],[House]],Таблиця4[name],0)</f>
        <v>26</v>
      </c>
      <c r="H42" s="2">
        <v>2</v>
      </c>
      <c r="I42" s="2">
        <v>3</v>
      </c>
      <c r="J42" s="2">
        <v>3</v>
      </c>
      <c r="L42" s="98" t="s">
        <v>557</v>
      </c>
      <c r="M42" t="s">
        <v>15324</v>
      </c>
      <c r="N42"/>
      <c r="O42"/>
      <c r="P42"/>
      <c r="Q42" t="s">
        <v>11940</v>
      </c>
      <c r="R42"/>
      <c r="S42"/>
      <c r="T42">
        <v>10</v>
      </c>
      <c r="U42"/>
      <c r="V42"/>
      <c r="W42"/>
      <c r="X42"/>
      <c r="Y42"/>
      <c r="Z42"/>
      <c r="AA42">
        <v>41</v>
      </c>
      <c r="AD42" s="1"/>
      <c r="AF42" s="1"/>
      <c r="AG42" s="1"/>
    </row>
    <row r="43" spans="1:33">
      <c r="A43" s="469" t="s">
        <v>533</v>
      </c>
      <c r="B43" s="2" t="s">
        <v>324</v>
      </c>
      <c r="C43" s="2" t="s">
        <v>322</v>
      </c>
      <c r="D43" s="2"/>
      <c r="E43" s="2" t="s">
        <v>536</v>
      </c>
      <c r="F43" s="2"/>
      <c r="G43" s="2">
        <f>MATCH(Таблиця1[[#This Row],[House]],Таблиця4[name],0)</f>
        <v>158</v>
      </c>
      <c r="H43" s="2">
        <v>3</v>
      </c>
      <c r="I43" s="2">
        <v>3</v>
      </c>
      <c r="J43" s="2">
        <v>3</v>
      </c>
      <c r="L43" s="98" t="s">
        <v>557</v>
      </c>
      <c r="M43" t="s">
        <v>1576</v>
      </c>
      <c r="N43"/>
      <c r="O43"/>
      <c r="P43"/>
      <c r="Q43"/>
      <c r="R43"/>
      <c r="S43"/>
      <c r="T43">
        <v>10</v>
      </c>
      <c r="U43"/>
      <c r="V43"/>
      <c r="W43"/>
      <c r="X43"/>
      <c r="Y43"/>
      <c r="Z43"/>
      <c r="AA43">
        <v>42</v>
      </c>
      <c r="AD43" s="1"/>
      <c r="AF43" s="1"/>
      <c r="AG43" s="1"/>
    </row>
    <row r="44" spans="1:33">
      <c r="A44" s="469" t="s">
        <v>533</v>
      </c>
      <c r="B44" s="2" t="s">
        <v>398</v>
      </c>
      <c r="C44" s="2" t="s">
        <v>192</v>
      </c>
      <c r="D44" s="2"/>
      <c r="E44" s="2" t="s">
        <v>190</v>
      </c>
      <c r="F44" s="2"/>
      <c r="G44" s="2">
        <f>MATCH(Таблиця1[[#This Row],[House]],Таблиця4[name],0)</f>
        <v>159</v>
      </c>
      <c r="H44" s="2">
        <v>3</v>
      </c>
      <c r="I44" s="2">
        <v>3</v>
      </c>
      <c r="J44" s="2">
        <v>4</v>
      </c>
      <c r="L44" s="98" t="s">
        <v>557</v>
      </c>
      <c r="M44" t="s">
        <v>570</v>
      </c>
      <c r="N44"/>
      <c r="O44"/>
      <c r="P44"/>
      <c r="Q44"/>
      <c r="R44"/>
      <c r="S44"/>
      <c r="T44">
        <v>10</v>
      </c>
      <c r="U44"/>
      <c r="V44" t="s">
        <v>17651</v>
      </c>
      <c r="W44"/>
      <c r="X44"/>
      <c r="Y44"/>
      <c r="Z44"/>
      <c r="AA44">
        <v>43</v>
      </c>
      <c r="AD44" s="1"/>
      <c r="AF44" s="1"/>
      <c r="AG44" s="1"/>
    </row>
    <row r="45" spans="1:33">
      <c r="A45" s="469" t="s">
        <v>533</v>
      </c>
      <c r="B45" s="2" t="s">
        <v>137</v>
      </c>
      <c r="C45" s="2" t="s">
        <v>136</v>
      </c>
      <c r="D45" s="2"/>
      <c r="E45" s="2" t="s">
        <v>134</v>
      </c>
      <c r="F45" s="2" t="s">
        <v>537</v>
      </c>
      <c r="G45" s="2">
        <f>MATCH(Таблиця1[[#This Row],[House]],Таблиця4[name],0)</f>
        <v>160</v>
      </c>
      <c r="H45" s="2">
        <v>2</v>
      </c>
      <c r="I45" s="2">
        <v>4</v>
      </c>
      <c r="J45" s="2">
        <v>2</v>
      </c>
      <c r="L45" s="98" t="s">
        <v>557</v>
      </c>
      <c r="M45" t="s">
        <v>41</v>
      </c>
      <c r="N45"/>
      <c r="O45"/>
      <c r="P45"/>
      <c r="Q45" t="s">
        <v>17649</v>
      </c>
      <c r="R45"/>
      <c r="S45"/>
      <c r="T45">
        <v>10</v>
      </c>
      <c r="U45"/>
      <c r="V45"/>
      <c r="W45"/>
      <c r="X45"/>
      <c r="Y45"/>
      <c r="Z45"/>
      <c r="AA45">
        <v>44</v>
      </c>
      <c r="AD45" s="1"/>
      <c r="AF45" s="1"/>
      <c r="AG45" s="1"/>
    </row>
    <row r="46" spans="1:33">
      <c r="A46" s="469" t="s">
        <v>533</v>
      </c>
      <c r="B46" s="2" t="s">
        <v>400</v>
      </c>
      <c r="C46" s="2" t="s">
        <v>538</v>
      </c>
      <c r="D46" s="2"/>
      <c r="E46" s="2" t="s">
        <v>539</v>
      </c>
      <c r="F46" s="2"/>
      <c r="G46" s="2">
        <f>MATCH(Таблиця1[[#This Row],[House]],Таблиця4[name],0)</f>
        <v>162</v>
      </c>
      <c r="H46" s="2">
        <v>2</v>
      </c>
      <c r="I46" s="2">
        <v>2</v>
      </c>
      <c r="J46" s="2">
        <v>2</v>
      </c>
      <c r="L46" s="98" t="s">
        <v>557</v>
      </c>
      <c r="M46" t="s">
        <v>571</v>
      </c>
      <c r="N46"/>
      <c r="O46"/>
      <c r="P46"/>
      <c r="Q46" t="s">
        <v>17642</v>
      </c>
      <c r="R46"/>
      <c r="S46"/>
      <c r="T46">
        <v>10</v>
      </c>
      <c r="U46"/>
      <c r="V46"/>
      <c r="W46"/>
      <c r="X46"/>
      <c r="Y46"/>
      <c r="Z46"/>
      <c r="AA46">
        <v>45</v>
      </c>
      <c r="AD46" s="1"/>
      <c r="AF46" s="1"/>
      <c r="AG46" s="1"/>
    </row>
    <row r="47" spans="1:33">
      <c r="A47" s="469" t="s">
        <v>533</v>
      </c>
      <c r="B47" s="2" t="s">
        <v>370</v>
      </c>
      <c r="C47" s="2" t="s">
        <v>540</v>
      </c>
      <c r="D47" s="2"/>
      <c r="E47" s="2" t="s">
        <v>541</v>
      </c>
      <c r="F47" s="2"/>
      <c r="G47" s="2">
        <f>MATCH(Таблиця1[[#This Row],[House]],Таблиця4[name],0)</f>
        <v>163</v>
      </c>
      <c r="H47" s="2">
        <v>1</v>
      </c>
      <c r="I47" s="2">
        <v>1</v>
      </c>
      <c r="J47" s="2">
        <v>2</v>
      </c>
      <c r="L47" s="98" t="s">
        <v>557</v>
      </c>
      <c r="M47" t="s">
        <v>1577</v>
      </c>
      <c r="N47"/>
      <c r="O47"/>
      <c r="P47"/>
      <c r="Q47"/>
      <c r="R47"/>
      <c r="S47"/>
      <c r="T47">
        <v>10</v>
      </c>
      <c r="U47"/>
      <c r="V47"/>
      <c r="W47"/>
      <c r="X47"/>
      <c r="Y47"/>
      <c r="Z47"/>
      <c r="AA47">
        <v>46</v>
      </c>
      <c r="AD47" s="1"/>
      <c r="AF47" s="1"/>
      <c r="AG47" s="1"/>
    </row>
    <row r="48" spans="1:33">
      <c r="A48" s="469" t="s">
        <v>533</v>
      </c>
      <c r="B48" s="2" t="s">
        <v>156</v>
      </c>
      <c r="C48" s="2" t="s">
        <v>154</v>
      </c>
      <c r="D48" s="2"/>
      <c r="E48" s="2" t="s">
        <v>152</v>
      </c>
      <c r="F48" s="2"/>
      <c r="G48" s="2">
        <f>MATCH(Таблиця1[[#This Row],[House]],Таблиця4[name],0)</f>
        <v>166</v>
      </c>
      <c r="H48" s="2">
        <v>1</v>
      </c>
      <c r="I48" s="2">
        <v>1</v>
      </c>
      <c r="J48" s="2">
        <v>2</v>
      </c>
      <c r="L48" s="98" t="s">
        <v>557</v>
      </c>
      <c r="M48" t="s">
        <v>572</v>
      </c>
      <c r="N48"/>
      <c r="O48"/>
      <c r="P48"/>
      <c r="Q48" t="s">
        <v>12116</v>
      </c>
      <c r="R48"/>
      <c r="S48"/>
      <c r="T48">
        <v>10</v>
      </c>
      <c r="U48"/>
      <c r="V48"/>
      <c r="W48"/>
      <c r="X48"/>
      <c r="Y48"/>
      <c r="Z48"/>
      <c r="AA48">
        <v>47</v>
      </c>
      <c r="AD48" s="1"/>
      <c r="AF48" s="1"/>
      <c r="AG48" s="1"/>
    </row>
    <row r="49" spans="1:33">
      <c r="A49" s="469" t="s">
        <v>533</v>
      </c>
      <c r="B49" s="2" t="s">
        <v>281</v>
      </c>
      <c r="C49" s="2" t="s">
        <v>274</v>
      </c>
      <c r="D49" s="2"/>
      <c r="E49" s="2" t="s">
        <v>272</v>
      </c>
      <c r="F49" s="2"/>
      <c r="G49" s="2">
        <f>MATCH(Таблиця1[[#This Row],[House]],Таблиця4[name],0)</f>
        <v>168</v>
      </c>
      <c r="H49" s="2">
        <v>3</v>
      </c>
      <c r="I49" s="2">
        <v>4</v>
      </c>
      <c r="J49" s="2">
        <v>5</v>
      </c>
      <c r="L49" s="98" t="s">
        <v>557</v>
      </c>
      <c r="M49" t="s">
        <v>1578</v>
      </c>
      <c r="N49"/>
      <c r="O49"/>
      <c r="P49"/>
      <c r="Q49"/>
      <c r="R49"/>
      <c r="S49"/>
      <c r="T49">
        <v>10</v>
      </c>
      <c r="U49"/>
      <c r="V49"/>
      <c r="W49"/>
      <c r="X49"/>
      <c r="Y49"/>
      <c r="Z49"/>
      <c r="AA49">
        <v>48</v>
      </c>
      <c r="AD49" s="1"/>
      <c r="AF49" s="1"/>
      <c r="AG49" s="1"/>
    </row>
    <row r="50" spans="1:33">
      <c r="A50" s="469" t="s">
        <v>533</v>
      </c>
      <c r="B50" s="2" t="s">
        <v>404</v>
      </c>
      <c r="C50" s="2" t="s">
        <v>431</v>
      </c>
      <c r="D50" s="2"/>
      <c r="E50" s="2" t="s">
        <v>429</v>
      </c>
      <c r="F50" s="2"/>
      <c r="G50" s="2">
        <f>MATCH(Таблиця1[[#This Row],[House]],Таблиця4[name],0)</f>
        <v>169</v>
      </c>
      <c r="H50" s="2">
        <v>3</v>
      </c>
      <c r="I50" s="2">
        <v>3</v>
      </c>
      <c r="J50" s="2">
        <v>4</v>
      </c>
      <c r="L50" s="98" t="s">
        <v>557</v>
      </c>
      <c r="M50" t="s">
        <v>573</v>
      </c>
      <c r="N50"/>
      <c r="O50"/>
      <c r="P50"/>
      <c r="Q50" t="s">
        <v>17636</v>
      </c>
      <c r="R50"/>
      <c r="S50"/>
      <c r="T50">
        <v>10</v>
      </c>
      <c r="U50"/>
      <c r="V50"/>
      <c r="W50"/>
      <c r="X50"/>
      <c r="Y50"/>
      <c r="Z50"/>
      <c r="AA50">
        <v>49</v>
      </c>
      <c r="AD50" s="1"/>
      <c r="AF50" s="1"/>
      <c r="AG50" s="1"/>
    </row>
    <row r="51" spans="1:33">
      <c r="A51" s="469" t="s">
        <v>533</v>
      </c>
      <c r="B51" s="2" t="s">
        <v>57</v>
      </c>
      <c r="C51" s="2" t="s">
        <v>56</v>
      </c>
      <c r="D51" s="2"/>
      <c r="E51" s="2" t="s">
        <v>542</v>
      </c>
      <c r="F51" s="2"/>
      <c r="G51" s="2">
        <f>MATCH(Таблиця1[[#This Row],[House]],Таблиця4[name],0)</f>
        <v>170</v>
      </c>
      <c r="H51" s="2">
        <v>3</v>
      </c>
      <c r="I51" s="2">
        <v>3</v>
      </c>
      <c r="J51" s="2">
        <v>3</v>
      </c>
      <c r="L51" s="98" t="s">
        <v>557</v>
      </c>
      <c r="M51" t="s">
        <v>574</v>
      </c>
      <c r="N51"/>
      <c r="O51"/>
      <c r="P51"/>
      <c r="Q51" t="s">
        <v>17644</v>
      </c>
      <c r="R51"/>
      <c r="S51"/>
      <c r="T51">
        <v>10</v>
      </c>
      <c r="U51"/>
      <c r="V51"/>
      <c r="W51"/>
      <c r="X51"/>
      <c r="Y51"/>
      <c r="Z51"/>
      <c r="AA51">
        <v>50</v>
      </c>
      <c r="AD51" s="1"/>
      <c r="AF51" s="1"/>
      <c r="AG51" s="1"/>
    </row>
    <row r="52" spans="1:33">
      <c r="A52" s="469" t="s">
        <v>533</v>
      </c>
      <c r="B52" s="2" t="s">
        <v>14</v>
      </c>
      <c r="C52" s="2" t="s">
        <v>543</v>
      </c>
      <c r="D52" s="2"/>
      <c r="E52" s="2" t="s">
        <v>544</v>
      </c>
      <c r="F52" s="2"/>
      <c r="G52" s="2">
        <f>MATCH(Таблиця1[[#This Row],[House]],Таблиця4[name],0)</f>
        <v>171</v>
      </c>
      <c r="H52" s="2">
        <v>3</v>
      </c>
      <c r="I52" s="2">
        <v>3</v>
      </c>
      <c r="J52" s="2">
        <v>4</v>
      </c>
      <c r="L52" s="98" t="s">
        <v>557</v>
      </c>
      <c r="M52" t="s">
        <v>575</v>
      </c>
      <c r="N52"/>
      <c r="O52"/>
      <c r="P52"/>
      <c r="Q52" t="s">
        <v>12095</v>
      </c>
      <c r="R52"/>
      <c r="S52"/>
      <c r="T52">
        <v>10</v>
      </c>
      <c r="U52"/>
      <c r="V52"/>
      <c r="W52"/>
      <c r="X52"/>
      <c r="Y52"/>
      <c r="Z52"/>
      <c r="AA52">
        <v>51</v>
      </c>
      <c r="AD52" s="1"/>
      <c r="AF52" s="1"/>
      <c r="AG52" s="1"/>
    </row>
    <row r="53" spans="1:33">
      <c r="A53" s="469" t="s">
        <v>533</v>
      </c>
      <c r="B53" s="2" t="s">
        <v>100</v>
      </c>
      <c r="C53" s="2" t="s">
        <v>101</v>
      </c>
      <c r="D53" s="2"/>
      <c r="E53" s="2" t="s">
        <v>515</v>
      </c>
      <c r="F53" s="2"/>
      <c r="G53" s="2">
        <f>MATCH(Таблиця1[[#This Row],[House]],Таблиця4[name],0)</f>
        <v>173</v>
      </c>
      <c r="H53" s="2">
        <v>5</v>
      </c>
      <c r="I53" s="2">
        <v>4</v>
      </c>
      <c r="J53" s="2">
        <v>5</v>
      </c>
      <c r="L53" s="98" t="s">
        <v>557</v>
      </c>
      <c r="M53" t="s">
        <v>1580</v>
      </c>
      <c r="N53"/>
      <c r="O53"/>
      <c r="P53"/>
      <c r="Q53"/>
      <c r="R53"/>
      <c r="S53"/>
      <c r="T53">
        <v>10</v>
      </c>
      <c r="U53"/>
      <c r="V53"/>
      <c r="W53"/>
      <c r="X53"/>
      <c r="Y53"/>
      <c r="Z53"/>
      <c r="AA53">
        <v>52</v>
      </c>
      <c r="AD53" s="1"/>
      <c r="AF53" s="1"/>
      <c r="AG53" s="1"/>
    </row>
    <row r="54" spans="1:33">
      <c r="A54" s="469" t="s">
        <v>533</v>
      </c>
      <c r="B54" s="2" t="s">
        <v>20</v>
      </c>
      <c r="C54" s="2" t="s">
        <v>545</v>
      </c>
      <c r="D54" s="2"/>
      <c r="E54" s="2" t="s">
        <v>546</v>
      </c>
      <c r="F54" s="2"/>
      <c r="G54" s="2">
        <f>MATCH(Таблиця1[[#This Row],[House]],Таблиця4[name],0)</f>
        <v>119</v>
      </c>
      <c r="H54" s="2">
        <v>5</v>
      </c>
      <c r="I54" s="2">
        <v>4</v>
      </c>
      <c r="J54" s="2">
        <v>5</v>
      </c>
      <c r="L54" s="98" t="s">
        <v>557</v>
      </c>
      <c r="M54" t="s">
        <v>1642</v>
      </c>
      <c r="N54"/>
      <c r="O54"/>
      <c r="P54"/>
      <c r="Q54"/>
      <c r="R54"/>
      <c r="S54"/>
      <c r="T54">
        <v>10</v>
      </c>
      <c r="U54"/>
      <c r="V54"/>
      <c r="W54"/>
      <c r="X54"/>
      <c r="Y54"/>
      <c r="Z54"/>
      <c r="AA54">
        <v>53</v>
      </c>
      <c r="AD54" s="1"/>
      <c r="AF54" s="1"/>
      <c r="AG54" s="1"/>
    </row>
    <row r="55" spans="1:33">
      <c r="A55" s="469" t="s">
        <v>533</v>
      </c>
      <c r="B55" s="2" t="s">
        <v>340</v>
      </c>
      <c r="C55" s="2" t="s">
        <v>337</v>
      </c>
      <c r="D55" s="2"/>
      <c r="E55" s="2" t="s">
        <v>547</v>
      </c>
      <c r="F55" s="2"/>
      <c r="G55" s="2">
        <f>MATCH(Таблиця1[[#This Row],[House]],Таблиця4[name],0)</f>
        <v>175</v>
      </c>
      <c r="H55" s="2">
        <v>3</v>
      </c>
      <c r="I55" s="2">
        <v>4</v>
      </c>
      <c r="J55" s="2">
        <v>5</v>
      </c>
      <c r="L55" s="98" t="s">
        <v>557</v>
      </c>
      <c r="M55" t="s">
        <v>576</v>
      </c>
      <c r="N55"/>
      <c r="O55"/>
      <c r="P55"/>
      <c r="Q55" t="s">
        <v>12093</v>
      </c>
      <c r="R55"/>
      <c r="S55"/>
      <c r="T55">
        <v>10</v>
      </c>
      <c r="U55"/>
      <c r="V55"/>
      <c r="W55"/>
      <c r="X55"/>
      <c r="Y55"/>
      <c r="Z55"/>
      <c r="AA55">
        <v>54</v>
      </c>
      <c r="AD55" s="1"/>
      <c r="AF55" s="1"/>
      <c r="AG55" s="1"/>
    </row>
    <row r="56" spans="1:33">
      <c r="A56" s="469" t="s">
        <v>533</v>
      </c>
      <c r="B56" s="2" t="s">
        <v>411</v>
      </c>
      <c r="C56" s="2" t="s">
        <v>445</v>
      </c>
      <c r="D56" s="2"/>
      <c r="E56" s="2" t="s">
        <v>548</v>
      </c>
      <c r="F56" s="2"/>
      <c r="G56" s="2">
        <f>MATCH(Таблиця1[[#This Row],[House]],Таблиця4[name],0)</f>
        <v>176</v>
      </c>
      <c r="H56" s="2">
        <v>4</v>
      </c>
      <c r="I56" s="2">
        <v>3</v>
      </c>
      <c r="J56" s="2">
        <v>4</v>
      </c>
      <c r="L56" s="98" t="s">
        <v>557</v>
      </c>
      <c r="M56" t="s">
        <v>1581</v>
      </c>
      <c r="N56"/>
      <c r="O56"/>
      <c r="P56"/>
      <c r="Q56"/>
      <c r="R56"/>
      <c r="S56"/>
      <c r="T56">
        <v>10</v>
      </c>
      <c r="U56"/>
      <c r="V56"/>
      <c r="W56"/>
      <c r="X56"/>
      <c r="Y56"/>
      <c r="Z56"/>
      <c r="AA56">
        <v>55</v>
      </c>
      <c r="AD56" s="1"/>
      <c r="AF56" s="1"/>
      <c r="AG56" s="1"/>
    </row>
    <row r="57" spans="1:33">
      <c r="A57" s="469" t="s">
        <v>533</v>
      </c>
      <c r="B57" s="2" t="s">
        <v>413</v>
      </c>
      <c r="C57" s="2" t="s">
        <v>284</v>
      </c>
      <c r="D57" s="2"/>
      <c r="E57" s="2" t="s">
        <v>272</v>
      </c>
      <c r="F57" s="2"/>
      <c r="G57" s="2">
        <f>MATCH(Таблиця1[[#This Row],[House]],Таблиця4[name],0)</f>
        <v>134</v>
      </c>
      <c r="H57" s="2">
        <v>2</v>
      </c>
      <c r="I57" s="2">
        <v>2</v>
      </c>
      <c r="J57" s="2">
        <v>1</v>
      </c>
      <c r="L57" s="98" t="s">
        <v>557</v>
      </c>
      <c r="M57" t="s">
        <v>1582</v>
      </c>
      <c r="N57"/>
      <c r="O57"/>
      <c r="P57"/>
      <c r="Q57"/>
      <c r="R57"/>
      <c r="S57"/>
      <c r="T57">
        <v>10</v>
      </c>
      <c r="U57"/>
      <c r="V57"/>
      <c r="W57"/>
      <c r="X57"/>
      <c r="Y57"/>
      <c r="Z57"/>
      <c r="AA57">
        <v>56</v>
      </c>
      <c r="AD57" s="1"/>
      <c r="AF57" s="1"/>
      <c r="AG57" s="1"/>
    </row>
    <row r="58" spans="1:33">
      <c r="A58" s="469" t="s">
        <v>533</v>
      </c>
      <c r="B58" s="2" t="s">
        <v>414</v>
      </c>
      <c r="C58" s="2" t="s">
        <v>549</v>
      </c>
      <c r="D58" s="2"/>
      <c r="E58" s="2" t="s">
        <v>374</v>
      </c>
      <c r="F58" s="2"/>
      <c r="G58" s="2">
        <f>MATCH(Таблиця1[[#This Row],[House]],Таблиця4[name],0)</f>
        <v>179</v>
      </c>
      <c r="H58" s="2">
        <v>1</v>
      </c>
      <c r="I58" s="2">
        <v>2</v>
      </c>
      <c r="J58" s="2">
        <v>2</v>
      </c>
      <c r="L58" s="98" t="s">
        <v>557</v>
      </c>
      <c r="M58" t="s">
        <v>577</v>
      </c>
      <c r="N58"/>
      <c r="O58"/>
      <c r="P58"/>
      <c r="Q58" t="s">
        <v>17614</v>
      </c>
      <c r="R58"/>
      <c r="S58"/>
      <c r="T58">
        <v>10</v>
      </c>
      <c r="U58"/>
      <c r="V58"/>
      <c r="W58"/>
      <c r="X58"/>
      <c r="Y58"/>
      <c r="Z58"/>
      <c r="AA58">
        <v>57</v>
      </c>
      <c r="AD58" s="1"/>
      <c r="AF58" s="1"/>
      <c r="AG58" s="1"/>
    </row>
    <row r="59" spans="1:33">
      <c r="A59" s="469" t="s">
        <v>533</v>
      </c>
      <c r="B59" s="2" t="s">
        <v>224</v>
      </c>
      <c r="C59" s="2" t="s">
        <v>223</v>
      </c>
      <c r="D59" s="2"/>
      <c r="E59" s="2" t="s">
        <v>221</v>
      </c>
      <c r="F59" s="2"/>
      <c r="G59" s="2">
        <f>MATCH(Таблиця1[[#This Row],[House]],Таблиця4[name],0)</f>
        <v>180</v>
      </c>
      <c r="H59" s="2">
        <v>4</v>
      </c>
      <c r="I59" s="2">
        <v>3</v>
      </c>
      <c r="J59" s="2">
        <v>4</v>
      </c>
      <c r="L59" s="98" t="s">
        <v>557</v>
      </c>
      <c r="M59" t="s">
        <v>1583</v>
      </c>
      <c r="N59"/>
      <c r="O59"/>
      <c r="P59"/>
      <c r="Q59"/>
      <c r="R59"/>
      <c r="S59"/>
      <c r="T59">
        <v>10</v>
      </c>
      <c r="U59"/>
      <c r="V59"/>
      <c r="W59"/>
      <c r="X59"/>
      <c r="Y59"/>
      <c r="Z59"/>
      <c r="AA59">
        <v>58</v>
      </c>
      <c r="AD59" s="1"/>
      <c r="AF59" s="1"/>
      <c r="AG59" s="1"/>
    </row>
    <row r="60" spans="1:33">
      <c r="A60" s="469" t="s">
        <v>533</v>
      </c>
      <c r="B60" s="2" t="s">
        <v>131</v>
      </c>
      <c r="C60" s="2" t="s">
        <v>127</v>
      </c>
      <c r="D60" s="2"/>
      <c r="E60" s="2" t="s">
        <v>125</v>
      </c>
      <c r="F60" s="2"/>
      <c r="G60" s="2">
        <f>MATCH(Таблиця1[[#This Row],[House]],Таблиця4[name],0)</f>
        <v>183</v>
      </c>
      <c r="H60" s="2">
        <v>3</v>
      </c>
      <c r="I60" s="2">
        <v>3</v>
      </c>
      <c r="J60" s="2">
        <v>4</v>
      </c>
      <c r="L60" s="98" t="s">
        <v>557</v>
      </c>
      <c r="M60" t="s">
        <v>1584</v>
      </c>
      <c r="N60"/>
      <c r="O60"/>
      <c r="P60"/>
      <c r="Q60" t="s">
        <v>11941</v>
      </c>
      <c r="R60"/>
      <c r="S60"/>
      <c r="T60">
        <v>10</v>
      </c>
      <c r="U60"/>
      <c r="V60"/>
      <c r="W60"/>
      <c r="X60"/>
      <c r="Y60"/>
      <c r="Z60"/>
      <c r="AA60">
        <v>59</v>
      </c>
      <c r="AD60" s="1"/>
      <c r="AF60" s="1"/>
      <c r="AG60" s="1"/>
    </row>
    <row r="61" spans="1:33">
      <c r="A61" s="469" t="s">
        <v>533</v>
      </c>
      <c r="B61" s="2" t="s">
        <v>418</v>
      </c>
      <c r="C61" s="2" t="s">
        <v>436</v>
      </c>
      <c r="D61" s="2"/>
      <c r="E61" s="2" t="s">
        <v>435</v>
      </c>
      <c r="F61" s="2"/>
      <c r="G61" s="2">
        <f>MATCH(Таблиця1[[#This Row],[House]],Таблиця4[name],0)</f>
        <v>184</v>
      </c>
      <c r="H61" s="2">
        <v>3</v>
      </c>
      <c r="I61" s="2">
        <v>3</v>
      </c>
      <c r="J61" s="2">
        <v>4</v>
      </c>
      <c r="L61" s="98" t="s">
        <v>557</v>
      </c>
      <c r="M61" t="s">
        <v>578</v>
      </c>
      <c r="N61"/>
      <c r="O61" t="s">
        <v>272</v>
      </c>
      <c r="P61"/>
      <c r="Q61" t="s">
        <v>12113</v>
      </c>
      <c r="R61"/>
      <c r="S61"/>
      <c r="T61">
        <v>10</v>
      </c>
      <c r="U61"/>
      <c r="V61"/>
      <c r="W61"/>
      <c r="X61"/>
      <c r="Y61" t="s">
        <v>11854</v>
      </c>
      <c r="Z61"/>
      <c r="AA61">
        <v>60</v>
      </c>
      <c r="AD61" s="1"/>
      <c r="AF61" s="1"/>
      <c r="AG61" s="1"/>
    </row>
    <row r="62" spans="1:33">
      <c r="A62" s="2"/>
      <c r="B62" s="2"/>
      <c r="C62" s="2"/>
      <c r="D62" s="2"/>
      <c r="E62" s="2"/>
      <c r="F62" s="2"/>
      <c r="G62" s="2" t="e">
        <f>MATCH(Таблиця1[[#This Row],[House]],Таблиця4[name],0)</f>
        <v>#N/A</v>
      </c>
      <c r="H62" s="2"/>
      <c r="I62" s="2"/>
      <c r="J62" s="2"/>
      <c r="L62" s="98" t="s">
        <v>557</v>
      </c>
      <c r="M62" t="s">
        <v>1585</v>
      </c>
      <c r="N62"/>
      <c r="O62"/>
      <c r="P62"/>
      <c r="Q62"/>
      <c r="R62"/>
      <c r="S62"/>
      <c r="T62">
        <v>10</v>
      </c>
      <c r="U62"/>
      <c r="V62"/>
      <c r="W62"/>
      <c r="X62"/>
      <c r="Y62"/>
      <c r="Z62"/>
      <c r="AA62">
        <v>61</v>
      </c>
      <c r="AD62" s="1"/>
      <c r="AF62" s="1"/>
      <c r="AG62" s="1"/>
    </row>
    <row r="63" spans="1:33">
      <c r="L63" s="98" t="s">
        <v>557</v>
      </c>
      <c r="M63" t="s">
        <v>393</v>
      </c>
      <c r="N63"/>
      <c r="O63"/>
      <c r="P63"/>
      <c r="Q63" t="s">
        <v>17647</v>
      </c>
      <c r="R63"/>
      <c r="S63"/>
      <c r="T63">
        <v>10</v>
      </c>
      <c r="U63"/>
      <c r="V63"/>
      <c r="W63"/>
      <c r="X63"/>
      <c r="Y63"/>
      <c r="Z63"/>
      <c r="AA63">
        <v>62</v>
      </c>
      <c r="AD63" s="1"/>
      <c r="AF63" s="1"/>
      <c r="AG63" s="1"/>
    </row>
    <row r="64" spans="1:33">
      <c r="L64" s="98" t="s">
        <v>557</v>
      </c>
      <c r="M64" t="s">
        <v>579</v>
      </c>
      <c r="N64"/>
      <c r="O64"/>
      <c r="P64"/>
      <c r="Q64" t="s">
        <v>12114</v>
      </c>
      <c r="R64"/>
      <c r="S64"/>
      <c r="T64">
        <v>10</v>
      </c>
      <c r="U64"/>
      <c r="V64"/>
      <c r="W64"/>
      <c r="X64"/>
      <c r="Y64"/>
      <c r="Z64"/>
      <c r="AA64">
        <v>63</v>
      </c>
      <c r="AD64" s="1"/>
      <c r="AF64" s="1"/>
      <c r="AG64" s="1"/>
    </row>
    <row r="65" spans="12:33">
      <c r="L65" s="98" t="s">
        <v>557</v>
      </c>
      <c r="M65" t="s">
        <v>580</v>
      </c>
      <c r="N65"/>
      <c r="O65"/>
      <c r="P65"/>
      <c r="Q65" t="s">
        <v>17613</v>
      </c>
      <c r="R65"/>
      <c r="S65"/>
      <c r="T65">
        <v>10</v>
      </c>
      <c r="U65"/>
      <c r="V65"/>
      <c r="W65"/>
      <c r="X65"/>
      <c r="Y65"/>
      <c r="Z65"/>
      <c r="AA65">
        <v>64</v>
      </c>
      <c r="AD65" s="1"/>
      <c r="AF65" s="1"/>
      <c r="AG65" s="1"/>
    </row>
    <row r="66" spans="12:33">
      <c r="L66" s="98" t="s">
        <v>557</v>
      </c>
      <c r="M66" t="s">
        <v>581</v>
      </c>
      <c r="N66"/>
      <c r="O66"/>
      <c r="P66"/>
      <c r="Q66" t="s">
        <v>17597</v>
      </c>
      <c r="R66"/>
      <c r="S66"/>
      <c r="T66">
        <v>10</v>
      </c>
      <c r="U66"/>
      <c r="V66"/>
      <c r="W66"/>
      <c r="X66"/>
      <c r="Y66"/>
      <c r="Z66"/>
      <c r="AA66">
        <v>65</v>
      </c>
      <c r="AD66" s="1"/>
      <c r="AF66" s="1"/>
      <c r="AG66" s="1"/>
    </row>
    <row r="67" spans="12:33">
      <c r="L67" s="98" t="s">
        <v>557</v>
      </c>
      <c r="M67" t="s">
        <v>582</v>
      </c>
      <c r="N67"/>
      <c r="O67"/>
      <c r="P67"/>
      <c r="Q67" t="s">
        <v>17631</v>
      </c>
      <c r="R67"/>
      <c r="S67"/>
      <c r="T67">
        <v>10</v>
      </c>
      <c r="U67"/>
      <c r="V67"/>
      <c r="W67"/>
      <c r="X67"/>
      <c r="Y67"/>
      <c r="Z67"/>
      <c r="AA67">
        <v>66</v>
      </c>
      <c r="AD67" s="1"/>
      <c r="AF67" s="1"/>
      <c r="AG67" s="1"/>
    </row>
    <row r="68" spans="12:33">
      <c r="L68" s="98" t="s">
        <v>557</v>
      </c>
      <c r="M68" t="s">
        <v>583</v>
      </c>
      <c r="N68"/>
      <c r="O68"/>
      <c r="P68"/>
      <c r="Q68" t="s">
        <v>17619</v>
      </c>
      <c r="R68"/>
      <c r="S68"/>
      <c r="T68">
        <v>10</v>
      </c>
      <c r="U68"/>
      <c r="V68"/>
      <c r="W68"/>
      <c r="X68"/>
      <c r="Y68"/>
      <c r="Z68"/>
      <c r="AA68">
        <v>67</v>
      </c>
      <c r="AD68" s="1"/>
      <c r="AF68" s="1"/>
      <c r="AG68" s="1"/>
    </row>
    <row r="69" spans="12:33">
      <c r="L69" s="98" t="s">
        <v>557</v>
      </c>
      <c r="M69" t="s">
        <v>584</v>
      </c>
      <c r="N69"/>
      <c r="O69"/>
      <c r="P69"/>
      <c r="Q69" t="s">
        <v>12117</v>
      </c>
      <c r="R69"/>
      <c r="S69"/>
      <c r="T69">
        <v>10</v>
      </c>
      <c r="U69"/>
      <c r="V69"/>
      <c r="W69"/>
      <c r="X69"/>
      <c r="Y69"/>
      <c r="Z69"/>
      <c r="AA69">
        <v>68</v>
      </c>
      <c r="AD69" s="1"/>
      <c r="AF69" s="1"/>
      <c r="AG69" s="1"/>
    </row>
    <row r="70" spans="12:33">
      <c r="L70" s="98" t="s">
        <v>557</v>
      </c>
      <c r="M70" t="s">
        <v>1587</v>
      </c>
      <c r="N70"/>
      <c r="O70"/>
      <c r="P70"/>
      <c r="Q70"/>
      <c r="R70"/>
      <c r="S70"/>
      <c r="T70">
        <v>10</v>
      </c>
      <c r="U70"/>
      <c r="V70"/>
      <c r="W70"/>
      <c r="X70"/>
      <c r="Y70"/>
      <c r="Z70"/>
      <c r="AA70">
        <v>69</v>
      </c>
      <c r="AD70" s="1"/>
      <c r="AF70" s="1"/>
      <c r="AG70" s="1"/>
    </row>
    <row r="71" spans="12:33">
      <c r="L71" s="98" t="s">
        <v>557</v>
      </c>
      <c r="M71" t="s">
        <v>1633</v>
      </c>
      <c r="N71"/>
      <c r="O71"/>
      <c r="P71"/>
      <c r="Q71"/>
      <c r="R71"/>
      <c r="S71"/>
      <c r="T71">
        <v>10</v>
      </c>
      <c r="U71"/>
      <c r="V71"/>
      <c r="W71"/>
      <c r="X71"/>
      <c r="Y71"/>
      <c r="Z71"/>
      <c r="AA71">
        <v>70</v>
      </c>
      <c r="AD71" s="1"/>
      <c r="AF71" s="1"/>
      <c r="AG71" s="1"/>
    </row>
    <row r="72" spans="12:33">
      <c r="L72" s="98" t="s">
        <v>557</v>
      </c>
      <c r="M72" t="s">
        <v>161</v>
      </c>
      <c r="N72"/>
      <c r="O72"/>
      <c r="P72"/>
      <c r="Q72" t="s">
        <v>12092</v>
      </c>
      <c r="R72"/>
      <c r="S72"/>
      <c r="T72">
        <v>10</v>
      </c>
      <c r="U72"/>
      <c r="V72"/>
      <c r="W72"/>
      <c r="X72"/>
      <c r="Y72"/>
      <c r="Z72"/>
      <c r="AA72">
        <v>71</v>
      </c>
      <c r="AD72" s="1"/>
      <c r="AF72" s="1"/>
      <c r="AG72" s="1"/>
    </row>
    <row r="73" spans="12:33">
      <c r="L73" s="98" t="s">
        <v>557</v>
      </c>
      <c r="M73" t="s">
        <v>397</v>
      </c>
      <c r="N73"/>
      <c r="O73"/>
      <c r="P73"/>
      <c r="Q73"/>
      <c r="R73"/>
      <c r="S73"/>
      <c r="T73">
        <v>10</v>
      </c>
      <c r="U73"/>
      <c r="V73"/>
      <c r="W73"/>
      <c r="X73"/>
      <c r="Y73"/>
      <c r="Z73"/>
      <c r="AA73">
        <v>72</v>
      </c>
      <c r="AD73" s="1"/>
      <c r="AF73" s="1"/>
      <c r="AG73" s="1"/>
    </row>
    <row r="74" spans="12:33">
      <c r="L74" s="98" t="s">
        <v>557</v>
      </c>
      <c r="M74" t="s">
        <v>1588</v>
      </c>
      <c r="N74"/>
      <c r="O74"/>
      <c r="P74"/>
      <c r="Q74"/>
      <c r="R74"/>
      <c r="S74"/>
      <c r="T74">
        <v>10</v>
      </c>
      <c r="U74"/>
      <c r="V74"/>
      <c r="W74"/>
      <c r="X74"/>
      <c r="Y74"/>
      <c r="Z74"/>
      <c r="AA74">
        <v>73</v>
      </c>
      <c r="AD74" s="1"/>
      <c r="AF74" s="1"/>
      <c r="AG74" s="1"/>
    </row>
    <row r="75" spans="12:33">
      <c r="L75" s="98" t="s">
        <v>557</v>
      </c>
      <c r="M75" t="s">
        <v>1634</v>
      </c>
      <c r="N75"/>
      <c r="O75"/>
      <c r="P75"/>
      <c r="Q75"/>
      <c r="R75"/>
      <c r="S75"/>
      <c r="T75">
        <v>10</v>
      </c>
      <c r="U75"/>
      <c r="V75"/>
      <c r="W75"/>
      <c r="X75"/>
      <c r="Y75"/>
      <c r="Z75"/>
      <c r="AA75">
        <v>74</v>
      </c>
      <c r="AD75" s="1"/>
      <c r="AF75" s="1"/>
      <c r="AG75" s="1"/>
    </row>
    <row r="76" spans="12:33">
      <c r="L76" s="98" t="s">
        <v>557</v>
      </c>
      <c r="M76" t="s">
        <v>11570</v>
      </c>
      <c r="N76"/>
      <c r="O76"/>
      <c r="P76"/>
      <c r="Q76"/>
      <c r="R76"/>
      <c r="S76"/>
      <c r="T76">
        <v>10</v>
      </c>
      <c r="U76"/>
      <c r="V76"/>
      <c r="W76"/>
      <c r="X76"/>
      <c r="Y76"/>
      <c r="Z76"/>
      <c r="AA76">
        <v>75</v>
      </c>
      <c r="AD76" s="1"/>
      <c r="AF76" s="1"/>
      <c r="AG76" s="1"/>
    </row>
    <row r="77" spans="12:33">
      <c r="L77" s="98" t="s">
        <v>557</v>
      </c>
      <c r="M77" t="s">
        <v>1589</v>
      </c>
      <c r="N77"/>
      <c r="O77"/>
      <c r="P77" t="s">
        <v>12122</v>
      </c>
      <c r="Q77" t="s">
        <v>12123</v>
      </c>
      <c r="R77"/>
      <c r="S77"/>
      <c r="T77">
        <v>10</v>
      </c>
      <c r="U77"/>
      <c r="V77"/>
      <c r="W77"/>
      <c r="X77"/>
      <c r="Y77"/>
      <c r="Z77"/>
      <c r="AA77">
        <v>76</v>
      </c>
      <c r="AD77" s="1"/>
      <c r="AF77" s="1"/>
      <c r="AG77" s="1"/>
    </row>
    <row r="78" spans="12:33">
      <c r="L78" s="98" t="s">
        <v>557</v>
      </c>
      <c r="M78" t="s">
        <v>1590</v>
      </c>
      <c r="N78"/>
      <c r="O78"/>
      <c r="P78"/>
      <c r="Q78"/>
      <c r="R78"/>
      <c r="S78"/>
      <c r="T78">
        <v>10</v>
      </c>
      <c r="U78"/>
      <c r="V78"/>
      <c r="W78"/>
      <c r="X78"/>
      <c r="Y78"/>
      <c r="Z78"/>
      <c r="AA78">
        <v>77</v>
      </c>
      <c r="AD78" s="1"/>
      <c r="AF78" s="1"/>
      <c r="AG78" s="1"/>
    </row>
    <row r="79" spans="12:33">
      <c r="L79" s="98" t="s">
        <v>557</v>
      </c>
      <c r="M79" t="s">
        <v>1591</v>
      </c>
      <c r="N79"/>
      <c r="O79"/>
      <c r="P79"/>
      <c r="Q79"/>
      <c r="R79"/>
      <c r="S79"/>
      <c r="T79">
        <v>10</v>
      </c>
      <c r="U79"/>
      <c r="V79"/>
      <c r="W79"/>
      <c r="X79"/>
      <c r="Y79"/>
      <c r="Z79"/>
      <c r="AA79">
        <v>78</v>
      </c>
      <c r="AD79" s="1"/>
      <c r="AF79" s="1"/>
      <c r="AG79" s="1"/>
    </row>
    <row r="80" spans="12:33">
      <c r="L80" s="98" t="s">
        <v>557</v>
      </c>
      <c r="M80" t="s">
        <v>585</v>
      </c>
      <c r="N80"/>
      <c r="O80"/>
      <c r="P80"/>
      <c r="Q80" t="s">
        <v>12094</v>
      </c>
      <c r="R80"/>
      <c r="S80"/>
      <c r="T80">
        <v>10</v>
      </c>
      <c r="U80"/>
      <c r="V80"/>
      <c r="W80"/>
      <c r="X80"/>
      <c r="Y80"/>
      <c r="Z80"/>
      <c r="AA80">
        <v>79</v>
      </c>
      <c r="AD80" s="1"/>
      <c r="AF80" s="1"/>
      <c r="AG80" s="1"/>
    </row>
    <row r="81" spans="12:33">
      <c r="L81" s="98" t="s">
        <v>557</v>
      </c>
      <c r="M81" t="s">
        <v>399</v>
      </c>
      <c r="N81"/>
      <c r="O81"/>
      <c r="P81"/>
      <c r="Q81" t="s">
        <v>17654</v>
      </c>
      <c r="R81"/>
      <c r="S81"/>
      <c r="T81">
        <v>10</v>
      </c>
      <c r="U81"/>
      <c r="V81"/>
      <c r="W81"/>
      <c r="X81"/>
      <c r="Y81"/>
      <c r="Z81"/>
      <c r="AA81">
        <v>80</v>
      </c>
      <c r="AD81" s="1"/>
      <c r="AF81" s="1"/>
      <c r="AG81" s="1"/>
    </row>
    <row r="82" spans="12:33">
      <c r="L82" s="98" t="s">
        <v>557</v>
      </c>
      <c r="M82" t="s">
        <v>1592</v>
      </c>
      <c r="N82"/>
      <c r="O82"/>
      <c r="P82"/>
      <c r="Q82"/>
      <c r="R82"/>
      <c r="S82"/>
      <c r="T82">
        <v>10</v>
      </c>
      <c r="U82"/>
      <c r="V82"/>
      <c r="W82"/>
      <c r="X82"/>
      <c r="Y82"/>
      <c r="Z82"/>
      <c r="AA82">
        <v>81</v>
      </c>
      <c r="AD82" s="1"/>
      <c r="AF82" s="1"/>
      <c r="AG82" s="1"/>
    </row>
    <row r="83" spans="12:33">
      <c r="L83" s="98" t="s">
        <v>557</v>
      </c>
      <c r="M83" t="s">
        <v>1593</v>
      </c>
      <c r="N83"/>
      <c r="O83"/>
      <c r="P83"/>
      <c r="Q83"/>
      <c r="R83"/>
      <c r="S83"/>
      <c r="T83">
        <v>10</v>
      </c>
      <c r="U83"/>
      <c r="V83"/>
      <c r="W83"/>
      <c r="X83"/>
      <c r="Y83"/>
      <c r="Z83"/>
      <c r="AA83">
        <v>82</v>
      </c>
      <c r="AD83" s="1"/>
      <c r="AF83" s="1"/>
      <c r="AG83" s="1"/>
    </row>
    <row r="84" spans="12:33">
      <c r="L84" s="98" t="s">
        <v>557</v>
      </c>
      <c r="M84" t="s">
        <v>1594</v>
      </c>
      <c r="N84"/>
      <c r="O84"/>
      <c r="P84"/>
      <c r="Q84"/>
      <c r="R84"/>
      <c r="S84"/>
      <c r="T84">
        <v>10</v>
      </c>
      <c r="U84"/>
      <c r="V84"/>
      <c r="W84"/>
      <c r="X84"/>
      <c r="Y84"/>
      <c r="Z84"/>
      <c r="AA84">
        <v>83</v>
      </c>
      <c r="AD84" s="1"/>
      <c r="AF84" s="1"/>
      <c r="AG84" s="1"/>
    </row>
    <row r="85" spans="12:33">
      <c r="L85" s="98" t="s">
        <v>557</v>
      </c>
      <c r="M85" t="s">
        <v>1595</v>
      </c>
      <c r="N85"/>
      <c r="O85"/>
      <c r="P85"/>
      <c r="Q85"/>
      <c r="R85"/>
      <c r="S85"/>
      <c r="T85">
        <v>10</v>
      </c>
      <c r="U85"/>
      <c r="V85"/>
      <c r="W85"/>
      <c r="X85"/>
      <c r="Y85"/>
      <c r="Z85"/>
      <c r="AA85">
        <v>84</v>
      </c>
      <c r="AD85" s="1"/>
      <c r="AF85" s="1"/>
      <c r="AG85" s="1"/>
    </row>
    <row r="86" spans="12:33">
      <c r="L86" s="98" t="s">
        <v>557</v>
      </c>
      <c r="M86" t="s">
        <v>1596</v>
      </c>
      <c r="N86"/>
      <c r="O86"/>
      <c r="P86"/>
      <c r="Q86"/>
      <c r="R86"/>
      <c r="S86"/>
      <c r="T86">
        <v>10</v>
      </c>
      <c r="U86"/>
      <c r="V86"/>
      <c r="W86"/>
      <c r="X86"/>
      <c r="Y86"/>
      <c r="Z86"/>
      <c r="AA86">
        <v>85</v>
      </c>
      <c r="AD86" s="1"/>
      <c r="AF86" s="1"/>
      <c r="AG86" s="1"/>
    </row>
    <row r="87" spans="12:33">
      <c r="L87" s="98" t="s">
        <v>557</v>
      </c>
      <c r="M87" t="s">
        <v>1597</v>
      </c>
      <c r="N87"/>
      <c r="O87"/>
      <c r="P87"/>
      <c r="Q87"/>
      <c r="R87"/>
      <c r="S87"/>
      <c r="T87">
        <v>10</v>
      </c>
      <c r="U87"/>
      <c r="V87"/>
      <c r="W87"/>
      <c r="X87"/>
      <c r="Y87"/>
      <c r="Z87"/>
      <c r="AA87">
        <v>86</v>
      </c>
      <c r="AD87" s="1"/>
      <c r="AF87" s="1"/>
      <c r="AG87" s="1"/>
    </row>
    <row r="88" spans="12:33">
      <c r="L88" s="98" t="s">
        <v>557</v>
      </c>
      <c r="M88" t="s">
        <v>1598</v>
      </c>
      <c r="N88"/>
      <c r="O88"/>
      <c r="P88"/>
      <c r="Q88"/>
      <c r="R88"/>
      <c r="S88"/>
      <c r="T88">
        <v>10</v>
      </c>
      <c r="U88"/>
      <c r="V88"/>
      <c r="W88"/>
      <c r="X88"/>
      <c r="Y88"/>
      <c r="Z88"/>
      <c r="AA88">
        <v>87</v>
      </c>
      <c r="AD88" s="1"/>
      <c r="AF88" s="1"/>
      <c r="AG88" s="1"/>
    </row>
    <row r="89" spans="12:33">
      <c r="L89" s="98" t="s">
        <v>557</v>
      </c>
      <c r="M89" t="s">
        <v>76</v>
      </c>
      <c r="N89"/>
      <c r="O89" t="s">
        <v>419</v>
      </c>
      <c r="P89"/>
      <c r="Q89" t="s">
        <v>12086</v>
      </c>
      <c r="R89"/>
      <c r="S89"/>
      <c r="T89">
        <v>10</v>
      </c>
      <c r="U89"/>
      <c r="V89"/>
      <c r="W89"/>
      <c r="X89"/>
      <c r="Y89"/>
      <c r="Z89"/>
      <c r="AA89">
        <v>88</v>
      </c>
      <c r="AD89" s="1"/>
      <c r="AF89" s="1"/>
      <c r="AG89" s="1"/>
    </row>
    <row r="90" spans="12:33">
      <c r="L90" s="98" t="s">
        <v>557</v>
      </c>
      <c r="M90" t="s">
        <v>1599</v>
      </c>
      <c r="N90"/>
      <c r="O90"/>
      <c r="P90"/>
      <c r="Q90"/>
      <c r="R90"/>
      <c r="S90"/>
      <c r="T90">
        <v>10</v>
      </c>
      <c r="U90"/>
      <c r="V90"/>
      <c r="W90"/>
      <c r="X90"/>
      <c r="Y90"/>
      <c r="Z90"/>
      <c r="AA90">
        <v>89</v>
      </c>
      <c r="AD90" s="1"/>
      <c r="AF90" s="1"/>
      <c r="AG90" s="1"/>
    </row>
    <row r="91" spans="12:33">
      <c r="L91" s="98" t="s">
        <v>557</v>
      </c>
      <c r="M91" t="s">
        <v>586</v>
      </c>
      <c r="N91"/>
      <c r="O91"/>
      <c r="P91"/>
      <c r="Q91" t="s">
        <v>17640</v>
      </c>
      <c r="R91"/>
      <c r="S91"/>
      <c r="T91">
        <v>10</v>
      </c>
      <c r="U91"/>
      <c r="V91"/>
      <c r="W91"/>
      <c r="X91"/>
      <c r="Y91"/>
      <c r="Z91"/>
      <c r="AA91">
        <v>90</v>
      </c>
      <c r="AD91" s="1"/>
      <c r="AF91" s="1"/>
      <c r="AG91" s="1"/>
    </row>
    <row r="92" spans="12:33">
      <c r="L92" s="98" t="s">
        <v>557</v>
      </c>
      <c r="M92" t="s">
        <v>1600</v>
      </c>
      <c r="N92"/>
      <c r="O92"/>
      <c r="P92"/>
      <c r="Q92"/>
      <c r="R92"/>
      <c r="S92"/>
      <c r="T92">
        <v>10</v>
      </c>
      <c r="U92"/>
      <c r="V92"/>
      <c r="W92"/>
      <c r="X92"/>
      <c r="Y92"/>
      <c r="Z92"/>
      <c r="AA92">
        <v>91</v>
      </c>
      <c r="AD92" s="1"/>
      <c r="AF92" s="1"/>
      <c r="AG92" s="1"/>
    </row>
    <row r="93" spans="12:33">
      <c r="L93" s="98" t="s">
        <v>557</v>
      </c>
      <c r="M93" t="s">
        <v>1601</v>
      </c>
      <c r="N93"/>
      <c r="O93"/>
      <c r="P93"/>
      <c r="Q93"/>
      <c r="R93"/>
      <c r="S93"/>
      <c r="T93">
        <v>10</v>
      </c>
      <c r="U93"/>
      <c r="V93"/>
      <c r="W93"/>
      <c r="X93"/>
      <c r="Y93"/>
      <c r="Z93"/>
      <c r="AA93">
        <v>92</v>
      </c>
      <c r="AD93" s="1"/>
      <c r="AF93" s="1"/>
      <c r="AG93" s="1"/>
    </row>
    <row r="94" spans="12:33">
      <c r="L94" s="98" t="s">
        <v>557</v>
      </c>
      <c r="M94" t="s">
        <v>23</v>
      </c>
      <c r="N94"/>
      <c r="O94"/>
      <c r="P94"/>
      <c r="Q94" t="s">
        <v>17553</v>
      </c>
      <c r="R94"/>
      <c r="S94"/>
      <c r="T94">
        <v>10</v>
      </c>
      <c r="U94"/>
      <c r="V94"/>
      <c r="W94"/>
      <c r="X94"/>
      <c r="Y94"/>
      <c r="Z94" t="s">
        <v>17554</v>
      </c>
      <c r="AA94">
        <v>93</v>
      </c>
      <c r="AD94" s="1"/>
      <c r="AF94" s="1"/>
      <c r="AG94" s="1"/>
    </row>
    <row r="95" spans="12:33">
      <c r="L95" s="98" t="s">
        <v>557</v>
      </c>
      <c r="M95" t="s">
        <v>587</v>
      </c>
      <c r="N95"/>
      <c r="O95"/>
      <c r="P95"/>
      <c r="Q95" t="s">
        <v>12089</v>
      </c>
      <c r="R95"/>
      <c r="S95"/>
      <c r="T95">
        <v>10</v>
      </c>
      <c r="U95"/>
      <c r="V95"/>
      <c r="W95"/>
      <c r="X95"/>
      <c r="Y95"/>
      <c r="Z95"/>
      <c r="AA95">
        <v>94</v>
      </c>
      <c r="AD95" s="1"/>
      <c r="AF95" s="1"/>
      <c r="AG95" s="1"/>
    </row>
    <row r="96" spans="12:33">
      <c r="L96" s="98" t="s">
        <v>557</v>
      </c>
      <c r="M96" t="s">
        <v>1602</v>
      </c>
      <c r="N96"/>
      <c r="O96"/>
      <c r="P96"/>
      <c r="Q96"/>
      <c r="R96"/>
      <c r="S96"/>
      <c r="T96">
        <v>10</v>
      </c>
      <c r="U96"/>
      <c r="V96"/>
      <c r="W96"/>
      <c r="X96"/>
      <c r="Y96"/>
      <c r="Z96"/>
      <c r="AA96">
        <v>95</v>
      </c>
      <c r="AD96" s="1"/>
      <c r="AG96" s="1"/>
    </row>
    <row r="97" spans="12:32" ht="15">
      <c r="L97" s="98" t="s">
        <v>557</v>
      </c>
      <c r="M97" t="s">
        <v>588</v>
      </c>
      <c r="N97"/>
      <c r="O97"/>
      <c r="P97"/>
      <c r="Q97" t="s">
        <v>17655</v>
      </c>
      <c r="R97"/>
      <c r="S97"/>
      <c r="T97">
        <v>10</v>
      </c>
      <c r="U97"/>
      <c r="V97"/>
      <c r="W97"/>
      <c r="X97"/>
      <c r="Y97"/>
      <c r="Z97"/>
      <c r="AA97">
        <v>96</v>
      </c>
      <c r="AE97" s="596"/>
    </row>
    <row r="98" spans="12:32" ht="15">
      <c r="L98" s="98" t="s">
        <v>557</v>
      </c>
      <c r="M98" t="s">
        <v>589</v>
      </c>
      <c r="N98"/>
      <c r="O98"/>
      <c r="P98"/>
      <c r="Q98" t="s">
        <v>17618</v>
      </c>
      <c r="R98"/>
      <c r="S98"/>
      <c r="T98">
        <v>10</v>
      </c>
      <c r="U98"/>
      <c r="V98"/>
      <c r="W98"/>
      <c r="X98"/>
      <c r="Y98"/>
      <c r="Z98"/>
      <c r="AA98">
        <v>97</v>
      </c>
      <c r="AE98" s="596"/>
      <c r="AF98" s="1"/>
    </row>
    <row r="99" spans="12:32" ht="15">
      <c r="L99" s="98" t="s">
        <v>557</v>
      </c>
      <c r="M99" t="s">
        <v>590</v>
      </c>
      <c r="N99"/>
      <c r="O99"/>
      <c r="P99"/>
      <c r="Q99"/>
      <c r="R99"/>
      <c r="S99"/>
      <c r="T99">
        <v>10</v>
      </c>
      <c r="U99"/>
      <c r="V99"/>
      <c r="W99"/>
      <c r="X99"/>
      <c r="Y99"/>
      <c r="Z99"/>
      <c r="AA99">
        <v>98</v>
      </c>
      <c r="AE99" s="596"/>
      <c r="AF99" s="1"/>
    </row>
    <row r="100" spans="12:32" ht="15">
      <c r="L100" s="98" t="s">
        <v>557</v>
      </c>
      <c r="M100" t="s">
        <v>1603</v>
      </c>
      <c r="N100"/>
      <c r="O100"/>
      <c r="P100"/>
      <c r="Q100"/>
      <c r="R100"/>
      <c r="S100"/>
      <c r="T100">
        <v>10</v>
      </c>
      <c r="U100"/>
      <c r="V100"/>
      <c r="W100"/>
      <c r="X100"/>
      <c r="Y100"/>
      <c r="Z100"/>
      <c r="AA100">
        <v>99</v>
      </c>
      <c r="AE100" s="596"/>
      <c r="AF100" s="594"/>
    </row>
    <row r="101" spans="12:32" ht="15">
      <c r="L101" s="98" t="s">
        <v>557</v>
      </c>
      <c r="M101" t="s">
        <v>591</v>
      </c>
      <c r="N101"/>
      <c r="O101"/>
      <c r="P101"/>
      <c r="Q101" t="s">
        <v>17645</v>
      </c>
      <c r="R101"/>
      <c r="S101"/>
      <c r="T101">
        <v>10</v>
      </c>
      <c r="U101"/>
      <c r="V101"/>
      <c r="W101"/>
      <c r="X101"/>
      <c r="Y101"/>
      <c r="Z101"/>
      <c r="AA101">
        <v>100</v>
      </c>
      <c r="AE101" s="655"/>
      <c r="AF101" s="656"/>
    </row>
    <row r="102" spans="12:32" ht="15">
      <c r="L102" s="98" t="s">
        <v>557</v>
      </c>
      <c r="M102" t="s">
        <v>592</v>
      </c>
      <c r="N102"/>
      <c r="O102"/>
      <c r="P102"/>
      <c r="Q102" t="s">
        <v>12105</v>
      </c>
      <c r="R102"/>
      <c r="S102"/>
      <c r="T102">
        <v>10</v>
      </c>
      <c r="U102"/>
      <c r="V102"/>
      <c r="W102"/>
      <c r="X102"/>
      <c r="Y102"/>
      <c r="Z102"/>
      <c r="AA102">
        <v>101</v>
      </c>
      <c r="AE102" s="655"/>
      <c r="AF102" s="656"/>
    </row>
    <row r="103" spans="12:32" ht="15">
      <c r="L103" s="98" t="s">
        <v>557</v>
      </c>
      <c r="M103" t="s">
        <v>593</v>
      </c>
      <c r="N103"/>
      <c r="O103" t="s">
        <v>1</v>
      </c>
      <c r="P103"/>
      <c r="Q103" t="s">
        <v>17596</v>
      </c>
      <c r="R103"/>
      <c r="S103"/>
      <c r="T103">
        <v>10</v>
      </c>
      <c r="U103"/>
      <c r="V103"/>
      <c r="W103"/>
      <c r="X103"/>
      <c r="Y103"/>
      <c r="Z103" t="s">
        <v>12124</v>
      </c>
      <c r="AA103">
        <v>102</v>
      </c>
      <c r="AE103" s="655"/>
      <c r="AF103" s="656"/>
    </row>
    <row r="104" spans="12:32" ht="15">
      <c r="L104" s="98" t="s">
        <v>557</v>
      </c>
      <c r="M104" t="s">
        <v>594</v>
      </c>
      <c r="N104"/>
      <c r="O104" t="s">
        <v>12102</v>
      </c>
      <c r="P104"/>
      <c r="Q104" t="s">
        <v>12101</v>
      </c>
      <c r="R104"/>
      <c r="S104"/>
      <c r="T104">
        <v>10</v>
      </c>
      <c r="U104"/>
      <c r="V104"/>
      <c r="W104"/>
      <c r="X104"/>
      <c r="Y104"/>
      <c r="Z104"/>
      <c r="AA104">
        <v>103</v>
      </c>
      <c r="AE104" s="655"/>
      <c r="AF104" s="656"/>
    </row>
    <row r="105" spans="12:32" ht="15">
      <c r="L105" s="98" t="s">
        <v>557</v>
      </c>
      <c r="M105" t="s">
        <v>595</v>
      </c>
      <c r="N105"/>
      <c r="O105"/>
      <c r="P105"/>
      <c r="Q105" t="s">
        <v>12118</v>
      </c>
      <c r="R105"/>
      <c r="S105"/>
      <c r="T105">
        <v>10</v>
      </c>
      <c r="U105"/>
      <c r="V105"/>
      <c r="W105"/>
      <c r="X105"/>
      <c r="Y105"/>
      <c r="Z105"/>
      <c r="AA105">
        <v>104</v>
      </c>
      <c r="AE105" s="655"/>
      <c r="AF105" s="656"/>
    </row>
    <row r="106" spans="12:32" ht="15">
      <c r="L106" s="98" t="s">
        <v>557</v>
      </c>
      <c r="M106" t="s">
        <v>1604</v>
      </c>
      <c r="N106"/>
      <c r="O106"/>
      <c r="P106"/>
      <c r="Q106"/>
      <c r="R106"/>
      <c r="S106"/>
      <c r="T106">
        <v>10</v>
      </c>
      <c r="U106"/>
      <c r="V106"/>
      <c r="W106"/>
      <c r="X106"/>
      <c r="Y106"/>
      <c r="Z106"/>
      <c r="AA106">
        <v>105</v>
      </c>
      <c r="AE106" s="655"/>
      <c r="AF106" s="656"/>
    </row>
    <row r="107" spans="12:32">
      <c r="L107" s="98" t="s">
        <v>557</v>
      </c>
      <c r="M107" t="s">
        <v>11370</v>
      </c>
      <c r="N107"/>
      <c r="O107" t="s">
        <v>435</v>
      </c>
      <c r="P107" t="s">
        <v>12889</v>
      </c>
      <c r="Q107" t="s">
        <v>12890</v>
      </c>
      <c r="R107"/>
      <c r="S107"/>
      <c r="T107">
        <v>10</v>
      </c>
      <c r="U107"/>
      <c r="V107"/>
      <c r="W107"/>
      <c r="X107"/>
      <c r="Y107"/>
      <c r="Z107"/>
      <c r="AA107">
        <v>106</v>
      </c>
    </row>
    <row r="108" spans="12:32">
      <c r="L108" s="98" t="s">
        <v>557</v>
      </c>
      <c r="M108" t="s">
        <v>1605</v>
      </c>
      <c r="N108"/>
      <c r="O108"/>
      <c r="P108"/>
      <c r="Q108"/>
      <c r="R108"/>
      <c r="S108"/>
      <c r="T108">
        <v>10</v>
      </c>
      <c r="U108"/>
      <c r="V108"/>
      <c r="W108"/>
      <c r="X108"/>
      <c r="Y108"/>
      <c r="Z108"/>
      <c r="AA108">
        <v>107</v>
      </c>
    </row>
    <row r="109" spans="12:32">
      <c r="L109" s="98" t="s">
        <v>557</v>
      </c>
      <c r="M109" t="s">
        <v>1635</v>
      </c>
      <c r="N109"/>
      <c r="O109"/>
      <c r="P109"/>
      <c r="Q109"/>
      <c r="R109"/>
      <c r="S109"/>
      <c r="T109">
        <v>10</v>
      </c>
      <c r="U109"/>
      <c r="V109"/>
      <c r="W109"/>
      <c r="X109"/>
      <c r="Y109"/>
      <c r="Z109"/>
      <c r="AA109">
        <v>108</v>
      </c>
    </row>
    <row r="110" spans="12:32">
      <c r="L110" s="98" t="s">
        <v>557</v>
      </c>
      <c r="M110" t="s">
        <v>1606</v>
      </c>
      <c r="N110"/>
      <c r="O110"/>
      <c r="P110"/>
      <c r="Q110" t="s">
        <v>17595</v>
      </c>
      <c r="R110"/>
      <c r="S110"/>
      <c r="T110">
        <v>10</v>
      </c>
      <c r="U110"/>
      <c r="V110"/>
      <c r="W110"/>
      <c r="X110"/>
      <c r="Y110"/>
      <c r="Z110"/>
      <c r="AA110">
        <v>109</v>
      </c>
    </row>
    <row r="111" spans="12:32">
      <c r="L111" s="98" t="s">
        <v>557</v>
      </c>
      <c r="M111" t="s">
        <v>596</v>
      </c>
      <c r="N111"/>
      <c r="O111"/>
      <c r="P111"/>
      <c r="Q111" t="s">
        <v>17643</v>
      </c>
      <c r="R111"/>
      <c r="S111"/>
      <c r="T111">
        <v>10</v>
      </c>
      <c r="U111"/>
      <c r="V111"/>
      <c r="W111"/>
      <c r="X111"/>
      <c r="Y111"/>
      <c r="Z111"/>
      <c r="AA111">
        <v>110</v>
      </c>
    </row>
    <row r="112" spans="12:32">
      <c r="L112" s="98" t="s">
        <v>557</v>
      </c>
      <c r="M112" t="s">
        <v>597</v>
      </c>
      <c r="N112"/>
      <c r="O112"/>
      <c r="P112"/>
      <c r="Q112" t="s">
        <v>17662</v>
      </c>
      <c r="R112"/>
      <c r="S112"/>
      <c r="T112">
        <v>10</v>
      </c>
      <c r="U112" t="s">
        <v>17661</v>
      </c>
      <c r="V112"/>
      <c r="W112"/>
      <c r="X112"/>
      <c r="Y112"/>
      <c r="Z112"/>
      <c r="AA112">
        <v>111</v>
      </c>
    </row>
    <row r="113" spans="12:27">
      <c r="L113" s="98" t="s">
        <v>557</v>
      </c>
      <c r="M113" t="s">
        <v>406</v>
      </c>
      <c r="N113"/>
      <c r="O113"/>
      <c r="P113"/>
      <c r="Q113" t="s">
        <v>17648</v>
      </c>
      <c r="R113"/>
      <c r="S113"/>
      <c r="T113">
        <v>10</v>
      </c>
      <c r="U113"/>
      <c r="V113"/>
      <c r="W113"/>
      <c r="X113"/>
      <c r="Y113"/>
      <c r="Z113"/>
      <c r="AA113">
        <v>112</v>
      </c>
    </row>
    <row r="114" spans="12:27">
      <c r="L114" s="98" t="s">
        <v>557</v>
      </c>
      <c r="M114" t="s">
        <v>598</v>
      </c>
      <c r="N114"/>
      <c r="O114"/>
      <c r="P114"/>
      <c r="Q114" t="s">
        <v>17650</v>
      </c>
      <c r="R114"/>
      <c r="S114"/>
      <c r="T114">
        <v>10</v>
      </c>
      <c r="U114"/>
      <c r="V114"/>
      <c r="W114"/>
      <c r="X114"/>
      <c r="Y114"/>
      <c r="Z114"/>
      <c r="AA114">
        <v>113</v>
      </c>
    </row>
    <row r="115" spans="12:27">
      <c r="L115" s="98" t="s">
        <v>557</v>
      </c>
      <c r="M115" t="s">
        <v>1607</v>
      </c>
      <c r="N115"/>
      <c r="O115"/>
      <c r="P115"/>
      <c r="Q115"/>
      <c r="R115"/>
      <c r="S115"/>
      <c r="T115">
        <v>10</v>
      </c>
      <c r="U115"/>
      <c r="V115"/>
      <c r="W115"/>
      <c r="X115"/>
      <c r="Y115"/>
      <c r="Z115"/>
      <c r="AA115">
        <v>114</v>
      </c>
    </row>
    <row r="116" spans="12:27">
      <c r="L116" s="98" t="s">
        <v>557</v>
      </c>
      <c r="M116" t="s">
        <v>11571</v>
      </c>
      <c r="N116"/>
      <c r="O116"/>
      <c r="P116"/>
      <c r="Q116"/>
      <c r="R116"/>
      <c r="S116"/>
      <c r="T116">
        <v>10</v>
      </c>
      <c r="U116"/>
      <c r="V116"/>
      <c r="W116"/>
      <c r="X116"/>
      <c r="Y116"/>
      <c r="Z116"/>
      <c r="AA116">
        <v>115</v>
      </c>
    </row>
    <row r="117" spans="12:27">
      <c r="L117" s="98" t="s">
        <v>557</v>
      </c>
      <c r="M117" t="s">
        <v>29</v>
      </c>
      <c r="N117"/>
      <c r="O117"/>
      <c r="P117"/>
      <c r="Q117" t="s">
        <v>17624</v>
      </c>
      <c r="R117"/>
      <c r="S117"/>
      <c r="T117">
        <v>10</v>
      </c>
      <c r="U117"/>
      <c r="V117"/>
      <c r="W117"/>
      <c r="X117"/>
      <c r="Y117"/>
      <c r="Z117"/>
      <c r="AA117">
        <v>116</v>
      </c>
    </row>
    <row r="118" spans="12:27">
      <c r="L118" s="98" t="s">
        <v>557</v>
      </c>
      <c r="M118" t="s">
        <v>599</v>
      </c>
      <c r="N118"/>
      <c r="O118"/>
      <c r="P118"/>
      <c r="Q118" t="s">
        <v>17637</v>
      </c>
      <c r="R118"/>
      <c r="S118"/>
      <c r="T118">
        <v>10</v>
      </c>
      <c r="U118"/>
      <c r="V118"/>
      <c r="W118"/>
      <c r="X118"/>
      <c r="Y118"/>
      <c r="Z118"/>
      <c r="AA118">
        <v>117</v>
      </c>
    </row>
    <row r="119" spans="12:27">
      <c r="L119" s="98" t="s">
        <v>557</v>
      </c>
      <c r="M119" t="s">
        <v>600</v>
      </c>
      <c r="N119"/>
      <c r="O119"/>
      <c r="P119"/>
      <c r="Q119" t="s">
        <v>17634</v>
      </c>
      <c r="R119"/>
      <c r="S119"/>
      <c r="T119">
        <v>10</v>
      </c>
      <c r="U119"/>
      <c r="V119"/>
      <c r="W119"/>
      <c r="X119"/>
      <c r="Y119"/>
      <c r="Z119"/>
      <c r="AA119">
        <v>118</v>
      </c>
    </row>
    <row r="120" spans="12:27">
      <c r="L120" s="98" t="s">
        <v>557</v>
      </c>
      <c r="M120" t="s">
        <v>20</v>
      </c>
      <c r="N120"/>
      <c r="O120" t="s">
        <v>435</v>
      </c>
      <c r="P120"/>
      <c r="Q120" t="s">
        <v>12087</v>
      </c>
      <c r="R120"/>
      <c r="S120"/>
      <c r="T120">
        <v>10</v>
      </c>
      <c r="U120"/>
      <c r="V120"/>
      <c r="W120"/>
      <c r="X120"/>
      <c r="Y120"/>
      <c r="Z120"/>
      <c r="AA120">
        <v>119</v>
      </c>
    </row>
    <row r="121" spans="12:27">
      <c r="L121" s="98" t="s">
        <v>557</v>
      </c>
      <c r="M121" t="s">
        <v>601</v>
      </c>
      <c r="N121"/>
      <c r="O121"/>
      <c r="P121"/>
      <c r="Q121" t="s">
        <v>17616</v>
      </c>
      <c r="R121"/>
      <c r="S121"/>
      <c r="T121">
        <v>10</v>
      </c>
      <c r="U121"/>
      <c r="V121"/>
      <c r="W121"/>
      <c r="X121"/>
      <c r="Y121"/>
      <c r="Z121"/>
      <c r="AA121">
        <v>120</v>
      </c>
    </row>
    <row r="122" spans="12:27">
      <c r="L122" s="98" t="s">
        <v>557</v>
      </c>
      <c r="M122" t="s">
        <v>602</v>
      </c>
      <c r="N122"/>
      <c r="O122"/>
      <c r="P122"/>
      <c r="Q122" t="s">
        <v>12121</v>
      </c>
      <c r="R122"/>
      <c r="S122"/>
      <c r="T122">
        <v>10</v>
      </c>
      <c r="U122"/>
      <c r="V122"/>
      <c r="W122"/>
      <c r="X122"/>
      <c r="Y122"/>
      <c r="Z122"/>
      <c r="AA122">
        <v>121</v>
      </c>
    </row>
    <row r="123" spans="12:27">
      <c r="L123" s="98" t="s">
        <v>557</v>
      </c>
      <c r="M123" t="s">
        <v>603</v>
      </c>
      <c r="N123"/>
      <c r="O123"/>
      <c r="P123"/>
      <c r="Q123"/>
      <c r="R123"/>
      <c r="S123"/>
      <c r="T123">
        <v>10</v>
      </c>
      <c r="U123"/>
      <c r="V123"/>
      <c r="W123"/>
      <c r="X123"/>
      <c r="Y123"/>
      <c r="Z123"/>
      <c r="AA123">
        <v>122</v>
      </c>
    </row>
    <row r="124" spans="12:27">
      <c r="L124" s="98" t="s">
        <v>557</v>
      </c>
      <c r="M124" t="s">
        <v>604</v>
      </c>
      <c r="N124"/>
      <c r="O124" t="s">
        <v>12894</v>
      </c>
      <c r="P124" t="s">
        <v>12888</v>
      </c>
      <c r="Q124" t="s">
        <v>17629</v>
      </c>
      <c r="R124"/>
      <c r="S124"/>
      <c r="T124">
        <v>10</v>
      </c>
      <c r="U124"/>
      <c r="V124"/>
      <c r="W124"/>
      <c r="X124"/>
      <c r="Y124"/>
      <c r="Z124"/>
      <c r="AA124">
        <v>123</v>
      </c>
    </row>
    <row r="125" spans="12:27">
      <c r="L125" s="98" t="s">
        <v>557</v>
      </c>
      <c r="M125" t="s">
        <v>605</v>
      </c>
      <c r="N125"/>
      <c r="O125"/>
      <c r="P125"/>
      <c r="Q125" t="s">
        <v>17620</v>
      </c>
      <c r="R125"/>
      <c r="S125"/>
      <c r="T125">
        <v>10</v>
      </c>
      <c r="U125"/>
      <c r="V125"/>
      <c r="W125"/>
      <c r="X125"/>
      <c r="Y125"/>
      <c r="Z125"/>
      <c r="AA125">
        <v>124</v>
      </c>
    </row>
    <row r="126" spans="12:27">
      <c r="L126" s="98" t="s">
        <v>557</v>
      </c>
      <c r="M126" t="s">
        <v>606</v>
      </c>
      <c r="N126"/>
      <c r="O126"/>
      <c r="P126"/>
      <c r="Q126" t="s">
        <v>17610</v>
      </c>
      <c r="R126"/>
      <c r="S126"/>
      <c r="T126">
        <v>10</v>
      </c>
      <c r="U126"/>
      <c r="V126"/>
      <c r="W126"/>
      <c r="X126"/>
      <c r="Y126"/>
      <c r="Z126"/>
      <c r="AA126">
        <v>125</v>
      </c>
    </row>
    <row r="127" spans="12:27">
      <c r="L127" s="98" t="s">
        <v>557</v>
      </c>
      <c r="M127" t="s">
        <v>607</v>
      </c>
      <c r="N127"/>
      <c r="O127"/>
      <c r="P127"/>
      <c r="Q127" t="s">
        <v>17652</v>
      </c>
      <c r="R127"/>
      <c r="S127"/>
      <c r="T127">
        <v>10</v>
      </c>
      <c r="U127"/>
      <c r="V127" t="s">
        <v>17653</v>
      </c>
      <c r="W127"/>
      <c r="X127"/>
      <c r="Y127"/>
      <c r="Z127"/>
      <c r="AA127">
        <v>126</v>
      </c>
    </row>
    <row r="128" spans="12:27">
      <c r="L128" s="98" t="s">
        <v>557</v>
      </c>
      <c r="M128" t="s">
        <v>167</v>
      </c>
      <c r="N128"/>
      <c r="O128"/>
      <c r="P128"/>
      <c r="Q128" t="s">
        <v>12106</v>
      </c>
      <c r="R128"/>
      <c r="S128"/>
      <c r="T128">
        <v>10</v>
      </c>
      <c r="U128"/>
      <c r="V128"/>
      <c r="W128"/>
      <c r="X128"/>
      <c r="Y128"/>
      <c r="Z128" t="s">
        <v>17555</v>
      </c>
      <c r="AA128">
        <v>127</v>
      </c>
    </row>
    <row r="129" spans="12:27">
      <c r="L129" s="98" t="s">
        <v>557</v>
      </c>
      <c r="M129" t="s">
        <v>608</v>
      </c>
      <c r="N129"/>
      <c r="O129"/>
      <c r="P129"/>
      <c r="Q129" t="s">
        <v>17635</v>
      </c>
      <c r="R129"/>
      <c r="S129"/>
      <c r="T129">
        <v>10</v>
      </c>
      <c r="U129"/>
      <c r="V129"/>
      <c r="W129"/>
      <c r="X129"/>
      <c r="Y129"/>
      <c r="Z129"/>
      <c r="AA129">
        <v>128</v>
      </c>
    </row>
    <row r="130" spans="12:27">
      <c r="L130" s="98" t="s">
        <v>557</v>
      </c>
      <c r="M130" t="s">
        <v>609</v>
      </c>
      <c r="N130"/>
      <c r="O130"/>
      <c r="P130"/>
      <c r="Q130" t="s">
        <v>17621</v>
      </c>
      <c r="R130"/>
      <c r="S130"/>
      <c r="T130">
        <v>10</v>
      </c>
      <c r="U130"/>
      <c r="V130"/>
      <c r="W130"/>
      <c r="X130"/>
      <c r="Y130"/>
      <c r="Z130"/>
      <c r="AA130">
        <v>129</v>
      </c>
    </row>
    <row r="131" spans="12:27">
      <c r="L131" s="98" t="s">
        <v>557</v>
      </c>
      <c r="M131" t="s">
        <v>610</v>
      </c>
      <c r="N131"/>
      <c r="O131"/>
      <c r="P131"/>
      <c r="Q131"/>
      <c r="R131"/>
      <c r="S131"/>
      <c r="T131">
        <v>10</v>
      </c>
      <c r="U131"/>
      <c r="V131"/>
      <c r="W131"/>
      <c r="X131"/>
      <c r="Y131"/>
      <c r="Z131"/>
      <c r="AA131">
        <v>130</v>
      </c>
    </row>
    <row r="132" spans="12:27">
      <c r="L132" s="98" t="s">
        <v>557</v>
      </c>
      <c r="M132" t="s">
        <v>611</v>
      </c>
      <c r="N132"/>
      <c r="O132"/>
      <c r="P132"/>
      <c r="Q132" t="s">
        <v>12115</v>
      </c>
      <c r="R132"/>
      <c r="S132"/>
      <c r="T132">
        <v>10</v>
      </c>
      <c r="U132"/>
      <c r="V132"/>
      <c r="W132"/>
      <c r="X132"/>
      <c r="Y132"/>
      <c r="Z132"/>
      <c r="AA132">
        <v>131</v>
      </c>
    </row>
    <row r="133" spans="12:27">
      <c r="L133" s="98" t="s">
        <v>557</v>
      </c>
      <c r="M133" t="s">
        <v>612</v>
      </c>
      <c r="N133"/>
      <c r="O133"/>
      <c r="P133"/>
      <c r="Q133"/>
      <c r="R133"/>
      <c r="S133"/>
      <c r="T133">
        <v>10</v>
      </c>
      <c r="U133"/>
      <c r="V133"/>
      <c r="W133"/>
      <c r="X133"/>
      <c r="Y133"/>
      <c r="Z133"/>
      <c r="AA133">
        <v>132</v>
      </c>
    </row>
    <row r="134" spans="12:27">
      <c r="L134" s="98" t="s">
        <v>557</v>
      </c>
      <c r="M134" t="s">
        <v>613</v>
      </c>
      <c r="N134"/>
      <c r="O134"/>
      <c r="P134"/>
      <c r="Q134" t="s">
        <v>17625</v>
      </c>
      <c r="R134"/>
      <c r="S134"/>
      <c r="T134">
        <v>10</v>
      </c>
      <c r="U134"/>
      <c r="V134"/>
      <c r="W134"/>
      <c r="X134"/>
      <c r="Y134"/>
      <c r="Z134"/>
      <c r="AA134">
        <v>133</v>
      </c>
    </row>
    <row r="135" spans="12:27">
      <c r="L135" s="98" t="s">
        <v>557</v>
      </c>
      <c r="M135" t="s">
        <v>413</v>
      </c>
      <c r="N135"/>
      <c r="O135" t="s">
        <v>272</v>
      </c>
      <c r="P135"/>
      <c r="Q135" t="s">
        <v>12090</v>
      </c>
      <c r="R135"/>
      <c r="S135"/>
      <c r="T135">
        <v>10</v>
      </c>
      <c r="U135"/>
      <c r="V135"/>
      <c r="W135"/>
      <c r="X135"/>
      <c r="Y135"/>
      <c r="Z135"/>
      <c r="AA135">
        <v>134</v>
      </c>
    </row>
    <row r="136" spans="12:27">
      <c r="L136" s="98" t="s">
        <v>557</v>
      </c>
      <c r="M136" t="s">
        <v>415</v>
      </c>
      <c r="N136"/>
      <c r="O136"/>
      <c r="P136"/>
      <c r="Q136" t="s">
        <v>17656</v>
      </c>
      <c r="R136"/>
      <c r="S136"/>
      <c r="T136">
        <v>10</v>
      </c>
      <c r="U136"/>
      <c r="V136"/>
      <c r="W136"/>
      <c r="X136"/>
      <c r="Y136"/>
      <c r="Z136"/>
      <c r="AA136">
        <v>135</v>
      </c>
    </row>
    <row r="137" spans="12:27">
      <c r="L137" s="98" t="s">
        <v>557</v>
      </c>
      <c r="M137" t="s">
        <v>614</v>
      </c>
      <c r="N137"/>
      <c r="O137" t="s">
        <v>111</v>
      </c>
      <c r="P137"/>
      <c r="Q137" t="s">
        <v>12091</v>
      </c>
      <c r="R137"/>
      <c r="S137"/>
      <c r="T137">
        <v>10</v>
      </c>
      <c r="U137"/>
      <c r="V137"/>
      <c r="W137"/>
      <c r="X137"/>
      <c r="Y137"/>
      <c r="Z137"/>
      <c r="AA137">
        <v>136</v>
      </c>
    </row>
    <row r="138" spans="12:27">
      <c r="L138" s="98" t="s">
        <v>557</v>
      </c>
      <c r="M138" t="s">
        <v>615</v>
      </c>
      <c r="N138"/>
      <c r="O138"/>
      <c r="P138"/>
      <c r="Q138" t="s">
        <v>17641</v>
      </c>
      <c r="R138"/>
      <c r="S138"/>
      <c r="T138">
        <v>10</v>
      </c>
      <c r="U138"/>
      <c r="V138"/>
      <c r="W138"/>
      <c r="X138"/>
      <c r="Y138"/>
      <c r="Z138"/>
      <c r="AA138">
        <v>137</v>
      </c>
    </row>
    <row r="139" spans="12:27">
      <c r="L139" s="98" t="s">
        <v>557</v>
      </c>
      <c r="M139" t="s">
        <v>616</v>
      </c>
      <c r="N139"/>
      <c r="O139" t="s">
        <v>12096</v>
      </c>
      <c r="P139" t="s">
        <v>12097</v>
      </c>
      <c r="Q139" t="s">
        <v>12098</v>
      </c>
      <c r="R139"/>
      <c r="S139"/>
      <c r="T139">
        <v>10</v>
      </c>
      <c r="U139"/>
      <c r="V139"/>
      <c r="W139"/>
      <c r="X139"/>
      <c r="Y139"/>
      <c r="Z139"/>
      <c r="AA139">
        <v>138</v>
      </c>
    </row>
    <row r="140" spans="12:27">
      <c r="L140" s="98" t="s">
        <v>557</v>
      </c>
      <c r="M140" t="s">
        <v>617</v>
      </c>
      <c r="N140"/>
      <c r="O140"/>
      <c r="P140"/>
      <c r="Q140"/>
      <c r="R140"/>
      <c r="S140"/>
      <c r="T140">
        <v>10</v>
      </c>
      <c r="U140"/>
      <c r="V140"/>
      <c r="W140"/>
      <c r="X140"/>
      <c r="Y140"/>
      <c r="Z140"/>
      <c r="AA140">
        <v>139</v>
      </c>
    </row>
    <row r="141" spans="12:27">
      <c r="L141" s="98" t="s">
        <v>557</v>
      </c>
      <c r="M141" t="s">
        <v>618</v>
      </c>
      <c r="N141"/>
      <c r="O141"/>
      <c r="P141"/>
      <c r="Q141" t="s">
        <v>17627</v>
      </c>
      <c r="R141"/>
      <c r="S141"/>
      <c r="T141">
        <v>10</v>
      </c>
      <c r="U141"/>
      <c r="V141"/>
      <c r="W141"/>
      <c r="X141"/>
      <c r="Y141"/>
      <c r="Z141"/>
      <c r="AA141">
        <v>140</v>
      </c>
    </row>
    <row r="142" spans="12:27">
      <c r="L142" s="98" t="s">
        <v>557</v>
      </c>
      <c r="M142" t="s">
        <v>619</v>
      </c>
      <c r="N142"/>
      <c r="O142"/>
      <c r="P142"/>
      <c r="Q142" t="s">
        <v>17630</v>
      </c>
      <c r="R142"/>
      <c r="S142"/>
      <c r="T142">
        <v>10</v>
      </c>
      <c r="U142"/>
      <c r="V142"/>
      <c r="W142"/>
      <c r="X142"/>
      <c r="Y142"/>
      <c r="Z142"/>
      <c r="AA142">
        <v>141</v>
      </c>
    </row>
    <row r="143" spans="12:27">
      <c r="L143" s="98" t="s">
        <v>557</v>
      </c>
      <c r="M143" t="s">
        <v>620</v>
      </c>
      <c r="N143"/>
      <c r="O143"/>
      <c r="P143"/>
      <c r="Q143" t="s">
        <v>17628</v>
      </c>
      <c r="R143"/>
      <c r="S143"/>
      <c r="T143">
        <v>10</v>
      </c>
      <c r="U143"/>
      <c r="V143"/>
      <c r="W143"/>
      <c r="X143"/>
      <c r="Y143"/>
      <c r="Z143"/>
      <c r="AA143">
        <v>142</v>
      </c>
    </row>
    <row r="144" spans="12:27">
      <c r="L144" s="98" t="s">
        <v>557</v>
      </c>
      <c r="M144" t="s">
        <v>621</v>
      </c>
      <c r="N144"/>
      <c r="O144"/>
      <c r="P144"/>
      <c r="Q144" t="s">
        <v>12088</v>
      </c>
      <c r="R144"/>
      <c r="S144"/>
      <c r="T144">
        <v>10</v>
      </c>
      <c r="U144"/>
      <c r="V144"/>
      <c r="W144"/>
      <c r="X144"/>
      <c r="Y144"/>
      <c r="Z144"/>
      <c r="AA144">
        <v>143</v>
      </c>
    </row>
    <row r="145" spans="12:27">
      <c r="L145" s="98" t="s">
        <v>557</v>
      </c>
      <c r="M145" t="s">
        <v>622</v>
      </c>
      <c r="N145"/>
      <c r="O145"/>
      <c r="P145"/>
      <c r="Q145"/>
      <c r="R145"/>
      <c r="S145"/>
      <c r="T145">
        <v>10</v>
      </c>
      <c r="U145"/>
      <c r="V145"/>
      <c r="W145"/>
      <c r="X145"/>
      <c r="Y145"/>
      <c r="Z145"/>
      <c r="AA145">
        <v>144</v>
      </c>
    </row>
    <row r="146" spans="12:27">
      <c r="L146" s="98" t="s">
        <v>557</v>
      </c>
      <c r="M146" t="s">
        <v>623</v>
      </c>
      <c r="N146"/>
      <c r="O146"/>
      <c r="P146"/>
      <c r="Q146" t="s">
        <v>17617</v>
      </c>
      <c r="R146"/>
      <c r="S146"/>
      <c r="T146">
        <v>10</v>
      </c>
      <c r="U146"/>
      <c r="V146"/>
      <c r="W146"/>
      <c r="X146"/>
      <c r="Y146"/>
      <c r="Z146"/>
      <c r="AA146">
        <v>145</v>
      </c>
    </row>
    <row r="147" spans="12:27">
      <c r="L147" s="98" t="s">
        <v>557</v>
      </c>
      <c r="M147" t="s">
        <v>624</v>
      </c>
      <c r="N147"/>
      <c r="O147"/>
      <c r="P147"/>
      <c r="Q147" t="s">
        <v>17639</v>
      </c>
      <c r="R147"/>
      <c r="S147"/>
      <c r="T147">
        <v>10</v>
      </c>
      <c r="U147"/>
      <c r="V147"/>
      <c r="W147"/>
      <c r="X147"/>
      <c r="Y147"/>
      <c r="Z147"/>
      <c r="AA147">
        <v>146</v>
      </c>
    </row>
    <row r="148" spans="12:27">
      <c r="L148" s="98" t="s">
        <v>557</v>
      </c>
      <c r="M148" t="s">
        <v>625</v>
      </c>
      <c r="N148"/>
      <c r="O148"/>
      <c r="P148"/>
      <c r="Q148" t="s">
        <v>17659</v>
      </c>
      <c r="R148"/>
      <c r="S148"/>
      <c r="T148">
        <v>10</v>
      </c>
      <c r="U148"/>
      <c r="V148" t="s">
        <v>17660</v>
      </c>
      <c r="W148"/>
      <c r="X148"/>
      <c r="Y148"/>
      <c r="Z148"/>
      <c r="AA148">
        <v>147</v>
      </c>
    </row>
    <row r="149" spans="12:27">
      <c r="L149" s="98" t="s">
        <v>557</v>
      </c>
      <c r="M149" t="s">
        <v>626</v>
      </c>
      <c r="N149"/>
      <c r="O149"/>
      <c r="P149"/>
      <c r="Q149" t="s">
        <v>17626</v>
      </c>
      <c r="R149"/>
      <c r="S149"/>
      <c r="T149">
        <v>10</v>
      </c>
      <c r="U149"/>
      <c r="V149"/>
      <c r="W149"/>
      <c r="X149"/>
      <c r="Y149"/>
      <c r="Z149"/>
      <c r="AA149">
        <v>148</v>
      </c>
    </row>
    <row r="150" spans="12:27">
      <c r="L150" s="98" t="s">
        <v>557</v>
      </c>
      <c r="M150" t="s">
        <v>627</v>
      </c>
      <c r="N150"/>
      <c r="O150"/>
      <c r="P150"/>
      <c r="Q150" t="s">
        <v>17611</v>
      </c>
      <c r="R150"/>
      <c r="S150"/>
      <c r="T150">
        <v>10</v>
      </c>
      <c r="U150"/>
      <c r="V150"/>
      <c r="W150"/>
      <c r="X150"/>
      <c r="Y150"/>
      <c r="Z150"/>
      <c r="AA150">
        <v>149</v>
      </c>
    </row>
    <row r="151" spans="12:27">
      <c r="L151" s="98" t="s">
        <v>557</v>
      </c>
      <c r="M151" t="s">
        <v>628</v>
      </c>
      <c r="N151"/>
      <c r="O151"/>
      <c r="P151"/>
      <c r="Q151" t="s">
        <v>17646</v>
      </c>
      <c r="R151"/>
      <c r="S151"/>
      <c r="T151">
        <v>10</v>
      </c>
      <c r="U151"/>
      <c r="V151"/>
      <c r="W151"/>
      <c r="X151"/>
      <c r="Y151"/>
      <c r="Z151"/>
      <c r="AA151">
        <v>150</v>
      </c>
    </row>
    <row r="152" spans="12:27">
      <c r="L152" s="98" t="s">
        <v>557</v>
      </c>
      <c r="M152" t="s">
        <v>629</v>
      </c>
      <c r="N152"/>
      <c r="O152"/>
      <c r="P152"/>
      <c r="Q152" t="s">
        <v>17633</v>
      </c>
      <c r="R152"/>
      <c r="S152"/>
      <c r="T152">
        <v>10</v>
      </c>
      <c r="U152"/>
      <c r="V152"/>
      <c r="W152"/>
      <c r="X152"/>
      <c r="Y152"/>
      <c r="Z152"/>
      <c r="AA152">
        <v>151</v>
      </c>
    </row>
    <row r="153" spans="12:27">
      <c r="L153" s="98" t="s">
        <v>557</v>
      </c>
      <c r="M153" t="s">
        <v>630</v>
      </c>
      <c r="N153"/>
      <c r="O153"/>
      <c r="P153"/>
      <c r="Q153" t="s">
        <v>12120</v>
      </c>
      <c r="R153"/>
      <c r="S153"/>
      <c r="T153">
        <v>10</v>
      </c>
      <c r="U153"/>
      <c r="V153"/>
      <c r="W153"/>
      <c r="X153"/>
      <c r="Y153"/>
      <c r="Z153"/>
      <c r="AA153">
        <v>152</v>
      </c>
    </row>
    <row r="154" spans="12:27">
      <c r="L154" s="98" t="s">
        <v>557</v>
      </c>
      <c r="M154" t="s">
        <v>631</v>
      </c>
      <c r="N154"/>
      <c r="O154"/>
      <c r="P154"/>
      <c r="Q154" t="s">
        <v>12100</v>
      </c>
      <c r="R154"/>
      <c r="S154"/>
      <c r="T154">
        <v>10</v>
      </c>
      <c r="U154"/>
      <c r="V154"/>
      <c r="W154"/>
      <c r="X154"/>
      <c r="Y154"/>
      <c r="Z154"/>
      <c r="AA154">
        <v>153</v>
      </c>
    </row>
    <row r="155" spans="12:27">
      <c r="L155" s="98" t="s">
        <v>557</v>
      </c>
      <c r="M155" t="s">
        <v>632</v>
      </c>
      <c r="N155"/>
      <c r="O155"/>
      <c r="P155"/>
      <c r="Q155" t="s">
        <v>17612</v>
      </c>
      <c r="R155"/>
      <c r="S155"/>
      <c r="T155">
        <v>10</v>
      </c>
      <c r="U155"/>
      <c r="V155"/>
      <c r="W155"/>
      <c r="X155"/>
      <c r="Y155"/>
      <c r="Z155"/>
      <c r="AA155">
        <v>154</v>
      </c>
    </row>
    <row r="156" spans="12:27">
      <c r="L156" s="98" t="s">
        <v>557</v>
      </c>
      <c r="M156" t="s">
        <v>633</v>
      </c>
      <c r="N156"/>
      <c r="O156" t="s">
        <v>12104</v>
      </c>
      <c r="P156"/>
      <c r="Q156" t="s">
        <v>12103</v>
      </c>
      <c r="R156"/>
      <c r="S156"/>
      <c r="T156">
        <v>10</v>
      </c>
      <c r="U156"/>
      <c r="V156"/>
      <c r="W156"/>
      <c r="X156"/>
      <c r="Y156"/>
      <c r="Z156"/>
      <c r="AA156">
        <v>155</v>
      </c>
    </row>
    <row r="157" spans="12:27">
      <c r="L157" s="98" t="s">
        <v>557</v>
      </c>
      <c r="M157" t="s">
        <v>392</v>
      </c>
      <c r="N157"/>
      <c r="O157"/>
      <c r="P157"/>
      <c r="Q157"/>
      <c r="R157"/>
      <c r="S157"/>
      <c r="T157">
        <v>10</v>
      </c>
      <c r="U157"/>
      <c r="V157"/>
      <c r="W157"/>
      <c r="X157"/>
      <c r="Y157"/>
      <c r="Z157"/>
      <c r="AA157">
        <v>156</v>
      </c>
    </row>
    <row r="158" spans="12:27">
      <c r="L158" s="98" t="s">
        <v>557</v>
      </c>
      <c r="M158" t="s">
        <v>38</v>
      </c>
      <c r="N158"/>
      <c r="O158"/>
      <c r="P158"/>
      <c r="Q158"/>
      <c r="R158"/>
      <c r="S158"/>
      <c r="T158">
        <v>10</v>
      </c>
      <c r="U158"/>
      <c r="V158"/>
      <c r="W158"/>
      <c r="X158"/>
      <c r="Y158"/>
      <c r="Z158"/>
      <c r="AA158">
        <v>157</v>
      </c>
    </row>
    <row r="159" spans="12:27">
      <c r="L159" s="98" t="s">
        <v>557</v>
      </c>
      <c r="M159" t="s">
        <v>324</v>
      </c>
      <c r="N159"/>
      <c r="O159"/>
      <c r="P159"/>
      <c r="Q159"/>
      <c r="R159"/>
      <c r="S159"/>
      <c r="T159">
        <v>10</v>
      </c>
      <c r="U159"/>
      <c r="V159"/>
      <c r="W159"/>
      <c r="X159"/>
      <c r="Y159"/>
      <c r="Z159"/>
      <c r="AA159">
        <v>158</v>
      </c>
    </row>
    <row r="160" spans="12:27">
      <c r="L160" s="98" t="s">
        <v>557</v>
      </c>
      <c r="M160" t="s">
        <v>398</v>
      </c>
      <c r="N160"/>
      <c r="O160"/>
      <c r="P160"/>
      <c r="Q160"/>
      <c r="R160"/>
      <c r="S160"/>
      <c r="T160">
        <v>10</v>
      </c>
      <c r="U160"/>
      <c r="V160"/>
      <c r="W160"/>
      <c r="X160"/>
      <c r="Y160"/>
      <c r="Z160"/>
      <c r="AA160">
        <v>159</v>
      </c>
    </row>
    <row r="161" spans="12:27">
      <c r="L161" s="98" t="s">
        <v>557</v>
      </c>
      <c r="M161" t="s">
        <v>137</v>
      </c>
      <c r="N161"/>
      <c r="O161"/>
      <c r="P161"/>
      <c r="Q161"/>
      <c r="R161"/>
      <c r="S161"/>
      <c r="T161">
        <v>10</v>
      </c>
      <c r="U161"/>
      <c r="V161"/>
      <c r="W161"/>
      <c r="X161"/>
      <c r="Y161"/>
      <c r="Z161"/>
      <c r="AA161">
        <v>160</v>
      </c>
    </row>
    <row r="162" spans="12:27">
      <c r="L162" s="98" t="s">
        <v>557</v>
      </c>
      <c r="M162" t="s">
        <v>396</v>
      </c>
      <c r="N162"/>
      <c r="O162"/>
      <c r="P162"/>
      <c r="Q162"/>
      <c r="R162"/>
      <c r="S162"/>
      <c r="T162">
        <v>10</v>
      </c>
      <c r="U162"/>
      <c r="V162"/>
      <c r="W162"/>
      <c r="X162"/>
      <c r="Y162"/>
      <c r="Z162"/>
      <c r="AA162">
        <v>161</v>
      </c>
    </row>
    <row r="163" spans="12:27">
      <c r="L163" s="98" t="s">
        <v>557</v>
      </c>
      <c r="M163" t="s">
        <v>400</v>
      </c>
      <c r="N163"/>
      <c r="O163"/>
      <c r="P163"/>
      <c r="Q163"/>
      <c r="R163"/>
      <c r="S163"/>
      <c r="T163">
        <v>10</v>
      </c>
      <c r="U163"/>
      <c r="V163"/>
      <c r="W163"/>
      <c r="X163"/>
      <c r="Y163"/>
      <c r="Z163"/>
      <c r="AA163">
        <v>162</v>
      </c>
    </row>
    <row r="164" spans="12:27">
      <c r="L164" s="98" t="s">
        <v>557</v>
      </c>
      <c r="M164" t="s">
        <v>370</v>
      </c>
      <c r="N164"/>
      <c r="O164"/>
      <c r="P164"/>
      <c r="Q164"/>
      <c r="R164"/>
      <c r="S164"/>
      <c r="T164">
        <v>10</v>
      </c>
      <c r="U164"/>
      <c r="V164"/>
      <c r="W164"/>
      <c r="X164"/>
      <c r="Y164"/>
      <c r="Z164"/>
      <c r="AA164">
        <v>163</v>
      </c>
    </row>
    <row r="165" spans="12:27">
      <c r="L165" s="98" t="s">
        <v>557</v>
      </c>
      <c r="M165" t="s">
        <v>401</v>
      </c>
      <c r="N165"/>
      <c r="O165"/>
      <c r="P165"/>
      <c r="Q165"/>
      <c r="R165"/>
      <c r="S165"/>
      <c r="T165">
        <v>10</v>
      </c>
      <c r="U165"/>
      <c r="V165"/>
      <c r="W165"/>
      <c r="X165"/>
      <c r="Y165"/>
      <c r="Z165"/>
      <c r="AA165">
        <v>164</v>
      </c>
    </row>
    <row r="166" spans="12:27">
      <c r="L166" s="98" t="s">
        <v>557</v>
      </c>
      <c r="M166" t="s">
        <v>402</v>
      </c>
      <c r="N166"/>
      <c r="O166"/>
      <c r="P166"/>
      <c r="Q166"/>
      <c r="R166"/>
      <c r="S166"/>
      <c r="T166">
        <v>10</v>
      </c>
      <c r="U166"/>
      <c r="V166"/>
      <c r="W166"/>
      <c r="X166"/>
      <c r="Y166"/>
      <c r="Z166"/>
      <c r="AA166">
        <v>165</v>
      </c>
    </row>
    <row r="167" spans="12:27">
      <c r="L167" s="98" t="s">
        <v>557</v>
      </c>
      <c r="M167" t="s">
        <v>156</v>
      </c>
      <c r="N167"/>
      <c r="O167"/>
      <c r="P167"/>
      <c r="Q167"/>
      <c r="R167"/>
      <c r="S167"/>
      <c r="T167">
        <v>10</v>
      </c>
      <c r="U167"/>
      <c r="V167"/>
      <c r="W167"/>
      <c r="X167"/>
      <c r="Y167"/>
      <c r="Z167"/>
      <c r="AA167">
        <v>166</v>
      </c>
    </row>
    <row r="168" spans="12:27">
      <c r="L168" s="98" t="s">
        <v>557</v>
      </c>
      <c r="M168" t="s">
        <v>403</v>
      </c>
      <c r="N168"/>
      <c r="O168"/>
      <c r="P168"/>
      <c r="Q168"/>
      <c r="R168"/>
      <c r="S168"/>
      <c r="T168">
        <v>10</v>
      </c>
      <c r="U168"/>
      <c r="V168"/>
      <c r="W168"/>
      <c r="X168"/>
      <c r="Y168"/>
      <c r="Z168"/>
      <c r="AA168">
        <v>167</v>
      </c>
    </row>
    <row r="169" spans="12:27">
      <c r="L169" s="98" t="s">
        <v>557</v>
      </c>
      <c r="M169" t="s">
        <v>281</v>
      </c>
      <c r="N169"/>
      <c r="O169"/>
      <c r="P169"/>
      <c r="Q169"/>
      <c r="R169"/>
      <c r="S169"/>
      <c r="T169">
        <v>10</v>
      </c>
      <c r="U169"/>
      <c r="V169"/>
      <c r="W169"/>
      <c r="X169"/>
      <c r="Y169"/>
      <c r="Z169"/>
      <c r="AA169">
        <v>168</v>
      </c>
    </row>
    <row r="170" spans="12:27">
      <c r="L170" s="98" t="s">
        <v>557</v>
      </c>
      <c r="M170" t="s">
        <v>404</v>
      </c>
      <c r="N170"/>
      <c r="O170"/>
      <c r="P170"/>
      <c r="Q170"/>
      <c r="R170"/>
      <c r="S170"/>
      <c r="T170">
        <v>10</v>
      </c>
      <c r="U170"/>
      <c r="V170"/>
      <c r="W170"/>
      <c r="X170"/>
      <c r="Y170"/>
      <c r="Z170"/>
      <c r="AA170">
        <v>169</v>
      </c>
    </row>
    <row r="171" spans="12:27">
      <c r="L171" s="98" t="s">
        <v>557</v>
      </c>
      <c r="M171" t="s">
        <v>57</v>
      </c>
      <c r="N171"/>
      <c r="O171"/>
      <c r="P171"/>
      <c r="Q171"/>
      <c r="R171"/>
      <c r="S171"/>
      <c r="T171">
        <v>10</v>
      </c>
      <c r="U171"/>
      <c r="V171"/>
      <c r="W171"/>
      <c r="X171"/>
      <c r="Y171"/>
      <c r="Z171"/>
      <c r="AA171">
        <v>170</v>
      </c>
    </row>
    <row r="172" spans="12:27">
      <c r="L172" s="98" t="s">
        <v>557</v>
      </c>
      <c r="M172" t="s">
        <v>14</v>
      </c>
      <c r="N172"/>
      <c r="O172"/>
      <c r="P172"/>
      <c r="Q172"/>
      <c r="R172"/>
      <c r="S172"/>
      <c r="T172">
        <v>10</v>
      </c>
      <c r="U172"/>
      <c r="V172"/>
      <c r="W172"/>
      <c r="X172"/>
      <c r="Y172"/>
      <c r="Z172"/>
      <c r="AA172">
        <v>171</v>
      </c>
    </row>
    <row r="173" spans="12:27">
      <c r="L173" s="98" t="s">
        <v>557</v>
      </c>
      <c r="M173" t="s">
        <v>405</v>
      </c>
      <c r="N173"/>
      <c r="O173"/>
      <c r="P173"/>
      <c r="Q173"/>
      <c r="R173"/>
      <c r="S173"/>
      <c r="T173">
        <v>10</v>
      </c>
      <c r="U173"/>
      <c r="V173"/>
      <c r="W173"/>
      <c r="X173"/>
      <c r="Y173"/>
      <c r="Z173"/>
      <c r="AA173">
        <v>172</v>
      </c>
    </row>
    <row r="174" spans="12:27">
      <c r="L174" s="98" t="s">
        <v>557</v>
      </c>
      <c r="M174" t="s">
        <v>100</v>
      </c>
      <c r="N174"/>
      <c r="O174"/>
      <c r="P174"/>
      <c r="Q174"/>
      <c r="R174"/>
      <c r="S174"/>
      <c r="T174">
        <v>10</v>
      </c>
      <c r="U174"/>
      <c r="V174"/>
      <c r="W174"/>
      <c r="X174"/>
      <c r="Y174"/>
      <c r="Z174"/>
      <c r="AA174">
        <v>173</v>
      </c>
    </row>
    <row r="175" spans="12:27">
      <c r="L175" s="98" t="s">
        <v>557</v>
      </c>
      <c r="M175" t="s">
        <v>204</v>
      </c>
      <c r="N175"/>
      <c r="O175"/>
      <c r="P175"/>
      <c r="Q175"/>
      <c r="R175"/>
      <c r="S175"/>
      <c r="T175">
        <v>10</v>
      </c>
      <c r="U175"/>
      <c r="V175"/>
      <c r="W175"/>
      <c r="X175"/>
      <c r="Y175"/>
      <c r="Z175"/>
      <c r="AA175">
        <v>174</v>
      </c>
    </row>
    <row r="176" spans="12:27">
      <c r="L176" s="98" t="s">
        <v>557</v>
      </c>
      <c r="M176" t="s">
        <v>340</v>
      </c>
      <c r="N176"/>
      <c r="O176"/>
      <c r="P176"/>
      <c r="Q176"/>
      <c r="R176"/>
      <c r="S176"/>
      <c r="T176">
        <v>10</v>
      </c>
      <c r="U176"/>
      <c r="V176"/>
      <c r="W176"/>
      <c r="X176"/>
      <c r="Y176"/>
      <c r="Z176"/>
      <c r="AA176">
        <v>175</v>
      </c>
    </row>
    <row r="177" spans="12:27">
      <c r="L177" s="98" t="s">
        <v>557</v>
      </c>
      <c r="M177" t="s">
        <v>411</v>
      </c>
      <c r="N177"/>
      <c r="O177"/>
      <c r="P177"/>
      <c r="Q177"/>
      <c r="R177"/>
      <c r="S177"/>
      <c r="T177">
        <v>10</v>
      </c>
      <c r="U177"/>
      <c r="V177"/>
      <c r="W177"/>
      <c r="X177"/>
      <c r="Y177"/>
      <c r="Z177"/>
      <c r="AA177">
        <v>176</v>
      </c>
    </row>
    <row r="178" spans="12:27">
      <c r="L178" s="98" t="s">
        <v>557</v>
      </c>
      <c r="M178" t="s">
        <v>412</v>
      </c>
      <c r="N178"/>
      <c r="O178"/>
      <c r="P178"/>
      <c r="Q178"/>
      <c r="R178"/>
      <c r="S178"/>
      <c r="T178">
        <v>10</v>
      </c>
      <c r="U178"/>
      <c r="V178"/>
      <c r="W178"/>
      <c r="X178"/>
      <c r="Y178"/>
      <c r="Z178"/>
      <c r="AA178">
        <v>177</v>
      </c>
    </row>
    <row r="179" spans="12:27">
      <c r="L179" s="98" t="s">
        <v>557</v>
      </c>
      <c r="M179" t="s">
        <v>354</v>
      </c>
      <c r="N179"/>
      <c r="O179"/>
      <c r="P179"/>
      <c r="Q179"/>
      <c r="R179"/>
      <c r="S179"/>
      <c r="T179">
        <v>10</v>
      </c>
      <c r="U179"/>
      <c r="V179"/>
      <c r="W179"/>
      <c r="X179"/>
      <c r="Y179"/>
      <c r="Z179"/>
      <c r="AA179">
        <v>178</v>
      </c>
    </row>
    <row r="180" spans="12:27">
      <c r="L180" s="98" t="s">
        <v>557</v>
      </c>
      <c r="M180" t="s">
        <v>414</v>
      </c>
      <c r="N180"/>
      <c r="O180"/>
      <c r="P180"/>
      <c r="Q180"/>
      <c r="R180"/>
      <c r="S180"/>
      <c r="T180">
        <v>10</v>
      </c>
      <c r="U180"/>
      <c r="V180"/>
      <c r="W180"/>
      <c r="X180"/>
      <c r="Y180"/>
      <c r="Z180"/>
      <c r="AA180">
        <v>179</v>
      </c>
    </row>
    <row r="181" spans="12:27">
      <c r="L181" s="98" t="s">
        <v>557</v>
      </c>
      <c r="M181" t="s">
        <v>224</v>
      </c>
      <c r="N181"/>
      <c r="O181"/>
      <c r="P181"/>
      <c r="Q181"/>
      <c r="R181"/>
      <c r="S181"/>
      <c r="T181">
        <v>10</v>
      </c>
      <c r="U181"/>
      <c r="V181"/>
      <c r="W181"/>
      <c r="X181"/>
      <c r="Y181"/>
      <c r="Z181"/>
      <c r="AA181">
        <v>180</v>
      </c>
    </row>
    <row r="182" spans="12:27">
      <c r="L182" s="98" t="s">
        <v>557</v>
      </c>
      <c r="M182" t="s">
        <v>417</v>
      </c>
      <c r="N182"/>
      <c r="O182"/>
      <c r="P182"/>
      <c r="Q182"/>
      <c r="R182"/>
      <c r="S182"/>
      <c r="T182">
        <v>10</v>
      </c>
      <c r="U182"/>
      <c r="V182"/>
      <c r="W182"/>
      <c r="X182"/>
      <c r="Y182"/>
      <c r="Z182"/>
      <c r="AA182">
        <v>181</v>
      </c>
    </row>
    <row r="183" spans="12:27">
      <c r="L183" s="98" t="s">
        <v>557</v>
      </c>
      <c r="M183" t="s">
        <v>207</v>
      </c>
      <c r="N183"/>
      <c r="O183"/>
      <c r="P183"/>
      <c r="Q183"/>
      <c r="R183"/>
      <c r="S183"/>
      <c r="T183">
        <v>10</v>
      </c>
      <c r="U183"/>
      <c r="V183"/>
      <c r="W183"/>
      <c r="X183"/>
      <c r="Y183"/>
      <c r="Z183"/>
      <c r="AA183">
        <v>182</v>
      </c>
    </row>
    <row r="184" spans="12:27">
      <c r="L184" s="98" t="s">
        <v>557</v>
      </c>
      <c r="M184" t="s">
        <v>131</v>
      </c>
      <c r="N184"/>
      <c r="O184"/>
      <c r="P184"/>
      <c r="Q184"/>
      <c r="R184"/>
      <c r="S184"/>
      <c r="T184">
        <v>10</v>
      </c>
      <c r="U184"/>
      <c r="V184"/>
      <c r="W184"/>
      <c r="X184"/>
      <c r="Y184"/>
      <c r="Z184"/>
      <c r="AA184">
        <v>183</v>
      </c>
    </row>
    <row r="185" spans="12:27">
      <c r="L185" s="98" t="s">
        <v>557</v>
      </c>
      <c r="M185" t="s">
        <v>418</v>
      </c>
      <c r="N185"/>
      <c r="O185"/>
      <c r="P185"/>
      <c r="Q185"/>
      <c r="R185"/>
      <c r="S185"/>
      <c r="T185">
        <v>10</v>
      </c>
      <c r="U185"/>
      <c r="V185"/>
      <c r="W185"/>
      <c r="X185"/>
      <c r="Y185"/>
      <c r="Z185"/>
      <c r="AA185">
        <v>184</v>
      </c>
    </row>
    <row r="186" spans="12:27">
      <c r="L186" s="98" t="s">
        <v>557</v>
      </c>
      <c r="M186" t="s">
        <v>52</v>
      </c>
      <c r="N186"/>
      <c r="O186"/>
      <c r="P186"/>
      <c r="Q186"/>
      <c r="R186"/>
      <c r="S186"/>
      <c r="T186">
        <v>10</v>
      </c>
      <c r="U186"/>
      <c r="V186"/>
      <c r="W186"/>
      <c r="X186"/>
      <c r="Y186"/>
      <c r="Z186"/>
      <c r="AA186">
        <v>185</v>
      </c>
    </row>
    <row r="187" spans="12:27">
      <c r="L187" s="97" t="s">
        <v>11573</v>
      </c>
      <c r="M187" t="s">
        <v>104</v>
      </c>
      <c r="N187"/>
      <c r="O187"/>
      <c r="P187"/>
      <c r="Q187" t="s">
        <v>11947</v>
      </c>
      <c r="R187"/>
      <c r="S187"/>
      <c r="T187">
        <v>200</v>
      </c>
      <c r="U187"/>
      <c r="V187"/>
      <c r="W187"/>
      <c r="X187"/>
      <c r="Y187"/>
      <c r="Z187"/>
      <c r="AA187">
        <v>186</v>
      </c>
    </row>
    <row r="188" spans="12:27">
      <c r="L188" s="97" t="s">
        <v>11573</v>
      </c>
      <c r="M188" t="s">
        <v>639</v>
      </c>
      <c r="N188"/>
      <c r="O188"/>
      <c r="P188"/>
      <c r="Q188" t="s">
        <v>11960</v>
      </c>
      <c r="R188"/>
      <c r="S188"/>
      <c r="T188">
        <v>200</v>
      </c>
      <c r="U188"/>
      <c r="V188"/>
      <c r="W188"/>
      <c r="X188"/>
      <c r="Y188"/>
      <c r="Z188"/>
      <c r="AA188">
        <v>187</v>
      </c>
    </row>
    <row r="189" spans="12:27">
      <c r="L189" s="97" t="s">
        <v>11573</v>
      </c>
      <c r="M189" t="s">
        <v>390</v>
      </c>
      <c r="N189"/>
      <c r="O189"/>
      <c r="P189"/>
      <c r="Q189"/>
      <c r="R189"/>
      <c r="S189"/>
      <c r="T189">
        <v>200</v>
      </c>
      <c r="U189" t="s">
        <v>17657</v>
      </c>
      <c r="V189" t="s">
        <v>17658</v>
      </c>
      <c r="W189"/>
      <c r="X189"/>
      <c r="Y189"/>
      <c r="Z189"/>
      <c r="AA189">
        <v>188</v>
      </c>
    </row>
    <row r="190" spans="12:27">
      <c r="L190" s="97" t="s">
        <v>634</v>
      </c>
      <c r="M190" t="s">
        <v>394</v>
      </c>
      <c r="N190"/>
      <c r="O190"/>
      <c r="P190"/>
      <c r="Q190" t="s">
        <v>11952</v>
      </c>
      <c r="R190"/>
      <c r="S190"/>
      <c r="T190">
        <v>210</v>
      </c>
      <c r="U190"/>
      <c r="V190"/>
      <c r="W190"/>
      <c r="X190"/>
      <c r="Y190"/>
      <c r="Z190"/>
      <c r="AA190">
        <v>189</v>
      </c>
    </row>
    <row r="191" spans="12:27">
      <c r="L191" s="97" t="s">
        <v>634</v>
      </c>
      <c r="M191" t="s">
        <v>635</v>
      </c>
      <c r="N191"/>
      <c r="O191"/>
      <c r="P191"/>
      <c r="Q191" t="s">
        <v>11950</v>
      </c>
      <c r="R191"/>
      <c r="S191"/>
      <c r="T191">
        <v>210</v>
      </c>
      <c r="U191"/>
      <c r="V191"/>
      <c r="W191"/>
      <c r="X191"/>
      <c r="Y191"/>
      <c r="Z191"/>
      <c r="AA191">
        <v>190</v>
      </c>
    </row>
    <row r="192" spans="12:27">
      <c r="L192" s="97" t="s">
        <v>634</v>
      </c>
      <c r="M192" t="s">
        <v>542</v>
      </c>
      <c r="N192"/>
      <c r="O192"/>
      <c r="P192"/>
      <c r="Q192" t="s">
        <v>11953</v>
      </c>
      <c r="R192"/>
      <c r="S192"/>
      <c r="T192">
        <v>210</v>
      </c>
      <c r="U192"/>
      <c r="V192"/>
      <c r="W192"/>
      <c r="X192"/>
      <c r="Y192"/>
      <c r="Z192"/>
      <c r="AA192">
        <v>191</v>
      </c>
    </row>
    <row r="193" spans="12:27">
      <c r="L193" s="97" t="s">
        <v>634</v>
      </c>
      <c r="M193" t="s">
        <v>11572</v>
      </c>
      <c r="N193"/>
      <c r="O193"/>
      <c r="P193"/>
      <c r="Q193"/>
      <c r="R193"/>
      <c r="S193"/>
      <c r="T193">
        <v>210</v>
      </c>
      <c r="U193"/>
      <c r="V193"/>
      <c r="W193"/>
      <c r="X193"/>
      <c r="Y193"/>
      <c r="Z193"/>
      <c r="AA193">
        <v>192</v>
      </c>
    </row>
    <row r="194" spans="12:27">
      <c r="L194" s="98" t="s">
        <v>12072</v>
      </c>
      <c r="M194" t="s">
        <v>92</v>
      </c>
      <c r="N194"/>
      <c r="O194"/>
      <c r="P194" t="s">
        <v>12075</v>
      </c>
      <c r="Q194" t="s">
        <v>12073</v>
      </c>
      <c r="R194"/>
      <c r="S194"/>
      <c r="T194">
        <v>15</v>
      </c>
      <c r="U194"/>
      <c r="V194"/>
      <c r="W194"/>
      <c r="X194"/>
      <c r="Y194"/>
      <c r="Z194" t="s">
        <v>12074</v>
      </c>
      <c r="AA194">
        <v>193</v>
      </c>
    </row>
    <row r="195" spans="12:27">
      <c r="L195" s="97" t="s">
        <v>634</v>
      </c>
      <c r="M195" t="s">
        <v>636</v>
      </c>
      <c r="N195"/>
      <c r="O195"/>
      <c r="P195"/>
      <c r="Q195" t="s">
        <v>11955</v>
      </c>
      <c r="R195"/>
      <c r="S195"/>
      <c r="T195">
        <v>210</v>
      </c>
      <c r="U195"/>
      <c r="V195"/>
      <c r="W195"/>
      <c r="X195"/>
      <c r="Y195"/>
      <c r="Z195"/>
      <c r="AA195">
        <v>194</v>
      </c>
    </row>
    <row r="196" spans="12:27">
      <c r="L196" s="97" t="s">
        <v>634</v>
      </c>
      <c r="M196" t="s">
        <v>637</v>
      </c>
      <c r="N196"/>
      <c r="O196"/>
      <c r="P196"/>
      <c r="Q196" t="s">
        <v>11951</v>
      </c>
      <c r="R196"/>
      <c r="S196"/>
      <c r="T196">
        <v>210</v>
      </c>
      <c r="U196"/>
      <c r="V196"/>
      <c r="W196"/>
      <c r="X196"/>
      <c r="Y196"/>
      <c r="Z196"/>
      <c r="AA196">
        <v>195</v>
      </c>
    </row>
    <row r="197" spans="12:27">
      <c r="L197" s="97" t="s">
        <v>634</v>
      </c>
      <c r="M197" t="s">
        <v>638</v>
      </c>
      <c r="N197"/>
      <c r="O197"/>
      <c r="P197"/>
      <c r="Q197" t="s">
        <v>11958</v>
      </c>
      <c r="R197"/>
      <c r="S197"/>
      <c r="T197">
        <v>210</v>
      </c>
      <c r="U197"/>
      <c r="V197"/>
      <c r="W197"/>
      <c r="X197"/>
      <c r="Y197"/>
      <c r="Z197"/>
      <c r="AA197">
        <v>196</v>
      </c>
    </row>
    <row r="198" spans="12:27">
      <c r="L198" s="97" t="s">
        <v>634</v>
      </c>
      <c r="M198" t="s">
        <v>640</v>
      </c>
      <c r="N198"/>
      <c r="O198"/>
      <c r="P198"/>
      <c r="Q198" t="s">
        <v>11956</v>
      </c>
      <c r="R198"/>
      <c r="S198" t="s">
        <v>12081</v>
      </c>
      <c r="T198">
        <v>210</v>
      </c>
      <c r="U198"/>
      <c r="V198"/>
      <c r="W198"/>
      <c r="X198"/>
      <c r="Y198"/>
      <c r="Z198"/>
      <c r="AA198">
        <v>197</v>
      </c>
    </row>
    <row r="199" spans="12:27">
      <c r="L199" s="97" t="s">
        <v>634</v>
      </c>
      <c r="M199" t="s">
        <v>197</v>
      </c>
      <c r="N199"/>
      <c r="O199"/>
      <c r="P199"/>
      <c r="Q199" t="s">
        <v>11957</v>
      </c>
      <c r="R199"/>
      <c r="S199"/>
      <c r="T199">
        <v>210</v>
      </c>
      <c r="U199"/>
      <c r="V199"/>
      <c r="W199"/>
      <c r="X199"/>
      <c r="Y199"/>
      <c r="Z199"/>
      <c r="AA199">
        <v>198</v>
      </c>
    </row>
    <row r="200" spans="12:27">
      <c r="L200" s="97" t="s">
        <v>634</v>
      </c>
      <c r="M200" t="s">
        <v>641</v>
      </c>
      <c r="N200"/>
      <c r="O200"/>
      <c r="P200"/>
      <c r="Q200" t="s">
        <v>11949</v>
      </c>
      <c r="R200"/>
      <c r="S200"/>
      <c r="T200">
        <v>210</v>
      </c>
      <c r="U200"/>
      <c r="V200"/>
      <c r="W200"/>
      <c r="X200"/>
      <c r="Y200"/>
      <c r="Z200"/>
      <c r="AA200">
        <v>199</v>
      </c>
    </row>
    <row r="201" spans="12:27">
      <c r="L201" s="97" t="s">
        <v>634</v>
      </c>
      <c r="M201" t="s">
        <v>642</v>
      </c>
      <c r="N201"/>
      <c r="O201"/>
      <c r="P201"/>
      <c r="Q201" t="s">
        <v>11959</v>
      </c>
      <c r="R201"/>
      <c r="S201"/>
      <c r="T201">
        <v>210</v>
      </c>
      <c r="U201"/>
      <c r="V201"/>
      <c r="W201"/>
      <c r="X201"/>
      <c r="Y201"/>
      <c r="Z201"/>
      <c r="AA201">
        <v>200</v>
      </c>
    </row>
    <row r="202" spans="12:27">
      <c r="L202" s="97" t="s">
        <v>634</v>
      </c>
      <c r="M202" t="s">
        <v>643</v>
      </c>
      <c r="N202"/>
      <c r="O202"/>
      <c r="P202"/>
      <c r="Q202" t="s">
        <v>11954</v>
      </c>
      <c r="R202"/>
      <c r="S202"/>
      <c r="T202">
        <v>210</v>
      </c>
      <c r="U202"/>
      <c r="V202"/>
      <c r="W202"/>
      <c r="X202"/>
      <c r="Y202"/>
      <c r="Z202"/>
      <c r="AA202">
        <v>201</v>
      </c>
    </row>
    <row r="203" spans="12:27">
      <c r="L203" s="97" t="s">
        <v>634</v>
      </c>
      <c r="M203" t="s">
        <v>644</v>
      </c>
      <c r="N203"/>
      <c r="O203"/>
      <c r="P203"/>
      <c r="Q203" t="s">
        <v>11948</v>
      </c>
      <c r="R203"/>
      <c r="S203"/>
      <c r="T203">
        <v>210</v>
      </c>
      <c r="U203"/>
      <c r="V203"/>
      <c r="W203"/>
      <c r="X203"/>
      <c r="Y203"/>
      <c r="Z203"/>
      <c r="AA203">
        <v>202</v>
      </c>
    </row>
    <row r="204" spans="12:27">
      <c r="L204" s="97" t="s">
        <v>634</v>
      </c>
      <c r="M204" t="s">
        <v>645</v>
      </c>
      <c r="N204"/>
      <c r="O204"/>
      <c r="P204"/>
      <c r="Q204" t="s">
        <v>17566</v>
      </c>
      <c r="R204"/>
      <c r="S204"/>
      <c r="T204">
        <v>210</v>
      </c>
      <c r="U204"/>
      <c r="V204"/>
      <c r="W204"/>
      <c r="X204"/>
      <c r="Y204"/>
      <c r="Z204"/>
      <c r="AA204">
        <v>203</v>
      </c>
    </row>
    <row r="205" spans="12:27">
      <c r="L205" s="97" t="s">
        <v>634</v>
      </c>
      <c r="M205" t="s">
        <v>646</v>
      </c>
      <c r="N205"/>
      <c r="O205"/>
      <c r="P205"/>
      <c r="Q205" t="s">
        <v>17567</v>
      </c>
      <c r="R205"/>
      <c r="S205"/>
      <c r="T205">
        <v>210</v>
      </c>
      <c r="U205"/>
      <c r="V205"/>
      <c r="W205"/>
      <c r="X205"/>
      <c r="Y205"/>
      <c r="Z205"/>
      <c r="AA205">
        <v>204</v>
      </c>
    </row>
    <row r="206" spans="12:27">
      <c r="L206" s="97" t="s">
        <v>634</v>
      </c>
      <c r="M206" t="s">
        <v>647</v>
      </c>
      <c r="N206"/>
      <c r="O206"/>
      <c r="P206"/>
      <c r="Q206" t="s">
        <v>11963</v>
      </c>
      <c r="R206"/>
      <c r="S206"/>
      <c r="T206">
        <v>210</v>
      </c>
      <c r="U206"/>
      <c r="V206"/>
      <c r="W206"/>
      <c r="X206"/>
      <c r="Y206"/>
      <c r="Z206"/>
      <c r="AA206">
        <v>205</v>
      </c>
    </row>
    <row r="207" spans="12:27">
      <c r="L207" s="97" t="s">
        <v>634</v>
      </c>
      <c r="M207" t="s">
        <v>649</v>
      </c>
      <c r="N207"/>
      <c r="O207"/>
      <c r="P207"/>
      <c r="Q207" t="s">
        <v>11961</v>
      </c>
      <c r="R207"/>
      <c r="S207"/>
      <c r="T207">
        <v>210</v>
      </c>
      <c r="U207"/>
      <c r="V207"/>
      <c r="W207"/>
      <c r="X207"/>
      <c r="Y207"/>
      <c r="Z207"/>
      <c r="AA207">
        <v>206</v>
      </c>
    </row>
    <row r="208" spans="12:27">
      <c r="L208" s="97" t="s">
        <v>634</v>
      </c>
      <c r="M208" t="s">
        <v>648</v>
      </c>
      <c r="N208"/>
      <c r="O208"/>
      <c r="P208"/>
      <c r="Q208" t="s">
        <v>11962</v>
      </c>
      <c r="R208"/>
      <c r="S208"/>
      <c r="T208">
        <v>210</v>
      </c>
      <c r="U208"/>
      <c r="V208"/>
      <c r="W208"/>
      <c r="X208"/>
      <c r="Y208"/>
      <c r="Z208"/>
      <c r="AA208">
        <v>207</v>
      </c>
    </row>
    <row r="209" spans="12:27">
      <c r="L209" s="97" t="s">
        <v>555</v>
      </c>
      <c r="M209" t="s">
        <v>11891</v>
      </c>
      <c r="N209" t="s">
        <v>11892</v>
      </c>
      <c r="O209"/>
      <c r="P209"/>
      <c r="Q209"/>
      <c r="R209"/>
      <c r="S209"/>
      <c r="T209">
        <v>5</v>
      </c>
      <c r="U209"/>
      <c r="V209"/>
      <c r="W209"/>
      <c r="X209"/>
      <c r="Y209"/>
      <c r="Z209"/>
      <c r="AA209">
        <v>208</v>
      </c>
    </row>
    <row r="210" spans="12:27">
      <c r="L210" s="97" t="s">
        <v>555</v>
      </c>
      <c r="M210" t="s">
        <v>1619</v>
      </c>
      <c r="N210"/>
      <c r="O210"/>
      <c r="P210"/>
      <c r="Q210" t="s">
        <v>11945</v>
      </c>
      <c r="R210"/>
      <c r="S210"/>
      <c r="T210">
        <v>5</v>
      </c>
      <c r="U210"/>
      <c r="V210"/>
      <c r="W210"/>
      <c r="X210"/>
      <c r="Y210"/>
      <c r="Z210" t="s">
        <v>11946</v>
      </c>
      <c r="AA210">
        <v>209</v>
      </c>
    </row>
    <row r="211" spans="12:27">
      <c r="L211" s="97" t="s">
        <v>634</v>
      </c>
      <c r="M211" t="s">
        <v>12891</v>
      </c>
      <c r="N211"/>
      <c r="O211" t="s">
        <v>435</v>
      </c>
      <c r="P211" t="s">
        <v>12893</v>
      </c>
      <c r="Q211" t="s">
        <v>12892</v>
      </c>
      <c r="R211"/>
      <c r="S211"/>
      <c r="T211">
        <v>210</v>
      </c>
      <c r="U211"/>
      <c r="V211"/>
      <c r="W211"/>
      <c r="X211"/>
      <c r="Y211"/>
      <c r="Z211"/>
      <c r="AA211" s="1153">
        <v>210</v>
      </c>
    </row>
    <row r="212" spans="12:27">
      <c r="L212" s="98" t="s">
        <v>557</v>
      </c>
      <c r="M212" t="s">
        <v>17603</v>
      </c>
      <c r="N212"/>
      <c r="O212"/>
      <c r="P212" t="s">
        <v>17598</v>
      </c>
      <c r="Q212"/>
      <c r="R212"/>
      <c r="S212"/>
      <c r="T212" s="1153">
        <v>10</v>
      </c>
      <c r="U212"/>
      <c r="V212"/>
      <c r="W212"/>
      <c r="X212"/>
      <c r="Y212"/>
      <c r="Z212"/>
      <c r="AA212" s="1153">
        <v>211</v>
      </c>
    </row>
    <row r="213" spans="12:27">
      <c r="L213" s="98" t="s">
        <v>557</v>
      </c>
      <c r="M213" t="s">
        <v>1575</v>
      </c>
      <c r="N213"/>
      <c r="O213"/>
      <c r="P213" t="s">
        <v>17599</v>
      </c>
      <c r="Q213" t="s">
        <v>17600</v>
      </c>
      <c r="R213"/>
      <c r="S213"/>
      <c r="T213" s="1153">
        <v>10</v>
      </c>
      <c r="U213"/>
      <c r="V213"/>
      <c r="W213"/>
      <c r="X213"/>
      <c r="Y213"/>
      <c r="Z213"/>
      <c r="AA213" s="1153">
        <v>212</v>
      </c>
    </row>
    <row r="214" spans="12:27">
      <c r="L214" s="98" t="s">
        <v>557</v>
      </c>
      <c r="M214" t="s">
        <v>17622</v>
      </c>
      <c r="N214"/>
      <c r="O214"/>
      <c r="P214"/>
      <c r="Q214" t="s">
        <v>17623</v>
      </c>
      <c r="R214"/>
      <c r="S214"/>
      <c r="T214" s="1153">
        <v>10</v>
      </c>
      <c r="U214"/>
      <c r="V214"/>
      <c r="W214"/>
      <c r="X214"/>
      <c r="Y214"/>
      <c r="Z214"/>
      <c r="AA214" s="1153">
        <v>213</v>
      </c>
    </row>
  </sheetData>
  <phoneticPr fontId="182" type="noConversion"/>
  <hyperlinks>
    <hyperlink ref="Z9" r:id="rId1" xr:uid="{64E45DF5-1C3E-4BBE-A600-18D8D960E420}"/>
    <hyperlink ref="Z3" r:id="rId2" display="http://forum.candlekeep.com/topic.asp?TOPIC_ID=9685&amp;whichpage=9&amp;SearchTerms=HIGHKNIGHTS" xr:uid="{79888F4A-8231-418A-B5CF-6FAEF82C1854}"/>
    <hyperlink ref="Z4" r:id="rId3" display="http://forum.candlekeep.com/topic.asp?TOPIC_ID=9685&amp;whichpage=9&amp;SearchTerms=HIGHKNIGHTS" xr:uid="{72553B24-8013-48D0-9866-2572946D5C43}"/>
    <hyperlink ref="Z5" r:id="rId4" display="http://forum.candlekeep.com/topic.asp?TOPIC_ID=9685&amp;whichpage=9&amp;SearchTerms=HIGHKNIGHTS" xr:uid="{897B54A3-00D7-453E-BD4C-8E24662E4FE2}"/>
    <hyperlink ref="Z210" r:id="rId5" xr:uid="{E962C885-768A-4EB7-82BC-C5AFBE6385A4}"/>
    <hyperlink ref="P194" r:id="rId6" xr:uid="{2C62631E-6A08-4CC6-AE98-B64AF17A0CDF}"/>
    <hyperlink ref="Z15" r:id="rId7" display="http://web.archive.org/web/20140822081805/http:/home.swipnet.se/~w-21845/ROYAL.htm" xr:uid="{2E10C3E7-E6C4-490C-B665-B1F44E578144}"/>
    <hyperlink ref="Z36" r:id="rId8" xr:uid="{EAE6EC62-2A49-4109-B960-5A12D36F61AB}"/>
  </hyperlinks>
  <pageMargins left="0.7" right="0.7" top="0.75" bottom="0.75" header="0.3" footer="0.3"/>
  <pageSetup paperSize="9" orientation="portrait" r:id="rId9"/>
  <drawing r:id="rId10"/>
  <legacyDrawing r:id="rId11"/>
  <tableParts count="2">
    <tablePart r:id="rId12"/>
    <tablePart r:id="rId1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5ABE1-3FE8-4933-9970-ADAB5C5DC892}">
  <sheetPr codeName="Аркуш24">
    <tabColor rgb="FF7030A0"/>
  </sheetPr>
  <dimension ref="A1:K269"/>
  <sheetViews>
    <sheetView topLeftCell="G11" zoomScale="85" zoomScaleNormal="85" workbookViewId="0">
      <selection activeCell="I36" sqref="I36"/>
    </sheetView>
  </sheetViews>
  <sheetFormatPr defaultRowHeight="14.25"/>
  <cols>
    <col min="1" max="1" width="10.77734375" style="57" customWidth="1"/>
    <col min="2" max="2" width="10.77734375" style="27" customWidth="1"/>
    <col min="3" max="5" width="10.77734375" style="2" customWidth="1"/>
    <col min="6" max="6" width="88.44140625" style="2" customWidth="1"/>
    <col min="7" max="7" width="23.21875" style="2" customWidth="1"/>
    <col min="8" max="9" width="8.88671875" style="2"/>
    <col min="10" max="11" width="10.33203125" style="2" customWidth="1"/>
    <col min="12" max="16384" width="8.88671875" style="2"/>
  </cols>
  <sheetData>
    <row r="1" spans="1:11" ht="21">
      <c r="A1" s="769" t="s">
        <v>11468</v>
      </c>
      <c r="B1" s="768" t="s">
        <v>7382</v>
      </c>
      <c r="C1" s="762" t="s">
        <v>11469</v>
      </c>
      <c r="D1" s="762" t="s">
        <v>11587</v>
      </c>
      <c r="E1" s="762" t="s">
        <v>11588</v>
      </c>
      <c r="F1" s="762" t="s">
        <v>8614</v>
      </c>
      <c r="G1" s="762" t="s">
        <v>5608</v>
      </c>
    </row>
    <row r="2" spans="1:11" ht="15">
      <c r="A2" s="770">
        <v>1441</v>
      </c>
      <c r="B2" s="772" t="s">
        <v>11893</v>
      </c>
      <c r="C2" s="680"/>
      <c r="D2" s="680"/>
      <c r="E2" s="680"/>
      <c r="F2" s="680" t="s">
        <v>11894</v>
      </c>
      <c r="G2" s="680"/>
    </row>
    <row r="3" spans="1:11" ht="15">
      <c r="A3" s="771">
        <v>1442</v>
      </c>
      <c r="B3" s="773"/>
      <c r="C3" s="680"/>
      <c r="D3" s="680"/>
      <c r="E3" s="680"/>
      <c r="F3" s="680" t="s">
        <v>8527</v>
      </c>
      <c r="G3" s="680"/>
    </row>
    <row r="4" spans="1:11" ht="15">
      <c r="A4" s="771">
        <v>1448</v>
      </c>
      <c r="B4" s="773"/>
      <c r="C4" s="680"/>
      <c r="D4" s="680"/>
      <c r="E4" s="680"/>
      <c r="F4" s="680" t="s">
        <v>8528</v>
      </c>
      <c r="G4" s="680"/>
    </row>
    <row r="5" spans="1:11" ht="15">
      <c r="A5" s="771">
        <v>1449</v>
      </c>
      <c r="B5" s="773"/>
      <c r="C5" s="680"/>
      <c r="D5" s="680"/>
      <c r="E5" s="680"/>
      <c r="F5" s="680" t="s">
        <v>8529</v>
      </c>
      <c r="G5" s="680"/>
    </row>
    <row r="6" spans="1:11" ht="15">
      <c r="A6" s="771">
        <v>1454</v>
      </c>
      <c r="B6" s="773"/>
      <c r="C6" s="680"/>
      <c r="D6" s="680"/>
      <c r="E6" s="680"/>
      <c r="F6" s="680" t="s">
        <v>8530</v>
      </c>
      <c r="G6" s="680"/>
    </row>
    <row r="7" spans="1:11" ht="15">
      <c r="A7" s="771">
        <v>1460</v>
      </c>
      <c r="B7" s="773"/>
      <c r="C7" s="680"/>
      <c r="D7" s="680"/>
      <c r="E7" s="680"/>
      <c r="F7" s="680" t="s">
        <v>8531</v>
      </c>
      <c r="G7" s="680"/>
    </row>
    <row r="8" spans="1:11" ht="15">
      <c r="A8" s="771">
        <v>1469</v>
      </c>
      <c r="B8" s="773" t="s">
        <v>8525</v>
      </c>
      <c r="C8" s="680"/>
      <c r="D8" s="680"/>
      <c r="E8" s="680"/>
      <c r="F8" s="680" t="s">
        <v>8526</v>
      </c>
      <c r="G8" s="680"/>
    </row>
    <row r="9" spans="1:11" ht="15">
      <c r="A9" s="771">
        <v>1473</v>
      </c>
      <c r="B9" s="773"/>
      <c r="C9" s="680"/>
      <c r="D9" s="680"/>
      <c r="E9" s="680"/>
      <c r="F9" s="680" t="s">
        <v>11886</v>
      </c>
      <c r="G9" s="680"/>
    </row>
    <row r="10" spans="1:11" ht="15">
      <c r="A10" s="771">
        <v>1479</v>
      </c>
      <c r="B10" s="773" t="s">
        <v>10400</v>
      </c>
      <c r="C10" s="681" t="s">
        <v>8616</v>
      </c>
      <c r="D10" s="681"/>
      <c r="E10" s="681"/>
      <c r="F10" s="680" t="s">
        <v>8617</v>
      </c>
      <c r="G10" s="680"/>
    </row>
    <row r="11" spans="1:11" ht="15">
      <c r="A11" s="771">
        <v>1479</v>
      </c>
      <c r="B11" s="773" t="s">
        <v>10400</v>
      </c>
      <c r="C11" s="680"/>
      <c r="D11" s="680"/>
      <c r="E11" s="680"/>
      <c r="F11" s="681" t="s">
        <v>8618</v>
      </c>
      <c r="G11" s="680"/>
      <c r="J11" s="2" t="s">
        <v>551</v>
      </c>
      <c r="K11" s="2" t="s">
        <v>7706</v>
      </c>
    </row>
    <row r="12" spans="1:11" ht="15">
      <c r="A12" s="771">
        <v>1479</v>
      </c>
      <c r="B12" s="772" t="s">
        <v>10400</v>
      </c>
      <c r="C12" s="680"/>
      <c r="D12" s="680"/>
      <c r="E12" s="680"/>
      <c r="F12" s="681" t="s">
        <v>8619</v>
      </c>
      <c r="G12" s="680"/>
      <c r="J12" s="2">
        <v>1479</v>
      </c>
      <c r="K12" s="2" t="str">
        <f>_xlfn.TEXTJOIN(CHAR(10),1,F10:F17)</f>
        <v xml:space="preserve">Manshoon plans to conquer Cormyr via a conspiracy of unsatisfied nobles he influences, as Cormyr is on the brink of civil war. To further his goals he also secretly starts killing War Wizards.(E: EE)
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
The 'Council of Dragons' is canceled and Cormyr tethers on the brink of civil war.(E: EE)
Storm Silverhand travels through the Forest Kingdom, recruiting new Harpers. Meanwhile her sister, the Simbul uses bluefire artifacts to close planar rifts.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House Delcastle is attacked by nobles influenced by Manshoon, Delcastles' Matriarch and retainers are killed in the fight, but most of the attacking nobles die as well.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Storm, Elminster and Mirt the Moneylender start training the new Harpers. (E: EE)
As the Spellplague ends, the post-Weeping spells stop to function and the old ways of magic return. Spellscars start to lose their powers. </v>
      </c>
    </row>
    <row r="13" spans="1:11" ht="15">
      <c r="A13" s="771">
        <v>1479</v>
      </c>
      <c r="B13" s="772" t="s">
        <v>10400</v>
      </c>
      <c r="C13" s="680"/>
      <c r="D13" s="680"/>
      <c r="E13" s="680"/>
      <c r="F13" s="681" t="s">
        <v>8620</v>
      </c>
      <c r="G13" s="680"/>
      <c r="J13" s="2">
        <v>1480</v>
      </c>
    </row>
    <row r="14" spans="1:11" ht="15">
      <c r="A14" s="771">
        <v>1479</v>
      </c>
      <c r="B14" s="772" t="s">
        <v>10400</v>
      </c>
      <c r="C14" s="680"/>
      <c r="D14" s="680"/>
      <c r="E14" s="680"/>
      <c r="F14" s="681" t="s">
        <v>8621</v>
      </c>
      <c r="G14" s="680"/>
      <c r="J14" s="2">
        <v>1481</v>
      </c>
    </row>
    <row r="15" spans="1:11" ht="15">
      <c r="A15" s="771">
        <v>1479</v>
      </c>
      <c r="B15" s="772" t="s">
        <v>10400</v>
      </c>
      <c r="C15" s="680"/>
      <c r="D15" s="680"/>
      <c r="E15" s="680"/>
      <c r="F15" s="681" t="s">
        <v>8622</v>
      </c>
      <c r="G15" s="680"/>
      <c r="J15" s="2">
        <v>1482</v>
      </c>
    </row>
    <row r="16" spans="1:11" ht="15">
      <c r="A16" s="771">
        <v>1479</v>
      </c>
      <c r="B16" s="772" t="s">
        <v>10400</v>
      </c>
      <c r="C16" s="680"/>
      <c r="D16" s="680"/>
      <c r="E16" s="680"/>
      <c r="F16" s="681" t="s">
        <v>8623</v>
      </c>
      <c r="G16" s="680"/>
      <c r="J16" s="2">
        <v>1483</v>
      </c>
    </row>
    <row r="17" spans="1:11" ht="15">
      <c r="A17" s="771">
        <v>1479</v>
      </c>
      <c r="B17" s="772" t="s">
        <v>10400</v>
      </c>
      <c r="C17" s="680"/>
      <c r="D17" s="680"/>
      <c r="E17" s="680"/>
      <c r="F17" s="681" t="s">
        <v>11669</v>
      </c>
      <c r="G17" s="680" t="s">
        <v>11670</v>
      </c>
      <c r="J17" s="2">
        <v>1484</v>
      </c>
      <c r="K17" s="2" t="str">
        <f>_xlfn.TEXTJOIN(CHAR(10),1,F19:F25)</f>
        <v>Sembian villages suffer as in addition to the hardships of the ever gloomy, monster-infested sembian plainlands, ever more mercenaries are called upon by Sembia for it's war.
Sembian forces block the road between Daerlun and Cormyr and are massed all along the borders of the Dalelands 
The Dales have already endured months of attacks by sembian forces. 
The sanctuary 'Abby of the Sword' within the Valley of the Rose is destroyed by minions of Mephistopheles, although only the Oracle Elden Corrinthal alone is killed, as he sent the remaining brothers away to Arabel. 
The god Mask returns into the Realms through his Chosen Riven. Shar's Cycle of Night is broken and the Ordulin-Maelstrom is closed. 
The Sakkors Enclave crashes into the ruins of Ordulin. The Netherese princes Brennus Tanthul and Rivalen Tanthul, Shar's Nightseer, are killed by the falling city. 
Although the shroud over Sembia remains, cracks begin to show in its gloom.</v>
      </c>
    </row>
    <row r="18" spans="1:11" ht="15">
      <c r="A18" s="771">
        <v>1480</v>
      </c>
      <c r="B18" s="772" t="s">
        <v>10403</v>
      </c>
      <c r="C18" s="680"/>
      <c r="D18" s="680"/>
      <c r="E18" s="680"/>
      <c r="F18" s="680"/>
      <c r="G18" s="680"/>
      <c r="J18" s="2">
        <v>1485</v>
      </c>
      <c r="K18" s="2" t="str">
        <f>F26</f>
        <v>• War against Sembia erupts. 
• Cormyr captures Daerlun and Urmlaspyr.</v>
      </c>
    </row>
    <row r="19" spans="1:11" ht="15">
      <c r="A19" s="771">
        <v>1484</v>
      </c>
      <c r="B19" s="772" t="s">
        <v>10402</v>
      </c>
      <c r="C19" s="680"/>
      <c r="D19" s="680"/>
      <c r="E19" s="680"/>
      <c r="F19" s="681" t="s">
        <v>11667</v>
      </c>
      <c r="G19" s="680" t="s">
        <v>11668</v>
      </c>
      <c r="J19" s="2">
        <v>1486</v>
      </c>
      <c r="K19" s="2" t="str">
        <f>_xlfn.TEXTJOIN(CHAR(10),1,F27:F46)</f>
        <v>• Netheril attacks Cormyr from the north sacking much of the northeast and laying siege to Arabel. 
• Wheloon is sacked and prisoners are released. 
• King Foril dies of old age. 
• Marsember is sacked. 
• King Irvel is killed by the Purple Dragon Reborn during the siege of Suzail. 
• Raedra defeats the Purple Dragon Reborn in single combat and Cormyr routs the Shadovar army. 
• Baerovus abdicates the throne to Raedra.
King Foril Obarskyr dies in his sleep. 
The Chosen of Lathander Stedd Whitehorn heals the mental deterioration of the Emerald Enclave's elven leader Lady Cindermoon, now Shadowmoon, longtime Chosen of Silvanus.  Due to the Great Rain the holy island of Ilighôn is reborn and Turmish's capital Alaghôn becomes a port again. 
The Turmish fleet battles an pirate armada under the command of Umberlee's Chosen, the undead pirate Evendure. The pirates are beaten and Evendur is apparently killed by the turmish pirate captain Anton Marivaldi.
: After months the 'Great Rain' comes to an end. The waters of the Sea of Fallen Stars have swollen so greatly, that it's shores now resemble something akin to the shoreline from before the Spellplague again. 
The shadow fiends of Wheloon escape their prison and march on Marsember. 
The city of Marsember is sacked by the Shadovar. Grand Duke Farninger Seasilver wants to flee to Elversult but is slain by Prince Yder Tanthul of Netheril.
The river Arrabar is in slow flood as the Sea of Fallen Stars seeps back into the Vilhon Reach, only slowed by a line of earthmotes the goddess Chauntea had dropped across the valley, allowing her faithful time to bring in the harvest. 
The god Helm returns to the Realms due to the faith of his Chosen Kleef Kenric.Prince Yder Tanthul is slain in battle against Helm's Chosen Kleef Kenric.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King Irvil Obarskyr of Cormyr dies
Shadowwalkers from the Hall of Shadows reinforce the Shadowvar army besieging Suzail. Suzails walls are briefly breached by the shades. Although the shadow warriors kill many not one of them is able to open the gates before being slain. 
 War wizards close the portal within the Forgotten Keep, cutting of Netheril's supplies in the region, breaking the siege of Arabel.
Festival of the Feast of the Moon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
Cormyr: Shadowwalkers from the Hall of Shadows reinforce the Shadowvar army besieging Suzail. Suzails walls are briefly breached by the shades. Although the shadow warriors kill many not one of them is able to open the gates before being slain. 
Crown prince Baerovus abdicts the throne in favor of his sister Raedra Obarskyr, who is to be officially crowned in a tenday.</v>
      </c>
    </row>
    <row r="20" spans="1:11" ht="15">
      <c r="A20" s="771">
        <v>1484</v>
      </c>
      <c r="B20" s="772" t="s">
        <v>10402</v>
      </c>
      <c r="C20" s="680"/>
      <c r="D20" s="680"/>
      <c r="E20" s="680"/>
      <c r="F20" s="681" t="s">
        <v>11665</v>
      </c>
      <c r="G20" s="680" t="s">
        <v>11666</v>
      </c>
      <c r="J20" s="2">
        <v>1487</v>
      </c>
      <c r="K20" s="2" t="str">
        <f>_xlfn.TEXTJOIN(CHAR(10),1,F47:F69)</f>
        <v xml:space="preserve">The shores of Cormyr are still flooded because of the Great Rain 
Rumors that Myth Drannor and the Dales have fallen reach Suzail, but not everyone believes in them. 
Shade Enclave: The city of Shade itself is moved against Myth Drannor.
The Second Fall of Myth Drannor
Larloch attacks the baelnorns and magics of Myth Drannor. 
High Prince Tanthul and his arcanist begin the ward-drain ritual devised by Prince Drathan Tanthul to drain the Mythal of Myth Drannor. (S:TH pg.)
Terrible monsters appear within the lines of the netherese mercenaries.
Prince Vattick Tanthul of Netheril is killed by Dove Falconhand
Dove Falconhand succumbs to her injuries after she called the baelnorns of Myth Drannors' tombs to defend the city. 
The Srinshee appears to defend Myth Drannor. 
Prince Mattick Thantul, witnessing the power of the Srinshee, flees the fight of Myth Drannor
As the baelnorn of Myth Drannor fight the mercenary army, the dead of Myth Drannor begin to sing.
Larloch shatters the minds of many of shade's finest arcanists, among them Prince Aglarel. 
The Shrinshee orders the baelnorn to protect the 'Tree of Souls'. They form a magical shield around the tree, that even shields the tree from the later impact of the Shade Enclave. 
The Srinshee sacrifices herself to wrest the magical energies from Larloch and High Prince Tanthul and strengthens the Weave with the power of the city's mythal and the wards of Candlekeep. 
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The last remaining defenders of the City of Song, among them Coronal Ilsevele Miritar and her consort Flar Starbrow, were rescued by the Srinshee and transported to Semberholme. The living elves temporarily abandon Myth Drannor. 
Only few Shadovar survive the fall of their city, among them the sisters Manarlume and Lelavdra Tanthul and the arcanist Gwelt who later form a secret society, collecting surviving Thulthantans within the 'Court of the Three', which is located within the least damaged ruins of the former Citadel of the Raven. They also plan to retake surving netherese cities. 
Tabra, a female archmage and last apprentice of the netherese arcanist Ioulaum, who had been captured, tortured and disfigured by Telamont Tantul, is freed from stasis by the death of the High Prince. In revenge she sets out to destroy surviving Shadovar arcanists. 
Vangerdhast is returned to human form by Mystra 
Abeir and Toril are apart again. The Sundering has ended. </v>
      </c>
    </row>
    <row r="21" spans="1:11" ht="15">
      <c r="A21" s="771">
        <v>1484</v>
      </c>
      <c r="B21" s="772" t="s">
        <v>10402</v>
      </c>
      <c r="C21" s="680"/>
      <c r="D21" s="680"/>
      <c r="E21" s="680"/>
      <c r="F21" s="681" t="s">
        <v>11663</v>
      </c>
      <c r="G21" s="680" t="s">
        <v>11664</v>
      </c>
      <c r="J21" s="2">
        <v>1488</v>
      </c>
      <c r="K21" s="2" t="str">
        <f>F70&amp;" "&amp;F71</f>
        <v>Throughout much of Faerun, the winter of 1487 and 1488 lasted longer than any on record. The solstices and equinoxes had somehow drifted. Later seasons followed suit, with each starting and ending later than expected.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The 'negotiations' for the ownership of the Lost Spell that take place inside 'Oldspires' claim the lives of archmages Maraunth Torr, Skouloun and Yusendre of Nimbral, Runemaster Calathlarra, Shaaan the Serpent Queen and Alastra Hathwinter.</v>
      </c>
    </row>
    <row r="22" spans="1:11" ht="15">
      <c r="A22" s="771">
        <v>1484</v>
      </c>
      <c r="B22" s="772" t="s">
        <v>10402</v>
      </c>
      <c r="C22" s="680"/>
      <c r="D22" s="680"/>
      <c r="E22" s="680"/>
      <c r="F22" s="681" t="s">
        <v>11661</v>
      </c>
      <c r="G22" s="680" t="s">
        <v>11662</v>
      </c>
      <c r="J22" s="2">
        <v>1489</v>
      </c>
      <c r="K22" s="2" t="str">
        <f>F72&amp;F73&amp;F74</f>
        <v>Sembia dissolves into a collection of city-states.TYRANNY OF DRAGONS HODQRIME OF THE FROSTMAIDEN</v>
      </c>
    </row>
    <row r="23" spans="1:11" ht="15">
      <c r="A23" s="771">
        <v>1484</v>
      </c>
      <c r="B23" s="772" t="s">
        <v>10402</v>
      </c>
      <c r="C23" s="680"/>
      <c r="D23" s="680"/>
      <c r="E23" s="680"/>
      <c r="F23" s="681" t="s">
        <v>11659</v>
      </c>
      <c r="G23" s="680" t="s">
        <v>11660</v>
      </c>
      <c r="J23" s="2">
        <v>1490</v>
      </c>
      <c r="K23" s="2" t="str">
        <f>F75&amp;F76&amp;F77</f>
        <v>POTATYRANNY OF DRAGONS, Elemental EvilRage of Demons</v>
      </c>
    </row>
    <row r="24" spans="1:11" ht="15">
      <c r="A24" s="771">
        <v>1484</v>
      </c>
      <c r="B24" s="772" t="s">
        <v>10402</v>
      </c>
      <c r="C24" s="680"/>
      <c r="D24" s="680"/>
      <c r="E24" s="680"/>
      <c r="F24" s="681" t="s">
        <v>11594</v>
      </c>
      <c r="G24" s="680" t="s">
        <v>11595</v>
      </c>
      <c r="J24" s="2">
        <v>1491</v>
      </c>
      <c r="K24" s="2" t="str">
        <f>F78&amp;F79&amp;F80</f>
        <v>GiantsLOST TALES OF MYTH DRANNORRed War</v>
      </c>
    </row>
    <row r="25" spans="1:11" ht="15">
      <c r="A25" s="771">
        <v>1484</v>
      </c>
      <c r="B25" s="772" t="s">
        <v>10402</v>
      </c>
      <c r="C25" s="680"/>
      <c r="D25" s="680"/>
      <c r="E25" s="680"/>
      <c r="F25" s="681" t="s">
        <v>11657</v>
      </c>
      <c r="G25" s="680" t="s">
        <v>11658</v>
      </c>
      <c r="J25" s="2">
        <v>1492</v>
      </c>
      <c r="K25" s="2" t="str">
        <f>F81</f>
        <v>Faction alliance begun counter-operation against Red Wizards of Thay</v>
      </c>
    </row>
    <row r="26" spans="1:11" ht="15">
      <c r="A26" s="771">
        <v>1485</v>
      </c>
      <c r="B26" s="772"/>
      <c r="C26" s="680"/>
      <c r="D26" s="680"/>
      <c r="E26" s="680"/>
      <c r="F26" s="680" t="s">
        <v>8524</v>
      </c>
      <c r="G26" s="680"/>
    </row>
    <row r="27" spans="1:11" ht="15">
      <c r="A27" s="771">
        <v>1486</v>
      </c>
      <c r="B27" s="772"/>
      <c r="C27" s="680"/>
      <c r="D27" s="680"/>
      <c r="E27" s="680"/>
      <c r="F27" s="680" t="s">
        <v>8523</v>
      </c>
      <c r="G27" s="680"/>
    </row>
    <row r="28" spans="1:11" ht="15">
      <c r="A28" s="771">
        <v>1486</v>
      </c>
      <c r="B28" s="772" t="s">
        <v>10401</v>
      </c>
      <c r="C28" s="681" t="s">
        <v>11590</v>
      </c>
      <c r="D28" s="681">
        <v>5</v>
      </c>
      <c r="E28" s="681"/>
      <c r="F28" s="681" t="s">
        <v>11592</v>
      </c>
      <c r="G28" s="680" t="s">
        <v>11593</v>
      </c>
    </row>
    <row r="29" spans="1:11" ht="15">
      <c r="A29" s="771">
        <v>1486</v>
      </c>
      <c r="B29" s="772" t="s">
        <v>10401</v>
      </c>
      <c r="C29" s="680"/>
      <c r="D29" s="681"/>
      <c r="E29" s="681" t="s">
        <v>8624</v>
      </c>
      <c r="F29" s="681" t="s">
        <v>11655</v>
      </c>
      <c r="G29" s="680" t="s">
        <v>11656</v>
      </c>
    </row>
    <row r="30" spans="1:11" ht="15">
      <c r="A30" s="771">
        <v>1486</v>
      </c>
      <c r="B30" s="772" t="s">
        <v>10401</v>
      </c>
      <c r="C30" s="680"/>
      <c r="D30" s="680"/>
      <c r="E30" s="680"/>
      <c r="F30" s="681" t="s">
        <v>11653</v>
      </c>
      <c r="G30" s="680" t="s">
        <v>11654</v>
      </c>
    </row>
    <row r="31" spans="1:11" ht="15">
      <c r="A31" s="771">
        <v>1486</v>
      </c>
      <c r="B31" s="772" t="s">
        <v>10401</v>
      </c>
      <c r="C31" s="680"/>
      <c r="D31" s="680"/>
      <c r="E31" s="680" t="s">
        <v>8631</v>
      </c>
      <c r="F31" s="681" t="s">
        <v>11651</v>
      </c>
      <c r="G31" s="680" t="s">
        <v>11652</v>
      </c>
    </row>
    <row r="32" spans="1:11" ht="15">
      <c r="A32" s="771">
        <v>1486</v>
      </c>
      <c r="B32" s="772" t="s">
        <v>10401</v>
      </c>
      <c r="C32" s="681" t="s">
        <v>8625</v>
      </c>
      <c r="D32" s="681"/>
      <c r="E32" s="681"/>
      <c r="F32" s="680" t="s">
        <v>11645</v>
      </c>
      <c r="G32" s="680" t="s">
        <v>11646</v>
      </c>
    </row>
    <row r="33" spans="1:7" ht="15">
      <c r="A33" s="771">
        <v>1486</v>
      </c>
      <c r="B33" s="772" t="s">
        <v>10401</v>
      </c>
      <c r="C33" s="680"/>
      <c r="D33" s="680"/>
      <c r="E33" s="680">
        <v>2</v>
      </c>
      <c r="F33" s="680" t="s">
        <v>11647</v>
      </c>
      <c r="G33" s="680" t="s">
        <v>11648</v>
      </c>
    </row>
    <row r="34" spans="1:7" ht="15">
      <c r="A34" s="771">
        <v>1486</v>
      </c>
      <c r="B34" s="772" t="s">
        <v>10401</v>
      </c>
      <c r="C34" s="680"/>
      <c r="D34" s="681"/>
      <c r="E34" s="681"/>
      <c r="F34" s="680"/>
      <c r="G34" s="680"/>
    </row>
    <row r="35" spans="1:7" ht="15">
      <c r="A35" s="771">
        <v>1486</v>
      </c>
      <c r="B35" s="772" t="s">
        <v>10401</v>
      </c>
      <c r="C35" s="681"/>
      <c r="D35" s="681"/>
      <c r="E35" s="681" t="s">
        <v>8632</v>
      </c>
      <c r="F35" s="1183" t="s">
        <v>11650</v>
      </c>
      <c r="G35" s="680" t="s">
        <v>11649</v>
      </c>
    </row>
    <row r="36" spans="1:7" ht="15">
      <c r="A36" s="771">
        <v>1486</v>
      </c>
      <c r="B36" s="772" t="s">
        <v>10401</v>
      </c>
      <c r="C36" s="680"/>
      <c r="D36" s="680"/>
      <c r="E36" s="680"/>
      <c r="F36" s="681" t="s">
        <v>11643</v>
      </c>
      <c r="G36" s="680" t="s">
        <v>11644</v>
      </c>
    </row>
    <row r="37" spans="1:7" ht="15">
      <c r="A37" s="771">
        <v>1486</v>
      </c>
      <c r="B37" s="772" t="s">
        <v>10401</v>
      </c>
      <c r="C37" s="681" t="s">
        <v>8625</v>
      </c>
      <c r="D37" s="681">
        <v>14</v>
      </c>
      <c r="E37" s="681"/>
      <c r="F37" s="681" t="s">
        <v>10396</v>
      </c>
      <c r="G37" s="680" t="s">
        <v>10395</v>
      </c>
    </row>
    <row r="38" spans="1:7" ht="15">
      <c r="A38" s="771">
        <v>1486</v>
      </c>
      <c r="B38" s="772" t="s">
        <v>10401</v>
      </c>
      <c r="C38" s="681"/>
      <c r="D38" s="681"/>
      <c r="E38" s="681">
        <v>24</v>
      </c>
      <c r="F38" s="681" t="s">
        <v>11642</v>
      </c>
      <c r="G38" s="680" t="s">
        <v>11618</v>
      </c>
    </row>
    <row r="39" spans="1:7" ht="15">
      <c r="A39" s="771">
        <v>1486</v>
      </c>
      <c r="B39" s="772" t="s">
        <v>10401</v>
      </c>
      <c r="C39" s="680"/>
      <c r="D39" s="680"/>
      <c r="E39" s="680"/>
      <c r="F39" s="680" t="s">
        <v>11641</v>
      </c>
      <c r="G39" s="680" t="s">
        <v>11619</v>
      </c>
    </row>
    <row r="40" spans="1:7" ht="15">
      <c r="A40" s="771">
        <v>1486</v>
      </c>
      <c r="B40" s="772" t="s">
        <v>10401</v>
      </c>
      <c r="C40" s="680"/>
      <c r="D40" s="680"/>
      <c r="E40" s="681"/>
      <c r="F40" s="681" t="s">
        <v>8626</v>
      </c>
      <c r="G40" s="680"/>
    </row>
    <row r="41" spans="1:7" ht="15">
      <c r="A41" s="771">
        <v>1486</v>
      </c>
      <c r="B41" s="772" t="s">
        <v>10401</v>
      </c>
      <c r="C41" s="680"/>
      <c r="D41" s="680"/>
      <c r="E41" s="680"/>
      <c r="F41" s="680" t="s">
        <v>10394</v>
      </c>
      <c r="G41" s="680"/>
    </row>
    <row r="42" spans="1:7" ht="15">
      <c r="A42" s="771">
        <v>1486</v>
      </c>
      <c r="B42" s="772" t="s">
        <v>10401</v>
      </c>
      <c r="C42" s="680"/>
      <c r="D42" s="680"/>
      <c r="E42" s="680"/>
      <c r="F42" s="680"/>
      <c r="G42" s="680"/>
    </row>
    <row r="43" spans="1:7" ht="15">
      <c r="A43" s="771">
        <v>1486</v>
      </c>
      <c r="B43" s="772" t="s">
        <v>10401</v>
      </c>
      <c r="C43" s="680"/>
      <c r="D43" s="680"/>
      <c r="E43" s="680"/>
      <c r="F43" s="680"/>
      <c r="G43" s="680"/>
    </row>
    <row r="44" spans="1:7" ht="15">
      <c r="A44" s="771">
        <v>1486</v>
      </c>
      <c r="B44" s="772" t="s">
        <v>10401</v>
      </c>
      <c r="C44" s="680"/>
      <c r="D44" s="680"/>
      <c r="E44" s="680"/>
      <c r="F44" s="681" t="s">
        <v>11617</v>
      </c>
      <c r="G44" s="680" t="s">
        <v>11618</v>
      </c>
    </row>
    <row r="45" spans="1:7" ht="15">
      <c r="A45" s="771">
        <v>1486</v>
      </c>
      <c r="B45" s="772" t="s">
        <v>10401</v>
      </c>
      <c r="C45" s="681" t="s">
        <v>8625</v>
      </c>
      <c r="D45" s="681">
        <v>24</v>
      </c>
      <c r="E45" s="680"/>
      <c r="F45" s="680"/>
      <c r="G45" s="680"/>
    </row>
    <row r="46" spans="1:7" ht="15">
      <c r="A46" s="771">
        <v>1486</v>
      </c>
      <c r="B46" s="772" t="s">
        <v>10401</v>
      </c>
      <c r="C46" s="681" t="s">
        <v>11591</v>
      </c>
      <c r="D46" s="681">
        <v>5</v>
      </c>
      <c r="E46" s="681"/>
      <c r="F46" s="681" t="s">
        <v>8627</v>
      </c>
      <c r="G46" s="680"/>
    </row>
    <row r="47" spans="1:7" ht="15">
      <c r="A47" s="771">
        <v>1487</v>
      </c>
      <c r="B47" s="772" t="s">
        <v>10397</v>
      </c>
      <c r="C47" s="680"/>
      <c r="D47" s="680"/>
      <c r="E47" s="680"/>
      <c r="F47" s="680"/>
      <c r="G47" s="680"/>
    </row>
    <row r="48" spans="1:7" ht="15">
      <c r="A48" s="771">
        <v>1487</v>
      </c>
      <c r="B48" s="772" t="s">
        <v>10397</v>
      </c>
      <c r="C48" s="681" t="s">
        <v>11589</v>
      </c>
      <c r="D48" s="681"/>
      <c r="E48" s="680"/>
      <c r="F48" s="681"/>
      <c r="G48" s="680"/>
    </row>
    <row r="49" spans="1:7" ht="15">
      <c r="A49" s="771">
        <v>1487</v>
      </c>
      <c r="B49" s="772" t="s">
        <v>10397</v>
      </c>
      <c r="C49" s="680" t="s">
        <v>8628</v>
      </c>
      <c r="D49" s="681">
        <v>12</v>
      </c>
      <c r="E49" s="680"/>
      <c r="F49" s="681" t="s">
        <v>11596</v>
      </c>
      <c r="G49" s="680" t="s">
        <v>11597</v>
      </c>
    </row>
    <row r="50" spans="1:7" ht="15">
      <c r="A50" s="771">
        <v>1487</v>
      </c>
      <c r="B50" s="772" t="s">
        <v>10397</v>
      </c>
      <c r="C50" s="680" t="s">
        <v>8628</v>
      </c>
      <c r="D50" s="680">
        <v>13</v>
      </c>
      <c r="E50" s="681"/>
      <c r="F50" s="681" t="s">
        <v>11598</v>
      </c>
      <c r="G50" s="680" t="s">
        <v>11599</v>
      </c>
    </row>
    <row r="51" spans="1:7" ht="15">
      <c r="A51" s="771">
        <v>1487</v>
      </c>
      <c r="B51" s="772" t="s">
        <v>10397</v>
      </c>
      <c r="C51" s="680"/>
      <c r="D51" s="680">
        <v>13</v>
      </c>
      <c r="E51" s="680"/>
      <c r="F51" s="681" t="s">
        <v>11600</v>
      </c>
      <c r="G51" s="680" t="s">
        <v>11601</v>
      </c>
    </row>
    <row r="52" spans="1:7" ht="15">
      <c r="A52" s="771">
        <v>1487</v>
      </c>
      <c r="B52" s="772" t="s">
        <v>10397</v>
      </c>
      <c r="C52" s="680"/>
      <c r="D52" s="680">
        <v>13</v>
      </c>
      <c r="E52" s="679"/>
      <c r="F52" s="680" t="s">
        <v>8629</v>
      </c>
      <c r="G52" s="680"/>
    </row>
    <row r="53" spans="1:7" ht="15">
      <c r="A53" s="771">
        <v>1487</v>
      </c>
      <c r="B53" s="772" t="s">
        <v>10397</v>
      </c>
      <c r="C53" s="680"/>
      <c r="D53" s="680">
        <v>13</v>
      </c>
      <c r="E53" s="681"/>
      <c r="F53" s="680" t="s">
        <v>11639</v>
      </c>
      <c r="G53" s="680" t="s">
        <v>11640</v>
      </c>
    </row>
    <row r="54" spans="1:7" ht="15">
      <c r="A54" s="771">
        <v>1487</v>
      </c>
      <c r="B54" s="772" t="s">
        <v>10397</v>
      </c>
      <c r="C54" s="680"/>
      <c r="D54" s="680">
        <v>13</v>
      </c>
      <c r="E54" s="680"/>
      <c r="F54" s="680" t="s">
        <v>8630</v>
      </c>
      <c r="G54" s="680"/>
    </row>
    <row r="55" spans="1:7" ht="15">
      <c r="A55" s="771">
        <v>1487</v>
      </c>
      <c r="B55" s="772" t="s">
        <v>10397</v>
      </c>
      <c r="C55" s="680"/>
      <c r="D55" s="680">
        <v>13</v>
      </c>
      <c r="E55" s="680"/>
      <c r="F55" s="680" t="s">
        <v>11637</v>
      </c>
      <c r="G55" s="680" t="s">
        <v>11638</v>
      </c>
    </row>
    <row r="56" spans="1:7" ht="15">
      <c r="A56" s="771">
        <v>1487</v>
      </c>
      <c r="B56" s="772" t="s">
        <v>10397</v>
      </c>
      <c r="C56" s="680"/>
      <c r="D56" s="680">
        <v>13</v>
      </c>
      <c r="E56" s="681"/>
      <c r="F56" s="680" t="s">
        <v>11620</v>
      </c>
      <c r="G56" s="680" t="s">
        <v>11621</v>
      </c>
    </row>
    <row r="57" spans="1:7" ht="15">
      <c r="A57" s="771">
        <v>1487</v>
      </c>
      <c r="B57" s="772" t="s">
        <v>10397</v>
      </c>
      <c r="C57" s="680"/>
      <c r="D57" s="680">
        <v>13</v>
      </c>
      <c r="E57" s="680"/>
      <c r="F57" s="680" t="s">
        <v>11622</v>
      </c>
      <c r="G57" s="680" t="s">
        <v>11623</v>
      </c>
    </row>
    <row r="58" spans="1:7" ht="15">
      <c r="A58" s="771">
        <v>1487</v>
      </c>
      <c r="B58" s="772" t="s">
        <v>10397</v>
      </c>
      <c r="C58" s="680"/>
      <c r="D58" s="680">
        <v>13</v>
      </c>
      <c r="E58" s="680"/>
      <c r="F58" s="680" t="s">
        <v>11624</v>
      </c>
      <c r="G58" s="680" t="s">
        <v>11625</v>
      </c>
    </row>
    <row r="59" spans="1:7" ht="15">
      <c r="A59" s="771">
        <v>1487</v>
      </c>
      <c r="B59" s="772" t="s">
        <v>10397</v>
      </c>
      <c r="C59" s="680"/>
      <c r="D59" s="680">
        <v>13</v>
      </c>
      <c r="E59" s="680"/>
      <c r="F59" s="680" t="s">
        <v>11626</v>
      </c>
      <c r="G59" s="680" t="s">
        <v>11627</v>
      </c>
    </row>
    <row r="60" spans="1:7" ht="15">
      <c r="A60" s="771">
        <v>1487</v>
      </c>
      <c r="B60" s="772" t="s">
        <v>10397</v>
      </c>
      <c r="C60" s="680"/>
      <c r="D60" s="680">
        <v>13</v>
      </c>
      <c r="E60" s="680"/>
      <c r="F60" s="680" t="s">
        <v>11628</v>
      </c>
      <c r="G60" s="680" t="s">
        <v>11629</v>
      </c>
    </row>
    <row r="61" spans="1:7" ht="15">
      <c r="A61" s="771">
        <v>1487</v>
      </c>
      <c r="B61" s="772" t="s">
        <v>10397</v>
      </c>
      <c r="C61" s="680"/>
      <c r="D61" s="680">
        <v>13</v>
      </c>
      <c r="E61" s="680"/>
      <c r="F61" s="680" t="s">
        <v>11630</v>
      </c>
      <c r="G61" s="680" t="s">
        <v>11631</v>
      </c>
    </row>
    <row r="62" spans="1:7" ht="15">
      <c r="A62" s="771">
        <v>1487</v>
      </c>
      <c r="B62" s="772" t="s">
        <v>10397</v>
      </c>
      <c r="C62" s="680"/>
      <c r="D62" s="680">
        <v>13</v>
      </c>
      <c r="E62" s="680"/>
      <c r="F62" s="680" t="s">
        <v>11632</v>
      </c>
      <c r="G62" s="680" t="s">
        <v>11612</v>
      </c>
    </row>
    <row r="63" spans="1:7" ht="15">
      <c r="A63" s="771">
        <v>1487</v>
      </c>
      <c r="B63" s="772" t="s">
        <v>10397</v>
      </c>
      <c r="C63" s="680"/>
      <c r="D63" s="680">
        <v>13</v>
      </c>
      <c r="E63" s="680"/>
      <c r="F63" s="680" t="s">
        <v>11615</v>
      </c>
      <c r="G63" s="680" t="s">
        <v>11616</v>
      </c>
    </row>
    <row r="64" spans="1:7" ht="15">
      <c r="A64" s="771">
        <v>1487</v>
      </c>
      <c r="B64" s="772" t="s">
        <v>10397</v>
      </c>
      <c r="C64" s="680"/>
      <c r="D64" s="680">
        <v>13</v>
      </c>
      <c r="E64" s="680"/>
      <c r="F64" s="680" t="s">
        <v>11613</v>
      </c>
      <c r="G64" s="680" t="s">
        <v>11614</v>
      </c>
    </row>
    <row r="65" spans="1:7" ht="15">
      <c r="A65" s="771">
        <v>1487</v>
      </c>
      <c r="B65" s="772" t="s">
        <v>10397</v>
      </c>
      <c r="C65" s="680"/>
      <c r="D65" s="680">
        <v>13</v>
      </c>
      <c r="E65" s="680"/>
      <c r="F65" s="1184" t="s">
        <v>11633</v>
      </c>
      <c r="G65" s="680" t="s">
        <v>11634</v>
      </c>
    </row>
    <row r="66" spans="1:7" ht="15">
      <c r="A66" s="771">
        <v>1487</v>
      </c>
      <c r="B66" s="772" t="s">
        <v>10397</v>
      </c>
      <c r="C66" s="680"/>
      <c r="D66" s="680">
        <v>13</v>
      </c>
      <c r="E66" s="680"/>
      <c r="F66" s="1184" t="s">
        <v>11635</v>
      </c>
      <c r="G66" s="680" t="s">
        <v>11636</v>
      </c>
    </row>
    <row r="67" spans="1:7" ht="15">
      <c r="A67" s="771">
        <v>1487</v>
      </c>
      <c r="B67" s="772" t="s">
        <v>10397</v>
      </c>
      <c r="C67" s="680"/>
      <c r="D67" s="680">
        <v>13</v>
      </c>
      <c r="E67" s="680"/>
      <c r="F67" s="1184" t="s">
        <v>11610</v>
      </c>
      <c r="G67" s="680" t="s">
        <v>11611</v>
      </c>
    </row>
    <row r="68" spans="1:7" ht="15">
      <c r="A68" s="771">
        <v>1487</v>
      </c>
      <c r="B68" s="772" t="s">
        <v>10397</v>
      </c>
      <c r="C68" s="681" t="s">
        <v>11589</v>
      </c>
      <c r="D68" s="681">
        <v>14</v>
      </c>
      <c r="E68" s="681"/>
      <c r="F68" s="681" t="s">
        <v>11602</v>
      </c>
      <c r="G68" s="680" t="s">
        <v>11603</v>
      </c>
    </row>
    <row r="69" spans="1:7" ht="15">
      <c r="A69" s="771">
        <v>1487</v>
      </c>
      <c r="B69" s="772" t="s">
        <v>10397</v>
      </c>
      <c r="C69" s="680" t="s">
        <v>11589</v>
      </c>
      <c r="D69" s="680">
        <v>14</v>
      </c>
      <c r="E69" s="680"/>
      <c r="F69" s="681" t="s">
        <v>11604</v>
      </c>
      <c r="G69" s="680" t="s">
        <v>11605</v>
      </c>
    </row>
    <row r="70" spans="1:7" ht="15">
      <c r="A70" s="771">
        <v>1488</v>
      </c>
      <c r="B70" s="772" t="s">
        <v>10393</v>
      </c>
      <c r="C70" s="680"/>
      <c r="D70" s="680"/>
      <c r="E70" s="680"/>
      <c r="F70" s="680" t="s">
        <v>11606</v>
      </c>
      <c r="G70" s="680" t="s">
        <v>11607</v>
      </c>
    </row>
    <row r="71" spans="1:7" ht="15">
      <c r="A71" s="771">
        <v>1488</v>
      </c>
      <c r="B71" s="772"/>
      <c r="C71" s="680"/>
      <c r="D71" s="680"/>
      <c r="E71" s="680"/>
      <c r="F71" s="680" t="s">
        <v>11895</v>
      </c>
      <c r="G71" s="680" t="s">
        <v>11608</v>
      </c>
    </row>
    <row r="72" spans="1:7" ht="15">
      <c r="A72" s="771">
        <v>1489</v>
      </c>
      <c r="B72" s="772" t="s">
        <v>10398</v>
      </c>
      <c r="C72" s="680"/>
      <c r="D72" s="680"/>
      <c r="E72" s="680"/>
      <c r="F72" s="681" t="s">
        <v>11609</v>
      </c>
      <c r="G72" s="680" t="s">
        <v>10399</v>
      </c>
    </row>
    <row r="73" spans="1:7" ht="15">
      <c r="A73" s="771">
        <v>1489</v>
      </c>
      <c r="B73" s="772" t="s">
        <v>10398</v>
      </c>
      <c r="C73" s="680"/>
      <c r="D73" s="680"/>
      <c r="E73" s="680"/>
      <c r="F73" s="680" t="s">
        <v>11672</v>
      </c>
      <c r="G73" s="680" t="s">
        <v>11672</v>
      </c>
    </row>
    <row r="74" spans="1:7" ht="15">
      <c r="A74" s="771">
        <v>1489</v>
      </c>
      <c r="B74" s="772" t="s">
        <v>10398</v>
      </c>
      <c r="C74" s="680"/>
      <c r="D74" s="680"/>
      <c r="E74" s="680"/>
      <c r="F74" s="680" t="s">
        <v>11671</v>
      </c>
      <c r="G74" s="680" t="s">
        <v>11671</v>
      </c>
    </row>
    <row r="75" spans="1:7" ht="15">
      <c r="A75" s="771">
        <v>1490</v>
      </c>
      <c r="B75" s="772" t="s">
        <v>10398</v>
      </c>
      <c r="C75" s="680"/>
      <c r="D75" s="680"/>
      <c r="E75" s="680"/>
      <c r="F75" s="680" t="s">
        <v>11675</v>
      </c>
      <c r="G75" s="680" t="s">
        <v>11675</v>
      </c>
    </row>
    <row r="76" spans="1:7" ht="15">
      <c r="A76" s="771">
        <v>1490</v>
      </c>
      <c r="B76" s="772"/>
      <c r="C76" s="680"/>
      <c r="D76" s="680"/>
      <c r="E76" s="680"/>
      <c r="F76" s="680" t="s">
        <v>11879</v>
      </c>
      <c r="G76" s="680" t="s">
        <v>11673</v>
      </c>
    </row>
    <row r="77" spans="1:7" ht="15">
      <c r="A77" s="771">
        <v>1490</v>
      </c>
      <c r="B77" s="772"/>
      <c r="C77" s="680"/>
      <c r="D77" s="680"/>
      <c r="E77" s="680"/>
      <c r="F77" s="680" t="s">
        <v>11880</v>
      </c>
      <c r="G77" s="680" t="s">
        <v>11674</v>
      </c>
    </row>
    <row r="78" spans="1:7" ht="15">
      <c r="A78" s="771">
        <v>1491</v>
      </c>
      <c r="B78" s="772"/>
      <c r="C78" s="680"/>
      <c r="D78" s="680"/>
      <c r="E78" s="680"/>
      <c r="F78" s="680" t="s">
        <v>5822</v>
      </c>
      <c r="G78" s="680" t="s">
        <v>10077</v>
      </c>
    </row>
    <row r="79" spans="1:7" ht="15">
      <c r="A79" s="771">
        <v>1491</v>
      </c>
      <c r="B79" s="772"/>
      <c r="C79" s="680"/>
      <c r="D79" s="680"/>
      <c r="E79" s="680"/>
      <c r="F79" s="680" t="s">
        <v>11676</v>
      </c>
      <c r="G79" s="680" t="s">
        <v>11883</v>
      </c>
    </row>
    <row r="80" spans="1:7" ht="15">
      <c r="A80" s="771">
        <v>1491</v>
      </c>
      <c r="B80" s="772"/>
      <c r="C80" s="680"/>
      <c r="D80" s="680"/>
      <c r="E80" s="680"/>
      <c r="F80" s="680" t="s">
        <v>11881</v>
      </c>
      <c r="G80" s="680" t="s">
        <v>11884</v>
      </c>
    </row>
    <row r="81" spans="1:7" ht="15">
      <c r="A81" s="771">
        <v>1492</v>
      </c>
      <c r="B81" s="772" t="s">
        <v>12576</v>
      </c>
      <c r="C81" s="680"/>
      <c r="D81" s="680"/>
      <c r="E81" s="680"/>
      <c r="F81" s="680" t="s">
        <v>11882</v>
      </c>
      <c r="G81" s="680" t="s">
        <v>11885</v>
      </c>
    </row>
    <row r="82" spans="1:7" ht="15">
      <c r="A82" s="774">
        <v>1493</v>
      </c>
      <c r="B82" s="775" t="s">
        <v>11878</v>
      </c>
      <c r="C82" s="776"/>
      <c r="D82" s="776"/>
      <c r="E82" s="776"/>
      <c r="F82" s="776" t="s">
        <v>11474</v>
      </c>
      <c r="G82" s="776"/>
    </row>
    <row r="83" spans="1:7" ht="15">
      <c r="A83" s="770"/>
      <c r="B83" s="772"/>
      <c r="C83" s="680"/>
      <c r="D83" s="680"/>
      <c r="E83" s="680"/>
      <c r="F83" s="680"/>
      <c r="G83" s="680"/>
    </row>
    <row r="84" spans="1:7" ht="15">
      <c r="A84" s="770"/>
      <c r="B84" s="772"/>
      <c r="C84" s="680"/>
      <c r="D84" s="680"/>
      <c r="E84" s="680"/>
      <c r="F84" s="680"/>
      <c r="G84" s="680"/>
    </row>
    <row r="89" spans="1:7">
      <c r="A89" s="57" t="s">
        <v>11468</v>
      </c>
      <c r="B89" s="27" t="s">
        <v>11469</v>
      </c>
      <c r="C89" s="2" t="s">
        <v>11470</v>
      </c>
    </row>
    <row r="90" spans="1:7">
      <c r="A90" s="57">
        <v>1479</v>
      </c>
      <c r="B90" s="1151" t="s">
        <v>7337</v>
      </c>
      <c r="C90" s="2" t="s">
        <v>11471</v>
      </c>
    </row>
    <row r="91" spans="1:7">
      <c r="A91" s="57">
        <v>1479</v>
      </c>
      <c r="B91" s="1151" t="s">
        <v>7339</v>
      </c>
      <c r="C91" s="2" t="s">
        <v>11472</v>
      </c>
    </row>
    <row r="92" spans="1:7">
      <c r="A92" s="57">
        <v>1479</v>
      </c>
      <c r="B92" s="1151" t="s">
        <v>7342</v>
      </c>
      <c r="C92" s="1185" t="s">
        <v>11473</v>
      </c>
    </row>
    <row r="93" spans="1:7">
      <c r="A93" s="57">
        <v>1479</v>
      </c>
      <c r="B93" s="1152" t="s">
        <v>7345</v>
      </c>
    </row>
    <row r="94" spans="1:7">
      <c r="A94" s="57">
        <v>1479</v>
      </c>
      <c r="B94" s="1152" t="s">
        <v>7348</v>
      </c>
    </row>
    <row r="95" spans="1:7">
      <c r="A95" s="57">
        <v>1479</v>
      </c>
      <c r="B95" s="1152" t="s">
        <v>7350</v>
      </c>
    </row>
    <row r="96" spans="1:7">
      <c r="A96" s="57">
        <v>1479</v>
      </c>
      <c r="B96" s="1152" t="s">
        <v>7352</v>
      </c>
    </row>
    <row r="97" spans="1:2">
      <c r="A97" s="57">
        <v>1479</v>
      </c>
      <c r="B97" s="1152" t="s">
        <v>7354</v>
      </c>
    </row>
    <row r="98" spans="1:2">
      <c r="A98" s="57">
        <v>1479</v>
      </c>
      <c r="B98" s="1152" t="s">
        <v>7356</v>
      </c>
    </row>
    <row r="99" spans="1:2">
      <c r="A99" s="57">
        <v>1479</v>
      </c>
      <c r="B99" s="1152" t="s">
        <v>7358</v>
      </c>
    </row>
    <row r="100" spans="1:2">
      <c r="A100" s="57">
        <v>1479</v>
      </c>
      <c r="B100" s="1152" t="s">
        <v>7360</v>
      </c>
    </row>
    <row r="101" spans="1:2">
      <c r="A101" s="57">
        <v>1479</v>
      </c>
      <c r="B101" s="1152" t="s">
        <v>7362</v>
      </c>
    </row>
    <row r="102" spans="1:2">
      <c r="A102" s="57">
        <v>1480</v>
      </c>
      <c r="B102" s="1151" t="s">
        <v>7337</v>
      </c>
    </row>
    <row r="103" spans="1:2">
      <c r="A103" s="57">
        <v>1480</v>
      </c>
      <c r="B103" s="1151" t="s">
        <v>7339</v>
      </c>
    </row>
    <row r="104" spans="1:2">
      <c r="A104" s="57">
        <v>1480</v>
      </c>
      <c r="B104" s="1151" t="s">
        <v>7342</v>
      </c>
    </row>
    <row r="105" spans="1:2">
      <c r="A105" s="57">
        <v>1480</v>
      </c>
      <c r="B105" s="1152" t="s">
        <v>7345</v>
      </c>
    </row>
    <row r="106" spans="1:2">
      <c r="A106" s="57">
        <v>1480</v>
      </c>
      <c r="B106" s="1152" t="s">
        <v>7348</v>
      </c>
    </row>
    <row r="107" spans="1:2">
      <c r="A107" s="57">
        <v>1480</v>
      </c>
      <c r="B107" s="1152" t="s">
        <v>7350</v>
      </c>
    </row>
    <row r="108" spans="1:2">
      <c r="A108" s="57">
        <v>1480</v>
      </c>
      <c r="B108" s="1152" t="s">
        <v>7352</v>
      </c>
    </row>
    <row r="109" spans="1:2">
      <c r="A109" s="57">
        <v>1480</v>
      </c>
      <c r="B109" s="1152" t="s">
        <v>7354</v>
      </c>
    </row>
    <row r="110" spans="1:2">
      <c r="A110" s="57">
        <v>1480</v>
      </c>
      <c r="B110" s="1152" t="s">
        <v>7356</v>
      </c>
    </row>
    <row r="111" spans="1:2">
      <c r="A111" s="57">
        <v>1480</v>
      </c>
      <c r="B111" s="1152" t="s">
        <v>7358</v>
      </c>
    </row>
    <row r="112" spans="1:2">
      <c r="A112" s="57">
        <v>1480</v>
      </c>
      <c r="B112" s="1152" t="s">
        <v>7360</v>
      </c>
    </row>
    <row r="113" spans="1:2">
      <c r="A113" s="57">
        <v>1480</v>
      </c>
      <c r="B113" s="1152" t="s">
        <v>7362</v>
      </c>
    </row>
    <row r="114" spans="1:2">
      <c r="A114" s="57">
        <v>1481</v>
      </c>
      <c r="B114" s="1151" t="s">
        <v>7337</v>
      </c>
    </row>
    <row r="115" spans="1:2">
      <c r="A115" s="57">
        <v>1481</v>
      </c>
      <c r="B115" s="1151" t="s">
        <v>7339</v>
      </c>
    </row>
    <row r="116" spans="1:2">
      <c r="A116" s="57">
        <v>1481</v>
      </c>
      <c r="B116" s="1151" t="s">
        <v>7342</v>
      </c>
    </row>
    <row r="117" spans="1:2">
      <c r="A117" s="57">
        <v>1481</v>
      </c>
      <c r="B117" s="1152" t="s">
        <v>7345</v>
      </c>
    </row>
    <row r="118" spans="1:2">
      <c r="A118" s="57">
        <v>1481</v>
      </c>
      <c r="B118" s="1152" t="s">
        <v>7348</v>
      </c>
    </row>
    <row r="119" spans="1:2">
      <c r="A119" s="57">
        <v>1481</v>
      </c>
      <c r="B119" s="1152" t="s">
        <v>7350</v>
      </c>
    </row>
    <row r="120" spans="1:2">
      <c r="A120" s="57">
        <v>1481</v>
      </c>
      <c r="B120" s="1152" t="s">
        <v>7352</v>
      </c>
    </row>
    <row r="121" spans="1:2">
      <c r="A121" s="57">
        <v>1481</v>
      </c>
      <c r="B121" s="1152" t="s">
        <v>7354</v>
      </c>
    </row>
    <row r="122" spans="1:2">
      <c r="A122" s="57">
        <v>1481</v>
      </c>
      <c r="B122" s="1152" t="s">
        <v>7356</v>
      </c>
    </row>
    <row r="123" spans="1:2">
      <c r="A123" s="57">
        <v>1481</v>
      </c>
      <c r="B123" s="1152" t="s">
        <v>7358</v>
      </c>
    </row>
    <row r="124" spans="1:2">
      <c r="A124" s="57">
        <v>1481</v>
      </c>
      <c r="B124" s="1152" t="s">
        <v>7360</v>
      </c>
    </row>
    <row r="125" spans="1:2">
      <c r="A125" s="57">
        <v>1481</v>
      </c>
      <c r="B125" s="1152" t="s">
        <v>7362</v>
      </c>
    </row>
    <row r="126" spans="1:2">
      <c r="A126" s="57">
        <v>1482</v>
      </c>
      <c r="B126" s="1151" t="s">
        <v>7337</v>
      </c>
    </row>
    <row r="127" spans="1:2">
      <c r="A127" s="57">
        <v>1482</v>
      </c>
      <c r="B127" s="1151" t="s">
        <v>7339</v>
      </c>
    </row>
    <row r="128" spans="1:2">
      <c r="A128" s="57">
        <v>1482</v>
      </c>
      <c r="B128" s="1151" t="s">
        <v>7342</v>
      </c>
    </row>
    <row r="129" spans="1:2">
      <c r="A129" s="57">
        <v>1482</v>
      </c>
      <c r="B129" s="1152" t="s">
        <v>7345</v>
      </c>
    </row>
    <row r="130" spans="1:2">
      <c r="A130" s="57">
        <v>1482</v>
      </c>
      <c r="B130" s="1152" t="s">
        <v>7348</v>
      </c>
    </row>
    <row r="131" spans="1:2">
      <c r="A131" s="57">
        <v>1482</v>
      </c>
      <c r="B131" s="1152" t="s">
        <v>7350</v>
      </c>
    </row>
    <row r="132" spans="1:2">
      <c r="A132" s="57">
        <v>1482</v>
      </c>
      <c r="B132" s="1152" t="s">
        <v>7352</v>
      </c>
    </row>
    <row r="133" spans="1:2">
      <c r="A133" s="57">
        <v>1482</v>
      </c>
      <c r="B133" s="1152" t="s">
        <v>7354</v>
      </c>
    </row>
    <row r="134" spans="1:2">
      <c r="A134" s="57">
        <v>1482</v>
      </c>
      <c r="B134" s="1152" t="s">
        <v>7356</v>
      </c>
    </row>
    <row r="135" spans="1:2">
      <c r="A135" s="57">
        <v>1482</v>
      </c>
      <c r="B135" s="1152" t="s">
        <v>7358</v>
      </c>
    </row>
    <row r="136" spans="1:2">
      <c r="A136" s="57">
        <v>1482</v>
      </c>
      <c r="B136" s="1152" t="s">
        <v>7360</v>
      </c>
    </row>
    <row r="137" spans="1:2">
      <c r="A137" s="57">
        <v>1482</v>
      </c>
      <c r="B137" s="1152" t="s">
        <v>7362</v>
      </c>
    </row>
    <row r="138" spans="1:2">
      <c r="A138" s="57">
        <v>1483</v>
      </c>
      <c r="B138" s="1151" t="s">
        <v>7337</v>
      </c>
    </row>
    <row r="139" spans="1:2">
      <c r="A139" s="57">
        <v>1483</v>
      </c>
      <c r="B139" s="1151" t="s">
        <v>7339</v>
      </c>
    </row>
    <row r="140" spans="1:2">
      <c r="A140" s="57">
        <v>1483</v>
      </c>
      <c r="B140" s="1151" t="s">
        <v>7342</v>
      </c>
    </row>
    <row r="141" spans="1:2">
      <c r="A141" s="57">
        <v>1483</v>
      </c>
      <c r="B141" s="1152" t="s">
        <v>7345</v>
      </c>
    </row>
    <row r="142" spans="1:2">
      <c r="A142" s="57">
        <v>1483</v>
      </c>
      <c r="B142" s="1152" t="s">
        <v>7348</v>
      </c>
    </row>
    <row r="143" spans="1:2">
      <c r="A143" s="57">
        <v>1483</v>
      </c>
      <c r="B143" s="1152" t="s">
        <v>7350</v>
      </c>
    </row>
    <row r="144" spans="1:2">
      <c r="A144" s="57">
        <v>1483</v>
      </c>
      <c r="B144" s="1152" t="s">
        <v>7352</v>
      </c>
    </row>
    <row r="145" spans="1:2">
      <c r="A145" s="57">
        <v>1483</v>
      </c>
      <c r="B145" s="1152" t="s">
        <v>7354</v>
      </c>
    </row>
    <row r="146" spans="1:2">
      <c r="A146" s="57">
        <v>1483</v>
      </c>
      <c r="B146" s="1152" t="s">
        <v>7356</v>
      </c>
    </row>
    <row r="147" spans="1:2">
      <c r="A147" s="57">
        <v>1483</v>
      </c>
      <c r="B147" s="1152" t="s">
        <v>7358</v>
      </c>
    </row>
    <row r="148" spans="1:2">
      <c r="A148" s="57">
        <v>1483</v>
      </c>
      <c r="B148" s="1152" t="s">
        <v>7360</v>
      </c>
    </row>
    <row r="149" spans="1:2">
      <c r="A149" s="57">
        <v>1483</v>
      </c>
      <c r="B149" s="1152" t="s">
        <v>7362</v>
      </c>
    </row>
    <row r="150" spans="1:2">
      <c r="A150" s="57">
        <v>1484</v>
      </c>
      <c r="B150" s="1151" t="s">
        <v>7337</v>
      </c>
    </row>
    <row r="151" spans="1:2">
      <c r="A151" s="57">
        <v>1484</v>
      </c>
      <c r="B151" s="1151" t="s">
        <v>7339</v>
      </c>
    </row>
    <row r="152" spans="1:2">
      <c r="A152" s="57">
        <v>1484</v>
      </c>
      <c r="B152" s="1151" t="s">
        <v>7342</v>
      </c>
    </row>
    <row r="153" spans="1:2">
      <c r="A153" s="57">
        <v>1484</v>
      </c>
      <c r="B153" s="1152" t="s">
        <v>7345</v>
      </c>
    </row>
    <row r="154" spans="1:2">
      <c r="A154" s="57">
        <v>1484</v>
      </c>
      <c r="B154" s="1152" t="s">
        <v>7348</v>
      </c>
    </row>
    <row r="155" spans="1:2">
      <c r="A155" s="57">
        <v>1484</v>
      </c>
      <c r="B155" s="1152" t="s">
        <v>7350</v>
      </c>
    </row>
    <row r="156" spans="1:2">
      <c r="A156" s="57">
        <v>1484</v>
      </c>
      <c r="B156" s="1152" t="s">
        <v>7352</v>
      </c>
    </row>
    <row r="157" spans="1:2">
      <c r="A157" s="57">
        <v>1484</v>
      </c>
      <c r="B157" s="1152" t="s">
        <v>7354</v>
      </c>
    </row>
    <row r="158" spans="1:2">
      <c r="A158" s="57">
        <v>1484</v>
      </c>
      <c r="B158" s="1152" t="s">
        <v>7356</v>
      </c>
    </row>
    <row r="159" spans="1:2">
      <c r="A159" s="57">
        <v>1484</v>
      </c>
      <c r="B159" s="1152" t="s">
        <v>7358</v>
      </c>
    </row>
    <row r="160" spans="1:2">
      <c r="A160" s="57">
        <v>1484</v>
      </c>
      <c r="B160" s="1152" t="s">
        <v>7360</v>
      </c>
    </row>
    <row r="161" spans="1:2">
      <c r="A161" s="57">
        <v>1484</v>
      </c>
      <c r="B161" s="1152" t="s">
        <v>7362</v>
      </c>
    </row>
    <row r="162" spans="1:2">
      <c r="A162" s="57">
        <v>1485</v>
      </c>
      <c r="B162" s="1151" t="s">
        <v>7337</v>
      </c>
    </row>
    <row r="163" spans="1:2">
      <c r="A163" s="57">
        <v>1485</v>
      </c>
      <c r="B163" s="1151" t="s">
        <v>7339</v>
      </c>
    </row>
    <row r="164" spans="1:2">
      <c r="A164" s="57">
        <v>1485</v>
      </c>
      <c r="B164" s="1151" t="s">
        <v>7342</v>
      </c>
    </row>
    <row r="165" spans="1:2">
      <c r="A165" s="57">
        <v>1485</v>
      </c>
      <c r="B165" s="1152" t="s">
        <v>7345</v>
      </c>
    </row>
    <row r="166" spans="1:2">
      <c r="A166" s="57">
        <v>1485</v>
      </c>
      <c r="B166" s="1152" t="s">
        <v>7348</v>
      </c>
    </row>
    <row r="167" spans="1:2">
      <c r="A167" s="57">
        <v>1485</v>
      </c>
      <c r="B167" s="1152" t="s">
        <v>7350</v>
      </c>
    </row>
    <row r="168" spans="1:2">
      <c r="A168" s="57">
        <v>1485</v>
      </c>
      <c r="B168" s="1152" t="s">
        <v>7352</v>
      </c>
    </row>
    <row r="169" spans="1:2">
      <c r="A169" s="57">
        <v>1485</v>
      </c>
      <c r="B169" s="1152" t="s">
        <v>7354</v>
      </c>
    </row>
    <row r="170" spans="1:2">
      <c r="A170" s="57">
        <v>1485</v>
      </c>
      <c r="B170" s="1152" t="s">
        <v>7356</v>
      </c>
    </row>
    <row r="171" spans="1:2">
      <c r="A171" s="57">
        <v>1485</v>
      </c>
      <c r="B171" s="1152" t="s">
        <v>7358</v>
      </c>
    </row>
    <row r="172" spans="1:2">
      <c r="A172" s="57">
        <v>1485</v>
      </c>
      <c r="B172" s="1152" t="s">
        <v>7360</v>
      </c>
    </row>
    <row r="173" spans="1:2">
      <c r="A173" s="57">
        <v>1485</v>
      </c>
      <c r="B173" s="1152" t="s">
        <v>7362</v>
      </c>
    </row>
    <row r="174" spans="1:2">
      <c r="A174" s="57">
        <v>1486</v>
      </c>
      <c r="B174" s="1151" t="s">
        <v>7337</v>
      </c>
    </row>
    <row r="175" spans="1:2">
      <c r="A175" s="57">
        <v>1486</v>
      </c>
      <c r="B175" s="1151" t="s">
        <v>7339</v>
      </c>
    </row>
    <row r="176" spans="1:2">
      <c r="A176" s="57">
        <v>1486</v>
      </c>
      <c r="B176" s="1151" t="s">
        <v>7342</v>
      </c>
    </row>
    <row r="177" spans="1:2">
      <c r="A177" s="57">
        <v>1486</v>
      </c>
      <c r="B177" s="1152" t="s">
        <v>7345</v>
      </c>
    </row>
    <row r="178" spans="1:2">
      <c r="A178" s="57">
        <v>1486</v>
      </c>
      <c r="B178" s="1152" t="s">
        <v>7348</v>
      </c>
    </row>
    <row r="179" spans="1:2">
      <c r="A179" s="57">
        <v>1486</v>
      </c>
      <c r="B179" s="1152" t="s">
        <v>7350</v>
      </c>
    </row>
    <row r="180" spans="1:2">
      <c r="A180" s="57">
        <v>1486</v>
      </c>
      <c r="B180" s="1152" t="s">
        <v>7352</v>
      </c>
    </row>
    <row r="181" spans="1:2">
      <c r="A181" s="57">
        <v>1486</v>
      </c>
      <c r="B181" s="1152" t="s">
        <v>7354</v>
      </c>
    </row>
    <row r="182" spans="1:2">
      <c r="A182" s="57">
        <v>1486</v>
      </c>
      <c r="B182" s="1152" t="s">
        <v>7356</v>
      </c>
    </row>
    <row r="183" spans="1:2">
      <c r="A183" s="57">
        <v>1486</v>
      </c>
      <c r="B183" s="1152" t="s">
        <v>7358</v>
      </c>
    </row>
    <row r="184" spans="1:2">
      <c r="A184" s="57">
        <v>1486</v>
      </c>
      <c r="B184" s="1152" t="s">
        <v>7360</v>
      </c>
    </row>
    <row r="185" spans="1:2">
      <c r="A185" s="57">
        <v>1486</v>
      </c>
      <c r="B185" s="1152" t="s">
        <v>7362</v>
      </c>
    </row>
    <row r="186" spans="1:2">
      <c r="A186" s="57">
        <v>1487</v>
      </c>
      <c r="B186" s="1151" t="s">
        <v>7337</v>
      </c>
    </row>
    <row r="187" spans="1:2">
      <c r="A187" s="57">
        <v>1487</v>
      </c>
      <c r="B187" s="1151" t="s">
        <v>7339</v>
      </c>
    </row>
    <row r="188" spans="1:2">
      <c r="A188" s="57">
        <v>1487</v>
      </c>
      <c r="B188" s="1151" t="s">
        <v>7342</v>
      </c>
    </row>
    <row r="189" spans="1:2">
      <c r="A189" s="57">
        <v>1487</v>
      </c>
      <c r="B189" s="1152" t="s">
        <v>7345</v>
      </c>
    </row>
    <row r="190" spans="1:2">
      <c r="A190" s="57">
        <v>1487</v>
      </c>
      <c r="B190" s="1152" t="s">
        <v>7348</v>
      </c>
    </row>
    <row r="191" spans="1:2">
      <c r="A191" s="57">
        <v>1487</v>
      </c>
      <c r="B191" s="1152" t="s">
        <v>7350</v>
      </c>
    </row>
    <row r="192" spans="1:2">
      <c r="A192" s="57">
        <v>1487</v>
      </c>
      <c r="B192" s="1152" t="s">
        <v>7352</v>
      </c>
    </row>
    <row r="193" spans="1:2">
      <c r="A193" s="57">
        <v>1487</v>
      </c>
      <c r="B193" s="1152" t="s">
        <v>7354</v>
      </c>
    </row>
    <row r="194" spans="1:2">
      <c r="A194" s="57">
        <v>1487</v>
      </c>
      <c r="B194" s="1152" t="s">
        <v>7356</v>
      </c>
    </row>
    <row r="195" spans="1:2">
      <c r="A195" s="57">
        <v>1487</v>
      </c>
      <c r="B195" s="1152" t="s">
        <v>7358</v>
      </c>
    </row>
    <row r="196" spans="1:2">
      <c r="A196" s="57">
        <v>1487</v>
      </c>
      <c r="B196" s="1152" t="s">
        <v>7360</v>
      </c>
    </row>
    <row r="197" spans="1:2">
      <c r="A197" s="57">
        <v>1487</v>
      </c>
      <c r="B197" s="1152" t="s">
        <v>7362</v>
      </c>
    </row>
    <row r="198" spans="1:2">
      <c r="A198" s="57">
        <v>1488</v>
      </c>
      <c r="B198" s="1151" t="s">
        <v>7337</v>
      </c>
    </row>
    <row r="199" spans="1:2">
      <c r="A199" s="57">
        <v>1488</v>
      </c>
      <c r="B199" s="1151" t="s">
        <v>7339</v>
      </c>
    </row>
    <row r="200" spans="1:2">
      <c r="A200" s="57">
        <v>1488</v>
      </c>
      <c r="B200" s="1151" t="s">
        <v>7342</v>
      </c>
    </row>
    <row r="201" spans="1:2">
      <c r="A201" s="57">
        <v>1488</v>
      </c>
      <c r="B201" s="1152" t="s">
        <v>7345</v>
      </c>
    </row>
    <row r="202" spans="1:2">
      <c r="A202" s="57">
        <v>1488</v>
      </c>
      <c r="B202" s="1152" t="s">
        <v>7348</v>
      </c>
    </row>
    <row r="203" spans="1:2">
      <c r="A203" s="57">
        <v>1488</v>
      </c>
      <c r="B203" s="1152" t="s">
        <v>7350</v>
      </c>
    </row>
    <row r="204" spans="1:2">
      <c r="A204" s="57">
        <v>1488</v>
      </c>
      <c r="B204" s="1152" t="s">
        <v>7352</v>
      </c>
    </row>
    <row r="205" spans="1:2">
      <c r="A205" s="57">
        <v>1488</v>
      </c>
      <c r="B205" s="1152" t="s">
        <v>7354</v>
      </c>
    </row>
    <row r="206" spans="1:2">
      <c r="A206" s="57">
        <v>1488</v>
      </c>
      <c r="B206" s="1152" t="s">
        <v>7356</v>
      </c>
    </row>
    <row r="207" spans="1:2">
      <c r="A207" s="57">
        <v>1488</v>
      </c>
      <c r="B207" s="1152" t="s">
        <v>7358</v>
      </c>
    </row>
    <row r="208" spans="1:2">
      <c r="A208" s="57">
        <v>1488</v>
      </c>
      <c r="B208" s="1152" t="s">
        <v>7360</v>
      </c>
    </row>
    <row r="209" spans="1:2">
      <c r="A209" s="57">
        <v>1488</v>
      </c>
      <c r="B209" s="1152" t="s">
        <v>7362</v>
      </c>
    </row>
    <row r="210" spans="1:2">
      <c r="A210" s="57">
        <v>1489</v>
      </c>
      <c r="B210" s="1151" t="s">
        <v>7337</v>
      </c>
    </row>
    <row r="211" spans="1:2">
      <c r="A211" s="57">
        <v>1489</v>
      </c>
      <c r="B211" s="1151" t="s">
        <v>7339</v>
      </c>
    </row>
    <row r="212" spans="1:2">
      <c r="A212" s="57">
        <v>1489</v>
      </c>
      <c r="B212" s="1151" t="s">
        <v>7342</v>
      </c>
    </row>
    <row r="213" spans="1:2">
      <c r="A213" s="57">
        <v>1489</v>
      </c>
      <c r="B213" s="1152" t="s">
        <v>7345</v>
      </c>
    </row>
    <row r="214" spans="1:2">
      <c r="A214" s="57">
        <v>1489</v>
      </c>
      <c r="B214" s="1152" t="s">
        <v>7348</v>
      </c>
    </row>
    <row r="215" spans="1:2">
      <c r="A215" s="57">
        <v>1489</v>
      </c>
      <c r="B215" s="1152" t="s">
        <v>7350</v>
      </c>
    </row>
    <row r="216" spans="1:2">
      <c r="A216" s="57">
        <v>1489</v>
      </c>
      <c r="B216" s="1152" t="s">
        <v>7352</v>
      </c>
    </row>
    <row r="217" spans="1:2">
      <c r="A217" s="57">
        <v>1489</v>
      </c>
      <c r="B217" s="1152" t="s">
        <v>7354</v>
      </c>
    </row>
    <row r="218" spans="1:2">
      <c r="A218" s="57">
        <v>1489</v>
      </c>
      <c r="B218" s="1152" t="s">
        <v>7356</v>
      </c>
    </row>
    <row r="219" spans="1:2">
      <c r="A219" s="57">
        <v>1489</v>
      </c>
      <c r="B219" s="1152" t="s">
        <v>7358</v>
      </c>
    </row>
    <row r="220" spans="1:2">
      <c r="A220" s="57">
        <v>1489</v>
      </c>
      <c r="B220" s="1152" t="s">
        <v>7360</v>
      </c>
    </row>
    <row r="221" spans="1:2">
      <c r="A221" s="57">
        <v>1489</v>
      </c>
      <c r="B221" s="1152" t="s">
        <v>7362</v>
      </c>
    </row>
    <row r="222" spans="1:2">
      <c r="A222" s="57">
        <v>1490</v>
      </c>
      <c r="B222" s="1151" t="s">
        <v>7337</v>
      </c>
    </row>
    <row r="223" spans="1:2">
      <c r="A223" s="57">
        <v>1490</v>
      </c>
      <c r="B223" s="1151" t="s">
        <v>7339</v>
      </c>
    </row>
    <row r="224" spans="1:2">
      <c r="A224" s="57">
        <v>1490</v>
      </c>
      <c r="B224" s="1151" t="s">
        <v>7342</v>
      </c>
    </row>
    <row r="225" spans="1:2">
      <c r="A225" s="57">
        <v>1490</v>
      </c>
      <c r="B225" s="1152" t="s">
        <v>7345</v>
      </c>
    </row>
    <row r="226" spans="1:2">
      <c r="A226" s="57">
        <v>1490</v>
      </c>
      <c r="B226" s="1152" t="s">
        <v>7348</v>
      </c>
    </row>
    <row r="227" spans="1:2">
      <c r="A227" s="57">
        <v>1490</v>
      </c>
      <c r="B227" s="1152" t="s">
        <v>7350</v>
      </c>
    </row>
    <row r="228" spans="1:2">
      <c r="A228" s="57">
        <v>1490</v>
      </c>
      <c r="B228" s="1152" t="s">
        <v>7352</v>
      </c>
    </row>
    <row r="229" spans="1:2">
      <c r="A229" s="57">
        <v>1490</v>
      </c>
      <c r="B229" s="1152" t="s">
        <v>7354</v>
      </c>
    </row>
    <row r="230" spans="1:2">
      <c r="A230" s="57">
        <v>1490</v>
      </c>
      <c r="B230" s="1152" t="s">
        <v>7356</v>
      </c>
    </row>
    <row r="231" spans="1:2">
      <c r="A231" s="57">
        <v>1490</v>
      </c>
      <c r="B231" s="1152" t="s">
        <v>7358</v>
      </c>
    </row>
    <row r="232" spans="1:2">
      <c r="A232" s="57">
        <v>1490</v>
      </c>
      <c r="B232" s="1152" t="s">
        <v>7360</v>
      </c>
    </row>
    <row r="233" spans="1:2">
      <c r="A233" s="57">
        <v>1490</v>
      </c>
      <c r="B233" s="1152" t="s">
        <v>7362</v>
      </c>
    </row>
    <row r="234" spans="1:2">
      <c r="A234" s="57">
        <v>1491</v>
      </c>
      <c r="B234" s="1151" t="s">
        <v>7337</v>
      </c>
    </row>
    <row r="235" spans="1:2">
      <c r="A235" s="57">
        <v>1491</v>
      </c>
      <c r="B235" s="1151" t="s">
        <v>7339</v>
      </c>
    </row>
    <row r="236" spans="1:2">
      <c r="A236" s="57">
        <v>1491</v>
      </c>
      <c r="B236" s="1151" t="s">
        <v>7342</v>
      </c>
    </row>
    <row r="237" spans="1:2">
      <c r="A237" s="57">
        <v>1491</v>
      </c>
      <c r="B237" s="1152" t="s">
        <v>7345</v>
      </c>
    </row>
    <row r="238" spans="1:2">
      <c r="A238" s="57">
        <v>1491</v>
      </c>
      <c r="B238" s="1152" t="s">
        <v>7348</v>
      </c>
    </row>
    <row r="239" spans="1:2">
      <c r="A239" s="57">
        <v>1491</v>
      </c>
      <c r="B239" s="1152" t="s">
        <v>7350</v>
      </c>
    </row>
    <row r="240" spans="1:2">
      <c r="A240" s="57">
        <v>1491</v>
      </c>
      <c r="B240" s="1152" t="s">
        <v>7352</v>
      </c>
    </row>
    <row r="241" spans="1:2">
      <c r="A241" s="57">
        <v>1491</v>
      </c>
      <c r="B241" s="1152" t="s">
        <v>7354</v>
      </c>
    </row>
    <row r="242" spans="1:2">
      <c r="A242" s="57">
        <v>1491</v>
      </c>
      <c r="B242" s="1152" t="s">
        <v>7356</v>
      </c>
    </row>
    <row r="243" spans="1:2">
      <c r="A243" s="57">
        <v>1491</v>
      </c>
      <c r="B243" s="1152" t="s">
        <v>7358</v>
      </c>
    </row>
    <row r="244" spans="1:2">
      <c r="A244" s="57">
        <v>1491</v>
      </c>
      <c r="B244" s="1152" t="s">
        <v>7360</v>
      </c>
    </row>
    <row r="245" spans="1:2">
      <c r="A245" s="57">
        <v>1491</v>
      </c>
      <c r="B245" s="1152" t="s">
        <v>7362</v>
      </c>
    </row>
    <row r="246" spans="1:2">
      <c r="A246" s="57">
        <v>1492</v>
      </c>
      <c r="B246" s="1151" t="s">
        <v>7337</v>
      </c>
    </row>
    <row r="247" spans="1:2">
      <c r="A247" s="57">
        <v>1492</v>
      </c>
      <c r="B247" s="1151" t="s">
        <v>7339</v>
      </c>
    </row>
    <row r="248" spans="1:2">
      <c r="A248" s="57">
        <v>1492</v>
      </c>
      <c r="B248" s="1151" t="s">
        <v>7342</v>
      </c>
    </row>
    <row r="249" spans="1:2">
      <c r="A249" s="57">
        <v>1492</v>
      </c>
      <c r="B249" s="1152" t="s">
        <v>7345</v>
      </c>
    </row>
    <row r="250" spans="1:2">
      <c r="A250" s="57">
        <v>1492</v>
      </c>
      <c r="B250" s="1152" t="s">
        <v>7348</v>
      </c>
    </row>
    <row r="251" spans="1:2">
      <c r="A251" s="57">
        <v>1492</v>
      </c>
      <c r="B251" s="1152" t="s">
        <v>7350</v>
      </c>
    </row>
    <row r="252" spans="1:2">
      <c r="A252" s="57">
        <v>1492</v>
      </c>
      <c r="B252" s="1152" t="s">
        <v>7352</v>
      </c>
    </row>
    <row r="253" spans="1:2">
      <c r="A253" s="57">
        <v>1492</v>
      </c>
      <c r="B253" s="1152" t="s">
        <v>7354</v>
      </c>
    </row>
    <row r="254" spans="1:2">
      <c r="A254" s="57">
        <v>1492</v>
      </c>
      <c r="B254" s="1152" t="s">
        <v>7356</v>
      </c>
    </row>
    <row r="255" spans="1:2">
      <c r="A255" s="57">
        <v>1492</v>
      </c>
      <c r="B255" s="1152" t="s">
        <v>7358</v>
      </c>
    </row>
    <row r="256" spans="1:2">
      <c r="A256" s="57">
        <v>1492</v>
      </c>
      <c r="B256" s="1152" t="s">
        <v>7360</v>
      </c>
    </row>
    <row r="257" spans="1:2">
      <c r="A257" s="57">
        <v>1492</v>
      </c>
      <c r="B257" s="1152" t="s">
        <v>7362</v>
      </c>
    </row>
    <row r="258" spans="1:2">
      <c r="A258" s="57">
        <v>1493</v>
      </c>
      <c r="B258" s="1151" t="s">
        <v>7337</v>
      </c>
    </row>
    <row r="259" spans="1:2">
      <c r="A259" s="57">
        <v>1493</v>
      </c>
      <c r="B259" s="1151" t="s">
        <v>7339</v>
      </c>
    </row>
    <row r="260" spans="1:2">
      <c r="A260" s="57">
        <v>1493</v>
      </c>
      <c r="B260" s="1151" t="s">
        <v>7342</v>
      </c>
    </row>
    <row r="261" spans="1:2">
      <c r="A261" s="57">
        <v>1493</v>
      </c>
      <c r="B261" s="1152" t="s">
        <v>7345</v>
      </c>
    </row>
    <row r="262" spans="1:2">
      <c r="A262" s="57">
        <v>1493</v>
      </c>
      <c r="B262" s="1152" t="s">
        <v>7348</v>
      </c>
    </row>
    <row r="263" spans="1:2">
      <c r="A263" s="57">
        <v>1493</v>
      </c>
      <c r="B263" s="1152" t="s">
        <v>7350</v>
      </c>
    </row>
    <row r="264" spans="1:2">
      <c r="A264" s="57">
        <v>1493</v>
      </c>
      <c r="B264" s="1152" t="s">
        <v>7352</v>
      </c>
    </row>
    <row r="265" spans="1:2">
      <c r="A265" s="57">
        <v>1493</v>
      </c>
      <c r="B265" s="1152" t="s">
        <v>7354</v>
      </c>
    </row>
    <row r="266" spans="1:2">
      <c r="A266" s="57">
        <v>1493</v>
      </c>
      <c r="B266" s="1152" t="s">
        <v>7356</v>
      </c>
    </row>
    <row r="267" spans="1:2">
      <c r="A267" s="57">
        <v>1493</v>
      </c>
      <c r="B267" s="1152" t="s">
        <v>7358</v>
      </c>
    </row>
    <row r="268" spans="1:2">
      <c r="A268" s="57">
        <v>1493</v>
      </c>
      <c r="B268" s="1152" t="s">
        <v>7360</v>
      </c>
    </row>
    <row r="269" spans="1:2">
      <c r="A269" s="57">
        <v>1493</v>
      </c>
      <c r="B269" s="1152" t="s">
        <v>7362</v>
      </c>
    </row>
  </sheetData>
  <phoneticPr fontId="182" type="noConversion"/>
  <pageMargins left="0.7" right="0.7" top="0.75" bottom="0.75" header="0.3" footer="0.3"/>
  <tableParts count="3">
    <tablePart r:id="rId1"/>
    <tablePart r:id="rId2"/>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4E77-1D2D-4322-9688-1FAF6A867828}">
  <sheetPr codeName="Аркуш18">
    <tabColor theme="7"/>
  </sheetPr>
  <dimension ref="A1:S112"/>
  <sheetViews>
    <sheetView topLeftCell="A71" workbookViewId="0">
      <selection activeCell="D113" sqref="D113"/>
    </sheetView>
  </sheetViews>
  <sheetFormatPr defaultRowHeight="14.25"/>
  <cols>
    <col min="3" max="3" width="16.6640625" customWidth="1"/>
    <col min="4" max="4" width="16.109375" customWidth="1"/>
    <col min="5" max="5" width="11.33203125" customWidth="1"/>
    <col min="6" max="6" width="17.109375" customWidth="1"/>
    <col min="7" max="7" width="13" customWidth="1"/>
    <col min="8" max="8" width="13.21875" customWidth="1"/>
    <col min="9" max="9" width="10.44140625" customWidth="1"/>
    <col min="10" max="10" width="10.88671875" customWidth="1"/>
    <col min="11" max="11" width="12" customWidth="1"/>
    <col min="12" max="12" width="12.77734375" customWidth="1"/>
    <col min="13" max="13" width="9" customWidth="1"/>
    <col min="16" max="17" width="10.77734375" customWidth="1"/>
    <col min="18" max="18" width="16.44140625" customWidth="1"/>
  </cols>
  <sheetData>
    <row r="1" spans="2:19" ht="15" thickBot="1"/>
    <row r="2" spans="2:19" ht="18" thickTop="1" thickBot="1">
      <c r="B2" t="s">
        <v>12234</v>
      </c>
      <c r="C2" s="1" t="s">
        <v>12228</v>
      </c>
      <c r="D2" s="1" t="s">
        <v>12229</v>
      </c>
      <c r="E2" s="1" t="s">
        <v>11542</v>
      </c>
      <c r="F2" s="1" t="s">
        <v>12230</v>
      </c>
      <c r="G2" s="1" t="s">
        <v>11540</v>
      </c>
      <c r="H2" s="1" t="s">
        <v>11539</v>
      </c>
      <c r="I2" s="1" t="s">
        <v>11537</v>
      </c>
      <c r="J2" s="1" t="s">
        <v>11538</v>
      </c>
      <c r="K2" s="1" t="s">
        <v>12231</v>
      </c>
      <c r="L2" s="1" t="s">
        <v>12232</v>
      </c>
      <c r="M2" s="1" t="s">
        <v>12233</v>
      </c>
      <c r="P2">
        <f ca="1">RANDBETWEEN(1,20)+Q2</f>
        <v>14</v>
      </c>
      <c r="Q2" s="659"/>
      <c r="R2" s="660">
        <f ca="1">RANDBETWEEN(1,6)+RANDBETWEEN(1,6)+5+INDEX(R28:R32,MATCH('GM SCREEN'!K4,Q28:Q32,0),1)</f>
        <v>12</v>
      </c>
    </row>
    <row r="3" spans="2:19" ht="15" thickTop="1">
      <c r="B3">
        <v>2</v>
      </c>
      <c r="C3">
        <v>1</v>
      </c>
      <c r="D3">
        <v>3</v>
      </c>
      <c r="E3">
        <v>1</v>
      </c>
      <c r="F3">
        <v>3</v>
      </c>
      <c r="G3">
        <v>5</v>
      </c>
      <c r="H3">
        <v>1</v>
      </c>
      <c r="I3">
        <v>6</v>
      </c>
      <c r="J3">
        <v>6</v>
      </c>
      <c r="K3">
        <v>2</v>
      </c>
      <c r="L3">
        <v>5</v>
      </c>
      <c r="M3">
        <v>9</v>
      </c>
    </row>
    <row r="4" spans="2:19">
      <c r="B4">
        <v>3</v>
      </c>
      <c r="C4">
        <v>1</v>
      </c>
      <c r="D4">
        <v>3</v>
      </c>
      <c r="E4">
        <v>5</v>
      </c>
      <c r="F4">
        <v>3</v>
      </c>
      <c r="G4">
        <v>5</v>
      </c>
      <c r="H4">
        <v>1</v>
      </c>
      <c r="I4">
        <v>6</v>
      </c>
      <c r="J4">
        <v>8</v>
      </c>
      <c r="K4">
        <v>2</v>
      </c>
      <c r="L4">
        <v>6</v>
      </c>
      <c r="M4">
        <v>9</v>
      </c>
    </row>
    <row r="5" spans="2:19">
      <c r="B5">
        <v>4</v>
      </c>
      <c r="C5">
        <v>2</v>
      </c>
      <c r="D5">
        <v>12</v>
      </c>
      <c r="E5">
        <v>7</v>
      </c>
      <c r="F5">
        <v>9</v>
      </c>
      <c r="G5">
        <v>10</v>
      </c>
      <c r="H5">
        <v>6</v>
      </c>
      <c r="I5">
        <v>11</v>
      </c>
      <c r="J5">
        <v>8</v>
      </c>
      <c r="K5">
        <v>2</v>
      </c>
      <c r="L5">
        <v>6</v>
      </c>
      <c r="M5">
        <v>10</v>
      </c>
      <c r="P5" t="s">
        <v>12225</v>
      </c>
      <c r="Q5" t="s">
        <v>7930</v>
      </c>
      <c r="R5" t="s">
        <v>12226</v>
      </c>
      <c r="S5" t="s">
        <v>12227</v>
      </c>
    </row>
    <row r="6" spans="2:19">
      <c r="B6">
        <v>5</v>
      </c>
      <c r="C6">
        <v>4</v>
      </c>
      <c r="D6">
        <v>12</v>
      </c>
      <c r="E6">
        <v>7</v>
      </c>
      <c r="F6">
        <v>9</v>
      </c>
      <c r="G6">
        <v>20</v>
      </c>
      <c r="H6">
        <v>8</v>
      </c>
      <c r="I6">
        <v>14</v>
      </c>
      <c r="J6">
        <v>11</v>
      </c>
      <c r="K6">
        <v>5</v>
      </c>
      <c r="L6">
        <v>7</v>
      </c>
      <c r="M6">
        <v>10</v>
      </c>
      <c r="P6" s="522" t="s">
        <v>9752</v>
      </c>
      <c r="Q6" t="s">
        <v>12216</v>
      </c>
      <c r="R6">
        <v>2</v>
      </c>
      <c r="S6">
        <v>0</v>
      </c>
    </row>
    <row r="7" spans="2:19">
      <c r="B7">
        <v>6</v>
      </c>
      <c r="C7">
        <v>21</v>
      </c>
      <c r="D7">
        <v>12</v>
      </c>
      <c r="E7">
        <v>7</v>
      </c>
      <c r="F7">
        <v>9</v>
      </c>
      <c r="G7">
        <v>21</v>
      </c>
      <c r="H7">
        <v>15</v>
      </c>
      <c r="I7">
        <v>15</v>
      </c>
      <c r="J7">
        <v>11</v>
      </c>
      <c r="K7">
        <v>5</v>
      </c>
      <c r="L7">
        <v>7</v>
      </c>
      <c r="M7">
        <v>12</v>
      </c>
      <c r="P7" s="522" t="s">
        <v>9754</v>
      </c>
      <c r="Q7" t="s">
        <v>12210</v>
      </c>
      <c r="R7">
        <v>4</v>
      </c>
      <c r="S7">
        <f>R6</f>
        <v>2</v>
      </c>
    </row>
    <row r="8" spans="2:19">
      <c r="B8">
        <v>7</v>
      </c>
      <c r="C8">
        <v>20</v>
      </c>
      <c r="D8">
        <v>13</v>
      </c>
      <c r="E8">
        <v>16</v>
      </c>
      <c r="F8">
        <v>12</v>
      </c>
      <c r="G8">
        <v>22</v>
      </c>
      <c r="H8">
        <v>29</v>
      </c>
      <c r="I8">
        <v>29</v>
      </c>
      <c r="J8">
        <v>14</v>
      </c>
      <c r="K8">
        <v>5</v>
      </c>
      <c r="L8">
        <v>14</v>
      </c>
      <c r="M8">
        <v>15</v>
      </c>
      <c r="P8" s="522" t="s">
        <v>12211</v>
      </c>
      <c r="Q8" t="s">
        <v>12217</v>
      </c>
      <c r="R8">
        <v>7</v>
      </c>
      <c r="S8" s="1">
        <f t="shared" ref="S8:S15" si="0">R7</f>
        <v>4</v>
      </c>
    </row>
    <row r="9" spans="2:19">
      <c r="B9">
        <v>8</v>
      </c>
      <c r="C9">
        <v>21</v>
      </c>
      <c r="D9">
        <v>22</v>
      </c>
      <c r="E9">
        <v>17</v>
      </c>
      <c r="F9">
        <v>12</v>
      </c>
      <c r="G9">
        <v>30</v>
      </c>
      <c r="H9">
        <v>35</v>
      </c>
      <c r="I9">
        <v>35</v>
      </c>
      <c r="J9">
        <v>15</v>
      </c>
      <c r="K9">
        <v>21</v>
      </c>
      <c r="L9">
        <v>21</v>
      </c>
      <c r="M9">
        <v>22</v>
      </c>
      <c r="P9" s="522" t="s">
        <v>12212</v>
      </c>
      <c r="Q9" t="s">
        <v>12218</v>
      </c>
      <c r="R9">
        <v>9</v>
      </c>
      <c r="S9" s="1">
        <f t="shared" si="0"/>
        <v>7</v>
      </c>
    </row>
    <row r="10" spans="2:19">
      <c r="B10">
        <v>9</v>
      </c>
      <c r="C10">
        <v>24</v>
      </c>
      <c r="D10">
        <v>13</v>
      </c>
      <c r="E10">
        <v>17</v>
      </c>
      <c r="F10">
        <v>15</v>
      </c>
      <c r="G10">
        <v>31</v>
      </c>
      <c r="H10">
        <v>36</v>
      </c>
      <c r="I10">
        <v>36</v>
      </c>
      <c r="J10">
        <v>24</v>
      </c>
      <c r="K10">
        <v>22</v>
      </c>
      <c r="L10">
        <v>25</v>
      </c>
      <c r="M10">
        <v>23</v>
      </c>
      <c r="P10">
        <v>10</v>
      </c>
      <c r="Q10" t="s">
        <v>12219</v>
      </c>
      <c r="R10">
        <v>10</v>
      </c>
      <c r="S10" s="1">
        <f t="shared" si="0"/>
        <v>9</v>
      </c>
    </row>
    <row r="11" spans="2:19">
      <c r="B11">
        <v>10</v>
      </c>
      <c r="C11">
        <v>20</v>
      </c>
      <c r="D11">
        <v>20</v>
      </c>
      <c r="E11">
        <v>14</v>
      </c>
      <c r="F11">
        <v>18</v>
      </c>
      <c r="G11">
        <v>32</v>
      </c>
      <c r="H11">
        <v>39</v>
      </c>
      <c r="I11">
        <v>37</v>
      </c>
      <c r="J11">
        <v>29</v>
      </c>
      <c r="K11">
        <v>35</v>
      </c>
      <c r="L11">
        <v>21</v>
      </c>
      <c r="M11">
        <v>23</v>
      </c>
      <c r="P11" s="522" t="s">
        <v>12213</v>
      </c>
      <c r="Q11" t="s">
        <v>12220</v>
      </c>
      <c r="R11" s="1">
        <v>12</v>
      </c>
      <c r="S11" s="1">
        <f t="shared" si="0"/>
        <v>10</v>
      </c>
    </row>
    <row r="12" spans="2:19">
      <c r="B12">
        <v>11</v>
      </c>
      <c r="C12">
        <v>20</v>
      </c>
      <c r="D12">
        <v>18</v>
      </c>
      <c r="E12">
        <v>16</v>
      </c>
      <c r="F12">
        <v>31</v>
      </c>
      <c r="G12">
        <v>33</v>
      </c>
      <c r="H12">
        <v>43</v>
      </c>
      <c r="I12">
        <v>38</v>
      </c>
      <c r="J12">
        <v>36</v>
      </c>
      <c r="K12">
        <v>35</v>
      </c>
      <c r="L12">
        <v>15</v>
      </c>
      <c r="M12">
        <v>23</v>
      </c>
      <c r="P12">
        <v>13</v>
      </c>
      <c r="Q12" t="s">
        <v>12221</v>
      </c>
      <c r="R12">
        <v>13</v>
      </c>
      <c r="S12" s="1">
        <f t="shared" si="0"/>
        <v>12</v>
      </c>
    </row>
    <row r="13" spans="2:19">
      <c r="B13">
        <v>12</v>
      </c>
      <c r="C13">
        <v>21</v>
      </c>
      <c r="D13">
        <v>24</v>
      </c>
      <c r="E13">
        <v>40</v>
      </c>
      <c r="F13">
        <v>33</v>
      </c>
      <c r="G13">
        <v>31</v>
      </c>
      <c r="H13">
        <v>44</v>
      </c>
      <c r="I13">
        <v>44</v>
      </c>
      <c r="J13">
        <v>40</v>
      </c>
      <c r="K13">
        <v>40</v>
      </c>
      <c r="L13">
        <v>25</v>
      </c>
      <c r="M13">
        <v>26</v>
      </c>
      <c r="P13" s="522" t="s">
        <v>12214</v>
      </c>
      <c r="Q13" t="s">
        <v>12222</v>
      </c>
      <c r="R13">
        <v>16</v>
      </c>
      <c r="S13" s="1">
        <f t="shared" si="0"/>
        <v>13</v>
      </c>
    </row>
    <row r="14" spans="2:19">
      <c r="B14">
        <v>13</v>
      </c>
      <c r="C14">
        <v>28</v>
      </c>
      <c r="D14">
        <v>48</v>
      </c>
      <c r="E14">
        <v>42</v>
      </c>
      <c r="F14">
        <v>41</v>
      </c>
      <c r="G14">
        <v>32</v>
      </c>
      <c r="H14">
        <v>45</v>
      </c>
      <c r="I14">
        <v>46</v>
      </c>
      <c r="J14">
        <v>44</v>
      </c>
      <c r="K14">
        <v>47</v>
      </c>
      <c r="L14">
        <v>25</v>
      </c>
      <c r="M14">
        <v>23</v>
      </c>
      <c r="P14" s="522" t="s">
        <v>9119</v>
      </c>
      <c r="Q14" t="s">
        <v>12223</v>
      </c>
      <c r="R14">
        <v>20</v>
      </c>
      <c r="S14" s="1">
        <f t="shared" si="0"/>
        <v>16</v>
      </c>
    </row>
    <row r="15" spans="2:19">
      <c r="B15">
        <v>14</v>
      </c>
      <c r="C15">
        <v>40</v>
      </c>
      <c r="D15">
        <v>48</v>
      </c>
      <c r="E15">
        <v>42</v>
      </c>
      <c r="F15">
        <v>44</v>
      </c>
      <c r="G15">
        <v>33</v>
      </c>
      <c r="H15">
        <v>45</v>
      </c>
      <c r="I15">
        <v>11</v>
      </c>
      <c r="J15">
        <v>45</v>
      </c>
      <c r="K15">
        <v>47</v>
      </c>
      <c r="L15">
        <v>21</v>
      </c>
      <c r="M15">
        <v>34</v>
      </c>
      <c r="P15" s="522" t="s">
        <v>12215</v>
      </c>
      <c r="Q15" t="s">
        <v>12224</v>
      </c>
      <c r="R15">
        <v>30</v>
      </c>
      <c r="S15" s="1">
        <f t="shared" si="0"/>
        <v>20</v>
      </c>
    </row>
    <row r="16" spans="2:19">
      <c r="B16">
        <v>15</v>
      </c>
      <c r="C16">
        <v>4</v>
      </c>
      <c r="D16">
        <v>24</v>
      </c>
      <c r="E16">
        <v>50</v>
      </c>
      <c r="F16">
        <v>24</v>
      </c>
      <c r="G16">
        <v>44</v>
      </c>
      <c r="H16">
        <v>11</v>
      </c>
      <c r="I16">
        <v>36</v>
      </c>
      <c r="J16">
        <v>47</v>
      </c>
      <c r="K16">
        <v>49</v>
      </c>
      <c r="L16">
        <v>34</v>
      </c>
      <c r="M16">
        <v>24</v>
      </c>
    </row>
    <row r="17" spans="2:19">
      <c r="B17">
        <v>16</v>
      </c>
      <c r="C17">
        <v>1</v>
      </c>
      <c r="D17">
        <v>20</v>
      </c>
      <c r="E17">
        <v>51</v>
      </c>
      <c r="F17">
        <v>33</v>
      </c>
      <c r="G17">
        <v>24</v>
      </c>
      <c r="H17">
        <v>24</v>
      </c>
      <c r="I17">
        <v>11</v>
      </c>
      <c r="J17">
        <v>29</v>
      </c>
      <c r="K17">
        <v>49</v>
      </c>
      <c r="L17">
        <v>34</v>
      </c>
      <c r="M17">
        <v>23</v>
      </c>
      <c r="P17" s="1" t="s">
        <v>551</v>
      </c>
      <c r="Q17" s="1" t="s">
        <v>7706</v>
      </c>
    </row>
    <row r="18" spans="2:19">
      <c r="B18">
        <v>17</v>
      </c>
      <c r="C18">
        <v>21</v>
      </c>
      <c r="D18">
        <v>13</v>
      </c>
      <c r="E18">
        <v>51</v>
      </c>
      <c r="F18">
        <v>13</v>
      </c>
      <c r="G18">
        <v>31</v>
      </c>
      <c r="H18">
        <v>24</v>
      </c>
      <c r="I18">
        <v>36</v>
      </c>
      <c r="J18">
        <v>29</v>
      </c>
      <c r="K18">
        <v>2</v>
      </c>
      <c r="L18">
        <v>50</v>
      </c>
      <c r="M18">
        <v>26</v>
      </c>
      <c r="P18" t="s">
        <v>12235</v>
      </c>
      <c r="Q18">
        <f ca="1">RANDBETWEEN(1,2)-1</f>
        <v>0</v>
      </c>
    </row>
    <row r="19" spans="2:19">
      <c r="B19">
        <v>18</v>
      </c>
      <c r="C19">
        <v>28</v>
      </c>
      <c r="D19">
        <v>24</v>
      </c>
      <c r="E19">
        <v>53</v>
      </c>
      <c r="F19">
        <v>54</v>
      </c>
      <c r="G19">
        <v>60</v>
      </c>
      <c r="H19">
        <v>55</v>
      </c>
      <c r="I19">
        <v>60</v>
      </c>
      <c r="J19">
        <v>55</v>
      </c>
      <c r="K19">
        <v>5</v>
      </c>
      <c r="L19">
        <v>52</v>
      </c>
      <c r="M19">
        <v>52</v>
      </c>
      <c r="P19" t="s">
        <v>1909</v>
      </c>
      <c r="Q19" s="1">
        <f ca="1">RANDBETWEEN(1,3)</f>
        <v>3</v>
      </c>
    </row>
    <row r="20" spans="2:19">
      <c r="B20">
        <v>19</v>
      </c>
      <c r="C20">
        <v>21</v>
      </c>
      <c r="D20">
        <v>48</v>
      </c>
      <c r="E20">
        <v>50</v>
      </c>
      <c r="F20">
        <v>58</v>
      </c>
      <c r="G20">
        <v>31</v>
      </c>
      <c r="H20">
        <v>55</v>
      </c>
      <c r="I20">
        <v>60</v>
      </c>
      <c r="J20">
        <v>57</v>
      </c>
      <c r="K20">
        <v>62</v>
      </c>
      <c r="L20">
        <v>54</v>
      </c>
      <c r="M20">
        <v>54</v>
      </c>
      <c r="P20" t="s">
        <v>1902</v>
      </c>
      <c r="Q20" s="1">
        <f ca="1">RANDBETWEEN(1,4)+1</f>
        <v>4</v>
      </c>
    </row>
    <row r="21" spans="2:19">
      <c r="B21">
        <v>20</v>
      </c>
      <c r="C21">
        <v>28</v>
      </c>
      <c r="D21">
        <v>24</v>
      </c>
      <c r="E21">
        <v>51</v>
      </c>
      <c r="F21">
        <v>58</v>
      </c>
      <c r="G21">
        <v>33</v>
      </c>
      <c r="H21">
        <v>56</v>
      </c>
      <c r="I21">
        <v>60</v>
      </c>
      <c r="J21">
        <v>57</v>
      </c>
      <c r="K21">
        <v>21</v>
      </c>
      <c r="L21">
        <v>54</v>
      </c>
      <c r="M21">
        <v>61</v>
      </c>
      <c r="P21" t="s">
        <v>1906</v>
      </c>
      <c r="Q21" s="1">
        <f ca="1">RANDBETWEEN(2,4)+2</f>
        <v>5</v>
      </c>
    </row>
    <row r="22" spans="2:19">
      <c r="B22">
        <v>21</v>
      </c>
      <c r="C22">
        <v>4</v>
      </c>
      <c r="D22">
        <v>48</v>
      </c>
      <c r="E22">
        <v>53</v>
      </c>
      <c r="F22">
        <v>33</v>
      </c>
      <c r="G22">
        <v>62</v>
      </c>
      <c r="H22">
        <v>56</v>
      </c>
      <c r="I22">
        <v>62</v>
      </c>
      <c r="J22">
        <v>47</v>
      </c>
      <c r="K22">
        <v>21</v>
      </c>
      <c r="L22">
        <v>61</v>
      </c>
      <c r="M22">
        <v>26</v>
      </c>
    </row>
    <row r="23" spans="2:19">
      <c r="B23">
        <v>22</v>
      </c>
      <c r="C23">
        <v>62</v>
      </c>
      <c r="D23">
        <v>58</v>
      </c>
      <c r="E23">
        <v>17</v>
      </c>
      <c r="F23">
        <v>59</v>
      </c>
      <c r="G23">
        <v>60</v>
      </c>
      <c r="H23">
        <v>60</v>
      </c>
      <c r="I23">
        <v>36</v>
      </c>
      <c r="J23">
        <v>55</v>
      </c>
      <c r="K23">
        <v>47</v>
      </c>
      <c r="L23">
        <v>52</v>
      </c>
      <c r="M23">
        <v>62</v>
      </c>
    </row>
    <row r="24" spans="2:19">
      <c r="B24">
        <v>23</v>
      </c>
      <c r="C24">
        <v>33</v>
      </c>
      <c r="D24">
        <v>59</v>
      </c>
      <c r="E24">
        <v>52</v>
      </c>
      <c r="F24">
        <v>62</v>
      </c>
      <c r="G24">
        <v>31</v>
      </c>
      <c r="H24">
        <v>55</v>
      </c>
      <c r="I24">
        <v>64</v>
      </c>
      <c r="J24">
        <v>67</v>
      </c>
      <c r="K24">
        <v>69</v>
      </c>
      <c r="L24">
        <v>62</v>
      </c>
      <c r="M24">
        <v>64</v>
      </c>
      <c r="P24">
        <f ca="1">RANDBETWEEN(1,20)+'GM SCREEN'!J4</f>
        <v>7</v>
      </c>
      <c r="S24">
        <f ca="1">IF(P24&lt;'GM SCREEN'!K4,0,1)</f>
        <v>0</v>
      </c>
    </row>
    <row r="25" spans="2:19">
      <c r="B25">
        <v>24</v>
      </c>
      <c r="C25">
        <v>66</v>
      </c>
      <c r="D25">
        <v>59</v>
      </c>
      <c r="E25">
        <v>65</v>
      </c>
      <c r="F25">
        <v>63</v>
      </c>
      <c r="G25">
        <v>31</v>
      </c>
      <c r="H25">
        <v>64</v>
      </c>
      <c r="I25">
        <v>67</v>
      </c>
      <c r="J25">
        <v>67</v>
      </c>
      <c r="K25">
        <v>71</v>
      </c>
      <c r="L25">
        <v>65</v>
      </c>
      <c r="M25">
        <v>62</v>
      </c>
      <c r="Q25" t="s">
        <v>12243</v>
      </c>
      <c r="R25" s="1" t="s">
        <v>12241</v>
      </c>
    </row>
    <row r="26" spans="2:19">
      <c r="B26">
        <v>25</v>
      </c>
      <c r="C26">
        <v>69</v>
      </c>
      <c r="D26">
        <v>63</v>
      </c>
      <c r="E26">
        <v>69</v>
      </c>
      <c r="F26">
        <v>66</v>
      </c>
      <c r="G26">
        <v>33</v>
      </c>
      <c r="H26">
        <v>55</v>
      </c>
      <c r="I26">
        <v>71</v>
      </c>
      <c r="J26">
        <v>71</v>
      </c>
      <c r="K26">
        <v>69</v>
      </c>
      <c r="L26">
        <v>68</v>
      </c>
      <c r="M26">
        <v>26</v>
      </c>
    </row>
    <row r="27" spans="2:19">
      <c r="B27">
        <v>26</v>
      </c>
      <c r="C27">
        <v>72</v>
      </c>
      <c r="D27">
        <v>63</v>
      </c>
      <c r="E27">
        <v>69</v>
      </c>
      <c r="F27">
        <v>71</v>
      </c>
      <c r="G27">
        <v>64</v>
      </c>
      <c r="H27">
        <v>71</v>
      </c>
      <c r="I27">
        <v>71</v>
      </c>
      <c r="J27">
        <v>55</v>
      </c>
      <c r="K27">
        <v>47</v>
      </c>
      <c r="L27">
        <v>70</v>
      </c>
      <c r="M27">
        <v>70</v>
      </c>
      <c r="P27" t="s">
        <v>12241</v>
      </c>
      <c r="Q27" t="s">
        <v>9196</v>
      </c>
      <c r="R27" t="s">
        <v>12242</v>
      </c>
    </row>
    <row r="28" spans="2:19">
      <c r="B28">
        <v>27</v>
      </c>
      <c r="C28">
        <v>4</v>
      </c>
      <c r="D28">
        <v>66</v>
      </c>
      <c r="E28">
        <v>72</v>
      </c>
      <c r="F28">
        <v>72</v>
      </c>
      <c r="G28">
        <v>72</v>
      </c>
      <c r="H28">
        <v>72</v>
      </c>
      <c r="I28">
        <v>72</v>
      </c>
      <c r="J28">
        <v>72</v>
      </c>
      <c r="K28">
        <v>72</v>
      </c>
      <c r="L28">
        <v>70</v>
      </c>
      <c r="M28">
        <v>72</v>
      </c>
      <c r="P28" t="s">
        <v>12236</v>
      </c>
      <c r="Q28">
        <v>5</v>
      </c>
      <c r="R28">
        <v>-5</v>
      </c>
    </row>
    <row r="29" spans="2:19">
      <c r="P29" t="s">
        <v>12237</v>
      </c>
      <c r="Q29">
        <v>10</v>
      </c>
      <c r="R29">
        <v>-2</v>
      </c>
    </row>
    <row r="30" spans="2:19">
      <c r="P30" t="s">
        <v>12238</v>
      </c>
      <c r="Q30">
        <v>15</v>
      </c>
      <c r="R30" s="1">
        <v>0</v>
      </c>
    </row>
    <row r="31" spans="2:19">
      <c r="P31" t="s">
        <v>12239</v>
      </c>
      <c r="Q31">
        <v>20</v>
      </c>
      <c r="R31">
        <v>2</v>
      </c>
    </row>
    <row r="32" spans="2:19">
      <c r="P32" t="s">
        <v>12240</v>
      </c>
      <c r="Q32">
        <v>25</v>
      </c>
      <c r="R32">
        <v>5</v>
      </c>
    </row>
    <row r="33" spans="2:18">
      <c r="H33" s="1260" t="s">
        <v>5799</v>
      </c>
      <c r="I33" s="1260" t="s">
        <v>18266</v>
      </c>
      <c r="J33" s="1260" t="s">
        <v>18255</v>
      </c>
      <c r="K33" s="1260" t="s">
        <v>9330</v>
      </c>
      <c r="L33" s="1260" t="s">
        <v>18255</v>
      </c>
    </row>
    <row r="34" spans="2:18">
      <c r="B34" t="s">
        <v>7641</v>
      </c>
      <c r="C34" t="s">
        <v>17428</v>
      </c>
      <c r="D34" t="s">
        <v>16361</v>
      </c>
      <c r="F34" s="1" t="s">
        <v>11787</v>
      </c>
      <c r="H34" s="1260" t="s">
        <v>2097</v>
      </c>
      <c r="I34" s="1260" t="s">
        <v>18256</v>
      </c>
      <c r="J34" s="1260" t="s">
        <v>18257</v>
      </c>
      <c r="K34" s="1260" t="s">
        <v>18258</v>
      </c>
      <c r="L34" s="1260" t="s">
        <v>18259</v>
      </c>
      <c r="R34" s="1"/>
    </row>
    <row r="35" spans="2:18">
      <c r="B35" s="1252">
        <v>43922</v>
      </c>
      <c r="C35" t="s">
        <v>18247</v>
      </c>
      <c r="D35" t="s">
        <v>18248</v>
      </c>
      <c r="F35" t="s">
        <v>12228</v>
      </c>
      <c r="H35" s="1260" t="s">
        <v>8367</v>
      </c>
      <c r="I35" s="1260" t="s">
        <v>7698</v>
      </c>
      <c r="J35" s="1260" t="s">
        <v>18260</v>
      </c>
      <c r="K35" s="1260" t="s">
        <v>7698</v>
      </c>
      <c r="L35" s="1260" t="s">
        <v>18260</v>
      </c>
    </row>
    <row r="36" spans="2:18">
      <c r="B36" s="1252">
        <v>44017</v>
      </c>
      <c r="C36" t="s">
        <v>18249</v>
      </c>
      <c r="D36" t="s">
        <v>18250</v>
      </c>
      <c r="F36" t="s">
        <v>12229</v>
      </c>
      <c r="H36" s="1260" t="s">
        <v>8368</v>
      </c>
      <c r="I36" s="1260" t="s">
        <v>8367</v>
      </c>
      <c r="J36" s="1260" t="s">
        <v>18261</v>
      </c>
      <c r="K36" s="1260" t="s">
        <v>8367</v>
      </c>
      <c r="L36" s="1260" t="s">
        <v>18262</v>
      </c>
      <c r="R36" s="1"/>
    </row>
    <row r="37" spans="2:18">
      <c r="B37" s="1252">
        <v>44082</v>
      </c>
      <c r="C37" t="s">
        <v>18251</v>
      </c>
      <c r="D37" t="s">
        <v>18252</v>
      </c>
      <c r="F37" t="s">
        <v>11542</v>
      </c>
      <c r="H37" s="1260" t="s">
        <v>8369</v>
      </c>
      <c r="I37" s="1260" t="s">
        <v>8370</v>
      </c>
      <c r="J37" s="1260" t="s">
        <v>18263</v>
      </c>
      <c r="K37" s="1260" t="s">
        <v>8370</v>
      </c>
      <c r="L37" s="1260" t="s">
        <v>18264</v>
      </c>
    </row>
    <row r="38" spans="2:18">
      <c r="B38">
        <v>10</v>
      </c>
      <c r="C38" t="s">
        <v>18253</v>
      </c>
      <c r="D38" t="s">
        <v>18254</v>
      </c>
      <c r="F38" t="s">
        <v>12230</v>
      </c>
      <c r="H38" s="1260" t="s">
        <v>8370</v>
      </c>
      <c r="I38" s="1260" t="s">
        <v>8374</v>
      </c>
      <c r="J38" s="1260" t="s">
        <v>18267</v>
      </c>
      <c r="K38" s="1260" t="s">
        <v>8374</v>
      </c>
      <c r="L38" s="1260" t="s">
        <v>18265</v>
      </c>
    </row>
    <row r="39" spans="2:18">
      <c r="F39" t="s">
        <v>11540</v>
      </c>
      <c r="H39" s="1260" t="s">
        <v>8371</v>
      </c>
      <c r="I39" s="1260" t="s">
        <v>8379</v>
      </c>
      <c r="J39" s="1260" t="s">
        <v>18268</v>
      </c>
      <c r="K39" s="1260" t="s">
        <v>8379</v>
      </c>
      <c r="L39" s="1260" t="s">
        <v>18269</v>
      </c>
      <c r="R39" s="1"/>
    </row>
    <row r="40" spans="2:18">
      <c r="F40" t="s">
        <v>11539</v>
      </c>
      <c r="H40" s="1260" t="s">
        <v>8372</v>
      </c>
      <c r="I40" s="1260" t="s">
        <v>8385</v>
      </c>
      <c r="J40" s="1260" t="s">
        <v>18270</v>
      </c>
      <c r="K40" s="1260" t="s">
        <v>8385</v>
      </c>
      <c r="L40" s="1260" t="s">
        <v>18271</v>
      </c>
    </row>
    <row r="41" spans="2:18">
      <c r="F41" t="s">
        <v>11537</v>
      </c>
      <c r="H41" s="1260" t="s">
        <v>8373</v>
      </c>
      <c r="I41" s="1260" t="s">
        <v>8392</v>
      </c>
      <c r="J41" s="1260" t="s">
        <v>18272</v>
      </c>
      <c r="K41" s="1260" t="s">
        <v>8392</v>
      </c>
      <c r="L41" s="1260" t="s">
        <v>18273</v>
      </c>
    </row>
    <row r="42" spans="2:18">
      <c r="F42" t="s">
        <v>11538</v>
      </c>
      <c r="H42" s="1260" t="s">
        <v>8374</v>
      </c>
      <c r="I42" s="1260" t="s">
        <v>8400</v>
      </c>
      <c r="J42" s="1260" t="s">
        <v>18274</v>
      </c>
      <c r="K42" s="1260" t="s">
        <v>8400</v>
      </c>
      <c r="L42" s="1260" t="s">
        <v>18275</v>
      </c>
      <c r="R42" s="1"/>
    </row>
    <row r="43" spans="2:18">
      <c r="F43" t="s">
        <v>12231</v>
      </c>
      <c r="H43" s="1260" t="s">
        <v>8375</v>
      </c>
      <c r="I43" s="1260" t="s">
        <v>8408</v>
      </c>
      <c r="J43" s="1260" t="s">
        <v>18276</v>
      </c>
      <c r="K43" s="1260" t="s">
        <v>8409</v>
      </c>
      <c r="L43" s="1260" t="s">
        <v>18277</v>
      </c>
    </row>
    <row r="44" spans="2:18">
      <c r="F44" t="s">
        <v>12232</v>
      </c>
      <c r="H44" s="1260" t="s">
        <v>8376</v>
      </c>
      <c r="I44" s="1260" t="s">
        <v>8416</v>
      </c>
      <c r="J44" s="1260" t="s">
        <v>18278</v>
      </c>
      <c r="K44" s="1260" t="s">
        <v>8419</v>
      </c>
      <c r="L44" s="1260" t="s">
        <v>18279</v>
      </c>
    </row>
    <row r="45" spans="2:18">
      <c r="F45" t="s">
        <v>12233</v>
      </c>
      <c r="H45" s="1260" t="s">
        <v>8377</v>
      </c>
      <c r="I45" s="1260" t="s">
        <v>8423</v>
      </c>
      <c r="J45" s="1260" t="s">
        <v>18280</v>
      </c>
      <c r="K45" s="1260" t="s">
        <v>8427</v>
      </c>
      <c r="L45" s="1260" t="s">
        <v>18281</v>
      </c>
    </row>
    <row r="46" spans="2:18">
      <c r="H46" s="1260" t="s">
        <v>8378</v>
      </c>
      <c r="I46" s="1260" t="s">
        <v>8429</v>
      </c>
      <c r="J46" s="1260" t="s">
        <v>18282</v>
      </c>
      <c r="K46" s="1260" t="s">
        <v>8433</v>
      </c>
      <c r="L46" s="1260" t="s">
        <v>18283</v>
      </c>
    </row>
    <row r="47" spans="2:18">
      <c r="H47" s="1260" t="s">
        <v>8379</v>
      </c>
      <c r="I47" s="1260" t="s">
        <v>8433</v>
      </c>
      <c r="J47" s="1260" t="s">
        <v>18284</v>
      </c>
      <c r="K47" s="1260" t="s">
        <v>8437</v>
      </c>
      <c r="L47" s="1260" t="s">
        <v>18285</v>
      </c>
    </row>
    <row r="48" spans="2:18">
      <c r="H48" s="1260" t="s">
        <v>8380</v>
      </c>
      <c r="I48" s="1260" t="s">
        <v>8435</v>
      </c>
      <c r="J48" s="1260" t="s">
        <v>18286</v>
      </c>
      <c r="K48" s="1260" t="s">
        <v>8439</v>
      </c>
      <c r="L48" s="1260" t="s">
        <v>18287</v>
      </c>
      <c r="R48" s="1" t="str">
        <f>_xlfn.TEXTJOIN(" ",1,Q48:Q53)</f>
        <v/>
      </c>
    </row>
    <row r="49" spans="8:12">
      <c r="H49" s="1260" t="s">
        <v>8381</v>
      </c>
      <c r="I49" s="1260" t="s">
        <v>8435</v>
      </c>
      <c r="J49" s="1260" t="s">
        <v>18286</v>
      </c>
      <c r="K49" s="1260" t="s">
        <v>8439</v>
      </c>
      <c r="L49" s="1260" t="s">
        <v>18287</v>
      </c>
    </row>
    <row r="50" spans="8:12">
      <c r="H50" s="1260" t="s">
        <v>8382</v>
      </c>
      <c r="I50" s="1260" t="s">
        <v>8433</v>
      </c>
      <c r="J50" s="1260" t="s">
        <v>18284</v>
      </c>
      <c r="K50" s="1260" t="s">
        <v>8437</v>
      </c>
      <c r="L50" s="1260" t="s">
        <v>18285</v>
      </c>
    </row>
    <row r="51" spans="8:12">
      <c r="H51" s="1260" t="s">
        <v>8383</v>
      </c>
      <c r="I51" s="1260" t="s">
        <v>8429</v>
      </c>
      <c r="J51" s="1260" t="s">
        <v>18282</v>
      </c>
      <c r="K51" s="1260" t="s">
        <v>8433</v>
      </c>
      <c r="L51" s="1260" t="s">
        <v>18283</v>
      </c>
    </row>
    <row r="52" spans="8:12">
      <c r="H52" s="1260" t="s">
        <v>8384</v>
      </c>
      <c r="I52" s="1260" t="s">
        <v>8423</v>
      </c>
      <c r="J52" s="1260" t="s">
        <v>18280</v>
      </c>
      <c r="K52" s="1260" t="s">
        <v>8427</v>
      </c>
      <c r="L52" s="1260" t="s">
        <v>18281</v>
      </c>
    </row>
    <row r="53" spans="8:12">
      <c r="H53" s="1260" t="s">
        <v>8385</v>
      </c>
      <c r="I53" s="1260" t="s">
        <v>8416</v>
      </c>
      <c r="J53" s="1260" t="s">
        <v>18278</v>
      </c>
      <c r="K53" s="1260" t="s">
        <v>8419</v>
      </c>
      <c r="L53" s="1260" t="s">
        <v>18279</v>
      </c>
    </row>
    <row r="54" spans="8:12">
      <c r="H54" s="1260" t="s">
        <v>8386</v>
      </c>
      <c r="I54" s="1260" t="s">
        <v>8408</v>
      </c>
      <c r="J54" s="1260" t="s">
        <v>18276</v>
      </c>
      <c r="K54" s="1260" t="s">
        <v>8409</v>
      </c>
      <c r="L54" s="1260" t="s">
        <v>18277</v>
      </c>
    </row>
    <row r="55" spans="8:12">
      <c r="H55" s="1260" t="s">
        <v>8387</v>
      </c>
      <c r="I55" s="1260" t="s">
        <v>8400</v>
      </c>
      <c r="J55" s="1260" t="s">
        <v>18274</v>
      </c>
      <c r="K55" s="1260" t="s">
        <v>8400</v>
      </c>
      <c r="L55" s="1260" t="s">
        <v>18275</v>
      </c>
    </row>
    <row r="56" spans="8:12">
      <c r="H56" s="1260" t="s">
        <v>8388</v>
      </c>
      <c r="I56" s="1260" t="s">
        <v>8392</v>
      </c>
      <c r="J56" s="1260" t="s">
        <v>18272</v>
      </c>
      <c r="K56" s="1260" t="s">
        <v>8392</v>
      </c>
      <c r="L56" s="1260" t="s">
        <v>18273</v>
      </c>
    </row>
    <row r="57" spans="8:12">
      <c r="H57" s="1260" t="s">
        <v>8389</v>
      </c>
      <c r="I57" s="1260" t="s">
        <v>8385</v>
      </c>
      <c r="J57" s="1260" t="s">
        <v>18270</v>
      </c>
      <c r="K57" s="1260" t="s">
        <v>8385</v>
      </c>
      <c r="L57" s="1260" t="s">
        <v>18271</v>
      </c>
    </row>
    <row r="58" spans="8:12">
      <c r="H58" s="1260" t="s">
        <v>8390</v>
      </c>
      <c r="I58" s="1260" t="s">
        <v>8379</v>
      </c>
      <c r="J58" s="1260" t="s">
        <v>18268</v>
      </c>
      <c r="K58" s="1260" t="s">
        <v>8379</v>
      </c>
      <c r="L58" s="1260" t="s">
        <v>18269</v>
      </c>
    </row>
    <row r="59" spans="8:12">
      <c r="H59" s="1260" t="s">
        <v>8391</v>
      </c>
      <c r="I59" s="1260" t="s">
        <v>8374</v>
      </c>
      <c r="J59" s="1260" t="s">
        <v>18267</v>
      </c>
      <c r="K59" s="1260" t="s">
        <v>8374</v>
      </c>
      <c r="L59" s="1260" t="s">
        <v>18265</v>
      </c>
    </row>
    <row r="60" spans="8:12">
      <c r="H60" s="1260" t="s">
        <v>8392</v>
      </c>
      <c r="I60" s="1260" t="s">
        <v>8370</v>
      </c>
      <c r="J60" s="1260" t="s">
        <v>18263</v>
      </c>
      <c r="K60" s="1260" t="s">
        <v>8370</v>
      </c>
      <c r="L60" s="1260" t="s">
        <v>18264</v>
      </c>
    </row>
    <row r="61" spans="8:12">
      <c r="H61" s="1260" t="s">
        <v>8393</v>
      </c>
      <c r="I61" s="1260" t="s">
        <v>8367</v>
      </c>
      <c r="J61" s="1260" t="s">
        <v>18261</v>
      </c>
      <c r="K61" s="1260" t="s">
        <v>8367</v>
      </c>
      <c r="L61" s="1260" t="s">
        <v>18262</v>
      </c>
    </row>
    <row r="62" spans="8:12">
      <c r="H62" s="1260" t="s">
        <v>8394</v>
      </c>
      <c r="I62" s="1260" t="s">
        <v>7698</v>
      </c>
      <c r="J62" s="1260" t="s">
        <v>18260</v>
      </c>
      <c r="K62" s="1260" t="s">
        <v>7698</v>
      </c>
      <c r="L62" s="1260" t="s">
        <v>18260</v>
      </c>
    </row>
    <row r="65" spans="8:14">
      <c r="H65" s="1260" t="s">
        <v>5799</v>
      </c>
      <c r="I65" s="1260" t="s">
        <v>18266</v>
      </c>
      <c r="J65" s="1260" t="s">
        <v>18288</v>
      </c>
      <c r="K65" s="1260" t="s">
        <v>18289</v>
      </c>
      <c r="L65" s="1260" t="s">
        <v>18290</v>
      </c>
      <c r="M65" s="1260" t="s">
        <v>18291</v>
      </c>
      <c r="N65" s="1260" t="s">
        <v>18255</v>
      </c>
    </row>
    <row r="66" spans="8:14">
      <c r="H66" s="1260" t="s">
        <v>2097</v>
      </c>
      <c r="I66" s="1260" t="s">
        <v>18256</v>
      </c>
      <c r="J66" s="1260" t="s">
        <v>18292</v>
      </c>
      <c r="K66" s="1260" t="s">
        <v>18293</v>
      </c>
      <c r="L66" s="1260" t="s">
        <v>18294</v>
      </c>
      <c r="M66" s="1260" t="s">
        <v>18295</v>
      </c>
      <c r="N66" s="1260" t="s">
        <v>18296</v>
      </c>
    </row>
    <row r="67" spans="8:14">
      <c r="H67" s="1260" t="s">
        <v>8367</v>
      </c>
      <c r="I67" s="1260" t="s">
        <v>7698</v>
      </c>
      <c r="J67" s="1260" t="s">
        <v>18260</v>
      </c>
      <c r="K67" s="1260"/>
      <c r="L67" s="1260"/>
      <c r="M67" s="1260"/>
      <c r="N67" s="1260" t="s">
        <v>18260</v>
      </c>
    </row>
    <row r="68" spans="8:14">
      <c r="H68" s="1260" t="s">
        <v>8368</v>
      </c>
      <c r="I68" s="1260" t="s">
        <v>8367</v>
      </c>
      <c r="J68" s="1260" t="s">
        <v>18261</v>
      </c>
      <c r="K68" s="1260"/>
      <c r="L68" s="1260"/>
      <c r="M68" s="1260"/>
      <c r="N68" s="1260" t="s">
        <v>18261</v>
      </c>
    </row>
    <row r="69" spans="8:14">
      <c r="H69" s="1260" t="s">
        <v>8369</v>
      </c>
      <c r="I69" s="1260" t="s">
        <v>8370</v>
      </c>
      <c r="J69" s="1260" t="s">
        <v>18263</v>
      </c>
      <c r="K69" s="1260"/>
      <c r="L69" s="1260"/>
      <c r="M69" s="1260"/>
      <c r="N69" s="1260" t="s">
        <v>18263</v>
      </c>
    </row>
    <row r="70" spans="8:14">
      <c r="H70" s="1260" t="s">
        <v>8370</v>
      </c>
      <c r="I70" s="1260" t="s">
        <v>8374</v>
      </c>
      <c r="J70" s="1260" t="s">
        <v>18267</v>
      </c>
      <c r="K70" s="1260"/>
      <c r="L70" s="1260"/>
      <c r="M70" s="1260"/>
      <c r="N70" s="1260" t="s">
        <v>18267</v>
      </c>
    </row>
    <row r="71" spans="8:14">
      <c r="H71" s="1260" t="s">
        <v>8371</v>
      </c>
      <c r="I71" s="1260" t="s">
        <v>8379</v>
      </c>
      <c r="J71" s="1260" t="s">
        <v>18303</v>
      </c>
      <c r="K71" s="1260" t="s">
        <v>18260</v>
      </c>
      <c r="L71" s="1260"/>
      <c r="M71" s="1260"/>
      <c r="N71" s="1260" t="s">
        <v>18268</v>
      </c>
    </row>
    <row r="72" spans="8:14">
      <c r="H72" s="1260" t="s">
        <v>8372</v>
      </c>
      <c r="I72" s="1260" t="s">
        <v>8385</v>
      </c>
      <c r="J72" s="1260" t="s">
        <v>18304</v>
      </c>
      <c r="K72" s="1260" t="s">
        <v>18261</v>
      </c>
      <c r="L72" s="1260"/>
      <c r="M72" s="1260"/>
      <c r="N72" s="1260" t="s">
        <v>18270</v>
      </c>
    </row>
    <row r="73" spans="8:14">
      <c r="H73" s="1260" t="s">
        <v>8373</v>
      </c>
      <c r="I73" s="1260" t="s">
        <v>8392</v>
      </c>
      <c r="J73" s="1260" t="s">
        <v>18305</v>
      </c>
      <c r="K73" s="1260" t="s">
        <v>18263</v>
      </c>
      <c r="L73" s="1260"/>
      <c r="M73" s="1260"/>
      <c r="N73" s="1260" t="s">
        <v>18272</v>
      </c>
    </row>
    <row r="74" spans="8:14">
      <c r="H74" s="1260" t="s">
        <v>8374</v>
      </c>
      <c r="I74" s="1260" t="s">
        <v>8400</v>
      </c>
      <c r="J74" s="1260" t="s">
        <v>18306</v>
      </c>
      <c r="K74" s="1260" t="s">
        <v>18297</v>
      </c>
      <c r="L74" s="1260" t="s">
        <v>18260</v>
      </c>
      <c r="M74" s="1260"/>
      <c r="N74" s="1260" t="s">
        <v>18274</v>
      </c>
    </row>
    <row r="75" spans="8:14">
      <c r="H75" s="1260" t="s">
        <v>8375</v>
      </c>
      <c r="I75" s="1260" t="s">
        <v>8408</v>
      </c>
      <c r="J75" s="1260" t="s">
        <v>18307</v>
      </c>
      <c r="K75" s="1260" t="s">
        <v>18308</v>
      </c>
      <c r="L75" s="1260" t="s">
        <v>18261</v>
      </c>
      <c r="M75" s="1260"/>
      <c r="N75" s="1260" t="s">
        <v>18276</v>
      </c>
    </row>
    <row r="76" spans="8:14">
      <c r="H76" s="1260" t="s">
        <v>8376</v>
      </c>
      <c r="I76" s="1260" t="s">
        <v>8416</v>
      </c>
      <c r="J76" s="1260" t="s">
        <v>18309</v>
      </c>
      <c r="K76" s="1260" t="s">
        <v>18268</v>
      </c>
      <c r="L76" s="1260" t="s">
        <v>18298</v>
      </c>
      <c r="M76" s="1260" t="s">
        <v>18260</v>
      </c>
      <c r="N76" s="1260" t="s">
        <v>18278</v>
      </c>
    </row>
    <row r="77" spans="8:14">
      <c r="H77" s="1260" t="s">
        <v>8377</v>
      </c>
      <c r="I77" s="1260" t="s">
        <v>8423</v>
      </c>
      <c r="J77" s="1260" t="s">
        <v>18310</v>
      </c>
      <c r="K77" s="1260" t="s">
        <v>18304</v>
      </c>
      <c r="L77" s="1260" t="s">
        <v>18299</v>
      </c>
      <c r="M77" s="1260" t="s">
        <v>18300</v>
      </c>
      <c r="N77" s="1260" t="s">
        <v>18280</v>
      </c>
    </row>
    <row r="78" spans="8:14">
      <c r="H78" s="1260" t="s">
        <v>8378</v>
      </c>
      <c r="I78" s="1260" t="s">
        <v>8429</v>
      </c>
      <c r="J78" s="1260" t="s">
        <v>18310</v>
      </c>
      <c r="K78" s="1260" t="s">
        <v>18270</v>
      </c>
      <c r="L78" s="1260" t="s">
        <v>18297</v>
      </c>
      <c r="M78" s="1260" t="s">
        <v>18261</v>
      </c>
      <c r="N78" s="1260" t="s">
        <v>18282</v>
      </c>
    </row>
    <row r="79" spans="8:14">
      <c r="H79" s="1260" t="s">
        <v>8379</v>
      </c>
      <c r="I79" s="1260" t="s">
        <v>8433</v>
      </c>
      <c r="J79" s="1260" t="s">
        <v>18309</v>
      </c>
      <c r="K79" s="1260" t="s">
        <v>18311</v>
      </c>
      <c r="L79" s="1260" t="s">
        <v>18312</v>
      </c>
      <c r="M79" s="1260" t="s">
        <v>18301</v>
      </c>
      <c r="N79" s="1260" t="s">
        <v>18284</v>
      </c>
    </row>
    <row r="80" spans="8:14">
      <c r="H80" s="1260" t="s">
        <v>8380</v>
      </c>
      <c r="I80" s="1260" t="s">
        <v>8435</v>
      </c>
      <c r="J80" s="1260" t="s">
        <v>18307</v>
      </c>
      <c r="K80" s="1260" t="s">
        <v>18313</v>
      </c>
      <c r="L80" s="1260" t="s">
        <v>18314</v>
      </c>
      <c r="M80" s="1260" t="s">
        <v>18298</v>
      </c>
      <c r="N80" s="1260" t="s">
        <v>18286</v>
      </c>
    </row>
    <row r="81" spans="8:14">
      <c r="H81" s="1260" t="s">
        <v>8381</v>
      </c>
      <c r="I81" s="1260" t="s">
        <v>8435</v>
      </c>
      <c r="J81" s="1260" t="s">
        <v>18306</v>
      </c>
      <c r="K81" s="1260" t="s">
        <v>18313</v>
      </c>
      <c r="L81" s="1260" t="s">
        <v>18268</v>
      </c>
      <c r="M81" s="1260" t="s">
        <v>18263</v>
      </c>
      <c r="N81" s="1260" t="s">
        <v>18286</v>
      </c>
    </row>
    <row r="82" spans="8:14">
      <c r="H82" s="1260" t="s">
        <v>8382</v>
      </c>
      <c r="I82" s="1260" t="s">
        <v>8433</v>
      </c>
      <c r="J82" s="1260" t="s">
        <v>18305</v>
      </c>
      <c r="K82" s="1260" t="s">
        <v>18311</v>
      </c>
      <c r="L82" s="1260" t="s">
        <v>18315</v>
      </c>
      <c r="M82" s="1260" t="s">
        <v>18299</v>
      </c>
      <c r="N82" s="1260" t="s">
        <v>18284</v>
      </c>
    </row>
    <row r="83" spans="8:14">
      <c r="H83" s="1260" t="s">
        <v>8383</v>
      </c>
      <c r="I83" s="1260" t="s">
        <v>8429</v>
      </c>
      <c r="J83" s="1260" t="s">
        <v>18304</v>
      </c>
      <c r="K83" s="1260" t="s">
        <v>18270</v>
      </c>
      <c r="L83" s="1260" t="s">
        <v>18315</v>
      </c>
      <c r="M83" s="1260" t="s">
        <v>18302</v>
      </c>
      <c r="N83" s="1260" t="s">
        <v>18282</v>
      </c>
    </row>
    <row r="84" spans="8:14">
      <c r="H84" s="1260" t="s">
        <v>8384</v>
      </c>
      <c r="I84" s="1260" t="s">
        <v>8423</v>
      </c>
      <c r="J84" s="1260" t="s">
        <v>18303</v>
      </c>
      <c r="K84" s="1260" t="s">
        <v>18304</v>
      </c>
      <c r="L84" s="1260" t="s">
        <v>18315</v>
      </c>
      <c r="M84" s="1260" t="s">
        <v>18302</v>
      </c>
      <c r="N84" s="1260" t="s">
        <v>18280</v>
      </c>
    </row>
    <row r="85" spans="8:14">
      <c r="H85" s="1260" t="s">
        <v>8385</v>
      </c>
      <c r="I85" s="1260" t="s">
        <v>8416</v>
      </c>
      <c r="J85" s="1260" t="s">
        <v>18267</v>
      </c>
      <c r="K85" s="1260" t="s">
        <v>18268</v>
      </c>
      <c r="L85" s="1260" t="s">
        <v>18315</v>
      </c>
      <c r="M85" s="1260" t="s">
        <v>18302</v>
      </c>
      <c r="N85" s="1260" t="s">
        <v>18278</v>
      </c>
    </row>
    <row r="86" spans="8:14">
      <c r="H86" s="1260" t="s">
        <v>8386</v>
      </c>
      <c r="I86" s="1260" t="s">
        <v>8408</v>
      </c>
      <c r="J86" s="1260" t="s">
        <v>18263</v>
      </c>
      <c r="K86" s="1260" t="s">
        <v>18308</v>
      </c>
      <c r="L86" s="1260" t="s">
        <v>18268</v>
      </c>
      <c r="M86" s="1260" t="s">
        <v>18302</v>
      </c>
      <c r="N86" s="1260" t="s">
        <v>18276</v>
      </c>
    </row>
    <row r="87" spans="8:14">
      <c r="H87" s="1260" t="s">
        <v>8387</v>
      </c>
      <c r="I87" s="1260" t="s">
        <v>8400</v>
      </c>
      <c r="J87" s="1260" t="s">
        <v>18261</v>
      </c>
      <c r="K87" s="1260" t="s">
        <v>18297</v>
      </c>
      <c r="L87" s="1260" t="s">
        <v>18314</v>
      </c>
      <c r="M87" s="1260" t="s">
        <v>18302</v>
      </c>
      <c r="N87" s="1260" t="s">
        <v>18274</v>
      </c>
    </row>
    <row r="88" spans="8:14">
      <c r="H88" s="1260" t="s">
        <v>8388</v>
      </c>
      <c r="I88" s="1260" t="s">
        <v>8392</v>
      </c>
      <c r="J88" s="1260" t="s">
        <v>18260</v>
      </c>
      <c r="K88" s="1260" t="s">
        <v>18263</v>
      </c>
      <c r="L88" s="1260" t="s">
        <v>18312</v>
      </c>
      <c r="M88" s="1260" t="s">
        <v>18299</v>
      </c>
      <c r="N88" s="1260" t="s">
        <v>18272</v>
      </c>
    </row>
    <row r="89" spans="8:14">
      <c r="H89" s="1260" t="s">
        <v>8389</v>
      </c>
      <c r="I89" s="1260" t="s">
        <v>8385</v>
      </c>
      <c r="J89" s="1260"/>
      <c r="K89" s="1260" t="s">
        <v>18261</v>
      </c>
      <c r="L89" s="1260" t="s">
        <v>18297</v>
      </c>
      <c r="M89" s="1260" t="s">
        <v>18263</v>
      </c>
      <c r="N89" s="1260" t="s">
        <v>18270</v>
      </c>
    </row>
    <row r="90" spans="8:14">
      <c r="H90" s="1260" t="s">
        <v>8390</v>
      </c>
      <c r="I90" s="1260" t="s">
        <v>8379</v>
      </c>
      <c r="J90" s="1260"/>
      <c r="K90" s="1260" t="s">
        <v>18260</v>
      </c>
      <c r="L90" s="1260" t="s">
        <v>18299</v>
      </c>
      <c r="M90" s="1260" t="s">
        <v>18298</v>
      </c>
      <c r="N90" s="1260" t="s">
        <v>18268</v>
      </c>
    </row>
    <row r="91" spans="8:14">
      <c r="H91" s="1260" t="s">
        <v>8391</v>
      </c>
      <c r="I91" s="1260" t="s">
        <v>8374</v>
      </c>
      <c r="J91" s="1260"/>
      <c r="K91" s="1260"/>
      <c r="L91" s="1260" t="s">
        <v>18298</v>
      </c>
      <c r="M91" s="1260" t="s">
        <v>18301</v>
      </c>
      <c r="N91" s="1260" t="s">
        <v>18267</v>
      </c>
    </row>
    <row r="92" spans="8:14">
      <c r="H92" s="1260" t="s">
        <v>8392</v>
      </c>
      <c r="I92" s="1260" t="s">
        <v>8370</v>
      </c>
      <c r="J92" s="1260"/>
      <c r="K92" s="1260"/>
      <c r="L92" s="1260" t="s">
        <v>18261</v>
      </c>
      <c r="M92" s="1260" t="s">
        <v>18261</v>
      </c>
      <c r="N92" s="1260" t="s">
        <v>18263</v>
      </c>
    </row>
    <row r="93" spans="8:14">
      <c r="H93" s="1260" t="s">
        <v>8393</v>
      </c>
      <c r="I93" s="1260" t="s">
        <v>8367</v>
      </c>
      <c r="J93" s="1260"/>
      <c r="K93" s="1260"/>
      <c r="L93" s="1260" t="s">
        <v>18260</v>
      </c>
      <c r="M93" s="1260" t="s">
        <v>18300</v>
      </c>
      <c r="N93" s="1260" t="s">
        <v>18261</v>
      </c>
    </row>
    <row r="94" spans="8:14">
      <c r="H94" s="1260" t="s">
        <v>8394</v>
      </c>
      <c r="I94" s="1260" t="s">
        <v>7698</v>
      </c>
      <c r="J94" s="1260"/>
      <c r="K94" s="1260"/>
      <c r="L94" s="1260"/>
      <c r="M94" s="1260" t="s">
        <v>18260</v>
      </c>
      <c r="N94" s="1260" t="s">
        <v>18260</v>
      </c>
    </row>
    <row r="103" spans="1:8">
      <c r="E103">
        <v>80</v>
      </c>
      <c r="G103">
        <v>150</v>
      </c>
      <c r="H103">
        <v>500</v>
      </c>
    </row>
    <row r="104" spans="1:8">
      <c r="D104" t="s">
        <v>1909</v>
      </c>
      <c r="E104" t="s">
        <v>1230</v>
      </c>
      <c r="G104" t="s">
        <v>18322</v>
      </c>
      <c r="H104" t="s">
        <v>18232</v>
      </c>
    </row>
    <row r="105" spans="1:8" ht="17.25">
      <c r="A105" s="1285" t="s">
        <v>18316</v>
      </c>
      <c r="B105">
        <v>2</v>
      </c>
      <c r="C105">
        <f t="shared" ref="C105:C110" si="1">B105/1.732</f>
        <v>1.1547344110854503</v>
      </c>
      <c r="D105" s="564">
        <f t="shared" ref="D105:D110" si="2">2.598*C105^2</f>
        <v>3.4642032332563506</v>
      </c>
      <c r="E105">
        <f t="shared" ref="E105:E110" si="3">D105*$E$103</f>
        <v>277.13625866050802</v>
      </c>
      <c r="G105">
        <v>2</v>
      </c>
    </row>
    <row r="106" spans="1:8" ht="17.25">
      <c r="A106" s="1285" t="s">
        <v>18317</v>
      </c>
      <c r="B106">
        <v>6</v>
      </c>
      <c r="C106" s="1258">
        <f t="shared" si="1"/>
        <v>3.464203233256351</v>
      </c>
      <c r="D106" s="564">
        <f t="shared" si="2"/>
        <v>31.177829099307157</v>
      </c>
      <c r="E106" s="1258">
        <f t="shared" si="3"/>
        <v>2494.2263279445724</v>
      </c>
      <c r="F106">
        <f>B106/B105</f>
        <v>3</v>
      </c>
      <c r="G106">
        <f>2000/250</f>
        <v>8</v>
      </c>
      <c r="H106">
        <v>1</v>
      </c>
    </row>
    <row r="107" spans="1:8">
      <c r="A107" t="s">
        <v>18318</v>
      </c>
      <c r="B107">
        <v>24</v>
      </c>
      <c r="C107" s="1258">
        <f t="shared" si="1"/>
        <v>13.856812933025404</v>
      </c>
      <c r="D107" s="564">
        <f t="shared" si="2"/>
        <v>498.84526558891451</v>
      </c>
      <c r="E107" s="1258">
        <f t="shared" si="3"/>
        <v>39907.621247113158</v>
      </c>
      <c r="F107" s="1258">
        <f>B107/B106</f>
        <v>4</v>
      </c>
    </row>
    <row r="108" spans="1:8" ht="17.25">
      <c r="A108" s="1285" t="s">
        <v>18319</v>
      </c>
      <c r="B108">
        <v>96</v>
      </c>
      <c r="C108" s="1258">
        <f t="shared" si="1"/>
        <v>55.427251732101617</v>
      </c>
      <c r="D108" s="564">
        <f t="shared" si="2"/>
        <v>7981.5242494226322</v>
      </c>
      <c r="E108" s="1258">
        <f t="shared" si="3"/>
        <v>638521.93995381054</v>
      </c>
      <c r="F108" s="1258">
        <f t="shared" ref="F108:F110" si="4">B108/B107</f>
        <v>4</v>
      </c>
    </row>
    <row r="109" spans="1:8" ht="17.25">
      <c r="A109" s="1285" t="s">
        <v>18320</v>
      </c>
      <c r="B109">
        <v>384</v>
      </c>
      <c r="C109">
        <f t="shared" si="1"/>
        <v>221.70900692840647</v>
      </c>
      <c r="D109" s="564">
        <f t="shared" si="2"/>
        <v>127704.38799076212</v>
      </c>
      <c r="E109">
        <f t="shared" si="3"/>
        <v>10216351.039260969</v>
      </c>
      <c r="F109" s="1258">
        <f t="shared" si="4"/>
        <v>4</v>
      </c>
    </row>
    <row r="110" spans="1:8" ht="17.25">
      <c r="A110" s="1285" t="s">
        <v>18321</v>
      </c>
      <c r="B110">
        <v>1536</v>
      </c>
      <c r="C110">
        <f t="shared" si="1"/>
        <v>886.83602771362587</v>
      </c>
      <c r="D110" s="564">
        <f t="shared" si="2"/>
        <v>2043270.2078521939</v>
      </c>
      <c r="E110">
        <f t="shared" si="3"/>
        <v>163461616.6281755</v>
      </c>
      <c r="F110" s="1258">
        <f t="shared" si="4"/>
        <v>4</v>
      </c>
    </row>
    <row r="112" spans="1:8">
      <c r="E112">
        <f>250*180</f>
        <v>45000</v>
      </c>
    </row>
  </sheetData>
  <sortState xmlns:xlrd2="http://schemas.microsoft.com/office/spreadsheetml/2017/richdata2" ref="Q31:Q48">
    <sortCondition ref="Q31:Q48"/>
  </sortState>
  <pageMargins left="0.7" right="0.7" top="0.75" bottom="0.75" header="0.3" footer="0.3"/>
  <tableParts count="6">
    <tablePart r:id="rId1"/>
    <tablePart r:id="rId2"/>
    <tablePart r:id="rId3"/>
    <tablePart r:id="rId4"/>
    <tablePart r:id="rId5"/>
    <tablePart r:id="rId6"/>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D6D63-966C-4349-AA1C-8D5245BC3ED0}">
  <sheetPr codeName="Аркуш36">
    <tabColor rgb="FF7030A0"/>
  </sheetPr>
  <dimension ref="A2:AF121"/>
  <sheetViews>
    <sheetView zoomScaleNormal="100" workbookViewId="0">
      <pane xSplit="1" ySplit="3" topLeftCell="X19" activePane="bottomRight" state="frozen"/>
      <selection pane="topRight" activeCell="B1" sqref="B1"/>
      <selection pane="bottomLeft" activeCell="A4" sqref="A4"/>
      <selection pane="bottomRight" activeCell="AA20" sqref="AA20"/>
    </sheetView>
  </sheetViews>
  <sheetFormatPr defaultRowHeight="14.25"/>
  <cols>
    <col min="1" max="8" width="18.6640625" style="2" customWidth="1"/>
    <col min="9" max="9" width="14.77734375" style="2" customWidth="1"/>
    <col min="10" max="12" width="14.77734375" style="1049" customWidth="1"/>
    <col min="13" max="13" width="14.77734375" style="2" customWidth="1"/>
    <col min="14" max="14" width="14.77734375" style="1049" customWidth="1"/>
    <col min="15" max="15" width="14.77734375" style="2" customWidth="1"/>
    <col min="16" max="17" width="22.109375" style="2" customWidth="1"/>
    <col min="18" max="18" width="10.88671875" style="2" customWidth="1"/>
    <col min="19" max="19" width="10" style="2" customWidth="1"/>
    <col min="20" max="20" width="11.5546875" style="2" customWidth="1"/>
    <col min="21" max="22" width="8.88671875" style="2"/>
    <col min="23" max="23" width="24" style="2" customWidth="1"/>
    <col min="24" max="24" width="18" style="2" customWidth="1"/>
    <col min="25" max="26" width="16.5546875" style="2" customWidth="1"/>
    <col min="27" max="27" width="8.88671875" style="2"/>
    <col min="28" max="28" width="27.44140625" style="2" bestFit="1" customWidth="1"/>
    <col min="29" max="29" width="10.109375" style="2" customWidth="1"/>
    <col min="30" max="30" width="14.5546875" style="2" customWidth="1"/>
    <col min="31" max="31" width="18.109375" style="2" customWidth="1"/>
    <col min="32" max="32" width="15.6640625" style="2" customWidth="1"/>
    <col min="33" max="40" width="8.88671875" style="2"/>
    <col min="41" max="41" width="58" style="2" customWidth="1"/>
    <col min="42" max="16384" width="8.88671875" style="2"/>
  </cols>
  <sheetData>
    <row r="2" spans="1:32" ht="22.5">
      <c r="I2" s="509">
        <f>SUM(Таблиця3[POPULATION])</f>
        <v>382677</v>
      </c>
      <c r="K2" s="767">
        <f>SUM(Таблиця3[GARRISON size])</f>
        <v>7349</v>
      </c>
    </row>
    <row r="3" spans="1:32" ht="17.25">
      <c r="A3" s="507" t="s">
        <v>12283</v>
      </c>
      <c r="B3" s="507" t="s">
        <v>11235</v>
      </c>
      <c r="C3" s="507" t="s">
        <v>12282</v>
      </c>
      <c r="D3" s="507" t="s">
        <v>1353</v>
      </c>
      <c r="E3" s="507" t="s">
        <v>11899</v>
      </c>
      <c r="F3" s="507" t="s">
        <v>11901</v>
      </c>
      <c r="G3" s="507" t="s">
        <v>11900</v>
      </c>
      <c r="H3" s="507" t="s">
        <v>1354</v>
      </c>
      <c r="I3" s="507" t="s">
        <v>1230</v>
      </c>
      <c r="J3" s="765" t="s">
        <v>8672</v>
      </c>
      <c r="K3" s="765" t="s">
        <v>8697</v>
      </c>
      <c r="L3" s="765" t="s">
        <v>12246</v>
      </c>
      <c r="M3" s="507" t="s">
        <v>8493</v>
      </c>
      <c r="N3" s="765" t="s">
        <v>1921</v>
      </c>
      <c r="O3" s="507" t="s">
        <v>12248</v>
      </c>
      <c r="P3" s="507" t="s">
        <v>1231</v>
      </c>
      <c r="Q3" s="507" t="s">
        <v>12247</v>
      </c>
      <c r="R3" s="507" t="s">
        <v>1232</v>
      </c>
      <c r="S3" s="507" t="s">
        <v>1233</v>
      </c>
      <c r="T3" s="507" t="s">
        <v>8</v>
      </c>
      <c r="U3" s="507" t="s">
        <v>9</v>
      </c>
      <c r="V3" s="507" t="s">
        <v>10</v>
      </c>
      <c r="W3" s="507" t="s">
        <v>6</v>
      </c>
      <c r="X3" s="507" t="s">
        <v>7</v>
      </c>
      <c r="Y3" s="507" t="s">
        <v>5</v>
      </c>
      <c r="Z3" s="507" t="s">
        <v>15366</v>
      </c>
      <c r="AA3" s="507" t="s">
        <v>5608</v>
      </c>
      <c r="AB3" s="2" t="s">
        <v>11235</v>
      </c>
      <c r="AD3" s="2" t="s">
        <v>7375</v>
      </c>
      <c r="AE3" s="2" t="s">
        <v>7376</v>
      </c>
      <c r="AF3" s="2" t="s">
        <v>1805</v>
      </c>
    </row>
    <row r="4" spans="1:32">
      <c r="A4" s="652" t="s">
        <v>1</v>
      </c>
      <c r="B4" s="2" t="s">
        <v>11536</v>
      </c>
      <c r="D4" s="2" t="s">
        <v>3</v>
      </c>
      <c r="E4" s="2" t="str">
        <f>INDEX(Таблиця109[SETTLEMENT SIZE],MATCH(Таблиця3[[#This Row],[POPULATION]],Таблиця109[Population0],1),1)</f>
        <v>Metropolis</v>
      </c>
      <c r="F4" s="682">
        <f>IFERROR(INDEX(Таблиця109[GP LIMIT],MATCH(Таблиця3[[#This Row],[POPULATION]],Таблиця109[Population0],1),1)/INDEX(Таблиця109[Average Population],MATCH(Таблиця3[[#This Row],[POPULATION]],Таблиця109[Population0],1),1),0)*Таблиця3[[#This Row],[POPULATION]]</f>
        <v>60000</v>
      </c>
      <c r="I4" s="592">
        <v>30000</v>
      </c>
      <c r="J4" s="642" t="s">
        <v>11853</v>
      </c>
      <c r="K4" s="592">
        <v>1300</v>
      </c>
      <c r="L4" s="642"/>
      <c r="M4" s="508" t="s">
        <v>8492</v>
      </c>
      <c r="N4" s="642" t="s">
        <v>11234</v>
      </c>
      <c r="O4" s="508"/>
      <c r="R4" s="2">
        <v>0.1</v>
      </c>
      <c r="S4" s="2">
        <f>0.25</f>
        <v>0.25</v>
      </c>
      <c r="T4" s="11">
        <v>0.9</v>
      </c>
      <c r="U4" s="11">
        <v>1.1000000000000001</v>
      </c>
      <c r="V4" s="11">
        <v>2.2000000000000002</v>
      </c>
      <c r="AA4" s="652"/>
      <c r="AB4" s="2" t="s">
        <v>11536</v>
      </c>
    </row>
    <row r="5" spans="1:32">
      <c r="A5" s="2" t="s">
        <v>36</v>
      </c>
      <c r="B5" s="2" t="s">
        <v>11543</v>
      </c>
      <c r="C5" s="2" t="s">
        <v>5801</v>
      </c>
      <c r="E5" s="2" t="str">
        <f>INDEX(Таблиця109[SETTLEMENT SIZE],MATCH(Таблиця3[[#This Row],[POPULATION]],Таблиця109[Population0],1),1)</f>
        <v>Small town</v>
      </c>
      <c r="F5" s="682">
        <f>IFERROR(INDEX(Таблиця109[GP LIMIT],MATCH(Таблиця3[[#This Row],[POPULATION]],Таблиця109[Population0],1),1)/INDEX(Таблиця109[Average Population],MATCH(Таблиця3[[#This Row],[POPULATION]],Таблиця109[Population0],1),1),0)*Таблиця3[[#This Row],[POPULATION]]</f>
        <v>587.93519476042741</v>
      </c>
      <c r="I5" s="592">
        <v>1066</v>
      </c>
      <c r="J5" s="2" t="s">
        <v>5801</v>
      </c>
      <c r="K5" s="592"/>
      <c r="L5" s="2"/>
      <c r="M5" s="2" t="s">
        <v>15335</v>
      </c>
      <c r="N5" s="2" t="s">
        <v>12293</v>
      </c>
      <c r="P5" s="2" t="s">
        <v>15336</v>
      </c>
      <c r="Q5" s="2" t="s">
        <v>5801</v>
      </c>
      <c r="R5" s="2">
        <v>0.18</v>
      </c>
      <c r="S5" s="2">
        <f>0.25</f>
        <v>0.25</v>
      </c>
      <c r="T5" s="2">
        <v>2.4</v>
      </c>
      <c r="U5" s="2">
        <v>1.85</v>
      </c>
      <c r="V5" s="2">
        <v>3.5</v>
      </c>
      <c r="W5" s="2" t="s">
        <v>39</v>
      </c>
      <c r="X5" s="2" t="s">
        <v>40</v>
      </c>
      <c r="Y5" s="2" t="s">
        <v>12257</v>
      </c>
      <c r="AA5" s="652"/>
      <c r="AB5" s="2" t="s">
        <v>11537</v>
      </c>
    </row>
    <row r="6" spans="1:32" ht="15" customHeight="1">
      <c r="A6" s="2" t="s">
        <v>15351</v>
      </c>
      <c r="B6" s="2" t="s">
        <v>11543</v>
      </c>
      <c r="C6" s="2" t="s">
        <v>2315</v>
      </c>
      <c r="D6" s="2" t="s">
        <v>15352</v>
      </c>
      <c r="E6" s="2" t="s">
        <v>2315</v>
      </c>
      <c r="F6" s="682" t="s">
        <v>2315</v>
      </c>
      <c r="G6" s="2" t="s">
        <v>2315</v>
      </c>
      <c r="H6" s="2" t="s">
        <v>2315</v>
      </c>
      <c r="I6" s="592" t="s">
        <v>2315</v>
      </c>
      <c r="J6" s="2" t="s">
        <v>2315</v>
      </c>
      <c r="K6" s="592" t="s">
        <v>2315</v>
      </c>
      <c r="L6" s="2" t="s">
        <v>2315</v>
      </c>
      <c r="M6" s="2" t="s">
        <v>2315</v>
      </c>
      <c r="N6" s="2" t="s">
        <v>2315</v>
      </c>
      <c r="O6" s="2" t="s">
        <v>2315</v>
      </c>
      <c r="P6" s="2" t="s">
        <v>2315</v>
      </c>
      <c r="Q6" s="2" t="s">
        <v>2315</v>
      </c>
      <c r="R6" s="2" t="s">
        <v>2315</v>
      </c>
      <c r="S6" s="2" t="s">
        <v>2315</v>
      </c>
      <c r="T6" s="2" t="s">
        <v>2315</v>
      </c>
      <c r="U6" s="2" t="s">
        <v>2315</v>
      </c>
      <c r="V6" s="2" t="s">
        <v>2315</v>
      </c>
      <c r="W6" s="2" t="s">
        <v>2315</v>
      </c>
      <c r="X6" s="2" t="s">
        <v>2315</v>
      </c>
      <c r="Y6" s="2" t="s">
        <v>2315</v>
      </c>
      <c r="AA6" s="652"/>
      <c r="AB6" s="2" t="s">
        <v>11538</v>
      </c>
    </row>
    <row r="7" spans="1:32" ht="15" customHeight="1">
      <c r="A7" s="2" t="s">
        <v>43</v>
      </c>
      <c r="C7" s="763"/>
      <c r="E7" s="2" t="str">
        <f>INDEX(Таблиця109[SETTLEMENT SIZE],MATCH(Таблиця3[[#This Row],[POPULATION]],Таблиця109[Population0],1),1)</f>
        <v>Thorpe</v>
      </c>
      <c r="F7" s="682">
        <f>IFERROR(INDEX(Таблиця109[GP LIMIT],MATCH(Таблиця3[[#This Row],[POPULATION]],Таблиця109[Population0],1),1)/INDEX(Таблиця109[Average Population],MATCH(Таблиця3[[#This Row],[POPULATION]],Таблиця109[Population0],1),1),0)*Таблиця3[[#This Row],[POPULATION]]</f>
        <v>0</v>
      </c>
      <c r="I7" s="592"/>
      <c r="J7" s="642"/>
      <c r="K7" s="592"/>
      <c r="L7" s="642"/>
      <c r="M7" s="508"/>
      <c r="N7" s="642"/>
      <c r="O7" s="508"/>
      <c r="R7" s="2">
        <v>0.18</v>
      </c>
      <c r="S7" s="2">
        <f t="shared" ref="S7:S16" si="0">0.25</f>
        <v>0.25</v>
      </c>
      <c r="AA7" s="652"/>
      <c r="AB7" s="2" t="s">
        <v>11539</v>
      </c>
    </row>
    <row r="8" spans="1:32" ht="15" customHeight="1">
      <c r="A8" s="2" t="s">
        <v>12291</v>
      </c>
      <c r="D8" s="2" t="s">
        <v>12292</v>
      </c>
      <c r="E8" s="651" t="str">
        <f>INDEX(Таблиця109[SETTLEMENT SIZE],MATCH(Таблиця3[[#This Row],[POPULATION]],Таблиця109[Population0],1),1)</f>
        <v>Thorpe</v>
      </c>
      <c r="F8" s="682">
        <f>IFERROR(INDEX(Таблиця109[GP LIMIT],MATCH(Таблиця3[[#This Row],[POPULATION]],Таблиця109[Population0],1),1)/INDEX(Таблиця109[Average Population],MATCH(Таблиця3[[#This Row],[POPULATION]],Таблиця109[Population0],1),1),0)*Таблиця3[[#This Row],[POPULATION]]</f>
        <v>0</v>
      </c>
      <c r="I8" s="592"/>
      <c r="J8" s="642"/>
      <c r="K8" s="592"/>
      <c r="L8" s="642"/>
      <c r="M8" s="508"/>
      <c r="N8" s="642"/>
      <c r="O8" s="508"/>
      <c r="R8" s="2">
        <v>0.18</v>
      </c>
      <c r="S8" s="651">
        <f t="shared" si="0"/>
        <v>0.25</v>
      </c>
      <c r="AA8" s="652"/>
      <c r="AB8" s="2" t="s">
        <v>11540</v>
      </c>
    </row>
    <row r="9" spans="1:32" ht="15" customHeight="1">
      <c r="A9" s="2" t="s">
        <v>12284</v>
      </c>
      <c r="B9" s="2" t="s">
        <v>11543</v>
      </c>
      <c r="C9" s="2" t="s">
        <v>5801</v>
      </c>
      <c r="D9" s="2" t="s">
        <v>15339</v>
      </c>
      <c r="E9" s="2" t="str">
        <f>INDEX(Таблиця109[SETTLEMENT SIZE],MATCH(Таблиця3[[#This Row],[POPULATION]],Таблиця109[Population0],1),1)</f>
        <v>Thorpe</v>
      </c>
      <c r="F9" s="682" t="s">
        <v>2315</v>
      </c>
      <c r="G9" s="2" t="s">
        <v>2315</v>
      </c>
      <c r="H9" s="2" t="s">
        <v>2315</v>
      </c>
      <c r="I9" s="592">
        <v>0</v>
      </c>
      <c r="J9" s="2" t="s">
        <v>5801</v>
      </c>
      <c r="K9" s="592"/>
      <c r="L9" s="2"/>
      <c r="N9" s="2"/>
      <c r="P9" s="2" t="s">
        <v>5801</v>
      </c>
      <c r="Q9" s="2" t="s">
        <v>5801</v>
      </c>
      <c r="R9" s="2">
        <v>0.18</v>
      </c>
      <c r="S9" s="2">
        <f t="shared" si="0"/>
        <v>0.25</v>
      </c>
      <c r="W9" s="2" t="s">
        <v>5801</v>
      </c>
      <c r="X9" s="2" t="s">
        <v>5801</v>
      </c>
      <c r="Y9" s="2" t="s">
        <v>1572</v>
      </c>
      <c r="AA9" s="652"/>
      <c r="AB9" s="2" t="s">
        <v>11541</v>
      </c>
    </row>
    <row r="10" spans="1:32" ht="15" customHeight="1">
      <c r="A10" s="2" t="s">
        <v>15346</v>
      </c>
      <c r="B10" s="2" t="s">
        <v>11543</v>
      </c>
      <c r="C10" s="2" t="s">
        <v>5801</v>
      </c>
      <c r="E10" s="2" t="str">
        <f>INDEX(Таблиця109[SETTLEMENT SIZE],MATCH(Таблиця3[[#This Row],[POPULATION]],Таблиця109[Population0],1),1)</f>
        <v>Thorpe</v>
      </c>
      <c r="F10" s="682">
        <f>IFERROR(INDEX(Таблиця109[GP LIMIT],MATCH(Таблиця3[[#This Row],[POPULATION]],Таблиця109[Population0],1),1)/INDEX(Таблиця109[Average Population],MATCH(Таблиця3[[#This Row],[POPULATION]],Таблиця109[Population0],1),1),0)*Таблиця3[[#This Row],[POPULATION]]</f>
        <v>0</v>
      </c>
      <c r="I10" s="592">
        <v>0</v>
      </c>
      <c r="J10" s="2" t="s">
        <v>5801</v>
      </c>
      <c r="K10" s="592"/>
      <c r="L10" s="2"/>
      <c r="N10" s="2"/>
      <c r="P10" s="2" t="s">
        <v>5801</v>
      </c>
      <c r="Q10" s="2" t="s">
        <v>5801</v>
      </c>
      <c r="R10" s="2">
        <v>0.18</v>
      </c>
      <c r="S10" s="2">
        <f t="shared" si="0"/>
        <v>0.25</v>
      </c>
      <c r="W10" s="2" t="s">
        <v>5801</v>
      </c>
      <c r="X10" s="2" t="s">
        <v>5801</v>
      </c>
      <c r="Y10" s="2" t="s">
        <v>5801</v>
      </c>
      <c r="AA10" s="652"/>
      <c r="AB10" s="2" t="s">
        <v>11542</v>
      </c>
    </row>
    <row r="11" spans="1:32" ht="15">
      <c r="A11" s="2" t="s">
        <v>50</v>
      </c>
      <c r="C11" s="763"/>
      <c r="D11" s="2" t="s">
        <v>1357</v>
      </c>
      <c r="E11" s="2" t="str">
        <f>INDEX(Таблиця109[SETTLEMENT SIZE],MATCH(Таблиця3[[#This Row],[POPULATION]],Таблиця109[Population0],1),1)</f>
        <v>Village</v>
      </c>
      <c r="F11" s="682">
        <f>IFERROR(INDEX(Таблиця109[GP LIMIT],MATCH(Таблиця3[[#This Row],[POPULATION]],Таблиця109[Population0],1),1)/INDEX(Таблиця109[Average Population],MATCH(Таблиця3[[#This Row],[POPULATION]],Таблиця109[Population0],1),1),0)*Таблиця3[[#This Row],[POPULATION]]</f>
        <v>129.3369663941871</v>
      </c>
      <c r="I11" s="592">
        <v>356</v>
      </c>
      <c r="J11" s="642"/>
      <c r="K11" s="592"/>
      <c r="L11" s="642"/>
      <c r="M11" s="508"/>
      <c r="N11" s="642"/>
      <c r="O11" s="508"/>
      <c r="R11" s="2">
        <v>0.18</v>
      </c>
      <c r="S11" s="2">
        <f t="shared" si="0"/>
        <v>0.25</v>
      </c>
      <c r="AA11" s="652"/>
      <c r="AB11" s="2" t="s">
        <v>11543</v>
      </c>
    </row>
    <row r="12" spans="1:32" ht="15">
      <c r="A12" s="2" t="s">
        <v>8539</v>
      </c>
      <c r="C12" s="763"/>
      <c r="D12" s="2" t="s">
        <v>1357</v>
      </c>
      <c r="E12" s="2" t="str">
        <f>INDEX(Таблиця109[SETTLEMENT SIZE],MATCH(Таблиця3[[#This Row],[POPULATION]],Таблиця109[Population0],1),1)</f>
        <v>Village</v>
      </c>
      <c r="F12" s="682">
        <f>IFERROR(INDEX(Таблиця109[GP LIMIT],MATCH(Таблиця3[[#This Row],[POPULATION]],Таблиця109[Population0],1),1)/INDEX(Таблиця109[Average Population],MATCH(Таблиця3[[#This Row],[POPULATION]],Таблиця109[Population0],1),1),0)*Таблиця3[[#This Row],[POPULATION]]</f>
        <v>317.89282470481379</v>
      </c>
      <c r="I12" s="592">
        <v>875</v>
      </c>
      <c r="J12" s="642"/>
      <c r="K12" s="592"/>
      <c r="L12" s="642"/>
      <c r="M12" s="508"/>
      <c r="N12" s="642"/>
      <c r="O12" s="508"/>
      <c r="P12" s="2" t="s">
        <v>56</v>
      </c>
      <c r="R12" s="2">
        <v>0.18</v>
      </c>
      <c r="S12" s="2">
        <f t="shared" si="0"/>
        <v>0.25</v>
      </c>
      <c r="T12" s="2">
        <v>2.1</v>
      </c>
      <c r="U12" s="2">
        <v>2.1</v>
      </c>
      <c r="V12" s="2">
        <v>2.9</v>
      </c>
      <c r="AA12" s="652"/>
      <c r="AB12" s="2" t="s">
        <v>11544</v>
      </c>
    </row>
    <row r="13" spans="1:32" ht="15" customHeight="1">
      <c r="A13" s="2" t="s">
        <v>66</v>
      </c>
      <c r="C13" s="763"/>
      <c r="D13" s="2" t="s">
        <v>11906</v>
      </c>
      <c r="E13" s="2" t="str">
        <f>INDEX(Таблиця109[SETTLEMENT SIZE],MATCH(Таблиця3[[#This Row],[POPULATION]],Таблиця109[Population0],1),1)</f>
        <v>Village</v>
      </c>
      <c r="F13" s="682">
        <f>IFERROR(INDEX(Таблиця109[GP LIMIT],MATCH(Таблиця3[[#This Row],[POPULATION]],Таблиця109[Population0],1),1)/INDEX(Таблиця109[Average Population],MATCH(Таблиця3[[#This Row],[POPULATION]],Таблиця109[Population0],1),1),0)*Таблиця3[[#This Row],[POPULATION]]</f>
        <v>158.40145322434151</v>
      </c>
      <c r="I13" s="592">
        <v>436</v>
      </c>
      <c r="J13" s="642"/>
      <c r="K13" s="592"/>
      <c r="L13" s="642"/>
      <c r="M13" s="508"/>
      <c r="N13" s="642"/>
      <c r="O13" s="508"/>
      <c r="R13" s="2">
        <v>0.18</v>
      </c>
      <c r="S13" s="2">
        <f t="shared" si="0"/>
        <v>0.25</v>
      </c>
      <c r="AA13" s="652"/>
      <c r="AB13" s="2" t="s">
        <v>11545</v>
      </c>
    </row>
    <row r="14" spans="1:32" ht="15" customHeight="1">
      <c r="A14" s="2" t="s">
        <v>15321</v>
      </c>
      <c r="B14" s="2" t="s">
        <v>11543</v>
      </c>
      <c r="C14" s="2" t="s">
        <v>5801</v>
      </c>
      <c r="D14" s="2" t="s">
        <v>15339</v>
      </c>
      <c r="E14" s="2" t="str">
        <f>INDEX(Таблиця109[SETTLEMENT SIZE],MATCH(Таблиця3[[#This Row],[POPULATION]],Таблиця109[Population0],1),1)</f>
        <v>Thorpe</v>
      </c>
      <c r="F14" s="682" t="s">
        <v>2315</v>
      </c>
      <c r="G14" s="2" t="s">
        <v>2315</v>
      </c>
      <c r="H14" s="2" t="s">
        <v>2315</v>
      </c>
      <c r="I14" s="592">
        <v>0</v>
      </c>
      <c r="J14" s="2" t="s">
        <v>5801</v>
      </c>
      <c r="K14" s="592"/>
      <c r="L14" s="2"/>
      <c r="N14" s="2"/>
      <c r="P14" s="2" t="s">
        <v>5801</v>
      </c>
      <c r="Q14" s="2" t="s">
        <v>5801</v>
      </c>
      <c r="R14" s="2">
        <v>0.18</v>
      </c>
      <c r="S14" s="2">
        <f t="shared" si="0"/>
        <v>0.25</v>
      </c>
      <c r="W14" s="2" t="s">
        <v>5801</v>
      </c>
      <c r="X14" s="2" t="s">
        <v>5801</v>
      </c>
      <c r="Y14" s="2" t="s">
        <v>1575</v>
      </c>
      <c r="AA14" s="652"/>
      <c r="AB14" s="2" t="s">
        <v>11289</v>
      </c>
    </row>
    <row r="15" spans="1:32" ht="15">
      <c r="A15" s="2" t="s">
        <v>11488</v>
      </c>
      <c r="C15" s="763"/>
      <c r="D15" s="2" t="s">
        <v>11490</v>
      </c>
      <c r="E15" s="2" t="str">
        <f>INDEX(Таблиця109[SETTLEMENT SIZE],MATCH(Таблиця3[[#This Row],[POPULATION]],Таблиця109[Population0],1),1)</f>
        <v>Thorpe</v>
      </c>
      <c r="F15" s="682">
        <f>IFERROR(INDEX(Таблиця109[GP LIMIT],MATCH(Таблиця3[[#This Row],[POPULATION]],Таблиця109[Population0],1),1)/INDEX(Таблиця109[Average Population],MATCH(Таблиця3[[#This Row],[POPULATION]],Таблиця109[Population0],1),1),0)*Таблиця3[[#This Row],[POPULATION]]</f>
        <v>40</v>
      </c>
      <c r="I15" s="592">
        <v>50</v>
      </c>
      <c r="J15" s="642" t="s">
        <v>10331</v>
      </c>
      <c r="K15" s="592">
        <f>'Purple Dragons'!S6</f>
        <v>129</v>
      </c>
      <c r="L15" s="642"/>
      <c r="M15" s="508"/>
      <c r="N15" s="642"/>
      <c r="O15" s="508"/>
      <c r="R15" s="2">
        <v>0.18</v>
      </c>
      <c r="S15" s="651">
        <f t="shared" si="0"/>
        <v>0.25</v>
      </c>
      <c r="AA15" s="652"/>
      <c r="AB15" s="2" t="s">
        <v>11845</v>
      </c>
    </row>
    <row r="16" spans="1:32" ht="15">
      <c r="A16" s="2" t="s">
        <v>71</v>
      </c>
      <c r="C16" s="763"/>
      <c r="D16" s="2" t="s">
        <v>72</v>
      </c>
      <c r="E16" s="2" t="str">
        <f>INDEX(Таблиця109[SETTLEMENT SIZE],MATCH(Таблиця3[[#This Row],[POPULATION]],Таблиця109[Population0],1),1)</f>
        <v>Small town</v>
      </c>
      <c r="F16" s="682">
        <f>IFERROR(INDEX(Таблиця109[GP LIMIT],MATCH(Таблиця3[[#This Row],[POPULATION]],Таблиця109[Population0],1),1)/INDEX(Таблиця109[Average Population],MATCH(Таблиця3[[#This Row],[POPULATION]],Таблиця109[Population0],1),1),0)*Таблиця3[[#This Row],[POPULATION]]</f>
        <v>649.15546363322994</v>
      </c>
      <c r="I16" s="592">
        <v>1177</v>
      </c>
      <c r="J16" s="642" t="s">
        <v>11679</v>
      </c>
      <c r="K16" s="592">
        <f>'Purple Dragons'!S8+3*'Purple Dragons'!S4</f>
        <v>856</v>
      </c>
      <c r="L16" s="642"/>
      <c r="M16" s="508" t="s">
        <v>1235</v>
      </c>
      <c r="N16" s="642" t="s">
        <v>11678</v>
      </c>
      <c r="O16" s="508"/>
      <c r="P16" s="2" t="s">
        <v>73</v>
      </c>
      <c r="R16" s="2">
        <v>0.18</v>
      </c>
      <c r="S16" s="2">
        <f t="shared" si="0"/>
        <v>0.25</v>
      </c>
      <c r="T16" s="2">
        <v>1.2</v>
      </c>
      <c r="U16" s="2">
        <v>1.5</v>
      </c>
      <c r="V16" s="2">
        <v>2.9</v>
      </c>
      <c r="AA16" s="652"/>
      <c r="AB16" s="2" t="s">
        <v>11846</v>
      </c>
    </row>
    <row r="17" spans="1:27" ht="15" customHeight="1">
      <c r="A17" s="2" t="s">
        <v>15348</v>
      </c>
      <c r="B17" s="2" t="s">
        <v>11543</v>
      </c>
      <c r="C17" s="2" t="s">
        <v>2315</v>
      </c>
      <c r="D17" s="2" t="s">
        <v>15352</v>
      </c>
      <c r="E17" s="2" t="s">
        <v>2315</v>
      </c>
      <c r="F17" s="682" t="s">
        <v>2315</v>
      </c>
      <c r="G17" s="2" t="s">
        <v>2315</v>
      </c>
      <c r="H17" s="2" t="s">
        <v>2315</v>
      </c>
      <c r="I17" s="592" t="s">
        <v>2315</v>
      </c>
      <c r="J17" s="2" t="s">
        <v>2315</v>
      </c>
      <c r="K17" s="592" t="s">
        <v>2315</v>
      </c>
      <c r="L17" s="2" t="s">
        <v>2315</v>
      </c>
      <c r="M17" s="2" t="s">
        <v>2315</v>
      </c>
      <c r="N17" s="2" t="s">
        <v>2315</v>
      </c>
      <c r="O17" s="2" t="s">
        <v>2315</v>
      </c>
      <c r="P17" s="2" t="s">
        <v>2315</v>
      </c>
      <c r="Q17" s="2" t="s">
        <v>2315</v>
      </c>
      <c r="R17" s="2" t="s">
        <v>2315</v>
      </c>
      <c r="S17" s="2" t="s">
        <v>2315</v>
      </c>
      <c r="T17" s="2" t="s">
        <v>2315</v>
      </c>
      <c r="U17" s="2" t="s">
        <v>2315</v>
      </c>
      <c r="V17" s="2" t="s">
        <v>2315</v>
      </c>
      <c r="W17" s="2" t="s">
        <v>2315</v>
      </c>
      <c r="X17" s="2" t="s">
        <v>2315</v>
      </c>
      <c r="Y17" s="2" t="s">
        <v>2315</v>
      </c>
      <c r="AA17" s="652"/>
    </row>
    <row r="18" spans="1:27">
      <c r="A18" s="2" t="s">
        <v>8700</v>
      </c>
      <c r="B18" s="2" t="s">
        <v>11543</v>
      </c>
      <c r="C18" s="2" t="s">
        <v>5801</v>
      </c>
      <c r="E18" s="2" t="str">
        <f>INDEX(Таблиця109[SETTLEMENT SIZE],MATCH(Таблиця3[[#This Row],[POPULATION]],Таблиця109[Population0],1),1)</f>
        <v>Village</v>
      </c>
      <c r="F18" s="682">
        <f>IFERROR(INDEX(Таблиця109[GP LIMIT],MATCH(Таблиця3[[#This Row],[POPULATION]],Таблиця109[Population0],1),1)/INDEX(Таблиця109[Average Population],MATCH(Таблиця3[[#This Row],[POPULATION]],Таблиця109[Population0],1),1),0)*Таблиця3[[#This Row],[POPULATION]]</f>
        <v>181.65304268846504</v>
      </c>
      <c r="I18" s="592">
        <v>500</v>
      </c>
      <c r="J18" s="2" t="s">
        <v>11361</v>
      </c>
      <c r="K18" s="592">
        <v>40</v>
      </c>
      <c r="L18" s="2"/>
      <c r="N18" s="2"/>
      <c r="P18" s="2" t="s">
        <v>5801</v>
      </c>
      <c r="Q18" s="2" t="s">
        <v>5801</v>
      </c>
      <c r="R18" s="2">
        <v>0.18</v>
      </c>
      <c r="S18" s="2">
        <f t="shared" ref="S18:S29" si="1">0.25</f>
        <v>0.25</v>
      </c>
      <c r="W18" s="2" t="s">
        <v>5801</v>
      </c>
      <c r="X18" s="2" t="s">
        <v>5801</v>
      </c>
      <c r="Y18" s="2" t="s">
        <v>5801</v>
      </c>
      <c r="AA18" s="652"/>
    </row>
    <row r="19" spans="1:27">
      <c r="A19" s="2" t="s">
        <v>8571</v>
      </c>
      <c r="B19" s="2" t="s">
        <v>11543</v>
      </c>
      <c r="C19" s="2" t="s">
        <v>5801</v>
      </c>
      <c r="D19" s="2" t="s">
        <v>15363</v>
      </c>
      <c r="E19" s="2" t="str">
        <f>INDEX(Таблиця109[SETTLEMENT SIZE],MATCH(Таблиця3[[#This Row],[POPULATION]],Таблиця109[Population0],1),1)</f>
        <v>Hamlet</v>
      </c>
      <c r="F19" s="682">
        <f>IFERROR(INDEX(Таблиця109[GP LIMIT],MATCH(Таблиця3[[#This Row],[POPULATION]],Таблиця109[Population0],1),1)/INDEX(Таблиця109[Average Population],MATCH(Таблиця3[[#This Row],[POPULATION]],Таблиця109[Population0],1),1),0)*Таблиця3[[#This Row],[POPULATION]]</f>
        <v>106.76156583629894</v>
      </c>
      <c r="I19" s="592">
        <v>150</v>
      </c>
      <c r="J19" s="2"/>
      <c r="K19" s="592"/>
      <c r="L19" s="2"/>
      <c r="N19" s="2"/>
      <c r="P19" s="2" t="s">
        <v>5801</v>
      </c>
      <c r="Q19" s="2" t="s">
        <v>5801</v>
      </c>
      <c r="R19" s="2">
        <v>0.18</v>
      </c>
      <c r="S19" s="2">
        <f t="shared" si="1"/>
        <v>0.25</v>
      </c>
      <c r="W19" s="2" t="s">
        <v>5801</v>
      </c>
      <c r="X19" s="2" t="s">
        <v>5801</v>
      </c>
      <c r="Y19" s="2" t="s">
        <v>5801</v>
      </c>
      <c r="AA19" s="652"/>
    </row>
    <row r="20" spans="1:27" ht="15">
      <c r="A20" s="2" t="s">
        <v>11685</v>
      </c>
      <c r="B20" s="2" t="s">
        <v>11845</v>
      </c>
      <c r="C20" s="763"/>
      <c r="D20" s="649"/>
      <c r="E20" s="649" t="str">
        <f>INDEX(Таблиця109[SETTLEMENT SIZE],MATCH(Таблиця3[[#This Row],[POPULATION]],Таблиця109[Population0],1),1)</f>
        <v>Metropolis</v>
      </c>
      <c r="F20" s="682">
        <f>IFERROR(INDEX(Таблиця109[GP LIMIT],MATCH(Таблиця3[[#This Row],[POPULATION]],Таблиця109[Population0],1),1)/INDEX(Таблиця109[Average Population],MATCH(Таблиця3[[#This Row],[POPULATION]],Таблиця109[Population0],1),1),0)*Таблиця3[[#This Row],[POPULATION]]</f>
        <v>80000</v>
      </c>
      <c r="G20" s="649"/>
      <c r="I20" s="592">
        <v>40000</v>
      </c>
      <c r="J20" s="766"/>
      <c r="K20" s="592"/>
      <c r="L20" s="642"/>
      <c r="M20" s="508"/>
      <c r="N20" s="642"/>
      <c r="O20" s="508"/>
      <c r="R20" s="2">
        <v>0.18</v>
      </c>
      <c r="S20" s="2">
        <f t="shared" si="1"/>
        <v>0.25</v>
      </c>
      <c r="AA20" s="652"/>
    </row>
    <row r="21" spans="1:27" ht="15">
      <c r="A21" s="2" t="s">
        <v>77</v>
      </c>
      <c r="C21" s="763"/>
      <c r="D21" s="649" t="s">
        <v>9203</v>
      </c>
      <c r="E21" s="649" t="str">
        <f>INDEX(Таблиця109[SETTLEMENT SIZE],MATCH(Таблиця3[[#This Row],[POPULATION]],Таблиця109[Population0],1),1)</f>
        <v>Large town</v>
      </c>
      <c r="F21" s="682">
        <f>IFERROR(INDEX(Таблиця109[GP LIMIT],MATCH(Таблиця3[[#This Row],[POPULATION]],Таблиця109[Population0],1),1)/INDEX(Таблиця109[Average Population],MATCH(Таблиця3[[#This Row],[POPULATION]],Таблиця109[Population0],1),1),0)*Таблиця3[[#This Row],[POPULATION]]</f>
        <v>2043.1366947578915</v>
      </c>
      <c r="G21" s="649"/>
      <c r="I21" s="592">
        <f>1915+469</f>
        <v>2384</v>
      </c>
      <c r="J21" s="766"/>
      <c r="K21" s="592"/>
      <c r="L21" s="642"/>
      <c r="M21" s="508" t="s">
        <v>8696</v>
      </c>
      <c r="N21" s="642"/>
      <c r="O21" s="508"/>
      <c r="P21" s="2" t="s">
        <v>8545</v>
      </c>
      <c r="R21" s="2">
        <v>0.18</v>
      </c>
      <c r="S21" s="2">
        <f t="shared" si="1"/>
        <v>0.25</v>
      </c>
      <c r="AA21" s="652"/>
    </row>
    <row r="22" spans="1:27">
      <c r="A22" s="2" t="s">
        <v>84</v>
      </c>
      <c r="B22" s="2" t="s">
        <v>11543</v>
      </c>
      <c r="C22" s="2" t="s">
        <v>5801</v>
      </c>
      <c r="D22" s="2" t="s">
        <v>85</v>
      </c>
      <c r="E22" s="2" t="str">
        <f>INDEX(Таблиця109[SETTLEMENT SIZE],MATCH(Таблиця3[[#This Row],[POPULATION]],Таблиця109[Population0],1),1)</f>
        <v>Village</v>
      </c>
      <c r="F22" s="682">
        <f>IFERROR(INDEX(Таблиця109[GP LIMIT],MATCH(Таблиця3[[#This Row],[POPULATION]],Таблиця109[Population0],1),1)/INDEX(Таблиця109[Average Population],MATCH(Таблиця3[[#This Row],[POPULATION]],Таблиця109[Population0],1),1),0)*Таблиця3[[#This Row],[POPULATION]]</f>
        <v>286.64850136239778</v>
      </c>
      <c r="I22" s="592">
        <f>574+215</f>
        <v>789</v>
      </c>
      <c r="J22" s="2" t="s">
        <v>11361</v>
      </c>
      <c r="K22" s="592">
        <v>40</v>
      </c>
      <c r="L22" s="2"/>
      <c r="M22" s="2" t="s">
        <v>11904</v>
      </c>
      <c r="N22" s="2"/>
      <c r="O22" s="2" t="s">
        <v>12254</v>
      </c>
      <c r="P22" s="2" t="s">
        <v>5801</v>
      </c>
      <c r="Q22" s="2" t="s">
        <v>5801</v>
      </c>
      <c r="R22" s="2">
        <v>0.18</v>
      </c>
      <c r="S22" s="2">
        <f t="shared" si="1"/>
        <v>0.25</v>
      </c>
      <c r="T22" s="2">
        <v>1.1000000000000001</v>
      </c>
      <c r="U22" s="2">
        <v>0.9</v>
      </c>
      <c r="V22" s="2">
        <v>3.6</v>
      </c>
      <c r="W22" s="2" t="s">
        <v>5801</v>
      </c>
      <c r="X22" s="2" t="s">
        <v>11903</v>
      </c>
      <c r="Y22" s="2" t="s">
        <v>86</v>
      </c>
      <c r="AA22" s="652"/>
    </row>
    <row r="23" spans="1:27" ht="15">
      <c r="A23" s="2" t="s">
        <v>8541</v>
      </c>
      <c r="C23" s="763"/>
      <c r="D23" s="649"/>
      <c r="E23" s="649" t="str">
        <f>INDEX(Таблиця109[SETTLEMENT SIZE],MATCH(Таблиця3[[#This Row],[POPULATION]],Таблиця109[Population0],1),1)</f>
        <v>Thorpe</v>
      </c>
      <c r="F23" s="682">
        <f>IFERROR(INDEX(Таблиця109[GP LIMIT],MATCH(Таблиця3[[#This Row],[POPULATION]],Таблиця109[Population0],1),1)/INDEX(Таблиця109[Average Population],MATCH(Таблиця3[[#This Row],[POPULATION]],Таблиця109[Population0],1),1),0)*Таблиця3[[#This Row],[POPULATION]]</f>
        <v>0</v>
      </c>
      <c r="G23" s="649"/>
      <c r="I23" s="592"/>
      <c r="J23" s="766"/>
      <c r="K23" s="592"/>
      <c r="L23" s="642"/>
      <c r="M23" s="508"/>
      <c r="N23" s="642" t="s">
        <v>12299</v>
      </c>
      <c r="O23" s="508"/>
      <c r="R23" s="2">
        <v>0.18</v>
      </c>
      <c r="S23" s="2">
        <f t="shared" si="1"/>
        <v>0.25</v>
      </c>
      <c r="AA23" s="652"/>
    </row>
    <row r="24" spans="1:27" ht="15">
      <c r="A24" s="2" t="s">
        <v>90</v>
      </c>
      <c r="C24" s="763"/>
      <c r="D24" s="2" t="s">
        <v>11507</v>
      </c>
      <c r="E24" s="2" t="str">
        <f>INDEX(Таблиця109[SETTLEMENT SIZE],MATCH(Таблиця3[[#This Row],[POPULATION]],Таблиця109[Population0],1),1)</f>
        <v>Village</v>
      </c>
      <c r="F24" s="682">
        <f>IFERROR(INDEX(Таблиця109[GP LIMIT],MATCH(Таблиця3[[#This Row],[POPULATION]],Таблиця109[Population0],1),1)/INDEX(Таблиця109[Average Population],MATCH(Таблиця3[[#This Row],[POPULATION]],Таблиця109[Population0],1),1),0)*Таблиця3[[#This Row],[POPULATION]]</f>
        <v>232.51589464123523</v>
      </c>
      <c r="I24" s="592">
        <f>489+151</f>
        <v>640</v>
      </c>
      <c r="J24" s="642"/>
      <c r="K24" s="592"/>
      <c r="L24" s="642"/>
      <c r="M24" s="508" t="s">
        <v>8698</v>
      </c>
      <c r="N24" s="642"/>
      <c r="O24" s="508"/>
      <c r="R24" s="2">
        <v>0.18</v>
      </c>
      <c r="S24" s="2">
        <f t="shared" si="1"/>
        <v>0.25</v>
      </c>
      <c r="AA24" s="652"/>
    </row>
    <row r="25" spans="1:27" ht="15" customHeight="1">
      <c r="A25" s="2" t="s">
        <v>16017</v>
      </c>
      <c r="B25" s="2" t="s">
        <v>11540</v>
      </c>
      <c r="D25" s="2" t="s">
        <v>15352</v>
      </c>
      <c r="E25" s="651" t="e">
        <f>INDEX(Таблиця109[SETTLEMENT SIZE],MATCH(Таблиця3[[#This Row],[POPULATION]],Таблиця109[Population0],1),1)</f>
        <v>#N/A</v>
      </c>
      <c r="F25" s="682" t="e">
        <f>IFERROR(INDEX(Таблиця109[GP LIMIT],MATCH(Таблиця3[[#This Row],[POPULATION]],Таблиця109[Population0],1),1)/INDEX(Таблиця109[Average Population],MATCH(Таблиця3[[#This Row],[POPULATION]],Таблиця109[Population0],1),1),0)*Таблиця3[[#This Row],[POPULATION]]</f>
        <v>#VALUE!</v>
      </c>
      <c r="I25" s="592" t="s">
        <v>2315</v>
      </c>
      <c r="J25" s="642"/>
      <c r="K25" s="592" t="s">
        <v>2315</v>
      </c>
      <c r="L25" s="642"/>
      <c r="M25" s="508"/>
      <c r="N25" s="642"/>
      <c r="O25" s="508"/>
      <c r="S25" s="651">
        <f t="shared" si="1"/>
        <v>0.25</v>
      </c>
      <c r="AA25" s="1071" t="s">
        <v>16025</v>
      </c>
    </row>
    <row r="26" spans="1:27" ht="15" customHeight="1">
      <c r="A26" s="2" t="s">
        <v>1229</v>
      </c>
      <c r="C26" s="763"/>
      <c r="D26" s="2" t="s">
        <v>99</v>
      </c>
      <c r="E26" s="2" t="str">
        <f>INDEX(Таблиця109[SETTLEMENT SIZE],MATCH(Таблиця3[[#This Row],[POPULATION]],Таблиця109[Population0],1),1)</f>
        <v>Small town</v>
      </c>
      <c r="F26" s="682">
        <f>IFERROR(INDEX(Таблиця109[GP LIMIT],MATCH(Таблиця3[[#This Row],[POPULATION]],Таблиця109[Population0],1),1)/INDEX(Таблиця109[Average Population],MATCH(Таблиця3[[#This Row],[POPULATION]],Таблиця109[Population0],1),1),0)*Таблиця3[[#This Row],[POPULATION]]</f>
        <v>965.18441916580491</v>
      </c>
      <c r="I26" s="592">
        <v>1750</v>
      </c>
      <c r="J26" s="642" t="s">
        <v>11418</v>
      </c>
      <c r="K26" s="592">
        <f>'Purple Dragons'!S16*2+'Purple Dragons'!S22</f>
        <v>756</v>
      </c>
      <c r="L26" s="642"/>
      <c r="M26" s="508" t="s">
        <v>8494</v>
      </c>
      <c r="N26" s="642"/>
      <c r="O26" s="508"/>
      <c r="R26" s="2">
        <v>0.18</v>
      </c>
      <c r="S26" s="2">
        <f t="shared" si="1"/>
        <v>0.25</v>
      </c>
      <c r="T26" s="2">
        <v>1.8</v>
      </c>
      <c r="U26" s="2">
        <v>0.9</v>
      </c>
      <c r="V26" s="2">
        <v>2.7</v>
      </c>
      <c r="AA26" s="652"/>
    </row>
    <row r="27" spans="1:27">
      <c r="A27" s="2" t="s">
        <v>16002</v>
      </c>
      <c r="B27" s="2" t="s">
        <v>11540</v>
      </c>
      <c r="C27" s="2" t="s">
        <v>16004</v>
      </c>
      <c r="E27" s="651" t="s">
        <v>13933</v>
      </c>
      <c r="F27" s="682">
        <v>100</v>
      </c>
      <c r="I27" s="592">
        <v>20</v>
      </c>
      <c r="J27" s="642" t="s">
        <v>16005</v>
      </c>
      <c r="K27" s="1069"/>
      <c r="L27" s="642"/>
      <c r="M27" s="508"/>
      <c r="N27" s="642"/>
      <c r="O27" s="508"/>
      <c r="S27" s="651">
        <f t="shared" si="1"/>
        <v>0.25</v>
      </c>
      <c r="AA27" s="652" t="s">
        <v>16024</v>
      </c>
    </row>
    <row r="28" spans="1:27" ht="15" customHeight="1">
      <c r="A28" s="2" t="s">
        <v>111</v>
      </c>
      <c r="B28" s="2" t="s">
        <v>11543</v>
      </c>
      <c r="C28" s="2" t="s">
        <v>5801</v>
      </c>
      <c r="D28" s="2" t="s">
        <v>112</v>
      </c>
      <c r="E28" s="2" t="str">
        <f>INDEX(Таблиця109[SETTLEMENT SIZE],MATCH(Таблиця3[[#This Row],[POPULATION]],Таблиця109[Population0],1),1)</f>
        <v>Village</v>
      </c>
      <c r="F28" s="682">
        <f>IFERROR(INDEX(Таблиця109[GP LIMIT],MATCH(Таблиця3[[#This Row],[POPULATION]],Таблиця109[Population0],1),1)/INDEX(Таблиця109[Average Population],MATCH(Таблиця3[[#This Row],[POPULATION]],Таблиця109[Population0],1),1),0)*Таблиця3[[#This Row],[POPULATION]]</f>
        <v>217.98365122615803</v>
      </c>
      <c r="I28" s="592">
        <v>600</v>
      </c>
      <c r="J28" s="2" t="s">
        <v>11352</v>
      </c>
      <c r="K28" s="592">
        <f>'Purple Dragons'!S4</f>
        <v>12</v>
      </c>
      <c r="L28" s="2" t="s">
        <v>15364</v>
      </c>
      <c r="M28" s="2" t="s">
        <v>12249</v>
      </c>
      <c r="N28" s="2"/>
      <c r="O28" s="2" t="s">
        <v>763</v>
      </c>
      <c r="P28" s="2" t="s">
        <v>5801</v>
      </c>
      <c r="Q28" s="2" t="s">
        <v>12253</v>
      </c>
      <c r="R28" s="2">
        <v>0.18</v>
      </c>
      <c r="S28" s="2">
        <f t="shared" si="1"/>
        <v>0.25</v>
      </c>
      <c r="T28" s="2">
        <v>1.3</v>
      </c>
      <c r="U28" s="2">
        <v>1.6</v>
      </c>
      <c r="V28" s="2">
        <v>3.2</v>
      </c>
      <c r="W28" s="2" t="s">
        <v>12258</v>
      </c>
      <c r="X28" s="2" t="s">
        <v>12259</v>
      </c>
      <c r="Y28" s="2" t="s">
        <v>11</v>
      </c>
      <c r="AA28" s="652"/>
    </row>
    <row r="29" spans="1:27" ht="15" customHeight="1">
      <c r="A29" s="2" t="s">
        <v>16023</v>
      </c>
      <c r="B29" s="2" t="s">
        <v>11540</v>
      </c>
      <c r="D29" s="2" t="s">
        <v>15352</v>
      </c>
      <c r="E29" s="651" t="e">
        <f>INDEX(Таблиця109[SETTLEMENT SIZE],MATCH(Таблиця3[[#This Row],[POPULATION]],Таблиця109[Population0],1),1)</f>
        <v>#N/A</v>
      </c>
      <c r="F29" s="682" t="e">
        <f>IFERROR(INDEX(Таблиця109[GP LIMIT],MATCH(Таблиця3[[#This Row],[POPULATION]],Таблиця109[Population0],1),1)/INDEX(Таблиця109[Average Population],MATCH(Таблиця3[[#This Row],[POPULATION]],Таблиця109[Population0],1),1),0)*Таблиця3[[#This Row],[POPULATION]]</f>
        <v>#VALUE!</v>
      </c>
      <c r="I29" s="592" t="s">
        <v>2315</v>
      </c>
      <c r="J29" s="642"/>
      <c r="K29" s="592" t="s">
        <v>2315</v>
      </c>
      <c r="L29" s="642"/>
      <c r="M29" s="508"/>
      <c r="N29" s="642"/>
      <c r="O29" s="508"/>
      <c r="S29" s="651">
        <f t="shared" si="1"/>
        <v>0.25</v>
      </c>
      <c r="AA29" s="1071" t="s">
        <v>16026</v>
      </c>
    </row>
    <row r="30" spans="1:27" ht="15" customHeight="1">
      <c r="A30" s="2" t="s">
        <v>125</v>
      </c>
      <c r="B30" s="2" t="s">
        <v>11543</v>
      </c>
      <c r="C30" s="2" t="s">
        <v>5801</v>
      </c>
      <c r="E30" s="2" t="str">
        <f>INDEX(Таблиця109[SETTLEMENT SIZE],MATCH(Таблиця3[[#This Row],[POPULATION]],Таблиця109[Population0],1),1)</f>
        <v>Small town</v>
      </c>
      <c r="F30" s="682">
        <f>IFERROR(INDEX(Таблиця109[GP LIMIT],MATCH(Таблиця3[[#This Row],[POPULATION]],Таблиця109[Population0],1),1)/INDEX(Таблиця109[Average Population],MATCH(Таблиця3[[#This Row],[POPULATION]],Таблиця109[Population0],1),1),0)*Таблиця3[[#This Row],[POPULATION]]</f>
        <v>692.17511203033439</v>
      </c>
      <c r="I30" s="592">
        <v>1255</v>
      </c>
      <c r="J30" s="2" t="s">
        <v>11681</v>
      </c>
      <c r="K30" s="592"/>
      <c r="L30" s="2"/>
      <c r="N30" s="2"/>
      <c r="P30" s="2" t="s">
        <v>5801</v>
      </c>
      <c r="Q30" s="2" t="s">
        <v>5801</v>
      </c>
      <c r="R30" s="2">
        <v>0.1</v>
      </c>
      <c r="S30" s="2">
        <v>0.15</v>
      </c>
      <c r="T30" s="2">
        <v>0.9</v>
      </c>
      <c r="U30" s="2">
        <v>1.1000000000000001</v>
      </c>
      <c r="V30" s="2">
        <v>2.2000000000000002</v>
      </c>
      <c r="W30" s="2" t="s">
        <v>15333</v>
      </c>
      <c r="X30" s="2" t="s">
        <v>15331</v>
      </c>
      <c r="Y30" s="2" t="s">
        <v>15334</v>
      </c>
      <c r="AA30" s="652"/>
    </row>
    <row r="31" spans="1:27" ht="15" customHeight="1">
      <c r="A31" s="2" t="s">
        <v>12110</v>
      </c>
      <c r="E31" s="651" t="s">
        <v>12111</v>
      </c>
      <c r="F31" s="682">
        <f>IFERROR(INDEX(Таблиця109[GP LIMIT],MATCH(Таблиця3[[#This Row],[POPULATION]],Таблиця109[Population0],1),1)/INDEX(Таблиця109[Average Population],MATCH(Таблиця3[[#This Row],[POPULATION]],Таблиця109[Population0],1),1),0)*Таблиця3[[#This Row],[POPULATION]]</f>
        <v>0</v>
      </c>
      <c r="I31" s="592"/>
      <c r="J31" s="642"/>
      <c r="K31" s="592"/>
      <c r="L31" s="642"/>
      <c r="M31" s="508"/>
      <c r="N31" s="642"/>
      <c r="O31" s="508"/>
      <c r="P31" s="2" t="s">
        <v>564</v>
      </c>
      <c r="R31" s="2">
        <v>0.18</v>
      </c>
      <c r="S31" s="651">
        <f>0.25</f>
        <v>0.25</v>
      </c>
      <c r="AA31" s="652"/>
    </row>
    <row r="32" spans="1:27" ht="15" customHeight="1">
      <c r="A32" s="2" t="s">
        <v>12096</v>
      </c>
      <c r="B32" s="2" t="s">
        <v>11540</v>
      </c>
      <c r="D32" s="2" t="s">
        <v>15352</v>
      </c>
      <c r="E32" s="651" t="e">
        <f>INDEX(Таблиця109[SETTLEMENT SIZE],MATCH(Таблиця3[[#This Row],[POPULATION]],Таблиця109[Population0],1),1)</f>
        <v>#N/A</v>
      </c>
      <c r="F32" s="682" t="e">
        <f>IFERROR(INDEX(Таблиця109[GP LIMIT],MATCH(Таблиця3[[#This Row],[POPULATION]],Таблиця109[Population0],1),1)/INDEX(Таблиця109[Average Population],MATCH(Таблиця3[[#This Row],[POPULATION]],Таблиця109[Population0],1),1),0)*Таблиця3[[#This Row],[POPULATION]]</f>
        <v>#VALUE!</v>
      </c>
      <c r="I32" s="592" t="s">
        <v>2315</v>
      </c>
      <c r="J32" s="642"/>
      <c r="K32" s="592" t="s">
        <v>2315</v>
      </c>
      <c r="L32" s="642"/>
      <c r="M32" s="508"/>
      <c r="N32" s="642"/>
      <c r="O32" s="508"/>
      <c r="S32" s="651">
        <f>0.25</f>
        <v>0.25</v>
      </c>
      <c r="AA32" s="1071" t="s">
        <v>16025</v>
      </c>
    </row>
    <row r="33" spans="1:27" ht="15" customHeight="1">
      <c r="A33" s="2" t="s">
        <v>16020</v>
      </c>
      <c r="B33" s="2" t="s">
        <v>11540</v>
      </c>
      <c r="D33" s="2" t="s">
        <v>15352</v>
      </c>
      <c r="E33" s="651" t="e">
        <f>INDEX(Таблиця109[SETTLEMENT SIZE],MATCH(Таблиця3[[#This Row],[POPULATION]],Таблиця109[Population0],1),1)</f>
        <v>#N/A</v>
      </c>
      <c r="F33" s="682" t="e">
        <f>IFERROR(INDEX(Таблиця109[GP LIMIT],MATCH(Таблиця3[[#This Row],[POPULATION]],Таблиця109[Population0],1),1)/INDEX(Таблиця109[Average Population],MATCH(Таблиця3[[#This Row],[POPULATION]],Таблиця109[Population0],1),1),0)*Таблиця3[[#This Row],[POPULATION]]</f>
        <v>#VALUE!</v>
      </c>
      <c r="I33" s="592" t="s">
        <v>2315</v>
      </c>
      <c r="J33" s="642"/>
      <c r="K33" s="592" t="s">
        <v>2315</v>
      </c>
      <c r="L33" s="642"/>
      <c r="M33" s="508"/>
      <c r="N33" s="642"/>
      <c r="O33" s="508"/>
      <c r="S33" s="651">
        <f>0.25</f>
        <v>0.25</v>
      </c>
      <c r="AA33" s="1071" t="s">
        <v>16025</v>
      </c>
    </row>
    <row r="34" spans="1:27" ht="15" customHeight="1">
      <c r="A34" s="2" t="s">
        <v>15350</v>
      </c>
      <c r="B34" s="2" t="s">
        <v>11543</v>
      </c>
      <c r="C34" s="2" t="s">
        <v>2315</v>
      </c>
      <c r="D34" s="2" t="s">
        <v>15352</v>
      </c>
      <c r="E34" s="2" t="s">
        <v>2315</v>
      </c>
      <c r="F34" s="682" t="s">
        <v>2315</v>
      </c>
      <c r="G34" s="2" t="s">
        <v>2315</v>
      </c>
      <c r="H34" s="2" t="s">
        <v>2315</v>
      </c>
      <c r="I34" s="592" t="s">
        <v>2315</v>
      </c>
      <c r="J34" s="2" t="s">
        <v>2315</v>
      </c>
      <c r="K34" s="592" t="s">
        <v>2315</v>
      </c>
      <c r="L34" s="2" t="s">
        <v>2315</v>
      </c>
      <c r="M34" s="2" t="s">
        <v>2315</v>
      </c>
      <c r="N34" s="2" t="s">
        <v>2315</v>
      </c>
      <c r="O34" s="2" t="s">
        <v>2315</v>
      </c>
      <c r="P34" s="2" t="s">
        <v>2315</v>
      </c>
      <c r="Q34" s="2" t="s">
        <v>2315</v>
      </c>
      <c r="R34" s="2" t="s">
        <v>2315</v>
      </c>
      <c r="S34" s="2" t="s">
        <v>2315</v>
      </c>
      <c r="T34" s="2" t="s">
        <v>2315</v>
      </c>
      <c r="U34" s="2" t="s">
        <v>2315</v>
      </c>
      <c r="V34" s="2" t="s">
        <v>2315</v>
      </c>
      <c r="W34" s="2" t="s">
        <v>2315</v>
      </c>
      <c r="X34" s="2" t="s">
        <v>2315</v>
      </c>
      <c r="Y34" s="2" t="s">
        <v>2315</v>
      </c>
      <c r="AA34" s="652"/>
    </row>
    <row r="35" spans="1:27" ht="15" customHeight="1">
      <c r="A35" s="2" t="s">
        <v>16016</v>
      </c>
      <c r="B35" s="2" t="s">
        <v>11540</v>
      </c>
      <c r="D35" s="2" t="s">
        <v>15352</v>
      </c>
      <c r="E35" s="651" t="e">
        <f>INDEX(Таблиця109[SETTLEMENT SIZE],MATCH(Таблиця3[[#This Row],[POPULATION]],Таблиця109[Population0],1),1)</f>
        <v>#N/A</v>
      </c>
      <c r="F35" s="682" t="e">
        <f>IFERROR(INDEX(Таблиця109[GP LIMIT],MATCH(Таблиця3[[#This Row],[POPULATION]],Таблиця109[Population0],1),1)/INDEX(Таблиця109[Average Population],MATCH(Таблиця3[[#This Row],[POPULATION]],Таблиця109[Population0],1),1),0)*Таблиця3[[#This Row],[POPULATION]]</f>
        <v>#VALUE!</v>
      </c>
      <c r="I35" s="592" t="s">
        <v>2315</v>
      </c>
      <c r="J35" s="642"/>
      <c r="K35" s="592" t="s">
        <v>2315</v>
      </c>
      <c r="L35" s="642"/>
      <c r="M35" s="508"/>
      <c r="N35" s="642"/>
      <c r="O35" s="508"/>
      <c r="S35" s="651">
        <f t="shared" ref="S35:S43" si="2">0.25</f>
        <v>0.25</v>
      </c>
      <c r="AA35" s="1071" t="s">
        <v>16025</v>
      </c>
    </row>
    <row r="36" spans="1:27" ht="15">
      <c r="A36" s="2" t="s">
        <v>134</v>
      </c>
      <c r="C36" s="763"/>
      <c r="E36" s="2" t="str">
        <f>INDEX(Таблиця109[SETTLEMENT SIZE],MATCH(Таблиця3[[#This Row],[POPULATION]],Таблиця109[Population0],1),1)</f>
        <v>Small town</v>
      </c>
      <c r="F36" s="682">
        <f>IFERROR(INDEX(Таблиця109[GP LIMIT],MATCH(Таблиця3[[#This Row],[POPULATION]],Таблиця109[Population0],1),1)/INDEX(Таблиця109[Average Population],MATCH(Таблиця3[[#This Row],[POPULATION]],Таблиця109[Population0],1),1),0)*Таблиця3[[#This Row],[POPULATION]]</f>
        <v>661.84074457083761</v>
      </c>
      <c r="I36" s="592">
        <v>1200</v>
      </c>
      <c r="J36" s="642"/>
      <c r="K36" s="592"/>
      <c r="L36" s="642"/>
      <c r="M36" s="508" t="s">
        <v>8701</v>
      </c>
      <c r="N36" s="642"/>
      <c r="O36" s="508"/>
      <c r="R36" s="2">
        <v>0.18</v>
      </c>
      <c r="S36" s="2">
        <f t="shared" si="2"/>
        <v>0.25</v>
      </c>
      <c r="AA36" s="652"/>
    </row>
    <row r="37" spans="1:27" ht="15">
      <c r="A37" s="2" t="s">
        <v>140</v>
      </c>
      <c r="C37" s="763"/>
      <c r="E37" s="2" t="str">
        <f>INDEX(Таблиця109[SETTLEMENT SIZE],MATCH(Таблиця3[[#This Row],[POPULATION]],Таблиця109[Population0],1),1)</f>
        <v>Small town</v>
      </c>
      <c r="F37" s="682">
        <f>IFERROR(INDEX(Таблиця109[GP LIMIT],MATCH(Таблиця3[[#This Row],[POPULATION]],Таблиця109[Population0],1),1)/INDEX(Таблиця109[Average Population],MATCH(Таблиця3[[#This Row],[POPULATION]],Таблиця109[Population0],1),1),0)*Таблиця3[[#This Row],[POPULATION]]</f>
        <v>606.68734918993448</v>
      </c>
      <c r="I37" s="592">
        <v>1100</v>
      </c>
      <c r="J37" s="642"/>
      <c r="K37" s="592"/>
      <c r="L37" s="642"/>
      <c r="M37" s="508"/>
      <c r="N37" s="642"/>
      <c r="O37" s="508"/>
      <c r="R37" s="2">
        <v>0.18</v>
      </c>
      <c r="S37" s="2">
        <f t="shared" si="2"/>
        <v>0.25</v>
      </c>
      <c r="AA37" s="652"/>
    </row>
    <row r="38" spans="1:27" ht="15" customHeight="1">
      <c r="A38" s="2" t="s">
        <v>8671</v>
      </c>
      <c r="C38" s="763"/>
      <c r="E38" s="2" t="str">
        <f>INDEX(Таблиця109[SETTLEMENT SIZE],MATCH(Таблиця3[[#This Row],[POPULATION]],Таблиця109[Population0],1),1)</f>
        <v>Hamlet</v>
      </c>
      <c r="F38"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38" s="592">
        <v>100</v>
      </c>
      <c r="J38" s="642" t="s">
        <v>11417</v>
      </c>
      <c r="K38" s="592">
        <f>'Purple Dragons'!S4</f>
        <v>12</v>
      </c>
      <c r="L38" s="642"/>
      <c r="M38" s="508"/>
      <c r="N38" s="642" t="s">
        <v>11413</v>
      </c>
      <c r="O38" s="508"/>
      <c r="R38" s="2">
        <v>0.18</v>
      </c>
      <c r="S38" s="2">
        <f t="shared" si="2"/>
        <v>0.25</v>
      </c>
      <c r="AA38" s="652"/>
    </row>
    <row r="39" spans="1:27" ht="15" customHeight="1">
      <c r="A39" s="2" t="s">
        <v>15322</v>
      </c>
      <c r="B39" s="2" t="s">
        <v>11543</v>
      </c>
      <c r="C39" s="2" t="s">
        <v>5801</v>
      </c>
      <c r="D39" s="2" t="s">
        <v>15339</v>
      </c>
      <c r="E39" s="2" t="str">
        <f>INDEX(Таблиця109[SETTLEMENT SIZE],MATCH(Таблиця3[[#This Row],[POPULATION]],Таблиця109[Population0],1),1)</f>
        <v>Thorpe</v>
      </c>
      <c r="F39" s="682">
        <f>IFERROR(INDEX(Таблиця109[GP LIMIT],MATCH(Таблиця3[[#This Row],[POPULATION]],Таблиця109[Population0],1),1)/INDEX(Таблиця109[Average Population],MATCH(Таблиця3[[#This Row],[POPULATION]],Таблиця109[Population0],1),1),0)*Таблиця3[[#This Row],[POPULATION]]</f>
        <v>0</v>
      </c>
      <c r="I39" s="592">
        <v>0</v>
      </c>
      <c r="J39" s="2" t="s">
        <v>5801</v>
      </c>
      <c r="K39" s="592"/>
      <c r="L39" s="2"/>
      <c r="N39" s="2"/>
      <c r="P39" s="2" t="s">
        <v>5801</v>
      </c>
      <c r="Q39" s="2" t="s">
        <v>5801</v>
      </c>
      <c r="R39" s="2">
        <v>0.18</v>
      </c>
      <c r="S39" s="2">
        <f t="shared" si="2"/>
        <v>0.25</v>
      </c>
      <c r="W39" s="2" t="s">
        <v>5801</v>
      </c>
      <c r="X39" s="2" t="s">
        <v>5801</v>
      </c>
      <c r="Y39" s="2" t="s">
        <v>15325</v>
      </c>
      <c r="AA39" s="652"/>
    </row>
    <row r="40" spans="1:27" ht="15">
      <c r="A40" s="2" t="s">
        <v>148</v>
      </c>
      <c r="C40" s="763"/>
      <c r="E40" s="2" t="str">
        <f>INDEX(Таблиця109[SETTLEMENT SIZE],MATCH(Таблиця3[[#This Row],[POPULATION]],Таблиця109[Population0],1),1)</f>
        <v>Small town</v>
      </c>
      <c r="F40" s="682">
        <f>IFERROR(INDEX(Таблиця109[GP LIMIT],MATCH(Таблиця3[[#This Row],[POPULATION]],Таблиця109[Population0],1),1)/INDEX(Таблиця109[Average Population],MATCH(Таблиця3[[#This Row],[POPULATION]],Таблиця109[Population0],1),1),0)*Таблиця3[[#This Row],[POPULATION]]</f>
        <v>1037.986901068597</v>
      </c>
      <c r="I40" s="592">
        <f>789+450+643</f>
        <v>1882</v>
      </c>
      <c r="J40" s="642"/>
      <c r="K40" s="592"/>
      <c r="L40" s="642"/>
      <c r="M40" s="508" t="s">
        <v>8702</v>
      </c>
      <c r="N40" s="642"/>
      <c r="O40" s="508"/>
      <c r="R40" s="2">
        <v>0.18</v>
      </c>
      <c r="S40" s="2">
        <f t="shared" si="2"/>
        <v>0.25</v>
      </c>
      <c r="T40" s="2">
        <v>3.1</v>
      </c>
      <c r="U40" s="2">
        <v>2.1</v>
      </c>
      <c r="V40" s="2">
        <v>5.0999999999999996</v>
      </c>
      <c r="AA40" s="652"/>
    </row>
    <row r="41" spans="1:27" ht="15" customHeight="1">
      <c r="A41" s="2" t="s">
        <v>152</v>
      </c>
      <c r="B41" s="2" t="s">
        <v>11543</v>
      </c>
      <c r="C41" s="2" t="s">
        <v>5801</v>
      </c>
      <c r="E41" s="2" t="str">
        <f>INDEX(Таблиця109[SETTLEMENT SIZE],MATCH(Таблиця3[[#This Row],[POPULATION]],Таблиця109[Population0],1),1)</f>
        <v>Village</v>
      </c>
      <c r="F41" s="682">
        <f>IFERROR(INDEX(Таблиця109[GP LIMIT],MATCH(Таблиця3[[#This Row],[POPULATION]],Таблиця109[Population0],1),1)/INDEX(Таблиця109[Average Population],MATCH(Таблиця3[[#This Row],[POPULATION]],Таблиця109[Population0],1),1),0)*Таблиця3[[#This Row],[POPULATION]]</f>
        <v>199.81834695731152</v>
      </c>
      <c r="I41" s="592">
        <v>550</v>
      </c>
      <c r="J41" s="2" t="s">
        <v>11352</v>
      </c>
      <c r="K41" s="592">
        <v>12</v>
      </c>
      <c r="L41" s="2" t="s">
        <v>15353</v>
      </c>
      <c r="N41" s="2" t="s">
        <v>15330</v>
      </c>
      <c r="P41" s="2" t="s">
        <v>5801</v>
      </c>
      <c r="Q41" s="2" t="s">
        <v>5801</v>
      </c>
      <c r="R41" s="2">
        <v>0.18</v>
      </c>
      <c r="S41" s="2">
        <f t="shared" si="2"/>
        <v>0.25</v>
      </c>
      <c r="T41" s="2">
        <v>2.7</v>
      </c>
      <c r="U41" s="2">
        <v>1.9</v>
      </c>
      <c r="V41" s="2">
        <v>6.3</v>
      </c>
      <c r="W41" s="2" t="s">
        <v>153</v>
      </c>
      <c r="X41" s="2" t="s">
        <v>15329</v>
      </c>
      <c r="Y41" s="2" t="s">
        <v>156</v>
      </c>
      <c r="AA41" s="652"/>
    </row>
    <row r="42" spans="1:27" ht="15">
      <c r="A42" s="2" t="s">
        <v>161</v>
      </c>
      <c r="C42" s="763"/>
      <c r="E42" s="2" t="str">
        <f>INDEX(Таблиця109[SETTLEMENT SIZE],MATCH(Таблиця3[[#This Row],[POPULATION]],Таблиця109[Population0],1),1)</f>
        <v>Large town</v>
      </c>
      <c r="F42" s="682">
        <f>IFERROR(INDEX(Таблиця109[GP LIMIT],MATCH(Таблиця3[[#This Row],[POPULATION]],Таблиця109[Population0],1),1)/INDEX(Таблиця109[Average Population],MATCH(Таблиця3[[#This Row],[POPULATION]],Таблиця109[Population0],1),1),0)*Таблиця3[[#This Row],[POPULATION]]</f>
        <v>3428.0817026139121</v>
      </c>
      <c r="I42" s="592">
        <v>4000</v>
      </c>
      <c r="J42" s="642" t="s">
        <v>11912</v>
      </c>
      <c r="K42" s="592">
        <f>'Purple Dragons'!S16+'Purple Dragons'!S37+'Purple Dragons'!S8+'Purple Dragons'!S22+'Purple Dragons'!S4</f>
        <v>1360</v>
      </c>
      <c r="L42" s="642"/>
      <c r="M42" s="508"/>
      <c r="N42" s="642" t="s">
        <v>11416</v>
      </c>
      <c r="O42" s="508"/>
      <c r="R42" s="2">
        <v>0.18</v>
      </c>
      <c r="S42" s="2">
        <f t="shared" si="2"/>
        <v>0.25</v>
      </c>
      <c r="AA42" s="652"/>
    </row>
    <row r="43" spans="1:27" ht="15">
      <c r="A43" s="2" t="s">
        <v>172</v>
      </c>
      <c r="C43" s="763"/>
      <c r="E43" s="2" t="str">
        <f>INDEX(Таблиця109[SETTLEMENT SIZE],MATCH(Таблиця3[[#This Row],[POPULATION]],Таблиця109[Population0],1),1)</f>
        <v>Large town</v>
      </c>
      <c r="F43" s="682">
        <f>IFERROR(INDEX(Таблиця109[GP LIMIT],MATCH(Таблиця3[[#This Row],[POPULATION]],Таблиця109[Population0],1),1)/INDEX(Таблиця109[Average Population],MATCH(Таблиця3[[#This Row],[POPULATION]],Таблиця109[Population0],1),1),0)*Таблиця3[[#This Row],[POPULATION]]</f>
        <v>2571.061276960434</v>
      </c>
      <c r="I43" s="592">
        <v>3000</v>
      </c>
      <c r="J43" s="642"/>
      <c r="K43" s="592"/>
      <c r="L43" s="642"/>
      <c r="M43" s="508"/>
      <c r="N43" s="642"/>
      <c r="O43" s="508"/>
      <c r="R43" s="2">
        <v>0.18</v>
      </c>
      <c r="S43" s="2">
        <f t="shared" si="2"/>
        <v>0.25</v>
      </c>
      <c r="AA43" s="652"/>
    </row>
    <row r="44" spans="1:27" ht="15" customHeight="1">
      <c r="A44" s="2" t="s">
        <v>15345</v>
      </c>
      <c r="B44" s="2" t="s">
        <v>11543</v>
      </c>
      <c r="C44" s="2" t="s">
        <v>2315</v>
      </c>
      <c r="D44" s="2" t="s">
        <v>15352</v>
      </c>
      <c r="E44" s="2" t="s">
        <v>2315</v>
      </c>
      <c r="F44" s="682" t="s">
        <v>2315</v>
      </c>
      <c r="G44" s="2" t="s">
        <v>2315</v>
      </c>
      <c r="H44" s="2" t="s">
        <v>2315</v>
      </c>
      <c r="I44" s="592" t="s">
        <v>2315</v>
      </c>
      <c r="J44" s="2" t="s">
        <v>2315</v>
      </c>
      <c r="K44" s="592" t="s">
        <v>2315</v>
      </c>
      <c r="L44" s="2" t="s">
        <v>2315</v>
      </c>
      <c r="M44" s="2" t="s">
        <v>2315</v>
      </c>
      <c r="N44" s="2" t="s">
        <v>2315</v>
      </c>
      <c r="O44" s="2" t="s">
        <v>2315</v>
      </c>
      <c r="P44" s="2" t="s">
        <v>2315</v>
      </c>
      <c r="Q44" s="2" t="s">
        <v>2315</v>
      </c>
      <c r="R44" s="2" t="s">
        <v>2315</v>
      </c>
      <c r="S44" s="2" t="s">
        <v>2315</v>
      </c>
      <c r="T44" s="2" t="s">
        <v>2315</v>
      </c>
      <c r="U44" s="2" t="s">
        <v>2315</v>
      </c>
      <c r="V44" s="2" t="s">
        <v>2315</v>
      </c>
      <c r="W44" s="2" t="s">
        <v>2315</v>
      </c>
      <c r="X44" s="2" t="s">
        <v>2315</v>
      </c>
      <c r="Y44" s="2" t="s">
        <v>2315</v>
      </c>
      <c r="AA44" s="652"/>
    </row>
    <row r="45" spans="1:27" ht="15" customHeight="1">
      <c r="A45" s="2" t="s">
        <v>12102</v>
      </c>
      <c r="B45" s="2" t="s">
        <v>11540</v>
      </c>
      <c r="D45" s="2" t="s">
        <v>15352</v>
      </c>
      <c r="E45" s="651" t="e">
        <f>INDEX(Таблиця109[SETTLEMENT SIZE],MATCH(Таблиця3[[#This Row],[POPULATION]],Таблиця109[Population0],1),1)</f>
        <v>#N/A</v>
      </c>
      <c r="F45" s="682" t="e">
        <f>IFERROR(INDEX(Таблиця109[GP LIMIT],MATCH(Таблиця3[[#This Row],[POPULATION]],Таблиця109[Population0],1),1)/INDEX(Таблиця109[Average Population],MATCH(Таблиця3[[#This Row],[POPULATION]],Таблиця109[Population0],1),1),0)*Таблиця3[[#This Row],[POPULATION]]</f>
        <v>#VALUE!</v>
      </c>
      <c r="I45" s="592" t="s">
        <v>2315</v>
      </c>
      <c r="J45" s="642"/>
      <c r="K45" s="592" t="s">
        <v>2315</v>
      </c>
      <c r="L45" s="642"/>
      <c r="M45" s="508"/>
      <c r="N45" s="642"/>
      <c r="O45" s="508"/>
      <c r="S45" s="651">
        <f t="shared" ref="S45:S57" si="3">0.25</f>
        <v>0.25</v>
      </c>
      <c r="AA45" s="1071" t="s">
        <v>16025</v>
      </c>
    </row>
    <row r="46" spans="1:27" ht="15" customHeight="1">
      <c r="A46" s="2" t="s">
        <v>8543</v>
      </c>
      <c r="C46" s="763"/>
      <c r="D46" s="2" t="s">
        <v>11508</v>
      </c>
      <c r="E46" s="2" t="str">
        <f>INDEX(Таблиця109[SETTLEMENT SIZE],MATCH(Таблиця3[[#This Row],[POPULATION]],Таблиця109[Population0],1),1)</f>
        <v>Thorpe</v>
      </c>
      <c r="F46" s="682">
        <f>IFERROR(INDEX(Таблиця109[GP LIMIT],MATCH(Таблиця3[[#This Row],[POPULATION]],Таблиця109[Population0],1),1)/INDEX(Таблиця109[Average Population],MATCH(Таблиця3[[#This Row],[POPULATION]],Таблиця109[Population0],1),1),0)*Таблиця3[[#This Row],[POPULATION]]</f>
        <v>40</v>
      </c>
      <c r="I46" s="592">
        <v>50</v>
      </c>
      <c r="J46" s="642"/>
      <c r="K46" s="592"/>
      <c r="L46" s="642"/>
      <c r="M46" s="508"/>
      <c r="N46" s="642"/>
      <c r="O46" s="508"/>
      <c r="R46" s="2">
        <v>0.18</v>
      </c>
      <c r="S46" s="2">
        <f t="shared" si="3"/>
        <v>0.25</v>
      </c>
      <c r="AA46" s="652"/>
    </row>
    <row r="47" spans="1:27" ht="15">
      <c r="A47" s="2" t="s">
        <v>178</v>
      </c>
      <c r="C47" s="763"/>
      <c r="D47" s="2" t="s">
        <v>11414</v>
      </c>
      <c r="E47" s="2" t="str">
        <f>INDEX(Таблиця109[SETTLEMENT SIZE],MATCH(Таблиця3[[#This Row],[POPULATION]],Таблиця109[Population0],1),1)</f>
        <v>Hamlet</v>
      </c>
      <c r="F47"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47" s="592">
        <v>100</v>
      </c>
      <c r="J47" s="642" t="s">
        <v>11847</v>
      </c>
      <c r="K47" s="592">
        <f>'Purple Dragons'!S7+'Purple Dragons'!S22+'Purple Dragons'!S5</f>
        <v>539</v>
      </c>
      <c r="L47" s="642"/>
      <c r="M47" s="508"/>
      <c r="N47" s="642" t="s">
        <v>11230</v>
      </c>
      <c r="O47" s="508"/>
      <c r="R47" s="2">
        <v>0.18</v>
      </c>
      <c r="S47" s="2">
        <f t="shared" si="3"/>
        <v>0.25</v>
      </c>
      <c r="AA47" s="652"/>
    </row>
    <row r="48" spans="1:27" ht="14.25" customHeight="1">
      <c r="A48" s="2" t="s">
        <v>11518</v>
      </c>
      <c r="C48" s="763"/>
      <c r="E48" s="2" t="str">
        <f>INDEX(Таблиця109[SETTLEMENT SIZE],MATCH(Таблиця3[[#This Row],[POPULATION]],Таблиця109[Population0],1),1)</f>
        <v>Small town</v>
      </c>
      <c r="F48" s="682">
        <f>IFERROR(INDEX(Таблиця109[GP LIMIT],MATCH(Таблиця3[[#This Row],[POPULATION]],Таблиця109[Population0],1),1)/INDEX(Таблиця109[Average Population],MATCH(Таблиця3[[#This Row],[POPULATION]],Таблиця109[Population0],1),1),0)*Таблиця3[[#This Row],[POPULATION]]</f>
        <v>496.38055842812821</v>
      </c>
      <c r="I48" s="592">
        <v>900</v>
      </c>
      <c r="J48" s="642"/>
      <c r="K48" s="592"/>
      <c r="L48" s="642"/>
      <c r="M48" s="508"/>
      <c r="N48" s="642"/>
      <c r="O48" s="508"/>
      <c r="R48" s="2">
        <v>0.18</v>
      </c>
      <c r="S48" s="2">
        <f t="shared" si="3"/>
        <v>0.25</v>
      </c>
      <c r="AA48" s="652"/>
    </row>
    <row r="49" spans="1:27" ht="15" customHeight="1">
      <c r="A49" s="2" t="s">
        <v>185</v>
      </c>
      <c r="C49" s="763"/>
      <c r="E49" s="2" t="str">
        <f>INDEX(Таблиця109[SETTLEMENT SIZE],MATCH(Таблиця3[[#This Row],[POPULATION]],Таблиця109[Population0],1),1)</f>
        <v>Village</v>
      </c>
      <c r="F49" s="682">
        <f>IFERROR(INDEX(Таблиця109[GP LIMIT],MATCH(Таблиця3[[#This Row],[POPULATION]],Таблиця109[Population0],1),1)/INDEX(Таблиця109[Average Population],MATCH(Таблиця3[[#This Row],[POPULATION]],Таблиця109[Population0],1),1),0)*Таблиця3[[#This Row],[POPULATION]]</f>
        <v>72.661217075386006</v>
      </c>
      <c r="I49" s="592">
        <v>200</v>
      </c>
      <c r="J49" s="650" t="s">
        <v>11352</v>
      </c>
      <c r="K49" s="592">
        <f>K41</f>
        <v>12</v>
      </c>
      <c r="L49" s="642"/>
      <c r="M49" s="508"/>
      <c r="N49" s="642" t="s">
        <v>11415</v>
      </c>
      <c r="O49" s="508"/>
      <c r="P49" s="2" t="s">
        <v>8569</v>
      </c>
      <c r="R49" s="2">
        <v>0.18</v>
      </c>
      <c r="S49" s="2">
        <f t="shared" si="3"/>
        <v>0.25</v>
      </c>
      <c r="AA49" s="652"/>
    </row>
    <row r="50" spans="1:27" ht="15" customHeight="1">
      <c r="A50" s="2" t="s">
        <v>190</v>
      </c>
      <c r="C50" s="763"/>
      <c r="E50" s="2" t="str">
        <f>INDEX(Таблиця109[SETTLEMENT SIZE],MATCH(Таблиця3[[#This Row],[POPULATION]],Таблиця109[Population0],1),1)</f>
        <v>Village</v>
      </c>
      <c r="F50" s="682">
        <f>IFERROR(INDEX(Таблиця109[GP LIMIT],MATCH(Таблиця3[[#This Row],[POPULATION]],Таблиця109[Population0],1),1)/INDEX(Таблиця109[Average Population],MATCH(Таблиця3[[#This Row],[POPULATION]],Таблиця109[Population0],1),1),0)*Таблиця3[[#This Row],[POPULATION]]</f>
        <v>145.32243415077201</v>
      </c>
      <c r="I50" s="592">
        <v>400</v>
      </c>
      <c r="J50" s="642"/>
      <c r="K50" s="592"/>
      <c r="L50" s="642"/>
      <c r="M50" s="508"/>
      <c r="N50" s="642"/>
      <c r="O50" s="508"/>
      <c r="R50" s="2">
        <v>0.18</v>
      </c>
      <c r="S50" s="2">
        <f t="shared" si="3"/>
        <v>0.25</v>
      </c>
      <c r="AA50" s="652"/>
    </row>
    <row r="51" spans="1:27" ht="14.25" customHeight="1">
      <c r="A51" s="2" t="s">
        <v>190</v>
      </c>
      <c r="B51" s="2" t="s">
        <v>11543</v>
      </c>
      <c r="C51" s="2" t="s">
        <v>5801</v>
      </c>
      <c r="E51" s="2" t="str">
        <f>INDEX(Таблиця109[SETTLEMENT SIZE],MATCH(Таблиця3[[#This Row],[POPULATION]],Таблиця109[Population0],1),1)</f>
        <v>Small town</v>
      </c>
      <c r="F51" s="682">
        <f>IFERROR(INDEX(Таблиця109[GP LIMIT],MATCH(Таблиця3[[#This Row],[POPULATION]],Таблиця109[Population0],1),1)/INDEX(Таблиця109[Average Population],MATCH(Таблиця3[[#This Row],[POPULATION]],Таблиця109[Population0],1),1),0)*Таблиця3[[#This Row],[POPULATION]]</f>
        <v>509.61737331954498</v>
      </c>
      <c r="I51" s="592">
        <v>924</v>
      </c>
      <c r="J51" s="2" t="s">
        <v>12579</v>
      </c>
      <c r="K51" s="592">
        <v>40</v>
      </c>
      <c r="L51" s="2" t="s">
        <v>15357</v>
      </c>
      <c r="N51" s="2"/>
      <c r="O51" s="2" t="s">
        <v>15355</v>
      </c>
      <c r="P51" s="2" t="s">
        <v>5801</v>
      </c>
      <c r="Q51" s="2" t="s">
        <v>5801</v>
      </c>
      <c r="R51" s="2">
        <v>0.23</v>
      </c>
      <c r="S51" s="2">
        <f t="shared" si="3"/>
        <v>0.25</v>
      </c>
      <c r="T51" s="2">
        <v>0.9</v>
      </c>
      <c r="U51" s="2">
        <v>0.7</v>
      </c>
      <c r="V51" s="2">
        <v>2.2999999999999998</v>
      </c>
      <c r="W51" s="2" t="s">
        <v>15354</v>
      </c>
      <c r="X51" s="2" t="s">
        <v>15358</v>
      </c>
      <c r="Y51" s="2" t="s">
        <v>193</v>
      </c>
      <c r="AA51" s="652"/>
    </row>
    <row r="52" spans="1:27" ht="15" customHeight="1">
      <c r="A52" s="2" t="s">
        <v>197</v>
      </c>
      <c r="C52" s="763"/>
      <c r="E52" s="2" t="str">
        <f>INDEX(Таблиця109[SETTLEMENT SIZE],MATCH(Таблиця3[[#This Row],[POPULATION]],Таблиця109[Population0],1),1)</f>
        <v>Hamlet</v>
      </c>
      <c r="F52"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52" s="592">
        <v>100</v>
      </c>
      <c r="J52" s="642"/>
      <c r="K52" s="592"/>
      <c r="L52" s="642"/>
      <c r="M52" s="508"/>
      <c r="N52" s="642"/>
      <c r="O52" s="508"/>
      <c r="R52" s="2">
        <v>0.18</v>
      </c>
      <c r="S52" s="2">
        <f t="shared" si="3"/>
        <v>0.25</v>
      </c>
      <c r="AA52" s="652"/>
    </row>
    <row r="53" spans="1:27" ht="15" customHeight="1">
      <c r="A53" s="2" t="s">
        <v>16013</v>
      </c>
      <c r="B53" s="2" t="s">
        <v>11540</v>
      </c>
      <c r="C53" s="2" t="s">
        <v>16004</v>
      </c>
      <c r="E53" s="651" t="e">
        <f>INDEX(Таблиця109[SETTLEMENT SIZE],MATCH(Таблиця3[[#This Row],[POPULATION]],Таблиця109[Population0],1),1)</f>
        <v>#N/A</v>
      </c>
      <c r="F53" s="682" t="e">
        <f>IFERROR(INDEX(Таблиця109[GP LIMIT],MATCH(Таблиця3[[#This Row],[POPULATION]],Таблиця109[Population0],1),1)/INDEX(Таблиця109[Average Population],MATCH(Таблиця3[[#This Row],[POPULATION]],Таблиця109[Population0],1),1),0)*Таблиця3[[#This Row],[POPULATION]]</f>
        <v>#VALUE!</v>
      </c>
      <c r="I53" s="592" t="s">
        <v>2315</v>
      </c>
      <c r="J53" s="642"/>
      <c r="K53" s="592" t="s">
        <v>2315</v>
      </c>
      <c r="L53" s="642"/>
      <c r="M53" s="508"/>
      <c r="N53" s="642"/>
      <c r="O53" s="508"/>
      <c r="S53" s="651">
        <f t="shared" si="3"/>
        <v>0.25</v>
      </c>
      <c r="AA53" s="1071" t="s">
        <v>16027</v>
      </c>
    </row>
    <row r="54" spans="1:27" ht="15" customHeight="1">
      <c r="A54" s="2" t="s">
        <v>16001</v>
      </c>
      <c r="B54" s="2" t="s">
        <v>11540</v>
      </c>
      <c r="C54" s="2" t="s">
        <v>16004</v>
      </c>
      <c r="E54" s="651" t="str">
        <f>INDEX(Таблиця109[SETTLEMENT SIZE],MATCH(Таблиця3[[#This Row],[POPULATION]],Таблиця109[Population0],1),1)</f>
        <v>Large town</v>
      </c>
      <c r="F54" s="682">
        <f>IFERROR(INDEX(Таблиця109[GP LIMIT],MATCH(Таблиця3[[#This Row],[POPULATION]],Таблиця109[Population0],1),1)/INDEX(Таблиця109[Average Population],MATCH(Таблиця3[[#This Row],[POPULATION]],Таблиця109[Population0],1),1),0)*Таблиця3[[#This Row],[POPULATION]]</f>
        <v>1714.040851306956</v>
      </c>
      <c r="I54" s="592">
        <v>2000</v>
      </c>
      <c r="J54" s="642" t="s">
        <v>16006</v>
      </c>
      <c r="K54" s="1069">
        <v>500</v>
      </c>
      <c r="L54" s="642" t="s">
        <v>16008</v>
      </c>
      <c r="M54" s="508" t="s">
        <v>16007</v>
      </c>
      <c r="N54" s="642"/>
      <c r="O54" s="508" t="s">
        <v>756</v>
      </c>
      <c r="R54" s="2">
        <v>0.2</v>
      </c>
      <c r="S54" s="651">
        <f t="shared" si="3"/>
        <v>0.25</v>
      </c>
      <c r="T54" s="2">
        <v>3</v>
      </c>
      <c r="U54" s="2">
        <v>1.5</v>
      </c>
      <c r="V54" s="2">
        <v>3</v>
      </c>
      <c r="AA54" s="652" t="s">
        <v>16024</v>
      </c>
    </row>
    <row r="55" spans="1:27" ht="14.25" customHeight="1">
      <c r="A55" s="2" t="s">
        <v>208</v>
      </c>
      <c r="B55" s="2" t="s">
        <v>11540</v>
      </c>
      <c r="C55" s="763"/>
      <c r="E55" s="2" t="str">
        <f>INDEX(Таблиця109[SETTLEMENT SIZE],MATCH(Таблиця3[[#This Row],[POPULATION]],Таблиця109[Population0],1),1)</f>
        <v>Village</v>
      </c>
      <c r="F55" s="682">
        <f>IFERROR(INDEX(Таблиця109[GP LIMIT],MATCH(Таблиця3[[#This Row],[POPULATION]],Таблиця109[Population0],1),1)/INDEX(Таблиця109[Average Population],MATCH(Таблиця3[[#This Row],[POPULATION]],Таблиця109[Population0],1),1),0)*Таблиця3[[#This Row],[POPULATION]]</f>
        <v>217.98365122615803</v>
      </c>
      <c r="I55" s="592">
        <v>600</v>
      </c>
      <c r="J55" s="642"/>
      <c r="K55" s="592"/>
      <c r="L55" s="642"/>
      <c r="M55" s="508"/>
      <c r="N55" s="642"/>
      <c r="O55" s="508"/>
      <c r="R55" s="2">
        <v>0.18</v>
      </c>
      <c r="S55" s="2">
        <f t="shared" si="3"/>
        <v>0.25</v>
      </c>
      <c r="AA55" s="652"/>
    </row>
    <row r="56" spans="1:27" ht="15" customHeight="1">
      <c r="A56" s="2" t="s">
        <v>216</v>
      </c>
      <c r="C56" s="763"/>
      <c r="E56" s="2" t="str">
        <f>INDEX(Таблиця109[SETTLEMENT SIZE],MATCH(Таблиця3[[#This Row],[POPULATION]],Таблиця109[Population0],1),1)</f>
        <v>Village</v>
      </c>
      <c r="F56" s="682">
        <f>IFERROR(INDEX(Таблиця109[GP LIMIT],MATCH(Таблиця3[[#This Row],[POPULATION]],Таблиця109[Population0],1),1)/INDEX(Таблиця109[Average Population],MATCH(Таблиця3[[#This Row],[POPULATION]],Таблиця109[Population0],1),1),0)*Таблиця3[[#This Row],[POPULATION]]</f>
        <v>72.661217075386006</v>
      </c>
      <c r="I56" s="592">
        <v>200</v>
      </c>
      <c r="J56" s="642"/>
      <c r="K56" s="592"/>
      <c r="L56" s="642"/>
      <c r="M56" s="508"/>
      <c r="N56" s="642"/>
      <c r="O56" s="508"/>
      <c r="R56" s="2">
        <v>0.18</v>
      </c>
      <c r="S56" s="2">
        <f t="shared" si="3"/>
        <v>0.25</v>
      </c>
      <c r="AA56" s="652"/>
    </row>
    <row r="57" spans="1:27" ht="15" customHeight="1">
      <c r="A57" s="2" t="s">
        <v>221</v>
      </c>
      <c r="B57" s="2" t="s">
        <v>11543</v>
      </c>
      <c r="C57" s="2" t="s">
        <v>5801</v>
      </c>
      <c r="E57" s="2" t="str">
        <f>INDEX(Таблиця109[SETTLEMENT SIZE],MATCH(Таблиця3[[#This Row],[POPULATION]],Таблиця109[Population0],1),1)</f>
        <v>Small city</v>
      </c>
      <c r="F57" s="682">
        <f>IFERROR(INDEX(Таблиця109[GP LIMIT],MATCH(Таблиця3[[#This Row],[POPULATION]],Таблиця109[Population0],1),1)/INDEX(Таблиця109[Average Population],MATCH(Таблиця3[[#This Row],[POPULATION]],Таблиця109[Population0],1),1),0)*Таблиця3[[#This Row],[POPULATION]]</f>
        <v>15517.91071113464</v>
      </c>
      <c r="I57" s="592">
        <v>8794</v>
      </c>
      <c r="J57" s="2" t="s">
        <v>15356</v>
      </c>
      <c r="K57" s="592">
        <f>'Purple Dragons'!S5</f>
        <v>40</v>
      </c>
      <c r="L57" s="2" t="s">
        <v>15357</v>
      </c>
      <c r="N57" s="2" t="s">
        <v>11234</v>
      </c>
      <c r="P57" s="2" t="s">
        <v>236</v>
      </c>
      <c r="Q57" s="2" t="s">
        <v>5801</v>
      </c>
      <c r="R57" s="2">
        <v>0.18</v>
      </c>
      <c r="S57" s="2">
        <f t="shared" si="3"/>
        <v>0.25</v>
      </c>
      <c r="T57" s="2">
        <v>0.5</v>
      </c>
      <c r="U57" s="2">
        <v>0.7</v>
      </c>
      <c r="V57" s="2">
        <v>1.9</v>
      </c>
      <c r="W57" s="2" t="s">
        <v>15359</v>
      </c>
      <c r="X57" s="2" t="s">
        <v>15360</v>
      </c>
      <c r="Y57" s="2" t="s">
        <v>15361</v>
      </c>
      <c r="AA57" s="652"/>
    </row>
    <row r="58" spans="1:27" ht="15" customHeight="1">
      <c r="A58" s="2" t="s">
        <v>15323</v>
      </c>
      <c r="B58" s="2" t="s">
        <v>11543</v>
      </c>
      <c r="C58" s="2" t="s">
        <v>2315</v>
      </c>
      <c r="D58" s="2" t="s">
        <v>15352</v>
      </c>
      <c r="E58" s="2" t="s">
        <v>2315</v>
      </c>
      <c r="F58" s="682" t="s">
        <v>2315</v>
      </c>
      <c r="G58" s="2" t="s">
        <v>2315</v>
      </c>
      <c r="H58" s="2" t="s">
        <v>2315</v>
      </c>
      <c r="I58" s="592" t="s">
        <v>2315</v>
      </c>
      <c r="J58" s="2" t="s">
        <v>2315</v>
      </c>
      <c r="K58" s="592" t="s">
        <v>2315</v>
      </c>
      <c r="L58" s="2" t="s">
        <v>2315</v>
      </c>
      <c r="M58" s="2" t="s">
        <v>2315</v>
      </c>
      <c r="N58" s="2" t="s">
        <v>2315</v>
      </c>
      <c r="O58" s="2" t="s">
        <v>2315</v>
      </c>
      <c r="P58" s="2" t="s">
        <v>2315</v>
      </c>
      <c r="Q58" s="2" t="s">
        <v>2315</v>
      </c>
      <c r="R58" s="2" t="s">
        <v>2315</v>
      </c>
      <c r="S58" s="2" t="s">
        <v>2315</v>
      </c>
      <c r="T58" s="2" t="s">
        <v>2315</v>
      </c>
      <c r="U58" s="2" t="s">
        <v>2315</v>
      </c>
      <c r="V58" s="2" t="s">
        <v>2315</v>
      </c>
      <c r="W58" s="2" t="s">
        <v>2315</v>
      </c>
      <c r="X58" s="2" t="s">
        <v>2315</v>
      </c>
      <c r="Y58" s="2" t="s">
        <v>2315</v>
      </c>
      <c r="AA58" s="652"/>
    </row>
    <row r="59" spans="1:27" ht="15" customHeight="1">
      <c r="A59" s="2" t="s">
        <v>15349</v>
      </c>
      <c r="B59" s="2" t="s">
        <v>11543</v>
      </c>
      <c r="C59" s="2" t="s">
        <v>2315</v>
      </c>
      <c r="D59" s="2" t="s">
        <v>15352</v>
      </c>
      <c r="E59" s="2" t="s">
        <v>2315</v>
      </c>
      <c r="F59" s="682" t="s">
        <v>2315</v>
      </c>
      <c r="G59" s="2" t="s">
        <v>2315</v>
      </c>
      <c r="H59" s="2" t="s">
        <v>2315</v>
      </c>
      <c r="I59" s="592" t="s">
        <v>2315</v>
      </c>
      <c r="J59" s="2" t="s">
        <v>2315</v>
      </c>
      <c r="K59" s="592" t="s">
        <v>2315</v>
      </c>
      <c r="L59" s="2" t="s">
        <v>2315</v>
      </c>
      <c r="M59" s="2" t="s">
        <v>2315</v>
      </c>
      <c r="N59" s="2" t="s">
        <v>2315</v>
      </c>
      <c r="O59" s="2" t="s">
        <v>2315</v>
      </c>
      <c r="P59" s="2" t="s">
        <v>2315</v>
      </c>
      <c r="Q59" s="2" t="s">
        <v>2315</v>
      </c>
      <c r="R59" s="2" t="s">
        <v>2315</v>
      </c>
      <c r="S59" s="2" t="s">
        <v>2315</v>
      </c>
      <c r="T59" s="2" t="s">
        <v>2315</v>
      </c>
      <c r="U59" s="2" t="s">
        <v>2315</v>
      </c>
      <c r="V59" s="2" t="s">
        <v>2315</v>
      </c>
      <c r="W59" s="2" t="s">
        <v>2315</v>
      </c>
      <c r="X59" s="2" t="s">
        <v>2315</v>
      </c>
      <c r="Y59" s="2" t="s">
        <v>2315</v>
      </c>
      <c r="AA59" s="652"/>
    </row>
    <row r="60" spans="1:27" ht="14.25" customHeight="1">
      <c r="A60" s="2" t="s">
        <v>8544</v>
      </c>
      <c r="C60" s="763"/>
      <c r="D60" s="2" t="s">
        <v>8540</v>
      </c>
      <c r="E60" s="2" t="str">
        <f>INDEX(Таблиця109[SETTLEMENT SIZE],MATCH(Таблиця3[[#This Row],[POPULATION]],Таблиця109[Population0],1),1)</f>
        <v>Village</v>
      </c>
      <c r="F60" s="682">
        <f>IFERROR(INDEX(Таблиця109[GP LIMIT],MATCH(Таблиця3[[#This Row],[POPULATION]],Таблиця109[Population0],1),1)/INDEX(Таблиця109[Average Population],MATCH(Таблиця3[[#This Row],[POPULATION]],Таблиця109[Population0],1),1),0)*Таблиця3[[#This Row],[POPULATION]]</f>
        <v>217.98365122615803</v>
      </c>
      <c r="I60" s="592">
        <v>600</v>
      </c>
      <c r="J60" s="642" t="s">
        <v>11851</v>
      </c>
      <c r="K60" s="592"/>
      <c r="L60" s="642"/>
      <c r="M60" s="508"/>
      <c r="N60" s="642" t="s">
        <v>11852</v>
      </c>
      <c r="O60" s="508"/>
      <c r="R60" s="2">
        <v>0.18</v>
      </c>
      <c r="S60" s="2">
        <f t="shared" ref="S60:S90" si="4">0.25</f>
        <v>0.25</v>
      </c>
      <c r="AA60" s="652"/>
    </row>
    <row r="61" spans="1:27" ht="15">
      <c r="A61" s="2" t="s">
        <v>234</v>
      </c>
      <c r="C61" s="763"/>
      <c r="E61" s="2" t="str">
        <f>INDEX(Таблиця109[SETTLEMENT SIZE],MATCH(Таблиця3[[#This Row],[POPULATION]],Таблиця109[Population0],1),1)</f>
        <v>Village</v>
      </c>
      <c r="F61" s="682">
        <f>IFERROR(INDEX(Таблиця109[GP LIMIT],MATCH(Таблиця3[[#This Row],[POPULATION]],Таблиця109[Population0],1),1)/INDEX(Таблиця109[Average Population],MATCH(Таблиця3[[#This Row],[POPULATION]],Таблиця109[Population0],1),1),0)*Таблиця3[[#This Row],[POPULATION]]</f>
        <v>254.31425976385103</v>
      </c>
      <c r="I61" s="592">
        <v>700</v>
      </c>
      <c r="J61" s="642"/>
      <c r="K61" s="592"/>
      <c r="L61" s="642"/>
      <c r="M61" s="508"/>
      <c r="N61" s="642"/>
      <c r="O61" s="508"/>
      <c r="R61" s="2">
        <v>0.18</v>
      </c>
      <c r="S61" s="2">
        <f t="shared" si="4"/>
        <v>0.25</v>
      </c>
      <c r="AA61" s="652"/>
    </row>
    <row r="62" spans="1:27" ht="15" customHeight="1">
      <c r="A62" s="2" t="s">
        <v>243</v>
      </c>
      <c r="C62" s="763"/>
      <c r="E62" s="2" t="str">
        <f>INDEX(Таблиця109[SETTLEMENT SIZE],MATCH(Таблиця3[[#This Row],[POPULATION]],Таблиця109[Population0],1),1)</f>
        <v>Village</v>
      </c>
      <c r="F62" s="682">
        <f>IFERROR(INDEX(Таблиця109[GP LIMIT],MATCH(Таблиця3[[#This Row],[POPULATION]],Таблиця109[Population0],1),1)/INDEX(Таблиця109[Average Population],MATCH(Таблиця3[[#This Row],[POPULATION]],Таблиця109[Population0],1),1),0)*Таблиця3[[#This Row],[POPULATION]]</f>
        <v>145.32243415077201</v>
      </c>
      <c r="I62" s="592">
        <v>400</v>
      </c>
      <c r="J62" s="642"/>
      <c r="K62" s="592"/>
      <c r="L62" s="642"/>
      <c r="M62" s="508"/>
      <c r="N62" s="642"/>
      <c r="O62" s="508"/>
      <c r="R62" s="2">
        <v>0.18</v>
      </c>
      <c r="S62" s="2">
        <f t="shared" si="4"/>
        <v>0.25</v>
      </c>
      <c r="AA62" s="652"/>
    </row>
    <row r="63" spans="1:27" ht="15" customHeight="1">
      <c r="A63" s="2" t="s">
        <v>252</v>
      </c>
      <c r="C63" s="763"/>
      <c r="E63" s="2" t="str">
        <f>INDEX(Таблиця109[SETTLEMENT SIZE],MATCH(Таблиця3[[#This Row],[POPULATION]],Таблиця109[Population0],1),1)</f>
        <v>Small town</v>
      </c>
      <c r="F63" s="682">
        <f>IFERROR(INDEX(Таблиця109[GP LIMIT],MATCH(Таблиця3[[#This Row],[POPULATION]],Таблиця109[Population0],1),1)/INDEX(Таблиця109[Average Population],MATCH(Таблиця3[[#This Row],[POPULATION]],Таблиця109[Population0],1),1),0)*Таблиця3[[#This Row],[POPULATION]]</f>
        <v>772.14753533264388</v>
      </c>
      <c r="I63" s="592">
        <v>1400</v>
      </c>
      <c r="J63" s="642"/>
      <c r="K63" s="592"/>
      <c r="L63" s="642"/>
      <c r="M63" s="508"/>
      <c r="N63" s="642"/>
      <c r="O63" s="508"/>
      <c r="R63" s="2">
        <v>0.18</v>
      </c>
      <c r="S63" s="2">
        <f t="shared" si="4"/>
        <v>0.25</v>
      </c>
      <c r="AA63" s="652"/>
    </row>
    <row r="64" spans="1:27">
      <c r="A64" s="2" t="s">
        <v>266</v>
      </c>
      <c r="B64" s="2" t="s">
        <v>11543</v>
      </c>
      <c r="C64" s="2" t="s">
        <v>5801</v>
      </c>
      <c r="D64" s="2" t="s">
        <v>267</v>
      </c>
      <c r="E64" s="2" t="str">
        <f>INDEX(Таблиця109[SETTLEMENT SIZE],MATCH(Таблиця3[[#This Row],[POPULATION]],Таблиця109[Population0],1),1)</f>
        <v>Hamlet</v>
      </c>
      <c r="F64"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64" s="592">
        <v>100</v>
      </c>
      <c r="J64" s="2" t="s">
        <v>5801</v>
      </c>
      <c r="K64" s="592"/>
      <c r="L64" s="2"/>
      <c r="N64" s="2"/>
      <c r="P64" s="2" t="s">
        <v>5801</v>
      </c>
      <c r="Q64" s="2" t="s">
        <v>5801</v>
      </c>
      <c r="R64" s="2">
        <v>0.18</v>
      </c>
      <c r="S64" s="2">
        <f t="shared" si="4"/>
        <v>0.25</v>
      </c>
      <c r="T64" s="2">
        <v>3.2</v>
      </c>
      <c r="U64" s="2">
        <v>2.5</v>
      </c>
      <c r="V64" s="2" t="s">
        <v>270</v>
      </c>
      <c r="W64" s="2" t="s">
        <v>268</v>
      </c>
      <c r="X64" s="2" t="s">
        <v>12260</v>
      </c>
      <c r="Y64" s="2" t="s">
        <v>5801</v>
      </c>
      <c r="AA64" s="652"/>
    </row>
    <row r="65" spans="1:27" ht="15" customHeight="1">
      <c r="A65" s="2" t="s">
        <v>15344</v>
      </c>
      <c r="B65" s="2" t="s">
        <v>11543</v>
      </c>
      <c r="C65" s="2" t="s">
        <v>5801</v>
      </c>
      <c r="E65" s="2" t="str">
        <f>INDEX(Таблиця109[SETTLEMENT SIZE],MATCH(Таблиця3[[#This Row],[POPULATION]],Таблиця109[Population0],1),1)</f>
        <v>Thorpe</v>
      </c>
      <c r="F65" s="682">
        <f>IFERROR(INDEX(Таблиця109[GP LIMIT],MATCH(Таблиця3[[#This Row],[POPULATION]],Таблиця109[Population0],1),1)/INDEX(Таблиця109[Average Population],MATCH(Таблиця3[[#This Row],[POPULATION]],Таблиця109[Population0],1),1),0)*Таблиця3[[#This Row],[POPULATION]]</f>
        <v>0</v>
      </c>
      <c r="I65" s="592">
        <v>0</v>
      </c>
      <c r="J65" s="2" t="s">
        <v>5801</v>
      </c>
      <c r="K65" s="592"/>
      <c r="L65" s="2"/>
      <c r="N65" s="2"/>
      <c r="P65" s="2" t="s">
        <v>5801</v>
      </c>
      <c r="Q65" s="2" t="s">
        <v>5801</v>
      </c>
      <c r="R65" s="2">
        <v>0.18</v>
      </c>
      <c r="S65" s="2">
        <f t="shared" si="4"/>
        <v>0.25</v>
      </c>
      <c r="W65" s="2" t="s">
        <v>5801</v>
      </c>
      <c r="X65" s="2" t="s">
        <v>5801</v>
      </c>
      <c r="Y65" s="2" t="s">
        <v>5801</v>
      </c>
      <c r="AA65" s="652"/>
    </row>
    <row r="66" spans="1:27" ht="15" customHeight="1">
      <c r="A66" s="2" t="s">
        <v>12109</v>
      </c>
      <c r="E66" s="651" t="str">
        <f>INDEX(Таблиця109[SETTLEMENT SIZE],MATCH(Таблиця3[[#This Row],[POPULATION]],Таблиця109[Population0],1),1)</f>
        <v>Thorpe</v>
      </c>
      <c r="F66" s="682">
        <f>IFERROR(INDEX(Таблиця109[GP LIMIT],MATCH(Таблиця3[[#This Row],[POPULATION]],Таблиця109[Population0],1),1)/INDEX(Таблиця109[Average Population],MATCH(Таблиця3[[#This Row],[POPULATION]],Таблиця109[Population0],1),1),0)*Таблиця3[[#This Row],[POPULATION]]</f>
        <v>0</v>
      </c>
      <c r="I66" s="592"/>
      <c r="J66" s="642"/>
      <c r="K66" s="592"/>
      <c r="L66" s="642"/>
      <c r="M66" s="508"/>
      <c r="N66" s="642"/>
      <c r="O66" s="508"/>
      <c r="R66" s="2">
        <v>0.18</v>
      </c>
      <c r="S66" s="651">
        <f t="shared" si="4"/>
        <v>0.25</v>
      </c>
      <c r="AA66" s="652"/>
    </row>
    <row r="67" spans="1:27" ht="15" customHeight="1">
      <c r="A67" s="2" t="s">
        <v>8692</v>
      </c>
      <c r="C67" s="763"/>
      <c r="E67" s="2" t="str">
        <f>INDEX(Таблиця109[SETTLEMENT SIZE],MATCH(Таблиця3[[#This Row],[POPULATION]],Таблиця109[Population0],1),1)</f>
        <v>Hamlet</v>
      </c>
      <c r="F67" s="682">
        <f>IFERROR(INDEX(Таблиця109[GP LIMIT],MATCH(Таблиця3[[#This Row],[POPULATION]],Таблиця109[Population0],1),1)/INDEX(Таблиця109[Average Population],MATCH(Таблиця3[[#This Row],[POPULATION]],Таблиця109[Population0],1),1),0)*Таблиця3[[#This Row],[POPULATION]]</f>
        <v>56.939501779359432</v>
      </c>
      <c r="I67" s="592">
        <v>80</v>
      </c>
      <c r="J67" s="642"/>
      <c r="K67" s="592"/>
      <c r="L67" s="642"/>
      <c r="M67" s="508"/>
      <c r="N67" s="642"/>
      <c r="O67" s="508"/>
      <c r="R67" s="2">
        <v>0.18</v>
      </c>
      <c r="S67" s="2">
        <f t="shared" si="4"/>
        <v>0.25</v>
      </c>
      <c r="AA67" s="652"/>
    </row>
    <row r="68" spans="1:27" ht="15">
      <c r="A68" s="2" t="s">
        <v>272</v>
      </c>
      <c r="C68" s="763"/>
      <c r="E68" s="2" t="str">
        <f>INDEX(Таблиця109[SETTLEMENT SIZE],MATCH(Таблиця3[[#This Row],[POPULATION]],Таблиця109[Population0],1),1)</f>
        <v>Metropolis</v>
      </c>
      <c r="F68" s="682">
        <f>IFERROR(INDEX(Таблиця109[GP LIMIT],MATCH(Таблиця3[[#This Row],[POPULATION]],Таблиця109[Population0],1),1)/INDEX(Таблиця109[Average Population],MATCH(Таблиця3[[#This Row],[POPULATION]],Таблиця109[Population0],1),1),0)*Таблиця3[[#This Row],[POPULATION]]</f>
        <v>76000</v>
      </c>
      <c r="I68" s="592">
        <v>38000</v>
      </c>
      <c r="J68" s="642" t="s">
        <v>11850</v>
      </c>
      <c r="K68" s="592"/>
      <c r="L68" s="642"/>
      <c r="M68" s="508"/>
      <c r="N68" s="642" t="s">
        <v>11849</v>
      </c>
      <c r="O68" s="508"/>
      <c r="R68" s="2">
        <v>0.18</v>
      </c>
      <c r="S68" s="2">
        <f t="shared" si="4"/>
        <v>0.25</v>
      </c>
      <c r="T68" s="2">
        <v>2.8</v>
      </c>
      <c r="U68" s="2">
        <v>0.9</v>
      </c>
      <c r="V68" s="2">
        <v>3.9</v>
      </c>
      <c r="W68" s="761" t="s">
        <v>289</v>
      </c>
      <c r="X68" s="761" t="s">
        <v>12294</v>
      </c>
      <c r="Y68" s="941" t="s">
        <v>11</v>
      </c>
      <c r="Z68" s="941"/>
      <c r="AA68" s="652"/>
    </row>
    <row r="69" spans="1:27" ht="15" customHeight="1">
      <c r="A69" s="2" t="s">
        <v>16018</v>
      </c>
      <c r="B69" s="2" t="s">
        <v>11540</v>
      </c>
      <c r="D69" s="2" t="s">
        <v>15352</v>
      </c>
      <c r="E69" s="651" t="e">
        <f>INDEX(Таблиця109[SETTLEMENT SIZE],MATCH(Таблиця3[[#This Row],[POPULATION]],Таблиця109[Population0],1),1)</f>
        <v>#N/A</v>
      </c>
      <c r="F69" s="682" t="e">
        <f>IFERROR(INDEX(Таблиця109[GP LIMIT],MATCH(Таблиця3[[#This Row],[POPULATION]],Таблиця109[Population0],1),1)/INDEX(Таблиця109[Average Population],MATCH(Таблиця3[[#This Row],[POPULATION]],Таблиця109[Population0],1),1),0)*Таблиця3[[#This Row],[POPULATION]]</f>
        <v>#VALUE!</v>
      </c>
      <c r="I69" s="592" t="s">
        <v>2315</v>
      </c>
      <c r="J69" s="642"/>
      <c r="K69" s="592" t="s">
        <v>2315</v>
      </c>
      <c r="L69" s="642"/>
      <c r="M69" s="508"/>
      <c r="N69" s="642"/>
      <c r="O69" s="508"/>
      <c r="S69" s="651">
        <f t="shared" si="4"/>
        <v>0.25</v>
      </c>
      <c r="AA69" s="1071" t="s">
        <v>16025</v>
      </c>
    </row>
    <row r="70" spans="1:27" ht="14.25" customHeight="1">
      <c r="A70" s="2" t="s">
        <v>16009</v>
      </c>
      <c r="B70" s="2" t="s">
        <v>11540</v>
      </c>
      <c r="C70" s="2" t="s">
        <v>16004</v>
      </c>
      <c r="E70" s="651" t="e">
        <f>INDEX(Таблиця109[SETTLEMENT SIZE],MATCH(Таблиця3[[#This Row],[POPULATION]],Таблиця109[Population0],1),1)</f>
        <v>#N/A</v>
      </c>
      <c r="F70" s="682" t="e">
        <f>IFERROR(INDEX(Таблиця109[GP LIMIT],MATCH(Таблиця3[[#This Row],[POPULATION]],Таблиця109[Population0],1),1)/INDEX(Таблиця109[Average Population],MATCH(Таблиця3[[#This Row],[POPULATION]],Таблиця109[Population0],1),1),0)*Таблиця3[[#This Row],[POPULATION]]</f>
        <v>#VALUE!</v>
      </c>
      <c r="I70" s="592" t="s">
        <v>2315</v>
      </c>
      <c r="J70" s="642"/>
      <c r="K70" s="592" t="s">
        <v>2315</v>
      </c>
      <c r="L70" s="642"/>
      <c r="M70" s="508"/>
      <c r="N70" s="642"/>
      <c r="O70" s="508"/>
      <c r="S70" s="651">
        <f t="shared" si="4"/>
        <v>0.25</v>
      </c>
      <c r="AA70" s="652"/>
    </row>
    <row r="71" spans="1:27" ht="14.25" customHeight="1">
      <c r="A71" s="2" t="s">
        <v>287</v>
      </c>
      <c r="B71" s="2" t="s">
        <v>11543</v>
      </c>
      <c r="C71" s="2" t="s">
        <v>5801</v>
      </c>
      <c r="E71" s="2" t="str">
        <f>INDEX(Таблиця109[SETTLEMENT SIZE],MATCH(Таблиця3[[#This Row],[POPULATION]],Таблиця109[Population0],1),1)</f>
        <v>Hamlet</v>
      </c>
      <c r="F71" s="682">
        <f>IFERROR(INDEX(Таблиця109[GP LIMIT],MATCH(Таблиця3[[#This Row],[POPULATION]],Таблиця109[Population0],1),1)/INDEX(Таблиця109[Average Population],MATCH(Таблиця3[[#This Row],[POPULATION]],Таблиця109[Population0],1),1),0)*Таблиця3[[#This Row],[POPULATION]]</f>
        <v>72.59786476868328</v>
      </c>
      <c r="I71" s="592">
        <v>102</v>
      </c>
      <c r="J71" s="2" t="s">
        <v>5801</v>
      </c>
      <c r="K71" s="592"/>
      <c r="L71" s="2"/>
      <c r="N71" s="2"/>
      <c r="P71" s="2" t="s">
        <v>5801</v>
      </c>
      <c r="Q71" s="2" t="s">
        <v>5801</v>
      </c>
      <c r="R71" s="2">
        <v>0.18</v>
      </c>
      <c r="S71" s="2">
        <f t="shared" si="4"/>
        <v>0.25</v>
      </c>
      <c r="T71" s="2">
        <v>2.8</v>
      </c>
      <c r="U71" s="2">
        <v>0.9</v>
      </c>
      <c r="V71" s="2">
        <v>3.9</v>
      </c>
      <c r="W71" s="2" t="s">
        <v>289</v>
      </c>
      <c r="X71" s="2" t="s">
        <v>12294</v>
      </c>
      <c r="Y71" s="2" t="s">
        <v>11</v>
      </c>
      <c r="AA71" s="652"/>
    </row>
    <row r="72" spans="1:27" ht="14.25" customHeight="1">
      <c r="A72" s="2" t="s">
        <v>301</v>
      </c>
      <c r="C72" s="763"/>
      <c r="E72" s="2" t="str">
        <f>INDEX(Таблиця109[SETTLEMENT SIZE],MATCH(Таблиця3[[#This Row],[POPULATION]],Таблиця109[Population0],1),1)</f>
        <v>Village</v>
      </c>
      <c r="F72" s="682">
        <f>IFERROR(INDEX(Таблиця109[GP LIMIT],MATCH(Таблиця3[[#This Row],[POPULATION]],Таблиця109[Population0],1),1)/INDEX(Таблиця109[Average Population],MATCH(Таблиця3[[#This Row],[POPULATION]],Таблиця109[Population0],1),1),0)*Таблиця3[[#This Row],[POPULATION]]</f>
        <v>108.99182561307902</v>
      </c>
      <c r="I72" s="592">
        <v>300</v>
      </c>
      <c r="J72" s="642"/>
      <c r="K72" s="592"/>
      <c r="L72" s="642"/>
      <c r="M72" s="508"/>
      <c r="N72" s="642"/>
      <c r="O72" s="508"/>
      <c r="R72" s="2">
        <v>0.18</v>
      </c>
      <c r="S72" s="2">
        <f t="shared" si="4"/>
        <v>0.25</v>
      </c>
      <c r="AA72" s="652"/>
    </row>
    <row r="73" spans="1:27" ht="15.75" customHeight="1">
      <c r="A73" s="2" t="s">
        <v>293</v>
      </c>
      <c r="C73" s="763"/>
      <c r="E73" s="2" t="str">
        <f>INDEX(Таблиця109[SETTLEMENT SIZE],MATCH(Таблиця3[[#This Row],[POPULATION]],Таблиця109[Population0],1),1)</f>
        <v>Small town</v>
      </c>
      <c r="F73" s="682">
        <f>IFERROR(INDEX(Таблиця109[GP LIMIT],MATCH(Таблиця3[[#This Row],[POPULATION]],Таблиця109[Population0],1),1)/INDEX(Таблиця109[Average Population],MATCH(Таблиця3[[#This Row],[POPULATION]],Таблиця109[Population0],1),1),0)*Таблиця3[[#This Row],[POPULATION]]</f>
        <v>661.84074457083761</v>
      </c>
      <c r="I73" s="592">
        <v>1200</v>
      </c>
      <c r="J73" s="642"/>
      <c r="K73" s="592"/>
      <c r="L73" s="642"/>
      <c r="M73" s="508"/>
      <c r="N73" s="642"/>
      <c r="O73" s="508"/>
      <c r="R73" s="2">
        <v>0.18</v>
      </c>
      <c r="S73" s="2">
        <f t="shared" si="4"/>
        <v>0.25</v>
      </c>
      <c r="AA73" s="652"/>
    </row>
    <row r="74" spans="1:27" ht="14.25" customHeight="1">
      <c r="A74" s="2" t="s">
        <v>8670</v>
      </c>
      <c r="C74" s="763"/>
      <c r="D74" s="2" t="s">
        <v>11492</v>
      </c>
      <c r="E74" s="2" t="str">
        <f>INDEX(Таблиця109[SETTLEMENT SIZE],MATCH(Таблиця3[[#This Row],[POPULATION]],Таблиця109[Population0],1),1)</f>
        <v>Hamlet</v>
      </c>
      <c r="F74"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74" s="592">
        <v>100</v>
      </c>
      <c r="J74" s="642" t="s">
        <v>11365</v>
      </c>
      <c r="K74" s="592">
        <f>'Purple Dragons'!S4</f>
        <v>12</v>
      </c>
      <c r="L74" s="642"/>
      <c r="M74" s="508"/>
      <c r="N74" s="642" t="s">
        <v>11491</v>
      </c>
      <c r="O74" s="508"/>
      <c r="R74" s="2">
        <v>0.18</v>
      </c>
      <c r="S74" s="2">
        <f t="shared" si="4"/>
        <v>0.25</v>
      </c>
      <c r="AA74" s="652"/>
    </row>
    <row r="75" spans="1:27" ht="14.25" customHeight="1">
      <c r="A75" s="2" t="s">
        <v>303</v>
      </c>
      <c r="B75" s="2" t="s">
        <v>11543</v>
      </c>
      <c r="C75" s="2" t="s">
        <v>5801</v>
      </c>
      <c r="D75" s="2" t="s">
        <v>304</v>
      </c>
      <c r="E75" s="2" t="str">
        <f>INDEX(Таблиця109[SETTLEMENT SIZE],MATCH(Таблиця3[[#This Row],[POPULATION]],Таблиця109[Population0],1),1)</f>
        <v>Village</v>
      </c>
      <c r="F75" s="682">
        <f>IFERROR(INDEX(Таблиця109[GP LIMIT],MATCH(Таблиця3[[#This Row],[POPULATION]],Таблиця109[Population0],1),1)/INDEX(Таблиця109[Average Population],MATCH(Таблиця3[[#This Row],[POPULATION]],Таблиця109[Population0],1),1),0)*Таблиця3[[#This Row],[POPULATION]]</f>
        <v>272.84287011807447</v>
      </c>
      <c r="I75" s="592">
        <v>751</v>
      </c>
      <c r="J75" s="2" t="s">
        <v>5801</v>
      </c>
      <c r="K75" s="592"/>
      <c r="L75" s="2"/>
      <c r="M75" s="2" t="s">
        <v>15328</v>
      </c>
      <c r="N75" s="2"/>
      <c r="P75" s="2" t="s">
        <v>5801</v>
      </c>
      <c r="Q75" s="2" t="s">
        <v>5801</v>
      </c>
      <c r="R75" s="2">
        <v>0.18</v>
      </c>
      <c r="S75" s="2">
        <f t="shared" si="4"/>
        <v>0.25</v>
      </c>
      <c r="T75" s="2">
        <v>1.1000000000000001</v>
      </c>
      <c r="U75" s="2">
        <v>0.9</v>
      </c>
      <c r="V75" s="2">
        <v>3.6</v>
      </c>
      <c r="W75" s="2" t="s">
        <v>15327</v>
      </c>
      <c r="X75" s="2" t="s">
        <v>15326</v>
      </c>
      <c r="Y75" s="2" t="s">
        <v>393</v>
      </c>
      <c r="AA75" s="652"/>
    </row>
    <row r="76" spans="1:27" ht="15">
      <c r="A76" s="2" t="s">
        <v>16014</v>
      </c>
      <c r="B76" s="2" t="s">
        <v>11540</v>
      </c>
      <c r="C76" s="2" t="s">
        <v>16004</v>
      </c>
      <c r="E76" s="651" t="e">
        <f>INDEX(Таблиця109[SETTLEMENT SIZE],MATCH(Таблиця3[[#This Row],[POPULATION]],Таблиця109[Population0],1),1)</f>
        <v>#N/A</v>
      </c>
      <c r="F76" s="682" t="e">
        <f>IFERROR(INDEX(Таблиця109[GP LIMIT],MATCH(Таблиця3[[#This Row],[POPULATION]],Таблиця109[Population0],1),1)/INDEX(Таблиця109[Average Population],MATCH(Таблиця3[[#This Row],[POPULATION]],Таблиця109[Population0],1),1),0)*Таблиця3[[#This Row],[POPULATION]]</f>
        <v>#VALUE!</v>
      </c>
      <c r="I76" s="592" t="s">
        <v>2315</v>
      </c>
      <c r="J76" s="642"/>
      <c r="K76" s="592" t="s">
        <v>2315</v>
      </c>
      <c r="L76" s="642"/>
      <c r="M76" s="508"/>
      <c r="N76" s="642"/>
      <c r="O76" s="508"/>
      <c r="S76" s="651">
        <f t="shared" si="4"/>
        <v>0.25</v>
      </c>
      <c r="AA76" s="1071" t="s">
        <v>16025</v>
      </c>
    </row>
    <row r="77" spans="1:27" ht="14.25" customHeight="1">
      <c r="A77" s="2" t="s">
        <v>313</v>
      </c>
      <c r="C77" s="763"/>
      <c r="E77" s="2" t="str">
        <f>INDEX(Таблиця109[SETTLEMENT SIZE],MATCH(Таблиця3[[#This Row],[POPULATION]],Таблиця109[Population0],1),1)</f>
        <v>Village</v>
      </c>
      <c r="F77" s="682">
        <f>IFERROR(INDEX(Таблиця109[GP LIMIT],MATCH(Таблиця3[[#This Row],[POPULATION]],Таблиця109[Population0],1),1)/INDEX(Таблиця109[Average Population],MATCH(Таблиця3[[#This Row],[POPULATION]],Таблиця109[Population0],1),1),0)*Таблиця3[[#This Row],[POPULATION]]</f>
        <v>217.98365122615803</v>
      </c>
      <c r="I77" s="592">
        <v>600</v>
      </c>
      <c r="J77" s="642"/>
      <c r="K77" s="592"/>
      <c r="L77" s="642"/>
      <c r="M77" s="508"/>
      <c r="N77" s="642"/>
      <c r="O77" s="508"/>
      <c r="P77" s="2" t="s">
        <v>12290</v>
      </c>
      <c r="R77" s="2">
        <v>0.18</v>
      </c>
      <c r="S77" s="2">
        <f t="shared" si="4"/>
        <v>0.25</v>
      </c>
      <c r="AA77" s="652"/>
    </row>
    <row r="78" spans="1:27" ht="14.25" customHeight="1">
      <c r="A78" s="2" t="s">
        <v>12286</v>
      </c>
      <c r="C78" s="1070" t="s">
        <v>12287</v>
      </c>
      <c r="E78" s="2" t="str">
        <f>INDEX(Таблиця109[SETTLEMENT SIZE],MATCH(Таблиця3[[#This Row],[POPULATION]],Таблиця109[Population0],1),1)</f>
        <v>Village</v>
      </c>
      <c r="F78" s="682">
        <f>IFERROR(INDEX(Таблиця109[GP LIMIT],MATCH(Таблиця3[[#This Row],[POPULATION]],Таблиця109[Population0],1),1)/INDEX(Таблиця109[Average Population],MATCH(Таблиця3[[#This Row],[POPULATION]],Таблиця109[Population0],1),1),0)*Таблиця3[[#This Row],[POPULATION]]</f>
        <v>145.32243415077201</v>
      </c>
      <c r="I78" s="592">
        <v>400</v>
      </c>
      <c r="J78" s="642"/>
      <c r="K78" s="592">
        <f>K75</f>
        <v>0</v>
      </c>
      <c r="L78" s="642" t="s">
        <v>12289</v>
      </c>
      <c r="M78" s="508"/>
      <c r="N78" s="642"/>
      <c r="O78" s="508"/>
      <c r="P78" s="1070" t="s">
        <v>12288</v>
      </c>
      <c r="S78" s="2">
        <f t="shared" si="4"/>
        <v>0.25</v>
      </c>
      <c r="AA78" s="652"/>
    </row>
    <row r="79" spans="1:27" ht="14.25" customHeight="1">
      <c r="A79" s="2" t="s">
        <v>16019</v>
      </c>
      <c r="B79" s="2" t="s">
        <v>11540</v>
      </c>
      <c r="D79" s="2" t="s">
        <v>15352</v>
      </c>
      <c r="E79" s="651" t="e">
        <f>INDEX(Таблиця109[SETTLEMENT SIZE],MATCH(Таблиця3[[#This Row],[POPULATION]],Таблиця109[Population0],1),1)</f>
        <v>#N/A</v>
      </c>
      <c r="F79" s="682" t="e">
        <f>IFERROR(INDEX(Таблиця109[GP LIMIT],MATCH(Таблиця3[[#This Row],[POPULATION]],Таблиця109[Population0],1),1)/INDEX(Таблиця109[Average Population],MATCH(Таблиця3[[#This Row],[POPULATION]],Таблиця109[Population0],1),1),0)*Таблиця3[[#This Row],[POPULATION]]</f>
        <v>#VALUE!</v>
      </c>
      <c r="I79" s="592" t="s">
        <v>2315</v>
      </c>
      <c r="J79" s="642"/>
      <c r="K79" s="592" t="s">
        <v>2315</v>
      </c>
      <c r="L79" s="642"/>
      <c r="M79" s="508"/>
      <c r="N79" s="642"/>
      <c r="O79" s="508"/>
      <c r="S79" s="651">
        <f t="shared" si="4"/>
        <v>0.25</v>
      </c>
      <c r="AA79" s="1071" t="s">
        <v>16028</v>
      </c>
    </row>
    <row r="80" spans="1:27" ht="14.25" customHeight="1">
      <c r="A80" s="2" t="s">
        <v>11848</v>
      </c>
      <c r="E80" s="2" t="str">
        <f>INDEX(Таблиця109[SETTLEMENT SIZE],MATCH(Таблиця3[[#This Row],[POPULATION]],Таблиця109[Population0],1),1)</f>
        <v>Hamlet</v>
      </c>
      <c r="F80"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80" s="592">
        <v>100</v>
      </c>
      <c r="J80" s="642" t="s">
        <v>11872</v>
      </c>
      <c r="K80" s="592">
        <v>129</v>
      </c>
      <c r="L80" s="642"/>
      <c r="M80" s="508"/>
      <c r="N80" s="642"/>
      <c r="O80" s="508"/>
      <c r="R80" s="2">
        <v>0.18</v>
      </c>
      <c r="S80" s="651">
        <f t="shared" si="4"/>
        <v>0.25</v>
      </c>
      <c r="AA80" s="652"/>
    </row>
    <row r="81" spans="1:27" ht="14.25" customHeight="1">
      <c r="A81" s="2" t="s">
        <v>11493</v>
      </c>
      <c r="C81" s="763"/>
      <c r="D81" s="2" t="s">
        <v>8540</v>
      </c>
      <c r="E81" s="2" t="str">
        <f>INDEX(Таблиця109[SETTLEMENT SIZE],MATCH(Таблиця3[[#This Row],[POPULATION]],Таблиця109[Population0],1),1)</f>
        <v>Village</v>
      </c>
      <c r="F81" s="682">
        <f>IFERROR(INDEX(Таблиця109[GP LIMIT],MATCH(Таблиця3[[#This Row],[POPULATION]],Таблиця109[Population0],1),1)/INDEX(Таблиця109[Average Population],MATCH(Таблиця3[[#This Row],[POPULATION]],Таблиця109[Population0],1),1),0)*Таблиця3[[#This Row],[POPULATION]]</f>
        <v>145.32243415077201</v>
      </c>
      <c r="I81" s="592">
        <v>400</v>
      </c>
      <c r="J81" s="642"/>
      <c r="K81" s="592"/>
      <c r="L81" s="642"/>
      <c r="M81" s="508"/>
      <c r="N81" s="642"/>
      <c r="O81" s="508"/>
      <c r="R81" s="2">
        <v>0.18</v>
      </c>
      <c r="S81" s="2">
        <f t="shared" si="4"/>
        <v>0.25</v>
      </c>
      <c r="AA81" s="652"/>
    </row>
    <row r="82" spans="1:27" ht="14.25" customHeight="1">
      <c r="A82" s="2" t="s">
        <v>320</v>
      </c>
      <c r="C82" s="763"/>
      <c r="E82" s="2" t="str">
        <f>INDEX(Таблиця109[SETTLEMENT SIZE],MATCH(Таблиця3[[#This Row],[POPULATION]],Таблиця109[Population0],1),1)</f>
        <v>Hamlet</v>
      </c>
      <c r="F82"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82" s="592">
        <v>100</v>
      </c>
      <c r="J82" s="642"/>
      <c r="K82" s="592"/>
      <c r="L82" s="642"/>
      <c r="M82" s="508"/>
      <c r="N82" s="642"/>
      <c r="O82" s="508"/>
      <c r="R82" s="2">
        <v>0.18</v>
      </c>
      <c r="S82" s="2">
        <f t="shared" si="4"/>
        <v>0.25</v>
      </c>
      <c r="AA82" s="652"/>
    </row>
    <row r="83" spans="1:27" ht="14.25" customHeight="1">
      <c r="A83" s="2" t="s">
        <v>329</v>
      </c>
      <c r="C83" s="763"/>
      <c r="D83" s="2" t="s">
        <v>8540</v>
      </c>
      <c r="E83" s="2" t="str">
        <f>INDEX(Таблиця109[SETTLEMENT SIZE],MATCH(Таблиця3[[#This Row],[POPULATION]],Таблиця109[Population0],1),1)</f>
        <v>Village</v>
      </c>
      <c r="F83" s="682">
        <f>IFERROR(INDEX(Таблиця109[GP LIMIT],MATCH(Таблиця3[[#This Row],[POPULATION]],Таблиця109[Population0],1),1)/INDEX(Таблиця109[Average Population],MATCH(Таблиця3[[#This Row],[POPULATION]],Таблиця109[Population0],1),1),0)*Таблиця3[[#This Row],[POPULATION]]</f>
        <v>217.98365122615803</v>
      </c>
      <c r="I83" s="592">
        <v>600</v>
      </c>
      <c r="J83" s="642"/>
      <c r="K83" s="592"/>
      <c r="L83" s="642"/>
      <c r="M83" s="508"/>
      <c r="N83" s="642"/>
      <c r="O83" s="508"/>
      <c r="R83" s="2">
        <v>0.18</v>
      </c>
      <c r="S83" s="2">
        <f t="shared" si="4"/>
        <v>0.25</v>
      </c>
      <c r="AA83" s="652"/>
    </row>
    <row r="84" spans="1:27" ht="14.25" customHeight="1">
      <c r="A84" s="2" t="s">
        <v>11288</v>
      </c>
      <c r="B84" s="2" t="s">
        <v>11289</v>
      </c>
      <c r="C84" s="763"/>
      <c r="D84" s="2" t="s">
        <v>11290</v>
      </c>
      <c r="E84" s="2" t="str">
        <f>INDEX(Таблиця109[SETTLEMENT SIZE],MATCH(Таблиця3[[#This Row],[POPULATION]],Таблиця109[Population0],1),1)</f>
        <v>Large town</v>
      </c>
      <c r="F84" s="682">
        <f>IFERROR(INDEX(Таблиця109[GP LIMIT],MATCH(Таблиця3[[#This Row],[POPULATION]],Таблиця109[Population0],1),1)/INDEX(Таблиця109[Average Population],MATCH(Таблиця3[[#This Row],[POPULATION]],Таблиця109[Population0],1),1),0)*Таблиця3[[#This Row],[POPULATION]]</f>
        <v>2142.551064133695</v>
      </c>
      <c r="I84" s="592">
        <v>2500</v>
      </c>
      <c r="J84" s="642" t="s">
        <v>11292</v>
      </c>
      <c r="K84" s="592"/>
      <c r="L84" s="642"/>
      <c r="M84" s="508"/>
      <c r="N84" s="642" t="s">
        <v>11291</v>
      </c>
      <c r="O84" s="508"/>
      <c r="R84" s="2">
        <v>0.18</v>
      </c>
      <c r="S84" s="2">
        <f t="shared" si="4"/>
        <v>0.25</v>
      </c>
      <c r="AA84" s="652"/>
    </row>
    <row r="85" spans="1:27" ht="14.25" customHeight="1">
      <c r="A85" s="2" t="s">
        <v>8694</v>
      </c>
      <c r="C85" s="763"/>
      <c r="E85" s="2" t="str">
        <f>INDEX(Таблиця109[SETTLEMENT SIZE],MATCH(Таблиця3[[#This Row],[POPULATION]],Таблиця109[Population0],1),1)</f>
        <v>Small town</v>
      </c>
      <c r="F85" s="682">
        <f>IFERROR(INDEX(Таблиця109[GP LIMIT],MATCH(Таблиця3[[#This Row],[POPULATION]],Таблиця109[Population0],1),1)/INDEX(Таблиця109[Average Population],MATCH(Таблиця3[[#This Row],[POPULATION]],Таблиця109[Population0],1),1),0)*Таблиця3[[#This Row],[POPULATION]]</f>
        <v>827.30093071354702</v>
      </c>
      <c r="I85" s="592">
        <v>1500</v>
      </c>
      <c r="J85" s="642"/>
      <c r="K85" s="592"/>
      <c r="L85" s="642"/>
      <c r="M85" s="508"/>
      <c r="N85" s="642"/>
      <c r="O85" s="508"/>
      <c r="R85" s="2">
        <v>0.18</v>
      </c>
      <c r="S85" s="2">
        <f t="shared" si="4"/>
        <v>0.25</v>
      </c>
      <c r="AA85" s="652"/>
    </row>
    <row r="86" spans="1:27" ht="14.25" customHeight="1">
      <c r="A86" s="2" t="s">
        <v>335</v>
      </c>
      <c r="C86" s="763"/>
      <c r="E86" s="2" t="str">
        <f>INDEX(Таблиця109[SETTLEMENT SIZE],MATCH(Таблиця3[[#This Row],[POPULATION]],Таблиця109[Population0],1),1)</f>
        <v>Large city</v>
      </c>
      <c r="F86" s="682">
        <f>IFERROR(INDEX(Таблиця109[GP LIMIT],MATCH(Таблиця3[[#This Row],[POPULATION]],Таблиця109[Population0],1),1)/INDEX(Таблиця109[Average Population],MATCH(Таблиця3[[#This Row],[POPULATION]],Таблиця109[Population0],1),1),0)*Таблиця3[[#This Row],[POPULATION]]</f>
        <v>30269.452176968189</v>
      </c>
      <c r="I86" s="592">
        <v>14000</v>
      </c>
      <c r="J86" s="642" t="s">
        <v>11913</v>
      </c>
      <c r="K86" s="592"/>
      <c r="L86" s="642"/>
      <c r="M86" s="508"/>
      <c r="N86" s="642"/>
      <c r="O86" s="508"/>
      <c r="R86" s="2">
        <v>0.18</v>
      </c>
      <c r="S86" s="2">
        <f t="shared" si="4"/>
        <v>0.25</v>
      </c>
      <c r="AA86" s="652"/>
    </row>
    <row r="87" spans="1:27" ht="15">
      <c r="A87" s="2" t="s">
        <v>16010</v>
      </c>
      <c r="B87" s="2" t="s">
        <v>11540</v>
      </c>
      <c r="C87" s="2" t="s">
        <v>16004</v>
      </c>
      <c r="E87" s="651" t="e">
        <f>INDEX(Таблиця109[SETTLEMENT SIZE],MATCH(Таблиця3[[#This Row],[POPULATION]],Таблиця109[Population0],1),1)</f>
        <v>#N/A</v>
      </c>
      <c r="F87" s="682" t="e">
        <f>IFERROR(INDEX(Таблиця109[GP LIMIT],MATCH(Таблиця3[[#This Row],[POPULATION]],Таблиця109[Population0],1),1)/INDEX(Таблиця109[Average Population],MATCH(Таблиця3[[#This Row],[POPULATION]],Таблиця109[Population0],1),1),0)*Таблиця3[[#This Row],[POPULATION]]</f>
        <v>#VALUE!</v>
      </c>
      <c r="I87" s="592" t="s">
        <v>2315</v>
      </c>
      <c r="J87" s="642"/>
      <c r="K87" s="592" t="s">
        <v>2315</v>
      </c>
      <c r="L87" s="642"/>
      <c r="M87" s="508"/>
      <c r="N87" s="642"/>
      <c r="O87" s="508"/>
      <c r="S87" s="651">
        <f t="shared" si="4"/>
        <v>0.25</v>
      </c>
      <c r="AA87" s="1071" t="s">
        <v>16029</v>
      </c>
    </row>
    <row r="88" spans="1:27" ht="14.25" customHeight="1">
      <c r="A88" s="2" t="s">
        <v>16022</v>
      </c>
      <c r="B88" s="2" t="s">
        <v>11540</v>
      </c>
      <c r="D88" s="2" t="s">
        <v>15352</v>
      </c>
      <c r="E88" s="651" t="e">
        <f>INDEX(Таблиця109[SETTLEMENT SIZE],MATCH(Таблиця3[[#This Row],[POPULATION]],Таблиця109[Population0],1),1)</f>
        <v>#N/A</v>
      </c>
      <c r="F88" s="682" t="e">
        <f>IFERROR(INDEX(Таблиця109[GP LIMIT],MATCH(Таблиця3[[#This Row],[POPULATION]],Таблиця109[Population0],1),1)/INDEX(Таблиця109[Average Population],MATCH(Таблиця3[[#This Row],[POPULATION]],Таблиця109[Population0],1),1),0)*Таблиця3[[#This Row],[POPULATION]]</f>
        <v>#VALUE!</v>
      </c>
      <c r="I88" s="592" t="s">
        <v>2315</v>
      </c>
      <c r="J88" s="642"/>
      <c r="K88" s="592" t="s">
        <v>2315</v>
      </c>
      <c r="L88" s="642"/>
      <c r="M88" s="508"/>
      <c r="N88" s="642"/>
      <c r="O88" s="508"/>
      <c r="S88" s="651">
        <f t="shared" si="4"/>
        <v>0.25</v>
      </c>
      <c r="AA88" s="1071" t="s">
        <v>480</v>
      </c>
    </row>
    <row r="89" spans="1:27" ht="14.25" customHeight="1">
      <c r="A89" s="2" t="s">
        <v>341</v>
      </c>
      <c r="B89" s="2" t="s">
        <v>11543</v>
      </c>
      <c r="C89" s="2" t="s">
        <v>5801</v>
      </c>
      <c r="D89" s="2" t="s">
        <v>342</v>
      </c>
      <c r="E89" s="2" t="str">
        <f>INDEX(Таблиця109[SETTLEMENT SIZE],MATCH(Таблиця3[[#This Row],[POPULATION]],Таблиця109[Population0],1),1)</f>
        <v>Small town</v>
      </c>
      <c r="F89" s="682">
        <f>IFERROR(INDEX(Таблиця109[GP LIMIT],MATCH(Таблиця3[[#This Row],[POPULATION]],Таблиця109[Population0],1),1)/INDEX(Таблиця109[Average Population],MATCH(Таблиця3[[#This Row],[POPULATION]],Таблиця109[Population0],1),1),0)*Таблиця3[[#This Row],[POPULATION]]</f>
        <v>769.94139951740783</v>
      </c>
      <c r="I89" s="592">
        <v>1396</v>
      </c>
      <c r="J89" s="2" t="s">
        <v>11361</v>
      </c>
      <c r="K89" s="592">
        <v>40</v>
      </c>
      <c r="L89" s="2" t="s">
        <v>15357</v>
      </c>
      <c r="N89" s="2" t="s">
        <v>11565</v>
      </c>
      <c r="P89" s="2" t="s">
        <v>5801</v>
      </c>
      <c r="Q89" s="2" t="s">
        <v>5801</v>
      </c>
      <c r="R89" s="2">
        <v>0.18</v>
      </c>
      <c r="S89" s="2">
        <f t="shared" si="4"/>
        <v>0.25</v>
      </c>
      <c r="T89" s="2">
        <v>2.8</v>
      </c>
      <c r="U89" s="2">
        <v>2.1</v>
      </c>
      <c r="V89" s="2">
        <v>6.7</v>
      </c>
      <c r="W89" s="2" t="s">
        <v>5801</v>
      </c>
      <c r="X89" s="2" t="s">
        <v>12261</v>
      </c>
      <c r="Y89" s="2" t="s">
        <v>5801</v>
      </c>
      <c r="AA89" s="652"/>
    </row>
    <row r="90" spans="1:27" ht="14.25" customHeight="1">
      <c r="A90" s="2" t="s">
        <v>8567</v>
      </c>
      <c r="C90" s="763"/>
      <c r="E90" s="2" t="str">
        <f>INDEX(Таблиця109[SETTLEMENT SIZE],MATCH(Таблиця3[[#This Row],[POPULATION]],Таблиця109[Population0],1),1)</f>
        <v>Large town</v>
      </c>
      <c r="F90" s="682">
        <f>IFERROR(INDEX(Таблиця109[GP LIMIT],MATCH(Таблиця3[[#This Row],[POPULATION]],Таблиця109[Population0],1),1)/INDEX(Таблиця109[Average Population],MATCH(Таблиця3[[#This Row],[POPULATION]],Таблиця109[Population0],1),1),0)*Таблиця3[[#This Row],[POPULATION]]</f>
        <v>2571.061276960434</v>
      </c>
      <c r="I90" s="592">
        <v>3000</v>
      </c>
      <c r="J90" s="642"/>
      <c r="K90" s="592"/>
      <c r="L90" s="642"/>
      <c r="M90" s="508"/>
      <c r="N90" s="642"/>
      <c r="O90" s="508"/>
      <c r="R90" s="2">
        <v>0.18</v>
      </c>
      <c r="S90" s="2">
        <f t="shared" si="4"/>
        <v>0.25</v>
      </c>
      <c r="AA90" s="652"/>
    </row>
    <row r="91" spans="1:27">
      <c r="A91" s="2" t="s">
        <v>15337</v>
      </c>
      <c r="B91" s="2" t="s">
        <v>11543</v>
      </c>
      <c r="C91" s="2" t="s">
        <v>2315</v>
      </c>
      <c r="D91" s="2" t="s">
        <v>15352</v>
      </c>
      <c r="E91" s="2" t="s">
        <v>2315</v>
      </c>
      <c r="F91" s="682" t="s">
        <v>2315</v>
      </c>
      <c r="G91" s="2" t="s">
        <v>2315</v>
      </c>
      <c r="H91" s="2" t="s">
        <v>2315</v>
      </c>
      <c r="I91" s="592" t="s">
        <v>2315</v>
      </c>
      <c r="J91" s="2" t="s">
        <v>2315</v>
      </c>
      <c r="K91" s="592" t="s">
        <v>2315</v>
      </c>
      <c r="L91" s="2" t="s">
        <v>2315</v>
      </c>
      <c r="M91" s="2" t="s">
        <v>2315</v>
      </c>
      <c r="N91" s="2" t="s">
        <v>2315</v>
      </c>
      <c r="O91" s="2" t="s">
        <v>2315</v>
      </c>
      <c r="P91" s="2" t="s">
        <v>2315</v>
      </c>
      <c r="Q91" s="2" t="s">
        <v>2315</v>
      </c>
      <c r="R91" s="2" t="s">
        <v>2315</v>
      </c>
      <c r="S91" s="2" t="s">
        <v>2315</v>
      </c>
      <c r="T91" s="2" t="s">
        <v>2315</v>
      </c>
      <c r="U91" s="2" t="s">
        <v>2315</v>
      </c>
      <c r="V91" s="2" t="s">
        <v>2315</v>
      </c>
      <c r="W91" s="2" t="s">
        <v>2315</v>
      </c>
      <c r="X91" s="2" t="s">
        <v>2315</v>
      </c>
      <c r="Y91" s="2" t="s">
        <v>2315</v>
      </c>
      <c r="AA91" s="652"/>
    </row>
    <row r="92" spans="1:27" ht="14.25" customHeight="1">
      <c r="A92" s="2" t="s">
        <v>345</v>
      </c>
      <c r="C92" s="763"/>
      <c r="E92" s="2" t="str">
        <f>INDEX(Таблиця109[SETTLEMENT SIZE],MATCH(Таблиця3[[#This Row],[POPULATION]],Таблиця109[Population0],1),1)</f>
        <v>Small town</v>
      </c>
      <c r="F92" s="682">
        <f>IFERROR(INDEX(Таблиця109[GP LIMIT],MATCH(Таблиця3[[#This Row],[POPULATION]],Таблиця109[Population0],1),1)/INDEX(Таблиця109[Average Population],MATCH(Таблиця3[[#This Row],[POPULATION]],Таблиця109[Population0],1),1),0)*Таблиця3[[#This Row],[POPULATION]]</f>
        <v>606.68734918993448</v>
      </c>
      <c r="I92" s="592">
        <v>1100</v>
      </c>
      <c r="J92" s="642" t="s">
        <v>11910</v>
      </c>
      <c r="K92" s="592">
        <f>'Purple Dragons'!S16+'Purple Dragons'!S37+'Purple Dragons'!S8</f>
        <v>1248</v>
      </c>
      <c r="L92" s="642"/>
      <c r="M92" s="508"/>
      <c r="N92" s="642" t="s">
        <v>11911</v>
      </c>
      <c r="O92" s="508"/>
      <c r="R92" s="2">
        <v>0.18</v>
      </c>
      <c r="S92" s="2">
        <f t="shared" ref="S92:S106" si="5">0.25</f>
        <v>0.25</v>
      </c>
      <c r="AA92" s="652"/>
    </row>
    <row r="93" spans="1:27" ht="14.25" customHeight="1">
      <c r="A93" s="2" t="s">
        <v>351</v>
      </c>
      <c r="B93" s="2" t="s">
        <v>11543</v>
      </c>
      <c r="C93" s="2" t="s">
        <v>5801</v>
      </c>
      <c r="E93" s="2" t="str">
        <f>INDEX(Таблиця109[SETTLEMENT SIZE],MATCH(Таблиця3[[#This Row],[POPULATION]],Таблиця109[Population0],1),1)</f>
        <v>Small town</v>
      </c>
      <c r="F93" s="682">
        <f>IFERROR(INDEX(Таблиця109[GP LIMIT],MATCH(Таблиця3[[#This Row],[POPULATION]],Таблиця109[Population0],1),1)/INDEX(Таблиця109[Average Population],MATCH(Таблиця3[[#This Row],[POPULATION]],Таблиця109[Population0],1),1),0)*Таблиця3[[#This Row],[POPULATION]]</f>
        <v>667.90761806273701</v>
      </c>
      <c r="I93" s="592">
        <v>1211</v>
      </c>
      <c r="J93" s="2" t="s">
        <v>15356</v>
      </c>
      <c r="K93" s="592">
        <v>40</v>
      </c>
      <c r="L93" s="2" t="s">
        <v>15357</v>
      </c>
      <c r="N93" s="2" t="s">
        <v>11566</v>
      </c>
      <c r="P93" s="2" t="s">
        <v>5801</v>
      </c>
      <c r="Q93" s="2" t="s">
        <v>5801</v>
      </c>
      <c r="R93" s="2">
        <v>0.18</v>
      </c>
      <c r="S93" s="2">
        <f t="shared" si="5"/>
        <v>0.25</v>
      </c>
      <c r="T93" s="2">
        <v>1.1000000000000001</v>
      </c>
      <c r="U93" s="2">
        <v>0.85</v>
      </c>
      <c r="V93" s="2">
        <v>3.1</v>
      </c>
      <c r="W93" s="2" t="s">
        <v>352</v>
      </c>
      <c r="X93" s="2" t="s">
        <v>15362</v>
      </c>
      <c r="Y93" s="2" t="s">
        <v>354</v>
      </c>
      <c r="AA93" s="652"/>
    </row>
    <row r="94" spans="1:27" ht="14.25" customHeight="1">
      <c r="A94" s="2" t="s">
        <v>358</v>
      </c>
      <c r="C94" s="763"/>
      <c r="E94" s="2" t="str">
        <f>INDEX(Таблиця109[SETTLEMENT SIZE],MATCH(Таблиця3[[#This Row],[POPULATION]],Таблиця109[Population0],1),1)</f>
        <v>Thorpe</v>
      </c>
      <c r="F94" s="682">
        <f>IFERROR(INDEX(Таблиця109[GP LIMIT],MATCH(Таблиця3[[#This Row],[POPULATION]],Таблиця109[Population0],1),1)/INDEX(Таблиця109[Average Population],MATCH(Таблиця3[[#This Row],[POPULATION]],Таблиця109[Population0],1),1),0)*Таблиця3[[#This Row],[POPULATION]]</f>
        <v>0</v>
      </c>
      <c r="I94" s="592"/>
      <c r="J94" s="642"/>
      <c r="K94" s="592"/>
      <c r="L94" s="642"/>
      <c r="M94" s="508"/>
      <c r="N94" s="642"/>
      <c r="O94" s="508"/>
      <c r="R94" s="2">
        <v>0.18</v>
      </c>
      <c r="S94" s="2">
        <f t="shared" si="5"/>
        <v>0.25</v>
      </c>
      <c r="AA94" s="652"/>
    </row>
    <row r="95" spans="1:27">
      <c r="A95" s="2" t="s">
        <v>15341</v>
      </c>
      <c r="B95" s="2" t="s">
        <v>11543</v>
      </c>
      <c r="C95" s="2" t="s">
        <v>5801</v>
      </c>
      <c r="D95" s="2" t="s">
        <v>15342</v>
      </c>
      <c r="E95" s="2" t="s">
        <v>15343</v>
      </c>
      <c r="F95" s="682">
        <f>IFERROR(INDEX(Таблиця109[GP LIMIT],MATCH(Таблиця3[[#This Row],[POPULATION]],Таблиця109[Population0],1),1)/INDEX(Таблиця109[Average Population],MATCH(Таблиця3[[#This Row],[POPULATION]],Таблиця109[Population0],1),1),0)*Таблиця3[[#This Row],[POPULATION]]</f>
        <v>71.17437722419929</v>
      </c>
      <c r="I95" s="592">
        <v>100</v>
      </c>
      <c r="J95" s="2" t="s">
        <v>5801</v>
      </c>
      <c r="K95" s="592"/>
      <c r="L95" s="2" t="s">
        <v>15365</v>
      </c>
      <c r="N95" s="2"/>
      <c r="P95" s="2" t="s">
        <v>5801</v>
      </c>
      <c r="Q95" s="2" t="s">
        <v>5801</v>
      </c>
      <c r="R95" s="2">
        <v>0.18</v>
      </c>
      <c r="S95" s="2">
        <f t="shared" si="5"/>
        <v>0.25</v>
      </c>
      <c r="W95" s="2" t="s">
        <v>5801</v>
      </c>
      <c r="X95" s="2" t="s">
        <v>5801</v>
      </c>
      <c r="Y95" s="2" t="s">
        <v>5801</v>
      </c>
      <c r="AA95" s="652"/>
    </row>
    <row r="96" spans="1:27">
      <c r="A96" s="2" t="s">
        <v>366</v>
      </c>
      <c r="B96" s="2" t="s">
        <v>11543</v>
      </c>
      <c r="C96" s="2" t="s">
        <v>5801</v>
      </c>
      <c r="D96" s="2" t="s">
        <v>367</v>
      </c>
      <c r="E96" s="2" t="str">
        <f>INDEX(Таблиця109[SETTLEMENT SIZE],MATCH(Таблиця3[[#This Row],[POPULATION]],Таблиця109[Population0],1),1)</f>
        <v>Village</v>
      </c>
      <c r="F96" s="682">
        <f>IFERROR(INDEX(Таблиця109[GP LIMIT],MATCH(Таблиця3[[#This Row],[POPULATION]],Таблиця109[Population0],1),1)/INDEX(Таблиця109[Average Population],MATCH(Таблиця3[[#This Row],[POPULATION]],Таблиця109[Population0],1),1),0)*Таблиця3[[#This Row],[POPULATION]]</f>
        <v>79.564032697547674</v>
      </c>
      <c r="I96" s="592">
        <v>219</v>
      </c>
      <c r="J96" s="2" t="s">
        <v>5801</v>
      </c>
      <c r="K96" s="592"/>
      <c r="L96" s="2"/>
      <c r="N96" s="2"/>
      <c r="P96" s="2" t="s">
        <v>5801</v>
      </c>
      <c r="Q96" s="2" t="s">
        <v>5801</v>
      </c>
      <c r="R96" s="2">
        <v>0.15</v>
      </c>
      <c r="S96" s="2">
        <f t="shared" si="5"/>
        <v>0.25</v>
      </c>
      <c r="T96" s="2">
        <v>3.2</v>
      </c>
      <c r="U96" s="2">
        <v>2.9</v>
      </c>
      <c r="V96" s="2">
        <v>5.6</v>
      </c>
      <c r="W96" s="2" t="s">
        <v>5801</v>
      </c>
      <c r="X96" s="2" t="s">
        <v>5801</v>
      </c>
      <c r="Y96" s="2" t="s">
        <v>12255</v>
      </c>
      <c r="AA96" s="652"/>
    </row>
    <row r="97" spans="1:27" ht="14.25" customHeight="1">
      <c r="A97" s="2" t="s">
        <v>8563</v>
      </c>
      <c r="C97" s="763"/>
      <c r="E97" s="2" t="str">
        <f>INDEX(Таблиця109[SETTLEMENT SIZE],MATCH(Таблиця3[[#This Row],[POPULATION]],Таблиця109[Population0],1),1)</f>
        <v>Village</v>
      </c>
      <c r="F97" s="682">
        <f>IFERROR(INDEX(Таблиця109[GP LIMIT],MATCH(Таблиця3[[#This Row],[POPULATION]],Таблиця109[Population0],1),1)/INDEX(Таблиця109[Average Population],MATCH(Таблиця3[[#This Row],[POPULATION]],Таблиця109[Population0],1),1),0)*Таблиця3[[#This Row],[POPULATION]]</f>
        <v>290.64486830154402</v>
      </c>
      <c r="I97" s="592">
        <v>800</v>
      </c>
      <c r="J97" s="642"/>
      <c r="K97" s="592"/>
      <c r="L97" s="642"/>
      <c r="M97" s="508"/>
      <c r="N97" s="642"/>
      <c r="O97" s="508"/>
      <c r="R97" s="2">
        <v>0.18</v>
      </c>
      <c r="S97" s="2">
        <f t="shared" si="5"/>
        <v>0.25</v>
      </c>
      <c r="AA97" s="652"/>
    </row>
    <row r="98" spans="1:27" ht="14.25" customHeight="1">
      <c r="A98" s="2" t="s">
        <v>11907</v>
      </c>
      <c r="C98" s="763"/>
      <c r="E98" s="2" t="str">
        <f>INDEX(Таблиця109[SETTLEMENT SIZE],MATCH(Таблиця3[[#This Row],[POPULATION]],Таблиця109[Population0],1),1)</f>
        <v>Metropolis</v>
      </c>
      <c r="F98" s="682">
        <f>IFERROR(INDEX(Таблиця109[GP LIMIT],MATCH(Таблиця3[[#This Row],[POPULATION]],Таблиця109[Population0],1),1)/INDEX(Таблиця109[Average Population],MATCH(Таблиця3[[#This Row],[POPULATION]],Таблиця109[Population0],1),1),0)*Таблиця3[[#This Row],[POPULATION]]</f>
        <v>250000</v>
      </c>
      <c r="I98" s="592">
        <v>125000</v>
      </c>
      <c r="J98" s="683" t="s">
        <v>11909</v>
      </c>
      <c r="K98" s="592"/>
      <c r="L98" s="642"/>
      <c r="M98" s="508"/>
      <c r="N98" s="642" t="s">
        <v>11908</v>
      </c>
      <c r="O98" s="508"/>
      <c r="R98" s="2">
        <v>0.18</v>
      </c>
      <c r="S98" s="2">
        <f t="shared" si="5"/>
        <v>0.25</v>
      </c>
      <c r="AA98" s="652"/>
    </row>
    <row r="99" spans="1:27" ht="14.25" customHeight="1">
      <c r="A99" s="2" t="s">
        <v>8693</v>
      </c>
      <c r="C99" s="763"/>
      <c r="E99" s="2" t="str">
        <f>INDEX(Таблиця109[SETTLEMENT SIZE],MATCH(Таблиця3[[#This Row],[POPULATION]],Таблиця109[Population0],1),1)</f>
        <v>Small town</v>
      </c>
      <c r="F99" s="682">
        <f>IFERROR(INDEX(Таблиця109[GP LIMIT],MATCH(Таблиця3[[#This Row],[POPULATION]],Таблиця109[Population0],1),1)/INDEX(Таблиця109[Average Population],MATCH(Таблиця3[[#This Row],[POPULATION]],Таблиця109[Population0],1),1),0)*Таблиця3[[#This Row],[POPULATION]]</f>
        <v>772.14753533264388</v>
      </c>
      <c r="I99" s="592">
        <v>1400</v>
      </c>
      <c r="J99" s="642"/>
      <c r="K99" s="592"/>
      <c r="L99" s="642"/>
      <c r="M99" s="508"/>
      <c r="N99" s="642"/>
      <c r="O99" s="508"/>
      <c r="R99" s="2">
        <v>0.18</v>
      </c>
      <c r="S99" s="2">
        <f t="shared" si="5"/>
        <v>0.25</v>
      </c>
      <c r="AA99" s="652"/>
    </row>
    <row r="100" spans="1:27" ht="15">
      <c r="A100" s="2" t="s">
        <v>16012</v>
      </c>
      <c r="B100" s="2" t="s">
        <v>11540</v>
      </c>
      <c r="C100" s="2" t="s">
        <v>16004</v>
      </c>
      <c r="E100" s="651" t="e">
        <f>INDEX(Таблиця109[SETTLEMENT SIZE],MATCH(Таблиця3[[#This Row],[POPULATION]],Таблиця109[Population0],1),1)</f>
        <v>#N/A</v>
      </c>
      <c r="F100" s="682" t="e">
        <f>IFERROR(INDEX(Таблиця109[GP LIMIT],MATCH(Таблиця3[[#This Row],[POPULATION]],Таблиця109[Population0],1),1)/INDEX(Таблиця109[Average Population],MATCH(Таблиця3[[#This Row],[POPULATION]],Таблиця109[Population0],1),1),0)*Таблиця3[[#This Row],[POPULATION]]</f>
        <v>#VALUE!</v>
      </c>
      <c r="I100" s="592" t="s">
        <v>2315</v>
      </c>
      <c r="J100" s="642"/>
      <c r="K100" s="592" t="s">
        <v>2315</v>
      </c>
      <c r="L100" s="642"/>
      <c r="M100" s="508"/>
      <c r="N100" s="642"/>
      <c r="O100" s="508"/>
      <c r="S100" s="651">
        <f t="shared" si="5"/>
        <v>0.25</v>
      </c>
      <c r="AA100" s="1071" t="s">
        <v>16030</v>
      </c>
    </row>
    <row r="101" spans="1:27" ht="14.25" customHeight="1">
      <c r="A101" s="2" t="s">
        <v>8695</v>
      </c>
      <c r="C101" s="763"/>
      <c r="E101" s="2" t="str">
        <f>INDEX(Таблиця109[SETTLEMENT SIZE],MATCH(Таблиця3[[#This Row],[POPULATION]],Таблиця109[Population0],1),1)</f>
        <v>Metropolis</v>
      </c>
      <c r="F101" s="682">
        <f>IFERROR(INDEX(Таблиця109[GP LIMIT],MATCH(Таблиця3[[#This Row],[POPULATION]],Таблиця109[Population0],1),1)/INDEX(Таблиця109[Average Population],MATCH(Таблиця3[[#This Row],[POPULATION]],Таблиця109[Population0],1),1),0)*Таблиця3[[#This Row],[POPULATION]]</f>
        <v>80000</v>
      </c>
      <c r="I101" s="592">
        <v>40000</v>
      </c>
      <c r="J101" s="642"/>
      <c r="K101" s="592"/>
      <c r="L101" s="642"/>
      <c r="M101" s="508"/>
      <c r="N101" s="642"/>
      <c r="O101" s="508"/>
      <c r="R101" s="2">
        <v>0.18</v>
      </c>
      <c r="S101" s="2">
        <f t="shared" si="5"/>
        <v>0.25</v>
      </c>
      <c r="AA101" s="652"/>
    </row>
    <row r="102" spans="1:27" ht="14.25" customHeight="1">
      <c r="A102" s="2" t="s">
        <v>8615</v>
      </c>
      <c r="C102" s="763"/>
      <c r="E102" s="2" t="str">
        <f>INDEX(Таблиця109[SETTLEMENT SIZE],MATCH(Таблиця3[[#This Row],[POPULATION]],Таблиця109[Population0],1),1)</f>
        <v>Thorpe</v>
      </c>
      <c r="F102" s="682">
        <f>IFERROR(INDEX(Таблиця109[GP LIMIT],MATCH(Таблиця3[[#This Row],[POPULATION]],Таблиця109[Population0],1),1)/INDEX(Таблиця109[Average Population],MATCH(Таблиця3[[#This Row],[POPULATION]],Таблиця109[Population0],1),1),0)*Таблиця3[[#This Row],[POPULATION]]</f>
        <v>0</v>
      </c>
      <c r="I102" s="592"/>
      <c r="J102" s="642"/>
      <c r="K102" s="592"/>
      <c r="L102" s="642"/>
      <c r="M102" s="508"/>
      <c r="N102" s="642"/>
      <c r="O102" s="508"/>
      <c r="R102" s="2">
        <v>0.18</v>
      </c>
      <c r="S102" s="651">
        <f t="shared" si="5"/>
        <v>0.25</v>
      </c>
      <c r="AA102" s="652"/>
    </row>
    <row r="103" spans="1:27">
      <c r="A103" s="2" t="s">
        <v>12285</v>
      </c>
      <c r="E103" s="651" t="str">
        <f>INDEX(Таблиця109[SETTLEMENT SIZE],MATCH(Таблиця3[[#This Row],[POPULATION]],Таблиця109[Population0],1),1)</f>
        <v>Thorpe</v>
      </c>
      <c r="F103" s="682">
        <f>IFERROR(INDEX(Таблиця109[GP LIMIT],MATCH(Таблиця3[[#This Row],[POPULATION]],Таблиця109[Population0],1),1)/INDEX(Таблиця109[Average Population],MATCH(Таблиця3[[#This Row],[POPULATION]],Таблиця109[Population0],1),1),0)*Таблиця3[[#This Row],[POPULATION]]</f>
        <v>0</v>
      </c>
      <c r="I103" s="592"/>
      <c r="J103" s="642"/>
      <c r="K103" s="592"/>
      <c r="L103" s="642"/>
      <c r="M103" s="508"/>
      <c r="N103" s="642"/>
      <c r="O103" s="508"/>
      <c r="R103" s="2">
        <v>0.18</v>
      </c>
      <c r="S103" s="651">
        <f t="shared" si="5"/>
        <v>0.25</v>
      </c>
      <c r="AA103" s="652"/>
    </row>
    <row r="104" spans="1:27">
      <c r="A104" s="2" t="s">
        <v>11677</v>
      </c>
      <c r="B104" s="2" t="s">
        <v>11543</v>
      </c>
      <c r="C104" s="2" t="s">
        <v>12281</v>
      </c>
      <c r="E104" s="2" t="str">
        <f>INDEX(Таблиця109[SETTLEMENT SIZE],MATCH(Таблиця3[[#This Row],[POPULATION]],Таблиця109[Population0],1),1)</f>
        <v>Village</v>
      </c>
      <c r="F104" s="682">
        <f>IFERROR(INDEX(Таблиця109[GP LIMIT],MATCH(Таблиця3[[#This Row],[POPULATION]],Таблиця109[Population0],1),1)/INDEX(Таблиця109[Average Population],MATCH(Таблиця3[[#This Row],[POPULATION]],Таблиця109[Population0],1),1),0)*Таблиця3[[#This Row],[POPULATION]]</f>
        <v>163.48773841961852</v>
      </c>
      <c r="I104" s="592">
        <v>450</v>
      </c>
      <c r="J104" s="2" t="s">
        <v>12579</v>
      </c>
      <c r="K104" s="592">
        <f>'Purple Dragons'!S5</f>
        <v>40</v>
      </c>
      <c r="L104" s="2" t="s">
        <v>12278</v>
      </c>
      <c r="M104" s="2" t="s">
        <v>12300</v>
      </c>
      <c r="N104" s="2"/>
      <c r="P104" s="2" t="s">
        <v>12280</v>
      </c>
      <c r="Q104" s="2" t="s">
        <v>5801</v>
      </c>
      <c r="R104" s="2">
        <v>0.18</v>
      </c>
      <c r="S104" s="2">
        <f t="shared" si="5"/>
        <v>0.25</v>
      </c>
      <c r="W104" s="2" t="s">
        <v>5801</v>
      </c>
      <c r="X104" s="2" t="s">
        <v>5801</v>
      </c>
      <c r="Y104" s="2" t="s">
        <v>12279</v>
      </c>
      <c r="AA104" s="652"/>
    </row>
    <row r="105" spans="1:27" ht="15">
      <c r="A105" s="2" t="s">
        <v>16021</v>
      </c>
      <c r="B105" s="2" t="s">
        <v>11540</v>
      </c>
      <c r="D105" s="2" t="s">
        <v>15352</v>
      </c>
      <c r="E105" s="651" t="e">
        <f>INDEX(Таблиця109[SETTLEMENT SIZE],MATCH(Таблиця3[[#This Row],[POPULATION]],Таблиця109[Population0],1),1)</f>
        <v>#N/A</v>
      </c>
      <c r="F105" s="682" t="e">
        <f>IFERROR(INDEX(Таблиця109[GP LIMIT],MATCH(Таблиця3[[#This Row],[POPULATION]],Таблиця109[Population0],1),1)/INDEX(Таблиця109[Average Population],MATCH(Таблиця3[[#This Row],[POPULATION]],Таблиця109[Population0],1),1),0)*Таблиця3[[#This Row],[POPULATION]]</f>
        <v>#VALUE!</v>
      </c>
      <c r="I105" s="592" t="s">
        <v>2315</v>
      </c>
      <c r="J105" s="642"/>
      <c r="K105" s="592" t="s">
        <v>2315</v>
      </c>
      <c r="L105" s="642"/>
      <c r="M105" s="508"/>
      <c r="N105" s="642"/>
      <c r="O105" s="508"/>
      <c r="S105" s="651">
        <f t="shared" si="5"/>
        <v>0.25</v>
      </c>
      <c r="AA105" s="1071" t="s">
        <v>16032</v>
      </c>
    </row>
    <row r="106" spans="1:27">
      <c r="A106" s="2" t="s">
        <v>419</v>
      </c>
      <c r="B106" s="2" t="s">
        <v>11540</v>
      </c>
      <c r="E106" s="2" t="str">
        <f>INDEX(Таблиця109[SETTLEMENT SIZE],MATCH(Таблиця3[[#This Row],[POPULATION]],Таблиця109[Population0],1),1)</f>
        <v>Large town</v>
      </c>
      <c r="F106" s="682">
        <f>IFERROR(INDEX(Таблиця109[GP LIMIT],MATCH(Таблиця3[[#This Row],[POPULATION]],Таблиця109[Population0],1),1)/INDEX(Таблиця109[Average Population],MATCH(Таблиця3[[#This Row],[POPULATION]],Таблиця109[Population0],1),1),0)*Таблиця3[[#This Row],[POPULATION]]</f>
        <v>1714.040851306956</v>
      </c>
      <c r="I106" s="592">
        <v>2000</v>
      </c>
      <c r="J106" s="642" t="s">
        <v>11287</v>
      </c>
      <c r="K106" s="592">
        <f>'Purple Dragons'!N14</f>
        <v>100</v>
      </c>
      <c r="L106" s="642"/>
      <c r="M106" s="508"/>
      <c r="N106" s="642" t="s">
        <v>12130</v>
      </c>
      <c r="O106" s="508"/>
      <c r="R106" s="2">
        <v>0.18</v>
      </c>
      <c r="S106" s="2">
        <f t="shared" si="5"/>
        <v>0.25</v>
      </c>
      <c r="AA106" s="652"/>
    </row>
    <row r="107" spans="1:27">
      <c r="A107" s="2" t="s">
        <v>424</v>
      </c>
      <c r="B107" s="2" t="s">
        <v>2315</v>
      </c>
      <c r="C107" s="2" t="s">
        <v>2315</v>
      </c>
      <c r="D107" s="2" t="s">
        <v>2315</v>
      </c>
      <c r="E107" s="2" t="s">
        <v>2315</v>
      </c>
      <c r="F107" s="2" t="s">
        <v>2315</v>
      </c>
      <c r="G107" s="2" t="s">
        <v>2315</v>
      </c>
      <c r="H107" s="2" t="s">
        <v>2315</v>
      </c>
      <c r="I107" s="2" t="s">
        <v>2315</v>
      </c>
      <c r="J107" s="2" t="s">
        <v>2315</v>
      </c>
      <c r="K107" s="2" t="s">
        <v>2315</v>
      </c>
      <c r="L107" s="2" t="s">
        <v>2315</v>
      </c>
      <c r="M107" s="2" t="s">
        <v>2315</v>
      </c>
      <c r="N107" s="2" t="s">
        <v>2315</v>
      </c>
      <c r="O107" s="2" t="s">
        <v>2315</v>
      </c>
      <c r="P107" s="2" t="s">
        <v>2315</v>
      </c>
      <c r="Q107" s="2" t="s">
        <v>2315</v>
      </c>
      <c r="R107" s="2" t="s">
        <v>2315</v>
      </c>
      <c r="S107" s="2" t="s">
        <v>2315</v>
      </c>
      <c r="T107" s="2" t="s">
        <v>2315</v>
      </c>
      <c r="U107" s="2" t="s">
        <v>2315</v>
      </c>
      <c r="V107" s="2" t="s">
        <v>2315</v>
      </c>
      <c r="W107" s="2" t="s">
        <v>2315</v>
      </c>
      <c r="X107" s="2" t="s">
        <v>2315</v>
      </c>
      <c r="Y107" s="2" t="s">
        <v>2315</v>
      </c>
      <c r="AA107" s="652"/>
    </row>
    <row r="108" spans="1:27">
      <c r="A108" s="2" t="s">
        <v>429</v>
      </c>
      <c r="B108" s="2" t="s">
        <v>11543</v>
      </c>
      <c r="C108" s="2" t="s">
        <v>5801</v>
      </c>
      <c r="D108" s="2" t="s">
        <v>430</v>
      </c>
      <c r="E108" s="2" t="str">
        <f>INDEX(Таблиця109[SETTLEMENT SIZE],MATCH(Таблиця3[[#This Row],[POPULATION]],Таблиця109[Population0],1),1)</f>
        <v>Village</v>
      </c>
      <c r="F108" s="682">
        <f>IFERROR(INDEX(Таблиця109[GP LIMIT],MATCH(Таблиця3[[#This Row],[POPULATION]],Таблиця109[Population0],1),1)/INDEX(Таблиця109[Average Population],MATCH(Таблиця3[[#This Row],[POPULATION]],Таблиця109[Population0],1),1),0)*Таблиця3[[#This Row],[POPULATION]]</f>
        <v>181.65304268846504</v>
      </c>
      <c r="I108" s="592">
        <v>500</v>
      </c>
      <c r="J108" s="2" t="s">
        <v>11361</v>
      </c>
      <c r="K108" s="592">
        <f>K97</f>
        <v>0</v>
      </c>
      <c r="L108" s="2" t="s">
        <v>12249</v>
      </c>
      <c r="N108" s="2" t="s">
        <v>11230</v>
      </c>
      <c r="P108" s="2" t="s">
        <v>5801</v>
      </c>
      <c r="Q108" s="2" t="s">
        <v>12252</v>
      </c>
      <c r="R108" s="2">
        <v>0.18</v>
      </c>
      <c r="S108" s="2">
        <v>0.21</v>
      </c>
      <c r="T108" s="2">
        <v>2.4</v>
      </c>
      <c r="U108" s="2">
        <v>1.8</v>
      </c>
      <c r="V108" s="2">
        <v>3.6</v>
      </c>
      <c r="W108" s="2" t="s">
        <v>11855</v>
      </c>
      <c r="X108" s="2" t="s">
        <v>11905</v>
      </c>
      <c r="Y108" s="2" t="s">
        <v>12256</v>
      </c>
      <c r="AA108" s="652"/>
    </row>
    <row r="109" spans="1:27">
      <c r="A109" s="2" t="s">
        <v>11844</v>
      </c>
      <c r="B109" s="2" t="s">
        <v>11845</v>
      </c>
      <c r="E109" s="2" t="str">
        <f>INDEX(Таблиця109[SETTLEMENT SIZE],MATCH(Таблиця3[[#This Row],[POPULATION]],Таблиця109[Population0],1),1)</f>
        <v>Metropolis</v>
      </c>
      <c r="F109" s="682">
        <f>IFERROR(INDEX(Таблиця109[GP LIMIT],MATCH(Таблиця3[[#This Row],[POPULATION]],Таблиця109[Population0],1),1)/INDEX(Таблиця109[Average Population],MATCH(Таблиця3[[#This Row],[POPULATION]],Таблиця109[Population0],1),1),0)*Таблиця3[[#This Row],[POPULATION]]</f>
        <v>50000</v>
      </c>
      <c r="I109" s="592">
        <v>25000</v>
      </c>
      <c r="J109" s="642"/>
      <c r="K109" s="592"/>
      <c r="L109" s="642"/>
      <c r="M109" s="508"/>
      <c r="N109" s="642"/>
      <c r="O109" s="508"/>
      <c r="R109" s="2">
        <v>0.18</v>
      </c>
      <c r="S109" s="2">
        <f>0.25</f>
        <v>0.25</v>
      </c>
      <c r="AA109" s="652"/>
    </row>
    <row r="110" spans="1:27">
      <c r="A110" s="2" t="s">
        <v>16015</v>
      </c>
      <c r="B110" s="2" t="s">
        <v>11540</v>
      </c>
      <c r="D110" s="2" t="s">
        <v>15352</v>
      </c>
      <c r="E110" s="651" t="e">
        <f>INDEX(Таблиця109[SETTLEMENT SIZE],MATCH(Таблиця3[[#This Row],[POPULATION]],Таблиця109[Population0],1),1)</f>
        <v>#N/A</v>
      </c>
      <c r="F110" s="682" t="e">
        <f>IFERROR(INDEX(Таблиця109[GP LIMIT],MATCH(Таблиця3[[#This Row],[POPULATION]],Таблиця109[Population0],1),1)/INDEX(Таблиця109[Average Population],MATCH(Таблиця3[[#This Row],[POPULATION]],Таблиця109[Population0],1),1),0)*Таблиця3[[#This Row],[POPULATION]]</f>
        <v>#VALUE!</v>
      </c>
      <c r="I110" s="592" t="s">
        <v>2315</v>
      </c>
      <c r="J110" s="642"/>
      <c r="K110" s="592" t="s">
        <v>2315</v>
      </c>
      <c r="L110" s="642"/>
      <c r="M110" s="508"/>
      <c r="N110" s="642"/>
      <c r="O110" s="508"/>
      <c r="S110" s="651">
        <f>0.25</f>
        <v>0.25</v>
      </c>
      <c r="AA110" s="652"/>
    </row>
    <row r="111" spans="1:27">
      <c r="A111" s="2" t="s">
        <v>435</v>
      </c>
      <c r="B111" s="2" t="s">
        <v>11543</v>
      </c>
      <c r="C111" s="2" t="s">
        <v>5801</v>
      </c>
      <c r="E111" s="2" t="str">
        <f>INDEX(Таблиця109[SETTLEMENT SIZE],MATCH(Таблиця3[[#This Row],[POPULATION]],Таблиця109[Population0],1),1)</f>
        <v>Small town</v>
      </c>
      <c r="F111" s="682">
        <f>IFERROR(INDEX(Таблиця109[GP LIMIT],MATCH(Таблиця3[[#This Row],[POPULATION]],Таблиця109[Population0],1),1)/INDEX(Таблиця109[Average Population],MATCH(Таблиця3[[#This Row],[POPULATION]],Таблиця109[Population0],1),1),0)*Таблиця3[[#This Row],[POPULATION]]</f>
        <v>1047.9145122371597</v>
      </c>
      <c r="I111" s="592">
        <v>1900</v>
      </c>
      <c r="J111" s="2" t="s">
        <v>11864</v>
      </c>
      <c r="K111" s="592">
        <v>92</v>
      </c>
      <c r="L111" s="2"/>
      <c r="N111" s="2" t="s">
        <v>11231</v>
      </c>
      <c r="O111" s="2" t="s">
        <v>12250</v>
      </c>
      <c r="P111" s="2" t="s">
        <v>5801</v>
      </c>
      <c r="Q111" s="2" t="s">
        <v>538</v>
      </c>
      <c r="R111" s="2">
        <v>0.18</v>
      </c>
      <c r="S111" s="2">
        <f>0.21</f>
        <v>0.21</v>
      </c>
      <c r="T111" s="2">
        <v>1.3</v>
      </c>
      <c r="U111" s="2">
        <v>1.6</v>
      </c>
      <c r="V111" s="2">
        <v>3.2</v>
      </c>
      <c r="W111" s="2" t="s">
        <v>12251</v>
      </c>
      <c r="X111" s="2" t="s">
        <v>5801</v>
      </c>
      <c r="Y111" s="2" t="s">
        <v>12887</v>
      </c>
      <c r="AA111" s="652"/>
    </row>
    <row r="112" spans="1:27">
      <c r="A112" s="2" t="s">
        <v>16003</v>
      </c>
      <c r="B112" s="2" t="s">
        <v>11540</v>
      </c>
      <c r="C112" s="2" t="s">
        <v>16004</v>
      </c>
      <c r="E112" s="651" t="s">
        <v>13933</v>
      </c>
      <c r="F112" s="682">
        <v>100</v>
      </c>
      <c r="I112" s="592">
        <v>20</v>
      </c>
      <c r="J112" s="642" t="s">
        <v>16005</v>
      </c>
      <c r="K112" s="1069"/>
      <c r="L112" s="642"/>
      <c r="M112" s="508"/>
      <c r="N112" s="642"/>
      <c r="O112" s="508"/>
      <c r="S112" s="651">
        <f>0.25</f>
        <v>0.25</v>
      </c>
      <c r="AA112" s="652" t="s">
        <v>16024</v>
      </c>
    </row>
    <row r="113" spans="1:27">
      <c r="A113" s="2" t="s">
        <v>443</v>
      </c>
      <c r="E113" s="2" t="str">
        <f>INDEX(Таблиця109[SETTLEMENT SIZE],MATCH(Таблиця3[[#This Row],[POPULATION]],Таблиця109[Population0],1),1)</f>
        <v>Large town</v>
      </c>
      <c r="F113" s="682">
        <f>IFERROR(INDEX(Таблиця109[GP LIMIT],MATCH(Таблиця3[[#This Row],[POPULATION]],Таблиця109[Population0],1),1)/INDEX(Таблиця109[Average Population],MATCH(Таблиця3[[#This Row],[POPULATION]],Таблиця109[Population0],1),1),0)*Таблиця3[[#This Row],[POPULATION]]</f>
        <v>3428.0817026139121</v>
      </c>
      <c r="I113" s="592">
        <v>4000</v>
      </c>
      <c r="J113" s="642" t="s">
        <v>11233</v>
      </c>
      <c r="K113" s="592"/>
      <c r="L113" s="642"/>
      <c r="M113" s="508"/>
      <c r="N113" s="642" t="s">
        <v>11232</v>
      </c>
      <c r="O113" s="508"/>
      <c r="R113" s="2">
        <v>0.18</v>
      </c>
      <c r="S113" s="2">
        <f>0.25</f>
        <v>0.25</v>
      </c>
      <c r="AA113" s="652"/>
    </row>
    <row r="114" spans="1:27">
      <c r="A114" s="2" t="s">
        <v>15347</v>
      </c>
      <c r="B114" s="2" t="s">
        <v>11543</v>
      </c>
      <c r="C114" s="2" t="s">
        <v>2315</v>
      </c>
      <c r="D114" s="2" t="s">
        <v>15352</v>
      </c>
      <c r="E114" s="2" t="s">
        <v>2315</v>
      </c>
      <c r="F114" s="682" t="s">
        <v>2315</v>
      </c>
      <c r="G114" s="2" t="s">
        <v>2315</v>
      </c>
      <c r="H114" s="2" t="s">
        <v>2315</v>
      </c>
      <c r="I114" s="592" t="s">
        <v>2315</v>
      </c>
      <c r="J114" s="2" t="s">
        <v>2315</v>
      </c>
      <c r="K114" s="592" t="s">
        <v>2315</v>
      </c>
      <c r="L114" s="2" t="s">
        <v>2315</v>
      </c>
      <c r="M114" s="2" t="s">
        <v>2315</v>
      </c>
      <c r="N114" s="2" t="s">
        <v>2315</v>
      </c>
      <c r="O114" s="2" t="s">
        <v>2315</v>
      </c>
      <c r="P114" s="2" t="s">
        <v>2315</v>
      </c>
      <c r="Q114" s="2" t="s">
        <v>2315</v>
      </c>
      <c r="R114" s="2" t="s">
        <v>2315</v>
      </c>
      <c r="S114" s="2" t="s">
        <v>2315</v>
      </c>
      <c r="T114" s="2" t="s">
        <v>2315</v>
      </c>
      <c r="U114" s="2" t="s">
        <v>2315</v>
      </c>
      <c r="V114" s="2" t="s">
        <v>2315</v>
      </c>
      <c r="W114" s="2" t="s">
        <v>2315</v>
      </c>
      <c r="X114" s="2" t="s">
        <v>2315</v>
      </c>
      <c r="Y114" s="2" t="s">
        <v>2315</v>
      </c>
      <c r="AA114" s="652"/>
    </row>
    <row r="115" spans="1:27">
      <c r="A115" s="2" t="s">
        <v>12112</v>
      </c>
      <c r="E115" s="651" t="s">
        <v>12111</v>
      </c>
      <c r="F115" s="682">
        <f>IFERROR(INDEX(Таблиця109[GP LIMIT],MATCH(Таблиця3[[#This Row],[POPULATION]],Таблиця109[Population0],1),1)/INDEX(Таблиця109[Average Population],MATCH(Таблиця3[[#This Row],[POPULATION]],Таблиця109[Population0],1),1),0)*Таблиця3[[#This Row],[POPULATION]]</f>
        <v>0</v>
      </c>
      <c r="I115" s="592"/>
      <c r="J115" s="642"/>
      <c r="K115" s="592"/>
      <c r="L115" s="642"/>
      <c r="M115" s="508"/>
      <c r="N115" s="642"/>
      <c r="O115" s="508"/>
      <c r="P115" s="2" t="s">
        <v>564</v>
      </c>
      <c r="R115" s="2">
        <v>0.18</v>
      </c>
      <c r="S115" s="651">
        <f t="shared" ref="S115:S120" si="6">0.25</f>
        <v>0.25</v>
      </c>
      <c r="AA115" s="652"/>
    </row>
    <row r="116" spans="1:27">
      <c r="A116" s="2" t="s">
        <v>11521</v>
      </c>
      <c r="E116" s="2" t="str">
        <f>INDEX(Таблиця109[SETTLEMENT SIZE],MATCH(Таблиця3[[#This Row],[POPULATION]],Таблиця109[Population0],1),1)</f>
        <v>Small town</v>
      </c>
      <c r="F116" s="682">
        <f>IFERROR(INDEX(Таблиця109[GP LIMIT],MATCH(Таблиця3[[#This Row],[POPULATION]],Таблиця109[Population0],1),1)/INDEX(Таблиця109[Average Population],MATCH(Таблиця3[[#This Row],[POPULATION]],Таблиця109[Population0],1),1),0)*Таблиця3[[#This Row],[POPULATION]]</f>
        <v>523.95725611857983</v>
      </c>
      <c r="I116" s="592">
        <v>950</v>
      </c>
      <c r="J116" s="642"/>
      <c r="K116" s="592"/>
      <c r="L116" s="642"/>
      <c r="M116" s="508"/>
      <c r="N116" s="642"/>
      <c r="O116" s="508"/>
      <c r="R116" s="2">
        <v>0.18</v>
      </c>
      <c r="S116" s="2">
        <f t="shared" si="6"/>
        <v>0.25</v>
      </c>
      <c r="AA116" s="652"/>
    </row>
    <row r="117" spans="1:27">
      <c r="A117" s="2" t="s">
        <v>454</v>
      </c>
      <c r="E117" s="2" t="str">
        <f>INDEX(Таблиця109[SETTLEMENT SIZE],MATCH(Таблиця3[[#This Row],[POPULATION]],Таблиця109[Population0],1),1)</f>
        <v>Village</v>
      </c>
      <c r="F117" s="682">
        <f>IFERROR(INDEX(Таблиця109[GP LIMIT],MATCH(Таблиця3[[#This Row],[POPULATION]],Таблиця109[Population0],1),1)/INDEX(Таблиця109[Average Population],MATCH(Таблиця3[[#This Row],[POPULATION]],Таблиця109[Population0],1),1),0)*Таблиця3[[#This Row],[POPULATION]]</f>
        <v>181.65304268846504</v>
      </c>
      <c r="I117" s="592">
        <v>500</v>
      </c>
      <c r="J117" s="642"/>
      <c r="K117" s="592"/>
      <c r="L117" s="642"/>
      <c r="M117" s="508"/>
      <c r="N117" s="642"/>
      <c r="O117" s="508"/>
      <c r="R117" s="2">
        <v>0.18</v>
      </c>
      <c r="S117" s="2">
        <f t="shared" si="6"/>
        <v>0.25</v>
      </c>
      <c r="AA117" s="652"/>
    </row>
    <row r="118" spans="1:27">
      <c r="A118" s="2" t="s">
        <v>458</v>
      </c>
      <c r="E118" s="2" t="str">
        <f>INDEX(Таблиця109[SETTLEMENT SIZE],MATCH(Таблиця3[[#This Row],[POPULATION]],Таблиця109[Population0],1),1)</f>
        <v>Thorpe</v>
      </c>
      <c r="F118" s="682">
        <f>IFERROR(INDEX(Таблиця109[GP LIMIT],MATCH(Таблиця3[[#This Row],[POPULATION]],Таблиця109[Population0],1),1)/INDEX(Таблиця109[Average Population],MATCH(Таблиця3[[#This Row],[POPULATION]],Таблиця109[Population0],1),1),0)*Таблиця3[[#This Row],[POPULATION]]</f>
        <v>40</v>
      </c>
      <c r="I118" s="592">
        <v>50</v>
      </c>
      <c r="J118" s="642"/>
      <c r="K118" s="592"/>
      <c r="L118" s="642"/>
      <c r="M118" s="508"/>
      <c r="N118" s="642" t="s">
        <v>11487</v>
      </c>
      <c r="O118" s="508"/>
      <c r="R118" s="2">
        <v>0.18</v>
      </c>
      <c r="S118" s="2">
        <f t="shared" si="6"/>
        <v>0.25</v>
      </c>
      <c r="AA118" s="652"/>
    </row>
    <row r="119" spans="1:27" ht="15">
      <c r="A119" s="2" t="s">
        <v>16011</v>
      </c>
      <c r="B119" s="2" t="s">
        <v>11540</v>
      </c>
      <c r="C119" s="2" t="s">
        <v>16004</v>
      </c>
      <c r="E119" s="651" t="e">
        <f>INDEX(Таблиця109[SETTLEMENT SIZE],MATCH(Таблиця3[[#This Row],[POPULATION]],Таблиця109[Population0],1),1)</f>
        <v>#N/A</v>
      </c>
      <c r="F119" s="682" t="e">
        <f>IFERROR(INDEX(Таблиця109[GP LIMIT],MATCH(Таблиця3[[#This Row],[POPULATION]],Таблиця109[Population0],1),1)/INDEX(Таблиця109[Average Population],MATCH(Таблиця3[[#This Row],[POPULATION]],Таблиця109[Population0],1),1),0)*Таблиця3[[#This Row],[POPULATION]]</f>
        <v>#VALUE!</v>
      </c>
      <c r="I119" s="592" t="s">
        <v>2315</v>
      </c>
      <c r="J119" s="642"/>
      <c r="K119" s="592" t="s">
        <v>2315</v>
      </c>
      <c r="L119" s="642"/>
      <c r="M119" s="508"/>
      <c r="N119" s="642"/>
      <c r="O119" s="508"/>
      <c r="S119" s="651">
        <f t="shared" si="6"/>
        <v>0.25</v>
      </c>
      <c r="AA119" s="1071" t="s">
        <v>16031</v>
      </c>
    </row>
    <row r="120" spans="1:27">
      <c r="A120" s="2" t="s">
        <v>461</v>
      </c>
      <c r="E120" s="2" t="str">
        <f>INDEX(Таблиця109[SETTLEMENT SIZE],MATCH(Таблиця3[[#This Row],[POPULATION]],Таблиця109[Population0],1),1)</f>
        <v>Small town</v>
      </c>
      <c r="F120" s="682">
        <f>IFERROR(INDEX(Таблиця109[GP LIMIT],MATCH(Таблиця3[[#This Row],[POPULATION]],Таблиця109[Population0],1),1)/INDEX(Таблиця109[Average Population],MATCH(Таблиця3[[#This Row],[POPULATION]],Таблиця109[Population0],1),1),0)*Таблиця3[[#This Row],[POPULATION]]</f>
        <v>551.53395380903135</v>
      </c>
      <c r="I120" s="592">
        <v>1000</v>
      </c>
      <c r="J120" s="642"/>
      <c r="K120" s="592"/>
      <c r="L120" s="642"/>
      <c r="M120" s="508"/>
      <c r="N120" s="642"/>
      <c r="O120" s="508"/>
      <c r="R120" s="2">
        <v>0.18</v>
      </c>
      <c r="S120" s="2">
        <f t="shared" si="6"/>
        <v>0.25</v>
      </c>
      <c r="T120" s="2">
        <v>400</v>
      </c>
      <c r="AA120" s="652"/>
    </row>
    <row r="121" spans="1:27">
      <c r="A121" s="2" t="s">
        <v>15340</v>
      </c>
      <c r="B121" s="2" t="s">
        <v>11543</v>
      </c>
      <c r="C121" s="2" t="s">
        <v>12131</v>
      </c>
      <c r="D121" s="2" t="s">
        <v>15352</v>
      </c>
      <c r="E121" s="2" t="s">
        <v>2315</v>
      </c>
      <c r="F121" s="682" t="s">
        <v>2315</v>
      </c>
      <c r="G121" s="2" t="s">
        <v>2315</v>
      </c>
      <c r="H121" s="2" t="s">
        <v>2315</v>
      </c>
      <c r="I121" s="592" t="s">
        <v>2315</v>
      </c>
      <c r="J121" s="2" t="s">
        <v>2315</v>
      </c>
      <c r="K121" s="592" t="s">
        <v>2315</v>
      </c>
      <c r="L121" s="2" t="s">
        <v>2315</v>
      </c>
      <c r="M121" s="2" t="s">
        <v>2315</v>
      </c>
      <c r="N121" s="2" t="s">
        <v>2315</v>
      </c>
      <c r="O121" s="2" t="s">
        <v>2315</v>
      </c>
      <c r="P121" s="2" t="s">
        <v>2315</v>
      </c>
      <c r="Q121" s="2" t="s">
        <v>2315</v>
      </c>
      <c r="R121" s="2" t="s">
        <v>2315</v>
      </c>
      <c r="S121" s="2" t="s">
        <v>2315</v>
      </c>
      <c r="T121" s="2" t="s">
        <v>2315</v>
      </c>
      <c r="U121" s="2" t="s">
        <v>2315</v>
      </c>
      <c r="V121" s="2" t="s">
        <v>2315</v>
      </c>
      <c r="W121" s="2" t="s">
        <v>2315</v>
      </c>
      <c r="X121" s="2" t="s">
        <v>2315</v>
      </c>
      <c r="Y121" s="2" t="s">
        <v>2315</v>
      </c>
      <c r="AA121" s="652"/>
    </row>
  </sheetData>
  <sortState xmlns:xlrd2="http://schemas.microsoft.com/office/spreadsheetml/2017/richdata2" ref="A4:A124">
    <sortCondition ref="A4"/>
  </sortState>
  <dataValidations count="2">
    <dataValidation type="list" allowBlank="1" showInputMessage="1" sqref="AB14:AB15" xr:uid="{C561438E-65A5-4878-BC42-1B5060701043}">
      <formula1>$AB$4:$AB$16</formula1>
    </dataValidation>
    <dataValidation type="list" allowBlank="1" showInputMessage="1" showErrorMessage="1" sqref="C45:C47 C36:C37 B4:B89 C79 C77 C70:C73 C61:C63 C59 C52:C54 C39:C43 C34 C30:C32 C23:C25 C20:C21 C11:C13 C7:C8 C65:C68 C15:C16 C75 C4 C28 C82:C83 C57 B91:B120" xr:uid="{C0CC144F-2AA8-456B-8C26-D6BA517AFD67}">
      <formula1>$AB$4:$AB$16</formula1>
    </dataValidation>
  </dataValidations>
  <pageMargins left="0.7" right="0.7" top="0.75" bottom="0.75" header="0.3" footer="0.3"/>
  <pageSetup paperSize="9" orientation="portrait" r:id="rId1"/>
  <legacyDrawing r:id="rId2"/>
  <tableParts count="2">
    <tablePart r:id="rId3"/>
    <tablePart r:id="rId4"/>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ADE48-B699-4D9A-ACE0-D580B3FD1A17}">
  <sheetPr>
    <tabColor rgb="FF7030A0"/>
  </sheetPr>
  <dimension ref="A1"/>
  <sheetViews>
    <sheetView workbookViewId="0">
      <selection activeCell="U2" sqref="U2:AH2"/>
    </sheetView>
  </sheetViews>
  <sheetFormatPr defaultRowHeight="14.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B182-BC10-4AE9-B0A1-43D3F0F56CC6}">
  <sheetPr codeName="Аркуш42">
    <tabColor rgb="FF7030A0"/>
  </sheetPr>
  <dimension ref="A1:AP201"/>
  <sheetViews>
    <sheetView topLeftCell="A171" zoomScaleNormal="100" workbookViewId="0">
      <selection activeCell="O7" sqref="O7"/>
    </sheetView>
  </sheetViews>
  <sheetFormatPr defaultRowHeight="14.25"/>
  <cols>
    <col min="1" max="1" width="20.5546875" style="2" customWidth="1"/>
    <col min="2" max="3" width="17.6640625" style="2" customWidth="1"/>
    <col min="4" max="4" width="13.77734375" style="2" customWidth="1"/>
    <col min="5" max="5" width="26.6640625" style="2" customWidth="1"/>
    <col min="6" max="6" width="11.21875" style="2" customWidth="1"/>
    <col min="7" max="7" width="36.33203125" style="2" customWidth="1"/>
    <col min="8" max="8" width="10.21875" style="2" customWidth="1"/>
    <col min="9" max="10" width="8.88671875" style="2"/>
    <col min="11" max="11" width="9.88671875" style="2" customWidth="1"/>
    <col min="12" max="12" width="24.33203125" style="2" customWidth="1"/>
    <col min="13" max="13" width="8.88671875" style="2"/>
    <col min="14" max="14" width="18" style="2" customWidth="1"/>
    <col min="15" max="15" width="10.88671875" style="2" customWidth="1"/>
    <col min="16" max="16" width="8.88671875" style="2"/>
    <col min="17" max="17" width="9.88671875" style="2" customWidth="1"/>
    <col min="18" max="20" width="8.88671875" style="2"/>
    <col min="21" max="21" width="88.5546875" style="2" customWidth="1"/>
    <col min="22" max="22" width="8.88671875" style="2"/>
    <col min="23" max="23" width="11.33203125" style="2" bestFit="1" customWidth="1"/>
    <col min="24" max="25" width="8.88671875" style="2"/>
    <col min="26" max="26" width="8.6640625" style="2" customWidth="1"/>
    <col min="27" max="27" width="15.33203125" style="2" customWidth="1"/>
    <col min="28" max="28" width="10.33203125" style="2" customWidth="1"/>
    <col min="29" max="29" width="13.6640625" style="2" customWidth="1"/>
    <col min="30" max="37" width="8.88671875" style="2"/>
    <col min="38" max="38" width="20.44140625" style="2" bestFit="1" customWidth="1"/>
    <col min="39" max="39" width="25.6640625" style="2" bestFit="1" customWidth="1"/>
    <col min="40" max="40" width="8.88671875" style="2"/>
    <col min="41" max="41" width="11.77734375" style="2" customWidth="1"/>
    <col min="42" max="42" width="15.77734375" style="2" customWidth="1"/>
    <col min="43" max="16384" width="8.88671875" style="2"/>
  </cols>
  <sheetData>
    <row r="1" spans="1:32">
      <c r="B1" s="2" t="s">
        <v>11914</v>
      </c>
    </row>
    <row r="2" spans="1:32" ht="21.75">
      <c r="A2" s="2" t="s">
        <v>8491</v>
      </c>
      <c r="Q2" s="2220" t="s">
        <v>7375</v>
      </c>
      <c r="R2" s="2221"/>
      <c r="S2" s="2221"/>
      <c r="T2" s="2221"/>
      <c r="U2" s="2222"/>
      <c r="Z2" s="646" t="s">
        <v>11937</v>
      </c>
      <c r="AC2" s="2" t="s">
        <v>721</v>
      </c>
      <c r="AD2" s="2" t="s">
        <v>1787</v>
      </c>
      <c r="AE2" s="2" t="s">
        <v>11183</v>
      </c>
      <c r="AF2" s="2" t="s">
        <v>11184</v>
      </c>
    </row>
    <row r="3" spans="1:32" ht="15">
      <c r="A3" s="678" t="s">
        <v>683</v>
      </c>
      <c r="B3" s="678" t="s">
        <v>684</v>
      </c>
      <c r="C3" s="678" t="s">
        <v>551</v>
      </c>
      <c r="D3" s="678" t="s">
        <v>685</v>
      </c>
      <c r="E3" s="678" t="s">
        <v>8642</v>
      </c>
      <c r="F3" s="678" t="s">
        <v>8572</v>
      </c>
      <c r="G3" s="678" t="s">
        <v>5797</v>
      </c>
      <c r="H3" s="678" t="s">
        <v>721</v>
      </c>
      <c r="I3" s="690" t="s">
        <v>13122</v>
      </c>
      <c r="K3" s="2" t="s">
        <v>8684</v>
      </c>
      <c r="L3" s="2" t="s">
        <v>8679</v>
      </c>
      <c r="M3" s="2" t="s">
        <v>8680</v>
      </c>
      <c r="N3" s="2" t="s">
        <v>8681</v>
      </c>
      <c r="O3" s="2" t="s">
        <v>8682</v>
      </c>
      <c r="Q3" s="701" t="s">
        <v>8679</v>
      </c>
      <c r="R3" s="702" t="s">
        <v>8643</v>
      </c>
      <c r="S3" s="702" t="s">
        <v>10404</v>
      </c>
      <c r="T3" s="702" t="s">
        <v>12174</v>
      </c>
      <c r="U3" s="703" t="s">
        <v>8655</v>
      </c>
      <c r="W3" s="2" t="s">
        <v>10306</v>
      </c>
      <c r="X3" s="2" t="s">
        <v>7928</v>
      </c>
      <c r="Z3" s="646" t="s">
        <v>11242</v>
      </c>
      <c r="AA3" s="2" t="s">
        <v>7928</v>
      </c>
      <c r="AC3" s="2" t="s">
        <v>11166</v>
      </c>
      <c r="AD3" s="2" t="s">
        <v>11174</v>
      </c>
      <c r="AE3" s="2">
        <v>1</v>
      </c>
      <c r="AF3" s="2" t="s">
        <v>11177</v>
      </c>
    </row>
    <row r="4" spans="1:32" ht="19.5">
      <c r="A4" s="677" t="s">
        <v>686</v>
      </c>
      <c r="B4" s="677" t="s">
        <v>687</v>
      </c>
      <c r="C4" s="677" t="s">
        <v>8500</v>
      </c>
      <c r="D4" s="677" t="s">
        <v>688</v>
      </c>
      <c r="E4" s="677">
        <v>12</v>
      </c>
      <c r="F4" s="677"/>
      <c r="G4" s="677" t="s">
        <v>11832</v>
      </c>
      <c r="H4" s="677"/>
      <c r="I4" s="798">
        <f>2.5*Таблиця276[[#This Row],[Suggested Pay (gp/month) ||| 1372 ]]</f>
        <v>30</v>
      </c>
      <c r="K4" s="2" t="s">
        <v>8673</v>
      </c>
      <c r="L4" s="2" t="s">
        <v>5809</v>
      </c>
      <c r="M4" s="2">
        <v>9</v>
      </c>
      <c r="N4" s="2">
        <f>S8</f>
        <v>820</v>
      </c>
      <c r="O4" s="2">
        <f>M4*N4</f>
        <v>7380</v>
      </c>
      <c r="Q4" s="704" t="s">
        <v>8644</v>
      </c>
      <c r="R4" s="705" t="s">
        <v>8653</v>
      </c>
      <c r="S4" s="777">
        <v>12</v>
      </c>
      <c r="T4" s="705">
        <v>1</v>
      </c>
      <c r="U4" s="706" t="s">
        <v>8645</v>
      </c>
      <c r="W4" s="2" t="s">
        <v>11261</v>
      </c>
      <c r="X4" s="777">
        <v>18</v>
      </c>
      <c r="Z4" s="2" t="s">
        <v>686</v>
      </c>
      <c r="AA4" s="777">
        <v>1</v>
      </c>
      <c r="AC4" s="2" t="s">
        <v>11167</v>
      </c>
      <c r="AD4" s="2" t="s">
        <v>11175</v>
      </c>
      <c r="AE4" s="2">
        <v>2</v>
      </c>
      <c r="AF4" s="2" t="s">
        <v>11181</v>
      </c>
    </row>
    <row r="5" spans="1:32" ht="19.5">
      <c r="A5" s="677" t="s">
        <v>689</v>
      </c>
      <c r="B5" s="677" t="s">
        <v>690</v>
      </c>
      <c r="C5" s="677" t="s">
        <v>8500</v>
      </c>
      <c r="D5" s="677" t="s">
        <v>691</v>
      </c>
      <c r="E5" s="677">
        <v>18</v>
      </c>
      <c r="F5" s="677" t="s">
        <v>8499</v>
      </c>
      <c r="G5" s="677" t="s">
        <v>11833</v>
      </c>
      <c r="H5" s="677"/>
      <c r="I5" s="798">
        <f>2.5*Таблиця276[[#This Row],[Suggested Pay (gp/month) ||| 1372 ]]</f>
        <v>45</v>
      </c>
      <c r="K5" s="2" t="s">
        <v>8673</v>
      </c>
      <c r="L5" s="2" t="s">
        <v>2320</v>
      </c>
      <c r="M5" s="2">
        <v>7</v>
      </c>
      <c r="N5" s="2">
        <f>S8</f>
        <v>820</v>
      </c>
      <c r="O5" s="2">
        <f>M5*N5</f>
        <v>5740</v>
      </c>
      <c r="Q5" s="709" t="s">
        <v>8646</v>
      </c>
      <c r="R5" s="710" t="s">
        <v>8647</v>
      </c>
      <c r="S5" s="778">
        <f>S4*3+4</f>
        <v>40</v>
      </c>
      <c r="T5" s="710">
        <v>3</v>
      </c>
      <c r="U5" s="711" t="s">
        <v>12145</v>
      </c>
      <c r="W5" s="2" t="s">
        <v>11262</v>
      </c>
      <c r="X5" s="777">
        <f>T6*T7*T8+T8</f>
        <v>20</v>
      </c>
      <c r="Z5" s="2" t="s">
        <v>11931</v>
      </c>
      <c r="AA5" s="777">
        <v>5</v>
      </c>
      <c r="AC5" s="2" t="s">
        <v>11168</v>
      </c>
      <c r="AD5" s="2" t="s">
        <v>11176</v>
      </c>
      <c r="AE5" s="2">
        <v>2</v>
      </c>
      <c r="AF5" s="2" t="s">
        <v>11182</v>
      </c>
    </row>
    <row r="6" spans="1:32" ht="19.5">
      <c r="A6" s="677" t="s">
        <v>692</v>
      </c>
      <c r="B6" s="677" t="s">
        <v>693</v>
      </c>
      <c r="C6" s="677" t="s">
        <v>8500</v>
      </c>
      <c r="D6" s="677" t="s">
        <v>694</v>
      </c>
      <c r="E6" s="677">
        <v>24</v>
      </c>
      <c r="F6" s="677" t="s">
        <v>11834</v>
      </c>
      <c r="G6" s="677" t="s">
        <v>8633</v>
      </c>
      <c r="H6" s="677"/>
      <c r="I6" s="798">
        <f>2.5*Таблиця276[[#This Row],[Suggested Pay (gp/month) ||| 1372 ]]</f>
        <v>60</v>
      </c>
      <c r="K6" s="2" t="s">
        <v>8673</v>
      </c>
      <c r="L6" s="2" t="s">
        <v>7007</v>
      </c>
      <c r="M6" s="2">
        <v>2</v>
      </c>
      <c r="N6" s="2">
        <f>S8</f>
        <v>820</v>
      </c>
      <c r="O6" s="2">
        <f>M6*N6</f>
        <v>1640</v>
      </c>
      <c r="Q6" s="704" t="s">
        <v>8648</v>
      </c>
      <c r="R6" s="705" t="s">
        <v>8649</v>
      </c>
      <c r="S6" s="777">
        <f>S5*3+9</f>
        <v>129</v>
      </c>
      <c r="T6" s="705">
        <v>3</v>
      </c>
      <c r="U6" s="706" t="s">
        <v>12146</v>
      </c>
      <c r="W6" s="2" t="s">
        <v>11263</v>
      </c>
      <c r="X6" s="777">
        <v>3</v>
      </c>
      <c r="Z6" s="2" t="s">
        <v>11932</v>
      </c>
      <c r="AA6" s="777">
        <v>11</v>
      </c>
      <c r="AC6" s="2" t="s">
        <v>11169</v>
      </c>
      <c r="AD6" s="2" t="s">
        <v>11178</v>
      </c>
      <c r="AE6" s="2">
        <v>4</v>
      </c>
      <c r="AF6" s="2" t="s">
        <v>11180</v>
      </c>
    </row>
    <row r="7" spans="1:32" ht="21" thickBot="1">
      <c r="A7" s="677" t="s">
        <v>695</v>
      </c>
      <c r="B7" s="677" t="s">
        <v>696</v>
      </c>
      <c r="C7" s="677" t="s">
        <v>8501</v>
      </c>
      <c r="D7" s="677" t="s">
        <v>697</v>
      </c>
      <c r="E7" s="677">
        <v>36</v>
      </c>
      <c r="F7" s="677" t="s">
        <v>11211</v>
      </c>
      <c r="G7" s="677" t="s">
        <v>11836</v>
      </c>
      <c r="H7" s="677"/>
      <c r="I7" s="798">
        <f>2.5*Таблиця276[[#This Row],[Suggested Pay (gp/month) ||| 1372 ]]</f>
        <v>90</v>
      </c>
      <c r="K7" s="712" t="s">
        <v>8673</v>
      </c>
      <c r="L7" s="712" t="s">
        <v>5798</v>
      </c>
      <c r="M7" s="712"/>
      <c r="N7" s="712"/>
      <c r="O7" s="712">
        <f>SUM(O4:O6)</f>
        <v>14760</v>
      </c>
      <c r="Q7" s="709" t="s">
        <v>8650</v>
      </c>
      <c r="R7" s="710" t="s">
        <v>8654</v>
      </c>
      <c r="S7" s="778">
        <f>S6*3+12</f>
        <v>399</v>
      </c>
      <c r="T7" s="710">
        <v>3</v>
      </c>
      <c r="U7" s="711" t="s">
        <v>10405</v>
      </c>
      <c r="W7" s="2" t="s">
        <v>10423</v>
      </c>
      <c r="X7" s="777">
        <v>1</v>
      </c>
      <c r="Z7" s="2" t="s">
        <v>11933</v>
      </c>
      <c r="AA7" s="777">
        <v>46</v>
      </c>
      <c r="AC7" s="2" t="s">
        <v>11170</v>
      </c>
      <c r="AD7" s="2" t="s">
        <v>11176</v>
      </c>
      <c r="AE7" s="2">
        <v>5</v>
      </c>
    </row>
    <row r="8" spans="1:32" ht="21.75" thickTop="1" thickBot="1">
      <c r="A8" s="677" t="s">
        <v>698</v>
      </c>
      <c r="B8" s="677" t="s">
        <v>699</v>
      </c>
      <c r="C8" s="677" t="s">
        <v>8501</v>
      </c>
      <c r="D8" s="677" t="s">
        <v>700</v>
      </c>
      <c r="E8" s="677">
        <v>45</v>
      </c>
      <c r="F8" s="677" t="s">
        <v>11187</v>
      </c>
      <c r="G8" s="677" t="s">
        <v>11836</v>
      </c>
      <c r="H8" s="677"/>
      <c r="I8" s="798">
        <v>110</v>
      </c>
      <c r="K8" s="2" t="s">
        <v>8674</v>
      </c>
      <c r="L8" s="2" t="s">
        <v>5809</v>
      </c>
      <c r="M8" s="2">
        <v>4</v>
      </c>
      <c r="N8" s="2">
        <f>S17</f>
        <v>679</v>
      </c>
      <c r="O8" s="2">
        <f>M8*N8</f>
        <v>2716</v>
      </c>
      <c r="Q8" s="704" t="s">
        <v>8651</v>
      </c>
      <c r="R8" s="705" t="s">
        <v>8652</v>
      </c>
      <c r="S8" s="1245">
        <f>S7*2+22</f>
        <v>820</v>
      </c>
      <c r="T8" s="705">
        <v>2</v>
      </c>
      <c r="U8" s="706" t="s">
        <v>10406</v>
      </c>
      <c r="W8" s="725" t="s">
        <v>5798</v>
      </c>
      <c r="X8" s="1244">
        <f>SUM(X4:X7)</f>
        <v>42</v>
      </c>
      <c r="Z8" s="2" t="s">
        <v>11934</v>
      </c>
      <c r="AA8" s="777">
        <v>141</v>
      </c>
      <c r="AC8" s="2" t="s">
        <v>11171</v>
      </c>
      <c r="AD8" s="2" t="s">
        <v>11176</v>
      </c>
      <c r="AE8" s="2">
        <v>10</v>
      </c>
    </row>
    <row r="9" spans="1:32" ht="21.75" thickTop="1" thickBot="1">
      <c r="A9" s="677" t="s">
        <v>701</v>
      </c>
      <c r="B9" s="677" t="s">
        <v>702</v>
      </c>
      <c r="C9" s="677" t="s">
        <v>8501</v>
      </c>
      <c r="D9" s="677" t="s">
        <v>703</v>
      </c>
      <c r="E9" s="677">
        <v>54</v>
      </c>
      <c r="F9" s="677"/>
      <c r="G9" s="677"/>
      <c r="H9" s="677"/>
      <c r="I9" s="798">
        <f>2.5*Таблиця276[[#This Row],[Suggested Pay (gp/month) ||| 1372 ]]</f>
        <v>135</v>
      </c>
      <c r="K9" s="2" t="s">
        <v>8674</v>
      </c>
      <c r="L9" s="2" t="s">
        <v>2320</v>
      </c>
      <c r="M9" s="2">
        <v>2</v>
      </c>
      <c r="N9" s="2">
        <f>S17</f>
        <v>679</v>
      </c>
      <c r="O9" s="2">
        <f>M9*N9</f>
        <v>1358</v>
      </c>
      <c r="Q9" s="713" t="s">
        <v>11935</v>
      </c>
      <c r="R9" s="714" t="s">
        <v>11238</v>
      </c>
      <c r="S9" s="1245">
        <f>S8*3</f>
        <v>2460</v>
      </c>
      <c r="T9" s="714">
        <v>3</v>
      </c>
      <c r="Z9" s="2" t="s">
        <v>8648</v>
      </c>
      <c r="AA9" s="777">
        <v>475</v>
      </c>
      <c r="AC9" s="2" t="s">
        <v>11172</v>
      </c>
      <c r="AD9" s="2" t="s">
        <v>11176</v>
      </c>
      <c r="AE9" s="2">
        <v>20</v>
      </c>
    </row>
    <row r="10" spans="1:32" ht="20.25" thickTop="1">
      <c r="A10" s="677" t="s">
        <v>704</v>
      </c>
      <c r="B10" s="677" t="s">
        <v>705</v>
      </c>
      <c r="C10" s="677" t="s">
        <v>8501</v>
      </c>
      <c r="D10" s="677" t="s">
        <v>706</v>
      </c>
      <c r="E10" s="677">
        <v>63</v>
      </c>
      <c r="F10" s="677" t="s">
        <v>11376</v>
      </c>
      <c r="G10" s="677"/>
      <c r="H10" s="677"/>
      <c r="I10" s="798">
        <v>150</v>
      </c>
      <c r="K10" s="2" t="s">
        <v>8674</v>
      </c>
      <c r="L10" s="2" t="s">
        <v>7007</v>
      </c>
      <c r="M10" s="2">
        <v>1</v>
      </c>
      <c r="N10" s="2">
        <f>S17</f>
        <v>679</v>
      </c>
      <c r="O10" s="2">
        <f>Таблиця105[[#This Row],[Average '# of soldiers]]*Таблиця105[[#This Row],['# Units]]</f>
        <v>679</v>
      </c>
      <c r="W10" s="715" t="s">
        <v>10306</v>
      </c>
      <c r="X10" s="716" t="s">
        <v>7928</v>
      </c>
      <c r="Z10" s="2" t="s">
        <v>11935</v>
      </c>
      <c r="AA10" s="777">
        <v>1277</v>
      </c>
      <c r="AC10" s="2" t="s">
        <v>11179</v>
      </c>
      <c r="AD10" s="2" t="s">
        <v>11176</v>
      </c>
      <c r="AE10" s="2">
        <v>40</v>
      </c>
    </row>
    <row r="11" spans="1:32" ht="23.25" thickBot="1">
      <c r="A11" s="677" t="s">
        <v>707</v>
      </c>
      <c r="B11" s="677" t="s">
        <v>8576</v>
      </c>
      <c r="C11" s="717" t="s">
        <v>8573</v>
      </c>
      <c r="D11" s="677" t="s">
        <v>708</v>
      </c>
      <c r="E11" s="677">
        <v>96</v>
      </c>
      <c r="F11" s="677" t="s">
        <v>8502</v>
      </c>
      <c r="G11" s="677" t="s">
        <v>11835</v>
      </c>
      <c r="H11" s="677"/>
      <c r="I11" s="798">
        <f>2.5*Таблиця276[[#This Row],[Suggested Pay (gp/month) ||| 1372 ]]</f>
        <v>240</v>
      </c>
      <c r="K11" s="712" t="s">
        <v>8674</v>
      </c>
      <c r="L11" s="712" t="s">
        <v>5798</v>
      </c>
      <c r="M11" s="712"/>
      <c r="N11" s="712"/>
      <c r="O11" s="712">
        <f>SUM(O8:O10)</f>
        <v>4753</v>
      </c>
      <c r="Q11" s="2220" t="s">
        <v>7376</v>
      </c>
      <c r="R11" s="2221"/>
      <c r="S11" s="2221"/>
      <c r="T11" s="2221"/>
      <c r="U11" s="2222"/>
      <c r="W11" s="2" t="s">
        <v>10420</v>
      </c>
      <c r="X11" s="777">
        <f>T15*T16*T17</f>
        <v>18</v>
      </c>
      <c r="Z11" s="2" t="s">
        <v>8651</v>
      </c>
      <c r="AA11" s="777">
        <v>4315</v>
      </c>
      <c r="AC11" s="2" t="s">
        <v>11173</v>
      </c>
      <c r="AD11" s="2" t="s">
        <v>11176</v>
      </c>
      <c r="AE11" s="2">
        <v>80</v>
      </c>
    </row>
    <row r="12" spans="1:32" ht="20.25" thickTop="1">
      <c r="A12" s="677" t="s">
        <v>709</v>
      </c>
      <c r="B12" s="677" t="s">
        <v>8577</v>
      </c>
      <c r="C12" s="717" t="s">
        <v>8574</v>
      </c>
      <c r="D12" s="677" t="s">
        <v>710</v>
      </c>
      <c r="E12" s="677">
        <v>108</v>
      </c>
      <c r="F12" s="677" t="s">
        <v>1355</v>
      </c>
      <c r="G12" s="677" t="s">
        <v>11835</v>
      </c>
      <c r="H12" s="677"/>
      <c r="I12" s="798">
        <f>2.5*Таблиця276[[#This Row],[Suggested Pay (gp/month) ||| 1372 ]]</f>
        <v>270</v>
      </c>
      <c r="K12" s="2" t="s">
        <v>8675</v>
      </c>
      <c r="L12" s="2" t="s">
        <v>8676</v>
      </c>
      <c r="M12" s="2">
        <v>2</v>
      </c>
      <c r="N12" s="2">
        <v>220</v>
      </c>
      <c r="O12" s="2">
        <f t="shared" ref="O12:O17" si="0">M12*N12</f>
        <v>440</v>
      </c>
      <c r="Q12" s="674" t="s">
        <v>10307</v>
      </c>
      <c r="R12" s="675" t="s">
        <v>10308</v>
      </c>
      <c r="S12" s="675" t="s">
        <v>10309</v>
      </c>
      <c r="T12" s="702" t="s">
        <v>12174</v>
      </c>
      <c r="U12" s="690" t="s">
        <v>8655</v>
      </c>
      <c r="W12" s="2" t="s">
        <v>10313</v>
      </c>
      <c r="X12" s="777">
        <f xml:space="preserve"> 8</f>
        <v>8</v>
      </c>
      <c r="Z12" s="2" t="s">
        <v>11936</v>
      </c>
      <c r="AA12" s="777">
        <v>12947</v>
      </c>
    </row>
    <row r="13" spans="1:32" ht="21" thickBot="1">
      <c r="A13" s="677" t="s">
        <v>656</v>
      </c>
      <c r="B13" s="677" t="s">
        <v>7702</v>
      </c>
      <c r="C13" s="717" t="s">
        <v>8575</v>
      </c>
      <c r="D13" s="677" t="s">
        <v>711</v>
      </c>
      <c r="E13" s="677">
        <v>120</v>
      </c>
      <c r="F13" s="677" t="s">
        <v>1356</v>
      </c>
      <c r="G13" s="677" t="s">
        <v>11835</v>
      </c>
      <c r="H13" s="718" t="str">
        <f>'Royal Court'!K9</f>
        <v>Baerovus Azoun</v>
      </c>
      <c r="I13" s="798">
        <f>2.5*Таблиця276[[#This Row],[Suggested Pay (gp/month) ||| 1372 ]]</f>
        <v>300</v>
      </c>
      <c r="K13" s="2" t="s">
        <v>8675</v>
      </c>
      <c r="L13" s="2" t="s">
        <v>12149</v>
      </c>
      <c r="M13" s="2">
        <v>4</v>
      </c>
      <c r="N13" s="2">
        <f>S23</f>
        <v>309</v>
      </c>
      <c r="O13" s="2">
        <f t="shared" si="0"/>
        <v>1236</v>
      </c>
      <c r="Q13" s="676" t="s">
        <v>10413</v>
      </c>
      <c r="R13" s="720" t="s">
        <v>10407</v>
      </c>
      <c r="S13" s="777">
        <v>8</v>
      </c>
      <c r="T13" s="677">
        <v>1</v>
      </c>
      <c r="U13" s="691" t="s">
        <v>10310</v>
      </c>
      <c r="W13" s="2" t="s">
        <v>10314</v>
      </c>
      <c r="X13" s="777">
        <f>(T16+1)*T17+1</f>
        <v>9</v>
      </c>
      <c r="Z13" s="725" t="s">
        <v>11348</v>
      </c>
      <c r="AA13" s="1244">
        <v>34953</v>
      </c>
    </row>
    <row r="14" spans="1:32" ht="20.25" thickTop="1">
      <c r="A14" s="677" t="s">
        <v>13117</v>
      </c>
      <c r="B14" s="677"/>
      <c r="C14" s="677"/>
      <c r="D14" s="677"/>
      <c r="E14" s="677"/>
      <c r="F14" s="677" t="s">
        <v>713</v>
      </c>
      <c r="G14" s="677" t="s">
        <v>11835</v>
      </c>
      <c r="H14" s="677"/>
      <c r="I14" s="798"/>
      <c r="K14" s="2" t="s">
        <v>8675</v>
      </c>
      <c r="L14" s="2" t="s">
        <v>8678</v>
      </c>
      <c r="M14" s="2">
        <v>1</v>
      </c>
      <c r="N14" s="2">
        <v>100</v>
      </c>
      <c r="O14" s="2">
        <f t="shared" si="0"/>
        <v>100</v>
      </c>
      <c r="Q14" s="676" t="s">
        <v>5848</v>
      </c>
      <c r="R14" s="720" t="s">
        <v>10421</v>
      </c>
      <c r="S14" s="777">
        <f>S13*3+8</f>
        <v>32</v>
      </c>
      <c r="T14" s="677">
        <v>3</v>
      </c>
      <c r="U14" s="691" t="s">
        <v>12147</v>
      </c>
      <c r="W14" s="2" t="s">
        <v>10434</v>
      </c>
      <c r="X14" s="777">
        <v>1</v>
      </c>
    </row>
    <row r="15" spans="1:32" ht="21" thickBot="1">
      <c r="A15" s="677" t="s">
        <v>714</v>
      </c>
      <c r="B15" s="677"/>
      <c r="C15" s="677"/>
      <c r="D15" s="677" t="s">
        <v>716</v>
      </c>
      <c r="E15" s="677" t="s">
        <v>717</v>
      </c>
      <c r="F15" s="677" t="s">
        <v>715</v>
      </c>
      <c r="G15" s="677"/>
      <c r="H15" s="677"/>
      <c r="I15" s="798"/>
      <c r="K15" s="2" t="s">
        <v>8675</v>
      </c>
      <c r="L15" s="2" t="s">
        <v>11216</v>
      </c>
      <c r="M15" s="2">
        <v>4</v>
      </c>
      <c r="N15" s="2">
        <f>S30*Таблиця105[[#This Row],['# Units]]</f>
        <v>516</v>
      </c>
      <c r="O15" s="2">
        <f t="shared" si="0"/>
        <v>2064</v>
      </c>
      <c r="Q15" s="676" t="s">
        <v>10414</v>
      </c>
      <c r="R15" s="720" t="s">
        <v>10415</v>
      </c>
      <c r="S15" s="777">
        <f>S14*3+9</f>
        <v>105</v>
      </c>
      <c r="T15" s="677">
        <v>3</v>
      </c>
      <c r="U15" s="691" t="s">
        <v>10432</v>
      </c>
      <c r="W15" s="725" t="s">
        <v>5798</v>
      </c>
      <c r="X15" s="1244">
        <f>SUM(X11:X14)</f>
        <v>36</v>
      </c>
    </row>
    <row r="16" spans="1:32" ht="20.25" thickTop="1">
      <c r="A16" s="677" t="s">
        <v>13118</v>
      </c>
      <c r="B16" s="677"/>
      <c r="C16" s="677"/>
      <c r="D16" s="677" t="s">
        <v>719</v>
      </c>
      <c r="E16" s="677"/>
      <c r="F16" s="677" t="s">
        <v>718</v>
      </c>
      <c r="G16" s="677"/>
      <c r="H16" s="677"/>
      <c r="I16" s="799" t="s">
        <v>13123</v>
      </c>
      <c r="K16" s="2" t="s">
        <v>8675</v>
      </c>
      <c r="L16" s="2" t="s">
        <v>11381</v>
      </c>
      <c r="M16" s="2">
        <v>1</v>
      </c>
      <c r="N16" s="2">
        <f>S6</f>
        <v>129</v>
      </c>
      <c r="O16" s="2">
        <f t="shared" si="0"/>
        <v>129</v>
      </c>
      <c r="Q16" s="676" t="s">
        <v>10311</v>
      </c>
      <c r="R16" s="720" t="s">
        <v>10312</v>
      </c>
      <c r="S16" s="777">
        <f>S15*3+13</f>
        <v>328</v>
      </c>
      <c r="T16" s="677">
        <v>3</v>
      </c>
      <c r="U16" s="691" t="s">
        <v>10433</v>
      </c>
    </row>
    <row r="17" spans="1:33" ht="17.25" thickBot="1">
      <c r="A17" s="797" t="s">
        <v>13119</v>
      </c>
      <c r="B17" s="677"/>
      <c r="C17" s="677"/>
      <c r="D17" s="677"/>
      <c r="E17" s="677"/>
      <c r="F17" s="677"/>
      <c r="G17" s="677"/>
      <c r="H17" s="677"/>
      <c r="I17" s="798"/>
      <c r="K17" s="2" t="s">
        <v>8675</v>
      </c>
      <c r="L17" s="2" t="s">
        <v>11382</v>
      </c>
      <c r="M17" s="2">
        <v>2</v>
      </c>
      <c r="N17" s="2">
        <f>S5</f>
        <v>40</v>
      </c>
      <c r="O17" s="2">
        <f t="shared" si="0"/>
        <v>80</v>
      </c>
      <c r="Q17" s="676" t="s">
        <v>8651</v>
      </c>
      <c r="R17" s="720" t="s">
        <v>10408</v>
      </c>
      <c r="S17" s="1245">
        <f>S16*2+23</f>
        <v>679</v>
      </c>
      <c r="T17" s="677">
        <v>2</v>
      </c>
      <c r="U17" s="691" t="s">
        <v>10435</v>
      </c>
      <c r="W17" s="715" t="s">
        <v>10306</v>
      </c>
      <c r="X17" s="716" t="s">
        <v>7928</v>
      </c>
    </row>
    <row r="18" spans="1:33" ht="21.75" thickTop="1" thickBot="1">
      <c r="A18" s="797" t="s">
        <v>13120</v>
      </c>
      <c r="B18" s="677"/>
      <c r="C18" s="677"/>
      <c r="D18" s="677"/>
      <c r="E18" s="677"/>
      <c r="F18" s="677" t="s">
        <v>11831</v>
      </c>
      <c r="G18" s="677"/>
      <c r="H18" s="718" t="s">
        <v>8504</v>
      </c>
      <c r="I18" s="798"/>
      <c r="K18" s="712" t="s">
        <v>5798</v>
      </c>
      <c r="L18" s="712" t="s">
        <v>5798</v>
      </c>
      <c r="M18" s="712"/>
      <c r="N18" s="712"/>
      <c r="O18" s="712">
        <f>SUM(O12:O17)</f>
        <v>4049</v>
      </c>
      <c r="W18" s="2" t="s">
        <v>11264</v>
      </c>
      <c r="X18" s="777">
        <v>8</v>
      </c>
      <c r="Z18" s="594" t="s">
        <v>12176</v>
      </c>
      <c r="AA18" s="2" t="s">
        <v>12178</v>
      </c>
      <c r="AB18" s="594" t="s">
        <v>12179</v>
      </c>
      <c r="AC18" s="2" t="s">
        <v>12184</v>
      </c>
      <c r="AD18" s="2">
        <f>3/4</f>
        <v>0.75</v>
      </c>
    </row>
    <row r="19" spans="1:33" ht="24.75" thickTop="1" thickBot="1">
      <c r="A19" s="797" t="s">
        <v>13121</v>
      </c>
      <c r="B19" s="677"/>
      <c r="C19" s="677"/>
      <c r="D19" s="677"/>
      <c r="E19" s="677"/>
      <c r="F19" s="677" t="s">
        <v>11372</v>
      </c>
      <c r="G19" s="677"/>
      <c r="H19" s="677"/>
      <c r="I19" s="798"/>
      <c r="K19" s="721" t="s">
        <v>8683</v>
      </c>
      <c r="L19" s="721"/>
      <c r="M19" s="721"/>
      <c r="N19" s="721"/>
      <c r="O19" s="721">
        <f>O18+O11+O7</f>
        <v>23562</v>
      </c>
      <c r="Q19" s="2220" t="s">
        <v>10323</v>
      </c>
      <c r="R19" s="2221"/>
      <c r="S19" s="2221"/>
      <c r="T19" s="2221"/>
      <c r="U19" s="2222"/>
      <c r="W19" s="2" t="s">
        <v>11259</v>
      </c>
      <c r="X19" s="777">
        <v>6</v>
      </c>
      <c r="Z19" s="2" t="s">
        <v>12175</v>
      </c>
      <c r="AA19" s="2" t="s">
        <v>12181</v>
      </c>
      <c r="AB19" s="594" t="s">
        <v>12180</v>
      </c>
      <c r="AC19" s="2" t="s">
        <v>12184</v>
      </c>
      <c r="AD19" s="2">
        <f>1/4</f>
        <v>0.25</v>
      </c>
    </row>
    <row r="20" spans="1:33" ht="20.25" thickTop="1">
      <c r="Q20" s="701" t="s">
        <v>10307</v>
      </c>
      <c r="R20" s="702" t="s">
        <v>10308</v>
      </c>
      <c r="S20" s="702" t="s">
        <v>10309</v>
      </c>
      <c r="T20" s="702" t="s">
        <v>12174</v>
      </c>
      <c r="U20" s="703" t="s">
        <v>10318</v>
      </c>
      <c r="W20" s="2" t="s">
        <v>10314</v>
      </c>
      <c r="X20" s="777">
        <v>3</v>
      </c>
      <c r="Z20" s="2" t="s">
        <v>12177</v>
      </c>
      <c r="AA20" s="2" t="s">
        <v>12182</v>
      </c>
      <c r="AB20" s="2" t="s">
        <v>12183</v>
      </c>
      <c r="AC20" s="2" t="s">
        <v>12185</v>
      </c>
    </row>
    <row r="21" spans="1:33" ht="19.5">
      <c r="K21" s="2" t="s">
        <v>12186</v>
      </c>
      <c r="Q21" s="727" t="s">
        <v>10321</v>
      </c>
      <c r="R21" s="727" t="s">
        <v>10418</v>
      </c>
      <c r="S21" s="777">
        <v>24</v>
      </c>
      <c r="T21" s="727">
        <v>1</v>
      </c>
      <c r="U21" s="727" t="s">
        <v>11210</v>
      </c>
      <c r="W21" s="2" t="s">
        <v>11260</v>
      </c>
      <c r="X21" s="777">
        <v>1</v>
      </c>
    </row>
    <row r="22" spans="1:33" ht="21" thickBot="1">
      <c r="Q22" s="728" t="s">
        <v>10411</v>
      </c>
      <c r="R22" s="728" t="s">
        <v>10322</v>
      </c>
      <c r="S22" s="777">
        <f>S21*4+4</f>
        <v>100</v>
      </c>
      <c r="T22" s="728">
        <v>4</v>
      </c>
      <c r="U22" s="728" t="s">
        <v>10440</v>
      </c>
      <c r="W22" s="725" t="s">
        <v>5798</v>
      </c>
      <c r="X22" s="1244">
        <f>SUM(X18:X21)</f>
        <v>18</v>
      </c>
    </row>
    <row r="23" spans="1:33" ht="18" thickTop="1" thickBot="1">
      <c r="Q23" s="708" t="s">
        <v>8651</v>
      </c>
      <c r="R23" s="708" t="s">
        <v>8652</v>
      </c>
      <c r="S23" s="1245">
        <f>S22*3+9</f>
        <v>309</v>
      </c>
      <c r="T23" s="708">
        <v>3</v>
      </c>
      <c r="U23" s="728" t="s">
        <v>12148</v>
      </c>
    </row>
    <row r="24" spans="1:33" ht="15" thickTop="1"/>
    <row r="26" spans="1:33" ht="21">
      <c r="Q26" s="2220" t="s">
        <v>11155</v>
      </c>
      <c r="R26" s="2221"/>
      <c r="S26" s="2221"/>
      <c r="T26" s="2221"/>
      <c r="U26" s="2222"/>
    </row>
    <row r="27" spans="1:33">
      <c r="Q27" s="715" t="s">
        <v>10307</v>
      </c>
      <c r="R27" s="723" t="s">
        <v>10308</v>
      </c>
      <c r="S27" s="723" t="s">
        <v>10309</v>
      </c>
      <c r="T27" s="702" t="s">
        <v>12174</v>
      </c>
      <c r="U27" s="716" t="s">
        <v>10318</v>
      </c>
    </row>
    <row r="28" spans="1:33" ht="19.5">
      <c r="Q28" s="2" t="s">
        <v>11186</v>
      </c>
      <c r="R28" s="2" t="s">
        <v>11209</v>
      </c>
      <c r="S28" s="777">
        <v>7</v>
      </c>
      <c r="T28" s="2">
        <v>1</v>
      </c>
      <c r="U28" s="2" t="s">
        <v>11217</v>
      </c>
    </row>
    <row r="29" spans="1:33" ht="19.5">
      <c r="A29" s="2223"/>
      <c r="B29" s="2223"/>
      <c r="C29" s="2223"/>
      <c r="D29" s="2223"/>
      <c r="E29" s="2223"/>
      <c r="Q29" s="2" t="s">
        <v>11206</v>
      </c>
      <c r="R29" s="2" t="s">
        <v>11207</v>
      </c>
      <c r="S29" s="777">
        <v>31</v>
      </c>
      <c r="T29" s="2">
        <v>4</v>
      </c>
      <c r="U29" s="2" t="s">
        <v>11218</v>
      </c>
    </row>
    <row r="30" spans="1:33" ht="14.25" customHeight="1" thickBot="1">
      <c r="A30" s="2223"/>
      <c r="B30" s="2223"/>
      <c r="C30" s="2223"/>
      <c r="D30" s="2223"/>
      <c r="E30" s="2223"/>
      <c r="Q30" s="722" t="s">
        <v>10411</v>
      </c>
      <c r="R30" s="719" t="s">
        <v>11208</v>
      </c>
      <c r="S30" s="1245">
        <f>S29*4+5</f>
        <v>129</v>
      </c>
      <c r="T30" s="2">
        <v>4</v>
      </c>
      <c r="U30" s="2" t="s">
        <v>11219</v>
      </c>
    </row>
    <row r="31" spans="1:33" ht="15" thickTop="1">
      <c r="A31" s="2223"/>
      <c r="B31" s="2223"/>
      <c r="C31" s="2223"/>
      <c r="D31" s="2223"/>
      <c r="E31" s="2223"/>
    </row>
    <row r="32" spans="1:33" ht="21">
      <c r="A32" s="2223"/>
      <c r="B32" s="2223"/>
      <c r="C32" s="2223"/>
      <c r="D32" s="2223"/>
      <c r="E32" s="2223"/>
      <c r="Q32" s="2220" t="s">
        <v>11154</v>
      </c>
      <c r="R32" s="2221"/>
      <c r="S32" s="2221"/>
      <c r="T32" s="2221"/>
      <c r="U32" s="2222"/>
      <c r="AD32"/>
      <c r="AE32"/>
      <c r="AF32"/>
      <c r="AG32"/>
    </row>
    <row r="33" spans="1:33">
      <c r="A33" s="2223"/>
      <c r="B33" s="2223"/>
      <c r="C33" s="2223"/>
      <c r="D33" s="2223"/>
      <c r="E33" s="2223"/>
      <c r="Q33" s="701" t="s">
        <v>10307</v>
      </c>
      <c r="R33" s="702" t="s">
        <v>10308</v>
      </c>
      <c r="S33" s="702" t="s">
        <v>10309</v>
      </c>
      <c r="T33" s="702" t="s">
        <v>12174</v>
      </c>
      <c r="U33" s="703" t="s">
        <v>10318</v>
      </c>
      <c r="AD33"/>
      <c r="AE33"/>
      <c r="AF33"/>
      <c r="AG33"/>
    </row>
    <row r="34" spans="1:33" ht="19.5">
      <c r="F34" s="674" t="s">
        <v>723</v>
      </c>
      <c r="G34" s="690" t="s">
        <v>8572</v>
      </c>
      <c r="I34" s="2" t="s">
        <v>11379</v>
      </c>
      <c r="J34" s="2" t="s">
        <v>8572</v>
      </c>
      <c r="L34" s="2" t="s">
        <v>11371</v>
      </c>
      <c r="Q34" s="704" t="s">
        <v>10416</v>
      </c>
      <c r="R34" s="705" t="s">
        <v>10422</v>
      </c>
      <c r="S34" s="777">
        <v>6</v>
      </c>
      <c r="T34" s="705">
        <v>1</v>
      </c>
      <c r="U34" s="706" t="s">
        <v>10319</v>
      </c>
      <c r="AD34"/>
      <c r="AE34"/>
      <c r="AF34"/>
      <c r="AG34"/>
    </row>
    <row r="35" spans="1:33" ht="19.5">
      <c r="F35" s="743" t="s">
        <v>8667</v>
      </c>
      <c r="G35" s="744" t="s">
        <v>8668</v>
      </c>
      <c r="I35" s="646" t="s">
        <v>11380</v>
      </c>
      <c r="J35" s="646" t="s">
        <v>11393</v>
      </c>
      <c r="L35" s="2" t="s">
        <v>10285</v>
      </c>
      <c r="M35" s="2" t="s">
        <v>1643</v>
      </c>
      <c r="N35" s="2" t="s">
        <v>11348</v>
      </c>
      <c r="Q35" s="709" t="s">
        <v>10417</v>
      </c>
      <c r="R35" s="710" t="s">
        <v>10409</v>
      </c>
      <c r="S35" s="777">
        <f>2*S34+4</f>
        <v>16</v>
      </c>
      <c r="T35" s="710">
        <v>2</v>
      </c>
      <c r="U35" s="711" t="s">
        <v>10436</v>
      </c>
      <c r="AD35"/>
      <c r="AE35"/>
      <c r="AF35"/>
      <c r="AG35"/>
    </row>
    <row r="36" spans="1:33" ht="19.5">
      <c r="F36" s="676" t="s">
        <v>11213</v>
      </c>
      <c r="G36" s="691" t="s">
        <v>8635</v>
      </c>
      <c r="I36" s="646" t="s">
        <v>11381</v>
      </c>
      <c r="J36" s="646" t="s">
        <v>11384</v>
      </c>
      <c r="L36" s="2" t="s">
        <v>374</v>
      </c>
      <c r="Q36" s="704" t="s">
        <v>10321</v>
      </c>
      <c r="R36" s="705" t="s">
        <v>10418</v>
      </c>
      <c r="S36" s="777">
        <v>42</v>
      </c>
      <c r="T36" s="705">
        <v>2</v>
      </c>
      <c r="U36" s="706" t="s">
        <v>10437</v>
      </c>
      <c r="AD36"/>
      <c r="AE36"/>
      <c r="AF36"/>
      <c r="AG36"/>
    </row>
    <row r="37" spans="1:33" ht="19.5">
      <c r="F37" s="692" t="s">
        <v>8639</v>
      </c>
      <c r="G37" s="693" t="s">
        <v>12142</v>
      </c>
      <c r="I37" s="2" t="s">
        <v>11382</v>
      </c>
      <c r="J37" s="646" t="s">
        <v>11383</v>
      </c>
      <c r="L37" s="2" t="s">
        <v>272</v>
      </c>
      <c r="Q37" s="709" t="s">
        <v>10311</v>
      </c>
      <c r="R37" s="710" t="s">
        <v>10410</v>
      </c>
      <c r="S37" s="777">
        <v>100</v>
      </c>
      <c r="T37" s="710">
        <v>2</v>
      </c>
      <c r="U37" s="711" t="s">
        <v>10438</v>
      </c>
      <c r="AD37"/>
      <c r="AE37"/>
      <c r="AF37"/>
      <c r="AG37"/>
    </row>
    <row r="38" spans="1:33" ht="17.25" thickBot="1">
      <c r="F38" s="743" t="s">
        <v>8662</v>
      </c>
      <c r="G38" s="744" t="s">
        <v>8663</v>
      </c>
      <c r="L38" s="2" t="s">
        <v>1</v>
      </c>
      <c r="M38" s="2">
        <v>1300</v>
      </c>
      <c r="Q38" s="704" t="s">
        <v>8651</v>
      </c>
      <c r="R38" s="705" t="s">
        <v>10408</v>
      </c>
      <c r="S38" s="1246">
        <v>220</v>
      </c>
      <c r="T38" s="705">
        <v>2</v>
      </c>
      <c r="U38" s="706" t="s">
        <v>10439</v>
      </c>
      <c r="AD38"/>
      <c r="AE38"/>
      <c r="AF38"/>
      <c r="AG38"/>
    </row>
    <row r="39" spans="1:33" ht="15" thickTop="1">
      <c r="F39" s="676" t="s">
        <v>8658</v>
      </c>
      <c r="G39" s="691" t="s">
        <v>8659</v>
      </c>
      <c r="L39" s="2" t="s">
        <v>71</v>
      </c>
      <c r="M39" s="2">
        <v>620</v>
      </c>
      <c r="AD39"/>
      <c r="AE39"/>
      <c r="AF39"/>
      <c r="AG39"/>
    </row>
    <row r="40" spans="1:33" ht="15">
      <c r="F40" s="743" t="s">
        <v>8660</v>
      </c>
      <c r="G40" s="744" t="s">
        <v>8661</v>
      </c>
      <c r="L40" s="646" t="s">
        <v>172</v>
      </c>
      <c r="M40" s="2">
        <v>1038</v>
      </c>
      <c r="AD40"/>
      <c r="AE40"/>
      <c r="AF40"/>
      <c r="AG40"/>
    </row>
    <row r="41" spans="1:33">
      <c r="F41" s="676" t="s">
        <v>8641</v>
      </c>
      <c r="G41" s="691" t="s">
        <v>8640</v>
      </c>
      <c r="L41" s="2" t="s">
        <v>178</v>
      </c>
      <c r="R41" s="2" t="s">
        <v>12152</v>
      </c>
      <c r="S41" s="2" t="s">
        <v>12153</v>
      </c>
      <c r="U41" s="729" t="s">
        <v>11349</v>
      </c>
      <c r="V41" s="729" t="s">
        <v>12154</v>
      </c>
      <c r="AD41"/>
      <c r="AE41"/>
      <c r="AF41"/>
      <c r="AG41"/>
    </row>
    <row r="42" spans="1:33">
      <c r="F42" s="743" t="s">
        <v>11374</v>
      </c>
      <c r="G42" s="744" t="s">
        <v>11375</v>
      </c>
      <c r="I42" s="729" t="s">
        <v>12172</v>
      </c>
      <c r="J42" s="2" t="s">
        <v>12173</v>
      </c>
      <c r="L42" s="2" t="s">
        <v>98</v>
      </c>
      <c r="Q42" s="705" t="s">
        <v>8653</v>
      </c>
      <c r="R42" s="2">
        <v>10</v>
      </c>
      <c r="S42" s="2">
        <v>1</v>
      </c>
      <c r="U42" s="2">
        <v>1</v>
      </c>
      <c r="W42" s="2">
        <f t="shared" ref="W42:W47" si="1">SUM(R42:V42)</f>
        <v>12</v>
      </c>
      <c r="AD42"/>
      <c r="AE42"/>
      <c r="AF42"/>
      <c r="AG42"/>
    </row>
    <row r="43" spans="1:33">
      <c r="F43" s="694" t="s">
        <v>8634</v>
      </c>
      <c r="G43" s="695" t="s">
        <v>12143</v>
      </c>
      <c r="I43" s="2" t="s">
        <v>12133</v>
      </c>
      <c r="J43" s="2" t="s">
        <v>12171</v>
      </c>
      <c r="L43" s="2" t="s">
        <v>11350</v>
      </c>
      <c r="Q43" s="710" t="s">
        <v>8647</v>
      </c>
      <c r="R43" s="2">
        <f>R42*3</f>
        <v>30</v>
      </c>
      <c r="S43" s="2">
        <f>S42*3</f>
        <v>3</v>
      </c>
      <c r="U43" s="2">
        <f>U42*3+4</f>
        <v>7</v>
      </c>
      <c r="W43" s="2">
        <f t="shared" si="1"/>
        <v>40</v>
      </c>
      <c r="AD43"/>
      <c r="AE43"/>
      <c r="AF43"/>
      <c r="AG43"/>
    </row>
    <row r="44" spans="1:33">
      <c r="F44" s="676" t="s">
        <v>11377</v>
      </c>
      <c r="G44" s="691" t="s">
        <v>11378</v>
      </c>
      <c r="I44" s="2" t="s">
        <v>12134</v>
      </c>
      <c r="J44" s="2" t="s">
        <v>12135</v>
      </c>
      <c r="L44" s="2" t="s">
        <v>11370</v>
      </c>
      <c r="Q44" s="705" t="s">
        <v>8649</v>
      </c>
      <c r="R44" s="2">
        <f>R43*3</f>
        <v>90</v>
      </c>
      <c r="S44" s="2">
        <f>3*S43+2</f>
        <v>11</v>
      </c>
      <c r="U44" s="2">
        <f>U43*3+5</f>
        <v>26</v>
      </c>
      <c r="V44" s="2">
        <v>2</v>
      </c>
      <c r="W44" s="2">
        <f t="shared" si="1"/>
        <v>129</v>
      </c>
      <c r="AD44"/>
      <c r="AE44"/>
      <c r="AF44"/>
      <c r="AG44"/>
    </row>
    <row r="45" spans="1:33">
      <c r="F45" s="743" t="s">
        <v>8656</v>
      </c>
      <c r="G45" s="744" t="s">
        <v>8657</v>
      </c>
      <c r="I45" s="2" t="s">
        <v>12136</v>
      </c>
      <c r="J45" s="2" t="s">
        <v>12137</v>
      </c>
      <c r="L45" s="2" t="s">
        <v>335</v>
      </c>
      <c r="N45" s="2" t="s">
        <v>11925</v>
      </c>
      <c r="Q45" s="710" t="s">
        <v>8654</v>
      </c>
      <c r="R45" s="2">
        <f>R44*3</f>
        <v>270</v>
      </c>
      <c r="S45" s="2">
        <f>S44*3+3</f>
        <v>36</v>
      </c>
      <c r="U45" s="2">
        <f>U44*3+7</f>
        <v>85</v>
      </c>
      <c r="V45" s="2">
        <f>V44*3+3</f>
        <v>9</v>
      </c>
      <c r="W45" s="2">
        <f t="shared" si="1"/>
        <v>400</v>
      </c>
    </row>
    <row r="46" spans="1:33">
      <c r="F46" s="676" t="s">
        <v>7373</v>
      </c>
      <c r="G46" s="691" t="s">
        <v>8664</v>
      </c>
      <c r="I46" s="2" t="s">
        <v>12138</v>
      </c>
      <c r="J46" s="2" t="s">
        <v>12137</v>
      </c>
      <c r="L46" s="2" t="s">
        <v>11220</v>
      </c>
      <c r="Q46" s="705" t="s">
        <v>8652</v>
      </c>
      <c r="R46" s="2">
        <f>R45*2</f>
        <v>540</v>
      </c>
      <c r="S46" s="2">
        <f>S45*2+6</f>
        <v>78</v>
      </c>
      <c r="U46" s="2">
        <f>U45*2+8</f>
        <v>178</v>
      </c>
      <c r="V46" s="2">
        <f>V45*2+6</f>
        <v>24</v>
      </c>
      <c r="W46" s="2">
        <f t="shared" si="1"/>
        <v>820</v>
      </c>
    </row>
    <row r="47" spans="1:33">
      <c r="F47" s="743" t="s">
        <v>8665</v>
      </c>
      <c r="G47" s="744" t="s">
        <v>8666</v>
      </c>
      <c r="L47" s="2" t="s">
        <v>11685</v>
      </c>
      <c r="N47" s="2" t="s">
        <v>11683</v>
      </c>
      <c r="R47" s="2">
        <f>R46*18</f>
        <v>9720</v>
      </c>
      <c r="S47" s="2">
        <f>S46*18</f>
        <v>1404</v>
      </c>
      <c r="U47" s="2">
        <f>U46*18</f>
        <v>3204</v>
      </c>
      <c r="V47" s="2">
        <f>V46*18</f>
        <v>432</v>
      </c>
      <c r="W47" s="2">
        <f t="shared" si="1"/>
        <v>14760</v>
      </c>
    </row>
    <row r="48" spans="1:33">
      <c r="F48" s="676" t="s">
        <v>11214</v>
      </c>
      <c r="G48" s="691" t="s">
        <v>11212</v>
      </c>
      <c r="W48" s="730">
        <f>U47/W47</f>
        <v>0.21707317073170732</v>
      </c>
    </row>
    <row r="49" spans="6:42">
      <c r="F49" s="696" t="s">
        <v>712</v>
      </c>
      <c r="G49" s="697" t="s">
        <v>12144</v>
      </c>
    </row>
    <row r="50" spans="6:42">
      <c r="F50" s="698" t="s">
        <v>12140</v>
      </c>
      <c r="G50" s="699" t="s">
        <v>12141</v>
      </c>
    </row>
    <row r="51" spans="6:42">
      <c r="F51" s="743" t="s">
        <v>8636</v>
      </c>
      <c r="G51" s="744" t="s">
        <v>8637</v>
      </c>
      <c r="AL51" s="708"/>
      <c r="AM51" s="708"/>
      <c r="AN51" s="708" t="s">
        <v>335</v>
      </c>
      <c r="AO51" s="708"/>
      <c r="AP51" s="708" t="s">
        <v>11916</v>
      </c>
    </row>
    <row r="52" spans="6:42">
      <c r="F52" s="676" t="s">
        <v>8638</v>
      </c>
      <c r="G52" s="691"/>
      <c r="AL52" s="708"/>
      <c r="AM52" s="708"/>
      <c r="AN52" s="708" t="s">
        <v>11685</v>
      </c>
      <c r="AO52" s="708"/>
      <c r="AP52" s="708" t="s">
        <v>11917</v>
      </c>
    </row>
    <row r="56" spans="6:42" ht="21.75" thickBot="1">
      <c r="G56" s="700"/>
      <c r="H56" s="636"/>
    </row>
    <row r="57" spans="6:42" ht="15" thickTop="1">
      <c r="G57" s="745" t="s">
        <v>1787</v>
      </c>
      <c r="H57" s="746" t="s">
        <v>11242</v>
      </c>
      <c r="I57" s="746" t="s">
        <v>1643</v>
      </c>
      <c r="J57" s="747" t="s">
        <v>7928</v>
      </c>
    </row>
    <row r="58" spans="6:42">
      <c r="G58" s="748" t="s">
        <v>11255</v>
      </c>
      <c r="H58" s="749" t="s">
        <v>11253</v>
      </c>
      <c r="I58" s="749">
        <v>4</v>
      </c>
      <c r="J58" s="750">
        <f>96/4</f>
        <v>24</v>
      </c>
    </row>
    <row r="59" spans="6:42">
      <c r="G59" s="751" t="s">
        <v>11255</v>
      </c>
      <c r="H59" s="752" t="s">
        <v>11254</v>
      </c>
      <c r="I59" s="752">
        <v>12</v>
      </c>
      <c r="J59" s="753">
        <f>J58/3</f>
        <v>8</v>
      </c>
    </row>
    <row r="60" spans="6:42">
      <c r="G60" s="748" t="s">
        <v>11256</v>
      </c>
      <c r="H60" s="749" t="s">
        <v>11257</v>
      </c>
      <c r="I60" s="749">
        <v>3</v>
      </c>
      <c r="J60" s="750">
        <v>12</v>
      </c>
    </row>
    <row r="61" spans="6:42">
      <c r="G61" s="754" t="s">
        <v>11256</v>
      </c>
      <c r="H61" s="755" t="s">
        <v>11254</v>
      </c>
      <c r="I61" s="755">
        <f>3*I60</f>
        <v>9</v>
      </c>
      <c r="J61" s="756">
        <v>4</v>
      </c>
    </row>
    <row r="80" spans="1:9">
      <c r="A80" s="2" t="s">
        <v>1787</v>
      </c>
      <c r="B80" s="2" t="s">
        <v>5813</v>
      </c>
      <c r="C80" s="2" t="s">
        <v>10317</v>
      </c>
      <c r="D80" s="2" t="s">
        <v>5784</v>
      </c>
      <c r="E80" s="2" t="s">
        <v>5783</v>
      </c>
      <c r="F80" s="2" t="s">
        <v>1845</v>
      </c>
      <c r="G80" s="2" t="s">
        <v>7495</v>
      </c>
      <c r="H80" s="2" t="s">
        <v>11270</v>
      </c>
      <c r="I80" s="2" t="s">
        <v>11215</v>
      </c>
    </row>
    <row r="81" spans="1:9" ht="15">
      <c r="A81" s="646" t="s">
        <v>10305</v>
      </c>
      <c r="B81" s="2" t="s">
        <v>11265</v>
      </c>
      <c r="C81" s="2" t="s">
        <v>10419</v>
      </c>
      <c r="D81" s="2" t="s">
        <v>11272</v>
      </c>
      <c r="E81" s="2" t="s">
        <v>12155</v>
      </c>
      <c r="F81" s="724" t="s">
        <v>2315</v>
      </c>
    </row>
    <row r="82" spans="1:9" ht="15">
      <c r="A82" s="646" t="s">
        <v>10305</v>
      </c>
      <c r="B82" s="2" t="s">
        <v>7372</v>
      </c>
      <c r="C82" s="2" t="s">
        <v>10412</v>
      </c>
      <c r="D82" s="2" t="s">
        <v>11282</v>
      </c>
      <c r="E82" s="2" t="s">
        <v>2580</v>
      </c>
      <c r="F82" s="724" t="s">
        <v>2315</v>
      </c>
    </row>
    <row r="83" spans="1:9" ht="15">
      <c r="A83" s="646" t="s">
        <v>10304</v>
      </c>
      <c r="B83" s="2" t="s">
        <v>11265</v>
      </c>
      <c r="C83" s="2" t="s">
        <v>10424</v>
      </c>
      <c r="D83" s="2" t="s">
        <v>11271</v>
      </c>
      <c r="E83" s="2" t="s">
        <v>11283</v>
      </c>
      <c r="F83" s="724" t="s">
        <v>2315</v>
      </c>
    </row>
    <row r="84" spans="1:9" ht="15">
      <c r="A84" s="646" t="s">
        <v>10304</v>
      </c>
      <c r="B84" s="2" t="s">
        <v>10306</v>
      </c>
      <c r="C84" s="2" t="s">
        <v>10425</v>
      </c>
      <c r="D84" s="2" t="s">
        <v>11271</v>
      </c>
      <c r="E84" s="2" t="s">
        <v>2580</v>
      </c>
      <c r="F84" s="724" t="s">
        <v>2315</v>
      </c>
    </row>
    <row r="85" spans="1:9">
      <c r="A85" s="2" t="s">
        <v>10301</v>
      </c>
      <c r="B85" s="2" t="s">
        <v>11265</v>
      </c>
      <c r="C85" s="2" t="s">
        <v>10302</v>
      </c>
      <c r="D85" s="2" t="s">
        <v>11284</v>
      </c>
      <c r="E85" s="2" t="s">
        <v>11285</v>
      </c>
      <c r="F85" s="724" t="s">
        <v>2315</v>
      </c>
    </row>
    <row r="86" spans="1:9">
      <c r="A86" s="2" t="s">
        <v>10301</v>
      </c>
      <c r="B86" s="2" t="s">
        <v>10306</v>
      </c>
      <c r="C86" s="2" t="s">
        <v>10303</v>
      </c>
      <c r="D86" s="2" t="s">
        <v>11273</v>
      </c>
      <c r="E86" s="2" t="s">
        <v>2580</v>
      </c>
      <c r="F86" s="724" t="s">
        <v>2315</v>
      </c>
    </row>
    <row r="87" spans="1:9" ht="15">
      <c r="A87" s="646" t="s">
        <v>10315</v>
      </c>
      <c r="B87" s="2" t="s">
        <v>11265</v>
      </c>
      <c r="C87" s="2" t="s">
        <v>10426</v>
      </c>
      <c r="D87" s="2" t="s">
        <v>11272</v>
      </c>
      <c r="E87" s="2" t="s">
        <v>12156</v>
      </c>
      <c r="F87" s="724" t="s">
        <v>2315</v>
      </c>
      <c r="G87" s="2" t="s">
        <v>11267</v>
      </c>
      <c r="H87" s="2" t="s">
        <v>11275</v>
      </c>
      <c r="I87" s="2" t="s">
        <v>11267</v>
      </c>
    </row>
    <row r="88" spans="1:9" ht="15">
      <c r="A88" s="646" t="s">
        <v>10315</v>
      </c>
      <c r="B88" s="2" t="s">
        <v>7372</v>
      </c>
      <c r="C88" s="2" t="s">
        <v>10427</v>
      </c>
      <c r="D88" s="2" t="s">
        <v>11280</v>
      </c>
      <c r="E88" s="2" t="s">
        <v>12156</v>
      </c>
      <c r="F88" s="724" t="s">
        <v>2315</v>
      </c>
      <c r="G88" s="2" t="s">
        <v>11267</v>
      </c>
      <c r="H88" s="2" t="s">
        <v>11275</v>
      </c>
      <c r="I88" s="2" t="s">
        <v>11267</v>
      </c>
    </row>
    <row r="89" spans="1:9" ht="15">
      <c r="A89" s="646" t="s">
        <v>10316</v>
      </c>
      <c r="B89" s="2" t="s">
        <v>11265</v>
      </c>
      <c r="C89" s="2" t="s">
        <v>10428</v>
      </c>
      <c r="D89" s="2" t="s">
        <v>11271</v>
      </c>
      <c r="E89" s="2" t="s">
        <v>12156</v>
      </c>
      <c r="F89" s="724" t="s">
        <v>2315</v>
      </c>
      <c r="G89" s="2" t="s">
        <v>11268</v>
      </c>
      <c r="H89" s="2" t="s">
        <v>11274</v>
      </c>
      <c r="I89" s="2" t="s">
        <v>11268</v>
      </c>
    </row>
    <row r="90" spans="1:9" ht="15">
      <c r="A90" s="646" t="s">
        <v>10316</v>
      </c>
      <c r="B90" s="2" t="s">
        <v>10306</v>
      </c>
      <c r="C90" s="2" t="s">
        <v>10429</v>
      </c>
      <c r="D90" s="2" t="s">
        <v>11273</v>
      </c>
      <c r="E90" s="2" t="s">
        <v>12156</v>
      </c>
      <c r="F90" s="724" t="s">
        <v>2315</v>
      </c>
      <c r="G90" s="2" t="s">
        <v>11268</v>
      </c>
      <c r="H90" s="2" t="s">
        <v>11276</v>
      </c>
      <c r="I90" s="2" t="s">
        <v>11268</v>
      </c>
    </row>
    <row r="91" spans="1:9" ht="15">
      <c r="A91" s="646" t="s">
        <v>10320</v>
      </c>
      <c r="B91" s="2" t="s">
        <v>11265</v>
      </c>
      <c r="C91" s="2" t="s">
        <v>11279</v>
      </c>
      <c r="D91" s="2" t="s">
        <v>6274</v>
      </c>
      <c r="E91" s="2" t="s">
        <v>11277</v>
      </c>
      <c r="F91" s="2" t="s">
        <v>7028</v>
      </c>
      <c r="G91" s="2" t="s">
        <v>11269</v>
      </c>
      <c r="I91" s="2" t="s">
        <v>11269</v>
      </c>
    </row>
    <row r="92" spans="1:9" ht="15">
      <c r="A92" s="646" t="s">
        <v>10320</v>
      </c>
      <c r="B92" s="2" t="s">
        <v>10306</v>
      </c>
      <c r="C92" s="2" t="s">
        <v>11278</v>
      </c>
      <c r="D92" s="2" t="s">
        <v>6275</v>
      </c>
      <c r="E92" s="2" t="s">
        <v>11277</v>
      </c>
      <c r="F92" s="2" t="s">
        <v>7028</v>
      </c>
      <c r="G92" s="2" t="s">
        <v>11269</v>
      </c>
      <c r="I92" s="2" t="s">
        <v>11269</v>
      </c>
    </row>
    <row r="93" spans="1:9" ht="15">
      <c r="A93" s="646" t="s">
        <v>10323</v>
      </c>
      <c r="B93" s="2" t="s">
        <v>11265</v>
      </c>
      <c r="C93" s="2" t="s">
        <v>10430</v>
      </c>
      <c r="D93" s="2" t="s">
        <v>6274</v>
      </c>
      <c r="E93" s="2" t="s">
        <v>11281</v>
      </c>
      <c r="F93" s="724" t="s">
        <v>2315</v>
      </c>
    </row>
    <row r="94" spans="1:9" ht="15">
      <c r="A94" s="646" t="s">
        <v>10323</v>
      </c>
      <c r="B94" s="2" t="s">
        <v>10306</v>
      </c>
      <c r="C94" s="2" t="s">
        <v>10431</v>
      </c>
      <c r="D94" s="2" t="s">
        <v>6275</v>
      </c>
      <c r="E94" s="2" t="s">
        <v>11281</v>
      </c>
      <c r="F94" s="724" t="s">
        <v>2315</v>
      </c>
    </row>
    <row r="95" spans="1:9" ht="15">
      <c r="A95" s="646" t="s">
        <v>11266</v>
      </c>
      <c r="B95" s="2" t="s">
        <v>11265</v>
      </c>
      <c r="D95" s="2" t="s">
        <v>6274</v>
      </c>
      <c r="E95" s="2" t="s">
        <v>2751</v>
      </c>
      <c r="F95" s="724" t="s">
        <v>2315</v>
      </c>
    </row>
    <row r="96" spans="1:9" ht="15">
      <c r="A96" s="646" t="s">
        <v>11266</v>
      </c>
      <c r="B96" s="2" t="s">
        <v>10306</v>
      </c>
      <c r="D96" s="2" t="s">
        <v>6274</v>
      </c>
      <c r="E96" s="2" t="s">
        <v>2751</v>
      </c>
      <c r="F96" s="724" t="s">
        <v>2315</v>
      </c>
    </row>
    <row r="97" spans="1:14" ht="15">
      <c r="A97" s="646" t="s">
        <v>714</v>
      </c>
      <c r="B97" s="2" t="s">
        <v>10306</v>
      </c>
      <c r="D97" s="2" t="s">
        <v>11273</v>
      </c>
      <c r="E97" s="2" t="s">
        <v>12157</v>
      </c>
      <c r="F97" s="724" t="s">
        <v>2315</v>
      </c>
    </row>
    <row r="98" spans="1:14" ht="15">
      <c r="A98" s="646" t="s">
        <v>11286</v>
      </c>
      <c r="B98" s="2" t="s">
        <v>11265</v>
      </c>
      <c r="D98" s="2" t="s">
        <v>6277</v>
      </c>
      <c r="E98" s="2" t="s">
        <v>12157</v>
      </c>
    </row>
    <row r="99" spans="1:14" ht="15">
      <c r="A99" s="646" t="s">
        <v>11286</v>
      </c>
      <c r="B99" s="2" t="s">
        <v>10306</v>
      </c>
      <c r="D99" s="2" t="s">
        <v>6277</v>
      </c>
      <c r="E99" s="2" t="s">
        <v>12157</v>
      </c>
    </row>
    <row r="100" spans="1:14" ht="15">
      <c r="A100" s="646" t="s">
        <v>11287</v>
      </c>
      <c r="B100" s="2" t="s">
        <v>11265</v>
      </c>
    </row>
    <row r="101" spans="1:14" ht="15">
      <c r="A101" s="646" t="s">
        <v>11287</v>
      </c>
      <c r="B101" s="2" t="s">
        <v>10306</v>
      </c>
      <c r="K101" s="707" t="s">
        <v>11242</v>
      </c>
      <c r="L101" s="707" t="s">
        <v>10357</v>
      </c>
      <c r="M101" s="707" t="s">
        <v>7928</v>
      </c>
    </row>
    <row r="102" spans="1:14" ht="15">
      <c r="A102" s="646"/>
      <c r="K102" s="708" t="s">
        <v>714</v>
      </c>
      <c r="L102" s="708" t="s">
        <v>707</v>
      </c>
      <c r="M102" s="708">
        <v>1</v>
      </c>
    </row>
    <row r="103" spans="1:14" ht="15">
      <c r="A103" s="646"/>
      <c r="K103" s="708" t="s">
        <v>11251</v>
      </c>
      <c r="L103" s="708" t="s">
        <v>704</v>
      </c>
      <c r="M103" s="708">
        <v>1</v>
      </c>
    </row>
    <row r="104" spans="1:14" ht="15" thickBot="1">
      <c r="E104" s="2" t="s">
        <v>11348</v>
      </c>
      <c r="F104" s="2" t="s">
        <v>10236</v>
      </c>
      <c r="G104" s="2" t="s">
        <v>11349</v>
      </c>
      <c r="K104" s="708" t="s">
        <v>11251</v>
      </c>
      <c r="L104" s="708" t="s">
        <v>11252</v>
      </c>
      <c r="M104" s="708">
        <v>4</v>
      </c>
    </row>
    <row r="105" spans="1:14" ht="39.75" thickBot="1">
      <c r="A105" s="598" t="s">
        <v>10324</v>
      </c>
      <c r="C105" s="684"/>
      <c r="E105" s="2" t="s">
        <v>11346</v>
      </c>
      <c r="G105" s="2" t="s">
        <v>374</v>
      </c>
      <c r="K105" s="708" t="s">
        <v>11251</v>
      </c>
      <c r="L105" s="708" t="s">
        <v>11258</v>
      </c>
      <c r="M105" s="708">
        <f>I58*J58</f>
        <v>96</v>
      </c>
    </row>
    <row r="106" spans="1:14" ht="16.5" thickTop="1" thickBot="1">
      <c r="A106" s="595">
        <v>1</v>
      </c>
      <c r="B106" s="595" t="s">
        <v>12158</v>
      </c>
      <c r="C106" s="2" t="str">
        <f>'D PurpleDragons'!I64</f>
        <v>Queen's Cavalry Regiment</v>
      </c>
      <c r="E106" s="2" t="s">
        <v>11887</v>
      </c>
      <c r="G106" s="2" t="s">
        <v>71</v>
      </c>
      <c r="K106" s="708" t="s">
        <v>11256</v>
      </c>
      <c r="L106" s="708" t="s">
        <v>704</v>
      </c>
      <c r="M106" s="708">
        <v>1</v>
      </c>
    </row>
    <row r="107" spans="1:14" ht="15.75" thickBot="1">
      <c r="A107" s="595">
        <v>1</v>
      </c>
      <c r="B107" s="595" t="s">
        <v>10325</v>
      </c>
      <c r="E107" s="2" t="s">
        <v>11347</v>
      </c>
      <c r="G107" s="2" t="s">
        <v>374</v>
      </c>
      <c r="K107" s="708" t="s">
        <v>11256</v>
      </c>
      <c r="L107" s="708" t="s">
        <v>11252</v>
      </c>
      <c r="M107" s="708">
        <f>I60</f>
        <v>3</v>
      </c>
    </row>
    <row r="108" spans="1:14" ht="15.75" thickBot="1">
      <c r="A108" s="595">
        <v>1</v>
      </c>
      <c r="B108" s="595" t="s">
        <v>10326</v>
      </c>
      <c r="E108" s="2" t="s">
        <v>11683</v>
      </c>
      <c r="G108" s="2" t="s">
        <v>335</v>
      </c>
      <c r="K108" s="708" t="s">
        <v>11256</v>
      </c>
      <c r="L108" s="708" t="s">
        <v>11258</v>
      </c>
      <c r="M108" s="708">
        <f>I60*J60</f>
        <v>36</v>
      </c>
    </row>
    <row r="109" spans="1:14" ht="17.25" thickBot="1">
      <c r="A109" s="595">
        <v>1</v>
      </c>
      <c r="B109" s="595" t="s">
        <v>10327</v>
      </c>
      <c r="E109" s="2" t="s">
        <v>11684</v>
      </c>
      <c r="G109" s="2" t="s">
        <v>11685</v>
      </c>
      <c r="K109" s="725" t="s">
        <v>5799</v>
      </c>
      <c r="L109" s="725"/>
      <c r="M109" s="725">
        <f>SUM(M102:M108)</f>
        <v>142</v>
      </c>
      <c r="N109" s="726" t="s">
        <v>11331</v>
      </c>
    </row>
    <row r="110" spans="1:14" ht="15.75" thickBot="1">
      <c r="A110" s="595">
        <v>1</v>
      </c>
      <c r="B110" s="595" t="s">
        <v>10328</v>
      </c>
      <c r="E110" s="2" t="s">
        <v>11873</v>
      </c>
      <c r="F110" s="2" t="s">
        <v>11830</v>
      </c>
    </row>
    <row r="111" spans="1:14" ht="15.75" thickBot="1">
      <c r="A111" s="595">
        <v>3</v>
      </c>
      <c r="B111" s="595" t="s">
        <v>10329</v>
      </c>
      <c r="E111" s="2" t="s">
        <v>12202</v>
      </c>
      <c r="G111" s="2" t="s">
        <v>1</v>
      </c>
    </row>
    <row r="112" spans="1:14" ht="15.75" thickBot="1">
      <c r="A112" s="595">
        <v>3</v>
      </c>
      <c r="B112" s="595" t="s">
        <v>10330</v>
      </c>
    </row>
    <row r="113" spans="1:3" ht="15.75" thickBot="1">
      <c r="A113" s="595">
        <v>1</v>
      </c>
      <c r="B113" s="595" t="s">
        <v>11382</v>
      </c>
    </row>
    <row r="114" spans="1:3" ht="15.75" thickBot="1">
      <c r="A114" s="596" t="s">
        <v>11353</v>
      </c>
    </row>
    <row r="115" spans="1:3" ht="15.75" thickBot="1">
      <c r="A115" s="595" t="s">
        <v>435</v>
      </c>
      <c r="B115" s="595" t="s">
        <v>10331</v>
      </c>
    </row>
    <row r="116" spans="1:3" ht="15.75" thickBot="1">
      <c r="A116" s="595" t="s">
        <v>8546</v>
      </c>
      <c r="B116" s="595" t="s">
        <v>11863</v>
      </c>
    </row>
    <row r="117" spans="1:3" ht="15.75" thickBot="1">
      <c r="A117" s="595" t="s">
        <v>11354</v>
      </c>
      <c r="B117" s="595" t="s">
        <v>11352</v>
      </c>
    </row>
    <row r="118" spans="1:3" ht="15.75" thickBot="1">
      <c r="A118" s="595" t="s">
        <v>125</v>
      </c>
      <c r="B118" s="595" t="s">
        <v>11680</v>
      </c>
    </row>
    <row r="119" spans="1:3" ht="15" thickBot="1"/>
    <row r="120" spans="1:3" ht="39.75" thickBot="1">
      <c r="A120" s="598" t="s">
        <v>10332</v>
      </c>
      <c r="C120" s="684"/>
    </row>
    <row r="121" spans="1:3" ht="16.5" thickTop="1" thickBot="1">
      <c r="A121" s="595">
        <v>5</v>
      </c>
      <c r="B121" s="595" t="s">
        <v>10329</v>
      </c>
    </row>
    <row r="122" spans="1:3" ht="17.25" thickBot="1">
      <c r="A122" s="639" t="s">
        <v>11871</v>
      </c>
    </row>
    <row r="123" spans="1:3" ht="15" thickBot="1">
      <c r="A123" s="2" t="s">
        <v>77</v>
      </c>
      <c r="B123" s="2" t="s">
        <v>11872</v>
      </c>
    </row>
    <row r="124" spans="1:3" ht="39.75" thickBot="1">
      <c r="A124" s="598" t="s">
        <v>10335</v>
      </c>
      <c r="C124" s="684" t="s">
        <v>11887</v>
      </c>
    </row>
    <row r="125" spans="1:3" ht="16.5" thickTop="1" thickBot="1">
      <c r="A125" s="595">
        <v>1</v>
      </c>
      <c r="B125" s="595" t="s">
        <v>10328</v>
      </c>
    </row>
    <row r="126" spans="1:3" ht="15.75" thickBot="1">
      <c r="A126" s="595">
        <v>1</v>
      </c>
      <c r="B126" s="595" t="s">
        <v>10333</v>
      </c>
    </row>
    <row r="127" spans="1:3" ht="15.75" thickBot="1">
      <c r="A127" s="595">
        <v>1</v>
      </c>
      <c r="B127" s="595" t="s">
        <v>10334</v>
      </c>
    </row>
    <row r="128" spans="1:3" ht="17.25" thickBot="1">
      <c r="A128" s="639" t="s">
        <v>11355</v>
      </c>
    </row>
    <row r="129" spans="1:3" ht="15.75" thickBot="1">
      <c r="A129" s="595" t="s">
        <v>221</v>
      </c>
      <c r="B129" s="595" t="s">
        <v>11361</v>
      </c>
    </row>
    <row r="130" spans="1:3" ht="15.75" thickBot="1">
      <c r="A130" s="595" t="s">
        <v>11356</v>
      </c>
      <c r="B130" s="595" t="s">
        <v>11352</v>
      </c>
    </row>
    <row r="131" spans="1:3" ht="15.75" thickBot="1">
      <c r="A131" s="595" t="s">
        <v>11357</v>
      </c>
      <c r="B131" s="595" t="s">
        <v>11361</v>
      </c>
    </row>
    <row r="132" spans="1:3" ht="15.75" thickBot="1">
      <c r="A132" s="595" t="s">
        <v>10336</v>
      </c>
      <c r="B132" s="595" t="s">
        <v>11361</v>
      </c>
    </row>
    <row r="133" spans="1:3" ht="15.75" thickBot="1">
      <c r="A133" s="595" t="s">
        <v>11358</v>
      </c>
      <c r="B133" s="595" t="s">
        <v>11363</v>
      </c>
    </row>
    <row r="134" spans="1:3" ht="15.75" thickBot="1">
      <c r="A134" s="595" t="s">
        <v>11359</v>
      </c>
      <c r="B134" s="595" t="s">
        <v>11364</v>
      </c>
      <c r="C134" s="2" t="s">
        <v>11362</v>
      </c>
    </row>
    <row r="135" spans="1:3" ht="15.75" thickBot="1">
      <c r="A135" s="595" t="s">
        <v>8669</v>
      </c>
      <c r="B135" s="595"/>
    </row>
    <row r="136" spans="1:3" ht="15">
      <c r="A136" s="653" t="s">
        <v>11682</v>
      </c>
      <c r="B136" s="653" t="s">
        <v>11681</v>
      </c>
    </row>
    <row r="137" spans="1:3" ht="15.75" thickBot="1">
      <c r="A137" s="653"/>
      <c r="B137" s="653"/>
    </row>
    <row r="138" spans="1:3" ht="39.75" thickBot="1">
      <c r="A138" s="598" t="s">
        <v>10337</v>
      </c>
      <c r="C138" s="684" t="s">
        <v>11887</v>
      </c>
    </row>
    <row r="139" spans="1:3" ht="15.75" thickTop="1" thickBot="1"/>
    <row r="140" spans="1:3" ht="15.75" thickBot="1">
      <c r="A140" s="595">
        <v>1</v>
      </c>
      <c r="B140" s="595" t="s">
        <v>10328</v>
      </c>
    </row>
    <row r="141" spans="1:3" ht="15.75" thickBot="1">
      <c r="A141" s="595">
        <v>1</v>
      </c>
      <c r="B141" s="595" t="s">
        <v>10338</v>
      </c>
    </row>
    <row r="142" spans="1:3" ht="15.75" thickBot="1">
      <c r="A142" s="596" t="s">
        <v>10339</v>
      </c>
    </row>
    <row r="143" spans="1:3" ht="15.75" thickBot="1">
      <c r="A143" s="595" t="s">
        <v>351</v>
      </c>
      <c r="B143" s="595" t="s">
        <v>11352</v>
      </c>
    </row>
    <row r="144" spans="1:3" ht="15.75" thickBot="1">
      <c r="A144" s="595" t="s">
        <v>185</v>
      </c>
      <c r="B144" s="595" t="s">
        <v>11352</v>
      </c>
    </row>
    <row r="145" spans="1:3" ht="15.75" thickBot="1">
      <c r="A145" s="595" t="s">
        <v>8671</v>
      </c>
      <c r="B145" s="595" t="s">
        <v>11352</v>
      </c>
    </row>
    <row r="146" spans="1:3" ht="39.75" thickBot="1">
      <c r="A146" s="598" t="s">
        <v>10342</v>
      </c>
    </row>
    <row r="147" spans="1:3" ht="16.5" thickTop="1" thickBot="1">
      <c r="A147" s="595">
        <v>1</v>
      </c>
      <c r="B147" s="595" t="s">
        <v>11351</v>
      </c>
    </row>
    <row r="148" spans="1:3" ht="15.75" thickBot="1">
      <c r="A148" s="595">
        <v>1</v>
      </c>
      <c r="B148" s="595" t="s">
        <v>10340</v>
      </c>
    </row>
    <row r="149" spans="1:3" ht="15.75" thickBot="1">
      <c r="A149" s="595">
        <v>1</v>
      </c>
      <c r="B149" s="595" t="s">
        <v>10333</v>
      </c>
    </row>
    <row r="150" spans="1:3" ht="15.75" thickBot="1">
      <c r="A150" s="595">
        <v>2</v>
      </c>
      <c r="B150" s="595" t="s">
        <v>10341</v>
      </c>
    </row>
    <row r="151" spans="1:3" ht="15.75" thickBot="1">
      <c r="A151" s="596" t="s">
        <v>10343</v>
      </c>
    </row>
    <row r="152" spans="1:3" ht="15.75" thickBot="1">
      <c r="A152" s="595" t="s">
        <v>8670</v>
      </c>
      <c r="B152" s="595" t="s">
        <v>11365</v>
      </c>
    </row>
    <row r="153" spans="1:3" ht="39.75" thickBot="1">
      <c r="A153" s="598" t="s">
        <v>11350</v>
      </c>
      <c r="B153" s="597"/>
      <c r="C153" s="684"/>
    </row>
    <row r="154" spans="1:3" ht="15" thickTop="1">
      <c r="A154" s="597">
        <v>1</v>
      </c>
      <c r="B154" s="597" t="s">
        <v>11360</v>
      </c>
    </row>
    <row r="156" spans="1:3" ht="15" thickBot="1">
      <c r="A156" s="597"/>
      <c r="B156" s="597"/>
    </row>
    <row r="157" spans="1:3" ht="39.75" thickBot="1">
      <c r="A157" s="598" t="s">
        <v>10345</v>
      </c>
      <c r="C157" s="684"/>
    </row>
    <row r="158" spans="1:3" ht="16.5" thickTop="1" thickBot="1">
      <c r="A158" s="595">
        <v>1</v>
      </c>
      <c r="B158" s="595" t="s">
        <v>10346</v>
      </c>
    </row>
    <row r="159" spans="1:3" ht="15.75" thickBot="1">
      <c r="A159" s="595">
        <v>1</v>
      </c>
      <c r="B159" s="595" t="s">
        <v>10334</v>
      </c>
    </row>
    <row r="160" spans="1:3" ht="39.75" thickBot="1">
      <c r="A160" s="598" t="s">
        <v>10347</v>
      </c>
      <c r="C160" s="684"/>
    </row>
    <row r="161" spans="1:5" ht="16.5" thickTop="1" thickBot="1">
      <c r="A161" s="595">
        <v>1</v>
      </c>
      <c r="B161" s="595" t="s">
        <v>10348</v>
      </c>
    </row>
    <row r="162" spans="1:5" ht="15.75" thickBot="1">
      <c r="A162" s="595">
        <v>1</v>
      </c>
      <c r="B162" s="595" t="s">
        <v>10349</v>
      </c>
    </row>
    <row r="163" spans="1:5" ht="15.75" thickBot="1">
      <c r="A163" s="595">
        <v>1</v>
      </c>
      <c r="B163" s="595" t="s">
        <v>10341</v>
      </c>
    </row>
    <row r="164" spans="1:5" ht="15.75" thickBot="1">
      <c r="A164" s="653" t="s">
        <v>11489</v>
      </c>
      <c r="B164" s="653"/>
    </row>
    <row r="165" spans="1:5" ht="15.75" thickBot="1">
      <c r="A165" s="653"/>
      <c r="B165" s="595" t="s">
        <v>10331</v>
      </c>
    </row>
    <row r="166" spans="1:5" ht="39.75" thickBot="1">
      <c r="A166" s="598" t="s">
        <v>10351</v>
      </c>
      <c r="C166" s="684"/>
    </row>
    <row r="167" spans="1:5" ht="16.5" thickTop="1" thickBot="1">
      <c r="A167" s="595">
        <v>1</v>
      </c>
      <c r="B167" s="595" t="s">
        <v>10344</v>
      </c>
    </row>
    <row r="168" spans="1:5" ht="15.75" thickBot="1">
      <c r="A168" s="595">
        <v>1</v>
      </c>
      <c r="B168" s="595" t="s">
        <v>10350</v>
      </c>
    </row>
    <row r="169" spans="1:5" ht="15.75" thickBot="1">
      <c r="A169" s="595">
        <v>1</v>
      </c>
      <c r="B169" s="595" t="s">
        <v>10333</v>
      </c>
    </row>
    <row r="170" spans="1:5" ht="15.75" thickBot="1">
      <c r="A170" s="595">
        <v>1</v>
      </c>
      <c r="B170" s="595" t="s">
        <v>10341</v>
      </c>
    </row>
    <row r="171" spans="1:5" ht="15.75" thickBot="1">
      <c r="A171" s="596" t="s">
        <v>10343</v>
      </c>
    </row>
    <row r="172" spans="1:5" ht="15.75" thickBot="1">
      <c r="A172" s="595" t="s">
        <v>161</v>
      </c>
      <c r="B172" s="595" t="s">
        <v>10352</v>
      </c>
      <c r="E172" s="2" t="s">
        <v>10353</v>
      </c>
    </row>
    <row r="173" spans="1:5" ht="39.75" thickBot="1">
      <c r="A173" s="598" t="s">
        <v>10353</v>
      </c>
      <c r="C173" s="684" t="s">
        <v>11927</v>
      </c>
      <c r="E173" s="2" t="s">
        <v>11926</v>
      </c>
    </row>
    <row r="174" spans="1:5" ht="16.5" thickTop="1" thickBot="1">
      <c r="A174" s="595">
        <v>1</v>
      </c>
      <c r="B174" s="595" t="s">
        <v>10354</v>
      </c>
      <c r="E174" s="2" t="s">
        <v>10354</v>
      </c>
    </row>
    <row r="175" spans="1:5" ht="15.75" thickBot="1">
      <c r="A175" s="596" t="s">
        <v>10355</v>
      </c>
      <c r="E175" s="2" t="s">
        <v>11865</v>
      </c>
    </row>
    <row r="176" spans="1:5" ht="15.75" thickBot="1">
      <c r="A176" s="595" t="s">
        <v>234</v>
      </c>
      <c r="B176" s="595" t="s">
        <v>11366</v>
      </c>
      <c r="E176" s="2" t="s">
        <v>11866</v>
      </c>
    </row>
    <row r="177" spans="1:5" ht="15.75" thickBot="1">
      <c r="A177" s="595" t="s">
        <v>208</v>
      </c>
      <c r="B177" s="595" t="s">
        <v>11367</v>
      </c>
      <c r="E177" s="2" t="s">
        <v>11867</v>
      </c>
    </row>
    <row r="178" spans="1:5" ht="15.75" thickBot="1">
      <c r="A178" s="595" t="s">
        <v>134</v>
      </c>
      <c r="B178" s="595" t="s">
        <v>10356</v>
      </c>
      <c r="E178" s="2" t="s">
        <v>11868</v>
      </c>
    </row>
    <row r="179" spans="1:5" ht="15.75" thickBot="1">
      <c r="A179" s="595" t="s">
        <v>43</v>
      </c>
      <c r="B179" s="595" t="s">
        <v>10331</v>
      </c>
      <c r="E179" s="2" t="s">
        <v>11869</v>
      </c>
    </row>
    <row r="180" spans="1:5" ht="15.75" thickBot="1">
      <c r="A180" s="595" t="s">
        <v>252</v>
      </c>
      <c r="B180" s="595" t="s">
        <v>10356</v>
      </c>
      <c r="E180" s="2" t="s">
        <v>11870</v>
      </c>
    </row>
    <row r="181" spans="1:5" ht="15.75" thickBot="1">
      <c r="A181" s="595"/>
      <c r="B181" s="595"/>
    </row>
    <row r="182" spans="1:5" ht="39.75" thickBot="1">
      <c r="A182" s="598" t="s">
        <v>419</v>
      </c>
      <c r="C182" s="684" t="s">
        <v>11873</v>
      </c>
    </row>
    <row r="183" spans="1:5" ht="16.5" thickTop="1" thickBot="1">
      <c r="A183" s="595">
        <v>1</v>
      </c>
      <c r="B183" s="595" t="s">
        <v>11368</v>
      </c>
    </row>
    <row r="184" spans="1:5" ht="39.75" thickBot="1">
      <c r="A184" s="598" t="s">
        <v>11369</v>
      </c>
      <c r="C184" s="684"/>
    </row>
    <row r="185" spans="1:5" ht="15" thickTop="1">
      <c r="A185" s="2">
        <v>1</v>
      </c>
      <c r="B185" s="2" t="s">
        <v>11410</v>
      </c>
    </row>
    <row r="186" spans="1:5" ht="15" thickBot="1"/>
    <row r="187" spans="1:5" ht="39.75" thickBot="1">
      <c r="A187" s="598" t="s">
        <v>335</v>
      </c>
      <c r="C187" s="684" t="s">
        <v>11925</v>
      </c>
    </row>
    <row r="188" spans="1:5" ht="15" thickTop="1"/>
    <row r="190" spans="1:5" ht="15" thickBot="1"/>
    <row r="191" spans="1:5" ht="39.75" thickBot="1">
      <c r="A191" s="598" t="s">
        <v>77</v>
      </c>
      <c r="C191" s="684"/>
    </row>
    <row r="192" spans="1:5" ht="16.5" thickTop="1" thickBot="1">
      <c r="B192" s="595" t="s">
        <v>10331</v>
      </c>
    </row>
    <row r="195" spans="1:3" ht="15" thickBot="1"/>
    <row r="196" spans="1:3" ht="39.75" thickBot="1">
      <c r="A196" s="598" t="s">
        <v>11685</v>
      </c>
      <c r="C196" s="684" t="s">
        <v>11683</v>
      </c>
    </row>
    <row r="197" spans="1:3" ht="15" thickTop="1"/>
    <row r="200" spans="1:3" ht="15">
      <c r="A200" s="596" t="s">
        <v>11843</v>
      </c>
    </row>
    <row r="201" spans="1:3">
      <c r="A201" s="2" t="s">
        <v>11928</v>
      </c>
    </row>
  </sheetData>
  <mergeCells count="6">
    <mergeCell ref="Q2:U2"/>
    <mergeCell ref="A29:E33"/>
    <mergeCell ref="Q32:U32"/>
    <mergeCell ref="Q26:U26"/>
    <mergeCell ref="Q19:U19"/>
    <mergeCell ref="Q11:U11"/>
  </mergeCells>
  <phoneticPr fontId="182" type="noConversion"/>
  <conditionalFormatting sqref="A2">
    <cfRule type="colorScale" priority="1">
      <colorScale>
        <cfvo type="min"/>
        <cfvo type="max"/>
        <color rgb="FFFCFCFF"/>
        <color rgb="FF63BE7B"/>
      </colorScale>
    </cfRule>
  </conditionalFormatting>
  <pageMargins left="0.7" right="0.7" top="0.75" bottom="0.75" header="0.3" footer="0.3"/>
  <pageSetup paperSize="9" orientation="portrait" r:id="rId1"/>
  <drawing r:id="rId2"/>
  <legacyDrawing r:id="rId3"/>
  <tableParts count="1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E74DF-BA2C-416B-A53F-FB89BEEF1008}">
  <sheetPr codeName="Аркуш21">
    <tabColor rgb="FF7030A0"/>
  </sheetPr>
  <dimension ref="O4"/>
  <sheetViews>
    <sheetView zoomScale="55" zoomScaleNormal="55" workbookViewId="0">
      <selection activeCell="U2" sqref="U2:AH2"/>
    </sheetView>
  </sheetViews>
  <sheetFormatPr defaultRowHeight="14.25"/>
  <sheetData>
    <row r="4" spans="15:15"/>
  </sheetData>
  <pageMargins left="0.7" right="0.7" top="0.75" bottom="0.75" header="0.3" footer="0.3"/>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F67BF-8C2C-4435-A7BF-F3FE9FC9C1D2}">
  <sheetPr codeName="Аркуш27">
    <tabColor rgb="FF7030A0"/>
  </sheetPr>
  <dimension ref="I38:X77"/>
  <sheetViews>
    <sheetView topLeftCell="P11" zoomScale="130" zoomScaleNormal="130" workbookViewId="0">
      <selection activeCell="U2" sqref="U2:AH2"/>
    </sheetView>
  </sheetViews>
  <sheetFormatPr defaultRowHeight="14.25"/>
  <cols>
    <col min="9" max="9" width="9.33203125" customWidth="1"/>
    <col min="12" max="12" width="11.21875" customWidth="1"/>
    <col min="13" max="13" width="10.77734375" style="1" customWidth="1"/>
    <col min="20" max="20" width="10.5546875" customWidth="1"/>
    <col min="21" max="21" width="15.77734375" customWidth="1"/>
  </cols>
  <sheetData>
    <row r="38" spans="9:24">
      <c r="X38">
        <f>SETTLEMENTS!K2</f>
        <v>7349</v>
      </c>
    </row>
    <row r="40" spans="9:24">
      <c r="I40" s="666" t="s">
        <v>8651</v>
      </c>
      <c r="J40" s="667" t="s">
        <v>1787</v>
      </c>
      <c r="K40" s="667" t="s">
        <v>11349</v>
      </c>
      <c r="L40" s="667" t="s">
        <v>10236</v>
      </c>
      <c r="M40" s="667" t="s">
        <v>551</v>
      </c>
      <c r="N40" s="668" t="s">
        <v>11348</v>
      </c>
      <c r="O40" s="764" t="s">
        <v>7928</v>
      </c>
      <c r="R40" s="764" t="s">
        <v>1787</v>
      </c>
      <c r="S40" s="764" t="s">
        <v>12295</v>
      </c>
      <c r="T40" s="764" t="s">
        <v>12296</v>
      </c>
      <c r="U40" s="764" t="s">
        <v>12297</v>
      </c>
      <c r="V40" s="764" t="s">
        <v>12298</v>
      </c>
      <c r="W40" s="779" t="s">
        <v>12580</v>
      </c>
    </row>
    <row r="41" spans="9:24">
      <c r="I41" s="669" t="s">
        <v>11837</v>
      </c>
      <c r="J41" s="647" t="s">
        <v>8966</v>
      </c>
      <c r="K41" s="647" t="s">
        <v>374</v>
      </c>
      <c r="L41" s="647"/>
      <c r="M41" s="647"/>
      <c r="N41" s="665" t="s">
        <v>11927</v>
      </c>
      <c r="R41" t="s">
        <v>8966</v>
      </c>
      <c r="S41">
        <f>COUNTIFS($J$41:$J$77,R41)</f>
        <v>9</v>
      </c>
      <c r="T41">
        <f>'Purple Dragons'!S8</f>
        <v>820</v>
      </c>
      <c r="U41">
        <f>S41*T41</f>
        <v>7380</v>
      </c>
      <c r="V41">
        <f t="shared" ref="V41:V52" si="0">X38</f>
        <v>7349</v>
      </c>
      <c r="W41" s="781">
        <f>SUM(Таблиця243[[#This Row],[Total, men-at-arms]]-Таблиця243[[#This Row],[Deployed]])</f>
        <v>31</v>
      </c>
    </row>
    <row r="42" spans="9:24">
      <c r="I42" s="669" t="s">
        <v>11924</v>
      </c>
      <c r="J42" s="647" t="s">
        <v>8966</v>
      </c>
      <c r="K42" s="647" t="s">
        <v>178</v>
      </c>
      <c r="L42" s="647"/>
      <c r="M42" s="647"/>
      <c r="N42" s="665" t="s">
        <v>11887</v>
      </c>
      <c r="R42" t="s">
        <v>10304</v>
      </c>
      <c r="S42" s="1">
        <f t="shared" ref="S42:S52" si="1">COUNTIFS($J$41:$J$77,R42)</f>
        <v>6</v>
      </c>
      <c r="U42" s="1">
        <f t="shared" ref="U42:U52" si="2">S42*T42</f>
        <v>0</v>
      </c>
      <c r="V42">
        <f t="shared" si="0"/>
        <v>0</v>
      </c>
      <c r="W42" s="781">
        <f>SUM(Таблиця243[[#This Row],[Total, men-at-arms]]-Таблиця243[[#This Row],[Deployed]])</f>
        <v>0</v>
      </c>
    </row>
    <row r="43" spans="9:24">
      <c r="I43" s="669" t="s">
        <v>11919</v>
      </c>
      <c r="J43" s="647" t="s">
        <v>8966</v>
      </c>
      <c r="K43" s="647" t="s">
        <v>1</v>
      </c>
      <c r="L43" s="647"/>
      <c r="M43" s="647"/>
      <c r="N43" s="665" t="s">
        <v>11927</v>
      </c>
      <c r="R43" t="s">
        <v>10301</v>
      </c>
      <c r="S43" s="1">
        <f t="shared" si="1"/>
        <v>2</v>
      </c>
      <c r="U43" s="1">
        <f t="shared" si="2"/>
        <v>0</v>
      </c>
      <c r="V43">
        <f t="shared" si="0"/>
        <v>0</v>
      </c>
      <c r="W43" s="781">
        <f>SUM(Таблиця243[[#This Row],[Total, men-at-arms]]-Таблиця243[[#This Row],[Deployed]])</f>
        <v>0</v>
      </c>
    </row>
    <row r="44" spans="9:24">
      <c r="I44" s="669" t="s">
        <v>12199</v>
      </c>
      <c r="J44" s="647" t="s">
        <v>8966</v>
      </c>
      <c r="K44" s="647" t="s">
        <v>11220</v>
      </c>
      <c r="L44" s="647"/>
      <c r="M44" s="647"/>
      <c r="N44" s="665" t="s">
        <v>11927</v>
      </c>
      <c r="R44" t="s">
        <v>8960</v>
      </c>
      <c r="S44" s="1">
        <f t="shared" si="1"/>
        <v>4</v>
      </c>
      <c r="T44">
        <f>'Purple Dragons'!S17</f>
        <v>679</v>
      </c>
      <c r="U44" s="1">
        <f t="shared" si="2"/>
        <v>2716</v>
      </c>
      <c r="V44">
        <f t="shared" si="0"/>
        <v>0</v>
      </c>
      <c r="W44" s="781">
        <f>SUM(Таблиця243[[#This Row],[Total, men-at-arms]]-Таблиця243[[#This Row],[Deployed]])</f>
        <v>2716</v>
      </c>
    </row>
    <row r="45" spans="9:24">
      <c r="I45" s="669" t="s">
        <v>12200</v>
      </c>
      <c r="J45" s="647" t="s">
        <v>8966</v>
      </c>
      <c r="K45" s="647" t="s">
        <v>178</v>
      </c>
      <c r="L45" s="647"/>
      <c r="M45" s="647"/>
      <c r="N45" s="665" t="s">
        <v>11887</v>
      </c>
      <c r="R45" t="s">
        <v>10316</v>
      </c>
      <c r="S45" s="1">
        <f t="shared" si="1"/>
        <v>2</v>
      </c>
      <c r="U45" s="1">
        <f t="shared" si="2"/>
        <v>0</v>
      </c>
      <c r="V45">
        <f t="shared" si="0"/>
        <v>0</v>
      </c>
      <c r="W45" s="781">
        <f>SUM(Таблиця243[[#This Row],[Total, men-at-arms]]-Таблиця243[[#This Row],[Deployed]])</f>
        <v>0</v>
      </c>
    </row>
    <row r="46" spans="9:24">
      <c r="I46" s="669" t="s">
        <v>11919</v>
      </c>
      <c r="J46" s="647" t="s">
        <v>8966</v>
      </c>
      <c r="K46" s="647" t="s">
        <v>1</v>
      </c>
      <c r="L46" s="647"/>
      <c r="M46" s="647"/>
      <c r="N46" s="665" t="s">
        <v>12201</v>
      </c>
      <c r="R46" t="s">
        <v>12150</v>
      </c>
      <c r="S46" s="1">
        <f t="shared" si="1"/>
        <v>1</v>
      </c>
      <c r="U46" s="1">
        <f t="shared" si="2"/>
        <v>0</v>
      </c>
      <c r="V46">
        <f t="shared" si="0"/>
        <v>0</v>
      </c>
      <c r="W46" s="781">
        <f>SUM(Таблиця243[[#This Row],[Total, men-at-arms]]-Таблиця243[[#This Row],[Deployed]])</f>
        <v>0</v>
      </c>
    </row>
    <row r="47" spans="9:24">
      <c r="I47" s="669" t="s">
        <v>12159</v>
      </c>
      <c r="J47" s="647" t="s">
        <v>8966</v>
      </c>
      <c r="K47" s="647" t="s">
        <v>12165</v>
      </c>
      <c r="L47" s="647"/>
      <c r="M47" s="647"/>
      <c r="N47" s="665" t="s">
        <v>11683</v>
      </c>
      <c r="R47" t="s">
        <v>8676</v>
      </c>
      <c r="S47" s="1">
        <f t="shared" si="1"/>
        <v>2</v>
      </c>
      <c r="U47" s="1">
        <f t="shared" si="2"/>
        <v>0</v>
      </c>
      <c r="V47">
        <f t="shared" si="0"/>
        <v>0</v>
      </c>
      <c r="W47" s="781">
        <f>SUM(Таблиця243[[#This Row],[Total, men-at-arms]]-Таблиця243[[#This Row],[Deployed]])</f>
        <v>0</v>
      </c>
    </row>
    <row r="48" spans="9:24">
      <c r="I48" s="669" t="s">
        <v>12160</v>
      </c>
      <c r="J48" s="647" t="s">
        <v>8966</v>
      </c>
      <c r="K48" s="647" t="s">
        <v>11685</v>
      </c>
      <c r="L48" s="647"/>
      <c r="M48" s="647"/>
      <c r="N48" s="665" t="s">
        <v>11683</v>
      </c>
      <c r="R48" t="s">
        <v>8677</v>
      </c>
      <c r="S48" s="1">
        <f t="shared" si="1"/>
        <v>4</v>
      </c>
      <c r="T48">
        <f>'Purple Dragons'!S23</f>
        <v>309</v>
      </c>
      <c r="U48" s="1">
        <f t="shared" si="2"/>
        <v>1236</v>
      </c>
      <c r="V48">
        <f t="shared" si="0"/>
        <v>0</v>
      </c>
      <c r="W48" s="781">
        <f>SUM(Таблиця243[[#This Row],[Total, men-at-arms]]-Таблиця243[[#This Row],[Deployed]])</f>
        <v>1236</v>
      </c>
    </row>
    <row r="49" spans="9:23">
      <c r="I49" s="669" t="s">
        <v>12164</v>
      </c>
      <c r="J49" s="647" t="s">
        <v>8966</v>
      </c>
      <c r="K49" s="647" t="s">
        <v>335</v>
      </c>
      <c r="L49" s="647"/>
      <c r="M49" s="647"/>
      <c r="N49" s="665" t="s">
        <v>12169</v>
      </c>
      <c r="R49" t="s">
        <v>11411</v>
      </c>
      <c r="S49" s="1">
        <f t="shared" si="1"/>
        <v>3</v>
      </c>
      <c r="U49" s="1">
        <f t="shared" si="2"/>
        <v>0</v>
      </c>
      <c r="V49">
        <f t="shared" si="0"/>
        <v>0</v>
      </c>
      <c r="W49" s="781">
        <f>SUM(Таблиця243[[#This Row],[Total, men-at-arms]]-Таблиця243[[#This Row],[Deployed]])</f>
        <v>0</v>
      </c>
    </row>
    <row r="50" spans="9:23">
      <c r="I50" s="669" t="s">
        <v>11837</v>
      </c>
      <c r="J50" s="647" t="s">
        <v>10304</v>
      </c>
      <c r="K50" s="647"/>
      <c r="L50" s="647"/>
      <c r="M50" s="647" t="s">
        <v>12196</v>
      </c>
      <c r="N50" s="665"/>
      <c r="R50" t="s">
        <v>11381</v>
      </c>
      <c r="S50" s="1">
        <f t="shared" si="1"/>
        <v>2</v>
      </c>
      <c r="U50" s="1">
        <f t="shared" si="2"/>
        <v>0</v>
      </c>
      <c r="V50">
        <f t="shared" si="0"/>
        <v>0</v>
      </c>
      <c r="W50" s="781">
        <f>SUM(Таблиця243[[#This Row],[Total, men-at-arms]]-Таблиця243[[#This Row],[Deployed]])</f>
        <v>0</v>
      </c>
    </row>
    <row r="51" spans="9:23">
      <c r="I51" s="669" t="s">
        <v>11920</v>
      </c>
      <c r="J51" s="647" t="s">
        <v>10304</v>
      </c>
      <c r="K51" s="647" t="s">
        <v>178</v>
      </c>
      <c r="L51" s="647"/>
      <c r="M51" s="647" t="s">
        <v>12194</v>
      </c>
      <c r="N51" s="665" t="s">
        <v>11887</v>
      </c>
      <c r="R51" t="s">
        <v>11382</v>
      </c>
      <c r="S51" s="1">
        <f t="shared" si="1"/>
        <v>1</v>
      </c>
      <c r="U51" s="1">
        <f t="shared" si="2"/>
        <v>0</v>
      </c>
      <c r="V51">
        <f t="shared" si="0"/>
        <v>0</v>
      </c>
      <c r="W51" s="781">
        <f>SUM(Таблиця243[[#This Row],[Total, men-at-arms]]-Таблиця243[[#This Row],[Deployed]])</f>
        <v>0</v>
      </c>
    </row>
    <row r="52" spans="9:23">
      <c r="I52" s="669" t="s">
        <v>12162</v>
      </c>
      <c r="J52" s="647" t="s">
        <v>10304</v>
      </c>
      <c r="K52" s="647" t="s">
        <v>11685</v>
      </c>
      <c r="L52" s="647"/>
      <c r="M52" s="647" t="s">
        <v>12198</v>
      </c>
      <c r="N52" s="665" t="s">
        <v>11683</v>
      </c>
      <c r="R52" t="s">
        <v>8678</v>
      </c>
      <c r="S52" s="1">
        <f t="shared" si="1"/>
        <v>1</v>
      </c>
      <c r="U52" s="1">
        <f t="shared" si="2"/>
        <v>0</v>
      </c>
      <c r="V52">
        <f t="shared" si="0"/>
        <v>0</v>
      </c>
      <c r="W52" s="781">
        <f>SUM(Таблиця243[[#This Row],[Total, men-at-arms]]-Таблиця243[[#This Row],[Deployed]])</f>
        <v>0</v>
      </c>
    </row>
    <row r="53" spans="9:23">
      <c r="I53" s="669" t="s">
        <v>12161</v>
      </c>
      <c r="J53" s="647" t="s">
        <v>10304</v>
      </c>
      <c r="K53" s="647" t="s">
        <v>335</v>
      </c>
      <c r="L53" s="647"/>
      <c r="M53" s="647"/>
      <c r="N53" s="665" t="s">
        <v>12169</v>
      </c>
      <c r="R53" s="1">
        <f t="shared" ref="R53:W53" si="3">SUM(R41:R52)</f>
        <v>0</v>
      </c>
      <c r="S53" s="1">
        <f t="shared" si="3"/>
        <v>37</v>
      </c>
      <c r="T53">
        <f t="shared" si="3"/>
        <v>1808</v>
      </c>
      <c r="U53" s="1">
        <f t="shared" si="3"/>
        <v>11332</v>
      </c>
      <c r="V53" s="1">
        <f t="shared" si="3"/>
        <v>7349</v>
      </c>
      <c r="W53" s="780">
        <f t="shared" si="3"/>
        <v>3983</v>
      </c>
    </row>
    <row r="54" spans="9:23">
      <c r="I54" s="669" t="s">
        <v>12163</v>
      </c>
      <c r="J54" s="647" t="s">
        <v>10304</v>
      </c>
      <c r="K54" s="647" t="s">
        <v>8695</v>
      </c>
      <c r="L54" s="647"/>
      <c r="M54" s="647"/>
      <c r="N54" s="665" t="s">
        <v>12169</v>
      </c>
    </row>
    <row r="55" spans="9:23">
      <c r="I55" s="669">
        <v>6</v>
      </c>
      <c r="J55" s="647" t="s">
        <v>10304</v>
      </c>
      <c r="K55" s="647"/>
      <c r="L55" s="647"/>
      <c r="M55" s="647" t="s">
        <v>12197</v>
      </c>
      <c r="N55" s="665"/>
    </row>
    <row r="56" spans="9:23">
      <c r="I56" s="669" t="s">
        <v>11494</v>
      </c>
      <c r="J56" s="647" t="s">
        <v>10301</v>
      </c>
      <c r="K56" s="647" t="s">
        <v>374</v>
      </c>
      <c r="L56" s="647"/>
      <c r="M56" s="647" t="s">
        <v>12193</v>
      </c>
      <c r="N56" s="665"/>
    </row>
    <row r="57" spans="9:23">
      <c r="I57" s="669" t="s">
        <v>11918</v>
      </c>
      <c r="J57" s="647" t="s">
        <v>10301</v>
      </c>
      <c r="K57" s="647" t="s">
        <v>71</v>
      </c>
      <c r="L57" s="647"/>
      <c r="M57" s="647" t="s">
        <v>12195</v>
      </c>
      <c r="N57" s="665" t="s">
        <v>12201</v>
      </c>
    </row>
    <row r="58" spans="9:23">
      <c r="I58" s="669">
        <v>1</v>
      </c>
      <c r="J58" s="647" t="s">
        <v>8960</v>
      </c>
      <c r="K58" s="647"/>
      <c r="L58" s="647"/>
      <c r="M58" s="647"/>
      <c r="N58" s="665" t="s">
        <v>11927</v>
      </c>
    </row>
    <row r="59" spans="9:23">
      <c r="I59" s="669">
        <v>2</v>
      </c>
      <c r="J59" s="647" t="s">
        <v>8960</v>
      </c>
      <c r="K59" s="647"/>
      <c r="L59" s="647"/>
      <c r="M59" s="647"/>
      <c r="N59" s="665"/>
    </row>
    <row r="60" spans="9:23">
      <c r="I60" s="669" t="s">
        <v>11919</v>
      </c>
      <c r="J60" s="647" t="s">
        <v>8960</v>
      </c>
      <c r="K60" s="647" t="s">
        <v>1</v>
      </c>
      <c r="L60" s="647"/>
      <c r="M60" s="647"/>
      <c r="N60" s="665" t="s">
        <v>11915</v>
      </c>
    </row>
    <row r="61" spans="9:23">
      <c r="I61" s="669" t="s">
        <v>12151</v>
      </c>
      <c r="J61" s="647" t="s">
        <v>8960</v>
      </c>
      <c r="K61" s="647" t="s">
        <v>374</v>
      </c>
      <c r="L61" s="647"/>
      <c r="M61" s="647"/>
      <c r="N61" s="665" t="s">
        <v>11927</v>
      </c>
    </row>
    <row r="62" spans="9:23">
      <c r="I62" s="669" t="s">
        <v>11920</v>
      </c>
      <c r="J62" s="647" t="s">
        <v>10316</v>
      </c>
      <c r="K62" s="647" t="s">
        <v>1</v>
      </c>
      <c r="L62" s="647"/>
      <c r="M62" s="647"/>
      <c r="N62" s="665" t="s">
        <v>11927</v>
      </c>
    </row>
    <row r="63" spans="9:23">
      <c r="I63" s="669" t="s">
        <v>11494</v>
      </c>
      <c r="J63" s="647" t="s">
        <v>10316</v>
      </c>
      <c r="K63" s="647" t="s">
        <v>374</v>
      </c>
      <c r="L63" s="647"/>
      <c r="M63" s="647"/>
      <c r="N63" s="665"/>
    </row>
    <row r="64" spans="9:23">
      <c r="I64" s="669" t="s">
        <v>11412</v>
      </c>
      <c r="J64" s="647" t="s">
        <v>12150</v>
      </c>
      <c r="K64" s="647" t="s">
        <v>374</v>
      </c>
      <c r="L64" s="647"/>
      <c r="M64" s="647"/>
      <c r="N64" s="665"/>
    </row>
    <row r="65" spans="9:14">
      <c r="I65" s="669" t="s">
        <v>11838</v>
      </c>
      <c r="J65" s="647" t="s">
        <v>8676</v>
      </c>
      <c r="K65" s="647" t="s">
        <v>374</v>
      </c>
      <c r="L65" s="647"/>
      <c r="M65" s="647"/>
      <c r="N65" s="665"/>
    </row>
    <row r="66" spans="9:14">
      <c r="I66" s="669" t="s">
        <v>11839</v>
      </c>
      <c r="J66" s="647" t="s">
        <v>8676</v>
      </c>
      <c r="K66" s="647" t="s">
        <v>71</v>
      </c>
      <c r="L66" s="647"/>
      <c r="M66" s="647"/>
      <c r="N66" s="665" t="s">
        <v>12201</v>
      </c>
    </row>
    <row r="67" spans="9:14">
      <c r="I67" s="669" t="s">
        <v>12166</v>
      </c>
      <c r="J67" s="647" t="s">
        <v>8677</v>
      </c>
      <c r="K67" s="647" t="s">
        <v>374</v>
      </c>
      <c r="L67" s="647"/>
      <c r="M67" s="647"/>
      <c r="N67" s="665"/>
    </row>
    <row r="68" spans="9:14">
      <c r="I68" s="669" t="s">
        <v>12167</v>
      </c>
      <c r="J68" s="647" t="s">
        <v>8677</v>
      </c>
      <c r="K68" s="647" t="s">
        <v>1</v>
      </c>
      <c r="L68" s="647"/>
      <c r="M68" s="647"/>
      <c r="N68" s="665"/>
    </row>
    <row r="69" spans="9:14">
      <c r="I69" s="669" t="s">
        <v>71</v>
      </c>
      <c r="J69" s="647" t="s">
        <v>8677</v>
      </c>
      <c r="K69" s="647" t="s">
        <v>71</v>
      </c>
      <c r="L69" s="647"/>
      <c r="M69" s="647"/>
      <c r="N69" s="665" t="s">
        <v>12201</v>
      </c>
    </row>
    <row r="70" spans="9:14">
      <c r="I70" s="669" t="s">
        <v>12168</v>
      </c>
      <c r="J70" s="647" t="s">
        <v>8677</v>
      </c>
      <c r="K70" s="647" t="s">
        <v>11685</v>
      </c>
      <c r="L70" s="647"/>
      <c r="M70" s="647"/>
      <c r="N70" s="665" t="s">
        <v>12170</v>
      </c>
    </row>
    <row r="71" spans="9:14">
      <c r="I71" s="669" t="s">
        <v>11921</v>
      </c>
      <c r="J71" s="647" t="s">
        <v>11411</v>
      </c>
      <c r="K71" s="647" t="s">
        <v>374</v>
      </c>
      <c r="L71" s="647"/>
      <c r="M71" s="647"/>
      <c r="N71" s="665"/>
    </row>
    <row r="72" spans="9:14">
      <c r="I72" s="669" t="s">
        <v>11922</v>
      </c>
      <c r="J72" s="647" t="s">
        <v>11411</v>
      </c>
      <c r="K72" s="647" t="s">
        <v>272</v>
      </c>
      <c r="L72" s="647"/>
      <c r="M72" s="647"/>
      <c r="N72" s="665" t="s">
        <v>11927</v>
      </c>
    </row>
    <row r="73" spans="9:14">
      <c r="I73" s="669" t="s">
        <v>11923</v>
      </c>
      <c r="J73" s="647" t="s">
        <v>11411</v>
      </c>
      <c r="K73" s="647" t="s">
        <v>1</v>
      </c>
      <c r="L73" s="647"/>
      <c r="M73" s="647"/>
      <c r="N73" s="665"/>
    </row>
    <row r="74" spans="9:14">
      <c r="I74" s="669" t="s">
        <v>11840</v>
      </c>
      <c r="J74" s="647" t="s">
        <v>11381</v>
      </c>
      <c r="K74" s="647" t="s">
        <v>374</v>
      </c>
      <c r="L74" s="647"/>
      <c r="M74" s="647"/>
      <c r="N74" s="665"/>
    </row>
    <row r="75" spans="9:14">
      <c r="I75" s="669" t="s">
        <v>11841</v>
      </c>
      <c r="J75" s="647" t="s">
        <v>11381</v>
      </c>
      <c r="K75" s="647" t="s">
        <v>1</v>
      </c>
      <c r="L75" s="647"/>
      <c r="M75" s="647"/>
      <c r="N75" s="665" t="s">
        <v>12201</v>
      </c>
    </row>
    <row r="76" spans="9:14">
      <c r="I76" s="669" t="s">
        <v>11382</v>
      </c>
      <c r="J76" s="647" t="s">
        <v>11382</v>
      </c>
      <c r="K76" s="647" t="s">
        <v>374</v>
      </c>
      <c r="L76" s="647"/>
      <c r="M76" s="647"/>
      <c r="N76" s="665"/>
    </row>
    <row r="77" spans="9:14">
      <c r="I77" s="593" t="s">
        <v>11842</v>
      </c>
      <c r="J77" s="670" t="s">
        <v>8678</v>
      </c>
      <c r="K77" s="670" t="s">
        <v>419</v>
      </c>
      <c r="L77" s="670"/>
      <c r="M77" s="670"/>
      <c r="N77" s="635"/>
    </row>
  </sheetData>
  <pageMargins left="0.7" right="0.7" top="0.75" bottom="0.75" header="0.3" footer="0.3"/>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62BE-BA43-4D03-8F4A-94CD6DED3E90}">
  <sheetPr codeName="Аркуш43">
    <tabColor rgb="FF7030A0"/>
  </sheetPr>
  <dimension ref="A2:N328"/>
  <sheetViews>
    <sheetView topLeftCell="A256" workbookViewId="0">
      <selection activeCell="U2" sqref="U2:AH2"/>
    </sheetView>
  </sheetViews>
  <sheetFormatPr defaultRowHeight="14.25"/>
  <cols>
    <col min="3" max="3" width="12.77734375" customWidth="1"/>
  </cols>
  <sheetData>
    <row r="2" spans="1:13" s="1" customFormat="1">
      <c r="A2" s="1" t="s">
        <v>11408</v>
      </c>
    </row>
    <row r="3" spans="1:13" s="1" customFormat="1">
      <c r="A3" s="1" t="s">
        <v>11409</v>
      </c>
    </row>
    <row r="4" spans="1:13" s="1" customFormat="1"/>
    <row r="5" spans="1:13" s="1" customFormat="1"/>
    <row r="6" spans="1:13" s="1" customFormat="1"/>
    <row r="7" spans="1:13" s="1" customFormat="1"/>
    <row r="8" spans="1:13" s="1" customFormat="1"/>
    <row r="9" spans="1:13" s="1" customFormat="1"/>
    <row r="10" spans="1:13">
      <c r="A10" t="s">
        <v>720</v>
      </c>
      <c r="B10" t="s">
        <v>721</v>
      </c>
      <c r="C10" t="s">
        <v>551</v>
      </c>
      <c r="D10" t="s">
        <v>722</v>
      </c>
      <c r="E10" t="s">
        <v>723</v>
      </c>
      <c r="F10" t="s">
        <v>724</v>
      </c>
      <c r="G10" t="s">
        <v>725</v>
      </c>
      <c r="H10" t="s">
        <v>726</v>
      </c>
      <c r="I10" t="s">
        <v>727</v>
      </c>
    </row>
    <row r="11" spans="1:13">
      <c r="A11" t="s">
        <v>793</v>
      </c>
      <c r="B11" t="s">
        <v>802</v>
      </c>
      <c r="D11" t="s">
        <v>803</v>
      </c>
      <c r="E11" t="s">
        <v>742</v>
      </c>
      <c r="F11" t="s">
        <v>732</v>
      </c>
      <c r="G11" t="s">
        <v>752</v>
      </c>
      <c r="H11" t="s">
        <v>1</v>
      </c>
      <c r="M11" s="3" t="s">
        <v>1227</v>
      </c>
    </row>
    <row r="12" spans="1:13">
      <c r="B12" t="s">
        <v>804</v>
      </c>
      <c r="D12" t="s">
        <v>805</v>
      </c>
      <c r="E12" t="s">
        <v>782</v>
      </c>
      <c r="F12" t="s">
        <v>767</v>
      </c>
      <c r="G12" t="s">
        <v>752</v>
      </c>
      <c r="H12" t="s">
        <v>1</v>
      </c>
      <c r="M12" s="3" t="s">
        <v>1228</v>
      </c>
    </row>
    <row r="13" spans="1:13">
      <c r="A13" t="s">
        <v>806</v>
      </c>
      <c r="B13" t="s">
        <v>810</v>
      </c>
      <c r="D13" t="s">
        <v>811</v>
      </c>
      <c r="E13" t="s">
        <v>742</v>
      </c>
      <c r="F13" t="s">
        <v>756</v>
      </c>
      <c r="G13" t="s">
        <v>812</v>
      </c>
      <c r="H13" s="1" t="s">
        <v>1</v>
      </c>
      <c r="M13" s="3" t="s">
        <v>1228</v>
      </c>
    </row>
    <row r="14" spans="1:13">
      <c r="A14" t="s">
        <v>821</v>
      </c>
      <c r="B14" t="s">
        <v>832</v>
      </c>
      <c r="D14" t="s">
        <v>833</v>
      </c>
      <c r="E14" t="s">
        <v>742</v>
      </c>
      <c r="F14" t="s">
        <v>732</v>
      </c>
      <c r="G14" t="s">
        <v>809</v>
      </c>
      <c r="H14" s="1" t="s">
        <v>1</v>
      </c>
    </row>
    <row r="15" spans="1:13">
      <c r="A15" t="s">
        <v>836</v>
      </c>
      <c r="B15" t="s">
        <v>841</v>
      </c>
      <c r="D15" t="s">
        <v>839</v>
      </c>
      <c r="E15" t="s">
        <v>742</v>
      </c>
      <c r="F15" t="s">
        <v>732</v>
      </c>
      <c r="G15" t="s">
        <v>842</v>
      </c>
      <c r="H15" s="1" t="s">
        <v>1</v>
      </c>
    </row>
    <row r="16" spans="1:13">
      <c r="A16" t="s">
        <v>909</v>
      </c>
      <c r="B16" t="s">
        <v>912</v>
      </c>
      <c r="D16" t="s">
        <v>913</v>
      </c>
      <c r="E16" t="s">
        <v>911</v>
      </c>
      <c r="F16" t="s">
        <v>732</v>
      </c>
      <c r="G16" t="s">
        <v>738</v>
      </c>
      <c r="H16" s="1" t="s">
        <v>1</v>
      </c>
    </row>
    <row r="17" spans="1:14">
      <c r="A17" t="s">
        <v>923</v>
      </c>
      <c r="B17" t="s">
        <v>936</v>
      </c>
      <c r="D17" t="s">
        <v>851</v>
      </c>
      <c r="E17" t="s">
        <v>922</v>
      </c>
      <c r="F17" t="s">
        <v>732</v>
      </c>
      <c r="G17" t="s">
        <v>790</v>
      </c>
      <c r="H17" s="1" t="s">
        <v>1</v>
      </c>
    </row>
    <row r="18" spans="1:14">
      <c r="A18" t="s">
        <v>923</v>
      </c>
      <c r="B18" t="s">
        <v>937</v>
      </c>
      <c r="D18" t="s">
        <v>789</v>
      </c>
      <c r="E18" t="s">
        <v>922</v>
      </c>
      <c r="F18" t="s">
        <v>756</v>
      </c>
      <c r="G18" t="s">
        <v>738</v>
      </c>
      <c r="H18" s="1" t="s">
        <v>1</v>
      </c>
      <c r="I18" s="1"/>
    </row>
    <row r="19" spans="1:14">
      <c r="A19" t="s">
        <v>923</v>
      </c>
      <c r="B19" t="s">
        <v>938</v>
      </c>
      <c r="D19" t="s">
        <v>939</v>
      </c>
      <c r="E19" t="s">
        <v>922</v>
      </c>
      <c r="F19" t="s">
        <v>756</v>
      </c>
      <c r="G19" t="s">
        <v>733</v>
      </c>
      <c r="H19" s="1" t="s">
        <v>1</v>
      </c>
      <c r="I19" s="1"/>
    </row>
    <row r="20" spans="1:14">
      <c r="A20" t="s">
        <v>981</v>
      </c>
      <c r="B20" t="s">
        <v>983</v>
      </c>
      <c r="D20" t="s">
        <v>859</v>
      </c>
      <c r="E20" t="s">
        <v>980</v>
      </c>
      <c r="F20" t="s">
        <v>732</v>
      </c>
      <c r="G20" t="s">
        <v>984</v>
      </c>
      <c r="H20" s="1" t="s">
        <v>1</v>
      </c>
      <c r="I20" s="1"/>
    </row>
    <row r="21" spans="1:14">
      <c r="A21" t="s">
        <v>981</v>
      </c>
      <c r="B21" t="s">
        <v>987</v>
      </c>
      <c r="D21" t="s">
        <v>988</v>
      </c>
      <c r="E21" t="s">
        <v>980</v>
      </c>
      <c r="F21" t="s">
        <v>756</v>
      </c>
      <c r="G21" t="s">
        <v>757</v>
      </c>
      <c r="H21" s="1" t="s">
        <v>1</v>
      </c>
      <c r="I21" s="1"/>
    </row>
    <row r="22" spans="1:14">
      <c r="A22" t="s">
        <v>981</v>
      </c>
      <c r="B22" t="s">
        <v>1001</v>
      </c>
      <c r="D22" t="s">
        <v>930</v>
      </c>
      <c r="E22" t="s">
        <v>980</v>
      </c>
      <c r="F22" t="s">
        <v>743</v>
      </c>
      <c r="G22" t="s">
        <v>738</v>
      </c>
      <c r="H22" s="1" t="s">
        <v>1</v>
      </c>
    </row>
    <row r="23" spans="1:14">
      <c r="A23" s="1" t="s">
        <v>1024</v>
      </c>
      <c r="B23" t="s">
        <v>1027</v>
      </c>
      <c r="D23" t="s">
        <v>945</v>
      </c>
      <c r="E23" t="s">
        <v>1023</v>
      </c>
      <c r="F23" t="s">
        <v>732</v>
      </c>
      <c r="G23" t="s">
        <v>852</v>
      </c>
      <c r="H23" s="1" t="s">
        <v>1</v>
      </c>
    </row>
    <row r="24" spans="1:14">
      <c r="A24" t="s">
        <v>1024</v>
      </c>
      <c r="B24" t="s">
        <v>1033</v>
      </c>
      <c r="D24" t="s">
        <v>968</v>
      </c>
      <c r="E24" t="s">
        <v>1023</v>
      </c>
      <c r="F24" t="s">
        <v>743</v>
      </c>
      <c r="G24" t="s">
        <v>847</v>
      </c>
      <c r="H24" s="1" t="s">
        <v>1</v>
      </c>
    </row>
    <row r="25" spans="1:14">
      <c r="A25" s="1" t="s">
        <v>1024</v>
      </c>
      <c r="B25" t="s">
        <v>1059</v>
      </c>
      <c r="D25" t="s">
        <v>930</v>
      </c>
      <c r="E25" t="s">
        <v>1023</v>
      </c>
      <c r="F25" t="s">
        <v>801</v>
      </c>
      <c r="G25" t="s">
        <v>773</v>
      </c>
      <c r="H25" s="1" t="s">
        <v>1</v>
      </c>
    </row>
    <row r="26" spans="1:14">
      <c r="A26" t="s">
        <v>1024</v>
      </c>
      <c r="B26" t="s">
        <v>1065</v>
      </c>
      <c r="D26" t="s">
        <v>930</v>
      </c>
      <c r="E26" t="s">
        <v>1023</v>
      </c>
      <c r="F26" t="s">
        <v>732</v>
      </c>
      <c r="G26" t="s">
        <v>757</v>
      </c>
      <c r="H26" s="1" t="s">
        <v>1</v>
      </c>
      <c r="M26" t="s">
        <v>8505</v>
      </c>
      <c r="N26" s="2" t="s">
        <v>8506</v>
      </c>
    </row>
    <row r="27" spans="1:14">
      <c r="A27" s="1" t="s">
        <v>1024</v>
      </c>
      <c r="B27" t="s">
        <v>1086</v>
      </c>
      <c r="D27" t="s">
        <v>988</v>
      </c>
      <c r="E27" t="s">
        <v>1023</v>
      </c>
      <c r="F27" t="s">
        <v>829</v>
      </c>
      <c r="G27" t="s">
        <v>842</v>
      </c>
      <c r="H27" s="1" t="s">
        <v>1</v>
      </c>
      <c r="M27" t="s">
        <v>678</v>
      </c>
    </row>
    <row r="28" spans="1:14">
      <c r="A28" t="s">
        <v>1024</v>
      </c>
      <c r="B28" t="s">
        <v>1091</v>
      </c>
      <c r="D28" t="s">
        <v>1036</v>
      </c>
      <c r="E28" t="s">
        <v>1023</v>
      </c>
      <c r="F28" t="s">
        <v>829</v>
      </c>
      <c r="G28" t="s">
        <v>847</v>
      </c>
      <c r="H28" s="1" t="s">
        <v>1</v>
      </c>
      <c r="M28" t="s">
        <v>8509</v>
      </c>
    </row>
    <row r="29" spans="1:14">
      <c r="A29" t="s">
        <v>1104</v>
      </c>
      <c r="B29" t="s">
        <v>1122</v>
      </c>
      <c r="D29" t="s">
        <v>976</v>
      </c>
      <c r="E29" t="s">
        <v>1103</v>
      </c>
      <c r="F29" t="s">
        <v>829</v>
      </c>
      <c r="G29" t="s">
        <v>1123</v>
      </c>
      <c r="H29" s="1" t="s">
        <v>1</v>
      </c>
    </row>
    <row r="30" spans="1:14">
      <c r="A30" t="s">
        <v>1104</v>
      </c>
      <c r="B30" t="s">
        <v>1131</v>
      </c>
      <c r="D30" t="s">
        <v>968</v>
      </c>
      <c r="E30" t="s">
        <v>1103</v>
      </c>
      <c r="F30" t="s">
        <v>829</v>
      </c>
      <c r="G30" t="s">
        <v>1123</v>
      </c>
      <c r="H30" s="1" t="s">
        <v>1</v>
      </c>
    </row>
    <row r="31" spans="1:14">
      <c r="A31" t="s">
        <v>1104</v>
      </c>
      <c r="B31" t="s">
        <v>1135</v>
      </c>
      <c r="D31" t="s">
        <v>1036</v>
      </c>
      <c r="E31" t="s">
        <v>1103</v>
      </c>
      <c r="F31" t="s">
        <v>767</v>
      </c>
      <c r="G31" t="s">
        <v>773</v>
      </c>
      <c r="H31" s="1" t="s">
        <v>1</v>
      </c>
    </row>
    <row r="32" spans="1:14">
      <c r="A32" t="s">
        <v>1104</v>
      </c>
      <c r="B32" t="s">
        <v>1153</v>
      </c>
      <c r="D32" t="s">
        <v>1036</v>
      </c>
      <c r="E32" t="s">
        <v>1103</v>
      </c>
      <c r="F32" t="s">
        <v>801</v>
      </c>
      <c r="G32" t="s">
        <v>752</v>
      </c>
      <c r="H32" t="s">
        <v>1</v>
      </c>
    </row>
    <row r="33" spans="1:8">
      <c r="A33" t="s">
        <v>1104</v>
      </c>
      <c r="B33" t="s">
        <v>1156</v>
      </c>
      <c r="D33" t="s">
        <v>945</v>
      </c>
      <c r="E33" t="s">
        <v>1103</v>
      </c>
      <c r="F33" t="s">
        <v>756</v>
      </c>
      <c r="G33" t="s">
        <v>874</v>
      </c>
      <c r="H33" t="s">
        <v>1</v>
      </c>
    </row>
    <row r="34" spans="1:8">
      <c r="A34" t="s">
        <v>1104</v>
      </c>
      <c r="B34" t="s">
        <v>1158</v>
      </c>
      <c r="D34" t="s">
        <v>945</v>
      </c>
      <c r="E34" t="s">
        <v>1103</v>
      </c>
      <c r="F34" t="s">
        <v>801</v>
      </c>
      <c r="G34" t="s">
        <v>842</v>
      </c>
      <c r="H34" t="s">
        <v>1</v>
      </c>
    </row>
    <row r="35" spans="1:8">
      <c r="A35" t="s">
        <v>1104</v>
      </c>
      <c r="B35" t="s">
        <v>1168</v>
      </c>
      <c r="D35" t="s">
        <v>1169</v>
      </c>
      <c r="E35" t="s">
        <v>1103</v>
      </c>
      <c r="F35" t="s">
        <v>756</v>
      </c>
      <c r="G35" t="s">
        <v>773</v>
      </c>
      <c r="H35" t="s">
        <v>1</v>
      </c>
    </row>
    <row r="36" spans="1:8">
      <c r="A36" t="s">
        <v>1104</v>
      </c>
      <c r="B36" t="s">
        <v>1172</v>
      </c>
      <c r="D36" t="s">
        <v>968</v>
      </c>
      <c r="E36" t="s">
        <v>1103</v>
      </c>
      <c r="F36" t="s">
        <v>829</v>
      </c>
      <c r="G36" t="s">
        <v>1123</v>
      </c>
      <c r="H36" t="s">
        <v>1</v>
      </c>
    </row>
    <row r="37" spans="1:8">
      <c r="A37" t="s">
        <v>1104</v>
      </c>
      <c r="B37" t="s">
        <v>1179</v>
      </c>
      <c r="D37" t="s">
        <v>945</v>
      </c>
      <c r="E37" t="s">
        <v>1103</v>
      </c>
      <c r="F37" t="s">
        <v>732</v>
      </c>
      <c r="G37" t="s">
        <v>874</v>
      </c>
      <c r="H37" t="s">
        <v>1</v>
      </c>
    </row>
    <row r="38" spans="1:8">
      <c r="A38" t="s">
        <v>1104</v>
      </c>
      <c r="B38" t="s">
        <v>1182</v>
      </c>
      <c r="D38" t="s">
        <v>968</v>
      </c>
      <c r="E38" t="s">
        <v>1103</v>
      </c>
      <c r="F38" t="s">
        <v>829</v>
      </c>
      <c r="G38" t="s">
        <v>1123</v>
      </c>
      <c r="H38" t="s">
        <v>1</v>
      </c>
    </row>
    <row r="39" spans="1:8">
      <c r="A39" t="s">
        <v>1104</v>
      </c>
      <c r="B39" t="s">
        <v>1184</v>
      </c>
      <c r="D39" t="s">
        <v>939</v>
      </c>
      <c r="E39" t="s">
        <v>1103</v>
      </c>
      <c r="F39" t="s">
        <v>829</v>
      </c>
      <c r="G39" t="s">
        <v>1185</v>
      </c>
      <c r="H39" t="s">
        <v>1</v>
      </c>
    </row>
    <row r="40" spans="1:8">
      <c r="A40" t="s">
        <v>1104</v>
      </c>
      <c r="B40" t="s">
        <v>1204</v>
      </c>
      <c r="D40" t="s">
        <v>976</v>
      </c>
      <c r="E40" t="s">
        <v>1103</v>
      </c>
      <c r="F40" t="s">
        <v>732</v>
      </c>
      <c r="G40" t="s">
        <v>1123</v>
      </c>
      <c r="H40" t="s">
        <v>1</v>
      </c>
    </row>
    <row r="41" spans="1:8">
      <c r="A41" t="s">
        <v>1104</v>
      </c>
      <c r="B41" t="s">
        <v>1207</v>
      </c>
      <c r="D41" t="s">
        <v>976</v>
      </c>
      <c r="E41" t="s">
        <v>1103</v>
      </c>
      <c r="F41" t="s">
        <v>756</v>
      </c>
      <c r="G41" t="s">
        <v>757</v>
      </c>
      <c r="H41" s="1" t="s">
        <v>1</v>
      </c>
    </row>
    <row r="42" spans="1:8">
      <c r="A42" t="s">
        <v>1104</v>
      </c>
      <c r="B42" t="s">
        <v>1193</v>
      </c>
      <c r="D42" t="s">
        <v>945</v>
      </c>
      <c r="E42" t="s">
        <v>1103</v>
      </c>
      <c r="F42" t="s">
        <v>732</v>
      </c>
      <c r="G42" t="s">
        <v>783</v>
      </c>
      <c r="H42" s="1" t="s">
        <v>66</v>
      </c>
    </row>
    <row r="43" spans="1:8">
      <c r="A43" t="s">
        <v>1216</v>
      </c>
      <c r="B43" t="s">
        <v>1224</v>
      </c>
      <c r="D43" t="s">
        <v>824</v>
      </c>
      <c r="E43" t="s">
        <v>1215</v>
      </c>
      <c r="F43" t="s">
        <v>1225</v>
      </c>
      <c r="G43" t="s">
        <v>733</v>
      </c>
      <c r="H43" s="1" t="s">
        <v>66</v>
      </c>
    </row>
    <row r="44" spans="1:8">
      <c r="A44" t="s">
        <v>1216</v>
      </c>
      <c r="B44" t="s">
        <v>1220</v>
      </c>
      <c r="D44" t="s">
        <v>958</v>
      </c>
      <c r="E44" t="s">
        <v>1215</v>
      </c>
      <c r="F44" t="s">
        <v>732</v>
      </c>
      <c r="G44" t="s">
        <v>783</v>
      </c>
      <c r="H44" s="1" t="s">
        <v>1221</v>
      </c>
    </row>
    <row r="45" spans="1:8">
      <c r="A45" t="s">
        <v>981</v>
      </c>
      <c r="B45" t="s">
        <v>1002</v>
      </c>
      <c r="D45" t="s">
        <v>930</v>
      </c>
      <c r="E45" t="s">
        <v>980</v>
      </c>
      <c r="F45" t="s">
        <v>801</v>
      </c>
      <c r="G45" t="s">
        <v>757</v>
      </c>
      <c r="H45" s="1" t="s">
        <v>1003</v>
      </c>
    </row>
    <row r="46" spans="1:8">
      <c r="A46" t="s">
        <v>1024</v>
      </c>
      <c r="B46" t="s">
        <v>1035</v>
      </c>
      <c r="D46" t="s">
        <v>1036</v>
      </c>
      <c r="E46" t="s">
        <v>1023</v>
      </c>
      <c r="F46" t="s">
        <v>743</v>
      </c>
      <c r="G46" t="s">
        <v>809</v>
      </c>
      <c r="H46" t="s">
        <v>1003</v>
      </c>
    </row>
    <row r="47" spans="1:8">
      <c r="A47" t="s">
        <v>1024</v>
      </c>
      <c r="B47" t="s">
        <v>1046</v>
      </c>
      <c r="D47" t="s">
        <v>939</v>
      </c>
      <c r="E47" t="s">
        <v>1023</v>
      </c>
      <c r="F47" t="s">
        <v>797</v>
      </c>
      <c r="G47" t="s">
        <v>1047</v>
      </c>
      <c r="H47" t="s">
        <v>1003</v>
      </c>
    </row>
    <row r="48" spans="1:8">
      <c r="A48" t="s">
        <v>1024</v>
      </c>
      <c r="B48" t="s">
        <v>1061</v>
      </c>
      <c r="D48" t="s">
        <v>930</v>
      </c>
      <c r="E48" t="s">
        <v>1023</v>
      </c>
      <c r="F48" t="s">
        <v>732</v>
      </c>
      <c r="G48" t="s">
        <v>738</v>
      </c>
      <c r="H48" t="s">
        <v>1003</v>
      </c>
    </row>
    <row r="49" spans="1:9">
      <c r="A49" t="s">
        <v>1024</v>
      </c>
      <c r="B49" t="s">
        <v>1062</v>
      </c>
      <c r="D49" t="s">
        <v>968</v>
      </c>
      <c r="E49" t="s">
        <v>1023</v>
      </c>
      <c r="F49" t="s">
        <v>756</v>
      </c>
      <c r="G49" t="s">
        <v>733</v>
      </c>
      <c r="H49" t="s">
        <v>1003</v>
      </c>
    </row>
    <row r="50" spans="1:9">
      <c r="A50" t="s">
        <v>1024</v>
      </c>
      <c r="B50" t="s">
        <v>1092</v>
      </c>
      <c r="D50" t="s">
        <v>968</v>
      </c>
      <c r="E50" t="s">
        <v>1023</v>
      </c>
      <c r="F50" t="s">
        <v>772</v>
      </c>
      <c r="G50" t="s">
        <v>738</v>
      </c>
      <c r="H50" t="s">
        <v>1003</v>
      </c>
    </row>
    <row r="51" spans="1:9">
      <c r="A51" t="s">
        <v>1024</v>
      </c>
      <c r="B51" t="s">
        <v>1095</v>
      </c>
      <c r="D51" t="s">
        <v>968</v>
      </c>
      <c r="E51" t="s">
        <v>1023</v>
      </c>
      <c r="F51" t="s">
        <v>829</v>
      </c>
      <c r="G51" t="s">
        <v>842</v>
      </c>
      <c r="H51" t="s">
        <v>1003</v>
      </c>
    </row>
    <row r="52" spans="1:9">
      <c r="A52" t="s">
        <v>1024</v>
      </c>
      <c r="B52" t="s">
        <v>1100</v>
      </c>
      <c r="D52" t="s">
        <v>857</v>
      </c>
      <c r="E52" t="s">
        <v>1023</v>
      </c>
      <c r="F52" t="s">
        <v>756</v>
      </c>
      <c r="G52" t="s">
        <v>757</v>
      </c>
      <c r="H52" t="s">
        <v>1003</v>
      </c>
    </row>
    <row r="53" spans="1:9">
      <c r="A53" t="s">
        <v>1104</v>
      </c>
      <c r="B53" t="s">
        <v>1137</v>
      </c>
      <c r="D53" t="s">
        <v>968</v>
      </c>
      <c r="E53" t="s">
        <v>1103</v>
      </c>
      <c r="F53" t="s">
        <v>772</v>
      </c>
      <c r="G53" t="s">
        <v>738</v>
      </c>
      <c r="H53" t="s">
        <v>1003</v>
      </c>
    </row>
    <row r="54" spans="1:9">
      <c r="A54" t="s">
        <v>1104</v>
      </c>
      <c r="B54" t="s">
        <v>1143</v>
      </c>
      <c r="D54" t="s">
        <v>968</v>
      </c>
      <c r="E54" t="s">
        <v>1103</v>
      </c>
      <c r="F54" t="s">
        <v>732</v>
      </c>
      <c r="G54" t="s">
        <v>752</v>
      </c>
      <c r="H54" t="s">
        <v>1003</v>
      </c>
    </row>
    <row r="55" spans="1:9">
      <c r="A55" t="s">
        <v>1104</v>
      </c>
      <c r="B55" t="s">
        <v>1186</v>
      </c>
      <c r="D55" t="s">
        <v>857</v>
      </c>
      <c r="E55" t="s">
        <v>1103</v>
      </c>
      <c r="F55" t="s">
        <v>801</v>
      </c>
      <c r="G55" t="s">
        <v>830</v>
      </c>
      <c r="H55" t="s">
        <v>1003</v>
      </c>
    </row>
    <row r="56" spans="1:9">
      <c r="A56" t="s">
        <v>981</v>
      </c>
      <c r="B56" t="s">
        <v>1006</v>
      </c>
      <c r="D56" t="s">
        <v>935</v>
      </c>
      <c r="E56" t="s">
        <v>980</v>
      </c>
      <c r="F56" t="s">
        <v>732</v>
      </c>
      <c r="G56" t="s">
        <v>733</v>
      </c>
      <c r="H56" t="s">
        <v>71</v>
      </c>
    </row>
    <row r="57" spans="1:9">
      <c r="A57" t="s">
        <v>981</v>
      </c>
      <c r="B57" t="s">
        <v>1011</v>
      </c>
      <c r="D57" t="s">
        <v>857</v>
      </c>
      <c r="E57" t="s">
        <v>980</v>
      </c>
      <c r="F57" t="s">
        <v>756</v>
      </c>
      <c r="G57" t="s">
        <v>752</v>
      </c>
      <c r="H57" t="s">
        <v>71</v>
      </c>
    </row>
    <row r="58" spans="1:9">
      <c r="A58" t="s">
        <v>1104</v>
      </c>
      <c r="B58" t="s">
        <v>1165</v>
      </c>
      <c r="D58" t="s">
        <v>976</v>
      </c>
      <c r="E58" t="s">
        <v>1103</v>
      </c>
      <c r="F58" t="s">
        <v>732</v>
      </c>
      <c r="G58" t="s">
        <v>738</v>
      </c>
      <c r="H58" t="s">
        <v>71</v>
      </c>
    </row>
    <row r="59" spans="1:9">
      <c r="A59" t="s">
        <v>923</v>
      </c>
      <c r="B59" t="s">
        <v>941</v>
      </c>
      <c r="D59" t="s">
        <v>828</v>
      </c>
      <c r="E59" t="s">
        <v>942</v>
      </c>
      <c r="F59" t="s">
        <v>756</v>
      </c>
      <c r="G59" t="s">
        <v>738</v>
      </c>
      <c r="H59" t="s">
        <v>480</v>
      </c>
      <c r="I59" t="s">
        <v>943</v>
      </c>
    </row>
    <row r="60" spans="1:9">
      <c r="A60" t="s">
        <v>1024</v>
      </c>
      <c r="B60" t="s">
        <v>1097</v>
      </c>
      <c r="D60" t="s">
        <v>968</v>
      </c>
      <c r="E60" t="s">
        <v>1023</v>
      </c>
      <c r="F60" t="s">
        <v>756</v>
      </c>
      <c r="G60" t="s">
        <v>752</v>
      </c>
      <c r="H60" t="s">
        <v>77</v>
      </c>
    </row>
    <row r="61" spans="1:9">
      <c r="A61" t="s">
        <v>952</v>
      </c>
      <c r="B61" t="s">
        <v>971</v>
      </c>
      <c r="D61" t="s">
        <v>930</v>
      </c>
      <c r="E61" t="s">
        <v>951</v>
      </c>
      <c r="F61" t="s">
        <v>732</v>
      </c>
      <c r="G61" t="s">
        <v>925</v>
      </c>
      <c r="H61" t="s">
        <v>84</v>
      </c>
    </row>
    <row r="62" spans="1:9">
      <c r="A62" t="s">
        <v>981</v>
      </c>
      <c r="B62" t="s">
        <v>1004</v>
      </c>
      <c r="D62" t="s">
        <v>857</v>
      </c>
      <c r="E62" t="s">
        <v>980</v>
      </c>
      <c r="F62" t="s">
        <v>732</v>
      </c>
      <c r="G62" t="s">
        <v>738</v>
      </c>
      <c r="H62" t="s">
        <v>84</v>
      </c>
    </row>
    <row r="63" spans="1:9">
      <c r="A63" t="s">
        <v>1024</v>
      </c>
      <c r="B63" t="s">
        <v>1039</v>
      </c>
      <c r="D63" t="s">
        <v>857</v>
      </c>
      <c r="E63" t="s">
        <v>1023</v>
      </c>
      <c r="F63" t="s">
        <v>732</v>
      </c>
      <c r="G63" t="s">
        <v>790</v>
      </c>
      <c r="H63" t="s">
        <v>84</v>
      </c>
      <c r="I63" t="s">
        <v>1040</v>
      </c>
    </row>
    <row r="64" spans="1:9">
      <c r="A64" t="s">
        <v>1024</v>
      </c>
      <c r="B64" t="s">
        <v>1069</v>
      </c>
      <c r="D64" t="s">
        <v>1018</v>
      </c>
      <c r="E64" t="s">
        <v>1023</v>
      </c>
      <c r="F64" t="s">
        <v>829</v>
      </c>
      <c r="G64" t="s">
        <v>852</v>
      </c>
      <c r="H64" t="s">
        <v>84</v>
      </c>
    </row>
    <row r="65" spans="1:10">
      <c r="A65" t="s">
        <v>1104</v>
      </c>
      <c r="B65" t="s">
        <v>1108</v>
      </c>
      <c r="D65" t="s">
        <v>1036</v>
      </c>
      <c r="E65" t="s">
        <v>1103</v>
      </c>
      <c r="F65" t="s">
        <v>732</v>
      </c>
      <c r="G65" t="s">
        <v>752</v>
      </c>
      <c r="H65" s="1" t="s">
        <v>84</v>
      </c>
      <c r="I65" s="1"/>
    </row>
    <row r="66" spans="1:10">
      <c r="A66" t="s">
        <v>1104</v>
      </c>
      <c r="B66" t="s">
        <v>1196</v>
      </c>
      <c r="D66" t="s">
        <v>988</v>
      </c>
      <c r="E66" t="s">
        <v>1103</v>
      </c>
      <c r="F66" t="s">
        <v>732</v>
      </c>
      <c r="G66" t="s">
        <v>842</v>
      </c>
      <c r="H66" s="1" t="s">
        <v>84</v>
      </c>
      <c r="I66" s="1" t="s">
        <v>1040</v>
      </c>
    </row>
    <row r="67" spans="1:10">
      <c r="A67" t="s">
        <v>981</v>
      </c>
      <c r="B67" t="s">
        <v>985</v>
      </c>
      <c r="D67" t="s">
        <v>928</v>
      </c>
      <c r="E67" t="s">
        <v>980</v>
      </c>
      <c r="F67" t="s">
        <v>756</v>
      </c>
      <c r="G67" t="s">
        <v>773</v>
      </c>
      <c r="H67" s="1" t="s">
        <v>98</v>
      </c>
      <c r="I67" s="1"/>
    </row>
    <row r="68" spans="1:10">
      <c r="A68" t="s">
        <v>981</v>
      </c>
      <c r="B68" t="s">
        <v>991</v>
      </c>
      <c r="D68" t="s">
        <v>851</v>
      </c>
      <c r="E68" t="s">
        <v>980</v>
      </c>
      <c r="F68" t="s">
        <v>801</v>
      </c>
      <c r="G68" t="s">
        <v>773</v>
      </c>
      <c r="H68" s="1" t="s">
        <v>98</v>
      </c>
      <c r="I68" s="1"/>
    </row>
    <row r="69" spans="1:10">
      <c r="A69" t="s">
        <v>981</v>
      </c>
      <c r="B69" t="s">
        <v>992</v>
      </c>
      <c r="D69" t="s">
        <v>839</v>
      </c>
      <c r="E69" t="s">
        <v>980</v>
      </c>
      <c r="F69" t="s">
        <v>801</v>
      </c>
      <c r="G69" t="s">
        <v>773</v>
      </c>
      <c r="H69" s="1" t="s">
        <v>98</v>
      </c>
      <c r="I69" s="1"/>
    </row>
    <row r="70" spans="1:10">
      <c r="A70" t="s">
        <v>1024</v>
      </c>
      <c r="B70" t="s">
        <v>1050</v>
      </c>
      <c r="D70" t="s">
        <v>945</v>
      </c>
      <c r="E70" t="s">
        <v>1023</v>
      </c>
      <c r="F70" t="s">
        <v>732</v>
      </c>
      <c r="G70" t="s">
        <v>757</v>
      </c>
      <c r="H70" s="1" t="s">
        <v>98</v>
      </c>
      <c r="I70" s="1" t="s">
        <v>1051</v>
      </c>
    </row>
    <row r="71" spans="1:10">
      <c r="A71" t="s">
        <v>1024</v>
      </c>
      <c r="B71" t="s">
        <v>1054</v>
      </c>
      <c r="D71" t="s">
        <v>968</v>
      </c>
      <c r="E71" t="s">
        <v>1023</v>
      </c>
      <c r="F71" t="s">
        <v>743</v>
      </c>
      <c r="G71" t="s">
        <v>852</v>
      </c>
      <c r="H71" s="1" t="s">
        <v>98</v>
      </c>
      <c r="I71" s="1"/>
    </row>
    <row r="72" spans="1:10">
      <c r="A72" t="s">
        <v>1104</v>
      </c>
      <c r="B72" t="s">
        <v>1109</v>
      </c>
      <c r="D72" t="s">
        <v>968</v>
      </c>
      <c r="E72" t="s">
        <v>1103</v>
      </c>
      <c r="F72" t="s">
        <v>801</v>
      </c>
      <c r="G72" t="s">
        <v>738</v>
      </c>
      <c r="H72" s="1" t="s">
        <v>98</v>
      </c>
      <c r="I72" s="1"/>
    </row>
    <row r="73" spans="1:10">
      <c r="A73" t="s">
        <v>1104</v>
      </c>
      <c r="B73" t="s">
        <v>1132</v>
      </c>
      <c r="D73" t="s">
        <v>976</v>
      </c>
      <c r="E73" t="s">
        <v>1103</v>
      </c>
      <c r="F73" t="s">
        <v>756</v>
      </c>
      <c r="G73" t="s">
        <v>1133</v>
      </c>
      <c r="H73" s="1" t="s">
        <v>98</v>
      </c>
      <c r="I73" s="1"/>
      <c r="J73" t="s">
        <v>863</v>
      </c>
    </row>
    <row r="74" spans="1:10">
      <c r="A74" t="s">
        <v>1104</v>
      </c>
      <c r="B74" t="s">
        <v>1145</v>
      </c>
      <c r="D74" t="s">
        <v>857</v>
      </c>
      <c r="E74" t="s">
        <v>1103</v>
      </c>
      <c r="F74" t="s">
        <v>829</v>
      </c>
      <c r="G74" t="s">
        <v>1123</v>
      </c>
      <c r="H74" t="s">
        <v>98</v>
      </c>
      <c r="J74" s="1" t="s">
        <v>863</v>
      </c>
    </row>
    <row r="75" spans="1:10">
      <c r="A75" t="s">
        <v>1104</v>
      </c>
      <c r="B75" t="s">
        <v>1148</v>
      </c>
      <c r="D75" t="s">
        <v>1149</v>
      </c>
      <c r="E75" t="s">
        <v>1103</v>
      </c>
      <c r="F75" t="s">
        <v>756</v>
      </c>
      <c r="G75" t="s">
        <v>752</v>
      </c>
      <c r="H75" t="s">
        <v>98</v>
      </c>
      <c r="I75" s="1"/>
      <c r="J75" s="1" t="s">
        <v>863</v>
      </c>
    </row>
    <row r="76" spans="1:10">
      <c r="A76" t="s">
        <v>1104</v>
      </c>
      <c r="B76" t="s">
        <v>1200</v>
      </c>
      <c r="D76" t="s">
        <v>976</v>
      </c>
      <c r="E76" t="s">
        <v>1103</v>
      </c>
      <c r="F76" t="s">
        <v>801</v>
      </c>
      <c r="G76" t="s">
        <v>773</v>
      </c>
      <c r="H76" t="s">
        <v>98</v>
      </c>
      <c r="I76" s="1"/>
      <c r="J76" s="1" t="s">
        <v>863</v>
      </c>
    </row>
    <row r="77" spans="1:10">
      <c r="A77" t="s">
        <v>1216</v>
      </c>
      <c r="B77" t="s">
        <v>1223</v>
      </c>
      <c r="D77" t="s">
        <v>928</v>
      </c>
      <c r="E77" t="s">
        <v>1215</v>
      </c>
      <c r="F77" t="s">
        <v>763</v>
      </c>
      <c r="G77" t="s">
        <v>738</v>
      </c>
      <c r="H77" t="s">
        <v>98</v>
      </c>
      <c r="I77" s="1"/>
      <c r="J77" s="1" t="s">
        <v>863</v>
      </c>
    </row>
    <row r="78" spans="1:10">
      <c r="A78" t="s">
        <v>1024</v>
      </c>
      <c r="B78" t="s">
        <v>1055</v>
      </c>
      <c r="D78" t="s">
        <v>945</v>
      </c>
      <c r="E78" t="s">
        <v>1023</v>
      </c>
      <c r="F78" t="s">
        <v>756</v>
      </c>
      <c r="G78" t="s">
        <v>738</v>
      </c>
      <c r="H78" s="564" t="s">
        <v>111</v>
      </c>
      <c r="J78" s="1" t="s">
        <v>863</v>
      </c>
    </row>
    <row r="79" spans="1:10">
      <c r="A79" t="s">
        <v>1024</v>
      </c>
      <c r="B79" t="s">
        <v>1057</v>
      </c>
      <c r="D79" t="s">
        <v>930</v>
      </c>
      <c r="E79" t="s">
        <v>1023</v>
      </c>
      <c r="F79" t="s">
        <v>829</v>
      </c>
      <c r="G79" t="s">
        <v>847</v>
      </c>
      <c r="H79" s="564" t="s">
        <v>111</v>
      </c>
      <c r="J79" s="1" t="s">
        <v>863</v>
      </c>
    </row>
    <row r="80" spans="1:10">
      <c r="A80" t="s">
        <v>1104</v>
      </c>
      <c r="B80" t="s">
        <v>1105</v>
      </c>
      <c r="D80" t="s">
        <v>968</v>
      </c>
      <c r="E80" t="s">
        <v>1103</v>
      </c>
      <c r="F80" t="s">
        <v>732</v>
      </c>
      <c r="G80" t="s">
        <v>738</v>
      </c>
      <c r="H80" s="564" t="s">
        <v>111</v>
      </c>
      <c r="J80" s="1" t="s">
        <v>863</v>
      </c>
    </row>
    <row r="81" spans="1:10">
      <c r="A81" t="s">
        <v>1104</v>
      </c>
      <c r="B81" t="s">
        <v>1142</v>
      </c>
      <c r="D81" t="s">
        <v>1036</v>
      </c>
      <c r="E81" t="s">
        <v>1103</v>
      </c>
      <c r="F81" t="s">
        <v>732</v>
      </c>
      <c r="G81" t="s">
        <v>790</v>
      </c>
      <c r="H81" s="564" t="s">
        <v>111</v>
      </c>
      <c r="J81" s="1" t="s">
        <v>863</v>
      </c>
    </row>
    <row r="82" spans="1:10">
      <c r="A82" t="s">
        <v>1104</v>
      </c>
      <c r="B82" t="s">
        <v>1199</v>
      </c>
      <c r="D82" t="s">
        <v>968</v>
      </c>
      <c r="E82" t="s">
        <v>1103</v>
      </c>
      <c r="F82" t="s">
        <v>732</v>
      </c>
      <c r="G82" t="s">
        <v>752</v>
      </c>
      <c r="H82" s="564" t="s">
        <v>111</v>
      </c>
      <c r="J82" s="1" t="s">
        <v>863</v>
      </c>
    </row>
    <row r="83" spans="1:10">
      <c r="A83" t="s">
        <v>836</v>
      </c>
      <c r="B83" t="s">
        <v>848</v>
      </c>
      <c r="D83" t="s">
        <v>828</v>
      </c>
      <c r="E83" t="s">
        <v>742</v>
      </c>
      <c r="F83" t="s">
        <v>732</v>
      </c>
      <c r="G83" t="s">
        <v>773</v>
      </c>
      <c r="H83" s="564" t="s">
        <v>125</v>
      </c>
    </row>
    <row r="84" spans="1:10">
      <c r="A84" t="s">
        <v>836</v>
      </c>
      <c r="B84" t="s">
        <v>850</v>
      </c>
      <c r="D84" t="s">
        <v>851</v>
      </c>
      <c r="E84" t="s">
        <v>742</v>
      </c>
      <c r="F84" t="s">
        <v>829</v>
      </c>
      <c r="G84" t="s">
        <v>852</v>
      </c>
      <c r="H84" s="564" t="s">
        <v>125</v>
      </c>
    </row>
    <row r="85" spans="1:10">
      <c r="A85" t="s">
        <v>923</v>
      </c>
      <c r="B85" t="s">
        <v>946</v>
      </c>
      <c r="D85" t="s">
        <v>803</v>
      </c>
      <c r="E85" t="s">
        <v>922</v>
      </c>
      <c r="F85" t="s">
        <v>732</v>
      </c>
      <c r="G85" t="s">
        <v>783</v>
      </c>
      <c r="H85" s="564" t="s">
        <v>125</v>
      </c>
    </row>
    <row r="86" spans="1:10">
      <c r="A86" t="s">
        <v>952</v>
      </c>
      <c r="B86" t="s">
        <v>956</v>
      </c>
      <c r="D86" t="s">
        <v>828</v>
      </c>
      <c r="E86" t="s">
        <v>951</v>
      </c>
      <c r="F86" t="s">
        <v>732</v>
      </c>
      <c r="G86" t="s">
        <v>752</v>
      </c>
      <c r="H86" s="564" t="s">
        <v>125</v>
      </c>
    </row>
    <row r="87" spans="1:10">
      <c r="A87" t="s">
        <v>1024</v>
      </c>
      <c r="B87" t="s">
        <v>1030</v>
      </c>
      <c r="D87" t="s">
        <v>1031</v>
      </c>
      <c r="E87" t="s">
        <v>1023</v>
      </c>
      <c r="F87" t="s">
        <v>732</v>
      </c>
      <c r="G87" t="s">
        <v>738</v>
      </c>
      <c r="H87" s="564" t="s">
        <v>125</v>
      </c>
      <c r="I87" t="s">
        <v>1032</v>
      </c>
    </row>
    <row r="88" spans="1:10">
      <c r="A88" t="s">
        <v>1024</v>
      </c>
      <c r="B88" t="s">
        <v>1043</v>
      </c>
      <c r="D88" t="s">
        <v>945</v>
      </c>
      <c r="E88" t="s">
        <v>1023</v>
      </c>
      <c r="F88" t="s">
        <v>797</v>
      </c>
      <c r="G88" t="s">
        <v>738</v>
      </c>
      <c r="H88" s="564" t="s">
        <v>125</v>
      </c>
    </row>
    <row r="89" spans="1:10">
      <c r="A89" t="s">
        <v>1024</v>
      </c>
      <c r="B89" t="s">
        <v>1058</v>
      </c>
      <c r="D89" t="s">
        <v>968</v>
      </c>
      <c r="E89" t="s">
        <v>1023</v>
      </c>
      <c r="F89" t="s">
        <v>801</v>
      </c>
      <c r="G89" t="s">
        <v>783</v>
      </c>
      <c r="H89" s="564" t="s">
        <v>125</v>
      </c>
    </row>
    <row r="90" spans="1:10">
      <c r="A90" t="s">
        <v>1024</v>
      </c>
      <c r="B90" t="s">
        <v>1090</v>
      </c>
      <c r="D90" t="s">
        <v>857</v>
      </c>
      <c r="E90" t="s">
        <v>1023</v>
      </c>
      <c r="F90" t="s">
        <v>756</v>
      </c>
      <c r="G90" t="s">
        <v>733</v>
      </c>
      <c r="H90" s="564" t="s">
        <v>125</v>
      </c>
    </row>
    <row r="91" spans="1:10">
      <c r="A91" t="s">
        <v>1104</v>
      </c>
      <c r="B91" t="s">
        <v>1106</v>
      </c>
      <c r="D91" t="s">
        <v>968</v>
      </c>
      <c r="E91" t="s">
        <v>1103</v>
      </c>
      <c r="F91" t="s">
        <v>756</v>
      </c>
      <c r="G91" t="s">
        <v>925</v>
      </c>
      <c r="H91" s="564" t="s">
        <v>125</v>
      </c>
    </row>
    <row r="92" spans="1:10">
      <c r="A92" t="s">
        <v>1104</v>
      </c>
      <c r="B92" t="s">
        <v>1111</v>
      </c>
      <c r="D92" t="s">
        <v>976</v>
      </c>
      <c r="E92" t="s">
        <v>1103</v>
      </c>
      <c r="F92" t="s">
        <v>743</v>
      </c>
      <c r="G92" t="s">
        <v>757</v>
      </c>
      <c r="H92" s="564" t="s">
        <v>125</v>
      </c>
    </row>
    <row r="93" spans="1:10">
      <c r="A93" t="s">
        <v>1104</v>
      </c>
      <c r="B93" t="s">
        <v>1129</v>
      </c>
      <c r="D93" t="s">
        <v>1036</v>
      </c>
      <c r="E93" t="s">
        <v>1103</v>
      </c>
      <c r="F93" t="s">
        <v>756</v>
      </c>
      <c r="G93" t="s">
        <v>925</v>
      </c>
      <c r="H93" t="s">
        <v>134</v>
      </c>
    </row>
    <row r="94" spans="1:10">
      <c r="A94" t="s">
        <v>1104</v>
      </c>
      <c r="B94" t="s">
        <v>1130</v>
      </c>
      <c r="D94" t="s">
        <v>945</v>
      </c>
      <c r="E94" t="s">
        <v>1103</v>
      </c>
      <c r="F94" t="s">
        <v>732</v>
      </c>
      <c r="G94" t="s">
        <v>738</v>
      </c>
      <c r="H94" t="s">
        <v>134</v>
      </c>
    </row>
    <row r="95" spans="1:10">
      <c r="A95" t="s">
        <v>1104</v>
      </c>
      <c r="B95" t="s">
        <v>1159</v>
      </c>
      <c r="D95" t="s">
        <v>939</v>
      </c>
      <c r="E95" t="s">
        <v>1103</v>
      </c>
      <c r="F95" t="s">
        <v>829</v>
      </c>
      <c r="G95" t="s">
        <v>852</v>
      </c>
      <c r="H95" t="s">
        <v>140</v>
      </c>
    </row>
    <row r="96" spans="1:10">
      <c r="A96" t="s">
        <v>1024</v>
      </c>
      <c r="B96" t="s">
        <v>1073</v>
      </c>
      <c r="D96" t="s">
        <v>968</v>
      </c>
      <c r="E96" t="s">
        <v>1023</v>
      </c>
      <c r="F96" t="s">
        <v>732</v>
      </c>
      <c r="G96" t="s">
        <v>757</v>
      </c>
      <c r="H96" s="564" t="s">
        <v>152</v>
      </c>
    </row>
    <row r="97" spans="1:8">
      <c r="A97" t="s">
        <v>923</v>
      </c>
      <c r="B97" t="s">
        <v>931</v>
      </c>
      <c r="D97" t="s">
        <v>839</v>
      </c>
      <c r="E97" t="s">
        <v>922</v>
      </c>
      <c r="F97" t="s">
        <v>743</v>
      </c>
      <c r="G97" t="s">
        <v>757</v>
      </c>
      <c r="H97" t="s">
        <v>172</v>
      </c>
    </row>
    <row r="98" spans="1:8">
      <c r="A98" t="s">
        <v>981</v>
      </c>
      <c r="B98" t="s">
        <v>1005</v>
      </c>
      <c r="D98" t="s">
        <v>755</v>
      </c>
      <c r="E98" t="s">
        <v>980</v>
      </c>
      <c r="F98" t="s">
        <v>732</v>
      </c>
      <c r="G98" t="s">
        <v>773</v>
      </c>
      <c r="H98" t="s">
        <v>172</v>
      </c>
    </row>
    <row r="99" spans="1:8">
      <c r="A99" t="s">
        <v>1024</v>
      </c>
      <c r="B99" t="s">
        <v>1068</v>
      </c>
      <c r="D99" t="s">
        <v>857</v>
      </c>
      <c r="E99" t="s">
        <v>1023</v>
      </c>
      <c r="F99" t="s">
        <v>797</v>
      </c>
      <c r="G99" t="s">
        <v>757</v>
      </c>
      <c r="H99" t="s">
        <v>172</v>
      </c>
    </row>
    <row r="100" spans="1:8">
      <c r="A100" t="s">
        <v>1104</v>
      </c>
      <c r="B100" t="s">
        <v>1114</v>
      </c>
      <c r="D100" t="s">
        <v>995</v>
      </c>
      <c r="E100" t="s">
        <v>1103</v>
      </c>
      <c r="F100" t="s">
        <v>829</v>
      </c>
      <c r="G100" t="s">
        <v>874</v>
      </c>
      <c r="H100" t="s">
        <v>172</v>
      </c>
    </row>
    <row r="101" spans="1:8">
      <c r="A101" t="s">
        <v>1104</v>
      </c>
      <c r="B101" t="s">
        <v>1147</v>
      </c>
      <c r="D101" t="s">
        <v>976</v>
      </c>
      <c r="E101" t="s">
        <v>1103</v>
      </c>
      <c r="F101" t="s">
        <v>743</v>
      </c>
      <c r="G101" t="s">
        <v>925</v>
      </c>
      <c r="H101" t="s">
        <v>172</v>
      </c>
    </row>
    <row r="102" spans="1:8">
      <c r="A102" t="s">
        <v>1104</v>
      </c>
      <c r="B102" t="s">
        <v>1177</v>
      </c>
      <c r="D102" t="s">
        <v>945</v>
      </c>
      <c r="E102" t="s">
        <v>1103</v>
      </c>
      <c r="F102" t="s">
        <v>772</v>
      </c>
      <c r="G102" t="s">
        <v>752</v>
      </c>
      <c r="H102" t="s">
        <v>172</v>
      </c>
    </row>
    <row r="103" spans="1:8">
      <c r="A103" t="s">
        <v>806</v>
      </c>
      <c r="B103" t="s">
        <v>807</v>
      </c>
      <c r="D103" t="s">
        <v>808</v>
      </c>
      <c r="E103" t="s">
        <v>742</v>
      </c>
      <c r="F103" t="s">
        <v>732</v>
      </c>
      <c r="G103" t="s">
        <v>809</v>
      </c>
      <c r="H103" t="s">
        <v>178</v>
      </c>
    </row>
    <row r="104" spans="1:8">
      <c r="A104" t="s">
        <v>923</v>
      </c>
      <c r="B104" t="s">
        <v>924</v>
      </c>
      <c r="D104" t="s">
        <v>808</v>
      </c>
      <c r="E104" t="s">
        <v>922</v>
      </c>
      <c r="F104" t="s">
        <v>743</v>
      </c>
      <c r="G104" t="s">
        <v>925</v>
      </c>
      <c r="H104" t="s">
        <v>178</v>
      </c>
    </row>
    <row r="105" spans="1:8">
      <c r="A105" t="s">
        <v>952</v>
      </c>
      <c r="B105" t="s">
        <v>962</v>
      </c>
      <c r="D105" t="s">
        <v>851</v>
      </c>
      <c r="E105" t="s">
        <v>951</v>
      </c>
      <c r="F105" t="s">
        <v>756</v>
      </c>
      <c r="G105" t="s">
        <v>783</v>
      </c>
      <c r="H105" t="s">
        <v>178</v>
      </c>
    </row>
    <row r="106" spans="1:8">
      <c r="A106" t="s">
        <v>981</v>
      </c>
      <c r="B106" t="s">
        <v>1017</v>
      </c>
      <c r="D106" t="s">
        <v>1018</v>
      </c>
      <c r="E106" t="s">
        <v>980</v>
      </c>
      <c r="F106" t="s">
        <v>772</v>
      </c>
      <c r="G106" t="s">
        <v>733</v>
      </c>
      <c r="H106" t="s">
        <v>178</v>
      </c>
    </row>
    <row r="107" spans="1:8">
      <c r="A107" t="s">
        <v>981</v>
      </c>
      <c r="B107" t="s">
        <v>1019</v>
      </c>
      <c r="D107" t="s">
        <v>857</v>
      </c>
      <c r="E107" t="s">
        <v>980</v>
      </c>
      <c r="F107" t="s">
        <v>890</v>
      </c>
      <c r="G107" t="s">
        <v>752</v>
      </c>
      <c r="H107" t="s">
        <v>178</v>
      </c>
    </row>
    <row r="108" spans="1:8">
      <c r="A108" t="s">
        <v>981</v>
      </c>
      <c r="B108" t="s">
        <v>1020</v>
      </c>
      <c r="D108" t="s">
        <v>928</v>
      </c>
      <c r="E108" t="s">
        <v>980</v>
      </c>
      <c r="F108" t="s">
        <v>797</v>
      </c>
      <c r="G108" t="s">
        <v>773</v>
      </c>
      <c r="H108" t="s">
        <v>178</v>
      </c>
    </row>
    <row r="109" spans="1:8">
      <c r="A109" t="s">
        <v>1024</v>
      </c>
      <c r="B109" t="s">
        <v>1048</v>
      </c>
      <c r="D109" t="s">
        <v>857</v>
      </c>
      <c r="E109" t="s">
        <v>1023</v>
      </c>
      <c r="F109" t="s">
        <v>743</v>
      </c>
      <c r="G109" t="s">
        <v>733</v>
      </c>
      <c r="H109" t="s">
        <v>178</v>
      </c>
    </row>
    <row r="110" spans="1:8">
      <c r="A110" t="s">
        <v>1024</v>
      </c>
      <c r="B110" t="s">
        <v>1049</v>
      </c>
      <c r="D110" t="s">
        <v>930</v>
      </c>
      <c r="E110" t="s">
        <v>1023</v>
      </c>
      <c r="F110" t="s">
        <v>743</v>
      </c>
      <c r="G110" t="s">
        <v>783</v>
      </c>
      <c r="H110" t="s">
        <v>178</v>
      </c>
    </row>
    <row r="111" spans="1:8">
      <c r="A111" t="s">
        <v>1104</v>
      </c>
      <c r="B111" t="s">
        <v>1171</v>
      </c>
      <c r="D111" t="s">
        <v>968</v>
      </c>
      <c r="E111" t="s">
        <v>1103</v>
      </c>
      <c r="F111" t="s">
        <v>801</v>
      </c>
      <c r="G111" t="s">
        <v>738</v>
      </c>
      <c r="H111" t="s">
        <v>178</v>
      </c>
    </row>
    <row r="112" spans="1:8">
      <c r="A112" t="s">
        <v>1104</v>
      </c>
      <c r="B112" t="s">
        <v>1173</v>
      </c>
      <c r="D112" t="s">
        <v>968</v>
      </c>
      <c r="E112" t="s">
        <v>1103</v>
      </c>
      <c r="F112" t="s">
        <v>732</v>
      </c>
      <c r="G112" t="s">
        <v>1133</v>
      </c>
      <c r="H112" t="s">
        <v>178</v>
      </c>
    </row>
    <row r="113" spans="1:9">
      <c r="A113" t="s">
        <v>1104</v>
      </c>
      <c r="B113" t="s">
        <v>1189</v>
      </c>
      <c r="D113" t="s">
        <v>1036</v>
      </c>
      <c r="E113" t="s">
        <v>1103</v>
      </c>
      <c r="F113" t="s">
        <v>732</v>
      </c>
      <c r="G113" t="s">
        <v>738</v>
      </c>
      <c r="H113" t="s">
        <v>178</v>
      </c>
    </row>
    <row r="114" spans="1:9">
      <c r="A114" t="s">
        <v>1104</v>
      </c>
      <c r="B114" t="s">
        <v>1197</v>
      </c>
      <c r="D114" t="s">
        <v>968</v>
      </c>
      <c r="E114" t="s">
        <v>1103</v>
      </c>
      <c r="F114" t="s">
        <v>756</v>
      </c>
      <c r="G114" t="s">
        <v>738</v>
      </c>
      <c r="H114" t="s">
        <v>178</v>
      </c>
    </row>
    <row r="115" spans="1:9">
      <c r="A115" t="s">
        <v>1104</v>
      </c>
      <c r="B115" t="s">
        <v>1210</v>
      </c>
      <c r="D115" t="s">
        <v>995</v>
      </c>
      <c r="E115" t="s">
        <v>1103</v>
      </c>
      <c r="F115" t="s">
        <v>732</v>
      </c>
      <c r="G115" t="s">
        <v>738</v>
      </c>
      <c r="H115" t="s">
        <v>178</v>
      </c>
    </row>
    <row r="116" spans="1:9">
      <c r="A116" t="s">
        <v>1104</v>
      </c>
      <c r="B116" t="s">
        <v>1211</v>
      </c>
      <c r="D116" t="s">
        <v>857</v>
      </c>
      <c r="E116" t="s">
        <v>1103</v>
      </c>
      <c r="F116" t="s">
        <v>732</v>
      </c>
      <c r="G116" t="s">
        <v>752</v>
      </c>
      <c r="H116" t="s">
        <v>178</v>
      </c>
    </row>
    <row r="117" spans="1:9">
      <c r="A117" t="s">
        <v>1104</v>
      </c>
      <c r="B117" t="s">
        <v>1212</v>
      </c>
      <c r="D117" t="s">
        <v>1031</v>
      </c>
      <c r="E117" t="s">
        <v>1103</v>
      </c>
      <c r="F117" t="s">
        <v>829</v>
      </c>
      <c r="G117" t="s">
        <v>1123</v>
      </c>
      <c r="H117" t="s">
        <v>178</v>
      </c>
    </row>
    <row r="118" spans="1:9">
      <c r="A118" t="s">
        <v>1104</v>
      </c>
      <c r="B118" t="s">
        <v>368</v>
      </c>
      <c r="D118" t="s">
        <v>968</v>
      </c>
      <c r="E118" t="s">
        <v>1103</v>
      </c>
      <c r="F118" t="s">
        <v>756</v>
      </c>
      <c r="G118" t="s">
        <v>790</v>
      </c>
      <c r="H118" t="s">
        <v>1183</v>
      </c>
    </row>
    <row r="119" spans="1:9">
      <c r="A119" t="s">
        <v>1104</v>
      </c>
      <c r="B119" t="s">
        <v>1164</v>
      </c>
      <c r="D119" t="s">
        <v>939</v>
      </c>
      <c r="E119" t="s">
        <v>1103</v>
      </c>
      <c r="F119" t="s">
        <v>743</v>
      </c>
      <c r="G119" t="s">
        <v>842</v>
      </c>
      <c r="H119" t="s">
        <v>185</v>
      </c>
    </row>
    <row r="120" spans="1:9">
      <c r="A120" t="s">
        <v>952</v>
      </c>
      <c r="B120" t="s">
        <v>967</v>
      </c>
      <c r="D120" t="s">
        <v>968</v>
      </c>
      <c r="E120" t="s">
        <v>951</v>
      </c>
      <c r="F120" t="s">
        <v>756</v>
      </c>
      <c r="G120" t="s">
        <v>757</v>
      </c>
      <c r="H120" t="s">
        <v>190</v>
      </c>
    </row>
    <row r="121" spans="1:9">
      <c r="A121" t="s">
        <v>1024</v>
      </c>
      <c r="B121" t="s">
        <v>1082</v>
      </c>
      <c r="D121" t="s">
        <v>968</v>
      </c>
      <c r="E121" t="s">
        <v>1023</v>
      </c>
      <c r="F121" t="s">
        <v>756</v>
      </c>
      <c r="G121" t="s">
        <v>783</v>
      </c>
      <c r="H121" t="s">
        <v>190</v>
      </c>
    </row>
    <row r="122" spans="1:9">
      <c r="A122" t="s">
        <v>1024</v>
      </c>
      <c r="B122" t="s">
        <v>1084</v>
      </c>
      <c r="D122" t="s">
        <v>1036</v>
      </c>
      <c r="E122" t="s">
        <v>1023</v>
      </c>
      <c r="F122" t="s">
        <v>732</v>
      </c>
      <c r="G122" t="s">
        <v>752</v>
      </c>
      <c r="H122" t="s">
        <v>190</v>
      </c>
    </row>
    <row r="123" spans="1:9">
      <c r="A123" t="s">
        <v>1216</v>
      </c>
      <c r="B123" t="s">
        <v>1226</v>
      </c>
      <c r="D123" t="s">
        <v>857</v>
      </c>
      <c r="E123" t="s">
        <v>1215</v>
      </c>
      <c r="F123" t="s">
        <v>801</v>
      </c>
      <c r="G123" t="s">
        <v>752</v>
      </c>
      <c r="H123" t="s">
        <v>190</v>
      </c>
    </row>
    <row r="124" spans="1:9">
      <c r="A124" t="s">
        <v>1024</v>
      </c>
      <c r="B124" t="s">
        <v>1052</v>
      </c>
      <c r="D124" t="s">
        <v>930</v>
      </c>
      <c r="E124" t="s">
        <v>1023</v>
      </c>
      <c r="F124" t="s">
        <v>756</v>
      </c>
      <c r="G124" t="s">
        <v>738</v>
      </c>
      <c r="H124" t="s">
        <v>197</v>
      </c>
      <c r="I124" t="s">
        <v>1053</v>
      </c>
    </row>
    <row r="125" spans="1:9">
      <c r="A125" t="s">
        <v>981</v>
      </c>
      <c r="B125" t="s">
        <v>1015</v>
      </c>
      <c r="D125" t="s">
        <v>939</v>
      </c>
      <c r="E125" t="s">
        <v>980</v>
      </c>
      <c r="F125" t="s">
        <v>801</v>
      </c>
      <c r="G125" t="s">
        <v>738</v>
      </c>
      <c r="H125" t="s">
        <v>208</v>
      </c>
    </row>
    <row r="126" spans="1:9">
      <c r="A126" t="s">
        <v>1104</v>
      </c>
      <c r="B126" t="s">
        <v>1213</v>
      </c>
      <c r="D126" t="s">
        <v>1036</v>
      </c>
      <c r="E126" t="s">
        <v>1103</v>
      </c>
      <c r="F126" t="s">
        <v>756</v>
      </c>
      <c r="G126" t="s">
        <v>790</v>
      </c>
      <c r="H126" t="s">
        <v>208</v>
      </c>
    </row>
    <row r="127" spans="1:9">
      <c r="A127" t="s">
        <v>1024</v>
      </c>
      <c r="B127" t="s">
        <v>1038</v>
      </c>
      <c r="D127" t="s">
        <v>930</v>
      </c>
      <c r="E127" t="s">
        <v>1023</v>
      </c>
      <c r="F127" t="s">
        <v>756</v>
      </c>
      <c r="G127" t="s">
        <v>757</v>
      </c>
      <c r="H127" t="s">
        <v>221</v>
      </c>
    </row>
    <row r="128" spans="1:9">
      <c r="A128" t="s">
        <v>1024</v>
      </c>
      <c r="B128" t="s">
        <v>1041</v>
      </c>
      <c r="D128" t="s">
        <v>945</v>
      </c>
      <c r="E128" t="s">
        <v>1023</v>
      </c>
      <c r="F128" t="s">
        <v>756</v>
      </c>
      <c r="G128" t="s">
        <v>738</v>
      </c>
      <c r="H128" t="s">
        <v>221</v>
      </c>
    </row>
    <row r="129" spans="1:9">
      <c r="A129" t="s">
        <v>1024</v>
      </c>
      <c r="B129" t="s">
        <v>1096</v>
      </c>
      <c r="D129" t="s">
        <v>968</v>
      </c>
      <c r="E129" t="s">
        <v>1023</v>
      </c>
      <c r="F129" t="s">
        <v>732</v>
      </c>
      <c r="G129" t="s">
        <v>790</v>
      </c>
      <c r="H129" t="s">
        <v>221</v>
      </c>
    </row>
    <row r="130" spans="1:9">
      <c r="A130" t="s">
        <v>1104</v>
      </c>
      <c r="B130" t="s">
        <v>1191</v>
      </c>
      <c r="D130" t="s">
        <v>968</v>
      </c>
      <c r="E130" t="s">
        <v>1103</v>
      </c>
      <c r="F130" t="s">
        <v>829</v>
      </c>
      <c r="G130" t="s">
        <v>842</v>
      </c>
      <c r="H130" t="s">
        <v>221</v>
      </c>
    </row>
    <row r="131" spans="1:9">
      <c r="A131" t="s">
        <v>1104</v>
      </c>
      <c r="B131" t="s">
        <v>1194</v>
      </c>
      <c r="D131" t="s">
        <v>1036</v>
      </c>
      <c r="E131" t="s">
        <v>1103</v>
      </c>
      <c r="F131" t="s">
        <v>829</v>
      </c>
      <c r="G131" t="s">
        <v>1121</v>
      </c>
      <c r="H131" t="s">
        <v>234</v>
      </c>
    </row>
    <row r="132" spans="1:9">
      <c r="A132" t="s">
        <v>1024</v>
      </c>
      <c r="B132" t="s">
        <v>1087</v>
      </c>
      <c r="D132" t="s">
        <v>968</v>
      </c>
      <c r="E132" t="s">
        <v>1023</v>
      </c>
      <c r="F132" t="s">
        <v>829</v>
      </c>
      <c r="G132" t="s">
        <v>842</v>
      </c>
      <c r="H132" t="s">
        <v>252</v>
      </c>
    </row>
    <row r="133" spans="1:9">
      <c r="A133" t="s">
        <v>1024</v>
      </c>
      <c r="B133" t="s">
        <v>1088</v>
      </c>
      <c r="D133" t="s">
        <v>1031</v>
      </c>
      <c r="E133" t="s">
        <v>1023</v>
      </c>
      <c r="F133" t="s">
        <v>732</v>
      </c>
      <c r="G133" t="s">
        <v>830</v>
      </c>
      <c r="H133" t="s">
        <v>252</v>
      </c>
    </row>
    <row r="134" spans="1:9">
      <c r="A134" t="s">
        <v>1104</v>
      </c>
      <c r="B134" t="s">
        <v>1116</v>
      </c>
      <c r="D134" t="s">
        <v>939</v>
      </c>
      <c r="E134" t="s">
        <v>1103</v>
      </c>
      <c r="F134" t="s">
        <v>756</v>
      </c>
      <c r="G134" t="s">
        <v>773</v>
      </c>
      <c r="H134" t="s">
        <v>252</v>
      </c>
    </row>
    <row r="135" spans="1:9">
      <c r="A135" t="s">
        <v>806</v>
      </c>
      <c r="B135" t="s">
        <v>815</v>
      </c>
      <c r="D135" t="s">
        <v>816</v>
      </c>
      <c r="E135" t="s">
        <v>742</v>
      </c>
      <c r="F135" t="s">
        <v>756</v>
      </c>
      <c r="G135" t="s">
        <v>752</v>
      </c>
      <c r="H135" t="s">
        <v>272</v>
      </c>
    </row>
    <row r="136" spans="1:9">
      <c r="A136" t="s">
        <v>806</v>
      </c>
      <c r="B136" t="s">
        <v>818</v>
      </c>
      <c r="D136" t="s">
        <v>819</v>
      </c>
      <c r="E136" t="s">
        <v>742</v>
      </c>
      <c r="F136" t="s">
        <v>732</v>
      </c>
      <c r="G136" t="s">
        <v>783</v>
      </c>
      <c r="H136" t="s">
        <v>272</v>
      </c>
      <c r="I136" t="s">
        <v>820</v>
      </c>
    </row>
    <row r="137" spans="1:9">
      <c r="A137" t="s">
        <v>836</v>
      </c>
      <c r="B137" t="s">
        <v>838</v>
      </c>
      <c r="D137" t="s">
        <v>839</v>
      </c>
      <c r="E137" t="s">
        <v>742</v>
      </c>
      <c r="F137" t="s">
        <v>732</v>
      </c>
      <c r="G137" t="s">
        <v>752</v>
      </c>
      <c r="H137" t="s">
        <v>272</v>
      </c>
    </row>
    <row r="138" spans="1:9">
      <c r="A138" t="s">
        <v>898</v>
      </c>
      <c r="B138" t="s">
        <v>904</v>
      </c>
      <c r="D138" t="s">
        <v>846</v>
      </c>
      <c r="E138" t="s">
        <v>905</v>
      </c>
      <c r="F138" t="s">
        <v>732</v>
      </c>
      <c r="G138" t="s">
        <v>773</v>
      </c>
      <c r="H138" t="s">
        <v>272</v>
      </c>
      <c r="I138" t="s">
        <v>897</v>
      </c>
    </row>
    <row r="139" spans="1:9">
      <c r="A139" t="s">
        <v>952</v>
      </c>
      <c r="B139" t="s">
        <v>957</v>
      </c>
      <c r="D139" t="s">
        <v>958</v>
      </c>
      <c r="E139" t="s">
        <v>951</v>
      </c>
      <c r="F139" t="s">
        <v>732</v>
      </c>
      <c r="G139" t="s">
        <v>757</v>
      </c>
      <c r="H139" t="s">
        <v>272</v>
      </c>
      <c r="I139" t="s">
        <v>959</v>
      </c>
    </row>
    <row r="140" spans="1:9">
      <c r="A140" t="s">
        <v>952</v>
      </c>
      <c r="B140" t="s">
        <v>961</v>
      </c>
      <c r="D140" t="s">
        <v>859</v>
      </c>
      <c r="E140" t="s">
        <v>951</v>
      </c>
      <c r="F140" t="s">
        <v>801</v>
      </c>
      <c r="G140" t="s">
        <v>733</v>
      </c>
      <c r="H140" t="s">
        <v>272</v>
      </c>
    </row>
    <row r="141" spans="1:9">
      <c r="A141" t="s">
        <v>981</v>
      </c>
      <c r="B141" t="s">
        <v>982</v>
      </c>
      <c r="D141" t="s">
        <v>789</v>
      </c>
      <c r="E141" t="s">
        <v>980</v>
      </c>
      <c r="F141" t="s">
        <v>756</v>
      </c>
      <c r="G141" t="s">
        <v>748</v>
      </c>
      <c r="H141" t="s">
        <v>272</v>
      </c>
    </row>
    <row r="142" spans="1:9">
      <c r="A142" t="s">
        <v>981</v>
      </c>
      <c r="B142" t="s">
        <v>1000</v>
      </c>
      <c r="D142" t="s">
        <v>851</v>
      </c>
      <c r="E142" t="s">
        <v>980</v>
      </c>
      <c r="F142" t="s">
        <v>732</v>
      </c>
      <c r="G142" t="s">
        <v>783</v>
      </c>
      <c r="H142" t="s">
        <v>272</v>
      </c>
    </row>
    <row r="143" spans="1:9">
      <c r="A143" t="s">
        <v>1024</v>
      </c>
      <c r="B143" t="s">
        <v>1029</v>
      </c>
      <c r="D143" t="s">
        <v>945</v>
      </c>
      <c r="E143" t="s">
        <v>1023</v>
      </c>
      <c r="F143" t="s">
        <v>756</v>
      </c>
      <c r="G143" t="s">
        <v>738</v>
      </c>
      <c r="H143" t="s">
        <v>272</v>
      </c>
    </row>
    <row r="144" spans="1:9">
      <c r="A144" t="s">
        <v>1024</v>
      </c>
      <c r="B144" t="s">
        <v>1064</v>
      </c>
      <c r="D144" t="s">
        <v>851</v>
      </c>
      <c r="E144" t="s">
        <v>1023</v>
      </c>
      <c r="F144" t="s">
        <v>732</v>
      </c>
      <c r="G144" t="s">
        <v>852</v>
      </c>
      <c r="H144" t="s">
        <v>272</v>
      </c>
    </row>
    <row r="145" spans="1:9">
      <c r="A145" t="s">
        <v>1024</v>
      </c>
      <c r="B145" t="s">
        <v>1079</v>
      </c>
      <c r="D145" t="s">
        <v>945</v>
      </c>
      <c r="E145" t="s">
        <v>1023</v>
      </c>
      <c r="F145" t="s">
        <v>801</v>
      </c>
      <c r="G145" t="s">
        <v>809</v>
      </c>
      <c r="H145" t="s">
        <v>272</v>
      </c>
    </row>
    <row r="146" spans="1:9">
      <c r="A146" t="s">
        <v>1024</v>
      </c>
      <c r="B146" t="s">
        <v>1080</v>
      </c>
      <c r="D146" t="s">
        <v>851</v>
      </c>
      <c r="E146" t="s">
        <v>1023</v>
      </c>
      <c r="F146" t="s">
        <v>732</v>
      </c>
      <c r="G146" t="s">
        <v>738</v>
      </c>
      <c r="H146" t="s">
        <v>272</v>
      </c>
      <c r="I146" t="s">
        <v>1081</v>
      </c>
    </row>
    <row r="147" spans="1:9">
      <c r="A147" t="s">
        <v>1024</v>
      </c>
      <c r="B147" t="s">
        <v>1089</v>
      </c>
      <c r="D147" t="s">
        <v>968</v>
      </c>
      <c r="E147" t="s">
        <v>1023</v>
      </c>
      <c r="F147" t="s">
        <v>743</v>
      </c>
      <c r="G147" t="s">
        <v>757</v>
      </c>
      <c r="H147" t="s">
        <v>272</v>
      </c>
      <c r="I147" t="s">
        <v>996</v>
      </c>
    </row>
    <row r="148" spans="1:9">
      <c r="A148" t="s">
        <v>1104</v>
      </c>
      <c r="B148" t="s">
        <v>1136</v>
      </c>
      <c r="D148" t="s">
        <v>968</v>
      </c>
      <c r="E148" t="s">
        <v>1103</v>
      </c>
      <c r="F148" t="s">
        <v>743</v>
      </c>
      <c r="G148" t="s">
        <v>757</v>
      </c>
      <c r="H148" t="s">
        <v>272</v>
      </c>
    </row>
    <row r="149" spans="1:9">
      <c r="A149" t="s">
        <v>1104</v>
      </c>
      <c r="B149" t="s">
        <v>1138</v>
      </c>
      <c r="D149" t="s">
        <v>945</v>
      </c>
      <c r="E149" t="s">
        <v>1103</v>
      </c>
      <c r="F149" t="s">
        <v>756</v>
      </c>
      <c r="G149" t="s">
        <v>783</v>
      </c>
      <c r="H149" t="s">
        <v>272</v>
      </c>
    </row>
    <row r="150" spans="1:9">
      <c r="A150" t="s">
        <v>1104</v>
      </c>
      <c r="B150" t="s">
        <v>1141</v>
      </c>
      <c r="D150" t="s">
        <v>968</v>
      </c>
      <c r="E150" t="s">
        <v>1103</v>
      </c>
      <c r="F150" t="s">
        <v>732</v>
      </c>
      <c r="G150" t="s">
        <v>925</v>
      </c>
      <c r="H150" t="s">
        <v>272</v>
      </c>
      <c r="I150" t="s">
        <v>996</v>
      </c>
    </row>
    <row r="151" spans="1:9">
      <c r="A151" t="s">
        <v>1104</v>
      </c>
      <c r="B151" t="s">
        <v>1152</v>
      </c>
      <c r="D151" t="s">
        <v>857</v>
      </c>
      <c r="E151" t="s">
        <v>1103</v>
      </c>
      <c r="F151" t="s">
        <v>743</v>
      </c>
      <c r="G151" t="s">
        <v>757</v>
      </c>
      <c r="H151" t="s">
        <v>272</v>
      </c>
    </row>
    <row r="152" spans="1:9">
      <c r="A152" t="s">
        <v>1104</v>
      </c>
      <c r="B152" t="s">
        <v>1155</v>
      </c>
      <c r="D152" t="s">
        <v>1036</v>
      </c>
      <c r="E152" t="s">
        <v>1103</v>
      </c>
      <c r="F152" t="s">
        <v>732</v>
      </c>
      <c r="G152" t="s">
        <v>738</v>
      </c>
      <c r="H152" t="s">
        <v>272</v>
      </c>
    </row>
    <row r="153" spans="1:9">
      <c r="A153" t="s">
        <v>1104</v>
      </c>
      <c r="B153" t="s">
        <v>1170</v>
      </c>
      <c r="D153" t="s">
        <v>988</v>
      </c>
      <c r="E153" t="s">
        <v>1103</v>
      </c>
      <c r="F153" t="s">
        <v>756</v>
      </c>
      <c r="G153" t="s">
        <v>925</v>
      </c>
      <c r="H153" t="s">
        <v>272</v>
      </c>
    </row>
    <row r="154" spans="1:9">
      <c r="A154" t="s">
        <v>1104</v>
      </c>
      <c r="B154" t="s">
        <v>1180</v>
      </c>
      <c r="D154" t="s">
        <v>945</v>
      </c>
      <c r="E154" t="s">
        <v>1103</v>
      </c>
      <c r="F154" t="s">
        <v>801</v>
      </c>
      <c r="G154" t="s">
        <v>738</v>
      </c>
      <c r="H154" t="s">
        <v>272</v>
      </c>
    </row>
    <row r="155" spans="1:9">
      <c r="A155" t="s">
        <v>1104</v>
      </c>
      <c r="B155" t="s">
        <v>1181</v>
      </c>
      <c r="D155" t="s">
        <v>976</v>
      </c>
      <c r="E155" t="s">
        <v>1103</v>
      </c>
      <c r="F155" t="s">
        <v>756</v>
      </c>
      <c r="G155" t="s">
        <v>752</v>
      </c>
      <c r="H155" t="s">
        <v>272</v>
      </c>
    </row>
    <row r="156" spans="1:9">
      <c r="A156" t="s">
        <v>1104</v>
      </c>
      <c r="B156" t="s">
        <v>1202</v>
      </c>
      <c r="D156" t="s">
        <v>945</v>
      </c>
      <c r="E156" t="s">
        <v>1103</v>
      </c>
      <c r="F156" t="s">
        <v>732</v>
      </c>
      <c r="G156" t="s">
        <v>738</v>
      </c>
      <c r="H156" t="s">
        <v>272</v>
      </c>
    </row>
    <row r="157" spans="1:9">
      <c r="A157" t="s">
        <v>1104</v>
      </c>
      <c r="B157" t="s">
        <v>1206</v>
      </c>
      <c r="D157" t="s">
        <v>1036</v>
      </c>
      <c r="E157" t="s">
        <v>1103</v>
      </c>
      <c r="F157" t="s">
        <v>801</v>
      </c>
      <c r="G157" t="s">
        <v>773</v>
      </c>
      <c r="H157" t="s">
        <v>272</v>
      </c>
    </row>
    <row r="158" spans="1:9">
      <c r="A158" t="s">
        <v>1104</v>
      </c>
      <c r="B158" t="s">
        <v>1110</v>
      </c>
      <c r="D158" t="s">
        <v>857</v>
      </c>
      <c r="E158" t="s">
        <v>1103</v>
      </c>
      <c r="F158" t="s">
        <v>756</v>
      </c>
      <c r="G158" t="s">
        <v>757</v>
      </c>
      <c r="H158" t="s">
        <v>313</v>
      </c>
    </row>
    <row r="159" spans="1:9">
      <c r="A159" t="s">
        <v>1104</v>
      </c>
      <c r="B159" t="s">
        <v>1160</v>
      </c>
      <c r="D159" t="s">
        <v>976</v>
      </c>
      <c r="E159" t="s">
        <v>1103</v>
      </c>
      <c r="F159" t="s">
        <v>732</v>
      </c>
      <c r="G159" t="s">
        <v>783</v>
      </c>
      <c r="H159" t="s">
        <v>1161</v>
      </c>
    </row>
    <row r="160" spans="1:9">
      <c r="A160" t="s">
        <v>1104</v>
      </c>
      <c r="B160" t="s">
        <v>1174</v>
      </c>
      <c r="D160" t="s">
        <v>1036</v>
      </c>
      <c r="E160" t="s">
        <v>1103</v>
      </c>
      <c r="F160" t="s">
        <v>756</v>
      </c>
      <c r="G160" t="s">
        <v>783</v>
      </c>
      <c r="H160" t="s">
        <v>1161</v>
      </c>
    </row>
    <row r="161" spans="1:9">
      <c r="A161" t="s">
        <v>1104</v>
      </c>
      <c r="B161" t="s">
        <v>1175</v>
      </c>
      <c r="D161" t="s">
        <v>945</v>
      </c>
      <c r="E161" t="s">
        <v>1103</v>
      </c>
      <c r="F161" t="s">
        <v>743</v>
      </c>
      <c r="G161" t="s">
        <v>773</v>
      </c>
      <c r="H161" t="s">
        <v>1161</v>
      </c>
    </row>
    <row r="162" spans="1:9">
      <c r="A162" t="s">
        <v>1104</v>
      </c>
      <c r="B162" t="s">
        <v>1146</v>
      </c>
      <c r="D162" t="s">
        <v>968</v>
      </c>
      <c r="E162" t="s">
        <v>1103</v>
      </c>
      <c r="F162" t="s">
        <v>732</v>
      </c>
      <c r="G162" t="s">
        <v>738</v>
      </c>
      <c r="H162" s="564" t="s">
        <v>341</v>
      </c>
    </row>
    <row r="163" spans="1:9">
      <c r="A163" t="s">
        <v>1024</v>
      </c>
      <c r="B163" t="s">
        <v>1098</v>
      </c>
      <c r="D163" t="s">
        <v>851</v>
      </c>
      <c r="E163" t="s">
        <v>1023</v>
      </c>
      <c r="F163" t="s">
        <v>756</v>
      </c>
      <c r="G163" t="s">
        <v>733</v>
      </c>
      <c r="H163" t="s">
        <v>1099</v>
      </c>
    </row>
    <row r="164" spans="1:9">
      <c r="A164" t="s">
        <v>728</v>
      </c>
      <c r="B164" t="s">
        <v>729</v>
      </c>
      <c r="D164" t="s">
        <v>730</v>
      </c>
      <c r="E164" t="s">
        <v>731</v>
      </c>
      <c r="F164" t="s">
        <v>732</v>
      </c>
      <c r="G164" t="s">
        <v>733</v>
      </c>
      <c r="H164" t="s">
        <v>374</v>
      </c>
    </row>
    <row r="165" spans="1:9">
      <c r="A165" t="s">
        <v>734</v>
      </c>
      <c r="B165" t="s">
        <v>735</v>
      </c>
      <c r="D165" t="s">
        <v>736</v>
      </c>
      <c r="E165" t="s">
        <v>737</v>
      </c>
      <c r="F165" t="s">
        <v>732</v>
      </c>
      <c r="G165" t="s">
        <v>738</v>
      </c>
      <c r="H165" t="s">
        <v>374</v>
      </c>
      <c r="I165" t="s">
        <v>739</v>
      </c>
    </row>
    <row r="166" spans="1:9">
      <c r="A166" t="s">
        <v>734</v>
      </c>
      <c r="B166" t="s">
        <v>740</v>
      </c>
      <c r="D166" t="s">
        <v>741</v>
      </c>
      <c r="E166" t="s">
        <v>742</v>
      </c>
      <c r="F166" t="s">
        <v>743</v>
      </c>
      <c r="G166" t="s">
        <v>733</v>
      </c>
      <c r="H166" t="s">
        <v>374</v>
      </c>
    </row>
    <row r="167" spans="1:9">
      <c r="A167" t="s">
        <v>745</v>
      </c>
      <c r="B167" t="s">
        <v>746</v>
      </c>
      <c r="D167" t="s">
        <v>747</v>
      </c>
      <c r="E167" t="s">
        <v>742</v>
      </c>
      <c r="F167" t="s">
        <v>732</v>
      </c>
      <c r="G167" t="s">
        <v>748</v>
      </c>
      <c r="H167" t="s">
        <v>374</v>
      </c>
    </row>
    <row r="168" spans="1:9">
      <c r="A168" t="s">
        <v>749</v>
      </c>
      <c r="B168" t="s">
        <v>750</v>
      </c>
      <c r="D168" t="s">
        <v>751</v>
      </c>
      <c r="E168" t="s">
        <v>742</v>
      </c>
      <c r="F168" t="s">
        <v>732</v>
      </c>
      <c r="G168" t="s">
        <v>752</v>
      </c>
      <c r="H168" t="s">
        <v>374</v>
      </c>
    </row>
    <row r="169" spans="1:9">
      <c r="A169" t="s">
        <v>753</v>
      </c>
      <c r="B169" t="s">
        <v>754</v>
      </c>
      <c r="D169" t="s">
        <v>755</v>
      </c>
      <c r="E169" t="s">
        <v>742</v>
      </c>
      <c r="F169" t="s">
        <v>756</v>
      </c>
      <c r="G169" t="s">
        <v>757</v>
      </c>
      <c r="H169" t="s">
        <v>374</v>
      </c>
    </row>
    <row r="170" spans="1:9">
      <c r="A170" t="s">
        <v>759</v>
      </c>
      <c r="B170" t="s">
        <v>760</v>
      </c>
      <c r="D170" t="s">
        <v>761</v>
      </c>
      <c r="E170" t="s">
        <v>762</v>
      </c>
      <c r="F170" t="s">
        <v>763</v>
      </c>
      <c r="G170" t="s">
        <v>752</v>
      </c>
      <c r="H170" t="s">
        <v>374</v>
      </c>
      <c r="I170" t="s">
        <v>758</v>
      </c>
    </row>
    <row r="171" spans="1:9">
      <c r="A171" t="s">
        <v>764</v>
      </c>
      <c r="B171" t="s">
        <v>765</v>
      </c>
      <c r="D171" t="s">
        <v>766</v>
      </c>
      <c r="E171" t="s">
        <v>762</v>
      </c>
      <c r="F171" t="s">
        <v>767</v>
      </c>
      <c r="G171" t="s">
        <v>752</v>
      </c>
      <c r="H171" t="s">
        <v>374</v>
      </c>
      <c r="I171" t="s">
        <v>758</v>
      </c>
    </row>
    <row r="172" spans="1:9">
      <c r="A172" t="s">
        <v>768</v>
      </c>
      <c r="B172" t="s">
        <v>769</v>
      </c>
      <c r="D172" t="s">
        <v>766</v>
      </c>
      <c r="E172" t="s">
        <v>762</v>
      </c>
      <c r="F172" t="s">
        <v>767</v>
      </c>
      <c r="G172" t="s">
        <v>752</v>
      </c>
      <c r="H172" t="s">
        <v>374</v>
      </c>
      <c r="I172" t="s">
        <v>758</v>
      </c>
    </row>
    <row r="173" spans="1:9">
      <c r="A173" t="s">
        <v>770</v>
      </c>
      <c r="B173" t="s">
        <v>771</v>
      </c>
      <c r="D173" t="s">
        <v>766</v>
      </c>
      <c r="E173" t="s">
        <v>762</v>
      </c>
      <c r="F173" t="s">
        <v>772</v>
      </c>
      <c r="G173" t="s">
        <v>773</v>
      </c>
      <c r="H173" t="s">
        <v>374</v>
      </c>
      <c r="I173" t="s">
        <v>758</v>
      </c>
    </row>
    <row r="174" spans="1:9">
      <c r="A174" t="s">
        <v>774</v>
      </c>
      <c r="B174" t="s">
        <v>775</v>
      </c>
      <c r="D174" t="s">
        <v>776</v>
      </c>
      <c r="E174" t="s">
        <v>762</v>
      </c>
      <c r="F174" t="s">
        <v>767</v>
      </c>
      <c r="G174" t="s">
        <v>752</v>
      </c>
      <c r="H174" t="s">
        <v>374</v>
      </c>
      <c r="I174" t="s">
        <v>758</v>
      </c>
    </row>
    <row r="175" spans="1:9">
      <c r="A175" t="s">
        <v>777</v>
      </c>
      <c r="B175" t="s">
        <v>778</v>
      </c>
      <c r="D175" t="s">
        <v>779</v>
      </c>
      <c r="E175" t="s">
        <v>742</v>
      </c>
      <c r="F175" t="s">
        <v>732</v>
      </c>
      <c r="G175" t="s">
        <v>752</v>
      </c>
      <c r="H175" t="s">
        <v>374</v>
      </c>
    </row>
    <row r="176" spans="1:9">
      <c r="A176" t="s">
        <v>777</v>
      </c>
      <c r="B176" t="s">
        <v>780</v>
      </c>
      <c r="D176" t="s">
        <v>781</v>
      </c>
      <c r="E176" t="s">
        <v>782</v>
      </c>
      <c r="F176" t="s">
        <v>772</v>
      </c>
      <c r="G176" t="s">
        <v>783</v>
      </c>
      <c r="H176" t="s">
        <v>374</v>
      </c>
    </row>
    <row r="177" spans="1:8">
      <c r="A177" t="s">
        <v>777</v>
      </c>
      <c r="B177" t="s">
        <v>784</v>
      </c>
      <c r="D177" t="s">
        <v>785</v>
      </c>
      <c r="E177" t="s">
        <v>742</v>
      </c>
      <c r="F177" t="s">
        <v>756</v>
      </c>
      <c r="G177" t="s">
        <v>752</v>
      </c>
      <c r="H177" t="s">
        <v>374</v>
      </c>
    </row>
    <row r="178" spans="1:8">
      <c r="A178" t="s">
        <v>777</v>
      </c>
      <c r="B178" t="s">
        <v>786</v>
      </c>
      <c r="D178" t="s">
        <v>787</v>
      </c>
      <c r="E178" t="s">
        <v>782</v>
      </c>
      <c r="F178" t="s">
        <v>767</v>
      </c>
      <c r="G178" t="s">
        <v>752</v>
      </c>
      <c r="H178" t="s">
        <v>374</v>
      </c>
    </row>
    <row r="179" spans="1:8">
      <c r="A179" t="s">
        <v>777</v>
      </c>
      <c r="B179" t="s">
        <v>788</v>
      </c>
      <c r="D179" t="s">
        <v>789</v>
      </c>
      <c r="E179" t="s">
        <v>742</v>
      </c>
      <c r="F179" t="s">
        <v>756</v>
      </c>
      <c r="G179" t="s">
        <v>790</v>
      </c>
      <c r="H179" t="s">
        <v>374</v>
      </c>
    </row>
    <row r="180" spans="1:8">
      <c r="A180" t="s">
        <v>777</v>
      </c>
      <c r="B180" t="s">
        <v>791</v>
      </c>
      <c r="D180" t="s">
        <v>792</v>
      </c>
      <c r="E180" t="s">
        <v>782</v>
      </c>
      <c r="F180" t="s">
        <v>743</v>
      </c>
      <c r="G180" t="s">
        <v>738</v>
      </c>
      <c r="H180" t="s">
        <v>374</v>
      </c>
    </row>
    <row r="181" spans="1:8">
      <c r="A181" t="s">
        <v>793</v>
      </c>
      <c r="B181" t="s">
        <v>794</v>
      </c>
      <c r="D181" t="s">
        <v>741</v>
      </c>
      <c r="E181" t="s">
        <v>742</v>
      </c>
      <c r="F181" t="s">
        <v>756</v>
      </c>
      <c r="G181" t="s">
        <v>773</v>
      </c>
      <c r="H181" t="s">
        <v>374</v>
      </c>
    </row>
    <row r="182" spans="1:8">
      <c r="B182" t="s">
        <v>795</v>
      </c>
      <c r="D182" t="s">
        <v>796</v>
      </c>
      <c r="E182" t="s">
        <v>782</v>
      </c>
      <c r="F182" t="s">
        <v>797</v>
      </c>
      <c r="G182" t="s">
        <v>783</v>
      </c>
      <c r="H182" t="s">
        <v>374</v>
      </c>
    </row>
    <row r="183" spans="1:8">
      <c r="A183" t="s">
        <v>793</v>
      </c>
      <c r="B183" t="s">
        <v>798</v>
      </c>
      <c r="D183" t="s">
        <v>789</v>
      </c>
      <c r="E183" t="s">
        <v>742</v>
      </c>
      <c r="F183" t="s">
        <v>732</v>
      </c>
      <c r="G183" t="s">
        <v>752</v>
      </c>
      <c r="H183" t="s">
        <v>374</v>
      </c>
    </row>
    <row r="184" spans="1:8">
      <c r="B184" t="s">
        <v>799</v>
      </c>
      <c r="D184" t="s">
        <v>800</v>
      </c>
      <c r="E184" t="s">
        <v>782</v>
      </c>
      <c r="F184" t="s">
        <v>801</v>
      </c>
      <c r="G184" t="s">
        <v>773</v>
      </c>
      <c r="H184" t="s">
        <v>374</v>
      </c>
    </row>
    <row r="185" spans="1:8">
      <c r="A185" t="s">
        <v>806</v>
      </c>
      <c r="B185" t="s">
        <v>813</v>
      </c>
      <c r="D185" t="s">
        <v>814</v>
      </c>
      <c r="E185" t="s">
        <v>742</v>
      </c>
      <c r="F185" t="s">
        <v>732</v>
      </c>
      <c r="G185" t="s">
        <v>790</v>
      </c>
      <c r="H185" t="s">
        <v>374</v>
      </c>
    </row>
    <row r="186" spans="1:8">
      <c r="A186" t="s">
        <v>806</v>
      </c>
      <c r="B186" t="s">
        <v>817</v>
      </c>
      <c r="D186" t="s">
        <v>789</v>
      </c>
      <c r="E186" t="s">
        <v>742</v>
      </c>
      <c r="F186" t="s">
        <v>732</v>
      </c>
      <c r="G186" t="s">
        <v>738</v>
      </c>
      <c r="H186" t="s">
        <v>374</v>
      </c>
    </row>
    <row r="187" spans="1:8">
      <c r="A187" t="s">
        <v>821</v>
      </c>
      <c r="B187" t="s">
        <v>822</v>
      </c>
      <c r="D187" t="s">
        <v>751</v>
      </c>
      <c r="E187" t="s">
        <v>742</v>
      </c>
      <c r="F187" t="s">
        <v>756</v>
      </c>
      <c r="G187" t="s">
        <v>752</v>
      </c>
      <c r="H187" t="s">
        <v>374</v>
      </c>
    </row>
    <row r="188" spans="1:8">
      <c r="A188" t="s">
        <v>821</v>
      </c>
      <c r="B188" t="s">
        <v>823</v>
      </c>
      <c r="D188" t="s">
        <v>824</v>
      </c>
      <c r="E188" t="s">
        <v>742</v>
      </c>
      <c r="F188" t="s">
        <v>732</v>
      </c>
      <c r="G188" t="s">
        <v>738</v>
      </c>
      <c r="H188" t="s">
        <v>374</v>
      </c>
    </row>
    <row r="189" spans="1:8">
      <c r="A189" t="s">
        <v>821</v>
      </c>
      <c r="B189" t="s">
        <v>825</v>
      </c>
      <c r="D189" t="s">
        <v>824</v>
      </c>
      <c r="E189" t="s">
        <v>742</v>
      </c>
      <c r="F189" t="s">
        <v>732</v>
      </c>
      <c r="G189" t="s">
        <v>738</v>
      </c>
      <c r="H189" t="s">
        <v>374</v>
      </c>
    </row>
    <row r="190" spans="1:8">
      <c r="A190" t="s">
        <v>821</v>
      </c>
      <c r="B190" t="s">
        <v>826</v>
      </c>
      <c r="D190" t="s">
        <v>808</v>
      </c>
      <c r="E190" t="s">
        <v>742</v>
      </c>
      <c r="F190" t="s">
        <v>732</v>
      </c>
      <c r="G190" t="s">
        <v>783</v>
      </c>
      <c r="H190" t="s">
        <v>374</v>
      </c>
    </row>
    <row r="191" spans="1:8">
      <c r="A191" t="s">
        <v>821</v>
      </c>
      <c r="B191" t="s">
        <v>827</v>
      </c>
      <c r="D191" t="s">
        <v>828</v>
      </c>
      <c r="E191" t="s">
        <v>742</v>
      </c>
      <c r="F191" t="s">
        <v>829</v>
      </c>
      <c r="G191" t="s">
        <v>830</v>
      </c>
      <c r="H191" t="s">
        <v>374</v>
      </c>
    </row>
    <row r="192" spans="1:8">
      <c r="A192" t="s">
        <v>821</v>
      </c>
      <c r="B192" t="s">
        <v>831</v>
      </c>
      <c r="D192" t="s">
        <v>789</v>
      </c>
      <c r="E192" t="s">
        <v>742</v>
      </c>
      <c r="F192" t="s">
        <v>743</v>
      </c>
      <c r="G192" t="s">
        <v>738</v>
      </c>
      <c r="H192" t="s">
        <v>374</v>
      </c>
    </row>
    <row r="193" spans="1:9">
      <c r="A193" t="s">
        <v>821</v>
      </c>
      <c r="B193" t="s">
        <v>834</v>
      </c>
      <c r="D193" t="s">
        <v>816</v>
      </c>
      <c r="E193" t="s">
        <v>742</v>
      </c>
      <c r="F193" t="s">
        <v>732</v>
      </c>
      <c r="G193" t="s">
        <v>835</v>
      </c>
      <c r="H193" t="s">
        <v>374</v>
      </c>
    </row>
    <row r="194" spans="1:9">
      <c r="A194" t="s">
        <v>836</v>
      </c>
      <c r="B194" t="s">
        <v>837</v>
      </c>
      <c r="D194" t="s">
        <v>751</v>
      </c>
      <c r="E194" t="s">
        <v>742</v>
      </c>
      <c r="F194" t="s">
        <v>756</v>
      </c>
      <c r="G194" t="s">
        <v>783</v>
      </c>
      <c r="H194" t="s">
        <v>374</v>
      </c>
    </row>
    <row r="195" spans="1:9">
      <c r="A195" t="s">
        <v>836</v>
      </c>
      <c r="B195" t="s">
        <v>840</v>
      </c>
      <c r="D195" t="s">
        <v>789</v>
      </c>
      <c r="E195" t="s">
        <v>742</v>
      </c>
      <c r="F195" t="s">
        <v>732</v>
      </c>
      <c r="G195" t="s">
        <v>773</v>
      </c>
      <c r="H195" t="s">
        <v>374</v>
      </c>
    </row>
    <row r="196" spans="1:9">
      <c r="A196" t="s">
        <v>836</v>
      </c>
      <c r="B196" t="s">
        <v>843</v>
      </c>
      <c r="D196" t="s">
        <v>803</v>
      </c>
      <c r="E196" t="s">
        <v>742</v>
      </c>
      <c r="F196" t="s">
        <v>829</v>
      </c>
      <c r="G196" t="s">
        <v>842</v>
      </c>
      <c r="H196" t="s">
        <v>374</v>
      </c>
    </row>
    <row r="197" spans="1:9">
      <c r="A197" t="s">
        <v>836</v>
      </c>
      <c r="B197" t="s">
        <v>844</v>
      </c>
      <c r="D197" t="s">
        <v>808</v>
      </c>
      <c r="E197" t="s">
        <v>742</v>
      </c>
      <c r="F197" t="s">
        <v>756</v>
      </c>
      <c r="G197" t="s">
        <v>738</v>
      </c>
      <c r="H197" t="s">
        <v>374</v>
      </c>
    </row>
    <row r="198" spans="1:9">
      <c r="A198" t="s">
        <v>836</v>
      </c>
      <c r="B198" t="s">
        <v>845</v>
      </c>
      <c r="D198" t="s">
        <v>846</v>
      </c>
      <c r="E198" t="s">
        <v>742</v>
      </c>
      <c r="F198" t="s">
        <v>732</v>
      </c>
      <c r="G198" t="s">
        <v>847</v>
      </c>
      <c r="H198" t="s">
        <v>374</v>
      </c>
    </row>
    <row r="199" spans="1:9">
      <c r="A199" t="s">
        <v>836</v>
      </c>
      <c r="B199" t="s">
        <v>853</v>
      </c>
      <c r="D199" t="s">
        <v>755</v>
      </c>
      <c r="E199" t="s">
        <v>742</v>
      </c>
      <c r="F199" t="s">
        <v>756</v>
      </c>
      <c r="G199" t="s">
        <v>752</v>
      </c>
      <c r="H199" t="s">
        <v>374</v>
      </c>
    </row>
    <row r="200" spans="1:9">
      <c r="A200" t="s">
        <v>836</v>
      </c>
      <c r="B200" t="s">
        <v>854</v>
      </c>
      <c r="D200" t="s">
        <v>855</v>
      </c>
      <c r="E200" t="s">
        <v>742</v>
      </c>
      <c r="F200" t="s">
        <v>756</v>
      </c>
      <c r="G200" t="s">
        <v>738</v>
      </c>
      <c r="H200" t="s">
        <v>374</v>
      </c>
    </row>
    <row r="201" spans="1:9">
      <c r="A201" t="s">
        <v>836</v>
      </c>
      <c r="B201" t="s">
        <v>856</v>
      </c>
      <c r="D201" t="s">
        <v>857</v>
      </c>
      <c r="E201" t="s">
        <v>742</v>
      </c>
      <c r="F201" t="s">
        <v>732</v>
      </c>
      <c r="G201" t="s">
        <v>830</v>
      </c>
      <c r="H201" t="s">
        <v>374</v>
      </c>
    </row>
    <row r="202" spans="1:9">
      <c r="A202" t="s">
        <v>836</v>
      </c>
      <c r="B202" t="s">
        <v>858</v>
      </c>
      <c r="D202" t="s">
        <v>859</v>
      </c>
      <c r="E202" t="s">
        <v>742</v>
      </c>
      <c r="F202" t="s">
        <v>756</v>
      </c>
      <c r="G202" t="s">
        <v>738</v>
      </c>
      <c r="H202" t="s">
        <v>374</v>
      </c>
    </row>
    <row r="203" spans="1:9">
      <c r="A203" t="s">
        <v>836</v>
      </c>
      <c r="B203" t="s">
        <v>860</v>
      </c>
      <c r="D203" t="s">
        <v>789</v>
      </c>
      <c r="E203" t="s">
        <v>742</v>
      </c>
      <c r="F203" t="s">
        <v>732</v>
      </c>
      <c r="G203" t="s">
        <v>752</v>
      </c>
      <c r="H203" t="s">
        <v>374</v>
      </c>
    </row>
    <row r="204" spans="1:9">
      <c r="A204" t="s">
        <v>836</v>
      </c>
      <c r="B204" t="s">
        <v>861</v>
      </c>
      <c r="D204" t="s">
        <v>824</v>
      </c>
      <c r="E204" t="s">
        <v>742</v>
      </c>
      <c r="F204" t="s">
        <v>732</v>
      </c>
      <c r="G204" t="s">
        <v>752</v>
      </c>
      <c r="H204" t="s">
        <v>374</v>
      </c>
    </row>
    <row r="205" spans="1:9">
      <c r="A205" t="s">
        <v>864</v>
      </c>
      <c r="B205" t="s">
        <v>865</v>
      </c>
      <c r="D205" t="s">
        <v>866</v>
      </c>
      <c r="E205" t="s">
        <v>867</v>
      </c>
      <c r="F205" t="s">
        <v>801</v>
      </c>
      <c r="H205" t="s">
        <v>374</v>
      </c>
      <c r="I205" t="s">
        <v>862</v>
      </c>
    </row>
    <row r="206" spans="1:9">
      <c r="A206" t="s">
        <v>868</v>
      </c>
      <c r="B206" t="s">
        <v>869</v>
      </c>
      <c r="D206" t="s">
        <v>870</v>
      </c>
      <c r="E206" t="s">
        <v>744</v>
      </c>
      <c r="F206" t="s">
        <v>756</v>
      </c>
      <c r="G206" t="s">
        <v>752</v>
      </c>
      <c r="H206" t="s">
        <v>374</v>
      </c>
      <c r="I206" t="s">
        <v>862</v>
      </c>
    </row>
    <row r="207" spans="1:9">
      <c r="A207" t="s">
        <v>871</v>
      </c>
      <c r="B207" t="s">
        <v>872</v>
      </c>
      <c r="D207" t="s">
        <v>873</v>
      </c>
      <c r="E207" t="s">
        <v>744</v>
      </c>
      <c r="F207" t="s">
        <v>732</v>
      </c>
      <c r="G207" t="s">
        <v>874</v>
      </c>
      <c r="H207" t="s">
        <v>374</v>
      </c>
      <c r="I207" t="s">
        <v>862</v>
      </c>
    </row>
    <row r="208" spans="1:9">
      <c r="A208" t="s">
        <v>875</v>
      </c>
      <c r="B208" t="s">
        <v>876</v>
      </c>
      <c r="D208" t="s">
        <v>846</v>
      </c>
      <c r="E208" t="s">
        <v>744</v>
      </c>
      <c r="F208" t="s">
        <v>797</v>
      </c>
      <c r="G208" t="s">
        <v>773</v>
      </c>
      <c r="H208" t="s">
        <v>374</v>
      </c>
      <c r="I208" t="s">
        <v>862</v>
      </c>
    </row>
    <row r="209" spans="1:9">
      <c r="A209" t="s">
        <v>877</v>
      </c>
      <c r="B209" t="s">
        <v>878</v>
      </c>
      <c r="D209" t="s">
        <v>879</v>
      </c>
      <c r="E209" t="s">
        <v>744</v>
      </c>
      <c r="F209" t="s">
        <v>743</v>
      </c>
      <c r="G209" t="s">
        <v>773</v>
      </c>
      <c r="H209" t="s">
        <v>374</v>
      </c>
      <c r="I209" t="s">
        <v>862</v>
      </c>
    </row>
    <row r="210" spans="1:9">
      <c r="A210" t="s">
        <v>880</v>
      </c>
      <c r="B210" t="s">
        <v>881</v>
      </c>
      <c r="D210" t="s">
        <v>882</v>
      </c>
      <c r="E210" t="s">
        <v>744</v>
      </c>
      <c r="F210" t="s">
        <v>883</v>
      </c>
      <c r="G210" t="s">
        <v>884</v>
      </c>
      <c r="H210" t="s">
        <v>374</v>
      </c>
      <c r="I210" t="s">
        <v>862</v>
      </c>
    </row>
    <row r="211" spans="1:9">
      <c r="A211" t="s">
        <v>885</v>
      </c>
      <c r="B211" t="s">
        <v>886</v>
      </c>
      <c r="D211" t="s">
        <v>879</v>
      </c>
      <c r="E211" t="s">
        <v>744</v>
      </c>
      <c r="F211" t="s">
        <v>743</v>
      </c>
      <c r="G211" t="s">
        <v>790</v>
      </c>
      <c r="H211" t="s">
        <v>374</v>
      </c>
      <c r="I211" t="s">
        <v>862</v>
      </c>
    </row>
    <row r="212" spans="1:9">
      <c r="A212" t="s">
        <v>887</v>
      </c>
      <c r="B212" t="s">
        <v>888</v>
      </c>
      <c r="D212" t="s">
        <v>889</v>
      </c>
      <c r="E212" t="s">
        <v>744</v>
      </c>
      <c r="F212" t="s">
        <v>890</v>
      </c>
      <c r="G212" t="s">
        <v>842</v>
      </c>
      <c r="H212" t="s">
        <v>374</v>
      </c>
      <c r="I212" t="s">
        <v>862</v>
      </c>
    </row>
    <row r="213" spans="1:9">
      <c r="A213" t="s">
        <v>891</v>
      </c>
      <c r="B213" t="s">
        <v>892</v>
      </c>
      <c r="D213" t="s">
        <v>893</v>
      </c>
      <c r="E213" t="s">
        <v>744</v>
      </c>
      <c r="F213" t="s">
        <v>732</v>
      </c>
      <c r="G213" t="s">
        <v>738</v>
      </c>
      <c r="H213" t="s">
        <v>374</v>
      </c>
      <c r="I213" t="s">
        <v>862</v>
      </c>
    </row>
    <row r="214" spans="1:9">
      <c r="A214" t="s">
        <v>894</v>
      </c>
      <c r="B214" t="s">
        <v>895</v>
      </c>
      <c r="D214" t="s">
        <v>896</v>
      </c>
      <c r="E214" t="s">
        <v>744</v>
      </c>
      <c r="F214" t="s">
        <v>772</v>
      </c>
      <c r="G214" t="s">
        <v>773</v>
      </c>
      <c r="H214" t="s">
        <v>374</v>
      </c>
      <c r="I214" t="s">
        <v>862</v>
      </c>
    </row>
    <row r="215" spans="1:9">
      <c r="A215" t="s">
        <v>898</v>
      </c>
      <c r="B215" t="s">
        <v>899</v>
      </c>
      <c r="D215" t="s">
        <v>741</v>
      </c>
      <c r="E215" t="s">
        <v>900</v>
      </c>
      <c r="F215" t="s">
        <v>801</v>
      </c>
      <c r="G215" t="s">
        <v>752</v>
      </c>
      <c r="H215" t="s">
        <v>374</v>
      </c>
      <c r="I215" t="s">
        <v>897</v>
      </c>
    </row>
    <row r="216" spans="1:9">
      <c r="A216" t="s">
        <v>898</v>
      </c>
      <c r="B216" t="s">
        <v>901</v>
      </c>
      <c r="D216" t="s">
        <v>902</v>
      </c>
      <c r="E216" t="s">
        <v>903</v>
      </c>
      <c r="F216" t="s">
        <v>756</v>
      </c>
      <c r="G216" t="s">
        <v>752</v>
      </c>
      <c r="H216" t="s">
        <v>374</v>
      </c>
      <c r="I216" t="s">
        <v>897</v>
      </c>
    </row>
    <row r="217" spans="1:9">
      <c r="A217" t="s">
        <v>898</v>
      </c>
      <c r="B217" t="s">
        <v>906</v>
      </c>
      <c r="D217" t="s">
        <v>907</v>
      </c>
      <c r="E217" t="s">
        <v>908</v>
      </c>
      <c r="F217" t="s">
        <v>732</v>
      </c>
      <c r="G217" t="s">
        <v>752</v>
      </c>
      <c r="H217" t="s">
        <v>374</v>
      </c>
      <c r="I217" t="s">
        <v>897</v>
      </c>
    </row>
    <row r="218" spans="1:9">
      <c r="A218" t="s">
        <v>909</v>
      </c>
      <c r="B218" t="s">
        <v>910</v>
      </c>
      <c r="D218" t="s">
        <v>859</v>
      </c>
      <c r="E218" t="s">
        <v>911</v>
      </c>
      <c r="F218" t="s">
        <v>732</v>
      </c>
      <c r="G218" t="s">
        <v>738</v>
      </c>
      <c r="H218" t="s">
        <v>374</v>
      </c>
    </row>
    <row r="219" spans="1:9">
      <c r="A219" t="s">
        <v>909</v>
      </c>
      <c r="B219" t="s">
        <v>914</v>
      </c>
      <c r="D219" t="s">
        <v>915</v>
      </c>
      <c r="E219" t="s">
        <v>911</v>
      </c>
      <c r="F219" t="s">
        <v>732</v>
      </c>
      <c r="G219" t="s">
        <v>773</v>
      </c>
      <c r="H219" t="s">
        <v>374</v>
      </c>
    </row>
    <row r="220" spans="1:9">
      <c r="A220" t="s">
        <v>909</v>
      </c>
      <c r="B220" t="s">
        <v>917</v>
      </c>
      <c r="D220" t="s">
        <v>859</v>
      </c>
      <c r="E220" t="s">
        <v>911</v>
      </c>
      <c r="F220" t="s">
        <v>756</v>
      </c>
      <c r="G220" t="s">
        <v>733</v>
      </c>
      <c r="H220" t="s">
        <v>374</v>
      </c>
    </row>
    <row r="221" spans="1:9">
      <c r="A221" t="s">
        <v>909</v>
      </c>
      <c r="B221" t="s">
        <v>918</v>
      </c>
      <c r="D221" t="s">
        <v>919</v>
      </c>
      <c r="E221" t="s">
        <v>911</v>
      </c>
      <c r="F221" t="s">
        <v>801</v>
      </c>
      <c r="G221" t="s">
        <v>738</v>
      </c>
      <c r="H221" t="s">
        <v>374</v>
      </c>
    </row>
    <row r="222" spans="1:9">
      <c r="A222" t="s">
        <v>920</v>
      </c>
      <c r="B222" t="s">
        <v>921</v>
      </c>
      <c r="D222" t="s">
        <v>859</v>
      </c>
      <c r="E222" t="s">
        <v>922</v>
      </c>
      <c r="F222" t="s">
        <v>772</v>
      </c>
      <c r="G222" t="s">
        <v>752</v>
      </c>
      <c r="H222" t="s">
        <v>374</v>
      </c>
    </row>
    <row r="223" spans="1:9">
      <c r="A223" t="s">
        <v>923</v>
      </c>
      <c r="B223" t="s">
        <v>926</v>
      </c>
      <c r="D223" t="s">
        <v>808</v>
      </c>
      <c r="E223" t="s">
        <v>922</v>
      </c>
      <c r="F223" t="s">
        <v>756</v>
      </c>
      <c r="G223" t="s">
        <v>738</v>
      </c>
      <c r="H223" t="s">
        <v>374</v>
      </c>
    </row>
    <row r="224" spans="1:9">
      <c r="A224" t="s">
        <v>923</v>
      </c>
      <c r="B224" t="s">
        <v>927</v>
      </c>
      <c r="D224" t="s">
        <v>928</v>
      </c>
      <c r="E224" t="s">
        <v>922</v>
      </c>
      <c r="F224" t="s">
        <v>756</v>
      </c>
      <c r="G224" t="s">
        <v>738</v>
      </c>
      <c r="H224" t="s">
        <v>374</v>
      </c>
    </row>
    <row r="225" spans="1:8">
      <c r="A225" t="s">
        <v>923</v>
      </c>
      <c r="B225" t="s">
        <v>929</v>
      </c>
      <c r="D225" t="s">
        <v>930</v>
      </c>
      <c r="E225" t="s">
        <v>922</v>
      </c>
      <c r="F225" t="s">
        <v>743</v>
      </c>
      <c r="G225" t="s">
        <v>783</v>
      </c>
      <c r="H225" t="s">
        <v>374</v>
      </c>
    </row>
    <row r="226" spans="1:8">
      <c r="A226" t="s">
        <v>923</v>
      </c>
      <c r="B226" t="s">
        <v>932</v>
      </c>
      <c r="D226" t="s">
        <v>808</v>
      </c>
      <c r="E226" t="s">
        <v>922</v>
      </c>
      <c r="F226" t="s">
        <v>732</v>
      </c>
      <c r="G226" t="s">
        <v>757</v>
      </c>
      <c r="H226" t="s">
        <v>374</v>
      </c>
    </row>
    <row r="227" spans="1:8">
      <c r="A227" t="s">
        <v>923</v>
      </c>
      <c r="B227" t="s">
        <v>933</v>
      </c>
      <c r="D227" t="s">
        <v>859</v>
      </c>
      <c r="E227" t="s">
        <v>922</v>
      </c>
      <c r="F227" t="s">
        <v>732</v>
      </c>
      <c r="G227" t="s">
        <v>733</v>
      </c>
      <c r="H227" t="s">
        <v>374</v>
      </c>
    </row>
    <row r="228" spans="1:8">
      <c r="A228" t="s">
        <v>923</v>
      </c>
      <c r="B228" t="s">
        <v>934</v>
      </c>
      <c r="D228" t="s">
        <v>935</v>
      </c>
      <c r="E228" t="s">
        <v>922</v>
      </c>
      <c r="F228" t="s">
        <v>732</v>
      </c>
      <c r="G228" t="s">
        <v>733</v>
      </c>
      <c r="H228" t="s">
        <v>374</v>
      </c>
    </row>
    <row r="229" spans="1:8">
      <c r="A229" t="s">
        <v>923</v>
      </c>
      <c r="B229" t="s">
        <v>940</v>
      </c>
      <c r="D229" t="s">
        <v>857</v>
      </c>
      <c r="E229" t="s">
        <v>922</v>
      </c>
      <c r="F229" t="s">
        <v>756</v>
      </c>
      <c r="G229" t="s">
        <v>738</v>
      </c>
      <c r="H229" t="s">
        <v>374</v>
      </c>
    </row>
    <row r="230" spans="1:8">
      <c r="A230" t="s">
        <v>923</v>
      </c>
      <c r="B230" t="s">
        <v>944</v>
      </c>
      <c r="D230" t="s">
        <v>945</v>
      </c>
      <c r="E230" t="s">
        <v>922</v>
      </c>
      <c r="F230" t="s">
        <v>732</v>
      </c>
      <c r="G230" t="s">
        <v>752</v>
      </c>
      <c r="H230" t="s">
        <v>374</v>
      </c>
    </row>
    <row r="231" spans="1:8">
      <c r="A231" t="s">
        <v>923</v>
      </c>
      <c r="B231" t="s">
        <v>947</v>
      </c>
      <c r="D231" t="s">
        <v>824</v>
      </c>
      <c r="E231" t="s">
        <v>922</v>
      </c>
      <c r="F231" t="s">
        <v>801</v>
      </c>
      <c r="G231" t="s">
        <v>925</v>
      </c>
      <c r="H231" t="s">
        <v>374</v>
      </c>
    </row>
    <row r="232" spans="1:8">
      <c r="A232" t="s">
        <v>923</v>
      </c>
      <c r="B232" t="s">
        <v>948</v>
      </c>
      <c r="D232" t="s">
        <v>851</v>
      </c>
      <c r="E232" t="s">
        <v>922</v>
      </c>
      <c r="F232" t="s">
        <v>743</v>
      </c>
      <c r="G232" t="s">
        <v>757</v>
      </c>
      <c r="H232" t="s">
        <v>374</v>
      </c>
    </row>
    <row r="233" spans="1:8">
      <c r="A233" t="s">
        <v>949</v>
      </c>
      <c r="B233" t="s">
        <v>950</v>
      </c>
      <c r="D233" t="s">
        <v>928</v>
      </c>
      <c r="E233" t="s">
        <v>951</v>
      </c>
      <c r="F233" t="s">
        <v>743</v>
      </c>
      <c r="G233" t="s">
        <v>925</v>
      </c>
      <c r="H233" t="s">
        <v>374</v>
      </c>
    </row>
    <row r="234" spans="1:8">
      <c r="A234" t="s">
        <v>952</v>
      </c>
      <c r="B234" t="s">
        <v>953</v>
      </c>
      <c r="D234" t="s">
        <v>945</v>
      </c>
      <c r="E234" t="s">
        <v>951</v>
      </c>
      <c r="F234" t="s">
        <v>756</v>
      </c>
      <c r="G234" t="s">
        <v>757</v>
      </c>
      <c r="H234" t="s">
        <v>374</v>
      </c>
    </row>
    <row r="235" spans="1:8">
      <c r="A235" t="s">
        <v>952</v>
      </c>
      <c r="B235" t="s">
        <v>954</v>
      </c>
      <c r="D235" t="s">
        <v>857</v>
      </c>
      <c r="E235" t="s">
        <v>951</v>
      </c>
      <c r="F235" t="s">
        <v>756</v>
      </c>
      <c r="G235" t="s">
        <v>738</v>
      </c>
      <c r="H235" t="s">
        <v>374</v>
      </c>
    </row>
    <row r="236" spans="1:8">
      <c r="A236" t="s">
        <v>952</v>
      </c>
      <c r="B236" t="s">
        <v>955</v>
      </c>
      <c r="D236" t="s">
        <v>928</v>
      </c>
      <c r="E236" t="s">
        <v>951</v>
      </c>
      <c r="F236" t="s">
        <v>801</v>
      </c>
      <c r="G236" t="s">
        <v>738</v>
      </c>
      <c r="H236" t="s">
        <v>374</v>
      </c>
    </row>
    <row r="237" spans="1:8">
      <c r="A237" t="s">
        <v>952</v>
      </c>
      <c r="B237" t="s">
        <v>960</v>
      </c>
      <c r="D237" t="s">
        <v>928</v>
      </c>
      <c r="E237" t="s">
        <v>951</v>
      </c>
      <c r="F237" t="s">
        <v>732</v>
      </c>
      <c r="G237" t="s">
        <v>752</v>
      </c>
      <c r="H237" t="s">
        <v>374</v>
      </c>
    </row>
    <row r="238" spans="1:8">
      <c r="A238" t="s">
        <v>952</v>
      </c>
      <c r="B238" t="s">
        <v>963</v>
      </c>
      <c r="D238" t="s">
        <v>851</v>
      </c>
      <c r="E238" t="s">
        <v>951</v>
      </c>
      <c r="F238" t="s">
        <v>743</v>
      </c>
      <c r="G238" t="s">
        <v>757</v>
      </c>
      <c r="H238" t="s">
        <v>374</v>
      </c>
    </row>
    <row r="239" spans="1:8">
      <c r="A239" t="s">
        <v>952</v>
      </c>
      <c r="B239" t="s">
        <v>964</v>
      </c>
      <c r="D239" t="s">
        <v>828</v>
      </c>
      <c r="E239" t="s">
        <v>951</v>
      </c>
      <c r="F239" t="s">
        <v>801</v>
      </c>
      <c r="G239" t="s">
        <v>757</v>
      </c>
      <c r="H239" t="s">
        <v>374</v>
      </c>
    </row>
    <row r="240" spans="1:8">
      <c r="A240" t="s">
        <v>952</v>
      </c>
      <c r="B240" t="s">
        <v>965</v>
      </c>
      <c r="D240" t="s">
        <v>930</v>
      </c>
      <c r="E240" t="s">
        <v>951</v>
      </c>
      <c r="F240" t="s">
        <v>767</v>
      </c>
      <c r="G240" t="s">
        <v>783</v>
      </c>
      <c r="H240" t="s">
        <v>374</v>
      </c>
    </row>
    <row r="241" spans="1:9">
      <c r="A241" t="s">
        <v>952</v>
      </c>
      <c r="B241" t="s">
        <v>966</v>
      </c>
      <c r="D241" t="s">
        <v>857</v>
      </c>
      <c r="E241" t="s">
        <v>951</v>
      </c>
      <c r="F241" t="s">
        <v>732</v>
      </c>
      <c r="G241" t="s">
        <v>773</v>
      </c>
      <c r="H241" t="s">
        <v>374</v>
      </c>
    </row>
    <row r="242" spans="1:9">
      <c r="A242" t="s">
        <v>952</v>
      </c>
      <c r="B242" t="s">
        <v>972</v>
      </c>
      <c r="D242" t="s">
        <v>945</v>
      </c>
      <c r="E242" t="s">
        <v>951</v>
      </c>
      <c r="F242" t="s">
        <v>797</v>
      </c>
      <c r="G242" t="s">
        <v>973</v>
      </c>
      <c r="H242" t="s">
        <v>374</v>
      </c>
      <c r="I242" t="s">
        <v>974</v>
      </c>
    </row>
    <row r="243" spans="1:9">
      <c r="A243" t="s">
        <v>952</v>
      </c>
      <c r="B243" t="s">
        <v>975</v>
      </c>
      <c r="D243" t="s">
        <v>976</v>
      </c>
      <c r="E243" t="s">
        <v>951</v>
      </c>
      <c r="F243" t="s">
        <v>797</v>
      </c>
      <c r="G243" t="s">
        <v>977</v>
      </c>
      <c r="H243" t="s">
        <v>374</v>
      </c>
      <c r="I243" t="s">
        <v>974</v>
      </c>
    </row>
    <row r="244" spans="1:9">
      <c r="A244" t="s">
        <v>978</v>
      </c>
      <c r="B244" t="s">
        <v>979</v>
      </c>
      <c r="D244" t="s">
        <v>751</v>
      </c>
      <c r="E244" t="s">
        <v>980</v>
      </c>
      <c r="F244" t="s">
        <v>763</v>
      </c>
      <c r="G244" t="s">
        <v>738</v>
      </c>
      <c r="H244" t="s">
        <v>374</v>
      </c>
    </row>
    <row r="245" spans="1:9">
      <c r="A245" t="s">
        <v>981</v>
      </c>
      <c r="B245" t="s">
        <v>986</v>
      </c>
      <c r="D245" t="s">
        <v>945</v>
      </c>
      <c r="E245" t="s">
        <v>980</v>
      </c>
      <c r="F245" t="s">
        <v>732</v>
      </c>
      <c r="G245" t="s">
        <v>733</v>
      </c>
      <c r="H245" t="s">
        <v>374</v>
      </c>
    </row>
    <row r="246" spans="1:9">
      <c r="A246" t="s">
        <v>981</v>
      </c>
      <c r="B246" t="s">
        <v>989</v>
      </c>
      <c r="D246" t="s">
        <v>930</v>
      </c>
      <c r="E246" t="s">
        <v>980</v>
      </c>
      <c r="F246" t="s">
        <v>756</v>
      </c>
      <c r="G246" t="s">
        <v>738</v>
      </c>
      <c r="H246" t="s">
        <v>374</v>
      </c>
    </row>
    <row r="247" spans="1:9">
      <c r="A247" t="s">
        <v>981</v>
      </c>
      <c r="B247" t="s">
        <v>990</v>
      </c>
      <c r="D247" t="s">
        <v>857</v>
      </c>
      <c r="E247" t="s">
        <v>980</v>
      </c>
      <c r="F247" t="s">
        <v>756</v>
      </c>
      <c r="G247" t="s">
        <v>738</v>
      </c>
      <c r="H247" t="s">
        <v>374</v>
      </c>
    </row>
    <row r="248" spans="1:9">
      <c r="A248" t="s">
        <v>981</v>
      </c>
      <c r="B248" t="s">
        <v>994</v>
      </c>
      <c r="D248" t="s">
        <v>995</v>
      </c>
      <c r="E248" t="s">
        <v>980</v>
      </c>
      <c r="F248" t="s">
        <v>743</v>
      </c>
      <c r="G248" t="s">
        <v>748</v>
      </c>
      <c r="H248" t="s">
        <v>374</v>
      </c>
      <c r="I248" t="s">
        <v>996</v>
      </c>
    </row>
    <row r="249" spans="1:9">
      <c r="A249" t="s">
        <v>981</v>
      </c>
      <c r="B249" t="s">
        <v>997</v>
      </c>
      <c r="D249" t="s">
        <v>859</v>
      </c>
      <c r="E249" t="s">
        <v>980</v>
      </c>
      <c r="F249" t="s">
        <v>732</v>
      </c>
      <c r="G249" t="s">
        <v>738</v>
      </c>
      <c r="H249" t="s">
        <v>374</v>
      </c>
    </row>
    <row r="250" spans="1:9">
      <c r="A250" t="s">
        <v>981</v>
      </c>
      <c r="B250" t="s">
        <v>998</v>
      </c>
      <c r="D250" t="s">
        <v>995</v>
      </c>
      <c r="E250" t="s">
        <v>980</v>
      </c>
      <c r="F250" t="s">
        <v>732</v>
      </c>
      <c r="G250" t="s">
        <v>738</v>
      </c>
      <c r="H250" t="s">
        <v>374</v>
      </c>
      <c r="I250" t="s">
        <v>999</v>
      </c>
    </row>
    <row r="251" spans="1:9">
      <c r="A251" t="s">
        <v>981</v>
      </c>
      <c r="B251" t="s">
        <v>1007</v>
      </c>
      <c r="D251" t="s">
        <v>928</v>
      </c>
      <c r="E251" t="s">
        <v>980</v>
      </c>
      <c r="F251" t="s">
        <v>756</v>
      </c>
      <c r="G251" t="s">
        <v>752</v>
      </c>
      <c r="H251" t="s">
        <v>374</v>
      </c>
    </row>
    <row r="252" spans="1:9">
      <c r="A252" t="s">
        <v>981</v>
      </c>
      <c r="B252" t="s">
        <v>1008</v>
      </c>
      <c r="D252" t="s">
        <v>789</v>
      </c>
      <c r="E252" t="s">
        <v>980</v>
      </c>
      <c r="F252" t="s">
        <v>756</v>
      </c>
      <c r="G252" t="s">
        <v>752</v>
      </c>
      <c r="H252" t="s">
        <v>374</v>
      </c>
    </row>
    <row r="253" spans="1:9">
      <c r="A253" t="s">
        <v>981</v>
      </c>
      <c r="B253" t="s">
        <v>1012</v>
      </c>
      <c r="D253" t="s">
        <v>939</v>
      </c>
      <c r="E253" t="s">
        <v>980</v>
      </c>
      <c r="F253" t="s">
        <v>772</v>
      </c>
      <c r="G253" t="s">
        <v>738</v>
      </c>
      <c r="H253" t="s">
        <v>374</v>
      </c>
    </row>
    <row r="254" spans="1:9">
      <c r="A254" t="s">
        <v>981</v>
      </c>
      <c r="B254" t="s">
        <v>1013</v>
      </c>
      <c r="D254" t="s">
        <v>857</v>
      </c>
      <c r="E254" t="s">
        <v>980</v>
      </c>
      <c r="F254" t="s">
        <v>743</v>
      </c>
      <c r="G254" t="s">
        <v>738</v>
      </c>
      <c r="H254" t="s">
        <v>374</v>
      </c>
      <c r="I254" t="s">
        <v>1014</v>
      </c>
    </row>
    <row r="255" spans="1:9">
      <c r="A255" t="s">
        <v>981</v>
      </c>
      <c r="B255" t="s">
        <v>1016</v>
      </c>
      <c r="D255" t="s">
        <v>930</v>
      </c>
      <c r="E255" t="s">
        <v>980</v>
      </c>
      <c r="F255" t="s">
        <v>743</v>
      </c>
      <c r="G255" t="s">
        <v>757</v>
      </c>
      <c r="H255" t="s">
        <v>374</v>
      </c>
    </row>
    <row r="256" spans="1:9">
      <c r="A256" t="s">
        <v>1021</v>
      </c>
      <c r="B256" t="s">
        <v>1022</v>
      </c>
      <c r="D256" t="s">
        <v>928</v>
      </c>
      <c r="E256" t="s">
        <v>1023</v>
      </c>
      <c r="F256" t="s">
        <v>756</v>
      </c>
      <c r="G256" t="s">
        <v>738</v>
      </c>
      <c r="H256" t="s">
        <v>374</v>
      </c>
    </row>
    <row r="257" spans="1:9">
      <c r="A257" t="s">
        <v>1024</v>
      </c>
      <c r="B257" t="s">
        <v>1025</v>
      </c>
      <c r="D257" t="s">
        <v>930</v>
      </c>
      <c r="E257" t="s">
        <v>1023</v>
      </c>
      <c r="F257" t="s">
        <v>801</v>
      </c>
      <c r="G257" t="s">
        <v>752</v>
      </c>
      <c r="H257" t="s">
        <v>374</v>
      </c>
    </row>
    <row r="258" spans="1:9">
      <c r="A258" t="s">
        <v>1024</v>
      </c>
      <c r="B258" t="s">
        <v>1026</v>
      </c>
      <c r="D258" t="s">
        <v>930</v>
      </c>
      <c r="E258" t="s">
        <v>1023</v>
      </c>
      <c r="F258" t="s">
        <v>756</v>
      </c>
      <c r="G258" t="s">
        <v>738</v>
      </c>
      <c r="H258" t="s">
        <v>374</v>
      </c>
    </row>
    <row r="259" spans="1:9">
      <c r="A259" t="s">
        <v>1024</v>
      </c>
      <c r="B259" t="s">
        <v>1028</v>
      </c>
      <c r="D259" t="s">
        <v>939</v>
      </c>
      <c r="E259" t="s">
        <v>1023</v>
      </c>
      <c r="F259" t="s">
        <v>743</v>
      </c>
      <c r="G259" t="s">
        <v>783</v>
      </c>
      <c r="H259" t="s">
        <v>374</v>
      </c>
    </row>
    <row r="260" spans="1:9">
      <c r="A260" t="s">
        <v>1024</v>
      </c>
      <c r="B260" t="s">
        <v>1037</v>
      </c>
      <c r="D260" t="s">
        <v>939</v>
      </c>
      <c r="E260" t="s">
        <v>1023</v>
      </c>
      <c r="F260" t="s">
        <v>732</v>
      </c>
      <c r="G260" t="s">
        <v>773</v>
      </c>
      <c r="H260" t="s">
        <v>374</v>
      </c>
      <c r="I260" t="s">
        <v>996</v>
      </c>
    </row>
    <row r="261" spans="1:9">
      <c r="A261" t="s">
        <v>1024</v>
      </c>
      <c r="B261" t="s">
        <v>1060</v>
      </c>
      <c r="D261" t="s">
        <v>928</v>
      </c>
      <c r="E261" t="s">
        <v>1023</v>
      </c>
      <c r="F261" t="s">
        <v>732</v>
      </c>
      <c r="G261" t="s">
        <v>830</v>
      </c>
      <c r="H261" t="s">
        <v>374</v>
      </c>
    </row>
    <row r="262" spans="1:9">
      <c r="A262" t="s">
        <v>1024</v>
      </c>
      <c r="B262" t="s">
        <v>1063</v>
      </c>
      <c r="D262" t="s">
        <v>1036</v>
      </c>
      <c r="E262" t="s">
        <v>1023</v>
      </c>
      <c r="F262" t="s">
        <v>829</v>
      </c>
      <c r="G262" t="s">
        <v>812</v>
      </c>
      <c r="H262" t="s">
        <v>374</v>
      </c>
    </row>
    <row r="263" spans="1:9">
      <c r="A263" t="s">
        <v>1024</v>
      </c>
      <c r="B263" t="s">
        <v>1070</v>
      </c>
      <c r="D263" t="s">
        <v>945</v>
      </c>
      <c r="E263" t="s">
        <v>1023</v>
      </c>
      <c r="F263" t="s">
        <v>756</v>
      </c>
      <c r="G263" t="s">
        <v>757</v>
      </c>
      <c r="H263" t="s">
        <v>374</v>
      </c>
    </row>
    <row r="264" spans="1:9">
      <c r="A264" t="s">
        <v>1024</v>
      </c>
      <c r="B264" t="s">
        <v>1074</v>
      </c>
      <c r="D264" t="s">
        <v>1036</v>
      </c>
      <c r="E264" t="s">
        <v>1023</v>
      </c>
      <c r="F264" t="s">
        <v>756</v>
      </c>
      <c r="G264" t="s">
        <v>738</v>
      </c>
      <c r="H264" t="s">
        <v>374</v>
      </c>
      <c r="I264" t="s">
        <v>999</v>
      </c>
    </row>
    <row r="265" spans="1:9">
      <c r="A265" t="s">
        <v>1024</v>
      </c>
      <c r="B265" t="s">
        <v>1075</v>
      </c>
      <c r="D265" t="s">
        <v>939</v>
      </c>
      <c r="E265" t="s">
        <v>1023</v>
      </c>
      <c r="F265" t="s">
        <v>756</v>
      </c>
      <c r="G265" t="s">
        <v>790</v>
      </c>
      <c r="H265" t="s">
        <v>374</v>
      </c>
    </row>
    <row r="266" spans="1:9">
      <c r="A266" t="s">
        <v>1024</v>
      </c>
      <c r="B266" t="s">
        <v>1076</v>
      </c>
      <c r="D266" t="s">
        <v>1036</v>
      </c>
      <c r="E266" t="s">
        <v>1023</v>
      </c>
      <c r="F266" t="s">
        <v>756</v>
      </c>
      <c r="G266" t="s">
        <v>783</v>
      </c>
      <c r="H266" t="s">
        <v>374</v>
      </c>
    </row>
    <row r="267" spans="1:9">
      <c r="A267" t="s">
        <v>1024</v>
      </c>
      <c r="B267" t="s">
        <v>1077</v>
      </c>
      <c r="D267" t="s">
        <v>1036</v>
      </c>
      <c r="E267" t="s">
        <v>1023</v>
      </c>
      <c r="F267" t="s">
        <v>732</v>
      </c>
      <c r="G267" t="s">
        <v>738</v>
      </c>
      <c r="H267" t="s">
        <v>374</v>
      </c>
    </row>
    <row r="268" spans="1:9">
      <c r="A268" t="s">
        <v>1024</v>
      </c>
      <c r="B268" t="s">
        <v>1078</v>
      </c>
      <c r="D268" t="s">
        <v>1036</v>
      </c>
      <c r="E268" t="s">
        <v>1023</v>
      </c>
      <c r="F268" t="s">
        <v>743</v>
      </c>
      <c r="G268" t="s">
        <v>738</v>
      </c>
      <c r="H268" t="s">
        <v>374</v>
      </c>
    </row>
    <row r="269" spans="1:9">
      <c r="A269" t="s">
        <v>1024</v>
      </c>
      <c r="B269" t="s">
        <v>1083</v>
      </c>
      <c r="D269" t="s">
        <v>976</v>
      </c>
      <c r="E269" t="s">
        <v>1023</v>
      </c>
      <c r="F269" t="s">
        <v>756</v>
      </c>
      <c r="G269" t="s">
        <v>752</v>
      </c>
      <c r="H269" t="s">
        <v>374</v>
      </c>
    </row>
    <row r="270" spans="1:9">
      <c r="A270" t="s">
        <v>1024</v>
      </c>
      <c r="B270" t="s">
        <v>1085</v>
      </c>
      <c r="D270" t="s">
        <v>976</v>
      </c>
      <c r="E270" t="s">
        <v>1023</v>
      </c>
      <c r="F270" t="s">
        <v>743</v>
      </c>
      <c r="G270" t="s">
        <v>738</v>
      </c>
      <c r="H270" t="s">
        <v>374</v>
      </c>
    </row>
    <row r="271" spans="1:9">
      <c r="A271" t="s">
        <v>1104</v>
      </c>
      <c r="B271" t="s">
        <v>1112</v>
      </c>
      <c r="D271" t="s">
        <v>1036</v>
      </c>
      <c r="E271" t="s">
        <v>1103</v>
      </c>
      <c r="F271" t="s">
        <v>797</v>
      </c>
      <c r="G271" t="s">
        <v>752</v>
      </c>
      <c r="H271" t="s">
        <v>374</v>
      </c>
      <c r="I271" t="s">
        <v>1014</v>
      </c>
    </row>
    <row r="272" spans="1:9">
      <c r="A272" t="s">
        <v>1104</v>
      </c>
      <c r="B272" t="s">
        <v>1117</v>
      </c>
      <c r="D272" t="s">
        <v>1036</v>
      </c>
      <c r="E272" t="s">
        <v>1103</v>
      </c>
      <c r="F272" t="s">
        <v>801</v>
      </c>
      <c r="G272" t="s">
        <v>842</v>
      </c>
      <c r="H272" t="s">
        <v>374</v>
      </c>
      <c r="I272" t="s">
        <v>1014</v>
      </c>
    </row>
    <row r="273" spans="1:9">
      <c r="A273" t="s">
        <v>1104</v>
      </c>
      <c r="B273" t="s">
        <v>1118</v>
      </c>
      <c r="D273" t="s">
        <v>1031</v>
      </c>
      <c r="E273" t="s">
        <v>1103</v>
      </c>
      <c r="F273" t="s">
        <v>743</v>
      </c>
      <c r="G273" t="s">
        <v>852</v>
      </c>
      <c r="H273" t="s">
        <v>374</v>
      </c>
    </row>
    <row r="274" spans="1:9">
      <c r="A274" t="s">
        <v>1104</v>
      </c>
      <c r="B274" t="s">
        <v>1119</v>
      </c>
      <c r="D274" t="s">
        <v>939</v>
      </c>
      <c r="E274" t="s">
        <v>1103</v>
      </c>
      <c r="F274" t="s">
        <v>732</v>
      </c>
      <c r="G274" t="s">
        <v>783</v>
      </c>
      <c r="H274" t="s">
        <v>374</v>
      </c>
    </row>
    <row r="275" spans="1:9">
      <c r="A275" t="s">
        <v>1104</v>
      </c>
      <c r="B275" t="s">
        <v>1120</v>
      </c>
      <c r="D275" t="s">
        <v>968</v>
      </c>
      <c r="E275" t="s">
        <v>1103</v>
      </c>
      <c r="F275" t="s">
        <v>829</v>
      </c>
      <c r="G275" t="s">
        <v>1121</v>
      </c>
      <c r="H275" t="s">
        <v>374</v>
      </c>
    </row>
    <row r="276" spans="1:9">
      <c r="A276" t="s">
        <v>1104</v>
      </c>
      <c r="B276" t="s">
        <v>1124</v>
      </c>
      <c r="D276" t="s">
        <v>945</v>
      </c>
      <c r="E276" t="s">
        <v>1103</v>
      </c>
      <c r="F276" t="s">
        <v>756</v>
      </c>
      <c r="G276" t="s">
        <v>842</v>
      </c>
      <c r="H276" t="s">
        <v>374</v>
      </c>
    </row>
    <row r="277" spans="1:9">
      <c r="A277" t="s">
        <v>1104</v>
      </c>
      <c r="B277" t="s">
        <v>1125</v>
      </c>
      <c r="D277" t="s">
        <v>976</v>
      </c>
      <c r="E277" t="s">
        <v>1103</v>
      </c>
      <c r="F277" t="s">
        <v>756</v>
      </c>
      <c r="G277" t="s">
        <v>738</v>
      </c>
      <c r="H277" t="s">
        <v>374</v>
      </c>
    </row>
    <row r="278" spans="1:9">
      <c r="A278" t="s">
        <v>1104</v>
      </c>
      <c r="B278" t="s">
        <v>1126</v>
      </c>
      <c r="D278" t="s">
        <v>857</v>
      </c>
      <c r="E278" t="s">
        <v>1103</v>
      </c>
      <c r="F278" t="s">
        <v>732</v>
      </c>
      <c r="G278" t="s">
        <v>738</v>
      </c>
      <c r="H278" t="s">
        <v>374</v>
      </c>
    </row>
    <row r="279" spans="1:9">
      <c r="A279" t="s">
        <v>1104</v>
      </c>
      <c r="B279" t="s">
        <v>1127</v>
      </c>
      <c r="D279" t="s">
        <v>968</v>
      </c>
      <c r="E279" t="s">
        <v>1103</v>
      </c>
      <c r="F279" t="s">
        <v>797</v>
      </c>
      <c r="G279" t="s">
        <v>752</v>
      </c>
      <c r="H279" t="s">
        <v>374</v>
      </c>
    </row>
    <row r="280" spans="1:9">
      <c r="A280" t="s">
        <v>1104</v>
      </c>
      <c r="B280" t="s">
        <v>1128</v>
      </c>
      <c r="D280" t="s">
        <v>945</v>
      </c>
      <c r="E280" t="s">
        <v>1103</v>
      </c>
      <c r="F280" t="s">
        <v>801</v>
      </c>
      <c r="G280" t="s">
        <v>773</v>
      </c>
      <c r="H280" t="s">
        <v>374</v>
      </c>
    </row>
    <row r="281" spans="1:9">
      <c r="A281" t="s">
        <v>1104</v>
      </c>
      <c r="B281" t="s">
        <v>1139</v>
      </c>
      <c r="D281" t="s">
        <v>968</v>
      </c>
      <c r="E281" t="s">
        <v>1103</v>
      </c>
      <c r="F281" t="s">
        <v>732</v>
      </c>
      <c r="G281" t="s">
        <v>874</v>
      </c>
      <c r="H281" t="s">
        <v>374</v>
      </c>
    </row>
    <row r="282" spans="1:9">
      <c r="A282" t="s">
        <v>1104</v>
      </c>
      <c r="B282" t="s">
        <v>1140</v>
      </c>
      <c r="D282" t="s">
        <v>1036</v>
      </c>
      <c r="E282" t="s">
        <v>1103</v>
      </c>
      <c r="F282" t="s">
        <v>756</v>
      </c>
      <c r="G282" t="s">
        <v>738</v>
      </c>
      <c r="H282" t="s">
        <v>374</v>
      </c>
    </row>
    <row r="283" spans="1:9">
      <c r="A283" t="s">
        <v>1104</v>
      </c>
      <c r="B283" t="s">
        <v>1150</v>
      </c>
      <c r="D283" t="s">
        <v>939</v>
      </c>
      <c r="E283" t="s">
        <v>1103</v>
      </c>
      <c r="F283" t="s">
        <v>797</v>
      </c>
      <c r="G283" t="s">
        <v>752</v>
      </c>
      <c r="H283" t="s">
        <v>374</v>
      </c>
    </row>
    <row r="284" spans="1:9">
      <c r="A284" t="s">
        <v>1104</v>
      </c>
      <c r="B284" t="s">
        <v>1151</v>
      </c>
      <c r="D284" t="s">
        <v>1036</v>
      </c>
      <c r="E284" t="s">
        <v>1103</v>
      </c>
      <c r="F284" t="s">
        <v>732</v>
      </c>
      <c r="G284" t="s">
        <v>738</v>
      </c>
      <c r="H284" t="s">
        <v>374</v>
      </c>
    </row>
    <row r="285" spans="1:9">
      <c r="A285" t="s">
        <v>1104</v>
      </c>
      <c r="B285" t="s">
        <v>1154</v>
      </c>
      <c r="D285" t="s">
        <v>939</v>
      </c>
      <c r="E285" t="s">
        <v>1103</v>
      </c>
      <c r="F285" t="s">
        <v>732</v>
      </c>
      <c r="G285" t="s">
        <v>752</v>
      </c>
      <c r="H285" t="s">
        <v>374</v>
      </c>
    </row>
    <row r="286" spans="1:9">
      <c r="A286" t="s">
        <v>1104</v>
      </c>
      <c r="B286" t="s">
        <v>1157</v>
      </c>
      <c r="D286" t="s">
        <v>945</v>
      </c>
      <c r="E286" t="s">
        <v>1103</v>
      </c>
      <c r="F286" t="s">
        <v>797</v>
      </c>
      <c r="G286" t="s">
        <v>773</v>
      </c>
      <c r="H286" t="s">
        <v>374</v>
      </c>
      <c r="I286" t="s">
        <v>1014</v>
      </c>
    </row>
    <row r="287" spans="1:9">
      <c r="A287" t="s">
        <v>1104</v>
      </c>
      <c r="B287" t="s">
        <v>1166</v>
      </c>
      <c r="D287" t="s">
        <v>988</v>
      </c>
      <c r="E287" t="s">
        <v>1103</v>
      </c>
      <c r="F287" t="s">
        <v>756</v>
      </c>
      <c r="G287" t="s">
        <v>738</v>
      </c>
      <c r="H287" t="s">
        <v>374</v>
      </c>
    </row>
    <row r="288" spans="1:9">
      <c r="A288" t="s">
        <v>1104</v>
      </c>
      <c r="B288" t="s">
        <v>1167</v>
      </c>
      <c r="D288" t="s">
        <v>945</v>
      </c>
      <c r="E288" t="s">
        <v>1103</v>
      </c>
      <c r="F288" t="s">
        <v>743</v>
      </c>
      <c r="G288" t="s">
        <v>752</v>
      </c>
      <c r="H288" t="s">
        <v>374</v>
      </c>
    </row>
    <row r="289" spans="1:9">
      <c r="A289" t="s">
        <v>1104</v>
      </c>
      <c r="B289" t="s">
        <v>1176</v>
      </c>
      <c r="D289" t="s">
        <v>968</v>
      </c>
      <c r="E289" t="s">
        <v>1103</v>
      </c>
      <c r="F289" t="s">
        <v>756</v>
      </c>
      <c r="G289" t="s">
        <v>757</v>
      </c>
      <c r="H289" t="s">
        <v>374</v>
      </c>
    </row>
    <row r="290" spans="1:9">
      <c r="A290" t="s">
        <v>1104</v>
      </c>
      <c r="B290" t="s">
        <v>1178</v>
      </c>
      <c r="D290" t="s">
        <v>945</v>
      </c>
      <c r="E290" t="s">
        <v>1103</v>
      </c>
      <c r="F290" t="s">
        <v>756</v>
      </c>
      <c r="G290" t="s">
        <v>783</v>
      </c>
      <c r="H290" t="s">
        <v>374</v>
      </c>
    </row>
    <row r="291" spans="1:9">
      <c r="A291" t="s">
        <v>1104</v>
      </c>
      <c r="B291" t="s">
        <v>1187</v>
      </c>
      <c r="D291" t="s">
        <v>958</v>
      </c>
      <c r="E291" t="s">
        <v>1103</v>
      </c>
      <c r="F291" t="s">
        <v>801</v>
      </c>
      <c r="G291" t="s">
        <v>752</v>
      </c>
      <c r="H291" t="s">
        <v>374</v>
      </c>
    </row>
    <row r="292" spans="1:9">
      <c r="A292" t="s">
        <v>1104</v>
      </c>
      <c r="B292" t="s">
        <v>1190</v>
      </c>
      <c r="D292" t="s">
        <v>968</v>
      </c>
      <c r="E292" t="s">
        <v>1103</v>
      </c>
      <c r="F292" t="s">
        <v>801</v>
      </c>
      <c r="G292" t="s">
        <v>773</v>
      </c>
      <c r="H292" t="s">
        <v>374</v>
      </c>
    </row>
    <row r="293" spans="1:9">
      <c r="A293" t="s">
        <v>1104</v>
      </c>
      <c r="B293" t="s">
        <v>1195</v>
      </c>
      <c r="D293" t="s">
        <v>930</v>
      </c>
      <c r="E293" t="s">
        <v>1103</v>
      </c>
      <c r="F293" t="s">
        <v>829</v>
      </c>
      <c r="G293" t="s">
        <v>1123</v>
      </c>
      <c r="H293" t="s">
        <v>374</v>
      </c>
    </row>
    <row r="294" spans="1:9">
      <c r="A294" t="s">
        <v>1104</v>
      </c>
      <c r="B294" t="s">
        <v>1201</v>
      </c>
      <c r="D294" t="s">
        <v>968</v>
      </c>
      <c r="E294" t="s">
        <v>1103</v>
      </c>
      <c r="F294" t="s">
        <v>756</v>
      </c>
      <c r="G294" t="s">
        <v>925</v>
      </c>
      <c r="H294" t="s">
        <v>374</v>
      </c>
    </row>
    <row r="295" spans="1:9">
      <c r="A295" t="s">
        <v>1104</v>
      </c>
      <c r="B295" t="s">
        <v>1203</v>
      </c>
      <c r="D295" t="s">
        <v>1036</v>
      </c>
      <c r="E295" t="s">
        <v>1103</v>
      </c>
      <c r="F295" t="s">
        <v>732</v>
      </c>
      <c r="G295" t="s">
        <v>1133</v>
      </c>
      <c r="H295" t="s">
        <v>374</v>
      </c>
    </row>
    <row r="296" spans="1:9">
      <c r="A296" t="s">
        <v>1104</v>
      </c>
      <c r="B296" t="s">
        <v>1205</v>
      </c>
      <c r="D296" t="s">
        <v>968</v>
      </c>
      <c r="E296" t="s">
        <v>1103</v>
      </c>
      <c r="F296" t="s">
        <v>756</v>
      </c>
      <c r="G296" t="s">
        <v>783</v>
      </c>
      <c r="H296" t="s">
        <v>374</v>
      </c>
    </row>
    <row r="297" spans="1:9">
      <c r="A297" t="s">
        <v>1104</v>
      </c>
      <c r="B297" t="s">
        <v>1208</v>
      </c>
      <c r="D297" t="s">
        <v>968</v>
      </c>
      <c r="E297" t="s">
        <v>1103</v>
      </c>
      <c r="F297" t="s">
        <v>732</v>
      </c>
      <c r="G297" t="s">
        <v>783</v>
      </c>
      <c r="H297" t="s">
        <v>374</v>
      </c>
    </row>
    <row r="298" spans="1:9">
      <c r="A298" t="s">
        <v>1104</v>
      </c>
      <c r="B298" t="s">
        <v>1209</v>
      </c>
      <c r="D298" t="s">
        <v>968</v>
      </c>
      <c r="E298" t="s">
        <v>1103</v>
      </c>
      <c r="F298" t="s">
        <v>732</v>
      </c>
      <c r="G298" t="s">
        <v>874</v>
      </c>
      <c r="H298" t="s">
        <v>374</v>
      </c>
    </row>
    <row r="299" spans="1:9">
      <c r="A299" t="s">
        <v>1216</v>
      </c>
      <c r="B299" t="s">
        <v>1217</v>
      </c>
      <c r="D299" t="s">
        <v>988</v>
      </c>
      <c r="E299" t="s">
        <v>1215</v>
      </c>
      <c r="F299" t="s">
        <v>801</v>
      </c>
      <c r="G299" t="s">
        <v>773</v>
      </c>
      <c r="H299" t="s">
        <v>374</v>
      </c>
      <c r="I299" t="s">
        <v>1218</v>
      </c>
    </row>
    <row r="300" spans="1:9">
      <c r="A300" t="s">
        <v>1216</v>
      </c>
      <c r="B300" t="s">
        <v>1219</v>
      </c>
      <c r="D300" t="s">
        <v>857</v>
      </c>
      <c r="E300" t="s">
        <v>1215</v>
      </c>
      <c r="F300" t="s">
        <v>756</v>
      </c>
      <c r="G300" t="s">
        <v>790</v>
      </c>
      <c r="H300" t="s">
        <v>374</v>
      </c>
    </row>
    <row r="301" spans="1:9">
      <c r="A301" t="s">
        <v>1216</v>
      </c>
      <c r="B301" t="s">
        <v>1222</v>
      </c>
      <c r="D301" t="s">
        <v>939</v>
      </c>
      <c r="E301" t="s">
        <v>1215</v>
      </c>
      <c r="F301" t="s">
        <v>756</v>
      </c>
      <c r="G301" t="s">
        <v>738</v>
      </c>
      <c r="H301" t="s">
        <v>374</v>
      </c>
    </row>
    <row r="302" spans="1:9">
      <c r="A302" t="s">
        <v>1101</v>
      </c>
      <c r="B302" t="s">
        <v>1102</v>
      </c>
      <c r="D302" t="s">
        <v>968</v>
      </c>
      <c r="E302" t="s">
        <v>1103</v>
      </c>
      <c r="F302" t="s">
        <v>756</v>
      </c>
      <c r="G302" t="s">
        <v>783</v>
      </c>
      <c r="H302" t="s">
        <v>419</v>
      </c>
    </row>
    <row r="303" spans="1:9">
      <c r="A303" t="s">
        <v>1104</v>
      </c>
      <c r="B303" t="s">
        <v>1162</v>
      </c>
      <c r="D303" t="s">
        <v>1031</v>
      </c>
      <c r="E303" t="s">
        <v>1103</v>
      </c>
      <c r="F303" t="s">
        <v>829</v>
      </c>
      <c r="G303" t="s">
        <v>1121</v>
      </c>
      <c r="H303" t="s">
        <v>419</v>
      </c>
    </row>
    <row r="304" spans="1:9">
      <c r="A304" t="s">
        <v>1104</v>
      </c>
      <c r="B304" t="s">
        <v>1163</v>
      </c>
      <c r="D304" t="s">
        <v>968</v>
      </c>
      <c r="E304" t="s">
        <v>1103</v>
      </c>
      <c r="F304" t="s">
        <v>829</v>
      </c>
      <c r="G304" t="s">
        <v>1123</v>
      </c>
      <c r="H304" t="s">
        <v>419</v>
      </c>
    </row>
    <row r="305" spans="1:8">
      <c r="A305" t="s">
        <v>836</v>
      </c>
      <c r="B305" t="s">
        <v>849</v>
      </c>
      <c r="D305" t="s">
        <v>792</v>
      </c>
      <c r="E305" t="s">
        <v>742</v>
      </c>
      <c r="F305" t="s">
        <v>829</v>
      </c>
      <c r="G305" t="s">
        <v>847</v>
      </c>
      <c r="H305" t="s">
        <v>424</v>
      </c>
    </row>
    <row r="306" spans="1:8">
      <c r="A306" t="s">
        <v>909</v>
      </c>
      <c r="B306" t="s">
        <v>916</v>
      </c>
      <c r="D306" t="s">
        <v>751</v>
      </c>
      <c r="E306" t="s">
        <v>911</v>
      </c>
      <c r="F306" t="s">
        <v>756</v>
      </c>
      <c r="G306" t="s">
        <v>752</v>
      </c>
      <c r="H306" t="s">
        <v>424</v>
      </c>
    </row>
    <row r="307" spans="1:8">
      <c r="A307" t="s">
        <v>981</v>
      </c>
      <c r="B307" t="s">
        <v>993</v>
      </c>
      <c r="D307" t="s">
        <v>930</v>
      </c>
      <c r="E307" t="s">
        <v>980</v>
      </c>
      <c r="F307" t="s">
        <v>732</v>
      </c>
      <c r="G307" t="s">
        <v>925</v>
      </c>
      <c r="H307" t="s">
        <v>424</v>
      </c>
    </row>
    <row r="308" spans="1:8">
      <c r="A308" t="s">
        <v>981</v>
      </c>
      <c r="B308" t="s">
        <v>1009</v>
      </c>
      <c r="D308" t="s">
        <v>945</v>
      </c>
      <c r="E308" t="s">
        <v>980</v>
      </c>
      <c r="F308" t="s">
        <v>756</v>
      </c>
      <c r="G308" t="s">
        <v>733</v>
      </c>
      <c r="H308" t="s">
        <v>424</v>
      </c>
    </row>
    <row r="309" spans="1:8">
      <c r="A309" t="s">
        <v>981</v>
      </c>
      <c r="B309" t="s">
        <v>1010</v>
      </c>
      <c r="D309" t="s">
        <v>939</v>
      </c>
      <c r="E309" t="s">
        <v>980</v>
      </c>
      <c r="F309" t="s">
        <v>732</v>
      </c>
      <c r="G309" t="s">
        <v>748</v>
      </c>
      <c r="H309" t="s">
        <v>424</v>
      </c>
    </row>
    <row r="310" spans="1:8">
      <c r="A310" t="s">
        <v>1024</v>
      </c>
      <c r="B310" t="s">
        <v>1034</v>
      </c>
      <c r="D310" t="s">
        <v>968</v>
      </c>
      <c r="E310" t="s">
        <v>1023</v>
      </c>
      <c r="F310" t="s">
        <v>756</v>
      </c>
      <c r="G310" t="s">
        <v>752</v>
      </c>
      <c r="H310" t="s">
        <v>424</v>
      </c>
    </row>
    <row r="311" spans="1:8">
      <c r="A311" t="s">
        <v>1024</v>
      </c>
      <c r="B311" t="s">
        <v>1042</v>
      </c>
      <c r="D311" t="s">
        <v>976</v>
      </c>
      <c r="E311" t="s">
        <v>1023</v>
      </c>
      <c r="F311" t="s">
        <v>756</v>
      </c>
      <c r="G311" t="s">
        <v>790</v>
      </c>
      <c r="H311" t="s">
        <v>424</v>
      </c>
    </row>
    <row r="312" spans="1:8">
      <c r="A312" t="s">
        <v>1024</v>
      </c>
      <c r="B312" t="s">
        <v>1045</v>
      </c>
      <c r="D312" t="s">
        <v>945</v>
      </c>
      <c r="E312" t="s">
        <v>1023</v>
      </c>
      <c r="F312" t="s">
        <v>732</v>
      </c>
      <c r="G312" t="s">
        <v>809</v>
      </c>
      <c r="H312" t="s">
        <v>424</v>
      </c>
    </row>
    <row r="313" spans="1:8">
      <c r="A313" t="s">
        <v>1024</v>
      </c>
      <c r="B313" t="s">
        <v>1066</v>
      </c>
      <c r="D313" t="s">
        <v>968</v>
      </c>
      <c r="E313" t="s">
        <v>1023</v>
      </c>
      <c r="F313" t="s">
        <v>756</v>
      </c>
      <c r="G313" t="s">
        <v>1067</v>
      </c>
      <c r="H313" t="s">
        <v>424</v>
      </c>
    </row>
    <row r="314" spans="1:8">
      <c r="A314" t="s">
        <v>1024</v>
      </c>
      <c r="B314" t="s">
        <v>1093</v>
      </c>
      <c r="D314" t="s">
        <v>988</v>
      </c>
      <c r="E314" t="s">
        <v>1023</v>
      </c>
      <c r="F314" t="s">
        <v>732</v>
      </c>
      <c r="G314" t="s">
        <v>835</v>
      </c>
      <c r="H314" t="s">
        <v>424</v>
      </c>
    </row>
    <row r="315" spans="1:8">
      <c r="A315" t="s">
        <v>1104</v>
      </c>
      <c r="B315" t="s">
        <v>1113</v>
      </c>
      <c r="D315" t="s">
        <v>939</v>
      </c>
      <c r="E315" t="s">
        <v>1103</v>
      </c>
      <c r="F315" t="s">
        <v>732</v>
      </c>
      <c r="G315" t="s">
        <v>752</v>
      </c>
      <c r="H315" t="s">
        <v>424</v>
      </c>
    </row>
    <row r="316" spans="1:8">
      <c r="A316" t="s">
        <v>1104</v>
      </c>
      <c r="B316" t="s">
        <v>1115</v>
      </c>
      <c r="D316" t="s">
        <v>976</v>
      </c>
      <c r="E316" t="s">
        <v>1103</v>
      </c>
      <c r="F316" t="s">
        <v>732</v>
      </c>
      <c r="G316" t="s">
        <v>738</v>
      </c>
      <c r="H316" t="s">
        <v>424</v>
      </c>
    </row>
    <row r="317" spans="1:8">
      <c r="A317" t="s">
        <v>1104</v>
      </c>
      <c r="B317" t="s">
        <v>1188</v>
      </c>
      <c r="D317" t="s">
        <v>1036</v>
      </c>
      <c r="E317" t="s">
        <v>1103</v>
      </c>
      <c r="F317" t="s">
        <v>756</v>
      </c>
      <c r="G317" t="s">
        <v>874</v>
      </c>
      <c r="H317" t="s">
        <v>424</v>
      </c>
    </row>
    <row r="318" spans="1:8">
      <c r="A318" t="s">
        <v>1104</v>
      </c>
      <c r="B318" t="s">
        <v>1198</v>
      </c>
      <c r="D318" t="s">
        <v>968</v>
      </c>
      <c r="E318" t="s">
        <v>1103</v>
      </c>
      <c r="F318" t="s">
        <v>756</v>
      </c>
      <c r="G318" t="s">
        <v>738</v>
      </c>
      <c r="H318" t="s">
        <v>424</v>
      </c>
    </row>
    <row r="319" spans="1:8">
      <c r="A319" t="s">
        <v>1024</v>
      </c>
      <c r="B319" t="s">
        <v>1044</v>
      </c>
      <c r="D319" t="s">
        <v>968</v>
      </c>
      <c r="E319" t="s">
        <v>1023</v>
      </c>
      <c r="F319" t="s">
        <v>756</v>
      </c>
      <c r="G319" t="s">
        <v>925</v>
      </c>
      <c r="H319" s="564" t="s">
        <v>429</v>
      </c>
    </row>
    <row r="320" spans="1:8">
      <c r="A320" t="s">
        <v>1024</v>
      </c>
      <c r="B320" t="s">
        <v>1071</v>
      </c>
      <c r="D320" t="s">
        <v>857</v>
      </c>
      <c r="E320" t="s">
        <v>1023</v>
      </c>
      <c r="F320" t="s">
        <v>743</v>
      </c>
      <c r="G320" t="s">
        <v>1047</v>
      </c>
      <c r="H320" t="s">
        <v>1072</v>
      </c>
    </row>
    <row r="321" spans="1:8">
      <c r="A321" t="s">
        <v>952</v>
      </c>
      <c r="B321" t="s">
        <v>969</v>
      </c>
      <c r="D321" t="s">
        <v>970</v>
      </c>
      <c r="E321" t="s">
        <v>951</v>
      </c>
      <c r="F321" t="s">
        <v>801</v>
      </c>
      <c r="G321" t="s">
        <v>783</v>
      </c>
      <c r="H321" s="564" t="s">
        <v>435</v>
      </c>
    </row>
    <row r="322" spans="1:8">
      <c r="A322" t="s">
        <v>1024</v>
      </c>
      <c r="B322" t="s">
        <v>1056</v>
      </c>
      <c r="D322" t="s">
        <v>857</v>
      </c>
      <c r="E322" t="s">
        <v>1023</v>
      </c>
      <c r="F322" t="s">
        <v>732</v>
      </c>
      <c r="G322" t="s">
        <v>738</v>
      </c>
      <c r="H322" s="564" t="s">
        <v>435</v>
      </c>
    </row>
    <row r="323" spans="1:8">
      <c r="A323" t="s">
        <v>1024</v>
      </c>
      <c r="B323" t="s">
        <v>1094</v>
      </c>
      <c r="D323" t="s">
        <v>1036</v>
      </c>
      <c r="E323" t="s">
        <v>1023</v>
      </c>
      <c r="F323" t="s">
        <v>801</v>
      </c>
      <c r="G323" t="s">
        <v>790</v>
      </c>
      <c r="H323" s="564" t="s">
        <v>435</v>
      </c>
    </row>
    <row r="324" spans="1:8">
      <c r="A324" t="s">
        <v>1104</v>
      </c>
      <c r="B324" t="s">
        <v>1107</v>
      </c>
      <c r="D324" t="s">
        <v>945</v>
      </c>
      <c r="E324" t="s">
        <v>1103</v>
      </c>
      <c r="F324" t="s">
        <v>743</v>
      </c>
      <c r="G324" t="s">
        <v>752</v>
      </c>
      <c r="H324" s="564" t="s">
        <v>435</v>
      </c>
    </row>
    <row r="325" spans="1:8">
      <c r="A325" t="s">
        <v>1104</v>
      </c>
      <c r="B325" t="s">
        <v>1192</v>
      </c>
      <c r="D325" t="s">
        <v>945</v>
      </c>
      <c r="E325" t="s">
        <v>1103</v>
      </c>
      <c r="F325" t="s">
        <v>829</v>
      </c>
      <c r="G325" t="s">
        <v>852</v>
      </c>
      <c r="H325" s="564" t="s">
        <v>435</v>
      </c>
    </row>
    <row r="326" spans="1:8">
      <c r="A326" t="s">
        <v>1104</v>
      </c>
      <c r="B326" t="s">
        <v>1134</v>
      </c>
      <c r="D326" t="s">
        <v>968</v>
      </c>
      <c r="E326" t="s">
        <v>1103</v>
      </c>
      <c r="F326" t="s">
        <v>732</v>
      </c>
      <c r="G326" t="s">
        <v>783</v>
      </c>
      <c r="H326" t="s">
        <v>443</v>
      </c>
    </row>
    <row r="327" spans="1:8">
      <c r="A327" t="s">
        <v>1104</v>
      </c>
      <c r="B327" t="s">
        <v>1144</v>
      </c>
      <c r="D327" t="s">
        <v>930</v>
      </c>
      <c r="E327" t="s">
        <v>1103</v>
      </c>
      <c r="F327" t="s">
        <v>732</v>
      </c>
      <c r="G327" t="s">
        <v>783</v>
      </c>
      <c r="H327" t="s">
        <v>443</v>
      </c>
    </row>
    <row r="328" spans="1:8">
      <c r="A328" t="s">
        <v>1214</v>
      </c>
      <c r="E328" t="s">
        <v>1215</v>
      </c>
    </row>
  </sheetData>
  <hyperlinks>
    <hyperlink ref="M11" r:id="rId1" xr:uid="{BAFFD128-D298-416C-8330-D43DBCBAB9BA}"/>
    <hyperlink ref="M12" r:id="rId2" xr:uid="{5C302AFC-9420-4977-B32E-7E588F5D8C4A}"/>
    <hyperlink ref="M13" r:id="rId3" xr:uid="{F6EDEF38-21CC-482A-A5F2-6D00368C71FD}"/>
  </hyperlinks>
  <pageMargins left="0.7" right="0.7" top="0.75" bottom="0.75" header="0.3" footer="0.3"/>
  <tableParts count="1">
    <tablePart r:id="rId4"/>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90DD-07E3-4A6D-A6B6-3CDE08B1A2AA}">
  <sheetPr codeName="Аркуш44">
    <tabColor rgb="FF7030A0"/>
  </sheetPr>
  <dimension ref="A3:AB125"/>
  <sheetViews>
    <sheetView topLeftCell="D101" zoomScale="55" zoomScaleNormal="55" workbookViewId="0">
      <selection activeCell="S7" sqref="S7"/>
    </sheetView>
  </sheetViews>
  <sheetFormatPr defaultRowHeight="14.25"/>
  <cols>
    <col min="1" max="1" width="11.5546875" customWidth="1"/>
    <col min="2" max="2" width="14.44140625" customWidth="1"/>
    <col min="3" max="3" width="43" customWidth="1"/>
    <col min="4" max="4" width="12.5546875" customWidth="1"/>
    <col min="5" max="6" width="10.77734375" customWidth="1"/>
    <col min="9" max="9" width="16" customWidth="1"/>
    <col min="10" max="10" width="11.21875" customWidth="1"/>
    <col min="11" max="11" width="11.88671875" customWidth="1"/>
    <col min="13" max="14" width="10.77734375" customWidth="1"/>
    <col min="17" max="17" width="17.6640625" style="1" bestFit="1" customWidth="1"/>
  </cols>
  <sheetData>
    <row r="3" spans="1:28">
      <c r="C3" t="s">
        <v>12209</v>
      </c>
      <c r="E3" s="1" t="s">
        <v>11330</v>
      </c>
    </row>
    <row r="4" spans="1:28">
      <c r="C4" t="s">
        <v>11373</v>
      </c>
      <c r="E4" s="1" t="s">
        <v>11329</v>
      </c>
    </row>
    <row r="5" spans="1:28">
      <c r="J5" s="1"/>
      <c r="K5" s="1"/>
      <c r="L5" s="1"/>
      <c r="M5" s="1"/>
      <c r="N5" s="1"/>
      <c r="O5" s="1"/>
      <c r="P5" s="1"/>
      <c r="R5" s="1"/>
      <c r="S5" s="1"/>
    </row>
    <row r="6" spans="1:28" ht="20.25" customHeight="1" thickBot="1">
      <c r="A6" s="2236" t="s">
        <v>12270</v>
      </c>
      <c r="B6" s="2236"/>
      <c r="I6" s="2236" t="s">
        <v>17669</v>
      </c>
      <c r="J6" s="2236"/>
      <c r="K6" s="2236"/>
      <c r="L6" s="2236"/>
      <c r="M6" s="1"/>
      <c r="N6" s="2226" t="s">
        <v>17670</v>
      </c>
      <c r="O6" s="2227"/>
      <c r="P6" s="2227"/>
      <c r="Q6" s="2228"/>
      <c r="R6" s="1"/>
      <c r="S6" s="1"/>
    </row>
    <row r="7" spans="1:28" ht="21" customHeight="1" thickTop="1" thickBot="1">
      <c r="A7" s="741" t="s">
        <v>723</v>
      </c>
      <c r="B7" s="741" t="s">
        <v>8572</v>
      </c>
      <c r="D7" s="2237" t="s">
        <v>12269</v>
      </c>
      <c r="E7" s="2237"/>
      <c r="F7" s="2237"/>
      <c r="I7" t="s">
        <v>12552</v>
      </c>
      <c r="J7" t="s">
        <v>12575</v>
      </c>
      <c r="K7" t="s">
        <v>8572</v>
      </c>
      <c r="L7" t="s">
        <v>5649</v>
      </c>
      <c r="M7" s="1"/>
      <c r="N7" s="2229"/>
      <c r="O7" s="2230"/>
      <c r="P7" s="2230"/>
      <c r="Q7" s="2231"/>
      <c r="R7" s="1"/>
      <c r="S7" s="1"/>
    </row>
    <row r="8" spans="1:28" ht="14.25" customHeight="1">
      <c r="A8" s="742" t="s">
        <v>699</v>
      </c>
      <c r="B8" s="742" t="s">
        <v>10207</v>
      </c>
      <c r="D8" s="731" t="s">
        <v>5813</v>
      </c>
      <c r="E8" s="732" t="s">
        <v>12578</v>
      </c>
      <c r="F8" s="733" t="s">
        <v>11394</v>
      </c>
      <c r="I8" t="s">
        <v>699</v>
      </c>
      <c r="J8">
        <v>200</v>
      </c>
      <c r="K8" t="s">
        <v>12553</v>
      </c>
      <c r="L8">
        <v>2</v>
      </c>
      <c r="M8" s="1"/>
      <c r="N8" s="2229"/>
      <c r="O8" s="2230"/>
      <c r="P8" s="2230"/>
      <c r="Q8" s="2231"/>
      <c r="R8" s="1"/>
      <c r="S8" s="1"/>
    </row>
    <row r="9" spans="1:28" ht="20.25" customHeight="1" thickBot="1">
      <c r="A9" s="672" t="s">
        <v>10208</v>
      </c>
      <c r="B9" s="672" t="s">
        <v>10209</v>
      </c>
      <c r="D9" s="734" t="s">
        <v>7368</v>
      </c>
      <c r="E9" s="735">
        <v>20</v>
      </c>
      <c r="F9" s="736" t="s">
        <v>686</v>
      </c>
      <c r="G9">
        <f>2.5*E9</f>
        <v>50</v>
      </c>
      <c r="I9" t="s">
        <v>12554</v>
      </c>
      <c r="J9">
        <v>120</v>
      </c>
      <c r="K9" t="s">
        <v>12555</v>
      </c>
      <c r="L9">
        <v>1</v>
      </c>
      <c r="N9" s="2229"/>
      <c r="O9" s="2230"/>
      <c r="P9" s="2230"/>
      <c r="Q9" s="2231"/>
      <c r="R9" s="1"/>
      <c r="S9" s="2236" t="s">
        <v>12268</v>
      </c>
      <c r="T9" s="2236"/>
      <c r="U9" s="2236"/>
      <c r="V9" s="2236"/>
      <c r="W9" s="1"/>
      <c r="X9" s="1"/>
      <c r="Y9" s="1"/>
      <c r="Z9" s="1"/>
      <c r="AA9" s="1"/>
      <c r="AB9" s="1"/>
    </row>
    <row r="10" spans="1:28" ht="15" customHeight="1" thickTop="1">
      <c r="A10" s="671" t="s">
        <v>10210</v>
      </c>
      <c r="B10" s="671" t="s">
        <v>10211</v>
      </c>
      <c r="D10" s="737" t="s">
        <v>10233</v>
      </c>
      <c r="E10" s="738">
        <v>30</v>
      </c>
      <c r="F10" s="739" t="s">
        <v>689</v>
      </c>
      <c r="G10" s="1">
        <f t="shared" ref="G10:G18" si="0">2.5*E10</f>
        <v>75</v>
      </c>
      <c r="I10" t="s">
        <v>7373</v>
      </c>
      <c r="J10">
        <v>100</v>
      </c>
      <c r="K10" t="s">
        <v>12556</v>
      </c>
      <c r="L10">
        <v>1</v>
      </c>
      <c r="N10" s="2229"/>
      <c r="O10" s="2230"/>
      <c r="P10" s="2230"/>
      <c r="Q10" s="2231"/>
      <c r="R10" s="1"/>
      <c r="S10" s="731" t="s">
        <v>5813</v>
      </c>
      <c r="T10" s="732" t="s">
        <v>11244</v>
      </c>
      <c r="U10" s="740" t="s">
        <v>10240</v>
      </c>
      <c r="V10" s="1"/>
      <c r="W10" s="1"/>
      <c r="X10" s="1"/>
      <c r="Y10" s="1"/>
      <c r="Z10" s="1"/>
      <c r="AA10" s="1"/>
      <c r="AB10" s="1"/>
    </row>
    <row r="11" spans="1:28" ht="14.25" customHeight="1">
      <c r="A11" s="672" t="s">
        <v>10212</v>
      </c>
      <c r="B11" s="672" t="s">
        <v>10213</v>
      </c>
      <c r="D11" s="734" t="s">
        <v>10234</v>
      </c>
      <c r="E11" s="735">
        <v>40</v>
      </c>
      <c r="F11" s="736" t="s">
        <v>692</v>
      </c>
      <c r="G11" s="1">
        <f t="shared" si="0"/>
        <v>100</v>
      </c>
      <c r="I11" t="s">
        <v>12557</v>
      </c>
      <c r="J11">
        <v>100</v>
      </c>
      <c r="K11" t="s">
        <v>12558</v>
      </c>
      <c r="L11">
        <v>1</v>
      </c>
      <c r="N11" s="2229"/>
      <c r="O11" s="2230"/>
      <c r="P11" s="2230"/>
      <c r="Q11" s="2231"/>
      <c r="R11" s="1"/>
      <c r="S11" s="734" t="s">
        <v>11236</v>
      </c>
      <c r="T11" s="735" t="str">
        <f>D9</f>
        <v>Sailor</v>
      </c>
      <c r="U11" s="736">
        <f>E9</f>
        <v>20</v>
      </c>
      <c r="V11" s="1"/>
      <c r="W11" s="1"/>
      <c r="X11" s="1"/>
      <c r="Y11" s="1"/>
      <c r="Z11" s="1"/>
      <c r="AA11" s="1"/>
      <c r="AB11" s="1"/>
    </row>
    <row r="12" spans="1:28" ht="14.25" customHeight="1">
      <c r="A12" s="671" t="s">
        <v>10214</v>
      </c>
      <c r="B12" s="671" t="s">
        <v>10215</v>
      </c>
      <c r="D12" s="737" t="s">
        <v>10235</v>
      </c>
      <c r="E12" s="738">
        <v>60</v>
      </c>
      <c r="F12" s="739"/>
      <c r="G12" s="1">
        <f t="shared" si="0"/>
        <v>150</v>
      </c>
      <c r="I12" t="s">
        <v>10219</v>
      </c>
      <c r="J12">
        <v>80</v>
      </c>
      <c r="K12" t="s">
        <v>12559</v>
      </c>
      <c r="L12">
        <v>1</v>
      </c>
      <c r="N12" s="2229"/>
      <c r="O12" s="2230"/>
      <c r="P12" s="2230"/>
      <c r="Q12" s="2231"/>
      <c r="R12" s="1"/>
      <c r="S12" s="737" t="s">
        <v>692</v>
      </c>
      <c r="T12" s="738" t="str">
        <f>'Blue Dragons'!$D9</f>
        <v>Sailor</v>
      </c>
      <c r="U12" s="739">
        <f>E10</f>
        <v>30</v>
      </c>
      <c r="V12" s="1"/>
      <c r="W12" s="1"/>
      <c r="X12" s="1"/>
      <c r="Y12" s="1"/>
      <c r="Z12" s="1"/>
      <c r="AB12" s="1"/>
    </row>
    <row r="13" spans="1:28" ht="14.25" customHeight="1">
      <c r="A13" s="672" t="s">
        <v>10216</v>
      </c>
      <c r="B13" s="672" t="s">
        <v>10217</v>
      </c>
      <c r="D13" s="734" t="s">
        <v>696</v>
      </c>
      <c r="E13" s="735">
        <v>75</v>
      </c>
      <c r="F13" s="736" t="str">
        <f>'Purple Dragons'!A8</f>
        <v>Lionar</v>
      </c>
      <c r="G13" s="1">
        <f t="shared" si="0"/>
        <v>187.5</v>
      </c>
      <c r="I13" t="s">
        <v>12560</v>
      </c>
      <c r="J13">
        <v>80</v>
      </c>
      <c r="K13" t="s">
        <v>12561</v>
      </c>
      <c r="L13">
        <v>0.5</v>
      </c>
      <c r="N13" s="2229"/>
      <c r="O13" s="2230"/>
      <c r="P13" s="2230"/>
      <c r="Q13" s="2231"/>
      <c r="R13" s="1"/>
      <c r="S13" s="734" t="s">
        <v>11686</v>
      </c>
      <c r="T13" s="735" t="str">
        <f>D12</f>
        <v>Midshipman</v>
      </c>
      <c r="U13" s="736">
        <f>E12</f>
        <v>60</v>
      </c>
      <c r="X13" s="1"/>
      <c r="Y13" s="1"/>
      <c r="Z13" s="1"/>
      <c r="AB13" s="1"/>
    </row>
    <row r="14" spans="1:28" ht="14.25" customHeight="1">
      <c r="A14" s="671" t="s">
        <v>951</v>
      </c>
      <c r="B14" s="671" t="s">
        <v>10218</v>
      </c>
      <c r="D14" s="737" t="s">
        <v>10236</v>
      </c>
      <c r="E14" s="738">
        <v>90</v>
      </c>
      <c r="F14" s="739" t="str">
        <f>'Purple Dragons'!A9</f>
        <v>Ornrion</v>
      </c>
      <c r="G14" s="1">
        <f t="shared" si="0"/>
        <v>225</v>
      </c>
      <c r="I14" t="s">
        <v>12574</v>
      </c>
      <c r="J14">
        <v>60</v>
      </c>
      <c r="K14" t="s">
        <v>12562</v>
      </c>
      <c r="L14">
        <v>0.5</v>
      </c>
      <c r="N14" s="2229"/>
      <c r="O14" s="2230"/>
      <c r="P14" s="2230"/>
      <c r="Q14" s="2231"/>
      <c r="R14" s="1"/>
      <c r="S14" s="631" t="s">
        <v>695</v>
      </c>
      <c r="T14" s="632" t="str">
        <f>S14</f>
        <v>Swordcaptain</v>
      </c>
      <c r="U14" s="664">
        <f>E13</f>
        <v>75</v>
      </c>
      <c r="X14" s="1"/>
      <c r="Y14" s="1"/>
      <c r="Z14" s="1"/>
      <c r="AA14" s="1"/>
      <c r="AB14" s="1"/>
    </row>
    <row r="15" spans="1:28" ht="14.25" customHeight="1">
      <c r="A15" s="672" t="s">
        <v>10219</v>
      </c>
      <c r="B15" s="672" t="s">
        <v>10220</v>
      </c>
      <c r="D15" s="734" t="s">
        <v>699</v>
      </c>
      <c r="E15" s="735">
        <v>105</v>
      </c>
      <c r="F15" s="736" t="str">
        <f>'Purple Dragons'!A10</f>
        <v>Constal</v>
      </c>
      <c r="G15" s="1">
        <f t="shared" si="0"/>
        <v>262.5</v>
      </c>
      <c r="I15" t="s">
        <v>12563</v>
      </c>
      <c r="J15">
        <v>60</v>
      </c>
      <c r="K15" t="s">
        <v>12564</v>
      </c>
      <c r="L15">
        <v>0.5</v>
      </c>
      <c r="N15" s="2229"/>
      <c r="O15" s="2230"/>
      <c r="P15" s="2230"/>
      <c r="Q15" s="2231"/>
      <c r="R15" s="1"/>
      <c r="X15" s="1"/>
      <c r="Y15" s="1" t="s">
        <v>11294</v>
      </c>
      <c r="Z15" s="1"/>
      <c r="AA15" s="1"/>
      <c r="AB15" s="1"/>
    </row>
    <row r="16" spans="1:28" ht="14.25" customHeight="1">
      <c r="A16" s="671" t="s">
        <v>10221</v>
      </c>
      <c r="B16" s="671" t="s">
        <v>10222</v>
      </c>
      <c r="D16" s="737" t="s">
        <v>10237</v>
      </c>
      <c r="E16" s="738">
        <v>160</v>
      </c>
      <c r="F16" s="739" t="str">
        <f>F15</f>
        <v>Constal</v>
      </c>
      <c r="G16" s="1">
        <f t="shared" si="0"/>
        <v>400</v>
      </c>
      <c r="I16" t="s">
        <v>10226</v>
      </c>
      <c r="J16">
        <v>60</v>
      </c>
      <c r="K16" t="s">
        <v>12565</v>
      </c>
      <c r="L16">
        <v>0.5</v>
      </c>
      <c r="N16" s="2229"/>
      <c r="O16" s="2230"/>
      <c r="P16" s="2230"/>
      <c r="Q16" s="2231"/>
      <c r="R16" s="1"/>
      <c r="X16" s="1"/>
      <c r="Y16" s="1"/>
      <c r="Z16" s="1"/>
      <c r="AA16" s="1"/>
      <c r="AB16" s="1"/>
    </row>
    <row r="17" spans="1:28" ht="14.25" customHeight="1">
      <c r="A17" s="672" t="s">
        <v>7373</v>
      </c>
      <c r="B17" s="672" t="s">
        <v>10223</v>
      </c>
      <c r="D17" s="734" t="s">
        <v>10238</v>
      </c>
      <c r="E17" s="735">
        <v>180</v>
      </c>
      <c r="F17" s="736" t="str">
        <f>'Purple Dragons'!A11</f>
        <v>Oversword</v>
      </c>
      <c r="G17" s="1">
        <f t="shared" si="0"/>
        <v>450</v>
      </c>
      <c r="I17" t="s">
        <v>12566</v>
      </c>
      <c r="J17">
        <v>60</v>
      </c>
      <c r="K17" t="s">
        <v>12567</v>
      </c>
      <c r="L17">
        <v>0.5</v>
      </c>
      <c r="N17" s="2229"/>
      <c r="O17" s="2230"/>
      <c r="P17" s="2230"/>
      <c r="Q17" s="2231"/>
      <c r="R17" s="1"/>
      <c r="X17" s="1"/>
      <c r="Y17" s="1"/>
      <c r="Z17" s="1"/>
      <c r="AA17" s="1"/>
      <c r="AB17" s="1"/>
    </row>
    <row r="18" spans="1:28" ht="14.25" customHeight="1">
      <c r="A18" s="671" t="s">
        <v>10224</v>
      </c>
      <c r="B18" s="671" t="s">
        <v>10225</v>
      </c>
      <c r="D18" s="737" t="s">
        <v>10239</v>
      </c>
      <c r="E18" s="738">
        <v>200</v>
      </c>
      <c r="F18" s="739" t="s">
        <v>11830</v>
      </c>
      <c r="G18" s="1">
        <f t="shared" si="0"/>
        <v>500</v>
      </c>
      <c r="I18" t="s">
        <v>12568</v>
      </c>
      <c r="J18">
        <v>50</v>
      </c>
      <c r="K18" t="s">
        <v>12569</v>
      </c>
      <c r="L18">
        <v>0.25</v>
      </c>
      <c r="N18" s="2232"/>
      <c r="O18" s="2233"/>
      <c r="P18" s="2233"/>
      <c r="Q18" s="2234"/>
      <c r="R18" s="1"/>
      <c r="U18" s="1"/>
      <c r="V18" s="1"/>
      <c r="W18" s="1"/>
      <c r="X18" s="1"/>
      <c r="Y18" s="1"/>
      <c r="Z18" s="1"/>
      <c r="AA18" s="1"/>
      <c r="AB18" s="1"/>
    </row>
    <row r="19" spans="1:28" ht="20.25" customHeight="1" thickBot="1">
      <c r="A19" s="672" t="s">
        <v>10226</v>
      </c>
      <c r="B19" s="672" t="s">
        <v>10227</v>
      </c>
      <c r="D19" s="661" t="s">
        <v>11317</v>
      </c>
      <c r="E19" s="662"/>
      <c r="F19" s="663"/>
      <c r="I19" t="s">
        <v>12570</v>
      </c>
      <c r="J19">
        <v>50</v>
      </c>
      <c r="K19" t="s">
        <v>12571</v>
      </c>
      <c r="L19">
        <v>0.25</v>
      </c>
      <c r="N19" s="2238" t="s">
        <v>17671</v>
      </c>
      <c r="O19" s="2239"/>
      <c r="P19" s="2239"/>
      <c r="Q19" s="2240"/>
      <c r="R19" s="1"/>
      <c r="S19" s="2236" t="s">
        <v>12267</v>
      </c>
      <c r="T19" s="2236"/>
      <c r="U19" s="2236"/>
      <c r="V19" s="2236"/>
      <c r="W19" s="1"/>
      <c r="X19" s="1"/>
      <c r="Y19" s="1"/>
      <c r="Z19" s="1"/>
      <c r="AA19" s="1"/>
      <c r="AB19" s="1"/>
    </row>
    <row r="20" spans="1:28" ht="15" customHeight="1" thickTop="1">
      <c r="A20" s="671" t="s">
        <v>10228</v>
      </c>
      <c r="B20" s="671" t="s">
        <v>10229</v>
      </c>
      <c r="I20" t="s">
        <v>12572</v>
      </c>
      <c r="J20">
        <v>30</v>
      </c>
      <c r="K20" t="s">
        <v>12573</v>
      </c>
      <c r="L20">
        <v>0.125</v>
      </c>
      <c r="N20" s="2241"/>
      <c r="O20" s="2242"/>
      <c r="P20" s="2242"/>
      <c r="Q20" s="2243"/>
      <c r="R20" s="1"/>
      <c r="S20" s="731" t="s">
        <v>11242</v>
      </c>
      <c r="T20" s="732" t="s">
        <v>11243</v>
      </c>
      <c r="U20" s="732" t="s">
        <v>1643</v>
      </c>
      <c r="V20" s="732" t="s">
        <v>12174</v>
      </c>
      <c r="W20" s="733" t="s">
        <v>8655</v>
      </c>
      <c r="X20" s="1"/>
      <c r="Y20" s="1"/>
      <c r="Z20" s="1"/>
      <c r="AA20" s="1"/>
      <c r="AB20" s="1"/>
    </row>
    <row r="21" spans="1:28" ht="14.25" customHeight="1">
      <c r="A21" s="672" t="s">
        <v>9018</v>
      </c>
      <c r="B21" s="672" t="s">
        <v>10230</v>
      </c>
      <c r="N21" s="2238" t="s">
        <v>17672</v>
      </c>
      <c r="O21" s="2239"/>
      <c r="P21" s="2239"/>
      <c r="Q21" s="2240"/>
      <c r="R21" s="1"/>
      <c r="S21" s="734" t="s">
        <v>8644</v>
      </c>
      <c r="T21" s="735" t="s">
        <v>8653</v>
      </c>
      <c r="U21" s="735">
        <v>10</v>
      </c>
      <c r="V21" s="735">
        <v>1</v>
      </c>
      <c r="W21" s="736" t="s">
        <v>11241</v>
      </c>
      <c r="X21" s="1"/>
      <c r="Y21" s="1"/>
      <c r="Z21" s="1"/>
      <c r="AA21" s="1"/>
      <c r="AB21" s="1"/>
    </row>
    <row r="22" spans="1:28" ht="15" thickBot="1">
      <c r="A22" s="673" t="s">
        <v>10231</v>
      </c>
      <c r="B22" s="673" t="s">
        <v>10232</v>
      </c>
      <c r="N22" s="2241"/>
      <c r="O22" s="2242"/>
      <c r="P22" s="2242"/>
      <c r="Q22" s="2243"/>
      <c r="R22" s="1"/>
      <c r="S22" s="737" t="s">
        <v>11237</v>
      </c>
      <c r="T22" s="738" t="s">
        <v>11238</v>
      </c>
      <c r="U22" s="738">
        <f>U21*V22+2</f>
        <v>32</v>
      </c>
      <c r="V22" s="738">
        <v>3</v>
      </c>
      <c r="W22" s="739" t="s">
        <v>12207</v>
      </c>
      <c r="X22" s="1"/>
      <c r="Y22" s="1"/>
      <c r="Z22" s="1"/>
      <c r="AA22" s="1"/>
      <c r="AB22" s="1"/>
    </row>
    <row r="23" spans="1:28">
      <c r="R23" s="1"/>
      <c r="S23" s="734" t="s">
        <v>11239</v>
      </c>
      <c r="T23" s="735" t="s">
        <v>11240</v>
      </c>
      <c r="U23" s="735">
        <f>V23*U21+3</f>
        <v>63</v>
      </c>
      <c r="V23" s="735">
        <v>6</v>
      </c>
      <c r="W23" s="736" t="s">
        <v>12208</v>
      </c>
      <c r="X23" s="1"/>
      <c r="Y23" s="1"/>
      <c r="Z23" s="1"/>
      <c r="AA23" s="1"/>
      <c r="AB23" s="1"/>
    </row>
    <row r="24" spans="1:28">
      <c r="R24" s="1"/>
      <c r="S24" s="631" t="s">
        <v>11295</v>
      </c>
      <c r="T24" s="632" t="s">
        <v>11296</v>
      </c>
      <c r="U24" s="632">
        <f>V24*U21+3</f>
        <v>73</v>
      </c>
      <c r="V24" s="632">
        <v>7</v>
      </c>
      <c r="W24" s="664" t="s">
        <v>12206</v>
      </c>
      <c r="X24" s="1"/>
      <c r="Y24" s="1"/>
      <c r="Z24" s="1"/>
      <c r="AA24" s="1"/>
      <c r="AB24" s="1"/>
    </row>
    <row r="25" spans="1:28">
      <c r="R25" s="1"/>
      <c r="W25" s="1"/>
      <c r="X25" s="1"/>
      <c r="Y25" s="1"/>
      <c r="Z25" s="1"/>
      <c r="AA25" s="1"/>
      <c r="AB25" s="1"/>
    </row>
    <row r="26" spans="1:28">
      <c r="R26" s="1"/>
      <c r="W26" s="1"/>
      <c r="X26" s="1"/>
      <c r="Y26" s="1"/>
      <c r="Z26" s="1"/>
      <c r="AA26" s="1"/>
      <c r="AB26" s="1"/>
    </row>
    <row r="27" spans="1:28">
      <c r="R27" s="1"/>
      <c r="W27" s="1"/>
      <c r="X27" s="1"/>
      <c r="Y27" s="1"/>
      <c r="Z27" s="1"/>
      <c r="AA27" s="1"/>
      <c r="AB27" s="1"/>
    </row>
    <row r="28" spans="1:28" ht="39.75" thickBot="1">
      <c r="A28" s="2224" t="s">
        <v>12265</v>
      </c>
      <c r="B28" s="2224"/>
      <c r="C28" s="2224"/>
      <c r="D28" s="2224"/>
      <c r="E28" s="2224"/>
      <c r="F28" s="2224"/>
      <c r="G28" s="2224"/>
      <c r="H28" s="2224"/>
      <c r="I28" s="2224"/>
      <c r="J28" s="2224"/>
      <c r="K28" s="2224"/>
      <c r="L28" s="1"/>
      <c r="M28" s="1"/>
      <c r="N28" s="1"/>
      <c r="O28" s="1"/>
      <c r="P28" s="2235" t="s">
        <v>12266</v>
      </c>
      <c r="Q28" s="2235"/>
      <c r="R28" s="2235"/>
      <c r="S28" s="2235"/>
      <c r="T28" s="2235"/>
      <c r="U28" s="2235"/>
      <c r="V28" s="2235"/>
      <c r="W28" s="2235"/>
      <c r="X28" s="2235"/>
      <c r="Y28" s="2235"/>
      <c r="Z28" s="2235"/>
      <c r="AA28" s="2235"/>
      <c r="AB28" s="2235"/>
    </row>
    <row r="29" spans="1:28" ht="15" thickTop="1">
      <c r="A29" t="s">
        <v>11245</v>
      </c>
      <c r="B29" t="s">
        <v>11247</v>
      </c>
      <c r="C29" t="s">
        <v>10250</v>
      </c>
      <c r="D29" t="s">
        <v>10264</v>
      </c>
      <c r="E29" t="s">
        <v>5799</v>
      </c>
      <c r="F29" t="s">
        <v>1921</v>
      </c>
      <c r="G29" t="s">
        <v>11300</v>
      </c>
      <c r="H29" t="s">
        <v>11301</v>
      </c>
      <c r="I29" t="s">
        <v>11302</v>
      </c>
      <c r="J29" s="1" t="s">
        <v>8572</v>
      </c>
      <c r="K29" s="1" t="s">
        <v>11406</v>
      </c>
      <c r="L29" s="1"/>
      <c r="M29" s="1"/>
      <c r="N29" s="1"/>
      <c r="O29" s="1"/>
      <c r="P29" s="640" t="s">
        <v>10357</v>
      </c>
      <c r="Q29" s="640"/>
      <c r="R29" s="640" t="s">
        <v>10257</v>
      </c>
      <c r="S29" s="640" t="s">
        <v>10253</v>
      </c>
      <c r="T29" s="640" t="s">
        <v>10254</v>
      </c>
      <c r="U29" s="640" t="s">
        <v>10255</v>
      </c>
      <c r="V29" s="640" t="s">
        <v>10256</v>
      </c>
      <c r="W29" s="640" t="s">
        <v>10258</v>
      </c>
      <c r="X29" s="640" t="s">
        <v>10259</v>
      </c>
      <c r="Y29" s="640" t="s">
        <v>10260</v>
      </c>
      <c r="Z29" s="640" t="s">
        <v>10261</v>
      </c>
      <c r="AA29" s="640" t="s">
        <v>12205</v>
      </c>
      <c r="AB29" s="640" t="s">
        <v>11395</v>
      </c>
    </row>
    <row r="30" spans="1:28" ht="16.5">
      <c r="A30" t="s">
        <v>10257</v>
      </c>
      <c r="B30" t="s">
        <v>10263</v>
      </c>
      <c r="C30">
        <v>350</v>
      </c>
      <c r="D30">
        <v>73</v>
      </c>
      <c r="E30">
        <f>C30+D30</f>
        <v>423</v>
      </c>
      <c r="F30" s="2" t="s">
        <v>11293</v>
      </c>
      <c r="G30">
        <v>180</v>
      </c>
      <c r="H30">
        <v>50</v>
      </c>
      <c r="I30">
        <v>7</v>
      </c>
      <c r="K30" s="1"/>
      <c r="L30" s="1"/>
      <c r="M30" s="1"/>
      <c r="N30" s="1"/>
      <c r="O30" s="1"/>
      <c r="P30" s="638" t="s">
        <v>11185</v>
      </c>
      <c r="Q30" s="638"/>
      <c r="R30" s="548"/>
      <c r="S30" s="548"/>
      <c r="T30" s="548"/>
      <c r="U30" s="548"/>
      <c r="V30" s="548"/>
      <c r="W30" s="548"/>
      <c r="X30" s="548"/>
      <c r="Y30" s="548"/>
      <c r="Z30" s="548"/>
      <c r="AA30" s="548"/>
      <c r="AB30" s="548"/>
    </row>
    <row r="31" spans="1:28">
      <c r="A31" t="s">
        <v>10253</v>
      </c>
      <c r="B31" t="s">
        <v>10263</v>
      </c>
      <c r="C31">
        <v>325</v>
      </c>
      <c r="D31">
        <v>63</v>
      </c>
      <c r="E31">
        <f t="shared" ref="E31:E38" si="1">C31+D31</f>
        <v>388</v>
      </c>
      <c r="F31" s="2" t="s">
        <v>11297</v>
      </c>
      <c r="G31">
        <v>170</v>
      </c>
      <c r="H31">
        <v>45</v>
      </c>
      <c r="I31">
        <v>6</v>
      </c>
      <c r="M31" s="1"/>
      <c r="N31" s="1"/>
      <c r="O31" s="1"/>
      <c r="P31" s="548" t="s">
        <v>10243</v>
      </c>
      <c r="Q31" s="548"/>
      <c r="R31" s="548">
        <v>1</v>
      </c>
      <c r="S31" s="548">
        <v>1</v>
      </c>
      <c r="T31" s="548">
        <v>1</v>
      </c>
      <c r="U31" s="548">
        <v>1</v>
      </c>
      <c r="V31" s="548"/>
      <c r="W31" s="548"/>
      <c r="X31" s="548"/>
      <c r="Y31" s="548"/>
      <c r="Z31" s="548"/>
      <c r="AA31" s="548">
        <v>1</v>
      </c>
      <c r="AB31" s="548">
        <v>1</v>
      </c>
    </row>
    <row r="32" spans="1:28">
      <c r="A32" t="s">
        <v>10254</v>
      </c>
      <c r="B32" t="s">
        <v>10263</v>
      </c>
      <c r="C32">
        <v>300</v>
      </c>
      <c r="D32">
        <v>63</v>
      </c>
      <c r="E32">
        <f t="shared" si="1"/>
        <v>363</v>
      </c>
      <c r="F32" s="2" t="s">
        <v>11298</v>
      </c>
      <c r="G32">
        <v>160</v>
      </c>
      <c r="H32">
        <v>45</v>
      </c>
      <c r="I32">
        <v>5</v>
      </c>
      <c r="M32" s="1"/>
      <c r="N32" s="1"/>
      <c r="O32" s="1"/>
      <c r="P32" s="548" t="s">
        <v>10244</v>
      </c>
      <c r="Q32" s="548"/>
      <c r="R32" s="548">
        <v>5</v>
      </c>
      <c r="S32" s="548">
        <v>5</v>
      </c>
      <c r="T32" s="548">
        <v>4</v>
      </c>
      <c r="U32" s="548">
        <v>4</v>
      </c>
      <c r="V32" s="548"/>
      <c r="W32" s="548"/>
      <c r="X32" s="548"/>
      <c r="Y32" s="548"/>
      <c r="Z32" s="548"/>
      <c r="AA32" s="548">
        <v>5</v>
      </c>
      <c r="AB32" s="548">
        <v>4</v>
      </c>
    </row>
    <row r="33" spans="1:28" ht="15">
      <c r="A33" t="s">
        <v>10255</v>
      </c>
      <c r="B33" t="s">
        <v>10263</v>
      </c>
      <c r="C33">
        <v>240</v>
      </c>
      <c r="D33">
        <v>32</v>
      </c>
      <c r="E33">
        <f t="shared" si="1"/>
        <v>272</v>
      </c>
      <c r="F33" s="2" t="s">
        <v>11299</v>
      </c>
      <c r="G33">
        <f>G32</f>
        <v>160</v>
      </c>
      <c r="H33">
        <v>35</v>
      </c>
      <c r="I33">
        <v>5</v>
      </c>
      <c r="P33" s="548" t="s">
        <v>10245</v>
      </c>
      <c r="Q33" s="548"/>
      <c r="R33" s="548">
        <v>9</v>
      </c>
      <c r="S33" s="548">
        <v>8</v>
      </c>
      <c r="T33" s="548">
        <v>7</v>
      </c>
      <c r="U33" s="548">
        <v>6</v>
      </c>
      <c r="V33" s="548"/>
      <c r="W33" s="548"/>
      <c r="X33" s="548"/>
      <c r="Y33" s="548"/>
      <c r="Z33" s="548"/>
      <c r="AA33" s="548">
        <v>9</v>
      </c>
      <c r="AB33" s="548">
        <v>6</v>
      </c>
    </row>
    <row r="34" spans="1:28">
      <c r="A34" t="s">
        <v>10256</v>
      </c>
      <c r="B34" t="s">
        <v>10263</v>
      </c>
      <c r="C34">
        <v>150</v>
      </c>
      <c r="D34">
        <v>32</v>
      </c>
      <c r="E34">
        <f t="shared" si="1"/>
        <v>182</v>
      </c>
      <c r="F34" s="2"/>
      <c r="G34">
        <v>130</v>
      </c>
      <c r="H34">
        <v>30</v>
      </c>
      <c r="I34">
        <v>5</v>
      </c>
      <c r="P34" s="548" t="s">
        <v>10246</v>
      </c>
      <c r="Q34" s="548"/>
      <c r="R34" s="548">
        <v>3</v>
      </c>
      <c r="S34" s="548">
        <v>2</v>
      </c>
      <c r="T34" s="548">
        <v>2</v>
      </c>
      <c r="U34" s="548">
        <v>2</v>
      </c>
      <c r="V34" s="548">
        <v>2</v>
      </c>
      <c r="W34" s="548">
        <v>1</v>
      </c>
      <c r="X34" s="548">
        <v>1</v>
      </c>
      <c r="Y34" s="548"/>
      <c r="Z34" s="548"/>
      <c r="AA34" s="548">
        <v>3</v>
      </c>
      <c r="AB34" s="548">
        <v>2</v>
      </c>
    </row>
    <row r="35" spans="1:28" ht="16.5">
      <c r="A35" t="s">
        <v>10258</v>
      </c>
      <c r="B35" t="s">
        <v>10262</v>
      </c>
      <c r="C35">
        <v>40</v>
      </c>
      <c r="D35">
        <v>11</v>
      </c>
      <c r="E35">
        <f t="shared" si="1"/>
        <v>51</v>
      </c>
      <c r="F35" s="2" t="s">
        <v>11303</v>
      </c>
      <c r="G35">
        <v>70</v>
      </c>
      <c r="H35">
        <v>20</v>
      </c>
      <c r="I35">
        <v>5</v>
      </c>
      <c r="P35" s="638" t="s">
        <v>10241</v>
      </c>
      <c r="Q35" s="638"/>
      <c r="R35" s="548"/>
      <c r="S35" s="548"/>
      <c r="T35" s="548"/>
      <c r="U35" s="548"/>
      <c r="V35" s="548"/>
      <c r="W35" s="548"/>
      <c r="X35" s="548"/>
      <c r="Y35" s="548"/>
      <c r="Z35" s="548"/>
      <c r="AA35" s="548"/>
      <c r="AB35" s="548"/>
    </row>
    <row r="36" spans="1:28">
      <c r="A36" t="s">
        <v>10259</v>
      </c>
      <c r="B36" t="s">
        <v>10262</v>
      </c>
      <c r="C36">
        <v>50</v>
      </c>
      <c r="D36">
        <v>11</v>
      </c>
      <c r="E36">
        <f t="shared" si="1"/>
        <v>61</v>
      </c>
      <c r="F36" s="2"/>
      <c r="G36">
        <v>90</v>
      </c>
      <c r="H36">
        <v>24</v>
      </c>
      <c r="I36">
        <v>2</v>
      </c>
      <c r="J36" t="s">
        <v>11304</v>
      </c>
      <c r="P36" s="548" t="s">
        <v>10212</v>
      </c>
      <c r="Q36" s="548"/>
      <c r="R36" s="548">
        <v>1</v>
      </c>
      <c r="S36" s="548">
        <v>1</v>
      </c>
      <c r="T36" s="548">
        <v>1</v>
      </c>
      <c r="U36" s="548">
        <v>1</v>
      </c>
      <c r="V36" s="548"/>
      <c r="W36" s="548"/>
      <c r="X36" s="548"/>
      <c r="Y36" s="548"/>
      <c r="Z36" s="548"/>
      <c r="AA36" s="548">
        <v>1</v>
      </c>
      <c r="AB36" s="548">
        <v>1</v>
      </c>
    </row>
    <row r="37" spans="1:28">
      <c r="A37" t="s">
        <v>10260</v>
      </c>
      <c r="B37" t="s">
        <v>10262</v>
      </c>
      <c r="C37">
        <v>90</v>
      </c>
      <c r="D37">
        <v>11</v>
      </c>
      <c r="E37">
        <f t="shared" si="1"/>
        <v>101</v>
      </c>
      <c r="F37" s="2"/>
      <c r="G37" s="1">
        <v>90</v>
      </c>
      <c r="H37" s="1">
        <v>25</v>
      </c>
      <c r="I37" s="1">
        <v>5</v>
      </c>
      <c r="J37" t="s">
        <v>11305</v>
      </c>
      <c r="P37" s="548" t="s">
        <v>10214</v>
      </c>
      <c r="Q37" s="548"/>
      <c r="R37" s="548">
        <v>2</v>
      </c>
      <c r="S37" s="548">
        <v>2</v>
      </c>
      <c r="T37" s="548">
        <v>2</v>
      </c>
      <c r="U37" s="548">
        <v>2</v>
      </c>
      <c r="V37" s="548"/>
      <c r="W37" s="548"/>
      <c r="X37" s="548"/>
      <c r="Y37" s="548"/>
      <c r="Z37" s="548"/>
      <c r="AA37" s="548">
        <v>2</v>
      </c>
      <c r="AB37" s="548">
        <v>2</v>
      </c>
    </row>
    <row r="38" spans="1:28">
      <c r="A38" t="s">
        <v>10261</v>
      </c>
      <c r="B38" t="s">
        <v>10262</v>
      </c>
      <c r="C38">
        <v>100</v>
      </c>
      <c r="D38">
        <v>22</v>
      </c>
      <c r="E38">
        <f t="shared" si="1"/>
        <v>122</v>
      </c>
      <c r="F38" s="2" t="s">
        <v>11306</v>
      </c>
      <c r="G38" s="1">
        <v>70</v>
      </c>
      <c r="H38" s="1">
        <v>20</v>
      </c>
      <c r="I38" s="1">
        <v>5</v>
      </c>
      <c r="J38" t="s">
        <v>11307</v>
      </c>
      <c r="P38" s="548" t="s">
        <v>10216</v>
      </c>
      <c r="Q38" s="548"/>
      <c r="R38" s="548">
        <v>2</v>
      </c>
      <c r="S38" s="548">
        <v>2</v>
      </c>
      <c r="T38" s="548">
        <v>2</v>
      </c>
      <c r="U38" s="548">
        <v>2</v>
      </c>
      <c r="V38" s="548"/>
      <c r="W38" s="548"/>
      <c r="X38" s="548"/>
      <c r="Y38" s="548"/>
      <c r="Z38" s="548"/>
      <c r="AA38" s="548">
        <v>2</v>
      </c>
      <c r="AB38" s="548">
        <v>2</v>
      </c>
    </row>
    <row r="39" spans="1:28">
      <c r="A39" t="s">
        <v>11395</v>
      </c>
      <c r="B39" t="s">
        <v>10263</v>
      </c>
      <c r="C39" s="1">
        <v>150</v>
      </c>
      <c r="D39" s="1">
        <v>32</v>
      </c>
      <c r="E39">
        <f>C39+D39</f>
        <v>182</v>
      </c>
      <c r="G39">
        <v>140</v>
      </c>
      <c r="H39">
        <v>30</v>
      </c>
      <c r="I39">
        <v>5</v>
      </c>
      <c r="P39" s="548" t="s">
        <v>10247</v>
      </c>
      <c r="Q39" s="548"/>
      <c r="R39" s="548">
        <v>2</v>
      </c>
      <c r="S39" s="548">
        <v>2</v>
      </c>
      <c r="T39" s="548">
        <v>2</v>
      </c>
      <c r="U39" s="548">
        <v>2</v>
      </c>
      <c r="V39" s="548"/>
      <c r="W39" s="548"/>
      <c r="X39" s="548"/>
      <c r="Y39" s="548"/>
      <c r="Z39" s="548"/>
      <c r="AA39" s="548">
        <v>2</v>
      </c>
      <c r="AB39" s="548">
        <v>2</v>
      </c>
    </row>
    <row r="40" spans="1:28">
      <c r="A40" t="s">
        <v>12205</v>
      </c>
      <c r="B40" s="1" t="s">
        <v>10263</v>
      </c>
      <c r="C40">
        <f>AA49</f>
        <v>350</v>
      </c>
      <c r="D40">
        <f>AA50</f>
        <v>63</v>
      </c>
      <c r="E40">
        <f>C40+D40</f>
        <v>413</v>
      </c>
      <c r="P40" s="548" t="s">
        <v>10219</v>
      </c>
      <c r="Q40" s="548"/>
      <c r="R40" s="548">
        <v>2</v>
      </c>
      <c r="S40" s="548">
        <v>2</v>
      </c>
      <c r="T40" s="548">
        <v>2</v>
      </c>
      <c r="U40" s="548">
        <v>2</v>
      </c>
      <c r="V40" s="548"/>
      <c r="W40" s="548"/>
      <c r="X40" s="548"/>
      <c r="Y40" s="548"/>
      <c r="Z40" s="548"/>
      <c r="AA40" s="548">
        <v>2</v>
      </c>
      <c r="AB40" s="548">
        <v>2</v>
      </c>
    </row>
    <row r="41" spans="1:28" ht="16.5">
      <c r="P41" s="638" t="s">
        <v>10242</v>
      </c>
      <c r="Q41" s="638"/>
      <c r="R41" s="548"/>
      <c r="S41" s="548"/>
      <c r="T41" s="548"/>
      <c r="U41" s="548"/>
      <c r="V41" s="548"/>
      <c r="W41" s="548"/>
      <c r="X41" s="548"/>
      <c r="Y41" s="548"/>
      <c r="Z41" s="548"/>
      <c r="AA41" s="548"/>
      <c r="AB41" s="548"/>
    </row>
    <row r="42" spans="1:28">
      <c r="P42" s="548" t="s">
        <v>10221</v>
      </c>
      <c r="Q42" s="548"/>
      <c r="R42" s="548">
        <v>2</v>
      </c>
      <c r="S42" s="548">
        <v>2</v>
      </c>
      <c r="T42" s="548">
        <v>2</v>
      </c>
      <c r="U42" s="548">
        <v>2</v>
      </c>
      <c r="V42" s="548"/>
      <c r="W42" s="548"/>
      <c r="X42" s="548"/>
      <c r="Y42" s="548"/>
      <c r="Z42" s="548"/>
      <c r="AA42" s="548">
        <v>2</v>
      </c>
      <c r="AB42" s="548">
        <v>2</v>
      </c>
    </row>
    <row r="43" spans="1:28">
      <c r="P43" s="548" t="s">
        <v>7373</v>
      </c>
      <c r="Q43" s="548"/>
      <c r="R43" s="548">
        <v>3</v>
      </c>
      <c r="S43" s="548">
        <v>2</v>
      </c>
      <c r="T43" s="548">
        <v>2</v>
      </c>
      <c r="U43" s="548">
        <v>2</v>
      </c>
      <c r="V43" s="548"/>
      <c r="W43" s="548"/>
      <c r="X43" s="548"/>
      <c r="Y43" s="548"/>
      <c r="Z43" s="548"/>
      <c r="AA43" s="548">
        <v>3</v>
      </c>
      <c r="AB43" s="548">
        <v>2</v>
      </c>
    </row>
    <row r="44" spans="1:28">
      <c r="P44" s="548" t="s">
        <v>10226</v>
      </c>
      <c r="Q44" s="548"/>
      <c r="R44" s="548">
        <v>2</v>
      </c>
      <c r="S44" s="548">
        <v>2</v>
      </c>
      <c r="T44" s="548">
        <v>2</v>
      </c>
      <c r="U44" s="548">
        <v>2</v>
      </c>
      <c r="V44" s="548"/>
      <c r="W44" s="548"/>
      <c r="X44" s="548"/>
      <c r="Y44" s="548"/>
      <c r="Z44" s="548"/>
      <c r="AA44" s="548">
        <v>2</v>
      </c>
      <c r="AB44" s="548">
        <v>2</v>
      </c>
    </row>
    <row r="45" spans="1:28">
      <c r="P45" s="548" t="s">
        <v>10228</v>
      </c>
      <c r="Q45" s="548"/>
      <c r="R45" s="548">
        <v>2</v>
      </c>
      <c r="S45" s="548">
        <v>2</v>
      </c>
      <c r="T45" s="548">
        <v>2</v>
      </c>
      <c r="U45" s="548">
        <v>2</v>
      </c>
      <c r="V45" s="548"/>
      <c r="W45" s="548"/>
      <c r="X45" s="548"/>
      <c r="Y45" s="548"/>
      <c r="Z45" s="548"/>
      <c r="AA45" s="548">
        <v>2</v>
      </c>
      <c r="AB45" s="548">
        <v>2</v>
      </c>
    </row>
    <row r="46" spans="1:28">
      <c r="P46" s="548" t="s">
        <v>9018</v>
      </c>
      <c r="Q46" s="548"/>
      <c r="R46" s="548">
        <v>2</v>
      </c>
      <c r="S46" s="548">
        <v>2</v>
      </c>
      <c r="T46" s="548">
        <v>2</v>
      </c>
      <c r="U46" s="548">
        <v>2</v>
      </c>
      <c r="V46" s="548"/>
      <c r="W46" s="548"/>
      <c r="X46" s="548"/>
      <c r="Y46" s="548"/>
      <c r="Z46" s="548"/>
      <c r="AA46" s="548">
        <v>2</v>
      </c>
      <c r="AB46" s="548">
        <v>2</v>
      </c>
    </row>
    <row r="47" spans="1:28" s="1" customFormat="1">
      <c r="P47" s="548" t="s">
        <v>10248</v>
      </c>
      <c r="Q47" s="548"/>
      <c r="R47" s="548">
        <v>62</v>
      </c>
      <c r="S47" s="548">
        <v>56</v>
      </c>
      <c r="T47" s="548">
        <v>52</v>
      </c>
      <c r="U47" s="548">
        <v>40</v>
      </c>
      <c r="V47" s="548"/>
      <c r="W47" s="548"/>
      <c r="X47" s="548"/>
      <c r="Y47" s="548"/>
      <c r="Z47" s="548"/>
      <c r="AA47" s="548">
        <v>62</v>
      </c>
      <c r="AB47" s="548">
        <v>40</v>
      </c>
    </row>
    <row r="48" spans="1:28">
      <c r="P48" s="548" t="s">
        <v>10249</v>
      </c>
      <c r="Q48" s="548"/>
      <c r="R48" s="548">
        <v>250</v>
      </c>
      <c r="S48" s="548">
        <v>234</v>
      </c>
      <c r="T48" s="548">
        <v>215</v>
      </c>
      <c r="U48" s="548">
        <v>168</v>
      </c>
      <c r="V48" s="548"/>
      <c r="W48" s="548"/>
      <c r="X48" s="548"/>
      <c r="Y48" s="548"/>
      <c r="Z48" s="548"/>
      <c r="AA48" s="548">
        <v>250</v>
      </c>
      <c r="AB48" s="548">
        <v>168</v>
      </c>
    </row>
    <row r="49" spans="2:28">
      <c r="P49" s="685" t="s">
        <v>10250</v>
      </c>
      <c r="Q49" s="685"/>
      <c r="R49" s="685">
        <f>SUM(R31:R34)+SUM(R36:R40)+SUM(R42:R48)</f>
        <v>350</v>
      </c>
      <c r="S49" s="685">
        <f t="shared" ref="S49:AA49" si="2">SUM(S31:S34)+SUM(S36:S40)+SUM(S42:S48)</f>
        <v>325</v>
      </c>
      <c r="T49" s="685">
        <f t="shared" si="2"/>
        <v>300</v>
      </c>
      <c r="U49" s="685">
        <f t="shared" si="2"/>
        <v>240</v>
      </c>
      <c r="V49" s="685">
        <f t="shared" si="2"/>
        <v>2</v>
      </c>
      <c r="W49" s="685">
        <f t="shared" si="2"/>
        <v>1</v>
      </c>
      <c r="X49" s="685">
        <f t="shared" si="2"/>
        <v>1</v>
      </c>
      <c r="Y49" s="685">
        <f t="shared" si="2"/>
        <v>0</v>
      </c>
      <c r="Z49" s="685">
        <f t="shared" si="2"/>
        <v>0</v>
      </c>
      <c r="AA49" s="685">
        <f t="shared" si="2"/>
        <v>350</v>
      </c>
      <c r="AB49" s="641">
        <f>SUM(AB31:AB34)+SUM(AB36:AB40)+SUM(AB42:AB48)</f>
        <v>240</v>
      </c>
    </row>
    <row r="50" spans="2:28">
      <c r="P50" s="687" t="s">
        <v>10251</v>
      </c>
      <c r="Q50" s="687"/>
      <c r="R50" s="687">
        <v>73</v>
      </c>
      <c r="S50" s="687">
        <v>63</v>
      </c>
      <c r="T50" s="687">
        <v>63</v>
      </c>
      <c r="U50" s="687">
        <v>32</v>
      </c>
      <c r="V50" s="687">
        <v>32</v>
      </c>
      <c r="W50" s="687">
        <v>11</v>
      </c>
      <c r="X50" s="687">
        <v>11</v>
      </c>
      <c r="Y50" s="687">
        <v>11</v>
      </c>
      <c r="Z50" s="687">
        <v>22</v>
      </c>
      <c r="AA50" s="687">
        <v>63</v>
      </c>
      <c r="AB50" s="687">
        <v>32</v>
      </c>
    </row>
    <row r="51" spans="2:28" ht="18">
      <c r="P51" s="686" t="s">
        <v>10252</v>
      </c>
      <c r="Q51" s="686"/>
      <c r="R51" s="686">
        <f>R49+R50</f>
        <v>423</v>
      </c>
      <c r="S51" s="686">
        <f t="shared" ref="S51:AA51" si="3">S49+S50</f>
        <v>388</v>
      </c>
      <c r="T51" s="686">
        <f t="shared" si="3"/>
        <v>363</v>
      </c>
      <c r="U51" s="686">
        <f t="shared" si="3"/>
        <v>272</v>
      </c>
      <c r="V51" s="686">
        <f t="shared" si="3"/>
        <v>34</v>
      </c>
      <c r="W51" s="686">
        <f t="shared" si="3"/>
        <v>12</v>
      </c>
      <c r="X51" s="686">
        <f t="shared" si="3"/>
        <v>12</v>
      </c>
      <c r="Y51" s="686">
        <f t="shared" si="3"/>
        <v>11</v>
      </c>
      <c r="Z51" s="686">
        <f t="shared" si="3"/>
        <v>22</v>
      </c>
      <c r="AA51" s="686">
        <f t="shared" si="3"/>
        <v>413</v>
      </c>
      <c r="AB51" s="686">
        <f>AB49+AB50</f>
        <v>272</v>
      </c>
    </row>
    <row r="52" spans="2:28">
      <c r="R52" s="1"/>
      <c r="S52" s="1"/>
      <c r="T52" s="1"/>
      <c r="U52" s="1"/>
      <c r="V52" s="1"/>
    </row>
    <row r="53" spans="2:28">
      <c r="R53" s="1"/>
      <c r="S53" s="1"/>
      <c r="T53" s="1"/>
      <c r="U53" s="1"/>
      <c r="V53" s="1"/>
    </row>
    <row r="54" spans="2:28">
      <c r="R54" s="1"/>
      <c r="S54" s="1"/>
      <c r="T54" s="1"/>
      <c r="U54" s="1"/>
      <c r="V54" s="1"/>
    </row>
    <row r="55" spans="2:28">
      <c r="R55" s="1"/>
      <c r="S55" s="1"/>
      <c r="T55" s="1"/>
      <c r="U55" s="1"/>
      <c r="V55" s="1"/>
    </row>
    <row r="56" spans="2:28">
      <c r="M56" s="1"/>
      <c r="N56" s="1"/>
      <c r="O56" s="1"/>
      <c r="P56" s="1"/>
      <c r="R56" s="1"/>
      <c r="S56" s="1"/>
      <c r="T56" s="1"/>
      <c r="U56" s="1"/>
      <c r="V56" s="1"/>
    </row>
    <row r="57" spans="2:28" ht="39.75" thickBot="1">
      <c r="B57" s="2235" t="s">
        <v>8746</v>
      </c>
      <c r="C57" s="2235"/>
      <c r="D57" s="2235"/>
      <c r="E57" s="2235"/>
      <c r="F57" s="2235"/>
      <c r="G57" s="2235"/>
      <c r="I57" s="2224" t="s">
        <v>12262</v>
      </c>
      <c r="J57" s="2224"/>
      <c r="K57" s="2224"/>
      <c r="L57" s="2224"/>
      <c r="M57" s="2224"/>
      <c r="N57" s="1"/>
      <c r="O57" s="1"/>
      <c r="P57" s="1"/>
      <c r="R57" s="1"/>
      <c r="S57" s="1"/>
      <c r="T57" s="1"/>
      <c r="U57" s="1"/>
      <c r="V57" s="1"/>
    </row>
    <row r="58" spans="2:28" ht="15" thickTop="1">
      <c r="B58" t="s">
        <v>721</v>
      </c>
      <c r="C58" t="s">
        <v>11245</v>
      </c>
      <c r="D58" s="1" t="s">
        <v>11246</v>
      </c>
      <c r="E58" t="s">
        <v>5608</v>
      </c>
      <c r="F58" t="s">
        <v>10284</v>
      </c>
      <c r="G58" t="s">
        <v>10285</v>
      </c>
      <c r="I58" t="s">
        <v>11248</v>
      </c>
      <c r="J58" t="s">
        <v>10236</v>
      </c>
      <c r="K58" t="s">
        <v>1921</v>
      </c>
      <c r="L58" t="s">
        <v>11407</v>
      </c>
      <c r="M58" t="s">
        <v>12203</v>
      </c>
      <c r="O58" s="1"/>
      <c r="P58" s="1"/>
      <c r="R58" s="1"/>
      <c r="S58" s="1"/>
      <c r="T58" s="1"/>
      <c r="U58" s="1"/>
      <c r="V58" s="1"/>
      <c r="W58" s="1"/>
    </row>
    <row r="59" spans="2:28">
      <c r="B59" t="s">
        <v>10265</v>
      </c>
      <c r="C59" t="s">
        <v>10257</v>
      </c>
      <c r="D59" s="1" t="s">
        <v>11396</v>
      </c>
      <c r="E59" t="s">
        <v>10267</v>
      </c>
      <c r="F59" t="s">
        <v>11397</v>
      </c>
      <c r="G59" t="s">
        <v>374</v>
      </c>
      <c r="I59" t="s">
        <v>374</v>
      </c>
      <c r="J59" t="s">
        <v>10239</v>
      </c>
      <c r="M59" t="s">
        <v>9409</v>
      </c>
      <c r="O59" s="1"/>
      <c r="P59" s="1"/>
      <c r="R59" s="1"/>
      <c r="S59" s="1"/>
      <c r="T59" s="1"/>
      <c r="U59" s="1"/>
      <c r="V59" s="1"/>
      <c r="W59" s="1"/>
    </row>
    <row r="60" spans="2:28">
      <c r="B60" t="s">
        <v>2341</v>
      </c>
      <c r="C60" t="s">
        <v>10253</v>
      </c>
      <c r="D60" s="1" t="s">
        <v>11396</v>
      </c>
      <c r="E60" t="s">
        <v>10267</v>
      </c>
      <c r="F60">
        <v>1</v>
      </c>
      <c r="G60" t="s">
        <v>374</v>
      </c>
      <c r="I60" t="s">
        <v>272</v>
      </c>
      <c r="J60" t="s">
        <v>11876</v>
      </c>
      <c r="M60" t="s">
        <v>9410</v>
      </c>
      <c r="O60" s="1"/>
      <c r="P60" s="1"/>
      <c r="R60" s="1"/>
      <c r="S60" s="1"/>
      <c r="T60" s="1"/>
      <c r="U60" s="1"/>
      <c r="V60" s="1"/>
      <c r="W60" s="1"/>
    </row>
    <row r="61" spans="2:28">
      <c r="B61" t="s">
        <v>10268</v>
      </c>
      <c r="C61" t="s">
        <v>10256</v>
      </c>
      <c r="D61" s="1" t="s">
        <v>11396</v>
      </c>
      <c r="E61" t="s">
        <v>10269</v>
      </c>
      <c r="F61">
        <v>1</v>
      </c>
      <c r="G61" t="s">
        <v>374</v>
      </c>
      <c r="I61" t="s">
        <v>77</v>
      </c>
      <c r="J61" t="s">
        <v>11876</v>
      </c>
      <c r="K61" t="s">
        <v>11325</v>
      </c>
      <c r="M61" t="s">
        <v>9411</v>
      </c>
      <c r="O61" s="1"/>
      <c r="R61" s="1"/>
      <c r="S61" s="1"/>
      <c r="T61" s="1"/>
      <c r="U61" s="1"/>
      <c r="V61" s="1"/>
      <c r="W61" s="1"/>
    </row>
    <row r="62" spans="2:28">
      <c r="B62" t="s">
        <v>10270</v>
      </c>
      <c r="C62" t="s">
        <v>11190</v>
      </c>
      <c r="D62" s="1" t="s">
        <v>11396</v>
      </c>
      <c r="E62" t="s">
        <v>10271</v>
      </c>
      <c r="F62">
        <v>1</v>
      </c>
      <c r="G62" t="s">
        <v>374</v>
      </c>
      <c r="I62" s="1" t="s">
        <v>11288</v>
      </c>
      <c r="J62" t="s">
        <v>10237</v>
      </c>
      <c r="M62" t="s">
        <v>12204</v>
      </c>
      <c r="N62" s="1"/>
      <c r="O62" s="1"/>
      <c r="R62" s="1"/>
      <c r="S62" s="1"/>
      <c r="T62" s="1"/>
      <c r="U62" s="1"/>
      <c r="V62" s="1"/>
      <c r="W62" s="1"/>
    </row>
    <row r="63" spans="2:28">
      <c r="B63" t="s">
        <v>10272</v>
      </c>
      <c r="C63" t="s">
        <v>10258</v>
      </c>
      <c r="D63" s="1" t="s">
        <v>10262</v>
      </c>
      <c r="E63" t="s">
        <v>10271</v>
      </c>
      <c r="F63">
        <v>1</v>
      </c>
      <c r="G63" t="s">
        <v>374</v>
      </c>
    </row>
    <row r="64" spans="2:28" ht="39">
      <c r="B64" t="s">
        <v>10273</v>
      </c>
      <c r="C64" t="s">
        <v>10260</v>
      </c>
      <c r="D64" s="1" t="s">
        <v>10262</v>
      </c>
      <c r="E64" t="s">
        <v>10274</v>
      </c>
      <c r="F64">
        <v>1</v>
      </c>
      <c r="G64" t="s">
        <v>374</v>
      </c>
      <c r="I64" s="2225" t="s">
        <v>12263</v>
      </c>
      <c r="J64" s="2225"/>
      <c r="K64" s="2225"/>
      <c r="L64" s="2225"/>
      <c r="M64" s="2225"/>
      <c r="N64" s="2225"/>
      <c r="P64" s="2225" t="s">
        <v>12264</v>
      </c>
      <c r="Q64" s="2225"/>
      <c r="R64" s="2225"/>
      <c r="S64" s="2225"/>
      <c r="T64" s="2225"/>
      <c r="U64" s="2225"/>
      <c r="Y64" s="635" t="s">
        <v>11308</v>
      </c>
    </row>
    <row r="65" spans="2:25">
      <c r="B65" t="s">
        <v>10275</v>
      </c>
      <c r="C65" t="s">
        <v>10254</v>
      </c>
      <c r="D65" s="1" t="s">
        <v>11396</v>
      </c>
      <c r="F65">
        <v>2</v>
      </c>
      <c r="G65" t="s">
        <v>374</v>
      </c>
      <c r="I65" s="640" t="s">
        <v>11250</v>
      </c>
      <c r="J65" s="640" t="s">
        <v>11245</v>
      </c>
      <c r="K65" s="640" t="s">
        <v>7928</v>
      </c>
      <c r="L65" s="640" t="s">
        <v>10250</v>
      </c>
      <c r="M65" s="640" t="s">
        <v>10264</v>
      </c>
      <c r="N65" s="640" t="s">
        <v>5799</v>
      </c>
      <c r="P65" s="640" t="s">
        <v>10284</v>
      </c>
      <c r="Q65" s="640" t="s">
        <v>11929</v>
      </c>
      <c r="R65" s="640" t="s">
        <v>5799</v>
      </c>
      <c r="S65" s="640" t="s">
        <v>11396</v>
      </c>
      <c r="T65" s="640" t="s">
        <v>10262</v>
      </c>
      <c r="U65" s="640" t="s">
        <v>10236</v>
      </c>
      <c r="Y65" s="635" t="s">
        <v>11309</v>
      </c>
    </row>
    <row r="66" spans="2:25">
      <c r="B66" t="s">
        <v>10276</v>
      </c>
      <c r="C66" t="s">
        <v>10256</v>
      </c>
      <c r="D66" s="1" t="s">
        <v>11396</v>
      </c>
      <c r="E66" t="s">
        <v>10274</v>
      </c>
      <c r="F66">
        <v>2</v>
      </c>
      <c r="G66" t="s">
        <v>374</v>
      </c>
      <c r="I66" s="548" t="s">
        <v>10263</v>
      </c>
      <c r="J66" s="548" t="s">
        <v>10257</v>
      </c>
      <c r="K66" s="548">
        <f>COUNTIF(Таблиця238[Ship Class],J66)</f>
        <v>1</v>
      </c>
      <c r="L66" s="548">
        <f>INDEX(Таблиця261[Total Crew],MATCH($J66,Таблиця261[Ship Class],0),1)*K66</f>
        <v>350</v>
      </c>
      <c r="M66" s="548">
        <f>INDEX(Таблиця261[Total Marines],MATCH($J66,Таблиця261[Ship Class],0),1)*K66</f>
        <v>73</v>
      </c>
      <c r="N66" s="548">
        <f t="shared" ref="N66:N72" si="4">SUM(L66:M66)</f>
        <v>423</v>
      </c>
      <c r="P66" s="641" t="s">
        <v>11397</v>
      </c>
      <c r="Q66" s="641" t="str">
        <f>B59</f>
        <v>Crown of Cormyr </v>
      </c>
      <c r="R66" s="641">
        <f>COUNTIF(Таблиця238[Squadron],P66)</f>
        <v>1</v>
      </c>
      <c r="S66" s="641">
        <f>COUNTIFS(Таблиця238[Squadron],$P66,Таблиця238[Ship Type],S$65)</f>
        <v>1</v>
      </c>
      <c r="T66" s="641">
        <f>COUNTIFS(Таблиця238[Squadron],$P66,Таблиця238[Ship Type],T$65)</f>
        <v>0</v>
      </c>
      <c r="U66" s="641"/>
      <c r="Y66" s="635" t="s">
        <v>11310</v>
      </c>
    </row>
    <row r="67" spans="2:25">
      <c r="B67" t="s">
        <v>10277</v>
      </c>
      <c r="C67" t="s">
        <v>11191</v>
      </c>
      <c r="D67" s="1" t="s">
        <v>10262</v>
      </c>
      <c r="E67" t="s">
        <v>10267</v>
      </c>
      <c r="F67">
        <v>2</v>
      </c>
      <c r="G67" t="s">
        <v>374</v>
      </c>
      <c r="I67" s="548" t="s">
        <v>10263</v>
      </c>
      <c r="J67" s="548" t="s">
        <v>10253</v>
      </c>
      <c r="K67" s="548">
        <f>COUNTIF(Таблиця238[Ship Class],J67)</f>
        <v>2</v>
      </c>
      <c r="L67" s="548">
        <f>INDEX(Таблиця261[Total Crew],MATCH($J67,Таблиця261[Ship Class],0),1)*K67</f>
        <v>650</v>
      </c>
      <c r="M67" s="548">
        <f>INDEX(Таблиця261[Total Marines],MATCH($J67,Таблиця261[Ship Class],0),1)*K67</f>
        <v>126</v>
      </c>
      <c r="N67" s="548">
        <f t="shared" si="4"/>
        <v>776</v>
      </c>
      <c r="P67" s="548">
        <v>1</v>
      </c>
      <c r="Q67" s="688" t="str">
        <f>B60</f>
        <v>Dragon</v>
      </c>
      <c r="R67" s="548">
        <f>COUNTIF(Таблиця238[Squadron],P67)</f>
        <v>5</v>
      </c>
      <c r="S67" s="548">
        <f>COUNTIFS(Таблиця238[Squadron],$P67,Таблиця238[Ship Type],S$65)</f>
        <v>3</v>
      </c>
      <c r="T67" s="548">
        <f>COUNTIFS(Таблиця238[Squadron],$P67,Таблиця238[Ship Type],T$65)</f>
        <v>2</v>
      </c>
      <c r="U67" s="548"/>
      <c r="Y67" s="643" t="s">
        <v>11311</v>
      </c>
    </row>
    <row r="68" spans="2:25">
      <c r="B68" t="s">
        <v>10278</v>
      </c>
      <c r="C68" t="s">
        <v>11191</v>
      </c>
      <c r="D68" s="1" t="s">
        <v>10262</v>
      </c>
      <c r="E68" t="s">
        <v>10274</v>
      </c>
      <c r="F68">
        <v>2</v>
      </c>
      <c r="G68" t="s">
        <v>374</v>
      </c>
      <c r="I68" s="548" t="s">
        <v>10263</v>
      </c>
      <c r="J68" s="548" t="s">
        <v>10254</v>
      </c>
      <c r="K68" s="548">
        <f>COUNTIF(Таблиця238[Ship Class],J68)</f>
        <v>8</v>
      </c>
      <c r="L68" s="548">
        <f>INDEX(Таблиця261[Total Crew],MATCH($J68,Таблиця261[Ship Class],0),1)*K68</f>
        <v>2400</v>
      </c>
      <c r="M68" s="548">
        <f>INDEX(Таблиця261[Total Marines],MATCH($J68,Таблиця261[Ship Class],0),1)*K68</f>
        <v>504</v>
      </c>
      <c r="N68" s="548">
        <f t="shared" si="4"/>
        <v>2904</v>
      </c>
      <c r="P68" s="548">
        <v>2</v>
      </c>
      <c r="Q68" s="688" t="str">
        <f>B65</f>
        <v>Triumphant†</v>
      </c>
      <c r="R68" s="548">
        <f>COUNTIF(Таблиця238[Squadron],P68)</f>
        <v>4</v>
      </c>
      <c r="S68" s="548">
        <f>COUNTIFS(Таблиця238[Squadron],$P68,Таблиця238[Ship Type],S$65)</f>
        <v>2</v>
      </c>
      <c r="T68" s="548">
        <f>COUNTIFS(Таблиця238[Squadron],$P68,Таблиця238[Ship Type],T$65)</f>
        <v>2</v>
      </c>
      <c r="U68" s="548"/>
      <c r="Y68" t="s">
        <v>11312</v>
      </c>
    </row>
    <row r="69" spans="2:25">
      <c r="B69" t="s">
        <v>10279</v>
      </c>
      <c r="C69" t="s">
        <v>10256</v>
      </c>
      <c r="D69" s="1" t="s">
        <v>11396</v>
      </c>
      <c r="F69">
        <v>3</v>
      </c>
      <c r="G69" t="s">
        <v>374</v>
      </c>
      <c r="I69" s="548" t="s">
        <v>10263</v>
      </c>
      <c r="J69" s="548" t="s">
        <v>10255</v>
      </c>
      <c r="K69" s="548">
        <f>COUNTIF(Таблиця238[Ship Class],J69)</f>
        <v>2</v>
      </c>
      <c r="L69" s="548">
        <f>INDEX(Таблиця261[Total Crew],MATCH($J69,Таблиця261[Ship Class],0),1)*K69</f>
        <v>480</v>
      </c>
      <c r="M69" s="548">
        <f>INDEX(Таблиця261[Total Marines],MATCH($J69,Таблиця261[Ship Class],0),1)*K69</f>
        <v>64</v>
      </c>
      <c r="N69" s="548">
        <f t="shared" si="4"/>
        <v>544</v>
      </c>
      <c r="P69" s="548">
        <v>3</v>
      </c>
      <c r="Q69" s="688" t="str">
        <f>Таблиця238[[#This Row],[Name]]</f>
        <v>Iliphar's Legacy†</v>
      </c>
      <c r="R69" s="548">
        <f>COUNTIF(Таблиця238[Squadron],P69)</f>
        <v>4</v>
      </c>
      <c r="S69" s="548">
        <f>COUNTIFS(Таблиця238[Squadron],$P69,Таблиця238[Ship Type],S$65)</f>
        <v>2</v>
      </c>
      <c r="T69" s="548">
        <f>COUNTIFS(Таблиця238[Squadron],$P69,Таблиця238[Ship Type],T$65)</f>
        <v>2</v>
      </c>
      <c r="U69" s="548"/>
      <c r="Y69" s="1" t="s">
        <v>11314</v>
      </c>
    </row>
    <row r="70" spans="2:25">
      <c r="B70" t="s">
        <v>10280</v>
      </c>
      <c r="C70" t="s">
        <v>10256</v>
      </c>
      <c r="D70" s="1" t="s">
        <v>11396</v>
      </c>
      <c r="E70" t="s">
        <v>10281</v>
      </c>
      <c r="F70">
        <v>3</v>
      </c>
      <c r="G70" t="s">
        <v>374</v>
      </c>
      <c r="I70" s="548" t="s">
        <v>10263</v>
      </c>
      <c r="J70" s="548" t="s">
        <v>10256</v>
      </c>
      <c r="K70" s="548">
        <f>COUNTIF(Таблиця238[Ship Class],J70)</f>
        <v>8</v>
      </c>
      <c r="L70" s="548">
        <f>INDEX(Таблиця261[Total Crew],MATCH($J70,Таблиця261[Ship Class],0),1)*K70</f>
        <v>1200</v>
      </c>
      <c r="M70" s="548">
        <f>INDEX(Таблиця261[Total Marines],MATCH($J70,Таблиця261[Ship Class],0),1)*K70</f>
        <v>256</v>
      </c>
      <c r="N70" s="548">
        <f t="shared" si="4"/>
        <v>1456</v>
      </c>
      <c r="P70" s="641" t="s">
        <v>11402</v>
      </c>
      <c r="Q70" s="685" t="str">
        <f>Q67</f>
        <v>Dragon</v>
      </c>
      <c r="R70" s="641">
        <f>SUM(R66:R69)</f>
        <v>14</v>
      </c>
      <c r="S70" s="641">
        <f>SUM(S66:S69)</f>
        <v>8</v>
      </c>
      <c r="T70" s="641">
        <f>SUM(T66:T69)</f>
        <v>6</v>
      </c>
      <c r="U70" s="641"/>
      <c r="Y70" t="s">
        <v>11313</v>
      </c>
    </row>
    <row r="71" spans="2:25" ht="15">
      <c r="B71" t="s">
        <v>10282</v>
      </c>
      <c r="C71" s="1" t="s">
        <v>11191</v>
      </c>
      <c r="D71" s="1" t="s">
        <v>10262</v>
      </c>
      <c r="E71" t="s">
        <v>10266</v>
      </c>
      <c r="F71">
        <v>3</v>
      </c>
      <c r="G71" t="s">
        <v>374</v>
      </c>
      <c r="I71" s="670" t="s">
        <v>10263</v>
      </c>
      <c r="J71" s="593" t="s">
        <v>12205</v>
      </c>
      <c r="K71" s="548">
        <f>COUNTIF(Таблиця238[Ship Class],J71)</f>
        <v>1</v>
      </c>
      <c r="L71" s="548">
        <f>INDEX(Таблиця261[Total Crew],MATCH($J71,Таблиця261[Ship Class],0),1)*K71</f>
        <v>350</v>
      </c>
      <c r="M71" s="548">
        <f>INDEX(Таблиця261[Total Marines],MATCH($J71,Таблиця261[Ship Class],0),1)*K71</f>
        <v>63</v>
      </c>
      <c r="N71" s="548">
        <f t="shared" si="4"/>
        <v>413</v>
      </c>
      <c r="P71" s="548">
        <v>4</v>
      </c>
      <c r="Q71" s="688" t="str">
        <f>B73</f>
        <v>Morningstar,</v>
      </c>
      <c r="R71" s="548">
        <f>COUNTIF(Таблиця238[Squadron],P71)</f>
        <v>9</v>
      </c>
      <c r="S71" s="548">
        <f>COUNTIFS(Таблиця238[Squadron],$P71,Таблиця238[Ship Type],S$65)</f>
        <v>4</v>
      </c>
      <c r="T71" s="548">
        <f>COUNTIFS(Таблиця238[Squadron],$P71,Таблиця238[Ship Type],T$65)</f>
        <v>5</v>
      </c>
      <c r="U71" s="548"/>
      <c r="Y71" s="644" t="s">
        <v>11315</v>
      </c>
    </row>
    <row r="72" spans="2:25">
      <c r="B72" t="s">
        <v>10283</v>
      </c>
      <c r="C72" s="1" t="s">
        <v>11191</v>
      </c>
      <c r="D72" s="1" t="s">
        <v>10262</v>
      </c>
      <c r="E72" t="s">
        <v>10274</v>
      </c>
      <c r="F72">
        <v>3</v>
      </c>
      <c r="G72" t="s">
        <v>374</v>
      </c>
      <c r="I72" s="548" t="s">
        <v>10263</v>
      </c>
      <c r="J72" s="648" t="s">
        <v>11395</v>
      </c>
      <c r="K72" s="548">
        <f>COUNTIF(Таблиця238[Ship Class],J72)</f>
        <v>5</v>
      </c>
      <c r="L72" s="548">
        <f>INDEX(Таблиця261[Total Crew],MATCH($J72,Таблиця261[Ship Class],0),1)*K72</f>
        <v>750</v>
      </c>
      <c r="M72" s="548">
        <f>INDEX(Таблиця261[Total Marines],MATCH($J72,Таблиця261[Ship Class],0),1)*K72</f>
        <v>160</v>
      </c>
      <c r="N72" s="548">
        <f t="shared" si="4"/>
        <v>910</v>
      </c>
      <c r="P72" s="548">
        <v>5</v>
      </c>
      <c r="Q72" s="688" t="str">
        <f>B77</f>
        <v>Palaghard's Banner,</v>
      </c>
      <c r="R72" s="548">
        <f>COUNTIF(Таблиця238[Squadron],P72)</f>
        <v>8</v>
      </c>
      <c r="S72" s="548">
        <f>COUNTIFS(Таблиця238[Squadron],$P72,Таблиця238[Ship Type],S$65)</f>
        <v>3</v>
      </c>
      <c r="T72" s="548">
        <f>COUNTIFS(Таблиця238[Squadron],$P72,Таблиця238[Ship Type],T$65)</f>
        <v>5</v>
      </c>
      <c r="U72" s="548"/>
      <c r="Y72" t="s">
        <v>11316</v>
      </c>
    </row>
    <row r="73" spans="2:25">
      <c r="B73" t="s">
        <v>10286</v>
      </c>
      <c r="C73" s="1" t="s">
        <v>10254</v>
      </c>
      <c r="D73" s="1" t="s">
        <v>11396</v>
      </c>
      <c r="E73" t="s">
        <v>10271</v>
      </c>
      <c r="F73">
        <v>4</v>
      </c>
      <c r="G73" t="s">
        <v>272</v>
      </c>
      <c r="I73" s="641" t="s">
        <v>10263</v>
      </c>
      <c r="J73" s="641" t="s">
        <v>5799</v>
      </c>
      <c r="K73" s="641">
        <f>SUM(K66:K72)</f>
        <v>27</v>
      </c>
      <c r="L73" s="641">
        <f>SUM(L66:L70)</f>
        <v>5080</v>
      </c>
      <c r="M73" s="641">
        <f>SUM(M66:M70)</f>
        <v>1023</v>
      </c>
      <c r="N73" s="641">
        <f>SUM(N66:N70)</f>
        <v>6103</v>
      </c>
      <c r="P73" s="637" t="s">
        <v>10300</v>
      </c>
      <c r="Q73" s="688" t="str">
        <f>B81</f>
        <v>Ansiber's Wrath,</v>
      </c>
      <c r="R73" s="548">
        <f>COUNTIF(Таблиця238[Squadron],P73)</f>
        <v>4</v>
      </c>
      <c r="S73" s="548">
        <f>COUNTIFS(Таблиця238[Squadron],$P73,Таблиця238[Ship Type],S$65)</f>
        <v>0</v>
      </c>
      <c r="T73" s="548">
        <f>COUNTIFS(Таблиця238[Squadron],$P73,Таблиця238[Ship Type],T$65)</f>
        <v>4</v>
      </c>
      <c r="U73" s="548"/>
      <c r="Y73" s="1" t="s">
        <v>11318</v>
      </c>
    </row>
    <row r="74" spans="2:25">
      <c r="B74" t="s">
        <v>10287</v>
      </c>
      <c r="C74" s="1" t="s">
        <v>10254</v>
      </c>
      <c r="D74" s="1" t="s">
        <v>11396</v>
      </c>
      <c r="E74" t="s">
        <v>10274</v>
      </c>
      <c r="F74">
        <v>4</v>
      </c>
      <c r="G74" t="s">
        <v>272</v>
      </c>
      <c r="I74" s="548" t="s">
        <v>10262</v>
      </c>
      <c r="J74" s="548" t="s">
        <v>10258</v>
      </c>
      <c r="K74" s="548">
        <f>COUNTIF(Таблиця238[Ship Class],J74)</f>
        <v>13</v>
      </c>
      <c r="L74" s="548">
        <f>INDEX(Таблиця261[Total Crew],MATCH($J74,Таблиця261[Ship Class],0),1)*K74</f>
        <v>520</v>
      </c>
      <c r="M74" s="548">
        <f>INDEX(Таблиця261[Total Marines],MATCH($J74,Таблиця261[Ship Class],0),1)*K74</f>
        <v>143</v>
      </c>
      <c r="N74" s="548">
        <f>SUM(L74:M74)</f>
        <v>663</v>
      </c>
      <c r="P74" s="641" t="s">
        <v>11403</v>
      </c>
      <c r="Q74" s="685" t="str">
        <f>Q71</f>
        <v>Morningstar,</v>
      </c>
      <c r="R74" s="641">
        <f>SUM(R71:R73)</f>
        <v>21</v>
      </c>
      <c r="S74" s="641">
        <f>SUM(S71:S73)</f>
        <v>7</v>
      </c>
      <c r="T74" s="641">
        <f>SUM(T71:T73)</f>
        <v>14</v>
      </c>
      <c r="U74" s="641"/>
      <c r="Y74" t="s">
        <v>11319</v>
      </c>
    </row>
    <row r="75" spans="2:25">
      <c r="B75" t="s">
        <v>10288</v>
      </c>
      <c r="C75" s="1" t="s">
        <v>10258</v>
      </c>
      <c r="D75" s="1" t="s">
        <v>10262</v>
      </c>
      <c r="E75" t="s">
        <v>10289</v>
      </c>
      <c r="F75">
        <v>4</v>
      </c>
      <c r="G75" t="s">
        <v>272</v>
      </c>
      <c r="I75" s="548" t="s">
        <v>10262</v>
      </c>
      <c r="J75" s="548" t="s">
        <v>10259</v>
      </c>
      <c r="K75" s="548">
        <f>COUNTIF(Таблиця238[Ship Class],J75)</f>
        <v>6</v>
      </c>
      <c r="L75" s="548">
        <f>INDEX(Таблиця261[Total Crew],MATCH($J75,Таблиця261[Ship Class],0),1)*K75</f>
        <v>300</v>
      </c>
      <c r="M75" s="548">
        <f>INDEX(Таблиця261[Total Marines],MATCH($J75,Таблиця261[Ship Class],0),1)*K75</f>
        <v>66</v>
      </c>
      <c r="N75" s="548">
        <f>SUM(L75:M75)</f>
        <v>366</v>
      </c>
      <c r="P75" s="548">
        <v>6</v>
      </c>
      <c r="Q75" s="688">
        <f>B87</f>
        <v>0</v>
      </c>
      <c r="R75" s="548">
        <f>COUNTIF(Таблиця238[Squadron],P75)</f>
        <v>8</v>
      </c>
      <c r="S75" s="548">
        <f>COUNTIFS(Таблиця238[Squadron],$P75,Таблиця238[Ship Type],S$65)</f>
        <v>5</v>
      </c>
      <c r="T75" s="548">
        <f>COUNTIFS(Таблиця238[Squadron],$P75,Таблиця238[Ship Type],T$65)</f>
        <v>3</v>
      </c>
      <c r="U75" s="548"/>
      <c r="Y75" t="s">
        <v>11320</v>
      </c>
    </row>
    <row r="76" spans="2:25">
      <c r="B76" t="s">
        <v>11400</v>
      </c>
      <c r="C76" t="s">
        <v>10260</v>
      </c>
      <c r="D76" s="1" t="s">
        <v>10262</v>
      </c>
      <c r="E76" t="s">
        <v>10271</v>
      </c>
      <c r="F76">
        <v>4</v>
      </c>
      <c r="G76" t="s">
        <v>272</v>
      </c>
      <c r="I76" s="548" t="s">
        <v>10262</v>
      </c>
      <c r="J76" s="548" t="s">
        <v>10260</v>
      </c>
      <c r="K76" s="548">
        <f>COUNTIF(Таблиця238[Ship Class],J76)</f>
        <v>11</v>
      </c>
      <c r="L76" s="548">
        <f>INDEX(Таблиця261[Total Crew],MATCH($J76,Таблиця261[Ship Class],0),1)*K76</f>
        <v>990</v>
      </c>
      <c r="M76" s="548">
        <f>INDEX(Таблиця261[Total Marines],MATCH($J76,Таблиця261[Ship Class],0),1)*K76</f>
        <v>121</v>
      </c>
      <c r="N76" s="548">
        <f>SUM(L76:M76)</f>
        <v>1111</v>
      </c>
      <c r="P76" s="548">
        <v>7</v>
      </c>
      <c r="Q76" s="688" t="str">
        <f>B95</f>
        <v>New Tilverton's Anger</v>
      </c>
      <c r="R76" s="548">
        <f>COUNTIF(Таблиця238[Squadron],P76)</f>
        <v>8</v>
      </c>
      <c r="S76" s="548">
        <f>COUNTIFS(Таблиця238[Squadron],$P76,Таблиця238[Ship Type],S$65)</f>
        <v>4</v>
      </c>
      <c r="T76" s="548">
        <f>COUNTIFS(Таблиця238[Squadron],$P76,Таблиця238[Ship Type],T$65)</f>
        <v>4</v>
      </c>
      <c r="U76" s="548"/>
      <c r="Y76" t="s">
        <v>11321</v>
      </c>
    </row>
    <row r="77" spans="2:25">
      <c r="B77" t="s">
        <v>10290</v>
      </c>
      <c r="C77" s="1" t="s">
        <v>10254</v>
      </c>
      <c r="D77" s="1" t="s">
        <v>11396</v>
      </c>
      <c r="E77" t="s">
        <v>10274</v>
      </c>
      <c r="F77">
        <v>5</v>
      </c>
      <c r="G77" t="s">
        <v>272</v>
      </c>
      <c r="I77" s="548" t="s">
        <v>10262</v>
      </c>
      <c r="J77" s="548" t="s">
        <v>10261</v>
      </c>
      <c r="K77" s="548">
        <f>COUNTIF(Таблиця238[Ship Class],J77)</f>
        <v>4</v>
      </c>
      <c r="L77" s="548">
        <f>INDEX(Таблиця261[Total Crew],MATCH($J77,Таблиця261[Ship Class],0),1)*K77</f>
        <v>400</v>
      </c>
      <c r="M77" s="548">
        <f>INDEX(Таблиця261[Total Marines],MATCH($J77,Таблиця261[Ship Class],0),1)*K77</f>
        <v>88</v>
      </c>
      <c r="N77" s="548">
        <f>SUM(L77:M77)</f>
        <v>488</v>
      </c>
      <c r="P77" s="641" t="s">
        <v>11404</v>
      </c>
      <c r="Q77" s="685" t="str">
        <f>Q76</f>
        <v>New Tilverton's Anger</v>
      </c>
      <c r="R77" s="641">
        <f>SUM(R75:R76)</f>
        <v>16</v>
      </c>
      <c r="S77" s="641">
        <f>SUM(S75:S76)</f>
        <v>9</v>
      </c>
      <c r="T77" s="641">
        <f>SUM(T75:T76)</f>
        <v>7</v>
      </c>
      <c r="U77" s="641" t="s">
        <v>11930</v>
      </c>
      <c r="Y77" t="s">
        <v>11322</v>
      </c>
    </row>
    <row r="78" spans="2:25">
      <c r="B78" t="s">
        <v>11401</v>
      </c>
      <c r="C78" s="1" t="s">
        <v>10254</v>
      </c>
      <c r="D78" s="1" t="s">
        <v>11396</v>
      </c>
      <c r="E78" t="s">
        <v>10274</v>
      </c>
      <c r="F78">
        <v>5</v>
      </c>
      <c r="G78" t="s">
        <v>272</v>
      </c>
      <c r="I78" s="641" t="s">
        <v>10262</v>
      </c>
      <c r="J78" s="641" t="s">
        <v>5799</v>
      </c>
      <c r="K78" s="641">
        <f>SUM(K74:K77)</f>
        <v>34</v>
      </c>
      <c r="L78" s="641">
        <f>SUM(L74:L77)</f>
        <v>2210</v>
      </c>
      <c r="M78" s="641">
        <f>SUM(M74:M77)</f>
        <v>418</v>
      </c>
      <c r="N78" s="641">
        <f>SUM(N74:N77)</f>
        <v>2628</v>
      </c>
      <c r="P78" s="548">
        <v>8</v>
      </c>
      <c r="Q78" s="688">
        <f>B87</f>
        <v>0</v>
      </c>
      <c r="R78" s="548">
        <f>COUNTIF(Таблиця238[Squadron],P78)</f>
        <v>10</v>
      </c>
      <c r="S78" s="548">
        <f>COUNTIFS(Таблиця238[Squadron],$P78,Таблиця238[Ship Type],S$65)</f>
        <v>3</v>
      </c>
      <c r="T78" s="548">
        <f>COUNTIFS(Таблиця238[Squadron],$P78,Таблиця238[Ship Type],T$65)</f>
        <v>7</v>
      </c>
      <c r="U78" s="548"/>
      <c r="Y78" t="s">
        <v>11323</v>
      </c>
    </row>
    <row r="79" spans="2:25" ht="18">
      <c r="B79" t="s">
        <v>10291</v>
      </c>
      <c r="C79" s="1" t="s">
        <v>10258</v>
      </c>
      <c r="D79" s="1" t="s">
        <v>10262</v>
      </c>
      <c r="E79" t="s">
        <v>10292</v>
      </c>
      <c r="F79">
        <v>5</v>
      </c>
      <c r="G79" t="s">
        <v>272</v>
      </c>
      <c r="I79" s="686" t="s">
        <v>11249</v>
      </c>
      <c r="J79" s="686"/>
      <c r="K79" s="686">
        <f>K73+K78</f>
        <v>61</v>
      </c>
      <c r="L79" s="686">
        <f>L73+L78</f>
        <v>7290</v>
      </c>
      <c r="M79" s="686">
        <f>M73+M78</f>
        <v>1441</v>
      </c>
      <c r="N79" s="686">
        <f>N73+N78</f>
        <v>8731</v>
      </c>
      <c r="P79" s="641" t="s">
        <v>11405</v>
      </c>
      <c r="Q79" s="685">
        <f>B97</f>
        <v>0</v>
      </c>
      <c r="R79" s="641">
        <f>SUM(R78)</f>
        <v>10</v>
      </c>
      <c r="S79" s="641">
        <f>SUM(S78)</f>
        <v>3</v>
      </c>
      <c r="T79" s="641">
        <f>SUM(T78)</f>
        <v>7</v>
      </c>
      <c r="U79" s="641" t="s">
        <v>2315</v>
      </c>
      <c r="Y79" t="s">
        <v>11324</v>
      </c>
    </row>
    <row r="80" spans="2:25" ht="18">
      <c r="B80" t="s">
        <v>10293</v>
      </c>
      <c r="C80" s="1" t="s">
        <v>11191</v>
      </c>
      <c r="D80" s="1" t="s">
        <v>10262</v>
      </c>
      <c r="E80" t="s">
        <v>10274</v>
      </c>
      <c r="F80">
        <v>5</v>
      </c>
      <c r="G80" t="s">
        <v>272</v>
      </c>
      <c r="I80" s="2"/>
      <c r="J80" s="2"/>
      <c r="P80" s="686" t="s">
        <v>5799</v>
      </c>
      <c r="Q80" s="686"/>
      <c r="R80" s="686">
        <f>R70+R74+R77+R79</f>
        <v>61</v>
      </c>
      <c r="S80" s="686">
        <f>S70+S74+S77+S79</f>
        <v>27</v>
      </c>
      <c r="T80" s="686">
        <f>T70+T74+T77+T79</f>
        <v>34</v>
      </c>
      <c r="U80" s="686"/>
      <c r="Y80" t="s">
        <v>11326</v>
      </c>
    </row>
    <row r="81" spans="2:25">
      <c r="B81" t="s">
        <v>10294</v>
      </c>
      <c r="C81" t="s">
        <v>11192</v>
      </c>
      <c r="D81" s="1" t="s">
        <v>10262</v>
      </c>
      <c r="E81" t="s">
        <v>10289</v>
      </c>
      <c r="F81" t="s">
        <v>10300</v>
      </c>
      <c r="G81" t="s">
        <v>272</v>
      </c>
      <c r="I81" s="647" t="s">
        <v>12188</v>
      </c>
      <c r="J81" s="647" t="s">
        <v>12189</v>
      </c>
      <c r="Y81" t="s">
        <v>11327</v>
      </c>
    </row>
    <row r="82" spans="2:25">
      <c r="B82" t="s">
        <v>10295</v>
      </c>
      <c r="C82" s="1" t="s">
        <v>11192</v>
      </c>
      <c r="D82" s="1" t="s">
        <v>10262</v>
      </c>
      <c r="E82" t="s">
        <v>10296</v>
      </c>
      <c r="F82" t="s">
        <v>10300</v>
      </c>
      <c r="G82" t="s">
        <v>272</v>
      </c>
      <c r="I82" s="647" t="s">
        <v>12190</v>
      </c>
      <c r="J82" s="647" t="s">
        <v>12191</v>
      </c>
      <c r="Y82" s="2" t="s">
        <v>11328</v>
      </c>
    </row>
    <row r="83" spans="2:25">
      <c r="B83" t="s">
        <v>10297</v>
      </c>
      <c r="C83" s="1" t="s">
        <v>11192</v>
      </c>
      <c r="D83" s="1" t="s">
        <v>10262</v>
      </c>
      <c r="E83" t="s">
        <v>10298</v>
      </c>
      <c r="F83" t="s">
        <v>10300</v>
      </c>
      <c r="G83" t="s">
        <v>272</v>
      </c>
      <c r="I83" s="647" t="s">
        <v>12138</v>
      </c>
      <c r="J83" s="647" t="s">
        <v>12192</v>
      </c>
    </row>
    <row r="84" spans="2:25">
      <c r="B84" t="s">
        <v>10299</v>
      </c>
      <c r="C84" s="1" t="s">
        <v>11192</v>
      </c>
      <c r="D84" s="1" t="s">
        <v>10262</v>
      </c>
      <c r="F84" t="s">
        <v>10300</v>
      </c>
      <c r="G84" t="s">
        <v>272</v>
      </c>
      <c r="I84" s="647"/>
      <c r="J84" s="647"/>
    </row>
    <row r="85" spans="2:25">
      <c r="B85" t="s">
        <v>11188</v>
      </c>
      <c r="C85" s="1" t="s">
        <v>10258</v>
      </c>
      <c r="D85" s="1" t="s">
        <v>10262</v>
      </c>
      <c r="F85">
        <v>4</v>
      </c>
      <c r="G85" t="s">
        <v>272</v>
      </c>
      <c r="I85" s="647"/>
      <c r="J85" s="647"/>
    </row>
    <row r="86" spans="2:25">
      <c r="B86" t="s">
        <v>11189</v>
      </c>
      <c r="C86" s="1" t="s">
        <v>10258</v>
      </c>
      <c r="D86" s="1" t="s">
        <v>10262</v>
      </c>
      <c r="F86">
        <v>5</v>
      </c>
      <c r="G86" t="s">
        <v>272</v>
      </c>
      <c r="I86" s="647"/>
      <c r="J86" s="647"/>
    </row>
    <row r="87" spans="2:25">
      <c r="C87" s="1" t="s">
        <v>10253</v>
      </c>
      <c r="D87" s="1" t="s">
        <v>11396</v>
      </c>
      <c r="F87">
        <v>6</v>
      </c>
      <c r="G87" t="s">
        <v>77</v>
      </c>
    </row>
    <row r="88" spans="2:25">
      <c r="C88" s="1" t="s">
        <v>10254</v>
      </c>
      <c r="D88" s="1" t="s">
        <v>11396</v>
      </c>
      <c r="F88">
        <v>6</v>
      </c>
      <c r="G88" t="s">
        <v>77</v>
      </c>
    </row>
    <row r="89" spans="2:25">
      <c r="C89" t="s">
        <v>11395</v>
      </c>
      <c r="D89" s="1" t="s">
        <v>11396</v>
      </c>
      <c r="F89">
        <v>6</v>
      </c>
      <c r="G89" t="s">
        <v>77</v>
      </c>
    </row>
    <row r="90" spans="2:25">
      <c r="C90" s="1" t="s">
        <v>11395</v>
      </c>
      <c r="D90" s="1" t="s">
        <v>11396</v>
      </c>
      <c r="F90">
        <v>6</v>
      </c>
      <c r="G90" s="1" t="s">
        <v>77</v>
      </c>
    </row>
    <row r="91" spans="2:25">
      <c r="C91" s="1" t="s">
        <v>10258</v>
      </c>
      <c r="D91" s="1" t="s">
        <v>10262</v>
      </c>
      <c r="F91">
        <v>6</v>
      </c>
      <c r="G91" s="1" t="s">
        <v>77</v>
      </c>
    </row>
    <row r="92" spans="2:25">
      <c r="C92" s="1" t="s">
        <v>10258</v>
      </c>
      <c r="D92" s="1" t="s">
        <v>10262</v>
      </c>
      <c r="F92">
        <v>7</v>
      </c>
      <c r="G92" s="1" t="s">
        <v>77</v>
      </c>
    </row>
    <row r="93" spans="2:25">
      <c r="B93" t="s">
        <v>11398</v>
      </c>
      <c r="C93" s="1" t="s">
        <v>11191</v>
      </c>
      <c r="D93" s="1" t="s">
        <v>10262</v>
      </c>
      <c r="F93">
        <v>7</v>
      </c>
      <c r="G93" s="1" t="s">
        <v>77</v>
      </c>
    </row>
    <row r="94" spans="2:25">
      <c r="C94" s="1" t="s">
        <v>11190</v>
      </c>
      <c r="D94" s="1" t="s">
        <v>11396</v>
      </c>
      <c r="F94" s="1">
        <v>7</v>
      </c>
      <c r="G94" s="1" t="s">
        <v>77</v>
      </c>
    </row>
    <row r="95" spans="2:25">
      <c r="B95" t="s">
        <v>11399</v>
      </c>
      <c r="C95" s="1" t="s">
        <v>11395</v>
      </c>
      <c r="D95" s="1" t="s">
        <v>11396</v>
      </c>
      <c r="F95" s="1">
        <v>7</v>
      </c>
      <c r="G95" s="1" t="s">
        <v>77</v>
      </c>
    </row>
    <row r="96" spans="2:25">
      <c r="C96" s="1" t="s">
        <v>11395</v>
      </c>
      <c r="D96" s="1" t="s">
        <v>11396</v>
      </c>
      <c r="F96" s="1">
        <v>7</v>
      </c>
      <c r="G96" s="1" t="s">
        <v>77</v>
      </c>
    </row>
    <row r="97" spans="2:15">
      <c r="C97" s="1" t="s">
        <v>11395</v>
      </c>
      <c r="D97" s="1" t="s">
        <v>11396</v>
      </c>
      <c r="F97" s="1">
        <v>8</v>
      </c>
      <c r="G97" s="1" t="s">
        <v>11288</v>
      </c>
    </row>
    <row r="98" spans="2:15">
      <c r="B98" t="s">
        <v>12139</v>
      </c>
      <c r="C98" s="1" t="s">
        <v>10258</v>
      </c>
      <c r="D98" s="1" t="s">
        <v>10262</v>
      </c>
      <c r="F98" s="1">
        <v>8</v>
      </c>
      <c r="G98" s="1" t="s">
        <v>11288</v>
      </c>
    </row>
    <row r="99" spans="2:15">
      <c r="C99" s="647" t="s">
        <v>10258</v>
      </c>
      <c r="D99" s="647" t="s">
        <v>10262</v>
      </c>
      <c r="E99" s="1"/>
      <c r="F99" s="1">
        <v>8</v>
      </c>
      <c r="G99" s="1" t="s">
        <v>11288</v>
      </c>
    </row>
    <row r="100" spans="2:15">
      <c r="C100" s="647" t="s">
        <v>10258</v>
      </c>
      <c r="D100" s="647" t="s">
        <v>10262</v>
      </c>
      <c r="E100" s="1"/>
      <c r="F100" s="1">
        <v>8</v>
      </c>
      <c r="G100" s="1" t="s">
        <v>11288</v>
      </c>
    </row>
    <row r="101" spans="2:15">
      <c r="C101" s="647" t="s">
        <v>10258</v>
      </c>
      <c r="D101" s="647" t="s">
        <v>10262</v>
      </c>
      <c r="E101" s="1"/>
      <c r="F101" s="1">
        <v>8</v>
      </c>
      <c r="G101" s="1" t="s">
        <v>11288</v>
      </c>
    </row>
    <row r="102" spans="2:15" ht="17.25">
      <c r="B102" s="757" t="s">
        <v>12187</v>
      </c>
      <c r="C102" t="s">
        <v>12205</v>
      </c>
      <c r="D102" t="s">
        <v>11396</v>
      </c>
      <c r="F102">
        <v>4</v>
      </c>
      <c r="G102" s="1" t="s">
        <v>272</v>
      </c>
      <c r="H102" s="1"/>
      <c r="J102" s="1"/>
      <c r="K102" s="1"/>
      <c r="L102" s="1"/>
      <c r="M102" s="1"/>
      <c r="N102" s="1"/>
      <c r="O102" s="1"/>
    </row>
    <row r="103" spans="2:15">
      <c r="C103" s="1" t="s">
        <v>10256</v>
      </c>
      <c r="D103" s="1" t="s">
        <v>11396</v>
      </c>
      <c r="F103">
        <v>8</v>
      </c>
      <c r="G103" s="1" t="s">
        <v>11288</v>
      </c>
      <c r="H103" s="1"/>
      <c r="J103" s="1"/>
      <c r="K103" s="1"/>
      <c r="L103" s="1"/>
      <c r="M103" s="1"/>
      <c r="N103" s="1"/>
      <c r="O103" s="1"/>
    </row>
    <row r="104" spans="2:15">
      <c r="B104" s="1"/>
      <c r="C104" s="1" t="s">
        <v>10254</v>
      </c>
      <c r="D104" s="1" t="s">
        <v>11396</v>
      </c>
      <c r="F104">
        <v>8</v>
      </c>
      <c r="G104" s="1" t="s">
        <v>11288</v>
      </c>
      <c r="H104" s="1"/>
      <c r="J104" s="1"/>
      <c r="K104" s="1"/>
      <c r="L104" s="1"/>
      <c r="M104" s="1"/>
      <c r="N104" s="1"/>
      <c r="O104" s="1"/>
    </row>
    <row r="105" spans="2:15">
      <c r="B105" s="1"/>
      <c r="C105" s="1" t="s">
        <v>10256</v>
      </c>
      <c r="D105" s="1" t="s">
        <v>11396</v>
      </c>
      <c r="F105">
        <v>4</v>
      </c>
      <c r="G105" s="1" t="s">
        <v>272</v>
      </c>
      <c r="H105" s="1"/>
      <c r="J105" s="1"/>
      <c r="K105" s="1"/>
      <c r="L105" s="1"/>
      <c r="M105" s="1"/>
      <c r="N105" s="1"/>
      <c r="O105" s="1"/>
    </row>
    <row r="106" spans="2:15">
      <c r="B106" s="1"/>
      <c r="C106" s="1" t="s">
        <v>10256</v>
      </c>
      <c r="D106" s="1" t="s">
        <v>11396</v>
      </c>
      <c r="F106">
        <v>5</v>
      </c>
      <c r="G106" s="1" t="s">
        <v>272</v>
      </c>
      <c r="H106" s="1"/>
      <c r="J106" s="1"/>
      <c r="K106" s="1"/>
      <c r="L106" s="1"/>
      <c r="M106" s="1"/>
      <c r="N106" s="1"/>
      <c r="O106" s="1"/>
    </row>
    <row r="107" spans="2:15">
      <c r="C107" s="1" t="s">
        <v>10254</v>
      </c>
      <c r="D107" s="1" t="s">
        <v>11396</v>
      </c>
      <c r="F107">
        <v>6</v>
      </c>
      <c r="G107" s="1" t="s">
        <v>77</v>
      </c>
      <c r="H107" s="1"/>
      <c r="J107" s="1"/>
      <c r="K107" s="1"/>
      <c r="L107" s="1"/>
      <c r="M107" s="1"/>
      <c r="N107" s="1"/>
      <c r="O107" s="1"/>
    </row>
    <row r="108" spans="2:15">
      <c r="C108" s="1" t="s">
        <v>10256</v>
      </c>
      <c r="D108" s="1" t="s">
        <v>11396</v>
      </c>
      <c r="F108">
        <v>7</v>
      </c>
      <c r="G108" s="1" t="s">
        <v>77</v>
      </c>
      <c r="H108" s="1"/>
      <c r="J108" s="1"/>
      <c r="K108" s="1"/>
      <c r="L108" s="1"/>
      <c r="M108" s="1"/>
      <c r="N108" s="1"/>
      <c r="O108" s="1"/>
    </row>
    <row r="109" spans="2:15">
      <c r="C109" s="1" t="s">
        <v>10260</v>
      </c>
      <c r="D109" s="1" t="s">
        <v>10262</v>
      </c>
      <c r="F109" s="1">
        <v>4</v>
      </c>
      <c r="G109" s="1" t="s">
        <v>272</v>
      </c>
      <c r="H109" s="1"/>
      <c r="J109" s="1"/>
      <c r="K109" s="1"/>
      <c r="L109" s="1"/>
      <c r="M109" s="1"/>
      <c r="N109" s="1"/>
      <c r="O109" s="1"/>
    </row>
    <row r="110" spans="2:15">
      <c r="C110" s="1" t="s">
        <v>10260</v>
      </c>
      <c r="D110" s="1" t="s">
        <v>10262</v>
      </c>
      <c r="F110" s="1">
        <v>5</v>
      </c>
      <c r="G110" s="1" t="s">
        <v>272</v>
      </c>
      <c r="H110" s="1"/>
      <c r="I110" s="1"/>
      <c r="J110" s="1"/>
      <c r="K110" s="1"/>
      <c r="L110" s="1"/>
      <c r="M110" s="1"/>
      <c r="N110" s="1"/>
      <c r="O110" s="1"/>
    </row>
    <row r="111" spans="2:15">
      <c r="C111" s="1" t="s">
        <v>10260</v>
      </c>
      <c r="D111" s="1" t="s">
        <v>10262</v>
      </c>
      <c r="F111" s="1">
        <v>6</v>
      </c>
      <c r="G111" s="1" t="s">
        <v>77</v>
      </c>
      <c r="H111" s="1"/>
      <c r="I111" s="1"/>
      <c r="J111" s="1"/>
      <c r="K111" s="1"/>
      <c r="L111" s="1"/>
      <c r="M111" s="1"/>
      <c r="N111" s="1"/>
      <c r="O111" s="1"/>
    </row>
    <row r="112" spans="2:15">
      <c r="C112" s="1" t="s">
        <v>10260</v>
      </c>
      <c r="D112" s="1" t="s">
        <v>10262</v>
      </c>
      <c r="F112" s="1">
        <v>7</v>
      </c>
      <c r="G112" s="1" t="s">
        <v>77</v>
      </c>
      <c r="H112" s="1"/>
      <c r="I112" s="1"/>
      <c r="J112" s="1"/>
      <c r="K112" s="1"/>
      <c r="L112" s="1"/>
      <c r="M112" s="1"/>
      <c r="N112" s="1"/>
      <c r="O112" s="1"/>
    </row>
    <row r="113" spans="3:15">
      <c r="C113" s="1" t="s">
        <v>10260</v>
      </c>
      <c r="D113" s="1" t="s">
        <v>10262</v>
      </c>
      <c r="F113" s="1">
        <v>4</v>
      </c>
      <c r="G113" s="1" t="s">
        <v>272</v>
      </c>
      <c r="H113" s="1"/>
      <c r="I113" s="1"/>
      <c r="J113" s="1"/>
      <c r="K113" s="1"/>
      <c r="L113" s="1"/>
      <c r="M113" s="1"/>
      <c r="N113" s="1"/>
      <c r="O113" s="1"/>
    </row>
    <row r="114" spans="3:15">
      <c r="C114" s="1" t="s">
        <v>10260</v>
      </c>
      <c r="D114" s="1" t="s">
        <v>10262</v>
      </c>
      <c r="F114" s="1">
        <v>5</v>
      </c>
      <c r="G114" s="1" t="s">
        <v>272</v>
      </c>
      <c r="H114" s="1"/>
      <c r="I114" s="1"/>
      <c r="J114" s="1"/>
      <c r="K114" s="1"/>
      <c r="L114" s="1"/>
      <c r="M114" s="1"/>
      <c r="N114" s="1"/>
      <c r="O114" s="1"/>
    </row>
    <row r="115" spans="3:15">
      <c r="C115" s="1" t="s">
        <v>10260</v>
      </c>
      <c r="D115" s="1" t="s">
        <v>10262</v>
      </c>
      <c r="F115" s="1">
        <v>6</v>
      </c>
      <c r="G115" s="1" t="s">
        <v>77</v>
      </c>
      <c r="H115" s="1"/>
      <c r="I115" s="1"/>
      <c r="J115" s="1"/>
      <c r="K115" s="1"/>
      <c r="L115" s="1"/>
      <c r="M115" s="1"/>
      <c r="N115" s="1"/>
      <c r="O115" s="1"/>
    </row>
    <row r="116" spans="3:15">
      <c r="C116" s="1" t="s">
        <v>10260</v>
      </c>
      <c r="D116" s="1" t="s">
        <v>10262</v>
      </c>
      <c r="F116" s="1">
        <v>7</v>
      </c>
      <c r="G116" s="1" t="s">
        <v>77</v>
      </c>
      <c r="H116" s="1"/>
      <c r="I116" s="1"/>
      <c r="J116" s="1"/>
      <c r="K116" s="1"/>
      <c r="L116" s="1"/>
      <c r="M116" s="1"/>
      <c r="N116" s="1"/>
      <c r="O116" s="1"/>
    </row>
    <row r="117" spans="3:15">
      <c r="C117" s="1" t="s">
        <v>10260</v>
      </c>
      <c r="D117" s="1" t="s">
        <v>10262</v>
      </c>
      <c r="F117">
        <v>8</v>
      </c>
      <c r="G117" s="1" t="s">
        <v>11288</v>
      </c>
      <c r="H117" s="1"/>
      <c r="I117" s="1"/>
      <c r="J117" s="1"/>
      <c r="K117" s="1"/>
      <c r="L117" s="1"/>
      <c r="M117" s="1"/>
      <c r="N117" s="1"/>
      <c r="O117" s="1"/>
    </row>
    <row r="118" spans="3:15">
      <c r="C118" s="647" t="s">
        <v>10258</v>
      </c>
      <c r="D118" s="1" t="s">
        <v>10262</v>
      </c>
      <c r="F118">
        <v>8</v>
      </c>
      <c r="G118" s="1" t="s">
        <v>11288</v>
      </c>
      <c r="H118" s="1"/>
      <c r="I118" s="1"/>
      <c r="J118" s="1"/>
      <c r="K118" s="1"/>
      <c r="L118" s="1"/>
      <c r="M118" s="1"/>
      <c r="N118" s="1"/>
      <c r="O118" s="1"/>
    </row>
    <row r="119" spans="3:15">
      <c r="C119" s="647" t="s">
        <v>10258</v>
      </c>
      <c r="D119" s="1" t="s">
        <v>10262</v>
      </c>
      <c r="F119">
        <v>8</v>
      </c>
      <c r="G119" s="1" t="s">
        <v>11288</v>
      </c>
      <c r="H119" s="1"/>
      <c r="I119" s="1"/>
      <c r="J119" s="1"/>
      <c r="K119" s="1"/>
      <c r="L119" s="1"/>
      <c r="M119" s="1"/>
      <c r="N119" s="1"/>
    </row>
    <row r="120" spans="3:15">
      <c r="H120" s="1"/>
      <c r="I120" s="1"/>
      <c r="J120" s="1"/>
      <c r="K120" s="1"/>
      <c r="L120" s="1"/>
      <c r="M120" s="1"/>
      <c r="N120" s="1"/>
    </row>
    <row r="121" spans="3:15">
      <c r="H121" s="1"/>
      <c r="I121" s="1"/>
      <c r="J121" s="1"/>
      <c r="K121" s="1"/>
      <c r="L121" s="1"/>
      <c r="M121" s="1"/>
      <c r="N121" s="1"/>
    </row>
    <row r="122" spans="3:15">
      <c r="H122" s="1"/>
      <c r="I122" s="1"/>
      <c r="J122" s="1"/>
      <c r="K122" s="1"/>
      <c r="L122" s="1"/>
      <c r="M122" s="1"/>
      <c r="N122" s="1"/>
    </row>
    <row r="123" spans="3:15">
      <c r="H123" s="1"/>
      <c r="I123" s="1"/>
      <c r="J123" s="1"/>
      <c r="K123" s="1"/>
      <c r="L123" s="1"/>
      <c r="M123" s="1"/>
      <c r="N123" s="1"/>
    </row>
    <row r="124" spans="3:15">
      <c r="H124" s="1"/>
      <c r="I124" s="1"/>
      <c r="J124" s="1"/>
      <c r="K124" s="1"/>
      <c r="L124" s="1"/>
      <c r="M124" s="1"/>
      <c r="N124" s="1"/>
    </row>
    <row r="125" spans="3:15">
      <c r="H125" s="1"/>
      <c r="I125" s="1"/>
      <c r="J125" s="1"/>
      <c r="K125" s="1"/>
      <c r="L125" s="1"/>
      <c r="M125" s="1"/>
      <c r="N125" s="1"/>
    </row>
  </sheetData>
  <mergeCells count="14">
    <mergeCell ref="I57:M57"/>
    <mergeCell ref="I64:N64"/>
    <mergeCell ref="P64:U64"/>
    <mergeCell ref="N6:Q18"/>
    <mergeCell ref="B57:G57"/>
    <mergeCell ref="A28:K28"/>
    <mergeCell ref="A6:B6"/>
    <mergeCell ref="D7:F7"/>
    <mergeCell ref="I6:L6"/>
    <mergeCell ref="N19:Q20"/>
    <mergeCell ref="N21:Q22"/>
    <mergeCell ref="S9:V9"/>
    <mergeCell ref="S19:V19"/>
    <mergeCell ref="P28:AB28"/>
  </mergeCells>
  <phoneticPr fontId="182" type="noConversion"/>
  <hyperlinks>
    <hyperlink ref="N19:Q20" r:id="rId1" display="PRESS HERE TO OPEN IT" xr:uid="{13DA6CAF-D6DF-43AC-ABC3-8494E143CCEC}"/>
    <hyperlink ref="N21:Q22" r:id="rId2" display="PRESS HERE TO OPEN IT" xr:uid="{57E4ABC1-FAD7-420B-ABDB-A1D51D2DC0B0}"/>
  </hyperlinks>
  <pageMargins left="0.7" right="0.7" top="0.75" bottom="0.75" header="0.3" footer="0.3"/>
  <pageSetup paperSize="9" orientation="portrait" r:id="rId3"/>
  <drawing r:id="rId4"/>
  <tableParts count="4">
    <tablePart r:id="rId5"/>
    <tablePart r:id="rId6"/>
    <tablePart r:id="rId7"/>
    <tablePart r:id="rId8"/>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D5556-533B-4640-9611-A1969EC53187}">
  <sheetPr codeName="Аркуш28">
    <tabColor rgb="FF7030A0"/>
  </sheetPr>
  <dimension ref="I14:Q78"/>
  <sheetViews>
    <sheetView topLeftCell="A26" zoomScale="130" zoomScaleNormal="130" workbookViewId="0">
      <selection activeCell="U2" sqref="U2:AH2"/>
    </sheetView>
  </sheetViews>
  <sheetFormatPr defaultRowHeight="14.25"/>
  <cols>
    <col min="12" max="12" width="14.88671875" bestFit="1" customWidth="1"/>
    <col min="13" max="13" width="19.21875" bestFit="1" customWidth="1"/>
    <col min="14" max="14" width="10.21875" customWidth="1"/>
    <col min="16" max="16" width="10.33203125" customWidth="1"/>
  </cols>
  <sheetData>
    <row r="14" spans="9:9">
      <c r="I14" s="1"/>
    </row>
    <row r="15" spans="9:9">
      <c r="I15" s="1"/>
    </row>
    <row r="16" spans="9:9">
      <c r="I16" s="1"/>
    </row>
    <row r="17" spans="9:9">
      <c r="I17" s="1"/>
    </row>
    <row r="18" spans="9:9">
      <c r="I18" s="1"/>
    </row>
    <row r="19" spans="9:9">
      <c r="I19" s="1"/>
    </row>
    <row r="20" spans="9:9">
      <c r="I20" s="1"/>
    </row>
    <row r="21" spans="9:9">
      <c r="I21" s="1"/>
    </row>
    <row r="22" spans="9:9">
      <c r="I22" s="1"/>
    </row>
    <row r="23" spans="9:9">
      <c r="I23" s="1"/>
    </row>
    <row r="24" spans="9:9">
      <c r="I24" s="1"/>
    </row>
    <row r="25" spans="9:9">
      <c r="I25" s="1"/>
    </row>
    <row r="68" spans="17:17">
      <c r="Q68" s="1"/>
    </row>
    <row r="69" spans="17:17">
      <c r="Q69" s="1"/>
    </row>
    <row r="70" spans="17:17">
      <c r="Q70" s="1"/>
    </row>
    <row r="71" spans="17:17">
      <c r="Q71" s="1"/>
    </row>
    <row r="72" spans="17:17">
      <c r="Q72" s="1"/>
    </row>
    <row r="73" spans="17:17">
      <c r="Q73" s="1"/>
    </row>
    <row r="74" spans="17:17">
      <c r="Q74" s="1"/>
    </row>
    <row r="75" spans="17:17">
      <c r="Q75" s="1"/>
    </row>
    <row r="76" spans="17:17">
      <c r="Q76" s="1"/>
    </row>
    <row r="77" spans="17:17">
      <c r="Q77" s="1"/>
    </row>
    <row r="78" spans="17:17">
      <c r="Q78" s="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EA5B4-FE6E-40E9-B415-921B50504003}">
  <sheetPr codeName="Аркуш48">
    <tabColor rgb="FF7030A0"/>
  </sheetPr>
  <dimension ref="A1:P60"/>
  <sheetViews>
    <sheetView topLeftCell="B1" zoomScaleNormal="100" workbookViewId="0">
      <selection activeCell="U2" sqref="U2:AH2"/>
    </sheetView>
  </sheetViews>
  <sheetFormatPr defaultRowHeight="14.25"/>
  <cols>
    <col min="1" max="1" width="24.6640625" customWidth="1"/>
    <col min="2" max="2" width="52.109375" customWidth="1"/>
    <col min="3" max="3" width="14.109375" customWidth="1"/>
    <col min="5" max="5" width="10.77734375" customWidth="1"/>
    <col min="13" max="13" width="13.109375" customWidth="1"/>
    <col min="14" max="14" width="14.21875" customWidth="1"/>
    <col min="16" max="16" width="17.6640625" customWidth="1"/>
    <col min="17" max="17" width="17.77734375" customWidth="1"/>
  </cols>
  <sheetData>
    <row r="1" spans="1:16" s="1" customFormat="1">
      <c r="A1" s="2244" t="s">
        <v>11779</v>
      </c>
      <c r="B1" s="2244"/>
      <c r="C1" s="2244"/>
      <c r="E1" s="1" t="s">
        <v>11795</v>
      </c>
    </row>
    <row r="2" spans="1:16" s="1" customFormat="1">
      <c r="A2" s="2244"/>
      <c r="B2" s="2244"/>
      <c r="C2" s="2244"/>
    </row>
    <row r="3" spans="1:16">
      <c r="A3" t="s">
        <v>723</v>
      </c>
      <c r="B3" t="s">
        <v>1243</v>
      </c>
      <c r="C3" t="s">
        <v>721</v>
      </c>
      <c r="E3" t="s">
        <v>11690</v>
      </c>
      <c r="F3" t="s">
        <v>11691</v>
      </c>
      <c r="G3" t="s">
        <v>11692</v>
      </c>
      <c r="H3" t="s">
        <v>11731</v>
      </c>
      <c r="I3" t="s">
        <v>11732</v>
      </c>
      <c r="J3" t="s">
        <v>11787</v>
      </c>
      <c r="K3" t="s">
        <v>721</v>
      </c>
      <c r="L3" t="s">
        <v>8533</v>
      </c>
      <c r="M3" t="s">
        <v>11829</v>
      </c>
    </row>
    <row r="4" spans="1:16">
      <c r="A4" t="s">
        <v>669</v>
      </c>
      <c r="B4" t="s">
        <v>670</v>
      </c>
      <c r="E4" s="1" t="s">
        <v>11693</v>
      </c>
      <c r="F4" s="1" t="s">
        <v>11759</v>
      </c>
      <c r="G4" s="1" t="s">
        <v>11764</v>
      </c>
      <c r="H4" s="1" t="s">
        <v>11733</v>
      </c>
      <c r="I4" s="1" t="s">
        <v>11713</v>
      </c>
      <c r="J4" t="s">
        <v>11782</v>
      </c>
      <c r="K4" t="s">
        <v>2315</v>
      </c>
    </row>
    <row r="5" spans="1:16">
      <c r="A5" t="s">
        <v>11432</v>
      </c>
      <c r="E5" s="1" t="s">
        <v>11694</v>
      </c>
      <c r="F5" s="1" t="s">
        <v>11758</v>
      </c>
      <c r="G5" s="1" t="s">
        <v>11765</v>
      </c>
      <c r="H5" s="1" t="s">
        <v>11734</v>
      </c>
      <c r="I5" s="1" t="s">
        <v>11714</v>
      </c>
      <c r="J5" t="s">
        <v>11782</v>
      </c>
      <c r="K5" t="s">
        <v>1281</v>
      </c>
      <c r="O5" t="s">
        <v>11205</v>
      </c>
      <c r="P5" t="s">
        <v>11156</v>
      </c>
    </row>
    <row r="6" spans="1:16">
      <c r="A6" t="s">
        <v>662</v>
      </c>
      <c r="B6" t="s">
        <v>663</v>
      </c>
      <c r="E6" s="1" t="s">
        <v>11790</v>
      </c>
      <c r="F6" s="1"/>
      <c r="G6" s="1"/>
      <c r="H6" s="1"/>
      <c r="I6" s="1"/>
      <c r="J6" s="1"/>
      <c r="K6" s="1" t="s">
        <v>2315</v>
      </c>
      <c r="O6" t="s">
        <v>11157</v>
      </c>
    </row>
    <row r="7" spans="1:16">
      <c r="A7" t="s">
        <v>11875</v>
      </c>
      <c r="B7" t="s">
        <v>675</v>
      </c>
      <c r="E7" s="1" t="s">
        <v>11695</v>
      </c>
      <c r="F7" s="1" t="s">
        <v>11760</v>
      </c>
      <c r="G7" s="1" t="s">
        <v>11766</v>
      </c>
      <c r="H7" s="1" t="s">
        <v>11735</v>
      </c>
      <c r="I7" s="1" t="s">
        <v>11715</v>
      </c>
      <c r="J7" t="s">
        <v>11783</v>
      </c>
      <c r="K7" t="s">
        <v>2315</v>
      </c>
      <c r="O7" t="s">
        <v>11158</v>
      </c>
      <c r="P7" t="s">
        <v>11159</v>
      </c>
    </row>
    <row r="8" spans="1:16">
      <c r="A8" t="s">
        <v>673</v>
      </c>
      <c r="B8" t="s">
        <v>674</v>
      </c>
      <c r="E8" s="1" t="s">
        <v>11696</v>
      </c>
      <c r="F8" s="1" t="s">
        <v>11711</v>
      </c>
      <c r="G8" s="1" t="s">
        <v>11767</v>
      </c>
      <c r="H8" s="1" t="s">
        <v>11736</v>
      </c>
      <c r="I8" s="1" t="s">
        <v>11716</v>
      </c>
      <c r="J8" s="1" t="s">
        <v>11783</v>
      </c>
      <c r="K8" t="s">
        <v>2315</v>
      </c>
      <c r="O8" t="s">
        <v>11160</v>
      </c>
      <c r="P8" t="s">
        <v>11161</v>
      </c>
    </row>
    <row r="9" spans="1:16">
      <c r="A9" t="s">
        <v>676</v>
      </c>
      <c r="B9" t="s">
        <v>677</v>
      </c>
      <c r="E9" t="s">
        <v>11811</v>
      </c>
      <c r="K9" s="1" t="s">
        <v>11822</v>
      </c>
      <c r="O9" t="s">
        <v>11162</v>
      </c>
      <c r="P9" t="s">
        <v>11163</v>
      </c>
    </row>
    <row r="10" spans="1:16">
      <c r="A10" t="s">
        <v>671</v>
      </c>
      <c r="B10" t="s">
        <v>672</v>
      </c>
      <c r="E10" t="s">
        <v>11812</v>
      </c>
      <c r="K10" t="s">
        <v>2315</v>
      </c>
      <c r="O10" t="s">
        <v>11164</v>
      </c>
      <c r="P10" t="s">
        <v>11165</v>
      </c>
    </row>
    <row r="11" spans="1:16">
      <c r="A11" t="s">
        <v>11433</v>
      </c>
      <c r="E11" s="1" t="s">
        <v>11697</v>
      </c>
      <c r="F11" s="1" t="s">
        <v>11687</v>
      </c>
      <c r="H11" s="1" t="s">
        <v>11737</v>
      </c>
      <c r="I11" s="1" t="s">
        <v>11717</v>
      </c>
      <c r="J11" t="s">
        <v>11780</v>
      </c>
      <c r="L11" t="s">
        <v>11791</v>
      </c>
      <c r="M11" s="1" t="s">
        <v>11819</v>
      </c>
    </row>
    <row r="12" spans="1:16">
      <c r="A12" t="s">
        <v>11434</v>
      </c>
      <c r="E12" s="1" t="s">
        <v>11698</v>
      </c>
      <c r="F12" s="1" t="s">
        <v>11710</v>
      </c>
      <c r="G12" s="1" t="s">
        <v>11768</v>
      </c>
      <c r="H12" s="1" t="s">
        <v>11738</v>
      </c>
      <c r="I12" s="1" t="s">
        <v>11718</v>
      </c>
      <c r="J12" s="1" t="s">
        <v>11780</v>
      </c>
      <c r="M12" s="1" t="s">
        <v>11819</v>
      </c>
    </row>
    <row r="13" spans="1:16" ht="21">
      <c r="A13" t="s">
        <v>679</v>
      </c>
      <c r="B13" t="s">
        <v>680</v>
      </c>
      <c r="E13" s="1" t="s">
        <v>11699</v>
      </c>
      <c r="F13" s="1" t="s">
        <v>11712</v>
      </c>
      <c r="G13" s="1" t="s">
        <v>11769</v>
      </c>
      <c r="H13" s="1" t="s">
        <v>11739</v>
      </c>
      <c r="I13" s="1" t="s">
        <v>11719</v>
      </c>
      <c r="J13" t="s">
        <v>11785</v>
      </c>
      <c r="L13" s="2" t="s">
        <v>11938</v>
      </c>
      <c r="M13" s="1" t="s">
        <v>11818</v>
      </c>
    </row>
    <row r="14" spans="1:16">
      <c r="A14" t="s">
        <v>11435</v>
      </c>
      <c r="E14" s="1" t="s">
        <v>11700</v>
      </c>
      <c r="F14" s="1" t="s">
        <v>11688</v>
      </c>
      <c r="H14" s="1" t="s">
        <v>11740</v>
      </c>
      <c r="I14" s="1" t="s">
        <v>11720</v>
      </c>
      <c r="J14" t="s">
        <v>11785</v>
      </c>
      <c r="M14" s="1" t="s">
        <v>11818</v>
      </c>
    </row>
    <row r="15" spans="1:16">
      <c r="A15" t="s">
        <v>11436</v>
      </c>
      <c r="E15" s="1" t="s">
        <v>11701</v>
      </c>
      <c r="F15" s="1" t="s">
        <v>11761</v>
      </c>
      <c r="G15" s="1" t="s">
        <v>11770</v>
      </c>
      <c r="H15" s="1" t="s">
        <v>11741</v>
      </c>
      <c r="I15" s="1" t="s">
        <v>11721</v>
      </c>
      <c r="J15" s="1" t="s">
        <v>11784</v>
      </c>
      <c r="L15" t="s">
        <v>11792</v>
      </c>
      <c r="M15" s="1" t="s">
        <v>701</v>
      </c>
    </row>
    <row r="16" spans="1:16">
      <c r="A16" t="s">
        <v>11437</v>
      </c>
      <c r="E16" s="1" t="s">
        <v>11702</v>
      </c>
      <c r="F16" s="1" t="s">
        <v>11762</v>
      </c>
      <c r="G16" s="1" t="s">
        <v>11771</v>
      </c>
      <c r="H16" s="1" t="s">
        <v>11742</v>
      </c>
      <c r="I16" s="1" t="s">
        <v>11722</v>
      </c>
      <c r="J16" t="s">
        <v>11784</v>
      </c>
      <c r="M16" s="1" t="s">
        <v>701</v>
      </c>
    </row>
    <row r="17" spans="1:13">
      <c r="A17" t="s">
        <v>11438</v>
      </c>
      <c r="E17" s="1" t="s">
        <v>11703</v>
      </c>
      <c r="F17" s="1" t="s">
        <v>11757</v>
      </c>
      <c r="G17" s="1" t="s">
        <v>11772</v>
      </c>
      <c r="H17" s="1" t="s">
        <v>11743</v>
      </c>
      <c r="I17" s="1" t="s">
        <v>11723</v>
      </c>
      <c r="J17" s="1" t="s">
        <v>11786</v>
      </c>
      <c r="M17" s="1" t="s">
        <v>698</v>
      </c>
    </row>
    <row r="18" spans="1:13">
      <c r="A18" t="s">
        <v>7292</v>
      </c>
      <c r="E18" s="1" t="s">
        <v>11704</v>
      </c>
      <c r="F18" s="1" t="s">
        <v>11756</v>
      </c>
      <c r="G18" s="1" t="s">
        <v>11773</v>
      </c>
      <c r="H18" s="1" t="s">
        <v>11744</v>
      </c>
      <c r="I18" s="1" t="s">
        <v>11724</v>
      </c>
      <c r="J18" s="1" t="s">
        <v>11786</v>
      </c>
      <c r="M18" s="1" t="s">
        <v>698</v>
      </c>
    </row>
    <row r="19" spans="1:13">
      <c r="A19" t="s">
        <v>11439</v>
      </c>
      <c r="E19" s="1" t="s">
        <v>11705</v>
      </c>
      <c r="F19" s="1" t="s">
        <v>11689</v>
      </c>
      <c r="G19" s="1" t="s">
        <v>11763</v>
      </c>
      <c r="H19" s="1" t="s">
        <v>11745</v>
      </c>
      <c r="I19" s="1" t="s">
        <v>11725</v>
      </c>
      <c r="J19" t="s">
        <v>11781</v>
      </c>
      <c r="L19" t="s">
        <v>11793</v>
      </c>
      <c r="M19" s="1" t="s">
        <v>695</v>
      </c>
    </row>
    <row r="20" spans="1:13">
      <c r="A20" t="s">
        <v>11440</v>
      </c>
      <c r="E20" s="1" t="s">
        <v>11706</v>
      </c>
      <c r="F20" s="1" t="s">
        <v>11751</v>
      </c>
      <c r="G20" s="1" t="s">
        <v>11774</v>
      </c>
      <c r="H20" s="1" t="s">
        <v>11746</v>
      </c>
      <c r="I20" s="1" t="s">
        <v>11726</v>
      </c>
      <c r="J20" t="s">
        <v>11781</v>
      </c>
      <c r="M20" s="1" t="s">
        <v>695</v>
      </c>
    </row>
    <row r="21" spans="1:13">
      <c r="A21" t="s">
        <v>11441</v>
      </c>
      <c r="E21" t="s">
        <v>11814</v>
      </c>
      <c r="F21" s="1" t="s">
        <v>11689</v>
      </c>
      <c r="G21" s="1" t="s">
        <v>11763</v>
      </c>
      <c r="H21" t="s">
        <v>11816</v>
      </c>
      <c r="I21" s="1" t="s">
        <v>11725</v>
      </c>
      <c r="M21" s="1" t="s">
        <v>695</v>
      </c>
    </row>
    <row r="22" spans="1:13">
      <c r="A22" t="s">
        <v>11442</v>
      </c>
      <c r="E22" t="s">
        <v>11815</v>
      </c>
      <c r="F22" s="1" t="s">
        <v>11751</v>
      </c>
      <c r="G22" s="1" t="s">
        <v>11774</v>
      </c>
      <c r="H22" t="s">
        <v>11817</v>
      </c>
      <c r="I22" s="1" t="s">
        <v>11726</v>
      </c>
      <c r="M22" s="1" t="s">
        <v>695</v>
      </c>
    </row>
    <row r="23" spans="1:13">
      <c r="A23" t="s">
        <v>652</v>
      </c>
      <c r="B23" t="s">
        <v>653</v>
      </c>
      <c r="E23" s="1" t="s">
        <v>3971</v>
      </c>
      <c r="F23" s="1" t="s">
        <v>11752</v>
      </c>
      <c r="G23" s="1" t="s">
        <v>11775</v>
      </c>
      <c r="H23" s="1" t="s">
        <v>11747</v>
      </c>
      <c r="I23" s="1" t="s">
        <v>11727</v>
      </c>
      <c r="L23" t="s">
        <v>11794</v>
      </c>
    </row>
    <row r="24" spans="1:13">
      <c r="A24" t="s">
        <v>658</v>
      </c>
      <c r="B24" t="s">
        <v>659</v>
      </c>
      <c r="E24" s="1" t="s">
        <v>11707</v>
      </c>
      <c r="F24" s="1" t="s">
        <v>11753</v>
      </c>
      <c r="G24" s="1" t="s">
        <v>11776</v>
      </c>
      <c r="H24" s="1" t="s">
        <v>11748</v>
      </c>
      <c r="I24" s="1" t="s">
        <v>11728</v>
      </c>
    </row>
    <row r="25" spans="1:13">
      <c r="A25" t="s">
        <v>660</v>
      </c>
      <c r="B25" t="s">
        <v>661</v>
      </c>
      <c r="E25" s="1" t="s">
        <v>11708</v>
      </c>
      <c r="F25" s="1" t="s">
        <v>11754</v>
      </c>
      <c r="G25" s="1" t="s">
        <v>11777</v>
      </c>
      <c r="H25" s="1" t="s">
        <v>11749</v>
      </c>
      <c r="I25" s="1" t="s">
        <v>11729</v>
      </c>
    </row>
    <row r="26" spans="1:13">
      <c r="A26" t="s">
        <v>656</v>
      </c>
      <c r="B26" t="s">
        <v>657</v>
      </c>
      <c r="E26" s="1" t="s">
        <v>11709</v>
      </c>
      <c r="F26" s="1" t="s">
        <v>11755</v>
      </c>
      <c r="G26" s="1" t="s">
        <v>11778</v>
      </c>
      <c r="H26" s="1" t="s">
        <v>11750</v>
      </c>
      <c r="I26" s="1" t="s">
        <v>11730</v>
      </c>
    </row>
    <row r="27" spans="1:13">
      <c r="A27" t="s">
        <v>664</v>
      </c>
      <c r="B27" t="s">
        <v>665</v>
      </c>
      <c r="J27" s="1" t="s">
        <v>11820</v>
      </c>
      <c r="M27" t="s">
        <v>8636</v>
      </c>
    </row>
    <row r="28" spans="1:13">
      <c r="A28" t="s">
        <v>11788</v>
      </c>
      <c r="B28" t="s">
        <v>666</v>
      </c>
      <c r="E28" t="s">
        <v>12125</v>
      </c>
      <c r="L28" s="2" t="s">
        <v>12126</v>
      </c>
    </row>
    <row r="29" spans="1:13">
      <c r="A29" t="s">
        <v>8509</v>
      </c>
      <c r="C29" t="s">
        <v>11821</v>
      </c>
    </row>
    <row r="30" spans="1:13">
      <c r="A30" t="s">
        <v>11443</v>
      </c>
      <c r="F30" s="1" t="s">
        <v>11699</v>
      </c>
    </row>
    <row r="31" spans="1:13">
      <c r="A31" t="s">
        <v>11444</v>
      </c>
      <c r="F31" s="1"/>
    </row>
    <row r="32" spans="1:13">
      <c r="A32" t="s">
        <v>11447</v>
      </c>
    </row>
    <row r="33" spans="1:3">
      <c r="A33" t="s">
        <v>11874</v>
      </c>
      <c r="B33" t="s">
        <v>681</v>
      </c>
    </row>
    <row r="34" spans="1:3">
      <c r="A34" t="s">
        <v>667</v>
      </c>
      <c r="B34" t="s">
        <v>668</v>
      </c>
    </row>
    <row r="35" spans="1:3">
      <c r="A35" t="s">
        <v>654</v>
      </c>
      <c r="B35" t="s">
        <v>655</v>
      </c>
    </row>
    <row r="36" spans="1:3">
      <c r="A36" t="s">
        <v>11789</v>
      </c>
      <c r="B36" t="s">
        <v>682</v>
      </c>
    </row>
    <row r="37" spans="1:3">
      <c r="A37" t="s">
        <v>11445</v>
      </c>
    </row>
    <row r="38" spans="1:3">
      <c r="A38" t="s">
        <v>11446</v>
      </c>
    </row>
    <row r="39" spans="1:3">
      <c r="A39" t="s">
        <v>678</v>
      </c>
      <c r="C39" t="s">
        <v>11824</v>
      </c>
    </row>
    <row r="40" spans="1:3">
      <c r="A40" t="s">
        <v>11448</v>
      </c>
      <c r="C40" t="s">
        <v>11808</v>
      </c>
    </row>
    <row r="41" spans="1:3">
      <c r="A41" t="s">
        <v>11449</v>
      </c>
    </row>
    <row r="42" spans="1:3">
      <c r="A42" t="s">
        <v>11450</v>
      </c>
    </row>
    <row r="43" spans="1:3">
      <c r="A43" t="s">
        <v>11451</v>
      </c>
    </row>
    <row r="44" spans="1:3">
      <c r="A44" t="s">
        <v>11452</v>
      </c>
    </row>
    <row r="45" spans="1:3">
      <c r="A45" t="s">
        <v>11453</v>
      </c>
    </row>
    <row r="46" spans="1:3">
      <c r="A46" t="s">
        <v>11813</v>
      </c>
      <c r="B46" t="s">
        <v>11809</v>
      </c>
    </row>
    <row r="47" spans="1:3">
      <c r="A47" t="s">
        <v>7292</v>
      </c>
      <c r="B47" t="s">
        <v>11810</v>
      </c>
    </row>
    <row r="48" spans="1:3">
      <c r="A48" t="s">
        <v>8503</v>
      </c>
      <c r="C48" t="s">
        <v>8504</v>
      </c>
    </row>
    <row r="49" spans="1:6">
      <c r="A49" t="s">
        <v>11377</v>
      </c>
    </row>
    <row r="50" spans="1:6">
      <c r="A50" t="s">
        <v>11876</v>
      </c>
      <c r="E50" s="1" t="s">
        <v>11828</v>
      </c>
      <c r="F50" t="s">
        <v>7706</v>
      </c>
    </row>
    <row r="51" spans="1:6">
      <c r="A51" t="s">
        <v>11317</v>
      </c>
      <c r="E51" t="s">
        <v>11806</v>
      </c>
      <c r="F51" s="1" t="s">
        <v>11796</v>
      </c>
    </row>
    <row r="52" spans="1:6">
      <c r="E52" s="1" t="s">
        <v>11806</v>
      </c>
      <c r="F52" s="1" t="s">
        <v>11797</v>
      </c>
    </row>
    <row r="53" spans="1:6">
      <c r="E53" s="1" t="s">
        <v>11806</v>
      </c>
      <c r="F53" s="1" t="s">
        <v>11798</v>
      </c>
    </row>
    <row r="54" spans="1:6">
      <c r="A54" s="505"/>
      <c r="E54" s="1" t="s">
        <v>11806</v>
      </c>
      <c r="F54" s="1" t="s">
        <v>11799</v>
      </c>
    </row>
    <row r="55" spans="1:6">
      <c r="E55" s="1" t="s">
        <v>11806</v>
      </c>
      <c r="F55" s="1" t="s">
        <v>11800</v>
      </c>
    </row>
    <row r="56" spans="1:6">
      <c r="E56" s="1" t="s">
        <v>11806</v>
      </c>
      <c r="F56" s="1" t="s">
        <v>11801</v>
      </c>
    </row>
    <row r="57" spans="1:6">
      <c r="E57" t="s">
        <v>11807</v>
      </c>
      <c r="F57" s="1" t="s">
        <v>11802</v>
      </c>
    </row>
    <row r="58" spans="1:6">
      <c r="E58" s="1" t="s">
        <v>11807</v>
      </c>
      <c r="F58" s="1" t="s">
        <v>11803</v>
      </c>
    </row>
    <row r="59" spans="1:6">
      <c r="E59" s="1" t="s">
        <v>11807</v>
      </c>
      <c r="F59" s="1" t="s">
        <v>11804</v>
      </c>
    </row>
    <row r="60" spans="1:6">
      <c r="E60" s="1" t="s">
        <v>11807</v>
      </c>
      <c r="F60" s="1" t="s">
        <v>11805</v>
      </c>
    </row>
  </sheetData>
  <mergeCells count="1">
    <mergeCell ref="A1:C2"/>
  </mergeCells>
  <phoneticPr fontId="182" type="noConversion"/>
  <pageMargins left="0.7" right="0.7" top="0.75" bottom="0.75" header="0.3" footer="0.3"/>
  <pageSetup paperSize="9" orientation="portrait" r:id="rId1"/>
  <tableParts count="3">
    <tablePart r:id="rId2"/>
    <tablePart r:id="rId3"/>
    <tablePart r:id="rId4"/>
  </tablePar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FAEB2-547B-458F-B0F4-564E30A5EC1D}">
  <sheetPr codeName="Аркуш39">
    <tabColor rgb="FFFFFF00"/>
  </sheetPr>
  <dimension ref="A1:QA981"/>
  <sheetViews>
    <sheetView tabSelected="1" topLeftCell="PW1" zoomScale="94" zoomScaleNormal="94" workbookViewId="0">
      <selection activeCell="PY144" sqref="PY144:PZ149"/>
    </sheetView>
  </sheetViews>
  <sheetFormatPr defaultRowHeight="14.25"/>
  <cols>
    <col min="1" max="1" width="13.21875" style="2" customWidth="1"/>
    <col min="2" max="2" width="10.77734375" style="2" customWidth="1"/>
    <col min="3" max="3" width="8.88671875" style="2"/>
    <col min="4" max="4" width="10.77734375" style="2" customWidth="1"/>
    <col min="5" max="5" width="17.5546875" style="2" customWidth="1"/>
    <col min="6" max="6" width="19" style="2" customWidth="1"/>
    <col min="7" max="7" width="15.88671875" style="2" customWidth="1"/>
    <col min="8" max="8" width="10.77734375" style="2" customWidth="1"/>
    <col min="9" max="11" width="8.88671875" style="2"/>
    <col min="12" max="12" width="12.6640625" style="2" customWidth="1"/>
    <col min="13" max="13" width="8.88671875" style="2"/>
    <col min="14" max="14" width="17.21875" style="2" customWidth="1"/>
    <col min="15" max="15" width="8.88671875" style="2"/>
    <col min="16" max="16" width="16.44140625" style="2" customWidth="1"/>
    <col min="17" max="18" width="8.88671875" style="2"/>
    <col min="19" max="19" width="11.109375" style="2" customWidth="1"/>
    <col min="20" max="20" width="51.5546875" style="2" bestFit="1" customWidth="1"/>
    <col min="21" max="21" width="8.88671875" style="2"/>
    <col min="22" max="22" width="12.109375" style="2" customWidth="1"/>
    <col min="23" max="23" width="92.5546875" style="2" bestFit="1" customWidth="1"/>
    <col min="24" max="26" width="8.88671875" style="2"/>
    <col min="27" max="27" width="10" style="2" customWidth="1"/>
    <col min="28" max="28" width="9.109375" style="2" customWidth="1"/>
    <col min="29" max="29" width="11.77734375" style="2" customWidth="1"/>
    <col min="30" max="30" width="11.5546875" style="2" customWidth="1"/>
    <col min="31" max="31" width="8.88671875" style="2"/>
    <col min="32" max="32" width="9" style="2" customWidth="1"/>
    <col min="33" max="46" width="8.88671875" style="2"/>
    <col min="47" max="47" width="14.6640625" style="2" customWidth="1"/>
    <col min="48" max="48" width="13.21875" style="2" customWidth="1"/>
    <col min="49" max="49" width="8.88671875" style="2"/>
    <col min="50" max="50" width="10.33203125" style="2" customWidth="1"/>
    <col min="51" max="51" width="8.88671875" style="2"/>
    <col min="52" max="52" width="15.21875" style="2" customWidth="1"/>
    <col min="53" max="53" width="8.88671875" style="2"/>
    <col min="54" max="54" width="9.109375" style="2" customWidth="1"/>
    <col min="55" max="55" width="9.5546875" style="2" customWidth="1"/>
    <col min="56" max="56" width="12.44140625" style="2" customWidth="1"/>
    <col min="57" max="72" width="8.88671875" style="2"/>
    <col min="73" max="73" width="37.6640625" style="2" customWidth="1"/>
    <col min="74" max="74" width="10.5546875" style="2" customWidth="1"/>
    <col min="75" max="86" width="8.88671875" style="2"/>
    <col min="87" max="87" width="19.44140625" style="2" customWidth="1"/>
    <col min="88" max="88" width="10.77734375" style="2" customWidth="1"/>
    <col min="89" max="89" width="8.88671875" style="2"/>
    <col min="90" max="90" width="19.44140625" style="2" customWidth="1"/>
    <col min="91" max="91" width="10.77734375" style="2" customWidth="1"/>
    <col min="92" max="95" width="8.88671875" style="2"/>
    <col min="96" max="96" width="19.44140625" style="2" customWidth="1"/>
    <col min="97" max="97" width="10.77734375" style="2" customWidth="1"/>
    <col min="98" max="98" width="8.88671875" style="2"/>
    <col min="99" max="99" width="9.33203125" style="2" customWidth="1"/>
    <col min="100" max="100" width="9.6640625" style="2" customWidth="1"/>
    <col min="101" max="101" width="8.88671875" style="2"/>
    <col min="102" max="102" width="9.6640625" style="2" customWidth="1"/>
    <col min="103" max="106" width="8.88671875" style="2"/>
    <col min="107" max="107" width="16" style="2" bestFit="1" customWidth="1"/>
    <col min="108" max="109" width="8.88671875" style="2"/>
    <col min="110" max="110" width="21.6640625" style="2" customWidth="1"/>
    <col min="111" max="111" width="9.77734375" style="2" customWidth="1"/>
    <col min="112" max="112" width="10.44140625" style="2" customWidth="1"/>
    <col min="113" max="113" width="9.77734375" style="2" customWidth="1"/>
    <col min="114" max="114" width="15.44140625" style="2" customWidth="1"/>
    <col min="115" max="115" width="9.77734375" style="2" customWidth="1"/>
    <col min="116" max="116" width="36.5546875" style="2" customWidth="1"/>
    <col min="117" max="118" width="9.77734375" style="2" customWidth="1"/>
    <col min="119" max="120" width="8.88671875" style="2"/>
    <col min="121" max="121" width="12.109375" style="2" customWidth="1"/>
    <col min="122" max="122" width="10.33203125" style="2" customWidth="1"/>
    <col min="123" max="123" width="12.44140625" style="2" customWidth="1"/>
    <col min="124" max="125" width="8.88671875" style="2"/>
    <col min="126" max="126" width="12.109375" style="2" customWidth="1"/>
    <col min="127" max="128" width="10.33203125" style="2" customWidth="1"/>
    <col min="129" max="150" width="8.88671875" style="2"/>
    <col min="151" max="151" width="9.88671875" style="2" customWidth="1"/>
    <col min="152" max="152" width="9.44140625" style="2" customWidth="1"/>
    <col min="153" max="153" width="10" style="2" customWidth="1"/>
    <col min="154" max="154" width="8.88671875" style="2"/>
    <col min="155" max="155" width="12.33203125" style="2" customWidth="1"/>
    <col min="156" max="440" width="8.88671875" style="2"/>
    <col min="441" max="441" width="23.88671875" style="2" customWidth="1"/>
    <col min="442" max="442" width="15.88671875" style="2" customWidth="1"/>
    <col min="443" max="443" width="12.77734375" style="2" customWidth="1"/>
    <col min="444" max="16384" width="8.88671875" style="2"/>
  </cols>
  <sheetData>
    <row r="1" spans="1:443">
      <c r="B1" s="55" t="str" cm="1">
        <f t="array" aca="1" ref="B1" ca="1">INDEX($B$3:$B$55,RANDBETWEEN(1,53),1)</f>
        <v>Lathdue</v>
      </c>
      <c r="C1" s="55" t="str" cm="1">
        <f t="array" aca="1" ref="C1" ca="1">INDEX($B$3:$B$53,RANDBETWEEN(1,51),1)</f>
        <v>Mythandra</v>
      </c>
      <c r="D1" s="55" t="str" cm="1">
        <f t="array" aca="1" ref="D1" ca="1">INDEX($B$3:$B$56,RANDBETWEEN(1,54),1)</f>
        <v>Talane</v>
      </c>
      <c r="E1" s="55" t="str" cm="1">
        <f t="array" aca="1" ref="E1" ca="1">INDEX($B$3:$B$53,RANDBETWEEN(1,51),1)</f>
        <v>Lathdue</v>
      </c>
      <c r="H1" s="55" t="str" cm="1">
        <f t="array" aca="1" ref="H1" ca="1">INDEX($B$3:$B$53,RANDBETWEEN(1,51),1)</f>
        <v>Shalice</v>
      </c>
      <c r="I1" s="55" t="str" cm="1">
        <f t="array" aca="1" ref="I1" ca="1">INDEX($B$3:$B$53,RANDBETWEEN(1,51),1)</f>
        <v>Narnra</v>
      </c>
    </row>
    <row r="2" spans="1:443" ht="40.5" thickBot="1">
      <c r="A2" s="2" t="s">
        <v>1485</v>
      </c>
      <c r="B2" s="2" t="s">
        <v>1351</v>
      </c>
      <c r="C2" s="2" t="s">
        <v>1524</v>
      </c>
      <c r="D2" s="2" t="s">
        <v>1352</v>
      </c>
      <c r="E2" s="2" t="s">
        <v>1525</v>
      </c>
      <c r="G2" s="2" t="s">
        <v>1643</v>
      </c>
      <c r="H2" s="2" t="s">
        <v>1351</v>
      </c>
      <c r="I2" s="2" t="s">
        <v>1352</v>
      </c>
      <c r="K2" s="30" t="s">
        <v>1643</v>
      </c>
      <c r="L2" s="30" t="s">
        <v>1641</v>
      </c>
      <c r="N2" s="2" t="s">
        <v>13124</v>
      </c>
      <c r="T2" s="56" t="str" cm="1">
        <f t="array" aca="1" ref="T2" ca="1">INDEX(Таблиця8[Interaction],RANDBETWEEN(1,20),1)</f>
        <v>What embarrassing thing did you see them doing?</v>
      </c>
      <c r="W2" s="56" t="str" cm="1">
        <f t="array" aca="1" ref="W2" ca="1">INDEX(Таблиця7[What we learn about you],RANDBETWEEN(1,100),1)</f>
        <v>What is the most cruel and hurtful thing you have ever said? Do you regret it?</v>
      </c>
      <c r="Z2" s="1190"/>
      <c r="AA2" s="1190"/>
      <c r="AB2" s="1190"/>
      <c r="AC2" s="1190"/>
      <c r="AD2" s="1190"/>
      <c r="AE2" s="1190"/>
      <c r="AF2" s="1190"/>
      <c r="AG2" s="1190"/>
      <c r="AH2" s="1190"/>
      <c r="AI2" s="1190"/>
      <c r="AJ2" s="1190"/>
      <c r="AK2" s="1190"/>
      <c r="AL2" s="1190"/>
      <c r="AM2" s="1190"/>
      <c r="AN2" s="1190"/>
      <c r="AO2" s="1190"/>
      <c r="AP2" s="1190"/>
      <c r="AQ2" s="1190"/>
      <c r="AR2" s="1190"/>
      <c r="AS2" s="1190"/>
      <c r="AT2" s="1190"/>
      <c r="AU2" s="1190"/>
      <c r="AV2" s="1190"/>
      <c r="AW2" s="1190"/>
      <c r="AX2" s="1190"/>
      <c r="AY2" s="1190"/>
      <c r="AZ2" s="1190"/>
      <c r="BA2" s="1190"/>
      <c r="BB2" s="1190"/>
      <c r="BC2" s="1190"/>
      <c r="BD2" s="1190"/>
      <c r="BE2" s="1190"/>
      <c r="BF2" s="1190"/>
      <c r="BG2" s="1190"/>
      <c r="BH2" s="1190"/>
      <c r="BI2" s="1190"/>
      <c r="BJ2" s="1190"/>
      <c r="BK2" s="1190"/>
      <c r="BL2" s="1190"/>
      <c r="BM2" s="1190"/>
      <c r="BN2" s="1190"/>
      <c r="BO2" s="1190"/>
      <c r="CI2" s="598" t="s">
        <v>12587</v>
      </c>
      <c r="CL2" s="598" t="s">
        <v>12581</v>
      </c>
      <c r="CM2" s="1191"/>
      <c r="CQ2" s="598" t="s">
        <v>12636</v>
      </c>
      <c r="DC2" s="71" t="s">
        <v>2078</v>
      </c>
      <c r="DD2" s="83" t="s">
        <v>2077</v>
      </c>
      <c r="DE2" s="83" t="s">
        <v>2076</v>
      </c>
      <c r="DF2" s="83" t="s">
        <v>2075</v>
      </c>
      <c r="DG2" s="83" t="s">
        <v>2074</v>
      </c>
      <c r="DH2" s="83" t="s">
        <v>2073</v>
      </c>
      <c r="DI2" s="83" t="s">
        <v>2072</v>
      </c>
      <c r="DJ2" s="83" t="s">
        <v>2071</v>
      </c>
      <c r="DK2" s="83" t="s">
        <v>2070</v>
      </c>
      <c r="DM2" s="1192" t="s">
        <v>5743</v>
      </c>
      <c r="DN2" s="1192" t="s">
        <v>5742</v>
      </c>
      <c r="DO2" s="1192" t="s">
        <v>5741</v>
      </c>
      <c r="DP2" s="1192" t="s">
        <v>5740</v>
      </c>
      <c r="DQ2" s="1192" t="s">
        <v>5739</v>
      </c>
      <c r="DR2" s="1192" t="s">
        <v>5738</v>
      </c>
      <c r="DS2" s="1190"/>
      <c r="DT2" s="1193" t="s">
        <v>5781</v>
      </c>
      <c r="DU2" s="1193" t="s">
        <v>5780</v>
      </c>
      <c r="DV2" s="1193" t="s">
        <v>5779</v>
      </c>
      <c r="DW2" s="1193"/>
      <c r="DX2" s="1190"/>
      <c r="DZ2" s="1194" t="s">
        <v>15536</v>
      </c>
      <c r="EA2" s="1194" t="s">
        <v>15537</v>
      </c>
      <c r="EB2" s="1195"/>
      <c r="EC2" s="1161" t="s">
        <v>15538</v>
      </c>
      <c r="ED2" s="1196"/>
      <c r="EE2" s="2248" t="s">
        <v>15539</v>
      </c>
      <c r="EF2" s="2249"/>
      <c r="EG2" s="2249"/>
      <c r="EH2" s="2249"/>
      <c r="EI2" s="2249"/>
      <c r="EJ2" s="1196"/>
      <c r="EK2" s="2248" t="s">
        <v>15540</v>
      </c>
      <c r="EL2" s="2249"/>
      <c r="EM2" s="2249"/>
      <c r="EN2" s="2249"/>
      <c r="EO2" s="1196"/>
      <c r="EP2" s="2248" t="s">
        <v>15541</v>
      </c>
      <c r="EQ2" s="2249"/>
      <c r="ER2" s="2249"/>
      <c r="ES2" s="2249"/>
      <c r="ET2" s="1196"/>
      <c r="EU2" s="955" t="s">
        <v>15542</v>
      </c>
      <c r="EV2" s="955" t="s">
        <v>15543</v>
      </c>
      <c r="EW2" s="955" t="s">
        <v>15544</v>
      </c>
      <c r="EY2" s="1190"/>
      <c r="EZ2" s="1190"/>
      <c r="FC2" s="1197"/>
      <c r="FD2" s="1197"/>
      <c r="IQ2" s="1189"/>
      <c r="LS2" s="1189"/>
    </row>
    <row r="3" spans="1:443" ht="18.75" thickTop="1">
      <c r="A3" s="2">
        <v>1</v>
      </c>
      <c r="B3" s="2" t="s">
        <v>1244</v>
      </c>
      <c r="C3" s="27" t="s">
        <v>1486</v>
      </c>
      <c r="D3" s="2" t="s">
        <v>1297</v>
      </c>
      <c r="E3" s="28" t="s">
        <v>1297</v>
      </c>
      <c r="G3" s="2">
        <v>1</v>
      </c>
      <c r="H3" s="2" t="s">
        <v>1486</v>
      </c>
      <c r="I3" s="2" t="s">
        <v>1297</v>
      </c>
      <c r="K3" s="2">
        <v>1</v>
      </c>
      <c r="L3" s="2" t="s">
        <v>479</v>
      </c>
      <c r="N3" s="2" t="s">
        <v>13127</v>
      </c>
      <c r="P3" s="30" t="s">
        <v>1643</v>
      </c>
      <c r="Q3" s="30" t="s">
        <v>1641</v>
      </c>
      <c r="S3" s="2" t="s">
        <v>1361</v>
      </c>
      <c r="T3" s="2" t="s">
        <v>1362</v>
      </c>
      <c r="V3" s="2" t="s">
        <v>1383</v>
      </c>
      <c r="W3" s="2" t="s">
        <v>1384</v>
      </c>
      <c r="Z3" s="1190"/>
      <c r="AA3" s="1198" t="s">
        <v>7509</v>
      </c>
      <c r="AB3" s="1190"/>
      <c r="AC3" s="1190"/>
      <c r="AD3" s="1190"/>
      <c r="AE3" s="1190"/>
      <c r="AF3" s="1190"/>
      <c r="AG3" s="1190"/>
      <c r="AH3" s="2" t="s">
        <v>7508</v>
      </c>
      <c r="AI3" s="2" t="s">
        <v>7507</v>
      </c>
      <c r="AJ3" s="2" t="s">
        <v>7506</v>
      </c>
      <c r="AK3" s="2" t="s">
        <v>7505</v>
      </c>
      <c r="AL3" s="2" t="s">
        <v>7504</v>
      </c>
      <c r="AM3" s="2" t="s">
        <v>7503</v>
      </c>
      <c r="AN3" s="2" t="s">
        <v>7502</v>
      </c>
      <c r="AO3" s="2" t="s">
        <v>7501</v>
      </c>
      <c r="AP3" s="2" t="s">
        <v>7500</v>
      </c>
      <c r="AQ3" s="2" t="s">
        <v>7499</v>
      </c>
      <c r="AR3" s="2" t="s">
        <v>7498</v>
      </c>
      <c r="AS3" s="1190"/>
      <c r="AT3" s="1190"/>
      <c r="AU3" s="106"/>
      <c r="AV3" s="106"/>
      <c r="AW3" s="106"/>
      <c r="AX3" s="106"/>
      <c r="AY3" s="106"/>
      <c r="AZ3" s="106"/>
      <c r="BA3" s="106"/>
      <c r="BB3" s="106"/>
      <c r="BC3" s="106"/>
      <c r="BD3" s="106"/>
      <c r="BE3" s="106"/>
      <c r="BF3" s="106"/>
      <c r="BG3" s="106"/>
      <c r="BH3" s="106"/>
      <c r="BI3" s="106"/>
      <c r="BJ3" s="403"/>
      <c r="BK3" s="403"/>
      <c r="BL3" s="1191"/>
      <c r="BM3" s="1191"/>
      <c r="BN3" s="1191"/>
      <c r="BO3" s="1191"/>
      <c r="BP3" s="1191"/>
      <c r="BQ3" s="1191"/>
      <c r="BR3" s="1191"/>
      <c r="BS3" s="1191"/>
      <c r="BT3" s="1191"/>
      <c r="BU3" s="1191"/>
      <c r="BV3" s="1191"/>
      <c r="BW3" s="1191"/>
      <c r="BX3" s="1191"/>
      <c r="BY3" s="1191"/>
      <c r="BZ3" s="1191"/>
      <c r="CA3" s="1191"/>
      <c r="CB3" s="1191"/>
      <c r="CC3" s="1191"/>
      <c r="CD3" s="1191"/>
      <c r="CE3" s="1191"/>
      <c r="CF3" s="1191"/>
      <c r="CG3" s="1191"/>
      <c r="CH3" s="1191"/>
      <c r="CK3" s="1191"/>
      <c r="CL3" s="2" t="s">
        <v>12582</v>
      </c>
      <c r="CR3" s="2" t="str" cm="1">
        <f t="array" aca="1" ref="CR3" ca="1">INDEX(Таблиця286[Spring/Fall],RANDBETWEEN(1,10),1)</f>
        <v>Rain</v>
      </c>
      <c r="CS3" s="2" t="str" cm="1">
        <f t="array" aca="1" ref="CS3" ca="1">INDEX(Таблиця286[Spring/Fall],RANDBETWEEN(1,10),1)</f>
        <v>Mild storm</v>
      </c>
      <c r="CT3" s="2" t="str" cm="1">
        <f t="array" aca="1" ref="CT3" ca="1">INDEX(Таблиця286[Spring/Fall],RANDBETWEEN(1,10),1)</f>
        <v>Rain</v>
      </c>
      <c r="DC3" s="1159" t="s">
        <v>2069</v>
      </c>
      <c r="DD3" s="1199">
        <v>-3</v>
      </c>
      <c r="DE3" s="1199">
        <v>-2</v>
      </c>
      <c r="DF3" s="1199">
        <v>-1</v>
      </c>
      <c r="DG3" s="1199">
        <v>0</v>
      </c>
      <c r="DH3" s="1199">
        <v>1</v>
      </c>
      <c r="DI3" s="1199">
        <v>2</v>
      </c>
      <c r="DJ3" s="1199">
        <v>3</v>
      </c>
      <c r="DK3" s="1199">
        <v>4</v>
      </c>
      <c r="DM3" s="1192" t="s">
        <v>5737</v>
      </c>
      <c r="DN3" s="1200">
        <v>1</v>
      </c>
      <c r="DO3" s="1200">
        <v>1</v>
      </c>
      <c r="DP3" s="1200">
        <v>0.75</v>
      </c>
      <c r="DQ3" s="1201">
        <v>14</v>
      </c>
      <c r="DR3" s="1201">
        <v>16</v>
      </c>
      <c r="DS3" s="1190"/>
      <c r="DT3" s="1022">
        <f>VLOOKUP([5]Weather!S12,CONFIG000!$DM$29:$DP$44,2,FALSE)</f>
        <v>6</v>
      </c>
      <c r="DU3" s="1022">
        <f>VLOOKUP([5]Weather!S12,CONFIG000!$DM$29:$DP$44,3,FALSE)</f>
        <v>0</v>
      </c>
      <c r="DV3" s="1022">
        <f>VLOOKUP([5]Weather!S12,CONFIG000!$DM$29:$DP$44,4,FALSE)</f>
        <v>0</v>
      </c>
      <c r="DW3" s="1022"/>
      <c r="DX3" s="1190"/>
      <c r="DZ3" s="997" t="s">
        <v>15545</v>
      </c>
      <c r="EA3" s="998">
        <v>3</v>
      </c>
      <c r="EB3" s="1195"/>
      <c r="EC3" s="998">
        <v>4.8499999999999996</v>
      </c>
      <c r="ED3" s="1196"/>
      <c r="EE3" s="999" t="s">
        <v>15546</v>
      </c>
      <c r="EF3" s="1000" t="s">
        <v>7510</v>
      </c>
      <c r="EG3" s="1000" t="s">
        <v>7514</v>
      </c>
      <c r="EH3" s="1000" t="s">
        <v>7518</v>
      </c>
      <c r="EI3" s="1000" t="s">
        <v>15547</v>
      </c>
      <c r="EJ3" s="1196"/>
      <c r="EK3" s="1001" t="s">
        <v>15546</v>
      </c>
      <c r="EL3" s="1002" t="s">
        <v>7510</v>
      </c>
      <c r="EM3" s="1002" t="s">
        <v>7514</v>
      </c>
      <c r="EN3" s="1002" t="s">
        <v>7518</v>
      </c>
      <c r="EO3" s="1202"/>
      <c r="EP3" s="1001" t="s">
        <v>15546</v>
      </c>
      <c r="EQ3" s="1002" t="s">
        <v>7510</v>
      </c>
      <c r="ER3" s="1002" t="s">
        <v>7514</v>
      </c>
      <c r="ES3" s="1002" t="s">
        <v>7518</v>
      </c>
      <c r="ET3" s="1196"/>
      <c r="EU3" s="1003">
        <f t="shared" ref="EU3:EW22" ca="1" si="0">RAND()</f>
        <v>0.37242822856096924</v>
      </c>
      <c r="EV3" s="1003">
        <f t="shared" ca="1" si="0"/>
        <v>0.50363401487224246</v>
      </c>
      <c r="EW3" s="1003">
        <f t="shared" ca="1" si="0"/>
        <v>0.33074651053859105</v>
      </c>
      <c r="EY3" s="1190"/>
      <c r="EZ3" s="1190"/>
      <c r="FC3" s="1197"/>
      <c r="FD3" s="1197"/>
      <c r="IQ3" s="1189"/>
      <c r="LS3" s="1189"/>
    </row>
    <row r="4" spans="1:443" ht="18">
      <c r="A4" s="2">
        <v>2</v>
      </c>
      <c r="B4" s="2" t="s">
        <v>1245</v>
      </c>
      <c r="C4" s="27" t="s">
        <v>1487</v>
      </c>
      <c r="D4" s="2" t="s">
        <v>1298</v>
      </c>
      <c r="E4" s="28" t="s">
        <v>1299</v>
      </c>
      <c r="G4" s="2">
        <v>2</v>
      </c>
      <c r="H4" s="2" t="s">
        <v>1487</v>
      </c>
      <c r="I4" s="2" t="s">
        <v>1299</v>
      </c>
      <c r="K4" s="2">
        <v>2</v>
      </c>
      <c r="L4" s="2" t="s">
        <v>369</v>
      </c>
      <c r="N4" s="2" t="s">
        <v>13125</v>
      </c>
      <c r="P4" s="29">
        <v>1</v>
      </c>
      <c r="Q4" s="29" t="s">
        <v>558</v>
      </c>
      <c r="S4" s="2">
        <v>1</v>
      </c>
      <c r="T4" s="2" t="s">
        <v>1363</v>
      </c>
      <c r="V4" s="2">
        <v>1</v>
      </c>
      <c r="W4" s="2" t="s">
        <v>1385</v>
      </c>
      <c r="Z4" s="1190"/>
      <c r="AA4" s="1203" t="s">
        <v>7497</v>
      </c>
      <c r="AB4" s="1190"/>
      <c r="AC4" s="1190"/>
      <c r="AD4" s="1190"/>
      <c r="AE4" s="1190"/>
      <c r="AF4" s="1190"/>
      <c r="AG4" s="1190"/>
      <c r="AH4" s="2">
        <f t="array" ref="AH4:AH17">IFERROR( IF( VLOOKUP( MagicItemContainers, Containers, 13, FALSE) = "Equipped",MagicItemWeights,0 ),0 )</f>
        <v>0</v>
      </c>
      <c r="AI4" s="2">
        <f t="array" ref="AI4:AI17">IFERROR( IF( VLOOKUP( MagicItemContainers, Containers, 13, FALSE) = "Mount",MagicItemWeights,0 ),0 )</f>
        <v>0</v>
      </c>
      <c r="AJ4" s="2" t="str">
        <f t="array" ref="AJ4:AJ8">IFERROR(CoinQuantities*0.02,"")</f>
        <v/>
      </c>
      <c r="AK4" s="2" t="str">
        <f t="array" ref="AK4:AK8">IFERROR(GemQuantities*0.1,"")</f>
        <v/>
      </c>
      <c r="AL4" s="2">
        <f t="array" ref="AL4:AL9">IFERROR( IF( VLOOKUP( StockContainers, Containers, 13, FALSE) = "Equipped",StockTotalWeights,0 ),0 )</f>
        <v>0</v>
      </c>
      <c r="AM4" s="2">
        <f t="array" ref="AM4:AM9">IFERROR( IF( VLOOKUP( StockContainers, Containers, 13, FALSE) = "Mount",StockTotalWeights,0 ),0 )</f>
        <v>0</v>
      </c>
      <c r="AN4" s="2">
        <f t="array" ref="AN4:AN54">IFERROR( IF( VLOOKUP( ItemContainers, Containers, 13, FALSE) = "Equipped",ItemTotalWeights,0 ),0 )</f>
        <v>0</v>
      </c>
      <c r="AO4" s="2">
        <f t="array" ref="AO4:AO54">IFERROR( IF( VLOOKUP( ItemContainers, Containers, 13, FALSE) = "Mount",ItemTotalWeights,0 ),0 )</f>
        <v>0</v>
      </c>
      <c r="AP4" s="2" t="e">
        <f t="array" ref="AP4:AP13">IF( SlotsCheckbox="Y", SUMIF( ItemContainers,ContainerNames,ItemQuantity ) + SUMIF( StockContainers,ContainerNames,StockQuantities ) + COUNTIF( MagicItemContainers,ContainerNames ) + sumif ( CoinContainer, ContainerNames, TotalCoinsGems ), SUMIF( ItemContainers,ContainerNames,ItemTotalWeights ) + SUMIF( StockContainers,ContainerNames,StockTotalWeights ) + SUMIF( MagicItemContainers, ContainerNames, MagicItemWeights ) + SUMIF( CoinContainer, ContainerNames, MoneyTotalWeight ) )</f>
        <v>#NAME?</v>
      </c>
      <c r="AQ4" s="2" t="str">
        <f t="array" ref="AQ4:AQ54">IFERROR(ItemWeight*IF(ISBLANK(ItemQuantity),1,ItemQuantity),"")</f>
        <v/>
      </c>
      <c r="AR4" s="2" t="str">
        <f t="array" ref="AR4:AR9">IFERROR(#REF!*IF(ISBLANK(#REF!),0,#REF!),"")</f>
        <v/>
      </c>
      <c r="AS4" s="1190"/>
      <c r="AT4" s="1190"/>
      <c r="AU4" s="106"/>
      <c r="AV4" s="106"/>
      <c r="AW4" s="106"/>
      <c r="AX4" s="106"/>
      <c r="AY4" s="106"/>
      <c r="AZ4" s="106"/>
      <c r="BA4" s="106"/>
      <c r="BB4" s="106"/>
      <c r="BC4" s="106"/>
      <c r="BD4" s="106"/>
      <c r="BE4" s="106"/>
      <c r="BF4" s="106"/>
      <c r="BG4" s="106"/>
      <c r="BH4" s="106"/>
      <c r="BI4" s="106"/>
      <c r="BJ4" s="403"/>
      <c r="BK4" s="403"/>
      <c r="BL4" s="1191"/>
      <c r="BM4" s="1191"/>
      <c r="BP4" s="689" t="s">
        <v>2305</v>
      </c>
      <c r="CI4" s="2" t="s">
        <v>12583</v>
      </c>
      <c r="CJ4" s="2" t="s">
        <v>551</v>
      </c>
      <c r="CL4" s="2" t="s">
        <v>12583</v>
      </c>
      <c r="CM4" s="2" t="s">
        <v>551</v>
      </c>
      <c r="CQ4" s="2" t="s">
        <v>15310</v>
      </c>
      <c r="CR4" s="2" t="s">
        <v>12637</v>
      </c>
      <c r="CS4" s="2" t="s">
        <v>12638</v>
      </c>
      <c r="CT4" s="2" t="s">
        <v>131</v>
      </c>
      <c r="DC4" s="1159" t="s">
        <v>2068</v>
      </c>
      <c r="DD4" s="1199">
        <v>1.08</v>
      </c>
      <c r="DE4" s="1199">
        <v>1.05</v>
      </c>
      <c r="DF4" s="1199">
        <v>1.02</v>
      </c>
      <c r="DG4" s="1199">
        <v>1</v>
      </c>
      <c r="DH4" s="1199">
        <v>0.98</v>
      </c>
      <c r="DI4" s="1199">
        <v>0.95</v>
      </c>
      <c r="DJ4" s="1199">
        <v>0.93</v>
      </c>
      <c r="DK4" s="1199">
        <v>0.9</v>
      </c>
      <c r="DM4" s="1192" t="s">
        <v>5736</v>
      </c>
      <c r="DN4" s="1200">
        <v>1</v>
      </c>
      <c r="DO4" s="1200">
        <v>0.5</v>
      </c>
      <c r="DP4" s="1200">
        <v>0.5</v>
      </c>
      <c r="DQ4" s="1201">
        <v>12</v>
      </c>
      <c r="DR4" s="1201">
        <v>20</v>
      </c>
      <c r="DS4" s="1190"/>
      <c r="DT4" s="1022">
        <f>VLOOKUP([5]Weather!S13,CONFIG000!$DM$47:$DP$51,2,FALSE)</f>
        <v>2</v>
      </c>
      <c r="DU4" s="1022">
        <f>VLOOKUP([5]Weather!S13,CONFIG000!$DM$47:$DP$51,3,FALSE)</f>
        <v>5</v>
      </c>
      <c r="DV4" s="1022">
        <f>VLOOKUP([5]Weather!S13,CONFIG000!$DM$47:$DP$51,4,FALSE)</f>
        <v>0</v>
      </c>
      <c r="DW4" s="1022"/>
      <c r="DX4" s="1190"/>
      <c r="DZ4" s="1004" t="s">
        <v>15548</v>
      </c>
      <c r="EA4" s="1005">
        <v>11</v>
      </c>
      <c r="EB4" s="1195"/>
      <c r="EC4" s="1195"/>
      <c r="ED4" s="1196"/>
      <c r="EE4" s="1006" t="s">
        <v>7510</v>
      </c>
      <c r="EF4" s="1007">
        <f t="array" ref="EF4">EF17/(INDEX($EB$11:$EB$22,MATCH([5]Weather!$B$4,$DZ$11:$DZ$22,0))*INDEX($EB$25:$EB$34,MATCH([5]Weather!$E$4,$DZ$25:$DZ$34,0)))</f>
        <v>387.5</v>
      </c>
      <c r="EG4" s="1007">
        <f t="array" ref="EG4">EG17*(INDEX($EB$11:$EB$22,MATCH([5]Weather!$B$4,$DZ$11:$DZ$22,0))*INDEX($EB$25:$EB$34,MATCH([5]Weather!$E$4,$DZ$25:$DZ$34,0)))</f>
        <v>1.68</v>
      </c>
      <c r="EH4" s="1007">
        <f t="array" ref="EH4">EH17*(INDEX($EB$11:$EB$22,MATCH([5]Weather!$B$4,$DZ$11:$DZ$22,0))*INDEX($EB$25:$EB$34,MATCH([5]Weather!$E$4,$DZ$25:$DZ$34,0)))</f>
        <v>0.48</v>
      </c>
      <c r="EI4" s="1008" t="str">
        <f>ROUND(100*EF4/SUM(EF4:EH4),0)&amp;"/"&amp;ROUND(100*EG4/SUM(EF4:EH4),0)&amp;"/"&amp;ROUND(100*EH4/SUM(EF4:EH4),0)</f>
        <v>99/0/0</v>
      </c>
      <c r="EJ4" s="1196"/>
      <c r="EK4" s="1006" t="s">
        <v>7510</v>
      </c>
      <c r="EL4" s="1204">
        <f>SUM($EE4:EE4)/SUM($EF4:$EH4)</f>
        <v>0</v>
      </c>
      <c r="EM4" s="1204">
        <f>SUM($EE4:EF4)/SUM($EF4:$EH4)</f>
        <v>0.99445670584612222</v>
      </c>
      <c r="EN4" s="1204">
        <f>SUM($EE4:EG4)/SUM($EF4:$EH4)</f>
        <v>0.99876815685469378</v>
      </c>
      <c r="EO4" s="1196"/>
      <c r="EP4" s="1006" t="s">
        <v>7510</v>
      </c>
      <c r="EQ4" s="1204">
        <f t="shared" ref="EQ4:ES6" si="1">EF4/SUM($EF4:$EH4)</f>
        <v>0.99445670584612222</v>
      </c>
      <c r="ER4" s="1204">
        <f t="shared" si="1"/>
        <v>4.3114510085715749E-3</v>
      </c>
      <c r="ES4" s="1204">
        <f t="shared" si="1"/>
        <v>1.2318431453061643E-3</v>
      </c>
      <c r="ET4" s="1196"/>
      <c r="EU4" s="1003">
        <f t="shared" ca="1" si="0"/>
        <v>0.45318719557378073</v>
      </c>
      <c r="EV4" s="1003">
        <f t="shared" ca="1" si="0"/>
        <v>0.58752717707279634</v>
      </c>
      <c r="EW4" s="1003">
        <f t="shared" ca="1" si="0"/>
        <v>0.4800477835021717</v>
      </c>
      <c r="EY4" s="1190"/>
      <c r="EZ4" s="1190"/>
      <c r="FC4" s="1197"/>
      <c r="FD4" s="1197"/>
      <c r="FS4" s="1197"/>
      <c r="FT4" s="1197"/>
      <c r="IC4" s="1197"/>
      <c r="ID4" s="1197"/>
      <c r="IQ4" s="1189"/>
      <c r="LS4" s="1189"/>
      <c r="OO4" t="s">
        <v>18323</v>
      </c>
      <c r="OP4"/>
    </row>
    <row r="5" spans="1:443" ht="18">
      <c r="A5" s="2">
        <v>3</v>
      </c>
      <c r="B5" s="2" t="s">
        <v>1246</v>
      </c>
      <c r="C5" s="27" t="s">
        <v>1488</v>
      </c>
      <c r="D5" s="2" t="s">
        <v>1299</v>
      </c>
      <c r="E5" s="28" t="s">
        <v>1526</v>
      </c>
      <c r="G5" s="2">
        <v>3</v>
      </c>
      <c r="H5" s="2" t="s">
        <v>1488</v>
      </c>
      <c r="I5" s="2" t="s">
        <v>1526</v>
      </c>
      <c r="K5" s="2">
        <v>3</v>
      </c>
      <c r="L5" s="2" t="s">
        <v>86</v>
      </c>
      <c r="N5" s="2" t="s">
        <v>13126</v>
      </c>
      <c r="P5" s="29">
        <v>2</v>
      </c>
      <c r="Q5" s="29" t="s">
        <v>1566</v>
      </c>
      <c r="S5" s="2">
        <v>2</v>
      </c>
      <c r="T5" s="2" t="s">
        <v>1364</v>
      </c>
      <c r="V5" s="2">
        <v>2</v>
      </c>
      <c r="W5" s="2" t="s">
        <v>1386</v>
      </c>
      <c r="Z5" s="1190"/>
      <c r="AA5" s="1203" t="s">
        <v>7496</v>
      </c>
      <c r="AB5" s="1190"/>
      <c r="AC5" s="1190"/>
      <c r="AD5" s="1190"/>
      <c r="AE5" s="1190"/>
      <c r="AF5" s="1190"/>
      <c r="AG5" s="1190"/>
      <c r="AH5" s="2">
        <v>0</v>
      </c>
      <c r="AI5" s="2">
        <v>0</v>
      </c>
      <c r="AJ5" s="2" t="str">
        <v/>
      </c>
      <c r="AK5" s="2" t="str">
        <v/>
      </c>
      <c r="AL5" s="2">
        <v>0</v>
      </c>
      <c r="AM5" s="2">
        <v>0</v>
      </c>
      <c r="AN5" s="2">
        <v>0</v>
      </c>
      <c r="AO5" s="2">
        <v>0</v>
      </c>
      <c r="AP5" s="2" t="e">
        <v>#NAME?</v>
      </c>
      <c r="AQ5" s="2" t="str">
        <v/>
      </c>
      <c r="AR5" s="2" t="str">
        <v/>
      </c>
      <c r="AS5" s="1190"/>
      <c r="AT5" s="1190"/>
      <c r="AU5" s="106"/>
      <c r="AV5" s="106"/>
      <c r="AW5" s="106"/>
      <c r="AX5" s="106"/>
      <c r="AY5" s="106"/>
      <c r="AZ5" s="106"/>
      <c r="BA5" s="106"/>
      <c r="BB5" s="106"/>
      <c r="BC5" s="106"/>
      <c r="BD5" s="106"/>
      <c r="BE5" s="106"/>
      <c r="BF5" s="106"/>
      <c r="BG5" s="106"/>
      <c r="BH5" s="106"/>
      <c r="BI5" s="106"/>
      <c r="BJ5" s="403"/>
      <c r="BK5" s="403"/>
      <c r="BL5" s="1191"/>
      <c r="BM5" s="1191"/>
      <c r="CI5" s="2">
        <v>2</v>
      </c>
      <c r="CJ5" s="2" t="s">
        <v>12588</v>
      </c>
      <c r="CL5" s="2">
        <v>2</v>
      </c>
      <c r="CQ5" s="2">
        <v>1</v>
      </c>
      <c r="CR5" s="2" t="s">
        <v>12639</v>
      </c>
      <c r="CS5" s="2" t="s">
        <v>12639</v>
      </c>
      <c r="CT5" s="2" t="s">
        <v>12639</v>
      </c>
      <c r="DC5" s="1159" t="s">
        <v>2067</v>
      </c>
      <c r="DD5" s="1199">
        <v>1.3</v>
      </c>
      <c r="DE5" s="1199">
        <v>1.1000000000000001</v>
      </c>
      <c r="DF5" s="1199">
        <v>1.05</v>
      </c>
      <c r="DG5" s="1199">
        <v>1</v>
      </c>
      <c r="DH5" s="1199">
        <v>0.96</v>
      </c>
      <c r="DI5" s="1199">
        <v>0.95</v>
      </c>
      <c r="DJ5" s="1199">
        <v>0.9</v>
      </c>
      <c r="DK5" s="1199">
        <v>0.85</v>
      </c>
      <c r="DM5" s="1192" t="s">
        <v>5735</v>
      </c>
      <c r="DN5" s="1200">
        <v>1</v>
      </c>
      <c r="DO5" s="1200">
        <v>1</v>
      </c>
      <c r="DP5" s="1200">
        <v>0.5</v>
      </c>
      <c r="DQ5" s="1201">
        <v>14</v>
      </c>
      <c r="DR5" s="1201">
        <v>14</v>
      </c>
      <c r="DS5" s="1190"/>
      <c r="DT5" s="1022">
        <f>IF([5]Weather!S14="yes",0.75,1)</f>
        <v>1</v>
      </c>
      <c r="DU5" s="1022">
        <f>IF([5]Weather!S14="yes",-4,0)</f>
        <v>0</v>
      </c>
      <c r="DV5" s="1022">
        <f>IF([5]Weather!S14="yes",-4,0)</f>
        <v>0</v>
      </c>
      <c r="DW5" s="1022"/>
      <c r="DX5" s="1190"/>
      <c r="DZ5" s="997" t="s">
        <v>15549</v>
      </c>
      <c r="EA5" s="998">
        <v>4</v>
      </c>
      <c r="EB5" s="1195"/>
      <c r="EC5" s="1195" t="str">
        <f>[5]Weather!B4</f>
        <v>Early Summer</v>
      </c>
      <c r="ED5" s="1196"/>
      <c r="EE5" s="1000" t="s">
        <v>7514</v>
      </c>
      <c r="EF5" s="1009">
        <f t="array" ref="EF5">EF18/(INDEX($EB$11:$EB$22,MATCH([5]Weather!$B$4,$DZ$11:$DZ$22,0))*INDEX($EB$25:$EB$34,MATCH([5]Weather!$E$4,$DZ$25:$DZ$34,0)))</f>
        <v>145.83333333333334</v>
      </c>
      <c r="EG5" s="1009">
        <f t="array" ref="EG5">EG18*(INDEX($EB$11:$EB$22,MATCH([5]Weather!$B$4,$DZ$11:$DZ$22,0))*INDEX($EB$25:$EB$34,MATCH([5]Weather!$E$4,$DZ$25:$DZ$34,0)))</f>
        <v>15.6</v>
      </c>
      <c r="EH5" s="1009">
        <f t="array" ref="EH5">EH18*(INDEX($EB$11:$EB$22,MATCH([5]Weather!$B$4,$DZ$11:$DZ$22,0))*INDEX($EB$25:$EB$34,MATCH([5]Weather!$E$4,$DZ$25:$DZ$34,0)))</f>
        <v>3.5999999999999996</v>
      </c>
      <c r="EI5" s="1008" t="str">
        <f>ROUND(100*EF5/SUM(EF5:EH5),0)&amp;"/"&amp;ROUND(100*EG5/SUM(EF5:EH5),0)&amp;"/"&amp;ROUND(100*EH5/SUM(EF5:EH5),0)</f>
        <v>88/9/2</v>
      </c>
      <c r="EJ5" s="1196"/>
      <c r="EK5" s="1000" t="s">
        <v>7514</v>
      </c>
      <c r="EL5" s="1204">
        <f>SUM($EE5:EE5)/SUM($EF5:$EH5)</f>
        <v>0</v>
      </c>
      <c r="EM5" s="1204">
        <f>SUM($EE5:EF5)/SUM($EF5:$EH5)</f>
        <v>0.88365986669359731</v>
      </c>
      <c r="EN5" s="1204">
        <f>SUM($EE5:EG5)/SUM($EF5:$EH5)</f>
        <v>0.97818622500504948</v>
      </c>
      <c r="EO5" s="1196"/>
      <c r="EP5" s="1000" t="s">
        <v>7514</v>
      </c>
      <c r="EQ5" s="1204">
        <f t="shared" si="1"/>
        <v>0.88365986669359731</v>
      </c>
      <c r="ER5" s="1204">
        <f t="shared" si="1"/>
        <v>9.452635831145223E-2</v>
      </c>
      <c r="ES5" s="1204">
        <f t="shared" si="1"/>
        <v>2.1813774994950512E-2</v>
      </c>
      <c r="ET5" s="1196"/>
      <c r="EU5" s="1003">
        <f t="shared" ca="1" si="0"/>
        <v>0.28073652122805326</v>
      </c>
      <c r="EV5" s="1003">
        <f t="shared" ca="1" si="0"/>
        <v>5.5190453786889138E-2</v>
      </c>
      <c r="EW5" s="1003">
        <f t="shared" ca="1" si="0"/>
        <v>5.7251278940089745E-2</v>
      </c>
      <c r="EY5" s="2" t="s">
        <v>16330</v>
      </c>
      <c r="EZ5" s="1190"/>
      <c r="FA5" s="1197" t="s">
        <v>16072</v>
      </c>
      <c r="FB5" s="1197"/>
      <c r="FD5" s="1197" t="s">
        <v>16081</v>
      </c>
      <c r="FE5" s="1197"/>
      <c r="FG5" s="1197" t="s">
        <v>16089</v>
      </c>
      <c r="FH5" s="1197"/>
      <c r="FJ5" s="1197" t="s">
        <v>16097</v>
      </c>
      <c r="FK5" s="1197"/>
      <c r="FM5" s="1197" t="s">
        <v>16105</v>
      </c>
      <c r="FN5" s="1197"/>
      <c r="FP5" s="1197" t="s">
        <v>16113</v>
      </c>
      <c r="FQ5" s="1197"/>
      <c r="FS5" s="1197" t="s">
        <v>16121</v>
      </c>
      <c r="FT5" s="1197"/>
      <c r="FV5" s="1197" t="s">
        <v>16129</v>
      </c>
      <c r="FW5" s="1197"/>
      <c r="FY5" s="1197" t="s">
        <v>16137</v>
      </c>
      <c r="FZ5" s="1197"/>
      <c r="GA5" s="1197" t="s">
        <v>16145</v>
      </c>
      <c r="GB5" s="1197"/>
      <c r="GC5" s="1197" t="s">
        <v>16153</v>
      </c>
      <c r="GD5" s="1197"/>
      <c r="GF5" s="1197" t="s">
        <v>16161</v>
      </c>
      <c r="GG5" s="1197"/>
      <c r="GI5" s="1197" t="s">
        <v>16169</v>
      </c>
      <c r="GJ5" s="1197"/>
      <c r="GL5" s="1197" t="s">
        <v>16177</v>
      </c>
      <c r="GM5" s="1197"/>
      <c r="GP5" s="1197" t="s">
        <v>16192</v>
      </c>
      <c r="GQ5" s="1197"/>
      <c r="GS5" s="1197" t="s">
        <v>16200</v>
      </c>
      <c r="GT5" s="1197"/>
      <c r="GU5" s="1197" t="s">
        <v>16208</v>
      </c>
      <c r="GV5" s="1197"/>
      <c r="GW5" s="1197" t="s">
        <v>16216</v>
      </c>
      <c r="GX5" s="1197"/>
      <c r="GZ5" s="1197" t="s">
        <v>16224</v>
      </c>
      <c r="HA5" s="1197"/>
      <c r="HC5" s="1197" t="s">
        <v>16232</v>
      </c>
      <c r="HD5" s="1197"/>
      <c r="HF5" s="1197" t="s">
        <v>16240</v>
      </c>
      <c r="HG5" s="1197"/>
      <c r="HI5" s="1197" t="s">
        <v>16248</v>
      </c>
      <c r="HJ5" s="1197"/>
      <c r="HL5" s="1197" t="s">
        <v>16256</v>
      </c>
      <c r="HM5" s="1197"/>
      <c r="HN5" s="1197" t="s">
        <v>16264</v>
      </c>
      <c r="HO5" s="1197"/>
      <c r="HQ5" s="1197" t="s">
        <v>16272</v>
      </c>
      <c r="HR5" s="1197"/>
      <c r="HT5" s="1197" t="s">
        <v>16280</v>
      </c>
      <c r="HU5" s="1197"/>
      <c r="HW5" s="1197" t="s">
        <v>16288</v>
      </c>
      <c r="HX5" s="1197"/>
      <c r="HZ5" s="1197" t="s">
        <v>16296</v>
      </c>
      <c r="IA5" s="1197"/>
      <c r="IC5" s="1197" t="s">
        <v>16304</v>
      </c>
      <c r="ID5" s="1197"/>
      <c r="IF5" s="1197" t="s">
        <v>16312</v>
      </c>
      <c r="IG5" s="1197"/>
      <c r="II5" s="1197" t="s">
        <v>16320</v>
      </c>
      <c r="IJ5" s="1197"/>
      <c r="IQ5" s="1189"/>
      <c r="LS5" s="1189"/>
      <c r="OO5" t="s">
        <v>18324</v>
      </c>
      <c r="OP5"/>
      <c r="OS5" s="1197" t="s">
        <v>18331</v>
      </c>
      <c r="OT5" s="1197"/>
      <c r="OV5" s="1259" t="s">
        <v>2533</v>
      </c>
      <c r="OW5" s="1259"/>
      <c r="OY5" s="1259" t="s">
        <v>9648</v>
      </c>
      <c r="OZ5" s="1259"/>
      <c r="PA5" s="1259" t="s">
        <v>18458</v>
      </c>
      <c r="PB5" s="1259"/>
      <c r="PD5" s="1259" t="s">
        <v>18490</v>
      </c>
      <c r="PE5" s="1259"/>
      <c r="PG5" s="1259" t="s">
        <v>18501</v>
      </c>
      <c r="PH5" s="1259"/>
      <c r="PN5" s="1259" t="s">
        <v>18525</v>
      </c>
      <c r="PS5" s="1259" t="s">
        <v>18544</v>
      </c>
      <c r="PT5" s="1259"/>
      <c r="PV5" s="1259" t="s">
        <v>18591</v>
      </c>
      <c r="PW5" s="1259"/>
      <c r="PY5" s="1259" t="s">
        <v>18604</v>
      </c>
      <c r="PZ5" s="1259"/>
      <c r="QA5" s="1259"/>
    </row>
    <row r="6" spans="1:443" ht="18.75" thickBot="1">
      <c r="A6" s="2">
        <v>4</v>
      </c>
      <c r="B6" s="2" t="s">
        <v>1247</v>
      </c>
      <c r="C6" s="27" t="s">
        <v>1489</v>
      </c>
      <c r="D6" s="2" t="s">
        <v>1300</v>
      </c>
      <c r="E6" s="28" t="s">
        <v>1527</v>
      </c>
      <c r="G6" s="2">
        <v>4</v>
      </c>
      <c r="H6" s="2" t="s">
        <v>1489</v>
      </c>
      <c r="I6" s="2" t="s">
        <v>1527</v>
      </c>
      <c r="K6" s="2">
        <v>4</v>
      </c>
      <c r="L6" s="2" t="s">
        <v>386</v>
      </c>
      <c r="N6" s="2" t="s">
        <v>13128</v>
      </c>
      <c r="P6" s="29">
        <v>3</v>
      </c>
      <c r="Q6" s="29" t="s">
        <v>1567</v>
      </c>
      <c r="S6" s="2">
        <v>3</v>
      </c>
      <c r="T6" s="2" t="s">
        <v>1365</v>
      </c>
      <c r="V6" s="2">
        <v>3</v>
      </c>
      <c r="W6" s="2" t="s">
        <v>1387</v>
      </c>
      <c r="Z6" s="1190"/>
      <c r="AA6" s="1205" t="s">
        <v>7495</v>
      </c>
      <c r="AB6" s="1190"/>
      <c r="AC6" s="1190"/>
      <c r="AD6" s="1190"/>
      <c r="AE6" s="1190"/>
      <c r="AF6" s="1190"/>
      <c r="AG6" s="1190"/>
      <c r="AH6" s="2">
        <v>0</v>
      </c>
      <c r="AI6" s="2">
        <v>0</v>
      </c>
      <c r="AJ6" s="2" t="str">
        <v/>
      </c>
      <c r="AK6" s="2" t="str">
        <v/>
      </c>
      <c r="AL6" s="2">
        <v>0</v>
      </c>
      <c r="AM6" s="2">
        <v>0</v>
      </c>
      <c r="AN6" s="2">
        <v>0</v>
      </c>
      <c r="AO6" s="2">
        <v>0</v>
      </c>
      <c r="AP6" s="2" t="e">
        <v>#NAME?</v>
      </c>
      <c r="AQ6" s="2" t="str">
        <v/>
      </c>
      <c r="AR6" s="2" t="str">
        <v/>
      </c>
      <c r="AS6" s="1190"/>
      <c r="AT6" s="1190"/>
      <c r="AU6" s="106"/>
      <c r="AV6" s="106"/>
      <c r="AW6" s="106"/>
      <c r="AX6" s="106"/>
      <c r="AY6" s="106"/>
      <c r="AZ6" s="106"/>
      <c r="BA6" s="106"/>
      <c r="BB6" s="106"/>
      <c r="BC6" s="106"/>
      <c r="BD6" s="106"/>
      <c r="BE6" s="106"/>
      <c r="BF6" s="106"/>
      <c r="BG6" s="106"/>
      <c r="BH6" s="106"/>
      <c r="BI6" s="106"/>
      <c r="BJ6" s="403"/>
      <c r="BK6" s="403"/>
      <c r="BL6" s="1191"/>
      <c r="BM6" s="1191"/>
      <c r="CI6" s="2">
        <v>3</v>
      </c>
      <c r="CJ6" s="2" t="s">
        <v>12589</v>
      </c>
      <c r="CL6" s="2">
        <v>3</v>
      </c>
      <c r="CQ6" s="2">
        <v>2</v>
      </c>
      <c r="CR6" s="2" t="s">
        <v>12639</v>
      </c>
      <c r="CS6" s="2" t="s">
        <v>12639</v>
      </c>
      <c r="CT6" s="2" t="s">
        <v>12640</v>
      </c>
      <c r="DC6" s="1159" t="s">
        <v>2066</v>
      </c>
      <c r="DD6" s="1199">
        <v>0.95</v>
      </c>
      <c r="DE6" s="1199"/>
      <c r="DF6" s="1199"/>
      <c r="DG6" s="1199"/>
      <c r="DH6" s="1199"/>
      <c r="DI6" s="1199"/>
      <c r="DJ6" s="1199"/>
      <c r="DK6" s="1199"/>
      <c r="DM6" s="1192" t="s">
        <v>5734</v>
      </c>
      <c r="DN6" s="1200">
        <v>1</v>
      </c>
      <c r="DO6" s="1200">
        <v>1</v>
      </c>
      <c r="DP6" s="1200">
        <v>0.5</v>
      </c>
      <c r="DQ6" s="1201">
        <v>16</v>
      </c>
      <c r="DR6" s="1201">
        <v>14</v>
      </c>
      <c r="DS6" s="1190"/>
      <c r="DT6" s="1156">
        <f t="array" ref="DT6">INDEX(CONFIG000!$DN$3:$DP$14,MATCH([5]Weather!S15,CONFIG000!$DM$3:$DM$14,0),MATCH([5]Weather!S16,CONFIG000!$DM$2:$DR$2,0)-1)</f>
        <v>1</v>
      </c>
      <c r="DU6" s="1022"/>
      <c r="DV6" s="1022"/>
      <c r="DW6" s="1022"/>
      <c r="DX6" s="1190"/>
      <c r="DZ6" s="1004" t="s">
        <v>15550</v>
      </c>
      <c r="EA6" s="1005">
        <v>-2</v>
      </c>
      <c r="EB6" s="1195"/>
      <c r="EC6" s="1195" t="str">
        <f>[5]Weather!E4</f>
        <v>Desert</v>
      </c>
      <c r="ED6" s="1196"/>
      <c r="EE6" s="1006" t="s">
        <v>7518</v>
      </c>
      <c r="EF6" s="1007">
        <f t="array" ref="EF6">EF19/(INDEX($EB$11:$EB$22,MATCH([5]Weather!$B$4,$DZ$11:$DZ$22,0))*INDEX($EB$25:$EB$34,MATCH([5]Weather!$E$4,$DZ$25:$DZ$34,0)))</f>
        <v>270.83333333333337</v>
      </c>
      <c r="EG6" s="1007">
        <f t="array" ref="EG6">EG19*(INDEX($EB$11:$EB$22,MATCH([5]Weather!$B$4,$DZ$11:$DZ$22,0))*INDEX($EB$25:$EB$34,MATCH([5]Weather!$E$4,$DZ$25:$DZ$34,0)))</f>
        <v>10.799999999999999</v>
      </c>
      <c r="EH6" s="1007">
        <f t="array" ref="EH6">EH19*(INDEX($EB$11:$EB$22,MATCH([5]Weather!$B$4,$DZ$11:$DZ$22,0))*INDEX($EB$25:$EB$34,MATCH([5]Weather!$E$4,$DZ$25:$DZ$34,0)))</f>
        <v>8.4</v>
      </c>
      <c r="EI6" s="1008" t="str">
        <f>ROUND(100*EF6/SUM(EF6:EH6),0)&amp;"/"&amp;ROUND(100*EG6/SUM(EF6:EH6),0)&amp;"/"&amp;ROUND(100*EH6/SUM(EF6:EH6),0)</f>
        <v>93/4/3</v>
      </c>
      <c r="EJ6" s="1196"/>
      <c r="EK6" s="1006" t="s">
        <v>7518</v>
      </c>
      <c r="EL6" s="1204">
        <f>SUM($EE6:EE6)/SUM($EF6:$EH6)</f>
        <v>0</v>
      </c>
      <c r="EM6" s="1204">
        <f>SUM($EE6:EF6)/SUM($EF6:$EH6)</f>
        <v>0.93380071256177455</v>
      </c>
      <c r="EN6" s="1204">
        <f>SUM($EE6:EG6)/SUM($EF6:$EH6)</f>
        <v>0.97103781174577641</v>
      </c>
      <c r="EO6" s="1196"/>
      <c r="EP6" s="1006" t="s">
        <v>7518</v>
      </c>
      <c r="EQ6" s="1204">
        <f t="shared" si="1"/>
        <v>0.93380071256177455</v>
      </c>
      <c r="ER6" s="1204">
        <f t="shared" si="1"/>
        <v>3.723709918400183E-2</v>
      </c>
      <c r="ES6" s="1204">
        <f t="shared" si="1"/>
        <v>2.8962188254223652E-2</v>
      </c>
      <c r="ET6" s="1196"/>
      <c r="EU6" s="1003">
        <f t="shared" ca="1" si="0"/>
        <v>0.47825263207507895</v>
      </c>
      <c r="EV6" s="1003">
        <f t="shared" ca="1" si="0"/>
        <v>0.80714677873074947</v>
      </c>
      <c r="EW6" s="1003">
        <f t="shared" ca="1" si="0"/>
        <v>0.89319877140243431</v>
      </c>
      <c r="EY6" s="2" t="s">
        <v>16331</v>
      </c>
      <c r="EZ6" s="1190"/>
      <c r="FA6" s="1197" t="s">
        <v>7952</v>
      </c>
      <c r="FB6" s="1197" t="s">
        <v>12234</v>
      </c>
      <c r="FD6" s="1197" t="s">
        <v>7952</v>
      </c>
      <c r="FE6" s="1197" t="s">
        <v>12234</v>
      </c>
      <c r="FG6" s="1197" t="s">
        <v>7952</v>
      </c>
      <c r="FH6" s="1197" t="s">
        <v>12234</v>
      </c>
      <c r="FJ6" s="1197" t="s">
        <v>7952</v>
      </c>
      <c r="FK6" s="1197" t="s">
        <v>12234</v>
      </c>
      <c r="FM6" s="1197" t="s">
        <v>7952</v>
      </c>
      <c r="FN6" s="1197" t="s">
        <v>12234</v>
      </c>
      <c r="FP6" s="1197" t="s">
        <v>7952</v>
      </c>
      <c r="FQ6" s="1197" t="s">
        <v>12234</v>
      </c>
      <c r="FS6" s="1197" t="s">
        <v>7952</v>
      </c>
      <c r="FT6" s="1197" t="s">
        <v>12234</v>
      </c>
      <c r="FV6" s="1197" t="s">
        <v>7952</v>
      </c>
      <c r="FW6" s="1197" t="s">
        <v>12234</v>
      </c>
      <c r="FY6" s="1197" t="s">
        <v>7952</v>
      </c>
      <c r="FZ6" s="1197" t="s">
        <v>12234</v>
      </c>
      <c r="GA6" s="1197" t="s">
        <v>7952</v>
      </c>
      <c r="GB6" s="1197" t="s">
        <v>12234</v>
      </c>
      <c r="GC6" s="1197" t="s">
        <v>7952</v>
      </c>
      <c r="GD6" s="1197" t="s">
        <v>12234</v>
      </c>
      <c r="GF6" s="1197" t="s">
        <v>7952</v>
      </c>
      <c r="GG6" s="1197" t="s">
        <v>12234</v>
      </c>
      <c r="GI6" s="1197" t="s">
        <v>7952</v>
      </c>
      <c r="GJ6" s="1197" t="s">
        <v>12234</v>
      </c>
      <c r="GL6" s="1197" t="s">
        <v>7952</v>
      </c>
      <c r="GM6" s="1197" t="s">
        <v>12234</v>
      </c>
      <c r="GP6" s="1197" t="s">
        <v>7952</v>
      </c>
      <c r="GQ6" s="1197" t="s">
        <v>12234</v>
      </c>
      <c r="GS6" s="1197" t="s">
        <v>7952</v>
      </c>
      <c r="GT6" s="1197" t="s">
        <v>12234</v>
      </c>
      <c r="GU6" s="1197" t="s">
        <v>7952</v>
      </c>
      <c r="GV6" s="1197" t="s">
        <v>12234</v>
      </c>
      <c r="GW6" s="1197" t="s">
        <v>7952</v>
      </c>
      <c r="GX6" s="1197" t="s">
        <v>12234</v>
      </c>
      <c r="GZ6" s="1197" t="s">
        <v>7952</v>
      </c>
      <c r="HA6" s="1197" t="s">
        <v>12234</v>
      </c>
      <c r="HC6" s="1197" t="s">
        <v>7952</v>
      </c>
      <c r="HD6" s="1197" t="s">
        <v>12234</v>
      </c>
      <c r="HF6" s="1197" t="s">
        <v>7952</v>
      </c>
      <c r="HG6" s="1197" t="s">
        <v>12234</v>
      </c>
      <c r="HI6" s="1197" t="s">
        <v>7952</v>
      </c>
      <c r="HJ6" s="1197" t="s">
        <v>12234</v>
      </c>
      <c r="HL6" s="1197" t="s">
        <v>7952</v>
      </c>
      <c r="HM6" s="1197" t="s">
        <v>12234</v>
      </c>
      <c r="HN6" s="1197" t="s">
        <v>7952</v>
      </c>
      <c r="HO6" s="1197" t="s">
        <v>12234</v>
      </c>
      <c r="HQ6" s="1197" t="s">
        <v>7952</v>
      </c>
      <c r="HR6" s="1197" t="s">
        <v>12234</v>
      </c>
      <c r="HT6" s="1197" t="s">
        <v>7952</v>
      </c>
      <c r="HU6" s="1197" t="s">
        <v>12234</v>
      </c>
      <c r="HW6" s="1197" t="s">
        <v>7952</v>
      </c>
      <c r="HX6" s="1197" t="s">
        <v>12234</v>
      </c>
      <c r="HZ6" s="1197" t="s">
        <v>7952</v>
      </c>
      <c r="IA6" s="1197" t="s">
        <v>12234</v>
      </c>
      <c r="IC6" s="1197" t="s">
        <v>7952</v>
      </c>
      <c r="ID6" s="1197" t="s">
        <v>12234</v>
      </c>
      <c r="IF6" s="1197" t="s">
        <v>7952</v>
      </c>
      <c r="IG6" s="1197" t="s">
        <v>12234</v>
      </c>
      <c r="II6" s="1197" t="s">
        <v>7952</v>
      </c>
      <c r="IJ6" s="1197" t="s">
        <v>12234</v>
      </c>
      <c r="IQ6" s="1189"/>
      <c r="IT6" s="1153"/>
      <c r="IU6" s="1153"/>
      <c r="IV6" s="1153"/>
      <c r="IW6" s="1153"/>
      <c r="IX6" s="1153"/>
      <c r="IY6" s="1153"/>
      <c r="IZ6" s="1153"/>
      <c r="JA6" s="1153"/>
      <c r="JB6" s="1153"/>
      <c r="JC6" s="1153"/>
      <c r="JD6" s="1153"/>
      <c r="JE6" s="1153"/>
      <c r="JF6" s="1153"/>
      <c r="JG6" s="1153"/>
      <c r="JH6" s="1153"/>
      <c r="JI6" s="1153"/>
      <c r="JJ6" s="1153"/>
      <c r="JK6" s="1153"/>
      <c r="JL6" s="1153"/>
      <c r="JM6" s="1153"/>
      <c r="JN6" s="1153"/>
      <c r="JO6" s="1153"/>
      <c r="JP6" s="1153"/>
      <c r="JQ6" s="1153"/>
      <c r="JR6" s="1153"/>
      <c r="JS6" s="1153"/>
      <c r="JT6" s="1153"/>
      <c r="JU6" s="1153"/>
      <c r="JV6" s="1153"/>
      <c r="JW6" s="1153"/>
      <c r="JX6" s="1153"/>
      <c r="JY6" s="1153"/>
      <c r="JZ6" s="1153"/>
      <c r="KA6" s="1153"/>
      <c r="KB6" s="1153"/>
      <c r="KC6" s="1153"/>
      <c r="KD6" s="1153"/>
      <c r="KE6" s="1153"/>
      <c r="KF6" s="1153"/>
      <c r="KG6" s="1153"/>
      <c r="KH6" s="1153"/>
      <c r="KI6" s="1153"/>
      <c r="KJ6" s="1153"/>
      <c r="KK6" s="1153"/>
      <c r="KL6" s="1153"/>
      <c r="KM6" s="1153"/>
      <c r="KN6" s="1153"/>
      <c r="KO6" s="1153"/>
      <c r="KP6" s="1153"/>
      <c r="KQ6" s="1153"/>
      <c r="KR6" s="1153"/>
      <c r="KS6" s="1153"/>
      <c r="KT6" s="1153"/>
      <c r="KU6" s="1153"/>
      <c r="KV6" s="1153"/>
      <c r="KW6" s="1153"/>
      <c r="KX6" s="1153"/>
      <c r="KY6" s="1153"/>
      <c r="KZ6" s="1153"/>
      <c r="LA6" s="1153"/>
      <c r="LB6" s="1153"/>
      <c r="LC6" s="1153"/>
      <c r="LD6" s="1153"/>
      <c r="LE6" s="1153"/>
      <c r="LF6" s="1153"/>
      <c r="LG6" s="1153"/>
      <c r="LH6" s="1153"/>
      <c r="LI6" s="1153"/>
      <c r="LJ6" s="1153"/>
      <c r="LK6" s="1153"/>
      <c r="LL6" s="1153"/>
      <c r="LM6" s="1153"/>
      <c r="LN6" s="1153"/>
      <c r="LO6" s="1153"/>
      <c r="LP6" s="1153"/>
      <c r="LQ6" s="1153"/>
      <c r="LR6" s="1153"/>
      <c r="LS6" s="1247"/>
      <c r="OO6">
        <v>1</v>
      </c>
      <c r="OP6" t="s">
        <v>18325</v>
      </c>
      <c r="OQ6"/>
      <c r="OS6" s="1197" t="s">
        <v>18457</v>
      </c>
      <c r="OT6" s="1197" t="s">
        <v>18331</v>
      </c>
      <c r="OV6" s="1259" t="s">
        <v>18368</v>
      </c>
      <c r="OW6" s="1259"/>
      <c r="OY6" s="1259" t="s">
        <v>18332</v>
      </c>
      <c r="OZ6" s="1259" t="s">
        <v>9648</v>
      </c>
      <c r="PA6" s="1259" t="s">
        <v>18332</v>
      </c>
      <c r="PB6" s="1259" t="s">
        <v>18458</v>
      </c>
      <c r="PD6" s="1259" t="s">
        <v>18332</v>
      </c>
      <c r="PE6" s="1259" t="s">
        <v>18491</v>
      </c>
      <c r="PG6" s="1259" t="s">
        <v>18502</v>
      </c>
      <c r="PH6" s="1259"/>
      <c r="PN6" s="1259" t="s">
        <v>18526</v>
      </c>
      <c r="PS6" s="1259" t="s">
        <v>18545</v>
      </c>
      <c r="PT6" s="1259"/>
      <c r="PV6" s="1259" t="s">
        <v>18592</v>
      </c>
      <c r="PW6" s="1259"/>
      <c r="PY6" s="1259" t="s">
        <v>18605</v>
      </c>
      <c r="PZ6" s="1259"/>
      <c r="QA6" s="1259"/>
    </row>
    <row r="7" spans="1:443" ht="18.75" thickTop="1">
      <c r="A7" s="2">
        <v>5</v>
      </c>
      <c r="B7" s="2" t="s">
        <v>1248</v>
      </c>
      <c r="C7" s="27" t="s">
        <v>1490</v>
      </c>
      <c r="D7" s="2" t="s">
        <v>1301</v>
      </c>
      <c r="E7" s="28" t="s">
        <v>1528</v>
      </c>
      <c r="G7" s="2">
        <v>5</v>
      </c>
      <c r="H7" s="2" t="s">
        <v>1490</v>
      </c>
      <c r="I7" s="2" t="s">
        <v>1528</v>
      </c>
      <c r="K7" s="2">
        <v>5</v>
      </c>
      <c r="L7" s="2" t="s">
        <v>387</v>
      </c>
      <c r="N7" s="2" t="s">
        <v>13129</v>
      </c>
      <c r="P7" s="29">
        <v>4</v>
      </c>
      <c r="Q7" s="29" t="s">
        <v>1568</v>
      </c>
      <c r="S7" s="2">
        <v>4</v>
      </c>
      <c r="T7" s="2" t="s">
        <v>1366</v>
      </c>
      <c r="V7" s="2">
        <v>4</v>
      </c>
      <c r="W7" s="2" t="s">
        <v>1388</v>
      </c>
      <c r="Z7" s="1190"/>
      <c r="AA7" s="1190"/>
      <c r="AB7" s="1190"/>
      <c r="AC7" s="1190"/>
      <c r="AD7" s="1190"/>
      <c r="AE7" s="1190"/>
      <c r="AF7" s="1190"/>
      <c r="AG7" s="1190"/>
      <c r="AH7" s="2">
        <v>0</v>
      </c>
      <c r="AI7" s="2">
        <v>0</v>
      </c>
      <c r="AJ7" s="2" t="str">
        <v/>
      </c>
      <c r="AK7" s="2" t="str">
        <v/>
      </c>
      <c r="AL7" s="2">
        <v>0</v>
      </c>
      <c r="AM7" s="2">
        <v>0</v>
      </c>
      <c r="AN7" s="2">
        <v>0</v>
      </c>
      <c r="AO7" s="2">
        <v>0</v>
      </c>
      <c r="AP7" s="2" t="e">
        <v>#NAME?</v>
      </c>
      <c r="AQ7" s="2" t="str">
        <v/>
      </c>
      <c r="AR7" s="2" t="str">
        <v/>
      </c>
      <c r="AS7" s="1190"/>
      <c r="AT7" s="1190"/>
      <c r="AU7" s="106"/>
      <c r="AV7" s="106"/>
      <c r="AW7" s="106"/>
      <c r="AX7" s="106"/>
      <c r="AY7" s="106"/>
      <c r="AZ7" s="106"/>
      <c r="BA7" s="106"/>
      <c r="BB7" s="106"/>
      <c r="BC7" s="106"/>
      <c r="BD7" s="106"/>
      <c r="BE7" s="106"/>
      <c r="BF7" s="106"/>
      <c r="BG7" s="106"/>
      <c r="BH7" s="106"/>
      <c r="BI7" s="106"/>
      <c r="BJ7" s="403"/>
      <c r="BK7" s="403"/>
      <c r="BL7" s="1191"/>
      <c r="BM7" s="1191"/>
      <c r="CI7" s="2">
        <v>4</v>
      </c>
      <c r="CJ7" s="2" t="s">
        <v>12590</v>
      </c>
      <c r="CL7" s="2">
        <v>4</v>
      </c>
      <c r="CQ7" s="2">
        <v>3</v>
      </c>
      <c r="CR7" s="2" t="s">
        <v>12641</v>
      </c>
      <c r="CS7" s="2" t="s">
        <v>12639</v>
      </c>
      <c r="CT7" s="2" t="s">
        <v>12641</v>
      </c>
      <c r="DC7" s="1159" t="s">
        <v>2065</v>
      </c>
      <c r="DD7" s="1199">
        <v>-2</v>
      </c>
      <c r="DE7" s="1199">
        <v>-1</v>
      </c>
      <c r="DF7" s="1199">
        <v>0</v>
      </c>
      <c r="DG7" s="1199">
        <v>1</v>
      </c>
      <c r="DH7" s="1199">
        <v>2</v>
      </c>
      <c r="DI7" s="1206"/>
      <c r="DJ7" s="1206"/>
      <c r="DK7" s="1206"/>
      <c r="DM7" s="1192" t="s">
        <v>5733</v>
      </c>
      <c r="DN7" s="1200">
        <v>1</v>
      </c>
      <c r="DO7" s="1200">
        <v>1</v>
      </c>
      <c r="DP7" s="1200">
        <v>0.5</v>
      </c>
      <c r="DQ7" s="1201">
        <v>18</v>
      </c>
      <c r="DR7" s="1201">
        <v>14</v>
      </c>
      <c r="DS7" s="1190"/>
      <c r="DT7" s="1022">
        <f>VLOOKUP([5]Weather!S17,CONFIG000!$DM$17:$DP$26,2,FALSE)</f>
        <v>1</v>
      </c>
      <c r="DU7" s="1022">
        <f>VLOOKUP([5]Weather!S17,CONFIG000!$DM$17:$DP$26,3,FALSE)</f>
        <v>0</v>
      </c>
      <c r="DV7" s="1022">
        <f>VLOOKUP([5]Weather!S17,CONFIG000!$DM$17:$DP$26,4,FALSE)</f>
        <v>0</v>
      </c>
      <c r="DW7" s="1022"/>
      <c r="DX7" s="1190"/>
      <c r="DZ7" s="1010" t="s">
        <v>15551</v>
      </c>
      <c r="EA7" s="998">
        <v>-10</v>
      </c>
      <c r="EB7" s="1195"/>
      <c r="EC7" s="1195"/>
      <c r="ED7" s="1196"/>
      <c r="EE7" s="1196" t="s">
        <v>15552</v>
      </c>
      <c r="EF7" s="1011">
        <f t="array" ref="EF7:EH7">MMULT(MMULT(MMULT(MMULT(MMULT(EQ4:ES6,EQ4:ES6),MMULT(EQ4:ES6,EQ4:ES6)),MMULT(MMULT(EQ4:ES6,EQ4:ES6),MMULT(EQ4:ES6,EQ4:ES6))),MMULT(MMULT(MMULT(EQ4:ES6,EQ4:ES6),MMULT(EQ4:ES6,EQ4:ES6)),MMULT(MMULT(EQ4:ES6,EQ4:ES6),MMULT(EQ4:ES6,EQ4:ES6)))),MMULT(MMULT(MMULT(MMULT(EQ4:ES6,EQ4:ES6),MMULT(EQ4:ES6,EQ4:ES6)),MMULT(MMULT(EQ4:ES6,EQ4:ES6),MMULT(EQ4:ES6,EQ4:ES6))),MMULT(MMULT(MMULT(EQ4:ES6,EQ4:ES6),MMULT(EQ4:ES6,EQ4:ES6)),MMULT(MMULT(EQ4:ES6,EQ4:ES6),MMULT(EQ4:ES6,EQ4:ES6)))))</f>
        <v>0.99384315705186999</v>
      </c>
      <c r="EG7" s="1011">
        <v>4.7884985899013096E-3</v>
      </c>
      <c r="EH7" s="1011">
        <v>1.3683443582271071E-3</v>
      </c>
      <c r="EI7" s="1196"/>
      <c r="EJ7" s="1196"/>
      <c r="EK7" s="1196"/>
      <c r="EL7" s="1196"/>
      <c r="EM7" s="1196"/>
      <c r="EN7" s="1196"/>
      <c r="EO7" s="1196"/>
      <c r="EP7" s="1196"/>
      <c r="EQ7" s="1196"/>
      <c r="ER7" s="1196"/>
      <c r="ES7" s="1196"/>
      <c r="ET7" s="1196"/>
      <c r="EU7" s="1003">
        <f t="shared" ca="1" si="0"/>
        <v>0.57082226086491938</v>
      </c>
      <c r="EV7" s="1003">
        <f t="shared" ca="1" si="0"/>
        <v>9.6722150031485876E-2</v>
      </c>
      <c r="EW7" s="1003">
        <f t="shared" ca="1" si="0"/>
        <v>3.1459183886824338E-2</v>
      </c>
      <c r="EY7" s="2" t="s">
        <v>16332</v>
      </c>
      <c r="EZ7" s="1190"/>
      <c r="FA7" s="1197" t="s">
        <v>15371</v>
      </c>
      <c r="FB7" s="1197" t="s">
        <v>16073</v>
      </c>
      <c r="FD7" s="1197" t="s">
        <v>15371</v>
      </c>
      <c r="FE7" s="1197" t="s">
        <v>16082</v>
      </c>
      <c r="FG7" s="1197" t="s">
        <v>15371</v>
      </c>
      <c r="FH7" s="1197" t="s">
        <v>16090</v>
      </c>
      <c r="FJ7" s="1197" t="s">
        <v>15371</v>
      </c>
      <c r="FK7" s="1197" t="s">
        <v>16098</v>
      </c>
      <c r="FM7" s="1197" t="s">
        <v>15371</v>
      </c>
      <c r="FN7" s="1197" t="s">
        <v>16106</v>
      </c>
      <c r="FP7" s="1197" t="s">
        <v>15371</v>
      </c>
      <c r="FQ7" s="1197" t="s">
        <v>16114</v>
      </c>
      <c r="FS7" s="1197" t="s">
        <v>15371</v>
      </c>
      <c r="FT7" s="1197" t="s">
        <v>16122</v>
      </c>
      <c r="FV7" s="1197" t="s">
        <v>15371</v>
      </c>
      <c r="FW7" s="1197" t="s">
        <v>16130</v>
      </c>
      <c r="FY7" s="1197" t="s">
        <v>15371</v>
      </c>
      <c r="FZ7" s="1197" t="s">
        <v>16138</v>
      </c>
      <c r="GA7" s="1197" t="s">
        <v>15371</v>
      </c>
      <c r="GB7" s="1197" t="s">
        <v>16146</v>
      </c>
      <c r="GC7" s="1197" t="s">
        <v>15371</v>
      </c>
      <c r="GD7" s="1197" t="s">
        <v>16154</v>
      </c>
      <c r="GF7" s="1197" t="s">
        <v>15371</v>
      </c>
      <c r="GG7" s="1197" t="s">
        <v>16162</v>
      </c>
      <c r="GI7" s="1197" t="s">
        <v>15371</v>
      </c>
      <c r="GJ7" s="1197" t="s">
        <v>16170</v>
      </c>
      <c r="GL7" s="1197" t="s">
        <v>15371</v>
      </c>
      <c r="GM7" s="1197" t="s">
        <v>16178</v>
      </c>
      <c r="GN7" s="2" t="s">
        <v>16179</v>
      </c>
      <c r="GP7" s="1197" t="s">
        <v>16193</v>
      </c>
      <c r="GQ7" s="1197"/>
      <c r="GS7" s="1197" t="s">
        <v>15371</v>
      </c>
      <c r="GT7" s="1197" t="s">
        <v>16201</v>
      </c>
      <c r="GU7" s="1197" t="s">
        <v>15371</v>
      </c>
      <c r="GV7" s="1197" t="s">
        <v>16209</v>
      </c>
      <c r="GW7" s="1197" t="s">
        <v>15371</v>
      </c>
      <c r="GX7" s="1197" t="s">
        <v>16217</v>
      </c>
      <c r="GZ7" s="1197" t="s">
        <v>15371</v>
      </c>
      <c r="HA7" s="1197" t="s">
        <v>16225</v>
      </c>
      <c r="HC7" s="1197" t="s">
        <v>15371</v>
      </c>
      <c r="HD7" s="1197" t="s">
        <v>16233</v>
      </c>
      <c r="HF7" s="1197" t="s">
        <v>15371</v>
      </c>
      <c r="HG7" s="1197" t="s">
        <v>16241</v>
      </c>
      <c r="HI7" s="1197" t="s">
        <v>15371</v>
      </c>
      <c r="HJ7" s="1197" t="s">
        <v>16249</v>
      </c>
      <c r="HL7" s="1197" t="s">
        <v>15371</v>
      </c>
      <c r="HM7" s="1197" t="s">
        <v>16257</v>
      </c>
      <c r="HN7" s="1197" t="s">
        <v>15371</v>
      </c>
      <c r="HO7" s="1197" t="s">
        <v>16265</v>
      </c>
      <c r="HQ7" s="1197" t="s">
        <v>15371</v>
      </c>
      <c r="HR7" s="1197" t="s">
        <v>16273</v>
      </c>
      <c r="HT7" s="1197" t="s">
        <v>15371</v>
      </c>
      <c r="HU7" s="1197" t="s">
        <v>16281</v>
      </c>
      <c r="HW7" s="1197" t="s">
        <v>15371</v>
      </c>
      <c r="HX7" s="1197" t="s">
        <v>16289</v>
      </c>
      <c r="HZ7" s="1197" t="s">
        <v>15371</v>
      </c>
      <c r="IA7" s="1197" t="s">
        <v>16297</v>
      </c>
      <c r="IC7" s="1197" t="s">
        <v>15371</v>
      </c>
      <c r="ID7" s="1197" t="s">
        <v>16305</v>
      </c>
      <c r="IF7" s="1197" t="s">
        <v>15371</v>
      </c>
      <c r="IG7" s="1197" t="s">
        <v>16313</v>
      </c>
      <c r="II7" s="1197" t="s">
        <v>15371</v>
      </c>
      <c r="IJ7" s="1197" t="s">
        <v>16321</v>
      </c>
      <c r="IQ7" s="1189"/>
      <c r="IT7" s="1153"/>
      <c r="IU7" s="1153"/>
      <c r="IV7" s="1153"/>
      <c r="IW7" s="1153"/>
      <c r="IX7" s="1153"/>
      <c r="IY7" s="1153"/>
      <c r="IZ7" s="1153"/>
      <c r="JA7" s="1153"/>
      <c r="JB7" s="1153"/>
      <c r="JC7" s="1153"/>
      <c r="JD7" s="1153"/>
      <c r="JE7" s="1153"/>
      <c r="JF7" s="1153"/>
      <c r="JG7" s="1153"/>
      <c r="JH7" s="1153"/>
      <c r="JI7" s="1153"/>
      <c r="JJ7" s="1153"/>
      <c r="JK7" s="1153"/>
      <c r="JL7" s="1153"/>
      <c r="JM7" s="1153"/>
      <c r="JN7" s="1153"/>
      <c r="JO7" s="1153"/>
      <c r="JP7" s="1153"/>
      <c r="JQ7" s="1153"/>
      <c r="JR7" s="1153"/>
      <c r="JS7" s="1153"/>
      <c r="JT7" s="1153"/>
      <c r="JU7" s="1153"/>
      <c r="JV7" s="1153"/>
      <c r="JW7" s="1153"/>
      <c r="JX7" s="1153"/>
      <c r="JY7" s="1153"/>
      <c r="JZ7" s="1153"/>
      <c r="KA7" s="1153"/>
      <c r="KB7" s="1153"/>
      <c r="KC7" s="1153"/>
      <c r="KD7" s="1153"/>
      <c r="KE7" s="1153"/>
      <c r="KF7" s="1153"/>
      <c r="KG7" s="1153"/>
      <c r="KH7" s="1153"/>
      <c r="KI7" s="1153"/>
      <c r="KJ7" s="1153"/>
      <c r="KK7" s="1153"/>
      <c r="KL7" s="1153"/>
      <c r="KM7" s="1153"/>
      <c r="KN7" s="1153"/>
      <c r="KO7" s="1153"/>
      <c r="KP7" s="1153"/>
      <c r="KQ7" s="1153"/>
      <c r="KR7" s="1153"/>
      <c r="KS7" s="1153"/>
      <c r="KT7" s="1153"/>
      <c r="KU7" s="1153"/>
      <c r="KV7" s="1153"/>
      <c r="KW7" s="1153"/>
      <c r="KX7" s="1153"/>
      <c r="KY7" s="1153"/>
      <c r="KZ7" s="1153"/>
      <c r="LA7" s="1153"/>
      <c r="LB7" s="1153"/>
      <c r="LC7" s="1153"/>
      <c r="LD7" s="1153"/>
      <c r="LE7" s="1153"/>
      <c r="LF7" s="1153"/>
      <c r="LG7" s="1153"/>
      <c r="LH7" s="1153"/>
      <c r="LI7" s="1153"/>
      <c r="LJ7" s="1153"/>
      <c r="LK7" s="1153"/>
      <c r="LL7" s="1153"/>
      <c r="LM7" s="1153"/>
      <c r="LN7" s="1153"/>
      <c r="LO7" s="1153"/>
      <c r="LP7" s="1153"/>
      <c r="LQ7" s="1153"/>
      <c r="LR7" s="1153"/>
      <c r="LS7" s="1247"/>
      <c r="LU7" s="1153" t="s">
        <v>17034</v>
      </c>
      <c r="LV7" s="1153"/>
      <c r="LW7" s="1153"/>
      <c r="LX7" s="1153"/>
      <c r="LY7" s="1153" t="s">
        <v>17035</v>
      </c>
      <c r="LZ7" s="1153"/>
      <c r="MA7" s="1153"/>
      <c r="MB7" s="1153"/>
      <c r="MC7" s="1153"/>
      <c r="MD7" s="1153"/>
      <c r="ME7" s="1153" t="s">
        <v>17036</v>
      </c>
      <c r="MF7" s="1153"/>
      <c r="MG7" s="1153"/>
      <c r="MH7" s="1153" t="s">
        <v>17037</v>
      </c>
      <c r="MI7" s="1153"/>
      <c r="MJ7" s="1153"/>
      <c r="MK7" s="1153"/>
      <c r="ML7" s="1153" t="s">
        <v>17038</v>
      </c>
      <c r="MM7" s="1153"/>
      <c r="MN7" s="1153"/>
      <c r="MO7" s="1153"/>
      <c r="MP7" s="1153" t="s">
        <v>17039</v>
      </c>
      <c r="MQ7" s="1153"/>
      <c r="MR7" s="1153"/>
      <c r="MS7" s="1153"/>
      <c r="MT7" s="1153" t="s">
        <v>17040</v>
      </c>
      <c r="MU7" s="1153"/>
      <c r="MV7" s="1153"/>
      <c r="MW7" s="1153"/>
      <c r="MX7" s="1153"/>
      <c r="MY7" s="1153" t="s">
        <v>17041</v>
      </c>
      <c r="MZ7" s="1153"/>
      <c r="NA7" s="1153"/>
      <c r="NB7" s="1153"/>
      <c r="NC7" s="1153" t="s">
        <v>17042</v>
      </c>
      <c r="ND7" s="1153"/>
      <c r="NE7" s="1153"/>
      <c r="NF7" s="1153"/>
      <c r="NG7" s="1153"/>
      <c r="NH7" s="1153" t="s">
        <v>17043</v>
      </c>
      <c r="NI7" s="1153"/>
      <c r="NJ7" s="1153"/>
      <c r="NK7" s="1153"/>
      <c r="NL7" s="1153"/>
      <c r="NM7" s="1153" t="s">
        <v>17044</v>
      </c>
      <c r="NN7" s="1153"/>
      <c r="NO7" s="1153"/>
      <c r="NP7" s="1153"/>
      <c r="NQ7" s="1153"/>
      <c r="NR7" s="1153" t="s">
        <v>17045</v>
      </c>
      <c r="NS7" s="1153"/>
      <c r="NT7" s="1153"/>
      <c r="NU7" s="1153"/>
      <c r="NV7" s="1153"/>
      <c r="NW7" s="1153" t="s">
        <v>17046</v>
      </c>
      <c r="NX7" s="1153"/>
      <c r="NY7" s="1153"/>
      <c r="NZ7" s="1153"/>
      <c r="OA7" s="1153"/>
      <c r="OB7" s="1153" t="s">
        <v>17047</v>
      </c>
      <c r="OC7" s="1153"/>
      <c r="OD7" s="1153"/>
      <c r="OE7" s="1153"/>
      <c r="OF7" s="1153"/>
      <c r="OG7" s="1153" t="s">
        <v>17048</v>
      </c>
      <c r="OH7" s="1153"/>
      <c r="OI7" s="1153"/>
      <c r="OJ7" s="1153"/>
      <c r="OO7">
        <v>2</v>
      </c>
      <c r="OP7" t="s">
        <v>18326</v>
      </c>
      <c r="OS7" s="651">
        <v>1</v>
      </c>
      <c r="OT7" s="1197" t="s">
        <v>18333</v>
      </c>
      <c r="OV7" s="651">
        <v>1</v>
      </c>
      <c r="OW7" s="1259" t="s">
        <v>2533</v>
      </c>
      <c r="OY7" s="1218">
        <v>43862</v>
      </c>
      <c r="OZ7" s="1259" t="s">
        <v>18417</v>
      </c>
      <c r="PA7" s="1218">
        <v>43862</v>
      </c>
      <c r="PB7" s="1259" t="s">
        <v>18459</v>
      </c>
      <c r="PD7" s="1220">
        <v>43831</v>
      </c>
      <c r="PE7" s="1259" t="s">
        <v>18492</v>
      </c>
      <c r="PG7" s="1259" t="s">
        <v>18332</v>
      </c>
      <c r="PH7" s="1259" t="s">
        <v>18503</v>
      </c>
      <c r="PN7" s="1259" t="s">
        <v>18527</v>
      </c>
      <c r="PS7" s="1259" t="s">
        <v>18332</v>
      </c>
      <c r="PT7" s="1259" t="s">
        <v>18544</v>
      </c>
      <c r="PV7" s="1259" t="s">
        <v>18530</v>
      </c>
      <c r="PW7" s="1259" t="s">
        <v>18593</v>
      </c>
      <c r="PY7" s="1259" t="s">
        <v>18606</v>
      </c>
      <c r="PZ7" s="1259"/>
      <c r="QA7" s="1259"/>
    </row>
    <row r="8" spans="1:443" ht="18">
      <c r="A8" s="2">
        <v>6</v>
      </c>
      <c r="B8" s="2" t="s">
        <v>1249</v>
      </c>
      <c r="C8" s="27" t="s">
        <v>1491</v>
      </c>
      <c r="D8" s="2" t="s">
        <v>1302</v>
      </c>
      <c r="E8" s="28" t="s">
        <v>1529</v>
      </c>
      <c r="G8" s="2">
        <v>6</v>
      </c>
      <c r="H8" s="2" t="s">
        <v>1491</v>
      </c>
      <c r="I8" s="2" t="s">
        <v>1529</v>
      </c>
      <c r="K8" s="2">
        <v>6</v>
      </c>
      <c r="L8" s="2" t="s">
        <v>92</v>
      </c>
      <c r="N8" s="2" t="s">
        <v>13130</v>
      </c>
      <c r="P8" s="29">
        <v>5</v>
      </c>
      <c r="Q8" s="29" t="s">
        <v>559</v>
      </c>
      <c r="S8" s="2">
        <v>5</v>
      </c>
      <c r="T8" s="2" t="s">
        <v>1367</v>
      </c>
      <c r="V8" s="2">
        <v>5</v>
      </c>
      <c r="W8" s="2" t="s">
        <v>1389</v>
      </c>
      <c r="Z8" s="1190"/>
      <c r="AA8" s="1207" t="s">
        <v>7494</v>
      </c>
      <c r="AB8" s="1208" t="s">
        <v>7493</v>
      </c>
      <c r="AC8" s="1208" t="s">
        <v>7492</v>
      </c>
      <c r="AD8" s="1208" t="s">
        <v>7491</v>
      </c>
      <c r="AE8" s="1208" t="s">
        <v>7490</v>
      </c>
      <c r="AF8" s="1208" t="s">
        <v>7489</v>
      </c>
      <c r="AG8" s="1190"/>
      <c r="AH8" s="2">
        <v>0</v>
      </c>
      <c r="AI8" s="2">
        <v>0</v>
      </c>
      <c r="AJ8" s="2" t="str">
        <v/>
      </c>
      <c r="AK8" s="2" t="str">
        <v/>
      </c>
      <c r="AL8" s="2">
        <v>0</v>
      </c>
      <c r="AM8" s="2">
        <v>0</v>
      </c>
      <c r="AN8" s="2">
        <v>0</v>
      </c>
      <c r="AO8" s="2">
        <v>0</v>
      </c>
      <c r="AP8" s="2" t="e">
        <v>#NAME?</v>
      </c>
      <c r="AQ8" s="2" t="str">
        <v/>
      </c>
      <c r="AR8" s="2" t="str">
        <v/>
      </c>
      <c r="AS8" s="1190"/>
      <c r="AT8" s="1190"/>
      <c r="AU8" s="106"/>
      <c r="AV8" s="106"/>
      <c r="AW8" s="106"/>
      <c r="AX8" s="106"/>
      <c r="AY8" s="106"/>
      <c r="AZ8" s="106"/>
      <c r="BA8" s="106"/>
      <c r="BB8" s="106"/>
      <c r="BC8" s="106"/>
      <c r="BD8" s="106"/>
      <c r="BE8" s="106"/>
      <c r="BF8" s="106"/>
      <c r="BG8" s="106"/>
      <c r="BH8" s="106"/>
      <c r="BI8" s="106"/>
      <c r="BJ8" s="403"/>
      <c r="BK8" s="403"/>
      <c r="BL8" s="1191"/>
      <c r="BM8" s="1191"/>
      <c r="CI8" s="2">
        <v>5</v>
      </c>
      <c r="CJ8" s="2" t="s">
        <v>5081</v>
      </c>
      <c r="CL8" s="2">
        <v>5</v>
      </c>
      <c r="CM8" s="2" t="s">
        <v>12584</v>
      </c>
      <c r="CQ8" s="2">
        <v>4</v>
      </c>
      <c r="CR8" s="2" t="s">
        <v>12642</v>
      </c>
      <c r="CS8" s="2" t="s">
        <v>12641</v>
      </c>
      <c r="CT8" s="2" t="s">
        <v>12642</v>
      </c>
      <c r="DC8" s="1159" t="s">
        <v>2064</v>
      </c>
      <c r="DD8" s="1199">
        <v>1.25</v>
      </c>
      <c r="DE8" s="1199">
        <v>1.1000000000000001</v>
      </c>
      <c r="DF8" s="1199">
        <v>1</v>
      </c>
      <c r="DG8" s="1199">
        <v>0.9</v>
      </c>
      <c r="DH8" s="1199">
        <v>0.85</v>
      </c>
      <c r="DI8" s="1206"/>
      <c r="DJ8" s="1206"/>
      <c r="DK8" s="1206"/>
      <c r="DM8" s="1192" t="s">
        <v>5732</v>
      </c>
      <c r="DN8" s="1200">
        <v>1</v>
      </c>
      <c r="DO8" s="1200">
        <v>0.75</v>
      </c>
      <c r="DP8" s="1200">
        <v>0.5</v>
      </c>
      <c r="DQ8" s="1201">
        <v>14</v>
      </c>
      <c r="DR8" s="1201">
        <v>12</v>
      </c>
      <c r="DS8" s="1190"/>
      <c r="DT8" s="1190"/>
      <c r="DU8" s="1190"/>
      <c r="DV8" s="1190"/>
      <c r="DW8" s="1190"/>
      <c r="DX8" s="1190"/>
      <c r="DZ8" s="1004" t="s">
        <v>12726</v>
      </c>
      <c r="EA8" s="1005">
        <v>-6</v>
      </c>
      <c r="EB8" s="1195"/>
      <c r="EC8" s="1195"/>
      <c r="ED8" s="1196"/>
      <c r="EE8" s="1196"/>
      <c r="EF8" s="1196" t="s">
        <v>1235</v>
      </c>
      <c r="EG8" s="1196"/>
      <c r="EH8" s="1196"/>
      <c r="EI8" s="1008"/>
      <c r="EJ8" s="1196"/>
      <c r="EK8" s="1202"/>
      <c r="EL8" s="1202"/>
      <c r="EM8" s="1202"/>
      <c r="EN8" s="1202"/>
      <c r="EO8" s="1202"/>
      <c r="EP8" s="1202"/>
      <c r="EQ8" s="1202"/>
      <c r="ER8" s="1202"/>
      <c r="ES8" s="1202"/>
      <c r="ET8" s="1196"/>
      <c r="EU8" s="1012">
        <f t="shared" ca="1" si="0"/>
        <v>0.82358841105737701</v>
      </c>
      <c r="EV8" s="1012">
        <f t="shared" ca="1" si="0"/>
        <v>0.36317623414802802</v>
      </c>
      <c r="EW8" s="1012">
        <f t="shared" ca="1" si="0"/>
        <v>0.71504058192824405</v>
      </c>
      <c r="EY8" s="2" t="s">
        <v>16333</v>
      </c>
      <c r="EZ8" s="1190"/>
      <c r="FA8" s="1197" t="s">
        <v>15941</v>
      </c>
      <c r="FB8" s="1197" t="s">
        <v>16074</v>
      </c>
      <c r="FD8" s="1197" t="s">
        <v>15941</v>
      </c>
      <c r="FE8" s="1197" t="s">
        <v>16083</v>
      </c>
      <c r="FG8" s="1197" t="s">
        <v>15941</v>
      </c>
      <c r="FH8" s="1197" t="s">
        <v>16091</v>
      </c>
      <c r="FJ8" s="1197" t="s">
        <v>15941</v>
      </c>
      <c r="FK8" s="1197" t="s">
        <v>16099</v>
      </c>
      <c r="FM8" s="1197" t="s">
        <v>15941</v>
      </c>
      <c r="FN8" s="1197" t="s">
        <v>16107</v>
      </c>
      <c r="FP8" s="1197" t="s">
        <v>15941</v>
      </c>
      <c r="FQ8" s="1197" t="s">
        <v>16115</v>
      </c>
      <c r="FS8" s="1197" t="s">
        <v>15941</v>
      </c>
      <c r="FT8" s="1197" t="s">
        <v>16123</v>
      </c>
      <c r="FV8" s="1197" t="s">
        <v>15941</v>
      </c>
      <c r="FW8" s="1197" t="s">
        <v>16131</v>
      </c>
      <c r="FY8" s="1197" t="s">
        <v>15941</v>
      </c>
      <c r="FZ8" s="1197" t="s">
        <v>16139</v>
      </c>
      <c r="GA8" s="1197" t="s">
        <v>15941</v>
      </c>
      <c r="GB8" s="1197" t="s">
        <v>16147</v>
      </c>
      <c r="GC8" s="1197" t="s">
        <v>15941</v>
      </c>
      <c r="GD8" s="1197" t="s">
        <v>16155</v>
      </c>
      <c r="GF8" s="1197" t="s">
        <v>15941</v>
      </c>
      <c r="GG8" s="1197" t="s">
        <v>16163</v>
      </c>
      <c r="GI8" s="1197" t="s">
        <v>15941</v>
      </c>
      <c r="GJ8" s="1197" t="s">
        <v>16171</v>
      </c>
      <c r="GL8" s="1197" t="s">
        <v>15941</v>
      </c>
      <c r="GM8" s="1197" t="s">
        <v>16180</v>
      </c>
      <c r="GN8" s="2" t="s">
        <v>16181</v>
      </c>
      <c r="GP8" s="1197" t="s">
        <v>16194</v>
      </c>
      <c r="GQ8" s="1197"/>
      <c r="GS8" s="1197" t="s">
        <v>15941</v>
      </c>
      <c r="GT8" s="1197" t="s">
        <v>16202</v>
      </c>
      <c r="GU8" s="1197" t="s">
        <v>15941</v>
      </c>
      <c r="GV8" s="1197" t="s">
        <v>16210</v>
      </c>
      <c r="GW8" s="1197" t="s">
        <v>15941</v>
      </c>
      <c r="GX8" s="1197" t="s">
        <v>16218</v>
      </c>
      <c r="GZ8" s="1197" t="s">
        <v>15941</v>
      </c>
      <c r="HA8" s="1197" t="s">
        <v>16226</v>
      </c>
      <c r="HC8" s="1197" t="s">
        <v>15941</v>
      </c>
      <c r="HD8" s="1197" t="s">
        <v>16234</v>
      </c>
      <c r="HF8" s="1197" t="s">
        <v>15941</v>
      </c>
      <c r="HG8" s="1197" t="s">
        <v>16242</v>
      </c>
      <c r="HI8" s="1197" t="s">
        <v>15941</v>
      </c>
      <c r="HJ8" s="1197" t="s">
        <v>16250</v>
      </c>
      <c r="HL8" s="1197" t="s">
        <v>15941</v>
      </c>
      <c r="HM8" s="1197" t="s">
        <v>16258</v>
      </c>
      <c r="HN8" s="1197" t="s">
        <v>15941</v>
      </c>
      <c r="HO8" s="1197" t="s">
        <v>16266</v>
      </c>
      <c r="HQ8" s="1197" t="s">
        <v>15941</v>
      </c>
      <c r="HR8" s="1197" t="s">
        <v>16274</v>
      </c>
      <c r="HT8" s="1197" t="s">
        <v>15941</v>
      </c>
      <c r="HU8" s="1197" t="s">
        <v>16282</v>
      </c>
      <c r="HW8" s="1197" t="s">
        <v>15941</v>
      </c>
      <c r="HX8" s="1197" t="s">
        <v>16290</v>
      </c>
      <c r="HZ8" s="1197" t="s">
        <v>15941</v>
      </c>
      <c r="IA8" s="1197" t="s">
        <v>16298</v>
      </c>
      <c r="IC8" s="1197" t="s">
        <v>15941</v>
      </c>
      <c r="ID8" s="1197" t="s">
        <v>16306</v>
      </c>
      <c r="IF8" s="1197" t="s">
        <v>15941</v>
      </c>
      <c r="IG8" s="1197" t="s">
        <v>16314</v>
      </c>
      <c r="II8" s="1197" t="s">
        <v>15941</v>
      </c>
      <c r="IJ8" s="1197" t="s">
        <v>16322</v>
      </c>
      <c r="IQ8" s="1189"/>
      <c r="IT8" s="1153"/>
      <c r="IU8" s="1153"/>
      <c r="IV8" s="1153"/>
      <c r="IW8" s="1153"/>
      <c r="IX8" s="1153"/>
      <c r="IY8" s="1153"/>
      <c r="IZ8" s="1153"/>
      <c r="JA8" s="1153"/>
      <c r="JB8" s="1153"/>
      <c r="JC8" s="1153"/>
      <c r="JD8" s="1153"/>
      <c r="JE8" s="1153"/>
      <c r="JF8" s="1153"/>
      <c r="JG8" s="1153"/>
      <c r="JH8" s="1153"/>
      <c r="JI8" s="1153"/>
      <c r="JJ8" s="1153"/>
      <c r="JK8" s="1153"/>
      <c r="JL8" s="1153"/>
      <c r="JM8" s="1153"/>
      <c r="JN8" s="1153"/>
      <c r="JO8" s="1153"/>
      <c r="JP8" s="1153"/>
      <c r="JQ8" s="1153"/>
      <c r="JR8" s="1153"/>
      <c r="JS8" s="1153"/>
      <c r="JT8" s="1153"/>
      <c r="JU8" s="1153"/>
      <c r="JV8" s="1153"/>
      <c r="JW8" s="1153"/>
      <c r="JX8" s="1153"/>
      <c r="JY8" s="1153"/>
      <c r="JZ8" s="1153"/>
      <c r="KA8" s="1153"/>
      <c r="KB8" s="1153"/>
      <c r="KC8" s="1153"/>
      <c r="KD8" s="1153"/>
      <c r="KE8" s="1153"/>
      <c r="KF8" s="1153"/>
      <c r="KG8" s="1153"/>
      <c r="KH8" s="1153"/>
      <c r="KI8" s="1153"/>
      <c r="KJ8" s="1153"/>
      <c r="KK8" s="1153"/>
      <c r="KL8" s="1153"/>
      <c r="KM8" s="1153"/>
      <c r="KN8" s="1153"/>
      <c r="KO8" s="1153"/>
      <c r="KP8" s="1153"/>
      <c r="KQ8" s="1153"/>
      <c r="KR8" s="1153"/>
      <c r="KS8" s="1153"/>
      <c r="KT8" s="1153"/>
      <c r="KU8" s="1153"/>
      <c r="KV8" s="1153"/>
      <c r="KW8" s="1153"/>
      <c r="KX8" s="1153"/>
      <c r="KY8" s="1153"/>
      <c r="KZ8" s="1153"/>
      <c r="LA8" s="1153"/>
      <c r="LB8" s="1153"/>
      <c r="LC8" s="1153"/>
      <c r="LD8" s="1153"/>
      <c r="LE8" s="1153"/>
      <c r="LF8" s="1153"/>
      <c r="LG8" s="1153"/>
      <c r="LH8" s="1153"/>
      <c r="LI8" s="1153"/>
      <c r="LJ8" s="1153"/>
      <c r="LK8" s="1153"/>
      <c r="LL8" s="1153"/>
      <c r="LM8" s="1153"/>
      <c r="LN8" s="1153"/>
      <c r="LO8" s="1153"/>
      <c r="LP8" s="1153"/>
      <c r="LQ8" s="1153"/>
      <c r="LR8" s="1153"/>
      <c r="LS8" s="1247"/>
      <c r="LU8" s="1153" t="s">
        <v>17049</v>
      </c>
      <c r="LV8" s="1153"/>
      <c r="LW8" s="1153"/>
      <c r="LX8" s="1153"/>
      <c r="LY8" s="1153" t="s">
        <v>1922</v>
      </c>
      <c r="LZ8" s="1153"/>
      <c r="MA8" s="1153" t="s">
        <v>13720</v>
      </c>
      <c r="MB8" s="1153"/>
      <c r="MC8" s="1153"/>
      <c r="MD8" s="1153"/>
      <c r="ME8" s="1153" t="s">
        <v>7934</v>
      </c>
      <c r="MF8" s="1153" t="s">
        <v>17050</v>
      </c>
      <c r="MG8" s="1153"/>
      <c r="MH8" s="1153" t="s">
        <v>17051</v>
      </c>
      <c r="MI8" s="1153"/>
      <c r="MJ8" s="1153"/>
      <c r="MK8" s="1153"/>
      <c r="ML8" s="1153" t="s">
        <v>17051</v>
      </c>
      <c r="MM8" s="1153"/>
      <c r="MN8" s="1153"/>
      <c r="MO8" s="1153"/>
      <c r="MP8" s="1153" t="s">
        <v>17044</v>
      </c>
      <c r="MQ8" s="1153"/>
      <c r="MR8" s="1153"/>
      <c r="MS8" s="1153"/>
      <c r="MT8" s="1153" t="s">
        <v>17052</v>
      </c>
      <c r="MU8" s="1153"/>
      <c r="MV8" s="1153"/>
      <c r="MW8" s="1153"/>
      <c r="MX8" s="1153"/>
      <c r="MY8" s="1153" t="s">
        <v>17053</v>
      </c>
      <c r="MZ8" s="1153"/>
      <c r="NA8" s="1153"/>
      <c r="NB8" s="1153"/>
      <c r="NC8" s="1153" t="s">
        <v>17054</v>
      </c>
      <c r="ND8" s="1153"/>
      <c r="NE8" s="1153"/>
      <c r="NF8" s="1153"/>
      <c r="NG8" s="1153"/>
      <c r="NH8" s="1153" t="s">
        <v>17055</v>
      </c>
      <c r="NI8" s="1153"/>
      <c r="NJ8" s="1153"/>
      <c r="NK8" s="1153"/>
      <c r="NL8" s="1153"/>
      <c r="NM8" s="1153" t="s">
        <v>17056</v>
      </c>
      <c r="NN8" s="1153"/>
      <c r="NO8" s="1153"/>
      <c r="NP8" s="1153"/>
      <c r="NQ8" s="1153"/>
      <c r="NR8" s="1153" t="s">
        <v>17057</v>
      </c>
      <c r="NS8" s="1153"/>
      <c r="NT8" s="1153"/>
      <c r="NU8" s="1153"/>
      <c r="NV8" s="1153"/>
      <c r="NW8" s="1153" t="s">
        <v>17058</v>
      </c>
      <c r="NX8" s="1153"/>
      <c r="NY8" s="1153"/>
      <c r="NZ8" s="1153"/>
      <c r="OA8" s="1153"/>
      <c r="OB8" s="1153" t="s">
        <v>17044</v>
      </c>
      <c r="OC8" s="1153"/>
      <c r="OD8" s="1153"/>
      <c r="OE8" s="1153"/>
      <c r="OF8" s="1153"/>
      <c r="OG8" s="1153" t="s">
        <v>17059</v>
      </c>
      <c r="OH8" s="1153"/>
      <c r="OI8" s="1153"/>
      <c r="OJ8" s="1153"/>
      <c r="OO8" s="1281">
        <v>3</v>
      </c>
      <c r="OP8" t="s">
        <v>18328</v>
      </c>
      <c r="OQ8"/>
      <c r="OS8" s="651">
        <v>2</v>
      </c>
      <c r="OT8" s="1197" t="s">
        <v>18334</v>
      </c>
      <c r="OV8" s="651">
        <v>2</v>
      </c>
      <c r="OW8" s="1259" t="s">
        <v>18369</v>
      </c>
      <c r="OY8" s="1218">
        <v>43924</v>
      </c>
      <c r="OZ8" s="1259" t="s">
        <v>18418</v>
      </c>
      <c r="PA8" s="1218">
        <v>43924</v>
      </c>
      <c r="PB8" s="1259" t="s">
        <v>18460</v>
      </c>
      <c r="PD8" s="1259" t="s">
        <v>9262</v>
      </c>
      <c r="PE8" s="1259" t="s">
        <v>18493</v>
      </c>
      <c r="PG8" s="1218">
        <v>43952</v>
      </c>
      <c r="PH8" s="1259" t="s">
        <v>18504</v>
      </c>
      <c r="PN8" s="1259" t="s">
        <v>18528</v>
      </c>
      <c r="PS8" s="1218">
        <v>43862</v>
      </c>
      <c r="PT8" s="1259" t="s">
        <v>18546</v>
      </c>
      <c r="PV8" s="1218">
        <v>43862</v>
      </c>
      <c r="PW8" s="1259" t="s">
        <v>18594</v>
      </c>
      <c r="PY8" s="1259" t="s">
        <v>5816</v>
      </c>
      <c r="PZ8" s="1259" t="s">
        <v>15309</v>
      </c>
      <c r="QA8" s="1259"/>
    </row>
    <row r="9" spans="1:443" ht="18">
      <c r="A9" s="2">
        <v>7</v>
      </c>
      <c r="B9" s="2" t="s">
        <v>1250</v>
      </c>
      <c r="C9" s="27" t="s">
        <v>1492</v>
      </c>
      <c r="D9" s="2" t="s">
        <v>1303</v>
      </c>
      <c r="E9" s="28" t="s">
        <v>1530</v>
      </c>
      <c r="G9" s="2">
        <v>7</v>
      </c>
      <c r="H9" s="2" t="s">
        <v>1492</v>
      </c>
      <c r="I9" s="2" t="s">
        <v>1530</v>
      </c>
      <c r="K9" s="2">
        <v>7</v>
      </c>
      <c r="L9" s="2" t="s">
        <v>164</v>
      </c>
      <c r="N9" s="2" t="s">
        <v>13131</v>
      </c>
      <c r="P9" s="29">
        <v>6</v>
      </c>
      <c r="Q9" s="29" t="s">
        <v>1569</v>
      </c>
      <c r="S9" s="2">
        <v>6</v>
      </c>
      <c r="T9" s="2" t="s">
        <v>1368</v>
      </c>
      <c r="V9" s="2">
        <v>6</v>
      </c>
      <c r="W9" s="2" t="s">
        <v>1390</v>
      </c>
      <c r="Z9" s="1190"/>
      <c r="AA9" s="1208" t="s">
        <v>6252</v>
      </c>
      <c r="AB9" s="1209" t="s">
        <v>7486</v>
      </c>
      <c r="AC9" s="1210">
        <v>5</v>
      </c>
      <c r="AD9" s="1210">
        <v>30</v>
      </c>
      <c r="AE9" s="1210" t="s">
        <v>1902</v>
      </c>
      <c r="AF9" s="1208" t="s">
        <v>1902</v>
      </c>
      <c r="AG9" s="1190"/>
      <c r="AH9" s="2">
        <v>0</v>
      </c>
      <c r="AI9" s="2">
        <v>0</v>
      </c>
      <c r="AL9" s="2">
        <v>0</v>
      </c>
      <c r="AM9" s="2">
        <v>0</v>
      </c>
      <c r="AN9" s="2">
        <v>0</v>
      </c>
      <c r="AO9" s="2">
        <v>0</v>
      </c>
      <c r="AP9" s="2" t="e">
        <v>#NAME?</v>
      </c>
      <c r="AQ9" s="2" t="str">
        <v/>
      </c>
      <c r="AR9" s="2" t="str">
        <v/>
      </c>
      <c r="AS9" s="1190"/>
      <c r="AT9" s="1190"/>
      <c r="AU9" s="106"/>
      <c r="AV9" s="106"/>
      <c r="AW9" s="106"/>
      <c r="AX9" s="106"/>
      <c r="AY9" s="106"/>
      <c r="AZ9" s="106"/>
      <c r="BA9" s="106"/>
      <c r="BB9" s="106"/>
      <c r="BC9" s="106"/>
      <c r="BD9" s="106"/>
      <c r="BE9" s="106"/>
      <c r="BF9" s="106"/>
      <c r="BG9" s="106"/>
      <c r="BH9" s="106"/>
      <c r="BI9" s="106"/>
      <c r="BJ9" s="403"/>
      <c r="BK9" s="403"/>
      <c r="BL9" s="1191"/>
      <c r="BM9" s="1191"/>
      <c r="CI9" s="2">
        <v>6</v>
      </c>
      <c r="CJ9" s="2" t="s">
        <v>2496</v>
      </c>
      <c r="CL9" s="2">
        <v>6</v>
      </c>
      <c r="CQ9" s="2">
        <v>5</v>
      </c>
      <c r="CR9" s="2" t="s">
        <v>12642</v>
      </c>
      <c r="CS9" s="2" t="s">
        <v>12641</v>
      </c>
      <c r="CT9" s="2" t="s">
        <v>12643</v>
      </c>
      <c r="DC9" s="1159" t="s">
        <v>2063</v>
      </c>
      <c r="DD9" s="1199">
        <v>-2</v>
      </c>
      <c r="DE9" s="1199">
        <v>-1</v>
      </c>
      <c r="DF9" s="1199">
        <v>0</v>
      </c>
      <c r="DG9" s="1199">
        <v>1</v>
      </c>
      <c r="DH9" s="1199">
        <v>2</v>
      </c>
      <c r="DI9" s="1206"/>
      <c r="DJ9" s="1206"/>
      <c r="DK9" s="1206"/>
      <c r="DM9" s="1192" t="s">
        <v>5731</v>
      </c>
      <c r="DN9" s="1200">
        <v>1</v>
      </c>
      <c r="DO9" s="1200">
        <v>0.75</v>
      </c>
      <c r="DP9" s="1200">
        <v>0.25</v>
      </c>
      <c r="DQ9" s="1201">
        <v>16</v>
      </c>
      <c r="DR9" s="1201">
        <v>14</v>
      </c>
      <c r="DS9" s="1190"/>
      <c r="DT9" s="1211"/>
      <c r="DU9" s="1211"/>
      <c r="DV9" s="1190"/>
      <c r="DW9" s="1190"/>
      <c r="DX9" s="1190"/>
      <c r="DZ9" s="1202"/>
      <c r="EA9" s="1202"/>
      <c r="EB9" s="1202"/>
      <c r="EC9" s="1202"/>
      <c r="ED9" s="1196"/>
      <c r="EE9" s="999" t="s">
        <v>15553</v>
      </c>
      <c r="EF9" s="1000" t="s">
        <v>7511</v>
      </c>
      <c r="EG9" s="1000" t="s">
        <v>7522</v>
      </c>
      <c r="EH9" s="1000" t="s">
        <v>7524</v>
      </c>
      <c r="EI9" s="1000" t="s">
        <v>15547</v>
      </c>
      <c r="EJ9" s="1196"/>
      <c r="EK9" s="1001" t="s">
        <v>15553</v>
      </c>
      <c r="EL9" s="1002" t="s">
        <v>7511</v>
      </c>
      <c r="EM9" s="1002" t="s">
        <v>7522</v>
      </c>
      <c r="EN9" s="1002" t="s">
        <v>7524</v>
      </c>
      <c r="EO9" s="1202"/>
      <c r="EP9" s="1001" t="s">
        <v>15553</v>
      </c>
      <c r="EQ9" s="1002" t="s">
        <v>7511</v>
      </c>
      <c r="ER9" s="1002" t="s">
        <v>7522</v>
      </c>
      <c r="ES9" s="1002" t="s">
        <v>7524</v>
      </c>
      <c r="ET9" s="1196"/>
      <c r="EU9" s="1012">
        <f t="shared" ca="1" si="0"/>
        <v>0.93975798007909361</v>
      </c>
      <c r="EV9" s="1012">
        <f t="shared" ca="1" si="0"/>
        <v>0.90574685232874852</v>
      </c>
      <c r="EW9" s="1012">
        <f t="shared" ca="1" si="0"/>
        <v>0.28081891934020808</v>
      </c>
      <c r="EY9" s="2" t="s">
        <v>7702</v>
      </c>
      <c r="EZ9" s="1190"/>
      <c r="FA9" s="1197" t="s">
        <v>16328</v>
      </c>
      <c r="FB9" s="1197" t="s">
        <v>16075</v>
      </c>
      <c r="FD9" s="1197" t="s">
        <v>16328</v>
      </c>
      <c r="FE9" s="1197" t="s">
        <v>16084</v>
      </c>
      <c r="FG9" s="1197" t="s">
        <v>16328</v>
      </c>
      <c r="FH9" s="1197" t="s">
        <v>16092</v>
      </c>
      <c r="FJ9" s="1197" t="s">
        <v>16328</v>
      </c>
      <c r="FK9" s="1197" t="s">
        <v>16100</v>
      </c>
      <c r="FM9" s="1197" t="s">
        <v>16328</v>
      </c>
      <c r="FN9" s="1197" t="s">
        <v>16108</v>
      </c>
      <c r="FP9" s="1197" t="s">
        <v>16328</v>
      </c>
      <c r="FQ9" s="1197" t="s">
        <v>16116</v>
      </c>
      <c r="FS9" s="1197" t="s">
        <v>16328</v>
      </c>
      <c r="FT9" s="1197" t="s">
        <v>16124</v>
      </c>
      <c r="FV9" s="1197" t="s">
        <v>16328</v>
      </c>
      <c r="FW9" s="1197" t="s">
        <v>16132</v>
      </c>
      <c r="FY9" s="1197" t="s">
        <v>16328</v>
      </c>
      <c r="FZ9" s="1197" t="s">
        <v>16140</v>
      </c>
      <c r="GA9" s="1197" t="s">
        <v>16328</v>
      </c>
      <c r="GB9" s="1197" t="s">
        <v>16148</v>
      </c>
      <c r="GC9" s="1197" t="s">
        <v>16328</v>
      </c>
      <c r="GD9" s="1197" t="s">
        <v>16156</v>
      </c>
      <c r="GF9" s="1197" t="s">
        <v>16328</v>
      </c>
      <c r="GG9" s="1197" t="s">
        <v>16164</v>
      </c>
      <c r="GI9" s="1197" t="s">
        <v>16328</v>
      </c>
      <c r="GJ9" s="1197" t="s">
        <v>16172</v>
      </c>
      <c r="GL9" s="1197" t="s">
        <v>16328</v>
      </c>
      <c r="GM9" s="1197" t="s">
        <v>16182</v>
      </c>
      <c r="GN9" s="2" t="s">
        <v>16183</v>
      </c>
      <c r="GP9" s="1197" t="s">
        <v>16195</v>
      </c>
      <c r="GQ9" s="1197"/>
      <c r="GS9" s="1197" t="s">
        <v>16328</v>
      </c>
      <c r="GT9" s="1197" t="s">
        <v>16203</v>
      </c>
      <c r="GU9" s="1197" t="s">
        <v>16328</v>
      </c>
      <c r="GV9" s="1197" t="s">
        <v>16211</v>
      </c>
      <c r="GW9" s="1197" t="s">
        <v>16328</v>
      </c>
      <c r="GX9" s="1197" t="s">
        <v>16219</v>
      </c>
      <c r="GZ9" s="1197" t="s">
        <v>16328</v>
      </c>
      <c r="HA9" s="1197" t="s">
        <v>16227</v>
      </c>
      <c r="HC9" s="1197" t="s">
        <v>16328</v>
      </c>
      <c r="HD9" s="1197" t="s">
        <v>16235</v>
      </c>
      <c r="HF9" s="1197" t="s">
        <v>16328</v>
      </c>
      <c r="HG9" s="1197" t="s">
        <v>16243</v>
      </c>
      <c r="HI9" s="1197" t="s">
        <v>16328</v>
      </c>
      <c r="HJ9" s="1197" t="s">
        <v>16251</v>
      </c>
      <c r="HL9" s="1197" t="s">
        <v>16328</v>
      </c>
      <c r="HM9" s="1197" t="s">
        <v>16259</v>
      </c>
      <c r="HN9" s="1197" t="s">
        <v>16328</v>
      </c>
      <c r="HO9" s="1197" t="s">
        <v>16267</v>
      </c>
      <c r="HQ9" s="1197" t="s">
        <v>16328</v>
      </c>
      <c r="HR9" s="1197" t="s">
        <v>16275</v>
      </c>
      <c r="HT9" s="1197" t="s">
        <v>16328</v>
      </c>
      <c r="HU9" s="1197" t="s">
        <v>16283</v>
      </c>
      <c r="HW9" s="1197" t="s">
        <v>16328</v>
      </c>
      <c r="HX9" s="1197" t="s">
        <v>16291</v>
      </c>
      <c r="HZ9" s="1197" t="s">
        <v>16328</v>
      </c>
      <c r="IA9" s="1197" t="s">
        <v>16299</v>
      </c>
      <c r="IC9" s="1197" t="s">
        <v>16328</v>
      </c>
      <c r="ID9" s="1197" t="s">
        <v>16307</v>
      </c>
      <c r="IF9" s="1197" t="s">
        <v>16328</v>
      </c>
      <c r="IG9" s="1197" t="s">
        <v>16315</v>
      </c>
      <c r="II9" s="1197" t="s">
        <v>16328</v>
      </c>
      <c r="IJ9" s="1197" t="s">
        <v>16323</v>
      </c>
      <c r="IQ9" s="1189"/>
      <c r="IT9" s="1153"/>
      <c r="IU9" s="1153"/>
      <c r="IV9" s="1153"/>
      <c r="IW9" s="1153"/>
      <c r="IX9" s="1153"/>
      <c r="IY9" s="1153"/>
      <c r="IZ9" s="1153"/>
      <c r="JA9" s="1153"/>
      <c r="JB9" s="1153"/>
      <c r="JC9" s="1153"/>
      <c r="JD9" s="1153"/>
      <c r="JE9" s="1153"/>
      <c r="JF9" s="1153"/>
      <c r="JG9" s="1153"/>
      <c r="JH9" s="1153"/>
      <c r="JI9" s="1153"/>
      <c r="JJ9" s="1153"/>
      <c r="JK9" s="1153"/>
      <c r="JL9" s="1153"/>
      <c r="JM9" s="1153"/>
      <c r="JN9" s="1153"/>
      <c r="JO9" s="1153"/>
      <c r="JP9" s="1153"/>
      <c r="JQ9" s="1153"/>
      <c r="JR9" s="1153"/>
      <c r="JS9" s="1153"/>
      <c r="JT9" s="1153"/>
      <c r="JU9" s="1153"/>
      <c r="JV9" s="1153"/>
      <c r="JW9" s="1153"/>
      <c r="JX9" s="1153"/>
      <c r="JY9" s="1153"/>
      <c r="JZ9" s="1153"/>
      <c r="KA9" s="1153"/>
      <c r="KB9" s="1153"/>
      <c r="KC9" s="1153"/>
      <c r="KD9" s="1153"/>
      <c r="KE9" s="1153"/>
      <c r="KF9" s="1153"/>
      <c r="KG9" s="1153"/>
      <c r="KH9" s="1153"/>
      <c r="KI9" s="1153"/>
      <c r="KJ9" s="1153"/>
      <c r="KK9" s="1153"/>
      <c r="KL9" s="1153"/>
      <c r="KM9" s="1153"/>
      <c r="KN9" s="1153"/>
      <c r="KO9" s="1153"/>
      <c r="KP9" s="1153"/>
      <c r="KQ9" s="1153"/>
      <c r="KR9" s="1153"/>
      <c r="KS9" s="1153"/>
      <c r="KT9" s="1153"/>
      <c r="KU9" s="1153"/>
      <c r="KV9" s="1153"/>
      <c r="KW9" s="1153"/>
      <c r="KX9" s="1153"/>
      <c r="KY9" s="1153"/>
      <c r="KZ9" s="1153"/>
      <c r="LA9" s="1153"/>
      <c r="LB9" s="1153"/>
      <c r="LC9" s="1153"/>
      <c r="LD9" s="1153"/>
      <c r="LE9" s="1153"/>
      <c r="LF9" s="1153"/>
      <c r="LG9" s="1153"/>
      <c r="LH9" s="1153"/>
      <c r="LI9" s="1153"/>
      <c r="LJ9" s="1153"/>
      <c r="LK9" s="1153"/>
      <c r="LL9" s="1153"/>
      <c r="LM9" s="1153"/>
      <c r="LN9" s="1153"/>
      <c r="LO9" s="1153"/>
      <c r="LP9" s="1153"/>
      <c r="LQ9" s="1153"/>
      <c r="LR9" s="1153"/>
      <c r="LS9" s="1247"/>
      <c r="LU9" s="1139" t="s">
        <v>5767</v>
      </c>
      <c r="LV9" s="1153" t="s">
        <v>17060</v>
      </c>
      <c r="LW9" s="1153">
        <v>70</v>
      </c>
      <c r="LX9" s="1153"/>
      <c r="LY9" s="23">
        <v>43891</v>
      </c>
      <c r="LZ9" s="1153">
        <v>0</v>
      </c>
      <c r="MA9" s="1153" t="s">
        <v>5791</v>
      </c>
      <c r="MB9" s="1153"/>
      <c r="MC9" s="1153"/>
      <c r="MD9" s="1153"/>
      <c r="ME9" s="1153">
        <v>1</v>
      </c>
      <c r="MF9" s="1153" t="s">
        <v>17061</v>
      </c>
      <c r="MG9" s="1153"/>
      <c r="MH9" s="1153" t="s">
        <v>17062</v>
      </c>
      <c r="MI9" s="1153"/>
      <c r="MJ9" s="1153"/>
      <c r="MK9" s="1153"/>
      <c r="ML9" s="1153" t="s">
        <v>17063</v>
      </c>
      <c r="MM9" s="1153"/>
      <c r="MN9" s="1153"/>
      <c r="MO9" s="1153"/>
      <c r="MP9" s="1153" t="s">
        <v>17064</v>
      </c>
      <c r="MQ9" s="1153"/>
      <c r="MR9" s="1153"/>
      <c r="MS9" s="1153"/>
      <c r="MT9" s="1153" t="s">
        <v>17065</v>
      </c>
      <c r="MU9" s="1153"/>
      <c r="MV9" s="1153"/>
      <c r="MW9" s="1153"/>
      <c r="MX9" s="1153"/>
      <c r="MY9" s="1153" t="s">
        <v>17066</v>
      </c>
      <c r="MZ9" s="1153"/>
      <c r="NA9" s="1153"/>
      <c r="NB9" s="1153"/>
      <c r="NC9" s="1153" t="s">
        <v>17066</v>
      </c>
      <c r="ND9" s="1153"/>
      <c r="NE9" s="1153"/>
      <c r="NF9" s="1153"/>
      <c r="NG9" s="1153"/>
      <c r="NH9" s="1153" t="s">
        <v>17067</v>
      </c>
      <c r="NI9" s="1153"/>
      <c r="NJ9" s="1153"/>
      <c r="NK9" s="1153"/>
      <c r="NL9" s="1153"/>
      <c r="NM9" s="1153" t="s">
        <v>17068</v>
      </c>
      <c r="NN9" s="1153"/>
      <c r="NO9" s="1153"/>
      <c r="NP9" s="1153"/>
      <c r="NQ9" s="1153"/>
      <c r="NR9" s="1153" t="s">
        <v>17069</v>
      </c>
      <c r="NS9" s="1153"/>
      <c r="NT9" s="1153"/>
      <c r="NU9" s="1153"/>
      <c r="NV9" s="1153"/>
      <c r="NW9" s="1153" t="s">
        <v>17070</v>
      </c>
      <c r="NX9" s="1153"/>
      <c r="NY9" s="1153"/>
      <c r="NZ9" s="1153"/>
      <c r="OA9" s="1153"/>
      <c r="OB9" s="1153" t="s">
        <v>17071</v>
      </c>
      <c r="OC9" s="1153"/>
      <c r="OD9" s="1153"/>
      <c r="OE9" s="1153"/>
      <c r="OF9" s="1153"/>
      <c r="OG9" s="1153" t="s">
        <v>17072</v>
      </c>
      <c r="OH9" s="1153"/>
      <c r="OI9" s="1153"/>
      <c r="OJ9" s="1153"/>
      <c r="OO9" s="1281">
        <v>4</v>
      </c>
      <c r="OP9" t="s">
        <v>18327</v>
      </c>
      <c r="OS9" s="651">
        <v>3</v>
      </c>
      <c r="OT9" s="1197" t="s">
        <v>7730</v>
      </c>
      <c r="OV9" s="651">
        <v>3</v>
      </c>
      <c r="OW9" s="1259" t="s">
        <v>18370</v>
      </c>
      <c r="OY9" s="1218">
        <v>43987</v>
      </c>
      <c r="OZ9" s="1259" t="s">
        <v>6255</v>
      </c>
      <c r="PA9" s="1218">
        <v>43987</v>
      </c>
      <c r="PB9" s="1259" t="s">
        <v>14044</v>
      </c>
      <c r="PD9" s="1259" t="s">
        <v>9264</v>
      </c>
      <c r="PE9" s="1259" t="s">
        <v>18494</v>
      </c>
      <c r="PG9" s="1218">
        <v>44110</v>
      </c>
      <c r="PH9" s="1259" t="s">
        <v>18505</v>
      </c>
      <c r="PN9" s="1259" t="s">
        <v>18529</v>
      </c>
      <c r="PS9" s="1218">
        <v>44107</v>
      </c>
      <c r="PT9" s="1259" t="s">
        <v>18547</v>
      </c>
      <c r="PV9" s="1218">
        <v>43924</v>
      </c>
      <c r="PW9" s="1259" t="s">
        <v>18595</v>
      </c>
      <c r="PY9" s="1259">
        <v>1</v>
      </c>
      <c r="PZ9" s="1259" t="s">
        <v>18607</v>
      </c>
      <c r="QA9" s="1259"/>
    </row>
    <row r="10" spans="1:443" ht="18">
      <c r="A10" s="2">
        <v>8</v>
      </c>
      <c r="B10" s="2" t="s">
        <v>1251</v>
      </c>
      <c r="C10" s="27" t="s">
        <v>1493</v>
      </c>
      <c r="D10" s="2" t="s">
        <v>1304</v>
      </c>
      <c r="E10" s="28" t="s">
        <v>1531</v>
      </c>
      <c r="G10" s="2">
        <v>8</v>
      </c>
      <c r="H10" s="2" t="s">
        <v>1493</v>
      </c>
      <c r="I10" s="2" t="s">
        <v>1531</v>
      </c>
      <c r="K10" s="2">
        <v>8</v>
      </c>
      <c r="L10" s="2" t="s">
        <v>390</v>
      </c>
      <c r="N10" s="2" t="s">
        <v>13132</v>
      </c>
      <c r="P10" s="29">
        <v>7</v>
      </c>
      <c r="Q10" s="29" t="s">
        <v>1570</v>
      </c>
      <c r="S10" s="2">
        <v>7</v>
      </c>
      <c r="T10" s="2" t="s">
        <v>1369</v>
      </c>
      <c r="V10" s="2">
        <v>7</v>
      </c>
      <c r="W10" s="2" t="s">
        <v>1391</v>
      </c>
      <c r="Z10" s="1190"/>
      <c r="AA10" s="1208" t="s">
        <v>7488</v>
      </c>
      <c r="AB10" s="1209" t="s">
        <v>7486</v>
      </c>
      <c r="AC10" s="1210">
        <v>5</v>
      </c>
      <c r="AD10" s="1210">
        <v>1</v>
      </c>
      <c r="AE10" s="1210" t="s">
        <v>7445</v>
      </c>
      <c r="AF10" s="1208" t="s">
        <v>1902</v>
      </c>
      <c r="AG10" s="1190"/>
      <c r="AH10" s="2">
        <v>0</v>
      </c>
      <c r="AI10" s="2">
        <v>0</v>
      </c>
      <c r="AN10" s="2">
        <v>0</v>
      </c>
      <c r="AO10" s="2">
        <v>0</v>
      </c>
      <c r="AP10" s="2" t="e">
        <v>#NAME?</v>
      </c>
      <c r="AQ10" s="2" t="str">
        <v/>
      </c>
      <c r="AS10" s="1190"/>
      <c r="AT10" s="1190"/>
      <c r="AU10" s="106"/>
      <c r="AV10" s="106"/>
      <c r="AW10" s="106"/>
      <c r="AX10" s="106"/>
      <c r="AY10" s="106"/>
      <c r="AZ10" s="106"/>
      <c r="BA10" s="106"/>
      <c r="BB10" s="106"/>
      <c r="BC10" s="106"/>
      <c r="BD10" s="106"/>
      <c r="BE10" s="106"/>
      <c r="BF10" s="106"/>
      <c r="BG10" s="106"/>
      <c r="BH10" s="106"/>
      <c r="BI10" s="106"/>
      <c r="BJ10" s="403"/>
      <c r="BK10" s="403"/>
      <c r="BL10" s="1191"/>
      <c r="BM10" s="1191"/>
      <c r="CI10" s="2">
        <v>7</v>
      </c>
      <c r="CJ10" s="2" t="s">
        <v>2496</v>
      </c>
      <c r="CL10" s="2">
        <v>7</v>
      </c>
      <c r="CQ10" s="2">
        <v>6</v>
      </c>
      <c r="CR10" s="2" t="s">
        <v>12643</v>
      </c>
      <c r="CS10" s="2" t="s">
        <v>12642</v>
      </c>
      <c r="CT10" s="2" t="s">
        <v>12643</v>
      </c>
      <c r="DC10" s="1159" t="s">
        <v>2062</v>
      </c>
      <c r="DD10" s="1199">
        <v>1.5</v>
      </c>
      <c r="DE10" s="1199">
        <v>1.25</v>
      </c>
      <c r="DF10" s="1199">
        <v>1</v>
      </c>
      <c r="DG10" s="1199">
        <v>0.9</v>
      </c>
      <c r="DH10" s="1199">
        <v>0.8</v>
      </c>
      <c r="DI10" s="1206"/>
      <c r="DJ10" s="1206"/>
      <c r="DK10" s="1206"/>
      <c r="DM10" s="1192" t="s">
        <v>5730</v>
      </c>
      <c r="DN10" s="1200">
        <v>1</v>
      </c>
      <c r="DO10" s="1200">
        <v>1</v>
      </c>
      <c r="DP10" s="1200">
        <v>0.75</v>
      </c>
      <c r="DQ10" s="1201">
        <v>14</v>
      </c>
      <c r="DR10" s="1201">
        <v>16</v>
      </c>
      <c r="DS10" s="1190"/>
      <c r="DT10" s="1211"/>
      <c r="DU10" s="1211"/>
      <c r="DV10" s="1190"/>
      <c r="DW10" s="1190"/>
      <c r="DX10" s="1190"/>
      <c r="DZ10" s="1194" t="s">
        <v>15554</v>
      </c>
      <c r="EA10" s="1194" t="s">
        <v>15537</v>
      </c>
      <c r="EB10" s="1194" t="s">
        <v>15555</v>
      </c>
      <c r="EC10" s="1194" t="s">
        <v>15556</v>
      </c>
      <c r="ED10" s="1196"/>
      <c r="EE10" s="1006" t="s">
        <v>7511</v>
      </c>
      <c r="EF10" s="1007">
        <f t="array" ref="EF10">EF23/(INDEX($EC$11:$EC$22,MATCH([5]Weather!$B$4,$DZ$11:$DZ$22,0))*INDEX($EC$25:$EC$34,MATCH([5]Weather!$E$4,$DZ$25:$DZ$34,0)))</f>
        <v>43.75</v>
      </c>
      <c r="EG10" s="1007">
        <f t="array" ref="EG10">EG23*(INDEX($EC$11:$EC$22,MATCH([5]Weather!$B$4,$DZ$11:$DZ$22,0))*INDEX($EC$25:$EC$34,MATCH([5]Weather!$E$4,$DZ$25:$DZ$34,0)))</f>
        <v>40</v>
      </c>
      <c r="EH10" s="1007">
        <f t="array" ref="EH10">EH23*(INDEX($EC$11:$EC$22,MATCH([5]Weather!$B$4,$DZ$11:$DZ$22,0))*INDEX($EC$25:$EC$34,MATCH([5]Weather!$E$4,$DZ$25:$DZ$34,0)))</f>
        <v>8</v>
      </c>
      <c r="EI10" s="1008" t="str">
        <f>ROUND(100*EF10/SUM(EF10:EH10),0)&amp;"/"&amp;ROUND(100*EG10/SUM(EF10:EH10),0)&amp;"/"&amp;ROUND(100*EH10/SUM(EF10:EH10),0)</f>
        <v>48/44/9</v>
      </c>
      <c r="EJ10" s="1196"/>
      <c r="EK10" s="1006" t="s">
        <v>7511</v>
      </c>
      <c r="EL10" s="1013">
        <f>SUM($EE10:EE10)/SUM($EF10:$EH10)</f>
        <v>0</v>
      </c>
      <c r="EM10" s="1013">
        <f>SUM($EE10:EF10)/SUM($EF10:$EH10)</f>
        <v>0.4768392370572207</v>
      </c>
      <c r="EN10" s="1013">
        <f>SUM($EE10:EG10)/SUM($EF10:$EH10)</f>
        <v>0.91280653950953683</v>
      </c>
      <c r="EO10" s="1196"/>
      <c r="EP10" s="1006" t="s">
        <v>7511</v>
      </c>
      <c r="EQ10" s="1204">
        <f t="shared" ref="EQ10:ES12" si="2">EF10/SUM($EF10:$EH10)</f>
        <v>0.4768392370572207</v>
      </c>
      <c r="ER10" s="1204">
        <f t="shared" si="2"/>
        <v>0.43596730245231607</v>
      </c>
      <c r="ES10" s="1204">
        <f t="shared" si="2"/>
        <v>8.7193460490463212E-2</v>
      </c>
      <c r="ET10" s="1196"/>
      <c r="EU10" s="1012">
        <f t="shared" ca="1" si="0"/>
        <v>0.76616633222060704</v>
      </c>
      <c r="EV10" s="1012">
        <f t="shared" ca="1" si="0"/>
        <v>0.3781484697897004</v>
      </c>
      <c r="EW10" s="1012">
        <f t="shared" ca="1" si="0"/>
        <v>0.89830071251221699</v>
      </c>
      <c r="EY10" s="2" t="s">
        <v>7701</v>
      </c>
      <c r="EZ10" s="1190"/>
      <c r="FA10" s="1197" t="s">
        <v>16329</v>
      </c>
      <c r="FB10" s="1197" t="s">
        <v>16076</v>
      </c>
      <c r="FD10" s="1197" t="s">
        <v>16329</v>
      </c>
      <c r="FE10" s="1197" t="s">
        <v>16085</v>
      </c>
      <c r="FG10" s="1197" t="s">
        <v>16329</v>
      </c>
      <c r="FH10" s="1197" t="s">
        <v>16093</v>
      </c>
      <c r="FJ10" s="1197" t="s">
        <v>16329</v>
      </c>
      <c r="FK10" s="1197" t="s">
        <v>16101</v>
      </c>
      <c r="FM10" s="1197" t="s">
        <v>16329</v>
      </c>
      <c r="FN10" s="1197" t="s">
        <v>16109</v>
      </c>
      <c r="FP10" s="1197" t="s">
        <v>16329</v>
      </c>
      <c r="FQ10" s="1197" t="s">
        <v>16117</v>
      </c>
      <c r="FS10" s="1197" t="s">
        <v>16329</v>
      </c>
      <c r="FT10" s="1197" t="s">
        <v>16125</v>
      </c>
      <c r="FV10" s="1197" t="s">
        <v>16329</v>
      </c>
      <c r="FW10" s="1197" t="s">
        <v>16133</v>
      </c>
      <c r="FY10" s="1197" t="s">
        <v>16329</v>
      </c>
      <c r="FZ10" s="1197" t="s">
        <v>16141</v>
      </c>
      <c r="GA10" s="1197" t="s">
        <v>16329</v>
      </c>
      <c r="GB10" s="1197" t="s">
        <v>16149</v>
      </c>
      <c r="GC10" s="1197" t="s">
        <v>16329</v>
      </c>
      <c r="GD10" s="1197" t="s">
        <v>16157</v>
      </c>
      <c r="GF10" s="1197" t="s">
        <v>16329</v>
      </c>
      <c r="GG10" s="1197" t="s">
        <v>16165</v>
      </c>
      <c r="GI10" s="1197" t="s">
        <v>16329</v>
      </c>
      <c r="GJ10" s="1197" t="s">
        <v>16173</v>
      </c>
      <c r="GL10" s="1197" t="s">
        <v>16329</v>
      </c>
      <c r="GM10" s="1197" t="s">
        <v>16184</v>
      </c>
      <c r="GN10" s="2" t="s">
        <v>16185</v>
      </c>
      <c r="GP10" s="1197" t="s">
        <v>16196</v>
      </c>
      <c r="GQ10" s="1197"/>
      <c r="GS10" s="1197" t="s">
        <v>16329</v>
      </c>
      <c r="GT10" s="1197" t="s">
        <v>16204</v>
      </c>
      <c r="GU10" s="1197" t="s">
        <v>16329</v>
      </c>
      <c r="GV10" s="1197" t="s">
        <v>16212</v>
      </c>
      <c r="GW10" s="1197" t="s">
        <v>16329</v>
      </c>
      <c r="GX10" s="1197" t="s">
        <v>16220</v>
      </c>
      <c r="GZ10" s="1197" t="s">
        <v>16329</v>
      </c>
      <c r="HA10" s="1197" t="s">
        <v>16228</v>
      </c>
      <c r="HC10" s="1197" t="s">
        <v>16329</v>
      </c>
      <c r="HD10" s="1197" t="s">
        <v>16236</v>
      </c>
      <c r="HF10" s="1197" t="s">
        <v>16329</v>
      </c>
      <c r="HG10" s="1197" t="s">
        <v>16244</v>
      </c>
      <c r="HI10" s="1197" t="s">
        <v>16329</v>
      </c>
      <c r="HJ10" s="1197" t="s">
        <v>16252</v>
      </c>
      <c r="HL10" s="1197" t="s">
        <v>16329</v>
      </c>
      <c r="HM10" s="1197" t="s">
        <v>16260</v>
      </c>
      <c r="HN10" s="1197" t="s">
        <v>16329</v>
      </c>
      <c r="HO10" s="1197" t="s">
        <v>16268</v>
      </c>
      <c r="HQ10" s="1197" t="s">
        <v>16329</v>
      </c>
      <c r="HR10" s="1197" t="s">
        <v>16276</v>
      </c>
      <c r="HT10" s="1197" t="s">
        <v>16329</v>
      </c>
      <c r="HU10" s="1197" t="s">
        <v>16284</v>
      </c>
      <c r="HW10" s="1197" t="s">
        <v>16329</v>
      </c>
      <c r="HX10" s="1197" t="s">
        <v>16292</v>
      </c>
      <c r="HZ10" s="1197" t="s">
        <v>16329</v>
      </c>
      <c r="IA10" s="1197" t="s">
        <v>16300</v>
      </c>
      <c r="IC10" s="1197" t="s">
        <v>16329</v>
      </c>
      <c r="ID10" s="1197" t="s">
        <v>16308</v>
      </c>
      <c r="IF10" s="1197" t="s">
        <v>16329</v>
      </c>
      <c r="IG10" s="1197" t="s">
        <v>16316</v>
      </c>
      <c r="II10" s="1197" t="s">
        <v>16329</v>
      </c>
      <c r="IJ10" s="1197" t="s">
        <v>16324</v>
      </c>
      <c r="IQ10" s="1189"/>
      <c r="IT10" s="1153"/>
      <c r="IU10" s="1153"/>
      <c r="IV10" s="1153"/>
      <c r="IW10" s="1153"/>
      <c r="IX10" s="1153"/>
      <c r="IY10" s="1153"/>
      <c r="IZ10" s="1153"/>
      <c r="JA10" s="1153"/>
      <c r="JB10" s="1153"/>
      <c r="JC10" s="1153"/>
      <c r="JD10" s="2245" t="s">
        <v>16513</v>
      </c>
      <c r="JE10" s="2245"/>
      <c r="JF10" s="2245"/>
      <c r="JG10" s="2245"/>
      <c r="JH10" s="2245"/>
      <c r="JI10" s="2245"/>
      <c r="JJ10" s="1153"/>
      <c r="JK10" s="2254" t="str">
        <f ca="1">INDEX(Таблиця154[EMC],MATCH(JK12,Таблиця154[100],1))</f>
        <v>A religious zealot calls out to the party and tries to convert them.</v>
      </c>
      <c r="JL10" s="2254"/>
      <c r="JM10" s="2254"/>
      <c r="JN10" s="1153"/>
      <c r="JO10" s="1153"/>
      <c r="JP10" s="1153"/>
      <c r="JQ10" s="1153"/>
      <c r="JR10" s="1153"/>
      <c r="JS10" s="1153"/>
      <c r="JT10" s="533"/>
      <c r="JU10" s="533"/>
      <c r="JV10" s="533"/>
      <c r="JW10" s="533"/>
      <c r="JX10" s="1100"/>
      <c r="JY10" s="2251" t="s">
        <v>16514</v>
      </c>
      <c r="JZ10" s="2251"/>
      <c r="KA10" s="2251"/>
      <c r="KB10" s="2251"/>
      <c r="KC10" s="1153"/>
      <c r="KD10" s="2252" t="s">
        <v>16515</v>
      </c>
      <c r="KE10" s="2252"/>
      <c r="KF10" s="2252"/>
      <c r="KG10" s="2252"/>
      <c r="KH10" s="1153"/>
      <c r="KI10" s="1153"/>
      <c r="KJ10" s="1101" t="str">
        <f ca="1">INDEX(KJ$9:KJ$28,RANDBETWEEN(1,20),1)</f>
        <v>Herbalist</v>
      </c>
      <c r="KK10" s="1101" t="str">
        <f ca="1">INDEX(KK$9:KK$28,RANDBETWEEN(1,20),1)</f>
        <v>Roofer</v>
      </c>
      <c r="KL10" s="1101" t="str">
        <f ca="1">INDEX(KL$9:KL$28,RANDBETWEEN(1,20),1)</f>
        <v>Perfumer/dyer</v>
      </c>
      <c r="KM10" s="1101" t="str">
        <f ca="1">INDEX(KM$9:KM$28,RANDBETWEEN(1,20),1)</f>
        <v>Food merchant</v>
      </c>
      <c r="KN10" s="1153"/>
      <c r="KO10" s="1153"/>
      <c r="KP10" s="1153"/>
      <c r="KQ10" s="1153"/>
      <c r="KR10" s="1153"/>
      <c r="KS10" s="1153"/>
      <c r="KT10" s="1153"/>
      <c r="KU10" s="1153"/>
      <c r="KV10" s="1153"/>
      <c r="KW10" s="1153"/>
      <c r="KX10" s="1153"/>
      <c r="KY10" s="1153"/>
      <c r="KZ10" s="1153"/>
      <c r="LA10" s="1153"/>
      <c r="LB10" s="1153"/>
      <c r="LC10" s="1153"/>
      <c r="LD10" s="1153"/>
      <c r="LE10" s="1153"/>
      <c r="LF10" s="1153"/>
      <c r="LG10" s="1153"/>
      <c r="LH10" s="1153"/>
      <c r="LI10" s="1153"/>
      <c r="LJ10" s="1153"/>
      <c r="LK10" s="1153"/>
      <c r="LL10" s="1153"/>
      <c r="LM10" s="1153"/>
      <c r="LN10" s="1153"/>
      <c r="LO10" s="1153"/>
      <c r="LP10" s="1153"/>
      <c r="LQ10" s="1153"/>
      <c r="LR10" s="1153"/>
      <c r="LS10" s="1247"/>
      <c r="LU10" s="1153" t="s">
        <v>17073</v>
      </c>
      <c r="LV10" s="1153" t="s">
        <v>17074</v>
      </c>
      <c r="LW10" s="1153">
        <v>100</v>
      </c>
      <c r="LX10" s="1153"/>
      <c r="LY10" s="23">
        <v>43986</v>
      </c>
      <c r="LZ10" s="1140">
        <v>3</v>
      </c>
      <c r="MA10" s="1153" t="s">
        <v>17075</v>
      </c>
      <c r="MB10" s="1153"/>
      <c r="MC10" s="1153"/>
      <c r="MD10" s="1153"/>
      <c r="ME10" s="1153">
        <v>2</v>
      </c>
      <c r="MF10" s="1153" t="s">
        <v>17076</v>
      </c>
      <c r="MG10" s="1153"/>
      <c r="MH10" s="1153" t="s">
        <v>17077</v>
      </c>
      <c r="MI10" s="1153"/>
      <c r="MJ10" s="1153"/>
      <c r="MK10" s="1153"/>
      <c r="ML10" s="1153" t="s">
        <v>17078</v>
      </c>
      <c r="MM10" s="1153"/>
      <c r="MN10" s="1153"/>
      <c r="MO10" s="1153"/>
      <c r="MP10" s="1153" t="s">
        <v>17079</v>
      </c>
      <c r="MQ10" s="1153"/>
      <c r="MR10" s="1153"/>
      <c r="MS10" s="1153"/>
      <c r="MT10" s="1153" t="s">
        <v>17080</v>
      </c>
      <c r="MU10" s="1153"/>
      <c r="MV10" s="1153"/>
      <c r="MW10" s="1153"/>
      <c r="MX10" s="1153"/>
      <c r="MY10" s="1153" t="s">
        <v>17081</v>
      </c>
      <c r="MZ10" s="1153"/>
      <c r="NA10" s="1153"/>
      <c r="NB10" s="1153"/>
      <c r="NC10" s="1153" t="s">
        <v>17082</v>
      </c>
      <c r="ND10" s="1153"/>
      <c r="NE10" s="1153"/>
      <c r="NF10" s="1153"/>
      <c r="NG10" s="1153"/>
      <c r="NH10" s="1153" t="s">
        <v>17083</v>
      </c>
      <c r="NI10" s="1153"/>
      <c r="NJ10" s="1153"/>
      <c r="NK10" s="1153"/>
      <c r="NL10" s="1153"/>
      <c r="NM10" s="1153" t="s">
        <v>17084</v>
      </c>
      <c r="NN10" s="1153"/>
      <c r="NO10" s="1153"/>
      <c r="NP10" s="1153"/>
      <c r="NQ10" s="1153"/>
      <c r="NR10" s="1153" t="s">
        <v>17085</v>
      </c>
      <c r="NS10" s="1153"/>
      <c r="NT10" s="1153"/>
      <c r="NU10" s="1153"/>
      <c r="NV10" s="1153"/>
      <c r="NW10" s="1153" t="s">
        <v>17086</v>
      </c>
      <c r="NX10" s="1153"/>
      <c r="NY10" s="1153"/>
      <c r="NZ10" s="1153"/>
      <c r="OA10" s="1153"/>
      <c r="OB10" s="1153" t="s">
        <v>17087</v>
      </c>
      <c r="OC10" s="1153"/>
      <c r="OD10" s="1153"/>
      <c r="OE10" s="1153"/>
      <c r="OF10" s="1153"/>
      <c r="OG10" s="1153" t="s">
        <v>17088</v>
      </c>
      <c r="OH10" s="1153"/>
      <c r="OI10" s="1153"/>
      <c r="OJ10" s="1153"/>
      <c r="OO10" s="1281">
        <v>5</v>
      </c>
      <c r="OP10" t="s">
        <v>18329</v>
      </c>
      <c r="OS10" s="651">
        <v>4</v>
      </c>
      <c r="OT10" s="1197" t="s">
        <v>14044</v>
      </c>
      <c r="OV10" s="651">
        <v>4</v>
      </c>
      <c r="OW10" s="1259" t="s">
        <v>18371</v>
      </c>
      <c r="OY10" s="1218">
        <v>44050</v>
      </c>
      <c r="OZ10" s="1259" t="s">
        <v>18419</v>
      </c>
      <c r="PA10" s="1218">
        <v>44050</v>
      </c>
      <c r="PB10" s="1259" t="s">
        <v>18461</v>
      </c>
      <c r="PD10" s="1259" t="s">
        <v>18495</v>
      </c>
      <c r="PE10" s="1259" t="s">
        <v>18496</v>
      </c>
      <c r="PG10" s="1220">
        <v>42309</v>
      </c>
      <c r="PH10" s="1259" t="s">
        <v>18506</v>
      </c>
      <c r="PN10" s="1259" t="s">
        <v>18530</v>
      </c>
      <c r="PO10" s="1259" t="s">
        <v>18531</v>
      </c>
      <c r="PS10" s="1259">
        <v>11</v>
      </c>
      <c r="PT10" s="1259" t="s">
        <v>18548</v>
      </c>
      <c r="PV10" s="1218">
        <v>43987</v>
      </c>
      <c r="PW10" s="1259" t="s">
        <v>18596</v>
      </c>
      <c r="PY10" s="1259">
        <v>2</v>
      </c>
      <c r="PZ10" s="1259" t="s">
        <v>18608</v>
      </c>
      <c r="QA10" s="1259"/>
    </row>
    <row r="11" spans="1:443" ht="17.25">
      <c r="A11" s="2">
        <v>9</v>
      </c>
      <c r="B11" s="2" t="s">
        <v>1252</v>
      </c>
      <c r="C11" s="27" t="s">
        <v>1494</v>
      </c>
      <c r="D11" s="2" t="s">
        <v>1305</v>
      </c>
      <c r="E11" s="28" t="s">
        <v>1309</v>
      </c>
      <c r="G11" s="2">
        <v>9</v>
      </c>
      <c r="H11" s="2" t="s">
        <v>1494</v>
      </c>
      <c r="I11" s="2" t="s">
        <v>1309</v>
      </c>
      <c r="K11" s="2">
        <v>9</v>
      </c>
      <c r="L11" s="2" t="s">
        <v>11</v>
      </c>
      <c r="N11" s="2" t="s">
        <v>13133</v>
      </c>
      <c r="P11" s="29">
        <v>8</v>
      </c>
      <c r="Q11" s="29" t="s">
        <v>561</v>
      </c>
      <c r="S11" s="2">
        <v>8</v>
      </c>
      <c r="T11" s="2" t="s">
        <v>1370</v>
      </c>
      <c r="V11" s="2">
        <v>8</v>
      </c>
      <c r="W11" s="2" t="s">
        <v>1392</v>
      </c>
      <c r="Z11" s="1190"/>
      <c r="AA11" s="1208" t="s">
        <v>7487</v>
      </c>
      <c r="AB11" s="1209" t="s">
        <v>7486</v>
      </c>
      <c r="AC11" s="1210">
        <v>5</v>
      </c>
      <c r="AD11" s="1210">
        <v>1</v>
      </c>
      <c r="AE11" s="1210" t="s">
        <v>7445</v>
      </c>
      <c r="AF11" s="1208" t="s">
        <v>1902</v>
      </c>
      <c r="AG11" s="1190"/>
      <c r="AH11" s="2">
        <v>0</v>
      </c>
      <c r="AI11" s="2">
        <v>0</v>
      </c>
      <c r="AN11" s="2">
        <v>0</v>
      </c>
      <c r="AO11" s="2">
        <v>0</v>
      </c>
      <c r="AP11" s="2" t="e">
        <v>#NAME?</v>
      </c>
      <c r="AQ11" s="2" t="str">
        <v/>
      </c>
      <c r="AS11" s="1190"/>
      <c r="AT11" s="1190"/>
      <c r="AU11" s="106"/>
      <c r="AV11" s="106"/>
      <c r="AW11" s="106"/>
      <c r="AX11" s="106"/>
      <c r="AY11" s="106"/>
      <c r="AZ11" s="106"/>
      <c r="BA11" s="106"/>
      <c r="BB11" s="106"/>
      <c r="BC11" s="106"/>
      <c r="BD11" s="106"/>
      <c r="BE11" s="106"/>
      <c r="BF11" s="106"/>
      <c r="BG11" s="106"/>
      <c r="BH11" s="106"/>
      <c r="BI11" s="106"/>
      <c r="BJ11" s="403"/>
      <c r="BK11" s="403"/>
      <c r="BL11" s="1191"/>
      <c r="BM11" s="1191"/>
      <c r="CI11" s="2">
        <v>8</v>
      </c>
      <c r="CJ11" s="2" t="s">
        <v>12591</v>
      </c>
      <c r="CL11" s="2">
        <v>8</v>
      </c>
      <c r="CQ11" s="2">
        <v>7</v>
      </c>
      <c r="CR11" s="2" t="s">
        <v>12644</v>
      </c>
      <c r="CS11" s="2" t="s">
        <v>12642</v>
      </c>
      <c r="CT11" s="2" t="s">
        <v>12644</v>
      </c>
      <c r="DM11" s="1192" t="s">
        <v>5729</v>
      </c>
      <c r="DN11" s="1200">
        <v>0.75</v>
      </c>
      <c r="DO11" s="1200">
        <v>0.75</v>
      </c>
      <c r="DP11" s="1200">
        <v>0.5</v>
      </c>
      <c r="DQ11" s="1201">
        <v>16</v>
      </c>
      <c r="DR11" s="1201">
        <v>18</v>
      </c>
      <c r="DS11" s="1190"/>
      <c r="DT11" s="1211"/>
      <c r="DU11" s="1211"/>
      <c r="DV11" s="1190"/>
      <c r="DW11" s="1190"/>
      <c r="DX11" s="1190"/>
      <c r="DZ11" s="1014" t="s">
        <v>15557</v>
      </c>
      <c r="EA11" s="998">
        <v>-20</v>
      </c>
      <c r="EB11" s="1015">
        <v>1.1000000000000001</v>
      </c>
      <c r="EC11" s="1015">
        <v>1.1000000000000001</v>
      </c>
      <c r="ED11" s="1196"/>
      <c r="EE11" s="1000" t="s">
        <v>7522</v>
      </c>
      <c r="EF11" s="1009">
        <f t="array" ref="EF11">EF24/(INDEX($EC$11:$EC$22,MATCH([5]Weather!$B$4,$DZ$11:$DZ$22,0))*INDEX($EC$25:$EC$34,MATCH([5]Weather!$E$4,$DZ$25:$DZ$34,0)))</f>
        <v>31.25</v>
      </c>
      <c r="EG11" s="1009">
        <f t="array" ref="EG11">EG24*(INDEX($EC$11:$EC$22,MATCH([5]Weather!$B$4,$DZ$11:$DZ$22,0))*INDEX($EC$25:$EC$34,MATCH([5]Weather!$E$4,$DZ$25:$DZ$34,0)))</f>
        <v>56</v>
      </c>
      <c r="EH11" s="1009">
        <f t="array" ref="EH11">EH24*(INDEX($EC$11:$EC$22,MATCH([5]Weather!$B$4,$DZ$11:$DZ$22,0))*INDEX($EC$25:$EC$34,MATCH([5]Weather!$E$4,$DZ$25:$DZ$34,0)))</f>
        <v>24</v>
      </c>
      <c r="EI11" s="1008" t="str">
        <f>ROUND(100*EF11/SUM(EF11:EH11),0)&amp;"/"&amp;ROUND(100*EG11/SUM(EF11:EH11),0)&amp;"/"&amp;ROUND(100*EH11/SUM(EF11:EH11),0)</f>
        <v>28/50/22</v>
      </c>
      <c r="EJ11" s="1196"/>
      <c r="EK11" s="1000" t="s">
        <v>7522</v>
      </c>
      <c r="EL11" s="1212">
        <f>SUM($EE11:EE11)/SUM($EF11:$EH11)</f>
        <v>0</v>
      </c>
      <c r="EM11" s="1212">
        <f>SUM($EE11:EF11)/SUM($EF11:$EH11)</f>
        <v>0.2808988764044944</v>
      </c>
      <c r="EN11" s="1212">
        <f>SUM($EE11:EG11)/SUM($EF11:$EH11)</f>
        <v>0.78426966292134837</v>
      </c>
      <c r="EO11" s="1196"/>
      <c r="EP11" s="1000" t="s">
        <v>7522</v>
      </c>
      <c r="EQ11" s="1204">
        <f t="shared" si="2"/>
        <v>0.2808988764044944</v>
      </c>
      <c r="ER11" s="1204">
        <f t="shared" si="2"/>
        <v>0.50337078651685396</v>
      </c>
      <c r="ES11" s="1204">
        <f t="shared" si="2"/>
        <v>0.21573033707865169</v>
      </c>
      <c r="ET11" s="1196"/>
      <c r="EU11" s="1012">
        <f t="shared" ca="1" si="0"/>
        <v>0.65782339672128054</v>
      </c>
      <c r="EV11" s="1012">
        <f t="shared" ca="1" si="0"/>
        <v>0.31138967356986558</v>
      </c>
      <c r="EW11" s="1012">
        <f t="shared" ca="1" si="0"/>
        <v>0.18279559110144983</v>
      </c>
      <c r="EY11" s="2" t="s">
        <v>16334</v>
      </c>
      <c r="EZ11" s="1190"/>
      <c r="FA11" s="1197" t="s">
        <v>12809</v>
      </c>
      <c r="FB11" s="1197" t="s">
        <v>16077</v>
      </c>
      <c r="FD11" s="1197" t="s">
        <v>12809</v>
      </c>
      <c r="FE11" s="1197" t="s">
        <v>16086</v>
      </c>
      <c r="FG11" s="1197" t="s">
        <v>12809</v>
      </c>
      <c r="FH11" s="1197" t="s">
        <v>16094</v>
      </c>
      <c r="FJ11" s="1197" t="s">
        <v>12809</v>
      </c>
      <c r="FK11" s="1197" t="s">
        <v>16102</v>
      </c>
      <c r="FM11" s="1197" t="s">
        <v>12809</v>
      </c>
      <c r="FN11" s="1197" t="s">
        <v>16110</v>
      </c>
      <c r="FP11" s="1197" t="s">
        <v>12809</v>
      </c>
      <c r="FQ11" s="1197" t="s">
        <v>16118</v>
      </c>
      <c r="FS11" s="1197" t="s">
        <v>12809</v>
      </c>
      <c r="FT11" s="1197" t="s">
        <v>16126</v>
      </c>
      <c r="FV11" s="1197" t="s">
        <v>12809</v>
      </c>
      <c r="FW11" s="1197" t="s">
        <v>16134</v>
      </c>
      <c r="FY11" s="1197" t="s">
        <v>12809</v>
      </c>
      <c r="FZ11" s="1197" t="s">
        <v>16142</v>
      </c>
      <c r="GA11" s="1197" t="s">
        <v>12809</v>
      </c>
      <c r="GB11" s="1197" t="s">
        <v>16150</v>
      </c>
      <c r="GC11" s="1197" t="s">
        <v>12809</v>
      </c>
      <c r="GD11" s="1197" t="s">
        <v>16158</v>
      </c>
      <c r="GF11" s="1197" t="s">
        <v>12809</v>
      </c>
      <c r="GG11" s="1197" t="s">
        <v>16166</v>
      </c>
      <c r="GI11" s="1197" t="s">
        <v>12809</v>
      </c>
      <c r="GJ11" s="1197" t="s">
        <v>16174</v>
      </c>
      <c r="GL11" s="1197" t="s">
        <v>12809</v>
      </c>
      <c r="GM11" s="1197" t="s">
        <v>16186</v>
      </c>
      <c r="GN11" s="2" t="s">
        <v>16187</v>
      </c>
      <c r="GP11" s="1197" t="s">
        <v>16197</v>
      </c>
      <c r="GQ11" s="1197"/>
      <c r="GS11" s="1197" t="s">
        <v>12809</v>
      </c>
      <c r="GT11" s="1197" t="s">
        <v>16205</v>
      </c>
      <c r="GU11" s="1197" t="s">
        <v>12809</v>
      </c>
      <c r="GV11" s="1197" t="s">
        <v>16213</v>
      </c>
      <c r="GW11" s="1197" t="s">
        <v>12809</v>
      </c>
      <c r="GX11" s="1197" t="s">
        <v>16221</v>
      </c>
      <c r="GZ11" s="1197" t="s">
        <v>12809</v>
      </c>
      <c r="HA11" s="1197" t="s">
        <v>16229</v>
      </c>
      <c r="HC11" s="1197" t="s">
        <v>12809</v>
      </c>
      <c r="HD11" s="1197" t="s">
        <v>16237</v>
      </c>
      <c r="HF11" s="1197" t="s">
        <v>12809</v>
      </c>
      <c r="HG11" s="1197" t="s">
        <v>16245</v>
      </c>
      <c r="HI11" s="1197" t="s">
        <v>12809</v>
      </c>
      <c r="HJ11" s="1197" t="s">
        <v>16253</v>
      </c>
      <c r="HL11" s="1197" t="s">
        <v>12809</v>
      </c>
      <c r="HM11" s="1197" t="s">
        <v>16261</v>
      </c>
      <c r="HN11" s="1197" t="s">
        <v>12809</v>
      </c>
      <c r="HO11" s="1197" t="s">
        <v>16269</v>
      </c>
      <c r="HQ11" s="1197" t="s">
        <v>12809</v>
      </c>
      <c r="HR11" s="1197" t="s">
        <v>16277</v>
      </c>
      <c r="HT11" s="1197" t="s">
        <v>12809</v>
      </c>
      <c r="HU11" s="1197" t="s">
        <v>16285</v>
      </c>
      <c r="HW11" s="1197" t="s">
        <v>12809</v>
      </c>
      <c r="HX11" s="1197" t="s">
        <v>16293</v>
      </c>
      <c r="HZ11" s="1197" t="s">
        <v>12809</v>
      </c>
      <c r="IA11" s="1197" t="s">
        <v>16301</v>
      </c>
      <c r="IC11" s="1197" t="s">
        <v>12809</v>
      </c>
      <c r="ID11" s="1197" t="s">
        <v>16309</v>
      </c>
      <c r="IF11" s="1197" t="s">
        <v>12809</v>
      </c>
      <c r="IG11" s="1197" t="s">
        <v>16317</v>
      </c>
      <c r="II11" s="1197" t="s">
        <v>12809</v>
      </c>
      <c r="IJ11" s="1197" t="s">
        <v>16325</v>
      </c>
      <c r="IQ11" s="1189"/>
      <c r="IT11" s="2253" t="str">
        <f t="array" aca="1" ref="IT11" ca="1">INDEX(Таблиця122[Bonds],RANDBETWEEN(1,10),1)</f>
        <v>Colleagues or compatriots</v>
      </c>
      <c r="IU11" s="2253"/>
      <c r="IV11" s="2253" t="str">
        <f t="array" aca="1" ref="IV11" ca="1">INDEX(Таблиця123[Characteristic],RANDBETWEEN(1,20),1)</f>
        <v>Prone to predictions of certain doom</v>
      </c>
      <c r="IW11" s="2253"/>
      <c r="IX11" s="2253" t="str">
        <f t="array" aca="1" ref="IX11" ca="1">INDEX(Таблиця124[Ideal (Alignment)],RANDBETWEEN(1,20),1)</f>
        <v>Freedom (chaotic)</v>
      </c>
      <c r="IY11" s="2253"/>
      <c r="IZ11" s="2253" t="str">
        <f t="array" aca="1" ref="IZ11" ca="1">INDEX(Таблиця125[Bonds],RANDBETWEEN(1,10),1)</f>
        <v>Benefactor, patron, or employer</v>
      </c>
      <c r="JA11" s="2253"/>
      <c r="JB11" s="2253" t="str">
        <f t="array" aca="1" ref="JB11" ca="1">INDEX(Таблиця126[Flaw],RANDBETWEEN(1,12),1)</f>
        <v>Powerful enemy</v>
      </c>
      <c r="JC11" s="2253"/>
      <c r="JD11" s="1153"/>
      <c r="JE11" s="1153"/>
      <c r="JF11" s="1153"/>
      <c r="JG11" s="2254" t="str">
        <f ca="1">SUBSTITUTE(JD12&amp;JE12&amp;JF12,"-","")</f>
        <v>Kiquilis</v>
      </c>
      <c r="JH11" s="2254"/>
      <c r="JI11" s="2254"/>
      <c r="JJ11" s="1153"/>
      <c r="JK11" s="2254"/>
      <c r="JL11" s="2254"/>
      <c r="JM11" s="2254"/>
      <c r="JN11" s="1153"/>
      <c r="JO11" s="1153"/>
      <c r="JP11" s="1153"/>
      <c r="JQ11" s="1153"/>
      <c r="JR11" s="1153"/>
      <c r="JS11" s="1153"/>
      <c r="JT11" s="533"/>
      <c r="JU11" s="533"/>
      <c r="JV11" s="533"/>
      <c r="JW11" s="533"/>
      <c r="JX11" s="1100"/>
      <c r="JY11" s="2255" t="str">
        <f ca="1">JY12&amp;" "&amp;JZ12&amp;" "&amp;KA12&amp;" "&amp;KB12</f>
        <v>Homely 0 Lady Mug</v>
      </c>
      <c r="JZ11" s="2255"/>
      <c r="KA11" s="2255"/>
      <c r="KB11" s="2255"/>
      <c r="KC11" s="1153"/>
      <c r="KD11" s="1153" t="s">
        <v>1352</v>
      </c>
      <c r="KE11" s="2256" t="str">
        <f ca="1">INDEX([6]Аркуш1!$DT$6:$DT$15,RANDBETWEEN(1,10),1)&amp;" "&amp;INDEX([6]Аркуш1!$DV$6:$DW$15,RANDBETWEEN(1,10),RANDBETWEEN(1,2))</f>
        <v xml:space="preserve"> </v>
      </c>
      <c r="KF11" s="2256"/>
      <c r="KG11" s="2256"/>
      <c r="KH11" s="1153"/>
      <c r="KI11" s="1153"/>
      <c r="KJ11" s="1102" t="s">
        <v>16516</v>
      </c>
      <c r="KK11" s="1102"/>
      <c r="KL11" s="1102"/>
      <c r="KM11" s="1102"/>
      <c r="KN11" s="1153"/>
      <c r="KO11" s="1153"/>
      <c r="KP11" s="1153"/>
      <c r="KQ11" s="1153"/>
      <c r="KR11" s="1153"/>
      <c r="KS11" s="1153"/>
      <c r="KT11" s="1153"/>
      <c r="KU11" s="2257" t="s">
        <v>16517</v>
      </c>
      <c r="KV11" s="2257"/>
      <c r="KW11" s="2257"/>
      <c r="KX11" s="1153"/>
      <c r="KY11" s="1153"/>
      <c r="KZ11" s="1153"/>
      <c r="LA11" s="1153"/>
      <c r="LB11" s="1153"/>
      <c r="LC11" s="1153"/>
      <c r="LD11" s="1153"/>
      <c r="LE11" s="1153"/>
      <c r="LF11" s="1153"/>
      <c r="LG11" s="1153"/>
      <c r="LH11" s="1153"/>
      <c r="LI11" s="1153"/>
      <c r="LJ11" s="1153"/>
      <c r="LK11" s="1153"/>
      <c r="LL11" s="1153"/>
      <c r="LM11" s="1153"/>
      <c r="LN11" s="1153"/>
      <c r="LO11" s="1153"/>
      <c r="LP11" s="1153"/>
      <c r="LQ11" s="1153"/>
      <c r="LR11" s="1153"/>
      <c r="LS11" s="1247"/>
      <c r="LU11" s="1153"/>
      <c r="LV11" s="1153"/>
      <c r="LW11" s="1153"/>
      <c r="LX11" s="1153"/>
      <c r="LY11" s="23">
        <v>44050</v>
      </c>
      <c r="LZ11" s="1140">
        <v>6</v>
      </c>
      <c r="MA11" s="1153" t="s">
        <v>13257</v>
      </c>
      <c r="MB11" s="1153"/>
      <c r="MC11" s="1153"/>
      <c r="MD11" s="1153"/>
      <c r="ME11" s="1153">
        <v>3</v>
      </c>
      <c r="MF11" s="1153" t="s">
        <v>17089</v>
      </c>
      <c r="MG11" s="1153"/>
      <c r="MH11" s="1153" t="s">
        <v>17090</v>
      </c>
      <c r="MI11" s="1153"/>
      <c r="MJ11" s="1153"/>
      <c r="MK11" s="1153"/>
      <c r="ML11" s="1153" t="s">
        <v>17091</v>
      </c>
      <c r="MM11" s="1153"/>
      <c r="MN11" s="1153"/>
      <c r="MO11" s="1153"/>
      <c r="MP11" s="1153" t="s">
        <v>17092</v>
      </c>
      <c r="MQ11" s="1153"/>
      <c r="MR11" s="1153"/>
      <c r="MS11" s="1153"/>
      <c r="MT11" s="1153" t="s">
        <v>7934</v>
      </c>
      <c r="MU11" s="1153" t="s">
        <v>13844</v>
      </c>
      <c r="MV11" s="1153"/>
      <c r="MW11" s="1153"/>
      <c r="MX11" s="1153"/>
      <c r="MY11" s="1153" t="s">
        <v>17093</v>
      </c>
      <c r="MZ11" s="1153"/>
      <c r="NA11" s="1153"/>
      <c r="NB11" s="1153"/>
      <c r="NC11" s="1153" t="s">
        <v>17094</v>
      </c>
      <c r="ND11" s="1153"/>
      <c r="NE11" s="1153"/>
      <c r="NF11" s="1153"/>
      <c r="NG11" s="1153"/>
      <c r="NH11" s="1153" t="s">
        <v>17095</v>
      </c>
      <c r="NI11" s="1153"/>
      <c r="NJ11" s="1153"/>
      <c r="NK11" s="1153"/>
      <c r="NL11" s="1153"/>
      <c r="NM11" s="1153" t="s">
        <v>17096</v>
      </c>
      <c r="NN11" s="1153"/>
      <c r="NO11" s="1153"/>
      <c r="NP11" s="1153"/>
      <c r="NQ11" s="1153"/>
      <c r="NR11" s="1153" t="s">
        <v>17097</v>
      </c>
      <c r="NS11" s="1153"/>
      <c r="NT11" s="1153"/>
      <c r="NU11" s="1153"/>
      <c r="NV11" s="1153"/>
      <c r="NW11" s="1153" t="s">
        <v>17098</v>
      </c>
      <c r="NX11" s="1153"/>
      <c r="NY11" s="1153"/>
      <c r="NZ11" s="1153"/>
      <c r="OA11" s="1153"/>
      <c r="OB11" s="1153" t="s">
        <v>17099</v>
      </c>
      <c r="OC11" s="1153"/>
      <c r="OD11" s="1153"/>
      <c r="OE11" s="1153"/>
      <c r="OF11" s="1153"/>
      <c r="OG11" s="1153" t="s">
        <v>17100</v>
      </c>
      <c r="OH11" s="1153"/>
      <c r="OI11" s="1153"/>
      <c r="OJ11" s="1153"/>
      <c r="OO11" s="1281">
        <v>6</v>
      </c>
      <c r="OP11" t="s">
        <v>18330</v>
      </c>
      <c r="OS11" s="651">
        <v>5</v>
      </c>
      <c r="OT11" s="1197" t="s">
        <v>18335</v>
      </c>
      <c r="OV11" s="651">
        <v>5</v>
      </c>
      <c r="OW11" s="1259" t="s">
        <v>18372</v>
      </c>
      <c r="OY11" s="1218">
        <v>44113</v>
      </c>
      <c r="OZ11" s="1259" t="s">
        <v>18420</v>
      </c>
      <c r="PA11" s="1259"/>
      <c r="PB11" s="1259"/>
      <c r="PD11" s="1259" t="s">
        <v>18497</v>
      </c>
      <c r="PE11" s="1259" t="s">
        <v>18498</v>
      </c>
      <c r="PG11" s="1259" t="s">
        <v>18507</v>
      </c>
      <c r="PH11" s="1259" t="s">
        <v>18508</v>
      </c>
      <c r="PN11" s="1218">
        <v>43862</v>
      </c>
      <c r="PO11" s="1259" t="s">
        <v>18532</v>
      </c>
      <c r="PS11" s="1259">
        <v>12</v>
      </c>
      <c r="PT11" s="1259" t="s">
        <v>18549</v>
      </c>
      <c r="PV11" s="1218">
        <v>44050</v>
      </c>
      <c r="PW11" s="1259" t="s">
        <v>18597</v>
      </c>
      <c r="PY11" s="1259">
        <v>3</v>
      </c>
      <c r="PZ11" s="1259" t="s">
        <v>18609</v>
      </c>
      <c r="QA11" s="1259"/>
    </row>
    <row r="12" spans="1:443" ht="18">
      <c r="A12" s="2">
        <v>10</v>
      </c>
      <c r="B12" s="2" t="s">
        <v>1253</v>
      </c>
      <c r="C12" s="27" t="s">
        <v>1495</v>
      </c>
      <c r="D12" s="2" t="s">
        <v>1306</v>
      </c>
      <c r="E12" s="28" t="s">
        <v>1532</v>
      </c>
      <c r="G12" s="2">
        <v>10</v>
      </c>
      <c r="H12" s="2" t="s">
        <v>1495</v>
      </c>
      <c r="I12" s="2" t="s">
        <v>1532</v>
      </c>
      <c r="K12" s="2">
        <v>10</v>
      </c>
      <c r="L12" s="2" t="s">
        <v>79</v>
      </c>
      <c r="N12" s="2" t="s">
        <v>13134</v>
      </c>
      <c r="P12" s="29">
        <v>9</v>
      </c>
      <c r="Q12" s="29" t="s">
        <v>1571</v>
      </c>
      <c r="S12" s="2">
        <v>9</v>
      </c>
      <c r="T12" s="2" t="s">
        <v>1371</v>
      </c>
      <c r="V12" s="2">
        <v>9</v>
      </c>
      <c r="W12" s="2" t="s">
        <v>1393</v>
      </c>
      <c r="Z12" s="1190"/>
      <c r="AA12" s="1208" t="s">
        <v>6253</v>
      </c>
      <c r="AB12" s="1209" t="s">
        <v>7485</v>
      </c>
      <c r="AC12" s="1210">
        <v>70</v>
      </c>
      <c r="AD12" s="1210">
        <v>334</v>
      </c>
      <c r="AE12" s="1210" t="s">
        <v>1902</v>
      </c>
      <c r="AF12" s="1208" t="s">
        <v>1902</v>
      </c>
      <c r="AG12" s="1190"/>
      <c r="AH12" s="2">
        <v>0</v>
      </c>
      <c r="AI12" s="2">
        <v>0</v>
      </c>
      <c r="AN12" s="2">
        <v>0</v>
      </c>
      <c r="AO12" s="2">
        <v>0</v>
      </c>
      <c r="AP12" s="2" t="e">
        <v>#NAME?</v>
      </c>
      <c r="AQ12" s="2" t="str">
        <v/>
      </c>
      <c r="AS12" s="1190"/>
      <c r="AT12" s="1190"/>
      <c r="AU12" s="106"/>
      <c r="AV12" s="106"/>
      <c r="AW12" s="106"/>
      <c r="AX12" s="106"/>
      <c r="AY12" s="106"/>
      <c r="AZ12" s="106"/>
      <c r="BA12" s="106"/>
      <c r="BB12" s="106"/>
      <c r="BC12" s="106"/>
      <c r="BD12" s="106"/>
      <c r="BE12" s="106"/>
      <c r="BF12" s="106"/>
      <c r="BG12" s="106"/>
      <c r="BH12" s="106"/>
      <c r="BI12" s="106"/>
      <c r="BJ12" s="403"/>
      <c r="BK12" s="403"/>
      <c r="BL12" s="1191"/>
      <c r="BM12" s="1191"/>
      <c r="CI12" s="2">
        <v>9</v>
      </c>
      <c r="CJ12" s="2" t="s">
        <v>12592</v>
      </c>
      <c r="CL12" s="2">
        <v>9</v>
      </c>
      <c r="CM12" s="2" t="s">
        <v>12586</v>
      </c>
      <c r="CQ12" s="2">
        <v>8</v>
      </c>
      <c r="CR12" s="2" t="s">
        <v>12644</v>
      </c>
      <c r="CS12" s="2" t="s">
        <v>12644</v>
      </c>
      <c r="CT12" s="2" t="s">
        <v>12645</v>
      </c>
      <c r="DM12" s="1192" t="s">
        <v>5728</v>
      </c>
      <c r="DN12" s="1200">
        <v>1</v>
      </c>
      <c r="DO12" s="1200">
        <v>1</v>
      </c>
      <c r="DP12" s="1200">
        <v>0.75</v>
      </c>
      <c r="DQ12" s="1201">
        <v>12</v>
      </c>
      <c r="DR12" s="1201">
        <v>12</v>
      </c>
      <c r="DS12" s="1190"/>
      <c r="DT12" s="1211"/>
      <c r="DU12" s="1211"/>
      <c r="DV12" s="1190"/>
      <c r="DW12" s="1190"/>
      <c r="DX12" s="1190"/>
      <c r="DZ12" s="1014" t="s">
        <v>15558</v>
      </c>
      <c r="EA12" s="1005">
        <v>-10</v>
      </c>
      <c r="EB12" s="1016">
        <v>1.1000000000000001</v>
      </c>
      <c r="EC12" s="1016">
        <v>1.1000000000000001</v>
      </c>
      <c r="ED12" s="1196"/>
      <c r="EE12" s="1006" t="s">
        <v>7524</v>
      </c>
      <c r="EF12" s="1007">
        <f t="array" ref="EF12">EF25/(INDEX($EC$11:$EC$22,MATCH([5]Weather!$B$4,$DZ$11:$DZ$22,0))*INDEX($EC$25:$EC$34,MATCH([5]Weather!$E$4,$DZ$25:$DZ$34,0)))</f>
        <v>25</v>
      </c>
      <c r="EG12" s="1007">
        <f t="array" ref="EG12">EG25*(INDEX($EC$11:$EC$22,MATCH([5]Weather!$B$4,$DZ$11:$DZ$22,0))*INDEX($EC$25:$EC$34,MATCH([5]Weather!$E$4,$DZ$25:$DZ$34,0)))</f>
        <v>48</v>
      </c>
      <c r="EH12" s="1007">
        <f t="array" ref="EH12">EH25*(INDEX($EC$11:$EC$22,MATCH([5]Weather!$B$4,$DZ$11:$DZ$22,0))*INDEX($EC$25:$EC$34,MATCH([5]Weather!$E$4,$DZ$25:$DZ$34,0)))</f>
        <v>48</v>
      </c>
      <c r="EI12" s="1008" t="str">
        <f>ROUND(100*EF12/SUM(EF12:EH12),0)&amp;"/"&amp;ROUND(100*EG12/SUM(EF12:EH12),0)&amp;"/"&amp;ROUND(100*EH12/SUM(EF12:EH12),0)</f>
        <v>21/40/40</v>
      </c>
      <c r="EJ12" s="1196"/>
      <c r="EK12" s="1006" t="s">
        <v>7524</v>
      </c>
      <c r="EL12" s="1212">
        <f>SUM($EE12:EE12)/SUM($EF12:$EH12)</f>
        <v>0</v>
      </c>
      <c r="EM12" s="1212">
        <f>SUM($EE12:EF12)/SUM($EF12:$EH12)</f>
        <v>0.20661157024793389</v>
      </c>
      <c r="EN12" s="1212">
        <f>SUM($EE12:EG12)/SUM($EF12:$EH12)</f>
        <v>0.60330578512396693</v>
      </c>
      <c r="EO12" s="1196"/>
      <c r="EP12" s="1006" t="s">
        <v>7524</v>
      </c>
      <c r="EQ12" s="1204">
        <f t="shared" si="2"/>
        <v>0.20661157024793389</v>
      </c>
      <c r="ER12" s="1204">
        <f t="shared" si="2"/>
        <v>0.39669421487603307</v>
      </c>
      <c r="ES12" s="1204">
        <f t="shared" si="2"/>
        <v>0.39669421487603307</v>
      </c>
      <c r="ET12" s="1196"/>
      <c r="EU12" s="1012">
        <f t="shared" ca="1" si="0"/>
        <v>0.73942458240600284</v>
      </c>
      <c r="EV12" s="1012">
        <f t="shared" ca="1" si="0"/>
        <v>0.5265594007419343</v>
      </c>
      <c r="EW12" s="1012">
        <f t="shared" ca="1" si="0"/>
        <v>0.33612523154428264</v>
      </c>
      <c r="EY12" s="1190"/>
      <c r="EZ12" s="1190"/>
      <c r="FA12" s="1197" t="s">
        <v>12751</v>
      </c>
      <c r="FB12" s="1197" t="s">
        <v>16078</v>
      </c>
      <c r="FD12" s="1197" t="s">
        <v>12751</v>
      </c>
      <c r="FE12" s="1197" t="s">
        <v>16087</v>
      </c>
      <c r="FG12" s="1197" t="s">
        <v>12751</v>
      </c>
      <c r="FH12" s="1197" t="s">
        <v>16095</v>
      </c>
      <c r="FJ12" s="1197" t="s">
        <v>12751</v>
      </c>
      <c r="FK12" s="1197" t="s">
        <v>16103</v>
      </c>
      <c r="FM12" s="1197" t="s">
        <v>12751</v>
      </c>
      <c r="FN12" s="1197" t="s">
        <v>16111</v>
      </c>
      <c r="FP12" s="1197" t="s">
        <v>12751</v>
      </c>
      <c r="FQ12" s="1197" t="s">
        <v>16119</v>
      </c>
      <c r="FS12" s="1197" t="s">
        <v>12751</v>
      </c>
      <c r="FT12" s="1197" t="s">
        <v>16127</v>
      </c>
      <c r="FV12" s="1197" t="s">
        <v>12751</v>
      </c>
      <c r="FW12" s="1197" t="s">
        <v>16135</v>
      </c>
      <c r="FY12" s="1197" t="s">
        <v>12751</v>
      </c>
      <c r="FZ12" s="1197" t="s">
        <v>16143</v>
      </c>
      <c r="GA12" s="1197" t="s">
        <v>12751</v>
      </c>
      <c r="GB12" s="1197" t="s">
        <v>16151</v>
      </c>
      <c r="GC12" s="1197" t="s">
        <v>12751</v>
      </c>
      <c r="GD12" s="1197" t="s">
        <v>16159</v>
      </c>
      <c r="GF12" s="1197" t="s">
        <v>12751</v>
      </c>
      <c r="GG12" s="1197" t="s">
        <v>16167</v>
      </c>
      <c r="GI12" s="1197" t="s">
        <v>12751</v>
      </c>
      <c r="GJ12" s="1197" t="s">
        <v>16175</v>
      </c>
      <c r="GL12" s="1197" t="s">
        <v>12751</v>
      </c>
      <c r="GM12" s="1197" t="s">
        <v>16188</v>
      </c>
      <c r="GN12" s="2" t="s">
        <v>16189</v>
      </c>
      <c r="GP12" s="1197" t="s">
        <v>16198</v>
      </c>
      <c r="GQ12" s="1197"/>
      <c r="GS12" s="1197" t="s">
        <v>12751</v>
      </c>
      <c r="GT12" s="1197" t="s">
        <v>16206</v>
      </c>
      <c r="GU12" s="1197" t="s">
        <v>12751</v>
      </c>
      <c r="GV12" s="1197" t="s">
        <v>16214</v>
      </c>
      <c r="GW12" s="1197" t="s">
        <v>12751</v>
      </c>
      <c r="GX12" s="1197" t="s">
        <v>16222</v>
      </c>
      <c r="GZ12" s="1197" t="s">
        <v>12751</v>
      </c>
      <c r="HA12" s="1197" t="s">
        <v>16230</v>
      </c>
      <c r="HC12" s="1197" t="s">
        <v>12751</v>
      </c>
      <c r="HD12" s="1197" t="s">
        <v>16238</v>
      </c>
      <c r="HF12" s="1197" t="s">
        <v>12751</v>
      </c>
      <c r="HG12" s="1197" t="s">
        <v>16246</v>
      </c>
      <c r="HI12" s="1197" t="s">
        <v>12751</v>
      </c>
      <c r="HJ12" s="1197" t="s">
        <v>16254</v>
      </c>
      <c r="HL12" s="1197" t="s">
        <v>12751</v>
      </c>
      <c r="HM12" s="1197" t="s">
        <v>16262</v>
      </c>
      <c r="HN12" s="1197" t="s">
        <v>12751</v>
      </c>
      <c r="HO12" s="1197" t="s">
        <v>16270</v>
      </c>
      <c r="HQ12" s="1197" t="s">
        <v>12751</v>
      </c>
      <c r="HR12" s="1197" t="s">
        <v>16278</v>
      </c>
      <c r="HT12" s="1197" t="s">
        <v>12751</v>
      </c>
      <c r="HU12" s="1197" t="s">
        <v>16286</v>
      </c>
      <c r="HW12" s="1197" t="s">
        <v>12751</v>
      </c>
      <c r="HX12" s="1197" t="s">
        <v>16294</v>
      </c>
      <c r="HZ12" s="1197" t="s">
        <v>12751</v>
      </c>
      <c r="IA12" s="1197" t="s">
        <v>16302</v>
      </c>
      <c r="IC12" s="1197" t="s">
        <v>12751</v>
      </c>
      <c r="ID12" s="1197" t="s">
        <v>16310</v>
      </c>
      <c r="IF12" s="1197" t="s">
        <v>12751</v>
      </c>
      <c r="IG12" s="1197" t="s">
        <v>16318</v>
      </c>
      <c r="II12" s="1197" t="s">
        <v>12751</v>
      </c>
      <c r="IJ12" s="1197" t="s">
        <v>16326</v>
      </c>
      <c r="IQ12" s="1189"/>
      <c r="IT12" s="2253"/>
      <c r="IU12" s="2253"/>
      <c r="IV12" s="2253"/>
      <c r="IW12" s="2253"/>
      <c r="IX12" s="2253"/>
      <c r="IY12" s="2253"/>
      <c r="IZ12" s="2253"/>
      <c r="JA12" s="2253"/>
      <c r="JB12" s="2253"/>
      <c r="JC12" s="2253"/>
      <c r="JD12" s="1153" t="str">
        <f t="array" aca="1" ref="JD12" ca="1">INDEX(JE14:JE33,RANDBETWEEN(1,20),1)</f>
        <v>Ki-</v>
      </c>
      <c r="JE12" s="1153" t="str">
        <f t="array" aca="1" ref="JE12" ca="1">INDEX(JG14:JG33,RANDBETWEEN(1,20),1)</f>
        <v>quil</v>
      </c>
      <c r="JF12" s="1153" t="str">
        <f t="array" aca="1" ref="JF12" ca="1">INDEX(JI14:JI33,RANDBETWEEN(1,20),1)</f>
        <v>-is</v>
      </c>
      <c r="JG12" s="2254"/>
      <c r="JH12" s="2254"/>
      <c r="JI12" s="2254"/>
      <c r="JJ12" s="1153"/>
      <c r="JK12" s="1153">
        <f ca="1">RANDBETWEEN(1,100)</f>
        <v>23</v>
      </c>
      <c r="JL12" s="1153"/>
      <c r="JM12" s="1153"/>
      <c r="JN12" s="1153"/>
      <c r="JO12" s="1153"/>
      <c r="JP12" s="1153"/>
      <c r="JQ12" s="1153"/>
      <c r="JR12" s="1153"/>
      <c r="JS12" s="1153"/>
      <c r="JT12" s="1103" t="s">
        <v>16518</v>
      </c>
      <c r="JU12" s="533"/>
      <c r="JV12" s="1104" t="s">
        <v>16519</v>
      </c>
      <c r="JW12" s="533"/>
      <c r="JX12" s="1100"/>
      <c r="JY12" s="1105" t="str">
        <f ca="1">INDEX(JY$8:JY$27,RANDBETWEEN(1,20),1)</f>
        <v>Homely</v>
      </c>
      <c r="JZ12" s="1105">
        <f ca="1">INDEX(JZ$8:JZ$27,RANDBETWEEN(1,20),1)</f>
        <v>0</v>
      </c>
      <c r="KA12" s="1105" t="str">
        <f ca="1">INDEX(KA$8:KA$27,RANDBETWEEN(1,20),1)</f>
        <v>Lady</v>
      </c>
      <c r="KB12" s="1105" t="str">
        <f ca="1">INDEX(KB$8:KB$27,RANDBETWEEN(1,20),1)</f>
        <v>Mug</v>
      </c>
      <c r="KC12" s="1153"/>
      <c r="KD12" s="1153" t="s">
        <v>1351</v>
      </c>
      <c r="KE12" s="2256" t="str">
        <f ca="1">INDEX(KE14:KE23,RANDBETWEEN(1,10),1)&amp;" "&amp;INDEX([6]Аркуш1!$DV$6:$DW$15,RANDBETWEEN(1,10),RANDBETWEEN(1,2))</f>
        <v xml:space="preserve">Elendra </v>
      </c>
      <c r="KF12" s="2256"/>
      <c r="KG12" s="2256"/>
      <c r="KH12" s="1153"/>
      <c r="KI12" s="1153"/>
      <c r="KJ12" s="1106" t="s">
        <v>16520</v>
      </c>
      <c r="KK12" s="1106" t="s">
        <v>16521</v>
      </c>
      <c r="KL12" s="1106" t="s">
        <v>16522</v>
      </c>
      <c r="KM12" s="1106" t="s">
        <v>16523</v>
      </c>
      <c r="KN12" s="1153"/>
      <c r="KO12" s="1153"/>
      <c r="KP12" s="1153"/>
      <c r="KQ12" s="1153"/>
      <c r="KR12" s="2258" t="str">
        <f ca="1">INDEX(KS15:KS33,RANDBETWEEN(1,12)+RANDBETWEEN(1,8)-1)</f>
        <v>Companion</v>
      </c>
      <c r="KS12" s="2258"/>
      <c r="KT12" s="1153"/>
      <c r="KU12" s="1153" t="s">
        <v>1787</v>
      </c>
      <c r="KV12" s="1153" t="s">
        <v>16524</v>
      </c>
      <c r="KW12" s="1153" t="s">
        <v>2093</v>
      </c>
      <c r="KX12" s="1153"/>
      <c r="KY12" s="1153"/>
      <c r="KZ12" s="1153"/>
      <c r="LA12" s="1153"/>
      <c r="LB12" s="1153"/>
      <c r="LC12" s="1153"/>
      <c r="LD12" s="1153"/>
      <c r="LE12" s="1153"/>
      <c r="LF12" s="1153"/>
      <c r="LG12" s="1153"/>
      <c r="LH12" s="1153"/>
      <c r="LI12" s="1153"/>
      <c r="LJ12" s="1153"/>
      <c r="LK12" s="1153"/>
      <c r="LL12" s="1153"/>
      <c r="LM12" s="1153"/>
      <c r="LN12" s="1153"/>
      <c r="LO12" s="1153"/>
      <c r="LP12" s="1153"/>
      <c r="LQ12" s="1153"/>
      <c r="LR12" s="1153"/>
      <c r="LS12" s="1247"/>
      <c r="LU12" s="1153" t="s">
        <v>17101</v>
      </c>
      <c r="LV12" s="1153"/>
      <c r="LW12" s="1153"/>
      <c r="LX12" s="1153"/>
      <c r="LY12" s="23">
        <v>44113</v>
      </c>
      <c r="LZ12" s="1140">
        <v>8</v>
      </c>
      <c r="MA12" s="1153" t="s">
        <v>17102</v>
      </c>
      <c r="MB12" s="1153"/>
      <c r="MC12" s="1153"/>
      <c r="MD12" s="1153"/>
      <c r="ME12" s="1153">
        <v>4</v>
      </c>
      <c r="MF12" s="1153" t="s">
        <v>17103</v>
      </c>
      <c r="MG12" s="1153"/>
      <c r="MH12" s="1153" t="s">
        <v>17104</v>
      </c>
      <c r="MI12" s="1153"/>
      <c r="MJ12" s="1153"/>
      <c r="MK12" s="1153"/>
      <c r="ML12" s="1153" t="s">
        <v>17105</v>
      </c>
      <c r="MM12" s="1153"/>
      <c r="MN12" s="1153"/>
      <c r="MO12" s="1153"/>
      <c r="MP12" s="1153" t="s">
        <v>17106</v>
      </c>
      <c r="MQ12" s="1153"/>
      <c r="MR12" s="1153"/>
      <c r="MS12" s="1153"/>
      <c r="MT12" s="1153">
        <v>3</v>
      </c>
      <c r="MU12" s="1153" t="s">
        <v>17107</v>
      </c>
      <c r="MV12" s="1153"/>
      <c r="MW12" s="1153"/>
      <c r="MX12" s="1153"/>
      <c r="MY12" s="1153" t="s">
        <v>17108</v>
      </c>
      <c r="MZ12" s="1153"/>
      <c r="NA12" s="1153"/>
      <c r="NB12" s="1153"/>
      <c r="NC12" s="1153" t="s">
        <v>17109</v>
      </c>
      <c r="ND12" s="1153"/>
      <c r="NE12" s="1153"/>
      <c r="NF12" s="1153"/>
      <c r="NG12" s="1153"/>
      <c r="NH12" s="1153" t="s">
        <v>17110</v>
      </c>
      <c r="NI12" s="1153"/>
      <c r="NJ12" s="1153"/>
      <c r="NK12" s="1153"/>
      <c r="NL12" s="1153"/>
      <c r="NM12" s="1153" t="s">
        <v>17111</v>
      </c>
      <c r="NN12" s="1153"/>
      <c r="NO12" s="1153"/>
      <c r="NP12" s="1153"/>
      <c r="NQ12" s="1153"/>
      <c r="NR12" s="1153" t="s">
        <v>17112</v>
      </c>
      <c r="NS12" s="1153"/>
      <c r="NT12" s="1153"/>
      <c r="NU12" s="1153"/>
      <c r="NV12" s="1153"/>
      <c r="NW12" s="1153" t="s">
        <v>17113</v>
      </c>
      <c r="NX12" s="1153"/>
      <c r="NY12" s="1153"/>
      <c r="NZ12" s="1153"/>
      <c r="OA12" s="1153"/>
      <c r="OB12" s="1153" t="s">
        <v>17114</v>
      </c>
      <c r="OC12" s="1153"/>
      <c r="OD12" s="1153"/>
      <c r="OE12" s="1153"/>
      <c r="OF12" s="1153"/>
      <c r="OG12" s="1153" t="s">
        <v>17115</v>
      </c>
      <c r="OH12" s="1153"/>
      <c r="OI12" s="1153"/>
      <c r="OJ12" s="1153"/>
      <c r="OS12" s="651">
        <v>6</v>
      </c>
      <c r="OT12" s="1197" t="s">
        <v>14045</v>
      </c>
      <c r="OV12" s="651">
        <v>6</v>
      </c>
      <c r="OW12" s="1259" t="s">
        <v>18373</v>
      </c>
      <c r="OY12" s="1218">
        <v>44176</v>
      </c>
      <c r="OZ12" s="1259" t="s">
        <v>18421</v>
      </c>
      <c r="PA12" s="1259" t="s">
        <v>18332</v>
      </c>
      <c r="PB12" s="1259" t="s">
        <v>18458</v>
      </c>
      <c r="PD12" s="1259" t="s">
        <v>18499</v>
      </c>
      <c r="PE12" s="1259" t="s">
        <v>18500</v>
      </c>
      <c r="PG12" s="1259" t="s">
        <v>9262</v>
      </c>
      <c r="PH12" s="1259" t="s">
        <v>18509</v>
      </c>
      <c r="PN12" s="1218">
        <v>43924</v>
      </c>
      <c r="PO12" s="1259" t="s">
        <v>18533</v>
      </c>
      <c r="PS12" s="1259">
        <v>13</v>
      </c>
      <c r="PT12" s="1259" t="s">
        <v>18550</v>
      </c>
      <c r="PV12" s="1218">
        <v>44113</v>
      </c>
      <c r="PW12" s="1259" t="s">
        <v>18598</v>
      </c>
      <c r="PY12" s="1259">
        <v>4</v>
      </c>
      <c r="PZ12" s="1259" t="s">
        <v>18610</v>
      </c>
      <c r="QA12" s="1259"/>
    </row>
    <row r="13" spans="1:443" ht="18.75" thickBot="1">
      <c r="A13" s="2">
        <v>11</v>
      </c>
      <c r="B13" s="2" t="s">
        <v>1254</v>
      </c>
      <c r="C13" s="27" t="s">
        <v>1252</v>
      </c>
      <c r="D13" s="2" t="s">
        <v>1307</v>
      </c>
      <c r="E13" s="28" t="s">
        <v>1311</v>
      </c>
      <c r="G13" s="2">
        <v>11</v>
      </c>
      <c r="H13" s="2" t="s">
        <v>1252</v>
      </c>
      <c r="I13" s="2" t="s">
        <v>1311</v>
      </c>
      <c r="K13" s="2">
        <v>11</v>
      </c>
      <c r="L13" s="2" t="s">
        <v>38</v>
      </c>
      <c r="N13" s="2" t="s">
        <v>1305</v>
      </c>
      <c r="P13" s="29">
        <v>10</v>
      </c>
      <c r="Q13" s="29" t="s">
        <v>36</v>
      </c>
      <c r="S13" s="2">
        <v>10</v>
      </c>
      <c r="T13" s="2" t="s">
        <v>1372</v>
      </c>
      <c r="V13" s="2">
        <v>10</v>
      </c>
      <c r="W13" s="2" t="s">
        <v>1394</v>
      </c>
      <c r="Z13" s="1190"/>
      <c r="AA13" s="1208" t="s">
        <v>6254</v>
      </c>
      <c r="AB13" s="1209" t="s">
        <v>7484</v>
      </c>
      <c r="AC13" s="1210">
        <v>2</v>
      </c>
      <c r="AD13" s="1210">
        <v>40</v>
      </c>
      <c r="AE13" s="1210" t="s">
        <v>1902</v>
      </c>
      <c r="AF13" s="1208" t="s">
        <v>1902</v>
      </c>
      <c r="AG13" s="1190"/>
      <c r="AH13" s="2">
        <v>0</v>
      </c>
      <c r="AI13" s="2">
        <v>0</v>
      </c>
      <c r="AN13" s="2">
        <v>0</v>
      </c>
      <c r="AO13" s="2">
        <v>0</v>
      </c>
      <c r="AP13" s="2" t="e">
        <v>#NAME?</v>
      </c>
      <c r="AQ13" s="2" t="str">
        <v/>
      </c>
      <c r="AS13" s="1190"/>
      <c r="AT13" s="1190"/>
      <c r="AU13" s="106"/>
      <c r="AV13" s="106"/>
      <c r="AW13" s="106"/>
      <c r="AX13" s="106"/>
      <c r="AY13" s="106"/>
      <c r="AZ13" s="106"/>
      <c r="BA13" s="106"/>
      <c r="BB13" s="106"/>
      <c r="BC13" s="106"/>
      <c r="BD13" s="106"/>
      <c r="BE13" s="106"/>
      <c r="BF13" s="106"/>
      <c r="BG13" s="106"/>
      <c r="BH13" s="106"/>
      <c r="BI13" s="106"/>
      <c r="BJ13" s="403"/>
      <c r="BK13" s="403"/>
      <c r="BL13" s="1191"/>
      <c r="BM13" s="1191"/>
      <c r="CI13" s="2">
        <v>10</v>
      </c>
      <c r="CJ13" s="2" t="s">
        <v>12593</v>
      </c>
      <c r="CL13" s="2">
        <v>10</v>
      </c>
      <c r="CQ13" s="2">
        <v>9</v>
      </c>
      <c r="CR13" s="2" t="s">
        <v>12645</v>
      </c>
      <c r="CS13" s="2" t="s">
        <v>12645</v>
      </c>
      <c r="CT13" s="2" t="s">
        <v>12645</v>
      </c>
      <c r="DM13" s="1192" t="s">
        <v>5727</v>
      </c>
      <c r="DN13" s="1200">
        <v>1</v>
      </c>
      <c r="DO13" s="1200">
        <v>0.75</v>
      </c>
      <c r="DP13" s="1200">
        <v>0.5</v>
      </c>
      <c r="DQ13" s="1201">
        <v>15</v>
      </c>
      <c r="DR13" s="1201">
        <v>16</v>
      </c>
      <c r="DS13" s="1190"/>
      <c r="DT13" s="1211"/>
      <c r="DU13" s="1211"/>
      <c r="DV13" s="1190"/>
      <c r="DW13" s="1190"/>
      <c r="DX13" s="1190"/>
      <c r="DZ13" s="1014" t="s">
        <v>15559</v>
      </c>
      <c r="EA13" s="998">
        <v>5</v>
      </c>
      <c r="EB13" s="1015">
        <v>1.3</v>
      </c>
      <c r="EC13" s="1015">
        <v>1.1000000000000001</v>
      </c>
      <c r="ED13" s="1196"/>
      <c r="EE13" s="1196" t="s">
        <v>15552</v>
      </c>
      <c r="EF13" s="1011">
        <f t="array" ref="EF13:EH13">MMULT(MMULT(MMULT(MMULT(MMULT(EQ10:ES12,EQ10:ES12),MMULT(EQ10:ES12,EQ10:ES12)),MMULT(MMULT(EQ10:ES12,EQ10:ES12),MMULT(EQ10:ES12,EQ10:ES12))),MMULT(MMULT(MMULT(EQ10:ES12,EQ10:ES12),MMULT(EQ10:ES12,EQ10:ES12)),MMULT(MMULT(EQ10:ES12,EQ10:ES12),MMULT(EQ10:ES12,EQ10:ES12)))),MMULT(MMULT(MMULT(MMULT(EQ10:ES12,EQ10:ES12),MMULT(EQ10:ES12,EQ10:ES12)),MMULT(MMULT(EQ10:ES12,EQ10:ES12),MMULT(EQ10:ES12,EQ10:ES12))),MMULT(MMULT(MMULT(EQ10:ES12,EQ10:ES12),MMULT(EQ10:ES12,EQ10:ES12)),MMULT(MMULT(EQ10:ES12,EQ10:ES12),MMULT(EQ10:ES12,EQ10:ES12)))))</f>
        <v>0.32979749735420516</v>
      </c>
      <c r="EG13" s="1011">
        <v>0.45856446597900846</v>
      </c>
      <c r="EH13" s="1011">
        <v>0.2116380366667871</v>
      </c>
      <c r="EI13" s="1017"/>
      <c r="EJ13" s="1196"/>
      <c r="EK13" s="1018"/>
      <c r="EL13" s="1018"/>
      <c r="EM13" s="1018"/>
      <c r="EN13" s="1018"/>
      <c r="EO13" s="1196"/>
      <c r="EP13" s="1018"/>
      <c r="EQ13" s="1018"/>
      <c r="ER13" s="1018"/>
      <c r="ES13" s="1018"/>
      <c r="ET13" s="1018"/>
      <c r="EU13" s="1012">
        <f t="shared" ca="1" si="0"/>
        <v>0.31385012204189933</v>
      </c>
      <c r="EV13" s="1012">
        <f t="shared" ca="1" si="0"/>
        <v>0.86007781974930275</v>
      </c>
      <c r="EW13" s="1012">
        <f t="shared" ca="1" si="0"/>
        <v>0.45680684051156539</v>
      </c>
      <c r="EY13" s="1190"/>
      <c r="EZ13" s="1190"/>
      <c r="FA13" s="1197" t="s">
        <v>16079</v>
      </c>
      <c r="FB13" s="1197" t="s">
        <v>16080</v>
      </c>
      <c r="FD13" s="1197" t="s">
        <v>16079</v>
      </c>
      <c r="FE13" s="1197" t="s">
        <v>16088</v>
      </c>
      <c r="FG13" s="1197" t="s">
        <v>16079</v>
      </c>
      <c r="FH13" s="1197" t="s">
        <v>16096</v>
      </c>
      <c r="FJ13" s="1197" t="s">
        <v>16079</v>
      </c>
      <c r="FK13" s="1197" t="s">
        <v>16104</v>
      </c>
      <c r="FM13" s="1197" t="s">
        <v>16079</v>
      </c>
      <c r="FN13" s="1197" t="s">
        <v>16112</v>
      </c>
      <c r="FP13" s="1197" t="s">
        <v>16079</v>
      </c>
      <c r="FQ13" s="1197" t="s">
        <v>16120</v>
      </c>
      <c r="FS13" s="1197" t="s">
        <v>16079</v>
      </c>
      <c r="FT13" s="1197" t="s">
        <v>16128</v>
      </c>
      <c r="FV13" s="1197" t="s">
        <v>16079</v>
      </c>
      <c r="FW13" s="1197" t="s">
        <v>16136</v>
      </c>
      <c r="FY13" s="1197" t="s">
        <v>16079</v>
      </c>
      <c r="FZ13" s="1197" t="s">
        <v>16144</v>
      </c>
      <c r="GA13" s="1197" t="s">
        <v>16079</v>
      </c>
      <c r="GB13" s="1197" t="s">
        <v>16152</v>
      </c>
      <c r="GC13" s="1197" t="s">
        <v>16079</v>
      </c>
      <c r="GD13" s="1197" t="s">
        <v>16160</v>
      </c>
      <c r="GF13" s="1197" t="s">
        <v>16079</v>
      </c>
      <c r="GG13" s="1197" t="s">
        <v>16168</v>
      </c>
      <c r="GI13" s="1197" t="s">
        <v>16079</v>
      </c>
      <c r="GJ13" s="1197" t="s">
        <v>16176</v>
      </c>
      <c r="GL13" s="1197" t="s">
        <v>16079</v>
      </c>
      <c r="GM13" s="1197" t="s">
        <v>16190</v>
      </c>
      <c r="GN13" s="2" t="s">
        <v>16191</v>
      </c>
      <c r="GP13" s="1197" t="s">
        <v>16199</v>
      </c>
      <c r="GQ13" s="1197"/>
      <c r="GS13" s="1197" t="s">
        <v>16079</v>
      </c>
      <c r="GT13" s="1197" t="s">
        <v>16207</v>
      </c>
      <c r="GU13" s="1197" t="s">
        <v>16079</v>
      </c>
      <c r="GV13" s="1197" t="s">
        <v>16215</v>
      </c>
      <c r="GW13" s="1197" t="s">
        <v>16079</v>
      </c>
      <c r="GX13" s="1197" t="s">
        <v>16223</v>
      </c>
      <c r="GZ13" s="1197" t="s">
        <v>16079</v>
      </c>
      <c r="HA13" s="1197" t="s">
        <v>16231</v>
      </c>
      <c r="HC13" s="1197" t="s">
        <v>16079</v>
      </c>
      <c r="HD13" s="1197" t="s">
        <v>16239</v>
      </c>
      <c r="HF13" s="1197" t="s">
        <v>16079</v>
      </c>
      <c r="HG13" s="1197" t="s">
        <v>16247</v>
      </c>
      <c r="HI13" s="1197" t="s">
        <v>16079</v>
      </c>
      <c r="HJ13" s="1197" t="s">
        <v>16255</v>
      </c>
      <c r="HL13" s="1197" t="s">
        <v>16079</v>
      </c>
      <c r="HM13" s="1197" t="s">
        <v>16263</v>
      </c>
      <c r="HN13" s="1197" t="s">
        <v>16079</v>
      </c>
      <c r="HO13" s="1197" t="s">
        <v>16271</v>
      </c>
      <c r="HQ13" s="1197" t="s">
        <v>16079</v>
      </c>
      <c r="HR13" s="1197" t="s">
        <v>16279</v>
      </c>
      <c r="HT13" s="1197" t="s">
        <v>16079</v>
      </c>
      <c r="HU13" s="1197" t="s">
        <v>16287</v>
      </c>
      <c r="HW13" s="1197" t="s">
        <v>16079</v>
      </c>
      <c r="HX13" s="1197" t="s">
        <v>16295</v>
      </c>
      <c r="HZ13" s="1197" t="s">
        <v>16079</v>
      </c>
      <c r="IA13" s="1197" t="s">
        <v>16303</v>
      </c>
      <c r="IC13" s="1197" t="s">
        <v>16079</v>
      </c>
      <c r="ID13" s="1197" t="s">
        <v>16311</v>
      </c>
      <c r="IF13" s="1197" t="s">
        <v>16079</v>
      </c>
      <c r="IG13" s="1197" t="s">
        <v>16319</v>
      </c>
      <c r="II13" s="1197" t="s">
        <v>16079</v>
      </c>
      <c r="IJ13" s="1197" t="s">
        <v>16327</v>
      </c>
      <c r="IQ13" s="1189"/>
      <c r="IT13" s="2246" t="s">
        <v>16525</v>
      </c>
      <c r="IU13" s="2246"/>
      <c r="IV13" s="2246" t="s">
        <v>16526</v>
      </c>
      <c r="IW13" s="2246"/>
      <c r="IX13" s="2246" t="s">
        <v>16527</v>
      </c>
      <c r="IY13" s="2246"/>
      <c r="IZ13" s="2246" t="s">
        <v>16525</v>
      </c>
      <c r="JA13" s="2246"/>
      <c r="JB13" s="2246" t="s">
        <v>16528</v>
      </c>
      <c r="JC13" s="2246"/>
      <c r="JD13" s="1107" t="s">
        <v>7952</v>
      </c>
      <c r="JE13" s="1107" t="s">
        <v>16529</v>
      </c>
      <c r="JF13" s="1107" t="s">
        <v>7952</v>
      </c>
      <c r="JG13" s="1107" t="s">
        <v>16530</v>
      </c>
      <c r="JH13" s="1107" t="s">
        <v>7952</v>
      </c>
      <c r="JI13" s="1107" t="s">
        <v>16531</v>
      </c>
      <c r="JJ13" s="1153"/>
      <c r="JK13" s="1108" t="s">
        <v>1922</v>
      </c>
      <c r="JL13" s="1108" t="s">
        <v>8464</v>
      </c>
      <c r="JM13" s="1109" t="s">
        <v>16532</v>
      </c>
      <c r="JN13" s="1153"/>
      <c r="JO13" s="1153"/>
      <c r="JP13" s="2254" t="str">
        <f t="array" aca="1" ref="JP13" ca="1">INDEX(JQ15:JQ34,RANDBETWEEN(1,20),1)</f>
        <v>Someone gets angry.</v>
      </c>
      <c r="JQ13" s="2254"/>
      <c r="JR13" s="1153"/>
      <c r="JS13" s="1153"/>
      <c r="JT13" s="1153" t="s">
        <v>16533</v>
      </c>
      <c r="JU13" s="533"/>
      <c r="JV13" s="1153" t="s">
        <v>16534</v>
      </c>
      <c r="JW13" s="533"/>
      <c r="JX13" s="1110" t="s">
        <v>551</v>
      </c>
      <c r="JY13" s="1111" t="s">
        <v>16535</v>
      </c>
      <c r="JZ13" s="1111" t="s">
        <v>16536</v>
      </c>
      <c r="KA13" s="1111" t="s">
        <v>2533</v>
      </c>
      <c r="KB13" s="1112" t="s">
        <v>9648</v>
      </c>
      <c r="KC13" s="1153"/>
      <c r="KD13" s="1113" t="s">
        <v>1352</v>
      </c>
      <c r="KE13" s="1114" t="s">
        <v>1351</v>
      </c>
      <c r="KF13" s="1114" t="s">
        <v>16537</v>
      </c>
      <c r="KG13" s="1115" t="s">
        <v>16538</v>
      </c>
      <c r="KH13" s="1153"/>
      <c r="KI13" s="2245"/>
      <c r="KJ13" s="1153"/>
      <c r="KK13" s="1153"/>
      <c r="KL13" s="1153"/>
      <c r="KM13" s="1153"/>
      <c r="KN13" s="1153"/>
      <c r="KO13" s="2261" t="s">
        <v>16539</v>
      </c>
      <c r="KP13" s="2261"/>
      <c r="KQ13" s="1153"/>
      <c r="KR13" s="2259"/>
      <c r="KS13" s="2259"/>
      <c r="KT13" s="1153"/>
      <c r="KU13" s="1153" t="s">
        <v>16540</v>
      </c>
      <c r="KV13" s="1153" t="s">
        <v>9205</v>
      </c>
      <c r="KW13" s="1153">
        <v>1</v>
      </c>
      <c r="KX13" s="1153"/>
      <c r="KY13" s="1153"/>
      <c r="KZ13" s="1153"/>
      <c r="LA13" s="1153"/>
      <c r="LB13" s="1153"/>
      <c r="LC13" s="1153"/>
      <c r="LD13" s="1153"/>
      <c r="LE13" s="1153"/>
      <c r="LF13" s="1153"/>
      <c r="LG13" s="1153"/>
      <c r="LH13" s="1153"/>
      <c r="LI13" s="1153"/>
      <c r="LJ13" s="1153"/>
      <c r="LK13" s="1153"/>
      <c r="LL13" s="1153"/>
      <c r="LM13" s="1153"/>
      <c r="LN13" s="1153"/>
      <c r="LO13" s="1153"/>
      <c r="LP13" s="1153"/>
      <c r="LQ13" s="1153"/>
      <c r="LR13" s="1153"/>
      <c r="LS13" s="1247"/>
      <c r="LU13" s="1153" t="s">
        <v>17049</v>
      </c>
      <c r="LV13" s="1153"/>
      <c r="LW13" s="1153"/>
      <c r="LX13" s="1153"/>
      <c r="LY13" s="24">
        <v>41579</v>
      </c>
      <c r="LZ13" s="1140">
        <v>10</v>
      </c>
      <c r="MA13" s="1153" t="s">
        <v>17116</v>
      </c>
      <c r="MB13" s="1153"/>
      <c r="MC13" s="1153"/>
      <c r="MD13" s="1153"/>
      <c r="ME13" s="1153">
        <v>5</v>
      </c>
      <c r="MF13" s="1153" t="s">
        <v>17117</v>
      </c>
      <c r="MG13" s="1153"/>
      <c r="MH13" s="1153"/>
      <c r="MI13" s="1153"/>
      <c r="MJ13" s="1153"/>
      <c r="MK13" s="1153"/>
      <c r="ML13" s="1153"/>
      <c r="MM13" s="1153"/>
      <c r="MN13" s="1153"/>
      <c r="MO13" s="1153"/>
      <c r="MP13" s="1153" t="s">
        <v>17118</v>
      </c>
      <c r="MQ13" s="1153"/>
      <c r="MR13" s="1153"/>
      <c r="MS13" s="1153"/>
      <c r="MT13" s="1153">
        <v>4</v>
      </c>
      <c r="MU13" s="1153" t="s">
        <v>17119</v>
      </c>
      <c r="MV13" s="1153"/>
      <c r="MW13" s="1153"/>
      <c r="MX13" s="1153"/>
      <c r="MY13" s="1153" t="s">
        <v>17120</v>
      </c>
      <c r="MZ13" s="1153"/>
      <c r="NA13" s="1153"/>
      <c r="NB13" s="1153"/>
      <c r="NC13" s="1153" t="s">
        <v>17121</v>
      </c>
      <c r="ND13" s="1153"/>
      <c r="NE13" s="1153"/>
      <c r="NF13" s="1153"/>
      <c r="NG13" s="1153"/>
      <c r="NH13" s="1153" t="s">
        <v>17122</v>
      </c>
      <c r="NI13" s="1153"/>
      <c r="NJ13" s="1153"/>
      <c r="NK13" s="1153"/>
      <c r="NL13" s="1153"/>
      <c r="NM13" s="1153" t="s">
        <v>17123</v>
      </c>
      <c r="NN13" s="1153"/>
      <c r="NO13" s="1153"/>
      <c r="NP13" s="1153"/>
      <c r="NQ13" s="1153"/>
      <c r="NR13" s="1153" t="s">
        <v>17124</v>
      </c>
      <c r="NS13" s="1153"/>
      <c r="NT13" s="1153"/>
      <c r="NU13" s="1153"/>
      <c r="NV13" s="1153"/>
      <c r="NW13" s="1153" t="s">
        <v>17125</v>
      </c>
      <c r="NX13" s="1153"/>
      <c r="NY13" s="1153"/>
      <c r="NZ13" s="1153"/>
      <c r="OA13" s="1153"/>
      <c r="OB13" s="1153" t="s">
        <v>17126</v>
      </c>
      <c r="OC13" s="1153"/>
      <c r="OD13" s="1153"/>
      <c r="OE13" s="1153"/>
      <c r="OF13" s="1153"/>
      <c r="OG13" s="1153" t="s">
        <v>17059</v>
      </c>
      <c r="OH13" s="1153"/>
      <c r="OI13" s="1153"/>
      <c r="OJ13" s="1153"/>
      <c r="OS13" s="651">
        <v>7</v>
      </c>
      <c r="OT13" s="1197" t="s">
        <v>18336</v>
      </c>
      <c r="OV13" s="651">
        <v>7</v>
      </c>
      <c r="OW13" s="1259" t="s">
        <v>18374</v>
      </c>
      <c r="OY13" s="1259" t="s">
        <v>12808</v>
      </c>
      <c r="OZ13" s="1259" t="s">
        <v>6256</v>
      </c>
      <c r="PA13" s="1218">
        <v>44113</v>
      </c>
      <c r="PB13" s="1259" t="s">
        <v>691</v>
      </c>
      <c r="PG13" s="1259" t="s">
        <v>9264</v>
      </c>
      <c r="PH13" s="1259" t="s">
        <v>18510</v>
      </c>
      <c r="PN13" s="1218">
        <v>44048</v>
      </c>
      <c r="PO13" s="1259" t="s">
        <v>18534</v>
      </c>
      <c r="PS13" s="1259">
        <v>14</v>
      </c>
      <c r="PT13" s="1259" t="s">
        <v>18551</v>
      </c>
      <c r="PV13" s="1218">
        <v>44176</v>
      </c>
      <c r="PW13" s="1259" t="s">
        <v>18599</v>
      </c>
      <c r="PY13" s="1259">
        <v>5</v>
      </c>
      <c r="PZ13" s="1259" t="s">
        <v>18611</v>
      </c>
      <c r="QA13" s="1259"/>
    </row>
    <row r="14" spans="1:443" ht="18.75" thickBot="1">
      <c r="A14" s="2">
        <v>12</v>
      </c>
      <c r="B14" s="2" t="s">
        <v>1255</v>
      </c>
      <c r="C14" s="27" t="s">
        <v>1496</v>
      </c>
      <c r="D14" s="2" t="s">
        <v>1308</v>
      </c>
      <c r="E14" s="28" t="s">
        <v>1533</v>
      </c>
      <c r="G14" s="2">
        <v>12</v>
      </c>
      <c r="H14" s="2" t="s">
        <v>1496</v>
      </c>
      <c r="I14" s="2" t="s">
        <v>1533</v>
      </c>
      <c r="K14" s="2">
        <v>12</v>
      </c>
      <c r="L14" s="2" t="s">
        <v>392</v>
      </c>
      <c r="N14" s="2" t="s">
        <v>13135</v>
      </c>
      <c r="P14" s="29">
        <v>11</v>
      </c>
      <c r="Q14" s="29" t="s">
        <v>74</v>
      </c>
      <c r="S14" s="2">
        <v>11</v>
      </c>
      <c r="T14" s="2" t="s">
        <v>1373</v>
      </c>
      <c r="V14" s="2">
        <v>11</v>
      </c>
      <c r="W14" s="2" t="s">
        <v>1395</v>
      </c>
      <c r="Z14" s="1190"/>
      <c r="AA14" s="1208" t="s">
        <v>7483</v>
      </c>
      <c r="AB14" s="1209" t="s">
        <v>7482</v>
      </c>
      <c r="AC14" s="1210">
        <v>2</v>
      </c>
      <c r="AD14" s="1210">
        <v>1.5</v>
      </c>
      <c r="AE14" s="1210" t="s">
        <v>1902</v>
      </c>
      <c r="AF14" s="1208" t="s">
        <v>1902</v>
      </c>
      <c r="AG14" s="1190"/>
      <c r="AH14" s="2">
        <v>0</v>
      </c>
      <c r="AI14" s="2">
        <v>0</v>
      </c>
      <c r="AN14" s="2">
        <v>0</v>
      </c>
      <c r="AO14" s="2">
        <v>0</v>
      </c>
      <c r="AQ14" s="2" t="str">
        <v/>
      </c>
      <c r="AS14" s="1190"/>
      <c r="AT14" s="1190"/>
      <c r="AU14" s="106"/>
      <c r="AV14" s="106"/>
      <c r="AW14" s="106"/>
      <c r="AX14" s="106"/>
      <c r="AY14" s="106"/>
      <c r="AZ14" s="106"/>
      <c r="BA14" s="106"/>
      <c r="BB14" s="106"/>
      <c r="BC14" s="106"/>
      <c r="BD14" s="106"/>
      <c r="BE14" s="106"/>
      <c r="BF14" s="106"/>
      <c r="BG14" s="106"/>
      <c r="BH14" s="106"/>
      <c r="BI14" s="106"/>
      <c r="BJ14" s="403"/>
      <c r="BK14" s="403"/>
      <c r="BL14" s="1191"/>
      <c r="BM14" s="1191"/>
      <c r="CI14" s="2">
        <v>11</v>
      </c>
      <c r="CJ14" s="2" t="s">
        <v>12594</v>
      </c>
      <c r="CL14" s="2">
        <v>11</v>
      </c>
      <c r="CQ14" s="2">
        <v>10</v>
      </c>
      <c r="CR14" s="2" t="s">
        <v>12646</v>
      </c>
      <c r="CS14" s="2" t="s">
        <v>12646</v>
      </c>
      <c r="CT14" s="2" t="s">
        <v>12646</v>
      </c>
      <c r="DM14" s="1192" t="s">
        <v>5726</v>
      </c>
      <c r="DN14" s="1200">
        <v>1</v>
      </c>
      <c r="DO14" s="1200">
        <v>0.75</v>
      </c>
      <c r="DP14" s="1200">
        <v>0.75</v>
      </c>
      <c r="DQ14" s="1201">
        <v>12</v>
      </c>
      <c r="DR14" s="1201">
        <v>18</v>
      </c>
      <c r="DS14" s="1190"/>
      <c r="DT14" s="1211"/>
      <c r="DU14" s="1211"/>
      <c r="DV14" s="1190"/>
      <c r="DW14" s="1190"/>
      <c r="DX14" s="1190"/>
      <c r="DZ14" s="1014" t="s">
        <v>15560</v>
      </c>
      <c r="EA14" s="1005">
        <v>15</v>
      </c>
      <c r="EB14" s="1016">
        <v>0.8</v>
      </c>
      <c r="EC14" s="1016">
        <v>1</v>
      </c>
      <c r="ED14" s="1196"/>
      <c r="EE14" s="1196"/>
      <c r="EF14" s="1196"/>
      <c r="EG14" s="1196"/>
      <c r="EH14" s="1196"/>
      <c r="EI14" s="1196"/>
      <c r="EJ14" s="1196"/>
      <c r="EK14" s="1018"/>
      <c r="EL14" s="1018"/>
      <c r="EM14" s="1018"/>
      <c r="EN14" s="1018"/>
      <c r="EO14" s="1196"/>
      <c r="EP14" s="1018"/>
      <c r="EQ14" s="1018"/>
      <c r="ER14" s="1018"/>
      <c r="ES14" s="1018"/>
      <c r="ET14" s="1018"/>
      <c r="EU14" s="1003">
        <f t="shared" ca="1" si="0"/>
        <v>0.17173113130149742</v>
      </c>
      <c r="EV14" s="1003">
        <f t="shared" ca="1" si="0"/>
        <v>5.2178222055236922E-3</v>
      </c>
      <c r="EW14" s="1003">
        <f t="shared" ca="1" si="0"/>
        <v>0.10012457646110995</v>
      </c>
      <c r="EY14" s="1190"/>
      <c r="EZ14" s="1190"/>
      <c r="FC14" s="1197"/>
      <c r="FD14" s="1197"/>
      <c r="IQ14" s="1189"/>
      <c r="IT14" s="532" t="s">
        <v>7641</v>
      </c>
      <c r="IU14" s="532" t="s">
        <v>16541</v>
      </c>
      <c r="IV14" s="1107" t="s">
        <v>7952</v>
      </c>
      <c r="IW14" s="1116" t="s">
        <v>16542</v>
      </c>
      <c r="IX14" s="1107" t="s">
        <v>7952</v>
      </c>
      <c r="IY14" s="1116" t="s">
        <v>16543</v>
      </c>
      <c r="IZ14" s="1107" t="s">
        <v>7641</v>
      </c>
      <c r="JA14" s="1116" t="s">
        <v>16541</v>
      </c>
      <c r="JB14" s="1107" t="s">
        <v>7639</v>
      </c>
      <c r="JC14" s="1116" t="s">
        <v>16544</v>
      </c>
      <c r="JD14" s="1117">
        <v>1</v>
      </c>
      <c r="JE14" s="1117" t="str">
        <f>""</f>
        <v/>
      </c>
      <c r="JF14" s="1117">
        <v>1</v>
      </c>
      <c r="JG14" s="1117" t="s">
        <v>16545</v>
      </c>
      <c r="JH14" s="1117">
        <v>1</v>
      </c>
      <c r="JI14" s="1117" t="s">
        <v>7685</v>
      </c>
      <c r="JJ14" s="1153"/>
      <c r="JK14" s="1118">
        <v>43525</v>
      </c>
      <c r="JL14" s="1119">
        <v>0</v>
      </c>
      <c r="JM14" s="1120" t="s">
        <v>16546</v>
      </c>
      <c r="JN14" s="1153"/>
      <c r="JO14" s="1153"/>
      <c r="JP14" s="1107" t="s">
        <v>7952</v>
      </c>
      <c r="JQ14" s="1116" t="s">
        <v>13720</v>
      </c>
      <c r="JR14" s="1153"/>
      <c r="JS14" s="1153"/>
      <c r="JT14" s="1153" t="s">
        <v>16547</v>
      </c>
      <c r="JU14" s="533"/>
      <c r="JV14" s="1153"/>
      <c r="JW14" s="533"/>
      <c r="JX14" s="1121">
        <v>1</v>
      </c>
      <c r="JY14" s="1121" t="s">
        <v>16548</v>
      </c>
      <c r="JZ14" s="1121" t="s">
        <v>16549</v>
      </c>
      <c r="KA14" s="1121" t="s">
        <v>4269</v>
      </c>
      <c r="KB14" s="1122" t="s">
        <v>6249</v>
      </c>
      <c r="KC14" s="1153"/>
      <c r="KD14" s="1123" t="s">
        <v>16550</v>
      </c>
      <c r="KE14" s="1124" t="s">
        <v>16551</v>
      </c>
      <c r="KF14" s="1124" t="s">
        <v>16552</v>
      </c>
      <c r="KG14" s="1125" t="s">
        <v>16553</v>
      </c>
      <c r="KH14" s="1153"/>
      <c r="KI14" s="2260"/>
      <c r="KJ14" s="1153"/>
      <c r="KK14" s="1153"/>
      <c r="KL14" s="1153"/>
      <c r="KM14" s="1153"/>
      <c r="KN14" s="1153"/>
      <c r="KO14" s="1126" t="s">
        <v>721</v>
      </c>
      <c r="KP14" s="1126" t="s">
        <v>8572</v>
      </c>
      <c r="KQ14" s="1153"/>
      <c r="KR14" s="1127" t="s">
        <v>16554</v>
      </c>
      <c r="KS14" s="1128" t="s">
        <v>7930</v>
      </c>
      <c r="KT14" s="1153"/>
      <c r="KU14" s="1153" t="s">
        <v>16540</v>
      </c>
      <c r="KV14" s="1153" t="s">
        <v>9207</v>
      </c>
      <c r="KW14" s="1153">
        <v>2</v>
      </c>
      <c r="KX14" s="1153"/>
      <c r="KY14" s="1153"/>
      <c r="KZ14" s="1153"/>
      <c r="LA14" s="1153"/>
      <c r="LB14" s="1153"/>
      <c r="LC14" s="1153"/>
      <c r="LD14" s="1153"/>
      <c r="LE14" s="1153"/>
      <c r="LF14" s="1153"/>
      <c r="LG14" s="1153"/>
      <c r="LH14" s="1153"/>
      <c r="LI14" s="1153"/>
      <c r="LJ14" s="1153"/>
      <c r="LK14" s="1153"/>
      <c r="LL14" s="1153"/>
      <c r="LM14" s="1153"/>
      <c r="LN14" s="1153"/>
      <c r="LO14" s="1153"/>
      <c r="LP14" s="1153"/>
      <c r="LQ14" s="1153"/>
      <c r="LR14" s="1153"/>
      <c r="LS14" s="1247"/>
      <c r="LU14" s="1139" t="s">
        <v>17127</v>
      </c>
      <c r="LV14" s="1153" t="s">
        <v>17060</v>
      </c>
      <c r="LW14" s="1153">
        <v>90</v>
      </c>
      <c r="LX14" s="1153"/>
      <c r="LY14" s="1153" t="s">
        <v>12214</v>
      </c>
      <c r="LZ14" s="1140">
        <v>13</v>
      </c>
      <c r="MA14" s="1153" t="s">
        <v>17040</v>
      </c>
      <c r="MB14" s="1153"/>
      <c r="MC14" s="1153"/>
      <c r="MD14" s="1153"/>
      <c r="ME14" s="1153">
        <v>6</v>
      </c>
      <c r="MF14" s="1153" t="s">
        <v>17128</v>
      </c>
      <c r="MG14" s="1153"/>
      <c r="MH14" s="1153"/>
      <c r="MI14" s="1153"/>
      <c r="MJ14" s="1153"/>
      <c r="MK14" s="1153"/>
      <c r="ML14" s="1153"/>
      <c r="MM14" s="1153"/>
      <c r="MN14" s="1153"/>
      <c r="MO14" s="1153"/>
      <c r="MP14" s="1153" t="s">
        <v>17129</v>
      </c>
      <c r="MQ14" s="1153"/>
      <c r="MR14" s="1153"/>
      <c r="MS14" s="1153"/>
      <c r="MT14" s="1153">
        <v>5</v>
      </c>
      <c r="MU14" s="1153" t="s">
        <v>17130</v>
      </c>
      <c r="MV14" s="1153"/>
      <c r="MW14" s="1153"/>
      <c r="MX14" s="1153"/>
      <c r="MY14" s="1153" t="s">
        <v>17131</v>
      </c>
      <c r="MZ14" s="1153"/>
      <c r="NA14" s="1153"/>
      <c r="NB14" s="1153"/>
      <c r="NC14" s="1153"/>
      <c r="ND14" s="1153"/>
      <c r="NE14" s="1153"/>
      <c r="NF14" s="1153"/>
      <c r="NG14" s="1153"/>
      <c r="NH14" s="1153" t="s">
        <v>17132</v>
      </c>
      <c r="NI14" s="1153"/>
      <c r="NJ14" s="1153"/>
      <c r="NK14" s="1153"/>
      <c r="NL14" s="1153"/>
      <c r="NM14" s="1153"/>
      <c r="NN14" s="1153"/>
      <c r="NO14" s="1153"/>
      <c r="NP14" s="1153"/>
      <c r="NQ14" s="1153"/>
      <c r="NR14" s="1153" t="s">
        <v>17133</v>
      </c>
      <c r="NS14" s="1153"/>
      <c r="NT14" s="1153"/>
      <c r="NU14" s="1153"/>
      <c r="NV14" s="1153"/>
      <c r="NW14" s="1153" t="s">
        <v>17134</v>
      </c>
      <c r="NX14" s="1153"/>
      <c r="NY14" s="1153"/>
      <c r="NZ14" s="1153"/>
      <c r="OA14" s="1153"/>
      <c r="OB14" s="1153" t="s">
        <v>17135</v>
      </c>
      <c r="OC14" s="1153"/>
      <c r="OD14" s="1153"/>
      <c r="OE14" s="1153"/>
      <c r="OF14" s="1153"/>
      <c r="OG14" s="1153" t="s">
        <v>17136</v>
      </c>
      <c r="OH14" s="1153"/>
      <c r="OI14" s="1153"/>
      <c r="OJ14" s="1153"/>
      <c r="OO14"/>
      <c r="OP14"/>
      <c r="OS14" s="651">
        <v>8</v>
      </c>
      <c r="OT14" s="1197" t="s">
        <v>697</v>
      </c>
      <c r="OV14" s="651">
        <v>8</v>
      </c>
      <c r="OW14" s="1259" t="s">
        <v>18375</v>
      </c>
      <c r="OY14" s="1259" t="s">
        <v>12656</v>
      </c>
      <c r="OZ14" s="1259" t="s">
        <v>18422</v>
      </c>
      <c r="PA14" s="1218">
        <v>44176</v>
      </c>
      <c r="PB14" s="1259" t="s">
        <v>18462</v>
      </c>
      <c r="PG14" s="1259" t="s">
        <v>9267</v>
      </c>
      <c r="PH14" s="1259" t="s">
        <v>18511</v>
      </c>
      <c r="PN14" s="1220">
        <v>42614</v>
      </c>
      <c r="PO14" s="1259" t="s">
        <v>18535</v>
      </c>
      <c r="PS14" s="1259">
        <v>15</v>
      </c>
      <c r="PT14" s="1259" t="s">
        <v>18552</v>
      </c>
      <c r="PV14" s="1259" t="s">
        <v>12808</v>
      </c>
      <c r="PW14" s="1259" t="s">
        <v>18600</v>
      </c>
      <c r="PY14" s="1259">
        <v>6</v>
      </c>
      <c r="PZ14" s="1259" t="s">
        <v>18612</v>
      </c>
      <c r="QA14" s="1259"/>
    </row>
    <row r="15" spans="1:443" ht="18.75" thickBot="1">
      <c r="A15" s="2">
        <v>13</v>
      </c>
      <c r="B15" s="2" t="s">
        <v>1256</v>
      </c>
      <c r="C15" s="27" t="s">
        <v>1497</v>
      </c>
      <c r="D15" s="2" t="s">
        <v>1309</v>
      </c>
      <c r="E15" s="28" t="s">
        <v>1534</v>
      </c>
      <c r="G15" s="2">
        <v>13</v>
      </c>
      <c r="H15" s="2" t="s">
        <v>1497</v>
      </c>
      <c r="I15" s="2" t="s">
        <v>1534</v>
      </c>
      <c r="K15" s="2">
        <v>13</v>
      </c>
      <c r="L15" s="2" t="s">
        <v>104</v>
      </c>
      <c r="N15" s="2" t="s">
        <v>13136</v>
      </c>
      <c r="P15" s="29">
        <v>12</v>
      </c>
      <c r="Q15" s="29" t="s">
        <v>1632</v>
      </c>
      <c r="S15" s="2">
        <v>12</v>
      </c>
      <c r="T15" s="2" t="s">
        <v>1374</v>
      </c>
      <c r="V15" s="2">
        <v>12</v>
      </c>
      <c r="W15" s="2" t="s">
        <v>1396</v>
      </c>
      <c r="Z15" s="1190"/>
      <c r="AA15" s="1208" t="s">
        <v>6255</v>
      </c>
      <c r="AB15" s="1209" t="s">
        <v>7481</v>
      </c>
      <c r="AC15" s="1210">
        <v>2</v>
      </c>
      <c r="AD15" s="1210">
        <v>25</v>
      </c>
      <c r="AE15" s="1210" t="s">
        <v>1902</v>
      </c>
      <c r="AF15" s="1208" t="s">
        <v>1902</v>
      </c>
      <c r="AG15" s="1190"/>
      <c r="AH15" s="2">
        <v>0</v>
      </c>
      <c r="AI15" s="2">
        <v>0</v>
      </c>
      <c r="AN15" s="2">
        <v>0</v>
      </c>
      <c r="AO15" s="2">
        <v>0</v>
      </c>
      <c r="AQ15" s="2" t="str">
        <v/>
      </c>
      <c r="AS15" s="1190"/>
      <c r="AT15" s="1190"/>
      <c r="AU15" s="106"/>
      <c r="AV15" s="106"/>
      <c r="AW15" s="106"/>
      <c r="AX15" s="106"/>
      <c r="AY15" s="106"/>
      <c r="AZ15" s="106"/>
      <c r="BA15" s="106"/>
      <c r="BB15" s="106"/>
      <c r="BC15" s="106"/>
      <c r="BD15" s="106"/>
      <c r="BE15" s="106"/>
      <c r="BF15" s="106"/>
      <c r="BG15" s="106"/>
      <c r="BH15" s="106"/>
      <c r="BI15" s="106"/>
      <c r="BJ15" s="403"/>
      <c r="BK15" s="403"/>
      <c r="BL15" s="1191"/>
      <c r="BM15" s="1191"/>
      <c r="BN15" s="2" t="s">
        <v>1643</v>
      </c>
      <c r="BO15" s="2" t="s">
        <v>1934</v>
      </c>
      <c r="BQ15" s="59" t="s">
        <v>1643</v>
      </c>
      <c r="BR15" s="2" t="s">
        <v>1982</v>
      </c>
      <c r="CI15" s="2">
        <v>12</v>
      </c>
      <c r="CJ15" s="2" t="s">
        <v>12595</v>
      </c>
      <c r="CL15" s="2">
        <v>12</v>
      </c>
      <c r="DM15" s="1190"/>
      <c r="DN15" s="1190"/>
      <c r="DO15" s="1190"/>
      <c r="DP15" s="1190"/>
      <c r="DQ15" s="1190"/>
      <c r="DR15" s="1190"/>
      <c r="DS15" s="1190"/>
      <c r="DT15" s="1211"/>
      <c r="DU15" s="1211"/>
      <c r="DV15" s="1190"/>
      <c r="DW15" s="1190"/>
      <c r="DX15" s="1190"/>
      <c r="DZ15" s="1014" t="s">
        <v>15561</v>
      </c>
      <c r="EA15" s="998">
        <v>20</v>
      </c>
      <c r="EB15" s="1015">
        <v>0.9</v>
      </c>
      <c r="EC15" s="1015">
        <v>0.9</v>
      </c>
      <c r="ED15" s="1196"/>
      <c r="EE15" s="2248" t="s">
        <v>15562</v>
      </c>
      <c r="EF15" s="2249"/>
      <c r="EG15" s="2249"/>
      <c r="EH15" s="2249"/>
      <c r="EI15" s="2249"/>
      <c r="EJ15" s="1196"/>
      <c r="EK15" s="1202"/>
      <c r="EL15" s="1202"/>
      <c r="EM15" s="1202"/>
      <c r="EN15" s="1202"/>
      <c r="EO15" s="1202"/>
      <c r="EP15" s="1202"/>
      <c r="EQ15" s="1202"/>
      <c r="ER15" s="1202"/>
      <c r="ES15" s="1202"/>
      <c r="ET15" s="1196"/>
      <c r="EU15" s="1003">
        <f t="shared" ca="1" si="0"/>
        <v>0.48895972961998391</v>
      </c>
      <c r="EV15" s="1003">
        <f t="shared" ca="1" si="0"/>
        <v>0.98589024168396555</v>
      </c>
      <c r="EW15" s="1003">
        <f t="shared" ca="1" si="0"/>
        <v>0.40367737126914882</v>
      </c>
      <c r="EY15" s="1190"/>
      <c r="EZ15" s="1190"/>
      <c r="FC15" s="1197"/>
      <c r="FD15" s="1197"/>
      <c r="IQ15" s="1189"/>
      <c r="IT15" s="533">
        <v>1</v>
      </c>
      <c r="IU15" s="533" t="s">
        <v>16555</v>
      </c>
      <c r="IV15" s="1117">
        <v>1</v>
      </c>
      <c r="IW15" s="1129" t="s">
        <v>16556</v>
      </c>
      <c r="IX15" s="1117">
        <v>1</v>
      </c>
      <c r="IY15" s="1129" t="s">
        <v>16557</v>
      </c>
      <c r="IZ15" s="1117">
        <v>1</v>
      </c>
      <c r="JA15" s="1129" t="s">
        <v>16555</v>
      </c>
      <c r="JB15" s="1117">
        <v>1</v>
      </c>
      <c r="JC15" s="1129" t="s">
        <v>16558</v>
      </c>
      <c r="JD15" s="1117">
        <v>2</v>
      </c>
      <c r="JE15" s="1117" t="str">
        <f>""</f>
        <v/>
      </c>
      <c r="JF15" s="1117">
        <v>2</v>
      </c>
      <c r="JG15" s="1117" t="s">
        <v>16559</v>
      </c>
      <c r="JH15" s="1117">
        <v>2</v>
      </c>
      <c r="JI15" s="1117" t="s">
        <v>16560</v>
      </c>
      <c r="JJ15" s="1153"/>
      <c r="JK15" s="1118">
        <v>43620</v>
      </c>
      <c r="JL15" s="1119">
        <v>3</v>
      </c>
      <c r="JM15" s="1120" t="s">
        <v>16561</v>
      </c>
      <c r="JN15" s="1153"/>
      <c r="JO15" s="1153"/>
      <c r="JP15" s="1117">
        <v>1</v>
      </c>
      <c r="JQ15" s="1129" t="s">
        <v>16562</v>
      </c>
      <c r="JR15" s="1153"/>
      <c r="JS15" s="1153"/>
      <c r="JT15" s="1153" t="s">
        <v>16563</v>
      </c>
      <c r="JU15" s="533"/>
      <c r="JV15" s="533"/>
      <c r="JW15" s="533"/>
      <c r="JX15" s="1121">
        <v>2</v>
      </c>
      <c r="JY15" s="1121" t="s">
        <v>16564</v>
      </c>
      <c r="JZ15" s="1121" t="s">
        <v>16565</v>
      </c>
      <c r="KA15" s="1121" t="s">
        <v>11708</v>
      </c>
      <c r="KB15" s="1122" t="s">
        <v>3993</v>
      </c>
      <c r="KC15" s="1153"/>
      <c r="KD15" s="1123" t="s">
        <v>16566</v>
      </c>
      <c r="KE15" s="1124" t="s">
        <v>16567</v>
      </c>
      <c r="KF15" s="1124" t="s">
        <v>16568</v>
      </c>
      <c r="KG15" s="1125" t="s">
        <v>16569</v>
      </c>
      <c r="KH15" s="1153"/>
      <c r="KI15" s="1130">
        <v>1</v>
      </c>
      <c r="KJ15" s="1124" t="s">
        <v>16570</v>
      </c>
      <c r="KK15" s="1124" t="s">
        <v>7371</v>
      </c>
      <c r="KL15" s="1124" t="s">
        <v>16571</v>
      </c>
      <c r="KM15" s="1124" t="s">
        <v>13513</v>
      </c>
      <c r="KN15" s="1153"/>
      <c r="KO15" s="1131" t="s">
        <v>16572</v>
      </c>
      <c r="KP15" s="1131" t="s">
        <v>16573</v>
      </c>
      <c r="KQ15" s="1153"/>
      <c r="KR15" s="547">
        <v>2</v>
      </c>
      <c r="KS15" s="550" t="s">
        <v>16574</v>
      </c>
      <c r="KT15" s="1153"/>
      <c r="KU15" s="1153" t="s">
        <v>16540</v>
      </c>
      <c r="KV15" s="1153" t="s">
        <v>9209</v>
      </c>
      <c r="KW15" s="1153">
        <v>3</v>
      </c>
      <c r="KX15" s="1153"/>
      <c r="KY15" s="1153"/>
      <c r="KZ15" s="1153"/>
      <c r="LA15" s="1153"/>
      <c r="LB15" s="1153"/>
      <c r="LC15" s="1153"/>
      <c r="LD15" s="1153"/>
      <c r="LE15" s="1153"/>
      <c r="LF15" s="1153"/>
      <c r="LG15" s="1153"/>
      <c r="LH15" s="1153"/>
      <c r="LI15" s="1153"/>
      <c r="LJ15" s="1153"/>
      <c r="LK15" s="1153"/>
      <c r="LL15" s="1153"/>
      <c r="LM15" s="1153"/>
      <c r="LN15" s="1153"/>
      <c r="LO15" s="1153"/>
      <c r="LP15" s="1153"/>
      <c r="LQ15" s="1153"/>
      <c r="LR15" s="1153"/>
      <c r="LS15" s="1247"/>
      <c r="LU15" s="1153" t="s">
        <v>17137</v>
      </c>
      <c r="LV15" s="1153" t="s">
        <v>17138</v>
      </c>
      <c r="LW15" s="1153">
        <v>100</v>
      </c>
      <c r="LX15" s="1153"/>
      <c r="LY15" s="1153" t="s">
        <v>16676</v>
      </c>
      <c r="LZ15" s="1140">
        <v>16</v>
      </c>
      <c r="MA15" s="1153" t="s">
        <v>17139</v>
      </c>
      <c r="MB15" s="1153"/>
      <c r="MC15" s="1153"/>
      <c r="MD15" s="1153"/>
      <c r="ME15" s="1153"/>
      <c r="MF15" s="1153"/>
      <c r="MG15" s="1153"/>
      <c r="MH15" s="1153"/>
      <c r="MI15" s="1153"/>
      <c r="MJ15" s="1153"/>
      <c r="MK15" s="1153"/>
      <c r="ML15" s="1153"/>
      <c r="MM15" s="1153"/>
      <c r="MN15" s="1153"/>
      <c r="MO15" s="1153"/>
      <c r="MP15" s="1153"/>
      <c r="MQ15" s="1153"/>
      <c r="MR15" s="1153"/>
      <c r="MS15" s="1153"/>
      <c r="MT15" s="1153">
        <v>6</v>
      </c>
      <c r="MU15" s="1153" t="s">
        <v>12292</v>
      </c>
      <c r="MV15" s="1153"/>
      <c r="MW15" s="1153"/>
      <c r="MX15" s="1153"/>
      <c r="MY15" s="1153" t="s">
        <v>17140</v>
      </c>
      <c r="MZ15" s="1153"/>
      <c r="NA15" s="1153"/>
      <c r="NB15" s="1153"/>
      <c r="NC15" s="1153"/>
      <c r="ND15" s="1153"/>
      <c r="NE15" s="1153"/>
      <c r="NF15" s="1153"/>
      <c r="NG15" s="1153"/>
      <c r="NH15" s="1153" t="s">
        <v>17141</v>
      </c>
      <c r="NI15" s="1153"/>
      <c r="NJ15" s="1153"/>
      <c r="NK15" s="1153"/>
      <c r="NL15" s="1153"/>
      <c r="NM15" s="1153"/>
      <c r="NN15" s="1153"/>
      <c r="NO15" s="1153"/>
      <c r="NP15" s="1153"/>
      <c r="NQ15" s="1153"/>
      <c r="NR15" s="1153" t="s">
        <v>17142</v>
      </c>
      <c r="NS15" s="1153"/>
      <c r="NT15" s="1153"/>
      <c r="NU15" s="1153"/>
      <c r="NV15" s="1153"/>
      <c r="NW15" s="1153" t="s">
        <v>17058</v>
      </c>
      <c r="NX15" s="1153"/>
      <c r="NY15" s="1153"/>
      <c r="NZ15" s="1153"/>
      <c r="OA15" s="1153"/>
      <c r="OB15" s="1153"/>
      <c r="OC15" s="1153"/>
      <c r="OD15" s="1153"/>
      <c r="OE15" s="1153"/>
      <c r="OF15" s="1153"/>
      <c r="OG15" s="1153" t="s">
        <v>17143</v>
      </c>
      <c r="OH15" s="1153"/>
      <c r="OI15" s="1153"/>
      <c r="OJ15" s="1153"/>
      <c r="OO15"/>
      <c r="OP15"/>
      <c r="OS15" s="651">
        <v>9</v>
      </c>
      <c r="OT15" s="1197" t="s">
        <v>7919</v>
      </c>
      <c r="OV15" s="651">
        <v>9</v>
      </c>
      <c r="OW15" s="1259" t="s">
        <v>18376</v>
      </c>
      <c r="OY15" s="1259" t="s">
        <v>12684</v>
      </c>
      <c r="OZ15" s="1259" t="s">
        <v>18423</v>
      </c>
      <c r="PA15" s="1259" t="s">
        <v>12808</v>
      </c>
      <c r="PB15" s="1259" t="s">
        <v>18463</v>
      </c>
      <c r="PG15" s="1259" t="s">
        <v>12739</v>
      </c>
      <c r="PH15" s="1259" t="s">
        <v>18512</v>
      </c>
      <c r="PN15" s="1259" t="s">
        <v>16676</v>
      </c>
      <c r="PO15" s="1259" t="s">
        <v>18536</v>
      </c>
      <c r="PS15" s="1259">
        <v>16</v>
      </c>
      <c r="PT15" s="1259" t="s">
        <v>18553</v>
      </c>
      <c r="PV15" s="1259" t="s">
        <v>12656</v>
      </c>
      <c r="PW15" s="1259" t="s">
        <v>18601</v>
      </c>
      <c r="PY15" s="1259">
        <v>7</v>
      </c>
      <c r="PZ15" s="1259" t="s">
        <v>18613</v>
      </c>
      <c r="QA15" s="1259"/>
    </row>
    <row r="16" spans="1:443" ht="18.75" thickBot="1">
      <c r="A16" s="2">
        <v>14</v>
      </c>
      <c r="B16" s="2" t="s">
        <v>1257</v>
      </c>
      <c r="C16" s="27" t="s">
        <v>1498</v>
      </c>
      <c r="D16" s="2" t="s">
        <v>1310</v>
      </c>
      <c r="E16" s="28" t="s">
        <v>1535</v>
      </c>
      <c r="G16" s="2">
        <v>14</v>
      </c>
      <c r="H16" s="2" t="s">
        <v>1498</v>
      </c>
      <c r="I16" s="2" t="s">
        <v>1535</v>
      </c>
      <c r="K16" s="2">
        <v>14</v>
      </c>
      <c r="L16" s="2" t="s">
        <v>41</v>
      </c>
      <c r="N16" s="2" t="s">
        <v>13137</v>
      </c>
      <c r="P16" s="29">
        <v>13</v>
      </c>
      <c r="Q16" s="29" t="s">
        <v>562</v>
      </c>
      <c r="S16" s="2">
        <v>13</v>
      </c>
      <c r="T16" s="2" t="s">
        <v>1375</v>
      </c>
      <c r="V16" s="2">
        <v>13</v>
      </c>
      <c r="W16" s="2" t="s">
        <v>1397</v>
      </c>
      <c r="Z16" s="1190"/>
      <c r="AA16" s="1208" t="s">
        <v>7480</v>
      </c>
      <c r="AB16" s="1209" t="s">
        <v>7479</v>
      </c>
      <c r="AC16" s="1210">
        <v>1</v>
      </c>
      <c r="AD16" s="1210">
        <v>20</v>
      </c>
      <c r="AE16" s="1210" t="s">
        <v>7445</v>
      </c>
      <c r="AF16" s="1208" t="s">
        <v>1902</v>
      </c>
      <c r="AG16" s="1190"/>
      <c r="AH16" s="2">
        <v>0</v>
      </c>
      <c r="AI16" s="2">
        <v>0</v>
      </c>
      <c r="AN16" s="2">
        <v>0</v>
      </c>
      <c r="AO16" s="2">
        <v>0</v>
      </c>
      <c r="AQ16" s="2" t="str">
        <v/>
      </c>
      <c r="AS16" s="1190"/>
      <c r="AT16" s="1190"/>
      <c r="AU16" s="106"/>
      <c r="AV16" s="106"/>
      <c r="AW16" s="106"/>
      <c r="AX16" s="106"/>
      <c r="AY16" s="106"/>
      <c r="AZ16" s="106"/>
      <c r="BA16" s="106"/>
      <c r="BB16" s="106"/>
      <c r="BC16" s="106"/>
      <c r="BD16" s="106"/>
      <c r="BE16" s="106"/>
      <c r="BF16" s="106"/>
      <c r="BG16" s="106"/>
      <c r="BH16" s="106"/>
      <c r="BI16" s="106"/>
      <c r="BJ16" s="403"/>
      <c r="BK16" s="403"/>
      <c r="BL16" s="1191"/>
      <c r="BM16" s="1191"/>
      <c r="BN16" s="2">
        <v>1</v>
      </c>
      <c r="BO16" s="2" t="s">
        <v>1935</v>
      </c>
      <c r="BQ16" s="2">
        <v>1</v>
      </c>
      <c r="BR16" s="2" t="s">
        <v>1983</v>
      </c>
      <c r="CI16" s="2">
        <v>13</v>
      </c>
      <c r="CJ16" s="2" t="s">
        <v>12596</v>
      </c>
      <c r="CL16" s="2">
        <v>13</v>
      </c>
      <c r="DM16" s="1192" t="s">
        <v>5725</v>
      </c>
      <c r="DN16" s="1192" t="s">
        <v>5697</v>
      </c>
      <c r="DO16" s="1192" t="s">
        <v>5696</v>
      </c>
      <c r="DP16" s="1192" t="s">
        <v>5695</v>
      </c>
      <c r="DQ16" s="1190"/>
      <c r="DR16" s="1190"/>
      <c r="DS16" s="1190"/>
      <c r="DT16" s="1211"/>
      <c r="DU16" s="1211"/>
      <c r="DV16" s="1190"/>
      <c r="DW16" s="1190"/>
      <c r="DX16" s="1190"/>
      <c r="DZ16" s="1014" t="s">
        <v>15563</v>
      </c>
      <c r="EA16" s="1005">
        <v>15</v>
      </c>
      <c r="EB16" s="1016">
        <v>1.1000000000000001</v>
      </c>
      <c r="EC16" s="1016">
        <v>0.9</v>
      </c>
      <c r="ED16" s="1196"/>
      <c r="EE16" s="999" t="s">
        <v>15546</v>
      </c>
      <c r="EF16" s="1000" t="s">
        <v>7510</v>
      </c>
      <c r="EG16" s="1000" t="s">
        <v>7514</v>
      </c>
      <c r="EH16" s="1000" t="s">
        <v>7518</v>
      </c>
      <c r="EI16" s="1000" t="s">
        <v>15547</v>
      </c>
      <c r="EJ16" s="1196"/>
      <c r="EK16" s="1001" t="s">
        <v>15546</v>
      </c>
      <c r="EL16" s="1002" t="s">
        <v>7510</v>
      </c>
      <c r="EM16" s="1002" t="s">
        <v>7514</v>
      </c>
      <c r="EN16" s="1002" t="s">
        <v>7518</v>
      </c>
      <c r="EO16" s="1202"/>
      <c r="EP16" s="1001" t="s">
        <v>15546</v>
      </c>
      <c r="EQ16" s="1002" t="s">
        <v>7510</v>
      </c>
      <c r="ER16" s="1002" t="s">
        <v>7514</v>
      </c>
      <c r="ES16" s="1002" t="s">
        <v>7518</v>
      </c>
      <c r="ET16" s="1196"/>
      <c r="EU16" s="1003">
        <f t="shared" ca="1" si="0"/>
        <v>0.19691143050763493</v>
      </c>
      <c r="EV16" s="1003">
        <f t="shared" ca="1" si="0"/>
        <v>0.35622105531626147</v>
      </c>
      <c r="EW16" s="1003">
        <f t="shared" ca="1" si="0"/>
        <v>0.16200605885953923</v>
      </c>
      <c r="EY16" s="1190"/>
      <c r="EZ16" s="1190"/>
      <c r="FC16" s="1197"/>
      <c r="FD16" s="1197"/>
      <c r="IQ16" s="1189"/>
      <c r="IT16" s="533">
        <v>2</v>
      </c>
      <c r="IU16" s="533" t="s">
        <v>16575</v>
      </c>
      <c r="IV16" s="1117">
        <v>2</v>
      </c>
      <c r="IW16" s="1129" t="s">
        <v>16576</v>
      </c>
      <c r="IX16" s="1117">
        <v>2</v>
      </c>
      <c r="IY16" s="1129" t="s">
        <v>16577</v>
      </c>
      <c r="IZ16" s="1117">
        <v>2</v>
      </c>
      <c r="JA16" s="1129" t="s">
        <v>16575</v>
      </c>
      <c r="JB16" s="1117">
        <v>2</v>
      </c>
      <c r="JC16" s="1129" t="s">
        <v>16578</v>
      </c>
      <c r="JD16" s="1117">
        <v>3</v>
      </c>
      <c r="JE16" s="1117" t="str">
        <f>""</f>
        <v/>
      </c>
      <c r="JF16" s="1117">
        <v>3</v>
      </c>
      <c r="JG16" s="1117" t="s">
        <v>16579</v>
      </c>
      <c r="JH16" s="1117">
        <v>3</v>
      </c>
      <c r="JI16" s="1117" t="s">
        <v>16580</v>
      </c>
      <c r="JJ16" s="1153"/>
      <c r="JK16" s="1118">
        <v>43715</v>
      </c>
      <c r="JL16" s="1119">
        <v>6</v>
      </c>
      <c r="JM16" s="1120" t="s">
        <v>16581</v>
      </c>
      <c r="JN16" s="1153"/>
      <c r="JO16" s="1153"/>
      <c r="JP16" s="1117">
        <v>2</v>
      </c>
      <c r="JQ16" s="1129" t="s">
        <v>16582</v>
      </c>
      <c r="JR16" s="1153"/>
      <c r="JS16" s="1153"/>
      <c r="JT16" s="1153" t="s">
        <v>16583</v>
      </c>
      <c r="JU16" s="533"/>
      <c r="JV16" s="533"/>
      <c r="JW16" s="533"/>
      <c r="JX16" s="1121">
        <v>3</v>
      </c>
      <c r="JY16" s="1121" t="s">
        <v>688</v>
      </c>
      <c r="JZ16" s="1121" t="s">
        <v>16584</v>
      </c>
      <c r="KA16" s="1121" t="s">
        <v>3715</v>
      </c>
      <c r="KB16" s="1122" t="s">
        <v>16585</v>
      </c>
      <c r="KC16" s="1153"/>
      <c r="KD16" s="1123" t="s">
        <v>16586</v>
      </c>
      <c r="KE16" s="1124" t="s">
        <v>16587</v>
      </c>
      <c r="KF16" s="1124" t="s">
        <v>16588</v>
      </c>
      <c r="KG16" s="1125" t="s">
        <v>16589</v>
      </c>
      <c r="KH16" s="1153"/>
      <c r="KI16" s="1130">
        <v>2</v>
      </c>
      <c r="KJ16" s="1124" t="s">
        <v>16590</v>
      </c>
      <c r="KK16" s="1124" t="s">
        <v>16591</v>
      </c>
      <c r="KL16" s="1124" t="s">
        <v>16592</v>
      </c>
      <c r="KM16" s="1124" t="s">
        <v>16593</v>
      </c>
      <c r="KN16" s="1153"/>
      <c r="KO16" s="1131" t="s">
        <v>16594</v>
      </c>
      <c r="KP16" s="1131" t="s">
        <v>16595</v>
      </c>
      <c r="KQ16" s="1153"/>
      <c r="KR16" s="547">
        <v>3</v>
      </c>
      <c r="KS16" s="550" t="s">
        <v>16596</v>
      </c>
      <c r="KT16" s="1153"/>
      <c r="KU16" s="1153" t="s">
        <v>16597</v>
      </c>
      <c r="KV16" s="1153" t="s">
        <v>16598</v>
      </c>
      <c r="KW16" s="1153">
        <v>-2</v>
      </c>
      <c r="KX16" s="1153"/>
      <c r="KY16" s="1153"/>
      <c r="KZ16" s="1153"/>
      <c r="LA16" s="1153"/>
      <c r="LB16" s="1153"/>
      <c r="LC16" s="1153"/>
      <c r="LD16" s="1153"/>
      <c r="LE16" s="1153"/>
      <c r="LF16" s="1153"/>
      <c r="LG16" s="1153"/>
      <c r="LH16" s="1153"/>
      <c r="LI16" s="1153"/>
      <c r="LJ16" s="1153"/>
      <c r="LK16" s="1153"/>
      <c r="LL16" s="1153"/>
      <c r="LM16" s="1153"/>
      <c r="LN16" s="1153"/>
      <c r="LO16" s="1153"/>
      <c r="LP16" s="1153"/>
      <c r="LQ16" s="1153"/>
      <c r="LR16" s="1153"/>
      <c r="LS16" s="1247"/>
      <c r="LU16" s="1153"/>
      <c r="LV16" s="1153"/>
      <c r="LW16" s="1153"/>
      <c r="LX16" s="1153"/>
      <c r="LY16" s="1153" t="s">
        <v>17144</v>
      </c>
      <c r="LZ16" s="1140">
        <v>19</v>
      </c>
      <c r="MA16" s="1153" t="s">
        <v>17145</v>
      </c>
      <c r="MB16" s="1153"/>
      <c r="MC16" s="1153"/>
      <c r="MD16" s="1153"/>
      <c r="ME16" s="1153"/>
      <c r="MF16" s="1153"/>
      <c r="MG16" s="1153"/>
      <c r="MH16" s="1153"/>
      <c r="MI16" s="1153"/>
      <c r="MJ16" s="1153"/>
      <c r="MK16" s="1153"/>
      <c r="ML16" s="1153"/>
      <c r="MM16" s="1153"/>
      <c r="MN16" s="1153"/>
      <c r="MO16" s="1153"/>
      <c r="MP16" s="1153"/>
      <c r="MQ16" s="1153"/>
      <c r="MR16" s="1153"/>
      <c r="MS16" s="1153"/>
      <c r="MT16" s="1153">
        <v>7</v>
      </c>
      <c r="MU16" s="1153" t="s">
        <v>7370</v>
      </c>
      <c r="MV16" s="1153"/>
      <c r="MW16" s="1153"/>
      <c r="MX16" s="1153"/>
      <c r="MY16" s="1153"/>
      <c r="MZ16" s="1153"/>
      <c r="NA16" s="1153"/>
      <c r="NB16" s="1153"/>
      <c r="NC16" s="1153"/>
      <c r="ND16" s="1153"/>
      <c r="NE16" s="1153"/>
      <c r="NF16" s="1153"/>
      <c r="NG16" s="1153"/>
      <c r="NH16" s="1153" t="s">
        <v>17146</v>
      </c>
      <c r="NI16" s="1153"/>
      <c r="NJ16" s="1153"/>
      <c r="NK16" s="1153"/>
      <c r="NL16" s="1153"/>
      <c r="NM16" s="1153"/>
      <c r="NN16" s="1153"/>
      <c r="NO16" s="1153"/>
      <c r="NP16" s="1153"/>
      <c r="NQ16" s="1153"/>
      <c r="NR16" s="1153"/>
      <c r="NS16" s="1153"/>
      <c r="NT16" s="1153"/>
      <c r="NU16" s="1153"/>
      <c r="NV16" s="1153"/>
      <c r="NW16" s="1153" t="s">
        <v>17147</v>
      </c>
      <c r="NX16" s="1153"/>
      <c r="NY16" s="1153"/>
      <c r="NZ16" s="1153"/>
      <c r="OA16" s="1153"/>
      <c r="OB16" s="1153"/>
      <c r="OC16" s="1153"/>
      <c r="OD16" s="1153"/>
      <c r="OE16" s="1153"/>
      <c r="OF16" s="1153"/>
      <c r="OG16" s="1153" t="s">
        <v>17148</v>
      </c>
      <c r="OH16" s="1153"/>
      <c r="OI16" s="1153"/>
      <c r="OJ16" s="1153"/>
      <c r="OO16"/>
      <c r="OP16"/>
      <c r="OS16" s="651">
        <v>10</v>
      </c>
      <c r="OT16" s="1197" t="s">
        <v>7718</v>
      </c>
      <c r="OV16" s="651">
        <v>10</v>
      </c>
      <c r="OW16" s="1259" t="s">
        <v>13780</v>
      </c>
      <c r="OY16" s="1259" t="s">
        <v>16079</v>
      </c>
      <c r="OZ16" s="1259" t="s">
        <v>18424</v>
      </c>
      <c r="PA16" s="1259" t="s">
        <v>12656</v>
      </c>
      <c r="PB16" s="1259" t="s">
        <v>18464</v>
      </c>
      <c r="PG16" s="1259" t="s">
        <v>8106</v>
      </c>
      <c r="PH16" s="1259" t="s">
        <v>18513</v>
      </c>
      <c r="PN16" s="1259">
        <v>20</v>
      </c>
      <c r="PO16" s="1259" t="s">
        <v>18537</v>
      </c>
      <c r="PS16" s="1259">
        <v>17</v>
      </c>
      <c r="PT16" s="1259" t="s">
        <v>18554</v>
      </c>
      <c r="PV16" s="1259" t="s">
        <v>12684</v>
      </c>
      <c r="PW16" s="1259" t="s">
        <v>18602</v>
      </c>
      <c r="PY16" s="1259">
        <v>8</v>
      </c>
      <c r="PZ16" s="1259" t="s">
        <v>18614</v>
      </c>
      <c r="QA16" s="1259"/>
    </row>
    <row r="17" spans="1:443" ht="18.75" thickBot="1">
      <c r="A17" s="2">
        <v>15</v>
      </c>
      <c r="B17" s="2" t="s">
        <v>1258</v>
      </c>
      <c r="C17" s="27" t="s">
        <v>1257</v>
      </c>
      <c r="D17" s="2" t="s">
        <v>1311</v>
      </c>
      <c r="E17" s="28" t="s">
        <v>1536</v>
      </c>
      <c r="G17" s="2">
        <v>15</v>
      </c>
      <c r="H17" s="2" t="s">
        <v>1257</v>
      </c>
      <c r="I17" s="2" t="s">
        <v>1536</v>
      </c>
      <c r="K17" s="2">
        <v>15</v>
      </c>
      <c r="L17" s="2" t="s">
        <v>393</v>
      </c>
      <c r="N17" s="2" t="s">
        <v>164</v>
      </c>
      <c r="P17" s="29">
        <v>14</v>
      </c>
      <c r="Q17" s="29" t="s">
        <v>563</v>
      </c>
      <c r="S17" s="2">
        <v>14</v>
      </c>
      <c r="T17" s="2" t="s">
        <v>1376</v>
      </c>
      <c r="V17" s="2">
        <v>14</v>
      </c>
      <c r="W17" s="2" t="s">
        <v>1398</v>
      </c>
      <c r="Z17" s="1190"/>
      <c r="AA17" s="1208" t="s">
        <v>7477</v>
      </c>
      <c r="AB17" s="1209" t="s">
        <v>7475</v>
      </c>
      <c r="AC17" s="1210">
        <v>1</v>
      </c>
      <c r="AD17" s="1210">
        <v>5</v>
      </c>
      <c r="AE17" s="1210" t="s">
        <v>7445</v>
      </c>
      <c r="AF17" s="1208" t="s">
        <v>1902</v>
      </c>
      <c r="AG17" s="1190"/>
      <c r="AH17" s="2">
        <v>0</v>
      </c>
      <c r="AI17" s="2">
        <v>0</v>
      </c>
      <c r="AN17" s="2">
        <v>0</v>
      </c>
      <c r="AO17" s="2">
        <v>0</v>
      </c>
      <c r="AQ17" s="2" t="str">
        <v/>
      </c>
      <c r="AS17" s="1190"/>
      <c r="AT17" s="1190"/>
      <c r="AU17" s="106"/>
      <c r="AV17" s="106"/>
      <c r="AW17" s="106"/>
      <c r="AX17" s="106"/>
      <c r="AY17" s="106"/>
      <c r="AZ17" s="106"/>
      <c r="BA17" s="106"/>
      <c r="BB17" s="106"/>
      <c r="BC17" s="106"/>
      <c r="BD17" s="106"/>
      <c r="BE17" s="106"/>
      <c r="BF17" s="106"/>
      <c r="BG17" s="106"/>
      <c r="BH17" s="106"/>
      <c r="BI17" s="106"/>
      <c r="BJ17" s="403"/>
      <c r="BK17" s="403"/>
      <c r="BL17" s="1191"/>
      <c r="BM17" s="1191"/>
      <c r="BN17" s="2">
        <v>2</v>
      </c>
      <c r="BO17" s="2" t="s">
        <v>1936</v>
      </c>
      <c r="BQ17" s="2">
        <v>2</v>
      </c>
      <c r="BR17" s="2" t="s">
        <v>1984</v>
      </c>
      <c r="CI17" s="2">
        <v>14</v>
      </c>
      <c r="CJ17" s="2" t="s">
        <v>12597</v>
      </c>
      <c r="CL17" s="2">
        <v>14</v>
      </c>
      <c r="DM17" s="1192" t="s">
        <v>5724</v>
      </c>
      <c r="DN17" s="1213">
        <v>0.75</v>
      </c>
      <c r="DO17" s="1213">
        <v>0</v>
      </c>
      <c r="DP17" s="1213">
        <v>0</v>
      </c>
      <c r="DQ17" s="1213"/>
      <c r="DR17" s="1190"/>
      <c r="DS17" s="1190"/>
      <c r="DT17" s="1211"/>
      <c r="DU17" s="1211"/>
      <c r="DV17" s="1190"/>
      <c r="DW17" s="1190"/>
      <c r="DX17" s="1190"/>
      <c r="DZ17" s="1014" t="s">
        <v>15564</v>
      </c>
      <c r="EA17" s="998">
        <v>15</v>
      </c>
      <c r="EB17" s="1015">
        <v>1.2</v>
      </c>
      <c r="EC17" s="1015">
        <v>1</v>
      </c>
      <c r="ED17" s="1196"/>
      <c r="EE17" s="1006" t="s">
        <v>7510</v>
      </c>
      <c r="EF17" s="1019">
        <v>93</v>
      </c>
      <c r="EG17" s="1019">
        <v>7</v>
      </c>
      <c r="EH17" s="1019">
        <v>2</v>
      </c>
      <c r="EI17" s="1008" t="str">
        <f>ROUND(100*EF17/SUM(EF17:EH17),0)&amp;"/"&amp;ROUND(100*EG17/SUM(EF17:EH17),0)&amp;"/"&amp;ROUND(100*EH17/SUM(EF17:EH17),0)</f>
        <v>91/7/2</v>
      </c>
      <c r="EJ17" s="1196"/>
      <c r="EK17" s="1006" t="s">
        <v>7510</v>
      </c>
      <c r="EL17" s="1013">
        <f>SUM($EE17:EE17)/SUM($EF17:$EH17)</f>
        <v>0</v>
      </c>
      <c r="EM17" s="1013">
        <f>SUM($EE17:EF17)/SUM($EF17:$EH17)</f>
        <v>0.91176470588235292</v>
      </c>
      <c r="EN17" s="1013">
        <f>SUM($EE17:EG17)/SUM($EF17:$EH17)</f>
        <v>0.98039215686274506</v>
      </c>
      <c r="EO17" s="1196"/>
      <c r="EP17" s="1006" t="s">
        <v>7510</v>
      </c>
      <c r="EQ17" s="1204">
        <f t="shared" ref="EQ17:ES19" si="3">EF17/SUM($EF17:$EH17)</f>
        <v>0.91176470588235292</v>
      </c>
      <c r="ER17" s="1204">
        <f t="shared" si="3"/>
        <v>6.8627450980392163E-2</v>
      </c>
      <c r="ES17" s="1204">
        <f t="shared" si="3"/>
        <v>1.9607843137254902E-2</v>
      </c>
      <c r="ET17" s="1196"/>
      <c r="EU17" s="1003">
        <f t="shared" ca="1" si="0"/>
        <v>0.49902071783317847</v>
      </c>
      <c r="EV17" s="1003">
        <f t="shared" ca="1" si="0"/>
        <v>0.86958150159273884</v>
      </c>
      <c r="EW17" s="1003">
        <f t="shared" ca="1" si="0"/>
        <v>0.5945703210598865</v>
      </c>
      <c r="EY17" s="1190"/>
      <c r="EZ17" s="1190"/>
      <c r="FC17" s="1197"/>
      <c r="FD17" s="1197"/>
      <c r="IQ17" s="1189"/>
      <c r="IT17" s="533">
        <v>3</v>
      </c>
      <c r="IU17" s="533" t="s">
        <v>16599</v>
      </c>
      <c r="IV17" s="1117">
        <v>3</v>
      </c>
      <c r="IW17" s="1129" t="s">
        <v>16600</v>
      </c>
      <c r="IX17" s="1117">
        <v>3</v>
      </c>
      <c r="IY17" s="1129" t="s">
        <v>16601</v>
      </c>
      <c r="IZ17" s="1117">
        <v>3</v>
      </c>
      <c r="JA17" s="1129" t="s">
        <v>16599</v>
      </c>
      <c r="JB17" s="1117">
        <v>3</v>
      </c>
      <c r="JC17" s="1129" t="s">
        <v>16602</v>
      </c>
      <c r="JD17" s="1117">
        <v>4</v>
      </c>
      <c r="JE17" s="1117" t="str">
        <f>""</f>
        <v/>
      </c>
      <c r="JF17" s="1117">
        <v>4</v>
      </c>
      <c r="JG17" s="1117" t="s">
        <v>16603</v>
      </c>
      <c r="JH17" s="1117">
        <v>4</v>
      </c>
      <c r="JI17" s="1117" t="s">
        <v>16604</v>
      </c>
      <c r="JJ17" s="1153"/>
      <c r="JK17" s="1118">
        <v>43809</v>
      </c>
      <c r="JL17" s="1119">
        <v>9</v>
      </c>
      <c r="JM17" s="1120" t="s">
        <v>16605</v>
      </c>
      <c r="JN17" s="1153"/>
      <c r="JO17" s="1153"/>
      <c r="JP17" s="1117">
        <v>3</v>
      </c>
      <c r="JQ17" s="1129" t="s">
        <v>16606</v>
      </c>
      <c r="JR17" s="1153"/>
      <c r="JS17" s="1153"/>
      <c r="JT17" s="1153" t="s">
        <v>16607</v>
      </c>
      <c r="JU17" s="533"/>
      <c r="JV17" s="533"/>
      <c r="JW17" s="533"/>
      <c r="JX17" s="1121">
        <v>4</v>
      </c>
      <c r="JY17" s="1121" t="s">
        <v>703</v>
      </c>
      <c r="JZ17" s="1121" t="s">
        <v>16608</v>
      </c>
      <c r="KA17" s="1121" t="s">
        <v>16609</v>
      </c>
      <c r="KB17" s="1122" t="s">
        <v>16610</v>
      </c>
      <c r="KC17" s="1153"/>
      <c r="KD17" s="1123" t="s">
        <v>16611</v>
      </c>
      <c r="KE17" s="1124" t="s">
        <v>16612</v>
      </c>
      <c r="KF17" s="1124" t="s">
        <v>16613</v>
      </c>
      <c r="KG17" s="1125" t="s">
        <v>16614</v>
      </c>
      <c r="KH17" s="1153"/>
      <c r="KI17" s="1130">
        <v>3</v>
      </c>
      <c r="KJ17" s="1124" t="s">
        <v>16615</v>
      </c>
      <c r="KK17" s="1124" t="s">
        <v>16616</v>
      </c>
      <c r="KL17" s="1124" t="s">
        <v>16617</v>
      </c>
      <c r="KM17" s="1124" t="s">
        <v>16593</v>
      </c>
      <c r="KN17" s="1153"/>
      <c r="KO17" s="1131" t="s">
        <v>16618</v>
      </c>
      <c r="KP17" s="1131" t="s">
        <v>16619</v>
      </c>
      <c r="KQ17" s="1153"/>
      <c r="KR17" s="547">
        <v>4</v>
      </c>
      <c r="KS17" s="550" t="s">
        <v>16620</v>
      </c>
      <c r="KT17" s="1153"/>
      <c r="KU17" s="1153" t="s">
        <v>16597</v>
      </c>
      <c r="KV17" s="1153" t="s">
        <v>16621</v>
      </c>
      <c r="KW17" s="1153">
        <v>2</v>
      </c>
      <c r="KX17" s="1153"/>
      <c r="KY17" s="1153"/>
      <c r="KZ17" s="1153"/>
      <c r="LA17" s="1153"/>
      <c r="LB17" s="1153"/>
      <c r="LC17" s="1153"/>
      <c r="LD17" s="1153"/>
      <c r="LE17" s="1153"/>
      <c r="LF17" s="1153"/>
      <c r="LG17" s="1153"/>
      <c r="LH17" s="1153"/>
      <c r="LI17" s="1153"/>
      <c r="LJ17" s="1153"/>
      <c r="LK17" s="1153"/>
      <c r="LL17" s="1153"/>
      <c r="LM17" s="1153"/>
      <c r="LN17" s="1153"/>
      <c r="LO17" s="1153"/>
      <c r="LP17" s="1153"/>
      <c r="LQ17" s="1153"/>
      <c r="LR17" s="1153"/>
      <c r="LS17" s="1247"/>
      <c r="LU17" s="1153"/>
      <c r="LV17" s="1153"/>
      <c r="LW17" s="1153"/>
      <c r="LX17" s="1153"/>
      <c r="LY17" s="1153" t="s">
        <v>12733</v>
      </c>
      <c r="LZ17" s="1140">
        <v>22</v>
      </c>
      <c r="MA17" s="1153" t="s">
        <v>17149</v>
      </c>
      <c r="MB17" s="1153"/>
      <c r="MC17" s="1153"/>
      <c r="MD17" s="1153"/>
      <c r="ME17" s="1153"/>
      <c r="MF17" s="1153"/>
      <c r="MG17" s="1153"/>
      <c r="MH17" s="1153"/>
      <c r="MI17" s="1153"/>
      <c r="MJ17" s="1153"/>
      <c r="MK17" s="1153"/>
      <c r="ML17" s="1153"/>
      <c r="MM17" s="1153"/>
      <c r="MN17" s="1153"/>
      <c r="MO17" s="1153"/>
      <c r="MP17" s="1153"/>
      <c r="MQ17" s="1153"/>
      <c r="MR17" s="1153"/>
      <c r="MS17" s="1153"/>
      <c r="MT17" s="1153">
        <v>8</v>
      </c>
      <c r="MU17" s="1153" t="s">
        <v>17150</v>
      </c>
      <c r="MV17" s="1153"/>
      <c r="MW17" s="1153"/>
      <c r="MX17" s="1153"/>
      <c r="MY17" s="1153"/>
      <c r="MZ17" s="1153"/>
      <c r="NA17" s="1153"/>
      <c r="NB17" s="1153"/>
      <c r="NC17" s="1153"/>
      <c r="ND17" s="1153"/>
      <c r="NE17" s="1153"/>
      <c r="NF17" s="1153"/>
      <c r="NG17" s="1153"/>
      <c r="NH17" s="1153"/>
      <c r="NI17" s="1153"/>
      <c r="NJ17" s="1153"/>
      <c r="NK17" s="1153"/>
      <c r="NL17" s="1153"/>
      <c r="NM17" s="1153"/>
      <c r="NN17" s="1153"/>
      <c r="NO17" s="1153"/>
      <c r="NP17" s="1153"/>
      <c r="NQ17" s="1153"/>
      <c r="NR17" s="1153"/>
      <c r="NS17" s="1153"/>
      <c r="NT17" s="1153"/>
      <c r="NU17" s="1153"/>
      <c r="NV17" s="1153"/>
      <c r="NW17" s="1153" t="s">
        <v>17151</v>
      </c>
      <c r="NX17" s="1153"/>
      <c r="NY17" s="1153"/>
      <c r="NZ17" s="1153"/>
      <c r="OA17" s="1153"/>
      <c r="OB17" s="1153"/>
      <c r="OC17" s="1153"/>
      <c r="OD17" s="1153"/>
      <c r="OE17" s="1153"/>
      <c r="OF17" s="1153"/>
      <c r="OG17" s="1153" t="s">
        <v>17152</v>
      </c>
      <c r="OH17" s="1153"/>
      <c r="OI17" s="1153"/>
      <c r="OJ17" s="1153"/>
      <c r="OO17"/>
      <c r="OP17"/>
      <c r="OS17" s="651">
        <v>11</v>
      </c>
      <c r="OT17" s="1197" t="s">
        <v>16548</v>
      </c>
      <c r="OV17" s="651">
        <v>11</v>
      </c>
      <c r="OW17" s="1259" t="s">
        <v>18377</v>
      </c>
      <c r="OY17" s="1259"/>
      <c r="OZ17" s="1259"/>
      <c r="PA17" s="1259" t="s">
        <v>12684</v>
      </c>
      <c r="PB17" s="1259" t="s">
        <v>18465</v>
      </c>
      <c r="PG17" s="1259" t="s">
        <v>8094</v>
      </c>
      <c r="PH17" s="1259" t="s">
        <v>18514</v>
      </c>
      <c r="PN17" s="1259"/>
      <c r="PO17" s="1259"/>
      <c r="PS17" s="1259">
        <v>18</v>
      </c>
      <c r="PT17" s="1259" t="s">
        <v>18555</v>
      </c>
      <c r="PV17" s="1259" t="s">
        <v>16079</v>
      </c>
      <c r="PW17" s="1259" t="s">
        <v>18603</v>
      </c>
      <c r="PY17" s="1259">
        <v>9</v>
      </c>
      <c r="PZ17" s="1259" t="s">
        <v>18615</v>
      </c>
      <c r="QA17" s="1259"/>
    </row>
    <row r="18" spans="1:443" ht="18.75" thickBot="1">
      <c r="A18" s="2">
        <v>16</v>
      </c>
      <c r="B18" s="2" t="s">
        <v>1259</v>
      </c>
      <c r="C18" s="27" t="s">
        <v>1258</v>
      </c>
      <c r="D18" s="2" t="s">
        <v>1312</v>
      </c>
      <c r="E18" s="28" t="s">
        <v>1537</v>
      </c>
      <c r="G18" s="2">
        <v>16</v>
      </c>
      <c r="H18" s="2" t="s">
        <v>1258</v>
      </c>
      <c r="I18" s="2" t="s">
        <v>1537</v>
      </c>
      <c r="K18" s="2">
        <v>16</v>
      </c>
      <c r="L18" s="2" t="s">
        <v>395</v>
      </c>
      <c r="N18" s="2" t="s">
        <v>13138</v>
      </c>
      <c r="P18" s="29">
        <v>15</v>
      </c>
      <c r="Q18" s="29" t="s">
        <v>564</v>
      </c>
      <c r="S18" s="2">
        <v>15</v>
      </c>
      <c r="T18" s="2" t="s">
        <v>1377</v>
      </c>
      <c r="V18" s="2">
        <v>15</v>
      </c>
      <c r="W18" s="2" t="s">
        <v>1399</v>
      </c>
      <c r="Z18" s="1190"/>
      <c r="AA18" s="1208" t="s">
        <v>7476</v>
      </c>
      <c r="AB18" s="1209" t="s">
        <v>7475</v>
      </c>
      <c r="AC18" s="1210">
        <v>1</v>
      </c>
      <c r="AD18" s="1210">
        <v>10</v>
      </c>
      <c r="AE18" s="1210" t="s">
        <v>7445</v>
      </c>
      <c r="AF18" s="1208" t="s">
        <v>1902</v>
      </c>
      <c r="AG18" s="1190"/>
      <c r="AN18" s="2">
        <v>0</v>
      </c>
      <c r="AO18" s="2">
        <v>0</v>
      </c>
      <c r="AQ18" s="2" t="str">
        <v/>
      </c>
      <c r="AS18" s="1190"/>
      <c r="AT18" s="1190"/>
      <c r="AU18" s="106"/>
      <c r="AV18" s="106"/>
      <c r="AW18" s="106"/>
      <c r="AX18" s="106"/>
      <c r="AY18" s="106"/>
      <c r="AZ18" s="106"/>
      <c r="BA18" s="106"/>
      <c r="BB18" s="106"/>
      <c r="BC18" s="106"/>
      <c r="BD18" s="106"/>
      <c r="BE18" s="106"/>
      <c r="BF18" s="106"/>
      <c r="BG18" s="106"/>
      <c r="BH18" s="106"/>
      <c r="BI18" s="106"/>
      <c r="BJ18" s="403"/>
      <c r="BK18" s="403"/>
      <c r="BL18" s="1191"/>
      <c r="BM18" s="1191"/>
      <c r="BN18" s="2">
        <v>3</v>
      </c>
      <c r="BO18" s="2" t="s">
        <v>1937</v>
      </c>
      <c r="BQ18" s="2">
        <v>3</v>
      </c>
      <c r="BR18" s="2" t="s">
        <v>1985</v>
      </c>
      <c r="CI18" s="2">
        <v>15</v>
      </c>
      <c r="CJ18" s="2" t="s">
        <v>12598</v>
      </c>
      <c r="CL18" s="2">
        <v>15</v>
      </c>
      <c r="DM18" s="1192" t="s">
        <v>5723</v>
      </c>
      <c r="DN18" s="1213">
        <v>1</v>
      </c>
      <c r="DO18" s="1213">
        <v>0</v>
      </c>
      <c r="DP18" s="1213">
        <v>0</v>
      </c>
      <c r="DQ18" s="1213"/>
      <c r="DR18" s="1190"/>
      <c r="DS18" s="1190"/>
      <c r="DT18" s="1211"/>
      <c r="DU18" s="1211"/>
      <c r="DV18" s="1190"/>
      <c r="DW18" s="1190"/>
      <c r="DX18" s="1190"/>
      <c r="DZ18" s="1014" t="s">
        <v>15565</v>
      </c>
      <c r="EA18" s="1005">
        <v>5</v>
      </c>
      <c r="EB18" s="1016">
        <v>1.3</v>
      </c>
      <c r="EC18" s="1016">
        <v>1</v>
      </c>
      <c r="ED18" s="1196"/>
      <c r="EE18" s="1000" t="s">
        <v>7514</v>
      </c>
      <c r="EF18" s="1020">
        <v>35</v>
      </c>
      <c r="EG18" s="1020">
        <v>65</v>
      </c>
      <c r="EH18" s="1020">
        <v>15</v>
      </c>
      <c r="EI18" s="1008" t="str">
        <f>ROUND(100*EF18/SUM(EF18:EH18),0)&amp;"/"&amp;ROUND(100*EG18/SUM(EF18:EH18),0)&amp;"/"&amp;ROUND(100*EH18/SUM(EF18:EH18),0)</f>
        <v>30/57/13</v>
      </c>
      <c r="EJ18" s="1196"/>
      <c r="EK18" s="1000" t="s">
        <v>7514</v>
      </c>
      <c r="EL18" s="1212">
        <f>SUM($EE18:EE18)/SUM($EF18:$EH18)</f>
        <v>0</v>
      </c>
      <c r="EM18" s="1212">
        <f>SUM($EE18:EF18)/SUM($EF18:$EH18)</f>
        <v>0.30434782608695654</v>
      </c>
      <c r="EN18" s="1212">
        <f>SUM($EE18:EG18)/SUM($EF18:$EH18)</f>
        <v>0.86956521739130432</v>
      </c>
      <c r="EO18" s="1196"/>
      <c r="EP18" s="1000" t="s">
        <v>7514</v>
      </c>
      <c r="EQ18" s="1204">
        <f t="shared" si="3"/>
        <v>0.30434782608695654</v>
      </c>
      <c r="ER18" s="1204">
        <f t="shared" si="3"/>
        <v>0.56521739130434778</v>
      </c>
      <c r="ES18" s="1204">
        <f t="shared" si="3"/>
        <v>0.13043478260869565</v>
      </c>
      <c r="ET18" s="1196"/>
      <c r="EU18" s="1003">
        <f t="shared" ca="1" si="0"/>
        <v>7.3375758575231598E-2</v>
      </c>
      <c r="EV18" s="1003">
        <f t="shared" ca="1" si="0"/>
        <v>0.22649117140356223</v>
      </c>
      <c r="EW18" s="1003">
        <f t="shared" ca="1" si="0"/>
        <v>0.74520687597615043</v>
      </c>
      <c r="EY18" s="1190"/>
      <c r="EZ18" s="1190"/>
      <c r="FC18" s="1197"/>
      <c r="FD18" s="1197"/>
      <c r="IQ18" s="1189"/>
      <c r="IT18" s="533">
        <v>4</v>
      </c>
      <c r="IU18" s="533" t="s">
        <v>16622</v>
      </c>
      <c r="IV18" s="1117">
        <v>4</v>
      </c>
      <c r="IW18" s="1129" t="s">
        <v>16623</v>
      </c>
      <c r="IX18" s="1117">
        <v>4</v>
      </c>
      <c r="IY18" s="1129" t="s">
        <v>16624</v>
      </c>
      <c r="IZ18" s="1117">
        <v>4</v>
      </c>
      <c r="JA18" s="1129" t="s">
        <v>16622</v>
      </c>
      <c r="JB18" s="1117">
        <v>4</v>
      </c>
      <c r="JC18" s="1129" t="s">
        <v>16625</v>
      </c>
      <c r="JD18" s="1117">
        <v>5</v>
      </c>
      <c r="JE18" s="1117" t="s">
        <v>16626</v>
      </c>
      <c r="JF18" s="1117">
        <v>5</v>
      </c>
      <c r="JG18" s="1117" t="s">
        <v>16627</v>
      </c>
      <c r="JH18" s="1117">
        <v>5</v>
      </c>
      <c r="JI18" s="1117" t="s">
        <v>16628</v>
      </c>
      <c r="JJ18" s="1153"/>
      <c r="JK18" s="1132" t="s">
        <v>12808</v>
      </c>
      <c r="JL18" s="1132">
        <v>12</v>
      </c>
      <c r="JM18" s="1120" t="s">
        <v>16629</v>
      </c>
      <c r="JN18" s="1153"/>
      <c r="JO18" s="1153"/>
      <c r="JP18" s="1117">
        <v>4</v>
      </c>
      <c r="JQ18" s="1129" t="s">
        <v>16630</v>
      </c>
      <c r="JR18" s="1153"/>
      <c r="JS18" s="1153"/>
      <c r="JT18" s="1153" t="s">
        <v>16631</v>
      </c>
      <c r="JU18" s="533"/>
      <c r="JV18" s="533"/>
      <c r="JW18" s="533"/>
      <c r="JX18" s="1121">
        <v>5</v>
      </c>
      <c r="JY18" s="1121" t="s">
        <v>16632</v>
      </c>
      <c r="JZ18" s="1121" t="s">
        <v>16633</v>
      </c>
      <c r="KA18" s="1121" t="s">
        <v>4758</v>
      </c>
      <c r="KB18" s="1122" t="s">
        <v>16634</v>
      </c>
      <c r="KC18" s="1153"/>
      <c r="KD18" s="1123" t="s">
        <v>16635</v>
      </c>
      <c r="KE18" s="1124" t="s">
        <v>16636</v>
      </c>
      <c r="KF18" s="1124" t="s">
        <v>16637</v>
      </c>
      <c r="KG18" s="1125" t="s">
        <v>8636</v>
      </c>
      <c r="KH18" s="1153"/>
      <c r="KI18" s="1130">
        <v>4</v>
      </c>
      <c r="KJ18" s="1124" t="s">
        <v>16638</v>
      </c>
      <c r="KK18" s="1124" t="s">
        <v>16639</v>
      </c>
      <c r="KL18" s="1124" t="s">
        <v>16640</v>
      </c>
      <c r="KM18" s="1124" t="s">
        <v>16641</v>
      </c>
      <c r="KN18" s="1153"/>
      <c r="KO18" s="1131" t="s">
        <v>16642</v>
      </c>
      <c r="KP18" s="1131" t="s">
        <v>16643</v>
      </c>
      <c r="KQ18" s="1153"/>
      <c r="KR18" s="547">
        <v>5</v>
      </c>
      <c r="KS18" s="550" t="s">
        <v>16644</v>
      </c>
      <c r="KT18" s="1153"/>
      <c r="KU18" s="1153" t="s">
        <v>16597</v>
      </c>
      <c r="KV18" s="1153" t="s">
        <v>16645</v>
      </c>
      <c r="KW18" s="1153">
        <v>-2</v>
      </c>
      <c r="KX18" s="1153"/>
      <c r="KY18" s="1153"/>
      <c r="KZ18" s="1153"/>
      <c r="LA18" s="1153"/>
      <c r="LB18" s="1153"/>
      <c r="LC18" s="1153"/>
      <c r="LD18" s="1153"/>
      <c r="LE18" s="1153"/>
      <c r="LF18" s="1153"/>
      <c r="LG18" s="1153"/>
      <c r="LH18" s="1153"/>
      <c r="LI18" s="1153"/>
      <c r="LJ18" s="1153"/>
      <c r="LK18" s="1153"/>
      <c r="LL18" s="1153"/>
      <c r="LM18" s="1153"/>
      <c r="LN18" s="1153"/>
      <c r="LO18" s="1153"/>
      <c r="LP18" s="1153"/>
      <c r="LQ18" s="1153"/>
      <c r="LR18" s="1153"/>
      <c r="LS18" s="1247"/>
      <c r="LU18" s="1153"/>
      <c r="LV18" s="1153"/>
      <c r="LW18" s="1153"/>
      <c r="LX18" s="1153"/>
      <c r="LY18" s="1153">
        <v>26</v>
      </c>
      <c r="LZ18" s="1140">
        <v>25</v>
      </c>
      <c r="MA18" s="1153" t="s">
        <v>17153</v>
      </c>
      <c r="MB18" s="1153"/>
      <c r="MC18" s="1153"/>
      <c r="MD18" s="1153"/>
      <c r="ME18" s="1153"/>
      <c r="MF18" s="1153"/>
      <c r="MG18" s="1153"/>
      <c r="MH18" s="1153"/>
      <c r="MI18" s="1153"/>
      <c r="MJ18" s="1153"/>
      <c r="MK18" s="1153"/>
      <c r="ML18" s="1153"/>
      <c r="MM18" s="1153"/>
      <c r="MN18" s="1153"/>
      <c r="MO18" s="1153"/>
      <c r="MP18" s="1153"/>
      <c r="MQ18" s="1153"/>
      <c r="MR18" s="1153"/>
      <c r="MS18" s="1153"/>
      <c r="MT18" s="1153"/>
      <c r="MU18" s="1153"/>
      <c r="MV18" s="1153"/>
      <c r="MW18" s="1153"/>
      <c r="MX18" s="1153"/>
      <c r="MY18" s="1153"/>
      <c r="MZ18" s="1153"/>
      <c r="NA18" s="1153"/>
      <c r="NB18" s="1153"/>
      <c r="NC18" s="1153"/>
      <c r="ND18" s="1153"/>
      <c r="NE18" s="1153"/>
      <c r="NF18" s="1153"/>
      <c r="NG18" s="1153"/>
      <c r="NH18" s="1153"/>
      <c r="NI18" s="1153"/>
      <c r="NJ18" s="1153"/>
      <c r="NK18" s="1153"/>
      <c r="NL18" s="1153"/>
      <c r="NM18" s="1153"/>
      <c r="NN18" s="1153"/>
      <c r="NO18" s="1153"/>
      <c r="NP18" s="1153"/>
      <c r="NQ18" s="1153"/>
      <c r="NR18" s="1153"/>
      <c r="NS18" s="1153"/>
      <c r="NT18" s="1153"/>
      <c r="NU18" s="1153"/>
      <c r="NV18" s="1153"/>
      <c r="NW18" s="1153"/>
      <c r="NX18" s="1153"/>
      <c r="NY18" s="1153"/>
      <c r="NZ18" s="1153"/>
      <c r="OA18" s="1153"/>
      <c r="OB18" s="1153"/>
      <c r="OC18" s="1153"/>
      <c r="OD18" s="1153"/>
      <c r="OE18" s="1153"/>
      <c r="OF18" s="1153"/>
      <c r="OG18" s="1153"/>
      <c r="OH18" s="1153"/>
      <c r="OI18" s="1153"/>
      <c r="OJ18" s="1153"/>
      <c r="OS18" s="651">
        <v>12</v>
      </c>
      <c r="OT18" s="1197" t="s">
        <v>18339</v>
      </c>
      <c r="OV18" s="651">
        <v>12</v>
      </c>
      <c r="OW18" s="1259" t="s">
        <v>18378</v>
      </c>
      <c r="OY18" s="1259"/>
      <c r="OZ18" s="1259"/>
      <c r="PA18" s="1259" t="s">
        <v>16079</v>
      </c>
      <c r="PB18" s="1259" t="s">
        <v>7919</v>
      </c>
      <c r="PG18" s="1259" t="s">
        <v>8084</v>
      </c>
      <c r="PH18" s="1259" t="s">
        <v>18515</v>
      </c>
      <c r="PN18" s="1259" t="s">
        <v>18538</v>
      </c>
      <c r="PO18" s="1259"/>
      <c r="PS18" s="1259">
        <v>19</v>
      </c>
      <c r="PT18" s="1259" t="s">
        <v>18556</v>
      </c>
      <c r="PY18" s="1259">
        <v>10</v>
      </c>
      <c r="PZ18" s="1259" t="s">
        <v>18616</v>
      </c>
      <c r="QA18" s="1259"/>
    </row>
    <row r="19" spans="1:443" ht="18.75" thickBot="1">
      <c r="A19" s="2">
        <v>17</v>
      </c>
      <c r="B19" s="2" t="s">
        <v>1260</v>
      </c>
      <c r="C19" s="27" t="s">
        <v>1499</v>
      </c>
      <c r="D19" s="2" t="s">
        <v>1313</v>
      </c>
      <c r="E19" s="28" t="s">
        <v>1538</v>
      </c>
      <c r="G19" s="2">
        <v>17</v>
      </c>
      <c r="H19" s="2" t="s">
        <v>1499</v>
      </c>
      <c r="I19" s="2" t="s">
        <v>1538</v>
      </c>
      <c r="K19" s="2">
        <v>17</v>
      </c>
      <c r="L19" s="2" t="s">
        <v>396</v>
      </c>
      <c r="N19" s="2" t="s">
        <v>13139</v>
      </c>
      <c r="P19" s="29">
        <v>16</v>
      </c>
      <c r="Q19" s="29" t="s">
        <v>15</v>
      </c>
      <c r="S19" s="2">
        <v>16</v>
      </c>
      <c r="T19" s="2" t="s">
        <v>1378</v>
      </c>
      <c r="V19" s="2">
        <v>16</v>
      </c>
      <c r="W19" s="2" t="s">
        <v>1400</v>
      </c>
      <c r="Z19" s="1190"/>
      <c r="AA19" s="1208" t="s">
        <v>6256</v>
      </c>
      <c r="AB19" s="1209" t="s">
        <v>7474</v>
      </c>
      <c r="AC19" s="1210">
        <v>5</v>
      </c>
      <c r="AD19" s="1210">
        <v>300</v>
      </c>
      <c r="AE19" s="1210" t="s">
        <v>1902</v>
      </c>
      <c r="AF19" s="1208" t="s">
        <v>1902</v>
      </c>
      <c r="AG19" s="1190"/>
      <c r="AN19" s="2">
        <v>0</v>
      </c>
      <c r="AO19" s="2">
        <v>0</v>
      </c>
      <c r="AQ19" s="2" t="str">
        <v/>
      </c>
      <c r="AS19" s="1190"/>
      <c r="AT19" s="1190"/>
      <c r="AU19" s="106"/>
      <c r="AV19" s="106"/>
      <c r="AW19" s="106"/>
      <c r="AX19" s="106"/>
      <c r="AY19" s="106"/>
      <c r="AZ19" s="106"/>
      <c r="BA19" s="106"/>
      <c r="BB19" s="106"/>
      <c r="BC19" s="106"/>
      <c r="BD19" s="106"/>
      <c r="BE19" s="106"/>
      <c r="BF19" s="106"/>
      <c r="BG19" s="106"/>
      <c r="BH19" s="106"/>
      <c r="BI19" s="106"/>
      <c r="BJ19" s="403"/>
      <c r="BK19" s="403"/>
      <c r="BL19" s="1191"/>
      <c r="BM19" s="1191"/>
      <c r="BN19" s="2">
        <v>4</v>
      </c>
      <c r="BO19" s="2" t="s">
        <v>1938</v>
      </c>
      <c r="BQ19" s="2">
        <v>4</v>
      </c>
      <c r="BR19" s="2" t="s">
        <v>1986</v>
      </c>
      <c r="CI19" s="2">
        <v>16</v>
      </c>
      <c r="CJ19" s="2" t="s">
        <v>12599</v>
      </c>
      <c r="CL19" s="2">
        <v>16</v>
      </c>
      <c r="CM19" s="2" t="s">
        <v>3364</v>
      </c>
      <c r="DM19" s="1192" t="s">
        <v>5722</v>
      </c>
      <c r="DN19" s="1213">
        <v>0.75</v>
      </c>
      <c r="DO19" s="1213">
        <v>0</v>
      </c>
      <c r="DP19" s="1213">
        <v>0</v>
      </c>
      <c r="DQ19" s="1213"/>
      <c r="DR19" s="1190"/>
      <c r="DS19" s="1190"/>
      <c r="DT19" s="1190"/>
      <c r="DU19" s="1190"/>
      <c r="DV19" s="1190"/>
      <c r="DW19" s="1190"/>
      <c r="DX19" s="1190"/>
      <c r="DZ19" s="1014" t="s">
        <v>15566</v>
      </c>
      <c r="EA19" s="998">
        <v>-5</v>
      </c>
      <c r="EB19" s="1015">
        <v>1</v>
      </c>
      <c r="EC19" s="1015">
        <v>1</v>
      </c>
      <c r="ED19" s="1196"/>
      <c r="EE19" s="1006" t="s">
        <v>7518</v>
      </c>
      <c r="EF19" s="1019">
        <v>65</v>
      </c>
      <c r="EG19" s="1019">
        <v>45</v>
      </c>
      <c r="EH19" s="1019">
        <v>35</v>
      </c>
      <c r="EI19" s="1008" t="str">
        <f>ROUND(100*EF19/SUM(EF19:EH19),0)&amp;"/"&amp;ROUND(100*EG19/SUM(EF19:EH19),0)&amp;"/"&amp;ROUND(100*EH19/SUM(EF19:EH19),0)</f>
        <v>45/31/24</v>
      </c>
      <c r="EJ19" s="1196"/>
      <c r="EK19" s="1006" t="s">
        <v>7518</v>
      </c>
      <c r="EL19" s="1212">
        <f>SUM($EE19:EE19)/SUM($EF19:$EH19)</f>
        <v>0</v>
      </c>
      <c r="EM19" s="1212">
        <f>SUM($EE19:EF19)/SUM($EF19:$EH19)</f>
        <v>0.44827586206896552</v>
      </c>
      <c r="EN19" s="1212">
        <f>SUM($EE19:EG19)/SUM($EF19:$EH19)</f>
        <v>0.75862068965517238</v>
      </c>
      <c r="EO19" s="1196"/>
      <c r="EP19" s="1006" t="s">
        <v>7518</v>
      </c>
      <c r="EQ19" s="1204">
        <f t="shared" si="3"/>
        <v>0.44827586206896552</v>
      </c>
      <c r="ER19" s="1204">
        <f t="shared" si="3"/>
        <v>0.31034482758620691</v>
      </c>
      <c r="ES19" s="1204">
        <f t="shared" si="3"/>
        <v>0.2413793103448276</v>
      </c>
      <c r="ET19" s="1196"/>
      <c r="EU19" s="1003">
        <f t="shared" ca="1" si="0"/>
        <v>0.65282485604517559</v>
      </c>
      <c r="EV19" s="1003">
        <f t="shared" ca="1" si="0"/>
        <v>0.81171118774933115</v>
      </c>
      <c r="EW19" s="1003">
        <f t="shared" ca="1" si="0"/>
        <v>8.8554240507028315E-2</v>
      </c>
      <c r="EY19" s="1190"/>
      <c r="EZ19" s="1190"/>
      <c r="FC19" s="1197"/>
      <c r="FD19" s="1197"/>
      <c r="IQ19" s="1189"/>
      <c r="IT19" s="533">
        <v>5</v>
      </c>
      <c r="IU19" s="533" t="s">
        <v>16646</v>
      </c>
      <c r="IV19" s="1117">
        <v>5</v>
      </c>
      <c r="IW19" s="1129" t="s">
        <v>16647</v>
      </c>
      <c r="IX19" s="1117">
        <v>5</v>
      </c>
      <c r="IY19" s="1129" t="s">
        <v>16648</v>
      </c>
      <c r="IZ19" s="1117">
        <v>5</v>
      </c>
      <c r="JA19" s="1129" t="s">
        <v>16646</v>
      </c>
      <c r="JB19" s="1117">
        <v>5</v>
      </c>
      <c r="JC19" s="1129" t="s">
        <v>16649</v>
      </c>
      <c r="JD19" s="1117">
        <v>6</v>
      </c>
      <c r="JE19" s="1117" t="s">
        <v>16650</v>
      </c>
      <c r="JF19" s="1117">
        <v>6</v>
      </c>
      <c r="JG19" s="1117" t="s">
        <v>16651</v>
      </c>
      <c r="JH19" s="1117">
        <v>6</v>
      </c>
      <c r="JI19" s="1117" t="s">
        <v>16652</v>
      </c>
      <c r="JJ19" s="1153"/>
      <c r="JK19" s="1132" t="s">
        <v>12656</v>
      </c>
      <c r="JL19" s="1132">
        <v>14</v>
      </c>
      <c r="JM19" s="1120" t="s">
        <v>16653</v>
      </c>
      <c r="JN19" s="1153"/>
      <c r="JO19" s="1153"/>
      <c r="JP19" s="1117">
        <v>5</v>
      </c>
      <c r="JQ19" s="1129" t="s">
        <v>16654</v>
      </c>
      <c r="JR19" s="1153"/>
      <c r="JS19" s="1153"/>
      <c r="JT19" s="1153" t="s">
        <v>16655</v>
      </c>
      <c r="JU19" s="533"/>
      <c r="JV19" s="533"/>
      <c r="JW19" s="533"/>
      <c r="JX19" s="1121">
        <v>6</v>
      </c>
      <c r="JY19" s="1121" t="s">
        <v>16656</v>
      </c>
      <c r="JZ19" s="1121" t="s">
        <v>7919</v>
      </c>
      <c r="KA19" s="1121" t="s">
        <v>4788</v>
      </c>
      <c r="KB19" s="1122" t="s">
        <v>16657</v>
      </c>
      <c r="KC19" s="1153"/>
      <c r="KD19" s="1123" t="s">
        <v>16658</v>
      </c>
      <c r="KE19" s="1124" t="s">
        <v>16659</v>
      </c>
      <c r="KF19" s="1124" t="s">
        <v>16660</v>
      </c>
      <c r="KG19" s="1125" t="s">
        <v>16661</v>
      </c>
      <c r="KH19" s="1153"/>
      <c r="KI19" s="1130">
        <v>5</v>
      </c>
      <c r="KJ19" s="1124" t="s">
        <v>16662</v>
      </c>
      <c r="KK19" s="1124" t="s">
        <v>16663</v>
      </c>
      <c r="KL19" s="1124" t="s">
        <v>16664</v>
      </c>
      <c r="KM19" s="1124" t="s">
        <v>16641</v>
      </c>
      <c r="KN19" s="1153"/>
      <c r="KO19" s="1131" t="s">
        <v>16665</v>
      </c>
      <c r="KP19" s="1131" t="s">
        <v>16666</v>
      </c>
      <c r="KQ19" s="1153"/>
      <c r="KR19" s="547">
        <v>6</v>
      </c>
      <c r="KS19" s="550" t="s">
        <v>16667</v>
      </c>
      <c r="KT19" s="1153"/>
      <c r="KU19" s="1153" t="s">
        <v>16597</v>
      </c>
      <c r="KV19" s="1153" t="s">
        <v>16668</v>
      </c>
      <c r="KW19" s="1153">
        <v>2</v>
      </c>
      <c r="KX19" s="1153"/>
      <c r="KY19" s="1153"/>
      <c r="KZ19" s="1153"/>
      <c r="LA19" s="1153"/>
      <c r="LB19" s="1153"/>
      <c r="LC19" s="1153"/>
      <c r="LD19" s="1153"/>
      <c r="LE19" s="1153"/>
      <c r="LF19" s="1153"/>
      <c r="LG19" s="1153"/>
      <c r="LH19" s="1153"/>
      <c r="LI19" s="1153"/>
      <c r="LJ19" s="1153"/>
      <c r="LK19" s="1153"/>
      <c r="LL19" s="1153"/>
      <c r="LM19" s="1153"/>
      <c r="LN19" s="1153"/>
      <c r="LO19" s="1153"/>
      <c r="LP19" s="1153"/>
      <c r="LQ19" s="1153"/>
      <c r="LR19" s="1153"/>
      <c r="LS19" s="1247"/>
      <c r="LU19" s="1153"/>
      <c r="LV19" s="1153"/>
      <c r="LW19" s="1153"/>
      <c r="LX19" s="1153"/>
      <c r="LY19" s="1153" t="s">
        <v>17154</v>
      </c>
      <c r="LZ19" s="1140">
        <v>26</v>
      </c>
      <c r="MA19" s="1153" t="s">
        <v>8958</v>
      </c>
      <c r="MB19" s="1153"/>
      <c r="MC19" s="1153"/>
      <c r="MD19" s="1153"/>
      <c r="ME19" s="1153"/>
      <c r="MF19" s="1153"/>
      <c r="MG19" s="1153"/>
      <c r="MH19" s="1153"/>
      <c r="MI19" s="1153"/>
      <c r="MJ19" s="1153"/>
      <c r="MK19" s="1153"/>
      <c r="ML19" s="1153"/>
      <c r="MM19" s="1153"/>
      <c r="MN19" s="1153"/>
      <c r="MO19" s="1153"/>
      <c r="MP19" s="1153"/>
      <c r="MQ19" s="1153"/>
      <c r="MR19" s="1153"/>
      <c r="MS19" s="1153"/>
      <c r="MT19" s="1153"/>
      <c r="MU19" s="1153"/>
      <c r="MV19" s="1153"/>
      <c r="MW19" s="1153"/>
      <c r="MX19" s="1153"/>
      <c r="MY19" s="1153"/>
      <c r="MZ19" s="1153"/>
      <c r="NA19" s="1153"/>
      <c r="NB19" s="1153"/>
      <c r="NC19" s="1153"/>
      <c r="ND19" s="1153"/>
      <c r="NE19" s="1153"/>
      <c r="NF19" s="1153"/>
      <c r="NG19" s="1153"/>
      <c r="NH19" s="1153"/>
      <c r="NI19" s="1153"/>
      <c r="NJ19" s="1153"/>
      <c r="NK19" s="1153"/>
      <c r="NL19" s="1153"/>
      <c r="NM19" s="1153"/>
      <c r="NN19" s="1153"/>
      <c r="NO19" s="1153"/>
      <c r="NP19" s="1153"/>
      <c r="NQ19" s="1153"/>
      <c r="NR19" s="1153"/>
      <c r="NS19" s="1153"/>
      <c r="NT19" s="1153"/>
      <c r="NU19" s="1153"/>
      <c r="NV19" s="1153"/>
      <c r="NW19" s="1153"/>
      <c r="NX19" s="1153"/>
      <c r="NY19" s="1153"/>
      <c r="NZ19" s="1153"/>
      <c r="OA19" s="1153"/>
      <c r="OB19" s="1153"/>
      <c r="OC19" s="1153"/>
      <c r="OD19" s="1153"/>
      <c r="OE19" s="1153"/>
      <c r="OF19" s="1153"/>
      <c r="OG19" s="1153"/>
      <c r="OH19" s="1153"/>
      <c r="OI19" s="1153"/>
      <c r="OJ19" s="1153"/>
      <c r="OS19" s="651">
        <v>13</v>
      </c>
      <c r="OT19" s="1197" t="s">
        <v>7922</v>
      </c>
      <c r="OV19" s="651">
        <v>13</v>
      </c>
      <c r="OW19" s="1259" t="s">
        <v>18379</v>
      </c>
      <c r="OY19" s="1259" t="s">
        <v>18332</v>
      </c>
      <c r="OZ19" s="1259" t="s">
        <v>9648</v>
      </c>
      <c r="PA19" s="1259" t="s">
        <v>18337</v>
      </c>
      <c r="PB19" s="1259" t="s">
        <v>18466</v>
      </c>
      <c r="PG19" s="1259" t="s">
        <v>8071</v>
      </c>
      <c r="PH19" s="1259" t="s">
        <v>18516</v>
      </c>
      <c r="PN19" s="1259" t="s">
        <v>18539</v>
      </c>
      <c r="PO19" s="1259"/>
      <c r="PS19" s="1259">
        <v>20</v>
      </c>
      <c r="PT19" s="1259" t="s">
        <v>18557</v>
      </c>
      <c r="QA19" s="1259"/>
    </row>
    <row r="20" spans="1:443" ht="18.75" thickBot="1">
      <c r="A20" s="2">
        <v>18</v>
      </c>
      <c r="B20" s="2" t="s">
        <v>1261</v>
      </c>
      <c r="C20" s="27" t="s">
        <v>1500</v>
      </c>
      <c r="D20" s="2" t="s">
        <v>1314</v>
      </c>
      <c r="E20" s="28" t="s">
        <v>1322</v>
      </c>
      <c r="G20" s="2">
        <v>18</v>
      </c>
      <c r="H20" s="2" t="s">
        <v>1500</v>
      </c>
      <c r="I20" s="2" t="s">
        <v>1322</v>
      </c>
      <c r="K20" s="2">
        <v>18</v>
      </c>
      <c r="L20" s="2" t="s">
        <v>397</v>
      </c>
      <c r="N20" s="2" t="s">
        <v>13140</v>
      </c>
      <c r="P20" s="29">
        <v>17</v>
      </c>
      <c r="Q20" s="29" t="s">
        <v>565</v>
      </c>
      <c r="S20" s="2">
        <v>17</v>
      </c>
      <c r="T20" s="2" t="s">
        <v>1379</v>
      </c>
      <c r="V20" s="2">
        <v>17</v>
      </c>
      <c r="W20" s="2" t="s">
        <v>1401</v>
      </c>
      <c r="Z20" s="1190"/>
      <c r="AA20" s="1208" t="s">
        <v>7473</v>
      </c>
      <c r="AB20" s="1209" t="s">
        <v>7472</v>
      </c>
      <c r="AC20" s="1210">
        <v>1</v>
      </c>
      <c r="AD20" s="1210">
        <v>1</v>
      </c>
      <c r="AE20" s="1210" t="s">
        <v>1902</v>
      </c>
      <c r="AF20" s="1208" t="s">
        <v>1902</v>
      </c>
      <c r="AG20" s="1190"/>
      <c r="AN20" s="2">
        <v>0</v>
      </c>
      <c r="AO20" s="2">
        <v>0</v>
      </c>
      <c r="AQ20" s="2" t="str">
        <v/>
      </c>
      <c r="AS20" s="1190"/>
      <c r="AT20" s="1190"/>
      <c r="AU20" s="106"/>
      <c r="AV20" s="106"/>
      <c r="AW20" s="106"/>
      <c r="AX20" s="106"/>
      <c r="AY20" s="106"/>
      <c r="AZ20" s="106"/>
      <c r="BA20" s="106"/>
      <c r="BB20" s="106"/>
      <c r="BC20" s="106"/>
      <c r="BD20" s="106"/>
      <c r="BE20" s="106"/>
      <c r="BF20" s="106"/>
      <c r="BG20" s="106"/>
      <c r="BH20" s="106"/>
      <c r="BI20" s="106"/>
      <c r="BJ20" s="403"/>
      <c r="BK20" s="403"/>
      <c r="BL20" s="1191"/>
      <c r="BM20" s="1191"/>
      <c r="BN20" s="2">
        <v>5</v>
      </c>
      <c r="BO20" s="2" t="s">
        <v>1939</v>
      </c>
      <c r="BQ20" s="2">
        <v>5</v>
      </c>
      <c r="BR20" s="2" t="s">
        <v>1987</v>
      </c>
      <c r="CI20" s="2">
        <v>17</v>
      </c>
      <c r="CJ20" s="2" t="s">
        <v>12600</v>
      </c>
      <c r="CL20" s="2">
        <v>17</v>
      </c>
      <c r="CM20" s="2" t="s">
        <v>2442</v>
      </c>
      <c r="DM20" s="1192" t="s">
        <v>5721</v>
      </c>
      <c r="DN20" s="1213">
        <v>0.1</v>
      </c>
      <c r="DO20" s="1213">
        <v>0</v>
      </c>
      <c r="DP20" s="1213">
        <v>0</v>
      </c>
      <c r="DQ20" s="1213"/>
      <c r="DR20" s="1190"/>
      <c r="DS20" s="1190"/>
      <c r="DT20" s="1190"/>
      <c r="DU20" s="1190"/>
      <c r="DV20" s="1190"/>
      <c r="DW20" s="1190"/>
      <c r="DX20" s="1190"/>
      <c r="DZ20" s="1014" t="s">
        <v>15567</v>
      </c>
      <c r="EA20" s="1005">
        <v>-15</v>
      </c>
      <c r="EB20" s="1016">
        <v>0.9</v>
      </c>
      <c r="EC20" s="1016">
        <v>1</v>
      </c>
      <c r="ED20" s="1196"/>
      <c r="EE20" s="1196" t="s">
        <v>15552</v>
      </c>
      <c r="EF20" s="1214">
        <f t="array" ref="EF20:EH20">MMULT(MMULT(MMULT(MMULT(MMULT(EQ17:ES19,EQ17:ES19),MMULT(EQ17:ES19,EQ17:ES19)),MMULT(MMULT(EQ17:ES19,EQ17:ES19),MMULT(EQ17:ES19,EQ17:ES19))),MMULT(MMULT(MMULT(EQ17:ES19,EQ17:ES19),MMULT(EQ17:ES19,EQ17:ES19)),MMULT(MMULT(EQ17:ES19,EQ17:ES19),MMULT(EQ17:ES19,EQ17:ES19)))),MMULT(MMULT(MMULT(MMULT(EQ17:ES19,EQ17:ES19),MMULT(EQ17:ES19,EQ17:ES19)),MMULT(MMULT(EQ17:ES19,EQ17:ES19),MMULT(EQ17:ES19,EQ17:ES19))),MMULT(MMULT(MMULT(EQ17:ES19,EQ17:ES19),MMULT(EQ17:ES19,EQ17:ES19)),MMULT(MMULT(EQ17:ES19,EQ17:ES19),MMULT(EQ17:ES19,EQ17:ES19)))))</f>
        <v>0.79279932719226809</v>
      </c>
      <c r="EG20" s="1214">
        <v>0.15931697994134603</v>
      </c>
      <c r="EH20" s="1214">
        <v>4.7883692866385656E-2</v>
      </c>
      <c r="EI20" s="1008"/>
      <c r="EJ20" s="1196"/>
      <c r="EK20" s="1196"/>
      <c r="EL20" s="1196"/>
      <c r="EM20" s="1196"/>
      <c r="EN20" s="1196"/>
      <c r="EO20" s="1196"/>
      <c r="EP20" s="1196"/>
      <c r="EQ20" s="1196"/>
      <c r="ER20" s="1196"/>
      <c r="ES20" s="1196"/>
      <c r="ET20" s="1196"/>
      <c r="EU20" s="1012">
        <f t="shared" ca="1" si="0"/>
        <v>0.93925521019186164</v>
      </c>
      <c r="EV20" s="1012">
        <f t="shared" ca="1" si="0"/>
        <v>2.3267283440404407E-2</v>
      </c>
      <c r="EW20" s="1012">
        <f t="shared" ca="1" si="0"/>
        <v>0.11803958705559392</v>
      </c>
      <c r="EY20" s="1190"/>
      <c r="EZ20" s="1190"/>
      <c r="FA20" s="1190"/>
      <c r="FB20" s="1190"/>
      <c r="FC20" s="1190"/>
      <c r="FD20" s="1190"/>
      <c r="IQ20" s="1189"/>
      <c r="IT20" s="533">
        <v>6</v>
      </c>
      <c r="IU20" s="533" t="s">
        <v>16669</v>
      </c>
      <c r="IV20" s="1117">
        <v>6</v>
      </c>
      <c r="IW20" s="1129" t="s">
        <v>16670</v>
      </c>
      <c r="IX20" s="1117">
        <v>6</v>
      </c>
      <c r="IY20" s="1129" t="s">
        <v>16671</v>
      </c>
      <c r="IZ20" s="1117">
        <v>6</v>
      </c>
      <c r="JA20" s="1129" t="s">
        <v>16669</v>
      </c>
      <c r="JB20" s="1117">
        <v>6</v>
      </c>
      <c r="JC20" s="1129" t="s">
        <v>16672</v>
      </c>
      <c r="JD20" s="1117">
        <v>7</v>
      </c>
      <c r="JE20" s="1117" t="s">
        <v>16673</v>
      </c>
      <c r="JF20" s="1117">
        <v>7</v>
      </c>
      <c r="JG20" s="1117" t="s">
        <v>16674</v>
      </c>
      <c r="JH20" s="1117">
        <v>7</v>
      </c>
      <c r="JI20" s="1117" t="s">
        <v>16675</v>
      </c>
      <c r="JJ20" s="1153"/>
      <c r="JK20" s="1132" t="s">
        <v>16676</v>
      </c>
      <c r="JL20" s="1132">
        <v>16</v>
      </c>
      <c r="JM20" s="1120" t="s">
        <v>16677</v>
      </c>
      <c r="JN20" s="1153"/>
      <c r="JO20" s="1153"/>
      <c r="JP20" s="1117">
        <v>6</v>
      </c>
      <c r="JQ20" s="1129" t="s">
        <v>16678</v>
      </c>
      <c r="JR20" s="1153"/>
      <c r="JS20" s="1153"/>
      <c r="JT20" s="1153" t="s">
        <v>16679</v>
      </c>
      <c r="JU20" s="533"/>
      <c r="JV20" s="533"/>
      <c r="JW20" s="533"/>
      <c r="JX20" s="1121">
        <v>7</v>
      </c>
      <c r="JY20" s="1121" t="s">
        <v>16680</v>
      </c>
      <c r="JZ20" s="1121" t="s">
        <v>16681</v>
      </c>
      <c r="KA20" s="1121" t="s">
        <v>11707</v>
      </c>
      <c r="KB20" s="1122" t="s">
        <v>16682</v>
      </c>
      <c r="KC20" s="1153"/>
      <c r="KD20" s="1123" t="s">
        <v>16683</v>
      </c>
      <c r="KE20" s="1124" t="s">
        <v>16684</v>
      </c>
      <c r="KF20" s="1124" t="s">
        <v>16685</v>
      </c>
      <c r="KG20" s="1125" t="s">
        <v>16686</v>
      </c>
      <c r="KH20" s="1153"/>
      <c r="KI20" s="1130">
        <v>6</v>
      </c>
      <c r="KJ20" s="1124" t="s">
        <v>16687</v>
      </c>
      <c r="KK20" s="1124" t="s">
        <v>13262</v>
      </c>
      <c r="KL20" s="1124" t="s">
        <v>16688</v>
      </c>
      <c r="KM20" s="1124" t="s">
        <v>16641</v>
      </c>
      <c r="KN20" s="1153"/>
      <c r="KO20" s="1131" t="s">
        <v>16689</v>
      </c>
      <c r="KP20" s="1131" t="s">
        <v>16690</v>
      </c>
      <c r="KQ20" s="1153"/>
      <c r="KR20" s="547">
        <v>7</v>
      </c>
      <c r="KS20" s="550" t="s">
        <v>16691</v>
      </c>
      <c r="KT20" s="1153"/>
      <c r="KU20" s="1153" t="s">
        <v>16597</v>
      </c>
      <c r="KV20" s="23" t="s">
        <v>16692</v>
      </c>
      <c r="KW20" s="1153">
        <v>0</v>
      </c>
      <c r="KX20" s="1153"/>
      <c r="KY20" s="1153"/>
      <c r="KZ20" s="1153"/>
      <c r="LA20" s="1153"/>
      <c r="LB20" s="1153"/>
      <c r="LC20" s="1153"/>
      <c r="LD20" s="1153"/>
      <c r="LE20" s="1153"/>
      <c r="LF20" s="1153"/>
      <c r="LG20" s="1153"/>
      <c r="LH20" s="1153"/>
      <c r="LI20" s="1153"/>
      <c r="LJ20" s="1153"/>
      <c r="LK20" s="1153"/>
      <c r="LL20" s="1153"/>
      <c r="LM20" s="1153"/>
      <c r="LN20" s="1153"/>
      <c r="LO20" s="1153"/>
      <c r="LP20" s="1153"/>
      <c r="LQ20" s="1153"/>
      <c r="LR20" s="1153"/>
      <c r="LS20" s="1247"/>
      <c r="LU20" s="1153"/>
      <c r="LV20" s="1153"/>
      <c r="LW20" s="1153"/>
      <c r="LX20" s="1153"/>
      <c r="LY20" s="1153" t="s">
        <v>17155</v>
      </c>
      <c r="LZ20" s="1140">
        <v>29</v>
      </c>
      <c r="MA20" s="1153" t="s">
        <v>17156</v>
      </c>
      <c r="MB20" s="1153"/>
      <c r="MC20" s="1153"/>
      <c r="MD20" s="1153"/>
      <c r="ME20" s="1153"/>
      <c r="MF20" s="1153"/>
      <c r="MG20" s="1153"/>
      <c r="MH20" s="1153"/>
      <c r="MI20" s="1153"/>
      <c r="MJ20" s="1153"/>
      <c r="MK20" s="1153"/>
      <c r="ML20" s="1153"/>
      <c r="MM20" s="1153"/>
      <c r="MN20" s="1153"/>
      <c r="MO20" s="1153"/>
      <c r="MP20" s="1153"/>
      <c r="MQ20" s="1153"/>
      <c r="MR20" s="1153"/>
      <c r="MS20" s="1153"/>
      <c r="MT20" s="1153"/>
      <c r="MU20" s="1153"/>
      <c r="MV20" s="1153"/>
      <c r="MW20" s="1153"/>
      <c r="MX20" s="1153"/>
      <c r="MY20" s="1153"/>
      <c r="MZ20" s="1153"/>
      <c r="NA20" s="1153"/>
      <c r="NB20" s="1153"/>
      <c r="NC20" s="1153"/>
      <c r="ND20" s="1153"/>
      <c r="NE20" s="1153"/>
      <c r="NF20" s="1153"/>
      <c r="NG20" s="1153"/>
      <c r="NH20" s="1153"/>
      <c r="NI20" s="1153"/>
      <c r="NJ20" s="1153"/>
      <c r="NK20" s="1153"/>
      <c r="NL20" s="1153"/>
      <c r="NM20" s="1153"/>
      <c r="NN20" s="1153"/>
      <c r="NO20" s="1153"/>
      <c r="NP20" s="1153"/>
      <c r="NQ20" s="1153"/>
      <c r="NR20" s="1153"/>
      <c r="NS20" s="1153"/>
      <c r="NT20" s="1153"/>
      <c r="NU20" s="1153"/>
      <c r="NV20" s="1153"/>
      <c r="NW20" s="1153"/>
      <c r="NX20" s="1153"/>
      <c r="NY20" s="1153"/>
      <c r="NZ20" s="1153"/>
      <c r="OA20" s="1153"/>
      <c r="OB20" s="1153"/>
      <c r="OC20" s="1153"/>
      <c r="OD20" s="1153"/>
      <c r="OE20" s="1153"/>
      <c r="OF20" s="1153"/>
      <c r="OG20" s="1153"/>
      <c r="OH20" s="1153"/>
      <c r="OI20" s="1153"/>
      <c r="OJ20" s="1153"/>
      <c r="OS20" s="651">
        <v>14</v>
      </c>
      <c r="OT20" s="1197" t="s">
        <v>13691</v>
      </c>
      <c r="OV20" s="651">
        <v>14</v>
      </c>
      <c r="OW20" s="1259" t="s">
        <v>18380</v>
      </c>
      <c r="OY20" s="1259" t="s">
        <v>18337</v>
      </c>
      <c r="OZ20" s="1259" t="s">
        <v>3858</v>
      </c>
      <c r="PA20" s="1259" t="s">
        <v>18338</v>
      </c>
      <c r="PB20" s="1259" t="s">
        <v>18467</v>
      </c>
      <c r="PG20" s="1259" t="s">
        <v>9326</v>
      </c>
      <c r="PH20" s="1259" t="s">
        <v>18517</v>
      </c>
      <c r="PN20" s="1259" t="s">
        <v>18540</v>
      </c>
      <c r="PO20" s="1259"/>
      <c r="PS20" s="1259"/>
      <c r="PT20" s="1259"/>
      <c r="QA20" s="1259"/>
    </row>
    <row r="21" spans="1:443" ht="18.75" thickBot="1">
      <c r="A21" s="2">
        <v>19</v>
      </c>
      <c r="B21" s="2" t="s">
        <v>1262</v>
      </c>
      <c r="C21" s="27" t="s">
        <v>1501</v>
      </c>
      <c r="D21" s="2" t="s">
        <v>1315</v>
      </c>
      <c r="E21" s="28" t="s">
        <v>1539</v>
      </c>
      <c r="G21" s="2">
        <v>19</v>
      </c>
      <c r="H21" s="2" t="s">
        <v>1501</v>
      </c>
      <c r="I21" s="2" t="s">
        <v>1539</v>
      </c>
      <c r="K21" s="2">
        <v>19</v>
      </c>
      <c r="L21" s="2" t="s">
        <v>399</v>
      </c>
      <c r="N21" s="2" t="s">
        <v>13141</v>
      </c>
      <c r="P21" s="29">
        <v>18</v>
      </c>
      <c r="Q21" s="29" t="s">
        <v>566</v>
      </c>
      <c r="S21" s="2">
        <v>18</v>
      </c>
      <c r="T21" s="2" t="s">
        <v>1380</v>
      </c>
      <c r="V21" s="2">
        <v>18</v>
      </c>
      <c r="W21" s="2" t="s">
        <v>1402</v>
      </c>
      <c r="Z21" s="1190"/>
      <c r="AA21" s="1208" t="s">
        <v>7471</v>
      </c>
      <c r="AB21" s="1209" t="s">
        <v>7470</v>
      </c>
      <c r="AC21" s="1210">
        <v>4</v>
      </c>
      <c r="AD21" s="1210">
        <v>8</v>
      </c>
      <c r="AE21" s="1210" t="s">
        <v>1902</v>
      </c>
      <c r="AF21" s="1208" t="s">
        <v>1902</v>
      </c>
      <c r="AG21" s="1190"/>
      <c r="AN21" s="2">
        <v>0</v>
      </c>
      <c r="AO21" s="2">
        <v>0</v>
      </c>
      <c r="AQ21" s="2" t="str">
        <v/>
      </c>
      <c r="AS21" s="1190"/>
      <c r="AT21" s="1190"/>
      <c r="AU21" s="106"/>
      <c r="AV21" s="106"/>
      <c r="AW21" s="106"/>
      <c r="AX21" s="106"/>
      <c r="AY21" s="106"/>
      <c r="AZ21" s="106"/>
      <c r="BA21" s="106"/>
      <c r="BB21" s="106"/>
      <c r="BC21" s="106"/>
      <c r="BD21" s="106"/>
      <c r="BE21" s="106"/>
      <c r="BF21" s="106"/>
      <c r="BG21" s="106"/>
      <c r="BH21" s="106"/>
      <c r="BI21" s="106"/>
      <c r="BJ21" s="403"/>
      <c r="BK21" s="403"/>
      <c r="BL21" s="1191"/>
      <c r="BM21" s="1191"/>
      <c r="CI21" s="2">
        <v>18</v>
      </c>
      <c r="CJ21" s="2" t="s">
        <v>12601</v>
      </c>
      <c r="CL21" s="2">
        <v>18</v>
      </c>
      <c r="CM21" s="2" t="s">
        <v>12585</v>
      </c>
      <c r="DM21" s="1192" t="s">
        <v>5720</v>
      </c>
      <c r="DN21" s="1213">
        <v>0.5</v>
      </c>
      <c r="DO21" s="1213">
        <v>4</v>
      </c>
      <c r="DP21" s="1213">
        <v>2</v>
      </c>
      <c r="DQ21" s="1213"/>
      <c r="DR21" s="1190"/>
      <c r="DS21" s="1190"/>
      <c r="DT21" s="1190"/>
      <c r="DU21" s="1190"/>
      <c r="DV21" s="1190"/>
      <c r="DW21" s="1190"/>
      <c r="DX21" s="1190"/>
      <c r="DZ21" s="1014" t="s">
        <v>15568</v>
      </c>
      <c r="EA21" s="998">
        <v>-15</v>
      </c>
      <c r="EB21" s="1015">
        <v>1</v>
      </c>
      <c r="EC21" s="1015">
        <v>1</v>
      </c>
      <c r="ED21" s="1196"/>
      <c r="EE21" s="1196"/>
      <c r="EF21" s="1196"/>
      <c r="EG21" s="1196"/>
      <c r="EH21" s="1196"/>
      <c r="EI21" s="1196"/>
      <c r="EJ21" s="1196"/>
      <c r="EK21" s="1202"/>
      <c r="EL21" s="1202"/>
      <c r="EM21" s="1202"/>
      <c r="EN21" s="1202"/>
      <c r="EO21" s="1202"/>
      <c r="EP21" s="1202"/>
      <c r="EQ21" s="1202"/>
      <c r="ER21" s="1202"/>
      <c r="ES21" s="1202"/>
      <c r="ET21" s="1196"/>
      <c r="EU21" s="1012">
        <f t="shared" ca="1" si="0"/>
        <v>0.7943961998326392</v>
      </c>
      <c r="EV21" s="1012">
        <f t="shared" ca="1" si="0"/>
        <v>7.5389520061509119E-2</v>
      </c>
      <c r="EW21" s="1012">
        <f t="shared" ca="1" si="0"/>
        <v>0.13164400859632752</v>
      </c>
      <c r="EY21" s="1190"/>
      <c r="EZ21" s="1190"/>
      <c r="FA21" s="1190"/>
      <c r="FB21" s="1190"/>
      <c r="FC21" s="1190"/>
      <c r="FD21" s="1190"/>
      <c r="IQ21" s="1189"/>
      <c r="IT21" s="533">
        <v>7</v>
      </c>
      <c r="IU21" s="533" t="s">
        <v>16693</v>
      </c>
      <c r="IV21" s="1117">
        <v>7</v>
      </c>
      <c r="IW21" s="1129" t="s">
        <v>16694</v>
      </c>
      <c r="IX21" s="1117">
        <v>7</v>
      </c>
      <c r="IY21" s="1129" t="s">
        <v>16695</v>
      </c>
      <c r="IZ21" s="1117">
        <v>7</v>
      </c>
      <c r="JA21" s="1129" t="s">
        <v>16693</v>
      </c>
      <c r="JB21" s="1117">
        <v>7</v>
      </c>
      <c r="JC21" s="1129" t="s">
        <v>16696</v>
      </c>
      <c r="JD21" s="1117">
        <v>8</v>
      </c>
      <c r="JE21" s="1117" t="s">
        <v>16697</v>
      </c>
      <c r="JF21" s="1117">
        <v>8</v>
      </c>
      <c r="JG21" s="1117" t="s">
        <v>16698</v>
      </c>
      <c r="JH21" s="1117">
        <v>8</v>
      </c>
      <c r="JI21" s="1117" t="s">
        <v>16699</v>
      </c>
      <c r="JJ21" s="1153"/>
      <c r="JK21" s="1132" t="s">
        <v>16700</v>
      </c>
      <c r="JL21" s="1132">
        <v>19</v>
      </c>
      <c r="JM21" s="1120" t="s">
        <v>16701</v>
      </c>
      <c r="JN21" s="1153"/>
      <c r="JO21" s="1153"/>
      <c r="JP21" s="1117">
        <v>7</v>
      </c>
      <c r="JQ21" s="1129" t="s">
        <v>16702</v>
      </c>
      <c r="JR21" s="1153"/>
      <c r="JS21" s="1153"/>
      <c r="JT21" s="1153" t="s">
        <v>16703</v>
      </c>
      <c r="JU21" s="533"/>
      <c r="JV21" s="533"/>
      <c r="JW21" s="533"/>
      <c r="JX21" s="1121">
        <v>8</v>
      </c>
      <c r="JY21" s="1121" t="s">
        <v>16704</v>
      </c>
      <c r="JZ21" s="1121" t="s">
        <v>16705</v>
      </c>
      <c r="KA21" s="1121" t="s">
        <v>951</v>
      </c>
      <c r="KB21" s="1122" t="s">
        <v>16706</v>
      </c>
      <c r="KC21" s="1153"/>
      <c r="KD21" s="1123" t="s">
        <v>16707</v>
      </c>
      <c r="KE21" s="1124" t="s">
        <v>16708</v>
      </c>
      <c r="KF21" s="1124" t="s">
        <v>16709</v>
      </c>
      <c r="KG21" s="1125" t="s">
        <v>16710</v>
      </c>
      <c r="KH21" s="1153"/>
      <c r="KI21" s="1130">
        <v>7</v>
      </c>
      <c r="KJ21" s="1124" t="s">
        <v>13378</v>
      </c>
      <c r="KK21" s="1124" t="s">
        <v>16711</v>
      </c>
      <c r="KL21" s="1124" t="s">
        <v>16712</v>
      </c>
      <c r="KM21" s="1124" t="s">
        <v>10224</v>
      </c>
      <c r="KN21" s="1153"/>
      <c r="KO21" s="1131" t="s">
        <v>16713</v>
      </c>
      <c r="KP21" s="1131" t="s">
        <v>16714</v>
      </c>
      <c r="KQ21" s="1153"/>
      <c r="KR21" s="547">
        <v>8</v>
      </c>
      <c r="KS21" s="550" t="s">
        <v>16715</v>
      </c>
      <c r="KT21" s="1153"/>
      <c r="KU21" s="1153" t="s">
        <v>16597</v>
      </c>
      <c r="KV21" s="23" t="s">
        <v>16716</v>
      </c>
      <c r="KW21" s="1153">
        <v>1</v>
      </c>
      <c r="KX21" s="1153"/>
      <c r="KY21" s="1153"/>
      <c r="KZ21" s="1153"/>
      <c r="LA21" s="1153"/>
      <c r="LB21" s="1153"/>
      <c r="LC21" s="1153"/>
      <c r="LD21" s="1153"/>
      <c r="LE21" s="1153"/>
      <c r="LF21" s="1153"/>
      <c r="LG21" s="1153"/>
      <c r="LH21" s="1153"/>
      <c r="LI21" s="1153"/>
      <c r="LJ21" s="1153"/>
      <c r="LK21" s="1153"/>
      <c r="LL21" s="1153"/>
      <c r="LM21" s="1153"/>
      <c r="LN21" s="1153"/>
      <c r="LO21" s="1153"/>
      <c r="LP21" s="1153"/>
      <c r="LQ21" s="1153"/>
      <c r="LR21" s="1153"/>
      <c r="LS21" s="1247"/>
      <c r="LU21" s="1153"/>
      <c r="LV21" s="1153"/>
      <c r="LW21" s="1153"/>
      <c r="LX21" s="1153"/>
      <c r="LY21" s="1153" t="s">
        <v>17157</v>
      </c>
      <c r="LZ21" s="1140">
        <v>32</v>
      </c>
      <c r="MA21" s="1153" t="s">
        <v>17158</v>
      </c>
      <c r="MB21" s="1153"/>
      <c r="MC21" s="1153"/>
      <c r="MD21" s="1153"/>
      <c r="ME21" s="1153"/>
      <c r="MF21" s="1153"/>
      <c r="MG21" s="1153"/>
      <c r="MH21" s="1153"/>
      <c r="MI21" s="1153"/>
      <c r="MJ21" s="1153"/>
      <c r="MK21" s="1153"/>
      <c r="ML21" s="1153"/>
      <c r="MM21" s="1153"/>
      <c r="MN21" s="1153"/>
      <c r="MO21" s="1153"/>
      <c r="MP21" s="1153"/>
      <c r="MQ21" s="1153"/>
      <c r="MR21" s="1153"/>
      <c r="MS21" s="1153"/>
      <c r="MT21" s="1153"/>
      <c r="MU21" s="1153"/>
      <c r="MV21" s="1153"/>
      <c r="MW21" s="1153"/>
      <c r="MX21" s="1153"/>
      <c r="MY21" s="1153"/>
      <c r="MZ21" s="1153"/>
      <c r="NA21" s="1153"/>
      <c r="NB21" s="1153"/>
      <c r="NC21" s="1153"/>
      <c r="ND21" s="1153"/>
      <c r="NE21" s="1153"/>
      <c r="NF21" s="1153"/>
      <c r="NG21" s="1153"/>
      <c r="NH21" s="1153"/>
      <c r="NI21" s="1153"/>
      <c r="NJ21" s="1153"/>
      <c r="NK21" s="1153"/>
      <c r="NL21" s="1153"/>
      <c r="NM21" s="1153"/>
      <c r="NN21" s="1153"/>
      <c r="NO21" s="1153"/>
      <c r="NP21" s="1153"/>
      <c r="NQ21" s="1153"/>
      <c r="NR21" s="1153"/>
      <c r="NS21" s="1153"/>
      <c r="NT21" s="1153"/>
      <c r="NU21" s="1153"/>
      <c r="NV21" s="1153"/>
      <c r="NW21" s="1153"/>
      <c r="NX21" s="1153"/>
      <c r="NY21" s="1153"/>
      <c r="NZ21" s="1153"/>
      <c r="OA21" s="1153"/>
      <c r="OB21" s="1153"/>
      <c r="OC21" s="1153"/>
      <c r="OD21" s="1153"/>
      <c r="OE21" s="1153"/>
      <c r="OF21" s="1153"/>
      <c r="OG21" s="1153"/>
      <c r="OH21" s="1153"/>
      <c r="OI21" s="1153"/>
      <c r="OJ21" s="1153"/>
      <c r="OS21" s="651">
        <v>15</v>
      </c>
      <c r="OT21" s="1197" t="s">
        <v>688</v>
      </c>
      <c r="OV21" s="651">
        <v>15</v>
      </c>
      <c r="OW21" s="1259" t="s">
        <v>18381</v>
      </c>
      <c r="OY21" s="1259" t="s">
        <v>18338</v>
      </c>
      <c r="OZ21" s="1259" t="s">
        <v>18425</v>
      </c>
      <c r="PA21" s="1259" t="s">
        <v>18340</v>
      </c>
      <c r="PB21" s="1259" t="s">
        <v>18468</v>
      </c>
      <c r="PG21" s="1259" t="s">
        <v>9328</v>
      </c>
      <c r="PH21" s="1259" t="s">
        <v>18518</v>
      </c>
      <c r="PN21" s="1259" t="s">
        <v>18541</v>
      </c>
      <c r="PO21" s="1259"/>
      <c r="PS21" s="1259" t="s">
        <v>18332</v>
      </c>
      <c r="PT21" s="1259" t="s">
        <v>18544</v>
      </c>
      <c r="PY21" s="1259"/>
      <c r="PZ21" s="1259"/>
      <c r="QA21" s="1259"/>
    </row>
    <row r="22" spans="1:443" ht="18.75" thickBot="1">
      <c r="A22" s="2">
        <v>20</v>
      </c>
      <c r="B22" s="2" t="s">
        <v>1263</v>
      </c>
      <c r="C22" s="27" t="s">
        <v>1502</v>
      </c>
      <c r="D22" s="2" t="s">
        <v>1316</v>
      </c>
      <c r="E22" s="28" t="s">
        <v>1540</v>
      </c>
      <c r="G22" s="2">
        <v>20</v>
      </c>
      <c r="H22" s="2" t="s">
        <v>1502</v>
      </c>
      <c r="I22" s="2" t="s">
        <v>1540</v>
      </c>
      <c r="K22" s="2">
        <v>20</v>
      </c>
      <c r="L22" s="2" t="s">
        <v>76</v>
      </c>
      <c r="N22" s="2" t="s">
        <v>13142</v>
      </c>
      <c r="P22" s="29">
        <v>19</v>
      </c>
      <c r="Q22" s="29" t="s">
        <v>567</v>
      </c>
      <c r="S22" s="2">
        <v>19</v>
      </c>
      <c r="T22" s="2" t="s">
        <v>1381</v>
      </c>
      <c r="V22" s="2">
        <v>19</v>
      </c>
      <c r="W22" s="2" t="s">
        <v>1403</v>
      </c>
      <c r="Z22" s="1190"/>
      <c r="AA22" s="1208" t="s">
        <v>6266</v>
      </c>
      <c r="AB22" s="1209" t="s">
        <v>7469</v>
      </c>
      <c r="AC22" s="1210">
        <v>10</v>
      </c>
      <c r="AD22" s="1210">
        <v>8</v>
      </c>
      <c r="AE22" s="1210" t="s">
        <v>1902</v>
      </c>
      <c r="AF22" s="1208" t="s">
        <v>1902</v>
      </c>
      <c r="AG22" s="1190"/>
      <c r="AN22" s="2">
        <v>0</v>
      </c>
      <c r="AO22" s="2">
        <v>0</v>
      </c>
      <c r="AQ22" s="2" t="str">
        <v/>
      </c>
      <c r="AS22" s="1190"/>
      <c r="AT22" s="1190"/>
      <c r="AU22" s="106"/>
      <c r="AV22" s="106"/>
      <c r="AW22" s="106"/>
      <c r="AX22" s="106"/>
      <c r="AY22" s="106"/>
      <c r="AZ22" s="106"/>
      <c r="BA22" s="106"/>
      <c r="BB22" s="106"/>
      <c r="BC22" s="106"/>
      <c r="BD22" s="106"/>
      <c r="BE22" s="106"/>
      <c r="BF22" s="106"/>
      <c r="BG22" s="106"/>
      <c r="BH22" s="106"/>
      <c r="BI22" s="106"/>
      <c r="BJ22" s="403"/>
      <c r="BK22" s="403"/>
      <c r="BL22" s="1215"/>
      <c r="BM22" s="1215"/>
      <c r="BV22" s="1216" t="s">
        <v>1643</v>
      </c>
      <c r="BW22" s="2" t="s">
        <v>551</v>
      </c>
      <c r="CI22" s="2">
        <v>19</v>
      </c>
      <c r="CJ22" s="2" t="s">
        <v>12586</v>
      </c>
      <c r="CL22" s="2">
        <v>19</v>
      </c>
      <c r="CM22" s="2" t="s">
        <v>12586</v>
      </c>
      <c r="DM22" s="1192" t="s">
        <v>5719</v>
      </c>
      <c r="DN22" s="1213">
        <v>0.75</v>
      </c>
      <c r="DO22" s="1213">
        <v>0</v>
      </c>
      <c r="DP22" s="1213">
        <v>0</v>
      </c>
      <c r="DQ22" s="1213"/>
      <c r="DR22" s="1190"/>
      <c r="DS22" s="1190"/>
      <c r="DT22" s="1190"/>
      <c r="DU22" s="1190"/>
      <c r="DV22" s="1190"/>
      <c r="DW22" s="1190"/>
      <c r="DX22" s="1190"/>
      <c r="DZ22" s="1014" t="s">
        <v>15569</v>
      </c>
      <c r="EA22" s="1005">
        <v>-10</v>
      </c>
      <c r="EB22" s="1016">
        <v>1.2</v>
      </c>
      <c r="EC22" s="1016">
        <v>1</v>
      </c>
      <c r="ED22" s="1196"/>
      <c r="EE22" s="999" t="s">
        <v>15553</v>
      </c>
      <c r="EF22" s="1000" t="s">
        <v>7511</v>
      </c>
      <c r="EG22" s="1000" t="s">
        <v>7522</v>
      </c>
      <c r="EH22" s="1000" t="s">
        <v>7524</v>
      </c>
      <c r="EI22" s="1000" t="s">
        <v>15547</v>
      </c>
      <c r="EJ22" s="1196"/>
      <c r="EK22" s="1001" t="s">
        <v>15553</v>
      </c>
      <c r="EL22" s="1002" t="s">
        <v>7511</v>
      </c>
      <c r="EM22" s="1002" t="s">
        <v>7522</v>
      </c>
      <c r="EN22" s="1002" t="s">
        <v>7524</v>
      </c>
      <c r="EO22" s="1202"/>
      <c r="EP22" s="1001" t="s">
        <v>15553</v>
      </c>
      <c r="EQ22" s="1002" t="s">
        <v>7511</v>
      </c>
      <c r="ER22" s="1002" t="s">
        <v>7522</v>
      </c>
      <c r="ES22" s="1002" t="s">
        <v>7524</v>
      </c>
      <c r="ET22" s="1196"/>
      <c r="EU22" s="1012">
        <f t="shared" ca="1" si="0"/>
        <v>0.43036760545916164</v>
      </c>
      <c r="EV22" s="1012">
        <f t="shared" ca="1" si="0"/>
        <v>0.15096804393414476</v>
      </c>
      <c r="EW22" s="1012">
        <f t="shared" ca="1" si="0"/>
        <v>7.4022202670875337E-2</v>
      </c>
      <c r="EY22" s="1190"/>
      <c r="EZ22" s="1190"/>
      <c r="FA22" s="1190"/>
      <c r="FB22" s="1190"/>
      <c r="FC22" s="1190"/>
      <c r="FD22" s="1190"/>
      <c r="IQ22" s="1189"/>
      <c r="IT22" s="533">
        <v>8</v>
      </c>
      <c r="IU22" s="533" t="s">
        <v>16717</v>
      </c>
      <c r="IV22" s="1117">
        <v>8</v>
      </c>
      <c r="IW22" s="1129" t="s">
        <v>16718</v>
      </c>
      <c r="IX22" s="1117">
        <v>8</v>
      </c>
      <c r="IY22" s="1129" t="s">
        <v>16719</v>
      </c>
      <c r="IZ22" s="1117">
        <v>8</v>
      </c>
      <c r="JA22" s="1129" t="s">
        <v>16717</v>
      </c>
      <c r="JB22" s="1117">
        <v>8</v>
      </c>
      <c r="JC22" s="1129" t="s">
        <v>16720</v>
      </c>
      <c r="JD22" s="1117">
        <v>9</v>
      </c>
      <c r="JE22" s="1117" t="s">
        <v>16721</v>
      </c>
      <c r="JF22" s="1117">
        <v>9</v>
      </c>
      <c r="JG22" s="1117" t="s">
        <v>16722</v>
      </c>
      <c r="JH22" s="1117">
        <v>9</v>
      </c>
      <c r="JI22" s="1117" t="s">
        <v>16723</v>
      </c>
      <c r="JJ22" s="1153"/>
      <c r="JK22" s="1132" t="s">
        <v>16724</v>
      </c>
      <c r="JL22" s="1132">
        <v>21</v>
      </c>
      <c r="JM22" s="1120" t="s">
        <v>16725</v>
      </c>
      <c r="JN22" s="1153"/>
      <c r="JO22" s="1153"/>
      <c r="JP22" s="1117">
        <v>8</v>
      </c>
      <c r="JQ22" s="1129" t="s">
        <v>16726</v>
      </c>
      <c r="JR22" s="1153"/>
      <c r="JS22" s="1153"/>
      <c r="JT22" s="1153" t="s">
        <v>16727</v>
      </c>
      <c r="JU22" s="533"/>
      <c r="JV22" s="533"/>
      <c r="JW22" s="533"/>
      <c r="JX22" s="1121">
        <v>9</v>
      </c>
      <c r="JY22" s="1121" t="s">
        <v>16728</v>
      </c>
      <c r="JZ22" s="1121" t="s">
        <v>16729</v>
      </c>
      <c r="KA22" s="1121" t="s">
        <v>2341</v>
      </c>
      <c r="KB22" s="1122" t="s">
        <v>16730</v>
      </c>
      <c r="KC22" s="1153"/>
      <c r="KD22" s="1123" t="s">
        <v>16731</v>
      </c>
      <c r="KE22" s="1124" t="s">
        <v>16732</v>
      </c>
      <c r="KF22" s="1124" t="s">
        <v>16733</v>
      </c>
      <c r="KG22" s="1125" t="s">
        <v>16734</v>
      </c>
      <c r="KH22" s="1153"/>
      <c r="KI22" s="1130">
        <v>8</v>
      </c>
      <c r="KJ22" s="1124" t="s">
        <v>13732</v>
      </c>
      <c r="KK22" s="1124" t="s">
        <v>16735</v>
      </c>
      <c r="KL22" s="1124" t="s">
        <v>16736</v>
      </c>
      <c r="KM22" s="1124" t="s">
        <v>16662</v>
      </c>
      <c r="KN22" s="1153"/>
      <c r="KO22" s="1131" t="s">
        <v>16737</v>
      </c>
      <c r="KP22" s="1131" t="s">
        <v>16738</v>
      </c>
      <c r="KQ22" s="1153"/>
      <c r="KR22" s="547">
        <v>9</v>
      </c>
      <c r="KS22" s="550" t="s">
        <v>11302</v>
      </c>
      <c r="KT22" s="1153"/>
      <c r="KU22" s="1153" t="s">
        <v>16597</v>
      </c>
      <c r="KV22" s="24" t="s">
        <v>16739</v>
      </c>
      <c r="KW22" s="1153">
        <v>2</v>
      </c>
      <c r="KX22" s="1153"/>
      <c r="KY22" s="1153"/>
      <c r="KZ22" s="1153"/>
      <c r="LA22" s="1153"/>
      <c r="LB22" s="1153"/>
      <c r="LC22" s="1153"/>
      <c r="LD22" s="1153"/>
      <c r="LE22" s="1153"/>
      <c r="LF22" s="1153"/>
      <c r="LG22" s="1153"/>
      <c r="LH22" s="1153"/>
      <c r="LI22" s="1153"/>
      <c r="LJ22" s="1153"/>
      <c r="LK22" s="1153"/>
      <c r="LL22" s="1153"/>
      <c r="LM22" s="1153"/>
      <c r="LN22" s="1153"/>
      <c r="LO22" s="1153"/>
      <c r="LP22" s="1153"/>
      <c r="LQ22" s="1153"/>
      <c r="LR22" s="1153"/>
      <c r="LS22" s="1247"/>
      <c r="LU22" s="1153"/>
      <c r="LV22" s="1153"/>
      <c r="LW22" s="1153"/>
      <c r="LX22" s="1153"/>
      <c r="LY22" s="1153" t="s">
        <v>16869</v>
      </c>
      <c r="LZ22" s="1140">
        <v>35</v>
      </c>
      <c r="MA22" s="1153" t="s">
        <v>17159</v>
      </c>
      <c r="MB22" s="1153"/>
      <c r="MC22" s="1153"/>
      <c r="MD22" s="1153"/>
      <c r="ME22" s="1153"/>
      <c r="MF22" s="1153"/>
      <c r="MG22" s="1153"/>
      <c r="MH22" s="1153"/>
      <c r="MI22" s="1153"/>
      <c r="MJ22" s="1153"/>
      <c r="MK22" s="1153"/>
      <c r="ML22" s="1153"/>
      <c r="MM22" s="1153"/>
      <c r="MN22" s="1153"/>
      <c r="MO22" s="1153"/>
      <c r="MP22" s="1153"/>
      <c r="MQ22" s="1153"/>
      <c r="MR22" s="1153"/>
      <c r="MS22" s="1153"/>
      <c r="MT22" s="1153"/>
      <c r="MU22" s="1153"/>
      <c r="MV22" s="1153"/>
      <c r="MW22" s="1153"/>
      <c r="MX22" s="1153"/>
      <c r="MY22" s="1153"/>
      <c r="MZ22" s="1153"/>
      <c r="NA22" s="1153"/>
      <c r="NB22" s="1153"/>
      <c r="NC22" s="1153"/>
      <c r="ND22" s="1153"/>
      <c r="NE22" s="1153"/>
      <c r="NF22" s="1153"/>
      <c r="NG22" s="1153"/>
      <c r="NH22" s="1153"/>
      <c r="NI22" s="1153"/>
      <c r="NJ22" s="1153"/>
      <c r="NK22" s="1153"/>
      <c r="NL22" s="1153"/>
      <c r="NM22" s="1153"/>
      <c r="NN22" s="1153"/>
      <c r="NO22" s="1153"/>
      <c r="NP22" s="1153"/>
      <c r="NQ22" s="1153"/>
      <c r="NR22" s="1153"/>
      <c r="NS22" s="1153"/>
      <c r="NT22" s="1153"/>
      <c r="NU22" s="1153"/>
      <c r="NV22" s="1153"/>
      <c r="NW22" s="1153"/>
      <c r="NX22" s="1153"/>
      <c r="NY22" s="1153"/>
      <c r="NZ22" s="1153"/>
      <c r="OA22" s="1153"/>
      <c r="OB22" s="1153"/>
      <c r="OC22" s="1153"/>
      <c r="OD22" s="1153"/>
      <c r="OE22" s="1153"/>
      <c r="OF22" s="1153"/>
      <c r="OG22" s="1153"/>
      <c r="OH22" s="1153"/>
      <c r="OI22" s="1153"/>
      <c r="OJ22" s="1153"/>
      <c r="OS22" s="651">
        <v>16</v>
      </c>
      <c r="OT22" s="1197" t="s">
        <v>14259</v>
      </c>
      <c r="OV22" s="651">
        <v>16</v>
      </c>
      <c r="OW22" s="1259" t="s">
        <v>18382</v>
      </c>
      <c r="OY22" s="1259" t="s">
        <v>18340</v>
      </c>
      <c r="OZ22" s="1259" t="s">
        <v>18426</v>
      </c>
      <c r="PA22" s="1259" t="s">
        <v>12838</v>
      </c>
      <c r="PB22" s="1259" t="s">
        <v>18339</v>
      </c>
      <c r="PG22" s="1259" t="s">
        <v>9331</v>
      </c>
      <c r="PH22" s="1259" t="s">
        <v>18519</v>
      </c>
      <c r="PN22" s="1259" t="s">
        <v>18542</v>
      </c>
      <c r="PO22" s="1259"/>
      <c r="PS22" s="1259" t="s">
        <v>8133</v>
      </c>
      <c r="PT22" s="1259" t="s">
        <v>18558</v>
      </c>
      <c r="PY22" s="1259"/>
      <c r="PZ22" s="1259"/>
      <c r="QA22" s="1259"/>
    </row>
    <row r="23" spans="1:443" ht="18.75" thickBot="1">
      <c r="A23" s="2">
        <v>21</v>
      </c>
      <c r="B23" s="2" t="s">
        <v>1264</v>
      </c>
      <c r="C23" s="27" t="s">
        <v>1503</v>
      </c>
      <c r="D23" s="2" t="s">
        <v>1317</v>
      </c>
      <c r="E23" s="28" t="s">
        <v>1541</v>
      </c>
      <c r="G23" s="2">
        <v>21</v>
      </c>
      <c r="H23" s="2" t="s">
        <v>1503</v>
      </c>
      <c r="I23" s="2" t="s">
        <v>1541</v>
      </c>
      <c r="K23" s="2">
        <v>21</v>
      </c>
      <c r="L23" s="2" t="s">
        <v>201</v>
      </c>
      <c r="N23" s="2" t="s">
        <v>13143</v>
      </c>
      <c r="P23" s="29">
        <v>20</v>
      </c>
      <c r="Q23" s="29" t="s">
        <v>1572</v>
      </c>
      <c r="S23" s="2">
        <v>20</v>
      </c>
      <c r="T23" s="2" t="s">
        <v>1382</v>
      </c>
      <c r="V23" s="2">
        <v>20</v>
      </c>
      <c r="W23" s="2" t="s">
        <v>1404</v>
      </c>
      <c r="Z23" s="1190"/>
      <c r="AA23" s="1208" t="s">
        <v>6268</v>
      </c>
      <c r="AB23" s="1209" t="s">
        <v>7466</v>
      </c>
      <c r="AC23" s="1210">
        <v>1</v>
      </c>
      <c r="AD23" s="1210">
        <v>6</v>
      </c>
      <c r="AE23" s="1210" t="s">
        <v>1902</v>
      </c>
      <c r="AF23" s="1208" t="s">
        <v>1902</v>
      </c>
      <c r="AG23" s="1190"/>
      <c r="AN23" s="2">
        <v>0</v>
      </c>
      <c r="AO23" s="2">
        <v>0</v>
      </c>
      <c r="AQ23" s="2" t="str">
        <v/>
      </c>
      <c r="AS23" s="1190"/>
      <c r="AT23" s="1190"/>
      <c r="AU23" s="106"/>
      <c r="AV23" s="106"/>
      <c r="AW23" s="106"/>
      <c r="AX23" s="106"/>
      <c r="AY23" s="106"/>
      <c r="AZ23" s="106"/>
      <c r="BA23" s="106"/>
      <c r="BB23" s="106"/>
      <c r="BC23" s="106"/>
      <c r="BD23" s="106"/>
      <c r="BE23" s="106"/>
      <c r="BF23" s="106"/>
      <c r="BG23" s="106"/>
      <c r="BH23" s="106"/>
      <c r="BI23" s="106"/>
      <c r="BJ23" s="403"/>
      <c r="BK23" s="403"/>
      <c r="BL23" s="1191"/>
      <c r="BM23" s="1191"/>
      <c r="BV23" s="2">
        <v>1</v>
      </c>
      <c r="BW23" s="2" t="s">
        <v>1970</v>
      </c>
      <c r="BY23" s="1216" t="s">
        <v>1643</v>
      </c>
      <c r="BZ23" s="2" t="s">
        <v>1971</v>
      </c>
      <c r="CI23" s="2">
        <v>20</v>
      </c>
      <c r="CJ23" s="2" t="s">
        <v>12586</v>
      </c>
      <c r="CL23" s="2">
        <v>20</v>
      </c>
      <c r="CM23" s="2" t="s">
        <v>12586</v>
      </c>
      <c r="CV23" s="1217"/>
      <c r="DM23" s="1192" t="s">
        <v>5718</v>
      </c>
      <c r="DN23" s="1213">
        <v>0.5</v>
      </c>
      <c r="DO23" s="1213">
        <v>0</v>
      </c>
      <c r="DP23" s="1213">
        <v>0</v>
      </c>
      <c r="DQ23" s="1213"/>
      <c r="DR23" s="1190"/>
      <c r="DS23" s="1190"/>
      <c r="DT23" s="1190"/>
      <c r="DU23" s="1190"/>
      <c r="DV23" s="1190"/>
      <c r="DW23" s="1190"/>
      <c r="DX23" s="1190"/>
      <c r="DZ23" s="1196"/>
      <c r="EA23" s="1196"/>
      <c r="EB23" s="1196"/>
      <c r="EC23" s="1196"/>
      <c r="ED23" s="1196"/>
      <c r="EE23" s="1006" t="s">
        <v>7511</v>
      </c>
      <c r="EF23" s="1019">
        <v>70</v>
      </c>
      <c r="EG23" s="1019">
        <v>25</v>
      </c>
      <c r="EH23" s="1019">
        <v>5</v>
      </c>
      <c r="EI23" s="1008" t="str">
        <f>ROUND(100*EF23/SUM(EF23:EH23),0)&amp;"/"&amp;ROUND(100*EG23/SUM(EF23:EH23),0)&amp;"/"&amp;ROUND(100*EH23/SUM(EF23:EH23),0)</f>
        <v>70/25/5</v>
      </c>
      <c r="EJ23" s="1196"/>
      <c r="EK23" s="1006" t="s">
        <v>7511</v>
      </c>
      <c r="EL23" s="1013">
        <f>SUM($EE23:EE23)/SUM($EF23:$EH23)</f>
        <v>0</v>
      </c>
      <c r="EM23" s="1013">
        <f>SUM($EE23:EF23)/SUM($EF23:$EH23)</f>
        <v>0.7</v>
      </c>
      <c r="EN23" s="1013">
        <f>SUM($EE23:EG23)/SUM($EF23:$EH23)</f>
        <v>0.95</v>
      </c>
      <c r="EO23" s="1196"/>
      <c r="EP23" s="1006" t="s">
        <v>7511</v>
      </c>
      <c r="EQ23" s="1204">
        <f t="shared" ref="EQ23:ES25" si="4">EF23/SUM($EF23:$EH23)</f>
        <v>0.7</v>
      </c>
      <c r="ER23" s="1204">
        <f t="shared" si="4"/>
        <v>0.25</v>
      </c>
      <c r="ES23" s="1204">
        <f t="shared" si="4"/>
        <v>0.05</v>
      </c>
      <c r="ET23" s="1196"/>
      <c r="EU23" s="1012">
        <f t="shared" ref="EU23:EW43" ca="1" si="5">RAND()</f>
        <v>8.3431063986101006E-2</v>
      </c>
      <c r="EV23" s="1012">
        <f t="shared" ca="1" si="5"/>
        <v>0.97719020834871295</v>
      </c>
      <c r="EW23" s="1012">
        <f t="shared" ca="1" si="5"/>
        <v>0.39155884251969664</v>
      </c>
      <c r="EY23" s="1190"/>
      <c r="EZ23" s="1190"/>
      <c r="FA23" s="1190"/>
      <c r="FB23" s="1190"/>
      <c r="FC23" s="1190"/>
      <c r="FD23" s="1190"/>
      <c r="IQ23" s="1189"/>
      <c r="IT23" s="533">
        <v>9</v>
      </c>
      <c r="IU23" s="533" t="s">
        <v>16740</v>
      </c>
      <c r="IV23" s="1117">
        <v>9</v>
      </c>
      <c r="IW23" s="1129" t="s">
        <v>16741</v>
      </c>
      <c r="IX23" s="1117">
        <v>9</v>
      </c>
      <c r="IY23" s="1129" t="s">
        <v>16742</v>
      </c>
      <c r="IZ23" s="1117">
        <v>9</v>
      </c>
      <c r="JA23" s="1129" t="s">
        <v>16740</v>
      </c>
      <c r="JB23" s="1117">
        <v>9</v>
      </c>
      <c r="JC23" s="1129" t="s">
        <v>16743</v>
      </c>
      <c r="JD23" s="1117">
        <v>10</v>
      </c>
      <c r="JE23" s="1117" t="s">
        <v>16744</v>
      </c>
      <c r="JF23" s="1117">
        <v>10</v>
      </c>
      <c r="JG23" s="1117" t="s">
        <v>16745</v>
      </c>
      <c r="JH23" s="1117">
        <v>10</v>
      </c>
      <c r="JI23" s="1117" t="s">
        <v>16746</v>
      </c>
      <c r="JJ23" s="1153"/>
      <c r="JK23" s="1132">
        <v>24</v>
      </c>
      <c r="JL23" s="1132">
        <v>23</v>
      </c>
      <c r="JM23" s="1120" t="s">
        <v>16747</v>
      </c>
      <c r="JN23" s="1153"/>
      <c r="JO23" s="1153"/>
      <c r="JP23" s="1117">
        <v>9</v>
      </c>
      <c r="JQ23" s="1129" t="s">
        <v>16748</v>
      </c>
      <c r="JR23" s="1153"/>
      <c r="JS23" s="1153"/>
      <c r="JT23" s="1153" t="s">
        <v>16749</v>
      </c>
      <c r="JU23" s="533"/>
      <c r="JV23" s="533"/>
      <c r="JW23" s="533"/>
      <c r="JX23" s="1121">
        <v>10</v>
      </c>
      <c r="JY23" s="1121" t="s">
        <v>16750</v>
      </c>
      <c r="JZ23" s="1121" t="s">
        <v>16751</v>
      </c>
      <c r="KA23" s="1121" t="s">
        <v>3609</v>
      </c>
      <c r="KB23" s="1122" t="s">
        <v>16752</v>
      </c>
      <c r="KC23" s="1153"/>
      <c r="KD23" s="1133" t="s">
        <v>16753</v>
      </c>
      <c r="KE23" s="1134" t="s">
        <v>16754</v>
      </c>
      <c r="KF23" s="1134" t="s">
        <v>16755</v>
      </c>
      <c r="KG23" s="1135" t="s">
        <v>16756</v>
      </c>
      <c r="KH23" s="1153"/>
      <c r="KI23" s="1130">
        <v>9</v>
      </c>
      <c r="KJ23" s="1124" t="s">
        <v>16757</v>
      </c>
      <c r="KK23" s="1124" t="s">
        <v>13302</v>
      </c>
      <c r="KL23" s="1124" t="s">
        <v>16758</v>
      </c>
      <c r="KM23" s="1124" t="s">
        <v>16662</v>
      </c>
      <c r="KN23" s="1153"/>
      <c r="KO23" s="1131" t="s">
        <v>16759</v>
      </c>
      <c r="KP23" s="1131" t="s">
        <v>16760</v>
      </c>
      <c r="KQ23" s="1153"/>
      <c r="KR23" s="547">
        <v>10</v>
      </c>
      <c r="KS23" s="550" t="s">
        <v>16761</v>
      </c>
      <c r="KT23" s="1153"/>
      <c r="KU23" s="1153" t="s">
        <v>16597</v>
      </c>
      <c r="KV23" s="1153" t="s">
        <v>16762</v>
      </c>
      <c r="KW23" s="1153">
        <v>3</v>
      </c>
      <c r="KX23" s="1153"/>
      <c r="KY23" s="1153"/>
      <c r="KZ23" s="1153"/>
      <c r="LA23" s="1153"/>
      <c r="LB23" s="1153"/>
      <c r="LC23" s="1153"/>
      <c r="LD23" s="1153"/>
      <c r="LE23" s="1153"/>
      <c r="LF23" s="1153"/>
      <c r="LG23" s="1153"/>
      <c r="LH23" s="1153"/>
      <c r="LI23" s="1153"/>
      <c r="LJ23" s="1153"/>
      <c r="LK23" s="1153"/>
      <c r="LL23" s="1153"/>
      <c r="LM23" s="1153"/>
      <c r="LN23" s="1153"/>
      <c r="LO23" s="1153"/>
      <c r="LP23" s="1153"/>
      <c r="LQ23" s="1153"/>
      <c r="LR23" s="1153"/>
      <c r="LS23" s="1247"/>
      <c r="LU23" s="1153"/>
      <c r="LV23" s="1153"/>
      <c r="LW23" s="1153"/>
      <c r="LX23" s="1153"/>
      <c r="LY23" s="1153" t="s">
        <v>12816</v>
      </c>
      <c r="LZ23" s="1140">
        <v>38</v>
      </c>
      <c r="MA23" s="1153" t="s">
        <v>17160</v>
      </c>
      <c r="MB23" s="1153"/>
      <c r="MC23" s="1153"/>
      <c r="MD23" s="1153"/>
      <c r="ME23" s="1153"/>
      <c r="MF23" s="1153"/>
      <c r="MG23" s="1153"/>
      <c r="MH23" s="1153"/>
      <c r="MI23" s="1153"/>
      <c r="MJ23" s="1153"/>
      <c r="MK23" s="1153"/>
      <c r="ML23" s="1153"/>
      <c r="MM23" s="1153"/>
      <c r="MN23" s="1153"/>
      <c r="MO23" s="1153"/>
      <c r="MP23" s="1153"/>
      <c r="MQ23" s="1153"/>
      <c r="MR23" s="1153"/>
      <c r="MS23" s="1153"/>
      <c r="MT23" s="1153"/>
      <c r="MU23" s="1153"/>
      <c r="MV23" s="1153"/>
      <c r="MW23" s="1153"/>
      <c r="MX23" s="1153"/>
      <c r="MY23" s="1153"/>
      <c r="MZ23" s="1153"/>
      <c r="NA23" s="1153"/>
      <c r="NB23" s="1153"/>
      <c r="NC23" s="1153"/>
      <c r="ND23" s="1153"/>
      <c r="NE23" s="1153"/>
      <c r="NF23" s="1153"/>
      <c r="NG23" s="1153"/>
      <c r="NH23" s="1153"/>
      <c r="NI23" s="1153"/>
      <c r="NJ23" s="1153"/>
      <c r="NK23" s="1153"/>
      <c r="NL23" s="1153"/>
      <c r="NM23" s="1153"/>
      <c r="NN23" s="1153"/>
      <c r="NO23" s="1153"/>
      <c r="NP23" s="1153"/>
      <c r="NQ23" s="1153"/>
      <c r="NR23" s="1153"/>
      <c r="NS23" s="1153"/>
      <c r="NT23" s="1153"/>
      <c r="NU23" s="1153"/>
      <c r="NV23" s="1153"/>
      <c r="NW23" s="1153"/>
      <c r="NX23" s="1153"/>
      <c r="NY23" s="1153"/>
      <c r="NZ23" s="1153"/>
      <c r="OA23" s="1153"/>
      <c r="OB23" s="1153"/>
      <c r="OC23" s="1153"/>
      <c r="OD23" s="1153"/>
      <c r="OE23" s="1153"/>
      <c r="OF23" s="1153"/>
      <c r="OG23" s="1153"/>
      <c r="OH23" s="1153"/>
      <c r="OI23" s="1153"/>
      <c r="OJ23" s="1153"/>
      <c r="OS23" s="651">
        <v>17</v>
      </c>
      <c r="OT23" s="1197" t="s">
        <v>18342</v>
      </c>
      <c r="OV23" s="651">
        <v>17</v>
      </c>
      <c r="OW23" s="1259" t="s">
        <v>18383</v>
      </c>
      <c r="OY23" s="1259" t="s">
        <v>12838</v>
      </c>
      <c r="OZ23" s="1259" t="s">
        <v>18427</v>
      </c>
      <c r="PA23" s="1259" t="s">
        <v>18341</v>
      </c>
      <c r="PB23" s="1259" t="s">
        <v>18469</v>
      </c>
      <c r="PG23" s="1259" t="s">
        <v>9300</v>
      </c>
      <c r="PH23" s="1259" t="s">
        <v>18520</v>
      </c>
      <c r="PN23" s="1259" t="s">
        <v>18543</v>
      </c>
      <c r="PO23" s="1259"/>
      <c r="PS23" s="1259" t="s">
        <v>12737</v>
      </c>
      <c r="PT23" s="1259" t="s">
        <v>18559</v>
      </c>
      <c r="PY23" s="1259" t="s">
        <v>18617</v>
      </c>
      <c r="PZ23" s="1259"/>
      <c r="QA23" s="1259"/>
    </row>
    <row r="24" spans="1:443" ht="18.75" thickBot="1">
      <c r="A24" s="2">
        <v>22</v>
      </c>
      <c r="B24" s="2" t="s">
        <v>1265</v>
      </c>
      <c r="C24" s="27" t="s">
        <v>1504</v>
      </c>
      <c r="D24" s="2" t="s">
        <v>1318</v>
      </c>
      <c r="E24" s="28" t="s">
        <v>1542</v>
      </c>
      <c r="G24" s="2">
        <v>22</v>
      </c>
      <c r="H24" s="2" t="s">
        <v>1504</v>
      </c>
      <c r="I24" s="2" t="s">
        <v>1542</v>
      </c>
      <c r="K24" s="2">
        <v>22</v>
      </c>
      <c r="L24" s="2" t="s">
        <v>401</v>
      </c>
      <c r="N24" s="2" t="s">
        <v>13144</v>
      </c>
      <c r="P24" s="29">
        <v>21</v>
      </c>
      <c r="Q24" s="29" t="s">
        <v>542</v>
      </c>
      <c r="V24" s="2">
        <v>21</v>
      </c>
      <c r="W24" s="2" t="s">
        <v>1405</v>
      </c>
      <c r="Z24" s="1190"/>
      <c r="AA24" s="1208" t="s">
        <v>7468</v>
      </c>
      <c r="AB24" s="1209" t="s">
        <v>7466</v>
      </c>
      <c r="AC24" s="1210">
        <v>1</v>
      </c>
      <c r="AD24" s="1210">
        <v>20</v>
      </c>
      <c r="AE24" s="1210" t="s">
        <v>7445</v>
      </c>
      <c r="AF24" s="1208" t="s">
        <v>1902</v>
      </c>
      <c r="AG24" s="1190"/>
      <c r="AN24" s="2">
        <v>0</v>
      </c>
      <c r="AO24" s="2">
        <v>0</v>
      </c>
      <c r="AQ24" s="2" t="str">
        <v/>
      </c>
      <c r="AS24" s="1190"/>
      <c r="AT24" s="1190"/>
      <c r="AU24" s="106"/>
      <c r="AV24" s="106"/>
      <c r="AW24" s="106"/>
      <c r="AX24" s="106"/>
      <c r="AY24" s="106"/>
      <c r="AZ24" s="106"/>
      <c r="BA24" s="106"/>
      <c r="BB24" s="106"/>
      <c r="BC24" s="106"/>
      <c r="BD24" s="106"/>
      <c r="BE24" s="106"/>
      <c r="BF24" s="106"/>
      <c r="BG24" s="106"/>
      <c r="BH24" s="106"/>
      <c r="BI24" s="106"/>
      <c r="BJ24" s="403"/>
      <c r="BK24" s="405"/>
      <c r="BL24" s="1191"/>
      <c r="BM24" s="1191"/>
      <c r="BN24" s="2" t="s">
        <v>1643</v>
      </c>
      <c r="BO24" s="2" t="s">
        <v>1940</v>
      </c>
      <c r="BQ24" s="60" t="s">
        <v>1643</v>
      </c>
      <c r="BR24" s="2" t="s">
        <v>1988</v>
      </c>
      <c r="BV24" s="2">
        <v>2</v>
      </c>
      <c r="BW24" s="2" t="s">
        <v>1971</v>
      </c>
      <c r="BX24" s="610" t="str" cm="1">
        <f t="array" aca="1" ref="BX24" ca="1">INDEX(Таблиця24[[#All],[2. Caravan]],RANDBETWEEN(1,2),1)</f>
        <v>1. Commercial</v>
      </c>
      <c r="BY24" s="2">
        <v>1</v>
      </c>
      <c r="BZ24" s="2" t="s">
        <v>1972</v>
      </c>
      <c r="DM24" s="1192" t="s">
        <v>5717</v>
      </c>
      <c r="DN24" s="1213">
        <v>0.25</v>
      </c>
      <c r="DO24" s="1213">
        <v>0</v>
      </c>
      <c r="DP24" s="1213">
        <v>0</v>
      </c>
      <c r="DQ24" s="1213"/>
      <c r="DR24" s="1190"/>
      <c r="DS24" s="1190"/>
      <c r="DT24" s="1190"/>
      <c r="DU24" s="1190"/>
      <c r="DV24" s="1190"/>
      <c r="DW24" s="1190"/>
      <c r="DX24" s="1190"/>
      <c r="DZ24" s="1194" t="s">
        <v>15570</v>
      </c>
      <c r="EA24" s="1194" t="s">
        <v>15571</v>
      </c>
      <c r="EB24" s="1194" t="s">
        <v>15555</v>
      </c>
      <c r="EC24" s="1194" t="s">
        <v>15572</v>
      </c>
      <c r="ED24" s="1196"/>
      <c r="EE24" s="1000" t="s">
        <v>7522</v>
      </c>
      <c r="EF24" s="1020">
        <v>50</v>
      </c>
      <c r="EG24" s="1020">
        <v>35</v>
      </c>
      <c r="EH24" s="1020">
        <v>15</v>
      </c>
      <c r="EI24" s="1008" t="str">
        <f>ROUND(100*EF24/SUM(EF24:EH24),0)&amp;"/"&amp;ROUND(100*EG24/SUM(EF24:EH24),0)&amp;"/"&amp;ROUND(100*EH24/SUM(EF24:EH24),0)</f>
        <v>50/35/15</v>
      </c>
      <c r="EJ24" s="1196"/>
      <c r="EK24" s="1000" t="s">
        <v>7522</v>
      </c>
      <c r="EL24" s="1212">
        <f>SUM($EE24:EE24)/SUM($EF24:$EH24)</f>
        <v>0</v>
      </c>
      <c r="EM24" s="1212">
        <f>SUM($EE24:EF24)/SUM($EF24:$EH24)</f>
        <v>0.5</v>
      </c>
      <c r="EN24" s="1212">
        <f>SUM($EE24:EG24)/SUM($EF24:$EH24)</f>
        <v>0.85</v>
      </c>
      <c r="EO24" s="1196"/>
      <c r="EP24" s="1000" t="s">
        <v>7522</v>
      </c>
      <c r="EQ24" s="1204">
        <f t="shared" si="4"/>
        <v>0.5</v>
      </c>
      <c r="ER24" s="1204">
        <f t="shared" si="4"/>
        <v>0.35</v>
      </c>
      <c r="ES24" s="1204">
        <f t="shared" si="4"/>
        <v>0.15</v>
      </c>
      <c r="ET24" s="1196"/>
      <c r="EU24" s="1012">
        <f t="shared" ca="1" si="5"/>
        <v>0.15694339124425405</v>
      </c>
      <c r="EV24" s="1012">
        <f t="shared" ca="1" si="5"/>
        <v>0.12933732812108822</v>
      </c>
      <c r="EW24" s="1012">
        <f t="shared" ca="1" si="5"/>
        <v>0.61338544600077693</v>
      </c>
      <c r="EY24" s="1190"/>
      <c r="EZ24" s="1190"/>
      <c r="FA24" s="1190"/>
      <c r="FB24" s="1190"/>
      <c r="FC24" s="1190"/>
      <c r="FD24" s="1190"/>
      <c r="IQ24" s="1189"/>
      <c r="IT24" s="533">
        <v>10</v>
      </c>
      <c r="IU24" s="533" t="s">
        <v>16763</v>
      </c>
      <c r="IV24" s="1117">
        <v>10</v>
      </c>
      <c r="IW24" s="1129" t="s">
        <v>8868</v>
      </c>
      <c r="IX24" s="1117">
        <v>10</v>
      </c>
      <c r="IY24" s="1129" t="s">
        <v>16764</v>
      </c>
      <c r="IZ24" s="1117">
        <v>10</v>
      </c>
      <c r="JA24" s="1129" t="s">
        <v>16763</v>
      </c>
      <c r="JB24" s="1117">
        <v>10</v>
      </c>
      <c r="JC24" s="1129" t="s">
        <v>16765</v>
      </c>
      <c r="JD24" s="1117">
        <v>11</v>
      </c>
      <c r="JE24" s="1117" t="s">
        <v>16766</v>
      </c>
      <c r="JF24" s="1117">
        <v>11</v>
      </c>
      <c r="JG24" s="1117" t="s">
        <v>16767</v>
      </c>
      <c r="JH24" s="1117">
        <v>11</v>
      </c>
      <c r="JI24" s="1117" t="s">
        <v>16768</v>
      </c>
      <c r="JJ24" s="1153"/>
      <c r="JK24" s="1132" t="s">
        <v>12688</v>
      </c>
      <c r="JL24" s="1132">
        <v>24</v>
      </c>
      <c r="JM24" s="1120" t="s">
        <v>16769</v>
      </c>
      <c r="JN24" s="1153"/>
      <c r="JO24" s="1153"/>
      <c r="JP24" s="1117">
        <v>10</v>
      </c>
      <c r="JQ24" s="1129" t="s">
        <v>16770</v>
      </c>
      <c r="JR24" s="1153"/>
      <c r="JS24" s="1153"/>
      <c r="JT24" s="1153" t="s">
        <v>16771</v>
      </c>
      <c r="JU24" s="533"/>
      <c r="JV24" s="533"/>
      <c r="JW24" s="533"/>
      <c r="JX24" s="1121">
        <v>11</v>
      </c>
      <c r="JY24" s="1121" t="s">
        <v>16772</v>
      </c>
      <c r="JZ24" s="1121" t="s">
        <v>16773</v>
      </c>
      <c r="KA24" s="1121" t="s">
        <v>2858</v>
      </c>
      <c r="KB24" s="1122" t="s">
        <v>16774</v>
      </c>
      <c r="KC24" s="1153"/>
      <c r="KD24" s="1153"/>
      <c r="KE24" s="1153"/>
      <c r="KF24" s="1153"/>
      <c r="KG24" s="1153"/>
      <c r="KH24" s="1153"/>
      <c r="KI24" s="1130">
        <v>10</v>
      </c>
      <c r="KJ24" s="1124" t="s">
        <v>16775</v>
      </c>
      <c r="KK24" s="1124" t="s">
        <v>16776</v>
      </c>
      <c r="KL24" s="1124" t="s">
        <v>16777</v>
      </c>
      <c r="KM24" s="1124" t="s">
        <v>16662</v>
      </c>
      <c r="KN24" s="1153"/>
      <c r="KO24" s="1131" t="s">
        <v>16778</v>
      </c>
      <c r="KP24" s="1131" t="s">
        <v>16779</v>
      </c>
      <c r="KQ24" s="1153"/>
      <c r="KR24" s="547">
        <v>11</v>
      </c>
      <c r="KS24" s="550" t="s">
        <v>6814</v>
      </c>
      <c r="KT24" s="1153"/>
      <c r="KU24" s="1153"/>
      <c r="KV24" s="1153"/>
      <c r="KW24" s="1153"/>
      <c r="KX24" s="1153"/>
      <c r="KY24" s="1153"/>
      <c r="KZ24" s="1153"/>
      <c r="LA24" s="1153"/>
      <c r="LB24" s="1153"/>
      <c r="LC24" s="1153"/>
      <c r="LD24" s="1153"/>
      <c r="LE24" s="1153"/>
      <c r="LF24" s="1153"/>
      <c r="LG24" s="1153"/>
      <c r="LH24" s="1153"/>
      <c r="LI24" s="1153"/>
      <c r="LJ24" s="1153"/>
      <c r="LK24" s="1153"/>
      <c r="LL24" s="1153"/>
      <c r="LM24" s="1153"/>
      <c r="LN24" s="1153"/>
      <c r="LO24" s="1153"/>
      <c r="LP24" s="1153"/>
      <c r="LQ24" s="1153"/>
      <c r="LR24" s="1153"/>
      <c r="LS24" s="1247"/>
      <c r="LU24" s="1153"/>
      <c r="LV24" s="1153"/>
      <c r="LW24" s="1153"/>
      <c r="LX24" s="1153"/>
      <c r="LY24" s="1153" t="s">
        <v>17161</v>
      </c>
      <c r="LZ24" s="1140">
        <v>41</v>
      </c>
      <c r="MA24" s="1153" t="s">
        <v>17162</v>
      </c>
      <c r="MB24" s="1153"/>
      <c r="MC24" s="1153"/>
      <c r="MD24" s="1153"/>
      <c r="ME24" s="1153"/>
      <c r="MF24" s="1153"/>
      <c r="MG24" s="1153"/>
      <c r="MH24" s="1153"/>
      <c r="MI24" s="1153"/>
      <c r="MJ24" s="1153"/>
      <c r="MK24" s="1153"/>
      <c r="ML24" s="1153"/>
      <c r="MM24" s="1153"/>
      <c r="MN24" s="1153"/>
      <c r="MO24" s="1153"/>
      <c r="MP24" s="1153"/>
      <c r="MQ24" s="1153"/>
      <c r="MR24" s="1153"/>
      <c r="MS24" s="1153"/>
      <c r="MT24" s="1153"/>
      <c r="MU24" s="1153"/>
      <c r="MV24" s="1153"/>
      <c r="MW24" s="1153"/>
      <c r="MX24" s="1153"/>
      <c r="MY24" s="1153"/>
      <c r="MZ24" s="1153"/>
      <c r="NA24" s="1153"/>
      <c r="NB24" s="1153"/>
      <c r="NC24" s="1153"/>
      <c r="ND24" s="1153"/>
      <c r="NE24" s="1153"/>
      <c r="NF24" s="1153"/>
      <c r="NG24" s="1153"/>
      <c r="NH24" s="1153"/>
      <c r="NI24" s="1153"/>
      <c r="NJ24" s="1153"/>
      <c r="NK24" s="1153"/>
      <c r="NL24" s="1153"/>
      <c r="NM24" s="1153"/>
      <c r="NN24" s="1153"/>
      <c r="NO24" s="1153"/>
      <c r="NP24" s="1153"/>
      <c r="NQ24" s="1153"/>
      <c r="NR24" s="1153"/>
      <c r="NS24" s="1153"/>
      <c r="NT24" s="1153"/>
      <c r="NU24" s="1153"/>
      <c r="NV24" s="1153"/>
      <c r="NW24" s="1153"/>
      <c r="NX24" s="1153"/>
      <c r="NY24" s="1153"/>
      <c r="NZ24" s="1153"/>
      <c r="OA24" s="1153"/>
      <c r="OB24" s="1153"/>
      <c r="OC24" s="1153"/>
      <c r="OD24" s="1153"/>
      <c r="OE24" s="1153"/>
      <c r="OF24" s="1153"/>
      <c r="OG24" s="1153"/>
      <c r="OH24" s="1153"/>
      <c r="OI24" s="1153"/>
      <c r="OJ24" s="1153"/>
      <c r="OS24" s="651">
        <v>18</v>
      </c>
      <c r="OT24" s="1197" t="s">
        <v>18343</v>
      </c>
      <c r="OV24" s="651">
        <v>18</v>
      </c>
      <c r="OW24" s="1259" t="s">
        <v>18384</v>
      </c>
      <c r="OY24" s="1259" t="s">
        <v>18341</v>
      </c>
      <c r="OZ24" s="1259" t="s">
        <v>18428</v>
      </c>
      <c r="PA24" s="1259" t="s">
        <v>12737</v>
      </c>
      <c r="PB24" s="1259" t="s">
        <v>18470</v>
      </c>
      <c r="PG24" s="1259" t="s">
        <v>9303</v>
      </c>
      <c r="PH24" s="1259" t="s">
        <v>18521</v>
      </c>
      <c r="PS24" s="1259" t="s">
        <v>12738</v>
      </c>
      <c r="PT24" s="1259" t="s">
        <v>18560</v>
      </c>
      <c r="PY24" s="1259" t="s">
        <v>18530</v>
      </c>
      <c r="PZ24" s="1259" t="s">
        <v>18618</v>
      </c>
      <c r="QA24" s="1259" t="s">
        <v>18619</v>
      </c>
    </row>
    <row r="25" spans="1:443" ht="40.5" thickBot="1">
      <c r="A25" s="2">
        <v>23</v>
      </c>
      <c r="B25" s="2" t="s">
        <v>1266</v>
      </c>
      <c r="C25" s="27" t="s">
        <v>1268</v>
      </c>
      <c r="D25" s="2" t="s">
        <v>1319</v>
      </c>
      <c r="E25" s="28" t="s">
        <v>1543</v>
      </c>
      <c r="G25" s="2">
        <v>23</v>
      </c>
      <c r="H25" s="2" t="s">
        <v>1268</v>
      </c>
      <c r="I25" s="2" t="s">
        <v>1543</v>
      </c>
      <c r="K25" s="2">
        <v>23</v>
      </c>
      <c r="L25" s="2" t="s">
        <v>402</v>
      </c>
      <c r="N25" s="2" t="s">
        <v>13145</v>
      </c>
      <c r="P25" s="29">
        <v>22</v>
      </c>
      <c r="Q25" s="29" t="s">
        <v>568</v>
      </c>
      <c r="V25" s="2">
        <v>22</v>
      </c>
      <c r="W25" s="2" t="s">
        <v>1406</v>
      </c>
      <c r="Z25" s="1190"/>
      <c r="AA25" s="1208" t="s">
        <v>7467</v>
      </c>
      <c r="AB25" s="1209" t="s">
        <v>7466</v>
      </c>
      <c r="AC25" s="1210">
        <v>1</v>
      </c>
      <c r="AD25" s="1210">
        <v>50</v>
      </c>
      <c r="AE25" s="1210" t="s">
        <v>7445</v>
      </c>
      <c r="AF25" s="1208" t="s">
        <v>1902</v>
      </c>
      <c r="AG25" s="1190"/>
      <c r="AN25" s="2">
        <v>0</v>
      </c>
      <c r="AO25" s="2">
        <v>0</v>
      </c>
      <c r="AQ25" s="2" t="str">
        <v/>
      </c>
      <c r="AS25" s="1190"/>
      <c r="AT25" s="1190"/>
      <c r="AU25" s="106"/>
      <c r="AV25" s="106"/>
      <c r="AW25" s="106"/>
      <c r="AX25" s="106"/>
      <c r="AY25" s="106"/>
      <c r="AZ25" s="106"/>
      <c r="BA25" s="106"/>
      <c r="BB25" s="106"/>
      <c r="BC25" s="106"/>
      <c r="BD25" s="106"/>
      <c r="BE25" s="106"/>
      <c r="BF25" s="106"/>
      <c r="BG25" s="106"/>
      <c r="BH25" s="106"/>
      <c r="BI25" s="106"/>
      <c r="BJ25" s="403"/>
      <c r="BK25" s="403"/>
      <c r="BL25" s="1191"/>
      <c r="BM25" s="1191"/>
      <c r="BN25" s="2">
        <v>1</v>
      </c>
      <c r="BO25" s="2" t="s">
        <v>1941</v>
      </c>
      <c r="BQ25" s="2">
        <v>1</v>
      </c>
      <c r="BR25" s="2" t="s">
        <v>1989</v>
      </c>
      <c r="BV25" s="2">
        <v>3</v>
      </c>
      <c r="BW25" s="2" t="s">
        <v>1974</v>
      </c>
      <c r="BY25" s="2">
        <v>2</v>
      </c>
      <c r="BZ25" s="2" t="s">
        <v>1973</v>
      </c>
      <c r="CI25" s="598" t="s">
        <v>15311</v>
      </c>
      <c r="CL25" s="598" t="s">
        <v>12611</v>
      </c>
      <c r="CO25" s="598" t="s">
        <v>12619</v>
      </c>
      <c r="CR25" s="598" t="s">
        <v>12647</v>
      </c>
      <c r="CX25" s="598" t="s">
        <v>12724</v>
      </c>
      <c r="DM25" s="1192" t="s">
        <v>5716</v>
      </c>
      <c r="DN25" s="1213">
        <v>0.75</v>
      </c>
      <c r="DO25" s="1213">
        <v>0</v>
      </c>
      <c r="DP25" s="1213">
        <v>0</v>
      </c>
      <c r="DQ25" s="1213"/>
      <c r="DR25" s="1190"/>
      <c r="DS25" s="1190"/>
      <c r="DT25" s="1190"/>
      <c r="DU25" s="1190"/>
      <c r="DV25" s="1190"/>
      <c r="DW25" s="1190"/>
      <c r="DX25" s="1190"/>
      <c r="DZ25" s="1014" t="s">
        <v>15573</v>
      </c>
      <c r="EA25" s="998">
        <v>10</v>
      </c>
      <c r="EB25" s="1015">
        <v>2</v>
      </c>
      <c r="EC25" s="1015">
        <v>1.8</v>
      </c>
      <c r="ED25" s="1196"/>
      <c r="EE25" s="1006" t="s">
        <v>7524</v>
      </c>
      <c r="EF25" s="1019">
        <v>40</v>
      </c>
      <c r="EG25" s="1019">
        <v>30</v>
      </c>
      <c r="EH25" s="1019">
        <v>30</v>
      </c>
      <c r="EI25" s="1008" t="str">
        <f>ROUND(100*EF25/SUM(EF25:EH25),0)&amp;"/"&amp;ROUND(100*EG25/SUM(EF25:EH25),0)&amp;"/"&amp;ROUND(100*EH25/SUM(EF25:EH25),0)</f>
        <v>40/30/30</v>
      </c>
      <c r="EJ25" s="1196"/>
      <c r="EK25" s="1006" t="s">
        <v>7524</v>
      </c>
      <c r="EL25" s="1212">
        <f>SUM($EE25:EE25)/SUM($EF25:$EH25)</f>
        <v>0</v>
      </c>
      <c r="EM25" s="1212">
        <f>SUM($EE25:EF25)/SUM($EF25:$EH25)</f>
        <v>0.4</v>
      </c>
      <c r="EN25" s="1212">
        <f>SUM($EE25:EG25)/SUM($EF25:$EH25)</f>
        <v>0.7</v>
      </c>
      <c r="EO25" s="1196"/>
      <c r="EP25" s="1006" t="s">
        <v>7524</v>
      </c>
      <c r="EQ25" s="1204">
        <f t="shared" si="4"/>
        <v>0.4</v>
      </c>
      <c r="ER25" s="1204">
        <f t="shared" si="4"/>
        <v>0.3</v>
      </c>
      <c r="ES25" s="1204">
        <f t="shared" si="4"/>
        <v>0.3</v>
      </c>
      <c r="ET25" s="1196"/>
      <c r="EU25" s="1012">
        <f t="shared" ca="1" si="5"/>
        <v>0.1771972874310288</v>
      </c>
      <c r="EV25" s="1012">
        <f t="shared" ca="1" si="5"/>
        <v>0.25901338273910568</v>
      </c>
      <c r="EW25" s="1012">
        <f t="shared" ca="1" si="5"/>
        <v>0.68727719498053463</v>
      </c>
      <c r="EY25" s="1190"/>
      <c r="EZ25" s="1190"/>
      <c r="FA25" s="1190"/>
      <c r="FB25" s="1190"/>
      <c r="FC25" s="1190"/>
      <c r="FD25" s="1190"/>
      <c r="IQ25" s="1189"/>
      <c r="IT25" s="1153"/>
      <c r="IU25" s="1153"/>
      <c r="IV25" s="1117">
        <v>11</v>
      </c>
      <c r="IW25" s="1129" t="s">
        <v>16780</v>
      </c>
      <c r="IX25" s="1117">
        <v>11</v>
      </c>
      <c r="IY25" s="1129" t="s">
        <v>16781</v>
      </c>
      <c r="IZ25" s="1153"/>
      <c r="JA25" s="1153"/>
      <c r="JB25" s="1117">
        <v>11</v>
      </c>
      <c r="JC25" s="1129" t="s">
        <v>16782</v>
      </c>
      <c r="JD25" s="1117">
        <v>12</v>
      </c>
      <c r="JE25" s="1117" t="s">
        <v>16783</v>
      </c>
      <c r="JF25" s="1117">
        <v>12</v>
      </c>
      <c r="JG25" s="1117" t="s">
        <v>16784</v>
      </c>
      <c r="JH25" s="1117">
        <v>12</v>
      </c>
      <c r="JI25" s="1117" t="s">
        <v>16785</v>
      </c>
      <c r="JJ25" s="1153"/>
      <c r="JK25" s="1132">
        <v>28</v>
      </c>
      <c r="JL25" s="1132">
        <v>27</v>
      </c>
      <c r="JM25" s="1120" t="s">
        <v>16786</v>
      </c>
      <c r="JN25" s="1153"/>
      <c r="JO25" s="1153"/>
      <c r="JP25" s="1117">
        <v>11</v>
      </c>
      <c r="JQ25" s="1129" t="s">
        <v>16787</v>
      </c>
      <c r="JR25" s="1153"/>
      <c r="JS25" s="1153"/>
      <c r="JT25" s="1153" t="s">
        <v>16788</v>
      </c>
      <c r="JU25" s="533"/>
      <c r="JV25" s="533"/>
      <c r="JW25" s="533"/>
      <c r="JX25" s="1121">
        <v>12</v>
      </c>
      <c r="JY25" s="1121" t="s">
        <v>16789</v>
      </c>
      <c r="JZ25" s="1121" t="s">
        <v>16790</v>
      </c>
      <c r="KA25" s="1121" t="s">
        <v>3824</v>
      </c>
      <c r="KB25" s="1122" t="s">
        <v>16791</v>
      </c>
      <c r="KC25" s="1153"/>
      <c r="KD25" s="1153"/>
      <c r="KE25" s="1153"/>
      <c r="KF25" s="1153"/>
      <c r="KG25" s="1153"/>
      <c r="KH25" s="1153"/>
      <c r="KI25" s="1130">
        <v>11</v>
      </c>
      <c r="KJ25" s="1124" t="s">
        <v>16792</v>
      </c>
      <c r="KK25" s="1130" t="s">
        <v>10228</v>
      </c>
      <c r="KL25" s="1124" t="s">
        <v>16793</v>
      </c>
      <c r="KM25" s="1124" t="s">
        <v>16794</v>
      </c>
      <c r="KN25" s="1153"/>
      <c r="KO25" s="1131" t="s">
        <v>16795</v>
      </c>
      <c r="KP25" s="1131" t="s">
        <v>16796</v>
      </c>
      <c r="KQ25" s="1153"/>
      <c r="KR25" s="547">
        <v>12</v>
      </c>
      <c r="KS25" s="550" t="s">
        <v>16797</v>
      </c>
      <c r="KT25" s="1153"/>
      <c r="KU25" s="1153" t="s">
        <v>16798</v>
      </c>
      <c r="KV25" s="1153"/>
      <c r="KW25" s="1153"/>
      <c r="KX25" s="1153"/>
      <c r="KY25" s="1153"/>
      <c r="KZ25" s="1153"/>
      <c r="LA25" s="1153"/>
      <c r="LB25" s="1153"/>
      <c r="LC25" s="1153"/>
      <c r="LD25" s="1153"/>
      <c r="LE25" s="1153"/>
      <c r="LF25" s="1153"/>
      <c r="LG25" s="1153"/>
      <c r="LH25" s="1153"/>
      <c r="LI25" s="1153"/>
      <c r="LJ25" s="1153"/>
      <c r="LK25" s="1153"/>
      <c r="LL25" s="1153"/>
      <c r="LM25" s="1153"/>
      <c r="LN25" s="1153"/>
      <c r="LO25" s="1153"/>
      <c r="LP25" s="1153"/>
      <c r="LQ25" s="1153"/>
      <c r="LR25" s="1153"/>
      <c r="LS25" s="1247"/>
      <c r="LU25" s="1153"/>
      <c r="LV25" s="1153"/>
      <c r="LW25" s="1153"/>
      <c r="LX25" s="1153"/>
      <c r="LY25" s="1153" t="s">
        <v>17163</v>
      </c>
      <c r="LZ25" s="1140">
        <v>43</v>
      </c>
      <c r="MA25" s="1153" t="s">
        <v>17164</v>
      </c>
      <c r="MB25" s="1153"/>
      <c r="MC25" s="1153"/>
      <c r="MD25" s="1153"/>
      <c r="ME25" s="1153"/>
      <c r="MF25" s="1153"/>
      <c r="MG25" s="1153"/>
      <c r="MH25" s="1153"/>
      <c r="MI25" s="1153"/>
      <c r="MJ25" s="1153"/>
      <c r="MK25" s="1153"/>
      <c r="ML25" s="1153"/>
      <c r="MM25" s="1153"/>
      <c r="MN25" s="1153"/>
      <c r="MO25" s="1153"/>
      <c r="MP25" s="1153"/>
      <c r="MQ25" s="1153"/>
      <c r="MR25" s="1153"/>
      <c r="MS25" s="1153"/>
      <c r="MT25" s="1153"/>
      <c r="MU25" s="1153"/>
      <c r="MV25" s="1153"/>
      <c r="MW25" s="1153"/>
      <c r="MX25" s="1153"/>
      <c r="MY25" s="1153"/>
      <c r="MZ25" s="1153"/>
      <c r="NA25" s="1153"/>
      <c r="NB25" s="1153"/>
      <c r="NC25" s="1153"/>
      <c r="ND25" s="1153"/>
      <c r="NE25" s="1153"/>
      <c r="NF25" s="1153"/>
      <c r="NG25" s="1153"/>
      <c r="NH25" s="1153"/>
      <c r="NI25" s="1153"/>
      <c r="NJ25" s="1153"/>
      <c r="NK25" s="1153"/>
      <c r="NL25" s="1153"/>
      <c r="NM25" s="1153"/>
      <c r="NN25" s="1153"/>
      <c r="NO25" s="1153"/>
      <c r="NP25" s="1153"/>
      <c r="NQ25" s="1153"/>
      <c r="NR25" s="1153"/>
      <c r="NS25" s="1153"/>
      <c r="NT25" s="1153"/>
      <c r="NU25" s="1153"/>
      <c r="NV25" s="1153"/>
      <c r="NW25" s="1153"/>
      <c r="NX25" s="1153"/>
      <c r="NY25" s="1153"/>
      <c r="NZ25" s="1153"/>
      <c r="OA25" s="1153"/>
      <c r="OB25" s="1153"/>
      <c r="OC25" s="1153"/>
      <c r="OD25" s="1153"/>
      <c r="OE25" s="1153"/>
      <c r="OF25" s="1153"/>
      <c r="OG25" s="1153"/>
      <c r="OH25" s="1153"/>
      <c r="OI25" s="1153"/>
      <c r="OJ25" s="1153"/>
      <c r="OS25" s="651">
        <v>19</v>
      </c>
      <c r="OT25" s="1197" t="s">
        <v>5692</v>
      </c>
      <c r="OV25" s="651">
        <v>19</v>
      </c>
      <c r="OW25" s="1259" t="s">
        <v>18385</v>
      </c>
      <c r="OY25" s="1259" t="s">
        <v>12737</v>
      </c>
      <c r="OZ25" s="1259" t="s">
        <v>18429</v>
      </c>
      <c r="PA25" s="1259" t="s">
        <v>12738</v>
      </c>
      <c r="PB25" s="1259" t="s">
        <v>7922</v>
      </c>
      <c r="PG25" s="1259" t="s">
        <v>9155</v>
      </c>
      <c r="PH25" s="1259" t="s">
        <v>18522</v>
      </c>
      <c r="PS25" s="1259" t="s">
        <v>12840</v>
      </c>
      <c r="PT25" s="1259" t="s">
        <v>18561</v>
      </c>
      <c r="PY25" s="1259">
        <v>1</v>
      </c>
      <c r="PZ25" s="1259" t="s">
        <v>18620</v>
      </c>
      <c r="QA25" s="1259" t="s">
        <v>18620</v>
      </c>
    </row>
    <row r="26" spans="1:443" ht="19.5" thickTop="1" thickBot="1">
      <c r="A26" s="2">
        <v>24</v>
      </c>
      <c r="B26" s="2" t="s">
        <v>1267</v>
      </c>
      <c r="C26" s="27" t="s">
        <v>1505</v>
      </c>
      <c r="D26" s="2" t="s">
        <v>1320</v>
      </c>
      <c r="E26" s="28" t="s">
        <v>1326</v>
      </c>
      <c r="G26" s="2">
        <v>24</v>
      </c>
      <c r="H26" s="2" t="s">
        <v>1505</v>
      </c>
      <c r="I26" s="2" t="s">
        <v>1326</v>
      </c>
      <c r="K26" s="2">
        <v>24</v>
      </c>
      <c r="L26" s="2" t="s">
        <v>403</v>
      </c>
      <c r="N26" s="2" t="s">
        <v>13146</v>
      </c>
      <c r="P26" s="29">
        <v>23</v>
      </c>
      <c r="Q26" s="29" t="s">
        <v>1573</v>
      </c>
      <c r="V26" s="2">
        <v>23</v>
      </c>
      <c r="W26" s="2" t="s">
        <v>1407</v>
      </c>
      <c r="Z26" s="1190"/>
      <c r="AA26" s="1208" t="s">
        <v>7465</v>
      </c>
      <c r="AB26" s="1209" t="s">
        <v>7464</v>
      </c>
      <c r="AC26" s="1210">
        <v>1</v>
      </c>
      <c r="AD26" s="1210">
        <v>20</v>
      </c>
      <c r="AE26" s="1210" t="s">
        <v>7445</v>
      </c>
      <c r="AF26" s="1208" t="s">
        <v>1902</v>
      </c>
      <c r="AG26" s="1190"/>
      <c r="AN26" s="2">
        <v>0</v>
      </c>
      <c r="AO26" s="2">
        <v>0</v>
      </c>
      <c r="AQ26" s="2" t="str">
        <v/>
      </c>
      <c r="AS26" s="1190"/>
      <c r="AT26" s="1190"/>
      <c r="AU26" s="106"/>
      <c r="AV26" s="106"/>
      <c r="AW26" s="106"/>
      <c r="AX26" s="106"/>
      <c r="AY26" s="106"/>
      <c r="AZ26" s="106"/>
      <c r="BA26" s="106"/>
      <c r="BB26" s="106"/>
      <c r="BC26" s="106"/>
      <c r="BD26" s="106"/>
      <c r="BE26" s="106"/>
      <c r="BF26" s="106"/>
      <c r="BG26" s="106"/>
      <c r="BH26" s="106"/>
      <c r="BI26" s="106"/>
      <c r="BJ26" s="403"/>
      <c r="BK26" s="403"/>
      <c r="BL26" s="1191"/>
      <c r="BM26" s="1191"/>
      <c r="BN26" s="2">
        <v>2</v>
      </c>
      <c r="BO26" s="2" t="s">
        <v>1942</v>
      </c>
      <c r="BQ26" s="2">
        <v>2</v>
      </c>
      <c r="BR26" s="2" t="s">
        <v>1990</v>
      </c>
      <c r="BV26" s="2">
        <v>4</v>
      </c>
      <c r="BW26" s="2" t="s">
        <v>1975</v>
      </c>
      <c r="DM26" s="1192" t="s">
        <v>5715</v>
      </c>
      <c r="DN26" s="1213">
        <v>0.5</v>
      </c>
      <c r="DO26" s="1213">
        <v>0</v>
      </c>
      <c r="DP26" s="1213">
        <v>0</v>
      </c>
      <c r="DQ26" s="1213"/>
      <c r="DR26" s="1190"/>
      <c r="DS26" s="1190"/>
      <c r="DT26" s="1190"/>
      <c r="DU26" s="1190"/>
      <c r="DV26" s="1190"/>
      <c r="DW26" s="1190"/>
      <c r="DX26" s="1190"/>
      <c r="DZ26" s="1014" t="s">
        <v>15574</v>
      </c>
      <c r="EA26" s="1005">
        <v>55</v>
      </c>
      <c r="EB26" s="1016">
        <v>1.5</v>
      </c>
      <c r="EC26" s="1016">
        <v>1.9</v>
      </c>
      <c r="ED26" s="1196"/>
      <c r="EE26" s="1196" t="s">
        <v>15552</v>
      </c>
      <c r="EF26" s="1214">
        <f t="array" ref="EF26:EH26">MMULT(MMULT(MMULT(MMULT(MMULT(EQ23:ES25,EQ23:ES25),MMULT(EQ23:ES25,EQ23:ES25)),MMULT(MMULT(EQ23:ES25,EQ23:ES25),MMULT(EQ23:ES25,EQ23:ES25))),MMULT(MMULT(MMULT(EQ23:ES25,EQ23:ES25),MMULT(EQ23:ES25,EQ23:ES25)),MMULT(MMULT(EQ23:ES25,EQ23:ES25),MMULT(EQ23:ES25,EQ23:ES25)))),MMULT(MMULT(MMULT(MMULT(EQ23:ES25,EQ23:ES25),MMULT(EQ23:ES25,EQ23:ES25)),MMULT(MMULT(EQ23:ES25,EQ23:ES25),MMULT(EQ23:ES25,EQ23:ES25))),MMULT(MMULT(MMULT(EQ23:ES25,EQ23:ES25),MMULT(EQ23:ES25,EQ23:ES25)),MMULT(MMULT(EQ23:ES25,EQ23:ES25),MMULT(EQ23:ES25,EQ23:ES25)))))</f>
        <v>0.61194029850746245</v>
      </c>
      <c r="EG26" s="1214">
        <v>0.28358208955223863</v>
      </c>
      <c r="EH26" s="1214">
        <v>0.10447761194029848</v>
      </c>
      <c r="EI26" s="1196"/>
      <c r="EJ26" s="1196"/>
      <c r="EK26" s="1196"/>
      <c r="EL26" s="1219"/>
      <c r="EM26" s="1219"/>
      <c r="EN26" s="1219"/>
      <c r="EO26" s="1196"/>
      <c r="EP26" s="1196"/>
      <c r="EQ26" s="1196"/>
      <c r="ER26" s="1196"/>
      <c r="ES26" s="1196"/>
      <c r="ET26" s="1196"/>
      <c r="EU26" s="1003">
        <f t="shared" ca="1" si="5"/>
        <v>5.8056612626355975E-2</v>
      </c>
      <c r="EV26" s="1003">
        <f t="shared" ca="1" si="5"/>
        <v>0.49063466902244324</v>
      </c>
      <c r="EW26" s="1003">
        <f t="shared" ca="1" si="5"/>
        <v>0.9875138140244325</v>
      </c>
      <c r="EY26" s="1190"/>
      <c r="EZ26" s="1190"/>
      <c r="FA26" s="1190"/>
      <c r="FB26" s="1190"/>
      <c r="FC26" s="1190"/>
      <c r="FD26" s="1190"/>
      <c r="IQ26" s="1189"/>
      <c r="IT26" s="1153"/>
      <c r="IU26" s="1153"/>
      <c r="IV26" s="1117">
        <v>12</v>
      </c>
      <c r="IW26" s="1129" t="s">
        <v>16799</v>
      </c>
      <c r="IX26" s="1117">
        <v>12</v>
      </c>
      <c r="IY26" s="1129" t="s">
        <v>16800</v>
      </c>
      <c r="IZ26" s="1153"/>
      <c r="JA26" s="1153"/>
      <c r="JB26" s="1117">
        <v>12</v>
      </c>
      <c r="JC26" s="1129" t="s">
        <v>16801</v>
      </c>
      <c r="JD26" s="1117">
        <v>13</v>
      </c>
      <c r="JE26" s="1117" t="s">
        <v>16802</v>
      </c>
      <c r="JF26" s="1117">
        <v>13</v>
      </c>
      <c r="JG26" s="1117" t="s">
        <v>16803</v>
      </c>
      <c r="JH26" s="1117">
        <v>13</v>
      </c>
      <c r="JI26" s="1117" t="s">
        <v>16804</v>
      </c>
      <c r="JJ26" s="1153"/>
      <c r="JK26" s="1132">
        <v>29</v>
      </c>
      <c r="JL26" s="1132">
        <v>28</v>
      </c>
      <c r="JM26" s="1120" t="s">
        <v>16805</v>
      </c>
      <c r="JN26" s="1153"/>
      <c r="JO26" s="1153"/>
      <c r="JP26" s="1117">
        <v>12</v>
      </c>
      <c r="JQ26" s="1129" t="s">
        <v>16806</v>
      </c>
      <c r="JR26" s="1153"/>
      <c r="JS26" s="1153"/>
      <c r="JT26" s="1153" t="s">
        <v>16807</v>
      </c>
      <c r="JU26" s="533"/>
      <c r="JV26" s="533"/>
      <c r="JW26" s="533"/>
      <c r="JX26" s="1121">
        <v>13</v>
      </c>
      <c r="JY26" s="1121" t="s">
        <v>14231</v>
      </c>
      <c r="JZ26" s="1121" t="s">
        <v>7007</v>
      </c>
      <c r="KA26" s="1121" t="s">
        <v>16808</v>
      </c>
      <c r="KB26" s="1122" t="s">
        <v>6253</v>
      </c>
      <c r="KC26" s="1153"/>
      <c r="KD26" s="1153"/>
      <c r="KE26" s="1153"/>
      <c r="KF26" s="1153"/>
      <c r="KG26" s="1153"/>
      <c r="KH26" s="1153"/>
      <c r="KI26" s="1130">
        <v>12</v>
      </c>
      <c r="KJ26" s="1124" t="s">
        <v>16809</v>
      </c>
      <c r="KK26" s="1124" t="s">
        <v>10226</v>
      </c>
      <c r="KL26" s="1124" t="s">
        <v>9030</v>
      </c>
      <c r="KM26" s="1124" t="s">
        <v>16794</v>
      </c>
      <c r="KN26" s="1153"/>
      <c r="KO26" s="1131" t="s">
        <v>16810</v>
      </c>
      <c r="KP26" s="1131" t="s">
        <v>16811</v>
      </c>
      <c r="KQ26" s="1153"/>
      <c r="KR26" s="547">
        <v>13</v>
      </c>
      <c r="KS26" s="550" t="s">
        <v>16812</v>
      </c>
      <c r="KT26" s="1153"/>
      <c r="KU26" s="1153" t="s">
        <v>16813</v>
      </c>
      <c r="KV26" s="1153"/>
      <c r="KW26" s="1153"/>
      <c r="KX26" s="1153"/>
      <c r="KY26" s="1153"/>
      <c r="KZ26" s="1153"/>
      <c r="LA26" s="1153"/>
      <c r="LB26" s="1153"/>
      <c r="LC26" s="1153"/>
      <c r="LD26" s="1153"/>
      <c r="LE26" s="1153"/>
      <c r="LF26" s="1153"/>
      <c r="LG26" s="1153"/>
      <c r="LH26" s="1153"/>
      <c r="LI26" s="1153"/>
      <c r="LJ26" s="1153"/>
      <c r="LK26" s="1153"/>
      <c r="LL26" s="1153"/>
      <c r="LM26" s="1153"/>
      <c r="LN26" s="1153"/>
      <c r="LO26" s="1153"/>
      <c r="LP26" s="1153"/>
      <c r="LQ26" s="1153"/>
      <c r="LR26" s="1153"/>
      <c r="LS26" s="1247"/>
      <c r="LU26" s="1153"/>
      <c r="LV26" s="1153"/>
      <c r="LW26" s="1153"/>
      <c r="LX26" s="1153"/>
      <c r="LY26" s="1153" t="s">
        <v>9139</v>
      </c>
      <c r="LZ26" s="1140">
        <v>46</v>
      </c>
      <c r="MA26" s="1153" t="s">
        <v>17165</v>
      </c>
      <c r="MB26" s="1153"/>
      <c r="MC26" s="1153"/>
      <c r="MD26" s="1153"/>
      <c r="ME26" s="1153"/>
      <c r="MF26" s="1153"/>
      <c r="MG26" s="1153"/>
      <c r="MH26" s="1153"/>
      <c r="MI26" s="1153"/>
      <c r="MJ26" s="1153"/>
      <c r="MK26" s="1153"/>
      <c r="ML26" s="1153"/>
      <c r="MM26" s="1153"/>
      <c r="MN26" s="1153"/>
      <c r="MO26" s="1153"/>
      <c r="MP26" s="1153"/>
      <c r="MQ26" s="1153"/>
      <c r="MR26" s="1153"/>
      <c r="MS26" s="1153"/>
      <c r="MT26" s="1153"/>
      <c r="MU26" s="1153"/>
      <c r="MV26" s="1153"/>
      <c r="MW26" s="1153"/>
      <c r="MX26" s="1153"/>
      <c r="MY26" s="1153"/>
      <c r="MZ26" s="1153"/>
      <c r="NA26" s="1153"/>
      <c r="NB26" s="1153"/>
      <c r="NC26" s="1153"/>
      <c r="ND26" s="1153"/>
      <c r="NE26" s="1153"/>
      <c r="NF26" s="1153"/>
      <c r="NG26" s="1153"/>
      <c r="NH26" s="1153"/>
      <c r="NI26" s="1153"/>
      <c r="NJ26" s="1153"/>
      <c r="NK26" s="1153"/>
      <c r="NL26" s="1153"/>
      <c r="NM26" s="1153"/>
      <c r="NN26" s="1153"/>
      <c r="NO26" s="1153"/>
      <c r="NP26" s="1153"/>
      <c r="NQ26" s="1153"/>
      <c r="NR26" s="1153"/>
      <c r="NS26" s="1153"/>
      <c r="NT26" s="1153"/>
      <c r="NU26" s="1153"/>
      <c r="NV26" s="1153"/>
      <c r="NW26" s="1153"/>
      <c r="NX26" s="1153"/>
      <c r="NY26" s="1153"/>
      <c r="NZ26" s="1153"/>
      <c r="OA26" s="1153"/>
      <c r="OB26" s="1153"/>
      <c r="OC26" s="1153"/>
      <c r="OD26" s="1153"/>
      <c r="OE26" s="1153"/>
      <c r="OF26" s="1153"/>
      <c r="OG26" s="1153"/>
      <c r="OH26" s="1153"/>
      <c r="OI26" s="1153"/>
      <c r="OJ26" s="1153"/>
      <c r="OS26" s="651">
        <v>20</v>
      </c>
      <c r="OT26" s="1197" t="s">
        <v>18344</v>
      </c>
      <c r="OV26" s="651">
        <v>20</v>
      </c>
      <c r="OW26" s="1259" t="s">
        <v>18386</v>
      </c>
      <c r="OY26" s="1259" t="s">
        <v>12738</v>
      </c>
      <c r="OZ26" s="1259" t="s">
        <v>18430</v>
      </c>
      <c r="PA26" s="1259" t="s">
        <v>12840</v>
      </c>
      <c r="PB26" s="1259" t="s">
        <v>13691</v>
      </c>
      <c r="PG26" s="1259" t="s">
        <v>9338</v>
      </c>
      <c r="PH26" s="1259" t="s">
        <v>18523</v>
      </c>
      <c r="PS26" s="1259">
        <v>37</v>
      </c>
      <c r="PT26" s="1259" t="s">
        <v>18562</v>
      </c>
      <c r="PY26" s="1259">
        <v>2</v>
      </c>
      <c r="PZ26" s="1259" t="s">
        <v>12111</v>
      </c>
      <c r="QA26" s="1259" t="s">
        <v>18620</v>
      </c>
    </row>
    <row r="27" spans="1:443" ht="18.75" thickBot="1">
      <c r="A27" s="2">
        <v>25</v>
      </c>
      <c r="B27" s="2" t="s">
        <v>1268</v>
      </c>
      <c r="C27" s="27" t="s">
        <v>1271</v>
      </c>
      <c r="D27" s="2" t="s">
        <v>1321</v>
      </c>
      <c r="E27" s="28" t="s">
        <v>1544</v>
      </c>
      <c r="G27" s="2">
        <v>25</v>
      </c>
      <c r="H27" s="2" t="s">
        <v>1271</v>
      </c>
      <c r="I27" s="2" t="s">
        <v>1544</v>
      </c>
      <c r="K27" s="2">
        <v>25</v>
      </c>
      <c r="L27" s="2" t="s">
        <v>405</v>
      </c>
      <c r="N27" s="2" t="s">
        <v>13147</v>
      </c>
      <c r="P27" s="29">
        <v>24</v>
      </c>
      <c r="Q27" s="29" t="s">
        <v>569</v>
      </c>
      <c r="V27" s="2">
        <v>24</v>
      </c>
      <c r="W27" s="2" t="s">
        <v>1408</v>
      </c>
      <c r="Z27" s="1190"/>
      <c r="AA27" s="1208" t="s">
        <v>7463</v>
      </c>
      <c r="AB27" s="1209" t="s">
        <v>7462</v>
      </c>
      <c r="AC27" s="1210">
        <v>0.5</v>
      </c>
      <c r="AD27" s="1210">
        <v>30</v>
      </c>
      <c r="AE27" s="1210" t="s">
        <v>1902</v>
      </c>
      <c r="AF27" s="1208" t="s">
        <v>1902</v>
      </c>
      <c r="AG27" s="1190"/>
      <c r="AN27" s="2">
        <v>0</v>
      </c>
      <c r="AO27" s="2">
        <v>0</v>
      </c>
      <c r="AQ27" s="2" t="str">
        <v/>
      </c>
      <c r="AS27" s="1190"/>
      <c r="AT27" s="1190"/>
      <c r="AU27" s="106"/>
      <c r="AV27" s="106"/>
      <c r="AW27" s="106"/>
      <c r="AX27" s="106"/>
      <c r="AY27" s="106"/>
      <c r="AZ27" s="106"/>
      <c r="BA27" s="106"/>
      <c r="BB27" s="106"/>
      <c r="BC27" s="106"/>
      <c r="BD27" s="106"/>
      <c r="BE27" s="106"/>
      <c r="BF27" s="106"/>
      <c r="BG27" s="106"/>
      <c r="BH27" s="106"/>
      <c r="BI27" s="106"/>
      <c r="BJ27" s="403"/>
      <c r="BK27" s="403"/>
      <c r="BL27" s="1191"/>
      <c r="BM27" s="1191"/>
      <c r="BN27" s="2">
        <v>3</v>
      </c>
      <c r="BO27" s="2" t="s">
        <v>1943</v>
      </c>
      <c r="BQ27" s="2">
        <v>3</v>
      </c>
      <c r="BR27" s="2" t="s">
        <v>1991</v>
      </c>
      <c r="BV27" s="2">
        <v>5</v>
      </c>
      <c r="BW27" s="2" t="s">
        <v>1976</v>
      </c>
      <c r="CI27" s="2" t="s">
        <v>12583</v>
      </c>
      <c r="CJ27" s="2" t="s">
        <v>551</v>
      </c>
      <c r="CL27" s="2" t="s">
        <v>12583</v>
      </c>
      <c r="CM27" s="2" t="s">
        <v>551</v>
      </c>
      <c r="CO27" s="2" t="s">
        <v>12583</v>
      </c>
      <c r="CP27" s="2" t="s">
        <v>551</v>
      </c>
      <c r="CR27" s="2" t="s">
        <v>12583</v>
      </c>
      <c r="CS27" s="2" t="s">
        <v>551</v>
      </c>
      <c r="CU27" s="2" t="s">
        <v>12680</v>
      </c>
      <c r="CV27" s="2" t="s">
        <v>7930</v>
      </c>
      <c r="CX27" s="2" t="s">
        <v>7930</v>
      </c>
      <c r="CY27" s="2" t="s">
        <v>12725</v>
      </c>
      <c r="CZ27" s="2" t="s">
        <v>12726</v>
      </c>
      <c r="DM27" s="1190"/>
      <c r="DN27" s="1190"/>
      <c r="DO27" s="1190"/>
      <c r="DP27" s="1190"/>
      <c r="DQ27" s="1190"/>
      <c r="DR27" s="1190"/>
      <c r="DS27" s="1190"/>
      <c r="DT27" s="1190"/>
      <c r="DU27" s="1190"/>
      <c r="DV27" s="1190"/>
      <c r="DW27" s="1190"/>
      <c r="DX27" s="1190"/>
      <c r="DZ27" s="1014" t="s">
        <v>5736</v>
      </c>
      <c r="EA27" s="998">
        <v>80</v>
      </c>
      <c r="EB27" s="1015">
        <v>0.3</v>
      </c>
      <c r="EC27" s="1015">
        <v>1.6</v>
      </c>
      <c r="ED27" s="1196"/>
      <c r="EE27" s="1196"/>
      <c r="EF27" s="1196"/>
      <c r="EG27" s="1196"/>
      <c r="EH27" s="1196"/>
      <c r="EI27" s="1196"/>
      <c r="EJ27" s="1196"/>
      <c r="EK27" s="1196"/>
      <c r="EL27" s="1196"/>
      <c r="EM27" s="1196"/>
      <c r="EN27" s="1196"/>
      <c r="EO27" s="1196"/>
      <c r="EP27" s="1196"/>
      <c r="EQ27" s="1196"/>
      <c r="ER27" s="1196"/>
      <c r="ES27" s="1196"/>
      <c r="ET27" s="1196"/>
      <c r="EU27" s="1003">
        <f t="shared" ca="1" si="5"/>
        <v>0.23031647804525801</v>
      </c>
      <c r="EV27" s="1003">
        <f t="shared" ca="1" si="5"/>
        <v>0.1932466871926809</v>
      </c>
      <c r="EW27" s="1003">
        <f t="shared" ca="1" si="5"/>
        <v>0.25005168164025082</v>
      </c>
      <c r="EY27" s="1190"/>
      <c r="EZ27" s="1190"/>
      <c r="FA27" s="1190"/>
      <c r="FB27" s="1190"/>
      <c r="FC27" s="1190"/>
      <c r="FD27" s="1190"/>
      <c r="IQ27" s="1189"/>
      <c r="IT27" s="1153"/>
      <c r="IU27" s="1153"/>
      <c r="IV27" s="1117">
        <v>13</v>
      </c>
      <c r="IW27" s="1129" t="s">
        <v>16814</v>
      </c>
      <c r="IX27" s="1117">
        <v>13</v>
      </c>
      <c r="IY27" s="1129" t="s">
        <v>16815</v>
      </c>
      <c r="IZ27" s="1153"/>
      <c r="JA27" s="1153"/>
      <c r="JB27" s="1153"/>
      <c r="JC27" s="1153"/>
      <c r="JD27" s="1117">
        <v>14</v>
      </c>
      <c r="JE27" s="1117" t="s">
        <v>16816</v>
      </c>
      <c r="JF27" s="1117">
        <v>14</v>
      </c>
      <c r="JG27" s="1117" t="s">
        <v>16817</v>
      </c>
      <c r="JH27" s="1117">
        <v>14</v>
      </c>
      <c r="JI27" s="1117" t="s">
        <v>16818</v>
      </c>
      <c r="JJ27" s="1153"/>
      <c r="JK27" s="1132" t="s">
        <v>16819</v>
      </c>
      <c r="JL27" s="1132">
        <v>29</v>
      </c>
      <c r="JM27" s="1120" t="s">
        <v>16820</v>
      </c>
      <c r="JN27" s="1153"/>
      <c r="JO27" s="1153"/>
      <c r="JP27" s="1117">
        <v>13</v>
      </c>
      <c r="JQ27" s="1129" t="s">
        <v>16821</v>
      </c>
      <c r="JR27" s="1153"/>
      <c r="JS27" s="1153"/>
      <c r="JT27" s="1153" t="s">
        <v>16822</v>
      </c>
      <c r="JU27" s="533"/>
      <c r="JV27" s="533"/>
      <c r="JW27" s="533"/>
      <c r="JX27" s="1121">
        <v>14</v>
      </c>
      <c r="JY27" s="1121" t="s">
        <v>694</v>
      </c>
      <c r="JZ27" s="1121" t="s">
        <v>16823</v>
      </c>
      <c r="KA27" s="1121" t="s">
        <v>16824</v>
      </c>
      <c r="KB27" s="1122" t="s">
        <v>14117</v>
      </c>
      <c r="KC27" s="1153"/>
      <c r="KD27" s="1153"/>
      <c r="KE27" s="1153"/>
      <c r="KF27" s="1153"/>
      <c r="KG27" s="1153"/>
      <c r="KH27" s="1153"/>
      <c r="KI27" s="1130">
        <v>13</v>
      </c>
      <c r="KJ27" s="1124" t="s">
        <v>7347</v>
      </c>
      <c r="KK27" s="1124" t="s">
        <v>7377</v>
      </c>
      <c r="KL27" s="1124" t="s">
        <v>16825</v>
      </c>
      <c r="KM27" s="1124" t="s">
        <v>16826</v>
      </c>
      <c r="KN27" s="1153"/>
      <c r="KO27" s="1131" t="s">
        <v>16827</v>
      </c>
      <c r="KP27" s="1131" t="s">
        <v>16828</v>
      </c>
      <c r="KQ27" s="1153"/>
      <c r="KR27" s="547">
        <v>14</v>
      </c>
      <c r="KS27" s="550" t="s">
        <v>16829</v>
      </c>
      <c r="KT27" s="1153"/>
      <c r="KU27" s="1153"/>
      <c r="KV27" s="1153"/>
      <c r="KW27" s="1153"/>
      <c r="KX27" s="1153"/>
      <c r="KY27" s="1153"/>
      <c r="KZ27" s="1153"/>
      <c r="LA27" s="1153"/>
      <c r="LB27" s="1153"/>
      <c r="LC27" s="1153"/>
      <c r="LD27" s="1153"/>
      <c r="LE27" s="1153"/>
      <c r="LF27" s="1153"/>
      <c r="LG27" s="1153"/>
      <c r="LH27" s="1153"/>
      <c r="LI27" s="1153"/>
      <c r="LJ27" s="1153"/>
      <c r="LK27" s="1153"/>
      <c r="LL27" s="1153"/>
      <c r="LM27" s="1153"/>
      <c r="LN27" s="1153"/>
      <c r="LO27" s="1153"/>
      <c r="LP27" s="1153"/>
      <c r="LQ27" s="1153"/>
      <c r="LR27" s="1153"/>
      <c r="LS27" s="1247"/>
      <c r="LU27" s="1153"/>
      <c r="LV27" s="1153"/>
      <c r="LW27" s="1153"/>
      <c r="LX27" s="1153"/>
      <c r="LY27" s="1153" t="s">
        <v>17166</v>
      </c>
      <c r="LZ27" s="1140">
        <v>48</v>
      </c>
      <c r="MA27" s="1153" t="s">
        <v>17167</v>
      </c>
      <c r="MB27" s="1153"/>
      <c r="MC27" s="1153"/>
      <c r="MD27" s="1153"/>
      <c r="ME27" s="1153"/>
      <c r="MF27" s="1153"/>
      <c r="MG27" s="1153"/>
      <c r="MH27" s="1153"/>
      <c r="MI27" s="1153"/>
      <c r="MJ27" s="1153"/>
      <c r="MK27" s="1153"/>
      <c r="ML27" s="1153"/>
      <c r="MM27" s="1153"/>
      <c r="MN27" s="1153"/>
      <c r="MO27" s="1153"/>
      <c r="MP27" s="1153"/>
      <c r="MQ27" s="1153"/>
      <c r="MR27" s="1153"/>
      <c r="MS27" s="1153"/>
      <c r="MT27" s="1153"/>
      <c r="MU27" s="1153"/>
      <c r="MV27" s="1153"/>
      <c r="MW27" s="1153"/>
      <c r="MX27" s="1153"/>
      <c r="MY27" s="1153"/>
      <c r="MZ27" s="1153"/>
      <c r="NA27" s="1153"/>
      <c r="NB27" s="1153"/>
      <c r="NC27" s="1153"/>
      <c r="ND27" s="1153"/>
      <c r="NE27" s="1153"/>
      <c r="NF27" s="1153"/>
      <c r="NG27" s="1153"/>
      <c r="NH27" s="1153"/>
      <c r="NI27" s="1153"/>
      <c r="NJ27" s="1153"/>
      <c r="NK27" s="1153"/>
      <c r="NL27" s="1153"/>
      <c r="NM27" s="1153"/>
      <c r="NN27" s="1153"/>
      <c r="NO27" s="1153"/>
      <c r="NP27" s="1153"/>
      <c r="NQ27" s="1153"/>
      <c r="NR27" s="1153"/>
      <c r="NS27" s="1153"/>
      <c r="NT27" s="1153"/>
      <c r="NU27" s="1153"/>
      <c r="NV27" s="1153"/>
      <c r="NW27" s="1153"/>
      <c r="NX27" s="1153"/>
      <c r="NY27" s="1153"/>
      <c r="NZ27" s="1153"/>
      <c r="OA27" s="1153"/>
      <c r="OB27" s="1153"/>
      <c r="OC27" s="1153"/>
      <c r="OD27" s="1153"/>
      <c r="OE27" s="1153"/>
      <c r="OF27" s="1153"/>
      <c r="OG27" s="1153"/>
      <c r="OH27" s="1153"/>
      <c r="OI27" s="1153"/>
      <c r="OJ27" s="1153"/>
      <c r="OS27" s="651">
        <v>21</v>
      </c>
      <c r="OT27" s="1197" t="s">
        <v>18346</v>
      </c>
      <c r="OV27" s="651">
        <v>21</v>
      </c>
      <c r="OW27" s="1259" t="s">
        <v>18387</v>
      </c>
      <c r="OY27" s="1259" t="s">
        <v>12840</v>
      </c>
      <c r="OZ27" s="1259" t="s">
        <v>18431</v>
      </c>
      <c r="PA27" s="1259" t="s">
        <v>12815</v>
      </c>
      <c r="PB27" s="1259" t="s">
        <v>688</v>
      </c>
      <c r="PG27" s="1259" t="s">
        <v>15835</v>
      </c>
      <c r="PH27" s="1259" t="s">
        <v>18524</v>
      </c>
      <c r="PS27" s="1259" t="s">
        <v>12697</v>
      </c>
      <c r="PT27" s="1259" t="s">
        <v>18563</v>
      </c>
      <c r="PY27" s="1259">
        <v>3</v>
      </c>
      <c r="PZ27" s="1259" t="s">
        <v>18621</v>
      </c>
      <c r="QA27" s="1259" t="s">
        <v>18622</v>
      </c>
    </row>
    <row r="28" spans="1:443" ht="18.75" thickBot="1">
      <c r="A28" s="2">
        <v>26</v>
      </c>
      <c r="B28" s="2" t="s">
        <v>1269</v>
      </c>
      <c r="C28" s="27" t="s">
        <v>1506</v>
      </c>
      <c r="D28" s="2" t="s">
        <v>1322</v>
      </c>
      <c r="E28" s="28" t="s">
        <v>1545</v>
      </c>
      <c r="G28" s="2">
        <v>26</v>
      </c>
      <c r="H28" s="2" t="s">
        <v>1506</v>
      </c>
      <c r="I28" s="2" t="s">
        <v>1545</v>
      </c>
      <c r="K28" s="2">
        <v>26</v>
      </c>
      <c r="L28" s="2" t="s">
        <v>406</v>
      </c>
      <c r="N28" s="2" t="s">
        <v>13148</v>
      </c>
      <c r="P28" s="29">
        <v>25</v>
      </c>
      <c r="Q28" s="29" t="s">
        <v>1574</v>
      </c>
      <c r="V28" s="2">
        <v>25</v>
      </c>
      <c r="W28" s="2" t="s">
        <v>1409</v>
      </c>
      <c r="Z28" s="1190"/>
      <c r="AA28" s="1208" t="s">
        <v>7461</v>
      </c>
      <c r="AB28" s="1209" t="s">
        <v>7460</v>
      </c>
      <c r="AC28" s="1210">
        <v>8</v>
      </c>
      <c r="AD28" s="1210">
        <v>60</v>
      </c>
      <c r="AE28" s="1210" t="s">
        <v>1902</v>
      </c>
      <c r="AF28" s="1208" t="s">
        <v>1902</v>
      </c>
      <c r="AG28" s="1190"/>
      <c r="AN28" s="2">
        <v>0</v>
      </c>
      <c r="AO28" s="2">
        <v>0</v>
      </c>
      <c r="AQ28" s="2" t="str">
        <v/>
      </c>
      <c r="AS28" s="1190"/>
      <c r="AT28" s="1190"/>
      <c r="AU28" s="106"/>
      <c r="AV28" s="106"/>
      <c r="AW28" s="106"/>
      <c r="AX28" s="106"/>
      <c r="AY28" s="106"/>
      <c r="AZ28" s="106"/>
      <c r="BA28" s="106"/>
      <c r="BB28" s="106"/>
      <c r="BC28" s="106"/>
      <c r="BD28" s="106"/>
      <c r="BE28" s="106"/>
      <c r="BF28" s="106"/>
      <c r="BG28" s="106"/>
      <c r="BH28" s="106"/>
      <c r="BI28" s="106"/>
      <c r="BJ28" s="403"/>
      <c r="BK28" s="403"/>
      <c r="BL28" s="1191"/>
      <c r="BM28" s="1191"/>
      <c r="BN28" s="2">
        <v>4</v>
      </c>
      <c r="BO28" s="2" t="s">
        <v>1944</v>
      </c>
      <c r="BQ28" s="2">
        <v>4</v>
      </c>
      <c r="BR28" s="2" t="s">
        <v>1992</v>
      </c>
      <c r="BV28" s="2">
        <v>6</v>
      </c>
      <c r="BW28" s="2" t="s">
        <v>1977</v>
      </c>
      <c r="CI28" s="2">
        <v>2</v>
      </c>
      <c r="CJ28" s="2" t="s">
        <v>12602</v>
      </c>
      <c r="CL28" s="2">
        <v>2</v>
      </c>
      <c r="CM28" s="2" t="s">
        <v>2496</v>
      </c>
      <c r="CO28" s="2">
        <v>2</v>
      </c>
      <c r="CP28" s="2" t="s">
        <v>12602</v>
      </c>
      <c r="CR28" s="2">
        <v>2</v>
      </c>
      <c r="CS28" s="2" t="s">
        <v>12648</v>
      </c>
      <c r="CU28" s="1218">
        <v>44013</v>
      </c>
      <c r="CV28" s="2" t="s">
        <v>12681</v>
      </c>
      <c r="CX28" s="2" t="s">
        <v>12727</v>
      </c>
      <c r="CY28" s="1218">
        <v>44105</v>
      </c>
      <c r="CZ28" s="1218">
        <v>44044</v>
      </c>
      <c r="DM28" s="1192" t="s">
        <v>5714</v>
      </c>
      <c r="DN28" s="1192" t="s">
        <v>5697</v>
      </c>
      <c r="DO28" s="1192" t="s">
        <v>5696</v>
      </c>
      <c r="DP28" s="1192" t="s">
        <v>5695</v>
      </c>
      <c r="DQ28" s="1190"/>
      <c r="DR28" s="1190"/>
      <c r="DS28" s="1190"/>
      <c r="DT28" s="1190"/>
      <c r="DU28" s="1190"/>
      <c r="DV28" s="1190"/>
      <c r="DW28" s="1190"/>
      <c r="DX28" s="1190"/>
      <c r="DZ28" s="1014" t="s">
        <v>5806</v>
      </c>
      <c r="EA28" s="1005">
        <v>55</v>
      </c>
      <c r="EB28" s="1016">
        <v>1.2</v>
      </c>
      <c r="EC28" s="1016">
        <v>0.5</v>
      </c>
      <c r="ED28" s="1196"/>
      <c r="EE28" s="2250" t="s">
        <v>15575</v>
      </c>
      <c r="EF28" s="2249"/>
      <c r="EG28" s="2249"/>
      <c r="EH28" s="2249"/>
      <c r="EI28" s="2249"/>
      <c r="EJ28" s="1196"/>
      <c r="EK28" s="1196"/>
      <c r="EL28" s="1196"/>
      <c r="EM28" s="1196"/>
      <c r="EN28" s="1196"/>
      <c r="EO28" s="1196"/>
      <c r="EP28" s="1196"/>
      <c r="EQ28" s="1196"/>
      <c r="ER28" s="1196"/>
      <c r="ES28" s="1196"/>
      <c r="ET28" s="1196"/>
      <c r="EU28" s="1003">
        <f t="shared" ca="1" si="5"/>
        <v>0.94180046521253291</v>
      </c>
      <c r="EV28" s="1003">
        <f t="shared" ca="1" si="5"/>
        <v>0.76182059393460877</v>
      </c>
      <c r="EW28" s="1003">
        <f t="shared" ca="1" si="5"/>
        <v>0.47738105175010948</v>
      </c>
      <c r="EY28" s="1190"/>
      <c r="EZ28" s="1190"/>
      <c r="FA28" s="1190"/>
      <c r="FB28" s="1190"/>
      <c r="FC28" s="1190"/>
      <c r="FD28" s="1190"/>
      <c r="IQ28" s="1189"/>
      <c r="IT28" s="1153"/>
      <c r="IU28" s="1153"/>
      <c r="IV28" s="1117">
        <v>14</v>
      </c>
      <c r="IW28" s="1129" t="s">
        <v>16830</v>
      </c>
      <c r="IX28" s="1117">
        <v>14</v>
      </c>
      <c r="IY28" s="1129" t="s">
        <v>16831</v>
      </c>
      <c r="IZ28" s="1153"/>
      <c r="JA28" s="1153"/>
      <c r="JB28" s="1153"/>
      <c r="JC28" s="1153"/>
      <c r="JD28" s="1117">
        <v>15</v>
      </c>
      <c r="JE28" s="1117" t="s">
        <v>16832</v>
      </c>
      <c r="JF28" s="1117">
        <v>15</v>
      </c>
      <c r="JG28" s="1117" t="s">
        <v>16833</v>
      </c>
      <c r="JH28" s="1117">
        <v>15</v>
      </c>
      <c r="JI28" s="1117" t="s">
        <v>16834</v>
      </c>
      <c r="JJ28" s="1153"/>
      <c r="JK28" s="1132" t="s">
        <v>16835</v>
      </c>
      <c r="JL28" s="1132">
        <v>31</v>
      </c>
      <c r="JM28" s="1120" t="s">
        <v>16836</v>
      </c>
      <c r="JN28" s="1153"/>
      <c r="JO28" s="1153"/>
      <c r="JP28" s="1117">
        <v>14</v>
      </c>
      <c r="JQ28" s="1129" t="s">
        <v>16837</v>
      </c>
      <c r="JR28" s="1153"/>
      <c r="JS28" s="1153"/>
      <c r="JT28" s="1153" t="s">
        <v>16838</v>
      </c>
      <c r="JU28" s="533"/>
      <c r="JV28" s="533"/>
      <c r="JW28" s="533"/>
      <c r="JX28" s="1121">
        <v>15</v>
      </c>
      <c r="JY28" s="1121" t="s">
        <v>16839</v>
      </c>
      <c r="JZ28" s="1121" t="s">
        <v>16840</v>
      </c>
      <c r="KA28" s="1121" t="s">
        <v>3971</v>
      </c>
      <c r="KB28" s="1122" t="s">
        <v>16841</v>
      </c>
      <c r="KC28" s="1153"/>
      <c r="KD28" s="1153"/>
      <c r="KE28" s="1153"/>
      <c r="KF28" s="1153"/>
      <c r="KG28" s="1153"/>
      <c r="KH28" s="1153"/>
      <c r="KI28" s="1130">
        <v>14</v>
      </c>
      <c r="KJ28" s="1124" t="s">
        <v>16842</v>
      </c>
      <c r="KK28" s="1124" t="s">
        <v>16843</v>
      </c>
      <c r="KL28" s="1124" t="s">
        <v>16844</v>
      </c>
      <c r="KM28" s="1124" t="s">
        <v>13732</v>
      </c>
      <c r="KN28" s="1153"/>
      <c r="KO28" s="1131" t="s">
        <v>16845</v>
      </c>
      <c r="KP28" s="1131" t="s">
        <v>16846</v>
      </c>
      <c r="KQ28" s="1153"/>
      <c r="KR28" s="547">
        <v>15</v>
      </c>
      <c r="KS28" s="550" t="s">
        <v>16847</v>
      </c>
      <c r="KT28" s="1153"/>
      <c r="KU28" s="1153" t="s">
        <v>16848</v>
      </c>
      <c r="KV28" s="1153"/>
      <c r="KW28" s="1153"/>
      <c r="KX28" s="1153"/>
      <c r="KY28" s="1153"/>
      <c r="KZ28" s="1153"/>
      <c r="LA28" s="1153"/>
      <c r="LB28" s="1153"/>
      <c r="LC28" s="1153"/>
      <c r="LD28" s="1153"/>
      <c r="LE28" s="1153"/>
      <c r="LF28" s="1153"/>
      <c r="LG28" s="1153"/>
      <c r="LH28" s="1153"/>
      <c r="LI28" s="1153"/>
      <c r="LJ28" s="1153"/>
      <c r="LK28" s="1153"/>
      <c r="LL28" s="1153"/>
      <c r="LM28" s="1153"/>
      <c r="LN28" s="1153"/>
      <c r="LO28" s="1153"/>
      <c r="LP28" s="1153"/>
      <c r="LQ28" s="1153"/>
      <c r="LR28" s="1153"/>
      <c r="LS28" s="1247"/>
      <c r="LU28" s="1153"/>
      <c r="LV28" s="1153"/>
      <c r="LW28" s="1153"/>
      <c r="LX28" s="1153"/>
      <c r="LY28" s="1153" t="s">
        <v>12746</v>
      </c>
      <c r="LZ28" s="1140">
        <v>51</v>
      </c>
      <c r="MA28" s="1153" t="s">
        <v>17168</v>
      </c>
      <c r="MB28" s="1153"/>
      <c r="MC28" s="1153"/>
      <c r="MD28" s="1153"/>
      <c r="ME28" s="1153"/>
      <c r="MF28" s="1153"/>
      <c r="MG28" s="1153"/>
      <c r="MH28" s="1153"/>
      <c r="MI28" s="1153"/>
      <c r="MJ28" s="1153"/>
      <c r="MK28" s="1153"/>
      <c r="ML28" s="1153"/>
      <c r="MM28" s="1153"/>
      <c r="MN28" s="1153"/>
      <c r="MO28" s="1153"/>
      <c r="MP28" s="1153"/>
      <c r="MQ28" s="1153"/>
      <c r="MR28" s="1153"/>
      <c r="MS28" s="1153"/>
      <c r="MT28" s="1153"/>
      <c r="MU28" s="1153"/>
      <c r="MV28" s="1153"/>
      <c r="MW28" s="1153"/>
      <c r="MX28" s="1153"/>
      <c r="MY28" s="1153"/>
      <c r="MZ28" s="1153"/>
      <c r="NA28" s="1153"/>
      <c r="NB28" s="1153"/>
      <c r="NC28" s="1153"/>
      <c r="ND28" s="1153"/>
      <c r="NE28" s="1153"/>
      <c r="NF28" s="1153"/>
      <c r="NG28" s="1153"/>
      <c r="NH28" s="1153"/>
      <c r="NI28" s="1153"/>
      <c r="NJ28" s="1153"/>
      <c r="NK28" s="1153"/>
      <c r="NL28" s="1153"/>
      <c r="NM28" s="1153"/>
      <c r="NN28" s="1153"/>
      <c r="NO28" s="1153"/>
      <c r="NP28" s="1153"/>
      <c r="NQ28" s="1153"/>
      <c r="NR28" s="1153"/>
      <c r="NS28" s="1153"/>
      <c r="NT28" s="1153"/>
      <c r="NU28" s="1153"/>
      <c r="NV28" s="1153"/>
      <c r="NW28" s="1153"/>
      <c r="NX28" s="1153"/>
      <c r="NY28" s="1153"/>
      <c r="NZ28" s="1153"/>
      <c r="OA28" s="1153"/>
      <c r="OB28" s="1153"/>
      <c r="OC28" s="1153"/>
      <c r="OD28" s="1153"/>
      <c r="OE28" s="1153"/>
      <c r="OF28" s="1153"/>
      <c r="OG28" s="1153"/>
      <c r="OH28" s="1153"/>
      <c r="OI28" s="1153"/>
      <c r="OJ28" s="1153"/>
      <c r="OS28" s="651">
        <v>22</v>
      </c>
      <c r="OT28" s="1197" t="s">
        <v>7837</v>
      </c>
      <c r="OV28" s="651">
        <v>22</v>
      </c>
      <c r="OW28" s="1259" t="s">
        <v>18388</v>
      </c>
      <c r="OY28" s="1259" t="s">
        <v>12815</v>
      </c>
      <c r="OZ28" s="1259" t="s">
        <v>18432</v>
      </c>
      <c r="PA28" s="1259" t="s">
        <v>12841</v>
      </c>
      <c r="PB28" s="1259" t="s">
        <v>14259</v>
      </c>
      <c r="PS28" s="1259">
        <v>40</v>
      </c>
      <c r="PT28" s="1259" t="s">
        <v>18564</v>
      </c>
      <c r="PY28" s="1259">
        <v>4</v>
      </c>
      <c r="PZ28" s="1259" t="s">
        <v>18623</v>
      </c>
      <c r="QA28" s="1259" t="s">
        <v>18622</v>
      </c>
    </row>
    <row r="29" spans="1:443" ht="18.75" thickBot="1">
      <c r="A29" s="2">
        <v>27</v>
      </c>
      <c r="B29" s="2" t="s">
        <v>1270</v>
      </c>
      <c r="C29" s="27" t="s">
        <v>1274</v>
      </c>
      <c r="D29" s="2" t="s">
        <v>1323</v>
      </c>
      <c r="E29" s="28" t="s">
        <v>1327</v>
      </c>
      <c r="G29" s="2">
        <v>27</v>
      </c>
      <c r="H29" s="2" t="s">
        <v>1274</v>
      </c>
      <c r="I29" s="2" t="s">
        <v>1327</v>
      </c>
      <c r="K29" s="2">
        <v>27</v>
      </c>
      <c r="L29" s="2" t="s">
        <v>17</v>
      </c>
      <c r="N29" s="2" t="s">
        <v>13149</v>
      </c>
      <c r="P29" s="29">
        <v>26</v>
      </c>
      <c r="Q29" s="29" t="s">
        <v>1575</v>
      </c>
      <c r="V29" s="2">
        <v>26</v>
      </c>
      <c r="W29" s="2" t="s">
        <v>1410</v>
      </c>
      <c r="Z29" s="1190"/>
      <c r="AA29" s="1208" t="s">
        <v>7459</v>
      </c>
      <c r="AB29" s="1209" t="s">
        <v>7458</v>
      </c>
      <c r="AC29" s="1210">
        <v>0</v>
      </c>
      <c r="AD29" s="1210">
        <v>0.25</v>
      </c>
      <c r="AE29" s="1210" t="s">
        <v>1902</v>
      </c>
      <c r="AF29" s="1208" t="s">
        <v>1902</v>
      </c>
      <c r="AG29" s="1190"/>
      <c r="AN29" s="2">
        <v>0</v>
      </c>
      <c r="AO29" s="2">
        <v>0</v>
      </c>
      <c r="AQ29" s="2" t="str">
        <v/>
      </c>
      <c r="AS29" s="1190"/>
      <c r="AT29" s="1190"/>
      <c r="AU29" s="106"/>
      <c r="AV29" s="106"/>
      <c r="AW29" s="106"/>
      <c r="AX29" s="106"/>
      <c r="AY29" s="106"/>
      <c r="AZ29" s="106"/>
      <c r="BA29" s="106"/>
      <c r="BB29" s="106"/>
      <c r="BC29" s="106"/>
      <c r="BD29" s="106"/>
      <c r="BE29" s="106"/>
      <c r="BF29" s="106"/>
      <c r="BG29" s="106"/>
      <c r="BH29" s="106"/>
      <c r="BI29" s="106"/>
      <c r="BJ29" s="403"/>
      <c r="BK29" s="403"/>
      <c r="BL29" s="1191"/>
      <c r="BM29" s="1191"/>
      <c r="BN29" s="2">
        <v>5</v>
      </c>
      <c r="BO29" s="2" t="s">
        <v>1945</v>
      </c>
      <c r="BQ29" s="2">
        <v>5</v>
      </c>
      <c r="BR29" s="2" t="s">
        <v>1993</v>
      </c>
      <c r="BV29" s="2">
        <v>7</v>
      </c>
      <c r="BW29" s="2" t="s">
        <v>1978</v>
      </c>
      <c r="CI29" s="2">
        <v>3</v>
      </c>
      <c r="CJ29" s="2" t="s">
        <v>4968</v>
      </c>
      <c r="CL29" s="2">
        <v>3</v>
      </c>
      <c r="CM29" s="2" t="s">
        <v>12612</v>
      </c>
      <c r="CO29" s="2">
        <v>3</v>
      </c>
      <c r="CP29" s="2" t="s">
        <v>4968</v>
      </c>
      <c r="CR29" s="2">
        <v>3</v>
      </c>
      <c r="CS29" s="2" t="s">
        <v>15314</v>
      </c>
      <c r="CU29" s="2">
        <v>8</v>
      </c>
      <c r="CV29" s="2" t="s">
        <v>5181</v>
      </c>
      <c r="CX29" s="2" t="s">
        <v>12728</v>
      </c>
      <c r="CY29" s="1220">
        <v>41944</v>
      </c>
      <c r="CZ29" s="1218">
        <v>44174</v>
      </c>
      <c r="DM29" s="1192" t="s">
        <v>5713</v>
      </c>
      <c r="DN29" s="1201">
        <v>3</v>
      </c>
      <c r="DO29" s="1201">
        <v>0</v>
      </c>
      <c r="DP29" s="1201">
        <v>0</v>
      </c>
      <c r="DQ29" s="1190"/>
      <c r="DR29" s="1190"/>
      <c r="DS29" s="1190"/>
      <c r="DT29" s="1190"/>
      <c r="DU29" s="1190"/>
      <c r="DV29" s="1190"/>
      <c r="DW29" s="1190"/>
      <c r="DX29" s="1190"/>
      <c r="DZ29" s="1014" t="s">
        <v>15576</v>
      </c>
      <c r="EA29" s="998">
        <v>70</v>
      </c>
      <c r="EB29" s="1015">
        <v>1</v>
      </c>
      <c r="EC29" s="1015">
        <v>1.6</v>
      </c>
      <c r="ED29" s="1196"/>
      <c r="EE29" s="2249"/>
      <c r="EF29" s="2249"/>
      <c r="EG29" s="2249"/>
      <c r="EH29" s="2249"/>
      <c r="EI29" s="2249"/>
      <c r="EJ29" s="1196"/>
      <c r="EK29" s="1196"/>
      <c r="EL29" s="1196"/>
      <c r="EM29" s="1196"/>
      <c r="EN29" s="1196"/>
      <c r="EO29" s="1196"/>
      <c r="EP29" s="1196"/>
      <c r="EQ29" s="1196"/>
      <c r="ER29" s="1196"/>
      <c r="ES29" s="1196"/>
      <c r="ET29" s="1196"/>
      <c r="EU29" s="1003">
        <f t="shared" ca="1" si="5"/>
        <v>0.91442338823948</v>
      </c>
      <c r="EV29" s="1003">
        <f t="shared" ca="1" si="5"/>
        <v>0.80807732213059325</v>
      </c>
      <c r="EW29" s="1003">
        <f t="shared" ca="1" si="5"/>
        <v>0.9371277520579101</v>
      </c>
      <c r="EY29" s="1190"/>
      <c r="EZ29" s="1190"/>
      <c r="FA29" s="1190"/>
      <c r="FB29" s="1190"/>
      <c r="FC29" s="1190"/>
      <c r="FD29" s="1190"/>
      <c r="IQ29" s="1189"/>
      <c r="IT29" s="1153"/>
      <c r="IU29" s="1153"/>
      <c r="IV29" s="1117">
        <v>15</v>
      </c>
      <c r="IW29" s="1129" t="s">
        <v>16849</v>
      </c>
      <c r="IX29" s="1117">
        <v>15</v>
      </c>
      <c r="IY29" s="1129" t="s">
        <v>16850</v>
      </c>
      <c r="IZ29" s="1153"/>
      <c r="JA29" s="1153"/>
      <c r="JB29" s="1153"/>
      <c r="JC29" s="1153"/>
      <c r="JD29" s="1117">
        <v>16</v>
      </c>
      <c r="JE29" s="1117" t="s">
        <v>16851</v>
      </c>
      <c r="JF29" s="1117">
        <v>16</v>
      </c>
      <c r="JG29" s="1117" t="s">
        <v>16852</v>
      </c>
      <c r="JH29" s="1117">
        <v>16</v>
      </c>
      <c r="JI29" s="1117" t="s">
        <v>16853</v>
      </c>
      <c r="JJ29" s="1153"/>
      <c r="JK29" s="1132" t="s">
        <v>12865</v>
      </c>
      <c r="JL29" s="1132">
        <v>33</v>
      </c>
      <c r="JM29" s="1120" t="s">
        <v>16854</v>
      </c>
      <c r="JN29" s="1153"/>
      <c r="JO29" s="1153"/>
      <c r="JP29" s="1117">
        <v>15</v>
      </c>
      <c r="JQ29" s="1129" t="s">
        <v>16855</v>
      </c>
      <c r="JR29" s="1153"/>
      <c r="JS29" s="1153"/>
      <c r="JT29" s="1153" t="s">
        <v>16856</v>
      </c>
      <c r="JU29" s="533"/>
      <c r="JV29" s="533"/>
      <c r="JW29" s="533"/>
      <c r="JX29" s="1121">
        <v>16</v>
      </c>
      <c r="JY29" s="1121" t="s">
        <v>16857</v>
      </c>
      <c r="JZ29" s="1121" t="s">
        <v>16858</v>
      </c>
      <c r="KA29" s="1121" t="s">
        <v>3744</v>
      </c>
      <c r="KB29" s="1122" t="s">
        <v>3858</v>
      </c>
      <c r="KC29" s="1153"/>
      <c r="KD29" s="1153"/>
      <c r="KE29" s="1153"/>
      <c r="KF29" s="1153"/>
      <c r="KG29" s="1153"/>
      <c r="KH29" s="1153"/>
      <c r="KI29" s="1130">
        <v>15</v>
      </c>
      <c r="KJ29" s="1124" t="s">
        <v>7377</v>
      </c>
      <c r="KK29" s="1124" t="s">
        <v>16859</v>
      </c>
      <c r="KL29" s="1124" t="s">
        <v>16860</v>
      </c>
      <c r="KM29" s="1124" t="s">
        <v>13732</v>
      </c>
      <c r="KN29" s="1153"/>
      <c r="KO29" s="1131" t="s">
        <v>16861</v>
      </c>
      <c r="KP29" s="1131" t="s">
        <v>16862</v>
      </c>
      <c r="KQ29" s="1153"/>
      <c r="KR29" s="547">
        <v>16</v>
      </c>
      <c r="KS29" s="550" t="s">
        <v>16863</v>
      </c>
      <c r="KT29" s="1153"/>
      <c r="KU29" s="1153" t="s">
        <v>7952</v>
      </c>
      <c r="KV29" s="1153" t="s">
        <v>7930</v>
      </c>
      <c r="KW29" s="1153"/>
      <c r="KX29" s="1153"/>
      <c r="KY29" s="1153"/>
      <c r="KZ29" s="1153"/>
      <c r="LA29" s="1153"/>
      <c r="LB29" s="1153"/>
      <c r="LC29" s="1153"/>
      <c r="LD29" s="1153"/>
      <c r="LE29" s="1153"/>
      <c r="LF29" s="1153"/>
      <c r="LG29" s="1153"/>
      <c r="LH29" s="1153"/>
      <c r="LI29" s="1153"/>
      <c r="LJ29" s="1153"/>
      <c r="LK29" s="1153"/>
      <c r="LL29" s="1153"/>
      <c r="LM29" s="1153"/>
      <c r="LN29" s="1153"/>
      <c r="LO29" s="1153"/>
      <c r="LP29" s="1153"/>
      <c r="LQ29" s="1153"/>
      <c r="LR29" s="1153"/>
      <c r="LS29" s="1247"/>
      <c r="LU29" s="1153"/>
      <c r="LV29" s="1153"/>
      <c r="LW29" s="1153"/>
      <c r="LX29" s="1153"/>
      <c r="LY29" s="1153" t="s">
        <v>17169</v>
      </c>
      <c r="LZ29" s="1140">
        <v>55</v>
      </c>
      <c r="MA29" s="1153" t="s">
        <v>17170</v>
      </c>
      <c r="MB29" s="1153"/>
      <c r="MC29" s="1153"/>
      <c r="MD29" s="1153"/>
      <c r="ME29" s="1153"/>
      <c r="MF29" s="1153"/>
      <c r="MG29" s="1153"/>
      <c r="MH29" s="1153"/>
      <c r="MI29" s="1153"/>
      <c r="MJ29" s="1153"/>
      <c r="MK29" s="1153"/>
      <c r="ML29" s="1153"/>
      <c r="MM29" s="1153"/>
      <c r="MN29" s="1153"/>
      <c r="MO29" s="1153"/>
      <c r="MP29" s="1153"/>
      <c r="MQ29" s="1153"/>
      <c r="MR29" s="1153"/>
      <c r="MS29" s="1153"/>
      <c r="MT29" s="1153"/>
      <c r="MU29" s="1153"/>
      <c r="MV29" s="1153"/>
      <c r="MW29" s="1153"/>
      <c r="MX29" s="1153"/>
      <c r="MY29" s="1153"/>
      <c r="MZ29" s="1153"/>
      <c r="NA29" s="1153"/>
      <c r="NB29" s="1153"/>
      <c r="NC29" s="1153"/>
      <c r="ND29" s="1153"/>
      <c r="NE29" s="1153"/>
      <c r="NF29" s="1153"/>
      <c r="NG29" s="1153"/>
      <c r="NH29" s="1153"/>
      <c r="NI29" s="1153"/>
      <c r="NJ29" s="1153"/>
      <c r="NK29" s="1153"/>
      <c r="NL29" s="1153"/>
      <c r="NM29" s="1153"/>
      <c r="NN29" s="1153"/>
      <c r="NO29" s="1153"/>
      <c r="NP29" s="1153"/>
      <c r="NQ29" s="1153"/>
      <c r="NR29" s="1153"/>
      <c r="NS29" s="1153"/>
      <c r="NT29" s="1153"/>
      <c r="NU29" s="1153"/>
      <c r="NV29" s="1153"/>
      <c r="NW29" s="1153"/>
      <c r="NX29" s="1153"/>
      <c r="NY29" s="1153"/>
      <c r="NZ29" s="1153"/>
      <c r="OA29" s="1153"/>
      <c r="OB29" s="1153"/>
      <c r="OC29" s="1153"/>
      <c r="OD29" s="1153"/>
      <c r="OE29" s="1153"/>
      <c r="OF29" s="1153"/>
      <c r="OG29" s="1153"/>
      <c r="OH29" s="1153"/>
      <c r="OI29" s="1153"/>
      <c r="OJ29" s="1153"/>
      <c r="OS29" s="651">
        <v>23</v>
      </c>
      <c r="OT29" s="1197" t="s">
        <v>7743</v>
      </c>
      <c r="OV29" s="651">
        <v>23</v>
      </c>
      <c r="OW29" s="1259" t="s">
        <v>18389</v>
      </c>
      <c r="OY29" s="1259" t="s">
        <v>12841</v>
      </c>
      <c r="OZ29" s="1259" t="s">
        <v>13453</v>
      </c>
      <c r="PA29" s="1259" t="s">
        <v>18345</v>
      </c>
      <c r="PB29" s="1259" t="s">
        <v>18471</v>
      </c>
      <c r="PS29" s="1259" t="s">
        <v>8110</v>
      </c>
      <c r="PT29" s="1259" t="s">
        <v>18565</v>
      </c>
      <c r="PY29" s="1259">
        <v>5</v>
      </c>
      <c r="PZ29" s="1259" t="s">
        <v>5806</v>
      </c>
      <c r="QA29" s="1259" t="s">
        <v>11198</v>
      </c>
    </row>
    <row r="30" spans="1:443" ht="18.75" thickBot="1">
      <c r="A30" s="2">
        <v>28</v>
      </c>
      <c r="B30" s="2" t="s">
        <v>1271</v>
      </c>
      <c r="C30" s="27" t="s">
        <v>1507</v>
      </c>
      <c r="D30" s="2" t="s">
        <v>1324</v>
      </c>
      <c r="E30" s="28" t="s">
        <v>1546</v>
      </c>
      <c r="G30" s="2">
        <v>28</v>
      </c>
      <c r="H30" s="2" t="s">
        <v>1507</v>
      </c>
      <c r="I30" s="2" t="s">
        <v>1546</v>
      </c>
      <c r="K30" s="2">
        <v>28</v>
      </c>
      <c r="L30" s="2" t="s">
        <v>204</v>
      </c>
      <c r="N30" s="2" t="s">
        <v>13150</v>
      </c>
      <c r="P30" s="29">
        <v>27</v>
      </c>
      <c r="Q30" s="29" t="s">
        <v>1576</v>
      </c>
      <c r="V30" s="2">
        <v>27</v>
      </c>
      <c r="W30" s="2" t="s">
        <v>1411</v>
      </c>
      <c r="Z30" s="1190"/>
      <c r="AA30" s="1208" t="s">
        <v>6270</v>
      </c>
      <c r="AB30" s="1209" t="s">
        <v>7457</v>
      </c>
      <c r="AC30" s="1210">
        <v>1</v>
      </c>
      <c r="AD30" s="1210">
        <v>4</v>
      </c>
      <c r="AE30" s="1210" t="s">
        <v>1902</v>
      </c>
      <c r="AF30" s="1208" t="s">
        <v>1902</v>
      </c>
      <c r="AG30" s="1190"/>
      <c r="AN30" s="2">
        <v>0</v>
      </c>
      <c r="AO30" s="2">
        <v>0</v>
      </c>
      <c r="AQ30" s="2" t="str">
        <v/>
      </c>
      <c r="AS30" s="1190"/>
      <c r="AT30" s="1190"/>
      <c r="AU30" s="106"/>
      <c r="AV30" s="106"/>
      <c r="AW30" s="106"/>
      <c r="AX30" s="106"/>
      <c r="AY30" s="106"/>
      <c r="AZ30" s="106"/>
      <c r="BA30" s="106"/>
      <c r="BB30" s="106"/>
      <c r="BC30" s="106"/>
      <c r="BD30" s="106"/>
      <c r="BE30" s="106"/>
      <c r="BF30" s="106"/>
      <c r="BG30" s="106"/>
      <c r="BH30" s="106"/>
      <c r="BI30" s="106"/>
      <c r="BJ30" s="403"/>
      <c r="BK30" s="403"/>
      <c r="BL30" s="1191"/>
      <c r="BM30" s="1191"/>
      <c r="BN30" s="2">
        <v>6</v>
      </c>
      <c r="BO30" s="2" t="s">
        <v>1946</v>
      </c>
      <c r="BQ30" s="2">
        <v>6</v>
      </c>
      <c r="BR30" s="2" t="s">
        <v>1994</v>
      </c>
      <c r="CI30" s="2">
        <v>4</v>
      </c>
      <c r="CJ30" s="2" t="s">
        <v>7374</v>
      </c>
      <c r="CL30" s="2">
        <v>4</v>
      </c>
      <c r="CM30" s="2" t="s">
        <v>12612</v>
      </c>
      <c r="CO30" s="2">
        <v>4</v>
      </c>
      <c r="CP30" s="2" t="s">
        <v>7374</v>
      </c>
      <c r="CR30" s="2">
        <v>4</v>
      </c>
      <c r="CS30" s="2" t="s">
        <v>12649</v>
      </c>
      <c r="CU30" s="1220">
        <v>41883</v>
      </c>
      <c r="CV30" s="2" t="s">
        <v>12682</v>
      </c>
      <c r="CX30" s="2" t="s">
        <v>12729</v>
      </c>
      <c r="CY30" s="2" t="s">
        <v>12730</v>
      </c>
      <c r="CZ30" s="2" t="s">
        <v>12731</v>
      </c>
      <c r="DM30" s="1192" t="s">
        <v>3715</v>
      </c>
      <c r="DN30" s="1201">
        <v>3</v>
      </c>
      <c r="DO30" s="1201">
        <v>0</v>
      </c>
      <c r="DP30" s="1201">
        <v>0</v>
      </c>
      <c r="DQ30" s="1190"/>
      <c r="DR30" s="1190"/>
      <c r="DS30" s="1190"/>
      <c r="DT30" s="1190"/>
      <c r="DU30" s="1190"/>
      <c r="DV30" s="1190"/>
      <c r="DW30" s="1190"/>
      <c r="DX30" s="1190"/>
      <c r="DZ30" s="1014" t="s">
        <v>15577</v>
      </c>
      <c r="EA30" s="1005">
        <v>65</v>
      </c>
      <c r="EB30" s="1016">
        <v>1</v>
      </c>
      <c r="EC30" s="1016">
        <v>1.3</v>
      </c>
      <c r="ED30" s="1196"/>
      <c r="EE30" s="2249"/>
      <c r="EF30" s="2249"/>
      <c r="EG30" s="2249"/>
      <c r="EH30" s="2249"/>
      <c r="EI30" s="2249"/>
      <c r="EJ30" s="1196"/>
      <c r="EK30" s="1196"/>
      <c r="EL30" s="1196"/>
      <c r="EM30" s="1196"/>
      <c r="EN30" s="1196"/>
      <c r="EO30" s="1196"/>
      <c r="EP30" s="1196"/>
      <c r="EQ30" s="1196"/>
      <c r="ER30" s="1196"/>
      <c r="ES30" s="1196"/>
      <c r="ET30" s="1196"/>
      <c r="EU30" s="1003">
        <f t="shared" ca="1" si="5"/>
        <v>0.56634868853512788</v>
      </c>
      <c r="EV30" s="1003">
        <f t="shared" ca="1" si="5"/>
        <v>0.53380845746749439</v>
      </c>
      <c r="EW30" s="1003">
        <f t="shared" ca="1" si="5"/>
        <v>0.67899217485639463</v>
      </c>
      <c r="EY30" s="1190"/>
      <c r="EZ30" s="1190"/>
      <c r="FA30" s="1190"/>
      <c r="FB30" s="1190"/>
      <c r="FC30" s="1190"/>
      <c r="FD30" s="1190"/>
      <c r="IQ30" s="1189"/>
      <c r="IT30" s="1153"/>
      <c r="IU30" s="1153"/>
      <c r="IV30" s="1117">
        <v>16</v>
      </c>
      <c r="IW30" s="1129" t="s">
        <v>16864</v>
      </c>
      <c r="IX30" s="1117">
        <v>16</v>
      </c>
      <c r="IY30" s="1129" t="s">
        <v>16865</v>
      </c>
      <c r="IZ30" s="1153"/>
      <c r="JA30" s="1153"/>
      <c r="JB30" s="1153"/>
      <c r="JC30" s="1153"/>
      <c r="JD30" s="1117">
        <v>17</v>
      </c>
      <c r="JE30" s="1117" t="s">
        <v>16866</v>
      </c>
      <c r="JF30" s="1117">
        <v>17</v>
      </c>
      <c r="JG30" s="1117" t="s">
        <v>16867</v>
      </c>
      <c r="JH30" s="1117">
        <v>17</v>
      </c>
      <c r="JI30" s="1117" t="s">
        <v>16868</v>
      </c>
      <c r="JJ30" s="1153"/>
      <c r="JK30" s="1132" t="s">
        <v>16869</v>
      </c>
      <c r="JL30" s="1132">
        <v>35</v>
      </c>
      <c r="JM30" s="1120" t="s">
        <v>16870</v>
      </c>
      <c r="JN30" s="1153"/>
      <c r="JO30" s="1153"/>
      <c r="JP30" s="1117">
        <v>16</v>
      </c>
      <c r="JQ30" s="1129" t="s">
        <v>16871</v>
      </c>
      <c r="JR30" s="1153"/>
      <c r="JS30" s="1153"/>
      <c r="JT30" s="1153" t="s">
        <v>16872</v>
      </c>
      <c r="JU30" s="533"/>
      <c r="JV30" s="533"/>
      <c r="JW30" s="533"/>
      <c r="JX30" s="1121">
        <v>17</v>
      </c>
      <c r="JY30" s="1121" t="s">
        <v>16873</v>
      </c>
      <c r="JZ30" s="1121" t="s">
        <v>16874</v>
      </c>
      <c r="KA30" s="1121" t="s">
        <v>13950</v>
      </c>
      <c r="KB30" s="1122" t="s">
        <v>16875</v>
      </c>
      <c r="KC30" s="1153"/>
      <c r="KD30" s="1153"/>
      <c r="KE30" s="1153"/>
      <c r="KF30" s="1153"/>
      <c r="KG30" s="1153"/>
      <c r="KH30" s="1153"/>
      <c r="KI30" s="1130">
        <v>16</v>
      </c>
      <c r="KJ30" s="1124" t="s">
        <v>16876</v>
      </c>
      <c r="KK30" s="1124" t="s">
        <v>16877</v>
      </c>
      <c r="KL30" s="1124" t="s">
        <v>16878</v>
      </c>
      <c r="KM30" s="1124" t="s">
        <v>16876</v>
      </c>
      <c r="KN30" s="1153"/>
      <c r="KO30" s="1131" t="s">
        <v>16879</v>
      </c>
      <c r="KP30" s="1131" t="s">
        <v>16880</v>
      </c>
      <c r="KQ30" s="1153"/>
      <c r="KR30" s="547">
        <v>17</v>
      </c>
      <c r="KS30" s="550" t="s">
        <v>16881</v>
      </c>
      <c r="KT30" s="1153"/>
      <c r="KU30" s="1153">
        <v>0</v>
      </c>
      <c r="KV30" s="1153" t="s">
        <v>16644</v>
      </c>
      <c r="KW30" s="1153"/>
      <c r="KX30" s="1153"/>
      <c r="KY30" s="1153"/>
      <c r="KZ30" s="1153"/>
      <c r="LA30" s="1153"/>
      <c r="LB30" s="1153"/>
      <c r="LC30" s="1153"/>
      <c r="LD30" s="1153"/>
      <c r="LE30" s="1153"/>
      <c r="LF30" s="1153"/>
      <c r="LG30" s="1153"/>
      <c r="LH30" s="1153"/>
      <c r="LI30" s="1153"/>
      <c r="LJ30" s="1153"/>
      <c r="LK30" s="1153"/>
      <c r="LL30" s="1153"/>
      <c r="LM30" s="1153"/>
      <c r="LN30" s="1153"/>
      <c r="LO30" s="1153"/>
      <c r="LP30" s="1153"/>
      <c r="LQ30" s="1153"/>
      <c r="LR30" s="1153"/>
      <c r="LS30" s="1247"/>
      <c r="LU30" s="1153"/>
      <c r="LV30" s="1153"/>
      <c r="LW30" s="1153"/>
      <c r="LX30" s="1153"/>
      <c r="LY30" s="1153" t="s">
        <v>17171</v>
      </c>
      <c r="LZ30" s="1140">
        <v>57</v>
      </c>
      <c r="MA30" s="1153" t="s">
        <v>17172</v>
      </c>
      <c r="MB30" s="1153"/>
      <c r="MC30" s="1153"/>
      <c r="MD30" s="1153"/>
      <c r="ME30" s="1153"/>
      <c r="MF30" s="1153"/>
      <c r="MG30" s="1153"/>
      <c r="MH30" s="1153"/>
      <c r="MI30" s="1153"/>
      <c r="MJ30" s="1153"/>
      <c r="MK30" s="1153"/>
      <c r="ML30" s="1153"/>
      <c r="MM30" s="1153"/>
      <c r="MN30" s="1153"/>
      <c r="MO30" s="1153"/>
      <c r="MP30" s="1153"/>
      <c r="MQ30" s="1153"/>
      <c r="MR30" s="1153"/>
      <c r="MS30" s="1153"/>
      <c r="MT30" s="1153"/>
      <c r="MU30" s="1153"/>
      <c r="MV30" s="1153"/>
      <c r="MW30" s="1153"/>
      <c r="MX30" s="1153"/>
      <c r="MY30" s="1153"/>
      <c r="MZ30" s="1153"/>
      <c r="NA30" s="1153"/>
      <c r="NB30" s="1153"/>
      <c r="NC30" s="1153"/>
      <c r="ND30" s="1153"/>
      <c r="NE30" s="1153"/>
      <c r="NF30" s="1153"/>
      <c r="NG30" s="1153"/>
      <c r="NH30" s="1153"/>
      <c r="NI30" s="1153"/>
      <c r="NJ30" s="1153"/>
      <c r="NK30" s="1153"/>
      <c r="NL30" s="1153"/>
      <c r="NM30" s="1153"/>
      <c r="NN30" s="1153"/>
      <c r="NO30" s="1153"/>
      <c r="NP30" s="1153"/>
      <c r="NQ30" s="1153"/>
      <c r="NR30" s="1153"/>
      <c r="NS30" s="1153"/>
      <c r="NT30" s="1153"/>
      <c r="NU30" s="1153"/>
      <c r="NV30" s="1153"/>
      <c r="NW30" s="1153"/>
      <c r="NX30" s="1153"/>
      <c r="NY30" s="1153"/>
      <c r="NZ30" s="1153"/>
      <c r="OA30" s="1153"/>
      <c r="OB30" s="1153"/>
      <c r="OC30" s="1153"/>
      <c r="OD30" s="1153"/>
      <c r="OE30" s="1153"/>
      <c r="OF30" s="1153"/>
      <c r="OG30" s="1153"/>
      <c r="OH30" s="1153"/>
      <c r="OI30" s="1153"/>
      <c r="OJ30" s="1153"/>
      <c r="OS30" s="651">
        <v>24</v>
      </c>
      <c r="OT30" s="1197" t="s">
        <v>16920</v>
      </c>
      <c r="OV30" s="651">
        <v>24</v>
      </c>
      <c r="OW30" s="1259" t="s">
        <v>18390</v>
      </c>
      <c r="OY30" s="1259" t="s">
        <v>18345</v>
      </c>
      <c r="OZ30" s="1259" t="s">
        <v>18433</v>
      </c>
      <c r="PA30" s="1259" t="s">
        <v>12759</v>
      </c>
      <c r="PB30" s="1259" t="s">
        <v>7840</v>
      </c>
      <c r="PS30" s="1259" t="s">
        <v>8098</v>
      </c>
      <c r="PT30" s="1259" t="s">
        <v>18566</v>
      </c>
      <c r="PY30" s="1259">
        <v>6</v>
      </c>
      <c r="PZ30" s="1259" t="s">
        <v>13933</v>
      </c>
      <c r="QA30" s="1259" t="s">
        <v>11198</v>
      </c>
    </row>
    <row r="31" spans="1:443" ht="18.75" thickBot="1">
      <c r="A31" s="2">
        <v>29</v>
      </c>
      <c r="B31" s="2" t="s">
        <v>1272</v>
      </c>
      <c r="C31" s="27" t="s">
        <v>1508</v>
      </c>
      <c r="D31" s="2" t="s">
        <v>1325</v>
      </c>
      <c r="E31" s="28" t="s">
        <v>1547</v>
      </c>
      <c r="G31" s="2">
        <v>29</v>
      </c>
      <c r="H31" s="2" t="s">
        <v>1508</v>
      </c>
      <c r="I31" s="2" t="s">
        <v>1547</v>
      </c>
      <c r="K31" s="2">
        <v>29</v>
      </c>
      <c r="L31" s="2" t="s">
        <v>167</v>
      </c>
      <c r="N31" s="2" t="s">
        <v>13151</v>
      </c>
      <c r="P31" s="29">
        <v>28</v>
      </c>
      <c r="Q31" s="29" t="s">
        <v>570</v>
      </c>
      <c r="V31" s="2">
        <v>28</v>
      </c>
      <c r="W31" s="2" t="s">
        <v>1412</v>
      </c>
      <c r="Z31" s="1190"/>
      <c r="AA31" s="1208" t="s">
        <v>7456</v>
      </c>
      <c r="AB31" s="1190"/>
      <c r="AC31" s="1190"/>
      <c r="AD31" s="1190"/>
      <c r="AE31" s="1190"/>
      <c r="AF31" s="1208"/>
      <c r="AG31" s="1190"/>
      <c r="AN31" s="2">
        <v>0</v>
      </c>
      <c r="AO31" s="2">
        <v>0</v>
      </c>
      <c r="AQ31" s="2" t="str">
        <v/>
      </c>
      <c r="AS31" s="1190"/>
      <c r="AT31" s="1190"/>
      <c r="AU31" s="106"/>
      <c r="AV31" s="106"/>
      <c r="AW31" s="106"/>
      <c r="AX31" s="106"/>
      <c r="AY31" s="106"/>
      <c r="AZ31" s="106"/>
      <c r="BA31" s="106"/>
      <c r="BB31" s="106"/>
      <c r="BC31" s="106"/>
      <c r="BD31" s="106"/>
      <c r="BE31" s="106"/>
      <c r="BF31" s="106"/>
      <c r="BG31" s="106"/>
      <c r="BH31" s="106"/>
      <c r="BI31" s="106"/>
      <c r="BJ31" s="406"/>
      <c r="BK31" s="406"/>
      <c r="BL31" s="1221"/>
      <c r="BM31" s="1221"/>
      <c r="BN31" s="2">
        <v>7</v>
      </c>
      <c r="BO31" s="2" t="s">
        <v>1947</v>
      </c>
      <c r="BQ31" s="2">
        <v>7</v>
      </c>
      <c r="BR31" s="2" t="s">
        <v>1995</v>
      </c>
      <c r="CI31" s="2">
        <v>5</v>
      </c>
      <c r="CJ31" s="2" t="s">
        <v>12603</v>
      </c>
      <c r="CL31" s="2">
        <v>5</v>
      </c>
      <c r="CM31" s="2" t="s">
        <v>12613</v>
      </c>
      <c r="CO31" s="2">
        <v>5</v>
      </c>
      <c r="CP31" s="2" t="s">
        <v>12603</v>
      </c>
      <c r="CR31" s="2">
        <v>5</v>
      </c>
      <c r="CS31" s="2" t="s">
        <v>12649</v>
      </c>
      <c r="CU31" s="2" t="s">
        <v>12656</v>
      </c>
      <c r="CV31" s="2" t="s">
        <v>12683</v>
      </c>
      <c r="CX31" s="2" t="s">
        <v>12732</v>
      </c>
      <c r="CY31" s="2" t="s">
        <v>12733</v>
      </c>
      <c r="CZ31" s="2" t="s">
        <v>12734</v>
      </c>
      <c r="DM31" s="1222" t="s">
        <v>4837</v>
      </c>
      <c r="DN31" s="1201">
        <v>5</v>
      </c>
      <c r="DO31" s="1201">
        <v>0</v>
      </c>
      <c r="DP31" s="1201">
        <v>0</v>
      </c>
      <c r="DQ31" s="1190"/>
      <c r="DR31" s="1190"/>
      <c r="DS31" s="1190"/>
      <c r="DT31" s="1190"/>
      <c r="DU31" s="1190"/>
      <c r="DV31" s="1190"/>
      <c r="DW31" s="1190"/>
      <c r="DX31" s="1190"/>
      <c r="DZ31" s="1014" t="s">
        <v>5807</v>
      </c>
      <c r="EA31" s="998">
        <v>55</v>
      </c>
      <c r="EB31" s="1015">
        <v>0.7</v>
      </c>
      <c r="EC31" s="1015">
        <v>1.4</v>
      </c>
      <c r="ED31" s="1196"/>
      <c r="EE31" s="1196" t="s">
        <v>15578</v>
      </c>
      <c r="EF31" s="1196" t="s">
        <v>15579</v>
      </c>
      <c r="EG31" s="1196" t="s">
        <v>15580</v>
      </c>
      <c r="EH31" s="1196" t="s">
        <v>15581</v>
      </c>
      <c r="EI31" s="1196" t="s">
        <v>15582</v>
      </c>
      <c r="EJ31" s="1196"/>
      <c r="EK31" s="1196"/>
      <c r="EL31" s="1196"/>
      <c r="EM31" s="1196"/>
      <c r="EN31" s="1196"/>
      <c r="EO31" s="1196"/>
      <c r="EP31" s="1196"/>
      <c r="EQ31" s="1196"/>
      <c r="ER31" s="1196"/>
      <c r="ES31" s="1196"/>
      <c r="ET31" s="1196"/>
      <c r="EU31" s="1003">
        <f t="shared" ca="1" si="5"/>
        <v>0.35447464173184451</v>
      </c>
      <c r="EV31" s="1003">
        <f t="shared" ca="1" si="5"/>
        <v>7.2979951121442399E-2</v>
      </c>
      <c r="EW31" s="1003">
        <f t="shared" ca="1" si="5"/>
        <v>0.94407213498598064</v>
      </c>
      <c r="EY31" s="1190"/>
      <c r="EZ31" s="1190"/>
      <c r="FA31" s="1190"/>
      <c r="FB31" s="1190"/>
      <c r="FC31" s="1190"/>
      <c r="FD31" s="1190"/>
      <c r="IQ31" s="1189"/>
      <c r="IT31" s="1153"/>
      <c r="IU31" s="1153"/>
      <c r="IV31" s="1117">
        <v>17</v>
      </c>
      <c r="IW31" s="1129" t="s">
        <v>16882</v>
      </c>
      <c r="IX31" s="1117">
        <v>17</v>
      </c>
      <c r="IY31" s="1129" t="s">
        <v>16883</v>
      </c>
      <c r="IZ31" s="1153"/>
      <c r="JA31" s="1153"/>
      <c r="JB31" s="1153"/>
      <c r="JC31" s="1153"/>
      <c r="JD31" s="1117">
        <v>18</v>
      </c>
      <c r="JE31" s="1117" t="s">
        <v>16884</v>
      </c>
      <c r="JF31" s="1117">
        <v>18</v>
      </c>
      <c r="JG31" s="1117" t="s">
        <v>16885</v>
      </c>
      <c r="JH31" s="1117">
        <v>18</v>
      </c>
      <c r="JI31" s="1117" t="s">
        <v>16886</v>
      </c>
      <c r="JJ31" s="1153"/>
      <c r="JK31" s="1132" t="s">
        <v>12816</v>
      </c>
      <c r="JL31" s="1132">
        <v>38</v>
      </c>
      <c r="JM31" s="1120" t="s">
        <v>16887</v>
      </c>
      <c r="JN31" s="1153"/>
      <c r="JO31" s="1153"/>
      <c r="JP31" s="1117">
        <v>17</v>
      </c>
      <c r="JQ31" s="1129" t="s">
        <v>16888</v>
      </c>
      <c r="JR31" s="1153"/>
      <c r="JS31" s="1153"/>
      <c r="JT31" s="1153" t="s">
        <v>16889</v>
      </c>
      <c r="JU31" s="533"/>
      <c r="JV31" s="533"/>
      <c r="JW31" s="533"/>
      <c r="JX31" s="1121">
        <v>18</v>
      </c>
      <c r="JY31" s="1121" t="s">
        <v>13292</v>
      </c>
      <c r="JZ31" s="1121" t="s">
        <v>16890</v>
      </c>
      <c r="KA31" s="1121" t="s">
        <v>3520</v>
      </c>
      <c r="KB31" s="1122" t="s">
        <v>5848</v>
      </c>
      <c r="KC31" s="1153"/>
      <c r="KD31" s="1153"/>
      <c r="KE31" s="1153"/>
      <c r="KF31" s="1153"/>
      <c r="KG31" s="1153"/>
      <c r="KH31" s="1153"/>
      <c r="KI31" s="1130">
        <v>17</v>
      </c>
      <c r="KJ31" s="1124" t="s">
        <v>16891</v>
      </c>
      <c r="KK31" s="1124" t="s">
        <v>13320</v>
      </c>
      <c r="KL31" s="1124" t="s">
        <v>16878</v>
      </c>
      <c r="KM31" s="1124" t="s">
        <v>16876</v>
      </c>
      <c r="KN31" s="1153"/>
      <c r="KO31" s="1131" t="s">
        <v>16892</v>
      </c>
      <c r="KP31" s="1131" t="s">
        <v>16893</v>
      </c>
      <c r="KQ31" s="1153"/>
      <c r="KR31" s="547">
        <v>18</v>
      </c>
      <c r="KS31" s="550" t="s">
        <v>16894</v>
      </c>
      <c r="KT31" s="1153"/>
      <c r="KU31" s="1153">
        <v>1</v>
      </c>
      <c r="KV31" s="1153" t="s">
        <v>16895</v>
      </c>
      <c r="KW31" s="1153"/>
      <c r="KX31" s="1153"/>
      <c r="KY31" s="1153"/>
      <c r="KZ31" s="1153"/>
      <c r="LA31" s="1153"/>
      <c r="LB31" s="1153"/>
      <c r="LC31" s="1153"/>
      <c r="LD31" s="1153"/>
      <c r="LE31" s="1153"/>
      <c r="LF31" s="1153"/>
      <c r="LG31" s="1153"/>
      <c r="LH31" s="1153"/>
      <c r="LI31" s="1153"/>
      <c r="LJ31" s="1153"/>
      <c r="LK31" s="1153"/>
      <c r="LL31" s="1153"/>
      <c r="LM31" s="1153"/>
      <c r="LN31" s="1153"/>
      <c r="LO31" s="1153"/>
      <c r="LP31" s="1153"/>
      <c r="LQ31" s="1153"/>
      <c r="LR31" s="1153"/>
      <c r="LS31" s="1247"/>
      <c r="LU31" s="1153"/>
      <c r="LV31" s="1153"/>
      <c r="LW31" s="1153"/>
      <c r="LX31" s="1153"/>
      <c r="LY31" s="1153" t="s">
        <v>17173</v>
      </c>
      <c r="LZ31" s="1140">
        <v>60</v>
      </c>
      <c r="MA31" s="1153" t="s">
        <v>17174</v>
      </c>
      <c r="MB31" s="1153"/>
      <c r="MC31" s="1153"/>
      <c r="MD31" s="1153"/>
      <c r="ME31" s="1153"/>
      <c r="MF31" s="1153"/>
      <c r="MG31" s="1153"/>
      <c r="MH31" s="1153"/>
      <c r="MI31" s="1153"/>
      <c r="MJ31" s="1153"/>
      <c r="MK31" s="1153"/>
      <c r="ML31" s="1153"/>
      <c r="MM31" s="1153"/>
      <c r="MN31" s="1153"/>
      <c r="MO31" s="1153"/>
      <c r="MP31" s="1153"/>
      <c r="MQ31" s="1153"/>
      <c r="MR31" s="1153"/>
      <c r="MS31" s="1153"/>
      <c r="MT31" s="1153"/>
      <c r="MU31" s="1153"/>
      <c r="MV31" s="1153"/>
      <c r="MW31" s="1153"/>
      <c r="MX31" s="1153"/>
      <c r="MY31" s="1153"/>
      <c r="MZ31" s="1153"/>
      <c r="NA31" s="1153"/>
      <c r="NB31" s="1153"/>
      <c r="NC31" s="1153"/>
      <c r="ND31" s="1153"/>
      <c r="NE31" s="1153"/>
      <c r="NF31" s="1153"/>
      <c r="NG31" s="1153"/>
      <c r="NH31" s="1153"/>
      <c r="NI31" s="1153"/>
      <c r="NJ31" s="1153"/>
      <c r="NK31" s="1153"/>
      <c r="NL31" s="1153"/>
      <c r="NM31" s="1153"/>
      <c r="NN31" s="1153"/>
      <c r="NO31" s="1153"/>
      <c r="NP31" s="1153"/>
      <c r="NQ31" s="1153"/>
      <c r="NR31" s="1153"/>
      <c r="NS31" s="1153"/>
      <c r="NT31" s="1153"/>
      <c r="NU31" s="1153"/>
      <c r="NV31" s="1153"/>
      <c r="NW31" s="1153"/>
      <c r="NX31" s="1153"/>
      <c r="NY31" s="1153"/>
      <c r="NZ31" s="1153"/>
      <c r="OA31" s="1153"/>
      <c r="OB31" s="1153"/>
      <c r="OC31" s="1153"/>
      <c r="OD31" s="1153"/>
      <c r="OE31" s="1153"/>
      <c r="OF31" s="1153"/>
      <c r="OG31" s="1153"/>
      <c r="OH31" s="1153"/>
      <c r="OI31" s="1153"/>
      <c r="OJ31" s="1153"/>
      <c r="OS31" s="651">
        <v>25</v>
      </c>
      <c r="OT31" s="1197" t="s">
        <v>18347</v>
      </c>
      <c r="OV31" s="651">
        <v>25</v>
      </c>
      <c r="OW31" s="1259" t="s">
        <v>18391</v>
      </c>
      <c r="OY31" s="1259" t="s">
        <v>12759</v>
      </c>
      <c r="OZ31" s="1259" t="s">
        <v>18434</v>
      </c>
      <c r="PA31" s="1259" t="s">
        <v>12743</v>
      </c>
      <c r="PB31" s="1259" t="s">
        <v>18472</v>
      </c>
      <c r="PS31" s="1259" t="s">
        <v>8088</v>
      </c>
      <c r="PT31" s="1259" t="s">
        <v>18567</v>
      </c>
      <c r="PY31" s="1259">
        <v>7</v>
      </c>
      <c r="PZ31" s="1259" t="s">
        <v>18624</v>
      </c>
      <c r="QA31" s="1259" t="s">
        <v>18625</v>
      </c>
    </row>
    <row r="32" spans="1:443" ht="18.75" thickBot="1">
      <c r="A32" s="2">
        <v>30</v>
      </c>
      <c r="B32" s="2" t="s">
        <v>1273</v>
      </c>
      <c r="C32" s="27" t="s">
        <v>1277</v>
      </c>
      <c r="D32" s="2" t="s">
        <v>1326</v>
      </c>
      <c r="E32" s="28" t="s">
        <v>1548</v>
      </c>
      <c r="G32" s="2">
        <v>30</v>
      </c>
      <c r="H32" s="2" t="s">
        <v>1277</v>
      </c>
      <c r="I32" s="2" t="s">
        <v>1548</v>
      </c>
      <c r="K32" s="2">
        <v>30</v>
      </c>
      <c r="L32" s="2" t="s">
        <v>410</v>
      </c>
      <c r="N32" s="2" t="s">
        <v>13153</v>
      </c>
      <c r="P32" s="29">
        <v>29</v>
      </c>
      <c r="Q32" s="29" t="s">
        <v>41</v>
      </c>
      <c r="V32" s="2">
        <v>29</v>
      </c>
      <c r="W32" s="2" t="s">
        <v>1413</v>
      </c>
      <c r="Z32" s="1190"/>
      <c r="AA32" s="1208" t="s">
        <v>6839</v>
      </c>
      <c r="AB32" s="1209" t="s">
        <v>7455</v>
      </c>
      <c r="AC32" s="1210">
        <v>15</v>
      </c>
      <c r="AD32" s="1210">
        <v>500</v>
      </c>
      <c r="AE32" s="1210" t="s">
        <v>1902</v>
      </c>
      <c r="AF32" s="1208" t="s">
        <v>7445</v>
      </c>
      <c r="AG32" s="1190"/>
      <c r="AN32" s="2">
        <v>0</v>
      </c>
      <c r="AO32" s="2">
        <v>0</v>
      </c>
      <c r="AQ32" s="2" t="str">
        <v/>
      </c>
      <c r="AS32" s="1190"/>
      <c r="AT32" s="1190"/>
      <c r="AU32" s="106"/>
      <c r="AV32" s="106"/>
      <c r="AW32" s="106"/>
      <c r="AX32" s="106"/>
      <c r="AY32" s="106"/>
      <c r="AZ32" s="106"/>
      <c r="BA32" s="106"/>
      <c r="BB32" s="106"/>
      <c r="BC32" s="106"/>
      <c r="BD32" s="106"/>
      <c r="BE32" s="106"/>
      <c r="BF32" s="106"/>
      <c r="BG32" s="106"/>
      <c r="BH32" s="106"/>
      <c r="BI32" s="106"/>
      <c r="BJ32" s="406"/>
      <c r="BK32" s="406"/>
      <c r="BL32" s="1221"/>
      <c r="BM32" s="1221"/>
      <c r="BN32" s="2">
        <v>8</v>
      </c>
      <c r="BO32" s="2" t="str">
        <f ca="1">BN37</f>
        <v>1. Tower</v>
      </c>
      <c r="BQ32" s="2">
        <v>8</v>
      </c>
      <c r="BR32" s="2" t="s">
        <v>1996</v>
      </c>
      <c r="CI32" s="2">
        <v>6</v>
      </c>
      <c r="CJ32" s="2" t="s">
        <v>12603</v>
      </c>
      <c r="CL32" s="2">
        <v>6</v>
      </c>
      <c r="CM32" s="2" t="s">
        <v>4281</v>
      </c>
      <c r="CO32" s="2">
        <v>6</v>
      </c>
      <c r="CP32" s="2" t="s">
        <v>12603</v>
      </c>
      <c r="CR32" s="2">
        <v>6</v>
      </c>
      <c r="CS32" s="2" t="s">
        <v>12650</v>
      </c>
      <c r="CU32" s="2" t="s">
        <v>12684</v>
      </c>
      <c r="CV32" s="2" t="s">
        <v>12685</v>
      </c>
      <c r="CX32" s="2" t="s">
        <v>5197</v>
      </c>
      <c r="CY32" s="2" t="s">
        <v>9264</v>
      </c>
      <c r="CZ32" s="2" t="s">
        <v>12735</v>
      </c>
      <c r="DM32" s="1222" t="s">
        <v>15590</v>
      </c>
      <c r="DN32" s="1201">
        <v>6</v>
      </c>
      <c r="DO32" s="1201">
        <v>0</v>
      </c>
      <c r="DP32" s="1201">
        <v>0</v>
      </c>
      <c r="DQ32" s="1190"/>
      <c r="DR32" s="1190"/>
      <c r="DS32" s="1190"/>
      <c r="DT32" s="1190"/>
      <c r="DU32" s="1190"/>
      <c r="DV32" s="1190"/>
      <c r="DW32" s="1190"/>
      <c r="DX32" s="1190"/>
      <c r="DZ32" s="1014" t="s">
        <v>15583</v>
      </c>
      <c r="EA32" s="1005">
        <v>50</v>
      </c>
      <c r="EB32" s="1016">
        <v>1</v>
      </c>
      <c r="EC32" s="1016">
        <v>1.6</v>
      </c>
      <c r="ED32" s="1196"/>
      <c r="EE32" s="1196">
        <f t="shared" ref="EE32:EE37" si="6">ROUND(EA3*5/9,0)</f>
        <v>2</v>
      </c>
      <c r="EF32" s="1196">
        <f t="shared" ref="EF32:EF43" si="7">ROUND(EA11*5/9,0)</f>
        <v>-11</v>
      </c>
      <c r="EG32" s="1196">
        <f t="shared" ref="EG32:EG41" si="8">ROUND((EA25-32)*5/9,0)</f>
        <v>-12</v>
      </c>
      <c r="EH32" s="1196">
        <f t="shared" ref="EH32:EH39" si="9">ROUND((EA37-32)*5/9,0)</f>
        <v>-73</v>
      </c>
      <c r="EI32" s="1196">
        <f>ROUND(EC3*5/9,2)</f>
        <v>2.69</v>
      </c>
      <c r="EJ32" s="1196"/>
      <c r="EK32" s="1196"/>
      <c r="EL32" s="1196"/>
      <c r="EM32" s="1196"/>
      <c r="EN32" s="1196"/>
      <c r="EO32" s="1196"/>
      <c r="EP32" s="1196"/>
      <c r="EQ32" s="1196"/>
      <c r="ER32" s="1196"/>
      <c r="ES32" s="1196"/>
      <c r="ET32" s="1196"/>
      <c r="EU32" s="1012">
        <f t="shared" ca="1" si="5"/>
        <v>0.79704271470569132</v>
      </c>
      <c r="EV32" s="1012">
        <f t="shared" ca="1" si="5"/>
        <v>9.044704005897275E-2</v>
      </c>
      <c r="EW32" s="1012">
        <f t="shared" ca="1" si="5"/>
        <v>0.54772228114018551</v>
      </c>
      <c r="EY32" s="1190"/>
      <c r="EZ32" s="1190"/>
      <c r="FA32" s="1190"/>
      <c r="FB32" s="1190"/>
      <c r="FC32" s="1190"/>
      <c r="FD32" s="1190"/>
      <c r="IQ32" s="1189"/>
      <c r="IT32" s="1153"/>
      <c r="IU32" s="1153"/>
      <c r="IV32" s="1117">
        <v>18</v>
      </c>
      <c r="IW32" s="1129" t="s">
        <v>16896</v>
      </c>
      <c r="IX32" s="1117">
        <v>18</v>
      </c>
      <c r="IY32" s="1129" t="s">
        <v>16897</v>
      </c>
      <c r="IZ32" s="1153"/>
      <c r="JA32" s="1153"/>
      <c r="JB32" s="1153"/>
      <c r="JC32" s="1153"/>
      <c r="JD32" s="1117">
        <v>19</v>
      </c>
      <c r="JE32" s="1117" t="s">
        <v>16898</v>
      </c>
      <c r="JF32" s="1117">
        <v>19</v>
      </c>
      <c r="JG32" s="1117" t="s">
        <v>16899</v>
      </c>
      <c r="JH32" s="1117">
        <v>19</v>
      </c>
      <c r="JI32" s="1117" t="s">
        <v>16900</v>
      </c>
      <c r="JJ32" s="1153"/>
      <c r="JK32" s="1132" t="s">
        <v>12817</v>
      </c>
      <c r="JL32" s="1132">
        <v>41</v>
      </c>
      <c r="JM32" s="1120" t="s">
        <v>16901</v>
      </c>
      <c r="JN32" s="1153"/>
      <c r="JO32" s="1153"/>
      <c r="JP32" s="1117">
        <v>18</v>
      </c>
      <c r="JQ32" s="1129" t="s">
        <v>16902</v>
      </c>
      <c r="JR32" s="1153"/>
      <c r="JS32" s="1153"/>
      <c r="JT32" s="1153" t="s">
        <v>16903</v>
      </c>
      <c r="JU32" s="533"/>
      <c r="JV32" s="533"/>
      <c r="JW32" s="533"/>
      <c r="JX32" s="1121">
        <v>19</v>
      </c>
      <c r="JY32" s="1121" t="s">
        <v>16904</v>
      </c>
      <c r="JZ32" s="1121" t="s">
        <v>16905</v>
      </c>
      <c r="KA32" s="1121" t="s">
        <v>16906</v>
      </c>
      <c r="KB32" s="1122" t="s">
        <v>16907</v>
      </c>
      <c r="KC32" s="1153"/>
      <c r="KD32" s="1153"/>
      <c r="KE32" s="1153"/>
      <c r="KF32" s="1153"/>
      <c r="KG32" s="1153"/>
      <c r="KH32" s="1153"/>
      <c r="KI32" s="1130">
        <v>18</v>
      </c>
      <c r="KJ32" s="1124" t="s">
        <v>16908</v>
      </c>
      <c r="KK32" s="1124" t="s">
        <v>16878</v>
      </c>
      <c r="KL32" s="1124" t="s">
        <v>16878</v>
      </c>
      <c r="KM32" s="1124" t="s">
        <v>16876</v>
      </c>
      <c r="KN32" s="1153"/>
      <c r="KO32" s="1131" t="s">
        <v>16909</v>
      </c>
      <c r="KP32" s="1131" t="s">
        <v>16666</v>
      </c>
      <c r="KQ32" s="1153"/>
      <c r="KR32" s="547">
        <v>19</v>
      </c>
      <c r="KS32" s="550" t="s">
        <v>16910</v>
      </c>
      <c r="KT32" s="1153"/>
      <c r="KU32" s="1153">
        <v>2</v>
      </c>
      <c r="KV32" s="1153" t="s">
        <v>16812</v>
      </c>
      <c r="KW32" s="1153"/>
      <c r="KX32" s="1153"/>
      <c r="KY32" s="1153"/>
      <c r="KZ32" s="1153"/>
      <c r="LA32" s="1153"/>
      <c r="LB32" s="1153"/>
      <c r="LC32" s="1153"/>
      <c r="LD32" s="1153"/>
      <c r="LE32" s="1153"/>
      <c r="LF32" s="1153"/>
      <c r="LG32" s="1153"/>
      <c r="LH32" s="1153"/>
      <c r="LI32" s="1153"/>
      <c r="LJ32" s="1153"/>
      <c r="LK32" s="1153"/>
      <c r="LL32" s="1153"/>
      <c r="LM32" s="1153"/>
      <c r="LN32" s="1153"/>
      <c r="LO32" s="1153"/>
      <c r="LP32" s="1153"/>
      <c r="LQ32" s="1153"/>
      <c r="LR32" s="1153"/>
      <c r="LS32" s="1247"/>
      <c r="LU32" s="1153"/>
      <c r="LV32" s="1153"/>
      <c r="LW32" s="1153"/>
      <c r="LX32" s="1153"/>
      <c r="LY32" s="1153" t="s">
        <v>17175</v>
      </c>
      <c r="LZ32" s="1140">
        <v>62</v>
      </c>
      <c r="MA32" s="1153" t="s">
        <v>17176</v>
      </c>
      <c r="MB32" s="1153"/>
      <c r="MC32" s="1153"/>
      <c r="MD32" s="1153"/>
      <c r="ME32" s="1153"/>
      <c r="MF32" s="1153"/>
      <c r="MG32" s="1153"/>
      <c r="MH32" s="1153"/>
      <c r="MI32" s="1153"/>
      <c r="MJ32" s="1153"/>
      <c r="MK32" s="1153"/>
      <c r="ML32" s="1153"/>
      <c r="MM32" s="1153"/>
      <c r="MN32" s="1153"/>
      <c r="MO32" s="1153"/>
      <c r="MP32" s="1153"/>
      <c r="MQ32" s="1153"/>
      <c r="MR32" s="1153"/>
      <c r="MS32" s="1153"/>
      <c r="MT32" s="1153"/>
      <c r="MU32" s="1153"/>
      <c r="MV32" s="1153"/>
      <c r="MW32" s="1153"/>
      <c r="MX32" s="1153"/>
      <c r="MY32" s="1153"/>
      <c r="MZ32" s="1153"/>
      <c r="NA32" s="1153"/>
      <c r="NB32" s="1153"/>
      <c r="NC32" s="1153"/>
      <c r="ND32" s="1153"/>
      <c r="NE32" s="1153"/>
      <c r="NF32" s="1153"/>
      <c r="NG32" s="1153"/>
      <c r="NH32" s="1153"/>
      <c r="NI32" s="1153"/>
      <c r="NJ32" s="1153"/>
      <c r="NK32" s="1153"/>
      <c r="NL32" s="1153"/>
      <c r="NM32" s="1153"/>
      <c r="NN32" s="1153"/>
      <c r="NO32" s="1153"/>
      <c r="NP32" s="1153"/>
      <c r="NQ32" s="1153"/>
      <c r="NR32" s="1153"/>
      <c r="NS32" s="1153"/>
      <c r="NT32" s="1153"/>
      <c r="NU32" s="1153"/>
      <c r="NV32" s="1153"/>
      <c r="NW32" s="1153"/>
      <c r="NX32" s="1153"/>
      <c r="NY32" s="1153"/>
      <c r="NZ32" s="1153"/>
      <c r="OA32" s="1153"/>
      <c r="OB32" s="1153"/>
      <c r="OC32" s="1153"/>
      <c r="OD32" s="1153"/>
      <c r="OE32" s="1153"/>
      <c r="OF32" s="1153"/>
      <c r="OG32" s="1153"/>
      <c r="OH32" s="1153"/>
      <c r="OI32" s="1153"/>
      <c r="OJ32" s="1153"/>
      <c r="OS32" s="651">
        <v>26</v>
      </c>
      <c r="OT32" s="1197" t="s">
        <v>18348</v>
      </c>
      <c r="OV32" s="651">
        <v>26</v>
      </c>
      <c r="OW32" s="1259" t="s">
        <v>18392</v>
      </c>
      <c r="OY32" s="1259" t="s">
        <v>12743</v>
      </c>
      <c r="OZ32" s="1259" t="s">
        <v>18435</v>
      </c>
      <c r="PA32" s="1259" t="s">
        <v>9139</v>
      </c>
      <c r="PB32" s="1259" t="s">
        <v>2342</v>
      </c>
      <c r="PS32" s="1259" t="s">
        <v>5762</v>
      </c>
      <c r="PT32" s="1259" t="s">
        <v>18568</v>
      </c>
      <c r="PY32" s="1259">
        <v>8</v>
      </c>
      <c r="PZ32" s="1259" t="s">
        <v>18626</v>
      </c>
      <c r="QA32" s="1259" t="s">
        <v>18625</v>
      </c>
    </row>
    <row r="33" spans="1:443" ht="18.75" thickBot="1">
      <c r="A33" s="2">
        <v>31</v>
      </c>
      <c r="B33" s="2" t="s">
        <v>1274</v>
      </c>
      <c r="C33" s="27" t="s">
        <v>1279</v>
      </c>
      <c r="D33" s="2" t="s">
        <v>1327</v>
      </c>
      <c r="E33" s="28" t="s">
        <v>1549</v>
      </c>
      <c r="G33" s="2">
        <v>31</v>
      </c>
      <c r="H33" s="2" t="s">
        <v>1279</v>
      </c>
      <c r="I33" s="2" t="s">
        <v>1549</v>
      </c>
      <c r="K33" s="2">
        <v>31</v>
      </c>
      <c r="L33" s="2" t="s">
        <v>412</v>
      </c>
      <c r="N33" s="2" t="s">
        <v>13152</v>
      </c>
      <c r="P33" s="29">
        <v>30</v>
      </c>
      <c r="Q33" s="29" t="s">
        <v>571</v>
      </c>
      <c r="V33" s="2">
        <v>30</v>
      </c>
      <c r="W33" s="2" t="s">
        <v>1414</v>
      </c>
      <c r="Z33" s="1190"/>
      <c r="AA33" s="1208" t="s">
        <v>7454</v>
      </c>
      <c r="AB33" s="1209" t="s">
        <v>7451</v>
      </c>
      <c r="AC33" s="1210">
        <v>2</v>
      </c>
      <c r="AD33" s="1210">
        <v>60</v>
      </c>
      <c r="AE33" s="1210" t="s">
        <v>7445</v>
      </c>
      <c r="AF33" s="1208" t="s">
        <v>7445</v>
      </c>
      <c r="AG33" s="1190"/>
      <c r="AN33" s="2">
        <v>0</v>
      </c>
      <c r="AO33" s="2">
        <v>0</v>
      </c>
      <c r="AQ33" s="2" t="str">
        <v/>
      </c>
      <c r="AS33" s="1190"/>
      <c r="AT33" s="1190"/>
      <c r="AU33" s="106"/>
      <c r="AV33" s="106"/>
      <c r="AW33" s="106"/>
      <c r="AX33" s="106"/>
      <c r="AY33" s="106"/>
      <c r="AZ33" s="106"/>
      <c r="BA33" s="106"/>
      <c r="BB33" s="106"/>
      <c r="BC33" s="106"/>
      <c r="BD33" s="106"/>
      <c r="BE33" s="106"/>
      <c r="BF33" s="106"/>
      <c r="BG33" s="106"/>
      <c r="BH33" s="106"/>
      <c r="BI33" s="106"/>
      <c r="BJ33" s="406"/>
      <c r="BK33" s="406"/>
      <c r="BL33" s="1221"/>
      <c r="BM33" s="1221"/>
      <c r="CI33" s="2">
        <v>7</v>
      </c>
      <c r="CJ33" s="2" t="s">
        <v>12604</v>
      </c>
      <c r="CL33" s="2">
        <v>7</v>
      </c>
      <c r="CM33" s="2" t="s">
        <v>12614</v>
      </c>
      <c r="CO33" s="2">
        <v>7</v>
      </c>
      <c r="CP33" s="2" t="s">
        <v>12604</v>
      </c>
      <c r="CR33" s="2">
        <v>7</v>
      </c>
      <c r="CS33" s="2" t="s">
        <v>12651</v>
      </c>
      <c r="CU33" s="2" t="s">
        <v>12686</v>
      </c>
      <c r="CV33" s="2" t="s">
        <v>4104</v>
      </c>
      <c r="CX33" s="2" t="s">
        <v>12736</v>
      </c>
      <c r="CY33" s="2" t="s">
        <v>12737</v>
      </c>
      <c r="CZ33" s="2" t="s">
        <v>9267</v>
      </c>
      <c r="DM33" s="1222" t="s">
        <v>15591</v>
      </c>
      <c r="DN33" s="1201">
        <v>5</v>
      </c>
      <c r="DO33" s="1201">
        <v>0</v>
      </c>
      <c r="DP33" s="1201">
        <v>0</v>
      </c>
      <c r="DQ33" s="1190"/>
      <c r="DR33" s="1190"/>
      <c r="DS33" s="1190"/>
      <c r="DT33" s="1190"/>
      <c r="DU33" s="1190"/>
      <c r="DV33" s="1190"/>
      <c r="DW33" s="1190"/>
      <c r="DX33" s="1190"/>
      <c r="DZ33" s="1014" t="s">
        <v>15584</v>
      </c>
      <c r="EA33" s="998">
        <v>40</v>
      </c>
      <c r="EB33" s="1015">
        <v>0.2</v>
      </c>
      <c r="EC33" s="1015">
        <v>0.1</v>
      </c>
      <c r="ED33" s="1196"/>
      <c r="EE33" s="1196">
        <f t="shared" si="6"/>
        <v>6</v>
      </c>
      <c r="EF33" s="1196">
        <f t="shared" si="7"/>
        <v>-6</v>
      </c>
      <c r="EG33" s="1196">
        <f t="shared" si="8"/>
        <v>13</v>
      </c>
      <c r="EH33" s="1196">
        <f t="shared" si="9"/>
        <v>-18</v>
      </c>
      <c r="EI33" s="1196"/>
      <c r="EJ33" s="1196"/>
      <c r="EK33" s="1196"/>
      <c r="EL33" s="1196"/>
      <c r="EM33" s="1196"/>
      <c r="EN33" s="1196"/>
      <c r="EO33" s="1196"/>
      <c r="EP33" s="1196"/>
      <c r="EQ33" s="1196"/>
      <c r="ER33" s="1196"/>
      <c r="ES33" s="1196"/>
      <c r="ET33" s="1196"/>
      <c r="EU33" s="1012">
        <f t="shared" ca="1" si="5"/>
        <v>0.84059530550570771</v>
      </c>
      <c r="EV33" s="1012">
        <f t="shared" ca="1" si="5"/>
        <v>0.28086491648456247</v>
      </c>
      <c r="EW33" s="1012">
        <f t="shared" ca="1" si="5"/>
        <v>0.13305577923987899</v>
      </c>
      <c r="EY33" s="1190"/>
      <c r="EZ33" s="1190"/>
      <c r="FA33" s="1190"/>
      <c r="FB33" s="1190"/>
      <c r="FC33" s="1190"/>
      <c r="FD33" s="1190"/>
      <c r="IQ33" s="1189"/>
      <c r="IT33" s="1153"/>
      <c r="IU33" s="1153"/>
      <c r="IV33" s="1117">
        <v>19</v>
      </c>
      <c r="IW33" s="1129" t="s">
        <v>16911</v>
      </c>
      <c r="IX33" s="1117">
        <v>19</v>
      </c>
      <c r="IY33" s="1129" t="s">
        <v>16912</v>
      </c>
      <c r="IZ33" s="1153"/>
      <c r="JA33" s="1153"/>
      <c r="JB33" s="1153"/>
      <c r="JC33" s="1153"/>
      <c r="JD33" s="1117">
        <v>20</v>
      </c>
      <c r="JE33" s="1117" t="s">
        <v>16913</v>
      </c>
      <c r="JF33" s="1117">
        <v>20</v>
      </c>
      <c r="JG33" s="1117" t="s">
        <v>16914</v>
      </c>
      <c r="JH33" s="1117">
        <v>20</v>
      </c>
      <c r="JI33" s="1117" t="s">
        <v>16915</v>
      </c>
      <c r="JJ33" s="1153"/>
      <c r="JK33" s="1132">
        <v>45</v>
      </c>
      <c r="JL33" s="1132">
        <v>44</v>
      </c>
      <c r="JM33" s="1120" t="s">
        <v>16916</v>
      </c>
      <c r="JN33" s="1153"/>
      <c r="JO33" s="1153"/>
      <c r="JP33" s="1117">
        <v>19</v>
      </c>
      <c r="JQ33" s="1129" t="s">
        <v>16917</v>
      </c>
      <c r="JR33" s="1153"/>
      <c r="JS33" s="1153"/>
      <c r="JT33" s="1153" t="s">
        <v>16918</v>
      </c>
      <c r="JU33" s="533"/>
      <c r="JV33" s="533"/>
      <c r="JW33" s="533"/>
      <c r="JX33" s="1136">
        <v>20</v>
      </c>
      <c r="JY33" s="1136" t="s">
        <v>16919</v>
      </c>
      <c r="JZ33" s="1136" t="s">
        <v>16920</v>
      </c>
      <c r="KA33" s="1136" t="s">
        <v>2895</v>
      </c>
      <c r="KB33" s="1137" t="s">
        <v>14055</v>
      </c>
      <c r="KC33" s="1153"/>
      <c r="KD33" s="1153"/>
      <c r="KE33" s="1153"/>
      <c r="KF33" s="1153"/>
      <c r="KG33" s="1153"/>
      <c r="KH33" s="1153"/>
      <c r="KI33" s="1130">
        <v>19</v>
      </c>
      <c r="KJ33" s="1124" t="s">
        <v>16878</v>
      </c>
      <c r="KK33" s="1124" t="s">
        <v>16878</v>
      </c>
      <c r="KL33" s="1124" t="s">
        <v>16921</v>
      </c>
      <c r="KM33" s="1124" t="s">
        <v>13785</v>
      </c>
      <c r="KN33" s="1153"/>
      <c r="KO33" s="1131" t="s">
        <v>16922</v>
      </c>
      <c r="KP33" s="1131" t="s">
        <v>16923</v>
      </c>
      <c r="KQ33" s="1153"/>
      <c r="KR33" s="519">
        <v>20</v>
      </c>
      <c r="KS33" s="518" t="s">
        <v>16924</v>
      </c>
      <c r="KT33" s="1153"/>
      <c r="KU33" s="1153">
        <v>3</v>
      </c>
      <c r="KV33" s="1153" t="s">
        <v>16925</v>
      </c>
      <c r="KW33" s="1153"/>
      <c r="KX33" s="1153"/>
      <c r="KY33" s="1153"/>
      <c r="KZ33" s="1153"/>
      <c r="LA33" s="1153"/>
      <c r="LB33" s="1153"/>
      <c r="LC33" s="1153"/>
      <c r="LD33" s="1153"/>
      <c r="LE33" s="1153"/>
      <c r="LF33" s="1153"/>
      <c r="LG33" s="1153"/>
      <c r="LH33" s="1153"/>
      <c r="LI33" s="1153"/>
      <c r="LJ33" s="1153"/>
      <c r="LK33" s="1153"/>
      <c r="LL33" s="1153"/>
      <c r="LM33" s="1153"/>
      <c r="LN33" s="1153"/>
      <c r="LO33" s="1153"/>
      <c r="LP33" s="1153"/>
      <c r="LQ33" s="1153"/>
      <c r="LR33" s="1153"/>
      <c r="LS33" s="1247"/>
      <c r="LU33" s="1153"/>
      <c r="LV33" s="1153"/>
      <c r="LW33" s="1153"/>
      <c r="LX33" s="1153"/>
      <c r="LY33" s="1153" t="s">
        <v>12853</v>
      </c>
      <c r="LZ33" s="1140">
        <v>64</v>
      </c>
      <c r="MA33" s="1153" t="s">
        <v>17177</v>
      </c>
      <c r="MB33" s="1153"/>
      <c r="MC33" s="1153"/>
      <c r="MD33" s="1153"/>
      <c r="ME33" s="1153"/>
      <c r="MF33" s="1153"/>
      <c r="MG33" s="1153"/>
      <c r="MH33" s="1153"/>
      <c r="MI33" s="1153"/>
      <c r="MJ33" s="1153"/>
      <c r="MK33" s="1153"/>
      <c r="ML33" s="1153"/>
      <c r="MM33" s="1153"/>
      <c r="MN33" s="1153"/>
      <c r="MO33" s="1153"/>
      <c r="MP33" s="1153"/>
      <c r="MQ33" s="1153"/>
      <c r="MR33" s="1153"/>
      <c r="MS33" s="1153"/>
      <c r="MT33" s="1153"/>
      <c r="MU33" s="1153"/>
      <c r="MV33" s="1153"/>
      <c r="MW33" s="1153"/>
      <c r="MX33" s="1153"/>
      <c r="MY33" s="1153"/>
      <c r="MZ33" s="1153"/>
      <c r="NA33" s="1153"/>
      <c r="NB33" s="1153"/>
      <c r="NC33" s="1153"/>
      <c r="ND33" s="1153"/>
      <c r="NE33" s="1153"/>
      <c r="NF33" s="1153"/>
      <c r="NG33" s="1153"/>
      <c r="NH33" s="1153"/>
      <c r="NI33" s="1153"/>
      <c r="NJ33" s="1153"/>
      <c r="NK33" s="1153"/>
      <c r="NL33" s="1153"/>
      <c r="NM33" s="1153"/>
      <c r="NN33" s="1153"/>
      <c r="NO33" s="1153"/>
      <c r="NP33" s="1153"/>
      <c r="NQ33" s="1153"/>
      <c r="NR33" s="1153"/>
      <c r="NS33" s="1153"/>
      <c r="NT33" s="1153"/>
      <c r="NU33" s="1153"/>
      <c r="NV33" s="1153"/>
      <c r="NW33" s="1153"/>
      <c r="NX33" s="1153"/>
      <c r="NY33" s="1153"/>
      <c r="NZ33" s="1153"/>
      <c r="OA33" s="1153"/>
      <c r="OB33" s="1153"/>
      <c r="OC33" s="1153"/>
      <c r="OD33" s="1153"/>
      <c r="OE33" s="1153"/>
      <c r="OF33" s="1153"/>
      <c r="OG33" s="1153"/>
      <c r="OH33" s="1153"/>
      <c r="OI33" s="1153"/>
      <c r="OJ33" s="1153"/>
      <c r="OS33" s="651">
        <v>27</v>
      </c>
      <c r="OT33" s="1197" t="s">
        <v>18349</v>
      </c>
      <c r="OV33" s="651">
        <v>27</v>
      </c>
      <c r="OW33" s="1259" t="s">
        <v>12604</v>
      </c>
      <c r="OY33" s="1259" t="s">
        <v>9139</v>
      </c>
      <c r="OZ33" s="1259" t="s">
        <v>18436</v>
      </c>
      <c r="PA33" s="1259" t="s">
        <v>9143</v>
      </c>
      <c r="PB33" s="1259" t="s">
        <v>7743</v>
      </c>
      <c r="PS33" s="1259">
        <v>81</v>
      </c>
      <c r="PT33" s="1259" t="s">
        <v>18569</v>
      </c>
      <c r="PY33" s="1259">
        <v>9</v>
      </c>
      <c r="PZ33" s="1259" t="s">
        <v>18627</v>
      </c>
      <c r="QA33" s="1259" t="s">
        <v>18628</v>
      </c>
    </row>
    <row r="34" spans="1:443" ht="18.75" thickBot="1">
      <c r="A34" s="2">
        <v>32</v>
      </c>
      <c r="B34" s="2" t="s">
        <v>1275</v>
      </c>
      <c r="C34" s="27" t="s">
        <v>1509</v>
      </c>
      <c r="D34" s="2" t="s">
        <v>1328</v>
      </c>
      <c r="E34" s="28" t="s">
        <v>1550</v>
      </c>
      <c r="G34" s="2">
        <v>32</v>
      </c>
      <c r="H34" s="2" t="s">
        <v>1509</v>
      </c>
      <c r="I34" s="2" t="s">
        <v>1550</v>
      </c>
      <c r="K34" s="2">
        <v>32</v>
      </c>
      <c r="L34" s="2" t="s">
        <v>354</v>
      </c>
      <c r="N34" s="2" t="s">
        <v>13154</v>
      </c>
      <c r="P34" s="29">
        <v>31</v>
      </c>
      <c r="Q34" s="29" t="s">
        <v>92</v>
      </c>
      <c r="V34" s="2">
        <v>31</v>
      </c>
      <c r="W34" s="2" t="s">
        <v>1415</v>
      </c>
      <c r="Z34" s="1190"/>
      <c r="AA34" s="1208" t="s">
        <v>7453</v>
      </c>
      <c r="AB34" s="1209" t="s">
        <v>7451</v>
      </c>
      <c r="AC34" s="1210">
        <v>0</v>
      </c>
      <c r="AD34" s="1210">
        <v>18</v>
      </c>
      <c r="AE34" s="1210" t="s">
        <v>7445</v>
      </c>
      <c r="AF34" s="1208" t="s">
        <v>7445</v>
      </c>
      <c r="AG34" s="1190"/>
      <c r="AN34" s="2">
        <v>0</v>
      </c>
      <c r="AO34" s="2">
        <v>0</v>
      </c>
      <c r="AQ34" s="2" t="str">
        <v/>
      </c>
      <c r="AS34" s="1190"/>
      <c r="AT34" s="1190"/>
      <c r="AU34" s="106"/>
      <c r="AV34" s="106"/>
      <c r="AW34" s="106"/>
      <c r="AX34" s="106"/>
      <c r="AY34" s="106"/>
      <c r="AZ34" s="106"/>
      <c r="BA34" s="106"/>
      <c r="BB34" s="106"/>
      <c r="BC34" s="106"/>
      <c r="BD34" s="106"/>
      <c r="BE34" s="106"/>
      <c r="BF34" s="106"/>
      <c r="BG34" s="106"/>
      <c r="BH34" s="106"/>
      <c r="BI34" s="106"/>
      <c r="BJ34" s="406"/>
      <c r="BK34" s="406"/>
      <c r="BL34" s="1221"/>
      <c r="BM34" s="1221"/>
      <c r="CI34" s="2">
        <v>8</v>
      </c>
      <c r="CJ34" s="2" t="s">
        <v>2545</v>
      </c>
      <c r="CL34" s="2">
        <v>8</v>
      </c>
      <c r="CM34" s="2" t="s">
        <v>5824</v>
      </c>
      <c r="CO34" s="2">
        <v>8</v>
      </c>
      <c r="CP34" s="2" t="s">
        <v>2545</v>
      </c>
      <c r="CR34" s="2">
        <v>8</v>
      </c>
      <c r="CS34" s="2" t="s">
        <v>12652</v>
      </c>
      <c r="CU34" s="2" t="s">
        <v>12687</v>
      </c>
      <c r="CV34" s="2" t="s">
        <v>4546</v>
      </c>
      <c r="CX34" s="2" t="s">
        <v>2545</v>
      </c>
      <c r="CY34" s="2" t="s">
        <v>12738</v>
      </c>
      <c r="CZ34" s="2" t="s">
        <v>12739</v>
      </c>
      <c r="DM34" s="1222" t="s">
        <v>15592</v>
      </c>
      <c r="DN34" s="1201">
        <v>5</v>
      </c>
      <c r="DO34" s="1201">
        <v>0</v>
      </c>
      <c r="DP34" s="1201">
        <v>0</v>
      </c>
      <c r="DQ34" s="1190"/>
      <c r="DR34" s="1190"/>
      <c r="DS34" s="1190"/>
      <c r="DT34" s="1190"/>
      <c r="DU34" s="1190"/>
      <c r="DV34" s="1190"/>
      <c r="DW34" s="1190"/>
      <c r="DX34" s="1190"/>
      <c r="DZ34" s="1014" t="s">
        <v>7378</v>
      </c>
      <c r="EA34" s="1005">
        <v>65</v>
      </c>
      <c r="EB34" s="1016">
        <v>1</v>
      </c>
      <c r="EC34" s="1016">
        <v>0.7</v>
      </c>
      <c r="ED34" s="1196"/>
      <c r="EE34" s="1196">
        <f t="shared" si="6"/>
        <v>2</v>
      </c>
      <c r="EF34" s="1196">
        <f t="shared" si="7"/>
        <v>3</v>
      </c>
      <c r="EG34" s="1196">
        <f t="shared" si="8"/>
        <v>27</v>
      </c>
      <c r="EH34" s="1196">
        <f t="shared" si="9"/>
        <v>0</v>
      </c>
      <c r="EI34" s="1196"/>
      <c r="EJ34" s="1196"/>
      <c r="EK34" s="1196"/>
      <c r="EL34" s="1196"/>
      <c r="EM34" s="1196"/>
      <c r="EN34" s="1196"/>
      <c r="EO34" s="1196"/>
      <c r="EP34" s="1196"/>
      <c r="EQ34" s="1196"/>
      <c r="ER34" s="1196"/>
      <c r="ES34" s="1196"/>
      <c r="ET34" s="1196"/>
      <c r="EU34" s="1012">
        <f t="shared" ca="1" si="5"/>
        <v>0.53258703751400183</v>
      </c>
      <c r="EV34" s="1012">
        <f t="shared" ca="1" si="5"/>
        <v>0.27141416720360545</v>
      </c>
      <c r="EW34" s="1012">
        <f t="shared" ca="1" si="5"/>
        <v>0.25967771643655435</v>
      </c>
      <c r="EY34" s="1190"/>
      <c r="EZ34" s="1190"/>
      <c r="FA34" s="1190"/>
      <c r="FB34" s="1190"/>
      <c r="FC34" s="1190"/>
      <c r="FD34" s="1190"/>
      <c r="IQ34" s="1189"/>
      <c r="IT34" s="1153"/>
      <c r="IU34" s="1153"/>
      <c r="IV34" s="1117">
        <v>20</v>
      </c>
      <c r="IW34" s="1129" t="s">
        <v>16926</v>
      </c>
      <c r="IX34" s="1117">
        <v>20</v>
      </c>
      <c r="IY34" s="1129" t="s">
        <v>16927</v>
      </c>
      <c r="IZ34" s="1153"/>
      <c r="JA34" s="1153"/>
      <c r="JB34" s="1153"/>
      <c r="JC34" s="1153"/>
      <c r="JD34" s="1153"/>
      <c r="JE34" s="1153"/>
      <c r="JF34" s="1153"/>
      <c r="JG34" s="1153"/>
      <c r="JH34" s="1153"/>
      <c r="JI34" s="1153"/>
      <c r="JJ34" s="1153"/>
      <c r="JK34" s="1132" t="s">
        <v>12703</v>
      </c>
      <c r="JL34" s="1132">
        <v>45</v>
      </c>
      <c r="JM34" s="1120" t="s">
        <v>16928</v>
      </c>
      <c r="JN34" s="1153"/>
      <c r="JO34" s="1153"/>
      <c r="JP34" s="1117">
        <v>20</v>
      </c>
      <c r="JQ34" s="1129" t="s">
        <v>16929</v>
      </c>
      <c r="JR34" s="1153"/>
      <c r="JS34" s="1153"/>
      <c r="JT34" s="1153"/>
      <c r="JU34" s="1153"/>
      <c r="JV34" s="1153"/>
      <c r="JW34" s="1153"/>
      <c r="JX34" s="1153"/>
      <c r="JY34" s="1153"/>
      <c r="JZ34" s="1153"/>
      <c r="KA34" s="1153"/>
      <c r="KB34" s="1153"/>
      <c r="KC34" s="1153"/>
      <c r="KD34" s="1153"/>
      <c r="KE34" s="1153"/>
      <c r="KF34" s="1153"/>
      <c r="KG34" s="1153"/>
      <c r="KH34" s="1153"/>
      <c r="KI34" s="1130">
        <v>20</v>
      </c>
      <c r="KJ34" s="1124" t="s">
        <v>16930</v>
      </c>
      <c r="KK34" s="1124" t="s">
        <v>16921</v>
      </c>
      <c r="KL34" s="1124" t="s">
        <v>16930</v>
      </c>
      <c r="KM34" s="1124" t="s">
        <v>13785</v>
      </c>
      <c r="KN34" s="1153"/>
      <c r="KO34" s="1131" t="s">
        <v>16931</v>
      </c>
      <c r="KP34" s="1131" t="s">
        <v>16932</v>
      </c>
      <c r="KQ34" s="1153"/>
      <c r="KR34" s="1153"/>
      <c r="KS34" s="1153"/>
      <c r="KT34" s="1153"/>
      <c r="KU34" s="1153">
        <v>4</v>
      </c>
      <c r="KV34" s="1153" t="s">
        <v>16910</v>
      </c>
      <c r="KW34" s="1153"/>
      <c r="KX34" s="1153"/>
      <c r="KY34" s="1153"/>
      <c r="KZ34" s="1153"/>
      <c r="LA34" s="1153"/>
      <c r="LB34" s="1153"/>
      <c r="LC34" s="1153"/>
      <c r="LD34" s="1153"/>
      <c r="LE34" s="1153"/>
      <c r="LF34" s="1153"/>
      <c r="LG34" s="1153"/>
      <c r="LH34" s="1153"/>
      <c r="LI34" s="1153"/>
      <c r="LJ34" s="1153"/>
      <c r="LK34" s="1153"/>
      <c r="LL34" s="1153"/>
      <c r="LM34" s="1153"/>
      <c r="LN34" s="1153"/>
      <c r="LO34" s="1153"/>
      <c r="LP34" s="1153"/>
      <c r="LQ34" s="1153"/>
      <c r="LR34" s="1153"/>
      <c r="LS34" s="1247"/>
      <c r="LU34" s="1153"/>
      <c r="LV34" s="1153"/>
      <c r="LW34" s="1153"/>
      <c r="LX34" s="1153"/>
      <c r="LY34" s="1153" t="s">
        <v>17178</v>
      </c>
      <c r="LZ34" s="1140">
        <v>66</v>
      </c>
      <c r="MA34" s="1153" t="s">
        <v>17179</v>
      </c>
      <c r="MB34" s="1153"/>
      <c r="MC34" s="1153"/>
      <c r="MD34" s="1153"/>
      <c r="ME34" s="1153"/>
      <c r="MF34" s="1153"/>
      <c r="MG34" s="1153"/>
      <c r="MH34" s="1153"/>
      <c r="MI34" s="1153"/>
      <c r="MJ34" s="1153"/>
      <c r="MK34" s="1153"/>
      <c r="ML34" s="1153"/>
      <c r="MM34" s="1153"/>
      <c r="MN34" s="1153"/>
      <c r="MO34" s="1153"/>
      <c r="MP34" s="1153"/>
      <c r="MQ34" s="1153"/>
      <c r="MR34" s="1153"/>
      <c r="MS34" s="1153"/>
      <c r="MT34" s="1153"/>
      <c r="MU34" s="1153"/>
      <c r="MV34" s="1153"/>
      <c r="MW34" s="1153"/>
      <c r="MX34" s="1153"/>
      <c r="MY34" s="1153"/>
      <c r="MZ34" s="1153"/>
      <c r="NA34" s="1153"/>
      <c r="NB34" s="1153"/>
      <c r="NC34" s="1153"/>
      <c r="ND34" s="1153"/>
      <c r="NE34" s="1153"/>
      <c r="NF34" s="1153"/>
      <c r="NG34" s="1153"/>
      <c r="NH34" s="1153"/>
      <c r="NI34" s="1153"/>
      <c r="NJ34" s="1153"/>
      <c r="NK34" s="1153"/>
      <c r="NL34" s="1153"/>
      <c r="NM34" s="1153"/>
      <c r="NN34" s="1153"/>
      <c r="NO34" s="1153"/>
      <c r="NP34" s="1153"/>
      <c r="NQ34" s="1153"/>
      <c r="NR34" s="1153"/>
      <c r="NS34" s="1153"/>
      <c r="NT34" s="1153"/>
      <c r="NU34" s="1153"/>
      <c r="NV34" s="1153"/>
      <c r="NW34" s="1153"/>
      <c r="NX34" s="1153"/>
      <c r="NY34" s="1153"/>
      <c r="NZ34" s="1153"/>
      <c r="OA34" s="1153"/>
      <c r="OB34" s="1153"/>
      <c r="OC34" s="1153"/>
      <c r="OD34" s="1153"/>
      <c r="OE34" s="1153"/>
      <c r="OF34" s="1153"/>
      <c r="OG34" s="1153"/>
      <c r="OH34" s="1153"/>
      <c r="OI34" s="1153"/>
      <c r="OJ34" s="1153"/>
      <c r="OS34" s="651">
        <v>28</v>
      </c>
      <c r="OT34" s="1197" t="s">
        <v>18350</v>
      </c>
      <c r="OV34" s="651">
        <v>28</v>
      </c>
      <c r="OW34" s="1259" t="s">
        <v>18393</v>
      </c>
      <c r="OY34" s="1259" t="s">
        <v>9143</v>
      </c>
      <c r="OZ34" s="1259" t="s">
        <v>18437</v>
      </c>
      <c r="PA34" s="1259" t="s">
        <v>12821</v>
      </c>
      <c r="PB34" s="1259" t="s">
        <v>18473</v>
      </c>
      <c r="PS34" s="1259">
        <v>82</v>
      </c>
      <c r="PT34" s="1259" t="s">
        <v>18570</v>
      </c>
      <c r="PY34" s="1259">
        <v>10</v>
      </c>
      <c r="PZ34" s="1259" t="s">
        <v>18629</v>
      </c>
      <c r="QA34" s="1259" t="s">
        <v>18628</v>
      </c>
    </row>
    <row r="35" spans="1:443" ht="18.75" thickBot="1">
      <c r="A35" s="2">
        <v>33</v>
      </c>
      <c r="B35" s="2" t="s">
        <v>1276</v>
      </c>
      <c r="C35" s="27" t="s">
        <v>1510</v>
      </c>
      <c r="D35" s="2" t="s">
        <v>1329</v>
      </c>
      <c r="E35" s="28" t="s">
        <v>1551</v>
      </c>
      <c r="G35" s="2">
        <v>33</v>
      </c>
      <c r="H35" s="2" t="s">
        <v>1510</v>
      </c>
      <c r="I35" s="2" t="s">
        <v>1551</v>
      </c>
      <c r="K35" s="2">
        <v>33</v>
      </c>
      <c r="L35" s="2" t="s">
        <v>415</v>
      </c>
      <c r="N35" s="2" t="s">
        <v>13155</v>
      </c>
      <c r="P35" s="29">
        <v>32</v>
      </c>
      <c r="Q35" s="29" t="s">
        <v>1577</v>
      </c>
      <c r="V35" s="2">
        <v>32</v>
      </c>
      <c r="W35" s="2" t="s">
        <v>1416</v>
      </c>
      <c r="Z35" s="1190"/>
      <c r="AA35" s="1208" t="s">
        <v>7452</v>
      </c>
      <c r="AB35" s="1209" t="s">
        <v>7451</v>
      </c>
      <c r="AC35" s="1210">
        <v>0</v>
      </c>
      <c r="AD35" s="1210">
        <v>6</v>
      </c>
      <c r="AE35" s="1210" t="s">
        <v>7445</v>
      </c>
      <c r="AF35" s="1208" t="s">
        <v>7445</v>
      </c>
      <c r="AG35" s="1190"/>
      <c r="AN35" s="2">
        <v>0</v>
      </c>
      <c r="AO35" s="2">
        <v>0</v>
      </c>
      <c r="AQ35" s="2" t="str">
        <v/>
      </c>
      <c r="AS35" s="1190"/>
      <c r="AT35" s="1190"/>
      <c r="AU35" s="106"/>
      <c r="AV35" s="106"/>
      <c r="AW35" s="106"/>
      <c r="AX35" s="106"/>
      <c r="AY35" s="106"/>
      <c r="AZ35" s="106"/>
      <c r="BA35" s="106"/>
      <c r="BB35" s="106"/>
      <c r="BC35" s="106"/>
      <c r="BD35" s="106"/>
      <c r="BE35" s="106"/>
      <c r="BF35" s="106"/>
      <c r="BG35" s="106"/>
      <c r="BH35" s="106"/>
      <c r="BI35" s="106"/>
      <c r="BJ35" s="406"/>
      <c r="BK35" s="406"/>
      <c r="BL35" s="1221"/>
      <c r="BM35" s="1221"/>
      <c r="CI35" s="2">
        <v>9</v>
      </c>
      <c r="CJ35" s="2" t="s">
        <v>5824</v>
      </c>
      <c r="CL35" s="2">
        <v>9</v>
      </c>
      <c r="CM35" s="2" t="s">
        <v>12603</v>
      </c>
      <c r="CO35" s="2">
        <v>9</v>
      </c>
      <c r="CP35" s="2" t="s">
        <v>5824</v>
      </c>
      <c r="CR35" s="2">
        <v>9</v>
      </c>
      <c r="CS35" s="2" t="s">
        <v>12652</v>
      </c>
      <c r="CU35" s="2" t="s">
        <v>12688</v>
      </c>
      <c r="CV35" s="2" t="s">
        <v>12689</v>
      </c>
      <c r="CX35" s="2" t="s">
        <v>2535</v>
      </c>
      <c r="CY35" s="2">
        <v>35</v>
      </c>
      <c r="CZ35" s="2" t="s">
        <v>12740</v>
      </c>
      <c r="DM35" s="1222" t="s">
        <v>15593</v>
      </c>
      <c r="DN35" s="1201">
        <v>4</v>
      </c>
      <c r="DO35" s="1201">
        <v>0</v>
      </c>
      <c r="DP35" s="1201">
        <v>0</v>
      </c>
      <c r="DQ35" s="1190"/>
      <c r="DR35" s="1190"/>
      <c r="DS35" s="1190"/>
      <c r="DT35" s="1190"/>
      <c r="DU35" s="1190"/>
      <c r="DV35" s="1190"/>
      <c r="DW35" s="1190"/>
      <c r="DX35" s="1190"/>
      <c r="DZ35" s="1196"/>
      <c r="EA35" s="1196"/>
      <c r="EB35" s="1196"/>
      <c r="EC35" s="1196"/>
      <c r="ED35" s="1018"/>
      <c r="EE35" s="1196">
        <f t="shared" si="6"/>
        <v>-1</v>
      </c>
      <c r="EF35" s="1196">
        <f t="shared" si="7"/>
        <v>8</v>
      </c>
      <c r="EG35" s="1196">
        <f t="shared" si="8"/>
        <v>13</v>
      </c>
      <c r="EH35" s="1196">
        <f t="shared" si="9"/>
        <v>9</v>
      </c>
      <c r="EI35" s="1196"/>
      <c r="EJ35" s="1018"/>
      <c r="EK35" s="1196"/>
      <c r="EL35" s="1196"/>
      <c r="EM35" s="1196"/>
      <c r="EN35" s="1196"/>
      <c r="EO35" s="1196"/>
      <c r="EP35" s="1196"/>
      <c r="EQ35" s="1196"/>
      <c r="ER35" s="1196"/>
      <c r="ES35" s="1196"/>
      <c r="ET35" s="1196"/>
      <c r="EU35" s="1012">
        <f t="shared" ca="1" si="5"/>
        <v>0.40550381466432728</v>
      </c>
      <c r="EV35" s="1012">
        <f t="shared" ca="1" si="5"/>
        <v>0.91843576859873088</v>
      </c>
      <c r="EW35" s="1012">
        <f t="shared" ca="1" si="5"/>
        <v>0.55561861118216127</v>
      </c>
      <c r="EY35" s="1190"/>
      <c r="EZ35" s="1190"/>
      <c r="FA35" s="1190"/>
      <c r="FB35" s="1190"/>
      <c r="FC35" s="1190"/>
      <c r="FD35" s="1190"/>
      <c r="IQ35" s="1189"/>
      <c r="IT35" s="1153"/>
      <c r="IU35" s="1153"/>
      <c r="IV35" s="1153"/>
      <c r="IW35" s="1153"/>
      <c r="IX35" s="1153"/>
      <c r="IY35" s="1153"/>
      <c r="IZ35" s="1153"/>
      <c r="JA35" s="1153"/>
      <c r="JB35" s="1153"/>
      <c r="JC35" s="1153"/>
      <c r="JD35" s="1153"/>
      <c r="JE35" s="1153"/>
      <c r="JF35" s="1153"/>
      <c r="JG35" s="1153"/>
      <c r="JH35" s="1153"/>
      <c r="JI35" s="1153"/>
      <c r="JJ35" s="1153"/>
      <c r="JK35" s="1132" t="s">
        <v>12819</v>
      </c>
      <c r="JL35" s="1132">
        <v>47</v>
      </c>
      <c r="JM35" s="1120" t="s">
        <v>16933</v>
      </c>
      <c r="JN35" s="1153"/>
      <c r="JO35" s="1153"/>
      <c r="JP35" s="1153"/>
      <c r="JQ35" s="1153"/>
      <c r="JR35" s="1153"/>
      <c r="JS35" s="1153"/>
      <c r="JT35" s="1153"/>
      <c r="JU35" s="1153"/>
      <c r="JV35" s="1153"/>
      <c r="JW35" s="1153"/>
      <c r="JX35" s="1153"/>
      <c r="JY35" s="1153"/>
      <c r="JZ35" s="1153"/>
      <c r="KA35" s="1153"/>
      <c r="KB35" s="1153"/>
      <c r="KC35" s="1153"/>
      <c r="KD35" s="1153"/>
      <c r="KE35" s="1153"/>
      <c r="KF35" s="1153"/>
      <c r="KG35" s="1153"/>
      <c r="KH35" s="1153"/>
      <c r="KI35" s="1153"/>
      <c r="KJ35" s="1153"/>
      <c r="KK35" s="1153"/>
      <c r="KL35" s="1153"/>
      <c r="KM35" s="1153"/>
      <c r="KN35" s="1153"/>
      <c r="KO35" s="1131" t="s">
        <v>16934</v>
      </c>
      <c r="KP35" s="1131" t="s">
        <v>16666</v>
      </c>
      <c r="KQ35" s="1153"/>
      <c r="KR35" s="1153"/>
      <c r="KS35" s="1153"/>
      <c r="KT35" s="1153"/>
      <c r="KU35" s="1153">
        <v>5</v>
      </c>
      <c r="KV35" s="1153" t="s">
        <v>16935</v>
      </c>
      <c r="KW35" s="1153"/>
      <c r="KX35" s="1153"/>
      <c r="KY35" s="1153"/>
      <c r="KZ35" s="1153"/>
      <c r="LA35" s="1153"/>
      <c r="LB35" s="1153"/>
      <c r="LC35" s="1153"/>
      <c r="LD35" s="1153"/>
      <c r="LE35" s="1153"/>
      <c r="LF35" s="1153"/>
      <c r="LG35" s="1153"/>
      <c r="LH35" s="1153"/>
      <c r="LI35" s="1153"/>
      <c r="LJ35" s="1153"/>
      <c r="LK35" s="1153"/>
      <c r="LL35" s="1153"/>
      <c r="LM35" s="1153"/>
      <c r="LN35" s="1153"/>
      <c r="LO35" s="1153"/>
      <c r="LP35" s="1153"/>
      <c r="LQ35" s="1153"/>
      <c r="LR35" s="1153"/>
      <c r="LS35" s="1247"/>
      <c r="LU35" s="1153"/>
      <c r="LV35" s="1153"/>
      <c r="LW35" s="1153"/>
      <c r="LX35" s="1153"/>
      <c r="LY35" s="1153" t="s">
        <v>17180</v>
      </c>
      <c r="LZ35" s="1140">
        <v>68</v>
      </c>
      <c r="MA35" s="1153" t="s">
        <v>17181</v>
      </c>
      <c r="MB35" s="1153"/>
      <c r="MC35" s="1153"/>
      <c r="MD35" s="1153"/>
      <c r="ME35" s="1153"/>
      <c r="MF35" s="1153"/>
      <c r="MG35" s="1153"/>
      <c r="MH35" s="1153"/>
      <c r="MI35" s="1153"/>
      <c r="MJ35" s="1153"/>
      <c r="MK35" s="1153"/>
      <c r="ML35" s="1153"/>
      <c r="MM35" s="1153"/>
      <c r="MN35" s="1153"/>
      <c r="MO35" s="1153"/>
      <c r="MP35" s="1153"/>
      <c r="MQ35" s="1153"/>
      <c r="MR35" s="1153"/>
      <c r="MS35" s="1153"/>
      <c r="MT35" s="1153"/>
      <c r="MU35" s="1153"/>
      <c r="MV35" s="1153"/>
      <c r="MW35" s="1153"/>
      <c r="MX35" s="1153"/>
      <c r="MY35" s="1153"/>
      <c r="MZ35" s="1153"/>
      <c r="NA35" s="1153"/>
      <c r="NB35" s="1153"/>
      <c r="NC35" s="1153"/>
      <c r="ND35" s="1153"/>
      <c r="NE35" s="1153"/>
      <c r="NF35" s="1153"/>
      <c r="NG35" s="1153"/>
      <c r="NH35" s="1153"/>
      <c r="NI35" s="1153"/>
      <c r="NJ35" s="1153"/>
      <c r="NK35" s="1153"/>
      <c r="NL35" s="1153"/>
      <c r="NM35" s="1153"/>
      <c r="NN35" s="1153"/>
      <c r="NO35" s="1153"/>
      <c r="NP35" s="1153"/>
      <c r="NQ35" s="1153"/>
      <c r="NR35" s="1153"/>
      <c r="NS35" s="1153"/>
      <c r="NT35" s="1153"/>
      <c r="NU35" s="1153"/>
      <c r="NV35" s="1153"/>
      <c r="NW35" s="1153"/>
      <c r="NX35" s="1153"/>
      <c r="NY35" s="1153"/>
      <c r="NZ35" s="1153"/>
      <c r="OA35" s="1153"/>
      <c r="OB35" s="1153"/>
      <c r="OC35" s="1153"/>
      <c r="OD35" s="1153"/>
      <c r="OE35" s="1153"/>
      <c r="OF35" s="1153"/>
      <c r="OG35" s="1153"/>
      <c r="OH35" s="1153"/>
      <c r="OI35" s="1153"/>
      <c r="OJ35" s="1153"/>
      <c r="OS35" s="651">
        <v>29</v>
      </c>
      <c r="OT35" s="1197" t="s">
        <v>18351</v>
      </c>
      <c r="OV35" s="651">
        <v>29</v>
      </c>
      <c r="OW35" s="1259" t="s">
        <v>18394</v>
      </c>
      <c r="OY35" s="1259" t="s">
        <v>12821</v>
      </c>
      <c r="OZ35" s="1259" t="s">
        <v>18438</v>
      </c>
      <c r="PA35" s="1259" t="s">
        <v>12706</v>
      </c>
      <c r="PB35" s="1259" t="s">
        <v>18474</v>
      </c>
      <c r="PS35" s="1259">
        <v>83</v>
      </c>
      <c r="PT35" s="1259" t="s">
        <v>18571</v>
      </c>
      <c r="PY35" s="1259">
        <v>11</v>
      </c>
      <c r="PZ35" s="1259" t="s">
        <v>18630</v>
      </c>
      <c r="QA35" s="1259" t="s">
        <v>18628</v>
      </c>
    </row>
    <row r="36" spans="1:443" ht="18.75" thickBot="1">
      <c r="A36" s="2">
        <v>34</v>
      </c>
      <c r="B36" s="2" t="s">
        <v>1277</v>
      </c>
      <c r="C36" s="27" t="s">
        <v>1511</v>
      </c>
      <c r="D36" s="2" t="s">
        <v>1330</v>
      </c>
      <c r="E36" s="28" t="s">
        <v>1552</v>
      </c>
      <c r="G36" s="2">
        <v>34</v>
      </c>
      <c r="H36" s="2" t="s">
        <v>1511</v>
      </c>
      <c r="I36" s="2" t="s">
        <v>1552</v>
      </c>
      <c r="K36" s="2">
        <v>34</v>
      </c>
      <c r="L36" s="2" t="s">
        <v>416</v>
      </c>
      <c r="N36" s="2" t="s">
        <v>13156</v>
      </c>
      <c r="P36" s="29">
        <v>33</v>
      </c>
      <c r="Q36" s="29" t="s">
        <v>572</v>
      </c>
      <c r="V36" s="2">
        <v>33</v>
      </c>
      <c r="W36" s="2" t="s">
        <v>1417</v>
      </c>
      <c r="Z36" s="1190"/>
      <c r="AA36" s="1208" t="s">
        <v>7450</v>
      </c>
      <c r="AB36" s="1209" t="s">
        <v>7447</v>
      </c>
      <c r="AC36" s="1210">
        <v>5</v>
      </c>
      <c r="AD36" s="1210">
        <v>80</v>
      </c>
      <c r="AE36" s="1210" t="s">
        <v>1902</v>
      </c>
      <c r="AF36" s="1208" t="s">
        <v>7445</v>
      </c>
      <c r="AG36" s="1190"/>
      <c r="AN36" s="2">
        <v>0</v>
      </c>
      <c r="AO36" s="2">
        <v>0</v>
      </c>
      <c r="AQ36" s="2" t="str">
        <v/>
      </c>
      <c r="AS36" s="1190"/>
      <c r="AT36" s="1190"/>
      <c r="AU36" s="106"/>
      <c r="AV36" s="106"/>
      <c r="AW36" s="106"/>
      <c r="AX36" s="106"/>
      <c r="AY36" s="106"/>
      <c r="AZ36" s="106"/>
      <c r="BA36" s="106"/>
      <c r="BB36" s="106"/>
      <c r="BC36" s="106"/>
      <c r="BD36" s="106"/>
      <c r="BE36" s="106"/>
      <c r="BF36" s="106"/>
      <c r="BG36" s="106"/>
      <c r="BH36" s="106"/>
      <c r="BI36" s="106"/>
      <c r="BJ36" s="406"/>
      <c r="BK36" s="406"/>
      <c r="BL36" s="1221"/>
      <c r="BM36" s="1221"/>
      <c r="CI36" s="2">
        <v>10</v>
      </c>
      <c r="CJ36" s="2" t="s">
        <v>2901</v>
      </c>
      <c r="CL36" s="2">
        <v>10</v>
      </c>
      <c r="CM36" s="2" t="s">
        <v>12615</v>
      </c>
      <c r="CO36" s="2">
        <v>10</v>
      </c>
      <c r="CP36" s="2" t="s">
        <v>2901</v>
      </c>
      <c r="CR36" s="2">
        <v>10</v>
      </c>
      <c r="CS36" s="2" t="s">
        <v>12653</v>
      </c>
      <c r="CU36" s="2">
        <v>28</v>
      </c>
      <c r="CV36" s="2" t="s">
        <v>12690</v>
      </c>
      <c r="CX36" s="2" t="s">
        <v>12741</v>
      </c>
      <c r="CY36" s="2" t="s">
        <v>12739</v>
      </c>
      <c r="CZ36" s="2">
        <v>45</v>
      </c>
      <c r="DM36" s="1222" t="s">
        <v>15594</v>
      </c>
      <c r="DN36" s="1201">
        <v>8</v>
      </c>
      <c r="DO36" s="1201">
        <v>-1</v>
      </c>
      <c r="DP36" s="1201">
        <v>2</v>
      </c>
      <c r="DQ36" s="1190"/>
      <c r="DR36" s="1190"/>
      <c r="DS36" s="1190"/>
      <c r="DT36" s="1190"/>
      <c r="DU36" s="1190"/>
      <c r="DV36" s="1190"/>
      <c r="DW36" s="1190"/>
      <c r="DX36" s="1190"/>
      <c r="DZ36" s="1194" t="s">
        <v>15570</v>
      </c>
      <c r="EA36" s="1161" t="s">
        <v>15585</v>
      </c>
      <c r="EB36" s="1196"/>
      <c r="EC36" s="1196"/>
      <c r="ED36" s="1018"/>
      <c r="EE36" s="1196">
        <f t="shared" si="6"/>
        <v>-6</v>
      </c>
      <c r="EF36" s="1196">
        <f t="shared" si="7"/>
        <v>11</v>
      </c>
      <c r="EG36" s="1196">
        <f t="shared" si="8"/>
        <v>21</v>
      </c>
      <c r="EH36" s="1196">
        <f t="shared" si="9"/>
        <v>18</v>
      </c>
      <c r="EI36" s="1196"/>
      <c r="EJ36" s="1018"/>
      <c r="EK36" s="1196"/>
      <c r="EL36" s="1196"/>
      <c r="EM36" s="1196"/>
      <c r="EN36" s="1196"/>
      <c r="EO36" s="1196"/>
      <c r="EP36" s="1196"/>
      <c r="EQ36" s="1196"/>
      <c r="ER36" s="1196"/>
      <c r="ES36" s="1196"/>
      <c r="ET36" s="1196"/>
      <c r="EU36" s="1012">
        <f t="shared" ca="1" si="5"/>
        <v>0.18099116898039735</v>
      </c>
      <c r="EV36" s="1012">
        <f t="shared" ca="1" si="5"/>
        <v>0.38268419129407072</v>
      </c>
      <c r="EW36" s="1012">
        <f t="shared" ca="1" si="5"/>
        <v>0.60938390166999812</v>
      </c>
      <c r="EY36" s="1190"/>
      <c r="EZ36" s="1190"/>
      <c r="FA36" s="1190"/>
      <c r="FB36" s="1190"/>
      <c r="FC36" s="1190"/>
      <c r="FD36" s="1190"/>
      <c r="IQ36" s="1189"/>
      <c r="IT36" s="1153"/>
      <c r="IU36" s="1153"/>
      <c r="IV36" s="1153"/>
      <c r="IW36" s="1153"/>
      <c r="IX36" s="1153"/>
      <c r="IY36" s="1153"/>
      <c r="IZ36" s="1153"/>
      <c r="JA36" s="1153"/>
      <c r="JB36" s="1153"/>
      <c r="JC36" s="1153"/>
      <c r="JD36" s="1153"/>
      <c r="JE36" s="1153"/>
      <c r="JF36" s="1153"/>
      <c r="JG36" s="1153"/>
      <c r="JH36" s="1153"/>
      <c r="JI36" s="1153"/>
      <c r="JJ36" s="1153"/>
      <c r="JK36" s="1132" t="s">
        <v>16936</v>
      </c>
      <c r="JL36" s="1132">
        <v>49</v>
      </c>
      <c r="JM36" s="1120" t="s">
        <v>16937</v>
      </c>
      <c r="JN36" s="1153"/>
      <c r="JO36" s="1153"/>
      <c r="JP36" s="1153"/>
      <c r="JQ36" s="1153"/>
      <c r="JR36" s="1153"/>
      <c r="JS36" s="1153"/>
      <c r="JT36" s="1153"/>
      <c r="JU36" s="1153"/>
      <c r="JV36" s="1153"/>
      <c r="JW36" s="1153"/>
      <c r="JX36" s="1153"/>
      <c r="JY36" s="1153"/>
      <c r="JZ36" s="1153"/>
      <c r="KA36" s="1153"/>
      <c r="KB36" s="1153"/>
      <c r="KC36" s="1153"/>
      <c r="KD36" s="1153"/>
      <c r="KE36" s="1153"/>
      <c r="KF36" s="1153"/>
      <c r="KG36" s="1153"/>
      <c r="KH36" s="1153"/>
      <c r="KI36" s="1153" t="s">
        <v>16938</v>
      </c>
      <c r="KJ36" s="1153" t="s">
        <v>16939</v>
      </c>
      <c r="KK36" s="1153"/>
      <c r="KL36" s="1153"/>
      <c r="KM36" s="1153"/>
      <c r="KN36" s="1153"/>
      <c r="KO36" s="1131" t="s">
        <v>16940</v>
      </c>
      <c r="KP36" s="1131" t="s">
        <v>16941</v>
      </c>
      <c r="KQ36" s="1153"/>
      <c r="KR36" s="1153"/>
      <c r="KS36" s="1153"/>
      <c r="KT36" s="1153"/>
      <c r="KU36" s="1153">
        <v>6</v>
      </c>
      <c r="KV36" s="1153" t="s">
        <v>16942</v>
      </c>
      <c r="KW36" s="1153"/>
      <c r="KX36" s="1153"/>
      <c r="KY36" s="1153"/>
      <c r="KZ36" s="1153"/>
      <c r="LA36" s="1153"/>
      <c r="LB36" s="1153"/>
      <c r="LC36" s="1153"/>
      <c r="LD36" s="1153"/>
      <c r="LE36" s="1153"/>
      <c r="LF36" s="1153"/>
      <c r="LG36" s="1153"/>
      <c r="LH36" s="1153"/>
      <c r="LI36" s="1153"/>
      <c r="LJ36" s="1153"/>
      <c r="LK36" s="1153"/>
      <c r="LL36" s="1153"/>
      <c r="LM36" s="1153"/>
      <c r="LN36" s="1153"/>
      <c r="LO36" s="1153"/>
      <c r="LP36" s="1153"/>
      <c r="LQ36" s="1153"/>
      <c r="LR36" s="1153"/>
      <c r="LS36" s="1247"/>
      <c r="LU36" s="1153"/>
      <c r="LV36" s="1153"/>
      <c r="LW36" s="1153"/>
      <c r="LX36" s="1153"/>
      <c r="LY36" s="1153" t="s">
        <v>17182</v>
      </c>
      <c r="LZ36" s="1140">
        <v>71</v>
      </c>
      <c r="MA36" s="1153" t="s">
        <v>17183</v>
      </c>
      <c r="MB36" s="1153"/>
      <c r="MC36" s="1153"/>
      <c r="MD36" s="1153"/>
      <c r="ME36" s="1153"/>
      <c r="MF36" s="1153"/>
      <c r="MG36" s="1153"/>
      <c r="MH36" s="1153"/>
      <c r="MI36" s="1153"/>
      <c r="MJ36" s="1153"/>
      <c r="MK36" s="1153"/>
      <c r="ML36" s="1153"/>
      <c r="MM36" s="1153"/>
      <c r="MN36" s="1153"/>
      <c r="MO36" s="1153"/>
      <c r="MP36" s="1153"/>
      <c r="MQ36" s="1153"/>
      <c r="MR36" s="1153"/>
      <c r="MS36" s="1153"/>
      <c r="MT36" s="1153"/>
      <c r="MU36" s="1153"/>
      <c r="MV36" s="1153"/>
      <c r="MW36" s="1153"/>
      <c r="MX36" s="1153"/>
      <c r="MY36" s="1153"/>
      <c r="MZ36" s="1153"/>
      <c r="NA36" s="1153"/>
      <c r="NB36" s="1153"/>
      <c r="NC36" s="1153"/>
      <c r="ND36" s="1153"/>
      <c r="NE36" s="1153"/>
      <c r="NF36" s="1153"/>
      <c r="NG36" s="1153"/>
      <c r="NH36" s="1153"/>
      <c r="NI36" s="1153"/>
      <c r="NJ36" s="1153"/>
      <c r="NK36" s="1153"/>
      <c r="NL36" s="1153"/>
      <c r="NM36" s="1153"/>
      <c r="NN36" s="1153"/>
      <c r="NO36" s="1153"/>
      <c r="NP36" s="1153"/>
      <c r="NQ36" s="1153"/>
      <c r="NR36" s="1153"/>
      <c r="NS36" s="1153"/>
      <c r="NT36" s="1153"/>
      <c r="NU36" s="1153"/>
      <c r="NV36" s="1153"/>
      <c r="NW36" s="1153"/>
      <c r="NX36" s="1153"/>
      <c r="NY36" s="1153"/>
      <c r="NZ36" s="1153"/>
      <c r="OA36" s="1153"/>
      <c r="OB36" s="1153"/>
      <c r="OC36" s="1153"/>
      <c r="OD36" s="1153"/>
      <c r="OE36" s="1153"/>
      <c r="OF36" s="1153"/>
      <c r="OG36" s="1153"/>
      <c r="OH36" s="1153"/>
      <c r="OI36" s="1153"/>
      <c r="OJ36" s="1153"/>
      <c r="OS36" s="651">
        <v>30</v>
      </c>
      <c r="OT36" s="1197" t="s">
        <v>18352</v>
      </c>
      <c r="OV36" s="651">
        <v>30</v>
      </c>
      <c r="OW36" s="1259" t="s">
        <v>18395</v>
      </c>
      <c r="OY36" s="1259" t="s">
        <v>12706</v>
      </c>
      <c r="OZ36" s="1259" t="s">
        <v>18439</v>
      </c>
      <c r="PA36" s="1259" t="s">
        <v>12708</v>
      </c>
      <c r="PB36" s="1259" t="s">
        <v>18475</v>
      </c>
      <c r="PS36" s="1259">
        <v>84</v>
      </c>
      <c r="PT36" s="1259" t="s">
        <v>18572</v>
      </c>
      <c r="PY36" s="1259">
        <v>12</v>
      </c>
      <c r="PZ36" s="1259" t="s">
        <v>13259</v>
      </c>
      <c r="QA36" s="1259" t="s">
        <v>18631</v>
      </c>
    </row>
    <row r="37" spans="1:443" ht="18.75" thickBot="1">
      <c r="A37" s="2">
        <v>35</v>
      </c>
      <c r="B37" s="2" t="s">
        <v>1278</v>
      </c>
      <c r="C37" s="27" t="s">
        <v>1282</v>
      </c>
      <c r="D37" s="2" t="s">
        <v>1331</v>
      </c>
      <c r="E37" s="28" t="s">
        <v>1553</v>
      </c>
      <c r="G37" s="2">
        <v>35</v>
      </c>
      <c r="H37" s="2" t="s">
        <v>1282</v>
      </c>
      <c r="I37" s="2" t="s">
        <v>1553</v>
      </c>
      <c r="K37" s="2">
        <v>35</v>
      </c>
      <c r="L37" s="2" t="s">
        <v>417</v>
      </c>
      <c r="N37" s="2" t="s">
        <v>13157</v>
      </c>
      <c r="P37" s="29">
        <v>34</v>
      </c>
      <c r="Q37" s="29" t="s">
        <v>1578</v>
      </c>
      <c r="V37" s="2">
        <v>34</v>
      </c>
      <c r="W37" s="2" t="s">
        <v>1418</v>
      </c>
      <c r="Z37" s="1190"/>
      <c r="AA37" s="1208" t="s">
        <v>7449</v>
      </c>
      <c r="AB37" s="1209" t="s">
        <v>7447</v>
      </c>
      <c r="AC37" s="1210">
        <v>0</v>
      </c>
      <c r="AD37" s="1210">
        <v>20</v>
      </c>
      <c r="AE37" s="1210" t="s">
        <v>1902</v>
      </c>
      <c r="AF37" s="1208" t="s">
        <v>7445</v>
      </c>
      <c r="AG37" s="1190"/>
      <c r="AN37" s="2">
        <v>0</v>
      </c>
      <c r="AO37" s="2">
        <v>0</v>
      </c>
      <c r="AQ37" s="2" t="str">
        <v/>
      </c>
      <c r="AS37" s="1190"/>
      <c r="AT37" s="1190"/>
      <c r="AU37" s="1191"/>
      <c r="AV37" s="1191"/>
      <c r="AW37" s="1191"/>
      <c r="AX37" s="1191"/>
      <c r="AY37" s="1191"/>
      <c r="AZ37" s="1191"/>
      <c r="BA37" s="1191"/>
      <c r="BB37" s="1221"/>
      <c r="BC37" s="407"/>
      <c r="BD37" s="1221"/>
      <c r="BE37" s="1221"/>
      <c r="BF37" s="406"/>
      <c r="BG37" s="406"/>
      <c r="BH37" s="406"/>
      <c r="BI37" s="406"/>
      <c r="BJ37" s="406"/>
      <c r="BK37" s="406"/>
      <c r="BL37" s="1221"/>
      <c r="BM37" s="1221"/>
      <c r="BN37" s="610" t="str" cm="1">
        <f t="array" aca="1" ref="BN37" ca="1">INDEX(Таблиця21[From],RANDBETWEEN(1,5),1)</f>
        <v>1. Tower</v>
      </c>
      <c r="CI37" s="2">
        <v>11</v>
      </c>
      <c r="CJ37" s="2" t="s">
        <v>12605</v>
      </c>
      <c r="CL37" s="2">
        <v>11</v>
      </c>
      <c r="CM37" s="2" t="s">
        <v>2545</v>
      </c>
      <c r="CO37" s="2">
        <v>11</v>
      </c>
      <c r="CP37" s="2" t="s">
        <v>12605</v>
      </c>
      <c r="CR37" s="2">
        <v>11</v>
      </c>
      <c r="CS37" s="2" t="s">
        <v>15315</v>
      </c>
      <c r="CU37" s="2">
        <v>29</v>
      </c>
      <c r="CV37" s="2" t="s">
        <v>12691</v>
      </c>
      <c r="CX37" s="2" t="s">
        <v>12742</v>
      </c>
      <c r="CY37" s="2" t="s">
        <v>12740</v>
      </c>
      <c r="CZ37" s="2" t="s">
        <v>7685</v>
      </c>
      <c r="DM37" s="1222" t="s">
        <v>15595</v>
      </c>
      <c r="DN37" s="1201">
        <v>2</v>
      </c>
      <c r="DO37" s="1201">
        <v>0</v>
      </c>
      <c r="DP37" s="1201">
        <v>0</v>
      </c>
      <c r="DQ37" s="1190"/>
      <c r="DR37" s="1190"/>
      <c r="DS37" s="1190"/>
      <c r="DT37" s="1190"/>
      <c r="DU37" s="1190"/>
      <c r="DV37" s="1190"/>
      <c r="DW37" s="1190"/>
      <c r="DX37" s="1190"/>
      <c r="DZ37" s="1021" t="s">
        <v>7532</v>
      </c>
      <c r="EA37" s="998">
        <v>-100</v>
      </c>
      <c r="EB37" s="1196"/>
      <c r="EC37" s="1196"/>
      <c r="ED37" s="1196"/>
      <c r="EE37" s="1196">
        <f t="shared" si="6"/>
        <v>-3</v>
      </c>
      <c r="EF37" s="1196">
        <f t="shared" si="7"/>
        <v>8</v>
      </c>
      <c r="EG37" s="1196">
        <f t="shared" si="8"/>
        <v>18</v>
      </c>
      <c r="EH37" s="1196">
        <f t="shared" si="9"/>
        <v>23</v>
      </c>
      <c r="EI37" s="1196"/>
      <c r="EJ37" s="1196"/>
      <c r="EK37" s="1196"/>
      <c r="EL37" s="1196"/>
      <c r="EM37" s="1196"/>
      <c r="EN37" s="1196"/>
      <c r="EO37" s="1196"/>
      <c r="EP37" s="1196"/>
      <c r="EQ37" s="1196"/>
      <c r="ER37" s="1196"/>
      <c r="ES37" s="1196"/>
      <c r="ET37" s="1196"/>
      <c r="EU37" s="1012">
        <f t="shared" ca="1" si="5"/>
        <v>0.13875923024288939</v>
      </c>
      <c r="EV37" s="1012">
        <f t="shared" ca="1" si="5"/>
        <v>0.45683322084294153</v>
      </c>
      <c r="EW37" s="1012">
        <f t="shared" ca="1" si="5"/>
        <v>0.50522058988540397</v>
      </c>
      <c r="EY37" s="1190"/>
      <c r="EZ37" s="1190"/>
      <c r="FA37" s="1190"/>
      <c r="FB37" s="1190"/>
      <c r="FC37" s="1190"/>
      <c r="FD37" s="1190"/>
      <c r="IQ37" s="1189"/>
      <c r="IT37" s="1153"/>
      <c r="IU37" s="1153"/>
      <c r="IV37" s="1153"/>
      <c r="IW37" s="1153"/>
      <c r="IX37" s="1153"/>
      <c r="IY37" s="1153"/>
      <c r="IZ37" s="1153"/>
      <c r="JA37" s="1153"/>
      <c r="JB37" s="1153"/>
      <c r="JC37" s="1153"/>
      <c r="JD37" s="1153"/>
      <c r="JE37" s="1153"/>
      <c r="JF37" s="1153"/>
      <c r="JG37" s="1153"/>
      <c r="JH37" s="1153"/>
      <c r="JI37" s="1153"/>
      <c r="JJ37" s="1153"/>
      <c r="JK37" s="1132" t="s">
        <v>16943</v>
      </c>
      <c r="JL37" s="1132">
        <v>51</v>
      </c>
      <c r="JM37" s="1120" t="s">
        <v>16944</v>
      </c>
      <c r="JN37" s="1153"/>
      <c r="JO37" s="1153"/>
      <c r="JP37" s="1153"/>
      <c r="JQ37" s="1153"/>
      <c r="JR37" s="1153"/>
      <c r="JS37" s="1153"/>
      <c r="JT37" s="1153"/>
      <c r="JU37" s="1153"/>
      <c r="JV37" s="1153"/>
      <c r="JW37" s="1153"/>
      <c r="JX37" s="1153"/>
      <c r="JY37" s="1153"/>
      <c r="JZ37" s="1153"/>
      <c r="KA37" s="1153"/>
      <c r="KB37" s="1153"/>
      <c r="KC37" s="1153"/>
      <c r="KD37" s="1153"/>
      <c r="KE37" s="1153"/>
      <c r="KF37" s="1153"/>
      <c r="KG37" s="1153"/>
      <c r="KH37" s="1153"/>
      <c r="KI37" s="1153"/>
      <c r="KJ37" s="1153"/>
      <c r="KK37" s="1153"/>
      <c r="KL37" s="1153"/>
      <c r="KM37" s="1153"/>
      <c r="KN37" s="1153"/>
      <c r="KO37" s="1131" t="s">
        <v>16945</v>
      </c>
      <c r="KP37" s="1131" t="s">
        <v>16946</v>
      </c>
      <c r="KQ37" s="1153"/>
      <c r="KR37" s="1153"/>
      <c r="KS37" s="1153"/>
      <c r="KT37" s="1153"/>
      <c r="KU37" s="1153">
        <v>7</v>
      </c>
      <c r="KV37" s="1153" t="s">
        <v>16715</v>
      </c>
      <c r="KW37" s="1153"/>
      <c r="KX37" s="1153"/>
      <c r="KY37" s="1153"/>
      <c r="KZ37" s="1153"/>
      <c r="LA37" s="1153"/>
      <c r="LB37" s="1153"/>
      <c r="LC37" s="1153"/>
      <c r="LD37" s="1153"/>
      <c r="LE37" s="1153"/>
      <c r="LF37" s="1153"/>
      <c r="LG37" s="1153"/>
      <c r="LH37" s="1153"/>
      <c r="LI37" s="1153"/>
      <c r="LJ37" s="1153"/>
      <c r="LK37" s="1153"/>
      <c r="LL37" s="1153"/>
      <c r="LM37" s="1153"/>
      <c r="LN37" s="1153"/>
      <c r="LO37" s="1153"/>
      <c r="LP37" s="1153"/>
      <c r="LQ37" s="1153"/>
      <c r="LR37" s="1153"/>
      <c r="LS37" s="1247"/>
      <c r="LU37" s="1153"/>
      <c r="LV37" s="1153"/>
      <c r="LW37" s="1153"/>
      <c r="LX37" s="1153"/>
      <c r="LY37" s="1153" t="s">
        <v>17184</v>
      </c>
      <c r="LZ37" s="1140">
        <v>74</v>
      </c>
      <c r="MA37" s="1153" t="s">
        <v>17185</v>
      </c>
      <c r="MB37" s="1153"/>
      <c r="MC37" s="1153"/>
      <c r="MD37" s="1153"/>
      <c r="ME37" s="1153"/>
      <c r="MF37" s="1153"/>
      <c r="MG37" s="1153"/>
      <c r="MH37" s="1153"/>
      <c r="MI37" s="1153"/>
      <c r="MJ37" s="1153"/>
      <c r="MK37" s="1153"/>
      <c r="ML37" s="1153"/>
      <c r="MM37" s="1153"/>
      <c r="MN37" s="1153"/>
      <c r="MO37" s="1153"/>
      <c r="MP37" s="1153"/>
      <c r="MQ37" s="1153"/>
      <c r="MR37" s="1153"/>
      <c r="MS37" s="1153"/>
      <c r="MT37" s="1153"/>
      <c r="MU37" s="1153"/>
      <c r="MV37" s="1153"/>
      <c r="MW37" s="1153"/>
      <c r="MX37" s="1153"/>
      <c r="MY37" s="1153"/>
      <c r="MZ37" s="1153"/>
      <c r="NA37" s="1153"/>
      <c r="NB37" s="1153"/>
      <c r="NC37" s="1153"/>
      <c r="ND37" s="1153"/>
      <c r="NE37" s="1153"/>
      <c r="NF37" s="1153"/>
      <c r="NG37" s="1153"/>
      <c r="NH37" s="1153"/>
      <c r="NI37" s="1153"/>
      <c r="NJ37" s="1153"/>
      <c r="NK37" s="1153"/>
      <c r="NL37" s="1153"/>
      <c r="NM37" s="1153"/>
      <c r="NN37" s="1153"/>
      <c r="NO37" s="1153"/>
      <c r="NP37" s="1153"/>
      <c r="NQ37" s="1153"/>
      <c r="NR37" s="1153"/>
      <c r="NS37" s="1153"/>
      <c r="NT37" s="1153"/>
      <c r="NU37" s="1153"/>
      <c r="NV37" s="1153"/>
      <c r="NW37" s="1153"/>
      <c r="NX37" s="1153"/>
      <c r="NY37" s="1153"/>
      <c r="NZ37" s="1153"/>
      <c r="OA37" s="1153"/>
      <c r="OB37" s="1153"/>
      <c r="OC37" s="1153"/>
      <c r="OD37" s="1153"/>
      <c r="OE37" s="1153"/>
      <c r="OF37" s="1153"/>
      <c r="OG37" s="1153"/>
      <c r="OH37" s="1153"/>
      <c r="OI37" s="1153"/>
      <c r="OJ37" s="1153"/>
      <c r="OS37" s="651">
        <v>31</v>
      </c>
      <c r="OT37" s="1197" t="s">
        <v>18353</v>
      </c>
      <c r="OV37" s="651">
        <v>31</v>
      </c>
      <c r="OW37" s="1259" t="s">
        <v>18396</v>
      </c>
      <c r="OY37" s="1259" t="s">
        <v>12708</v>
      </c>
      <c r="OZ37" s="1259" t="s">
        <v>18440</v>
      </c>
      <c r="PA37" s="1259" t="s">
        <v>12868</v>
      </c>
      <c r="PB37" s="1259" t="s">
        <v>18476</v>
      </c>
      <c r="PS37" s="1259">
        <v>85</v>
      </c>
      <c r="PT37" s="1259" t="s">
        <v>18573</v>
      </c>
      <c r="PY37" s="1259">
        <v>13</v>
      </c>
      <c r="PZ37" s="1259" t="s">
        <v>18632</v>
      </c>
      <c r="QA37" s="1259" t="s">
        <v>18631</v>
      </c>
    </row>
    <row r="38" spans="1:443" ht="18.75" thickBot="1">
      <c r="A38" s="2">
        <v>36</v>
      </c>
      <c r="B38" s="2" t="s">
        <v>1279</v>
      </c>
      <c r="C38" s="27" t="s">
        <v>1512</v>
      </c>
      <c r="D38" s="2" t="s">
        <v>1332</v>
      </c>
      <c r="E38" s="28" t="s">
        <v>1330</v>
      </c>
      <c r="G38" s="2">
        <v>36</v>
      </c>
      <c r="H38" s="2" t="s">
        <v>1512</v>
      </c>
      <c r="I38" s="2" t="s">
        <v>1330</v>
      </c>
      <c r="K38" s="2">
        <v>36</v>
      </c>
      <c r="L38" s="2" t="s">
        <v>228</v>
      </c>
      <c r="N38" s="2" t="s">
        <v>13158</v>
      </c>
      <c r="P38" s="29">
        <v>35</v>
      </c>
      <c r="Q38" s="29" t="s">
        <v>554</v>
      </c>
      <c r="V38" s="2">
        <v>35</v>
      </c>
      <c r="W38" s="2" t="s">
        <v>1419</v>
      </c>
      <c r="Z38" s="1190"/>
      <c r="AA38" s="1208" t="s">
        <v>7448</v>
      </c>
      <c r="AB38" s="1209" t="s">
        <v>7447</v>
      </c>
      <c r="AC38" s="1210">
        <v>0</v>
      </c>
      <c r="AD38" s="1210">
        <v>20</v>
      </c>
      <c r="AE38" s="1210" t="s">
        <v>1902</v>
      </c>
      <c r="AF38" s="1208" t="s">
        <v>7445</v>
      </c>
      <c r="AG38" s="1190"/>
      <c r="AN38" s="2">
        <v>0</v>
      </c>
      <c r="AO38" s="2">
        <v>0</v>
      </c>
      <c r="AQ38" s="2" t="str">
        <v/>
      </c>
      <c r="AS38" s="1190"/>
      <c r="AT38" s="1190"/>
      <c r="AU38" s="1191"/>
      <c r="AV38" s="1191"/>
      <c r="AW38" s="1191"/>
      <c r="AX38" s="1191"/>
      <c r="AY38" s="1191"/>
      <c r="AZ38" s="1191"/>
      <c r="BA38" s="1191"/>
      <c r="BB38" s="1191"/>
      <c r="BC38" s="1191"/>
      <c r="BD38" s="1191"/>
      <c r="BE38" s="1191"/>
      <c r="BF38" s="403"/>
      <c r="BG38" s="403"/>
      <c r="BH38" s="403"/>
      <c r="BI38" s="403"/>
      <c r="BJ38" s="403"/>
      <c r="BK38" s="403"/>
      <c r="BL38" s="1191"/>
      <c r="BM38" s="1191"/>
      <c r="BN38" s="2" t="s">
        <v>1643</v>
      </c>
      <c r="BO38" s="2" t="s">
        <v>1948</v>
      </c>
      <c r="BQ38" s="60" t="s">
        <v>1643</v>
      </c>
      <c r="BR38" s="2" t="s">
        <v>2300</v>
      </c>
      <c r="CI38" s="2">
        <v>12</v>
      </c>
      <c r="CJ38" s="2" t="s">
        <v>3789</v>
      </c>
      <c r="CL38" s="2">
        <v>12</v>
      </c>
      <c r="CM38" s="2" t="s">
        <v>12616</v>
      </c>
      <c r="CO38" s="2">
        <v>12</v>
      </c>
      <c r="CP38" s="2" t="s">
        <v>3789</v>
      </c>
      <c r="CR38" s="2">
        <v>12</v>
      </c>
      <c r="CS38" s="2" t="s">
        <v>12654</v>
      </c>
      <c r="CU38" s="2">
        <v>30</v>
      </c>
      <c r="CV38" s="2" t="s">
        <v>12692</v>
      </c>
      <c r="CX38" s="2" t="s">
        <v>3885</v>
      </c>
      <c r="CY38" s="2" t="s">
        <v>12743</v>
      </c>
      <c r="CZ38" s="2" t="s">
        <v>12703</v>
      </c>
      <c r="DM38" s="1192" t="s">
        <v>5705</v>
      </c>
      <c r="DN38" s="1201">
        <v>0.5</v>
      </c>
      <c r="DO38" s="1201">
        <v>0</v>
      </c>
      <c r="DP38" s="1201">
        <v>0</v>
      </c>
      <c r="DQ38" s="1190"/>
      <c r="DR38" s="1190"/>
      <c r="DS38" s="1190"/>
      <c r="DT38" s="1190"/>
      <c r="DU38" s="1190"/>
      <c r="DV38" s="1190"/>
      <c r="DW38" s="1190"/>
      <c r="DX38" s="1190"/>
      <c r="DZ38" s="1021" t="s">
        <v>13413</v>
      </c>
      <c r="EA38" s="1005">
        <v>0</v>
      </c>
      <c r="EB38" s="1196"/>
      <c r="EC38" s="1196"/>
      <c r="ED38" s="1196"/>
      <c r="EE38" s="1196"/>
      <c r="EF38" s="1196">
        <f t="shared" si="7"/>
        <v>8</v>
      </c>
      <c r="EG38" s="1196">
        <f t="shared" si="8"/>
        <v>13</v>
      </c>
      <c r="EH38" s="1196">
        <f t="shared" si="9"/>
        <v>29</v>
      </c>
      <c r="EI38" s="1196"/>
      <c r="EJ38" s="1196"/>
      <c r="EK38" s="1196"/>
      <c r="EL38" s="1196"/>
      <c r="EM38" s="1196"/>
      <c r="EN38" s="1196"/>
      <c r="EO38" s="1196"/>
      <c r="EP38" s="1196"/>
      <c r="EQ38" s="1196"/>
      <c r="ER38" s="1196"/>
      <c r="ES38" s="1196"/>
      <c r="ET38" s="1196"/>
      <c r="EU38" s="1003">
        <f t="shared" ca="1" si="5"/>
        <v>0.85009267105025987</v>
      </c>
      <c r="EV38" s="1003">
        <f t="shared" ca="1" si="5"/>
        <v>1.8943883226417713E-2</v>
      </c>
      <c r="EW38" s="1003">
        <f t="shared" ca="1" si="5"/>
        <v>0.63069050679278948</v>
      </c>
      <c r="EY38" s="1190"/>
      <c r="EZ38" s="1190"/>
      <c r="FA38" s="1190"/>
      <c r="FB38" s="1190"/>
      <c r="FC38" s="1190"/>
      <c r="FD38" s="1190"/>
      <c r="IQ38" s="1189"/>
      <c r="IT38" s="1153"/>
      <c r="IU38" s="1153"/>
      <c r="IV38" s="1153"/>
      <c r="IW38" s="1153"/>
      <c r="IX38" s="1153"/>
      <c r="IY38" s="1153"/>
      <c r="IZ38" s="1153"/>
      <c r="JA38" s="1153"/>
      <c r="JB38" s="1153"/>
      <c r="JC38" s="1153"/>
      <c r="JD38" s="1153"/>
      <c r="JE38" s="1153"/>
      <c r="JF38" s="1153"/>
      <c r="JG38" s="1153"/>
      <c r="JH38" s="1153"/>
      <c r="JI38" s="1153"/>
      <c r="JJ38" s="1153"/>
      <c r="JK38" s="1132" t="s">
        <v>16947</v>
      </c>
      <c r="JL38" s="1132">
        <v>53</v>
      </c>
      <c r="JM38" s="1120" t="s">
        <v>16948</v>
      </c>
      <c r="JN38" s="1153"/>
      <c r="JO38" s="1153"/>
      <c r="JP38" s="1153"/>
      <c r="JQ38" s="1153"/>
      <c r="JR38" s="1153"/>
      <c r="JS38" s="1153"/>
      <c r="JT38" s="1153"/>
      <c r="JU38" s="1153"/>
      <c r="JV38" s="1153"/>
      <c r="JW38" s="1153"/>
      <c r="JX38" s="1153"/>
      <c r="JY38" s="1153"/>
      <c r="JZ38" s="1153"/>
      <c r="KA38" s="1153"/>
      <c r="KB38" s="1153"/>
      <c r="KC38" s="1153"/>
      <c r="KD38" s="1153"/>
      <c r="KE38" s="1153"/>
      <c r="KF38" s="1153"/>
      <c r="KG38" s="1153"/>
      <c r="KH38" s="1153"/>
      <c r="KI38" s="1153"/>
      <c r="KJ38" s="1153"/>
      <c r="KK38" s="1153"/>
      <c r="KL38" s="1153"/>
      <c r="KM38" s="1153"/>
      <c r="KN38" s="1153"/>
      <c r="KO38" s="1131" t="s">
        <v>16949</v>
      </c>
      <c r="KP38" s="1131" t="s">
        <v>16950</v>
      </c>
      <c r="KQ38" s="1153"/>
      <c r="KR38" s="1153"/>
      <c r="KS38" s="1153"/>
      <c r="KT38" s="1153"/>
      <c r="KU38" s="1153">
        <v>8</v>
      </c>
      <c r="KV38" s="1153" t="s">
        <v>9343</v>
      </c>
      <c r="KW38" s="1153"/>
      <c r="KX38" s="1153"/>
      <c r="KY38" s="1153"/>
      <c r="KZ38" s="1153"/>
      <c r="LA38" s="1153"/>
      <c r="LB38" s="1153"/>
      <c r="LC38" s="1153"/>
      <c r="LD38" s="1153"/>
      <c r="LE38" s="1153"/>
      <c r="LF38" s="1153"/>
      <c r="LG38" s="1153"/>
      <c r="LH38" s="1153"/>
      <c r="LI38" s="1153"/>
      <c r="LJ38" s="1153"/>
      <c r="LK38" s="1153"/>
      <c r="LL38" s="1153"/>
      <c r="LM38" s="1153"/>
      <c r="LN38" s="1153"/>
      <c r="LO38" s="1153"/>
      <c r="LP38" s="1153"/>
      <c r="LQ38" s="1153"/>
      <c r="LR38" s="1153"/>
      <c r="LS38" s="1247"/>
      <c r="LU38" s="1153"/>
      <c r="LV38" s="1153"/>
      <c r="LW38" s="1153"/>
      <c r="LX38" s="1153"/>
      <c r="LY38" s="1153" t="s">
        <v>17186</v>
      </c>
      <c r="LZ38" s="1140">
        <v>77</v>
      </c>
      <c r="MA38" s="1153" t="s">
        <v>7347</v>
      </c>
      <c r="MB38" s="1153"/>
      <c r="MC38" s="1153"/>
      <c r="MD38" s="1153"/>
      <c r="ME38" s="1153"/>
      <c r="MF38" s="1153"/>
      <c r="MG38" s="1153"/>
      <c r="MH38" s="1153"/>
      <c r="MI38" s="1153"/>
      <c r="MJ38" s="1153"/>
      <c r="MK38" s="1153"/>
      <c r="ML38" s="1153"/>
      <c r="MM38" s="1153"/>
      <c r="MN38" s="1153"/>
      <c r="MO38" s="1153"/>
      <c r="MP38" s="1153"/>
      <c r="MQ38" s="1153"/>
      <c r="MR38" s="1153"/>
      <c r="MS38" s="1153"/>
      <c r="MT38" s="1153"/>
      <c r="MU38" s="1153"/>
      <c r="MV38" s="1153"/>
      <c r="MW38" s="1153"/>
      <c r="MX38" s="1153"/>
      <c r="MY38" s="1153"/>
      <c r="MZ38" s="1153"/>
      <c r="NA38" s="1153"/>
      <c r="NB38" s="1153"/>
      <c r="NC38" s="1153"/>
      <c r="ND38" s="1153"/>
      <c r="NE38" s="1153"/>
      <c r="NF38" s="1153"/>
      <c r="NG38" s="1153"/>
      <c r="NH38" s="1153"/>
      <c r="NI38" s="1153"/>
      <c r="NJ38" s="1153"/>
      <c r="NK38" s="1153"/>
      <c r="NL38" s="1153"/>
      <c r="NM38" s="1153"/>
      <c r="NN38" s="1153"/>
      <c r="NO38" s="1153"/>
      <c r="NP38" s="1153"/>
      <c r="NQ38" s="1153"/>
      <c r="NR38" s="1153"/>
      <c r="NS38" s="1153"/>
      <c r="NT38" s="1153"/>
      <c r="NU38" s="1153"/>
      <c r="NV38" s="1153"/>
      <c r="NW38" s="1153"/>
      <c r="NX38" s="1153"/>
      <c r="NY38" s="1153"/>
      <c r="NZ38" s="1153"/>
      <c r="OA38" s="1153"/>
      <c r="OB38" s="1153"/>
      <c r="OC38" s="1153"/>
      <c r="OD38" s="1153"/>
      <c r="OE38" s="1153"/>
      <c r="OF38" s="1153"/>
      <c r="OG38" s="1153"/>
      <c r="OH38" s="1153"/>
      <c r="OI38" s="1153"/>
      <c r="OJ38" s="1153"/>
      <c r="OS38" s="651">
        <v>32</v>
      </c>
      <c r="OT38" s="1197" t="s">
        <v>18354</v>
      </c>
      <c r="OV38" s="651">
        <v>32</v>
      </c>
      <c r="OW38" s="1259" t="s">
        <v>18397</v>
      </c>
      <c r="OY38" s="1259" t="s">
        <v>12868</v>
      </c>
      <c r="OZ38" s="1259" t="s">
        <v>18441</v>
      </c>
      <c r="PA38" s="1259" t="s">
        <v>16955</v>
      </c>
      <c r="PB38" s="1259" t="s">
        <v>18477</v>
      </c>
      <c r="PS38" s="1259">
        <v>86</v>
      </c>
      <c r="PT38" s="1259" t="s">
        <v>18574</v>
      </c>
      <c r="PY38" s="1259">
        <v>14</v>
      </c>
      <c r="PZ38" s="1259" t="s">
        <v>18633</v>
      </c>
      <c r="QA38" s="1259" t="s">
        <v>18634</v>
      </c>
    </row>
    <row r="39" spans="1:443" ht="18.75" thickBot="1">
      <c r="A39" s="2">
        <v>37</v>
      </c>
      <c r="B39" s="2" t="s">
        <v>1280</v>
      </c>
      <c r="C39" s="27" t="s">
        <v>1513</v>
      </c>
      <c r="D39" s="2" t="s">
        <v>1333</v>
      </c>
      <c r="E39" s="28" t="s">
        <v>1554</v>
      </c>
      <c r="G39" s="2">
        <v>37</v>
      </c>
      <c r="H39" s="2" t="s">
        <v>1513</v>
      </c>
      <c r="I39" s="2" t="s">
        <v>1554</v>
      </c>
      <c r="K39" s="2">
        <v>37</v>
      </c>
      <c r="L39" s="2" t="s">
        <v>207</v>
      </c>
      <c r="N39" s="2" t="s">
        <v>13159</v>
      </c>
      <c r="P39" s="29">
        <v>36</v>
      </c>
      <c r="Q39" s="29" t="s">
        <v>573</v>
      </c>
      <c r="V39" s="2">
        <v>36</v>
      </c>
      <c r="W39" s="2" t="s">
        <v>1420</v>
      </c>
      <c r="Z39" s="1190"/>
      <c r="AA39" s="1208" t="s">
        <v>7177</v>
      </c>
      <c r="AB39" s="1223" t="s">
        <v>7446</v>
      </c>
      <c r="AC39" s="1208">
        <v>0</v>
      </c>
      <c r="AD39" s="1208">
        <v>350000</v>
      </c>
      <c r="AE39" s="1208" t="s">
        <v>1902</v>
      </c>
      <c r="AF39" s="1208" t="s">
        <v>7445</v>
      </c>
      <c r="AG39" s="1190"/>
      <c r="AN39" s="2">
        <v>0</v>
      </c>
      <c r="AO39" s="2">
        <v>0</v>
      </c>
      <c r="AQ39" s="2" t="str">
        <v/>
      </c>
      <c r="AS39" s="1190"/>
      <c r="AT39" s="1190"/>
      <c r="AU39" s="1191"/>
      <c r="AV39" s="1191"/>
      <c r="AW39" s="1191"/>
      <c r="BA39" s="1191"/>
      <c r="BB39" s="1191"/>
      <c r="BC39" s="1191"/>
      <c r="BD39" s="1191"/>
      <c r="BE39" s="1191"/>
      <c r="BF39" s="403"/>
      <c r="BG39" s="403"/>
      <c r="BH39" s="403"/>
      <c r="BI39" s="403"/>
      <c r="BJ39" s="403"/>
      <c r="BK39" s="403"/>
      <c r="BL39" s="1191"/>
      <c r="BM39" s="1191"/>
      <c r="BN39" s="2">
        <v>1</v>
      </c>
      <c r="BO39" s="2" t="s">
        <v>1949</v>
      </c>
      <c r="BQ39" s="2">
        <v>1</v>
      </c>
      <c r="BR39" s="2" t="s">
        <v>2301</v>
      </c>
      <c r="BV39" s="2">
        <v>1</v>
      </c>
      <c r="BW39" s="2" t="s">
        <v>1979</v>
      </c>
      <c r="CI39" s="2">
        <v>13</v>
      </c>
      <c r="CJ39" s="2" t="s">
        <v>12606</v>
      </c>
      <c r="CL39" s="2">
        <v>13</v>
      </c>
      <c r="CM39" s="2" t="s">
        <v>12617</v>
      </c>
      <c r="CO39" s="2">
        <v>13</v>
      </c>
      <c r="CP39" s="2" t="s">
        <v>12606</v>
      </c>
      <c r="CR39" s="2">
        <v>13</v>
      </c>
      <c r="CS39" s="2" t="s">
        <v>12654</v>
      </c>
      <c r="CU39" s="2">
        <v>31</v>
      </c>
      <c r="CV39" s="2" t="s">
        <v>12693</v>
      </c>
      <c r="CX39" s="2" t="s">
        <v>5805</v>
      </c>
      <c r="CY39" s="2" t="s">
        <v>12744</v>
      </c>
      <c r="CZ39" s="2" t="s">
        <v>12745</v>
      </c>
      <c r="DM39" s="1222" t="s">
        <v>15596</v>
      </c>
      <c r="DN39" s="1201">
        <v>1</v>
      </c>
      <c r="DO39" s="1201">
        <v>0</v>
      </c>
      <c r="DP39" s="1201">
        <v>0</v>
      </c>
      <c r="DQ39" s="1190"/>
      <c r="DR39" s="1190"/>
      <c r="DS39" s="1190"/>
      <c r="DT39" s="1190"/>
      <c r="DU39" s="1190"/>
      <c r="DV39" s="1190"/>
      <c r="DW39" s="1190"/>
      <c r="DX39" s="1190"/>
      <c r="DZ39" s="1014" t="s">
        <v>6811</v>
      </c>
      <c r="EA39" s="998">
        <v>32</v>
      </c>
      <c r="EB39" s="1196"/>
      <c r="EC39" s="1196"/>
      <c r="ED39" s="1196"/>
      <c r="EE39" s="1196"/>
      <c r="EF39" s="1196">
        <f t="shared" si="7"/>
        <v>3</v>
      </c>
      <c r="EG39" s="1196">
        <f t="shared" si="8"/>
        <v>10</v>
      </c>
      <c r="EH39" s="1196">
        <f t="shared" si="9"/>
        <v>38</v>
      </c>
      <c r="EI39" s="1196"/>
      <c r="EJ39" s="1196"/>
      <c r="EK39" s="1196"/>
      <c r="EL39" s="1196"/>
      <c r="EM39" s="1196"/>
      <c r="EN39" s="1196"/>
      <c r="EO39" s="1196"/>
      <c r="EP39" s="1196"/>
      <c r="EQ39" s="1196"/>
      <c r="ER39" s="1196"/>
      <c r="ES39" s="1196"/>
      <c r="ET39" s="1196"/>
      <c r="EU39" s="1003">
        <f t="shared" ca="1" si="5"/>
        <v>0.13337805279265524</v>
      </c>
      <c r="EV39" s="1003">
        <f t="shared" ca="1" si="5"/>
        <v>0.22917972981162382</v>
      </c>
      <c r="EW39" s="1003">
        <f t="shared" ca="1" si="5"/>
        <v>0.29837948276698578</v>
      </c>
      <c r="EY39" s="1190"/>
      <c r="EZ39" s="1190"/>
      <c r="FA39" s="1190"/>
      <c r="FB39" s="1190"/>
      <c r="FC39" s="1190"/>
      <c r="FD39" s="1190"/>
      <c r="IQ39" s="1189"/>
      <c r="IT39" s="1153"/>
      <c r="IU39" s="1153"/>
      <c r="IV39" s="1153"/>
      <c r="IW39" s="1153"/>
      <c r="IX39" s="1153"/>
      <c r="IY39" s="1153"/>
      <c r="IZ39" s="1153"/>
      <c r="JA39" s="1153"/>
      <c r="JB39" s="1153"/>
      <c r="JC39" s="1153"/>
      <c r="JD39" s="1153"/>
      <c r="JE39" s="1153"/>
      <c r="JF39" s="1153"/>
      <c r="JG39" s="1153"/>
      <c r="JH39" s="1153"/>
      <c r="JI39" s="1153"/>
      <c r="JJ39" s="1153"/>
      <c r="JK39" s="1132" t="s">
        <v>12868</v>
      </c>
      <c r="JL39" s="1132">
        <v>56</v>
      </c>
      <c r="JM39" s="1120" t="s">
        <v>16951</v>
      </c>
      <c r="JN39" s="1153"/>
      <c r="JO39" s="1153"/>
      <c r="JP39" s="1153"/>
      <c r="JQ39" s="1153"/>
      <c r="JR39" s="1153"/>
      <c r="JS39" s="1153"/>
      <c r="JT39" s="1153"/>
      <c r="JU39" s="1153"/>
      <c r="JV39" s="1153"/>
      <c r="JW39" s="1153"/>
      <c r="JX39" s="1153"/>
      <c r="JY39" s="1153"/>
      <c r="JZ39" s="1153"/>
      <c r="KA39" s="1153"/>
      <c r="KB39" s="1153"/>
      <c r="KC39" s="1153"/>
      <c r="KD39" s="1153"/>
      <c r="KE39" s="1153"/>
      <c r="KF39" s="1153"/>
      <c r="KG39" s="1153"/>
      <c r="KH39" s="1153"/>
      <c r="KI39" s="1153"/>
      <c r="KJ39" s="1153"/>
      <c r="KK39" s="1153"/>
      <c r="KL39" s="1153"/>
      <c r="KM39" s="1153"/>
      <c r="KN39" s="1153"/>
      <c r="KO39" s="1131" t="s">
        <v>16952</v>
      </c>
      <c r="KP39" s="1131" t="s">
        <v>16953</v>
      </c>
      <c r="KQ39" s="1153"/>
      <c r="KR39" s="1153"/>
      <c r="KS39" s="1153"/>
      <c r="KT39" s="1153"/>
      <c r="KU39" s="1153">
        <v>9</v>
      </c>
      <c r="KV39" s="1153" t="s">
        <v>16954</v>
      </c>
      <c r="KW39" s="1153"/>
      <c r="KX39" s="1153"/>
      <c r="KY39" s="1153"/>
      <c r="KZ39" s="1153"/>
      <c r="LA39" s="1153"/>
      <c r="LB39" s="1153"/>
      <c r="LC39" s="1153"/>
      <c r="LD39" s="1153"/>
      <c r="LE39" s="1153"/>
      <c r="LF39" s="1153"/>
      <c r="LG39" s="1153"/>
      <c r="LH39" s="1153"/>
      <c r="LI39" s="1153"/>
      <c r="LJ39" s="1153"/>
      <c r="LK39" s="1153"/>
      <c r="LL39" s="1153"/>
      <c r="LM39" s="1153"/>
      <c r="LN39" s="1153"/>
      <c r="LO39" s="1153"/>
      <c r="LP39" s="1153"/>
      <c r="LQ39" s="1153"/>
      <c r="LR39" s="1153"/>
      <c r="LS39" s="1247"/>
      <c r="LU39" s="1153"/>
      <c r="LV39" s="1153"/>
      <c r="LW39" s="1153"/>
      <c r="LX39" s="1153"/>
      <c r="LY39" s="1153" t="s">
        <v>17187</v>
      </c>
      <c r="LZ39" s="1140">
        <v>81</v>
      </c>
      <c r="MA39" s="1153" t="s">
        <v>17188</v>
      </c>
      <c r="MB39" s="1153"/>
      <c r="MC39" s="1153"/>
      <c r="MD39" s="1153"/>
      <c r="ME39" s="1153"/>
      <c r="MF39" s="1153"/>
      <c r="MG39" s="1153"/>
      <c r="MH39" s="1153"/>
      <c r="MI39" s="1153"/>
      <c r="MJ39" s="1153"/>
      <c r="MK39" s="1153"/>
      <c r="ML39" s="1153"/>
      <c r="MM39" s="1153"/>
      <c r="MN39" s="1153"/>
      <c r="MO39" s="1153"/>
      <c r="MP39" s="1153"/>
      <c r="MQ39" s="1153"/>
      <c r="MR39" s="1153"/>
      <c r="MS39" s="1153"/>
      <c r="MT39" s="1153"/>
      <c r="MU39" s="1153"/>
      <c r="MV39" s="1153"/>
      <c r="MW39" s="1153"/>
      <c r="MX39" s="1153"/>
      <c r="MY39" s="1153"/>
      <c r="MZ39" s="1153"/>
      <c r="NA39" s="1153"/>
      <c r="NB39" s="1153"/>
      <c r="NC39" s="1153"/>
      <c r="ND39" s="1153"/>
      <c r="NE39" s="1153"/>
      <c r="NF39" s="1153"/>
      <c r="NG39" s="1153"/>
      <c r="NH39" s="1153"/>
      <c r="NI39" s="1153"/>
      <c r="NJ39" s="1153"/>
      <c r="NK39" s="1153"/>
      <c r="NL39" s="1153"/>
      <c r="NM39" s="1153"/>
      <c r="NN39" s="1153"/>
      <c r="NO39" s="1153"/>
      <c r="NP39" s="1153"/>
      <c r="NQ39" s="1153"/>
      <c r="NR39" s="1153"/>
      <c r="NS39" s="1153"/>
      <c r="NT39" s="1153"/>
      <c r="NU39" s="1153"/>
      <c r="NV39" s="1153"/>
      <c r="NW39" s="1153"/>
      <c r="NX39" s="1153"/>
      <c r="NY39" s="1153"/>
      <c r="NZ39" s="1153"/>
      <c r="OA39" s="1153"/>
      <c r="OB39" s="1153"/>
      <c r="OC39" s="1153"/>
      <c r="OD39" s="1153"/>
      <c r="OE39" s="1153"/>
      <c r="OF39" s="1153"/>
      <c r="OG39" s="1153"/>
      <c r="OH39" s="1153"/>
      <c r="OI39" s="1153"/>
      <c r="OJ39" s="1153"/>
      <c r="OS39" s="651">
        <v>33</v>
      </c>
      <c r="OT39" s="1197" t="s">
        <v>18355</v>
      </c>
      <c r="OV39" s="651">
        <v>33</v>
      </c>
      <c r="OW39" s="1259" t="s">
        <v>18398</v>
      </c>
      <c r="OY39" s="1259" t="s">
        <v>16955</v>
      </c>
      <c r="OZ39" s="1259" t="s">
        <v>2450</v>
      </c>
      <c r="PA39" s="1259" t="s">
        <v>12765</v>
      </c>
      <c r="PB39" s="1259" t="s">
        <v>18478</v>
      </c>
      <c r="PS39" s="1259">
        <v>87</v>
      </c>
      <c r="PT39" s="1259" t="s">
        <v>18575</v>
      </c>
      <c r="PY39" s="1259">
        <v>15</v>
      </c>
      <c r="PZ39" s="1259" t="s">
        <v>13785</v>
      </c>
      <c r="QA39" s="1259" t="s">
        <v>7370</v>
      </c>
    </row>
    <row r="40" spans="1:443" ht="18.75" thickBot="1">
      <c r="A40" s="2">
        <v>38</v>
      </c>
      <c r="B40" s="2" t="s">
        <v>1281</v>
      </c>
      <c r="C40" s="27" t="s">
        <v>1514</v>
      </c>
      <c r="D40" s="2" t="s">
        <v>1334</v>
      </c>
      <c r="E40" s="28" t="s">
        <v>1555</v>
      </c>
      <c r="G40" s="2">
        <v>38</v>
      </c>
      <c r="H40" s="2" t="s">
        <v>1514</v>
      </c>
      <c r="I40" s="2" t="s">
        <v>1555</v>
      </c>
      <c r="K40" s="2">
        <v>38</v>
      </c>
      <c r="L40" s="2" t="s">
        <v>231</v>
      </c>
      <c r="N40" s="2" t="s">
        <v>13160</v>
      </c>
      <c r="P40" s="29">
        <v>37</v>
      </c>
      <c r="Q40" s="29" t="s">
        <v>1579</v>
      </c>
      <c r="V40" s="2">
        <v>37</v>
      </c>
      <c r="W40" s="2" t="s">
        <v>1421</v>
      </c>
      <c r="Z40" s="1190"/>
      <c r="AA40" s="1190"/>
      <c r="AB40" s="1190"/>
      <c r="AC40" s="1190"/>
      <c r="AD40" s="1190"/>
      <c r="AE40" s="1190"/>
      <c r="AF40" s="1190"/>
      <c r="AG40" s="1190"/>
      <c r="AN40" s="2">
        <v>0</v>
      </c>
      <c r="AO40" s="2">
        <v>0</v>
      </c>
      <c r="AQ40" s="2" t="str">
        <v/>
      </c>
      <c r="AS40" s="1190"/>
      <c r="AT40" s="1190"/>
      <c r="AU40" s="1190"/>
      <c r="AV40" s="1190"/>
      <c r="AW40" s="1190"/>
      <c r="BA40" s="1190"/>
      <c r="BB40" s="1190"/>
      <c r="BC40" s="1190"/>
      <c r="BD40" s="1190"/>
      <c r="BE40" s="1190"/>
      <c r="BF40" s="1190"/>
      <c r="BG40" s="1190"/>
      <c r="BH40" s="1190"/>
      <c r="BI40" s="1190"/>
      <c r="BJ40" s="1190"/>
      <c r="BK40" s="1190"/>
      <c r="BL40" s="1190"/>
      <c r="BM40" s="1190"/>
      <c r="BN40" s="2">
        <v>2</v>
      </c>
      <c r="BO40" s="2" t="s">
        <v>1950</v>
      </c>
      <c r="BQ40" s="2">
        <v>2</v>
      </c>
      <c r="BR40" s="2" t="s">
        <v>2302</v>
      </c>
      <c r="BV40" s="2">
        <v>2</v>
      </c>
      <c r="BW40" s="2" t="s">
        <v>1980</v>
      </c>
      <c r="CI40" s="2">
        <v>14</v>
      </c>
      <c r="CJ40" s="2" t="s">
        <v>12607</v>
      </c>
      <c r="CL40" s="2">
        <v>14</v>
      </c>
      <c r="CM40" s="2" t="s">
        <v>12618</v>
      </c>
      <c r="CO40" s="2">
        <v>14</v>
      </c>
      <c r="CP40" s="2" t="s">
        <v>12607</v>
      </c>
      <c r="CR40" s="2">
        <v>14</v>
      </c>
      <c r="CS40" s="2" t="s">
        <v>12655</v>
      </c>
      <c r="CU40" s="2">
        <v>32</v>
      </c>
      <c r="CV40" s="2" t="s">
        <v>12679</v>
      </c>
      <c r="CX40" s="2" t="s">
        <v>2612</v>
      </c>
      <c r="CY40" s="2" t="s">
        <v>12746</v>
      </c>
      <c r="CZ40" s="2" t="s">
        <v>8084</v>
      </c>
      <c r="DM40" s="1192" t="s">
        <v>5703</v>
      </c>
      <c r="DN40" s="1201">
        <v>7</v>
      </c>
      <c r="DO40" s="1201">
        <v>0</v>
      </c>
      <c r="DP40" s="1201">
        <v>0</v>
      </c>
      <c r="DQ40" s="1190"/>
      <c r="DR40" s="1190"/>
      <c r="DS40" s="1190"/>
      <c r="DT40" s="1190"/>
      <c r="DU40" s="1190"/>
      <c r="DV40" s="1190"/>
      <c r="DW40" s="1190"/>
      <c r="DX40" s="1190"/>
      <c r="DZ40" s="1014" t="s">
        <v>15586</v>
      </c>
      <c r="EA40" s="1005">
        <v>48</v>
      </c>
      <c r="EB40" s="1196"/>
      <c r="EC40" s="1196"/>
      <c r="ED40" s="1196"/>
      <c r="EE40" s="1196"/>
      <c r="EF40" s="1196">
        <f t="shared" si="7"/>
        <v>-3</v>
      </c>
      <c r="EG40" s="1196">
        <f t="shared" si="8"/>
        <v>4</v>
      </c>
      <c r="EH40" s="1196"/>
      <c r="EI40" s="1196"/>
      <c r="EJ40" s="1196"/>
      <c r="EK40" s="1196"/>
      <c r="EL40" s="1196"/>
      <c r="EM40" s="1196"/>
      <c r="EN40" s="1196"/>
      <c r="EO40" s="1196"/>
      <c r="EP40" s="1196"/>
      <c r="EQ40" s="1196"/>
      <c r="ER40" s="1196"/>
      <c r="ES40" s="1196"/>
      <c r="ET40" s="1196"/>
      <c r="EU40" s="1003">
        <f t="shared" ca="1" si="5"/>
        <v>0.7892476106219285</v>
      </c>
      <c r="EV40" s="1003">
        <f t="shared" ca="1" si="5"/>
        <v>8.9844474036365307E-2</v>
      </c>
      <c r="EW40" s="1003">
        <f t="shared" ca="1" si="5"/>
        <v>0.28320289233281282</v>
      </c>
      <c r="EY40" s="1190"/>
      <c r="EZ40" s="1190"/>
      <c r="FA40" s="1190"/>
      <c r="FB40" s="1190"/>
      <c r="FC40" s="1190"/>
      <c r="FD40" s="1190"/>
      <c r="IQ40" s="1189"/>
      <c r="IT40" s="1153"/>
      <c r="IU40" s="1153"/>
      <c r="IV40" s="1153"/>
      <c r="IW40" s="1153"/>
      <c r="IX40" s="1153"/>
      <c r="IY40" s="1153"/>
      <c r="IZ40" s="1153"/>
      <c r="JA40" s="1153"/>
      <c r="JB40" s="1153"/>
      <c r="JC40" s="1153"/>
      <c r="JD40" s="1153"/>
      <c r="JE40" s="1153"/>
      <c r="JF40" s="1153"/>
      <c r="JG40" s="1153"/>
      <c r="JH40" s="1153"/>
      <c r="JI40" s="1153"/>
      <c r="JJ40" s="1153"/>
      <c r="JK40" s="1132" t="s">
        <v>16955</v>
      </c>
      <c r="JL40" s="1132">
        <v>58</v>
      </c>
      <c r="JM40" s="1120" t="s">
        <v>16956</v>
      </c>
      <c r="JN40" s="1153"/>
      <c r="JO40" s="1153"/>
      <c r="JP40" s="1153"/>
      <c r="JQ40" s="1153"/>
      <c r="JR40" s="1153"/>
      <c r="JS40" s="1153"/>
      <c r="JT40" s="1153"/>
      <c r="JU40" s="1153"/>
      <c r="JV40" s="1153"/>
      <c r="JW40" s="1153"/>
      <c r="JX40" s="1153"/>
      <c r="JY40" s="1153"/>
      <c r="JZ40" s="1153"/>
      <c r="KA40" s="1153"/>
      <c r="KB40" s="1153"/>
      <c r="KC40" s="1153"/>
      <c r="KD40" s="1153"/>
      <c r="KE40" s="1153"/>
      <c r="KF40" s="1153"/>
      <c r="KG40" s="1153"/>
      <c r="KH40" s="1153"/>
      <c r="KI40" s="1153"/>
      <c r="KJ40" s="1153"/>
      <c r="KK40" s="1153"/>
      <c r="KL40" s="1153"/>
      <c r="KM40" s="1153"/>
      <c r="KN40" s="1153"/>
      <c r="KO40" s="1131" t="s">
        <v>16957</v>
      </c>
      <c r="KP40" s="1131" t="s">
        <v>16666</v>
      </c>
      <c r="KQ40" s="1153"/>
      <c r="KR40" s="1153"/>
      <c r="KS40" s="1153"/>
      <c r="KT40" s="1153"/>
      <c r="KU40" s="1153">
        <v>10</v>
      </c>
      <c r="KV40" s="1153" t="s">
        <v>16958</v>
      </c>
      <c r="KW40" s="1153"/>
      <c r="KX40" s="1153"/>
      <c r="KY40" s="1153"/>
      <c r="KZ40" s="1153"/>
      <c r="LA40" s="1153"/>
      <c r="LB40" s="1153"/>
      <c r="LC40" s="1153"/>
      <c r="LD40" s="1153"/>
      <c r="LE40" s="1153"/>
      <c r="LF40" s="1153"/>
      <c r="LG40" s="1153"/>
      <c r="LH40" s="1153"/>
      <c r="LI40" s="1153"/>
      <c r="LJ40" s="1153"/>
      <c r="LK40" s="1153"/>
      <c r="LL40" s="1153"/>
      <c r="LM40" s="1153"/>
      <c r="LN40" s="1153"/>
      <c r="LO40" s="1153"/>
      <c r="LP40" s="1153"/>
      <c r="LQ40" s="1153"/>
      <c r="LR40" s="1153"/>
      <c r="LS40" s="1247"/>
      <c r="LU40" s="1153"/>
      <c r="LV40" s="1153"/>
      <c r="LW40" s="1153"/>
      <c r="LX40" s="1153"/>
      <c r="LY40" s="1153" t="s">
        <v>12830</v>
      </c>
      <c r="LZ40" s="1140">
        <v>84</v>
      </c>
      <c r="MA40" s="1153" t="s">
        <v>17189</v>
      </c>
      <c r="MB40" s="1153"/>
      <c r="MC40" s="1153"/>
      <c r="MD40" s="1153"/>
      <c r="ME40" s="1153"/>
      <c r="MF40" s="1153"/>
      <c r="MG40" s="1153"/>
      <c r="MH40" s="1153"/>
      <c r="MI40" s="1153"/>
      <c r="MJ40" s="1153"/>
      <c r="MK40" s="1153"/>
      <c r="ML40" s="1153"/>
      <c r="MM40" s="1153"/>
      <c r="MN40" s="1153"/>
      <c r="MO40" s="1153"/>
      <c r="MP40" s="1153"/>
      <c r="MQ40" s="1153"/>
      <c r="MR40" s="1153"/>
      <c r="MS40" s="1153"/>
      <c r="MT40" s="1153"/>
      <c r="MU40" s="1153"/>
      <c r="MV40" s="1153"/>
      <c r="MW40" s="1153"/>
      <c r="MX40" s="1153"/>
      <c r="MY40" s="1153"/>
      <c r="MZ40" s="1153"/>
      <c r="NA40" s="1153"/>
      <c r="NB40" s="1153"/>
      <c r="NC40" s="1153"/>
      <c r="ND40" s="1153"/>
      <c r="NE40" s="1153"/>
      <c r="NF40" s="1153"/>
      <c r="NG40" s="1153"/>
      <c r="NH40" s="1153"/>
      <c r="NI40" s="1153"/>
      <c r="NJ40" s="1153"/>
      <c r="NK40" s="1153"/>
      <c r="NL40" s="1153"/>
      <c r="NM40" s="1153"/>
      <c r="NN40" s="1153"/>
      <c r="NO40" s="1153"/>
      <c r="NP40" s="1153"/>
      <c r="NQ40" s="1153"/>
      <c r="NR40" s="1153"/>
      <c r="NS40" s="1153"/>
      <c r="NT40" s="1153"/>
      <c r="NU40" s="1153"/>
      <c r="NV40" s="1153"/>
      <c r="NW40" s="1153"/>
      <c r="NX40" s="1153"/>
      <c r="NY40" s="1153"/>
      <c r="NZ40" s="1153"/>
      <c r="OA40" s="1153"/>
      <c r="OB40" s="1153"/>
      <c r="OC40" s="1153"/>
      <c r="OD40" s="1153"/>
      <c r="OE40" s="1153"/>
      <c r="OF40" s="1153"/>
      <c r="OG40" s="1153"/>
      <c r="OH40" s="1153"/>
      <c r="OI40" s="1153"/>
      <c r="OJ40" s="1153"/>
      <c r="OS40" s="651">
        <v>34</v>
      </c>
      <c r="OT40" s="1197" t="s">
        <v>14170</v>
      </c>
      <c r="OV40" s="651">
        <v>34</v>
      </c>
      <c r="OW40" s="1259" t="s">
        <v>18399</v>
      </c>
      <c r="OY40" s="1259" t="s">
        <v>12765</v>
      </c>
      <c r="OZ40" s="1259" t="s">
        <v>18442</v>
      </c>
      <c r="PA40" s="1259" t="s">
        <v>12766</v>
      </c>
      <c r="PB40" s="1259" t="s">
        <v>18479</v>
      </c>
      <c r="PS40" s="1259">
        <v>88</v>
      </c>
      <c r="PT40" s="1259" t="s">
        <v>18576</v>
      </c>
      <c r="PY40" s="1259">
        <v>16</v>
      </c>
      <c r="PZ40" s="1259" t="s">
        <v>7370</v>
      </c>
      <c r="QA40" s="1259" t="s">
        <v>7370</v>
      </c>
    </row>
    <row r="41" spans="1:443" ht="18.75" thickBot="1">
      <c r="A41" s="2">
        <v>39</v>
      </c>
      <c r="B41" s="2" t="s">
        <v>1282</v>
      </c>
      <c r="C41" s="27" t="s">
        <v>1515</v>
      </c>
      <c r="D41" s="2" t="s">
        <v>1335</v>
      </c>
      <c r="E41" s="28" t="s">
        <v>1556</v>
      </c>
      <c r="G41" s="2">
        <v>39</v>
      </c>
      <c r="H41" s="2" t="s">
        <v>1515</v>
      </c>
      <c r="I41" s="2" t="s">
        <v>1556</v>
      </c>
      <c r="K41" s="2">
        <v>39</v>
      </c>
      <c r="L41" s="2" t="s">
        <v>52</v>
      </c>
      <c r="N41" s="2" t="s">
        <v>13161</v>
      </c>
      <c r="P41" s="29">
        <v>38</v>
      </c>
      <c r="Q41" s="29" t="s">
        <v>575</v>
      </c>
      <c r="V41" s="2">
        <v>38</v>
      </c>
      <c r="W41" s="2" t="s">
        <v>1422</v>
      </c>
      <c r="Z41" s="1190"/>
      <c r="AA41" s="1207" t="s">
        <v>5648</v>
      </c>
      <c r="AB41" s="1208" t="s">
        <v>7444</v>
      </c>
      <c r="AC41" s="1190"/>
      <c r="AD41" s="1190"/>
      <c r="AE41" s="1190"/>
      <c r="AF41" s="1190"/>
      <c r="AG41" s="1190"/>
      <c r="AN41" s="2">
        <v>0</v>
      </c>
      <c r="AO41" s="2">
        <v>0</v>
      </c>
      <c r="AQ41" s="2" t="str">
        <v/>
      </c>
      <c r="AS41" s="1190"/>
      <c r="AT41" s="1190"/>
      <c r="AU41" s="1190"/>
      <c r="AV41" s="1190"/>
      <c r="AW41" s="1190"/>
      <c r="BA41" s="1190"/>
      <c r="BB41" s="1190"/>
      <c r="BC41" s="1190"/>
      <c r="BD41" s="1190"/>
      <c r="BE41" s="1190"/>
      <c r="BF41" s="1190"/>
      <c r="BG41" s="1190"/>
      <c r="BH41" s="1190"/>
      <c r="BI41" s="1190"/>
      <c r="BJ41" s="1190"/>
      <c r="BK41" s="1190"/>
      <c r="BL41" s="1190"/>
      <c r="BM41" s="1190"/>
      <c r="BN41" s="2">
        <v>3</v>
      </c>
      <c r="BO41" s="2" t="s">
        <v>1951</v>
      </c>
      <c r="BQ41" s="2">
        <v>3</v>
      </c>
      <c r="BR41" s="2" t="s">
        <v>2303</v>
      </c>
      <c r="BV41" s="2">
        <v>3</v>
      </c>
      <c r="BW41" s="2" t="s">
        <v>1981</v>
      </c>
      <c r="CI41" s="2">
        <v>15</v>
      </c>
      <c r="CJ41" s="2" t="s">
        <v>3407</v>
      </c>
      <c r="CL41" s="2">
        <v>15</v>
      </c>
      <c r="CM41" s="2" t="s">
        <v>12584</v>
      </c>
      <c r="CO41" s="2">
        <v>15</v>
      </c>
      <c r="CP41" s="2" t="s">
        <v>3407</v>
      </c>
      <c r="CR41" s="2">
        <v>15</v>
      </c>
      <c r="CS41" s="2" t="s">
        <v>12657</v>
      </c>
      <c r="CU41" s="2">
        <v>33</v>
      </c>
      <c r="CV41" s="2" t="s">
        <v>12600</v>
      </c>
      <c r="CX41" s="2" t="s">
        <v>12747</v>
      </c>
      <c r="CY41" s="2" t="s">
        <v>12748</v>
      </c>
      <c r="CZ41" s="2">
        <v>56</v>
      </c>
      <c r="DM41" s="1192" t="s">
        <v>5702</v>
      </c>
      <c r="DN41" s="1201">
        <v>4</v>
      </c>
      <c r="DO41" s="1201">
        <v>0</v>
      </c>
      <c r="DP41" s="1201">
        <v>0</v>
      </c>
      <c r="DQ41" s="1190"/>
      <c r="DR41" s="1190"/>
      <c r="DS41" s="1190"/>
      <c r="DT41" s="1190"/>
      <c r="DU41" s="1190"/>
      <c r="DV41" s="1190"/>
      <c r="DW41" s="1190"/>
      <c r="DX41" s="1190"/>
      <c r="DZ41" s="1014" t="s">
        <v>5723</v>
      </c>
      <c r="EA41" s="998">
        <v>64</v>
      </c>
      <c r="EB41" s="1196"/>
      <c r="EC41" s="1196"/>
      <c r="ED41" s="1196"/>
      <c r="EE41" s="1196"/>
      <c r="EF41" s="1196">
        <f t="shared" si="7"/>
        <v>-8</v>
      </c>
      <c r="EG41" s="1196">
        <f t="shared" si="8"/>
        <v>18</v>
      </c>
      <c r="EH41" s="1196"/>
      <c r="EI41" s="1196"/>
      <c r="EJ41" s="1196"/>
      <c r="EK41" s="1196"/>
      <c r="EL41" s="1196"/>
      <c r="EM41" s="1196"/>
      <c r="EN41" s="1196"/>
      <c r="EO41" s="1196"/>
      <c r="EP41" s="1196"/>
      <c r="EQ41" s="1196"/>
      <c r="ER41" s="1196"/>
      <c r="ES41" s="1196"/>
      <c r="ET41" s="1196"/>
      <c r="EU41" s="1003">
        <f t="shared" ca="1" si="5"/>
        <v>0.83565718152810264</v>
      </c>
      <c r="EV41" s="1003">
        <f t="shared" ca="1" si="5"/>
        <v>3.7905392312020614E-2</v>
      </c>
      <c r="EW41" s="1003">
        <f t="shared" ca="1" si="5"/>
        <v>0.50451798211762433</v>
      </c>
      <c r="EY41" s="1190"/>
      <c r="EZ41" s="1190"/>
      <c r="FA41" s="1190"/>
      <c r="FB41" s="1190"/>
      <c r="FC41" s="1190"/>
      <c r="FD41" s="1190"/>
      <c r="IQ41" s="1189"/>
      <c r="IT41" s="1153"/>
      <c r="IU41" s="1153"/>
      <c r="IV41" s="1153"/>
      <c r="IW41" s="1153"/>
      <c r="IX41" s="1153"/>
      <c r="IY41" s="1153"/>
      <c r="IZ41" s="1153"/>
      <c r="JA41" s="1153"/>
      <c r="JB41" s="1153"/>
      <c r="JC41" s="1153"/>
      <c r="JD41" s="1153"/>
      <c r="JE41" s="1153"/>
      <c r="JF41" s="1153"/>
      <c r="JG41" s="1153"/>
      <c r="JH41" s="1153"/>
      <c r="JI41" s="1153"/>
      <c r="JJ41" s="1153"/>
      <c r="JK41" s="1132">
        <v>61</v>
      </c>
      <c r="JL41" s="1132">
        <v>60</v>
      </c>
      <c r="JM41" s="1120" t="s">
        <v>16959</v>
      </c>
      <c r="JN41" s="1153"/>
      <c r="JO41" s="1153"/>
      <c r="JP41" s="1153"/>
      <c r="JQ41" s="1153"/>
      <c r="JR41" s="1153"/>
      <c r="JS41" s="1153"/>
      <c r="JT41" s="1153"/>
      <c r="JU41" s="1153"/>
      <c r="JV41" s="1153"/>
      <c r="JW41" s="1153"/>
      <c r="JX41" s="1153"/>
      <c r="JY41" s="1153"/>
      <c r="JZ41" s="1153"/>
      <c r="KA41" s="1153"/>
      <c r="KB41" s="1153"/>
      <c r="KC41" s="1153"/>
      <c r="KD41" s="1153"/>
      <c r="KE41" s="1153"/>
      <c r="KF41" s="1153"/>
      <c r="KG41" s="1153"/>
      <c r="KH41" s="1153"/>
      <c r="KI41" s="1153"/>
      <c r="KJ41" s="1153"/>
      <c r="KK41" s="1153"/>
      <c r="KL41" s="1153"/>
      <c r="KM41" s="1153"/>
      <c r="KN41" s="1153"/>
      <c r="KO41" s="1131" t="s">
        <v>16960</v>
      </c>
      <c r="KP41" s="1131" t="s">
        <v>16961</v>
      </c>
      <c r="KQ41" s="1153"/>
      <c r="KR41" s="1153"/>
      <c r="KS41" s="1153"/>
      <c r="KT41" s="1153"/>
      <c r="KU41" s="1153">
        <v>11</v>
      </c>
      <c r="KV41" s="1153" t="s">
        <v>16958</v>
      </c>
      <c r="KW41" s="1153"/>
      <c r="KX41" s="1153"/>
      <c r="KY41" s="1153"/>
      <c r="KZ41" s="1153"/>
      <c r="LA41" s="1153"/>
      <c r="LB41" s="1153"/>
      <c r="LC41" s="1153"/>
      <c r="LD41" s="1153"/>
      <c r="LE41" s="1153"/>
      <c r="LF41" s="1153"/>
      <c r="LG41" s="1153"/>
      <c r="LH41" s="1153"/>
      <c r="LI41" s="1153"/>
      <c r="LJ41" s="1153"/>
      <c r="LK41" s="1153"/>
      <c r="LL41" s="1153"/>
      <c r="LM41" s="1153"/>
      <c r="LN41" s="1153"/>
      <c r="LO41" s="1153"/>
      <c r="LP41" s="1153"/>
      <c r="LQ41" s="1153"/>
      <c r="LR41" s="1153"/>
      <c r="LS41" s="1247"/>
      <c r="LU41" s="1153"/>
      <c r="LV41" s="1153"/>
      <c r="LW41" s="1153"/>
      <c r="LX41" s="1153"/>
      <c r="LY41" s="1153" t="s">
        <v>17190</v>
      </c>
      <c r="LZ41" s="1140">
        <v>87</v>
      </c>
      <c r="MA41" s="1153" t="s">
        <v>17191</v>
      </c>
      <c r="MB41" s="1153"/>
      <c r="MC41" s="1153"/>
      <c r="MD41" s="1153"/>
      <c r="ME41" s="1153"/>
      <c r="MF41" s="1153"/>
      <c r="MG41" s="1153"/>
      <c r="MH41" s="1153"/>
      <c r="MI41" s="1153"/>
      <c r="MJ41" s="1153"/>
      <c r="MK41" s="1153"/>
      <c r="ML41" s="1153"/>
      <c r="MM41" s="1153"/>
      <c r="MN41" s="1153"/>
      <c r="MO41" s="1153"/>
      <c r="MP41" s="1153"/>
      <c r="MQ41" s="1153"/>
      <c r="MR41" s="1153"/>
      <c r="MS41" s="1153"/>
      <c r="MT41" s="1153"/>
      <c r="MU41" s="1153"/>
      <c r="MV41" s="1153"/>
      <c r="MW41" s="1153"/>
      <c r="MX41" s="1153"/>
      <c r="MY41" s="1153"/>
      <c r="MZ41" s="1153"/>
      <c r="NA41" s="1153"/>
      <c r="NB41" s="1153"/>
      <c r="NC41" s="1153"/>
      <c r="ND41" s="1153"/>
      <c r="NE41" s="1153"/>
      <c r="NF41" s="1153"/>
      <c r="NG41" s="1153"/>
      <c r="NH41" s="1153"/>
      <c r="NI41" s="1153"/>
      <c r="NJ41" s="1153"/>
      <c r="NK41" s="1153"/>
      <c r="NL41" s="1153"/>
      <c r="NM41" s="1153"/>
      <c r="NN41" s="1153"/>
      <c r="NO41" s="1153"/>
      <c r="NP41" s="1153"/>
      <c r="NQ41" s="1153"/>
      <c r="NR41" s="1153"/>
      <c r="NS41" s="1153"/>
      <c r="NT41" s="1153"/>
      <c r="NU41" s="1153"/>
      <c r="NV41" s="1153"/>
      <c r="NW41" s="1153"/>
      <c r="NX41" s="1153"/>
      <c r="NY41" s="1153"/>
      <c r="NZ41" s="1153"/>
      <c r="OA41" s="1153"/>
      <c r="OB41" s="1153"/>
      <c r="OC41" s="1153"/>
      <c r="OD41" s="1153"/>
      <c r="OE41" s="1153"/>
      <c r="OF41" s="1153"/>
      <c r="OG41" s="1153"/>
      <c r="OH41" s="1153"/>
      <c r="OI41" s="1153"/>
      <c r="OJ41" s="1153"/>
      <c r="OS41" s="651">
        <v>35</v>
      </c>
      <c r="OT41" s="1197" t="s">
        <v>11397</v>
      </c>
      <c r="OV41" s="651">
        <v>35</v>
      </c>
      <c r="OW41" s="1259" t="s">
        <v>18400</v>
      </c>
      <c r="OY41" s="1259" t="s">
        <v>12766</v>
      </c>
      <c r="OZ41" s="1259" t="s">
        <v>18443</v>
      </c>
      <c r="PA41" s="1259" t="s">
        <v>12853</v>
      </c>
      <c r="PB41" s="1259" t="s">
        <v>16873</v>
      </c>
      <c r="PS41" s="1259">
        <v>89</v>
      </c>
      <c r="PT41" s="1259" t="s">
        <v>18577</v>
      </c>
      <c r="PY41" s="1259">
        <v>17</v>
      </c>
      <c r="PZ41" s="1259" t="s">
        <v>13626</v>
      </c>
      <c r="QA41" s="1259" t="s">
        <v>18635</v>
      </c>
    </row>
    <row r="42" spans="1:443" ht="18.75" thickBot="1">
      <c r="A42" s="2">
        <v>40</v>
      </c>
      <c r="B42" s="2" t="s">
        <v>1283</v>
      </c>
      <c r="C42" s="27" t="s">
        <v>1516</v>
      </c>
      <c r="D42" s="2" t="s">
        <v>1336</v>
      </c>
      <c r="E42" s="28" t="s">
        <v>1332</v>
      </c>
      <c r="G42" s="2">
        <v>40</v>
      </c>
      <c r="H42" s="2" t="s">
        <v>1516</v>
      </c>
      <c r="I42" s="2" t="s">
        <v>1332</v>
      </c>
      <c r="K42" s="2">
        <v>40</v>
      </c>
      <c r="L42" s="2" t="s">
        <v>394</v>
      </c>
      <c r="N42" s="2" t="s">
        <v>13162</v>
      </c>
      <c r="P42" s="29">
        <v>39</v>
      </c>
      <c r="Q42" s="29" t="s">
        <v>1580</v>
      </c>
      <c r="V42" s="2">
        <v>39</v>
      </c>
      <c r="W42" s="2" t="s">
        <v>1423</v>
      </c>
      <c r="Z42" s="1190"/>
      <c r="AA42" s="1208" t="s">
        <v>2838</v>
      </c>
      <c r="AB42" s="1208">
        <v>8</v>
      </c>
      <c r="AC42" s="1190"/>
      <c r="AD42" s="1190"/>
      <c r="AE42" s="1190"/>
      <c r="AF42" s="1190"/>
      <c r="AG42" s="1190"/>
      <c r="AN42" s="2">
        <v>0</v>
      </c>
      <c r="AO42" s="2">
        <v>0</v>
      </c>
      <c r="AQ42" s="2" t="str">
        <v/>
      </c>
      <c r="AS42" s="1190"/>
      <c r="AT42" s="1190"/>
      <c r="AU42" s="1190"/>
      <c r="AV42" s="1190"/>
      <c r="AW42" s="1190"/>
      <c r="BA42" s="1190"/>
      <c r="BB42" s="1190"/>
      <c r="BC42" s="1190"/>
      <c r="BD42" s="1190"/>
      <c r="BE42" s="1190"/>
      <c r="BF42" s="1190"/>
      <c r="BG42" s="1190"/>
      <c r="BH42" s="1190"/>
      <c r="BI42" s="1190"/>
      <c r="BJ42" s="1190"/>
      <c r="BK42" s="1190"/>
      <c r="BL42" s="1190"/>
      <c r="BM42" s="1190"/>
      <c r="BN42" s="2">
        <v>4</v>
      </c>
      <c r="BO42" s="2" t="s">
        <v>1952</v>
      </c>
      <c r="BQ42" s="2">
        <v>4</v>
      </c>
      <c r="BR42" s="2" t="s">
        <v>2304</v>
      </c>
      <c r="CI42" s="2">
        <v>16</v>
      </c>
      <c r="CJ42" s="2" t="s">
        <v>12608</v>
      </c>
      <c r="CL42" s="2">
        <v>16</v>
      </c>
      <c r="CM42" s="2" t="s">
        <v>3364</v>
      </c>
      <c r="CO42" s="2">
        <v>16</v>
      </c>
      <c r="CP42" s="2" t="s">
        <v>12608</v>
      </c>
      <c r="CR42" s="2">
        <v>16</v>
      </c>
      <c r="CS42" s="2" t="s">
        <v>12657</v>
      </c>
      <c r="CU42" s="2">
        <v>34</v>
      </c>
      <c r="CV42" s="2" t="s">
        <v>12694</v>
      </c>
      <c r="CX42" s="2" t="s">
        <v>12749</v>
      </c>
      <c r="DM42" s="1222" t="s">
        <v>15597</v>
      </c>
      <c r="DN42" s="1201">
        <v>20</v>
      </c>
      <c r="DO42" s="1201">
        <v>0</v>
      </c>
      <c r="DP42" s="1201">
        <v>0</v>
      </c>
      <c r="DQ42" s="1190"/>
      <c r="DR42" s="1190"/>
      <c r="DS42" s="1190"/>
      <c r="DT42" s="1190"/>
      <c r="DU42" s="1190"/>
      <c r="DV42" s="1190"/>
      <c r="DW42" s="1190"/>
      <c r="DX42" s="1190"/>
      <c r="DZ42" s="1014" t="s">
        <v>15587</v>
      </c>
      <c r="EA42" s="1005">
        <v>73</v>
      </c>
      <c r="EB42" s="1196"/>
      <c r="EC42" s="1196"/>
      <c r="ED42" s="1196"/>
      <c r="EE42" s="1196"/>
      <c r="EF42" s="1196">
        <f t="shared" si="7"/>
        <v>-8</v>
      </c>
      <c r="EG42" s="1196"/>
      <c r="EH42" s="1196"/>
      <c r="EI42" s="1196"/>
      <c r="EJ42" s="1196"/>
      <c r="EK42" s="1196"/>
      <c r="EL42" s="1196"/>
      <c r="EM42" s="1196"/>
      <c r="EN42" s="1196"/>
      <c r="EO42" s="1196"/>
      <c r="EP42" s="1196"/>
      <c r="EQ42" s="1196"/>
      <c r="ER42" s="1196"/>
      <c r="ES42" s="1196"/>
      <c r="ET42" s="1196"/>
      <c r="EU42" s="1003">
        <f t="shared" ca="1" si="5"/>
        <v>0.81069823222111426</v>
      </c>
      <c r="EV42" s="1003">
        <f t="shared" ca="1" si="5"/>
        <v>0.54435600401360595</v>
      </c>
      <c r="EW42" s="1003">
        <f t="shared" ca="1" si="5"/>
        <v>0.63755731441487484</v>
      </c>
      <c r="EY42" s="1190"/>
      <c r="EZ42" s="1190"/>
      <c r="FA42" s="1190"/>
      <c r="FB42" s="1190"/>
      <c r="FC42" s="1190"/>
      <c r="FD42" s="1190"/>
      <c r="IQ42" s="1189"/>
      <c r="IT42" s="1153"/>
      <c r="IU42" s="1153"/>
      <c r="IV42" s="1153"/>
      <c r="IW42" s="1153"/>
      <c r="IX42" s="1153"/>
      <c r="IY42" s="1153"/>
      <c r="IZ42" s="1153"/>
      <c r="JA42" s="1153"/>
      <c r="JB42" s="1153"/>
      <c r="JC42" s="1153"/>
      <c r="JD42" s="1153"/>
      <c r="JE42" s="1153"/>
      <c r="JF42" s="1153"/>
      <c r="JG42" s="1153"/>
      <c r="JH42" s="1153"/>
      <c r="JI42" s="1153"/>
      <c r="JJ42" s="1153"/>
      <c r="JK42" s="1132" t="s">
        <v>12852</v>
      </c>
      <c r="JL42" s="1132">
        <v>61</v>
      </c>
      <c r="JM42" s="1120" t="s">
        <v>16962</v>
      </c>
      <c r="JN42" s="1153"/>
      <c r="JO42" s="1153"/>
      <c r="JP42" s="1153"/>
      <c r="JQ42" s="1153"/>
      <c r="JR42" s="1153"/>
      <c r="JS42" s="1153"/>
      <c r="JT42" s="1153"/>
      <c r="JU42" s="1153"/>
      <c r="JV42" s="1153"/>
      <c r="JW42" s="1153"/>
      <c r="JX42" s="1153"/>
      <c r="JY42" s="1153"/>
      <c r="JZ42" s="1153"/>
      <c r="KA42" s="1153"/>
      <c r="KB42" s="1153"/>
      <c r="KC42" s="1153"/>
      <c r="KD42" s="1153"/>
      <c r="KE42" s="1153"/>
      <c r="KF42" s="1153"/>
      <c r="KG42" s="1153"/>
      <c r="KH42" s="1153"/>
      <c r="KI42" s="1153"/>
      <c r="KJ42" s="1153"/>
      <c r="KK42" s="1153"/>
      <c r="KL42" s="1153"/>
      <c r="KM42" s="1153"/>
      <c r="KN42" s="1153"/>
      <c r="KO42" s="1131" t="s">
        <v>16963</v>
      </c>
      <c r="KP42" s="1131" t="s">
        <v>16964</v>
      </c>
      <c r="KQ42" s="1153"/>
      <c r="KR42" s="1153"/>
      <c r="KS42" s="1153"/>
      <c r="KT42" s="1153"/>
      <c r="KU42" s="1153">
        <v>12</v>
      </c>
      <c r="KV42" s="1153" t="s">
        <v>16965</v>
      </c>
      <c r="KW42" s="1153"/>
      <c r="KX42" s="1153"/>
      <c r="KY42" s="1153"/>
      <c r="KZ42" s="1153"/>
      <c r="LA42" s="1153"/>
      <c r="LB42" s="1153"/>
      <c r="LC42" s="1153"/>
      <c r="LD42" s="1153"/>
      <c r="LE42" s="1153"/>
      <c r="LF42" s="1153"/>
      <c r="LG42" s="1153"/>
      <c r="LH42" s="1153"/>
      <c r="LI42" s="1153"/>
      <c r="LJ42" s="1153"/>
      <c r="LK42" s="1153"/>
      <c r="LL42" s="1153"/>
      <c r="LM42" s="1153"/>
      <c r="LN42" s="1153"/>
      <c r="LO42" s="1153"/>
      <c r="LP42" s="1153"/>
      <c r="LQ42" s="1153"/>
      <c r="LR42" s="1153"/>
      <c r="LS42" s="1247"/>
      <c r="LU42" s="1153"/>
      <c r="LV42" s="1153"/>
      <c r="LW42" s="1153"/>
      <c r="LX42" s="1153"/>
      <c r="LY42" s="1153" t="s">
        <v>12715</v>
      </c>
      <c r="LZ42" s="1140">
        <v>90</v>
      </c>
      <c r="MA42" s="1153" t="s">
        <v>17192</v>
      </c>
      <c r="MB42" s="1153"/>
      <c r="MC42" s="1153"/>
      <c r="MD42" s="1153"/>
      <c r="ME42" s="1153"/>
      <c r="MF42" s="1153"/>
      <c r="MG42" s="1153"/>
      <c r="MH42" s="1153"/>
      <c r="MI42" s="1153"/>
      <c r="MJ42" s="1153"/>
      <c r="MK42" s="1153"/>
      <c r="ML42" s="1153"/>
      <c r="MM42" s="1153"/>
      <c r="MN42" s="1153"/>
      <c r="MO42" s="1153"/>
      <c r="MP42" s="1153"/>
      <c r="MQ42" s="1153"/>
      <c r="MR42" s="1153"/>
      <c r="MS42" s="1153"/>
      <c r="MT42" s="1153"/>
      <c r="MU42" s="1153"/>
      <c r="MV42" s="1153"/>
      <c r="MW42" s="1153"/>
      <c r="MX42" s="1153"/>
      <c r="MY42" s="1153"/>
      <c r="MZ42" s="1153"/>
      <c r="NA42" s="1153"/>
      <c r="NB42" s="1153"/>
      <c r="NC42" s="1153"/>
      <c r="ND42" s="1153"/>
      <c r="NE42" s="1153"/>
      <c r="NF42" s="1153"/>
      <c r="NG42" s="1153"/>
      <c r="NH42" s="1153"/>
      <c r="NI42" s="1153"/>
      <c r="NJ42" s="1153"/>
      <c r="NK42" s="1153"/>
      <c r="NL42" s="1153"/>
      <c r="NM42" s="1153"/>
      <c r="NN42" s="1153"/>
      <c r="NO42" s="1153"/>
      <c r="NP42" s="1153"/>
      <c r="NQ42" s="1153"/>
      <c r="NR42" s="1153"/>
      <c r="NS42" s="1153"/>
      <c r="NT42" s="1153"/>
      <c r="NU42" s="1153"/>
      <c r="NV42" s="1153"/>
      <c r="NW42" s="1153"/>
      <c r="NX42" s="1153"/>
      <c r="NY42" s="1153"/>
      <c r="NZ42" s="1153"/>
      <c r="OA42" s="1153"/>
      <c r="OB42" s="1153"/>
      <c r="OC42" s="1153"/>
      <c r="OD42" s="1153"/>
      <c r="OE42" s="1153"/>
      <c r="OF42" s="1153"/>
      <c r="OG42" s="1153"/>
      <c r="OH42" s="1153"/>
      <c r="OI42" s="1153"/>
      <c r="OJ42" s="1153"/>
      <c r="OS42" s="651">
        <v>36</v>
      </c>
      <c r="OT42" s="1197" t="s">
        <v>18357</v>
      </c>
      <c r="OV42" s="651">
        <v>36</v>
      </c>
      <c r="OW42" s="1259" t="s">
        <v>18401</v>
      </c>
      <c r="OY42" s="1259" t="s">
        <v>12853</v>
      </c>
      <c r="OZ42" s="1259" t="s">
        <v>14117</v>
      </c>
      <c r="PA42" s="1259" t="s">
        <v>18356</v>
      </c>
      <c r="PB42" s="1259" t="s">
        <v>18480</v>
      </c>
      <c r="PS42" s="1259">
        <v>90</v>
      </c>
      <c r="PT42" s="1259" t="s">
        <v>18578</v>
      </c>
      <c r="PY42" s="1259">
        <v>18</v>
      </c>
      <c r="PZ42" s="1259" t="s">
        <v>18636</v>
      </c>
      <c r="QA42" s="1259" t="s">
        <v>18635</v>
      </c>
    </row>
    <row r="43" spans="1:443" ht="18.75" thickBot="1">
      <c r="A43" s="2">
        <v>41</v>
      </c>
      <c r="B43" s="2" t="s">
        <v>1284</v>
      </c>
      <c r="C43" s="27" t="s">
        <v>1283</v>
      </c>
      <c r="D43" s="2" t="s">
        <v>1337</v>
      </c>
      <c r="E43" s="28" t="s">
        <v>1557</v>
      </c>
      <c r="G43" s="2">
        <v>41</v>
      </c>
      <c r="H43" s="2" t="s">
        <v>1283</v>
      </c>
      <c r="I43" s="2" t="s">
        <v>1557</v>
      </c>
      <c r="K43" s="2">
        <v>41</v>
      </c>
      <c r="L43" s="2" t="s">
        <v>74</v>
      </c>
      <c r="N43" s="2" t="s">
        <v>13163</v>
      </c>
      <c r="P43" s="29">
        <v>40</v>
      </c>
      <c r="Q43" s="29" t="s">
        <v>164</v>
      </c>
      <c r="V43" s="2">
        <v>40</v>
      </c>
      <c r="W43" s="2" t="s">
        <v>1424</v>
      </c>
      <c r="Z43" s="1190"/>
      <c r="AA43" s="1208" t="s">
        <v>2342</v>
      </c>
      <c r="AB43" s="1208">
        <v>4</v>
      </c>
      <c r="AC43" s="1190"/>
      <c r="AD43" s="1190"/>
      <c r="AE43" s="1190"/>
      <c r="AF43" s="1190"/>
      <c r="AG43" s="1190"/>
      <c r="AN43" s="2">
        <v>0</v>
      </c>
      <c r="AO43" s="2">
        <v>0</v>
      </c>
      <c r="AQ43" s="2" t="str">
        <v/>
      </c>
      <c r="AS43" s="1190"/>
      <c r="AT43" s="1190"/>
      <c r="AU43" s="1190"/>
      <c r="AV43" s="1190"/>
      <c r="AW43" s="1190"/>
      <c r="BA43" s="1190"/>
      <c r="BB43" s="1190"/>
      <c r="BC43" s="1190"/>
      <c r="BD43" s="1190"/>
      <c r="BE43" s="1190"/>
      <c r="BF43" s="1190"/>
      <c r="BG43" s="1190"/>
      <c r="BH43" s="1190"/>
      <c r="BI43" s="1190"/>
      <c r="BJ43" s="1190"/>
      <c r="BK43" s="1190"/>
      <c r="BL43" s="1190"/>
      <c r="BM43" s="1190"/>
      <c r="BN43" s="2">
        <v>5</v>
      </c>
      <c r="BO43" s="2" t="s">
        <v>1953</v>
      </c>
      <c r="CI43" s="2">
        <v>17</v>
      </c>
      <c r="CJ43" s="2" t="s">
        <v>12609</v>
      </c>
      <c r="CL43" s="2">
        <v>17</v>
      </c>
      <c r="CM43" s="2" t="s">
        <v>2442</v>
      </c>
      <c r="CO43" s="2">
        <v>17</v>
      </c>
      <c r="CP43" s="2" t="s">
        <v>12609</v>
      </c>
      <c r="CR43" s="2">
        <v>17</v>
      </c>
      <c r="CS43" s="2" t="s">
        <v>12658</v>
      </c>
      <c r="CU43" s="2">
        <v>35</v>
      </c>
      <c r="CV43" s="2" t="s">
        <v>3906</v>
      </c>
      <c r="CX43" s="2" t="s">
        <v>7930</v>
      </c>
      <c r="CY43" s="2" t="s">
        <v>12725</v>
      </c>
      <c r="CZ43" s="2" t="s">
        <v>12726</v>
      </c>
      <c r="DM43" s="1192" t="s">
        <v>5700</v>
      </c>
      <c r="DN43" s="1201">
        <v>20</v>
      </c>
      <c r="DO43" s="1201">
        <v>-1</v>
      </c>
      <c r="DP43" s="1201">
        <v>4</v>
      </c>
      <c r="DQ43" s="1190"/>
      <c r="DR43" s="1190"/>
      <c r="DS43" s="1190"/>
      <c r="DT43" s="1190"/>
      <c r="DU43" s="1190"/>
      <c r="DV43" s="1190"/>
      <c r="DW43" s="1190"/>
      <c r="DX43" s="1190"/>
      <c r="DZ43" s="1014" t="s">
        <v>15588</v>
      </c>
      <c r="EA43" s="998">
        <v>85</v>
      </c>
      <c r="EB43" s="1196"/>
      <c r="EC43" s="1196"/>
      <c r="ED43" s="1196"/>
      <c r="EE43" s="1196"/>
      <c r="EF43" s="1196">
        <f t="shared" si="7"/>
        <v>-6</v>
      </c>
      <c r="EG43" s="1196"/>
      <c r="EH43" s="1196"/>
      <c r="EI43" s="1196"/>
      <c r="EJ43" s="1196"/>
      <c r="EK43" s="1196"/>
      <c r="EL43" s="1196"/>
      <c r="EM43" s="1196"/>
      <c r="EN43" s="1196"/>
      <c r="EO43" s="1196"/>
      <c r="EP43" s="1196"/>
      <c r="EQ43" s="1196"/>
      <c r="ER43" s="1196"/>
      <c r="ES43" s="1196"/>
      <c r="ET43" s="1196"/>
      <c r="EU43" s="1003">
        <f t="shared" ca="1" si="5"/>
        <v>0.15895570356364674</v>
      </c>
      <c r="EV43" s="1003">
        <f t="shared" ca="1" si="5"/>
        <v>5.0632926181061966E-2</v>
      </c>
      <c r="EW43" s="1003">
        <f t="shared" ca="1" si="5"/>
        <v>0.6836374703533048</v>
      </c>
      <c r="EY43" s="1190"/>
      <c r="EZ43" s="1190"/>
      <c r="FA43" s="1190"/>
      <c r="FB43" s="1190"/>
      <c r="FC43" s="1190"/>
      <c r="FD43" s="1190"/>
      <c r="IQ43" s="1189"/>
      <c r="IT43" s="1153"/>
      <c r="IU43" s="1153"/>
      <c r="IV43" s="1153"/>
      <c r="IW43" s="1153"/>
      <c r="IX43" s="1153"/>
      <c r="IY43" s="1153"/>
      <c r="IZ43" s="1153"/>
      <c r="JA43" s="1153"/>
      <c r="JB43" s="1153"/>
      <c r="JC43" s="1153"/>
      <c r="JD43" s="1153"/>
      <c r="JE43" s="1153"/>
      <c r="JF43" s="1153"/>
      <c r="JG43" s="1153"/>
      <c r="JH43" s="1153"/>
      <c r="JI43" s="1153"/>
      <c r="JJ43" s="1153"/>
      <c r="JK43" s="1132" t="s">
        <v>12846</v>
      </c>
      <c r="JL43" s="1132">
        <v>64</v>
      </c>
      <c r="JM43" s="1120" t="s">
        <v>16966</v>
      </c>
      <c r="JN43" s="1153"/>
      <c r="JO43" s="1153"/>
      <c r="JP43" s="1153"/>
      <c r="JQ43" s="1153"/>
      <c r="JR43" s="1153"/>
      <c r="JS43" s="1153"/>
      <c r="JT43" s="1153"/>
      <c r="JU43" s="1153"/>
      <c r="JV43" s="1153"/>
      <c r="JW43" s="1153"/>
      <c r="JX43" s="1153"/>
      <c r="JY43" s="1153"/>
      <c r="JZ43" s="1153"/>
      <c r="KA43" s="1153"/>
      <c r="KB43" s="1153"/>
      <c r="KC43" s="1153"/>
      <c r="KD43" s="1153"/>
      <c r="KE43" s="1153"/>
      <c r="KF43" s="1153"/>
      <c r="KG43" s="1153"/>
      <c r="KH43" s="1153"/>
      <c r="KI43" s="1153"/>
      <c r="KJ43" s="1153"/>
      <c r="KK43" s="1153"/>
      <c r="KL43" s="1153"/>
      <c r="KM43" s="1153"/>
      <c r="KN43" s="1153"/>
      <c r="KO43" s="1131" t="s">
        <v>16967</v>
      </c>
      <c r="KP43" s="1131" t="s">
        <v>16968</v>
      </c>
      <c r="KQ43" s="1153"/>
      <c r="KR43" s="1153"/>
      <c r="KS43" s="1153"/>
      <c r="KT43" s="1153"/>
      <c r="KU43" s="1153">
        <v>13</v>
      </c>
      <c r="KV43" s="1153" t="s">
        <v>16969</v>
      </c>
      <c r="KW43" s="1153"/>
      <c r="KX43" s="1153"/>
      <c r="KY43" s="1153"/>
      <c r="KZ43" s="1153"/>
      <c r="LA43" s="1153"/>
      <c r="LB43" s="1153"/>
      <c r="LC43" s="1153"/>
      <c r="LD43" s="1153"/>
      <c r="LE43" s="1153"/>
      <c r="LF43" s="1153"/>
      <c r="LG43" s="1153"/>
      <c r="LH43" s="1153"/>
      <c r="LI43" s="1153"/>
      <c r="LJ43" s="1153"/>
      <c r="LK43" s="1153"/>
      <c r="LL43" s="1153"/>
      <c r="LM43" s="1153"/>
      <c r="LN43" s="1153"/>
      <c r="LO43" s="1153"/>
      <c r="LP43" s="1153"/>
      <c r="LQ43" s="1153"/>
      <c r="LR43" s="1153"/>
      <c r="LS43" s="1247"/>
      <c r="LU43" s="1153"/>
      <c r="LV43" s="1153"/>
      <c r="LW43" s="1153"/>
      <c r="LX43" s="1153"/>
      <c r="LY43" s="1153" t="s">
        <v>17193</v>
      </c>
      <c r="LZ43" s="1140">
        <v>92</v>
      </c>
      <c r="MA43" s="1153" t="s">
        <v>17194</v>
      </c>
      <c r="MB43" s="1153"/>
      <c r="MC43" s="1153"/>
      <c r="MD43" s="1153"/>
      <c r="ME43" s="1153"/>
      <c r="MF43" s="1153"/>
      <c r="MG43" s="1153"/>
      <c r="MH43" s="1153"/>
      <c r="MI43" s="1153"/>
      <c r="MJ43" s="1153"/>
      <c r="MK43" s="1153"/>
      <c r="ML43" s="1153"/>
      <c r="MM43" s="1153"/>
      <c r="MN43" s="1153"/>
      <c r="MO43" s="1153"/>
      <c r="MP43" s="1153"/>
      <c r="MQ43" s="1153"/>
      <c r="MR43" s="1153"/>
      <c r="MS43" s="1153"/>
      <c r="MT43" s="1153"/>
      <c r="MU43" s="1153"/>
      <c r="MV43" s="1153"/>
      <c r="MW43" s="1153"/>
      <c r="MX43" s="1153"/>
      <c r="MY43" s="1153"/>
      <c r="MZ43" s="1153"/>
      <c r="NA43" s="1153"/>
      <c r="NB43" s="1153"/>
      <c r="NC43" s="1153"/>
      <c r="ND43" s="1153"/>
      <c r="NE43" s="1153"/>
      <c r="NF43" s="1153"/>
      <c r="NG43" s="1153"/>
      <c r="NH43" s="1153"/>
      <c r="NI43" s="1153"/>
      <c r="NJ43" s="1153"/>
      <c r="NK43" s="1153"/>
      <c r="NL43" s="1153"/>
      <c r="NM43" s="1153"/>
      <c r="NN43" s="1153"/>
      <c r="NO43" s="1153"/>
      <c r="NP43" s="1153"/>
      <c r="NQ43" s="1153"/>
      <c r="NR43" s="1153"/>
      <c r="NS43" s="1153"/>
      <c r="NT43" s="1153"/>
      <c r="NU43" s="1153"/>
      <c r="NV43" s="1153"/>
      <c r="NW43" s="1153"/>
      <c r="NX43" s="1153"/>
      <c r="NY43" s="1153"/>
      <c r="NZ43" s="1153"/>
      <c r="OA43" s="1153"/>
      <c r="OB43" s="1153"/>
      <c r="OC43" s="1153"/>
      <c r="OD43" s="1153"/>
      <c r="OE43" s="1153"/>
      <c r="OF43" s="1153"/>
      <c r="OG43" s="1153"/>
      <c r="OH43" s="1153"/>
      <c r="OI43" s="1153"/>
      <c r="OJ43" s="1153"/>
      <c r="OS43" s="651">
        <v>37</v>
      </c>
      <c r="OT43" s="1197" t="s">
        <v>703</v>
      </c>
      <c r="OV43" s="651">
        <v>37</v>
      </c>
      <c r="OW43" s="1259" t="s">
        <v>18402</v>
      </c>
      <c r="OY43" s="1259" t="s">
        <v>18356</v>
      </c>
      <c r="OZ43" s="1259" t="s">
        <v>18444</v>
      </c>
      <c r="PA43" s="1259" t="s">
        <v>12768</v>
      </c>
      <c r="PB43" s="1259" t="s">
        <v>14170</v>
      </c>
      <c r="PS43" s="1259" t="s">
        <v>17137</v>
      </c>
      <c r="PT43" s="1259" t="s">
        <v>18579</v>
      </c>
      <c r="PY43" s="1259">
        <v>19</v>
      </c>
      <c r="PZ43" s="1259" t="s">
        <v>1357</v>
      </c>
      <c r="QA43" s="1259" t="s">
        <v>18637</v>
      </c>
    </row>
    <row r="44" spans="1:443" ht="18.75" thickBot="1">
      <c r="A44" s="2">
        <v>42</v>
      </c>
      <c r="B44" s="2" t="s">
        <v>1285</v>
      </c>
      <c r="C44" s="27" t="s">
        <v>1284</v>
      </c>
      <c r="D44" s="2" t="s">
        <v>1338</v>
      </c>
      <c r="E44" s="28" t="s">
        <v>1558</v>
      </c>
      <c r="G44" s="2">
        <v>42</v>
      </c>
      <c r="H44" s="2" t="s">
        <v>1284</v>
      </c>
      <c r="I44" s="2" t="s">
        <v>1558</v>
      </c>
      <c r="K44" s="2">
        <v>42</v>
      </c>
      <c r="L44" s="2" t="s">
        <v>324</v>
      </c>
      <c r="N44" s="2" t="s">
        <v>13164</v>
      </c>
      <c r="P44" s="29">
        <v>41</v>
      </c>
      <c r="Q44" s="29" t="s">
        <v>1642</v>
      </c>
      <c r="V44" s="2">
        <v>41</v>
      </c>
      <c r="W44" s="2" t="s">
        <v>1425</v>
      </c>
      <c r="Z44" s="1190"/>
      <c r="AA44" s="1208" t="s">
        <v>2320</v>
      </c>
      <c r="AB44" s="1208">
        <v>1</v>
      </c>
      <c r="AC44" s="1190"/>
      <c r="AD44" s="1190"/>
      <c r="AE44" s="1190"/>
      <c r="AF44" s="1190"/>
      <c r="AG44" s="1190"/>
      <c r="AN44" s="2">
        <v>0</v>
      </c>
      <c r="AO44" s="2">
        <v>0</v>
      </c>
      <c r="AQ44" s="2" t="str">
        <v/>
      </c>
      <c r="AS44" s="1190"/>
      <c r="AT44" s="1190"/>
      <c r="AU44" s="1190"/>
      <c r="AV44" s="1190"/>
      <c r="AW44" s="1190"/>
      <c r="BA44" s="1190"/>
      <c r="BB44" s="1190"/>
      <c r="BC44" s="1190"/>
      <c r="BD44" s="1190"/>
      <c r="BE44" s="1190"/>
      <c r="BF44" s="1190"/>
      <c r="BG44" s="1190"/>
      <c r="BH44" s="1190"/>
      <c r="BI44" s="1190"/>
      <c r="BJ44" s="1190"/>
      <c r="BK44" s="1190"/>
      <c r="BL44" s="1190"/>
      <c r="BM44" s="1190"/>
      <c r="CI44" s="2">
        <v>18</v>
      </c>
      <c r="CJ44" s="2" t="s">
        <v>12610</v>
      </c>
      <c r="CL44" s="2">
        <v>18</v>
      </c>
      <c r="CM44" s="2" t="s">
        <v>12585</v>
      </c>
      <c r="CO44" s="2">
        <v>18</v>
      </c>
      <c r="CP44" s="2" t="s">
        <v>12610</v>
      </c>
      <c r="CR44" s="2">
        <v>18</v>
      </c>
      <c r="CS44" s="2" t="s">
        <v>12659</v>
      </c>
      <c r="CU44" s="2">
        <v>36</v>
      </c>
      <c r="CV44" s="2" t="s">
        <v>12695</v>
      </c>
      <c r="CX44" s="2" t="s">
        <v>12727</v>
      </c>
      <c r="CY44" s="1218">
        <v>44105</v>
      </c>
      <c r="CZ44" s="1218">
        <v>44075</v>
      </c>
      <c r="DM44" s="1222" t="s">
        <v>15598</v>
      </c>
      <c r="DN44" s="1201">
        <v>25</v>
      </c>
      <c r="DO44" s="1201">
        <v>-2</v>
      </c>
      <c r="DP44" s="1201">
        <v>6</v>
      </c>
      <c r="DQ44" s="1190"/>
      <c r="DR44" s="1190"/>
      <c r="DS44" s="1190"/>
      <c r="DT44" s="1190"/>
      <c r="DU44" s="1190"/>
      <c r="DV44" s="1190"/>
      <c r="DW44" s="1190"/>
      <c r="DX44" s="1190"/>
      <c r="DZ44" s="1021" t="s">
        <v>15589</v>
      </c>
      <c r="EA44" s="1005">
        <v>100</v>
      </c>
      <c r="EB44" s="1196"/>
      <c r="EC44" s="1196"/>
      <c r="ED44" s="1196"/>
      <c r="EE44" s="1196"/>
      <c r="EF44" s="1196"/>
      <c r="EG44" s="1196"/>
      <c r="EH44" s="1196"/>
      <c r="EI44" s="1196"/>
      <c r="EJ44" s="1196"/>
      <c r="EK44" s="1196"/>
      <c r="EL44" s="1196"/>
      <c r="EM44" s="1196"/>
      <c r="EN44" s="1196"/>
      <c r="EO44" s="1196"/>
      <c r="EP44" s="1196"/>
      <c r="EQ44" s="1196"/>
      <c r="ER44" s="1196"/>
      <c r="ES44" s="1196"/>
      <c r="ET44" s="1196"/>
      <c r="EU44" s="951"/>
      <c r="EV44" s="951"/>
      <c r="EW44" s="951"/>
      <c r="EY44" s="1190"/>
      <c r="EZ44" s="1190"/>
      <c r="FA44" s="1190"/>
      <c r="FB44" s="1190"/>
      <c r="FC44" s="1190"/>
      <c r="FD44" s="1190"/>
      <c r="IQ44" s="1189"/>
      <c r="IT44" s="1153"/>
      <c r="IU44" s="1153"/>
      <c r="IV44" s="1153"/>
      <c r="IW44" s="1153"/>
      <c r="IX44" s="1153"/>
      <c r="IY44" s="1153"/>
      <c r="IZ44" s="1153"/>
      <c r="JA44" s="1153"/>
      <c r="JB44" s="1153"/>
      <c r="JC44" s="1153"/>
      <c r="JD44" s="1153"/>
      <c r="JE44" s="1153"/>
      <c r="JF44" s="1153"/>
      <c r="JG44" s="1153"/>
      <c r="JH44" s="1153"/>
      <c r="JI44" s="1153"/>
      <c r="JJ44" s="1153"/>
      <c r="JK44" s="1132" t="s">
        <v>12769</v>
      </c>
      <c r="JL44" s="1132">
        <v>67</v>
      </c>
      <c r="JM44" s="1120" t="s">
        <v>16970</v>
      </c>
      <c r="JN44" s="1153"/>
      <c r="JO44" s="1153"/>
      <c r="JP44" s="1153"/>
      <c r="JQ44" s="1153"/>
      <c r="JR44" s="1153"/>
      <c r="JS44" s="1153"/>
      <c r="JT44" s="1153"/>
      <c r="JU44" s="1153"/>
      <c r="JV44" s="1153"/>
      <c r="JW44" s="1153"/>
      <c r="JX44" s="1153"/>
      <c r="JY44" s="1153"/>
      <c r="JZ44" s="1153"/>
      <c r="KA44" s="1153"/>
      <c r="KB44" s="1153"/>
      <c r="KC44" s="1153"/>
      <c r="KD44" s="1153"/>
      <c r="KE44" s="1153"/>
      <c r="KF44" s="1153"/>
      <c r="KG44" s="1153"/>
      <c r="KH44" s="1153"/>
      <c r="KI44" s="1153"/>
      <c r="KJ44" s="1153"/>
      <c r="KK44" s="1153"/>
      <c r="KL44" s="1153"/>
      <c r="KM44" s="1153"/>
      <c r="KN44" s="1153"/>
      <c r="KO44" s="1131" t="s">
        <v>16971</v>
      </c>
      <c r="KP44" s="1131" t="s">
        <v>16972</v>
      </c>
      <c r="KQ44" s="1153"/>
      <c r="KR44" s="1153"/>
      <c r="KS44" s="1153"/>
      <c r="KT44" s="1153"/>
      <c r="KU44" s="1153">
        <v>14</v>
      </c>
      <c r="KV44" s="1153" t="s">
        <v>16973</v>
      </c>
      <c r="KW44" s="1153"/>
      <c r="KX44" s="1153"/>
      <c r="KY44" s="1153"/>
      <c r="KZ44" s="1153"/>
      <c r="LA44" s="1153"/>
      <c r="LB44" s="1153"/>
      <c r="LC44" s="1153"/>
      <c r="LD44" s="1153"/>
      <c r="LE44" s="1153"/>
      <c r="LF44" s="1153"/>
      <c r="LG44" s="1153"/>
      <c r="LH44" s="1153"/>
      <c r="LI44" s="1153"/>
      <c r="LJ44" s="1153"/>
      <c r="LK44" s="1153"/>
      <c r="LL44" s="1153"/>
      <c r="LM44" s="1153"/>
      <c r="LN44" s="1153"/>
      <c r="LO44" s="1153"/>
      <c r="LP44" s="1153"/>
      <c r="LQ44" s="1153"/>
      <c r="LR44" s="1153"/>
      <c r="LS44" s="1247"/>
      <c r="LU44" s="1153"/>
      <c r="LV44" s="1153"/>
      <c r="LW44" s="1153"/>
      <c r="LX44" s="1153"/>
      <c r="LY44" s="1153" t="s">
        <v>17195</v>
      </c>
      <c r="LZ44" s="1140">
        <v>95</v>
      </c>
      <c r="MA44" s="1153" t="s">
        <v>2319</v>
      </c>
      <c r="MB44" s="1153"/>
      <c r="MC44" s="1153"/>
      <c r="MD44" s="1153"/>
      <c r="ME44" s="1153"/>
      <c r="MF44" s="1153"/>
      <c r="MG44" s="1153"/>
      <c r="MH44" s="1153"/>
      <c r="MI44" s="1153"/>
      <c r="MJ44" s="1153"/>
      <c r="MK44" s="1153"/>
      <c r="ML44" s="1153"/>
      <c r="MM44" s="1153"/>
      <c r="MN44" s="1153"/>
      <c r="MO44" s="1153"/>
      <c r="MP44" s="1153"/>
      <c r="MQ44" s="1153"/>
      <c r="MR44" s="1153"/>
      <c r="MS44" s="1153"/>
      <c r="MT44" s="1153"/>
      <c r="MU44" s="1153"/>
      <c r="MV44" s="1153"/>
      <c r="MW44" s="1153"/>
      <c r="MX44" s="1153"/>
      <c r="MY44" s="1153"/>
      <c r="MZ44" s="1153"/>
      <c r="NA44" s="1153"/>
      <c r="NB44" s="1153"/>
      <c r="NC44" s="1153"/>
      <c r="ND44" s="1153"/>
      <c r="NE44" s="1153"/>
      <c r="NF44" s="1153"/>
      <c r="NG44" s="1153"/>
      <c r="NH44" s="1153"/>
      <c r="NI44" s="1153"/>
      <c r="NJ44" s="1153"/>
      <c r="NK44" s="1153"/>
      <c r="NL44" s="1153"/>
      <c r="NM44" s="1153"/>
      <c r="NN44" s="1153"/>
      <c r="NO44" s="1153"/>
      <c r="NP44" s="1153"/>
      <c r="NQ44" s="1153"/>
      <c r="NR44" s="1153"/>
      <c r="NS44" s="1153"/>
      <c r="NT44" s="1153"/>
      <c r="NU44" s="1153"/>
      <c r="NV44" s="1153"/>
      <c r="NW44" s="1153"/>
      <c r="NX44" s="1153"/>
      <c r="NY44" s="1153"/>
      <c r="NZ44" s="1153"/>
      <c r="OA44" s="1153"/>
      <c r="OB44" s="1153"/>
      <c r="OC44" s="1153"/>
      <c r="OD44" s="1153"/>
      <c r="OE44" s="1153"/>
      <c r="OF44" s="1153"/>
      <c r="OG44" s="1153"/>
      <c r="OH44" s="1153"/>
      <c r="OI44" s="1153"/>
      <c r="OJ44" s="1153"/>
      <c r="OS44" s="651">
        <v>38</v>
      </c>
      <c r="OT44" s="1197" t="s">
        <v>18359</v>
      </c>
      <c r="OV44" s="651">
        <v>38</v>
      </c>
      <c r="OW44" s="1259" t="s">
        <v>18403</v>
      </c>
      <c r="OY44" s="1259" t="s">
        <v>12768</v>
      </c>
      <c r="OZ44" s="1259" t="s">
        <v>18445</v>
      </c>
      <c r="PA44" s="1259" t="s">
        <v>12712</v>
      </c>
      <c r="PB44" s="1259" t="s">
        <v>11397</v>
      </c>
      <c r="PY44" s="1259">
        <v>20</v>
      </c>
      <c r="PZ44" s="1259" t="s">
        <v>18638</v>
      </c>
      <c r="QA44" s="1259" t="s">
        <v>18637</v>
      </c>
    </row>
    <row r="45" spans="1:443" ht="18.75" thickBot="1">
      <c r="A45" s="2">
        <v>43</v>
      </c>
      <c r="B45" s="2" t="s">
        <v>1286</v>
      </c>
      <c r="C45" s="27" t="s">
        <v>1517</v>
      </c>
      <c r="D45" s="2" t="s">
        <v>1339</v>
      </c>
      <c r="E45" s="28" t="s">
        <v>1559</v>
      </c>
      <c r="G45" s="2">
        <v>43</v>
      </c>
      <c r="H45" s="2" t="s">
        <v>1517</v>
      </c>
      <c r="I45" s="2" t="s">
        <v>1559</v>
      </c>
      <c r="K45" s="2">
        <v>43</v>
      </c>
      <c r="L45" s="2" t="s">
        <v>398</v>
      </c>
      <c r="N45" s="2" t="s">
        <v>13165</v>
      </c>
      <c r="P45" s="29">
        <v>42</v>
      </c>
      <c r="Q45" s="29" t="s">
        <v>576</v>
      </c>
      <c r="V45" s="2">
        <v>42</v>
      </c>
      <c r="W45" s="2" t="s">
        <v>1426</v>
      </c>
      <c r="Z45" s="1190"/>
      <c r="AA45" s="1208" t="s">
        <v>7443</v>
      </c>
      <c r="AB45" s="1208">
        <v>2</v>
      </c>
      <c r="AC45" s="1190"/>
      <c r="AD45" s="1190"/>
      <c r="AE45" s="1190"/>
      <c r="AF45" s="1190"/>
      <c r="AG45" s="1190"/>
      <c r="AN45" s="2">
        <v>0</v>
      </c>
      <c r="AO45" s="2">
        <v>0</v>
      </c>
      <c r="AQ45" s="2" t="str">
        <v/>
      </c>
      <c r="AS45" s="1190"/>
      <c r="AT45" s="1190"/>
      <c r="AU45" s="1190"/>
      <c r="AV45" s="1190"/>
      <c r="AW45" s="1190"/>
      <c r="BA45" s="1190"/>
      <c r="BB45" s="1190"/>
      <c r="BC45" s="1190"/>
      <c r="BD45" s="1190"/>
      <c r="BE45" s="1190"/>
      <c r="BF45" s="1190"/>
      <c r="BG45" s="1190"/>
      <c r="BH45" s="1190"/>
      <c r="BI45" s="1190"/>
      <c r="BJ45" s="1190"/>
      <c r="BK45" s="1190"/>
      <c r="BL45" s="1190"/>
      <c r="BM45" s="1190"/>
      <c r="CI45" s="2">
        <v>19</v>
      </c>
      <c r="CJ45" s="2" t="s">
        <v>12586</v>
      </c>
      <c r="CL45" s="2">
        <v>19</v>
      </c>
      <c r="CM45" s="2" t="s">
        <v>12586</v>
      </c>
      <c r="CO45" s="2">
        <v>19</v>
      </c>
      <c r="CP45" s="2" t="s">
        <v>12586</v>
      </c>
      <c r="CR45" s="2">
        <v>19</v>
      </c>
      <c r="CS45" s="2" t="s">
        <v>12660</v>
      </c>
      <c r="CU45" s="2">
        <v>37</v>
      </c>
      <c r="CV45" s="2" t="s">
        <v>12696</v>
      </c>
      <c r="CX45" s="2" t="s">
        <v>12728</v>
      </c>
      <c r="CY45" s="1220">
        <v>41579</v>
      </c>
      <c r="CZ45" s="1218">
        <v>44145</v>
      </c>
      <c r="DM45" s="1190"/>
      <c r="DN45" s="1190"/>
      <c r="DO45" s="1190"/>
      <c r="DP45" s="1190"/>
      <c r="DQ45" s="1190"/>
      <c r="DR45" s="1190"/>
      <c r="DS45" s="1190"/>
      <c r="DT45" s="1190"/>
      <c r="DU45" s="1190"/>
      <c r="DV45" s="1190"/>
      <c r="DW45" s="1190"/>
      <c r="DX45" s="1190"/>
      <c r="DZ45" s="1196"/>
      <c r="EA45" s="1196"/>
      <c r="EB45" s="1196"/>
      <c r="EC45" s="1196"/>
      <c r="ED45" s="1196"/>
      <c r="EE45" s="1196"/>
      <c r="EF45" s="1196"/>
      <c r="EG45" s="1196"/>
      <c r="EH45" s="1196"/>
      <c r="EI45" s="1196"/>
      <c r="EJ45" s="1196"/>
      <c r="EK45" s="1196"/>
      <c r="EL45" s="1196"/>
      <c r="EM45" s="1196"/>
      <c r="EN45" s="1196"/>
      <c r="EO45" s="1196"/>
      <c r="EP45" s="1196"/>
      <c r="EQ45" s="1196"/>
      <c r="ER45" s="1196"/>
      <c r="ES45" s="1196"/>
      <c r="ET45" s="1196"/>
      <c r="EU45" s="951"/>
      <c r="EV45" s="951"/>
      <c r="EW45" s="951"/>
      <c r="EY45" s="1190"/>
      <c r="EZ45" s="1190"/>
      <c r="FA45" s="1190"/>
      <c r="FB45" s="1190"/>
      <c r="FC45" s="1190"/>
      <c r="FD45" s="1190"/>
      <c r="IQ45" s="1189"/>
      <c r="IT45" s="1153"/>
      <c r="IU45" s="1153"/>
      <c r="IV45" s="1153"/>
      <c r="IW45" s="1153"/>
      <c r="IX45" s="1153"/>
      <c r="IY45" s="1153"/>
      <c r="IZ45" s="1153"/>
      <c r="JA45" s="1153"/>
      <c r="JB45" s="1153"/>
      <c r="JC45" s="1153"/>
      <c r="JD45" s="1153"/>
      <c r="JE45" s="1153"/>
      <c r="JF45" s="1153"/>
      <c r="JG45" s="1153"/>
      <c r="JH45" s="1153"/>
      <c r="JI45" s="1153"/>
      <c r="JJ45" s="1153"/>
      <c r="JK45" s="1132">
        <v>71</v>
      </c>
      <c r="JL45" s="1132">
        <v>70</v>
      </c>
      <c r="JM45" s="1120" t="s">
        <v>16974</v>
      </c>
      <c r="JN45" s="1153"/>
      <c r="JO45" s="1153"/>
      <c r="JP45" s="1153"/>
      <c r="JQ45" s="1153"/>
      <c r="JR45" s="1153"/>
      <c r="JS45" s="1153"/>
      <c r="JT45" s="1153"/>
      <c r="JU45" s="1153"/>
      <c r="JV45" s="1153"/>
      <c r="JW45" s="1153"/>
      <c r="JX45" s="1153"/>
      <c r="JY45" s="1153"/>
      <c r="JZ45" s="1153"/>
      <c r="KA45" s="1153"/>
      <c r="KB45" s="1153"/>
      <c r="KC45" s="1153"/>
      <c r="KD45" s="1153"/>
      <c r="KE45" s="1153"/>
      <c r="KF45" s="1153"/>
      <c r="KG45" s="1153"/>
      <c r="KH45" s="1153"/>
      <c r="KI45" s="1153"/>
      <c r="KJ45" s="1153"/>
      <c r="KK45" s="1153"/>
      <c r="KL45" s="1153"/>
      <c r="KM45" s="1153"/>
      <c r="KN45" s="1153"/>
      <c r="KO45" s="1131" t="s">
        <v>16975</v>
      </c>
      <c r="KP45" s="1131" t="s">
        <v>16976</v>
      </c>
      <c r="KQ45" s="1153"/>
      <c r="KR45" s="1153"/>
      <c r="KS45" s="1153"/>
      <c r="KT45" s="1153"/>
      <c r="KU45" s="1153">
        <v>15</v>
      </c>
      <c r="KV45" s="1153" t="s">
        <v>16977</v>
      </c>
      <c r="KW45" s="1153"/>
      <c r="KX45" s="1153"/>
      <c r="KY45" s="1153"/>
      <c r="KZ45" s="1153"/>
      <c r="LA45" s="1153"/>
      <c r="LB45" s="1153"/>
      <c r="LC45" s="1153"/>
      <c r="LD45" s="1153"/>
      <c r="LE45" s="1153"/>
      <c r="LF45" s="1153"/>
      <c r="LG45" s="1153"/>
      <c r="LH45" s="1153"/>
      <c r="LI45" s="1153"/>
      <c r="LJ45" s="1153"/>
      <c r="LK45" s="1153"/>
      <c r="LL45" s="1153"/>
      <c r="LM45" s="1153"/>
      <c r="LN45" s="1153"/>
      <c r="LO45" s="1153"/>
      <c r="LP45" s="1153"/>
      <c r="LQ45" s="1153"/>
      <c r="LR45" s="1153"/>
      <c r="LS45" s="1247"/>
      <c r="LU45" s="1153"/>
      <c r="LV45" s="1153"/>
      <c r="LW45" s="1153"/>
      <c r="LX45" s="1153"/>
      <c r="LY45" s="1153" t="s">
        <v>9162</v>
      </c>
      <c r="LZ45" s="1140">
        <v>98</v>
      </c>
      <c r="MA45" s="1153" t="s">
        <v>17196</v>
      </c>
      <c r="MB45" s="1153"/>
      <c r="MC45" s="1153"/>
      <c r="MD45" s="1153"/>
      <c r="ME45" s="1153"/>
      <c r="MF45" s="1153"/>
      <c r="MG45" s="1153"/>
      <c r="MH45" s="1153"/>
      <c r="MI45" s="1153"/>
      <c r="MJ45" s="1153"/>
      <c r="MK45" s="1153"/>
      <c r="ML45" s="1153"/>
      <c r="MM45" s="1153"/>
      <c r="MN45" s="1153"/>
      <c r="MO45" s="1153"/>
      <c r="MP45" s="1153"/>
      <c r="MQ45" s="1153"/>
      <c r="MR45" s="1153"/>
      <c r="MS45" s="1153"/>
      <c r="MT45" s="1153"/>
      <c r="MU45" s="1153"/>
      <c r="MV45" s="1153"/>
      <c r="MW45" s="1153"/>
      <c r="MX45" s="1153"/>
      <c r="MY45" s="1153"/>
      <c r="MZ45" s="1153"/>
      <c r="NA45" s="1153"/>
      <c r="NB45" s="1153"/>
      <c r="NC45" s="1153"/>
      <c r="ND45" s="1153"/>
      <c r="NE45" s="1153"/>
      <c r="NF45" s="1153"/>
      <c r="NG45" s="1153"/>
      <c r="NH45" s="1153"/>
      <c r="NI45" s="1153"/>
      <c r="NJ45" s="1153"/>
      <c r="NK45" s="1153"/>
      <c r="NL45" s="1153"/>
      <c r="NM45" s="1153"/>
      <c r="NN45" s="1153"/>
      <c r="NO45" s="1153"/>
      <c r="NP45" s="1153"/>
      <c r="NQ45" s="1153"/>
      <c r="NR45" s="1153"/>
      <c r="NS45" s="1153"/>
      <c r="NT45" s="1153"/>
      <c r="NU45" s="1153"/>
      <c r="NV45" s="1153"/>
      <c r="NW45" s="1153"/>
      <c r="NX45" s="1153"/>
      <c r="NY45" s="1153"/>
      <c r="NZ45" s="1153"/>
      <c r="OA45" s="1153"/>
      <c r="OB45" s="1153"/>
      <c r="OC45" s="1153"/>
      <c r="OD45" s="1153"/>
      <c r="OE45" s="1153"/>
      <c r="OF45" s="1153"/>
      <c r="OG45" s="1153"/>
      <c r="OH45" s="1153"/>
      <c r="OI45" s="1153"/>
      <c r="OJ45" s="1153"/>
      <c r="OS45" s="651">
        <v>39</v>
      </c>
      <c r="OT45" s="1197" t="s">
        <v>18360</v>
      </c>
      <c r="OV45" s="651">
        <v>39</v>
      </c>
      <c r="OW45" s="1259" t="s">
        <v>18404</v>
      </c>
      <c r="OY45" s="1259" t="s">
        <v>12712</v>
      </c>
      <c r="OZ45" s="1259" t="s">
        <v>18446</v>
      </c>
      <c r="PA45" s="1259" t="s">
        <v>18358</v>
      </c>
      <c r="PB45" s="1259" t="s">
        <v>18357</v>
      </c>
      <c r="PY45" s="1259"/>
      <c r="PZ45" s="1259"/>
      <c r="QA45" s="1259"/>
    </row>
    <row r="46" spans="1:443" ht="18.75" thickBot="1">
      <c r="A46" s="2">
        <v>44</v>
      </c>
      <c r="B46" s="2" t="s">
        <v>1287</v>
      </c>
      <c r="C46" s="27" t="s">
        <v>1518</v>
      </c>
      <c r="D46" s="2" t="s">
        <v>1340</v>
      </c>
      <c r="E46" s="28" t="s">
        <v>1560</v>
      </c>
      <c r="G46" s="2">
        <v>44</v>
      </c>
      <c r="H46" s="2" t="s">
        <v>1518</v>
      </c>
      <c r="I46" s="2" t="s">
        <v>1560</v>
      </c>
      <c r="K46" s="2">
        <v>44</v>
      </c>
      <c r="L46" s="2" t="s">
        <v>137</v>
      </c>
      <c r="N46" s="2" t="s">
        <v>13166</v>
      </c>
      <c r="P46" s="29">
        <v>43</v>
      </c>
      <c r="Q46" s="29" t="s">
        <v>1581</v>
      </c>
      <c r="V46" s="2">
        <v>43</v>
      </c>
      <c r="W46" s="2" t="s">
        <v>1427</v>
      </c>
      <c r="Z46" s="1190"/>
      <c r="AA46" s="1208" t="s">
        <v>2497</v>
      </c>
      <c r="AB46" s="1208">
        <v>0.5</v>
      </c>
      <c r="AC46" s="1190"/>
      <c r="AD46" s="1190"/>
      <c r="AE46" s="1190"/>
      <c r="AF46" s="1190"/>
      <c r="AG46" s="1190"/>
      <c r="AN46" s="2">
        <v>0</v>
      </c>
      <c r="AO46" s="2">
        <v>0</v>
      </c>
      <c r="AQ46" s="2" t="str">
        <v/>
      </c>
      <c r="AS46" s="1190"/>
      <c r="AT46" s="1190"/>
      <c r="AU46" s="1190"/>
      <c r="AV46" s="1190"/>
      <c r="AW46" s="1190"/>
      <c r="BA46" s="1190"/>
      <c r="BB46" s="1190"/>
      <c r="BC46" s="1190"/>
      <c r="BD46" s="1190"/>
      <c r="BE46" s="1190"/>
      <c r="BF46" s="1190"/>
      <c r="BG46" s="1190"/>
      <c r="BH46" s="1190"/>
      <c r="BI46" s="1190"/>
      <c r="BJ46" s="1190"/>
      <c r="BK46" s="1190"/>
      <c r="BL46" s="1190"/>
      <c r="BM46" s="1190"/>
      <c r="BN46" s="1224" t="s">
        <v>1954</v>
      </c>
      <c r="BO46" s="610"/>
      <c r="CB46" s="610" t="str" cm="1">
        <f t="array" aca="1" ref="CB46" ca="1">INDEX(Таблиця27[Theft:],RANDBETWEEN(1,6))</f>
        <v>When you go to steal the macguffin it's not their or is not what you expected</v>
      </c>
      <c r="CI46" s="2">
        <v>20</v>
      </c>
      <c r="CJ46" s="2" t="s">
        <v>12586</v>
      </c>
      <c r="CL46" s="2">
        <v>20</v>
      </c>
      <c r="CM46" s="2" t="s">
        <v>12586</v>
      </c>
      <c r="CO46" s="2">
        <v>20</v>
      </c>
      <c r="CP46" s="2" t="s">
        <v>12586</v>
      </c>
      <c r="CR46" s="2">
        <v>20</v>
      </c>
      <c r="CS46" s="2" t="s">
        <v>12661</v>
      </c>
      <c r="CU46" s="2" t="s">
        <v>12697</v>
      </c>
      <c r="CV46" s="2" t="s">
        <v>12698</v>
      </c>
      <c r="CX46" s="2" t="s">
        <v>12729</v>
      </c>
      <c r="CY46" s="2" t="s">
        <v>12750</v>
      </c>
      <c r="CZ46" s="1220">
        <v>42339</v>
      </c>
      <c r="DM46" s="1192" t="s">
        <v>5698</v>
      </c>
      <c r="DN46" s="1192" t="s">
        <v>5697</v>
      </c>
      <c r="DO46" s="1192" t="s">
        <v>5696</v>
      </c>
      <c r="DP46" s="1192" t="s">
        <v>5695</v>
      </c>
      <c r="DQ46" s="1190"/>
      <c r="DR46" s="1190"/>
      <c r="DS46" s="1190"/>
      <c r="DT46" s="1190"/>
      <c r="DU46" s="1190"/>
      <c r="DV46" s="1190"/>
      <c r="DW46" s="1190"/>
      <c r="DX46" s="1190"/>
      <c r="DZ46" s="1190"/>
      <c r="EA46" s="1190"/>
      <c r="EB46" s="1190"/>
      <c r="EC46" s="1190"/>
      <c r="ED46" s="1190"/>
      <c r="EE46" s="1190"/>
      <c r="EF46" s="1190"/>
      <c r="EG46" s="1190"/>
      <c r="EH46" s="1190"/>
      <c r="EI46" s="1190"/>
      <c r="EJ46" s="1190"/>
      <c r="EK46" s="1190"/>
      <c r="EL46" s="1190"/>
      <c r="EM46" s="1190"/>
      <c r="EN46" s="1190"/>
      <c r="EO46" s="1190"/>
      <c r="EP46" s="1190"/>
      <c r="EQ46" s="1190"/>
      <c r="ER46" s="1190"/>
      <c r="ES46" s="1190"/>
      <c r="ET46" s="1190"/>
      <c r="EU46" s="1190"/>
      <c r="EV46" s="1190"/>
      <c r="EW46" s="1190"/>
      <c r="EY46" s="1190"/>
      <c r="EZ46" s="1190"/>
      <c r="FA46" s="1190"/>
      <c r="FB46" s="1190"/>
      <c r="FC46" s="1190"/>
      <c r="FD46" s="1190"/>
      <c r="IQ46" s="1189"/>
      <c r="IT46" s="1153"/>
      <c r="IU46" s="1153"/>
      <c r="IV46" s="1153"/>
      <c r="IW46" s="1153"/>
      <c r="IX46" s="1153"/>
      <c r="IY46" s="1153"/>
      <c r="IZ46" s="1153"/>
      <c r="JA46" s="1153"/>
      <c r="JB46" s="1153"/>
      <c r="JC46" s="1153"/>
      <c r="JD46" s="1153"/>
      <c r="JE46" s="1153"/>
      <c r="JF46" s="1153"/>
      <c r="JG46" s="1153"/>
      <c r="JH46" s="1153"/>
      <c r="JI46" s="1153"/>
      <c r="JJ46" s="1153"/>
      <c r="JK46" s="1132" t="s">
        <v>16978</v>
      </c>
      <c r="JL46" s="1132">
        <v>71</v>
      </c>
      <c r="JM46" s="1120" t="s">
        <v>16979</v>
      </c>
      <c r="JN46" s="1153"/>
      <c r="JO46" s="1153"/>
      <c r="JP46" s="1153"/>
      <c r="JQ46" s="1153"/>
      <c r="JR46" s="1153"/>
      <c r="JS46" s="1153"/>
      <c r="JT46" s="1153"/>
      <c r="JU46" s="1153"/>
      <c r="JV46" s="1153"/>
      <c r="JW46" s="1153"/>
      <c r="JX46" s="1153"/>
      <c r="JY46" s="1153"/>
      <c r="JZ46" s="1153"/>
      <c r="KA46" s="1153"/>
      <c r="KB46" s="1153"/>
      <c r="KC46" s="1153"/>
      <c r="KD46" s="1153"/>
      <c r="KE46" s="1153"/>
      <c r="KF46" s="1153"/>
      <c r="KG46" s="1153"/>
      <c r="KH46" s="1153"/>
      <c r="KI46" s="1153"/>
      <c r="KJ46" s="1153"/>
      <c r="KK46" s="1153"/>
      <c r="KL46" s="1153"/>
      <c r="KM46" s="1153"/>
      <c r="KN46" s="1153"/>
      <c r="KO46" s="1131" t="s">
        <v>16980</v>
      </c>
      <c r="KP46" s="1131" t="s">
        <v>16981</v>
      </c>
      <c r="KQ46" s="1153"/>
      <c r="KR46" s="1153"/>
      <c r="KS46" s="1153"/>
      <c r="KT46" s="1153"/>
      <c r="KU46" s="1153">
        <v>16</v>
      </c>
      <c r="KV46" s="1153" t="s">
        <v>16982</v>
      </c>
      <c r="KW46" s="1153"/>
      <c r="KX46" s="1153"/>
      <c r="KY46" s="1153"/>
      <c r="KZ46" s="1153"/>
      <c r="LA46" s="1153"/>
      <c r="LB46" s="1153"/>
      <c r="LC46" s="1153"/>
      <c r="LD46" s="1153"/>
      <c r="LE46" s="1153"/>
      <c r="LF46" s="1153"/>
      <c r="LG46" s="1153"/>
      <c r="LH46" s="1153"/>
      <c r="LI46" s="1153"/>
      <c r="LJ46" s="1153"/>
      <c r="LK46" s="1153"/>
      <c r="LL46" s="1153"/>
      <c r="LM46" s="1153"/>
      <c r="LN46" s="1153"/>
      <c r="LO46" s="1153"/>
      <c r="LP46" s="1153"/>
      <c r="LQ46" s="1153"/>
      <c r="LR46" s="1153"/>
      <c r="LS46" s="1247"/>
      <c r="LU46" s="1153"/>
      <c r="LV46" s="1153"/>
      <c r="LW46" s="1153"/>
      <c r="LX46" s="1153"/>
      <c r="LY46" s="1153"/>
      <c r="LZ46" s="1153"/>
      <c r="MA46" s="1153"/>
      <c r="MB46" s="1153"/>
      <c r="MC46" s="1153"/>
      <c r="MD46" s="1153"/>
      <c r="ME46" s="1153"/>
      <c r="MF46" s="1153"/>
      <c r="MG46" s="1153"/>
      <c r="MH46" s="1153"/>
      <c r="MI46" s="1153"/>
      <c r="MJ46" s="1153"/>
      <c r="MK46" s="1153"/>
      <c r="ML46" s="1153"/>
      <c r="MM46" s="1153"/>
      <c r="MN46" s="1153"/>
      <c r="MO46" s="1153"/>
      <c r="MP46" s="1153"/>
      <c r="MQ46" s="1153"/>
      <c r="MR46" s="1153"/>
      <c r="MS46" s="1153"/>
      <c r="MT46" s="1153"/>
      <c r="MU46" s="1153"/>
      <c r="MV46" s="1153"/>
      <c r="MW46" s="1153"/>
      <c r="MX46" s="1153"/>
      <c r="MY46" s="1153"/>
      <c r="MZ46" s="1153"/>
      <c r="NA46" s="1153"/>
      <c r="NB46" s="1153"/>
      <c r="NC46" s="1153"/>
      <c r="ND46" s="1153"/>
      <c r="NE46" s="1153"/>
      <c r="NF46" s="1153"/>
      <c r="NG46" s="1153"/>
      <c r="NH46" s="1153"/>
      <c r="NI46" s="1153"/>
      <c r="NJ46" s="1153"/>
      <c r="NK46" s="1153"/>
      <c r="NL46" s="1153"/>
      <c r="NM46" s="1153"/>
      <c r="NN46" s="1153"/>
      <c r="NO46" s="1153"/>
      <c r="NP46" s="1153"/>
      <c r="NQ46" s="1153"/>
      <c r="NR46" s="1153"/>
      <c r="NS46" s="1153"/>
      <c r="NT46" s="1153"/>
      <c r="NU46" s="1153"/>
      <c r="NV46" s="1153"/>
      <c r="NW46" s="1153"/>
      <c r="NX46" s="1153"/>
      <c r="NY46" s="1153"/>
      <c r="NZ46" s="1153"/>
      <c r="OA46" s="1153"/>
      <c r="OB46" s="1153"/>
      <c r="OC46" s="1153"/>
      <c r="OD46" s="1153"/>
      <c r="OE46" s="1153"/>
      <c r="OF46" s="1153"/>
      <c r="OG46" s="1153"/>
      <c r="OH46" s="1153"/>
      <c r="OI46" s="1153"/>
      <c r="OJ46" s="1153"/>
      <c r="OS46" s="651">
        <v>40</v>
      </c>
      <c r="OT46" s="1197" t="s">
        <v>16919</v>
      </c>
      <c r="OV46" s="651">
        <v>40</v>
      </c>
      <c r="OW46" s="1259" t="s">
        <v>18405</v>
      </c>
      <c r="OY46" s="1259" t="s">
        <v>18358</v>
      </c>
      <c r="OZ46" s="1259" t="s">
        <v>18447</v>
      </c>
      <c r="PA46" s="1259" t="s">
        <v>12800</v>
      </c>
      <c r="PB46" s="1259" t="s">
        <v>18481</v>
      </c>
      <c r="PS46" s="1259" t="s">
        <v>18580</v>
      </c>
      <c r="PT46" s="1259"/>
      <c r="PY46" s="1259"/>
      <c r="PZ46" s="1259"/>
      <c r="QA46" s="1259"/>
    </row>
    <row r="47" spans="1:443" ht="18.75" thickBot="1">
      <c r="A47" s="2">
        <v>45</v>
      </c>
      <c r="B47" s="2" t="s">
        <v>1288</v>
      </c>
      <c r="C47" s="27" t="s">
        <v>1519</v>
      </c>
      <c r="D47" s="2" t="s">
        <v>1341</v>
      </c>
      <c r="E47" s="28" t="s">
        <v>1561</v>
      </c>
      <c r="G47" s="2">
        <v>45</v>
      </c>
      <c r="H47" s="2" t="s">
        <v>1519</v>
      </c>
      <c r="I47" s="2" t="s">
        <v>1561</v>
      </c>
      <c r="K47" s="2">
        <v>45</v>
      </c>
      <c r="L47" s="2" t="s">
        <v>400</v>
      </c>
      <c r="N47" s="2" t="s">
        <v>13167</v>
      </c>
      <c r="P47" s="29">
        <v>44</v>
      </c>
      <c r="Q47" s="29" t="s">
        <v>1582</v>
      </c>
      <c r="V47" s="2">
        <v>44</v>
      </c>
      <c r="W47" s="2" t="s">
        <v>1428</v>
      </c>
      <c r="Z47" s="1190"/>
      <c r="AA47" s="1190"/>
      <c r="AB47" s="1190"/>
      <c r="AC47" s="1190"/>
      <c r="AD47" s="1190"/>
      <c r="AE47" s="1190"/>
      <c r="AF47" s="1190"/>
      <c r="AG47" s="1190"/>
      <c r="AN47" s="2">
        <v>0</v>
      </c>
      <c r="AO47" s="2">
        <v>0</v>
      </c>
      <c r="AQ47" s="2" t="str">
        <v/>
      </c>
      <c r="AS47" s="1190"/>
      <c r="AT47" s="1190"/>
      <c r="AU47" s="1190"/>
      <c r="AV47" s="1190"/>
      <c r="AW47" s="1190"/>
      <c r="BA47" s="1190"/>
      <c r="BB47" s="1190"/>
      <c r="BC47" s="1190"/>
      <c r="BD47" s="1190"/>
      <c r="BE47" s="1190"/>
      <c r="BF47" s="1190"/>
      <c r="BG47" s="1190"/>
      <c r="BH47" s="1190"/>
      <c r="BI47" s="1190"/>
      <c r="BJ47" s="1190"/>
      <c r="BK47" s="1190"/>
      <c r="BL47" s="1190"/>
      <c r="BM47" s="1190"/>
      <c r="BN47" s="2" t="s">
        <v>1643</v>
      </c>
      <c r="BO47" s="2" t="s">
        <v>1955</v>
      </c>
      <c r="BU47" s="2" t="s">
        <v>1643</v>
      </c>
      <c r="BV47" s="1225" t="s">
        <v>1963</v>
      </c>
      <c r="BX47" s="2" t="s">
        <v>1643</v>
      </c>
      <c r="BY47" s="2" t="s">
        <v>2004</v>
      </c>
      <c r="CA47" s="60" t="s">
        <v>1643</v>
      </c>
      <c r="CB47" s="2" t="s">
        <v>1997</v>
      </c>
      <c r="CU47" s="2">
        <v>40</v>
      </c>
      <c r="CV47" s="2" t="s">
        <v>12699</v>
      </c>
      <c r="CX47" s="2" t="s">
        <v>12732</v>
      </c>
      <c r="CY47" s="2" t="s">
        <v>12686</v>
      </c>
      <c r="CZ47" s="2" t="s">
        <v>12751</v>
      </c>
      <c r="DM47" s="1192" t="s">
        <v>9</v>
      </c>
      <c r="DN47" s="1192">
        <v>1</v>
      </c>
      <c r="DO47" s="1192">
        <v>0</v>
      </c>
      <c r="DP47" s="1192">
        <v>0</v>
      </c>
      <c r="DQ47" s="1190"/>
      <c r="DR47" s="1190"/>
      <c r="DS47" s="1190"/>
      <c r="DT47" s="1190"/>
      <c r="DU47" s="1190"/>
      <c r="DV47" s="1190"/>
      <c r="DW47" s="1190"/>
      <c r="DX47" s="1190"/>
      <c r="DZ47" s="1190"/>
      <c r="EA47" s="1190"/>
      <c r="EB47" s="1190"/>
      <c r="EC47" s="1190"/>
      <c r="ED47" s="1190"/>
      <c r="EE47" s="1190"/>
      <c r="EF47" s="1190"/>
      <c r="EG47" s="1190"/>
      <c r="EH47" s="1190"/>
      <c r="EI47" s="1190"/>
      <c r="EJ47" s="1190"/>
      <c r="EK47" s="1190"/>
      <c r="EL47" s="1190"/>
      <c r="EM47" s="1190"/>
      <c r="EN47" s="1190"/>
      <c r="EO47" s="1190"/>
      <c r="EP47" s="1190"/>
      <c r="EQ47" s="1190"/>
      <c r="ER47" s="1190"/>
      <c r="ES47" s="1190"/>
      <c r="ET47" s="1190"/>
      <c r="EU47" s="1190"/>
      <c r="EV47" s="1190"/>
      <c r="EW47" s="1190"/>
      <c r="EY47" s="1190"/>
      <c r="EZ47" s="1190"/>
      <c r="FA47" s="1190"/>
      <c r="FB47" s="1190"/>
      <c r="FC47" s="1190"/>
      <c r="FD47" s="1190"/>
      <c r="IQ47" s="1189"/>
      <c r="IT47" s="1153"/>
      <c r="IU47" s="1153"/>
      <c r="IV47" s="1153"/>
      <c r="IW47" s="1153"/>
      <c r="IX47" s="1153"/>
      <c r="IY47" s="1153"/>
      <c r="IZ47" s="1153"/>
      <c r="JA47" s="1153"/>
      <c r="JB47" s="1153"/>
      <c r="JC47" s="1153"/>
      <c r="JD47" s="1153"/>
      <c r="JE47" s="1153"/>
      <c r="JF47" s="1153"/>
      <c r="JG47" s="1153"/>
      <c r="JH47" s="1153"/>
      <c r="JI47" s="1153"/>
      <c r="JJ47" s="1153"/>
      <c r="JK47" s="1132" t="s">
        <v>9297</v>
      </c>
      <c r="JL47" s="1132">
        <v>73</v>
      </c>
      <c r="JM47" s="1120" t="s">
        <v>16983</v>
      </c>
      <c r="JN47" s="1153"/>
      <c r="JO47" s="1153"/>
      <c r="JP47" s="1153"/>
      <c r="JQ47" s="1153"/>
      <c r="JR47" s="1153"/>
      <c r="JS47" s="1153"/>
      <c r="JT47" s="1153"/>
      <c r="JU47" s="1153"/>
      <c r="JV47" s="1153"/>
      <c r="JW47" s="1153"/>
      <c r="JX47" s="1153"/>
      <c r="JY47" s="1153"/>
      <c r="JZ47" s="1153"/>
      <c r="KA47" s="1153"/>
      <c r="KB47" s="1153"/>
      <c r="KC47" s="1153"/>
      <c r="KD47" s="1153"/>
      <c r="KE47" s="1153"/>
      <c r="KF47" s="1153"/>
      <c r="KG47" s="1153"/>
      <c r="KH47" s="1153"/>
      <c r="KI47" s="1153"/>
      <c r="KJ47" s="1153"/>
      <c r="KK47" s="1153"/>
      <c r="KL47" s="1153"/>
      <c r="KM47" s="1153"/>
      <c r="KN47" s="1153"/>
      <c r="KO47" s="1131" t="s">
        <v>16984</v>
      </c>
      <c r="KP47" s="1131" t="s">
        <v>16985</v>
      </c>
      <c r="KQ47" s="1153"/>
      <c r="KR47" s="1153"/>
      <c r="KS47" s="1153"/>
      <c r="KT47" s="1153"/>
      <c r="KU47" s="1153">
        <v>17</v>
      </c>
      <c r="KV47" s="1153" t="s">
        <v>2321</v>
      </c>
      <c r="KW47" s="1153"/>
      <c r="KX47" s="1153"/>
      <c r="KY47" s="1153"/>
      <c r="KZ47" s="1153"/>
      <c r="LA47" s="1153"/>
      <c r="LB47" s="1153"/>
      <c r="LC47" s="1153"/>
      <c r="LD47" s="1153"/>
      <c r="LE47" s="1153"/>
      <c r="LF47" s="1153"/>
      <c r="LG47" s="1153"/>
      <c r="LH47" s="1153"/>
      <c r="LI47" s="1153"/>
      <c r="LJ47" s="1153"/>
      <c r="LK47" s="1153"/>
      <c r="LL47" s="1153"/>
      <c r="LM47" s="1153"/>
      <c r="LN47" s="1153"/>
      <c r="LO47" s="1153"/>
      <c r="LP47" s="1153"/>
      <c r="LQ47" s="1153"/>
      <c r="LR47" s="1153"/>
      <c r="LS47" s="1247"/>
      <c r="LU47" s="1153"/>
      <c r="LV47" s="1153"/>
      <c r="LW47" s="1153"/>
      <c r="LX47" s="1153"/>
      <c r="LY47" s="1153"/>
      <c r="LZ47" s="1153"/>
      <c r="MA47" s="1153"/>
      <c r="MB47" s="1153"/>
      <c r="MC47" s="1153"/>
      <c r="MD47" s="1153"/>
      <c r="ME47" s="1153"/>
      <c r="MF47" s="1153"/>
      <c r="MG47" s="1153"/>
      <c r="MH47" s="1153"/>
      <c r="MI47" s="1153"/>
      <c r="MJ47" s="1153"/>
      <c r="MK47" s="1153"/>
      <c r="ML47" s="1153"/>
      <c r="MM47" s="1153"/>
      <c r="MN47" s="1153"/>
      <c r="MO47" s="1153"/>
      <c r="MP47" s="1153"/>
      <c r="MQ47" s="1153"/>
      <c r="MR47" s="1153"/>
      <c r="MS47" s="1153"/>
      <c r="MT47" s="1153"/>
      <c r="MU47" s="1153"/>
      <c r="MV47" s="1153"/>
      <c r="MW47" s="1153"/>
      <c r="MX47" s="1153"/>
      <c r="MY47" s="1153"/>
      <c r="MZ47" s="1153"/>
      <c r="NA47" s="1153"/>
      <c r="NB47" s="1153"/>
      <c r="NC47" s="1153"/>
      <c r="ND47" s="1153"/>
      <c r="NE47" s="1153"/>
      <c r="NF47" s="1153"/>
      <c r="NG47" s="1153"/>
      <c r="NH47" s="1153"/>
      <c r="NI47" s="1153"/>
      <c r="NJ47" s="1153"/>
      <c r="NK47" s="1153"/>
      <c r="NL47" s="1153"/>
      <c r="NM47" s="1153"/>
      <c r="NN47" s="1153"/>
      <c r="NO47" s="1153"/>
      <c r="NP47" s="1153"/>
      <c r="NQ47" s="1153"/>
      <c r="NR47" s="1153"/>
      <c r="NS47" s="1153"/>
      <c r="NT47" s="1153"/>
      <c r="NU47" s="1153"/>
      <c r="NV47" s="1153"/>
      <c r="NW47" s="1153"/>
      <c r="NX47" s="1153"/>
      <c r="NY47" s="1153"/>
      <c r="NZ47" s="1153"/>
      <c r="OA47" s="1153"/>
      <c r="OB47" s="1153"/>
      <c r="OC47" s="1153"/>
      <c r="OD47" s="1153"/>
      <c r="OE47" s="1153"/>
      <c r="OF47" s="1153"/>
      <c r="OG47" s="1153"/>
      <c r="OH47" s="1153"/>
      <c r="OI47" s="1153"/>
      <c r="OJ47" s="1153"/>
      <c r="OS47" s="651">
        <v>41</v>
      </c>
      <c r="OT47" s="1197" t="s">
        <v>18361</v>
      </c>
      <c r="OV47" s="651">
        <v>41</v>
      </c>
      <c r="OW47" s="1259" t="s">
        <v>18406</v>
      </c>
      <c r="OY47" s="1259" t="s">
        <v>12800</v>
      </c>
      <c r="OZ47" s="1259" t="s">
        <v>18448</v>
      </c>
      <c r="PA47" s="1259" t="s">
        <v>12801</v>
      </c>
      <c r="PB47" s="1259" t="s">
        <v>18482</v>
      </c>
      <c r="PS47" s="1259" t="s">
        <v>18332</v>
      </c>
      <c r="PT47" s="1259" t="s">
        <v>18581</v>
      </c>
      <c r="PY47" s="1259" t="s">
        <v>18639</v>
      </c>
      <c r="PZ47" s="1259"/>
      <c r="QA47" s="1259"/>
    </row>
    <row r="48" spans="1:443" ht="39.75" thickBot="1">
      <c r="A48" s="2">
        <v>46</v>
      </c>
      <c r="B48" s="2" t="s">
        <v>1289</v>
      </c>
      <c r="C48" s="27" t="s">
        <v>1289</v>
      </c>
      <c r="D48" s="2" t="s">
        <v>1342</v>
      </c>
      <c r="E48" s="28" t="s">
        <v>1562</v>
      </c>
      <c r="G48" s="2">
        <v>46</v>
      </c>
      <c r="H48" s="2" t="s">
        <v>1289</v>
      </c>
      <c r="I48" s="2" t="s">
        <v>1562</v>
      </c>
      <c r="K48" s="2">
        <v>46</v>
      </c>
      <c r="L48" s="2" t="s">
        <v>370</v>
      </c>
      <c r="N48" s="2" t="s">
        <v>13168</v>
      </c>
      <c r="P48" s="29">
        <v>45</v>
      </c>
      <c r="Q48" s="29" t="s">
        <v>577</v>
      </c>
      <c r="V48" s="2">
        <v>45</v>
      </c>
      <c r="W48" s="2" t="s">
        <v>1429</v>
      </c>
      <c r="Z48" s="1190"/>
      <c r="AA48" s="2" t="s">
        <v>9033</v>
      </c>
      <c r="AB48" s="2" t="s">
        <v>9034</v>
      </c>
      <c r="AC48" s="2" t="s">
        <v>9035</v>
      </c>
      <c r="AD48" s="2" t="s">
        <v>9036</v>
      </c>
      <c r="AE48" s="2" t="s">
        <v>9037</v>
      </c>
      <c r="AF48" s="2" t="s">
        <v>9038</v>
      </c>
      <c r="AG48" s="2" t="s">
        <v>9039</v>
      </c>
      <c r="AH48" s="2" t="s">
        <v>9040</v>
      </c>
      <c r="AI48" s="2" t="s">
        <v>9041</v>
      </c>
      <c r="AN48" s="2">
        <v>0</v>
      </c>
      <c r="AO48" s="2">
        <v>0</v>
      </c>
      <c r="AQ48" s="2" t="str">
        <v/>
      </c>
      <c r="AS48" s="1190"/>
      <c r="AT48" s="1190"/>
      <c r="AU48" s="1190"/>
      <c r="AV48" s="1190"/>
      <c r="AW48" s="1190"/>
      <c r="BA48" s="1190"/>
      <c r="BB48" s="1190"/>
      <c r="BC48" s="1190"/>
      <c r="BD48" s="1190"/>
      <c r="BE48" s="1190"/>
      <c r="BF48" s="1190"/>
      <c r="BG48" s="1190"/>
      <c r="BH48" s="1190"/>
      <c r="BI48" s="1190"/>
      <c r="BJ48" s="1190"/>
      <c r="BK48" s="1190"/>
      <c r="BL48" s="1190"/>
      <c r="BM48" s="1190"/>
      <c r="BN48" s="2">
        <v>1</v>
      </c>
      <c r="BO48" s="2" t="s">
        <v>1956</v>
      </c>
      <c r="BU48" s="2">
        <v>1</v>
      </c>
      <c r="BV48" s="1225" t="s">
        <v>1964</v>
      </c>
      <c r="BX48" s="2">
        <v>1</v>
      </c>
      <c r="BY48" s="2" t="s">
        <v>2005</v>
      </c>
      <c r="CA48" s="2">
        <v>1</v>
      </c>
      <c r="CB48" s="2" t="s">
        <v>1998</v>
      </c>
      <c r="CI48" s="598" t="s">
        <v>15312</v>
      </c>
      <c r="CL48" s="598" t="s">
        <v>12620</v>
      </c>
      <c r="CO48" s="598" t="s">
        <v>12662</v>
      </c>
      <c r="CR48" s="598"/>
      <c r="CU48" s="2">
        <v>41</v>
      </c>
      <c r="CV48" s="2" t="s">
        <v>12700</v>
      </c>
      <c r="CX48" s="2" t="s">
        <v>5197</v>
      </c>
      <c r="CY48" s="2" t="s">
        <v>12752</v>
      </c>
      <c r="CZ48" s="2" t="s">
        <v>12753</v>
      </c>
      <c r="DM48" s="1192" t="s">
        <v>5694</v>
      </c>
      <c r="DN48" s="1192">
        <v>2</v>
      </c>
      <c r="DO48" s="1192">
        <v>5</v>
      </c>
      <c r="DP48" s="1192">
        <v>0</v>
      </c>
      <c r="DQ48" s="1190"/>
      <c r="DR48" s="1190"/>
      <c r="DS48" s="1190"/>
      <c r="DT48" s="1190"/>
      <c r="DU48" s="1190"/>
      <c r="DV48" s="1190"/>
      <c r="DW48" s="1190"/>
      <c r="DX48" s="1190"/>
      <c r="DZ48" s="1190"/>
      <c r="EA48" s="1190"/>
      <c r="EB48" s="1190"/>
      <c r="EC48" s="1190"/>
      <c r="ED48" s="1190"/>
      <c r="EE48" s="1190"/>
      <c r="EF48" s="1190"/>
      <c r="EG48" s="1190"/>
      <c r="EH48" s="1190"/>
      <c r="EI48" s="1190"/>
      <c r="EJ48" s="1190"/>
      <c r="EK48" s="1190"/>
      <c r="EL48" s="1190"/>
      <c r="EM48" s="1190"/>
      <c r="EN48" s="1190"/>
      <c r="EO48" s="1190"/>
      <c r="EP48" s="1190"/>
      <c r="EQ48" s="1190"/>
      <c r="ER48" s="1190"/>
      <c r="ES48" s="1190"/>
      <c r="ET48" s="1190"/>
      <c r="EU48" s="1190"/>
      <c r="EV48" s="1190"/>
      <c r="EW48" s="1190"/>
      <c r="EY48" s="1190"/>
      <c r="EZ48" s="1190"/>
      <c r="FA48" s="1190"/>
      <c r="FB48" s="1190"/>
      <c r="FC48" s="1190"/>
      <c r="FD48" s="1190"/>
      <c r="IQ48" s="1189"/>
      <c r="IT48" s="1153"/>
      <c r="IU48" s="1153"/>
      <c r="IV48" s="1153"/>
      <c r="IW48" s="1153"/>
      <c r="IX48" s="1153"/>
      <c r="IY48" s="1153"/>
      <c r="IZ48" s="1153"/>
      <c r="JA48" s="1153"/>
      <c r="JB48" s="1153"/>
      <c r="JC48" s="1153"/>
      <c r="JD48" s="1153"/>
      <c r="JE48" s="1153"/>
      <c r="JF48" s="1153"/>
      <c r="JG48" s="1153"/>
      <c r="JH48" s="1153"/>
      <c r="JI48" s="1153"/>
      <c r="JJ48" s="1153"/>
      <c r="JK48" s="1132">
        <v>76</v>
      </c>
      <c r="JL48" s="1132">
        <v>75</v>
      </c>
      <c r="JM48" s="1120" t="s">
        <v>16986</v>
      </c>
      <c r="JN48" s="1153"/>
      <c r="JO48" s="1153"/>
      <c r="JP48" s="1153"/>
      <c r="JQ48" s="1153"/>
      <c r="JR48" s="1153"/>
      <c r="JS48" s="1153"/>
      <c r="JT48" s="1153"/>
      <c r="JU48" s="1153"/>
      <c r="JV48" s="1153"/>
      <c r="JW48" s="1153"/>
      <c r="JX48" s="1153"/>
      <c r="JY48" s="1153"/>
      <c r="JZ48" s="1153"/>
      <c r="KA48" s="1153"/>
      <c r="KB48" s="1153"/>
      <c r="KC48" s="1153"/>
      <c r="KD48" s="1153"/>
      <c r="KE48" s="1153"/>
      <c r="KF48" s="1153"/>
      <c r="KG48" s="1153"/>
      <c r="KH48" s="1153"/>
      <c r="KI48" s="1153"/>
      <c r="KJ48" s="1153"/>
      <c r="KK48" s="1153"/>
      <c r="KL48" s="1153"/>
      <c r="KM48" s="1153"/>
      <c r="KN48" s="1153"/>
      <c r="KO48" s="1131" t="s">
        <v>16987</v>
      </c>
      <c r="KP48" s="1131" t="s">
        <v>16988</v>
      </c>
      <c r="KQ48" s="1153"/>
      <c r="KR48" s="1153"/>
      <c r="KS48" s="1153"/>
      <c r="KT48" s="1153"/>
      <c r="KU48" s="1153">
        <v>18</v>
      </c>
      <c r="KV48" s="1153" t="s">
        <v>16989</v>
      </c>
      <c r="KW48" s="1153"/>
      <c r="KX48" s="1153"/>
      <c r="KY48" s="1153"/>
      <c r="KZ48" s="1153"/>
      <c r="LA48" s="1153"/>
      <c r="LB48" s="1153"/>
      <c r="LC48" s="1153"/>
      <c r="LD48" s="1153"/>
      <c r="LE48" s="1153"/>
      <c r="LF48" s="1153"/>
      <c r="LG48" s="1153"/>
      <c r="LH48" s="1153"/>
      <c r="LI48" s="1153"/>
      <c r="LJ48" s="1153"/>
      <c r="LK48" s="1153"/>
      <c r="LL48" s="1153"/>
      <c r="LM48" s="1153"/>
      <c r="LN48" s="1153"/>
      <c r="LO48" s="1153"/>
      <c r="LP48" s="1153"/>
      <c r="LQ48" s="1153"/>
      <c r="LR48" s="1153"/>
      <c r="LS48" s="1247"/>
      <c r="LU48" s="1153"/>
      <c r="LV48" s="1153"/>
      <c r="LW48" s="1153"/>
      <c r="LX48" s="1153"/>
      <c r="LY48" s="1153"/>
      <c r="LZ48" s="1153"/>
      <c r="MA48" s="1153"/>
      <c r="MB48" s="1153"/>
      <c r="MC48" s="1153"/>
      <c r="MD48" s="1153"/>
      <c r="ME48" s="1153"/>
      <c r="MF48" s="1153"/>
      <c r="MG48" s="1153"/>
      <c r="MH48" s="1153"/>
      <c r="MI48" s="1153"/>
      <c r="MJ48" s="1153"/>
      <c r="MK48" s="1153"/>
      <c r="ML48" s="1153"/>
      <c r="MM48" s="1153"/>
      <c r="MN48" s="1153"/>
      <c r="MO48" s="1153"/>
      <c r="MP48" s="1153"/>
      <c r="MQ48" s="1153"/>
      <c r="MR48" s="1153"/>
      <c r="MS48" s="1153"/>
      <c r="MT48" s="1153"/>
      <c r="MU48" s="1153"/>
      <c r="MV48" s="1153"/>
      <c r="MW48" s="1153"/>
      <c r="MX48" s="1153"/>
      <c r="MY48" s="1153"/>
      <c r="MZ48" s="1153"/>
      <c r="NA48" s="1153"/>
      <c r="NB48" s="1153"/>
      <c r="NC48" s="1153"/>
      <c r="ND48" s="1153"/>
      <c r="NE48" s="1153"/>
      <c r="NF48" s="1153"/>
      <c r="NG48" s="1153"/>
      <c r="NH48" s="1153"/>
      <c r="NI48" s="1153"/>
      <c r="NJ48" s="1153"/>
      <c r="NK48" s="1153"/>
      <c r="NL48" s="1153"/>
      <c r="NM48" s="1153"/>
      <c r="NN48" s="1153"/>
      <c r="NO48" s="1153"/>
      <c r="NP48" s="1153"/>
      <c r="NQ48" s="1153"/>
      <c r="NR48" s="1153"/>
      <c r="NS48" s="1153"/>
      <c r="NT48" s="1153"/>
      <c r="NU48" s="1153"/>
      <c r="NV48" s="1153"/>
      <c r="NW48" s="1153"/>
      <c r="NX48" s="1153"/>
      <c r="NY48" s="1153"/>
      <c r="NZ48" s="1153"/>
      <c r="OA48" s="1153"/>
      <c r="OB48" s="1153"/>
      <c r="OC48" s="1153"/>
      <c r="OD48" s="1153"/>
      <c r="OE48" s="1153"/>
      <c r="OF48" s="1153"/>
      <c r="OG48" s="1153"/>
      <c r="OH48" s="1153"/>
      <c r="OI48" s="1153"/>
      <c r="OJ48" s="1153"/>
      <c r="OS48" s="651">
        <v>42</v>
      </c>
      <c r="OT48" s="1197" t="s">
        <v>7736</v>
      </c>
      <c r="OV48" s="651">
        <v>42</v>
      </c>
      <c r="OW48" s="1259" t="s">
        <v>18407</v>
      </c>
      <c r="OY48" s="1259" t="s">
        <v>12801</v>
      </c>
      <c r="OZ48" s="1259" t="s">
        <v>18449</v>
      </c>
      <c r="PA48" s="1259" t="s">
        <v>12829</v>
      </c>
      <c r="PB48" s="1259" t="s">
        <v>12236</v>
      </c>
      <c r="PS48" s="1220">
        <v>43831</v>
      </c>
      <c r="PT48" s="1259" t="s">
        <v>18582</v>
      </c>
      <c r="PY48" s="1259" t="s">
        <v>5816</v>
      </c>
      <c r="PZ48" s="1259" t="s">
        <v>11184</v>
      </c>
      <c r="QA48" s="1259"/>
    </row>
    <row r="49" spans="1:443" ht="19.5" thickTop="1" thickBot="1">
      <c r="A49" s="2">
        <v>47</v>
      </c>
      <c r="B49" s="2" t="s">
        <v>1290</v>
      </c>
      <c r="C49" s="27" t="s">
        <v>1291</v>
      </c>
      <c r="D49" s="2" t="s">
        <v>1343</v>
      </c>
      <c r="E49" s="28" t="s">
        <v>1340</v>
      </c>
      <c r="G49" s="2">
        <v>47</v>
      </c>
      <c r="H49" s="2" t="s">
        <v>1291</v>
      </c>
      <c r="I49" s="2" t="s">
        <v>1340</v>
      </c>
      <c r="K49" s="2">
        <v>47</v>
      </c>
      <c r="L49" s="2" t="s">
        <v>156</v>
      </c>
      <c r="N49" s="2" t="s">
        <v>13169</v>
      </c>
      <c r="P49" s="29">
        <v>46</v>
      </c>
      <c r="Q49" s="29" t="s">
        <v>1583</v>
      </c>
      <c r="V49" s="2">
        <v>46</v>
      </c>
      <c r="W49" s="2" t="s">
        <v>1430</v>
      </c>
      <c r="Z49" s="1190"/>
      <c r="AA49" s="2" t="s">
        <v>9042</v>
      </c>
      <c r="AB49" s="2" t="s">
        <v>9043</v>
      </c>
      <c r="AC49" s="2" t="s">
        <v>9044</v>
      </c>
      <c r="AD49" s="2" t="s">
        <v>9045</v>
      </c>
      <c r="AE49" s="2" t="s">
        <v>9046</v>
      </c>
      <c r="AF49" s="2" t="s">
        <v>9044</v>
      </c>
      <c r="AG49" s="2" t="s">
        <v>9045</v>
      </c>
      <c r="AH49" s="2" t="s">
        <v>9047</v>
      </c>
      <c r="AI49" s="2" t="s">
        <v>9048</v>
      </c>
      <c r="AN49" s="2">
        <v>0</v>
      </c>
      <c r="AO49" s="2">
        <v>0</v>
      </c>
      <c r="AQ49" s="2" t="str">
        <v/>
      </c>
      <c r="AS49" s="1190"/>
      <c r="AT49" s="1190"/>
      <c r="AU49" s="1190"/>
      <c r="AV49" s="1190"/>
      <c r="AW49" s="1190"/>
      <c r="BA49" s="1190"/>
      <c r="BB49" s="1190"/>
      <c r="BC49" s="1190"/>
      <c r="BD49" s="1190"/>
      <c r="BE49" s="1190"/>
      <c r="BF49" s="1190"/>
      <c r="BG49" s="1190"/>
      <c r="BH49" s="1190"/>
      <c r="BI49" s="1190"/>
      <c r="BJ49" s="1190"/>
      <c r="BK49" s="1190"/>
      <c r="BL49" s="1190"/>
      <c r="BM49" s="1190"/>
      <c r="BN49" s="2">
        <v>2</v>
      </c>
      <c r="BO49" s="2" t="s">
        <v>1957</v>
      </c>
      <c r="BU49" s="2">
        <v>2</v>
      </c>
      <c r="BV49" s="1225" t="s">
        <v>1957</v>
      </c>
      <c r="BX49" s="2">
        <v>2</v>
      </c>
      <c r="BY49" s="2" t="s">
        <v>2006</v>
      </c>
      <c r="CA49" s="2">
        <v>2</v>
      </c>
      <c r="CB49" s="2" t="s">
        <v>1999</v>
      </c>
      <c r="CU49" s="2" t="s">
        <v>12701</v>
      </c>
      <c r="CV49" s="2" t="s">
        <v>12702</v>
      </c>
      <c r="CX49" s="2" t="s">
        <v>12736</v>
      </c>
      <c r="CY49" s="2" t="s">
        <v>12754</v>
      </c>
      <c r="CZ49" s="2" t="s">
        <v>12754</v>
      </c>
      <c r="DM49" s="1192" t="s">
        <v>5693</v>
      </c>
      <c r="DN49" s="1192">
        <v>0.5</v>
      </c>
      <c r="DO49" s="1192">
        <v>0</v>
      </c>
      <c r="DP49" s="1192">
        <v>0</v>
      </c>
      <c r="DQ49" s="1190"/>
      <c r="DR49" s="1190"/>
      <c r="DS49" s="1190"/>
      <c r="DT49" s="1190"/>
      <c r="DU49" s="1190"/>
      <c r="DV49" s="1190"/>
      <c r="DW49" s="1190"/>
      <c r="DX49" s="1190"/>
      <c r="DZ49" s="1190"/>
      <c r="EA49" s="1190"/>
      <c r="EB49" s="1190"/>
      <c r="EC49" s="1190"/>
      <c r="ED49" s="1190"/>
      <c r="EE49" s="1190"/>
      <c r="EF49" s="1190"/>
      <c r="EG49" s="1190"/>
      <c r="EH49" s="1190"/>
      <c r="EI49" s="1190"/>
      <c r="EJ49" s="1190"/>
      <c r="EK49" s="1190"/>
      <c r="EL49" s="1190"/>
      <c r="EM49" s="1190"/>
      <c r="EN49" s="1190"/>
      <c r="EO49" s="1190"/>
      <c r="EP49" s="1190"/>
      <c r="EQ49" s="1190"/>
      <c r="ER49" s="1190"/>
      <c r="ES49" s="1190"/>
      <c r="ET49" s="1190"/>
      <c r="EU49" s="1190"/>
      <c r="EV49" s="1190"/>
      <c r="EW49" s="1190"/>
      <c r="EY49" s="1190"/>
      <c r="EZ49" s="1190"/>
      <c r="FA49" s="1190"/>
      <c r="FB49" s="1190"/>
      <c r="FC49" s="1190"/>
      <c r="FD49" s="1190"/>
      <c r="IQ49" s="1189"/>
      <c r="IT49" s="1153"/>
      <c r="IU49" s="1153"/>
      <c r="IV49" s="1153"/>
      <c r="IW49" s="1153"/>
      <c r="IX49" s="1153"/>
      <c r="IY49" s="1153"/>
      <c r="IZ49" s="1153"/>
      <c r="JA49" s="1153"/>
      <c r="JB49" s="1153"/>
      <c r="JC49" s="1153"/>
      <c r="JD49" s="1153"/>
      <c r="JE49" s="1153"/>
      <c r="JF49" s="1153"/>
      <c r="JG49" s="1153"/>
      <c r="JH49" s="1153"/>
      <c r="JI49" s="1153"/>
      <c r="JJ49" s="1153"/>
      <c r="JK49" s="1132">
        <v>77</v>
      </c>
      <c r="JL49" s="1132">
        <v>76</v>
      </c>
      <c r="JM49" s="1120" t="s">
        <v>16990</v>
      </c>
      <c r="JN49" s="1153"/>
      <c r="JO49" s="1153"/>
      <c r="JP49" s="1153"/>
      <c r="JQ49" s="1153"/>
      <c r="JR49" s="1153"/>
      <c r="JS49" s="1153"/>
      <c r="JT49" s="1153"/>
      <c r="JU49" s="1153"/>
      <c r="JV49" s="1153"/>
      <c r="JW49" s="1153"/>
      <c r="JX49" s="1153"/>
      <c r="JY49" s="1153"/>
      <c r="JZ49" s="1153"/>
      <c r="KA49" s="1153"/>
      <c r="KB49" s="1153"/>
      <c r="KC49" s="1153"/>
      <c r="KD49" s="1153"/>
      <c r="KE49" s="1153"/>
      <c r="KF49" s="1153"/>
      <c r="KG49" s="1153"/>
      <c r="KH49" s="1153"/>
      <c r="KI49" s="1153"/>
      <c r="KJ49" s="1153"/>
      <c r="KK49" s="1153"/>
      <c r="KL49" s="1153"/>
      <c r="KM49" s="1153"/>
      <c r="KN49" s="1153"/>
      <c r="KO49" s="1131" t="s">
        <v>16991</v>
      </c>
      <c r="KP49" s="1131" t="s">
        <v>16992</v>
      </c>
      <c r="KQ49" s="1153"/>
      <c r="KR49" s="1153"/>
      <c r="KS49" s="1153"/>
      <c r="KT49" s="1153"/>
      <c r="KU49" s="1153">
        <v>19</v>
      </c>
      <c r="KV49" s="1153" t="s">
        <v>16993</v>
      </c>
      <c r="KW49" s="1153"/>
      <c r="KX49" s="1153"/>
      <c r="KY49" s="1153"/>
      <c r="KZ49" s="1153"/>
      <c r="LA49" s="1153"/>
      <c r="LB49" s="1153"/>
      <c r="LC49" s="1153"/>
      <c r="LD49" s="1153"/>
      <c r="LE49" s="1153"/>
      <c r="LF49" s="1153"/>
      <c r="LG49" s="1153"/>
      <c r="LH49" s="1153"/>
      <c r="LI49" s="1153"/>
      <c r="LJ49" s="1153"/>
      <c r="LK49" s="1153"/>
      <c r="LL49" s="1153"/>
      <c r="LM49" s="1153"/>
      <c r="LN49" s="1153"/>
      <c r="LO49" s="1153"/>
      <c r="LP49" s="1153"/>
      <c r="LQ49" s="1153"/>
      <c r="LR49" s="1153"/>
      <c r="LS49" s="1247"/>
      <c r="LU49" s="1153"/>
      <c r="LV49" s="1153"/>
      <c r="LW49" s="1153"/>
      <c r="LX49" s="1153"/>
      <c r="LY49" s="1153"/>
      <c r="LZ49" s="1153"/>
      <c r="MA49" s="1153"/>
      <c r="MB49" s="1153"/>
      <c r="MC49" s="1153"/>
      <c r="MD49" s="1153"/>
      <c r="ME49" s="1153"/>
      <c r="MF49" s="1153"/>
      <c r="MG49" s="1153"/>
      <c r="MH49" s="1153"/>
      <c r="MI49" s="1153"/>
      <c r="MJ49" s="1153"/>
      <c r="MK49" s="1153"/>
      <c r="ML49" s="1153"/>
      <c r="MM49" s="1153"/>
      <c r="MN49" s="1153"/>
      <c r="MO49" s="1153"/>
      <c r="MP49" s="1153"/>
      <c r="MQ49" s="1153"/>
      <c r="MR49" s="1153"/>
      <c r="MS49" s="1153"/>
      <c r="MT49" s="1153"/>
      <c r="MU49" s="1153"/>
      <c r="MV49" s="1153"/>
      <c r="MW49" s="1153"/>
      <c r="MX49" s="1153"/>
      <c r="MY49" s="1153"/>
      <c r="MZ49" s="1153"/>
      <c r="NA49" s="1153"/>
      <c r="NB49" s="1153"/>
      <c r="NC49" s="1153"/>
      <c r="ND49" s="1153"/>
      <c r="NE49" s="1153"/>
      <c r="NF49" s="1153"/>
      <c r="NG49" s="1153"/>
      <c r="NH49" s="1153"/>
      <c r="NI49" s="1153"/>
      <c r="NJ49" s="1153"/>
      <c r="NK49" s="1153"/>
      <c r="NL49" s="1153"/>
      <c r="NM49" s="1153"/>
      <c r="NN49" s="1153"/>
      <c r="NO49" s="1153"/>
      <c r="NP49" s="1153"/>
      <c r="NQ49" s="1153"/>
      <c r="NR49" s="1153"/>
      <c r="NS49" s="1153"/>
      <c r="NT49" s="1153"/>
      <c r="NU49" s="1153"/>
      <c r="NV49" s="1153"/>
      <c r="NW49" s="1153"/>
      <c r="NX49" s="1153"/>
      <c r="NY49" s="1153"/>
      <c r="NZ49" s="1153"/>
      <c r="OA49" s="1153"/>
      <c r="OB49" s="1153"/>
      <c r="OC49" s="1153"/>
      <c r="OD49" s="1153"/>
      <c r="OE49" s="1153"/>
      <c r="OF49" s="1153"/>
      <c r="OG49" s="1153"/>
      <c r="OH49" s="1153"/>
      <c r="OI49" s="1153"/>
      <c r="OJ49" s="1153"/>
      <c r="OS49" s="651">
        <v>43</v>
      </c>
      <c r="OT49" s="1197" t="s">
        <v>16840</v>
      </c>
      <c r="OV49" s="651">
        <v>43</v>
      </c>
      <c r="OW49" s="1259" t="s">
        <v>18408</v>
      </c>
      <c r="OY49" s="1259" t="s">
        <v>12829</v>
      </c>
      <c r="OZ49" s="1259" t="s">
        <v>18450</v>
      </c>
      <c r="PA49" s="1259" t="s">
        <v>12774</v>
      </c>
      <c r="PB49" s="1259" t="s">
        <v>18483</v>
      </c>
      <c r="PS49" s="1259" t="s">
        <v>8133</v>
      </c>
      <c r="PT49" s="1259" t="s">
        <v>18583</v>
      </c>
      <c r="PY49" s="1259">
        <v>1</v>
      </c>
      <c r="PZ49" s="1259" t="s">
        <v>18640</v>
      </c>
      <c r="QA49" s="1259"/>
    </row>
    <row r="50" spans="1:443" ht="18.75" thickBot="1">
      <c r="A50" s="2">
        <v>48</v>
      </c>
      <c r="B50" s="2" t="s">
        <v>1291</v>
      </c>
      <c r="C50" s="27" t="s">
        <v>1520</v>
      </c>
      <c r="D50" s="2" t="s">
        <v>1344</v>
      </c>
      <c r="E50" s="28" t="s">
        <v>1563</v>
      </c>
      <c r="G50" s="2">
        <v>48</v>
      </c>
      <c r="H50" s="2" t="s">
        <v>1520</v>
      </c>
      <c r="I50" s="2" t="s">
        <v>1563</v>
      </c>
      <c r="K50" s="2">
        <v>48</v>
      </c>
      <c r="L50" s="2" t="s">
        <v>281</v>
      </c>
      <c r="N50" s="2" t="s">
        <v>13170</v>
      </c>
      <c r="P50" s="29">
        <v>47</v>
      </c>
      <c r="Q50" s="29" t="s">
        <v>1584</v>
      </c>
      <c r="V50" s="2">
        <v>47</v>
      </c>
      <c r="W50" s="2" t="s">
        <v>1431</v>
      </c>
      <c r="Z50" s="1190"/>
      <c r="AA50" s="2" t="s">
        <v>9049</v>
      </c>
      <c r="AB50" s="2" t="s">
        <v>9050</v>
      </c>
      <c r="AC50" s="2" t="s">
        <v>9046</v>
      </c>
      <c r="AD50" s="2" t="s">
        <v>9051</v>
      </c>
      <c r="AE50" s="2" t="s">
        <v>9052</v>
      </c>
      <c r="AF50" s="2" t="s">
        <v>9046</v>
      </c>
      <c r="AG50" s="2" t="s">
        <v>9051</v>
      </c>
      <c r="AH50" s="2" t="s">
        <v>9053</v>
      </c>
      <c r="AI50" s="2" t="s">
        <v>9054</v>
      </c>
      <c r="AN50" s="2">
        <v>0</v>
      </c>
      <c r="AO50" s="2">
        <v>0</v>
      </c>
      <c r="AQ50" s="2" t="str">
        <v/>
      </c>
      <c r="AS50" s="1190"/>
      <c r="AT50" s="1190"/>
      <c r="AU50" s="1190"/>
      <c r="AV50" s="1190"/>
      <c r="AW50" s="1190"/>
      <c r="BA50" s="1190"/>
      <c r="BB50" s="1190"/>
      <c r="BC50" s="1190"/>
      <c r="BD50" s="1190"/>
      <c r="BE50" s="1190"/>
      <c r="BF50" s="1190"/>
      <c r="BG50" s="1190"/>
      <c r="BH50" s="1190"/>
      <c r="BI50" s="1190"/>
      <c r="BJ50" s="1190"/>
      <c r="BK50" s="1190"/>
      <c r="BL50" s="1190"/>
      <c r="BM50" s="1190"/>
      <c r="BN50" s="2">
        <v>3</v>
      </c>
      <c r="BO50" s="2" t="s">
        <v>1958</v>
      </c>
      <c r="BU50" s="2">
        <v>3</v>
      </c>
      <c r="BV50" s="1225" t="s">
        <v>1965</v>
      </c>
      <c r="BX50" s="2">
        <v>3</v>
      </c>
      <c r="BY50" s="2" t="s">
        <v>2007</v>
      </c>
      <c r="CA50" s="2">
        <v>3</v>
      </c>
      <c r="CB50" s="2" t="s">
        <v>2000</v>
      </c>
      <c r="CI50" s="2" t="s">
        <v>12621</v>
      </c>
      <c r="CJ50" s="2" t="s">
        <v>7930</v>
      </c>
      <c r="CL50" s="2" t="s">
        <v>12621</v>
      </c>
      <c r="CM50" s="2" t="s">
        <v>7930</v>
      </c>
      <c r="CO50" s="1226" t="s">
        <v>12621</v>
      </c>
      <c r="CP50" s="2" t="s">
        <v>7930</v>
      </c>
      <c r="CR50" s="2" t="s">
        <v>12583</v>
      </c>
      <c r="CS50" s="2" t="s">
        <v>7930</v>
      </c>
      <c r="CU50" s="2" t="s">
        <v>12703</v>
      </c>
      <c r="CV50" s="2" t="s">
        <v>12704</v>
      </c>
      <c r="CX50" s="2" t="s">
        <v>2545</v>
      </c>
      <c r="CY50" s="2" t="s">
        <v>12755</v>
      </c>
      <c r="CZ50" s="2" t="s">
        <v>12756</v>
      </c>
      <c r="DM50" s="1192" t="s">
        <v>5692</v>
      </c>
      <c r="DN50" s="1192">
        <v>0.25</v>
      </c>
      <c r="DO50" s="1192">
        <v>0</v>
      </c>
      <c r="DP50" s="1192">
        <v>0</v>
      </c>
      <c r="DQ50" s="1190"/>
      <c r="DR50" s="1190"/>
      <c r="DS50" s="1190"/>
      <c r="DT50" s="1190"/>
      <c r="DU50" s="1190"/>
      <c r="DV50" s="1190"/>
      <c r="DW50" s="1190"/>
      <c r="DX50" s="1190"/>
      <c r="DZ50" s="1190"/>
      <c r="EA50" s="1190"/>
      <c r="EB50" s="1190"/>
      <c r="EC50" s="1190"/>
      <c r="ED50" s="1190"/>
      <c r="EE50" s="1190"/>
      <c r="EF50" s="1190"/>
      <c r="EG50" s="1190"/>
      <c r="EH50" s="1190"/>
      <c r="EI50" s="1190"/>
      <c r="EJ50" s="1190"/>
      <c r="EK50" s="1190"/>
      <c r="EL50" s="1190"/>
      <c r="EM50" s="1190"/>
      <c r="EN50" s="1190"/>
      <c r="EO50" s="1190"/>
      <c r="EP50" s="1190"/>
      <c r="EQ50" s="1190"/>
      <c r="ER50" s="1190"/>
      <c r="ES50" s="1190"/>
      <c r="ET50" s="1190"/>
      <c r="EU50" s="1190"/>
      <c r="EV50" s="1190"/>
      <c r="EW50" s="1190"/>
      <c r="EY50" s="1190"/>
      <c r="EZ50" s="1190"/>
      <c r="FA50" s="1190"/>
      <c r="FB50" s="1190"/>
      <c r="FC50" s="1190"/>
      <c r="FD50" s="1190"/>
      <c r="IQ50" s="1189"/>
      <c r="IT50" s="1153"/>
      <c r="IU50" s="1153"/>
      <c r="IV50" s="1153"/>
      <c r="IW50" s="1153"/>
      <c r="IX50" s="1153"/>
      <c r="IY50" s="1153"/>
      <c r="IZ50" s="1153"/>
      <c r="JA50" s="1153"/>
      <c r="JB50" s="1153"/>
      <c r="JC50" s="1153"/>
      <c r="JD50" s="1153"/>
      <c r="JE50" s="1153"/>
      <c r="JF50" s="1153"/>
      <c r="JG50" s="1153"/>
      <c r="JH50" s="1153"/>
      <c r="JI50" s="1153"/>
      <c r="JJ50" s="1153"/>
      <c r="JK50" s="1132">
        <v>78</v>
      </c>
      <c r="JL50" s="1132">
        <v>77</v>
      </c>
      <c r="JM50" s="1120" t="s">
        <v>16994</v>
      </c>
      <c r="JN50" s="1153"/>
      <c r="JO50" s="1153"/>
      <c r="JP50" s="1153"/>
      <c r="JQ50" s="1153"/>
      <c r="JR50" s="1153"/>
      <c r="JS50" s="1153"/>
      <c r="JT50" s="1153"/>
      <c r="JU50" s="1153"/>
      <c r="JV50" s="1153"/>
      <c r="JW50" s="1153"/>
      <c r="JX50" s="1153"/>
      <c r="JY50" s="1153"/>
      <c r="JZ50" s="1153"/>
      <c r="KA50" s="1153"/>
      <c r="KB50" s="1153"/>
      <c r="KC50" s="1153"/>
      <c r="KD50" s="1153"/>
      <c r="KE50" s="1153"/>
      <c r="KF50" s="1153"/>
      <c r="KG50" s="1153"/>
      <c r="KH50" s="1153"/>
      <c r="KI50" s="1153"/>
      <c r="KJ50" s="1153"/>
      <c r="KK50" s="1153"/>
      <c r="KL50" s="1153"/>
      <c r="KM50" s="1153"/>
      <c r="KN50" s="1153"/>
      <c r="KO50" s="1131" t="s">
        <v>16995</v>
      </c>
      <c r="KP50" s="1131" t="s">
        <v>16996</v>
      </c>
      <c r="KQ50" s="1153"/>
      <c r="KR50" s="1153"/>
      <c r="KS50" s="1153"/>
      <c r="KT50" s="1153"/>
      <c r="KU50" s="1153">
        <v>20</v>
      </c>
      <c r="KV50" s="1153" t="s">
        <v>16997</v>
      </c>
      <c r="KW50" s="1153"/>
      <c r="KX50" s="1153"/>
      <c r="KY50" s="1153"/>
      <c r="KZ50" s="1153"/>
      <c r="LA50" s="1153"/>
      <c r="LB50" s="1153"/>
      <c r="LC50" s="1153"/>
      <c r="LD50" s="1153"/>
      <c r="LE50" s="1153"/>
      <c r="LF50" s="1153"/>
      <c r="LG50" s="1153"/>
      <c r="LH50" s="1153"/>
      <c r="LI50" s="1153"/>
      <c r="LJ50" s="1153"/>
      <c r="LK50" s="1153"/>
      <c r="LL50" s="1153"/>
      <c r="LM50" s="1153"/>
      <c r="LN50" s="1153"/>
      <c r="LO50" s="1153"/>
      <c r="LP50" s="1153"/>
      <c r="LQ50" s="1153"/>
      <c r="LR50" s="1153"/>
      <c r="LS50" s="1247"/>
      <c r="LU50" s="1153"/>
      <c r="LV50" s="1153"/>
      <c r="LW50" s="1153"/>
      <c r="LX50" s="1153"/>
      <c r="LY50" s="1153"/>
      <c r="LZ50" s="1153"/>
      <c r="MA50" s="1153"/>
      <c r="MB50" s="1153"/>
      <c r="MC50" s="1153"/>
      <c r="MD50" s="1153"/>
      <c r="ME50" s="1153"/>
      <c r="MF50" s="1153"/>
      <c r="MG50" s="1153"/>
      <c r="MH50" s="1153"/>
      <c r="MI50" s="1153"/>
      <c r="MJ50" s="1153"/>
      <c r="MK50" s="1153"/>
      <c r="ML50" s="1153"/>
      <c r="MM50" s="1153"/>
      <c r="MN50" s="1153"/>
      <c r="MO50" s="1153"/>
      <c r="MP50" s="1153"/>
      <c r="MQ50" s="1153"/>
      <c r="MR50" s="1153"/>
      <c r="MS50" s="1153"/>
      <c r="MT50" s="1153"/>
      <c r="MU50" s="1153"/>
      <c r="MV50" s="1153"/>
      <c r="MW50" s="1153"/>
      <c r="MX50" s="1153"/>
      <c r="MY50" s="1153"/>
      <c r="MZ50" s="1153"/>
      <c r="NA50" s="1153"/>
      <c r="NB50" s="1153"/>
      <c r="NC50" s="1153"/>
      <c r="ND50" s="1153"/>
      <c r="NE50" s="1153"/>
      <c r="NF50" s="1153"/>
      <c r="NG50" s="1153"/>
      <c r="NH50" s="1153"/>
      <c r="NI50" s="1153"/>
      <c r="NJ50" s="1153"/>
      <c r="NK50" s="1153"/>
      <c r="NL50" s="1153"/>
      <c r="NM50" s="1153"/>
      <c r="NN50" s="1153"/>
      <c r="NO50" s="1153"/>
      <c r="NP50" s="1153"/>
      <c r="NQ50" s="1153"/>
      <c r="NR50" s="1153"/>
      <c r="NS50" s="1153"/>
      <c r="NT50" s="1153"/>
      <c r="NU50" s="1153"/>
      <c r="NV50" s="1153"/>
      <c r="NW50" s="1153"/>
      <c r="NX50" s="1153"/>
      <c r="NY50" s="1153"/>
      <c r="NZ50" s="1153"/>
      <c r="OA50" s="1153"/>
      <c r="OB50" s="1153"/>
      <c r="OC50" s="1153"/>
      <c r="OD50" s="1153"/>
      <c r="OE50" s="1153"/>
      <c r="OF50" s="1153"/>
      <c r="OG50" s="1153"/>
      <c r="OH50" s="1153"/>
      <c r="OI50" s="1153"/>
      <c r="OJ50" s="1153"/>
      <c r="OS50" s="651">
        <v>44</v>
      </c>
      <c r="OT50" s="1197" t="s">
        <v>18363</v>
      </c>
      <c r="OV50" s="651">
        <v>44</v>
      </c>
      <c r="OW50" s="1259" t="s">
        <v>18409</v>
      </c>
      <c r="OY50" s="1259" t="s">
        <v>12774</v>
      </c>
      <c r="OZ50" s="1259" t="s">
        <v>7736</v>
      </c>
      <c r="PA50" s="1259" t="s">
        <v>12775</v>
      </c>
      <c r="PB50" s="1259" t="s">
        <v>18360</v>
      </c>
      <c r="PS50" s="1259"/>
      <c r="PT50" s="1259"/>
      <c r="PY50" s="1259">
        <v>2</v>
      </c>
      <c r="PZ50" s="1259" t="s">
        <v>18641</v>
      </c>
      <c r="QA50" s="1259"/>
    </row>
    <row r="51" spans="1:443" ht="18.75" thickBot="1">
      <c r="A51" s="2">
        <v>49</v>
      </c>
      <c r="B51" s="2" t="s">
        <v>1292</v>
      </c>
      <c r="C51" s="27" t="s">
        <v>1521</v>
      </c>
      <c r="D51" s="2" t="s">
        <v>1345</v>
      </c>
      <c r="E51" s="28" t="s">
        <v>1564</v>
      </c>
      <c r="G51" s="2">
        <v>49</v>
      </c>
      <c r="H51" s="2" t="s">
        <v>1521</v>
      </c>
      <c r="I51" s="2" t="s">
        <v>1564</v>
      </c>
      <c r="K51" s="2">
        <v>49</v>
      </c>
      <c r="L51" s="2" t="s">
        <v>404</v>
      </c>
      <c r="N51" s="2" t="s">
        <v>13171</v>
      </c>
      <c r="P51" s="29">
        <v>48</v>
      </c>
      <c r="Q51" s="29" t="s">
        <v>578</v>
      </c>
      <c r="V51" s="2">
        <v>48</v>
      </c>
      <c r="W51" s="2" t="s">
        <v>1432</v>
      </c>
      <c r="Z51" s="1190"/>
      <c r="AA51" s="2" t="s">
        <v>9055</v>
      </c>
      <c r="AB51" s="2" t="s">
        <v>9056</v>
      </c>
      <c r="AC51" s="2" t="s">
        <v>9052</v>
      </c>
      <c r="AD51" s="2" t="s">
        <v>9057</v>
      </c>
      <c r="AE51" s="2" t="s">
        <v>5815</v>
      </c>
      <c r="AF51" s="2" t="s">
        <v>9052</v>
      </c>
      <c r="AG51" s="2" t="s">
        <v>9057</v>
      </c>
      <c r="AH51" s="2" t="s">
        <v>9058</v>
      </c>
      <c r="AI51" s="2" t="s">
        <v>9059</v>
      </c>
      <c r="AN51" s="2">
        <v>0</v>
      </c>
      <c r="AO51" s="2">
        <v>0</v>
      </c>
      <c r="AQ51" s="2" t="str">
        <v/>
      </c>
      <c r="AS51" s="1190"/>
      <c r="AT51" s="1190"/>
      <c r="AU51" s="1190"/>
      <c r="AV51" s="1190"/>
      <c r="AW51" s="1190"/>
      <c r="BA51" s="1190"/>
      <c r="BB51" s="1190"/>
      <c r="BC51" s="1190"/>
      <c r="BD51" s="1190"/>
      <c r="BE51" s="1190"/>
      <c r="BF51" s="1190"/>
      <c r="BG51" s="1190"/>
      <c r="BH51" s="1190"/>
      <c r="BI51" s="1190"/>
      <c r="BJ51" s="1190"/>
      <c r="BK51" s="1190"/>
      <c r="BL51" s="1190"/>
      <c r="BM51" s="1190"/>
      <c r="BN51" s="2">
        <v>4</v>
      </c>
      <c r="BO51" s="2" t="s">
        <v>1959</v>
      </c>
      <c r="BU51" s="2">
        <v>4</v>
      </c>
      <c r="BV51" s="1225" t="s">
        <v>1966</v>
      </c>
      <c r="BX51" s="2">
        <v>4</v>
      </c>
      <c r="BY51" s="2" t="s">
        <v>2008</v>
      </c>
      <c r="CA51" s="2">
        <v>4</v>
      </c>
      <c r="CB51" s="2" t="s">
        <v>2001</v>
      </c>
      <c r="CI51" s="2">
        <v>2</v>
      </c>
      <c r="CJ51" s="2" t="s">
        <v>2512</v>
      </c>
      <c r="CL51" s="1227">
        <v>2</v>
      </c>
      <c r="CM51" s="2" t="s">
        <v>12622</v>
      </c>
      <c r="CO51" s="1227">
        <v>2</v>
      </c>
      <c r="CP51" s="2" t="s">
        <v>12663</v>
      </c>
      <c r="CR51" s="1227">
        <v>2</v>
      </c>
      <c r="CS51" s="2" t="s">
        <v>12608</v>
      </c>
      <c r="CU51" s="2" t="s">
        <v>9281</v>
      </c>
      <c r="CV51" s="2" t="s">
        <v>12705</v>
      </c>
      <c r="CX51" s="2" t="s">
        <v>2535</v>
      </c>
      <c r="CY51" s="2">
        <v>34</v>
      </c>
      <c r="CZ51" s="2" t="s">
        <v>8096</v>
      </c>
      <c r="DM51" s="1192" t="s">
        <v>5691</v>
      </c>
      <c r="DN51" s="1192">
        <v>0.5</v>
      </c>
      <c r="DO51" s="1192">
        <v>0</v>
      </c>
      <c r="DP51" s="1192">
        <v>0</v>
      </c>
      <c r="DQ51" s="1190"/>
      <c r="DR51" s="1190"/>
      <c r="DS51" s="1190"/>
      <c r="DT51" s="1190"/>
      <c r="DU51" s="1190"/>
      <c r="DV51" s="1190"/>
      <c r="DW51" s="1190"/>
      <c r="DX51" s="1190"/>
      <c r="DZ51" s="1190"/>
      <c r="EA51" s="1190"/>
      <c r="EB51" s="1190"/>
      <c r="EC51" s="1190"/>
      <c r="ED51" s="1190"/>
      <c r="EE51" s="1190"/>
      <c r="EF51" s="1190"/>
      <c r="EG51" s="1190"/>
      <c r="EH51" s="1190"/>
      <c r="EI51" s="1190"/>
      <c r="EJ51" s="1190"/>
      <c r="EK51" s="1190"/>
      <c r="EL51" s="1190"/>
      <c r="EM51" s="1190"/>
      <c r="EN51" s="1190"/>
      <c r="EO51" s="1190"/>
      <c r="EP51" s="1190"/>
      <c r="EQ51" s="1190"/>
      <c r="ER51" s="1190"/>
      <c r="ES51" s="1190"/>
      <c r="ET51" s="1190"/>
      <c r="EU51" s="1190"/>
      <c r="EV51" s="1190"/>
      <c r="EW51" s="1190"/>
      <c r="EY51" s="1190"/>
      <c r="EZ51" s="1190"/>
      <c r="FA51" s="1190"/>
      <c r="FB51" s="1190"/>
      <c r="FC51" s="1190"/>
      <c r="FD51" s="1190"/>
      <c r="IQ51" s="1189"/>
      <c r="IT51" s="1153"/>
      <c r="IU51" s="1153"/>
      <c r="IV51" s="1153"/>
      <c r="IW51" s="1153"/>
      <c r="IX51" s="1153"/>
      <c r="IY51" s="1153"/>
      <c r="IZ51" s="1153"/>
      <c r="JA51" s="1153"/>
      <c r="JB51" s="1153"/>
      <c r="JC51" s="1153"/>
      <c r="JD51" s="1153"/>
      <c r="JE51" s="1153"/>
      <c r="JF51" s="1153"/>
      <c r="JG51" s="1153"/>
      <c r="JH51" s="1153"/>
      <c r="JI51" s="1153"/>
      <c r="JJ51" s="1153"/>
      <c r="JK51" s="1132" t="s">
        <v>12829</v>
      </c>
      <c r="JL51" s="1132">
        <v>78</v>
      </c>
      <c r="JM51" s="1120" t="s">
        <v>16998</v>
      </c>
      <c r="JN51" s="1153"/>
      <c r="JO51" s="1153"/>
      <c r="JP51" s="1153"/>
      <c r="JQ51" s="1153"/>
      <c r="JR51" s="1153"/>
      <c r="JS51" s="1153"/>
      <c r="JT51" s="1153"/>
      <c r="JU51" s="1153"/>
      <c r="JV51" s="1153"/>
      <c r="JW51" s="1153"/>
      <c r="JX51" s="1153"/>
      <c r="JY51" s="1153"/>
      <c r="JZ51" s="1153"/>
      <c r="KA51" s="1153"/>
      <c r="KB51" s="1153"/>
      <c r="KC51" s="1153"/>
      <c r="KD51" s="1153"/>
      <c r="KE51" s="1153"/>
      <c r="KF51" s="1153"/>
      <c r="KG51" s="1153"/>
      <c r="KH51" s="1153"/>
      <c r="KI51" s="1153"/>
      <c r="KJ51" s="1153"/>
      <c r="KK51" s="1153"/>
      <c r="KL51" s="1153"/>
      <c r="KM51" s="1153"/>
      <c r="KN51" s="1153"/>
      <c r="KO51" s="1131" t="s">
        <v>16999</v>
      </c>
      <c r="KP51" s="1131" t="s">
        <v>17000</v>
      </c>
      <c r="KQ51" s="1153"/>
      <c r="KR51" s="1153"/>
      <c r="KS51" s="1153"/>
      <c r="KT51" s="1153"/>
      <c r="KU51" s="1153">
        <v>21</v>
      </c>
      <c r="KV51" s="1153" t="s">
        <v>17001</v>
      </c>
      <c r="KW51" s="1153"/>
      <c r="KX51" s="1153"/>
      <c r="KY51" s="1153"/>
      <c r="KZ51" s="1153"/>
      <c r="LA51" s="1153"/>
      <c r="LB51" s="1153"/>
      <c r="LC51" s="1153"/>
      <c r="LD51" s="1153"/>
      <c r="LE51" s="1153"/>
      <c r="LF51" s="1153"/>
      <c r="LG51" s="1153"/>
      <c r="LH51" s="1153"/>
      <c r="LI51" s="1153"/>
      <c r="LJ51" s="1153"/>
      <c r="LK51" s="1153"/>
      <c r="LL51" s="1153"/>
      <c r="LM51" s="1153"/>
      <c r="LN51" s="1153"/>
      <c r="LO51" s="1153"/>
      <c r="LP51" s="1153"/>
      <c r="LQ51" s="1153"/>
      <c r="LR51" s="1153"/>
      <c r="LS51" s="1247"/>
      <c r="LU51" s="1153"/>
      <c r="LV51" s="1153"/>
      <c r="LW51" s="1153"/>
      <c r="LX51" s="1153"/>
      <c r="LY51" s="1153"/>
      <c r="LZ51" s="1153"/>
      <c r="MA51" s="1153"/>
      <c r="MB51" s="1153"/>
      <c r="MC51" s="1153"/>
      <c r="MD51" s="1153"/>
      <c r="ME51" s="1153"/>
      <c r="MF51" s="1153"/>
      <c r="MG51" s="1153"/>
      <c r="MH51" s="1153"/>
      <c r="MI51" s="1153"/>
      <c r="MJ51" s="1153"/>
      <c r="MK51" s="1153"/>
      <c r="ML51" s="1153"/>
      <c r="MM51" s="1153"/>
      <c r="MN51" s="1153"/>
      <c r="MO51" s="1153"/>
      <c r="MP51" s="1153"/>
      <c r="MQ51" s="1153"/>
      <c r="MR51" s="1153"/>
      <c r="MS51" s="1153"/>
      <c r="MT51" s="1153"/>
      <c r="MU51" s="1153"/>
      <c r="MV51" s="1153"/>
      <c r="MW51" s="1153"/>
      <c r="MX51" s="1153"/>
      <c r="MY51" s="1153"/>
      <c r="MZ51" s="1153"/>
      <c r="NA51" s="1153"/>
      <c r="NB51" s="1153"/>
      <c r="NC51" s="1153"/>
      <c r="ND51" s="1153"/>
      <c r="NE51" s="1153"/>
      <c r="NF51" s="1153"/>
      <c r="NG51" s="1153"/>
      <c r="NH51" s="1153"/>
      <c r="NI51" s="1153"/>
      <c r="NJ51" s="1153"/>
      <c r="NK51" s="1153"/>
      <c r="NL51" s="1153"/>
      <c r="NM51" s="1153"/>
      <c r="NN51" s="1153"/>
      <c r="NO51" s="1153"/>
      <c r="NP51" s="1153"/>
      <c r="NQ51" s="1153"/>
      <c r="NR51" s="1153"/>
      <c r="NS51" s="1153"/>
      <c r="NT51" s="1153"/>
      <c r="NU51" s="1153"/>
      <c r="NV51" s="1153"/>
      <c r="NW51" s="1153"/>
      <c r="NX51" s="1153"/>
      <c r="NY51" s="1153"/>
      <c r="NZ51" s="1153"/>
      <c r="OA51" s="1153"/>
      <c r="OB51" s="1153"/>
      <c r="OC51" s="1153"/>
      <c r="OD51" s="1153"/>
      <c r="OE51" s="1153"/>
      <c r="OF51" s="1153"/>
      <c r="OG51" s="1153"/>
      <c r="OH51" s="1153"/>
      <c r="OI51" s="1153"/>
      <c r="OJ51" s="1153"/>
      <c r="OS51" s="651">
        <v>45</v>
      </c>
      <c r="OT51" s="1197" t="s">
        <v>18364</v>
      </c>
      <c r="OV51" s="651">
        <v>45</v>
      </c>
      <c r="OW51" s="1259" t="s">
        <v>18410</v>
      </c>
      <c r="OY51" s="1259" t="s">
        <v>12775</v>
      </c>
      <c r="OZ51" s="1259" t="s">
        <v>18451</v>
      </c>
      <c r="PA51" s="1259" t="s">
        <v>18362</v>
      </c>
      <c r="PB51" s="1259" t="s">
        <v>2497</v>
      </c>
      <c r="PS51" s="1259"/>
      <c r="PT51" s="1259"/>
      <c r="PY51" s="1259">
        <v>3</v>
      </c>
      <c r="PZ51" s="1259" t="s">
        <v>18642</v>
      </c>
      <c r="QA51" s="1259"/>
    </row>
    <row r="52" spans="1:443" ht="18.75" thickBot="1">
      <c r="A52" s="2">
        <v>50</v>
      </c>
      <c r="B52" s="2" t="s">
        <v>1293</v>
      </c>
      <c r="C52" s="27" t="s">
        <v>1522</v>
      </c>
      <c r="D52" s="2" t="s">
        <v>1346</v>
      </c>
      <c r="E52" s="28" t="s">
        <v>1565</v>
      </c>
      <c r="G52" s="2">
        <v>50</v>
      </c>
      <c r="H52" s="2" t="s">
        <v>1522</v>
      </c>
      <c r="I52" s="2" t="s">
        <v>1565</v>
      </c>
      <c r="K52" s="2">
        <v>50</v>
      </c>
      <c r="L52" s="2" t="s">
        <v>57</v>
      </c>
      <c r="N52" s="2" t="s">
        <v>13172</v>
      </c>
      <c r="P52" s="29">
        <v>49</v>
      </c>
      <c r="Q52" s="29" t="s">
        <v>1585</v>
      </c>
      <c r="V52" s="2">
        <v>49</v>
      </c>
      <c r="W52" s="2" t="s">
        <v>1433</v>
      </c>
      <c r="Z52" s="1190"/>
      <c r="AA52" s="2" t="s">
        <v>9060</v>
      </c>
      <c r="AB52" s="2" t="s">
        <v>9061</v>
      </c>
      <c r="AC52" s="2" t="s">
        <v>5815</v>
      </c>
      <c r="AD52" s="2" t="s">
        <v>9062</v>
      </c>
      <c r="AE52" s="2" t="s">
        <v>9063</v>
      </c>
      <c r="AF52" s="2" t="s">
        <v>5815</v>
      </c>
      <c r="AG52" s="2" t="s">
        <v>9062</v>
      </c>
      <c r="AH52" s="2" t="s">
        <v>9064</v>
      </c>
      <c r="AI52" s="2" t="s">
        <v>9065</v>
      </c>
      <c r="AN52" s="2">
        <v>0</v>
      </c>
      <c r="AO52" s="2">
        <v>0</v>
      </c>
      <c r="AQ52" s="2" t="str">
        <v/>
      </c>
      <c r="AS52" s="1190"/>
      <c r="AT52" s="1190"/>
      <c r="AU52" s="1190"/>
      <c r="AV52" s="1190"/>
      <c r="AW52" s="1190"/>
      <c r="AX52" s="1190"/>
      <c r="AY52" s="1190"/>
      <c r="AZ52" s="1190"/>
      <c r="BA52" s="1190"/>
      <c r="BB52" s="1190"/>
      <c r="BC52" s="1190"/>
      <c r="BD52" s="1190"/>
      <c r="BE52" s="1190"/>
      <c r="BF52" s="1190"/>
      <c r="BG52" s="1190"/>
      <c r="BH52" s="1190"/>
      <c r="BI52" s="1190"/>
      <c r="BJ52" s="1190"/>
      <c r="BK52" s="1190"/>
      <c r="BL52" s="1190"/>
      <c r="BM52" s="1190"/>
      <c r="BN52" s="2">
        <v>5</v>
      </c>
      <c r="BO52" s="2" t="s">
        <v>1960</v>
      </c>
      <c r="BU52" s="2">
        <v>5</v>
      </c>
      <c r="BV52" s="1225" t="s">
        <v>1967</v>
      </c>
      <c r="BX52" s="2">
        <v>5</v>
      </c>
      <c r="BY52" s="2" t="s">
        <v>2009</v>
      </c>
      <c r="CA52" s="2">
        <v>5</v>
      </c>
      <c r="CB52" s="2" t="s">
        <v>2002</v>
      </c>
      <c r="CI52" s="2">
        <v>3</v>
      </c>
      <c r="CJ52" s="2" t="s">
        <v>12627</v>
      </c>
      <c r="CL52" s="1228">
        <v>3</v>
      </c>
      <c r="CM52" s="2" t="s">
        <v>3364</v>
      </c>
      <c r="CO52" s="1228">
        <v>3</v>
      </c>
      <c r="CP52" s="2" t="s">
        <v>12664</v>
      </c>
      <c r="CR52" s="1228">
        <v>3</v>
      </c>
      <c r="CS52" s="2" t="s">
        <v>12671</v>
      </c>
      <c r="CU52" s="2">
        <v>52</v>
      </c>
      <c r="CV52" s="2" t="s">
        <v>3580</v>
      </c>
      <c r="CX52" s="2" t="s">
        <v>12741</v>
      </c>
      <c r="CY52" s="2" t="s">
        <v>12757</v>
      </c>
      <c r="CZ52" s="2">
        <v>41</v>
      </c>
      <c r="DM52" s="1190"/>
      <c r="DN52" s="1190"/>
      <c r="DO52" s="1190"/>
      <c r="DP52" s="1190"/>
      <c r="DQ52" s="1190"/>
      <c r="DR52" s="1190"/>
      <c r="DS52" s="1190"/>
      <c r="DT52" s="1190"/>
      <c r="DU52" s="1190"/>
      <c r="DV52" s="1190"/>
      <c r="DW52" s="1190"/>
      <c r="DX52" s="1190"/>
      <c r="DZ52" s="1190"/>
      <c r="EA52" s="1190"/>
      <c r="EB52" s="1190"/>
      <c r="EC52" s="1190"/>
      <c r="ED52" s="1190"/>
      <c r="EE52" s="1190"/>
      <c r="EF52" s="1190"/>
      <c r="EG52" s="1190"/>
      <c r="EH52" s="1190"/>
      <c r="EI52" s="1190"/>
      <c r="EJ52" s="1190"/>
      <c r="EK52" s="1190"/>
      <c r="EL52" s="1190"/>
      <c r="EM52" s="1190"/>
      <c r="EN52" s="1190"/>
      <c r="EO52" s="1190"/>
      <c r="EP52" s="1190"/>
      <c r="EQ52" s="1190"/>
      <c r="ER52" s="1190"/>
      <c r="ES52" s="1190"/>
      <c r="ET52" s="1190"/>
      <c r="EU52" s="1190"/>
      <c r="EV52" s="1190"/>
      <c r="EW52" s="1190"/>
      <c r="EY52" s="1190"/>
      <c r="EZ52" s="1190"/>
      <c r="FA52" s="1190"/>
      <c r="FB52" s="1190"/>
      <c r="FC52" s="1190"/>
      <c r="FD52" s="1190"/>
      <c r="IQ52" s="1189"/>
      <c r="IT52" s="1153"/>
      <c r="IU52" s="1153"/>
      <c r="IV52" s="1153"/>
      <c r="IW52" s="1153"/>
      <c r="IX52" s="1153"/>
      <c r="IY52" s="1153"/>
      <c r="IZ52" s="1153"/>
      <c r="JA52" s="1153"/>
      <c r="JB52" s="1153"/>
      <c r="JC52" s="1153"/>
      <c r="JD52" s="1153"/>
      <c r="JE52" s="1153"/>
      <c r="JF52" s="1153"/>
      <c r="JG52" s="1153"/>
      <c r="JH52" s="1153"/>
      <c r="JI52" s="1153"/>
      <c r="JJ52" s="1153"/>
      <c r="JK52" s="1132" t="s">
        <v>12774</v>
      </c>
      <c r="JL52" s="1132">
        <v>80</v>
      </c>
      <c r="JM52" s="1120" t="s">
        <v>17002</v>
      </c>
      <c r="JN52" s="1153"/>
      <c r="JO52" s="1153"/>
      <c r="JP52" s="1153"/>
      <c r="JQ52" s="1153"/>
      <c r="JR52" s="1153"/>
      <c r="JS52" s="1153"/>
      <c r="JT52" s="1153"/>
      <c r="JU52" s="1153"/>
      <c r="JV52" s="1153"/>
      <c r="JW52" s="1153"/>
      <c r="JX52" s="1153"/>
      <c r="JY52" s="1153"/>
      <c r="JZ52" s="1153"/>
      <c r="KA52" s="1153"/>
      <c r="KB52" s="1153"/>
      <c r="KC52" s="1153"/>
      <c r="KD52" s="1153"/>
      <c r="KE52" s="1153"/>
      <c r="KF52" s="1153"/>
      <c r="KG52" s="1153"/>
      <c r="KH52" s="1153"/>
      <c r="KI52" s="1153"/>
      <c r="KJ52" s="1153"/>
      <c r="KK52" s="1153"/>
      <c r="KL52" s="1153"/>
      <c r="KM52" s="1153"/>
      <c r="KN52" s="1153"/>
      <c r="KO52" s="1131" t="s">
        <v>17003</v>
      </c>
      <c r="KP52" s="1131" t="s">
        <v>17004</v>
      </c>
      <c r="KQ52" s="1153"/>
      <c r="KR52" s="1153"/>
      <c r="KS52" s="1153"/>
      <c r="KT52" s="1153"/>
      <c r="KU52" s="1153">
        <v>22</v>
      </c>
      <c r="KV52" s="1153" t="s">
        <v>17005</v>
      </c>
      <c r="KW52" s="1153"/>
      <c r="KX52" s="1153"/>
      <c r="KY52" s="1153"/>
      <c r="KZ52" s="1153"/>
      <c r="LA52" s="1153"/>
      <c r="LB52" s="1153"/>
      <c r="LC52" s="1153"/>
      <c r="LD52" s="1153"/>
      <c r="LE52" s="1153"/>
      <c r="LF52" s="1153"/>
      <c r="LG52" s="1153"/>
      <c r="LH52" s="1153"/>
      <c r="LI52" s="1153"/>
      <c r="LJ52" s="1153"/>
      <c r="LK52" s="1153"/>
      <c r="LL52" s="1153"/>
      <c r="LM52" s="1153"/>
      <c r="LN52" s="1153"/>
      <c r="LO52" s="1153"/>
      <c r="LP52" s="1153"/>
      <c r="LQ52" s="1153"/>
      <c r="LR52" s="1153"/>
      <c r="LS52" s="1247"/>
      <c r="LU52" s="1153"/>
      <c r="LV52" s="1153"/>
      <c r="LW52" s="1153"/>
      <c r="LX52" s="1153"/>
      <c r="LY52" s="1153"/>
      <c r="LZ52" s="1153"/>
      <c r="MA52" s="1153"/>
      <c r="MB52" s="1153"/>
      <c r="MC52" s="1153"/>
      <c r="MD52" s="1153"/>
      <c r="ME52" s="1153"/>
      <c r="MF52" s="1153"/>
      <c r="MG52" s="1153"/>
      <c r="MH52" s="1153"/>
      <c r="MI52" s="1153"/>
      <c r="MJ52" s="1153"/>
      <c r="MK52" s="1153"/>
      <c r="ML52" s="1153"/>
      <c r="MM52" s="1153"/>
      <c r="MN52" s="1153"/>
      <c r="MO52" s="1153"/>
      <c r="MP52" s="1153"/>
      <c r="MQ52" s="1153"/>
      <c r="MR52" s="1153"/>
      <c r="MS52" s="1153"/>
      <c r="MT52" s="1153"/>
      <c r="MU52" s="1153"/>
      <c r="MV52" s="1153"/>
      <c r="MW52" s="1153"/>
      <c r="MX52" s="1153"/>
      <c r="MY52" s="1153"/>
      <c r="MZ52" s="1153"/>
      <c r="NA52" s="1153"/>
      <c r="NB52" s="1153"/>
      <c r="NC52" s="1153"/>
      <c r="ND52" s="1153"/>
      <c r="NE52" s="1153"/>
      <c r="NF52" s="1153"/>
      <c r="NG52" s="1153"/>
      <c r="NH52" s="1153"/>
      <c r="NI52" s="1153"/>
      <c r="NJ52" s="1153"/>
      <c r="NK52" s="1153"/>
      <c r="NL52" s="1153"/>
      <c r="NM52" s="1153"/>
      <c r="NN52" s="1153"/>
      <c r="NO52" s="1153"/>
      <c r="NP52" s="1153"/>
      <c r="NQ52" s="1153"/>
      <c r="NR52" s="1153"/>
      <c r="NS52" s="1153"/>
      <c r="NT52" s="1153"/>
      <c r="NU52" s="1153"/>
      <c r="NV52" s="1153"/>
      <c r="NW52" s="1153"/>
      <c r="NX52" s="1153"/>
      <c r="NY52" s="1153"/>
      <c r="NZ52" s="1153"/>
      <c r="OA52" s="1153"/>
      <c r="OB52" s="1153"/>
      <c r="OC52" s="1153"/>
      <c r="OD52" s="1153"/>
      <c r="OE52" s="1153"/>
      <c r="OF52" s="1153"/>
      <c r="OG52" s="1153"/>
      <c r="OH52" s="1153"/>
      <c r="OI52" s="1153"/>
      <c r="OJ52" s="1153"/>
      <c r="OS52" s="651">
        <v>46</v>
      </c>
      <c r="OT52" s="1197" t="s">
        <v>16565</v>
      </c>
      <c r="OV52" s="651">
        <v>46</v>
      </c>
      <c r="OW52" s="1259" t="s">
        <v>18411</v>
      </c>
      <c r="OY52" s="1259" t="s">
        <v>18362</v>
      </c>
      <c r="OZ52" s="1259" t="s">
        <v>16682</v>
      </c>
      <c r="PA52" s="1259" t="s">
        <v>12859</v>
      </c>
      <c r="PB52" s="1259" t="s">
        <v>18484</v>
      </c>
      <c r="PS52" s="1259" t="s">
        <v>18332</v>
      </c>
      <c r="PT52" s="1259" t="s">
        <v>18581</v>
      </c>
      <c r="PY52" s="1259">
        <v>4</v>
      </c>
      <c r="PZ52" s="1259" t="s">
        <v>18643</v>
      </c>
      <c r="QA52" s="1259"/>
    </row>
    <row r="53" spans="1:443" ht="18.75" thickBot="1">
      <c r="A53" s="2">
        <v>51</v>
      </c>
      <c r="B53" s="2" t="s">
        <v>1294</v>
      </c>
      <c r="C53" s="27" t="s">
        <v>1523</v>
      </c>
      <c r="D53" s="2" t="s">
        <v>1347</v>
      </c>
      <c r="E53" s="28" t="s">
        <v>1347</v>
      </c>
      <c r="G53" s="2">
        <v>51</v>
      </c>
      <c r="H53" s="2" t="s">
        <v>1523</v>
      </c>
      <c r="I53" s="2" t="s">
        <v>1347</v>
      </c>
      <c r="K53" s="2">
        <v>51</v>
      </c>
      <c r="L53" s="2" t="s">
        <v>14</v>
      </c>
      <c r="N53" s="2" t="s">
        <v>13173</v>
      </c>
      <c r="P53" s="29">
        <v>50</v>
      </c>
      <c r="Q53" s="29" t="s">
        <v>393</v>
      </c>
      <c r="V53" s="2">
        <v>50</v>
      </c>
      <c r="W53" s="2" t="s">
        <v>1434</v>
      </c>
      <c r="Z53" s="1190"/>
      <c r="AA53" s="2" t="s">
        <v>1907</v>
      </c>
      <c r="AB53" s="2" t="s">
        <v>9066</v>
      </c>
      <c r="AC53" s="2" t="s">
        <v>9063</v>
      </c>
      <c r="AD53" s="2" t="s">
        <v>9067</v>
      </c>
      <c r="AE53" s="2" t="s">
        <v>9068</v>
      </c>
      <c r="AF53" s="2" t="s">
        <v>9063</v>
      </c>
      <c r="AG53" s="2" t="s">
        <v>9067</v>
      </c>
      <c r="AH53" s="2" t="s">
        <v>9069</v>
      </c>
      <c r="AI53" s="2" t="s">
        <v>9070</v>
      </c>
      <c r="AN53" s="2">
        <v>0</v>
      </c>
      <c r="AO53" s="2">
        <v>0</v>
      </c>
      <c r="AQ53" s="2" t="str">
        <v/>
      </c>
      <c r="AS53" s="1190"/>
      <c r="AT53" s="1190"/>
      <c r="AU53" s="1190"/>
      <c r="AV53" s="1190"/>
      <c r="AW53" s="1190"/>
      <c r="AX53" s="1190"/>
      <c r="AY53" s="1190"/>
      <c r="AZ53" s="1190"/>
      <c r="BA53" s="1190"/>
      <c r="BB53" s="1190"/>
      <c r="BC53" s="1190"/>
      <c r="BD53" s="1190"/>
      <c r="BE53" s="1190"/>
      <c r="BF53" s="1190"/>
      <c r="BG53" s="1190"/>
      <c r="BH53" s="1190"/>
      <c r="BI53" s="1190"/>
      <c r="BJ53" s="1190"/>
      <c r="BK53" s="1190"/>
      <c r="BL53" s="1190"/>
      <c r="BM53" s="1190"/>
      <c r="BN53" s="2">
        <v>6</v>
      </c>
      <c r="BO53" s="2" t="s">
        <v>1961</v>
      </c>
      <c r="BU53" s="2">
        <v>6</v>
      </c>
      <c r="BV53" s="1225" t="s">
        <v>1968</v>
      </c>
      <c r="BX53" s="2">
        <v>6</v>
      </c>
      <c r="BY53" s="2" t="s">
        <v>2010</v>
      </c>
      <c r="CA53" s="2">
        <v>6</v>
      </c>
      <c r="CB53" s="2" t="s">
        <v>2003</v>
      </c>
      <c r="CI53" s="2">
        <v>4</v>
      </c>
      <c r="CJ53" s="2" t="s">
        <v>12628</v>
      </c>
      <c r="CL53" s="1227">
        <v>4</v>
      </c>
      <c r="CM53" s="2" t="s">
        <v>12623</v>
      </c>
      <c r="CO53" s="1227">
        <v>4</v>
      </c>
      <c r="CP53" s="2" t="s">
        <v>12664</v>
      </c>
      <c r="CR53" s="1227">
        <v>4</v>
      </c>
      <c r="CS53" s="2" t="s">
        <v>12671</v>
      </c>
      <c r="CU53" s="2" t="s">
        <v>12706</v>
      </c>
      <c r="CV53" s="2" t="s">
        <v>12707</v>
      </c>
      <c r="CX53" s="2" t="s">
        <v>12742</v>
      </c>
      <c r="CY53" s="2" t="s">
        <v>12758</v>
      </c>
      <c r="CZ53" s="2">
        <v>42</v>
      </c>
      <c r="DM53" s="1190"/>
      <c r="DN53" s="1190"/>
      <c r="DO53" s="1190"/>
      <c r="DP53" s="1190"/>
      <c r="DQ53" s="1190"/>
      <c r="DR53" s="1190"/>
      <c r="DS53" s="1190"/>
      <c r="DT53" s="1190"/>
      <c r="DU53" s="1190"/>
      <c r="DV53" s="1190"/>
      <c r="DW53" s="1190"/>
      <c r="DX53" s="1190"/>
      <c r="IQ53" s="1189"/>
      <c r="IT53" s="1153"/>
      <c r="IU53" s="1153"/>
      <c r="IV53" s="1153"/>
      <c r="IW53" s="1153"/>
      <c r="IX53" s="1153"/>
      <c r="IY53" s="1153"/>
      <c r="IZ53" s="1153"/>
      <c r="JA53" s="1153"/>
      <c r="JB53" s="1153"/>
      <c r="JC53" s="1153"/>
      <c r="JD53" s="1153"/>
      <c r="JE53" s="1153"/>
      <c r="JF53" s="1153"/>
      <c r="JG53" s="1153"/>
      <c r="JH53" s="1153"/>
      <c r="JI53" s="1153"/>
      <c r="JJ53" s="1153"/>
      <c r="JK53" s="1132" t="s">
        <v>12775</v>
      </c>
      <c r="JL53" s="1132">
        <v>82</v>
      </c>
      <c r="JM53" s="1120" t="s">
        <v>17006</v>
      </c>
      <c r="JN53" s="1153"/>
      <c r="JO53" s="1153"/>
      <c r="JP53" s="1153"/>
      <c r="JQ53" s="1153"/>
      <c r="JR53" s="1153"/>
      <c r="JS53" s="1153"/>
      <c r="JT53" s="1153"/>
      <c r="JU53" s="1153"/>
      <c r="JV53" s="1153"/>
      <c r="JW53" s="1153"/>
      <c r="JX53" s="1153"/>
      <c r="JY53" s="1153"/>
      <c r="JZ53" s="1153"/>
      <c r="KA53" s="1153"/>
      <c r="KB53" s="1153"/>
      <c r="KC53" s="1153"/>
      <c r="KD53" s="1153"/>
      <c r="KE53" s="1153"/>
      <c r="KF53" s="1153"/>
      <c r="KG53" s="1153"/>
      <c r="KH53" s="1153"/>
      <c r="KI53" s="1153"/>
      <c r="KJ53" s="1153"/>
      <c r="KK53" s="1153"/>
      <c r="KL53" s="1153"/>
      <c r="KM53" s="1153"/>
      <c r="KN53" s="1153"/>
      <c r="KO53" s="1131" t="s">
        <v>17007</v>
      </c>
      <c r="KP53" s="1131" t="s">
        <v>17008</v>
      </c>
      <c r="KQ53" s="1153"/>
      <c r="KR53" s="1153"/>
      <c r="KS53" s="1153"/>
      <c r="KT53" s="1153"/>
      <c r="KU53" s="1153">
        <v>23</v>
      </c>
      <c r="KV53" s="1153" t="s">
        <v>17009</v>
      </c>
      <c r="KW53" s="1153"/>
      <c r="KX53" s="1153"/>
      <c r="KY53" s="1153"/>
      <c r="KZ53" s="1153"/>
      <c r="LA53" s="1153"/>
      <c r="LB53" s="1153"/>
      <c r="LC53" s="1153"/>
      <c r="LD53" s="1153"/>
      <c r="LE53" s="1153"/>
      <c r="LF53" s="1153"/>
      <c r="LG53" s="1153"/>
      <c r="LH53" s="1153"/>
      <c r="LI53" s="1153"/>
      <c r="LJ53" s="1153"/>
      <c r="LK53" s="1153"/>
      <c r="LL53" s="1153"/>
      <c r="LM53" s="1153"/>
      <c r="LN53" s="1153"/>
      <c r="LO53" s="1153"/>
      <c r="LP53" s="1153"/>
      <c r="LQ53" s="1153"/>
      <c r="LR53" s="1153"/>
      <c r="LS53" s="1247"/>
      <c r="LU53" s="1153"/>
      <c r="LV53" s="1153"/>
      <c r="LW53" s="1153"/>
      <c r="LX53" s="1153"/>
      <c r="LY53" s="1153"/>
      <c r="LZ53" s="1153"/>
      <c r="MA53" s="1153"/>
      <c r="MB53" s="1153"/>
      <c r="MC53" s="1153"/>
      <c r="MD53" s="1153"/>
      <c r="ME53" s="1153"/>
      <c r="MF53" s="1153"/>
      <c r="MG53" s="1153"/>
      <c r="MH53" s="1153"/>
      <c r="MI53" s="1153"/>
      <c r="MJ53" s="1153"/>
      <c r="MK53" s="1153"/>
      <c r="ML53" s="1153"/>
      <c r="MM53" s="1153"/>
      <c r="MN53" s="1153"/>
      <c r="MO53" s="1153"/>
      <c r="MP53" s="1153"/>
      <c r="MQ53" s="1153"/>
      <c r="MR53" s="1153"/>
      <c r="MS53" s="1153"/>
      <c r="MT53" s="1153"/>
      <c r="MU53" s="1153"/>
      <c r="MV53" s="1153"/>
      <c r="MW53" s="1153"/>
      <c r="MX53" s="1153"/>
      <c r="MY53" s="1153"/>
      <c r="MZ53" s="1153"/>
      <c r="NA53" s="1153"/>
      <c r="NB53" s="1153"/>
      <c r="NC53" s="1153"/>
      <c r="ND53" s="1153"/>
      <c r="NE53" s="1153"/>
      <c r="NF53" s="1153"/>
      <c r="NG53" s="1153"/>
      <c r="NH53" s="1153"/>
      <c r="NI53" s="1153"/>
      <c r="NJ53" s="1153"/>
      <c r="NK53" s="1153"/>
      <c r="NL53" s="1153"/>
      <c r="NM53" s="1153"/>
      <c r="NN53" s="1153"/>
      <c r="NO53" s="1153"/>
      <c r="NP53" s="1153"/>
      <c r="NQ53" s="1153"/>
      <c r="NR53" s="1153"/>
      <c r="NS53" s="1153"/>
      <c r="NT53" s="1153"/>
      <c r="NU53" s="1153"/>
      <c r="NV53" s="1153"/>
      <c r="NW53" s="1153"/>
      <c r="NX53" s="1153"/>
      <c r="NY53" s="1153"/>
      <c r="NZ53" s="1153"/>
      <c r="OA53" s="1153"/>
      <c r="OB53" s="1153"/>
      <c r="OC53" s="1153"/>
      <c r="OD53" s="1153"/>
      <c r="OE53" s="1153"/>
      <c r="OF53" s="1153"/>
      <c r="OG53" s="1153"/>
      <c r="OH53" s="1153"/>
      <c r="OI53" s="1153"/>
      <c r="OJ53" s="1153"/>
      <c r="OS53" s="651">
        <v>47</v>
      </c>
      <c r="OT53" s="1197" t="s">
        <v>18365</v>
      </c>
      <c r="OV53" s="651">
        <v>47</v>
      </c>
      <c r="OW53" s="1259" t="s">
        <v>18412</v>
      </c>
      <c r="OY53" s="1259" t="s">
        <v>12859</v>
      </c>
      <c r="OZ53" s="1259" t="s">
        <v>18452</v>
      </c>
      <c r="PA53" s="1259" t="s">
        <v>12780</v>
      </c>
      <c r="PB53" s="1259" t="s">
        <v>18485</v>
      </c>
      <c r="PS53" s="1259" t="s">
        <v>18495</v>
      </c>
      <c r="PT53" s="1259" t="s">
        <v>18584</v>
      </c>
      <c r="PY53" s="1259">
        <v>5</v>
      </c>
      <c r="PZ53" s="1259" t="s">
        <v>12604</v>
      </c>
      <c r="QA53" s="1259"/>
    </row>
    <row r="54" spans="1:443" ht="18.75" thickBot="1">
      <c r="A54" s="2">
        <v>52</v>
      </c>
      <c r="B54" s="2" t="s">
        <v>1295</v>
      </c>
      <c r="D54" s="2" t="s">
        <v>1348</v>
      </c>
      <c r="K54" s="2">
        <v>52</v>
      </c>
      <c r="L54" s="2" t="s">
        <v>100</v>
      </c>
      <c r="N54" s="2" t="s">
        <v>13174</v>
      </c>
      <c r="P54" s="29">
        <v>51</v>
      </c>
      <c r="Q54" s="29" t="s">
        <v>579</v>
      </c>
      <c r="V54" s="2">
        <v>51</v>
      </c>
      <c r="W54" s="2" t="s">
        <v>1435</v>
      </c>
      <c r="Z54" s="1190"/>
      <c r="AA54" s="2" t="s">
        <v>9071</v>
      </c>
      <c r="AB54" s="2" t="s">
        <v>9072</v>
      </c>
      <c r="AC54" s="2" t="s">
        <v>9068</v>
      </c>
      <c r="AD54" s="2" t="s">
        <v>9073</v>
      </c>
      <c r="AE54" s="2" t="s">
        <v>9074</v>
      </c>
      <c r="AF54" s="2" t="s">
        <v>9068</v>
      </c>
      <c r="AG54" s="2" t="s">
        <v>9073</v>
      </c>
      <c r="AH54" s="2" t="s">
        <v>9075</v>
      </c>
      <c r="AI54" s="2" t="s">
        <v>9069</v>
      </c>
      <c r="AN54" s="2">
        <v>0</v>
      </c>
      <c r="AO54" s="2">
        <v>0</v>
      </c>
      <c r="AQ54" s="2" t="str">
        <v/>
      </c>
      <c r="AS54" s="1190"/>
      <c r="AT54" s="1190"/>
      <c r="AU54" s="1190"/>
      <c r="AV54" s="1190"/>
      <c r="AW54" s="1190"/>
      <c r="AX54" s="1190"/>
      <c r="AY54" s="1190"/>
      <c r="AZ54" s="1190"/>
      <c r="BA54" s="1190"/>
      <c r="BB54" s="1190"/>
      <c r="BC54" s="1190"/>
      <c r="BD54" s="1190"/>
      <c r="BE54" s="1190"/>
      <c r="BF54" s="1190"/>
      <c r="BG54" s="1190"/>
      <c r="BH54" s="1190"/>
      <c r="BI54" s="1190"/>
      <c r="BJ54" s="1190"/>
      <c r="BK54" s="1190"/>
      <c r="BL54" s="1190"/>
      <c r="BM54" s="1190"/>
      <c r="BN54" s="2">
        <v>7</v>
      </c>
      <c r="BO54" s="2" t="s">
        <v>1962</v>
      </c>
      <c r="CI54" s="2">
        <v>5</v>
      </c>
      <c r="CJ54" s="2" t="s">
        <v>12629</v>
      </c>
      <c r="CL54" s="1228">
        <v>5</v>
      </c>
      <c r="CM54" s="2" t="s">
        <v>4281</v>
      </c>
      <c r="CO54" s="1228">
        <v>5</v>
      </c>
      <c r="CP54" s="2" t="s">
        <v>12648</v>
      </c>
      <c r="CR54" s="1228">
        <v>5</v>
      </c>
      <c r="CS54" s="2" t="s">
        <v>12672</v>
      </c>
      <c r="CU54" s="2" t="s">
        <v>12708</v>
      </c>
      <c r="CV54" s="2" t="s">
        <v>12709</v>
      </c>
      <c r="CX54" s="2" t="s">
        <v>3885</v>
      </c>
      <c r="CY54" s="2" t="s">
        <v>12759</v>
      </c>
      <c r="CZ54" s="2" t="s">
        <v>12760</v>
      </c>
      <c r="DM54" s="1190"/>
      <c r="DN54" s="1190"/>
      <c r="DO54" s="1190"/>
      <c r="DP54" s="1190"/>
      <c r="DQ54" s="1190"/>
      <c r="DR54" s="1190"/>
      <c r="DS54" s="1190"/>
      <c r="DT54" s="1190"/>
      <c r="DU54" s="1190"/>
      <c r="DV54" s="1190"/>
      <c r="DW54" s="1190"/>
      <c r="DX54" s="1190"/>
      <c r="IQ54" s="1189"/>
      <c r="IT54" s="1153"/>
      <c r="IU54" s="1153"/>
      <c r="IV54" s="1153"/>
      <c r="IW54" s="1153"/>
      <c r="IX54" s="1153"/>
      <c r="IY54" s="1153"/>
      <c r="IZ54" s="1153"/>
      <c r="JA54" s="1153"/>
      <c r="JB54" s="1153"/>
      <c r="JC54" s="1153"/>
      <c r="JD54" s="1153"/>
      <c r="JE54" s="1153"/>
      <c r="JF54" s="1153"/>
      <c r="JG54" s="1153"/>
      <c r="JH54" s="1153"/>
      <c r="JI54" s="1153"/>
      <c r="JJ54" s="1153"/>
      <c r="JK54" s="1132">
        <v>85</v>
      </c>
      <c r="JL54" s="1132">
        <v>84</v>
      </c>
      <c r="JM54" s="1120" t="s">
        <v>17010</v>
      </c>
      <c r="JN54" s="1153"/>
      <c r="JO54" s="1153"/>
      <c r="JP54" s="1153"/>
      <c r="JQ54" s="1153"/>
      <c r="JR54" s="1153"/>
      <c r="JS54" s="1153"/>
      <c r="JT54" s="1153"/>
      <c r="JU54" s="1153"/>
      <c r="JV54" s="1153"/>
      <c r="JW54" s="1153"/>
      <c r="JX54" s="1153"/>
      <c r="JY54" s="1153"/>
      <c r="JZ54" s="1153"/>
      <c r="KA54" s="1153"/>
      <c r="KB54" s="1153"/>
      <c r="KC54" s="1153"/>
      <c r="KD54" s="1153"/>
      <c r="KE54" s="1153"/>
      <c r="KF54" s="1153"/>
      <c r="KG54" s="1153"/>
      <c r="KH54" s="1153"/>
      <c r="KI54" s="1153"/>
      <c r="KJ54" s="1153"/>
      <c r="KK54" s="1153"/>
      <c r="KL54" s="1153"/>
      <c r="KM54" s="1153"/>
      <c r="KN54" s="1153"/>
      <c r="KO54" s="1131" t="s">
        <v>17011</v>
      </c>
      <c r="KP54" s="1131" t="s">
        <v>17012</v>
      </c>
      <c r="KQ54" s="1153"/>
      <c r="KR54" s="1153"/>
      <c r="KS54" s="1153"/>
      <c r="KT54" s="1153"/>
      <c r="KU54" s="1153">
        <v>24</v>
      </c>
      <c r="KV54" s="1153" t="s">
        <v>17013</v>
      </c>
      <c r="KW54" s="1153"/>
      <c r="KX54" s="1153"/>
      <c r="KY54" s="1153"/>
      <c r="KZ54" s="1153"/>
      <c r="LA54" s="1153"/>
      <c r="LB54" s="1153"/>
      <c r="LC54" s="1153"/>
      <c r="LD54" s="1153"/>
      <c r="LE54" s="1153"/>
      <c r="LF54" s="1153"/>
      <c r="LG54" s="1153"/>
      <c r="LH54" s="1153"/>
      <c r="LI54" s="1153"/>
      <c r="LJ54" s="1153"/>
      <c r="LK54" s="1153"/>
      <c r="LL54" s="1153"/>
      <c r="LM54" s="1153"/>
      <c r="LN54" s="1153"/>
      <c r="LO54" s="1153"/>
      <c r="LP54" s="1153"/>
      <c r="LQ54" s="1153"/>
      <c r="LR54" s="1153"/>
      <c r="LS54" s="1247"/>
      <c r="LU54" s="1153"/>
      <c r="LV54" s="1153"/>
      <c r="LW54" s="1153"/>
      <c r="LX54" s="1153"/>
      <c r="LY54" s="1153"/>
      <c r="LZ54" s="1153"/>
      <c r="MA54" s="1153"/>
      <c r="MB54" s="1153"/>
      <c r="MC54" s="1153"/>
      <c r="MD54" s="1153"/>
      <c r="ME54" s="1153"/>
      <c r="MF54" s="1153"/>
      <c r="MG54" s="1153"/>
      <c r="MH54" s="1153"/>
      <c r="MI54" s="1153"/>
      <c r="MJ54" s="1153"/>
      <c r="MK54" s="1153"/>
      <c r="ML54" s="1153"/>
      <c r="MM54" s="1153"/>
      <c r="MN54" s="1153"/>
      <c r="MO54" s="1153"/>
      <c r="MP54" s="1153"/>
      <c r="MQ54" s="1153"/>
      <c r="MR54" s="1153"/>
      <c r="MS54" s="1153"/>
      <c r="MT54" s="1153"/>
      <c r="MU54" s="1153"/>
      <c r="MV54" s="1153"/>
      <c r="MW54" s="1153"/>
      <c r="MX54" s="1153"/>
      <c r="MY54" s="1153"/>
      <c r="MZ54" s="1153"/>
      <c r="NA54" s="1153"/>
      <c r="NB54" s="1153"/>
      <c r="NC54" s="1153"/>
      <c r="ND54" s="1153"/>
      <c r="NE54" s="1153"/>
      <c r="NF54" s="1153"/>
      <c r="NG54" s="1153"/>
      <c r="NH54" s="1153"/>
      <c r="NI54" s="1153"/>
      <c r="NJ54" s="1153"/>
      <c r="NK54" s="1153"/>
      <c r="NL54" s="1153"/>
      <c r="NM54" s="1153"/>
      <c r="NN54" s="1153"/>
      <c r="NO54" s="1153"/>
      <c r="NP54" s="1153"/>
      <c r="NQ54" s="1153"/>
      <c r="NR54" s="1153"/>
      <c r="NS54" s="1153"/>
      <c r="NT54" s="1153"/>
      <c r="NU54" s="1153"/>
      <c r="NV54" s="1153"/>
      <c r="NW54" s="1153"/>
      <c r="NX54" s="1153"/>
      <c r="NY54" s="1153"/>
      <c r="NZ54" s="1153"/>
      <c r="OA54" s="1153"/>
      <c r="OB54" s="1153"/>
      <c r="OC54" s="1153"/>
      <c r="OD54" s="1153"/>
      <c r="OE54" s="1153"/>
      <c r="OF54" s="1153"/>
      <c r="OG54" s="1153"/>
      <c r="OH54" s="1153"/>
      <c r="OI54" s="1153"/>
      <c r="OJ54" s="1153"/>
      <c r="OS54" s="651">
        <v>48</v>
      </c>
      <c r="OT54" s="1197" t="s">
        <v>14705</v>
      </c>
      <c r="OV54" s="651">
        <v>48</v>
      </c>
      <c r="OW54" s="1259" t="s">
        <v>18413</v>
      </c>
      <c r="OY54" s="1259" t="s">
        <v>12780</v>
      </c>
      <c r="OZ54" s="1259" t="s">
        <v>18453</v>
      </c>
      <c r="PA54" s="1259" t="s">
        <v>12715</v>
      </c>
      <c r="PB54" s="1259" t="s">
        <v>18486</v>
      </c>
      <c r="PS54" s="1259" t="s">
        <v>8098</v>
      </c>
      <c r="PT54" s="1259" t="s">
        <v>18585</v>
      </c>
      <c r="PY54" s="1259">
        <v>6</v>
      </c>
      <c r="PZ54" s="1259" t="s">
        <v>18644</v>
      </c>
      <c r="QA54" s="1259"/>
    </row>
    <row r="55" spans="1:443" ht="18.75" thickBot="1">
      <c r="A55" s="2">
        <v>53</v>
      </c>
      <c r="B55" s="2" t="s">
        <v>1296</v>
      </c>
      <c r="D55" s="2" t="s">
        <v>1349</v>
      </c>
      <c r="K55" s="2">
        <v>53</v>
      </c>
      <c r="L55" s="2" t="s">
        <v>20</v>
      </c>
      <c r="N55" s="2" t="s">
        <v>13175</v>
      </c>
      <c r="P55" s="29">
        <v>52</v>
      </c>
      <c r="Q55" s="29" t="s">
        <v>395</v>
      </c>
      <c r="V55" s="2">
        <v>52</v>
      </c>
      <c r="W55" s="2" t="s">
        <v>1436</v>
      </c>
      <c r="Z55" s="1190"/>
      <c r="AA55" s="1190"/>
      <c r="AB55" s="1190"/>
      <c r="AC55" s="1190"/>
      <c r="AD55" s="1190"/>
      <c r="AE55" s="1190"/>
      <c r="AF55" s="1190"/>
      <c r="AG55" s="1190"/>
      <c r="AH55" s="1190"/>
      <c r="AI55" s="1190"/>
      <c r="AJ55" s="1190"/>
      <c r="AK55" s="1190"/>
      <c r="AL55" s="1190"/>
      <c r="AM55" s="1190"/>
      <c r="AN55" s="1190"/>
      <c r="AO55" s="1190"/>
      <c r="AP55" s="1190"/>
      <c r="AQ55" s="1190"/>
      <c r="AR55" s="1190"/>
      <c r="AS55" s="1190"/>
      <c r="AT55" s="1190"/>
      <c r="AU55" s="1190"/>
      <c r="AV55" s="1190"/>
      <c r="AW55" s="1190"/>
      <c r="AX55" s="1190"/>
      <c r="AY55" s="1190"/>
      <c r="AZ55" s="1190"/>
      <c r="BA55" s="1190"/>
      <c r="BB55" s="1190"/>
      <c r="BC55" s="1190"/>
      <c r="BD55" s="1190"/>
      <c r="BE55" s="1190"/>
      <c r="BF55" s="1190"/>
      <c r="BG55" s="1190"/>
      <c r="BH55" s="1190"/>
      <c r="BI55" s="1190"/>
      <c r="BJ55" s="1190"/>
      <c r="BK55" s="1190"/>
      <c r="BL55" s="1190"/>
      <c r="BM55" s="1190"/>
      <c r="CI55" s="2">
        <v>6</v>
      </c>
      <c r="CJ55" s="2" t="s">
        <v>12626</v>
      </c>
      <c r="CL55" s="1227">
        <v>6</v>
      </c>
      <c r="CM55" s="2" t="s">
        <v>12624</v>
      </c>
      <c r="CO55" s="1227">
        <v>6</v>
      </c>
      <c r="CP55" s="2" t="s">
        <v>12658</v>
      </c>
      <c r="CR55" s="1227">
        <v>6</v>
      </c>
      <c r="CS55" s="2" t="s">
        <v>12664</v>
      </c>
      <c r="CU55" s="2" t="s">
        <v>12710</v>
      </c>
      <c r="CV55" s="2" t="s">
        <v>12698</v>
      </c>
      <c r="CX55" s="2" t="s">
        <v>5805</v>
      </c>
      <c r="CY55" s="2" t="s">
        <v>12761</v>
      </c>
      <c r="CZ55" s="2" t="s">
        <v>8094</v>
      </c>
      <c r="DM55" s="1190"/>
      <c r="DN55" s="1190"/>
      <c r="DO55" s="1190"/>
      <c r="DP55" s="1190"/>
      <c r="DQ55" s="1190"/>
      <c r="DR55" s="1190"/>
      <c r="DS55" s="1190"/>
      <c r="DT55" s="1190"/>
      <c r="DU55" s="1190"/>
      <c r="DV55" s="1190"/>
      <c r="DW55" s="1190"/>
      <c r="DX55" s="1190"/>
      <c r="IQ55" s="1189"/>
      <c r="IT55" s="1153"/>
      <c r="IU55" s="1153"/>
      <c r="IV55" s="1153"/>
      <c r="IW55" s="1153"/>
      <c r="IX55" s="1153"/>
      <c r="IY55" s="1153"/>
      <c r="IZ55" s="1153"/>
      <c r="JA55" s="1153"/>
      <c r="JB55" s="1153"/>
      <c r="JC55" s="1153"/>
      <c r="JD55" s="1153"/>
      <c r="JE55" s="1153"/>
      <c r="JF55" s="1153"/>
      <c r="JG55" s="1153"/>
      <c r="JH55" s="1153"/>
      <c r="JI55" s="1153"/>
      <c r="JJ55" s="1153"/>
      <c r="JK55" s="1132" t="s">
        <v>12803</v>
      </c>
      <c r="JL55" s="1132">
        <v>85</v>
      </c>
      <c r="JM55" s="1120" t="s">
        <v>17014</v>
      </c>
      <c r="JN55" s="1153"/>
      <c r="JO55" s="1153"/>
      <c r="JP55" s="1153"/>
      <c r="JQ55" s="1153"/>
      <c r="JR55" s="1153"/>
      <c r="JS55" s="1153"/>
      <c r="JT55" s="1153"/>
      <c r="JU55" s="1153"/>
      <c r="JV55" s="1153"/>
      <c r="JW55" s="1153"/>
      <c r="JX55" s="1153"/>
      <c r="JY55" s="1153"/>
      <c r="JZ55" s="1153"/>
      <c r="KA55" s="1153"/>
      <c r="KB55" s="1153"/>
      <c r="KC55" s="1153"/>
      <c r="KD55" s="1153"/>
      <c r="KE55" s="1153"/>
      <c r="KF55" s="1153"/>
      <c r="KG55" s="1153"/>
      <c r="KH55" s="1153"/>
      <c r="KI55" s="1153"/>
      <c r="KJ55" s="1153"/>
      <c r="KK55" s="1153"/>
      <c r="KL55" s="1153"/>
      <c r="KM55" s="1153"/>
      <c r="KN55" s="1153"/>
      <c r="KO55" s="1131" t="s">
        <v>17015</v>
      </c>
      <c r="KP55" s="1131" t="s">
        <v>17016</v>
      </c>
      <c r="KQ55" s="1153"/>
      <c r="KR55" s="1153"/>
      <c r="KS55" s="1153"/>
      <c r="KT55" s="1153"/>
      <c r="KU55" s="1153">
        <v>25</v>
      </c>
      <c r="KV55" s="1153" t="s">
        <v>17017</v>
      </c>
      <c r="KW55" s="1153"/>
      <c r="KX55" s="1153"/>
      <c r="KY55" s="1153"/>
      <c r="KZ55" s="1153"/>
      <c r="LA55" s="1153"/>
      <c r="LB55" s="1153"/>
      <c r="LC55" s="1153"/>
      <c r="LD55" s="1153"/>
      <c r="LE55" s="1153"/>
      <c r="LF55" s="1153"/>
      <c r="LG55" s="1153"/>
      <c r="LH55" s="1153"/>
      <c r="LI55" s="1153"/>
      <c r="LJ55" s="1153"/>
      <c r="LK55" s="1153"/>
      <c r="LL55" s="1153"/>
      <c r="LM55" s="1153"/>
      <c r="LN55" s="1153"/>
      <c r="LO55" s="1153"/>
      <c r="LP55" s="1153"/>
      <c r="LQ55" s="1153"/>
      <c r="LR55" s="1153"/>
      <c r="LS55" s="1247"/>
      <c r="LU55" s="1153"/>
      <c r="LV55" s="1153"/>
      <c r="LW55" s="1153"/>
      <c r="LX55" s="1153"/>
      <c r="LY55" s="1153"/>
      <c r="LZ55" s="1153"/>
      <c r="MA55" s="1153"/>
      <c r="MB55" s="1153"/>
      <c r="MC55" s="1153"/>
      <c r="MD55" s="1153"/>
      <c r="ME55" s="1153"/>
      <c r="MF55" s="1153"/>
      <c r="MG55" s="1153"/>
      <c r="MH55" s="1153"/>
      <c r="MI55" s="1153"/>
      <c r="MJ55" s="1153"/>
      <c r="MK55" s="1153"/>
      <c r="ML55" s="1153"/>
      <c r="MM55" s="1153"/>
      <c r="MN55" s="1153"/>
      <c r="MO55" s="1153"/>
      <c r="MP55" s="1153"/>
      <c r="MQ55" s="1153"/>
      <c r="MR55" s="1153"/>
      <c r="MS55" s="1153"/>
      <c r="MT55" s="1153"/>
      <c r="MU55" s="1153"/>
      <c r="MV55" s="1153"/>
      <c r="MW55" s="1153"/>
      <c r="MX55" s="1153"/>
      <c r="MY55" s="1153"/>
      <c r="MZ55" s="1153"/>
      <c r="NA55" s="1153"/>
      <c r="NB55" s="1153"/>
      <c r="NC55" s="1153"/>
      <c r="ND55" s="1153"/>
      <c r="NE55" s="1153"/>
      <c r="NF55" s="1153"/>
      <c r="NG55" s="1153"/>
      <c r="NH55" s="1153"/>
      <c r="NI55" s="1153"/>
      <c r="NJ55" s="1153"/>
      <c r="NK55" s="1153"/>
      <c r="NL55" s="1153"/>
      <c r="NM55" s="1153"/>
      <c r="NN55" s="1153"/>
      <c r="NO55" s="1153"/>
      <c r="NP55" s="1153"/>
      <c r="NQ55" s="1153"/>
      <c r="NR55" s="1153"/>
      <c r="NS55" s="1153"/>
      <c r="NT55" s="1153"/>
      <c r="NU55" s="1153"/>
      <c r="NV55" s="1153"/>
      <c r="NW55" s="1153"/>
      <c r="NX55" s="1153"/>
      <c r="NY55" s="1153"/>
      <c r="NZ55" s="1153"/>
      <c r="OA55" s="1153"/>
      <c r="OB55" s="1153"/>
      <c r="OC55" s="1153"/>
      <c r="OD55" s="1153"/>
      <c r="OE55" s="1153"/>
      <c r="OF55" s="1153"/>
      <c r="OG55" s="1153"/>
      <c r="OH55" s="1153"/>
      <c r="OI55" s="1153"/>
      <c r="OJ55" s="1153"/>
      <c r="OS55" s="651">
        <v>49</v>
      </c>
      <c r="OT55" s="1197" t="s">
        <v>18366</v>
      </c>
      <c r="OV55" s="651">
        <v>49</v>
      </c>
      <c r="OW55" s="1259" t="s">
        <v>18414</v>
      </c>
      <c r="OY55" s="1259" t="s">
        <v>12715</v>
      </c>
      <c r="OZ55" s="1259" t="s">
        <v>18454</v>
      </c>
      <c r="PA55" s="1259" t="s">
        <v>12716</v>
      </c>
      <c r="PB55" s="1259" t="s">
        <v>18487</v>
      </c>
      <c r="PS55" s="1259" t="s">
        <v>9326</v>
      </c>
      <c r="PT55" s="1259" t="s">
        <v>18586</v>
      </c>
      <c r="PY55" s="1259">
        <v>7</v>
      </c>
      <c r="PZ55" s="1259" t="s">
        <v>18645</v>
      </c>
      <c r="QA55" s="1259"/>
    </row>
    <row r="56" spans="1:443" ht="18.75" thickBot="1">
      <c r="D56" s="2" t="s">
        <v>1350</v>
      </c>
      <c r="K56" s="2">
        <v>54</v>
      </c>
      <c r="L56" s="2" t="s">
        <v>340</v>
      </c>
      <c r="N56" s="2" t="s">
        <v>1606</v>
      </c>
      <c r="P56" s="29">
        <v>53</v>
      </c>
      <c r="Q56" s="29" t="s">
        <v>580</v>
      </c>
      <c r="V56" s="2">
        <v>53</v>
      </c>
      <c r="W56" s="2" t="s">
        <v>1437</v>
      </c>
      <c r="Z56" s="1190"/>
      <c r="AA56" s="789" t="s">
        <v>7334</v>
      </c>
      <c r="AB56" s="790" t="s">
        <v>721</v>
      </c>
      <c r="AC56" s="791" t="s">
        <v>7336</v>
      </c>
      <c r="AD56" s="1190"/>
      <c r="AE56" s="1190"/>
      <c r="AF56" s="1190"/>
      <c r="AG56" s="1190"/>
      <c r="AH56" s="1190"/>
      <c r="AI56" s="1190"/>
      <c r="AJ56" s="1190"/>
      <c r="AK56" s="1190"/>
      <c r="AL56" s="1190"/>
      <c r="AM56" s="1190"/>
      <c r="AN56" s="1190"/>
      <c r="AO56" s="1190"/>
      <c r="AP56" s="1190"/>
      <c r="AQ56" s="1190"/>
      <c r="AR56" s="1190"/>
      <c r="AS56" s="1190"/>
      <c r="AT56" s="1190"/>
      <c r="AU56" s="1190"/>
      <c r="AV56" s="1190"/>
      <c r="AW56" s="1190"/>
      <c r="AX56" s="1190"/>
      <c r="AY56" s="1190"/>
      <c r="AZ56" s="1190"/>
      <c r="BA56" s="1190"/>
      <c r="BB56" s="1190"/>
      <c r="BC56" s="1190"/>
      <c r="BD56" s="1190"/>
      <c r="BE56" s="1190"/>
      <c r="BF56" s="1190"/>
      <c r="BG56" s="1190"/>
      <c r="BH56" s="1190"/>
      <c r="BI56" s="1190"/>
      <c r="BJ56" s="1190"/>
      <c r="BK56" s="1190"/>
      <c r="BL56" s="1190"/>
      <c r="BM56" s="1190"/>
      <c r="CI56" s="2">
        <v>7</v>
      </c>
      <c r="CJ56" s="2" t="s">
        <v>12603</v>
      </c>
      <c r="CL56" s="1228">
        <v>7</v>
      </c>
      <c r="CM56" s="2" t="s">
        <v>12614</v>
      </c>
      <c r="CO56" s="1228">
        <v>7</v>
      </c>
      <c r="CP56" s="2" t="s">
        <v>12658</v>
      </c>
      <c r="CR56" s="1228">
        <v>7</v>
      </c>
      <c r="CS56" s="2" t="s">
        <v>12664</v>
      </c>
      <c r="CU56" s="2" t="s">
        <v>12711</v>
      </c>
      <c r="CV56" s="2" t="s">
        <v>4104</v>
      </c>
      <c r="CX56" s="2" t="s">
        <v>2612</v>
      </c>
      <c r="CY56" s="2" t="s">
        <v>12745</v>
      </c>
      <c r="CZ56" s="2">
        <v>51</v>
      </c>
      <c r="DM56" s="1190"/>
      <c r="DN56" s="1190"/>
      <c r="DO56" s="1190"/>
      <c r="DP56" s="1190"/>
      <c r="DQ56" s="1190"/>
      <c r="DR56" s="1190"/>
      <c r="DS56" s="1190"/>
      <c r="DT56" s="1190"/>
      <c r="DU56" s="1190"/>
      <c r="DV56" s="1190"/>
      <c r="DW56" s="1190"/>
      <c r="DX56" s="1190"/>
      <c r="IQ56" s="1189"/>
      <c r="IT56" s="1153"/>
      <c r="IU56" s="1153"/>
      <c r="IV56" s="1153"/>
      <c r="IW56" s="1153"/>
      <c r="IX56" s="1153"/>
      <c r="IY56" s="1153"/>
      <c r="IZ56" s="1153"/>
      <c r="JA56" s="1153"/>
      <c r="JB56" s="1153"/>
      <c r="JC56" s="1153"/>
      <c r="JD56" s="1153"/>
      <c r="JE56" s="1153"/>
      <c r="JF56" s="1153"/>
      <c r="JG56" s="1153"/>
      <c r="JH56" s="1153"/>
      <c r="JI56" s="1153"/>
      <c r="JJ56" s="1153"/>
      <c r="JK56" s="1132" t="s">
        <v>12804</v>
      </c>
      <c r="JL56" s="1132">
        <v>87</v>
      </c>
      <c r="JM56" s="1120" t="s">
        <v>17018</v>
      </c>
      <c r="JN56" s="1153"/>
      <c r="JO56" s="1153"/>
      <c r="JP56" s="1153"/>
      <c r="JQ56" s="1153"/>
      <c r="JR56" s="1153"/>
      <c r="JS56" s="1153"/>
      <c r="JT56" s="1153"/>
      <c r="JU56" s="1153"/>
      <c r="JV56" s="1153"/>
      <c r="JW56" s="1153"/>
      <c r="JX56" s="1153"/>
      <c r="JY56" s="1153"/>
      <c r="JZ56" s="1153"/>
      <c r="KA56" s="1153"/>
      <c r="KB56" s="1153"/>
      <c r="KC56" s="1153"/>
      <c r="KD56" s="1153"/>
      <c r="KE56" s="1153"/>
      <c r="KF56" s="1153"/>
      <c r="KG56" s="1153"/>
      <c r="KH56" s="1153"/>
      <c r="KI56" s="1153"/>
      <c r="KJ56" s="1153"/>
      <c r="KK56" s="1153"/>
      <c r="KL56" s="1153"/>
      <c r="KM56" s="1153"/>
      <c r="KN56" s="1153"/>
      <c r="KO56" s="1131" t="s">
        <v>17019</v>
      </c>
      <c r="KP56" s="1131" t="s">
        <v>17020</v>
      </c>
      <c r="KQ56" s="1153"/>
      <c r="KR56" s="1153"/>
      <c r="KS56" s="1153"/>
      <c r="KT56" s="1153"/>
      <c r="KU56" s="1153"/>
      <c r="KV56" s="1153"/>
      <c r="KW56" s="1153"/>
      <c r="KX56" s="1153"/>
      <c r="KY56" s="1153"/>
      <c r="KZ56" s="1153"/>
      <c r="LA56" s="1153"/>
      <c r="LB56" s="1153"/>
      <c r="LC56" s="1153"/>
      <c r="LD56" s="1153"/>
      <c r="LE56" s="1153"/>
      <c r="LF56" s="1153"/>
      <c r="LG56" s="1153"/>
      <c r="LH56" s="1153"/>
      <c r="LI56" s="1153"/>
      <c r="LJ56" s="1153"/>
      <c r="LK56" s="1153"/>
      <c r="LL56" s="1153"/>
      <c r="LM56" s="1153"/>
      <c r="LN56" s="1153"/>
      <c r="LO56" s="1153"/>
      <c r="LP56" s="1153"/>
      <c r="LQ56" s="1153"/>
      <c r="LR56" s="1153"/>
      <c r="LS56" s="1247"/>
      <c r="LU56" s="1153"/>
      <c r="LV56" s="1153"/>
      <c r="LW56" s="1153"/>
      <c r="LX56" s="1153"/>
      <c r="LY56" s="1153"/>
      <c r="LZ56" s="1153"/>
      <c r="MA56" s="1153"/>
      <c r="MB56" s="1153"/>
      <c r="MC56" s="1153"/>
      <c r="MD56" s="1153"/>
      <c r="ME56" s="1153"/>
      <c r="MF56" s="1153"/>
      <c r="MG56" s="1153"/>
      <c r="MH56" s="1153"/>
      <c r="MI56" s="1153"/>
      <c r="MJ56" s="1153"/>
      <c r="MK56" s="1153"/>
      <c r="ML56" s="1153"/>
      <c r="MM56" s="1153"/>
      <c r="MN56" s="1153"/>
      <c r="MO56" s="1153"/>
      <c r="MP56" s="1153"/>
      <c r="MQ56" s="1153"/>
      <c r="MR56" s="1153"/>
      <c r="MS56" s="1153"/>
      <c r="MT56" s="1153"/>
      <c r="MU56" s="1153"/>
      <c r="MV56" s="1153"/>
      <c r="MW56" s="1153"/>
      <c r="MX56" s="1153"/>
      <c r="MY56" s="1153"/>
      <c r="MZ56" s="1153"/>
      <c r="NA56" s="1153"/>
      <c r="NB56" s="1153"/>
      <c r="NC56" s="1153"/>
      <c r="ND56" s="1153"/>
      <c r="NE56" s="1153"/>
      <c r="NF56" s="1153"/>
      <c r="NG56" s="1153"/>
      <c r="NH56" s="1153"/>
      <c r="NI56" s="1153"/>
      <c r="NJ56" s="1153"/>
      <c r="NK56" s="1153"/>
      <c r="NL56" s="1153"/>
      <c r="NM56" s="1153"/>
      <c r="NN56" s="1153"/>
      <c r="NO56" s="1153"/>
      <c r="NP56" s="1153"/>
      <c r="NQ56" s="1153"/>
      <c r="NR56" s="1153"/>
      <c r="NS56" s="1153"/>
      <c r="NT56" s="1153"/>
      <c r="NU56" s="1153"/>
      <c r="NV56" s="1153"/>
      <c r="NW56" s="1153"/>
      <c r="NX56" s="1153"/>
      <c r="NY56" s="1153"/>
      <c r="NZ56" s="1153"/>
      <c r="OA56" s="1153"/>
      <c r="OB56" s="1153"/>
      <c r="OC56" s="1153"/>
      <c r="OD56" s="1153"/>
      <c r="OE56" s="1153"/>
      <c r="OF56" s="1153"/>
      <c r="OG56" s="1153"/>
      <c r="OH56" s="1153"/>
      <c r="OI56" s="1153"/>
      <c r="OJ56" s="1153"/>
      <c r="OS56" s="651">
        <v>50</v>
      </c>
      <c r="OT56" s="1197" t="s">
        <v>18367</v>
      </c>
      <c r="OV56" s="651">
        <v>50</v>
      </c>
      <c r="OW56" s="1259" t="s">
        <v>18415</v>
      </c>
      <c r="OY56" s="1259" t="s">
        <v>12716</v>
      </c>
      <c r="OZ56" s="1259" t="s">
        <v>12292</v>
      </c>
      <c r="PA56" s="1259" t="s">
        <v>12806</v>
      </c>
      <c r="PB56" s="1259" t="s">
        <v>18488</v>
      </c>
      <c r="PS56" s="1259" t="s">
        <v>9328</v>
      </c>
      <c r="PT56" s="1259" t="s">
        <v>18587</v>
      </c>
      <c r="PY56" s="1259">
        <v>8</v>
      </c>
      <c r="PZ56" s="1259" t="s">
        <v>18646</v>
      </c>
      <c r="QA56" s="1259"/>
    </row>
    <row r="57" spans="1:443" ht="18.75" thickBot="1">
      <c r="K57" s="2">
        <v>55</v>
      </c>
      <c r="L57" s="2" t="s">
        <v>411</v>
      </c>
      <c r="N57" s="2" t="s">
        <v>13176</v>
      </c>
      <c r="P57" s="29">
        <v>54</v>
      </c>
      <c r="Q57" s="29" t="s">
        <v>581</v>
      </c>
      <c r="V57" s="2">
        <v>54</v>
      </c>
      <c r="W57" s="2" t="s">
        <v>1438</v>
      </c>
      <c r="Z57" s="1190"/>
      <c r="AA57" s="787">
        <v>1</v>
      </c>
      <c r="AB57" s="404" t="s">
        <v>7337</v>
      </c>
      <c r="AC57" s="788" t="s">
        <v>7338</v>
      </c>
      <c r="AD57" s="1190"/>
      <c r="AE57" s="1190"/>
      <c r="AF57" s="1190"/>
      <c r="AG57" s="1190"/>
      <c r="AQ57" s="1190"/>
      <c r="AR57" s="1190"/>
      <c r="AS57" s="1190"/>
      <c r="AT57" s="1190"/>
      <c r="AU57" s="1190"/>
      <c r="AV57" s="1190"/>
      <c r="AW57" s="1190"/>
      <c r="AX57" s="1190"/>
      <c r="AY57" s="1190"/>
      <c r="AZ57" s="1190"/>
      <c r="BA57" s="1190"/>
      <c r="BB57" s="1190"/>
      <c r="BC57" s="1190"/>
      <c r="BD57" s="1190"/>
      <c r="BE57" s="1190"/>
      <c r="BF57" s="1190"/>
      <c r="BG57" s="1190"/>
      <c r="BH57" s="1190"/>
      <c r="BI57" s="1190"/>
      <c r="BJ57" s="1190"/>
      <c r="BK57" s="1190"/>
      <c r="BL57" s="1190"/>
      <c r="BM57" s="1190"/>
      <c r="CI57" s="2">
        <v>8</v>
      </c>
      <c r="CJ57" s="2" t="s">
        <v>12630</v>
      </c>
      <c r="CL57" s="1227">
        <v>8</v>
      </c>
      <c r="CM57" s="2" t="s">
        <v>12592</v>
      </c>
      <c r="CO57" s="1227">
        <v>8</v>
      </c>
      <c r="CP57" s="2" t="s">
        <v>12665</v>
      </c>
      <c r="CR57" s="1227">
        <v>8</v>
      </c>
      <c r="CS57" s="2" t="s">
        <v>12673</v>
      </c>
      <c r="CU57" s="2" t="s">
        <v>12712</v>
      </c>
      <c r="CV57" s="2" t="s">
        <v>12667</v>
      </c>
      <c r="CX57" s="2" t="s">
        <v>7930</v>
      </c>
      <c r="CY57" s="2" t="s">
        <v>12725</v>
      </c>
      <c r="CZ57" s="2" t="s">
        <v>12726</v>
      </c>
      <c r="IQ57" s="1189"/>
      <c r="IT57" s="1153"/>
      <c r="IU57" s="1153"/>
      <c r="IV57" s="1153"/>
      <c r="IW57" s="1153"/>
      <c r="IX57" s="1153"/>
      <c r="IY57" s="1153"/>
      <c r="IZ57" s="1153"/>
      <c r="JA57" s="1153"/>
      <c r="JB57" s="1153"/>
      <c r="JC57" s="1153"/>
      <c r="JD57" s="1153"/>
      <c r="JE57" s="1153"/>
      <c r="JF57" s="1153"/>
      <c r="JG57" s="1153"/>
      <c r="JH57" s="1153"/>
      <c r="JI57" s="1153"/>
      <c r="JJ57" s="1153"/>
      <c r="JK57" s="1132" t="s">
        <v>12860</v>
      </c>
      <c r="JL57" s="1132">
        <v>89</v>
      </c>
      <c r="JM57" s="1120" t="s">
        <v>17021</v>
      </c>
      <c r="JN57" s="1153"/>
      <c r="JO57" s="1153"/>
      <c r="JP57" s="1153"/>
      <c r="JQ57" s="1153"/>
      <c r="JR57" s="1153"/>
      <c r="JS57" s="1153"/>
      <c r="JT57" s="1153"/>
      <c r="JU57" s="1153"/>
      <c r="JV57" s="1153"/>
      <c r="JW57" s="1153"/>
      <c r="JX57" s="1153"/>
      <c r="JY57" s="1153"/>
      <c r="JZ57" s="1153"/>
      <c r="KA57" s="1153"/>
      <c r="KB57" s="1153"/>
      <c r="KC57" s="1153"/>
      <c r="KD57" s="1153"/>
      <c r="KE57" s="1153"/>
      <c r="KF57" s="1153"/>
      <c r="KG57" s="1153"/>
      <c r="KH57" s="1153"/>
      <c r="KI57" s="1153"/>
      <c r="KJ57" s="1153"/>
      <c r="KK57" s="1153"/>
      <c r="KL57" s="1153"/>
      <c r="KM57" s="1153"/>
      <c r="KN57" s="1153"/>
      <c r="KO57" s="1131" t="s">
        <v>17022</v>
      </c>
      <c r="KP57" s="1131" t="s">
        <v>17020</v>
      </c>
      <c r="KQ57" s="1153"/>
      <c r="KR57" s="1153"/>
      <c r="KS57" s="1153"/>
      <c r="KT57" s="1153"/>
      <c r="KU57" s="1153"/>
      <c r="KV57" s="1153"/>
      <c r="KW57" s="1153"/>
      <c r="KX57" s="1153"/>
      <c r="KY57" s="1153"/>
      <c r="KZ57" s="1153"/>
      <c r="LA57" s="1153"/>
      <c r="LB57" s="1153"/>
      <c r="LC57" s="1153"/>
      <c r="LD57" s="1153"/>
      <c r="LE57" s="1153"/>
      <c r="LF57" s="1153"/>
      <c r="LG57" s="1153"/>
      <c r="LH57" s="1153"/>
      <c r="LI57" s="1153"/>
      <c r="LJ57" s="1153"/>
      <c r="LK57" s="1153"/>
      <c r="LL57" s="1153"/>
      <c r="LM57" s="1153"/>
      <c r="LN57" s="1153"/>
      <c r="LO57" s="1153"/>
      <c r="LP57" s="1153"/>
      <c r="LQ57" s="1153"/>
      <c r="LR57" s="1153"/>
      <c r="LS57" s="1247"/>
      <c r="LU57" s="1153"/>
      <c r="LV57" s="1153"/>
      <c r="LW57" s="1153"/>
      <c r="LX57" s="1153"/>
      <c r="LY57" s="1153"/>
      <c r="LZ57" s="1153"/>
      <c r="MA57" s="1153"/>
      <c r="MB57" s="1153"/>
      <c r="MC57" s="1153"/>
      <c r="MD57" s="1153"/>
      <c r="ME57" s="1153"/>
      <c r="MF57" s="1153"/>
      <c r="MG57" s="1153"/>
      <c r="MH57" s="1153"/>
      <c r="MI57" s="1153"/>
      <c r="MJ57" s="1153"/>
      <c r="MK57" s="1153"/>
      <c r="ML57" s="1153"/>
      <c r="MM57" s="1153"/>
      <c r="MN57" s="1153"/>
      <c r="MO57" s="1153"/>
      <c r="MP57" s="1153"/>
      <c r="MQ57" s="1153"/>
      <c r="MR57" s="1153"/>
      <c r="MS57" s="1153"/>
      <c r="MT57" s="1153"/>
      <c r="MU57" s="1153"/>
      <c r="MV57" s="1153"/>
      <c r="MW57" s="1153"/>
      <c r="MX57" s="1153"/>
      <c r="MY57" s="1153"/>
      <c r="MZ57" s="1153"/>
      <c r="NA57" s="1153"/>
      <c r="NB57" s="1153"/>
      <c r="NC57" s="1153"/>
      <c r="ND57" s="1153"/>
      <c r="NE57" s="1153"/>
      <c r="NF57" s="1153"/>
      <c r="NG57" s="1153"/>
      <c r="NH57" s="1153"/>
      <c r="NI57" s="1153"/>
      <c r="NJ57" s="1153"/>
      <c r="NK57" s="1153"/>
      <c r="NL57" s="1153"/>
      <c r="NM57" s="1153"/>
      <c r="NN57" s="1153"/>
      <c r="NO57" s="1153"/>
      <c r="NP57" s="1153"/>
      <c r="NQ57" s="1153"/>
      <c r="NR57" s="1153"/>
      <c r="NS57" s="1153"/>
      <c r="NT57" s="1153"/>
      <c r="NU57" s="1153"/>
      <c r="NV57" s="1153"/>
      <c r="NW57" s="1153"/>
      <c r="NX57" s="1153"/>
      <c r="NY57" s="1153"/>
      <c r="NZ57" s="1153"/>
      <c r="OA57" s="1153"/>
      <c r="OB57" s="1153"/>
      <c r="OC57" s="1153"/>
      <c r="OD57" s="1153"/>
      <c r="OE57" s="1153"/>
      <c r="OF57" s="1153"/>
      <c r="OG57" s="1153"/>
      <c r="OH57" s="1153"/>
      <c r="OI57" s="1153"/>
      <c r="OJ57" s="1153"/>
      <c r="OS57" s="1197"/>
      <c r="OV57" s="651">
        <v>51</v>
      </c>
      <c r="OW57" s="1259" t="s">
        <v>18416</v>
      </c>
      <c r="OY57" s="1259" t="s">
        <v>12806</v>
      </c>
      <c r="OZ57" s="1259" t="s">
        <v>16610</v>
      </c>
      <c r="PA57" s="1259" t="s">
        <v>7971</v>
      </c>
      <c r="PB57" s="1259" t="s">
        <v>14231</v>
      </c>
      <c r="PS57" s="1259" t="s">
        <v>5762</v>
      </c>
      <c r="PT57" s="1259" t="s">
        <v>18588</v>
      </c>
      <c r="PY57" s="1259">
        <v>9</v>
      </c>
      <c r="PZ57" s="1259" t="s">
        <v>18647</v>
      </c>
      <c r="QA57" s="1259"/>
    </row>
    <row r="58" spans="1:443" ht="18.75" thickBot="1">
      <c r="K58" s="2">
        <v>56</v>
      </c>
      <c r="L58" s="2" t="s">
        <v>413</v>
      </c>
      <c r="N58" s="2" t="s">
        <v>13177</v>
      </c>
      <c r="P58" s="29">
        <v>55</v>
      </c>
      <c r="Q58" s="29" t="s">
        <v>1586</v>
      </c>
      <c r="V58" s="2">
        <v>55</v>
      </c>
      <c r="W58" s="2" t="s">
        <v>1439</v>
      </c>
      <c r="Z58" s="1190"/>
      <c r="AA58" s="787">
        <v>2</v>
      </c>
      <c r="AB58" s="404" t="s">
        <v>7339</v>
      </c>
      <c r="AC58" s="788" t="s">
        <v>7340</v>
      </c>
      <c r="AD58" s="1190"/>
      <c r="AE58" s="1190"/>
      <c r="AF58" s="1190"/>
      <c r="AG58" s="1190"/>
      <c r="AQ58" s="1190"/>
      <c r="AR58" s="1190"/>
      <c r="AS58" s="1190"/>
      <c r="AT58" s="1190"/>
      <c r="AU58" s="1190"/>
      <c r="AV58" s="1190"/>
      <c r="AW58" s="1190"/>
      <c r="AX58" s="1190"/>
      <c r="AY58" s="1190"/>
      <c r="AZ58" s="1190"/>
      <c r="BA58" s="1190"/>
      <c r="BB58" s="1190"/>
      <c r="BC58" s="1190"/>
      <c r="BD58" s="1190"/>
      <c r="BE58" s="1190"/>
      <c r="BF58" s="1190"/>
      <c r="BG58" s="1190"/>
      <c r="BH58" s="1190"/>
      <c r="BI58" s="1190"/>
      <c r="BJ58" s="1190"/>
      <c r="BK58" s="1190"/>
      <c r="BL58" s="1190"/>
      <c r="BM58" s="1190"/>
      <c r="CI58" s="2">
        <v>9</v>
      </c>
      <c r="CJ58" s="2" t="s">
        <v>12630</v>
      </c>
      <c r="CL58" s="1228">
        <v>9</v>
      </c>
      <c r="CM58" s="2" t="s">
        <v>12625</v>
      </c>
      <c r="CO58" s="1228">
        <v>9</v>
      </c>
      <c r="CP58" s="2" t="s">
        <v>12666</v>
      </c>
      <c r="CR58" s="1228">
        <v>9</v>
      </c>
      <c r="CS58" s="2" t="s">
        <v>12674</v>
      </c>
      <c r="CU58" s="2" t="s">
        <v>12713</v>
      </c>
      <c r="CV58" s="2" t="s">
        <v>2860</v>
      </c>
      <c r="CX58" s="2" t="s">
        <v>12762</v>
      </c>
      <c r="CY58" s="2">
        <v>60</v>
      </c>
      <c r="CZ58" s="2" t="s">
        <v>12763</v>
      </c>
      <c r="DM58" s="1076" t="s">
        <v>16335</v>
      </c>
      <c r="DN58" s="1077"/>
      <c r="DO58" s="1077"/>
      <c r="DP58" s="1077"/>
      <c r="DQ58" s="1077"/>
      <c r="DR58" s="1077"/>
      <c r="DS58" s="1077"/>
      <c r="DT58" s="1077"/>
      <c r="DU58" s="1077"/>
      <c r="DV58" s="1077"/>
      <c r="DW58" s="1077"/>
      <c r="DX58" s="1077"/>
      <c r="DY58" s="1077"/>
      <c r="IQ58" s="1189"/>
      <c r="IT58" s="1153"/>
      <c r="IU58" s="1153"/>
      <c r="IV58" s="1153"/>
      <c r="IW58" s="1153"/>
      <c r="IX58" s="1153"/>
      <c r="IY58" s="1153"/>
      <c r="IZ58" s="1153"/>
      <c r="JA58" s="1153"/>
      <c r="JB58" s="1153"/>
      <c r="JC58" s="1153"/>
      <c r="JD58" s="1153"/>
      <c r="JE58" s="1153"/>
      <c r="JF58" s="1153"/>
      <c r="JG58" s="1153"/>
      <c r="JH58" s="1153"/>
      <c r="JI58" s="1153"/>
      <c r="JJ58" s="1153"/>
      <c r="JK58" s="1132" t="s">
        <v>12805</v>
      </c>
      <c r="JL58" s="1132">
        <v>91</v>
      </c>
      <c r="JM58" s="1120" t="s">
        <v>17023</v>
      </c>
      <c r="JN58" s="1153"/>
      <c r="JO58" s="1153"/>
      <c r="JP58" s="1153"/>
      <c r="JQ58" s="1153"/>
      <c r="JR58" s="1153"/>
      <c r="JS58" s="1153"/>
      <c r="JT58" s="1153"/>
      <c r="JU58" s="1153"/>
      <c r="JV58" s="1153"/>
      <c r="JW58" s="1153"/>
      <c r="JX58" s="1153"/>
      <c r="JY58" s="1153"/>
      <c r="JZ58" s="1153"/>
      <c r="KA58" s="1153"/>
      <c r="KB58" s="1153"/>
      <c r="KC58" s="1153"/>
      <c r="KD58" s="1153"/>
      <c r="KE58" s="1153"/>
      <c r="KF58" s="1153"/>
      <c r="KG58" s="1153"/>
      <c r="KH58" s="1153"/>
      <c r="KI58" s="1153"/>
      <c r="KJ58" s="1153"/>
      <c r="KK58" s="1153"/>
      <c r="KL58" s="1153"/>
      <c r="KM58" s="1153"/>
      <c r="KN58" s="1153"/>
      <c r="KO58" s="1131" t="s">
        <v>17024</v>
      </c>
      <c r="KP58" s="1131" t="s">
        <v>17025</v>
      </c>
      <c r="KQ58" s="1153"/>
      <c r="KR58" s="1153"/>
      <c r="KS58" s="1153"/>
      <c r="KT58" s="1153"/>
      <c r="KU58" s="1153"/>
      <c r="KV58" s="1153"/>
      <c r="KW58" s="1153"/>
      <c r="KX58" s="1153"/>
      <c r="KY58" s="1153"/>
      <c r="KZ58" s="1153"/>
      <c r="LA58" s="1153"/>
      <c r="LB58" s="1153"/>
      <c r="LC58" s="1153"/>
      <c r="LD58" s="1153"/>
      <c r="LE58" s="1153"/>
      <c r="LF58" s="1153"/>
      <c r="LG58" s="1153"/>
      <c r="LH58" s="1153"/>
      <c r="LI58" s="1153"/>
      <c r="LJ58" s="1153"/>
      <c r="LK58" s="1153"/>
      <c r="LL58" s="1153"/>
      <c r="LM58" s="1153"/>
      <c r="LN58" s="1153"/>
      <c r="LO58" s="1153"/>
      <c r="LP58" s="1153"/>
      <c r="LQ58" s="1153"/>
      <c r="LR58" s="1153"/>
      <c r="LS58" s="1247"/>
      <c r="LU58" s="1153"/>
      <c r="LV58" s="1153"/>
      <c r="LW58" s="1153"/>
      <c r="LX58" s="1153"/>
      <c r="LY58" s="1153"/>
      <c r="LZ58" s="1153"/>
      <c r="MA58" s="1153"/>
      <c r="MB58" s="1153"/>
      <c r="MC58" s="1153"/>
      <c r="MD58" s="1153"/>
      <c r="ME58" s="1153"/>
      <c r="MF58" s="1153"/>
      <c r="MG58" s="1153"/>
      <c r="MH58" s="1153"/>
      <c r="MI58" s="1153"/>
      <c r="MJ58" s="1153"/>
      <c r="MK58" s="1153"/>
      <c r="ML58" s="1153"/>
      <c r="MM58" s="1153"/>
      <c r="MN58" s="1153"/>
      <c r="MO58" s="1153"/>
      <c r="MP58" s="1153"/>
      <c r="MQ58" s="1153"/>
      <c r="MR58" s="1153"/>
      <c r="MS58" s="1153"/>
      <c r="MT58" s="1153"/>
      <c r="MU58" s="1153"/>
      <c r="MV58" s="1153"/>
      <c r="MW58" s="1153"/>
      <c r="MX58" s="1153"/>
      <c r="MY58" s="1153"/>
      <c r="MZ58" s="1153"/>
      <c r="NA58" s="1153"/>
      <c r="NB58" s="1153"/>
      <c r="NC58" s="1153"/>
      <c r="ND58" s="1153"/>
      <c r="NE58" s="1153"/>
      <c r="NF58" s="1153"/>
      <c r="NG58" s="1153"/>
      <c r="NH58" s="1153"/>
      <c r="NI58" s="1153"/>
      <c r="NJ58" s="1153"/>
      <c r="NK58" s="1153"/>
      <c r="NL58" s="1153"/>
      <c r="NM58" s="1153"/>
      <c r="NN58" s="1153"/>
      <c r="NO58" s="1153"/>
      <c r="NP58" s="1153"/>
      <c r="NQ58" s="1153"/>
      <c r="NR58" s="1153"/>
      <c r="NS58" s="1153"/>
      <c r="NT58" s="1153"/>
      <c r="NU58" s="1153"/>
      <c r="NV58" s="1153"/>
      <c r="NW58" s="1153"/>
      <c r="NX58" s="1153"/>
      <c r="NY58" s="1153"/>
      <c r="NZ58" s="1153"/>
      <c r="OA58" s="1153"/>
      <c r="OB58" s="1153"/>
      <c r="OC58" s="1153"/>
      <c r="OD58" s="1153"/>
      <c r="OE58" s="1153"/>
      <c r="OF58" s="1153"/>
      <c r="OG58" s="1153"/>
      <c r="OH58" s="1153"/>
      <c r="OI58" s="1153"/>
      <c r="OJ58" s="1153"/>
      <c r="OS58" s="1197"/>
      <c r="OV58" s="651">
        <v>52</v>
      </c>
      <c r="OY58" s="1259" t="s">
        <v>7971</v>
      </c>
      <c r="OZ58" s="1259" t="s">
        <v>18455</v>
      </c>
      <c r="PA58" s="1259" t="s">
        <v>9162</v>
      </c>
      <c r="PB58" s="1259" t="s">
        <v>18489</v>
      </c>
      <c r="PS58" s="1259" t="s">
        <v>18589</v>
      </c>
      <c r="PT58" s="1259" t="s">
        <v>18590</v>
      </c>
      <c r="PY58" s="1259">
        <v>10</v>
      </c>
      <c r="PZ58" s="1259" t="s">
        <v>18648</v>
      </c>
      <c r="QA58" s="1259"/>
    </row>
    <row r="59" spans="1:443" ht="18.75" thickBot="1">
      <c r="B59" s="2" t="s">
        <v>13011</v>
      </c>
      <c r="C59" s="2" t="s">
        <v>13012</v>
      </c>
      <c r="E59" s="2" t="s">
        <v>12969</v>
      </c>
      <c r="F59" s="2" t="s">
        <v>12970</v>
      </c>
      <c r="G59" s="2" t="s">
        <v>12968</v>
      </c>
      <c r="K59" s="2">
        <v>57</v>
      </c>
      <c r="L59" s="2" t="s">
        <v>414</v>
      </c>
      <c r="N59" s="2" t="s">
        <v>13178</v>
      </c>
      <c r="P59" s="29">
        <v>56</v>
      </c>
      <c r="Q59" s="29" t="s">
        <v>582</v>
      </c>
      <c r="V59" s="2">
        <v>56</v>
      </c>
      <c r="W59" s="2" t="s">
        <v>1440</v>
      </c>
      <c r="Z59" s="1190"/>
      <c r="AA59" s="787">
        <v>3</v>
      </c>
      <c r="AB59" s="404" t="s">
        <v>7342</v>
      </c>
      <c r="AC59" s="788" t="s">
        <v>7343</v>
      </c>
      <c r="AD59" s="1190"/>
      <c r="AE59" s="1190"/>
      <c r="AF59" s="1190"/>
      <c r="AG59" s="1190"/>
      <c r="AQ59" s="1190"/>
      <c r="AR59" s="1190"/>
      <c r="AS59" s="1190"/>
      <c r="AT59" s="1190"/>
      <c r="AU59" s="1190"/>
      <c r="AV59" s="1190"/>
      <c r="AW59" s="1190"/>
      <c r="AX59" s="1190"/>
      <c r="AY59" s="1190"/>
      <c r="AZ59" s="1190"/>
      <c r="BA59" s="1190"/>
      <c r="BB59" s="1190"/>
      <c r="BC59" s="1190"/>
      <c r="BD59" s="1190"/>
      <c r="BE59" s="1190"/>
      <c r="BF59" s="1190"/>
      <c r="BG59" s="1190"/>
      <c r="BH59" s="1190"/>
      <c r="BI59" s="1190"/>
      <c r="BJ59" s="1190"/>
      <c r="BK59" s="1190"/>
      <c r="BL59" s="1190"/>
      <c r="BM59" s="1190"/>
      <c r="CI59" s="2">
        <v>10</v>
      </c>
      <c r="CJ59" s="2" t="s">
        <v>12631</v>
      </c>
      <c r="CL59" s="1227">
        <v>10</v>
      </c>
      <c r="CM59" s="2" t="s">
        <v>2545</v>
      </c>
      <c r="CO59" s="1227">
        <v>10</v>
      </c>
      <c r="CP59" s="2" t="s">
        <v>12666</v>
      </c>
      <c r="CR59" s="1227">
        <v>10</v>
      </c>
      <c r="CS59" s="2" t="s">
        <v>12675</v>
      </c>
      <c r="CU59" s="2" t="s">
        <v>12714</v>
      </c>
      <c r="CV59" s="2" t="s">
        <v>12699</v>
      </c>
      <c r="CX59" s="2" t="s">
        <v>12764</v>
      </c>
      <c r="CY59" s="2" t="s">
        <v>12765</v>
      </c>
      <c r="CZ59" s="2">
        <v>60</v>
      </c>
      <c r="DM59" s="1076" t="s">
        <v>16336</v>
      </c>
      <c r="DN59" s="1077"/>
      <c r="DO59" s="1077"/>
      <c r="DP59" s="1077"/>
      <c r="DQ59" s="1077"/>
      <c r="DR59" s="1077"/>
      <c r="DS59" s="1077"/>
      <c r="DT59" s="1077"/>
      <c r="DU59" s="1077"/>
      <c r="DV59" s="1077"/>
      <c r="DW59" s="1077"/>
      <c r="DX59" s="1077"/>
      <c r="DY59" s="1077"/>
      <c r="IQ59" s="1189"/>
      <c r="IT59" s="1153"/>
      <c r="IU59" s="1153"/>
      <c r="IV59" s="1153"/>
      <c r="IW59" s="1153"/>
      <c r="IX59" s="1153"/>
      <c r="IY59" s="1153"/>
      <c r="IZ59" s="1153"/>
      <c r="JA59" s="1153"/>
      <c r="JB59" s="1153"/>
      <c r="JC59" s="1153"/>
      <c r="JD59" s="1153"/>
      <c r="JE59" s="1153"/>
      <c r="JF59" s="1153"/>
      <c r="JG59" s="1153"/>
      <c r="JH59" s="1153"/>
      <c r="JI59" s="1153"/>
      <c r="JJ59" s="1153"/>
      <c r="JK59" s="1132" t="s">
        <v>12785</v>
      </c>
      <c r="JL59" s="1132">
        <v>93</v>
      </c>
      <c r="JM59" s="1120" t="s">
        <v>17026</v>
      </c>
      <c r="JN59" s="1153"/>
      <c r="JO59" s="1153"/>
      <c r="JP59" s="1153"/>
      <c r="JQ59" s="1153"/>
      <c r="JR59" s="1153"/>
      <c r="JS59" s="1153"/>
      <c r="JT59" s="1153"/>
      <c r="JU59" s="1153"/>
      <c r="JV59" s="1153"/>
      <c r="JW59" s="1153"/>
      <c r="JX59" s="1153"/>
      <c r="JY59" s="1153"/>
      <c r="JZ59" s="1153"/>
      <c r="KA59" s="1153"/>
      <c r="KB59" s="1153"/>
      <c r="KC59" s="1153"/>
      <c r="KD59" s="1153"/>
      <c r="KE59" s="1153"/>
      <c r="KF59" s="1153"/>
      <c r="KG59" s="1153"/>
      <c r="KH59" s="1153"/>
      <c r="KI59" s="1153"/>
      <c r="KJ59" s="1153"/>
      <c r="KK59" s="1153"/>
      <c r="KL59" s="1153"/>
      <c r="KM59" s="1153"/>
      <c r="KN59" s="1153"/>
      <c r="KO59" s="1131" t="s">
        <v>17027</v>
      </c>
      <c r="KP59" s="1131" t="s">
        <v>17028</v>
      </c>
      <c r="KQ59" s="1153"/>
      <c r="KR59" s="1153"/>
      <c r="KS59" s="1153"/>
      <c r="KT59" s="1153"/>
      <c r="KU59" s="1153"/>
      <c r="KV59" s="1153"/>
      <c r="KW59" s="1153"/>
      <c r="KX59" s="1153"/>
      <c r="KY59" s="1153"/>
      <c r="KZ59" s="1153"/>
      <c r="LA59" s="1153"/>
      <c r="LB59" s="1153"/>
      <c r="LC59" s="1153"/>
      <c r="LD59" s="1153"/>
      <c r="LE59" s="1153"/>
      <c r="LF59" s="1153"/>
      <c r="LG59" s="1153"/>
      <c r="LH59" s="1153"/>
      <c r="LI59" s="1153"/>
      <c r="LJ59" s="1153"/>
      <c r="LK59" s="1153"/>
      <c r="LL59" s="1153"/>
      <c r="LM59" s="1153"/>
      <c r="LN59" s="1153"/>
      <c r="LO59" s="1153"/>
      <c r="LP59" s="1153"/>
      <c r="LQ59" s="1153"/>
      <c r="LR59" s="1153"/>
      <c r="LS59" s="1247"/>
      <c r="LU59" s="1153"/>
      <c r="LV59" s="1153"/>
      <c r="LW59" s="1153"/>
      <c r="LX59" s="1153"/>
      <c r="LY59" s="1153"/>
      <c r="LZ59" s="1153"/>
      <c r="MA59" s="1153"/>
      <c r="MB59" s="1153"/>
      <c r="MC59" s="1153"/>
      <c r="MD59" s="1153"/>
      <c r="ME59" s="1153"/>
      <c r="MF59" s="1153"/>
      <c r="MG59" s="1153"/>
      <c r="MH59" s="1153"/>
      <c r="MI59" s="1153"/>
      <c r="MJ59" s="1153"/>
      <c r="MK59" s="1153"/>
      <c r="ML59" s="1153"/>
      <c r="MM59" s="1153"/>
      <c r="MN59" s="1153"/>
      <c r="MO59" s="1153"/>
      <c r="MP59" s="1153"/>
      <c r="MQ59" s="1153"/>
      <c r="MR59" s="1153"/>
      <c r="MS59" s="1153"/>
      <c r="MT59" s="1153"/>
      <c r="MU59" s="1153"/>
      <c r="MV59" s="1153"/>
      <c r="MW59" s="1153"/>
      <c r="MX59" s="1153"/>
      <c r="MY59" s="1153"/>
      <c r="MZ59" s="1153"/>
      <c r="NA59" s="1153"/>
      <c r="NB59" s="1153"/>
      <c r="NC59" s="1153"/>
      <c r="ND59" s="1153"/>
      <c r="NE59" s="1153"/>
      <c r="NF59" s="1153"/>
      <c r="NG59" s="1153"/>
      <c r="NH59" s="1153"/>
      <c r="NI59" s="1153"/>
      <c r="NJ59" s="1153"/>
      <c r="NK59" s="1153"/>
      <c r="NL59" s="1153"/>
      <c r="NM59" s="1153"/>
      <c r="NN59" s="1153"/>
      <c r="NO59" s="1153"/>
      <c r="NP59" s="1153"/>
      <c r="NQ59" s="1153"/>
      <c r="NR59" s="1153"/>
      <c r="NS59" s="1153"/>
      <c r="NT59" s="1153"/>
      <c r="NU59" s="1153"/>
      <c r="NV59" s="1153"/>
      <c r="NW59" s="1153"/>
      <c r="NX59" s="1153"/>
      <c r="NY59" s="1153"/>
      <c r="NZ59" s="1153"/>
      <c r="OA59" s="1153"/>
      <c r="OB59" s="1153"/>
      <c r="OC59" s="1153"/>
      <c r="OD59" s="1153"/>
      <c r="OE59" s="1153"/>
      <c r="OF59" s="1153"/>
      <c r="OG59" s="1153"/>
      <c r="OH59" s="1153"/>
      <c r="OI59" s="1153"/>
      <c r="OJ59" s="1153"/>
      <c r="OS59" s="1197"/>
      <c r="OV59" s="651">
        <v>53</v>
      </c>
      <c r="OY59" s="1259" t="s">
        <v>9162</v>
      </c>
      <c r="OZ59" s="1259" t="s">
        <v>18456</v>
      </c>
      <c r="QA59" s="1259"/>
    </row>
    <row r="60" spans="1:443" ht="18.75" thickBot="1">
      <c r="B60" s="2" t="s">
        <v>12897</v>
      </c>
      <c r="C60" s="2" t="s">
        <v>12950</v>
      </c>
      <c r="E60" s="2" t="s">
        <v>12971</v>
      </c>
      <c r="F60" s="2" t="s">
        <v>12994</v>
      </c>
      <c r="G60" s="2" t="s">
        <v>12951</v>
      </c>
      <c r="K60" s="2">
        <v>58</v>
      </c>
      <c r="L60" s="2" t="s">
        <v>224</v>
      </c>
      <c r="N60" s="2" t="s">
        <v>13179</v>
      </c>
      <c r="P60" s="29">
        <v>57</v>
      </c>
      <c r="Q60" s="29" t="s">
        <v>583</v>
      </c>
      <c r="V60" s="2">
        <v>57</v>
      </c>
      <c r="W60" s="2" t="s">
        <v>1441</v>
      </c>
      <c r="Z60" s="1190"/>
      <c r="AA60" s="787">
        <v>4</v>
      </c>
      <c r="AB60" s="404" t="s">
        <v>7345</v>
      </c>
      <c r="AC60" s="788" t="s">
        <v>7346</v>
      </c>
      <c r="AD60" s="1190"/>
      <c r="AE60" s="1190"/>
      <c r="AF60" s="1190"/>
      <c r="AG60" s="1190"/>
      <c r="AQ60" s="1190"/>
      <c r="AR60" s="1190"/>
      <c r="AS60" s="1190"/>
      <c r="AT60" s="1190"/>
      <c r="AU60" s="1190"/>
      <c r="AV60" s="1190"/>
      <c r="AW60" s="1190"/>
      <c r="AX60" s="1190"/>
      <c r="AY60" s="1190"/>
      <c r="AZ60" s="1190"/>
      <c r="BA60" s="1190"/>
      <c r="BB60" s="1190"/>
      <c r="BC60" s="1190"/>
      <c r="BD60" s="1190"/>
      <c r="BE60" s="1190"/>
      <c r="BF60" s="1190"/>
      <c r="BG60" s="1190"/>
      <c r="BH60" s="1190"/>
      <c r="BI60" s="1190"/>
      <c r="BJ60" s="1190"/>
      <c r="BK60" s="1190"/>
      <c r="BL60" s="1190"/>
      <c r="BM60" s="1190"/>
      <c r="CI60" s="2">
        <v>11</v>
      </c>
      <c r="CJ60" s="2" t="s">
        <v>12632</v>
      </c>
      <c r="CL60" s="1228">
        <v>11</v>
      </c>
      <c r="CM60" s="2" t="s">
        <v>2545</v>
      </c>
      <c r="CO60" s="1228">
        <v>11</v>
      </c>
      <c r="CP60" s="2" t="s">
        <v>12667</v>
      </c>
      <c r="CR60" s="1228">
        <v>11</v>
      </c>
      <c r="CS60" s="2" t="s">
        <v>12676</v>
      </c>
      <c r="CU60" s="2" t="s">
        <v>12715</v>
      </c>
      <c r="CV60" s="2" t="s">
        <v>12681</v>
      </c>
      <c r="CX60" s="2" t="s">
        <v>10015</v>
      </c>
      <c r="CY60" s="2" t="s">
        <v>12766</v>
      </c>
      <c r="CZ60" s="2" t="s">
        <v>9289</v>
      </c>
      <c r="DL60" s="1076" t="s">
        <v>16338</v>
      </c>
      <c r="DM60" s="1078" t="s">
        <v>1881</v>
      </c>
      <c r="DN60" s="1079" t="s">
        <v>8464</v>
      </c>
      <c r="DO60" s="1079" t="s">
        <v>8454</v>
      </c>
      <c r="DP60" s="1079" t="s">
        <v>8444</v>
      </c>
      <c r="DQ60" s="1079" t="s">
        <v>8434</v>
      </c>
      <c r="DR60" s="1079" t="s">
        <v>8424</v>
      </c>
      <c r="DS60" s="1079" t="s">
        <v>8414</v>
      </c>
      <c r="DT60" s="1079" t="s">
        <v>8404</v>
      </c>
      <c r="DU60" s="1079" t="s">
        <v>8394</v>
      </c>
      <c r="DV60" s="1079" t="s">
        <v>8384</v>
      </c>
      <c r="DW60" s="1079" t="s">
        <v>8379</v>
      </c>
      <c r="DX60" s="1079" t="s">
        <v>8374</v>
      </c>
      <c r="DY60" s="1079" t="s">
        <v>8369</v>
      </c>
      <c r="IQ60" s="1189"/>
      <c r="IT60" s="1153"/>
      <c r="IU60" s="1153"/>
      <c r="IV60" s="1153"/>
      <c r="IW60" s="1153"/>
      <c r="IX60" s="1153"/>
      <c r="IY60" s="1153"/>
      <c r="IZ60" s="1153"/>
      <c r="JA60" s="1153"/>
      <c r="JB60" s="1153"/>
      <c r="JC60" s="1153"/>
      <c r="JD60" s="1153"/>
      <c r="JE60" s="1153"/>
      <c r="JF60" s="1153"/>
      <c r="JG60" s="1153"/>
      <c r="JH60" s="1153"/>
      <c r="JI60" s="1153"/>
      <c r="JJ60" s="1153"/>
      <c r="JK60" s="1132" t="s">
        <v>12788</v>
      </c>
      <c r="JL60" s="1132">
        <v>95</v>
      </c>
      <c r="JM60" s="1120" t="s">
        <v>17029</v>
      </c>
      <c r="JN60" s="1153"/>
      <c r="JO60" s="1153"/>
      <c r="JP60" s="1153"/>
      <c r="JQ60" s="1153"/>
      <c r="JR60" s="1153"/>
      <c r="JS60" s="1153"/>
      <c r="JT60" s="1153"/>
      <c r="JU60" s="1153"/>
      <c r="JV60" s="1153"/>
      <c r="JW60" s="1153"/>
      <c r="JX60" s="1153"/>
      <c r="JY60" s="1153"/>
      <c r="JZ60" s="1153"/>
      <c r="KA60" s="1153"/>
      <c r="KB60" s="1153"/>
      <c r="KC60" s="1153"/>
      <c r="KD60" s="1153"/>
      <c r="KE60" s="1153"/>
      <c r="KF60" s="1153"/>
      <c r="KG60" s="1153"/>
      <c r="KH60" s="1153"/>
      <c r="KI60" s="1153"/>
      <c r="KJ60" s="1153"/>
      <c r="KK60" s="1153"/>
      <c r="KL60" s="1153"/>
      <c r="KM60" s="1153"/>
      <c r="KN60" s="1153"/>
      <c r="KO60" s="1131" t="s">
        <v>17030</v>
      </c>
      <c r="KP60" s="1131" t="s">
        <v>17028</v>
      </c>
      <c r="KQ60" s="1153"/>
      <c r="KR60" s="1153"/>
      <c r="KS60" s="1153"/>
      <c r="KT60" s="1153"/>
      <c r="KU60" s="1153"/>
      <c r="KV60" s="1153"/>
      <c r="KW60" s="1153"/>
      <c r="KX60" s="1153"/>
      <c r="KY60" s="1153"/>
      <c r="KZ60" s="1153"/>
      <c r="LA60" s="1153"/>
      <c r="LB60" s="1153"/>
      <c r="LC60" s="1153"/>
      <c r="LD60" s="1153"/>
      <c r="LE60" s="1153"/>
      <c r="LF60" s="1153"/>
      <c r="LG60" s="1153"/>
      <c r="LH60" s="1153"/>
      <c r="LI60" s="1153"/>
      <c r="LJ60" s="1153"/>
      <c r="LK60" s="1153"/>
      <c r="LL60" s="1153"/>
      <c r="LM60" s="1153"/>
      <c r="LN60" s="1153"/>
      <c r="LO60" s="1153"/>
      <c r="LP60" s="1153"/>
      <c r="LQ60" s="1153"/>
      <c r="LR60" s="1153"/>
      <c r="LS60" s="1247"/>
      <c r="LU60" s="1153"/>
      <c r="LV60" s="1153"/>
      <c r="LW60" s="1153"/>
      <c r="LX60" s="1153"/>
      <c r="LY60" s="1153"/>
      <c r="LZ60" s="1153"/>
      <c r="MA60" s="1153"/>
      <c r="MB60" s="1153"/>
      <c r="MC60" s="1153"/>
      <c r="MD60" s="1153"/>
      <c r="ME60" s="1153"/>
      <c r="MF60" s="1153"/>
      <c r="MG60" s="1153"/>
      <c r="MH60" s="1153"/>
      <c r="MI60" s="1153"/>
      <c r="MJ60" s="1153"/>
      <c r="MK60" s="1153"/>
      <c r="ML60" s="1153"/>
      <c r="MM60" s="1153"/>
      <c r="MN60" s="1153"/>
      <c r="MO60" s="1153"/>
      <c r="MP60" s="1153"/>
      <c r="MQ60" s="1153"/>
      <c r="MR60" s="1153"/>
      <c r="MS60" s="1153"/>
      <c r="MT60" s="1153"/>
      <c r="MU60" s="1153"/>
      <c r="MV60" s="1153"/>
      <c r="MW60" s="1153"/>
      <c r="MX60" s="1153"/>
      <c r="MY60" s="1153"/>
      <c r="MZ60" s="1153"/>
      <c r="NA60" s="1153"/>
      <c r="NB60" s="1153"/>
      <c r="NC60" s="1153"/>
      <c r="ND60" s="1153"/>
      <c r="NE60" s="1153"/>
      <c r="NF60" s="1153"/>
      <c r="NG60" s="1153"/>
      <c r="NH60" s="1153"/>
      <c r="NI60" s="1153"/>
      <c r="NJ60" s="1153"/>
      <c r="NK60" s="1153"/>
      <c r="NL60" s="1153"/>
      <c r="NM60" s="1153"/>
      <c r="NN60" s="1153"/>
      <c r="NO60" s="1153"/>
      <c r="NP60" s="1153"/>
      <c r="NQ60" s="1153"/>
      <c r="NR60" s="1153"/>
      <c r="NS60" s="1153"/>
      <c r="NT60" s="1153"/>
      <c r="NU60" s="1153"/>
      <c r="NV60" s="1153"/>
      <c r="NW60" s="1153"/>
      <c r="NX60" s="1153"/>
      <c r="NY60" s="1153"/>
      <c r="NZ60" s="1153"/>
      <c r="OA60" s="1153"/>
      <c r="OB60" s="1153"/>
      <c r="OC60" s="1153"/>
      <c r="OD60" s="1153"/>
      <c r="OE60" s="1153"/>
      <c r="OF60" s="1153"/>
      <c r="OG60" s="1153"/>
      <c r="OH60" s="1153"/>
      <c r="OI60" s="1153"/>
      <c r="OJ60" s="1153"/>
      <c r="QA60" s="1259"/>
    </row>
    <row r="61" spans="1:443" ht="18.75" thickBot="1">
      <c r="B61" s="2" t="s">
        <v>13077</v>
      </c>
      <c r="C61" s="2" t="s">
        <v>13057</v>
      </c>
      <c r="E61" s="2" t="s">
        <v>12972</v>
      </c>
      <c r="F61" s="2" t="s">
        <v>12995</v>
      </c>
      <c r="G61" s="2" t="s">
        <v>12952</v>
      </c>
      <c r="K61" s="2">
        <v>59</v>
      </c>
      <c r="L61" s="2" t="s">
        <v>131</v>
      </c>
      <c r="N61" s="2" t="s">
        <v>13180</v>
      </c>
      <c r="P61" s="29">
        <v>58</v>
      </c>
      <c r="Q61" s="29" t="s">
        <v>584</v>
      </c>
      <c r="V61" s="2">
        <v>58</v>
      </c>
      <c r="W61" s="2" t="s">
        <v>1442</v>
      </c>
      <c r="Z61" s="1190"/>
      <c r="AA61" s="787">
        <v>5</v>
      </c>
      <c r="AB61" s="404" t="s">
        <v>7348</v>
      </c>
      <c r="AC61" s="788" t="s">
        <v>7349</v>
      </c>
      <c r="AD61" s="1190"/>
      <c r="AE61" s="1190"/>
      <c r="AF61" s="1190"/>
      <c r="AG61" s="1190"/>
      <c r="AQ61" s="1190"/>
      <c r="AR61" s="1190"/>
      <c r="AS61" s="1190"/>
      <c r="AT61" s="1190"/>
      <c r="AU61" s="1190"/>
      <c r="AV61" s="1190"/>
      <c r="AW61" s="1190"/>
      <c r="AX61" s="1190"/>
      <c r="AY61" s="1190"/>
      <c r="AZ61" s="1190"/>
      <c r="BA61" s="1190"/>
      <c r="BB61" s="1190"/>
      <c r="BC61" s="1190"/>
      <c r="BD61" s="1190"/>
      <c r="BE61" s="1190"/>
      <c r="BF61" s="1190"/>
      <c r="BG61" s="1190"/>
      <c r="BH61" s="1190"/>
      <c r="BI61" s="1190"/>
      <c r="BJ61" s="1190"/>
      <c r="BK61" s="1190"/>
      <c r="BL61" s="1190"/>
      <c r="BM61" s="1190"/>
      <c r="CB61" s="1229" t="str" cm="1">
        <f t="array" aca="1" ref="CB61" ca="1">INDEX(CB63:CB66,RANDBETWEEN(1,4),1)</f>
        <v>You are the person to be escorted</v>
      </c>
      <c r="CI61" s="2">
        <v>12</v>
      </c>
      <c r="CJ61" s="2" t="s">
        <v>12633</v>
      </c>
      <c r="CL61" s="1227">
        <v>12</v>
      </c>
      <c r="CM61" s="2" t="s">
        <v>12603</v>
      </c>
      <c r="CO61" s="1227">
        <v>12</v>
      </c>
      <c r="CP61" s="2" t="s">
        <v>12650</v>
      </c>
      <c r="CR61" s="1227">
        <v>12</v>
      </c>
      <c r="CS61" s="2" t="s">
        <v>12676</v>
      </c>
      <c r="CU61" s="2" t="s">
        <v>12716</v>
      </c>
      <c r="CV61" s="2" t="s">
        <v>12717</v>
      </c>
      <c r="CX61" s="2" t="s">
        <v>4269</v>
      </c>
      <c r="CY61" s="2" t="s">
        <v>8036</v>
      </c>
      <c r="CZ61" s="2" t="s">
        <v>12767</v>
      </c>
      <c r="DL61" s="1076" t="s">
        <v>16338</v>
      </c>
      <c r="DM61" s="1080" t="s">
        <v>16337</v>
      </c>
      <c r="DN61" s="1081">
        <v>70</v>
      </c>
      <c r="DO61" s="1081">
        <v>65</v>
      </c>
      <c r="DP61" s="1081">
        <v>60</v>
      </c>
      <c r="DQ61" s="1081">
        <v>50</v>
      </c>
      <c r="DR61" s="1081">
        <v>40</v>
      </c>
      <c r="DS61" s="1081">
        <v>35</v>
      </c>
      <c r="DT61" s="1081">
        <v>30</v>
      </c>
      <c r="DU61" s="1081">
        <v>20</v>
      </c>
      <c r="DV61" s="1081">
        <v>15</v>
      </c>
      <c r="DW61" s="1081">
        <v>10</v>
      </c>
      <c r="DX61" s="1081">
        <v>5</v>
      </c>
      <c r="DY61" s="1081">
        <v>5</v>
      </c>
      <c r="IQ61" s="1189"/>
      <c r="IT61" s="1153"/>
      <c r="IU61" s="1153"/>
      <c r="IV61" s="1153"/>
      <c r="IW61" s="1153"/>
      <c r="IX61" s="1153"/>
      <c r="IY61" s="1153"/>
      <c r="IZ61" s="1153"/>
      <c r="JA61" s="1153"/>
      <c r="JB61" s="1153"/>
      <c r="JC61" s="1153"/>
      <c r="JD61" s="1153"/>
      <c r="JE61" s="1153"/>
      <c r="JF61" s="1153"/>
      <c r="JG61" s="1153"/>
      <c r="JH61" s="1153"/>
      <c r="JI61" s="1153"/>
      <c r="JJ61" s="1153"/>
      <c r="JK61" s="1132">
        <v>98</v>
      </c>
      <c r="JL61" s="1132">
        <v>97</v>
      </c>
      <c r="JM61" s="1120" t="s">
        <v>17031</v>
      </c>
      <c r="JN61" s="1153"/>
      <c r="JO61" s="1153"/>
      <c r="JP61" s="1153"/>
      <c r="JQ61" s="1153"/>
      <c r="JR61" s="1153"/>
      <c r="JS61" s="1153"/>
      <c r="JT61" s="1153"/>
      <c r="JU61" s="1153"/>
      <c r="JV61" s="1153"/>
      <c r="JW61" s="1153"/>
      <c r="JX61" s="1153"/>
      <c r="JY61" s="1153"/>
      <c r="JZ61" s="1153"/>
      <c r="KA61" s="1153"/>
      <c r="KB61" s="1153"/>
      <c r="KC61" s="1153"/>
      <c r="KD61" s="1153"/>
      <c r="KE61" s="1153"/>
      <c r="KF61" s="1153"/>
      <c r="KG61" s="1153"/>
      <c r="KH61" s="1153"/>
      <c r="KI61" s="1153"/>
      <c r="KJ61" s="1153"/>
      <c r="KK61" s="1153"/>
      <c r="KL61" s="23"/>
      <c r="KM61" s="1153"/>
      <c r="KN61" s="1153"/>
      <c r="KO61" s="1131"/>
      <c r="KP61" s="1131"/>
      <c r="KQ61" s="23"/>
      <c r="KR61" s="1153"/>
      <c r="KS61" s="1153"/>
      <c r="KT61" s="1153"/>
      <c r="KU61" s="1153"/>
      <c r="KV61" s="1153"/>
      <c r="KW61" s="1153"/>
      <c r="KX61" s="1153"/>
      <c r="KY61" s="1153"/>
      <c r="KZ61" s="1153"/>
      <c r="LA61" s="1153"/>
      <c r="LB61" s="1153"/>
      <c r="LC61" s="1153"/>
      <c r="LD61" s="1153"/>
      <c r="LE61" s="1153"/>
      <c r="LF61" s="1153"/>
      <c r="LG61" s="1153"/>
      <c r="LH61" s="1153"/>
      <c r="LI61" s="1153"/>
      <c r="LJ61" s="1153"/>
      <c r="LK61" s="1153"/>
      <c r="LL61" s="1153"/>
      <c r="LM61" s="1153"/>
      <c r="LN61" s="1153"/>
      <c r="LO61" s="1153"/>
      <c r="LP61" s="1153"/>
      <c r="LQ61" s="1153"/>
      <c r="LR61" s="1153"/>
      <c r="LS61" s="1247"/>
      <c r="LU61" s="1153"/>
      <c r="LV61" s="1153"/>
      <c r="LW61" s="1153"/>
      <c r="LX61" s="1153"/>
      <c r="LY61" s="1153" t="s">
        <v>17197</v>
      </c>
      <c r="LZ61" s="1153"/>
      <c r="MA61" s="2245" t="str">
        <f ca="1">INDEX(MB63:MB80,MATCH(RANDBETWEEN(1,100),MA63:MA80,1),1)</f>
        <v xml:space="preserve"> Assassination of a lord or lady</v>
      </c>
      <c r="MB61" s="2245"/>
      <c r="MC61" s="1157"/>
      <c r="MD61" s="1157"/>
      <c r="ME61" s="1153" t="str">
        <f ca="1">INDEX(Таблиця205322[Subtable results],MATCH(MA61,Таблиця205322[Event],0),1)</f>
        <v>Member of a major noble house</v>
      </c>
      <c r="MF61" s="1153"/>
      <c r="MG61" s="1153" t="s">
        <v>17198</v>
      </c>
      <c r="MH61" s="1153" t="str" cm="1">
        <f t="array" aca="1" ref="MH61" ca="1">INDEX(MH63:MH68,RANDBETWEEN(1,6),1)</f>
        <v>To experience the culture</v>
      </c>
      <c r="MI61" s="1153" t="str" cm="1">
        <f t="array" aca="1" ref="MI61" ca="1">INDEX(MI63:MI68,RANDBETWEEN(1,6),1)</f>
        <v xml:space="preserve"> The government suspects the ambassador is a spy and the characters must find proof</v>
      </c>
      <c r="MJ61" s="1153"/>
      <c r="MK61" s="1153" t="s">
        <v>17199</v>
      </c>
      <c r="ML61" s="1153" t="str" cm="1">
        <f t="array" aca="1" ref="ML61" ca="1">INDEX(ML63:ML68,RANDBETWEEN(1,6),1)</f>
        <v>Member of a major noble house</v>
      </c>
      <c r="MM61" s="1153"/>
      <c r="MN61" s="1153" t="s">
        <v>17200</v>
      </c>
      <c r="MO61" s="1153" t="str" cm="1">
        <f t="array" aca="1" ref="MO61" ca="1">INDEX(MO63:MO74,RANDBETWEEN(1,12),1)</f>
        <v>Goliaths</v>
      </c>
      <c r="MP61" s="1153"/>
      <c r="MQ61" s="1153" t="s">
        <v>17201</v>
      </c>
      <c r="MR61" s="1153" t="str" cm="1">
        <f t="array" aca="1" ref="MR61" ca="1">INDEX(MR63:MR68,RANDBETWEEN(1,6),1)</f>
        <v>The group is fleeing from a famine or a plague</v>
      </c>
      <c r="MS61" s="1153"/>
      <c r="MT61" s="1153" t="s">
        <v>17202</v>
      </c>
      <c r="MU61" s="1153" t="str" cm="1">
        <f t="array" aca="1" ref="MU61" ca="1">INDEX(MU63:MU68,RANDBETWEEN(1,6),1)</f>
        <v>4       Rebellion arises after the harsh reaction of the ruler. The characters can join either side</v>
      </c>
      <c r="MV61" s="1153"/>
      <c r="MW61" s="1153" t="s">
        <v>17203</v>
      </c>
      <c r="MX61" s="1153" t="str" cm="1">
        <f t="array" aca="1" ref="MX61" ca="1">INDEX(MX63:MX68,RANDBETWEEN(1,6),1)</f>
        <v>2            Peasants</v>
      </c>
      <c r="MY61" s="1153"/>
      <c r="MZ61" s="1153" t="s">
        <v>17204</v>
      </c>
      <c r="NA61" s="1153" t="str" cm="1">
        <f t="array" aca="1" ref="NA61" ca="1">INDEX(NA63:NA68,RANDBETWEEN(1,6),1)</f>
        <v>5         Treatment is too brutal</v>
      </c>
      <c r="NB61" s="1153"/>
      <c r="NC61" s="1153" t="s">
        <v>17205</v>
      </c>
      <c r="ND61" s="1153" t="str" cm="1">
        <f t="array" aca="1" ref="ND61" ca="1">INDEX(ND63:ND68,RANDBETWEEN(1,6),1)</f>
        <v>1       A heresy of the orthodox creed is taking place</v>
      </c>
      <c r="NE61" s="1153"/>
      <c r="NF61" s="1141" t="s">
        <v>17206</v>
      </c>
      <c r="NG61" s="1153" t="str" cm="1">
        <f t="array" aca="1" ref="NG61" ca="1">INDEX(NG63:NG68,RANDBETWEEN(1,6),1)</f>
        <v>Celestial</v>
      </c>
      <c r="NH61" s="1153"/>
      <c r="NI61" s="1153" t="s">
        <v>17207</v>
      </c>
      <c r="NJ61" s="1153" t="str" cm="1">
        <f t="array" aca="1" ref="NJ61" ca="1">INDEX(NJ63:NJ68,RANDBETWEEN(1,6),1)</f>
        <v>4       To define their borders</v>
      </c>
      <c r="NK61" s="1153"/>
      <c r="NL61" s="1153" t="s">
        <v>17208</v>
      </c>
      <c r="NM61" s="1153" t="str" cm="1">
        <f t="array" aca="1" ref="NM61" ca="1">INDEX(NM63:NM68,RANDBETWEEN(1,6),1)</f>
        <v>1    The army enlists the characters</v>
      </c>
      <c r="NN61" s="1153"/>
      <c r="NO61" s="1153"/>
      <c r="NP61" s="1153"/>
      <c r="NQ61" s="1153"/>
      <c r="NR61" s="1153"/>
      <c r="NS61" s="1153"/>
      <c r="NT61" s="1153"/>
      <c r="NU61" s="1153"/>
      <c r="NV61" s="1153"/>
      <c r="NW61" s="1153"/>
      <c r="NX61" s="1153"/>
      <c r="NY61" s="1153"/>
      <c r="NZ61" s="1153"/>
      <c r="OA61" s="1153"/>
      <c r="OB61" s="1153"/>
      <c r="OC61" s="1153"/>
      <c r="OD61" s="1153"/>
      <c r="OE61" s="1153"/>
      <c r="OF61" s="1153"/>
      <c r="OG61" s="1153"/>
      <c r="OH61" s="1153"/>
      <c r="OI61" s="1153"/>
      <c r="OJ61" s="1153"/>
      <c r="QA61" s="1259"/>
    </row>
    <row r="62" spans="1:443" ht="18.75" thickBot="1">
      <c r="B62" s="2" t="s">
        <v>12898</v>
      </c>
      <c r="C62" s="2" t="s">
        <v>13084</v>
      </c>
      <c r="E62" s="2" t="s">
        <v>12973</v>
      </c>
      <c r="F62" s="2" t="s">
        <v>12996</v>
      </c>
      <c r="G62" s="2" t="s">
        <v>12953</v>
      </c>
      <c r="K62" s="2">
        <v>60</v>
      </c>
      <c r="L62" s="2" t="s">
        <v>418</v>
      </c>
      <c r="N62" s="2" t="s">
        <v>13181</v>
      </c>
      <c r="P62" s="29">
        <v>59</v>
      </c>
      <c r="Q62" s="29" t="s">
        <v>1587</v>
      </c>
      <c r="V62" s="2">
        <v>59</v>
      </c>
      <c r="W62" s="2" t="s">
        <v>1443</v>
      </c>
      <c r="Z62" s="1190"/>
      <c r="AA62" s="787">
        <v>6</v>
      </c>
      <c r="AB62" s="404" t="s">
        <v>7350</v>
      </c>
      <c r="AC62" s="788" t="s">
        <v>7351</v>
      </c>
      <c r="AD62" s="1190"/>
      <c r="AE62" s="1190"/>
      <c r="AF62" s="1190"/>
      <c r="AG62" s="1190"/>
      <c r="AQ62" s="1190"/>
      <c r="AR62" s="1190"/>
      <c r="AS62" s="1190"/>
      <c r="AT62" s="1190"/>
      <c r="AU62" s="1190"/>
      <c r="AV62" s="1190"/>
      <c r="AW62" s="1190"/>
      <c r="AX62" s="1190"/>
      <c r="AY62" s="1190"/>
      <c r="AZ62" s="1190"/>
      <c r="BA62" s="1190"/>
      <c r="BB62" s="1190"/>
      <c r="BC62" s="1190"/>
      <c r="BD62" s="1190"/>
      <c r="BE62" s="1190"/>
      <c r="BF62" s="1190"/>
      <c r="BG62" s="1190"/>
      <c r="BH62" s="1190"/>
      <c r="BI62" s="1190"/>
      <c r="BJ62" s="1190"/>
      <c r="BK62" s="1190"/>
      <c r="BL62" s="1190"/>
      <c r="BM62" s="1190"/>
      <c r="CA62" s="58" t="s">
        <v>1643</v>
      </c>
      <c r="CB62" s="2" t="s">
        <v>2011</v>
      </c>
      <c r="CI62" s="2">
        <v>13</v>
      </c>
      <c r="CJ62" s="2" t="s">
        <v>2545</v>
      </c>
      <c r="CL62" s="1228">
        <v>13</v>
      </c>
      <c r="CM62" s="2" t="s">
        <v>12603</v>
      </c>
      <c r="CO62" s="1228">
        <v>13</v>
      </c>
      <c r="CP62" s="2" t="s">
        <v>12653</v>
      </c>
      <c r="CR62" s="1228">
        <v>13</v>
      </c>
      <c r="CS62" s="2" t="s">
        <v>12677</v>
      </c>
      <c r="CU62" s="2" t="s">
        <v>12718</v>
      </c>
      <c r="CV62" s="2" t="s">
        <v>12719</v>
      </c>
      <c r="CX62" s="2" t="s">
        <v>3957</v>
      </c>
      <c r="CY62" s="2" t="s">
        <v>12768</v>
      </c>
      <c r="CZ62" s="2" t="s">
        <v>12769</v>
      </c>
      <c r="DL62" s="1082" t="s">
        <v>16339</v>
      </c>
      <c r="DM62" s="1078" t="s">
        <v>16340</v>
      </c>
      <c r="DN62" s="1079">
        <v>100</v>
      </c>
      <c r="DO62" s="1079">
        <v>90</v>
      </c>
      <c r="DP62" s="1079">
        <v>80</v>
      </c>
      <c r="DQ62" s="1079">
        <v>70</v>
      </c>
      <c r="DR62" s="1079">
        <v>60</v>
      </c>
      <c r="DS62" s="1079">
        <v>50</v>
      </c>
      <c r="DT62" s="1079">
        <v>40</v>
      </c>
      <c r="DU62" s="1079">
        <v>30</v>
      </c>
      <c r="DV62" s="1079">
        <v>20</v>
      </c>
      <c r="DW62" s="1079">
        <v>15</v>
      </c>
      <c r="DX62" s="1079">
        <v>10</v>
      </c>
      <c r="DY62" s="1079">
        <v>5</v>
      </c>
      <c r="IQ62" s="1189"/>
      <c r="IT62" s="1153"/>
      <c r="IU62" s="1153"/>
      <c r="IV62" s="1153"/>
      <c r="IW62" s="1153"/>
      <c r="IX62" s="1153"/>
      <c r="IY62" s="1153"/>
      <c r="IZ62" s="1153"/>
      <c r="JA62" s="1153"/>
      <c r="JB62" s="1153"/>
      <c r="JC62" s="1153"/>
      <c r="JD62" s="1153"/>
      <c r="JE62" s="1153"/>
      <c r="JF62" s="1153"/>
      <c r="JG62" s="1153"/>
      <c r="JH62" s="1153"/>
      <c r="JI62" s="1153"/>
      <c r="JJ62" s="1153"/>
      <c r="JK62" s="1132">
        <v>99</v>
      </c>
      <c r="JL62" s="1132">
        <v>98</v>
      </c>
      <c r="JM62" s="1120" t="s">
        <v>17032</v>
      </c>
      <c r="JN62" s="1153"/>
      <c r="JO62" s="1153"/>
      <c r="JP62" s="1153"/>
      <c r="JQ62" s="1153"/>
      <c r="JR62" s="1153"/>
      <c r="JS62" s="1153"/>
      <c r="JT62" s="1153"/>
      <c r="JU62" s="1153"/>
      <c r="JV62" s="1153"/>
      <c r="JW62" s="1153"/>
      <c r="JX62" s="1153"/>
      <c r="JY62" s="1153"/>
      <c r="JZ62" s="1153"/>
      <c r="KA62" s="1153"/>
      <c r="KB62" s="1153"/>
      <c r="KC62" s="1153"/>
      <c r="KD62" s="1153"/>
      <c r="KE62" s="1153"/>
      <c r="KF62" s="1153"/>
      <c r="KG62" s="1153"/>
      <c r="KH62" s="1153"/>
      <c r="KI62" s="1153"/>
      <c r="KJ62" s="1153"/>
      <c r="KK62" s="1153"/>
      <c r="KL62" s="1153"/>
      <c r="KM62" s="1153"/>
      <c r="KN62" s="1153"/>
      <c r="KO62" s="1131"/>
      <c r="KP62" s="1131"/>
      <c r="KQ62" s="1153"/>
      <c r="KR62" s="1153"/>
      <c r="KS62" s="1153"/>
      <c r="KT62" s="1153"/>
      <c r="KU62" s="1153"/>
      <c r="KV62" s="1153"/>
      <c r="KW62" s="1153"/>
      <c r="KX62" s="1153"/>
      <c r="KY62" s="1153"/>
      <c r="KZ62" s="1153"/>
      <c r="LA62" s="1153"/>
      <c r="LB62" s="1153"/>
      <c r="LC62" s="1153"/>
      <c r="LD62" s="1153"/>
      <c r="LE62" s="1153"/>
      <c r="LF62" s="1153"/>
      <c r="LG62" s="1153"/>
      <c r="LH62" s="1153"/>
      <c r="LI62" s="1153"/>
      <c r="LJ62" s="1153"/>
      <c r="LK62" s="1153"/>
      <c r="LL62" s="1153"/>
      <c r="LM62" s="1153"/>
      <c r="LN62" s="1153"/>
      <c r="LO62" s="1153"/>
      <c r="LP62" s="1153"/>
      <c r="LQ62" s="1153"/>
      <c r="LR62" s="1153"/>
      <c r="LS62" s="1247"/>
      <c r="LU62" s="1153"/>
      <c r="LV62" s="1153"/>
      <c r="LW62" s="1153"/>
      <c r="LX62" s="1153"/>
      <c r="LY62" s="1153" t="s">
        <v>8711</v>
      </c>
      <c r="LZ62" s="1153" t="s">
        <v>17209</v>
      </c>
      <c r="MA62" s="1153" t="s">
        <v>17210</v>
      </c>
      <c r="MB62" s="1153" t="s">
        <v>13720</v>
      </c>
      <c r="MC62" s="1153" t="s">
        <v>17211</v>
      </c>
      <c r="MD62" s="1142" t="s">
        <v>17212</v>
      </c>
      <c r="ME62" s="1153" t="s">
        <v>17213</v>
      </c>
      <c r="MF62" s="1153"/>
      <c r="MG62" s="1153" t="s">
        <v>7934</v>
      </c>
      <c r="MH62" s="1153" t="s">
        <v>8687</v>
      </c>
      <c r="MI62" s="1153" t="s">
        <v>17214</v>
      </c>
      <c r="MJ62" s="1153"/>
      <c r="MK62" s="1153" t="s">
        <v>7934</v>
      </c>
      <c r="ML62" s="1153" t="s">
        <v>17215</v>
      </c>
      <c r="MM62" s="1153"/>
      <c r="MN62" s="1153" t="s">
        <v>7639</v>
      </c>
      <c r="MO62" s="1153" t="s">
        <v>17216</v>
      </c>
      <c r="MP62" s="1153"/>
      <c r="MQ62" s="1143" t="s">
        <v>7934</v>
      </c>
      <c r="MR62" s="1153" t="s">
        <v>17217</v>
      </c>
      <c r="MS62" s="1153"/>
      <c r="MT62" s="1143" t="s">
        <v>7934</v>
      </c>
      <c r="MU62" s="1153" t="s">
        <v>17044</v>
      </c>
      <c r="MV62" s="1153"/>
      <c r="MW62" s="1153" t="s">
        <v>7934</v>
      </c>
      <c r="MX62" s="1153" t="s">
        <v>17218</v>
      </c>
      <c r="MY62" s="1153"/>
      <c r="MZ62" s="1143" t="s">
        <v>7934</v>
      </c>
      <c r="NA62" s="1153" t="s">
        <v>17217</v>
      </c>
      <c r="NB62" s="1153"/>
      <c r="NC62" s="1143" t="s">
        <v>7934</v>
      </c>
      <c r="ND62" s="1153" t="s">
        <v>17219</v>
      </c>
      <c r="NE62" s="1153"/>
      <c r="NF62" s="1143" t="s">
        <v>7934</v>
      </c>
      <c r="NG62" s="1153" t="s">
        <v>2533</v>
      </c>
      <c r="NH62" s="1153"/>
      <c r="NI62" s="1143" t="s">
        <v>7934</v>
      </c>
      <c r="NJ62" s="1153" t="s">
        <v>17217</v>
      </c>
      <c r="NK62" s="1153"/>
      <c r="NL62" s="1143" t="s">
        <v>7934</v>
      </c>
      <c r="NM62" s="1153" t="s">
        <v>17044</v>
      </c>
      <c r="NN62" s="1153"/>
      <c r="NO62" s="1153"/>
      <c r="NP62" s="1153"/>
      <c r="NQ62" s="1153"/>
      <c r="NR62" s="1153"/>
      <c r="NS62" s="1153"/>
      <c r="NT62" s="1153"/>
      <c r="NU62" s="1153"/>
      <c r="NV62" s="1153"/>
      <c r="NW62" s="1153"/>
      <c r="NX62" s="1153"/>
      <c r="NY62" s="1153"/>
      <c r="NZ62" s="1153"/>
      <c r="OA62" s="1153"/>
      <c r="OB62" s="1153"/>
      <c r="OC62" s="1153"/>
      <c r="OD62" s="1153"/>
      <c r="OE62" s="1153"/>
      <c r="OF62" s="1153"/>
      <c r="OG62" s="1153"/>
      <c r="OH62" s="1153"/>
      <c r="OI62" s="1153"/>
      <c r="OJ62" s="1153"/>
      <c r="PY62" s="1259"/>
      <c r="PZ62" s="1259"/>
      <c r="QA62" s="1259"/>
    </row>
    <row r="63" spans="1:443" ht="18">
      <c r="B63" s="2" t="s">
        <v>12898</v>
      </c>
      <c r="C63" s="2" t="s">
        <v>13058</v>
      </c>
      <c r="E63" s="2" t="s">
        <v>12974</v>
      </c>
      <c r="F63" s="2" t="s">
        <v>12997</v>
      </c>
      <c r="G63" s="2" t="s">
        <v>12954</v>
      </c>
      <c r="N63" s="2" t="s">
        <v>13182</v>
      </c>
      <c r="P63" s="29">
        <v>60</v>
      </c>
      <c r="Q63" s="29" t="s">
        <v>1633</v>
      </c>
      <c r="V63" s="2">
        <v>60</v>
      </c>
      <c r="W63" s="2" t="s">
        <v>1444</v>
      </c>
      <c r="Z63" s="1190"/>
      <c r="AA63" s="787">
        <v>7</v>
      </c>
      <c r="AB63" s="404" t="s">
        <v>7352</v>
      </c>
      <c r="AC63" s="788" t="s">
        <v>7353</v>
      </c>
      <c r="AD63" s="1190"/>
      <c r="AE63" s="1190"/>
      <c r="AF63" s="1190"/>
      <c r="AG63" s="1190"/>
      <c r="AQ63" s="1190"/>
      <c r="AR63" s="1190"/>
      <c r="AS63" s="1190"/>
      <c r="AT63" s="1190"/>
      <c r="AU63" s="1190"/>
      <c r="AV63" s="1190"/>
      <c r="AW63" s="1190"/>
      <c r="AX63" s="1190"/>
      <c r="AY63" s="1190"/>
      <c r="AZ63" s="1190"/>
      <c r="BA63" s="1190"/>
      <c r="BB63" s="1190"/>
      <c r="BC63" s="1190"/>
      <c r="BD63" s="1190"/>
      <c r="BE63" s="1190"/>
      <c r="BF63" s="1190"/>
      <c r="BG63" s="1190"/>
      <c r="BH63" s="1190"/>
      <c r="BI63" s="1190"/>
      <c r="BJ63" s="1190"/>
      <c r="BK63" s="1190"/>
      <c r="BL63" s="1190"/>
      <c r="BM63" s="1190"/>
      <c r="CA63" s="2">
        <v>1</v>
      </c>
      <c r="CB63" s="2" t="s">
        <v>2012</v>
      </c>
      <c r="CI63" s="2">
        <v>14</v>
      </c>
      <c r="CJ63" s="2" t="s">
        <v>5081</v>
      </c>
      <c r="CL63" s="1227">
        <v>14</v>
      </c>
      <c r="CM63" s="2" t="s">
        <v>2860</v>
      </c>
      <c r="CO63" s="1227">
        <v>14</v>
      </c>
      <c r="CP63" s="2" t="s">
        <v>12668</v>
      </c>
      <c r="CR63" s="1227">
        <v>14</v>
      </c>
      <c r="CS63" s="2" t="s">
        <v>12658</v>
      </c>
      <c r="CV63" s="2" t="s">
        <v>12720</v>
      </c>
      <c r="CX63" s="2" t="s">
        <v>3580</v>
      </c>
      <c r="CY63" s="2" t="s">
        <v>9331</v>
      </c>
      <c r="CZ63" s="2" t="s">
        <v>9331</v>
      </c>
      <c r="DL63" s="1082" t="s">
        <v>16339</v>
      </c>
      <c r="DM63" s="1080" t="s">
        <v>16341</v>
      </c>
      <c r="DN63" s="1081">
        <v>1</v>
      </c>
      <c r="DO63" s="1081">
        <v>900</v>
      </c>
      <c r="DP63" s="1081">
        <v>800</v>
      </c>
      <c r="DQ63" s="1081">
        <v>700</v>
      </c>
      <c r="DR63" s="1081">
        <v>600</v>
      </c>
      <c r="DS63" s="1081">
        <v>500</v>
      </c>
      <c r="DT63" s="1081">
        <v>400</v>
      </c>
      <c r="DU63" s="1081">
        <v>300</v>
      </c>
      <c r="DV63" s="1081">
        <v>200</v>
      </c>
      <c r="DW63" s="1081">
        <v>150</v>
      </c>
      <c r="DX63" s="1081">
        <v>100</v>
      </c>
      <c r="DY63" s="1081">
        <v>50</v>
      </c>
      <c r="IQ63" s="1189"/>
      <c r="IT63" s="1153"/>
      <c r="IU63" s="1153"/>
      <c r="IV63" s="1153"/>
      <c r="IW63" s="1153"/>
      <c r="IX63" s="1153"/>
      <c r="IY63" s="1153"/>
      <c r="IZ63" s="1153"/>
      <c r="JA63" s="1153"/>
      <c r="JB63" s="1153"/>
      <c r="JC63" s="1153"/>
      <c r="JD63" s="1153"/>
      <c r="JE63" s="1153"/>
      <c r="JF63" s="1153"/>
      <c r="JG63" s="1153"/>
      <c r="JH63" s="1153"/>
      <c r="JI63" s="1153"/>
      <c r="JJ63" s="1153"/>
      <c r="JK63" s="1132">
        <v>100</v>
      </c>
      <c r="JL63" s="1132">
        <v>99</v>
      </c>
      <c r="JM63" s="1120" t="s">
        <v>17033</v>
      </c>
      <c r="JN63" s="1153"/>
      <c r="JO63" s="1153"/>
      <c r="JP63" s="1153"/>
      <c r="JQ63" s="1153"/>
      <c r="JR63" s="1153"/>
      <c r="JS63" s="1153"/>
      <c r="JT63" s="1153"/>
      <c r="JU63" s="1153"/>
      <c r="JV63" s="1153"/>
      <c r="JW63" s="1153"/>
      <c r="JX63" s="1153"/>
      <c r="JY63" s="1153"/>
      <c r="JZ63" s="1153"/>
      <c r="KA63" s="1153"/>
      <c r="KB63" s="1153"/>
      <c r="KC63" s="1153"/>
      <c r="KD63" s="1153"/>
      <c r="KE63" s="1153"/>
      <c r="KF63" s="1153"/>
      <c r="KG63" s="1153"/>
      <c r="KH63" s="1153"/>
      <c r="KI63" s="1153"/>
      <c r="KJ63" s="1153"/>
      <c r="KK63" s="1153"/>
      <c r="KL63" s="1153"/>
      <c r="KM63" s="1153"/>
      <c r="KN63" s="1153"/>
      <c r="KO63" s="1131"/>
      <c r="KP63" s="1131"/>
      <c r="KQ63" s="1153"/>
      <c r="KR63" s="1153"/>
      <c r="KS63" s="1153"/>
      <c r="KT63" s="1153"/>
      <c r="KU63" s="1153"/>
      <c r="KV63" s="1153"/>
      <c r="KW63" s="1153"/>
      <c r="KX63" s="1153"/>
      <c r="KY63" s="1153"/>
      <c r="KZ63" s="1153"/>
      <c r="LA63" s="1153"/>
      <c r="LB63" s="1153"/>
      <c r="LC63" s="1153"/>
      <c r="LD63" s="1153"/>
      <c r="LE63" s="1153"/>
      <c r="LF63" s="1153"/>
      <c r="LG63" s="1153"/>
      <c r="LH63" s="1153"/>
      <c r="LI63" s="1153"/>
      <c r="LJ63" s="1153"/>
      <c r="LK63" s="1153"/>
      <c r="LL63" s="1153"/>
      <c r="LM63" s="1153"/>
      <c r="LN63" s="1153"/>
      <c r="LO63" s="1153"/>
      <c r="LP63" s="1153"/>
      <c r="LQ63" s="1153"/>
      <c r="LR63" s="1153"/>
      <c r="LS63" s="1247"/>
      <c r="LU63" s="1153"/>
      <c r="LV63" s="1153"/>
      <c r="LW63" s="1153"/>
      <c r="LX63" s="1153"/>
      <c r="LY63" s="1153">
        <v>0</v>
      </c>
      <c r="LZ63" s="1153">
        <v>10</v>
      </c>
      <c r="MA63" s="1153">
        <v>0</v>
      </c>
      <c r="MB63" s="1153" t="s">
        <v>17220</v>
      </c>
      <c r="MC63" s="1153" t="s">
        <v>17221</v>
      </c>
      <c r="MD63" s="1153"/>
      <c r="ME63" s="1153" t="str">
        <f ca="1">"Ambassador's Goals"&amp;" "&amp;MH61&amp;"| "&amp;"Ambassador Event"&amp;" "&amp; MI61</f>
        <v>Ambassador's Goals To experience the culture| Ambassador Event  The government suspects the ambassador is a spy and the characters must find proof</v>
      </c>
      <c r="MF63" s="1153"/>
      <c r="MG63" s="1153">
        <v>1</v>
      </c>
      <c r="MH63" s="1153" t="s">
        <v>17222</v>
      </c>
      <c r="MI63" s="1153" t="s">
        <v>17223</v>
      </c>
      <c r="MJ63" s="1153"/>
      <c r="MK63" s="1144">
        <v>1</v>
      </c>
      <c r="ML63" s="1153" t="s">
        <v>17224</v>
      </c>
      <c r="MM63" s="1153"/>
      <c r="MN63" s="1153">
        <v>1</v>
      </c>
      <c r="MO63" s="1153" t="s">
        <v>17225</v>
      </c>
      <c r="MP63" s="1153"/>
      <c r="MQ63" s="571">
        <v>1</v>
      </c>
      <c r="MR63" s="1153" t="s">
        <v>17226</v>
      </c>
      <c r="MS63" s="1153"/>
      <c r="MT63" s="571">
        <v>1</v>
      </c>
      <c r="MU63" s="1153" t="s">
        <v>17227</v>
      </c>
      <c r="MV63" s="1153"/>
      <c r="MW63" s="1144">
        <v>1</v>
      </c>
      <c r="MX63" s="1153" t="s">
        <v>17228</v>
      </c>
      <c r="MY63" s="1153"/>
      <c r="MZ63" s="571">
        <v>1</v>
      </c>
      <c r="NA63" s="1153" t="s">
        <v>17229</v>
      </c>
      <c r="NB63" s="1153"/>
      <c r="NC63" s="571">
        <v>1</v>
      </c>
      <c r="ND63" s="1153" t="s">
        <v>17230</v>
      </c>
      <c r="NE63" s="1153"/>
      <c r="NF63" s="571">
        <v>1</v>
      </c>
      <c r="NG63" s="1141" t="s">
        <v>17231</v>
      </c>
      <c r="NH63" s="1153"/>
      <c r="NI63" s="571">
        <v>1</v>
      </c>
      <c r="NJ63" s="1153" t="s">
        <v>17232</v>
      </c>
      <c r="NK63" s="1153"/>
      <c r="NL63" s="571">
        <v>1</v>
      </c>
      <c r="NM63" s="1153" t="s">
        <v>17233</v>
      </c>
      <c r="NN63" s="1153"/>
      <c r="NO63" s="1153"/>
      <c r="NP63" s="1153"/>
      <c r="NQ63" s="1153"/>
      <c r="NR63" s="1153"/>
      <c r="NS63" s="1153"/>
      <c r="NT63" s="1153"/>
      <c r="NU63" s="1153"/>
      <c r="NV63" s="1153"/>
      <c r="NW63" s="1153"/>
      <c r="NX63" s="1153"/>
      <c r="NY63" s="1153"/>
      <c r="NZ63" s="1153"/>
      <c r="OA63" s="1153"/>
      <c r="OB63" s="1153"/>
      <c r="OC63" s="1153"/>
      <c r="OD63" s="1153"/>
      <c r="OE63" s="1153"/>
      <c r="OF63" s="1153"/>
      <c r="OG63" s="1153"/>
      <c r="OH63" s="1153"/>
      <c r="OI63" s="1153"/>
      <c r="OJ63" s="1153"/>
      <c r="PY63" s="1259" t="s">
        <v>18649</v>
      </c>
      <c r="PZ63" s="1259"/>
      <c r="QA63" s="1259"/>
    </row>
    <row r="64" spans="1:443" ht="18">
      <c r="B64" s="2" t="s">
        <v>12899</v>
      </c>
      <c r="C64" s="2" t="s">
        <v>12927</v>
      </c>
      <c r="E64" s="2" t="s">
        <v>12975</v>
      </c>
      <c r="F64" s="2" t="s">
        <v>12998</v>
      </c>
      <c r="G64" s="2" t="s">
        <v>12955</v>
      </c>
      <c r="K64" s="30" t="s">
        <v>1643</v>
      </c>
      <c r="L64" s="30" t="s">
        <v>1641</v>
      </c>
      <c r="N64" s="2" t="s">
        <v>13183</v>
      </c>
      <c r="P64" s="29">
        <v>61</v>
      </c>
      <c r="Q64" s="29" t="s">
        <v>640</v>
      </c>
      <c r="V64" s="2">
        <v>61</v>
      </c>
      <c r="W64" s="2" t="s">
        <v>1445</v>
      </c>
      <c r="Z64" s="1190"/>
      <c r="AA64" s="787">
        <v>8</v>
      </c>
      <c r="AB64" s="404" t="s">
        <v>7354</v>
      </c>
      <c r="AC64" s="788" t="s">
        <v>7355</v>
      </c>
      <c r="AD64" s="1190"/>
      <c r="AE64" s="1190"/>
      <c r="AF64" s="1190"/>
      <c r="AG64" s="1190"/>
      <c r="AH64" s="1190"/>
      <c r="AI64" s="1190"/>
      <c r="AJ64" s="1190"/>
      <c r="AK64" s="1190"/>
      <c r="AL64" s="1190"/>
      <c r="AM64" s="1190"/>
      <c r="AN64" s="1190"/>
      <c r="AO64" s="1190"/>
      <c r="AP64" s="1190"/>
      <c r="AQ64" s="1190"/>
      <c r="AR64" s="1190"/>
      <c r="AS64" s="1190"/>
      <c r="AT64" s="1190"/>
      <c r="AU64" s="1190"/>
      <c r="AV64" s="1190"/>
      <c r="AW64" s="1190"/>
      <c r="AX64" s="1190"/>
      <c r="AY64" s="1190"/>
      <c r="AZ64" s="1190"/>
      <c r="BA64" s="1190"/>
      <c r="BB64" s="1190"/>
      <c r="BC64" s="1190"/>
      <c r="BD64" s="1190"/>
      <c r="BE64" s="1190"/>
      <c r="BF64" s="1190"/>
      <c r="BG64" s="1190"/>
      <c r="BH64" s="1190"/>
      <c r="BI64" s="1190"/>
      <c r="BJ64" s="1190"/>
      <c r="BK64" s="1190"/>
      <c r="BL64" s="1190"/>
      <c r="BM64" s="1190"/>
      <c r="CA64" s="2">
        <v>2</v>
      </c>
      <c r="CB64" s="2" t="s">
        <v>2013</v>
      </c>
      <c r="CI64" s="2">
        <v>15</v>
      </c>
      <c r="CJ64" s="2" t="s">
        <v>12634</v>
      </c>
      <c r="CL64" s="1228">
        <v>15</v>
      </c>
      <c r="CM64" s="2" t="s">
        <v>12594</v>
      </c>
      <c r="CO64" s="1228">
        <v>15</v>
      </c>
      <c r="CP64" s="2" t="s">
        <v>12668</v>
      </c>
      <c r="CR64" s="1228">
        <v>15</v>
      </c>
      <c r="CS64" s="2" t="s">
        <v>15316</v>
      </c>
      <c r="CU64" s="2" t="s">
        <v>12721</v>
      </c>
      <c r="CV64" s="2" t="s">
        <v>12722</v>
      </c>
      <c r="CX64" s="2" t="s">
        <v>4104</v>
      </c>
      <c r="CY64" s="2" t="s">
        <v>12770</v>
      </c>
      <c r="CZ64" s="2" t="s">
        <v>12771</v>
      </c>
      <c r="DL64" s="1082" t="s">
        <v>16339</v>
      </c>
      <c r="DM64" s="1078" t="s">
        <v>5694</v>
      </c>
      <c r="DN64" s="1079">
        <v>2</v>
      </c>
      <c r="DO64" s="1079">
        <v>1.8</v>
      </c>
      <c r="DP64" s="1079">
        <v>1.6</v>
      </c>
      <c r="DQ64" s="1079">
        <v>1.4</v>
      </c>
      <c r="DR64" s="1079">
        <v>1.2</v>
      </c>
      <c r="DS64" s="1079">
        <v>1</v>
      </c>
      <c r="DT64" s="1079">
        <v>800</v>
      </c>
      <c r="DU64" s="1079">
        <v>600</v>
      </c>
      <c r="DV64" s="1079">
        <v>400</v>
      </c>
      <c r="DW64" s="1079">
        <v>300</v>
      </c>
      <c r="DX64" s="1079">
        <v>200</v>
      </c>
      <c r="DY64" s="1079">
        <v>100</v>
      </c>
      <c r="IQ64" s="1189"/>
      <c r="IT64" s="1153"/>
      <c r="IU64" s="1153"/>
      <c r="IV64" s="1153"/>
      <c r="IW64" s="1153"/>
      <c r="IX64" s="1153"/>
      <c r="IY64" s="1153"/>
      <c r="IZ64" s="1153"/>
      <c r="JA64" s="1153"/>
      <c r="JB64" s="1153"/>
      <c r="JC64" s="1153"/>
      <c r="JD64" s="1153"/>
      <c r="JE64" s="1153"/>
      <c r="JF64" s="1153"/>
      <c r="JG64" s="1153"/>
      <c r="JH64" s="1153"/>
      <c r="JI64" s="1153"/>
      <c r="JJ64" s="1153"/>
      <c r="JK64" s="1153"/>
      <c r="JL64" s="1153"/>
      <c r="JM64" s="1153"/>
      <c r="JN64" s="1153"/>
      <c r="JO64" s="1153"/>
      <c r="JP64" s="1153"/>
      <c r="JQ64" s="1153"/>
      <c r="JR64" s="1153"/>
      <c r="JS64" s="1153"/>
      <c r="JT64" s="1153"/>
      <c r="JU64" s="1153"/>
      <c r="JV64" s="1153"/>
      <c r="JW64" s="1153"/>
      <c r="JX64" s="1153"/>
      <c r="JY64" s="1153"/>
      <c r="JZ64" s="1153"/>
      <c r="KA64" s="1153"/>
      <c r="KB64" s="1153"/>
      <c r="KC64" s="1153"/>
      <c r="KD64" s="1153"/>
      <c r="KE64" s="1153"/>
      <c r="KF64" s="1153"/>
      <c r="KG64" s="1153"/>
      <c r="KH64" s="1153"/>
      <c r="KI64" s="1153"/>
      <c r="KJ64" s="1153"/>
      <c r="KK64" s="23"/>
      <c r="KL64" s="1153"/>
      <c r="KM64" s="1153"/>
      <c r="KN64" s="1153"/>
      <c r="KO64" s="1138"/>
      <c r="KP64" s="1138"/>
      <c r="KQ64" s="1153"/>
      <c r="KR64" s="23"/>
      <c r="KS64" s="1153"/>
      <c r="KT64" s="1153"/>
      <c r="KU64" s="1153"/>
      <c r="KV64" s="1153"/>
      <c r="KW64" s="1153"/>
      <c r="KX64" s="1153"/>
      <c r="KY64" s="1153"/>
      <c r="KZ64" s="1153"/>
      <c r="LA64" s="1153"/>
      <c r="LB64" s="1153"/>
      <c r="LC64" s="1153"/>
      <c r="LD64" s="1153"/>
      <c r="LE64" s="1153"/>
      <c r="LF64" s="1153"/>
      <c r="LG64" s="1153"/>
      <c r="LH64" s="1153"/>
      <c r="LI64" s="1153"/>
      <c r="LJ64" s="1153"/>
      <c r="LK64" s="1153"/>
      <c r="LL64" s="1153"/>
      <c r="LM64" s="1153"/>
      <c r="LN64" s="1153"/>
      <c r="LO64" s="1153"/>
      <c r="LP64" s="1153"/>
      <c r="LQ64" s="1153"/>
      <c r="LR64" s="1153"/>
      <c r="LS64" s="1247"/>
      <c r="LU64" s="1153"/>
      <c r="LV64" s="1153"/>
      <c r="LW64" s="1153"/>
      <c r="LX64" s="1153"/>
      <c r="LY64" s="1153">
        <f t="shared" ref="LY64:LY80" si="10">LZ63+1</f>
        <v>11</v>
      </c>
      <c r="LZ64" s="1153">
        <v>13</v>
      </c>
      <c r="MA64" s="1153">
        <f t="shared" ref="MA64:MA80" si="11">LZ63</f>
        <v>10</v>
      </c>
      <c r="MB64" s="1153" t="s">
        <v>17234</v>
      </c>
      <c r="MC64" s="645" t="s">
        <v>17235</v>
      </c>
      <c r="MD64" s="645"/>
      <c r="ME64" s="1153" t="str">
        <f ca="1">ML61</f>
        <v>Member of a major noble house</v>
      </c>
      <c r="MF64" s="1153"/>
      <c r="MG64" s="1153">
        <v>2</v>
      </c>
      <c r="MH64" s="1153" t="s">
        <v>17236</v>
      </c>
      <c r="MI64" s="1153" t="s">
        <v>17237</v>
      </c>
      <c r="MJ64" s="1153"/>
      <c r="MK64" s="1145">
        <v>2</v>
      </c>
      <c r="ML64" s="1153" t="s">
        <v>17238</v>
      </c>
      <c r="MM64" s="1153"/>
      <c r="MN64" s="1153">
        <v>2</v>
      </c>
      <c r="MO64" s="1153" t="s">
        <v>17239</v>
      </c>
      <c r="MP64" s="1153"/>
      <c r="MQ64" s="539">
        <v>2</v>
      </c>
      <c r="MR64" s="1153" t="s">
        <v>17240</v>
      </c>
      <c r="MS64" s="1153"/>
      <c r="MT64" s="539">
        <v>2</v>
      </c>
      <c r="MU64" s="1153" t="s">
        <v>17241</v>
      </c>
      <c r="MV64" s="1153"/>
      <c r="MW64" s="1145">
        <v>2</v>
      </c>
      <c r="MX64" s="1153" t="s">
        <v>17242</v>
      </c>
      <c r="MY64" s="1153"/>
      <c r="MZ64" s="539">
        <v>2</v>
      </c>
      <c r="NA64" s="1153" t="s">
        <v>17243</v>
      </c>
      <c r="NB64" s="1153"/>
      <c r="NC64" s="539">
        <v>2</v>
      </c>
      <c r="ND64" s="1153" t="s">
        <v>17244</v>
      </c>
      <c r="NE64" s="1153"/>
      <c r="NF64" s="539">
        <v>2</v>
      </c>
      <c r="NG64" s="1141" t="s">
        <v>17245</v>
      </c>
      <c r="NH64" s="1153"/>
      <c r="NI64" s="539">
        <v>2</v>
      </c>
      <c r="NJ64" s="1153" t="s">
        <v>17246</v>
      </c>
      <c r="NK64" s="1153"/>
      <c r="NL64" s="539">
        <v>2</v>
      </c>
      <c r="NM64" s="1153" t="s">
        <v>17247</v>
      </c>
      <c r="NN64" s="1153"/>
      <c r="NO64" s="1153"/>
      <c r="NP64" s="1153"/>
      <c r="NQ64" s="1153"/>
      <c r="NR64" s="1153"/>
      <c r="NS64" s="1153"/>
      <c r="NT64" s="1153"/>
      <c r="NU64" s="1153"/>
      <c r="NV64" s="1153"/>
      <c r="NW64" s="1153"/>
      <c r="NX64" s="1153"/>
      <c r="NY64" s="1153"/>
      <c r="NZ64" s="1153"/>
      <c r="OA64" s="1153"/>
      <c r="OB64" s="1153"/>
      <c r="OC64" s="1153"/>
      <c r="OD64" s="1153"/>
      <c r="OE64" s="1153"/>
      <c r="OF64" s="1153"/>
      <c r="OG64" s="1153"/>
      <c r="OH64" s="1153"/>
      <c r="OI64" s="1153"/>
      <c r="OJ64" s="1153"/>
      <c r="PY64" s="1259" t="s">
        <v>18650</v>
      </c>
      <c r="PZ64" s="1259"/>
      <c r="QA64" s="1259"/>
    </row>
    <row r="65" spans="2:443" ht="18">
      <c r="B65" s="2" t="s">
        <v>13042</v>
      </c>
      <c r="C65" s="2" t="s">
        <v>13059</v>
      </c>
      <c r="E65" s="2" t="s">
        <v>12976</v>
      </c>
      <c r="F65" s="2" t="s">
        <v>12999</v>
      </c>
      <c r="G65" s="2" t="s">
        <v>12956</v>
      </c>
      <c r="K65" s="29">
        <v>1</v>
      </c>
      <c r="L65" s="29" t="s">
        <v>558</v>
      </c>
      <c r="N65" s="2" t="s">
        <v>644</v>
      </c>
      <c r="P65" s="29">
        <v>62</v>
      </c>
      <c r="Q65" s="29" t="s">
        <v>161</v>
      </c>
      <c r="V65" s="2">
        <v>62</v>
      </c>
      <c r="W65" s="2" t="s">
        <v>1446</v>
      </c>
      <c r="Z65" s="1190"/>
      <c r="AA65" s="787">
        <v>9</v>
      </c>
      <c r="AB65" s="404" t="s">
        <v>7356</v>
      </c>
      <c r="AC65" s="788" t="s">
        <v>7357</v>
      </c>
      <c r="AD65" s="1190"/>
      <c r="AE65" s="1190"/>
      <c r="AF65" s="1190"/>
      <c r="AG65" s="1190"/>
      <c r="AH65" s="1190"/>
      <c r="AI65" s="1190"/>
      <c r="AJ65" s="1190"/>
      <c r="AK65" s="1190"/>
      <c r="AL65" s="1190"/>
      <c r="AM65" s="1190"/>
      <c r="AN65" s="1190"/>
      <c r="AO65" s="1190"/>
      <c r="AP65" s="1190"/>
      <c r="AQ65" s="1190"/>
      <c r="AR65" s="1190"/>
      <c r="AS65" s="1190"/>
      <c r="AT65" s="1190"/>
      <c r="AU65" s="1190"/>
      <c r="AV65" s="1190"/>
      <c r="AW65" s="1190"/>
      <c r="AX65" s="1190"/>
      <c r="AY65" s="1190"/>
      <c r="AZ65" s="1190"/>
      <c r="BA65" s="1190"/>
      <c r="BB65" s="1190"/>
      <c r="BC65" s="1190"/>
      <c r="BD65" s="1190"/>
      <c r="BE65" s="1190"/>
      <c r="BF65" s="1190"/>
      <c r="BG65" s="1190"/>
      <c r="BH65" s="1190"/>
      <c r="BI65" s="1190"/>
      <c r="BJ65" s="1190"/>
      <c r="BK65" s="1190"/>
      <c r="BL65" s="1190"/>
      <c r="BM65" s="1190"/>
      <c r="CA65" s="2">
        <v>3</v>
      </c>
      <c r="CB65" s="2" t="s">
        <v>2014</v>
      </c>
      <c r="CI65" s="2">
        <v>16</v>
      </c>
      <c r="CJ65" s="2" t="s">
        <v>4521</v>
      </c>
      <c r="CL65" s="1227">
        <v>16</v>
      </c>
      <c r="CM65" s="2" t="s">
        <v>12626</v>
      </c>
      <c r="CO65" s="1227">
        <v>16</v>
      </c>
      <c r="CP65" s="2" t="s">
        <v>12669</v>
      </c>
      <c r="CR65" s="1227">
        <v>16</v>
      </c>
      <c r="CS65" s="2" t="s">
        <v>15316</v>
      </c>
      <c r="CV65" s="2" t="s">
        <v>12723</v>
      </c>
      <c r="CX65" s="2" t="s">
        <v>4281</v>
      </c>
      <c r="CY65" s="2" t="s">
        <v>12772</v>
      </c>
      <c r="CZ65" s="2" t="s">
        <v>12773</v>
      </c>
      <c r="DL65" s="1082" t="s">
        <v>16339</v>
      </c>
      <c r="DM65" s="1080" t="s">
        <v>16342</v>
      </c>
      <c r="DN65" s="1081">
        <v>3</v>
      </c>
      <c r="DO65" s="1081">
        <v>2.7</v>
      </c>
      <c r="DP65" s="1081">
        <v>2.4</v>
      </c>
      <c r="DQ65" s="1081">
        <v>2.1</v>
      </c>
      <c r="DR65" s="1081">
        <v>1.8</v>
      </c>
      <c r="DS65" s="1081">
        <v>1.5</v>
      </c>
      <c r="DT65" s="1081">
        <v>1.2</v>
      </c>
      <c r="DU65" s="1081">
        <v>900</v>
      </c>
      <c r="DV65" s="1081">
        <v>600</v>
      </c>
      <c r="DW65" s="1081">
        <v>450</v>
      </c>
      <c r="DX65" s="1081">
        <v>300</v>
      </c>
      <c r="DY65" s="1081">
        <v>150</v>
      </c>
      <c r="IQ65" s="1189"/>
      <c r="IT65" s="1153"/>
      <c r="IU65" s="1153"/>
      <c r="IV65" s="1153"/>
      <c r="IW65" s="1153"/>
      <c r="IX65" s="1153"/>
      <c r="IY65" s="1153"/>
      <c r="IZ65" s="1153"/>
      <c r="JA65" s="1153"/>
      <c r="JB65" s="1153"/>
      <c r="JC65" s="1153"/>
      <c r="JD65" s="1153"/>
      <c r="JE65" s="1153"/>
      <c r="JF65" s="1153"/>
      <c r="JG65" s="1153"/>
      <c r="JH65" s="1153"/>
      <c r="JI65" s="1153"/>
      <c r="JJ65" s="1153"/>
      <c r="JK65" s="1153"/>
      <c r="JL65" s="1153"/>
      <c r="JM65" s="1153"/>
      <c r="JN65" s="1153"/>
      <c r="JO65" s="1153"/>
      <c r="JP65" s="1153"/>
      <c r="JQ65" s="1153"/>
      <c r="JR65" s="1153"/>
      <c r="JS65" s="1153"/>
      <c r="JT65" s="1153"/>
      <c r="JU65" s="1153"/>
      <c r="JV65" s="1153"/>
      <c r="JW65" s="1153"/>
      <c r="JX65" s="1153"/>
      <c r="JY65" s="1153"/>
      <c r="JZ65" s="1153"/>
      <c r="KA65" s="1153"/>
      <c r="KB65" s="1153"/>
      <c r="KC65" s="1153"/>
      <c r="KD65" s="1153"/>
      <c r="KE65" s="1153"/>
      <c r="KF65" s="1153"/>
      <c r="KG65" s="1153"/>
      <c r="KH65" s="1153"/>
      <c r="KI65" s="1153"/>
      <c r="KJ65" s="23"/>
      <c r="KK65" s="1153"/>
      <c r="KL65" s="1153"/>
      <c r="KM65" s="24"/>
      <c r="KN65" s="1153"/>
      <c r="KO65" s="1138"/>
      <c r="KP65" s="1131"/>
      <c r="KQ65" s="1153"/>
      <c r="KR65" s="1153"/>
      <c r="KS65" s="1153"/>
      <c r="KT65" s="1153"/>
      <c r="KU65" s="1153"/>
      <c r="KV65" s="1153"/>
      <c r="KW65" s="1153"/>
      <c r="KX65" s="1153"/>
      <c r="KY65" s="1153"/>
      <c r="KZ65" s="1153"/>
      <c r="LA65" s="1153"/>
      <c r="LB65" s="1153"/>
      <c r="LC65" s="1153"/>
      <c r="LD65" s="1153"/>
      <c r="LE65" s="1153"/>
      <c r="LF65" s="1153"/>
      <c r="LG65" s="1153"/>
      <c r="LH65" s="1153"/>
      <c r="LI65" s="1153"/>
      <c r="LJ65" s="1153"/>
      <c r="LK65" s="1153"/>
      <c r="LL65" s="1153"/>
      <c r="LM65" s="1153"/>
      <c r="LN65" s="1153"/>
      <c r="LO65" s="1153"/>
      <c r="LP65" s="1153"/>
      <c r="LQ65" s="1153"/>
      <c r="LR65" s="1153"/>
      <c r="LS65" s="1247"/>
      <c r="LU65" s="1153"/>
      <c r="LV65" s="1153"/>
      <c r="LW65" s="1153"/>
      <c r="LX65" s="1153"/>
      <c r="LY65" s="1153">
        <f t="shared" si="10"/>
        <v>14</v>
      </c>
      <c r="LZ65" s="1153">
        <v>18</v>
      </c>
      <c r="MA65" s="1153">
        <f t="shared" si="11"/>
        <v>13</v>
      </c>
      <c r="MB65" s="1153" t="s">
        <v>17248</v>
      </c>
      <c r="MC65" s="1153" t="s">
        <v>17249</v>
      </c>
      <c r="MD65" s="1153"/>
      <c r="ME65" s="1153" t="str">
        <f>""</f>
        <v/>
      </c>
      <c r="MF65" s="1153"/>
      <c r="MG65" s="1153">
        <v>3</v>
      </c>
      <c r="MH65" s="1153" t="s">
        <v>17250</v>
      </c>
      <c r="MI65" s="1153" t="s">
        <v>17251</v>
      </c>
      <c r="MJ65" s="1153"/>
      <c r="MK65" s="1144">
        <v>3</v>
      </c>
      <c r="ML65" s="1153" t="s">
        <v>17252</v>
      </c>
      <c r="MM65" s="1153"/>
      <c r="MN65" s="1153">
        <v>3</v>
      </c>
      <c r="MO65" s="1153" t="s">
        <v>17253</v>
      </c>
      <c r="MP65" s="1153"/>
      <c r="MQ65" s="571">
        <v>3</v>
      </c>
      <c r="MR65" s="1153" t="s">
        <v>17254</v>
      </c>
      <c r="MS65" s="1153"/>
      <c r="MT65" s="571">
        <v>3</v>
      </c>
      <c r="MU65" s="1153" t="s">
        <v>17255</v>
      </c>
      <c r="MV65" s="1153"/>
      <c r="MW65" s="1144">
        <v>3</v>
      </c>
      <c r="MX65" s="1153" t="s">
        <v>17256</v>
      </c>
      <c r="MY65" s="1153"/>
      <c r="MZ65" s="571">
        <v>3</v>
      </c>
      <c r="NA65" s="1153" t="s">
        <v>17257</v>
      </c>
      <c r="NB65" s="1153"/>
      <c r="NC65" s="571">
        <v>3</v>
      </c>
      <c r="ND65" s="1153" t="s">
        <v>17258</v>
      </c>
      <c r="NE65" s="1153"/>
      <c r="NF65" s="571">
        <v>3</v>
      </c>
      <c r="NG65" s="1141" t="s">
        <v>17259</v>
      </c>
      <c r="NH65" s="1153"/>
      <c r="NI65" s="571">
        <v>3</v>
      </c>
      <c r="NJ65" s="1153" t="s">
        <v>17260</v>
      </c>
      <c r="NK65" s="1153"/>
      <c r="NL65" s="571">
        <v>3</v>
      </c>
      <c r="NM65" s="1153" t="s">
        <v>17261</v>
      </c>
      <c r="NN65" s="1153"/>
      <c r="NO65" s="1153"/>
      <c r="NP65" s="1153"/>
      <c r="NQ65" s="1153"/>
      <c r="NR65" s="1153"/>
      <c r="NS65" s="1153"/>
      <c r="NT65" s="1153"/>
      <c r="NU65" s="1153"/>
      <c r="NV65" s="1153"/>
      <c r="NW65" s="1153"/>
      <c r="NX65" s="1153"/>
      <c r="NY65" s="1153"/>
      <c r="NZ65" s="1153"/>
      <c r="OA65" s="1153"/>
      <c r="OB65" s="1153"/>
      <c r="OC65" s="1153"/>
      <c r="OD65" s="1153"/>
      <c r="OE65" s="1153"/>
      <c r="OF65" s="1153"/>
      <c r="OG65" s="1153"/>
      <c r="OH65" s="1153"/>
      <c r="OI65" s="1153"/>
      <c r="OJ65" s="1153"/>
      <c r="PY65" s="1259" t="s">
        <v>18530</v>
      </c>
      <c r="PZ65" s="1259" t="s">
        <v>18651</v>
      </c>
      <c r="QA65" s="1259"/>
    </row>
    <row r="66" spans="2:443" ht="18">
      <c r="B66" s="2" t="s">
        <v>13043</v>
      </c>
      <c r="C66" s="2" t="s">
        <v>12928</v>
      </c>
      <c r="E66" s="2" t="s">
        <v>12977</v>
      </c>
      <c r="F66" s="2" t="s">
        <v>13000</v>
      </c>
      <c r="G66" s="2" t="s">
        <v>12957</v>
      </c>
      <c r="K66" s="29">
        <v>2</v>
      </c>
      <c r="L66" s="29" t="s">
        <v>1566</v>
      </c>
      <c r="N66" s="2" t="s">
        <v>13184</v>
      </c>
      <c r="P66" s="29">
        <v>63</v>
      </c>
      <c r="Q66" s="29" t="s">
        <v>397</v>
      </c>
      <c r="V66" s="2">
        <v>63</v>
      </c>
      <c r="W66" s="2" t="s">
        <v>1447</v>
      </c>
      <c r="Z66" s="1190"/>
      <c r="AA66" s="787">
        <v>10</v>
      </c>
      <c r="AB66" s="404" t="s">
        <v>7358</v>
      </c>
      <c r="AC66" s="788" t="s">
        <v>7359</v>
      </c>
      <c r="AD66" s="1190"/>
      <c r="AE66" s="1190"/>
      <c r="AF66" s="1190"/>
      <c r="AG66" s="1190"/>
      <c r="AH66" s="1190"/>
      <c r="AI66" s="1190"/>
      <c r="AJ66" s="1190"/>
      <c r="AK66" s="1190"/>
      <c r="AL66" s="1190"/>
      <c r="AM66" s="1190"/>
      <c r="AN66" s="1190"/>
      <c r="AO66" s="1190"/>
      <c r="AP66" s="1190"/>
      <c r="AQ66" s="1190"/>
      <c r="AR66" s="1190"/>
      <c r="AS66" s="1190"/>
      <c r="AT66" s="1190"/>
      <c r="AU66" s="1190"/>
      <c r="AV66" s="1190"/>
      <c r="AW66" s="1190"/>
      <c r="AX66" s="1190"/>
      <c r="AY66" s="1190"/>
      <c r="AZ66" s="1190"/>
      <c r="BA66" s="1190"/>
      <c r="BB66" s="1190"/>
      <c r="BC66" s="1190"/>
      <c r="BD66" s="1190"/>
      <c r="BE66" s="1190"/>
      <c r="BF66" s="1190"/>
      <c r="BG66" s="1190"/>
      <c r="BH66" s="1190"/>
      <c r="BI66" s="1190"/>
      <c r="BJ66" s="1190"/>
      <c r="BK66" s="1190"/>
      <c r="BL66" s="1190"/>
      <c r="BM66" s="1190"/>
      <c r="CA66" s="2">
        <v>4</v>
      </c>
      <c r="CB66" s="2" t="s">
        <v>2015</v>
      </c>
      <c r="CI66" s="2">
        <v>17</v>
      </c>
      <c r="CJ66" s="2" t="s">
        <v>12635</v>
      </c>
      <c r="CL66" s="1228">
        <v>17</v>
      </c>
      <c r="CM66" s="2" t="s">
        <v>3609</v>
      </c>
      <c r="CO66" s="1228">
        <v>17</v>
      </c>
      <c r="CP66" s="2" t="s">
        <v>12670</v>
      </c>
      <c r="CR66" s="1228">
        <v>17</v>
      </c>
      <c r="CS66" s="2" t="s">
        <v>12678</v>
      </c>
      <c r="CU66" s="2">
        <v>0</v>
      </c>
      <c r="CV66" s="2" t="s">
        <v>12600</v>
      </c>
      <c r="CX66" s="2" t="s">
        <v>5081</v>
      </c>
      <c r="CY66" s="2" t="s">
        <v>7685</v>
      </c>
      <c r="CZ66" s="2" t="s">
        <v>7685</v>
      </c>
      <c r="DL66" s="1082" t="s">
        <v>16339</v>
      </c>
      <c r="DM66" s="1078" t="s">
        <v>16343</v>
      </c>
      <c r="DN66" s="1079">
        <v>4</v>
      </c>
      <c r="DO66" s="1079">
        <v>3.6</v>
      </c>
      <c r="DP66" s="1079">
        <v>3.2</v>
      </c>
      <c r="DQ66" s="1079">
        <v>2.8</v>
      </c>
      <c r="DR66" s="1079">
        <v>2.4</v>
      </c>
      <c r="DS66" s="1079">
        <v>2</v>
      </c>
      <c r="DT66" s="1079">
        <v>1.6</v>
      </c>
      <c r="DU66" s="1079">
        <v>1.2</v>
      </c>
      <c r="DV66" s="1079">
        <v>800</v>
      </c>
      <c r="DW66" s="1079">
        <v>600</v>
      </c>
      <c r="DX66" s="1079">
        <v>400</v>
      </c>
      <c r="DY66" s="1079">
        <v>200</v>
      </c>
      <c r="IQ66" s="1189"/>
      <c r="IT66" s="1153"/>
      <c r="IU66" s="1153"/>
      <c r="IV66" s="1153"/>
      <c r="IW66" s="1153"/>
      <c r="IX66" s="1153"/>
      <c r="IY66" s="1153"/>
      <c r="IZ66" s="1153"/>
      <c r="JA66" s="1153"/>
      <c r="JB66" s="1153"/>
      <c r="JC66" s="1153"/>
      <c r="JD66" s="1153"/>
      <c r="JE66" s="1153"/>
      <c r="JF66" s="1153"/>
      <c r="JG66" s="1153"/>
      <c r="JH66" s="1153"/>
      <c r="JI66" s="1153"/>
      <c r="JJ66" s="1153"/>
      <c r="JK66" s="1153"/>
      <c r="JL66" s="1153"/>
      <c r="JM66" s="1153"/>
      <c r="JN66" s="1153"/>
      <c r="JO66" s="1153"/>
      <c r="JP66" s="1153"/>
      <c r="JQ66" s="1153"/>
      <c r="JR66" s="1153"/>
      <c r="JS66" s="1153"/>
      <c r="JT66" s="1153"/>
      <c r="JU66" s="1153"/>
      <c r="JV66" s="1153"/>
      <c r="JW66" s="1153"/>
      <c r="JX66" s="1153"/>
      <c r="JY66" s="1153"/>
      <c r="JZ66" s="1153"/>
      <c r="KA66" s="1153"/>
      <c r="KB66" s="1153"/>
      <c r="KC66" s="1153"/>
      <c r="KD66" s="1153"/>
      <c r="KE66" s="1153"/>
      <c r="KF66" s="1153"/>
      <c r="KG66" s="1153"/>
      <c r="KH66" s="1153"/>
      <c r="KI66" s="1153"/>
      <c r="KJ66" s="1153"/>
      <c r="KK66" s="1153"/>
      <c r="KL66" s="1153"/>
      <c r="KM66" s="1153"/>
      <c r="KN66" s="1153"/>
      <c r="KO66" s="1131"/>
      <c r="KP66" s="1131"/>
      <c r="KQ66" s="1153"/>
      <c r="KR66" s="1153"/>
      <c r="KS66" s="1153"/>
      <c r="KT66" s="1153"/>
      <c r="KU66" s="1153"/>
      <c r="KV66" s="1153"/>
      <c r="KW66" s="1153"/>
      <c r="KX66" s="1153"/>
      <c r="KY66" s="1153"/>
      <c r="KZ66" s="1153"/>
      <c r="LA66" s="1153"/>
      <c r="LB66" s="1153"/>
      <c r="LC66" s="1153"/>
      <c r="LD66" s="1153"/>
      <c r="LE66" s="1153"/>
      <c r="LF66" s="1153"/>
      <c r="LG66" s="1153"/>
      <c r="LH66" s="1153"/>
      <c r="LI66" s="1153"/>
      <c r="LJ66" s="1153"/>
      <c r="LK66" s="1153"/>
      <c r="LL66" s="1153"/>
      <c r="LM66" s="1153"/>
      <c r="LN66" s="1153"/>
      <c r="LO66" s="1153"/>
      <c r="LP66" s="1153"/>
      <c r="LQ66" s="1153"/>
      <c r="LR66" s="1153"/>
      <c r="LS66" s="1247"/>
      <c r="LU66" s="1153"/>
      <c r="LV66" s="1153"/>
      <c r="LW66" s="1153"/>
      <c r="LX66" s="1153"/>
      <c r="LY66" s="1153">
        <f t="shared" si="10"/>
        <v>19</v>
      </c>
      <c r="LZ66" s="1153">
        <v>21</v>
      </c>
      <c r="MA66" s="1153">
        <f t="shared" si="11"/>
        <v>18</v>
      </c>
      <c r="MB66" s="1153" t="s">
        <v>17262</v>
      </c>
      <c r="MC66" s="1141" t="s">
        <v>17263</v>
      </c>
      <c r="MD66" s="1141"/>
      <c r="ME66" s="1153" t="str">
        <f>""</f>
        <v/>
      </c>
      <c r="MF66" s="1153"/>
      <c r="MG66" s="1153">
        <v>4</v>
      </c>
      <c r="MH66" s="1153" t="s">
        <v>17264</v>
      </c>
      <c r="MI66" s="1153" t="s">
        <v>17265</v>
      </c>
      <c r="MJ66" s="1153"/>
      <c r="MK66" s="1145">
        <v>4</v>
      </c>
      <c r="ML66" s="1153" t="s">
        <v>17266</v>
      </c>
      <c r="MM66" s="1153"/>
      <c r="MN66" s="1153">
        <v>4</v>
      </c>
      <c r="MO66" s="1153" t="s">
        <v>17267</v>
      </c>
      <c r="MP66" s="1153"/>
      <c r="MQ66" s="539">
        <v>4</v>
      </c>
      <c r="MR66" s="1153" t="s">
        <v>17268</v>
      </c>
      <c r="MS66" s="1153"/>
      <c r="MT66" s="539">
        <v>4</v>
      </c>
      <c r="MU66" s="1153" t="s">
        <v>17269</v>
      </c>
      <c r="MV66" s="1153"/>
      <c r="MW66" s="1145">
        <v>4</v>
      </c>
      <c r="MX66" s="1153" t="s">
        <v>17270</v>
      </c>
      <c r="MY66" s="1153"/>
      <c r="MZ66" s="539">
        <v>4</v>
      </c>
      <c r="NA66" s="1153" t="s">
        <v>17271</v>
      </c>
      <c r="NB66" s="1153"/>
      <c r="NC66" s="539">
        <v>4</v>
      </c>
      <c r="ND66" s="1153" t="s">
        <v>17272</v>
      </c>
      <c r="NE66" s="1153"/>
      <c r="NF66" s="539">
        <v>4</v>
      </c>
      <c r="NG66" s="1141" t="s">
        <v>17273</v>
      </c>
      <c r="NH66" s="1153"/>
      <c r="NI66" s="539">
        <v>4</v>
      </c>
      <c r="NJ66" s="1153" t="s">
        <v>17274</v>
      </c>
      <c r="NK66" s="1153"/>
      <c r="NL66" s="539">
        <v>4</v>
      </c>
      <c r="NM66" s="1153" t="s">
        <v>17275</v>
      </c>
      <c r="NN66" s="1153"/>
      <c r="NO66" s="1153"/>
      <c r="NP66" s="1153"/>
      <c r="NQ66" s="1153"/>
      <c r="NR66" s="1153"/>
      <c r="NS66" s="1153"/>
      <c r="NT66" s="1153"/>
      <c r="NU66" s="1153"/>
      <c r="NV66" s="1153"/>
      <c r="NW66" s="1153"/>
      <c r="NX66" s="1153"/>
      <c r="NY66" s="1153"/>
      <c r="NZ66" s="1153"/>
      <c r="OA66" s="1153"/>
      <c r="OB66" s="1153"/>
      <c r="OC66" s="1153"/>
      <c r="OD66" s="1153"/>
      <c r="OE66" s="1153"/>
      <c r="OF66" s="1153"/>
      <c r="OG66" s="1153"/>
      <c r="OH66" s="1153"/>
      <c r="OI66" s="1153"/>
      <c r="OJ66" s="1153"/>
      <c r="PY66" s="1218">
        <v>43862</v>
      </c>
      <c r="PZ66" s="1259" t="s">
        <v>18652</v>
      </c>
      <c r="QA66" s="1259"/>
    </row>
    <row r="67" spans="2:443" ht="18">
      <c r="B67" s="2" t="s">
        <v>1308</v>
      </c>
      <c r="C67" s="2" t="s">
        <v>13085</v>
      </c>
      <c r="E67" s="2" t="s">
        <v>12978</v>
      </c>
      <c r="F67" s="2" t="s">
        <v>13001</v>
      </c>
      <c r="G67" s="2" t="s">
        <v>12958</v>
      </c>
      <c r="K67" s="29">
        <v>3</v>
      </c>
      <c r="L67" s="29" t="s">
        <v>1567</v>
      </c>
      <c r="N67" s="2" t="s">
        <v>13185</v>
      </c>
      <c r="P67" s="29">
        <v>64</v>
      </c>
      <c r="Q67" s="29" t="s">
        <v>1588</v>
      </c>
      <c r="V67" s="2">
        <v>64</v>
      </c>
      <c r="W67" s="2" t="s">
        <v>1448</v>
      </c>
      <c r="Z67" s="1190"/>
      <c r="AA67" s="787">
        <v>11</v>
      </c>
      <c r="AB67" s="404" t="s">
        <v>7360</v>
      </c>
      <c r="AC67" s="788" t="s">
        <v>7361</v>
      </c>
      <c r="AD67" s="1190"/>
      <c r="AE67" s="1190"/>
      <c r="AF67" s="1190"/>
      <c r="AG67" s="1190"/>
      <c r="AH67" s="1190"/>
      <c r="AI67" s="1190"/>
      <c r="AJ67" s="1190"/>
      <c r="AK67" s="1190"/>
      <c r="AL67" s="1190"/>
      <c r="AM67" s="1190"/>
      <c r="AN67" s="1190"/>
      <c r="AO67" s="1190"/>
      <c r="AP67" s="1190"/>
      <c r="AQ67" s="1190"/>
      <c r="AR67" s="1190"/>
      <c r="AS67" s="1190"/>
      <c r="AT67" s="1190"/>
      <c r="AU67" s="1190"/>
      <c r="AV67" s="1190"/>
      <c r="AW67" s="1190"/>
      <c r="AX67" s="1190"/>
      <c r="AY67" s="1190"/>
      <c r="AZ67" s="1190"/>
      <c r="BA67" s="1190"/>
      <c r="BB67" s="1190"/>
      <c r="BC67" s="1190"/>
      <c r="BD67" s="1190"/>
      <c r="BE67" s="1190"/>
      <c r="BF67" s="1190"/>
      <c r="BG67" s="1190"/>
      <c r="BH67" s="1190"/>
      <c r="BI67" s="1190"/>
      <c r="BJ67" s="1190"/>
      <c r="BK67" s="1190"/>
      <c r="BL67" s="1190"/>
      <c r="BM67" s="1190"/>
      <c r="CA67" s="814"/>
      <c r="CB67" s="1230" t="str" cm="1">
        <f t="array" aca="1" ref="CB67" ca="1">INDEX(CB69:CB74,RANDBETWEEN(1,6),1)</f>
        <v>The person in power is the one who hired you to depose him</v>
      </c>
      <c r="CI67" s="2">
        <v>18</v>
      </c>
      <c r="CJ67" s="2" t="s">
        <v>12594</v>
      </c>
      <c r="CL67" s="1227">
        <v>18</v>
      </c>
      <c r="CM67" s="2" t="s">
        <v>12586</v>
      </c>
      <c r="CO67" s="1227">
        <v>18</v>
      </c>
      <c r="CP67" s="2" t="s">
        <v>12660</v>
      </c>
      <c r="CR67" s="1227">
        <v>18</v>
      </c>
      <c r="CS67" s="2" t="s">
        <v>12667</v>
      </c>
      <c r="CX67" s="2" t="s">
        <v>3609</v>
      </c>
      <c r="CY67" s="2">
        <v>80</v>
      </c>
      <c r="CZ67" s="2">
        <v>82</v>
      </c>
      <c r="DL67" s="1082" t="s">
        <v>16344</v>
      </c>
      <c r="DM67" s="1078" t="s">
        <v>16340</v>
      </c>
      <c r="DN67" s="1079">
        <v>100</v>
      </c>
      <c r="DO67" s="1079">
        <v>90</v>
      </c>
      <c r="DP67" s="1079">
        <v>80</v>
      </c>
      <c r="DQ67" s="1079">
        <v>70</v>
      </c>
      <c r="DR67" s="1079">
        <v>60</v>
      </c>
      <c r="DS67" s="1079">
        <v>50</v>
      </c>
      <c r="DT67" s="1079">
        <v>40</v>
      </c>
      <c r="DU67" s="1079">
        <v>30</v>
      </c>
      <c r="DV67" s="1079">
        <v>20</v>
      </c>
      <c r="DW67" s="1079">
        <v>15</v>
      </c>
      <c r="DX67" s="1079">
        <v>10</v>
      </c>
      <c r="DY67" s="1079">
        <v>5</v>
      </c>
      <c r="IQ67" s="1189"/>
      <c r="IT67" s="1153"/>
      <c r="IU67" s="1153"/>
      <c r="IV67" s="1153"/>
      <c r="IW67" s="1153"/>
      <c r="IX67" s="1153"/>
      <c r="IY67" s="1153"/>
      <c r="IZ67" s="1153"/>
      <c r="JA67" s="1153"/>
      <c r="JB67" s="1153"/>
      <c r="JC67" s="1153"/>
      <c r="JD67" s="1153"/>
      <c r="JE67" s="1153"/>
      <c r="JF67" s="1153"/>
      <c r="JG67" s="1153"/>
      <c r="JH67" s="1153"/>
      <c r="JI67" s="1153"/>
      <c r="JJ67" s="1153"/>
      <c r="JK67" s="1153"/>
      <c r="JL67" s="1153"/>
      <c r="JM67" s="1153"/>
      <c r="JN67" s="1153"/>
      <c r="JO67" s="1153"/>
      <c r="JP67" s="1153"/>
      <c r="JQ67" s="1153"/>
      <c r="JR67" s="1153"/>
      <c r="JS67" s="1153"/>
      <c r="JT67" s="1153"/>
      <c r="JU67" s="1153"/>
      <c r="JV67" s="1153"/>
      <c r="JW67" s="1153"/>
      <c r="JX67" s="1153"/>
      <c r="JY67" s="1153"/>
      <c r="JZ67" s="1153"/>
      <c r="KA67" s="1153"/>
      <c r="KB67" s="1153"/>
      <c r="KC67" s="1153"/>
      <c r="KD67" s="1153"/>
      <c r="KE67" s="1153"/>
      <c r="KF67" s="1153"/>
      <c r="KG67" s="1153"/>
      <c r="KH67" s="1153"/>
      <c r="KI67" s="1153"/>
      <c r="KJ67" s="1153"/>
      <c r="KK67" s="1153"/>
      <c r="KL67" s="1153"/>
      <c r="KM67" s="1153"/>
      <c r="KN67" s="1153"/>
      <c r="KO67" s="1131"/>
      <c r="KP67" s="1131"/>
      <c r="KQ67" s="1153"/>
      <c r="KR67" s="1153"/>
      <c r="KS67" s="1153"/>
      <c r="KT67" s="1153"/>
      <c r="KU67" s="1153"/>
      <c r="KV67" s="1153"/>
      <c r="KW67" s="1153"/>
      <c r="KX67" s="1153"/>
      <c r="KY67" s="1153"/>
      <c r="KZ67" s="1153"/>
      <c r="LA67" s="1153"/>
      <c r="LB67" s="1153"/>
      <c r="LC67" s="1153"/>
      <c r="LD67" s="1153"/>
      <c r="LE67" s="1153"/>
      <c r="LF67" s="1153"/>
      <c r="LG67" s="1153"/>
      <c r="LH67" s="1153"/>
      <c r="LI67" s="1153"/>
      <c r="LJ67" s="1153"/>
      <c r="LK67" s="1153"/>
      <c r="LL67" s="1153"/>
      <c r="LM67" s="1153"/>
      <c r="LN67" s="1153"/>
      <c r="LO67" s="1153"/>
      <c r="LP67" s="1153"/>
      <c r="LQ67" s="1153"/>
      <c r="LR67" s="1153"/>
      <c r="LS67" s="1247"/>
      <c r="LU67" s="1153"/>
      <c r="LV67" s="1153"/>
      <c r="LW67" s="1153"/>
      <c r="LX67" s="1153"/>
      <c r="LY67" s="1153">
        <f t="shared" si="10"/>
        <v>22</v>
      </c>
      <c r="LZ67" s="1153">
        <v>26</v>
      </c>
      <c r="MA67" s="1153">
        <f t="shared" si="11"/>
        <v>21</v>
      </c>
      <c r="MB67" s="1153" t="s">
        <v>17276</v>
      </c>
      <c r="MC67" s="1153" t="s">
        <v>17277</v>
      </c>
      <c r="MD67" s="1153"/>
      <c r="ME67" s="1153" t="str">
        <f ca="1">ML61</f>
        <v>Member of a major noble house</v>
      </c>
      <c r="MF67" s="1153"/>
      <c r="MG67" s="1153">
        <v>5</v>
      </c>
      <c r="MH67" s="1153" t="s">
        <v>17278</v>
      </c>
      <c r="MI67" s="1153" t="s">
        <v>17279</v>
      </c>
      <c r="MJ67" s="1153"/>
      <c r="MK67" s="1144">
        <v>5</v>
      </c>
      <c r="ML67" s="1153" t="s">
        <v>17280</v>
      </c>
      <c r="MM67" s="1153"/>
      <c r="MN67" s="1153">
        <v>5</v>
      </c>
      <c r="MO67" s="1153" t="s">
        <v>17281</v>
      </c>
      <c r="MP67" s="1153"/>
      <c r="MQ67" s="571">
        <v>5</v>
      </c>
      <c r="MR67" s="1153" t="s">
        <v>17282</v>
      </c>
      <c r="MS67" s="1153"/>
      <c r="MT67" s="571">
        <v>5</v>
      </c>
      <c r="MU67" s="1153" t="s">
        <v>17283</v>
      </c>
      <c r="MV67" s="1153"/>
      <c r="MW67" s="1144">
        <v>5</v>
      </c>
      <c r="MX67" s="1153" t="s">
        <v>17284</v>
      </c>
      <c r="MY67" s="1153"/>
      <c r="MZ67" s="571">
        <v>5</v>
      </c>
      <c r="NA67" s="1153" t="s">
        <v>17285</v>
      </c>
      <c r="NB67" s="1153"/>
      <c r="NC67" s="571">
        <v>5</v>
      </c>
      <c r="ND67" s="1153" t="s">
        <v>17286</v>
      </c>
      <c r="NE67" s="1153"/>
      <c r="NF67" s="571">
        <v>5</v>
      </c>
      <c r="NG67" s="1153" t="s">
        <v>2826</v>
      </c>
      <c r="NH67" s="1153"/>
      <c r="NI67" s="571">
        <v>5</v>
      </c>
      <c r="NJ67" s="1153" t="s">
        <v>17287</v>
      </c>
      <c r="NK67" s="1153"/>
      <c r="NL67" s="571">
        <v>5</v>
      </c>
      <c r="NM67" s="1153" t="s">
        <v>17288</v>
      </c>
      <c r="NN67" s="1153" t="s">
        <v>17289</v>
      </c>
      <c r="NO67" s="1153"/>
      <c r="NP67" s="1153"/>
      <c r="NQ67" s="1153"/>
      <c r="NR67" s="1153"/>
      <c r="NS67" s="1153"/>
      <c r="NT67" s="1153"/>
      <c r="NU67" s="1153"/>
      <c r="NV67" s="1153"/>
      <c r="NW67" s="1153"/>
      <c r="NX67" s="1153"/>
      <c r="NY67" s="1153"/>
      <c r="NZ67" s="1153"/>
      <c r="OA67" s="1153"/>
      <c r="OB67" s="1153"/>
      <c r="OC67" s="1153"/>
      <c r="OD67" s="1153"/>
      <c r="OE67" s="1153"/>
      <c r="OF67" s="1153"/>
      <c r="OG67" s="1153"/>
      <c r="OH67" s="1153"/>
      <c r="OI67" s="1153"/>
      <c r="OJ67" s="1153"/>
      <c r="PY67" s="1218">
        <v>43924</v>
      </c>
      <c r="PZ67" s="1259" t="s">
        <v>18653</v>
      </c>
      <c r="QA67" s="1259"/>
    </row>
    <row r="68" spans="2:443" ht="18">
      <c r="B68" s="2" t="s">
        <v>12900</v>
      </c>
      <c r="C68" s="2" t="s">
        <v>12929</v>
      </c>
      <c r="E68" s="2" t="s">
        <v>12979</v>
      </c>
      <c r="F68" s="2" t="s">
        <v>13002</v>
      </c>
      <c r="G68" s="2" t="s">
        <v>12959</v>
      </c>
      <c r="K68" s="29">
        <v>4</v>
      </c>
      <c r="L68" s="29" t="s">
        <v>1568</v>
      </c>
      <c r="N68" s="2" t="s">
        <v>13186</v>
      </c>
      <c r="P68" s="29">
        <v>65</v>
      </c>
      <c r="Q68" s="29" t="s">
        <v>1634</v>
      </c>
      <c r="V68" s="2">
        <v>65</v>
      </c>
      <c r="W68" s="2" t="s">
        <v>1449</v>
      </c>
      <c r="Z68" s="1190"/>
      <c r="AA68" s="792">
        <v>12</v>
      </c>
      <c r="AB68" s="793" t="s">
        <v>7362</v>
      </c>
      <c r="AC68" s="794" t="s">
        <v>7363</v>
      </c>
      <c r="AD68" s="1190"/>
      <c r="AE68" s="1190"/>
      <c r="AF68" s="1190"/>
      <c r="AG68" s="1190"/>
      <c r="AH68" s="1190"/>
      <c r="AI68" s="1190"/>
      <c r="AJ68" s="1190"/>
      <c r="AK68" s="1190"/>
      <c r="AL68" s="1190"/>
      <c r="AM68" s="1190"/>
      <c r="AN68" s="1190"/>
      <c r="AO68" s="1190"/>
      <c r="AP68" s="1190"/>
      <c r="AQ68" s="1190"/>
      <c r="AR68" s="1190"/>
      <c r="AS68" s="1190"/>
      <c r="AT68" s="1190"/>
      <c r="AU68" s="1190"/>
      <c r="AV68" s="1190"/>
      <c r="AW68" s="1190"/>
      <c r="AX68" s="1190"/>
      <c r="AY68" s="1190"/>
      <c r="AZ68" s="1190"/>
      <c r="BA68" s="1190"/>
      <c r="BB68" s="1190"/>
      <c r="BC68" s="1190"/>
      <c r="BD68" s="1190"/>
      <c r="BE68" s="1190"/>
      <c r="BF68" s="1190"/>
      <c r="BG68" s="1190"/>
      <c r="BH68" s="1190"/>
      <c r="BI68" s="1190"/>
      <c r="BJ68" s="1190"/>
      <c r="BK68" s="1190"/>
      <c r="BL68" s="1190"/>
      <c r="BM68" s="1190"/>
      <c r="CA68" s="2" t="s">
        <v>1643</v>
      </c>
      <c r="CB68" s="2" t="s">
        <v>2016</v>
      </c>
      <c r="CI68" s="2">
        <v>19</v>
      </c>
      <c r="CJ68" s="2" t="s">
        <v>12586</v>
      </c>
      <c r="CL68" s="1228">
        <v>19</v>
      </c>
      <c r="CO68" s="1228">
        <v>19</v>
      </c>
      <c r="CP68" s="2" t="s">
        <v>12660</v>
      </c>
      <c r="CR68" s="1228">
        <v>19</v>
      </c>
      <c r="CS68" s="2" t="s">
        <v>12661</v>
      </c>
      <c r="CX68" s="2" t="s">
        <v>12594</v>
      </c>
      <c r="CY68" s="2" t="s">
        <v>12774</v>
      </c>
      <c r="CZ68" s="2" t="s">
        <v>12775</v>
      </c>
      <c r="DL68" s="1082" t="s">
        <v>16344</v>
      </c>
      <c r="DM68" s="1080" t="s">
        <v>16345</v>
      </c>
      <c r="DN68" s="1081">
        <v>10</v>
      </c>
      <c r="DO68" s="1081">
        <v>9</v>
      </c>
      <c r="DP68" s="1081">
        <v>8</v>
      </c>
      <c r="DQ68" s="1081">
        <v>7</v>
      </c>
      <c r="DR68" s="1081">
        <v>6</v>
      </c>
      <c r="DS68" s="1081">
        <v>5</v>
      </c>
      <c r="DT68" s="1081">
        <v>4</v>
      </c>
      <c r="DU68" s="1081">
        <v>3</v>
      </c>
      <c r="DV68" s="1081">
        <v>2</v>
      </c>
      <c r="DW68" s="1083">
        <v>43952</v>
      </c>
      <c r="DX68" s="1081">
        <v>1</v>
      </c>
      <c r="DY68" s="1081" t="s">
        <v>16346</v>
      </c>
      <c r="IQ68" s="1189"/>
      <c r="IT68" s="1153"/>
      <c r="IU68" s="1153"/>
      <c r="IV68" s="1153"/>
      <c r="IW68" s="1153"/>
      <c r="IX68" s="1153"/>
      <c r="IY68" s="1153"/>
      <c r="IZ68" s="1153"/>
      <c r="JA68" s="1153"/>
      <c r="JB68" s="1153"/>
      <c r="JC68" s="1153"/>
      <c r="JD68" s="1153"/>
      <c r="JE68" s="1153"/>
      <c r="JF68" s="1153"/>
      <c r="JG68" s="1153"/>
      <c r="JH68" s="1153"/>
      <c r="JI68" s="1153"/>
      <c r="JJ68" s="1153"/>
      <c r="JK68" s="1153"/>
      <c r="JL68" s="1153"/>
      <c r="JM68" s="1153"/>
      <c r="JN68" s="1153"/>
      <c r="JO68" s="1153"/>
      <c r="JP68" s="1153"/>
      <c r="JQ68" s="1153"/>
      <c r="JR68" s="1153"/>
      <c r="JS68" s="1153"/>
      <c r="JT68" s="1153"/>
      <c r="JU68" s="1153"/>
      <c r="JV68" s="1153"/>
      <c r="JW68" s="1153"/>
      <c r="JX68" s="1153"/>
      <c r="JY68" s="1153"/>
      <c r="JZ68" s="1153"/>
      <c r="KA68" s="1153"/>
      <c r="KB68" s="1153"/>
      <c r="KC68" s="1153"/>
      <c r="KD68" s="1153"/>
      <c r="KE68" s="1153"/>
      <c r="KF68" s="1153"/>
      <c r="KG68" s="1153"/>
      <c r="KH68" s="1153"/>
      <c r="KI68" s="1153"/>
      <c r="KJ68" s="1153"/>
      <c r="KK68" s="1153"/>
      <c r="KL68" s="1153"/>
      <c r="KM68" s="1153"/>
      <c r="KN68" s="1153"/>
      <c r="KO68" s="1131"/>
      <c r="KP68" s="1131"/>
      <c r="KQ68" s="1153"/>
      <c r="KR68" s="1153"/>
      <c r="KS68" s="1153"/>
      <c r="KT68" s="1153"/>
      <c r="KU68" s="1153"/>
      <c r="KV68" s="1153"/>
      <c r="KW68" s="1153"/>
      <c r="KX68" s="1153"/>
      <c r="KY68" s="1153"/>
      <c r="KZ68" s="1153"/>
      <c r="LA68" s="1153"/>
      <c r="LB68" s="1153"/>
      <c r="LC68" s="1153"/>
      <c r="LD68" s="1153"/>
      <c r="LE68" s="1153"/>
      <c r="LF68" s="1153"/>
      <c r="LG68" s="1153"/>
      <c r="LH68" s="1153"/>
      <c r="LI68" s="1153"/>
      <c r="LJ68" s="1153"/>
      <c r="LK68" s="1153"/>
      <c r="LL68" s="1153"/>
      <c r="LM68" s="1153"/>
      <c r="LN68" s="1153"/>
      <c r="LO68" s="1153"/>
      <c r="LP68" s="1153"/>
      <c r="LQ68" s="1153"/>
      <c r="LR68" s="1153"/>
      <c r="LS68" s="1247"/>
      <c r="LU68" s="1153"/>
      <c r="LV68" s="1153"/>
      <c r="LW68" s="1153"/>
      <c r="LX68" s="1153"/>
      <c r="LY68" s="1153">
        <f t="shared" si="10"/>
        <v>27</v>
      </c>
      <c r="LZ68" s="1153">
        <v>30</v>
      </c>
      <c r="MA68" s="1153">
        <f t="shared" si="11"/>
        <v>26</v>
      </c>
      <c r="MB68" s="1153" t="s">
        <v>17290</v>
      </c>
      <c r="MC68" s="1153" t="s">
        <v>17291</v>
      </c>
      <c r="MD68" s="1153"/>
      <c r="ME68" s="1153" t="str">
        <f>""</f>
        <v/>
      </c>
      <c r="MF68" s="1153"/>
      <c r="MG68" s="1153">
        <v>6</v>
      </c>
      <c r="MH68" s="1153" t="s">
        <v>17292</v>
      </c>
      <c r="MI68" s="1153" t="s">
        <v>17293</v>
      </c>
      <c r="MJ68" s="1153"/>
      <c r="MK68" s="1145">
        <v>6</v>
      </c>
      <c r="ML68" s="1153" t="s">
        <v>17294</v>
      </c>
      <c r="MM68" s="1153"/>
      <c r="MN68" s="1153">
        <v>6</v>
      </c>
      <c r="MO68" s="1153" t="s">
        <v>5822</v>
      </c>
      <c r="MP68" s="1153"/>
      <c r="MQ68" s="539">
        <v>6</v>
      </c>
      <c r="MR68" s="1153" t="s">
        <v>17295</v>
      </c>
      <c r="MS68" s="1153"/>
      <c r="MT68" s="539">
        <v>6</v>
      </c>
      <c r="MU68" s="1153" t="s">
        <v>17296</v>
      </c>
      <c r="MV68" s="1153"/>
      <c r="MW68" s="1145">
        <v>6</v>
      </c>
      <c r="MX68" s="1153" t="s">
        <v>17297</v>
      </c>
      <c r="MY68" s="1153"/>
      <c r="MZ68" s="539">
        <v>6</v>
      </c>
      <c r="NA68" s="1153" t="s">
        <v>17298</v>
      </c>
      <c r="NB68" s="1153"/>
      <c r="NC68" s="539">
        <v>6</v>
      </c>
      <c r="ND68" s="1153" t="s">
        <v>17299</v>
      </c>
      <c r="NE68" s="1153"/>
      <c r="NF68" s="539">
        <v>6</v>
      </c>
      <c r="NG68" s="1153" t="s">
        <v>17300</v>
      </c>
      <c r="NH68" s="1153"/>
      <c r="NI68" s="539">
        <v>6</v>
      </c>
      <c r="NJ68" s="1153" t="s">
        <v>17301</v>
      </c>
      <c r="NK68" s="1153"/>
      <c r="NL68" s="539">
        <v>6</v>
      </c>
      <c r="NM68" s="1153"/>
      <c r="NN68" s="1153"/>
      <c r="NO68" s="1153"/>
      <c r="NP68" s="1153"/>
      <c r="NQ68" s="1153"/>
      <c r="NR68" s="1153"/>
      <c r="NS68" s="1153"/>
      <c r="NT68" s="1153"/>
      <c r="NU68" s="1153"/>
      <c r="NV68" s="1153"/>
      <c r="NW68" s="1153"/>
      <c r="NX68" s="1153"/>
      <c r="NY68" s="1153"/>
      <c r="NZ68" s="1153"/>
      <c r="OA68" s="1153"/>
      <c r="OB68" s="1153"/>
      <c r="OC68" s="1153"/>
      <c r="OD68" s="1153"/>
      <c r="OE68" s="1153"/>
      <c r="OF68" s="1153"/>
      <c r="OG68" s="1153"/>
      <c r="OH68" s="1153"/>
      <c r="OI68" s="1153"/>
      <c r="OJ68" s="1153"/>
      <c r="PY68" s="1218">
        <v>43987</v>
      </c>
      <c r="PZ68" s="1259" t="s">
        <v>18654</v>
      </c>
      <c r="QA68" s="1259"/>
    </row>
    <row r="69" spans="2:443" ht="18.75" thickBot="1">
      <c r="B69" s="2" t="s">
        <v>13044</v>
      </c>
      <c r="C69" s="2" t="s">
        <v>13060</v>
      </c>
      <c r="E69" s="2" t="s">
        <v>12980</v>
      </c>
      <c r="F69" s="2" t="s">
        <v>13003</v>
      </c>
      <c r="G69" s="2" t="s">
        <v>12960</v>
      </c>
      <c r="K69" s="29">
        <v>5</v>
      </c>
      <c r="L69" s="29" t="s">
        <v>559</v>
      </c>
      <c r="N69" s="2" t="s">
        <v>13187</v>
      </c>
      <c r="P69" s="29">
        <v>66</v>
      </c>
      <c r="Q69" s="29" t="s">
        <v>1589</v>
      </c>
      <c r="V69" s="2">
        <v>66</v>
      </c>
      <c r="W69" s="2" t="s">
        <v>1450</v>
      </c>
      <c r="Z69" s="1190"/>
      <c r="AA69" s="1190"/>
      <c r="AB69" s="1190"/>
      <c r="AC69" s="1190"/>
      <c r="AD69" s="1190"/>
      <c r="AE69" s="1190"/>
      <c r="AF69" s="1190"/>
      <c r="AG69" s="1190"/>
      <c r="AH69" s="1190"/>
      <c r="AI69" s="1190"/>
      <c r="AJ69" s="1190"/>
      <c r="AK69" s="1190"/>
      <c r="AL69" s="1190"/>
      <c r="AM69" s="1190"/>
      <c r="AN69" s="1190"/>
      <c r="AO69" s="1190"/>
      <c r="AP69" s="1190"/>
      <c r="AQ69" s="1190"/>
      <c r="AR69" s="1190"/>
      <c r="AS69" s="1190"/>
      <c r="AT69" s="1190"/>
      <c r="AU69" s="1190"/>
      <c r="AV69" s="1190"/>
      <c r="AW69" s="1190"/>
      <c r="AX69" s="1190"/>
      <c r="AY69" s="1190"/>
      <c r="AZ69" s="1190"/>
      <c r="BA69" s="1190"/>
      <c r="BB69" s="1190"/>
      <c r="BC69" s="1190"/>
      <c r="BD69" s="1190"/>
      <c r="BE69" s="1190"/>
      <c r="BF69" s="1190"/>
      <c r="BG69" s="1190"/>
      <c r="BH69" s="1190"/>
      <c r="BI69" s="1190"/>
      <c r="BJ69" s="1190"/>
      <c r="BK69" s="1190"/>
      <c r="BL69" s="1190"/>
      <c r="BM69" s="1190"/>
      <c r="CA69" s="2">
        <v>1</v>
      </c>
      <c r="CB69" s="2" t="s">
        <v>2017</v>
      </c>
      <c r="CI69" s="2">
        <v>20</v>
      </c>
      <c r="CJ69" s="2" t="s">
        <v>12586</v>
      </c>
      <c r="CL69" s="1227">
        <v>20</v>
      </c>
      <c r="CO69" s="1231">
        <v>20</v>
      </c>
      <c r="CP69" s="2" t="s">
        <v>15313</v>
      </c>
      <c r="CR69" s="1231">
        <v>20</v>
      </c>
      <c r="CS69" s="2" t="s">
        <v>12679</v>
      </c>
      <c r="CX69" s="2" t="s">
        <v>12776</v>
      </c>
      <c r="CY69" s="2">
        <v>83</v>
      </c>
      <c r="CZ69" s="2">
        <v>85</v>
      </c>
      <c r="DL69" s="1082" t="s">
        <v>16344</v>
      </c>
      <c r="DM69" s="1078" t="s">
        <v>16347</v>
      </c>
      <c r="DN69" s="1079">
        <v>20</v>
      </c>
      <c r="DO69" s="1079">
        <v>18</v>
      </c>
      <c r="DP69" s="1079">
        <v>16</v>
      </c>
      <c r="DQ69" s="1079">
        <v>14</v>
      </c>
      <c r="DR69" s="1079">
        <v>12</v>
      </c>
      <c r="DS69" s="1079">
        <v>10</v>
      </c>
      <c r="DT69" s="1079">
        <v>8</v>
      </c>
      <c r="DU69" s="1079">
        <v>6</v>
      </c>
      <c r="DV69" s="1079">
        <v>4</v>
      </c>
      <c r="DW69" s="1079">
        <v>3</v>
      </c>
      <c r="DX69" s="1079">
        <v>2</v>
      </c>
      <c r="DY69" s="1079">
        <v>1</v>
      </c>
      <c r="IQ69" s="1189"/>
      <c r="IT69" s="1153"/>
      <c r="IU69" s="1153"/>
      <c r="IV69" s="1153"/>
      <c r="IW69" s="1153"/>
      <c r="IX69" s="1153"/>
      <c r="IY69" s="1153"/>
      <c r="IZ69" s="1153"/>
      <c r="JA69" s="1153"/>
      <c r="JB69" s="1153"/>
      <c r="JC69" s="1153"/>
      <c r="JD69" s="1153"/>
      <c r="JE69" s="1153"/>
      <c r="JF69" s="1153"/>
      <c r="JG69" s="1153"/>
      <c r="JH69" s="1153"/>
      <c r="JI69" s="1153"/>
      <c r="JJ69" s="1153"/>
      <c r="JK69" s="1153"/>
      <c r="JL69" s="1153"/>
      <c r="JM69" s="1153"/>
      <c r="JN69" s="1153"/>
      <c r="JO69" s="1153"/>
      <c r="JP69" s="1153"/>
      <c r="JQ69" s="1153"/>
      <c r="JR69" s="1153"/>
      <c r="JS69" s="1153"/>
      <c r="JT69" s="1153"/>
      <c r="JU69" s="1153"/>
      <c r="JV69" s="1153"/>
      <c r="JW69" s="1153"/>
      <c r="JX69" s="1153"/>
      <c r="JY69" s="1153"/>
      <c r="JZ69" s="1153"/>
      <c r="KA69" s="1153"/>
      <c r="KB69" s="1153"/>
      <c r="KC69" s="1153"/>
      <c r="KD69" s="1153"/>
      <c r="KE69" s="1153"/>
      <c r="KF69" s="1153"/>
      <c r="KG69" s="1153"/>
      <c r="KH69" s="1153"/>
      <c r="KI69" s="1153"/>
      <c r="KJ69" s="1153"/>
      <c r="KK69" s="1153"/>
      <c r="KL69" s="1153"/>
      <c r="KM69" s="1153"/>
      <c r="KN69" s="1153"/>
      <c r="KO69" s="1131"/>
      <c r="KP69" s="1131"/>
      <c r="KQ69" s="1153"/>
      <c r="KR69" s="1153"/>
      <c r="KS69" s="1153"/>
      <c r="KT69" s="1153"/>
      <c r="KU69" s="1153"/>
      <c r="KV69" s="1153"/>
      <c r="KW69" s="1153"/>
      <c r="KX69" s="1153"/>
      <c r="KY69" s="1153"/>
      <c r="KZ69" s="1153"/>
      <c r="LA69" s="1153"/>
      <c r="LB69" s="1153"/>
      <c r="LC69" s="1153"/>
      <c r="LD69" s="1153"/>
      <c r="LE69" s="1153"/>
      <c r="LF69" s="1153"/>
      <c r="LG69" s="1153"/>
      <c r="LH69" s="1153"/>
      <c r="LI69" s="1153"/>
      <c r="LJ69" s="1153"/>
      <c r="LK69" s="1153"/>
      <c r="LL69" s="1153"/>
      <c r="LM69" s="1153"/>
      <c r="LN69" s="1153"/>
      <c r="LO69" s="1153"/>
      <c r="LP69" s="1153"/>
      <c r="LQ69" s="1153"/>
      <c r="LR69" s="1153"/>
      <c r="LS69" s="1247"/>
      <c r="LU69" s="1153"/>
      <c r="LV69" s="1153"/>
      <c r="LW69" s="1153"/>
      <c r="LX69" s="1153"/>
      <c r="LY69" s="1153">
        <f t="shared" si="10"/>
        <v>31</v>
      </c>
      <c r="LZ69" s="1153">
        <v>40</v>
      </c>
      <c r="MA69" s="1153">
        <f t="shared" si="11"/>
        <v>30</v>
      </c>
      <c r="MB69" s="1153" t="s">
        <v>17302</v>
      </c>
      <c r="MC69" s="1141" t="s">
        <v>17303</v>
      </c>
      <c r="MD69" s="1141"/>
      <c r="ME69" s="1153" t="str">
        <f>""</f>
        <v/>
      </c>
      <c r="MF69" s="1153"/>
      <c r="MG69" s="1153"/>
      <c r="MH69" s="1153"/>
      <c r="MI69" s="1153"/>
      <c r="MJ69" s="1153"/>
      <c r="MK69" s="1153"/>
      <c r="ML69" s="1153"/>
      <c r="MM69" s="1153"/>
      <c r="MN69" s="1153">
        <v>7</v>
      </c>
      <c r="MO69" s="1153" t="s">
        <v>17304</v>
      </c>
      <c r="MP69" s="1153"/>
      <c r="MQ69" s="1153"/>
      <c r="MR69" s="1153"/>
      <c r="MS69" s="1153"/>
      <c r="MT69" s="1153"/>
      <c r="MU69" s="1153"/>
      <c r="MV69" s="1153"/>
      <c r="MW69" s="1153"/>
      <c r="MX69" s="1153"/>
      <c r="MY69" s="1153"/>
      <c r="MZ69" s="1153"/>
      <c r="NA69" s="1153"/>
      <c r="NB69" s="1153"/>
      <c r="NC69" s="1153"/>
      <c r="ND69" s="1153"/>
      <c r="NE69" s="1153"/>
      <c r="NF69" s="1153"/>
      <c r="NG69" s="1153"/>
      <c r="NH69" s="1153"/>
      <c r="NI69" s="1153"/>
      <c r="NJ69" s="1153"/>
      <c r="NK69" s="1153"/>
      <c r="NL69" s="1153"/>
      <c r="NM69" s="1153"/>
      <c r="NN69" s="1153"/>
      <c r="NO69" s="1153"/>
      <c r="NP69" s="1153"/>
      <c r="NQ69" s="1153"/>
      <c r="NR69" s="1153"/>
      <c r="NS69" s="1153"/>
      <c r="NT69" s="1153"/>
      <c r="NU69" s="1153"/>
      <c r="NV69" s="1153"/>
      <c r="NW69" s="1153"/>
      <c r="NX69" s="1153"/>
      <c r="NY69" s="1153"/>
      <c r="NZ69" s="1153"/>
      <c r="OA69" s="1153"/>
      <c r="OB69" s="1153"/>
      <c r="OC69" s="1153"/>
      <c r="OD69" s="1153"/>
      <c r="OE69" s="1153"/>
      <c r="OF69" s="1153"/>
      <c r="OG69" s="1153"/>
      <c r="OH69" s="1153"/>
      <c r="OI69" s="1153"/>
      <c r="OJ69" s="1153"/>
      <c r="PY69" s="1218">
        <v>44050</v>
      </c>
      <c r="PZ69" s="1259" t="s">
        <v>18655</v>
      </c>
      <c r="QA69" s="1259"/>
    </row>
    <row r="70" spans="2:443" ht="18">
      <c r="B70" s="2" t="s">
        <v>12901</v>
      </c>
      <c r="C70" s="2" t="s">
        <v>13086</v>
      </c>
      <c r="E70" s="2" t="s">
        <v>12981</v>
      </c>
      <c r="F70" s="2" t="s">
        <v>13004</v>
      </c>
      <c r="G70" s="2" t="s">
        <v>12961</v>
      </c>
      <c r="K70" s="29">
        <v>6</v>
      </c>
      <c r="L70" s="29" t="s">
        <v>1569</v>
      </c>
      <c r="N70" s="2" t="s">
        <v>13188</v>
      </c>
      <c r="P70" s="29">
        <v>67</v>
      </c>
      <c r="Q70" s="29" t="s">
        <v>1590</v>
      </c>
      <c r="V70" s="2">
        <v>67</v>
      </c>
      <c r="W70" s="2" t="s">
        <v>1451</v>
      </c>
      <c r="Z70" s="1190"/>
      <c r="AA70" s="1190"/>
      <c r="AB70" s="1190"/>
      <c r="AC70" s="1190"/>
      <c r="AD70" s="1190"/>
      <c r="AE70" s="1190"/>
      <c r="AF70" s="1190"/>
      <c r="AG70" s="1190"/>
      <c r="AH70" s="1190"/>
      <c r="AI70" s="1190"/>
      <c r="AJ70" s="1190"/>
      <c r="AK70" s="1190"/>
      <c r="AL70" s="1190"/>
      <c r="AM70" s="1190"/>
      <c r="AN70" s="1190"/>
      <c r="AO70" s="1190"/>
      <c r="AP70" s="1190"/>
      <c r="AQ70" s="1190"/>
      <c r="AR70" s="1190"/>
      <c r="AS70" s="1190"/>
      <c r="AT70" s="1190"/>
      <c r="AU70" s="1190"/>
      <c r="AV70" s="1190"/>
      <c r="AW70" s="1190"/>
      <c r="AX70" s="1190"/>
      <c r="AY70" s="1190"/>
      <c r="AZ70" s="1190"/>
      <c r="BA70" s="1190"/>
      <c r="BB70" s="1190"/>
      <c r="BC70" s="1190"/>
      <c r="BD70" s="1190"/>
      <c r="BE70" s="1190"/>
      <c r="BF70" s="1190"/>
      <c r="BG70" s="1190"/>
      <c r="BH70" s="1190"/>
      <c r="BI70" s="1190"/>
      <c r="BJ70" s="1190"/>
      <c r="BK70" s="1190"/>
      <c r="BL70" s="1190"/>
      <c r="BM70" s="1190"/>
      <c r="CA70" s="2">
        <v>2</v>
      </c>
      <c r="CB70" s="2" t="s">
        <v>2018</v>
      </c>
      <c r="CX70" s="2" t="s">
        <v>12777</v>
      </c>
      <c r="CY70" s="2">
        <v>84</v>
      </c>
      <c r="CZ70" s="2">
        <v>86</v>
      </c>
      <c r="DL70" s="1082" t="s">
        <v>16348</v>
      </c>
      <c r="DM70" s="1078" t="s">
        <v>16340</v>
      </c>
      <c r="DN70" s="1079">
        <v>100</v>
      </c>
      <c r="DO70" s="1079">
        <v>90</v>
      </c>
      <c r="DP70" s="1079">
        <v>80</v>
      </c>
      <c r="DQ70" s="1079">
        <v>70</v>
      </c>
      <c r="DR70" s="1079">
        <v>60</v>
      </c>
      <c r="DS70" s="1079">
        <v>50</v>
      </c>
      <c r="DT70" s="1079">
        <v>40</v>
      </c>
      <c r="DU70" s="1079">
        <v>30</v>
      </c>
      <c r="DV70" s="1079">
        <v>20</v>
      </c>
      <c r="DW70" s="1079">
        <v>15</v>
      </c>
      <c r="DX70" s="1079">
        <v>10</v>
      </c>
      <c r="DY70" s="1079">
        <v>5</v>
      </c>
      <c r="IQ70" s="1189"/>
      <c r="IT70" s="1153"/>
      <c r="IU70" s="1153"/>
      <c r="IV70" s="1153"/>
      <c r="IW70" s="1153"/>
      <c r="IX70" s="1153"/>
      <c r="IY70" s="1153"/>
      <c r="IZ70" s="1153"/>
      <c r="JA70" s="1153"/>
      <c r="JB70" s="1153"/>
      <c r="JC70" s="1153"/>
      <c r="JD70" s="1153"/>
      <c r="JE70" s="1153"/>
      <c r="JF70" s="1153"/>
      <c r="JG70" s="1153"/>
      <c r="JH70" s="1153"/>
      <c r="JI70" s="1153"/>
      <c r="JJ70" s="1153"/>
      <c r="JK70" s="1153"/>
      <c r="JL70" s="1153"/>
      <c r="JM70" s="1153"/>
      <c r="JN70" s="1153"/>
      <c r="JO70" s="1153"/>
      <c r="JP70" s="1153"/>
      <c r="JQ70" s="1153"/>
      <c r="JR70" s="1153"/>
      <c r="JS70" s="1153"/>
      <c r="JT70" s="1153"/>
      <c r="JU70" s="1153"/>
      <c r="JV70" s="1153"/>
      <c r="JW70" s="1153"/>
      <c r="JX70" s="1153"/>
      <c r="JY70" s="1153"/>
      <c r="JZ70" s="1153"/>
      <c r="KA70" s="1153"/>
      <c r="KB70" s="1153"/>
      <c r="KC70" s="1153"/>
      <c r="KD70" s="1153"/>
      <c r="KE70" s="1153"/>
      <c r="KF70" s="1153"/>
      <c r="KG70" s="1153"/>
      <c r="KH70" s="1153"/>
      <c r="KI70" s="1153"/>
      <c r="KJ70" s="1153"/>
      <c r="KK70" s="1153"/>
      <c r="KL70" s="1153"/>
      <c r="KM70" s="1153"/>
      <c r="KN70" s="1153"/>
      <c r="KO70" s="1131"/>
      <c r="KP70" s="1131"/>
      <c r="KQ70" s="1153"/>
      <c r="KR70" s="1153"/>
      <c r="KS70" s="1153"/>
      <c r="KT70" s="1153"/>
      <c r="KU70" s="1153"/>
      <c r="KV70" s="1153"/>
      <c r="KW70" s="1153"/>
      <c r="KX70" s="1153"/>
      <c r="KY70" s="1153"/>
      <c r="KZ70" s="1153"/>
      <c r="LA70" s="1153"/>
      <c r="LB70" s="1153"/>
      <c r="LC70" s="1153"/>
      <c r="LD70" s="1153"/>
      <c r="LE70" s="1153"/>
      <c r="LF70" s="1153"/>
      <c r="LG70" s="1153"/>
      <c r="LH70" s="1153"/>
      <c r="LI70" s="1153"/>
      <c r="LJ70" s="1153"/>
      <c r="LK70" s="1153"/>
      <c r="LL70" s="1153"/>
      <c r="LM70" s="1153"/>
      <c r="LN70" s="1153"/>
      <c r="LO70" s="1153"/>
      <c r="LP70" s="1153"/>
      <c r="LQ70" s="1153"/>
      <c r="LR70" s="1153"/>
      <c r="LS70" s="1247"/>
      <c r="LU70" s="1153"/>
      <c r="LV70" s="1153"/>
      <c r="LW70" s="1153"/>
      <c r="LX70" s="1153"/>
      <c r="LY70" s="1153">
        <f t="shared" si="10"/>
        <v>41</v>
      </c>
      <c r="LZ70" s="1153">
        <v>45</v>
      </c>
      <c r="MA70" s="1153">
        <f t="shared" si="11"/>
        <v>40</v>
      </c>
      <c r="MB70" s="1153" t="s">
        <v>17305</v>
      </c>
      <c r="MC70" s="1141" t="s">
        <v>17306</v>
      </c>
      <c r="MD70" s="1141"/>
      <c r="ME70" s="1153" t="str">
        <f>""</f>
        <v/>
      </c>
      <c r="MF70" s="1153"/>
      <c r="MG70" s="1153"/>
      <c r="MH70" s="1153"/>
      <c r="MI70" s="1153"/>
      <c r="MJ70" s="1153"/>
      <c r="MK70" s="1153"/>
      <c r="ML70" s="1153"/>
      <c r="MM70" s="1153"/>
      <c r="MN70" s="1153">
        <v>8</v>
      </c>
      <c r="MO70" s="1153" t="s">
        <v>17307</v>
      </c>
      <c r="MP70" s="1153"/>
      <c r="MQ70" s="1153"/>
      <c r="MR70" s="1153"/>
      <c r="MS70" s="1153"/>
      <c r="MT70" s="1153"/>
      <c r="MU70" s="1153"/>
      <c r="MV70" s="1153"/>
      <c r="MW70" s="1153"/>
      <c r="MX70" s="1153"/>
      <c r="MY70" s="1153"/>
      <c r="MZ70" s="1153"/>
      <c r="NA70" s="1153"/>
      <c r="NB70" s="1153"/>
      <c r="NC70" s="1153"/>
      <c r="ND70" s="1153"/>
      <c r="NE70" s="1153"/>
      <c r="NF70" s="1153"/>
      <c r="NG70" s="1153"/>
      <c r="NH70" s="1153"/>
      <c r="NI70" s="1153"/>
      <c r="NJ70" s="1153"/>
      <c r="NK70" s="1153"/>
      <c r="NL70" s="1153"/>
      <c r="NM70" s="1153"/>
      <c r="NN70" s="1153"/>
      <c r="NO70" s="1153"/>
      <c r="NP70" s="1153"/>
      <c r="NQ70" s="1153"/>
      <c r="NR70" s="1153"/>
      <c r="NS70" s="1153"/>
      <c r="NT70" s="1153"/>
      <c r="NU70" s="1153"/>
      <c r="NV70" s="1153"/>
      <c r="NW70" s="1153"/>
      <c r="NX70" s="1153"/>
      <c r="NY70" s="1153"/>
      <c r="NZ70" s="1153"/>
      <c r="OA70" s="1153"/>
      <c r="OB70" s="1153"/>
      <c r="OC70" s="1153"/>
      <c r="OD70" s="1153"/>
      <c r="OE70" s="1153"/>
      <c r="OF70" s="1153"/>
      <c r="OG70" s="1153"/>
      <c r="OH70" s="1153"/>
      <c r="OI70" s="1153"/>
      <c r="OJ70" s="1153"/>
      <c r="PY70" s="1218">
        <v>44113</v>
      </c>
      <c r="PZ70" s="1259" t="s">
        <v>18656</v>
      </c>
      <c r="QA70" s="1259"/>
    </row>
    <row r="71" spans="2:443" ht="18">
      <c r="B71" s="2" t="s">
        <v>13078</v>
      </c>
      <c r="C71" s="2" t="s">
        <v>12930</v>
      </c>
      <c r="E71" s="2" t="s">
        <v>12982</v>
      </c>
      <c r="F71" s="2" t="s">
        <v>13005</v>
      </c>
      <c r="G71" s="2" t="s">
        <v>12962</v>
      </c>
      <c r="K71" s="29">
        <v>7</v>
      </c>
      <c r="L71" s="29" t="s">
        <v>1570</v>
      </c>
      <c r="N71" s="2" t="s">
        <v>13189</v>
      </c>
      <c r="P71" s="29">
        <v>68</v>
      </c>
      <c r="Q71" s="29" t="s">
        <v>1591</v>
      </c>
      <c r="V71" s="2">
        <v>68</v>
      </c>
      <c r="W71" s="2" t="s">
        <v>1452</v>
      </c>
      <c r="Z71" s="1190"/>
      <c r="AA71" s="1190"/>
      <c r="AB71" s="1190"/>
      <c r="AC71" s="1190"/>
      <c r="AD71" s="1190"/>
      <c r="AE71" s="1190"/>
      <c r="AF71" s="1190"/>
      <c r="AG71" s="1190"/>
      <c r="AH71" s="1190"/>
      <c r="AI71" s="1190"/>
      <c r="AJ71" s="1190"/>
      <c r="AK71" s="1190"/>
      <c r="AL71" s="1190"/>
      <c r="AM71" s="1190"/>
      <c r="AN71" s="1190"/>
      <c r="AO71" s="1190"/>
      <c r="AP71" s="1190"/>
      <c r="AQ71" s="1190"/>
      <c r="AR71" s="1190"/>
      <c r="AS71" s="1190"/>
      <c r="AT71" s="1190"/>
      <c r="AU71" s="1190"/>
      <c r="AV71" s="1190"/>
      <c r="AW71" s="1190"/>
      <c r="AX71" s="1190"/>
      <c r="AY71" s="1190"/>
      <c r="AZ71" s="1190"/>
      <c r="BA71" s="1190"/>
      <c r="BB71" s="1190"/>
      <c r="BC71" s="1190"/>
      <c r="BD71" s="1190"/>
      <c r="BE71" s="1190"/>
      <c r="BF71" s="1190"/>
      <c r="BG71" s="1190"/>
      <c r="BH71" s="1190"/>
      <c r="BI71" s="1190"/>
      <c r="BJ71" s="1190"/>
      <c r="BK71" s="1190"/>
      <c r="BL71" s="1190"/>
      <c r="BM71" s="1190"/>
      <c r="CA71" s="2">
        <v>3</v>
      </c>
      <c r="CB71" s="2" t="s">
        <v>2019</v>
      </c>
      <c r="CX71" s="2" t="s">
        <v>12778</v>
      </c>
      <c r="CY71" s="2">
        <v>85</v>
      </c>
      <c r="CZ71" s="2">
        <v>87</v>
      </c>
      <c r="DL71" s="1082" t="s">
        <v>16348</v>
      </c>
      <c r="DM71" s="1080" t="s">
        <v>16345</v>
      </c>
      <c r="DN71" s="1081">
        <v>80</v>
      </c>
      <c r="DO71" s="1081">
        <v>72</v>
      </c>
      <c r="DP71" s="1081">
        <v>64</v>
      </c>
      <c r="DQ71" s="1081">
        <v>56</v>
      </c>
      <c r="DR71" s="1081">
        <v>48</v>
      </c>
      <c r="DS71" s="1081">
        <v>40</v>
      </c>
      <c r="DT71" s="1081">
        <v>32</v>
      </c>
      <c r="DU71" s="1081">
        <v>24</v>
      </c>
      <c r="DV71" s="1081">
        <v>16</v>
      </c>
      <c r="DW71" s="1081">
        <v>12</v>
      </c>
      <c r="DX71" s="1081">
        <v>8</v>
      </c>
      <c r="DY71" s="1081">
        <v>4</v>
      </c>
      <c r="IQ71" s="1189"/>
      <c r="IT71" s="1153"/>
      <c r="IU71" s="1153"/>
      <c r="IV71" s="1153"/>
      <c r="IW71" s="1153"/>
      <c r="IX71" s="1153"/>
      <c r="IY71" s="1153"/>
      <c r="IZ71" s="1153"/>
      <c r="JA71" s="1153"/>
      <c r="JB71" s="1153"/>
      <c r="JC71" s="1153"/>
      <c r="JD71" s="1153"/>
      <c r="JE71" s="1153"/>
      <c r="JF71" s="1153"/>
      <c r="JG71" s="1153"/>
      <c r="JH71" s="1153"/>
      <c r="JI71" s="1153"/>
      <c r="JJ71" s="1153"/>
      <c r="JK71" s="1153"/>
      <c r="JL71" s="1153"/>
      <c r="JM71" s="1153"/>
      <c r="JN71" s="1153"/>
      <c r="JO71" s="1153"/>
      <c r="JP71" s="1153"/>
      <c r="JQ71" s="1153"/>
      <c r="JR71" s="1153"/>
      <c r="JS71" s="1153"/>
      <c r="JT71" s="1153"/>
      <c r="JU71" s="1153"/>
      <c r="JV71" s="1153"/>
      <c r="JW71" s="1153"/>
      <c r="JX71" s="1153"/>
      <c r="JY71" s="1153"/>
      <c r="JZ71" s="1153"/>
      <c r="KA71" s="1153"/>
      <c r="KB71" s="1153"/>
      <c r="KC71" s="1153"/>
      <c r="KD71" s="1153"/>
      <c r="KE71" s="1153"/>
      <c r="KF71" s="1153"/>
      <c r="KG71" s="1153"/>
      <c r="KH71" s="1153"/>
      <c r="KI71" s="1153"/>
      <c r="KJ71" s="1153"/>
      <c r="KK71" s="1153"/>
      <c r="KL71" s="1153"/>
      <c r="KM71" s="1153"/>
      <c r="KN71" s="1153"/>
      <c r="KO71" s="1131"/>
      <c r="KP71" s="1131"/>
      <c r="KQ71" s="1153"/>
      <c r="KR71" s="1153"/>
      <c r="KS71" s="1153"/>
      <c r="KT71" s="1153"/>
      <c r="KU71" s="1153"/>
      <c r="KV71" s="1153"/>
      <c r="KW71" s="1153"/>
      <c r="KX71" s="1153"/>
      <c r="KY71" s="1153"/>
      <c r="KZ71" s="1153"/>
      <c r="LA71" s="1153"/>
      <c r="LB71" s="1153"/>
      <c r="LC71" s="1153"/>
      <c r="LD71" s="1153"/>
      <c r="LE71" s="1153"/>
      <c r="LF71" s="1153"/>
      <c r="LG71" s="1153"/>
      <c r="LH71" s="1153"/>
      <c r="LI71" s="1153"/>
      <c r="LJ71" s="1153"/>
      <c r="LK71" s="1153"/>
      <c r="LL71" s="1153"/>
      <c r="LM71" s="1153"/>
      <c r="LN71" s="1153"/>
      <c r="LO71" s="1153"/>
      <c r="LP71" s="1153"/>
      <c r="LQ71" s="1153"/>
      <c r="LR71" s="1153"/>
      <c r="LS71" s="1247"/>
      <c r="LU71" s="1153"/>
      <c r="LV71" s="1153"/>
      <c r="LW71" s="1153"/>
      <c r="LX71" s="1153"/>
      <c r="LY71" s="1153">
        <f t="shared" si="10"/>
        <v>46</v>
      </c>
      <c r="LZ71" s="1153">
        <v>50</v>
      </c>
      <c r="MA71" s="1153">
        <f t="shared" si="11"/>
        <v>45</v>
      </c>
      <c r="MB71" s="1153" t="s">
        <v>17308</v>
      </c>
      <c r="MC71" s="1141" t="s">
        <v>17309</v>
      </c>
      <c r="MD71" s="1141"/>
      <c r="ME71" s="1153" t="str">
        <f>""</f>
        <v/>
      </c>
      <c r="MF71" s="1153"/>
      <c r="MG71" s="1153"/>
      <c r="MH71" s="1153"/>
      <c r="MI71" s="1153"/>
      <c r="MJ71" s="1153"/>
      <c r="MK71" s="1153"/>
      <c r="ML71" s="1153"/>
      <c r="MM71" s="1153"/>
      <c r="MN71" s="1153">
        <v>9</v>
      </c>
      <c r="MO71" s="1153" t="s">
        <v>17310</v>
      </c>
      <c r="MP71" s="1153"/>
      <c r="MQ71" s="1153"/>
      <c r="MR71" s="1153"/>
      <c r="MS71" s="1153"/>
      <c r="MT71" s="1153"/>
      <c r="MU71" s="1153"/>
      <c r="MV71" s="1153"/>
      <c r="MW71" s="1153"/>
      <c r="MX71" s="1153"/>
      <c r="MY71" s="1153"/>
      <c r="MZ71" s="1153"/>
      <c r="NA71" s="1153"/>
      <c r="NB71" s="1153"/>
      <c r="NC71" s="1153"/>
      <c r="ND71" s="1153"/>
      <c r="NE71" s="1153"/>
      <c r="NF71" s="1153"/>
      <c r="NG71" s="1153"/>
      <c r="NH71" s="1153"/>
      <c r="NI71" s="1153"/>
      <c r="NJ71" s="1153"/>
      <c r="NK71" s="1153"/>
      <c r="NL71" s="1153"/>
      <c r="NM71" s="1153"/>
      <c r="NN71" s="1153"/>
      <c r="NO71" s="1153"/>
      <c r="NP71" s="1153"/>
      <c r="NQ71" s="1153"/>
      <c r="NR71" s="1153"/>
      <c r="NS71" s="1153"/>
      <c r="NT71" s="1153"/>
      <c r="NU71" s="1153"/>
      <c r="NV71" s="1153"/>
      <c r="NW71" s="1153"/>
      <c r="NX71" s="1153"/>
      <c r="NY71" s="1153"/>
      <c r="NZ71" s="1153"/>
      <c r="OA71" s="1153"/>
      <c r="OB71" s="1153"/>
      <c r="OC71" s="1153"/>
      <c r="OD71" s="1153"/>
      <c r="OE71" s="1153"/>
      <c r="OF71" s="1153"/>
      <c r="OG71" s="1153"/>
      <c r="OH71" s="1153"/>
      <c r="OI71" s="1153"/>
      <c r="OJ71" s="1153"/>
      <c r="PY71" s="1220">
        <v>42675</v>
      </c>
      <c r="PZ71" s="1259" t="s">
        <v>18657</v>
      </c>
      <c r="QA71" s="1259"/>
    </row>
    <row r="72" spans="2:443" ht="17.25">
      <c r="B72" s="2" t="s">
        <v>13079</v>
      </c>
      <c r="C72" s="2" t="s">
        <v>13087</v>
      </c>
      <c r="E72" s="2" t="s">
        <v>12983</v>
      </c>
      <c r="F72" s="2" t="s">
        <v>13006</v>
      </c>
      <c r="G72" s="2" t="s">
        <v>12963</v>
      </c>
      <c r="K72" s="29">
        <v>8</v>
      </c>
      <c r="L72" s="29" t="s">
        <v>561</v>
      </c>
      <c r="N72" s="2" t="s">
        <v>13190</v>
      </c>
      <c r="P72" s="29">
        <v>69</v>
      </c>
      <c r="Q72" s="29" t="s">
        <v>585</v>
      </c>
      <c r="V72" s="2">
        <v>69</v>
      </c>
      <c r="W72" s="2" t="s">
        <v>1453</v>
      </c>
      <c r="Z72" s="1190"/>
      <c r="AA72" s="1190"/>
      <c r="AB72" s="1190"/>
      <c r="AC72" s="1190"/>
      <c r="AD72" s="1190"/>
      <c r="AE72" s="1190"/>
      <c r="AF72" s="1190"/>
      <c r="AG72" s="1190"/>
      <c r="AH72" s="1190"/>
      <c r="AI72" s="1190"/>
      <c r="AJ72" s="1190"/>
      <c r="AK72" s="1190"/>
      <c r="AL72" s="1190"/>
      <c r="AM72" s="1190"/>
      <c r="AN72" s="1190"/>
      <c r="AO72" s="1190"/>
      <c r="AP72" s="1190"/>
      <c r="AQ72" s="1190"/>
      <c r="AR72" s="1190"/>
      <c r="AS72" s="1190"/>
      <c r="AT72" s="1190"/>
      <c r="AU72" s="1190"/>
      <c r="AV72" s="1190"/>
      <c r="AW72" s="1190"/>
      <c r="AX72" s="1190"/>
      <c r="AY72" s="1190"/>
      <c r="AZ72" s="1190"/>
      <c r="BA72" s="1190"/>
      <c r="BB72" s="1190"/>
      <c r="BC72" s="1190"/>
      <c r="BD72" s="1190"/>
      <c r="BE72" s="1190"/>
      <c r="BF72" s="1190"/>
      <c r="BG72" s="1190"/>
      <c r="BH72" s="1190"/>
      <c r="BI72" s="1190"/>
      <c r="BJ72" s="1190"/>
      <c r="BK72" s="1190"/>
      <c r="BL72" s="1190"/>
      <c r="BM72" s="1190"/>
      <c r="CA72" s="2">
        <v>4</v>
      </c>
      <c r="CB72" s="2" t="s">
        <v>2020</v>
      </c>
      <c r="CX72" s="2" t="s">
        <v>5181</v>
      </c>
      <c r="CY72" s="2">
        <v>86</v>
      </c>
      <c r="CZ72" s="2">
        <v>88</v>
      </c>
      <c r="DM72" s="1084" t="s">
        <v>16349</v>
      </c>
      <c r="DN72" s="1084"/>
      <c r="DO72" s="1084"/>
      <c r="DP72" s="1084"/>
      <c r="DQ72" s="1084"/>
      <c r="DR72" s="1084"/>
      <c r="DS72" s="1084"/>
      <c r="DT72" s="1084"/>
      <c r="DU72" s="1084"/>
      <c r="DV72" s="1084"/>
      <c r="DW72" s="1084"/>
      <c r="DX72" s="1084"/>
      <c r="DY72" s="1084"/>
      <c r="IQ72" s="1189"/>
      <c r="IT72" s="1153"/>
      <c r="IU72" s="1153"/>
      <c r="IV72" s="1153"/>
      <c r="IW72" s="1153"/>
      <c r="IX72" s="1153"/>
      <c r="IY72" s="1153"/>
      <c r="IZ72" s="1153"/>
      <c r="JA72" s="1153"/>
      <c r="JB72" s="1153"/>
      <c r="JC72" s="1153"/>
      <c r="JD72" s="1153"/>
      <c r="JE72" s="1153"/>
      <c r="JF72" s="1153"/>
      <c r="JG72" s="1153"/>
      <c r="JH72" s="1153"/>
      <c r="JI72" s="1153"/>
      <c r="JJ72" s="1153"/>
      <c r="JK72" s="1153"/>
      <c r="JL72" s="1153"/>
      <c r="JM72" s="1153"/>
      <c r="JN72" s="1153"/>
      <c r="JO72" s="1153"/>
      <c r="JP72" s="1153"/>
      <c r="JQ72" s="1153"/>
      <c r="JR72" s="1153"/>
      <c r="JS72" s="1153"/>
      <c r="JT72" s="1153"/>
      <c r="JU72" s="1153"/>
      <c r="JV72" s="1153"/>
      <c r="JW72" s="1153"/>
      <c r="JX72" s="1153"/>
      <c r="JY72" s="1153"/>
      <c r="JZ72" s="1153"/>
      <c r="KA72" s="1153"/>
      <c r="KB72" s="1153"/>
      <c r="KC72" s="1153"/>
      <c r="KD72" s="1153"/>
      <c r="KE72" s="1153"/>
      <c r="KF72" s="1153"/>
      <c r="KG72" s="1153"/>
      <c r="KH72" s="1153"/>
      <c r="KI72" s="1153"/>
      <c r="KJ72" s="1153"/>
      <c r="KK72" s="1153"/>
      <c r="KL72" s="1153"/>
      <c r="KM72" s="1153"/>
      <c r="KN72" s="1153"/>
      <c r="KO72" s="1153"/>
      <c r="KP72" s="1153"/>
      <c r="KQ72" s="1153"/>
      <c r="KR72" s="1153"/>
      <c r="KS72" s="1153"/>
      <c r="KT72" s="1153"/>
      <c r="KU72" s="1153"/>
      <c r="KV72" s="1153"/>
      <c r="KW72" s="1153"/>
      <c r="KX72" s="1153"/>
      <c r="KY72" s="1153"/>
      <c r="KZ72" s="1153"/>
      <c r="LA72" s="1153"/>
      <c r="LB72" s="1153"/>
      <c r="LC72" s="1153"/>
      <c r="LD72" s="1153"/>
      <c r="LE72" s="1153"/>
      <c r="LF72" s="1153"/>
      <c r="LG72" s="1153"/>
      <c r="LH72" s="1153"/>
      <c r="LI72" s="1153"/>
      <c r="LJ72" s="1153"/>
      <c r="LK72" s="1153"/>
      <c r="LL72" s="1153"/>
      <c r="LM72" s="1153"/>
      <c r="LN72" s="1153"/>
      <c r="LO72" s="1153"/>
      <c r="LP72" s="1153"/>
      <c r="LQ72" s="1153"/>
      <c r="LR72" s="1153"/>
      <c r="LS72" s="1247"/>
      <c r="LU72" s="1153"/>
      <c r="LV72" s="1153"/>
      <c r="LW72" s="1153"/>
      <c r="LX72" s="1153"/>
      <c r="LY72" s="1153">
        <f t="shared" si="10"/>
        <v>51</v>
      </c>
      <c r="LZ72" s="1153">
        <v>58</v>
      </c>
      <c r="MA72" s="1153">
        <f t="shared" si="11"/>
        <v>50</v>
      </c>
      <c r="MB72" s="1153" t="s">
        <v>17311</v>
      </c>
      <c r="MC72" s="1141" t="s">
        <v>17312</v>
      </c>
      <c r="MD72" s="645" t="s">
        <v>17313</v>
      </c>
      <c r="ME72" s="1153" t="str">
        <f ca="1">MO61&amp;" | "&amp;MR61</f>
        <v>Goliaths | The group is fleeing from a famine or a plague</v>
      </c>
      <c r="MF72" s="1153"/>
      <c r="MG72" s="1153"/>
      <c r="MH72" s="1153"/>
      <c r="MI72" s="1153"/>
      <c r="MJ72" s="1153"/>
      <c r="MK72" s="1153"/>
      <c r="ML72" s="1153"/>
      <c r="MM72" s="1153"/>
      <c r="MN72" s="1153">
        <v>10</v>
      </c>
      <c r="MO72" s="1153" t="s">
        <v>17314</v>
      </c>
      <c r="MP72" s="1153"/>
      <c r="MQ72" s="1153"/>
      <c r="MR72" s="1153"/>
      <c r="MS72" s="1153"/>
      <c r="MT72" s="1153"/>
      <c r="MU72" s="1153"/>
      <c r="MV72" s="1153"/>
      <c r="MW72" s="1153"/>
      <c r="MX72" s="1153"/>
      <c r="MY72" s="1153"/>
      <c r="MZ72" s="1153"/>
      <c r="NA72" s="1153"/>
      <c r="NB72" s="1153"/>
      <c r="NC72" s="1153"/>
      <c r="ND72" s="1153"/>
      <c r="NE72" s="1153"/>
      <c r="NF72" s="1153"/>
      <c r="NG72" s="1153"/>
      <c r="NH72" s="1153"/>
      <c r="NI72" s="1153"/>
      <c r="NJ72" s="1153"/>
      <c r="NK72" s="1153"/>
      <c r="NL72" s="1153"/>
      <c r="NM72" s="1153"/>
      <c r="NN72" s="1153"/>
      <c r="NO72" s="1153"/>
      <c r="NP72" s="1153"/>
      <c r="NQ72" s="1153"/>
      <c r="NR72" s="1153"/>
      <c r="NS72" s="1153"/>
      <c r="NT72" s="1153"/>
      <c r="NU72" s="1153"/>
      <c r="NV72" s="1153"/>
      <c r="NW72" s="1153"/>
      <c r="NX72" s="1153"/>
      <c r="NY72" s="1153"/>
      <c r="NZ72" s="1153"/>
      <c r="OA72" s="1153"/>
      <c r="OB72" s="1153"/>
      <c r="OC72" s="1153"/>
      <c r="OD72" s="1153"/>
      <c r="OE72" s="1153"/>
      <c r="OF72" s="1153"/>
      <c r="OG72" s="1153"/>
      <c r="OH72" s="1153"/>
      <c r="OI72" s="1153"/>
      <c r="OJ72" s="1153"/>
      <c r="PY72" s="1259" t="s">
        <v>12684</v>
      </c>
      <c r="PZ72" s="1259" t="s">
        <v>18658</v>
      </c>
      <c r="QA72" s="1259"/>
    </row>
    <row r="73" spans="2:443" ht="17.25">
      <c r="B73" s="2" t="s">
        <v>12902</v>
      </c>
      <c r="C73" s="2" t="s">
        <v>13061</v>
      </c>
      <c r="E73" s="2" t="s">
        <v>12984</v>
      </c>
      <c r="F73" s="2" t="s">
        <v>13007</v>
      </c>
      <c r="G73" s="2" t="s">
        <v>12964</v>
      </c>
      <c r="K73" s="29">
        <v>9</v>
      </c>
      <c r="L73" s="29" t="s">
        <v>1571</v>
      </c>
      <c r="N73" s="2" t="s">
        <v>13191</v>
      </c>
      <c r="P73" s="29">
        <v>70</v>
      </c>
      <c r="Q73" s="29" t="s">
        <v>399</v>
      </c>
      <c r="V73" s="2">
        <v>70</v>
      </c>
      <c r="W73" s="2" t="s">
        <v>1454</v>
      </c>
      <c r="Z73" s="1190"/>
      <c r="AA73" s="1190"/>
      <c r="AB73" s="1190"/>
      <c r="AC73" s="1190"/>
      <c r="AD73" s="1190"/>
      <c r="AE73" s="1190"/>
      <c r="AF73" s="1190"/>
      <c r="AG73" s="1190"/>
      <c r="AH73" s="1190"/>
      <c r="AI73" s="1190"/>
      <c r="AJ73" s="1190"/>
      <c r="AK73" s="1190"/>
      <c r="AL73" s="1190"/>
      <c r="AM73" s="1190"/>
      <c r="AN73" s="1190"/>
      <c r="AO73" s="1190"/>
      <c r="AP73" s="1190"/>
      <c r="AQ73" s="1190"/>
      <c r="AR73" s="1190"/>
      <c r="AS73" s="1190"/>
      <c r="AT73" s="1190"/>
      <c r="AU73" s="1190"/>
      <c r="AV73" s="1190"/>
      <c r="AW73" s="1190"/>
      <c r="AX73" s="1190"/>
      <c r="AY73" s="1190"/>
      <c r="AZ73" s="1190"/>
      <c r="BA73" s="1190"/>
      <c r="BB73" s="1190"/>
      <c r="BC73" s="1190"/>
      <c r="BD73" s="1190"/>
      <c r="BE73" s="1190"/>
      <c r="BF73" s="1190"/>
      <c r="BG73" s="1190"/>
      <c r="BH73" s="1190"/>
      <c r="BI73" s="1190"/>
      <c r="BJ73" s="1190"/>
      <c r="BK73" s="1190"/>
      <c r="BL73" s="1190"/>
      <c r="BM73" s="1190"/>
      <c r="CA73" s="2">
        <v>5</v>
      </c>
      <c r="CB73" s="2" t="s">
        <v>2021</v>
      </c>
      <c r="CX73" s="2" t="s">
        <v>5032</v>
      </c>
      <c r="CY73" s="2" t="s">
        <v>12779</v>
      </c>
      <c r="CZ73" s="2" t="s">
        <v>12780</v>
      </c>
      <c r="IQ73" s="1189"/>
      <c r="IT73" s="1153"/>
      <c r="IU73" s="1153"/>
      <c r="IV73" s="1153"/>
      <c r="IW73" s="1153"/>
      <c r="IX73" s="1153"/>
      <c r="IY73" s="1153"/>
      <c r="IZ73" s="1153"/>
      <c r="JA73" s="1153"/>
      <c r="JB73" s="1153"/>
      <c r="JC73" s="1153"/>
      <c r="JD73" s="1153"/>
      <c r="JE73" s="1153"/>
      <c r="JF73" s="1153"/>
      <c r="JG73" s="1153"/>
      <c r="JH73" s="1153"/>
      <c r="JI73" s="1153"/>
      <c r="JJ73" s="1153"/>
      <c r="JK73" s="1153"/>
      <c r="JL73" s="1153"/>
      <c r="JM73" s="1153"/>
      <c r="JN73" s="1153"/>
      <c r="JO73" s="1153"/>
      <c r="JP73" s="1153"/>
      <c r="JQ73" s="1153"/>
      <c r="JR73" s="1153"/>
      <c r="JS73" s="1153"/>
      <c r="JT73" s="1153"/>
      <c r="JU73" s="1153"/>
      <c r="JV73" s="1153"/>
      <c r="JW73" s="1153"/>
      <c r="JX73" s="1153"/>
      <c r="JY73" s="1153"/>
      <c r="JZ73" s="1153"/>
      <c r="KA73" s="1153"/>
      <c r="KB73" s="1153"/>
      <c r="KC73" s="1153"/>
      <c r="KD73" s="1153"/>
      <c r="KE73" s="1153"/>
      <c r="KF73" s="1153"/>
      <c r="KG73" s="1153"/>
      <c r="KH73" s="1153"/>
      <c r="KI73" s="1153"/>
      <c r="KJ73" s="1153"/>
      <c r="KK73" s="1153"/>
      <c r="KL73" s="1153"/>
      <c r="KM73" s="1153"/>
      <c r="KN73" s="1153"/>
      <c r="KO73" s="1153"/>
      <c r="KP73" s="1153"/>
      <c r="KQ73" s="1153"/>
      <c r="KR73" s="1153"/>
      <c r="KS73" s="1153"/>
      <c r="KT73" s="1153"/>
      <c r="KU73" s="1153"/>
      <c r="KV73" s="1153"/>
      <c r="KW73" s="1153"/>
      <c r="KX73" s="1153"/>
      <c r="KY73" s="1153"/>
      <c r="KZ73" s="1153"/>
      <c r="LA73" s="1153"/>
      <c r="LB73" s="1153"/>
      <c r="LC73" s="1153"/>
      <c r="LD73" s="1153"/>
      <c r="LE73" s="1153"/>
      <c r="LF73" s="1153"/>
      <c r="LG73" s="1153"/>
      <c r="LH73" s="1153"/>
      <c r="LI73" s="1153"/>
      <c r="LJ73" s="1153"/>
      <c r="LK73" s="1153"/>
      <c r="LL73" s="1153"/>
      <c r="LM73" s="1153"/>
      <c r="LN73" s="1153"/>
      <c r="LO73" s="1153"/>
      <c r="LP73" s="1153"/>
      <c r="LQ73" s="1153"/>
      <c r="LR73" s="1153"/>
      <c r="LS73" s="1247"/>
      <c r="LU73" s="1153"/>
      <c r="LV73" s="1153"/>
      <c r="LW73" s="1153"/>
      <c r="LX73" s="1153"/>
      <c r="LY73" s="1153">
        <f t="shared" si="10"/>
        <v>59</v>
      </c>
      <c r="LZ73" s="1153">
        <v>63</v>
      </c>
      <c r="MA73" s="1153">
        <f t="shared" si="11"/>
        <v>58</v>
      </c>
      <c r="MB73" s="1153" t="s">
        <v>17315</v>
      </c>
      <c r="MC73" s="1141" t="s">
        <v>17316</v>
      </c>
      <c r="MD73" s="645" t="s">
        <v>17317</v>
      </c>
      <c r="ME73" s="1153" t="str">
        <f>""</f>
        <v/>
      </c>
      <c r="MF73" s="1153"/>
      <c r="MG73" s="1153"/>
      <c r="MH73" s="1153"/>
      <c r="MI73" s="1153"/>
      <c r="MJ73" s="1153"/>
      <c r="MK73" s="1153"/>
      <c r="ML73" s="1153"/>
      <c r="MM73" s="1153"/>
      <c r="MN73" s="1153">
        <v>11</v>
      </c>
      <c r="MO73" s="1153" t="s">
        <v>17318</v>
      </c>
      <c r="MP73" s="1153"/>
      <c r="MQ73" s="1153"/>
      <c r="MR73" s="1153"/>
      <c r="MS73" s="1153"/>
      <c r="MT73" s="1153"/>
      <c r="MU73" s="1153"/>
      <c r="MV73" s="1153"/>
      <c r="MW73" s="1153"/>
      <c r="MX73" s="1153"/>
      <c r="MY73" s="1153"/>
      <c r="MZ73" s="1153"/>
      <c r="NA73" s="1153"/>
      <c r="NB73" s="1153"/>
      <c r="NC73" s="1153"/>
      <c r="ND73" s="1153"/>
      <c r="NE73" s="1153"/>
      <c r="NF73" s="1153"/>
      <c r="NG73" s="1153"/>
      <c r="NH73" s="1153"/>
      <c r="NI73" s="1153"/>
      <c r="NJ73" s="1153"/>
      <c r="NK73" s="1153"/>
      <c r="NL73" s="1153"/>
      <c r="NM73" s="1153"/>
      <c r="NN73" s="1153"/>
      <c r="NO73" s="1153"/>
      <c r="NP73" s="1153"/>
      <c r="NQ73" s="1153"/>
      <c r="NR73" s="1153"/>
      <c r="NS73" s="1153"/>
      <c r="NT73" s="1153"/>
      <c r="NU73" s="1153"/>
      <c r="NV73" s="1153"/>
      <c r="NW73" s="1153"/>
      <c r="NX73" s="1153"/>
      <c r="NY73" s="1153"/>
      <c r="NZ73" s="1153"/>
      <c r="OA73" s="1153"/>
      <c r="OB73" s="1153"/>
      <c r="OC73" s="1153"/>
      <c r="OD73" s="1153"/>
      <c r="OE73" s="1153"/>
      <c r="OF73" s="1153"/>
      <c r="OG73" s="1153"/>
      <c r="OH73" s="1153"/>
      <c r="OI73" s="1153"/>
      <c r="OJ73" s="1153"/>
      <c r="PY73" s="1259" t="s">
        <v>16079</v>
      </c>
      <c r="PZ73" s="1259" t="s">
        <v>18659</v>
      </c>
      <c r="QA73" s="1259"/>
    </row>
    <row r="74" spans="2:443" ht="17.25">
      <c r="B74" s="2" t="s">
        <v>12903</v>
      </c>
      <c r="C74" s="2" t="s">
        <v>12931</v>
      </c>
      <c r="E74" s="2" t="s">
        <v>12985</v>
      </c>
      <c r="F74" s="2" t="s">
        <v>13008</v>
      </c>
      <c r="G74" s="2" t="s">
        <v>12965</v>
      </c>
      <c r="K74" s="29">
        <v>10</v>
      </c>
      <c r="L74" s="29" t="s">
        <v>36</v>
      </c>
      <c r="N74" s="2" t="s">
        <v>13192</v>
      </c>
      <c r="P74" s="29">
        <v>71</v>
      </c>
      <c r="Q74" s="29" t="s">
        <v>1592</v>
      </c>
      <c r="V74" s="2">
        <v>71</v>
      </c>
      <c r="W74" s="2" t="s">
        <v>1455</v>
      </c>
      <c r="Z74" s="1190"/>
      <c r="AA74" s="1190"/>
      <c r="AB74" s="1190"/>
      <c r="AC74" s="1190"/>
      <c r="AD74" s="1190"/>
      <c r="AE74" s="1190"/>
      <c r="AF74" s="1190"/>
      <c r="AG74" s="1190"/>
      <c r="AH74" s="1190"/>
      <c r="AI74" s="1190"/>
      <c r="AJ74" s="1190"/>
      <c r="AK74" s="1190"/>
      <c r="AL74" s="1190"/>
      <c r="AM74" s="1190"/>
      <c r="AN74" s="1190"/>
      <c r="AO74" s="1190"/>
      <c r="AP74" s="1190"/>
      <c r="AQ74" s="1190"/>
      <c r="AR74" s="1190"/>
      <c r="AS74" s="1190"/>
      <c r="AT74" s="1190"/>
      <c r="AU74" s="1190"/>
      <c r="AV74" s="1190"/>
      <c r="AW74" s="1190"/>
      <c r="AX74" s="1190"/>
      <c r="AY74" s="1190"/>
      <c r="AZ74" s="1190"/>
      <c r="BA74" s="1190"/>
      <c r="BB74" s="1190"/>
      <c r="BC74" s="1190"/>
      <c r="BD74" s="1190"/>
      <c r="BE74" s="1190"/>
      <c r="BF74" s="1190"/>
      <c r="BG74" s="1190"/>
      <c r="BH74" s="1190"/>
      <c r="BI74" s="1190"/>
      <c r="BJ74" s="1190"/>
      <c r="BK74" s="1190"/>
      <c r="BL74" s="1190"/>
      <c r="BM74" s="1190"/>
      <c r="CA74" s="2">
        <v>6</v>
      </c>
      <c r="CB74" s="2" t="s">
        <v>2022</v>
      </c>
      <c r="CX74" s="2" t="s">
        <v>3789</v>
      </c>
      <c r="CY74" s="2">
        <v>90</v>
      </c>
      <c r="CZ74" s="2">
        <v>91</v>
      </c>
      <c r="DL74" s="1076" t="s">
        <v>16359</v>
      </c>
      <c r="DM74" s="1082" t="s">
        <v>16360</v>
      </c>
      <c r="DN74" s="1082" t="s">
        <v>16361</v>
      </c>
      <c r="DO74" s="1082" t="s">
        <v>16362</v>
      </c>
      <c r="DQ74" s="1076" t="s">
        <v>16350</v>
      </c>
      <c r="DR74" s="1077"/>
      <c r="DS74" s="1077"/>
      <c r="DT74" s="1077"/>
      <c r="DV74" s="2" t="s">
        <v>16392</v>
      </c>
      <c r="DW74" s="2" t="s">
        <v>8533</v>
      </c>
      <c r="IQ74" s="1189"/>
      <c r="IT74" s="1153"/>
      <c r="IU74" s="1153"/>
      <c r="IV74" s="1153"/>
      <c r="IW74" s="1153"/>
      <c r="IX74" s="1153"/>
      <c r="IY74" s="1153"/>
      <c r="IZ74" s="1153"/>
      <c r="JA74" s="1153"/>
      <c r="JB74" s="1153"/>
      <c r="JC74" s="1153"/>
      <c r="JD74" s="1153"/>
      <c r="JE74" s="1153"/>
      <c r="JF74" s="1153"/>
      <c r="JG74" s="1153"/>
      <c r="JH74" s="1153"/>
      <c r="JI74" s="1153"/>
      <c r="JJ74" s="1153"/>
      <c r="JK74" s="1153"/>
      <c r="JL74" s="1153"/>
      <c r="JM74" s="1153"/>
      <c r="JN74" s="1153"/>
      <c r="JO74" s="1153"/>
      <c r="JP74" s="1153"/>
      <c r="JQ74" s="1153"/>
      <c r="JR74" s="1153"/>
      <c r="JS74" s="1153"/>
      <c r="JT74" s="1153"/>
      <c r="JU74" s="1153"/>
      <c r="JV74" s="1153"/>
      <c r="JW74" s="1153"/>
      <c r="JX74" s="1153"/>
      <c r="JY74" s="1153"/>
      <c r="JZ74" s="1153"/>
      <c r="KA74" s="1153"/>
      <c r="KB74" s="1153"/>
      <c r="KC74" s="1153"/>
      <c r="KD74" s="1153"/>
      <c r="KE74" s="1153"/>
      <c r="KF74" s="1153"/>
      <c r="KG74" s="1153"/>
      <c r="KH74" s="1153"/>
      <c r="KI74" s="1153"/>
      <c r="KJ74" s="1153"/>
      <c r="KK74" s="1153"/>
      <c r="KL74" s="1153"/>
      <c r="KM74" s="1153"/>
      <c r="KN74" s="1153"/>
      <c r="KO74" s="1153"/>
      <c r="KP74" s="1153"/>
      <c r="KQ74" s="1153"/>
      <c r="KR74" s="1153"/>
      <c r="KS74" s="1153"/>
      <c r="KT74" s="1153"/>
      <c r="KU74" s="1153"/>
      <c r="KV74" s="1153"/>
      <c r="KW74" s="1153"/>
      <c r="KX74" s="1153"/>
      <c r="KY74" s="1153"/>
      <c r="KZ74" s="1153"/>
      <c r="LA74" s="1153"/>
      <c r="LB74" s="1153"/>
      <c r="LC74" s="1153"/>
      <c r="LD74" s="1153"/>
      <c r="LE74" s="1153"/>
      <c r="LF74" s="1153"/>
      <c r="LG74" s="1153"/>
      <c r="LH74" s="1153"/>
      <c r="LI74" s="1153"/>
      <c r="LJ74" s="1153"/>
      <c r="LK74" s="1153"/>
      <c r="LL74" s="1153"/>
      <c r="LM74" s="1153"/>
      <c r="LN74" s="1153"/>
      <c r="LO74" s="1153"/>
      <c r="LP74" s="1153"/>
      <c r="LQ74" s="1153"/>
      <c r="LR74" s="1153"/>
      <c r="LS74" s="1247"/>
      <c r="LU74" s="1153"/>
      <c r="LV74" s="1153"/>
      <c r="LW74" s="1153"/>
      <c r="LX74" s="1153"/>
      <c r="LY74" s="1153">
        <f t="shared" si="10"/>
        <v>64</v>
      </c>
      <c r="LZ74" s="1153">
        <v>70</v>
      </c>
      <c r="MA74" s="1153">
        <f t="shared" si="11"/>
        <v>63</v>
      </c>
      <c r="MB74" s="1153" t="s">
        <v>17319</v>
      </c>
      <c r="MC74" s="1141" t="s">
        <v>17320</v>
      </c>
      <c r="MD74" s="1141" t="s">
        <v>17321</v>
      </c>
      <c r="ME74" s="1153"/>
      <c r="MF74" s="1153"/>
      <c r="MG74" s="1153"/>
      <c r="MH74" s="1153"/>
      <c r="MI74" s="1153"/>
      <c r="MJ74" s="1153"/>
      <c r="MK74" s="1153"/>
      <c r="ML74" s="1153"/>
      <c r="MM74" s="1153"/>
      <c r="MN74" s="1153">
        <v>12</v>
      </c>
      <c r="MO74" s="1153" t="s">
        <v>17322</v>
      </c>
      <c r="MP74" s="1153"/>
      <c r="MQ74" s="1153"/>
      <c r="MR74" s="1153"/>
      <c r="MS74" s="1153"/>
      <c r="MT74" s="1153"/>
      <c r="MU74" s="1153"/>
      <c r="MV74" s="1153"/>
      <c r="MW74" s="1153"/>
      <c r="MX74" s="1153"/>
      <c r="MY74" s="1153"/>
      <c r="MZ74" s="1153"/>
      <c r="NA74" s="1153"/>
      <c r="NB74" s="1153"/>
      <c r="NC74" s="1153"/>
      <c r="ND74" s="1153"/>
      <c r="NE74" s="1153"/>
      <c r="NF74" s="1153"/>
      <c r="NG74" s="1153"/>
      <c r="NH74" s="1153"/>
      <c r="NI74" s="1153"/>
      <c r="NJ74" s="1153"/>
      <c r="NK74" s="1153"/>
      <c r="NL74" s="1153"/>
      <c r="NM74" s="1153"/>
      <c r="NN74" s="1153"/>
      <c r="NO74" s="1153"/>
      <c r="NP74" s="1153"/>
      <c r="NQ74" s="1153"/>
      <c r="NR74" s="1153"/>
      <c r="NS74" s="1153"/>
      <c r="NT74" s="1153"/>
      <c r="NU74" s="1153"/>
      <c r="NV74" s="1153"/>
      <c r="NW74" s="1153"/>
      <c r="NX74" s="1153"/>
      <c r="NY74" s="1153"/>
      <c r="NZ74" s="1153"/>
      <c r="OA74" s="1153"/>
      <c r="OB74" s="1153"/>
      <c r="OC74" s="1153"/>
      <c r="OD74" s="1153"/>
      <c r="OE74" s="1153"/>
      <c r="OF74" s="1153"/>
      <c r="OG74" s="1153"/>
      <c r="OH74" s="1153"/>
      <c r="OI74" s="1153"/>
      <c r="OJ74" s="1153"/>
      <c r="PY74" s="1259"/>
      <c r="PZ74" s="1259"/>
      <c r="QA74" s="1259"/>
    </row>
    <row r="75" spans="2:443" ht="17.25">
      <c r="B75" s="2" t="s">
        <v>12904</v>
      </c>
      <c r="C75" s="2" t="s">
        <v>12932</v>
      </c>
      <c r="E75" s="2" t="s">
        <v>12986</v>
      </c>
      <c r="F75" s="2" t="s">
        <v>13009</v>
      </c>
      <c r="G75" s="2" t="s">
        <v>12966</v>
      </c>
      <c r="K75" s="29">
        <v>11</v>
      </c>
      <c r="L75" s="29" t="s">
        <v>74</v>
      </c>
      <c r="N75" s="2" t="s">
        <v>13193</v>
      </c>
      <c r="P75" s="29">
        <v>72</v>
      </c>
      <c r="Q75" s="29" t="s">
        <v>1593</v>
      </c>
      <c r="V75" s="2">
        <v>72</v>
      </c>
      <c r="W75" s="2" t="s">
        <v>1456</v>
      </c>
      <c r="Z75" s="1190"/>
      <c r="AA75" s="1190"/>
      <c r="AB75" s="1190"/>
      <c r="AC75" s="1190"/>
      <c r="AD75" s="1190"/>
      <c r="AE75" s="1190"/>
      <c r="AF75" s="1190"/>
      <c r="AG75" s="1190"/>
      <c r="AH75" s="1190"/>
      <c r="AI75" s="1190"/>
      <c r="AJ75" s="1190"/>
      <c r="AK75" s="1190"/>
      <c r="AL75" s="1190"/>
      <c r="AM75" s="1190"/>
      <c r="AN75" s="1190"/>
      <c r="AO75" s="1190"/>
      <c r="AP75" s="1190"/>
      <c r="AQ75" s="1190"/>
      <c r="AR75" s="1190"/>
      <c r="AS75" s="1190"/>
      <c r="AT75" s="1190"/>
      <c r="AU75" s="1190"/>
      <c r="AV75" s="1190"/>
      <c r="AW75" s="1190"/>
      <c r="AX75" s="1190"/>
      <c r="AY75" s="1190"/>
      <c r="AZ75" s="1190"/>
      <c r="BA75" s="1190"/>
      <c r="BB75" s="1190"/>
      <c r="BC75" s="1190"/>
      <c r="BD75" s="1190"/>
      <c r="BE75" s="1190"/>
      <c r="BF75" s="1190"/>
      <c r="BG75" s="1190"/>
      <c r="BH75" s="1190"/>
      <c r="BI75" s="1190"/>
      <c r="BJ75" s="1190"/>
      <c r="BK75" s="1190"/>
      <c r="BL75" s="1190"/>
      <c r="BM75" s="1190"/>
      <c r="CX75" s="2" t="s">
        <v>12781</v>
      </c>
      <c r="CY75" s="2" t="s">
        <v>7685</v>
      </c>
      <c r="CZ75" s="2" t="s">
        <v>7685</v>
      </c>
      <c r="DL75" s="1084" t="s">
        <v>16363</v>
      </c>
      <c r="DM75" s="1078" t="s">
        <v>16364</v>
      </c>
      <c r="DN75" s="1078" t="s">
        <v>16365</v>
      </c>
      <c r="DO75" s="1078">
        <v>0.75</v>
      </c>
      <c r="DQ75" s="1082" t="s">
        <v>5776</v>
      </c>
      <c r="DR75" s="1082" t="s">
        <v>13681</v>
      </c>
      <c r="DS75" s="1082" t="s">
        <v>13772</v>
      </c>
      <c r="DT75" s="1082" t="s">
        <v>16351</v>
      </c>
      <c r="DV75" s="2" t="s">
        <v>16352</v>
      </c>
      <c r="DW75" s="2" t="s">
        <v>16393</v>
      </c>
      <c r="IQ75" s="1189"/>
      <c r="IT75" s="1153"/>
      <c r="IU75" s="1153"/>
      <c r="IV75" s="1153"/>
      <c r="IW75" s="1153"/>
      <c r="IX75" s="1153"/>
      <c r="IY75" s="1153"/>
      <c r="IZ75" s="1153"/>
      <c r="JA75" s="1153"/>
      <c r="JB75" s="1153"/>
      <c r="JC75" s="1153"/>
      <c r="JD75" s="1153"/>
      <c r="JE75" s="1153"/>
      <c r="JF75" s="1153"/>
      <c r="JG75" s="1153"/>
      <c r="JH75" s="1153"/>
      <c r="JI75" s="1153"/>
      <c r="JJ75" s="1153"/>
      <c r="JK75" s="1153"/>
      <c r="JL75" s="1153"/>
      <c r="JM75" s="1153"/>
      <c r="JN75" s="1153"/>
      <c r="JO75" s="1153"/>
      <c r="JP75" s="1153"/>
      <c r="JQ75" s="1153"/>
      <c r="JR75" s="1153"/>
      <c r="JS75" s="1153"/>
      <c r="JT75" s="1153"/>
      <c r="JU75" s="1153"/>
      <c r="JV75" s="1153"/>
      <c r="JW75" s="1153"/>
      <c r="JX75" s="1153"/>
      <c r="JY75" s="1153"/>
      <c r="JZ75" s="1153"/>
      <c r="KA75" s="1153"/>
      <c r="KB75" s="1153"/>
      <c r="KC75" s="1153"/>
      <c r="KD75" s="1153"/>
      <c r="KE75" s="1153"/>
      <c r="KF75" s="1153"/>
      <c r="KG75" s="1153"/>
      <c r="KH75" s="1153"/>
      <c r="KI75" s="1153"/>
      <c r="KJ75" s="1153"/>
      <c r="KK75" s="1153"/>
      <c r="KL75" s="1153"/>
      <c r="KM75" s="1153"/>
      <c r="KN75" s="1153"/>
      <c r="KO75" s="1153"/>
      <c r="KP75" s="1153"/>
      <c r="KQ75" s="1153"/>
      <c r="KR75" s="1153"/>
      <c r="KS75" s="1153"/>
      <c r="KT75" s="1153"/>
      <c r="KU75" s="1153"/>
      <c r="KV75" s="1153"/>
      <c r="KW75" s="1153"/>
      <c r="KX75" s="1153"/>
      <c r="KY75" s="1153"/>
      <c r="KZ75" s="1153"/>
      <c r="LA75" s="1153"/>
      <c r="LB75" s="1153"/>
      <c r="LC75" s="1153"/>
      <c r="LD75" s="1153"/>
      <c r="LE75" s="1153"/>
      <c r="LF75" s="1153"/>
      <c r="LG75" s="1153"/>
      <c r="LH75" s="1153"/>
      <c r="LI75" s="1153"/>
      <c r="LJ75" s="1153"/>
      <c r="LK75" s="1153"/>
      <c r="LL75" s="1153"/>
      <c r="LM75" s="1153"/>
      <c r="LN75" s="1153"/>
      <c r="LO75" s="1153"/>
      <c r="LP75" s="1153"/>
      <c r="LQ75" s="1153"/>
      <c r="LR75" s="1153"/>
      <c r="LS75" s="1247"/>
      <c r="LU75" s="1153"/>
      <c r="LV75" s="1153"/>
      <c r="LW75" s="1153"/>
      <c r="LX75" s="1153"/>
      <c r="LY75" s="1153">
        <f t="shared" si="10"/>
        <v>71</v>
      </c>
      <c r="LZ75" s="1153">
        <v>76</v>
      </c>
      <c r="MA75" s="1153">
        <f t="shared" si="11"/>
        <v>70</v>
      </c>
      <c r="MB75" s="1153" t="s">
        <v>17323</v>
      </c>
      <c r="MC75" s="1141" t="s">
        <v>17324</v>
      </c>
      <c r="MD75" s="1153"/>
      <c r="ME75" s="1153" t="str">
        <f ca="1">MU61</f>
        <v>4       Rebellion arises after the harsh reaction of the ruler. The characters can join either side</v>
      </c>
      <c r="MF75" s="1153"/>
      <c r="MG75" s="1153"/>
      <c r="MH75" s="1153"/>
      <c r="MI75" s="1153"/>
      <c r="MJ75" s="1153"/>
      <c r="MK75" s="1153"/>
      <c r="ML75" s="1153"/>
      <c r="MM75" s="1153"/>
      <c r="MN75" s="1153"/>
      <c r="MO75" s="1153"/>
      <c r="MP75" s="1153"/>
      <c r="MQ75" s="1153"/>
      <c r="MR75" s="1153"/>
      <c r="MS75" s="1153"/>
      <c r="MT75" s="1153"/>
      <c r="MU75" s="1153"/>
      <c r="MV75" s="1153"/>
      <c r="MW75" s="1153"/>
      <c r="MX75" s="1153"/>
      <c r="MY75" s="1153"/>
      <c r="MZ75" s="1153"/>
      <c r="NA75" s="1153"/>
      <c r="NB75" s="1153"/>
      <c r="NC75" s="1153"/>
      <c r="ND75" s="1153"/>
      <c r="NE75" s="1153"/>
      <c r="NF75" s="1153"/>
      <c r="NG75" s="1153"/>
      <c r="NH75" s="1153"/>
      <c r="NI75" s="1153"/>
      <c r="NJ75" s="1153"/>
      <c r="NK75" s="1153"/>
      <c r="NL75" s="1153"/>
      <c r="NM75" s="1153"/>
      <c r="NN75" s="1153"/>
      <c r="NO75" s="1153"/>
      <c r="NP75" s="1153"/>
      <c r="NQ75" s="1153"/>
      <c r="NR75" s="1153"/>
      <c r="NS75" s="1153"/>
      <c r="NT75" s="1153"/>
      <c r="NU75" s="1153"/>
      <c r="NV75" s="1153"/>
      <c r="NW75" s="1153"/>
      <c r="NX75" s="1153"/>
      <c r="NY75" s="1153"/>
      <c r="NZ75" s="1153"/>
      <c r="OA75" s="1153"/>
      <c r="OB75" s="1153"/>
      <c r="OC75" s="1153"/>
      <c r="OD75" s="1153"/>
      <c r="OE75" s="1153"/>
      <c r="OF75" s="1153"/>
      <c r="OG75" s="1153"/>
      <c r="OH75" s="1153"/>
      <c r="OI75" s="1153"/>
      <c r="OJ75" s="1153"/>
      <c r="PY75" s="1259" t="s">
        <v>18660</v>
      </c>
      <c r="PZ75" s="1259"/>
      <c r="QA75" s="1259"/>
    </row>
    <row r="76" spans="2:443" ht="17.25">
      <c r="B76" s="2" t="s">
        <v>12905</v>
      </c>
      <c r="C76" s="2" t="s">
        <v>12933</v>
      </c>
      <c r="E76" s="2" t="s">
        <v>12987</v>
      </c>
      <c r="F76" s="2" t="s">
        <v>13010</v>
      </c>
      <c r="G76" s="2" t="s">
        <v>12967</v>
      </c>
      <c r="K76" s="29">
        <v>12</v>
      </c>
      <c r="L76" s="29" t="s">
        <v>1632</v>
      </c>
      <c r="N76" s="2" t="s">
        <v>13194</v>
      </c>
      <c r="P76" s="29">
        <v>73</v>
      </c>
      <c r="Q76" s="29" t="s">
        <v>1594</v>
      </c>
      <c r="V76" s="2">
        <v>73</v>
      </c>
      <c r="W76" s="2" t="s">
        <v>1457</v>
      </c>
      <c r="Z76" s="1190"/>
      <c r="AA76" s="1190"/>
      <c r="AB76" s="1190"/>
      <c r="AC76" s="1190"/>
      <c r="AD76" s="1190"/>
      <c r="AE76" s="1190"/>
      <c r="AF76" s="1190"/>
      <c r="AG76" s="1190"/>
      <c r="AH76" s="1190"/>
      <c r="AI76" s="1190"/>
      <c r="AJ76" s="1190"/>
      <c r="AK76" s="1190"/>
      <c r="AL76" s="1190"/>
      <c r="AM76" s="1190"/>
      <c r="AN76" s="1190"/>
      <c r="AO76" s="1190"/>
      <c r="AP76" s="1190"/>
      <c r="AQ76" s="1190"/>
      <c r="AR76" s="1190"/>
      <c r="AS76" s="1190"/>
      <c r="AT76" s="1190"/>
      <c r="AU76" s="1190"/>
      <c r="AV76" s="1190"/>
      <c r="AW76" s="1190"/>
      <c r="AX76" s="1190"/>
      <c r="AY76" s="1190"/>
      <c r="AZ76" s="1190"/>
      <c r="BA76" s="1190"/>
      <c r="BB76" s="1190"/>
      <c r="BC76" s="1190"/>
      <c r="BD76" s="1190"/>
      <c r="BE76" s="1190"/>
      <c r="BF76" s="1190"/>
      <c r="BG76" s="1190"/>
      <c r="BH76" s="1190"/>
      <c r="BI76" s="1190"/>
      <c r="BJ76" s="1190"/>
      <c r="BK76" s="1190"/>
      <c r="BL76" s="1190"/>
      <c r="BM76" s="1190"/>
      <c r="CL76" s="1218"/>
      <c r="CX76" s="2" t="s">
        <v>12782</v>
      </c>
      <c r="CY76" s="2" t="s">
        <v>12715</v>
      </c>
      <c r="CZ76" s="2">
        <v>92</v>
      </c>
      <c r="DL76" s="1084" t="s">
        <v>16363</v>
      </c>
      <c r="DM76" s="1080" t="s">
        <v>16366</v>
      </c>
      <c r="DN76" s="1080" t="s">
        <v>16367</v>
      </c>
      <c r="DO76" s="1080">
        <v>0.5</v>
      </c>
      <c r="DQ76" s="1078" t="s">
        <v>16352</v>
      </c>
      <c r="DR76" s="1078">
        <v>1</v>
      </c>
      <c r="DS76" s="1078">
        <v>1</v>
      </c>
      <c r="DT76" s="1078">
        <v>0.75</v>
      </c>
      <c r="DV76" s="2" t="s">
        <v>16353</v>
      </c>
      <c r="DW76" s="2" t="s">
        <v>16394</v>
      </c>
      <c r="IQ76" s="1189"/>
      <c r="IT76" s="1153"/>
      <c r="IU76" s="1153"/>
      <c r="IV76" s="1153"/>
      <c r="IW76" s="1153"/>
      <c r="IX76" s="1153"/>
      <c r="IY76" s="1153"/>
      <c r="IZ76" s="1153"/>
      <c r="JA76" s="1153"/>
      <c r="JB76" s="1153"/>
      <c r="JC76" s="1153"/>
      <c r="JD76" s="1153"/>
      <c r="JE76" s="1153"/>
      <c r="JF76" s="1153"/>
      <c r="JG76" s="1153"/>
      <c r="JH76" s="1153"/>
      <c r="JI76" s="1153"/>
      <c r="JJ76" s="1153"/>
      <c r="JK76" s="1153"/>
      <c r="JL76" s="1153"/>
      <c r="JM76" s="1153"/>
      <c r="JN76" s="1153"/>
      <c r="JO76" s="1153"/>
      <c r="JP76" s="1153"/>
      <c r="JQ76" s="1153"/>
      <c r="JR76" s="1153"/>
      <c r="JS76" s="1153"/>
      <c r="JT76" s="1153"/>
      <c r="JU76" s="1153"/>
      <c r="JV76" s="1153"/>
      <c r="JW76" s="1153"/>
      <c r="JX76" s="1153"/>
      <c r="JY76" s="1153"/>
      <c r="JZ76" s="1153"/>
      <c r="KA76" s="1153"/>
      <c r="KB76" s="1153"/>
      <c r="KC76" s="1153"/>
      <c r="KD76" s="1153"/>
      <c r="KE76" s="1153"/>
      <c r="KF76" s="1153"/>
      <c r="KG76" s="1153"/>
      <c r="KH76" s="1153"/>
      <c r="KI76" s="1153"/>
      <c r="KJ76" s="1153"/>
      <c r="KK76" s="1153"/>
      <c r="KL76" s="1153"/>
      <c r="KM76" s="1153"/>
      <c r="KN76" s="1153"/>
      <c r="KO76" s="1153"/>
      <c r="KP76" s="1153"/>
      <c r="KQ76" s="1153"/>
      <c r="KR76" s="1153"/>
      <c r="KS76" s="1153"/>
      <c r="KT76" s="1153"/>
      <c r="KU76" s="1153"/>
      <c r="KV76" s="1153"/>
      <c r="KW76" s="1153"/>
      <c r="KX76" s="1153"/>
      <c r="KY76" s="1153"/>
      <c r="KZ76" s="1153"/>
      <c r="LA76" s="1153"/>
      <c r="LB76" s="1153"/>
      <c r="LC76" s="1153"/>
      <c r="LD76" s="1153"/>
      <c r="LE76" s="1153"/>
      <c r="LF76" s="1153"/>
      <c r="LG76" s="1153"/>
      <c r="LH76" s="1153"/>
      <c r="LI76" s="1153"/>
      <c r="LJ76" s="1153"/>
      <c r="LK76" s="1153"/>
      <c r="LL76" s="1153"/>
      <c r="LM76" s="1153"/>
      <c r="LN76" s="1153"/>
      <c r="LO76" s="1153"/>
      <c r="LP76" s="1153"/>
      <c r="LQ76" s="1153"/>
      <c r="LR76" s="1153"/>
      <c r="LS76" s="1247"/>
      <c r="LU76" s="1153"/>
      <c r="LV76" s="1153"/>
      <c r="LW76" s="1153"/>
      <c r="LX76" s="1153"/>
      <c r="LY76" s="1153">
        <f t="shared" si="10"/>
        <v>77</v>
      </c>
      <c r="LZ76" s="1153">
        <v>79</v>
      </c>
      <c r="MA76" s="1153">
        <f t="shared" si="11"/>
        <v>76</v>
      </c>
      <c r="MB76" s="1153" t="s">
        <v>17325</v>
      </c>
      <c r="MC76" s="645" t="s">
        <v>17326</v>
      </c>
      <c r="MD76" s="1153"/>
      <c r="ME76" s="1153" t="str">
        <f ca="1">MX61&amp;" | "&amp;NA61</f>
        <v>2            Peasants | 5         Treatment is too brutal</v>
      </c>
      <c r="MF76" s="1153"/>
      <c r="MG76" s="1153"/>
      <c r="MH76" s="1153"/>
      <c r="MI76" s="1153"/>
      <c r="MJ76" s="1153"/>
      <c r="MK76" s="1153"/>
      <c r="ML76" s="1153"/>
      <c r="MM76" s="1153"/>
      <c r="MN76" s="1153"/>
      <c r="MO76" s="1153"/>
      <c r="MP76" s="1153"/>
      <c r="MQ76" s="1153"/>
      <c r="MR76" s="1153"/>
      <c r="MS76" s="1153"/>
      <c r="MT76" s="1153"/>
      <c r="MU76" s="1153"/>
      <c r="MV76" s="1153"/>
      <c r="MW76" s="1153"/>
      <c r="MX76" s="1153"/>
      <c r="MY76" s="1153"/>
      <c r="MZ76" s="1153"/>
      <c r="NA76" s="1153"/>
      <c r="NB76" s="1153"/>
      <c r="NC76" s="1153"/>
      <c r="ND76" s="1153"/>
      <c r="NE76" s="1153"/>
      <c r="NF76" s="1153"/>
      <c r="NG76" s="1153"/>
      <c r="NH76" s="1153"/>
      <c r="NI76" s="1153"/>
      <c r="NJ76" s="1153"/>
      <c r="NK76" s="1153"/>
      <c r="NL76" s="1153"/>
      <c r="NM76" s="1153"/>
      <c r="NN76" s="1153"/>
      <c r="NO76" s="1153"/>
      <c r="NP76" s="1153"/>
      <c r="NQ76" s="1153"/>
      <c r="NR76" s="1153"/>
      <c r="NS76" s="1153"/>
      <c r="NT76" s="1153"/>
      <c r="NU76" s="1153"/>
      <c r="NV76" s="1153"/>
      <c r="NW76" s="1153"/>
      <c r="NX76" s="1153"/>
      <c r="NY76" s="1153"/>
      <c r="NZ76" s="1153"/>
      <c r="OA76" s="1153"/>
      <c r="OB76" s="1153"/>
      <c r="OC76" s="1153"/>
      <c r="OD76" s="1153"/>
      <c r="OE76" s="1153"/>
      <c r="OF76" s="1153"/>
      <c r="OG76" s="1153"/>
      <c r="OH76" s="1153"/>
      <c r="OI76" s="1153"/>
      <c r="OJ76" s="1153"/>
      <c r="PY76" s="1259" t="s">
        <v>18661</v>
      </c>
      <c r="PZ76" s="1259"/>
      <c r="QA76" s="1259"/>
    </row>
    <row r="77" spans="2:443" ht="17.25">
      <c r="B77" s="2" t="s">
        <v>13045</v>
      </c>
      <c r="C77" s="2" t="s">
        <v>13062</v>
      </c>
      <c r="E77" s="2" t="s">
        <v>12988</v>
      </c>
      <c r="K77" s="29">
        <v>13</v>
      </c>
      <c r="L77" s="29" t="s">
        <v>562</v>
      </c>
      <c r="N77" s="2" t="s">
        <v>13195</v>
      </c>
      <c r="P77" s="29">
        <v>74</v>
      </c>
      <c r="Q77" s="29" t="s">
        <v>1595</v>
      </c>
      <c r="V77" s="2">
        <v>74</v>
      </c>
      <c r="W77" s="2" t="s">
        <v>1458</v>
      </c>
      <c r="Z77" s="1190"/>
      <c r="AA77" s="1190"/>
      <c r="AB77" s="1190"/>
      <c r="AC77" s="1190"/>
      <c r="AD77" s="1190"/>
      <c r="AE77" s="1190"/>
      <c r="AF77" s="1190"/>
      <c r="AG77" s="1190"/>
      <c r="AH77" s="1190"/>
      <c r="AI77" s="1190"/>
      <c r="AJ77" s="1190"/>
      <c r="AK77" s="1190"/>
      <c r="AL77" s="1190"/>
      <c r="AM77" s="1190"/>
      <c r="AN77" s="1190"/>
      <c r="AO77" s="1190"/>
      <c r="AP77" s="1190"/>
      <c r="AQ77" s="1190"/>
      <c r="AR77" s="1190"/>
      <c r="AS77" s="1190"/>
      <c r="AT77" s="1190"/>
      <c r="AU77" s="1190"/>
      <c r="AV77" s="1190"/>
      <c r="AW77" s="1190"/>
      <c r="AX77" s="1190"/>
      <c r="AY77" s="1190"/>
      <c r="AZ77" s="1190"/>
      <c r="BA77" s="1190"/>
      <c r="BB77" s="1190"/>
      <c r="BC77" s="1190"/>
      <c r="BD77" s="1190"/>
      <c r="BE77" s="1190"/>
      <c r="BF77" s="1190"/>
      <c r="BG77" s="1190"/>
      <c r="BH77" s="1190"/>
      <c r="BI77" s="1190"/>
      <c r="BJ77" s="1190"/>
      <c r="BK77" s="1190"/>
      <c r="BL77" s="1190"/>
      <c r="BM77" s="1190"/>
      <c r="BY77" s="1229" t="str" cm="1">
        <f t="array" aca="1" ref="BY77" ca="1">INDEX(BY79:BY83,RANDBETWEEN(1,5),1)</f>
        <v>You must kill a target</v>
      </c>
      <c r="CB77" s="1229" t="str" cm="1">
        <f t="array" aca="1" ref="CB77" ca="1">INDEX(CB79:CB84,RANDBETWEEN(1,6),1)</f>
        <v>The non-functional target is actually just a ruse, the real danger is coming from another foreshadowed source</v>
      </c>
      <c r="CX77" s="2" t="s">
        <v>12783</v>
      </c>
      <c r="CY77" s="2">
        <v>93</v>
      </c>
      <c r="CZ77" s="2">
        <v>93</v>
      </c>
      <c r="DL77" s="1084" t="s">
        <v>16368</v>
      </c>
      <c r="DM77" s="1078" t="s">
        <v>16369</v>
      </c>
      <c r="DN77" s="1078" t="s">
        <v>16370</v>
      </c>
      <c r="DO77" s="1078">
        <v>0.5</v>
      </c>
      <c r="DQ77" s="1080" t="s">
        <v>16353</v>
      </c>
      <c r="DR77" s="1080">
        <v>1</v>
      </c>
      <c r="DS77" s="1080">
        <v>1</v>
      </c>
      <c r="DT77" s="1080">
        <v>1</v>
      </c>
      <c r="DV77" s="2" t="s">
        <v>5806</v>
      </c>
      <c r="DW77" s="2" t="s">
        <v>16395</v>
      </c>
      <c r="IQ77" s="1189"/>
      <c r="IT77" s="1153"/>
      <c r="IU77" s="1153"/>
      <c r="IV77" s="1153"/>
      <c r="IW77" s="1153"/>
      <c r="IX77" s="1153"/>
      <c r="IY77" s="1153"/>
      <c r="IZ77" s="1153"/>
      <c r="JA77" s="1153"/>
      <c r="JB77" s="1153"/>
      <c r="JC77" s="1153"/>
      <c r="JD77" s="1153"/>
      <c r="JE77" s="1153"/>
      <c r="JF77" s="1153"/>
      <c r="JG77" s="1153"/>
      <c r="JH77" s="1153"/>
      <c r="JI77" s="1153"/>
      <c r="JJ77" s="1153"/>
      <c r="JK77" s="1153"/>
      <c r="JL77" s="1153"/>
      <c r="JM77" s="1153"/>
      <c r="JN77" s="1153"/>
      <c r="JO77" s="1153"/>
      <c r="JP77" s="1153"/>
      <c r="JQ77" s="1153"/>
      <c r="JR77" s="1153"/>
      <c r="JS77" s="1153"/>
      <c r="JT77" s="1153"/>
      <c r="JU77" s="1153"/>
      <c r="JV77" s="1153"/>
      <c r="JW77" s="1153"/>
      <c r="JX77" s="1153"/>
      <c r="JY77" s="1153"/>
      <c r="JZ77" s="1153"/>
      <c r="KA77" s="1153"/>
      <c r="KB77" s="1153"/>
      <c r="KC77" s="1153"/>
      <c r="KD77" s="1153"/>
      <c r="KE77" s="1153"/>
      <c r="KF77" s="1153"/>
      <c r="KG77" s="1153"/>
      <c r="KH77" s="1153"/>
      <c r="KI77" s="1153"/>
      <c r="KJ77" s="1153"/>
      <c r="KK77" s="1153"/>
      <c r="KL77" s="1153"/>
      <c r="KM77" s="1153"/>
      <c r="KN77" s="1153"/>
      <c r="KO77" s="1153"/>
      <c r="KP77" s="1153"/>
      <c r="KQ77" s="1153"/>
      <c r="KR77" s="1153"/>
      <c r="KS77" s="1153"/>
      <c r="KT77" s="1153"/>
      <c r="KU77" s="1153"/>
      <c r="KV77" s="1153"/>
      <c r="KW77" s="1153"/>
      <c r="KX77" s="1153"/>
      <c r="KY77" s="1153"/>
      <c r="KZ77" s="1153"/>
      <c r="LA77" s="1153"/>
      <c r="LB77" s="1153"/>
      <c r="LC77" s="1153"/>
      <c r="LD77" s="1153"/>
      <c r="LE77" s="1153"/>
      <c r="LF77" s="1153"/>
      <c r="LG77" s="1153"/>
      <c r="LH77" s="1153"/>
      <c r="LI77" s="1153"/>
      <c r="LJ77" s="1153"/>
      <c r="LK77" s="1153"/>
      <c r="LL77" s="1153"/>
      <c r="LM77" s="1153"/>
      <c r="LN77" s="1153"/>
      <c r="LO77" s="1153"/>
      <c r="LP77" s="1153"/>
      <c r="LQ77" s="1153"/>
      <c r="LR77" s="1153"/>
      <c r="LS77" s="1247"/>
      <c r="LU77" s="1153"/>
      <c r="LV77" s="1153"/>
      <c r="LW77" s="1153"/>
      <c r="LX77" s="1153"/>
      <c r="LY77" s="1153">
        <f t="shared" si="10"/>
        <v>80</v>
      </c>
      <c r="LZ77" s="1153">
        <v>84</v>
      </c>
      <c r="MA77" s="1153">
        <f t="shared" si="11"/>
        <v>79</v>
      </c>
      <c r="MB77" s="1153" t="s">
        <v>17327</v>
      </c>
      <c r="MC77" s="1141" t="s">
        <v>17328</v>
      </c>
      <c r="MD77" s="1153"/>
      <c r="ME77" s="1153" t="str">
        <f ca="1">NJ61</f>
        <v>4       To define their borders</v>
      </c>
      <c r="MF77" s="1153"/>
      <c r="MG77" s="1153"/>
      <c r="MH77" s="1153"/>
      <c r="MI77" s="1153"/>
      <c r="MJ77" s="1153"/>
      <c r="MK77" s="1153"/>
      <c r="ML77" s="1153"/>
      <c r="MM77" s="1153"/>
      <c r="MN77" s="1153"/>
      <c r="MO77" s="1153"/>
      <c r="MP77" s="1153"/>
      <c r="MQ77" s="1153"/>
      <c r="MR77" s="1153"/>
      <c r="MS77" s="1153"/>
      <c r="MT77" s="1153"/>
      <c r="MU77" s="1153"/>
      <c r="MV77" s="1153"/>
      <c r="MW77" s="1153"/>
      <c r="MX77" s="1153"/>
      <c r="MY77" s="1153"/>
      <c r="MZ77" s="1153"/>
      <c r="NA77" s="1153"/>
      <c r="NB77" s="1153"/>
      <c r="NC77" s="1153"/>
      <c r="ND77" s="1153"/>
      <c r="NE77" s="1153"/>
      <c r="NF77" s="1153"/>
      <c r="NG77" s="1153"/>
      <c r="NH77" s="1153"/>
      <c r="NI77" s="1153"/>
      <c r="NJ77" s="1153"/>
      <c r="NK77" s="1153"/>
      <c r="NL77" s="1153"/>
      <c r="NM77" s="1153"/>
      <c r="NN77" s="1153"/>
      <c r="NO77" s="1153"/>
      <c r="NP77" s="1153"/>
      <c r="NQ77" s="1153"/>
      <c r="NR77" s="1153"/>
      <c r="NS77" s="1153"/>
      <c r="NT77" s="1153"/>
      <c r="NU77" s="1153"/>
      <c r="NV77" s="1153"/>
      <c r="NW77" s="1153"/>
      <c r="NX77" s="1153"/>
      <c r="NY77" s="1153"/>
      <c r="NZ77" s="1153"/>
      <c r="OA77" s="1153"/>
      <c r="OB77" s="1153"/>
      <c r="OC77" s="1153"/>
      <c r="OD77" s="1153"/>
      <c r="OE77" s="1153"/>
      <c r="OF77" s="1153"/>
      <c r="OG77" s="1153"/>
      <c r="OH77" s="1153"/>
      <c r="OI77" s="1153"/>
      <c r="OJ77" s="1153"/>
      <c r="PY77" s="1259" t="s">
        <v>18662</v>
      </c>
      <c r="PZ77" s="1259" t="s">
        <v>551</v>
      </c>
      <c r="QA77" s="1259" t="s">
        <v>7706</v>
      </c>
    </row>
    <row r="78" spans="2:443" ht="17.25">
      <c r="B78" s="2" t="s">
        <v>12906</v>
      </c>
      <c r="C78" s="2" t="s">
        <v>12934</v>
      </c>
      <c r="E78" s="2" t="s">
        <v>12989</v>
      </c>
      <c r="K78" s="29">
        <v>14</v>
      </c>
      <c r="L78" s="29" t="s">
        <v>563</v>
      </c>
      <c r="N78" s="2" t="s">
        <v>13196</v>
      </c>
      <c r="P78" s="29">
        <v>75</v>
      </c>
      <c r="Q78" s="29" t="s">
        <v>1596</v>
      </c>
      <c r="V78" s="2">
        <v>75</v>
      </c>
      <c r="W78" s="2" t="s">
        <v>1459</v>
      </c>
      <c r="Z78" s="1190"/>
      <c r="AA78" s="1190"/>
      <c r="AB78" s="1190"/>
      <c r="AC78" s="1190"/>
      <c r="AD78" s="1190"/>
      <c r="AE78" s="1190"/>
      <c r="AF78" s="1190"/>
      <c r="AG78" s="1190"/>
      <c r="AH78" s="1190"/>
      <c r="AI78" s="1190"/>
      <c r="AJ78" s="1190"/>
      <c r="AK78" s="1190"/>
      <c r="AL78" s="1190"/>
      <c r="AM78" s="1190"/>
      <c r="AN78" s="1190"/>
      <c r="AO78" s="1190"/>
      <c r="AP78" s="1190"/>
      <c r="AQ78" s="1190"/>
      <c r="AR78" s="1190"/>
      <c r="AS78" s="1190"/>
      <c r="AT78" s="1190"/>
      <c r="AU78" s="1190"/>
      <c r="AV78" s="1190"/>
      <c r="AW78" s="1190"/>
      <c r="AX78" s="1190"/>
      <c r="AY78" s="1190"/>
      <c r="AZ78" s="1190"/>
      <c r="BA78" s="1190"/>
      <c r="BB78" s="1190"/>
      <c r="BC78" s="1190"/>
      <c r="BD78" s="1190"/>
      <c r="BE78" s="1190"/>
      <c r="BF78" s="1190"/>
      <c r="BG78" s="1190"/>
      <c r="BH78" s="1190"/>
      <c r="BI78" s="1190"/>
      <c r="BJ78" s="1190"/>
      <c r="BK78" s="1190"/>
      <c r="BL78" s="1190"/>
      <c r="BM78" s="1190"/>
      <c r="BV78" s="610" t="str" cm="1">
        <f t="array" aca="1" ref="BV78" ca="1">INDEX(BV80:BV85,RANDBETWEEN(1,6),1)</f>
        <v>You must defeat an opponent</v>
      </c>
      <c r="BX78" s="2" t="s">
        <v>1643</v>
      </c>
      <c r="BY78" s="2" t="s">
        <v>2030</v>
      </c>
      <c r="CA78" s="2" t="s">
        <v>1643</v>
      </c>
      <c r="CB78" s="2" t="s">
        <v>2037</v>
      </c>
      <c r="CX78" s="2" t="s">
        <v>12784</v>
      </c>
      <c r="CY78" s="2">
        <v>94</v>
      </c>
      <c r="CZ78" s="2" t="s">
        <v>12785</v>
      </c>
      <c r="DL78" s="1084" t="s">
        <v>16368</v>
      </c>
      <c r="DM78" s="1080" t="s">
        <v>16371</v>
      </c>
      <c r="DN78" s="1080" t="s">
        <v>16372</v>
      </c>
      <c r="DO78" s="1080">
        <v>0.25</v>
      </c>
      <c r="DQ78" s="1078" t="s">
        <v>5806</v>
      </c>
      <c r="DR78" s="1078">
        <v>1</v>
      </c>
      <c r="DS78" s="1078">
        <v>1</v>
      </c>
      <c r="DT78" s="1078">
        <v>0.5</v>
      </c>
      <c r="DV78" s="2" t="s">
        <v>16354</v>
      </c>
      <c r="DW78" s="2" t="s">
        <v>16396</v>
      </c>
      <c r="IQ78" s="1189"/>
      <c r="IT78" s="1153"/>
      <c r="IU78" s="1153"/>
      <c r="IV78" s="1153"/>
      <c r="IW78" s="1153"/>
      <c r="IX78" s="1153"/>
      <c r="IY78" s="1153"/>
      <c r="IZ78" s="1153"/>
      <c r="JA78" s="1153"/>
      <c r="JB78" s="1153"/>
      <c r="JC78" s="1153"/>
      <c r="JD78" s="1153"/>
      <c r="JE78" s="1153"/>
      <c r="JF78" s="1153"/>
      <c r="JG78" s="1153"/>
      <c r="JH78" s="1153"/>
      <c r="JI78" s="1153"/>
      <c r="JJ78" s="1153"/>
      <c r="JK78" s="1153"/>
      <c r="JL78" s="1153"/>
      <c r="JM78" s="1153"/>
      <c r="JN78" s="1153"/>
      <c r="JO78" s="1153"/>
      <c r="JP78" s="1153"/>
      <c r="JQ78" s="1153"/>
      <c r="JR78" s="1153"/>
      <c r="JS78" s="1153"/>
      <c r="JT78" s="1153"/>
      <c r="JU78" s="1153"/>
      <c r="JV78" s="1153"/>
      <c r="JW78" s="1153"/>
      <c r="JX78" s="1153"/>
      <c r="JY78" s="1153"/>
      <c r="JZ78" s="1153"/>
      <c r="KA78" s="1153"/>
      <c r="KB78" s="1153"/>
      <c r="KC78" s="1153"/>
      <c r="KD78" s="1153"/>
      <c r="KE78" s="1153"/>
      <c r="KF78" s="1153"/>
      <c r="KG78" s="1153"/>
      <c r="KH78" s="1153"/>
      <c r="KI78" s="1153"/>
      <c r="KJ78" s="1153"/>
      <c r="KK78" s="1153"/>
      <c r="KL78" s="1153"/>
      <c r="KM78" s="1153"/>
      <c r="KN78" s="1153"/>
      <c r="KO78" s="1153"/>
      <c r="KP78" s="1153"/>
      <c r="KQ78" s="1153"/>
      <c r="KR78" s="1153"/>
      <c r="KS78" s="1153"/>
      <c r="KT78" s="1153"/>
      <c r="KU78" s="1153"/>
      <c r="KV78" s="1153"/>
      <c r="KW78" s="1153"/>
      <c r="KX78" s="1153"/>
      <c r="KY78" s="1153"/>
      <c r="KZ78" s="1153"/>
      <c r="LA78" s="1153"/>
      <c r="LB78" s="1153"/>
      <c r="LC78" s="1153"/>
      <c r="LD78" s="1153"/>
      <c r="LE78" s="1153"/>
      <c r="LF78" s="1153"/>
      <c r="LG78" s="1153"/>
      <c r="LH78" s="1153"/>
      <c r="LI78" s="1153"/>
      <c r="LJ78" s="1153"/>
      <c r="LK78" s="1153"/>
      <c r="LL78" s="1153"/>
      <c r="LM78" s="1153"/>
      <c r="LN78" s="1153"/>
      <c r="LO78" s="1153"/>
      <c r="LP78" s="1153"/>
      <c r="LQ78" s="1153"/>
      <c r="LR78" s="1153"/>
      <c r="LS78" s="1247"/>
      <c r="LU78" s="1153"/>
      <c r="LV78" s="1153"/>
      <c r="LW78" s="1153"/>
      <c r="LX78" s="1153"/>
      <c r="LY78" s="1153">
        <f t="shared" si="10"/>
        <v>85</v>
      </c>
      <c r="LZ78" s="1153">
        <v>88</v>
      </c>
      <c r="MA78" s="1153">
        <f t="shared" si="11"/>
        <v>84</v>
      </c>
      <c r="MB78" s="1153" t="s">
        <v>17329</v>
      </c>
      <c r="MC78" s="645" t="s">
        <v>17330</v>
      </c>
      <c r="MD78" s="1153"/>
      <c r="ME78" s="1153"/>
      <c r="MF78" s="1153"/>
      <c r="MG78" s="1153"/>
      <c r="MH78" s="1153"/>
      <c r="MI78" s="1153"/>
      <c r="MJ78" s="1153"/>
      <c r="MK78" s="1153"/>
      <c r="ML78" s="1153"/>
      <c r="MM78" s="1153"/>
      <c r="MN78" s="1153"/>
      <c r="MO78" s="1153"/>
      <c r="MP78" s="1153"/>
      <c r="MQ78" s="1153"/>
      <c r="MR78" s="1153"/>
      <c r="MS78" s="1153"/>
      <c r="MT78" s="1153"/>
      <c r="MU78" s="1153"/>
      <c r="MV78" s="1153"/>
      <c r="MW78" s="1153"/>
      <c r="MX78" s="1153"/>
      <c r="MY78" s="1153"/>
      <c r="MZ78" s="1153"/>
      <c r="NA78" s="1153"/>
      <c r="NB78" s="1153"/>
      <c r="NC78" s="1153"/>
      <c r="ND78" s="1153"/>
      <c r="NE78" s="1153"/>
      <c r="NF78" s="1153"/>
      <c r="NG78" s="1153"/>
      <c r="NH78" s="1153"/>
      <c r="NI78" s="1153"/>
      <c r="NJ78" s="1153"/>
      <c r="NK78" s="1153"/>
      <c r="NL78" s="1153"/>
      <c r="NM78" s="1153"/>
      <c r="NN78" s="1153"/>
      <c r="NO78" s="1153"/>
      <c r="NP78" s="1153"/>
      <c r="NQ78" s="1153"/>
      <c r="NR78" s="1153"/>
      <c r="NS78" s="1153"/>
      <c r="NT78" s="1153"/>
      <c r="NU78" s="1153"/>
      <c r="NV78" s="1153"/>
      <c r="NW78" s="1153"/>
      <c r="NX78" s="1153"/>
      <c r="NY78" s="1153"/>
      <c r="NZ78" s="1153"/>
      <c r="OA78" s="1153"/>
      <c r="OB78" s="1153"/>
      <c r="OC78" s="1153"/>
      <c r="OD78" s="1153"/>
      <c r="OE78" s="1153"/>
      <c r="OF78" s="1153"/>
      <c r="OG78" s="1153"/>
      <c r="OH78" s="1153"/>
      <c r="OI78" s="1153"/>
      <c r="OJ78" s="1153"/>
      <c r="PY78" s="1218">
        <v>44013</v>
      </c>
      <c r="PZ78" s="1259" t="s">
        <v>2543</v>
      </c>
      <c r="QA78" s="1259" t="s">
        <v>18680</v>
      </c>
    </row>
    <row r="79" spans="2:443" ht="17.25">
      <c r="B79" s="2" t="s">
        <v>13046</v>
      </c>
      <c r="C79" s="2" t="s">
        <v>13063</v>
      </c>
      <c r="E79" s="2" t="s">
        <v>12990</v>
      </c>
      <c r="K79" s="29">
        <v>15</v>
      </c>
      <c r="L79" s="29" t="s">
        <v>564</v>
      </c>
      <c r="N79" s="2" t="s">
        <v>13197</v>
      </c>
      <c r="P79" s="29">
        <v>76</v>
      </c>
      <c r="Q79" s="29" t="s">
        <v>1597</v>
      </c>
      <c r="V79" s="2">
        <v>76</v>
      </c>
      <c r="W79" s="2" t="s">
        <v>1460</v>
      </c>
      <c r="Z79" s="1190"/>
      <c r="AA79" s="1190"/>
      <c r="AB79" s="1190"/>
      <c r="AC79" s="1190"/>
      <c r="AD79" s="1190"/>
      <c r="AE79" s="1190"/>
      <c r="AF79" s="1190"/>
      <c r="AG79" s="1190"/>
      <c r="AH79" s="1190"/>
      <c r="AI79" s="1190"/>
      <c r="AJ79" s="1190"/>
      <c r="AK79" s="1190"/>
      <c r="AL79" s="1190"/>
      <c r="AM79" s="1190"/>
      <c r="AN79" s="1190"/>
      <c r="AO79" s="1190"/>
      <c r="AP79" s="1190"/>
      <c r="AQ79" s="1190"/>
      <c r="AR79" s="1190"/>
      <c r="AS79" s="1190"/>
      <c r="AT79" s="1190"/>
      <c r="AU79" s="1190"/>
      <c r="AV79" s="1190"/>
      <c r="AW79" s="1190"/>
      <c r="AX79" s="1190"/>
      <c r="AY79" s="1190"/>
      <c r="AZ79" s="1190"/>
      <c r="BA79" s="1190"/>
      <c r="BB79" s="1190"/>
      <c r="BC79" s="1190"/>
      <c r="BD79" s="1190"/>
      <c r="BE79" s="1190"/>
      <c r="BF79" s="1190"/>
      <c r="BG79" s="1190"/>
      <c r="BH79" s="1190"/>
      <c r="BI79" s="1190"/>
      <c r="BJ79" s="1190"/>
      <c r="BK79" s="1190"/>
      <c r="BL79" s="1190"/>
      <c r="BM79" s="1190"/>
      <c r="BU79" s="2" t="s">
        <v>1643</v>
      </c>
      <c r="BV79" s="2" t="s">
        <v>2023</v>
      </c>
      <c r="BX79" s="2">
        <v>1</v>
      </c>
      <c r="BY79" s="2" t="s">
        <v>2031</v>
      </c>
      <c r="CA79" s="2">
        <v>1</v>
      </c>
      <c r="CB79" s="2" t="s">
        <v>2038</v>
      </c>
      <c r="CX79" s="2" t="s">
        <v>12786</v>
      </c>
      <c r="CY79" s="2">
        <v>95</v>
      </c>
      <c r="CZ79" s="2" t="s">
        <v>7685</v>
      </c>
      <c r="DL79" s="1084" t="s">
        <v>16373</v>
      </c>
      <c r="DM79" s="1078" t="s">
        <v>16374</v>
      </c>
      <c r="DN79" s="1078" t="s">
        <v>16375</v>
      </c>
      <c r="DO79" s="1078">
        <v>0.5</v>
      </c>
      <c r="DQ79" s="1080" t="s">
        <v>16354</v>
      </c>
      <c r="DR79" s="1080">
        <v>0</v>
      </c>
      <c r="DS79" s="1080">
        <v>0</v>
      </c>
      <c r="DT79" s="1080">
        <v>0.5</v>
      </c>
      <c r="DV79" s="2" t="s">
        <v>15576</v>
      </c>
      <c r="DW79" s="2" t="s">
        <v>16397</v>
      </c>
      <c r="IQ79" s="1189"/>
      <c r="LS79" s="1189"/>
      <c r="LU79" s="1153"/>
      <c r="LV79" s="1153"/>
      <c r="LW79" s="1153"/>
      <c r="LX79" s="1153"/>
      <c r="LY79" s="1153">
        <f t="shared" si="10"/>
        <v>89</v>
      </c>
      <c r="LZ79" s="1153">
        <v>90</v>
      </c>
      <c r="MA79" s="1153">
        <f t="shared" si="11"/>
        <v>88</v>
      </c>
      <c r="MB79" s="1153" t="s">
        <v>17331</v>
      </c>
      <c r="MC79" s="1141" t="s">
        <v>17332</v>
      </c>
      <c r="MD79" s="1153"/>
      <c r="ME79" s="1153"/>
      <c r="MF79" s="1153"/>
      <c r="MG79" s="1153"/>
      <c r="MH79" s="1153"/>
      <c r="MI79" s="1153"/>
      <c r="MJ79" s="1153"/>
      <c r="MK79" s="1153"/>
      <c r="ML79" s="1153"/>
      <c r="MM79" s="1153"/>
      <c r="MN79" s="1153"/>
      <c r="MO79" s="1153"/>
      <c r="MP79" s="1153"/>
      <c r="MQ79" s="1153"/>
      <c r="MR79" s="1153"/>
      <c r="MS79" s="1153"/>
      <c r="MT79" s="1153"/>
      <c r="MU79" s="1153"/>
      <c r="MV79" s="1153"/>
      <c r="MW79" s="1153"/>
      <c r="MX79" s="1153"/>
      <c r="MY79" s="1153"/>
      <c r="MZ79" s="1153"/>
      <c r="NA79" s="1153"/>
      <c r="NB79" s="1153"/>
      <c r="NC79" s="1153"/>
      <c r="ND79" s="1153"/>
      <c r="NE79" s="1153"/>
      <c r="NF79" s="1153"/>
      <c r="NG79" s="1153"/>
      <c r="NH79" s="1153"/>
      <c r="NI79" s="1153"/>
      <c r="NJ79" s="1153"/>
      <c r="NK79" s="1153"/>
      <c r="NL79" s="1153"/>
      <c r="NM79" s="1153"/>
      <c r="NN79" s="1153"/>
      <c r="NO79" s="1153"/>
      <c r="NP79" s="1153"/>
      <c r="NQ79" s="1153"/>
      <c r="NR79" s="1153"/>
      <c r="NS79" s="1153"/>
      <c r="NT79" s="1153"/>
      <c r="NU79" s="1153"/>
      <c r="NV79" s="1153"/>
      <c r="NW79" s="1153"/>
      <c r="NX79" s="1153"/>
      <c r="NY79" s="1153"/>
      <c r="NZ79" s="1153"/>
      <c r="OA79" s="1153"/>
      <c r="OB79" s="1153"/>
      <c r="OC79" s="1153"/>
      <c r="OD79" s="1153"/>
      <c r="OE79" s="1153"/>
      <c r="OF79" s="1153"/>
      <c r="OG79" s="1153"/>
      <c r="OH79" s="1153"/>
      <c r="OI79" s="1153"/>
      <c r="OJ79" s="1153"/>
      <c r="PY79" s="1220">
        <v>41852</v>
      </c>
      <c r="PZ79" s="1259" t="s">
        <v>3017</v>
      </c>
      <c r="QA79" s="1259" t="s">
        <v>18681</v>
      </c>
    </row>
    <row r="80" spans="2:443" ht="17.25">
      <c r="B80" s="2" t="s">
        <v>12907</v>
      </c>
      <c r="C80" s="2" t="s">
        <v>13064</v>
      </c>
      <c r="E80" s="2" t="s">
        <v>12991</v>
      </c>
      <c r="K80" s="29">
        <v>16</v>
      </c>
      <c r="L80" s="29" t="s">
        <v>15</v>
      </c>
      <c r="N80" s="2" t="s">
        <v>13198</v>
      </c>
      <c r="P80" s="29">
        <v>77</v>
      </c>
      <c r="Q80" s="29" t="s">
        <v>1598</v>
      </c>
      <c r="V80" s="2">
        <v>77</v>
      </c>
      <c r="W80" s="2" t="s">
        <v>1461</v>
      </c>
      <c r="Z80" s="1190"/>
      <c r="AA80" s="1190"/>
      <c r="AB80" s="1190"/>
      <c r="AC80" s="1190"/>
      <c r="AD80" s="1190"/>
      <c r="AE80" s="1190"/>
      <c r="AF80" s="1190"/>
      <c r="AG80" s="1190"/>
      <c r="AH80" s="1190"/>
      <c r="AI80" s="1190"/>
      <c r="AJ80" s="1190"/>
      <c r="AK80" s="1190"/>
      <c r="AL80" s="1190"/>
      <c r="AM80" s="1190"/>
      <c r="AN80" s="1190"/>
      <c r="AO80" s="1190"/>
      <c r="AP80" s="1190"/>
      <c r="AQ80" s="1190"/>
      <c r="AR80" s="1190"/>
      <c r="AS80" s="1190"/>
      <c r="AT80" s="1190"/>
      <c r="AU80" s="1190"/>
      <c r="AV80" s="1190"/>
      <c r="AW80" s="1190"/>
      <c r="AX80" s="1190"/>
      <c r="AY80" s="1190"/>
      <c r="AZ80" s="1190"/>
      <c r="BA80" s="1190"/>
      <c r="BB80" s="1190"/>
      <c r="BC80" s="1190"/>
      <c r="BD80" s="1190"/>
      <c r="BE80" s="1190"/>
      <c r="BF80" s="1190"/>
      <c r="BG80" s="1190"/>
      <c r="BH80" s="1190"/>
      <c r="BI80" s="1190"/>
      <c r="BJ80" s="1190"/>
      <c r="BK80" s="1190"/>
      <c r="BL80" s="1190"/>
      <c r="BM80" s="1190"/>
      <c r="BU80" s="2">
        <v>1</v>
      </c>
      <c r="BV80" s="2" t="s">
        <v>2024</v>
      </c>
      <c r="BX80" s="2">
        <v>2</v>
      </c>
      <c r="BY80" s="2" t="s">
        <v>2032</v>
      </c>
      <c r="CA80" s="2">
        <v>2</v>
      </c>
      <c r="CB80" s="2" t="s">
        <v>2039</v>
      </c>
      <c r="CX80" s="2" t="s">
        <v>12787</v>
      </c>
      <c r="CY80" s="2">
        <v>96</v>
      </c>
      <c r="CZ80" s="2" t="s">
        <v>12788</v>
      </c>
      <c r="DQ80" s="1078" t="s">
        <v>15576</v>
      </c>
      <c r="DR80" s="1078">
        <v>1</v>
      </c>
      <c r="DS80" s="1078">
        <v>1</v>
      </c>
      <c r="DT80" s="1078">
        <v>1</v>
      </c>
      <c r="DV80" s="2" t="s">
        <v>16355</v>
      </c>
      <c r="DW80" s="2" t="s">
        <v>16398</v>
      </c>
      <c r="IQ80" s="1189"/>
      <c r="LS80" s="1189"/>
      <c r="LU80" s="1153"/>
      <c r="LV80" s="1153"/>
      <c r="LW80" s="1153"/>
      <c r="LX80" s="1153"/>
      <c r="LY80" s="1153">
        <f t="shared" si="10"/>
        <v>91</v>
      </c>
      <c r="LZ80" s="1153">
        <v>100</v>
      </c>
      <c r="MA80" s="1153">
        <f t="shared" si="11"/>
        <v>90</v>
      </c>
      <c r="MB80" s="1153" t="s">
        <v>17333</v>
      </c>
      <c r="MC80" s="645" t="s">
        <v>17334</v>
      </c>
      <c r="MD80" s="645" t="s">
        <v>17335</v>
      </c>
      <c r="ME80" s="1153" t="str">
        <f ca="1">NM61</f>
        <v>1    The army enlists the characters</v>
      </c>
      <c r="MF80" s="1153"/>
      <c r="MG80" s="1153"/>
      <c r="MH80" s="1153"/>
      <c r="MI80" s="1153"/>
      <c r="MJ80" s="1153"/>
      <c r="MK80" s="1153"/>
      <c r="ML80" s="1153"/>
      <c r="MM80" s="1153"/>
      <c r="MN80" s="1153"/>
      <c r="MO80" s="1153"/>
      <c r="MP80" s="1153"/>
      <c r="MQ80" s="1153"/>
      <c r="MR80" s="1153"/>
      <c r="MS80" s="1153"/>
      <c r="MT80" s="1153"/>
      <c r="MU80" s="1153"/>
      <c r="MV80" s="1153"/>
      <c r="MW80" s="1153"/>
      <c r="MX80" s="1153"/>
      <c r="MY80" s="1153"/>
      <c r="MZ80" s="1153"/>
      <c r="NA80" s="1153"/>
      <c r="NB80" s="1153"/>
      <c r="NC80" s="1153"/>
      <c r="ND80" s="1153"/>
      <c r="NE80" s="1153"/>
      <c r="NF80" s="1153"/>
      <c r="NG80" s="1153"/>
      <c r="NH80" s="1153"/>
      <c r="NI80" s="1153"/>
      <c r="NJ80" s="1153"/>
      <c r="NK80" s="1153"/>
      <c r="NL80" s="1153"/>
      <c r="NM80" s="1153"/>
      <c r="NN80" s="1153"/>
      <c r="NO80" s="1153"/>
      <c r="NP80" s="1153"/>
      <c r="NQ80" s="1153"/>
      <c r="NR80" s="1153"/>
      <c r="NS80" s="1153"/>
      <c r="NT80" s="1153"/>
      <c r="NU80" s="1153"/>
      <c r="NV80" s="1153"/>
      <c r="NW80" s="1153"/>
      <c r="NX80" s="1153"/>
      <c r="NY80" s="1153"/>
      <c r="NZ80" s="1153"/>
      <c r="OA80" s="1153"/>
      <c r="OB80" s="1153"/>
      <c r="OC80" s="1153"/>
      <c r="OD80" s="1153"/>
      <c r="OE80" s="1153"/>
      <c r="OF80" s="1153"/>
      <c r="OG80" s="1153"/>
      <c r="OH80" s="1153"/>
      <c r="OI80" s="1153"/>
      <c r="OJ80" s="1153"/>
      <c r="PY80" s="1259" t="s">
        <v>18663</v>
      </c>
      <c r="PZ80" s="1259" t="s">
        <v>18664</v>
      </c>
      <c r="QA80" s="1259" t="s">
        <v>18682</v>
      </c>
    </row>
    <row r="81" spans="2:443" ht="17.25">
      <c r="B81" s="2" t="s">
        <v>13047</v>
      </c>
      <c r="C81" s="2" t="s">
        <v>12935</v>
      </c>
      <c r="E81" s="2" t="s">
        <v>12992</v>
      </c>
      <c r="K81" s="29">
        <v>17</v>
      </c>
      <c r="L81" s="29" t="s">
        <v>565</v>
      </c>
      <c r="N81" s="2" t="s">
        <v>13199</v>
      </c>
      <c r="P81" s="29">
        <v>78</v>
      </c>
      <c r="Q81" s="29" t="s">
        <v>76</v>
      </c>
      <c r="V81" s="2">
        <v>78</v>
      </c>
      <c r="W81" s="2" t="s">
        <v>1462</v>
      </c>
      <c r="Z81" s="1190"/>
      <c r="AA81" s="1190"/>
      <c r="AB81" s="1190"/>
      <c r="AC81" s="1190"/>
      <c r="AD81" s="1190"/>
      <c r="AE81" s="1190"/>
      <c r="AF81" s="1190"/>
      <c r="AG81" s="1190"/>
      <c r="AH81" s="1190"/>
      <c r="AI81" s="1190"/>
      <c r="AJ81" s="1190"/>
      <c r="AK81" s="1190"/>
      <c r="AL81" s="1190"/>
      <c r="AM81" s="1190"/>
      <c r="AN81" s="1190"/>
      <c r="AO81" s="1190"/>
      <c r="AP81" s="1190"/>
      <c r="AQ81" s="1190"/>
      <c r="AR81" s="1190"/>
      <c r="AS81" s="1190"/>
      <c r="AT81" s="1190"/>
      <c r="AU81" s="1190"/>
      <c r="AV81" s="1190"/>
      <c r="AW81" s="1190"/>
      <c r="AX81" s="1190"/>
      <c r="AY81" s="1190"/>
      <c r="AZ81" s="1190"/>
      <c r="BA81" s="1190"/>
      <c r="BB81" s="1190"/>
      <c r="BC81" s="1190"/>
      <c r="BD81" s="1190"/>
      <c r="BE81" s="1190"/>
      <c r="BF81" s="1190"/>
      <c r="BG81" s="1190"/>
      <c r="BH81" s="1190"/>
      <c r="BI81" s="1190"/>
      <c r="BJ81" s="1190"/>
      <c r="BK81" s="1190"/>
      <c r="BL81" s="1190"/>
      <c r="BM81" s="1190"/>
      <c r="BU81" s="2">
        <v>2</v>
      </c>
      <c r="BV81" s="2" t="s">
        <v>2025</v>
      </c>
      <c r="BX81" s="2">
        <v>3</v>
      </c>
      <c r="BY81" s="2" t="s">
        <v>2033</v>
      </c>
      <c r="CA81" s="2">
        <v>3</v>
      </c>
      <c r="CB81" s="2" t="s">
        <v>2040</v>
      </c>
      <c r="CX81" s="2" t="s">
        <v>2837</v>
      </c>
      <c r="CY81" s="2" t="s">
        <v>7971</v>
      </c>
      <c r="CZ81" s="2">
        <v>98</v>
      </c>
      <c r="DL81" s="1076" t="s">
        <v>16376</v>
      </c>
      <c r="DM81" s="1077"/>
      <c r="DQ81" s="1080" t="s">
        <v>16355</v>
      </c>
      <c r="DR81" s="1080">
        <v>0.75</v>
      </c>
      <c r="DS81" s="1080">
        <v>0.5</v>
      </c>
      <c r="DT81" s="1080">
        <v>0.125</v>
      </c>
      <c r="DV81" s="2" t="s">
        <v>5732</v>
      </c>
      <c r="DW81" s="2" t="s">
        <v>16399</v>
      </c>
      <c r="IQ81" s="1189"/>
      <c r="LS81" s="1189"/>
      <c r="LU81" s="1153"/>
      <c r="LV81" s="1153"/>
      <c r="LW81" s="1153"/>
      <c r="LX81" s="1153"/>
      <c r="LY81" s="1153"/>
      <c r="LZ81" s="1153"/>
      <c r="MA81" s="1153"/>
      <c r="MB81" s="1153"/>
      <c r="MC81" s="1153"/>
      <c r="MD81" s="1153"/>
      <c r="ME81" s="1153"/>
      <c r="MF81" s="1153"/>
      <c r="MG81" s="1153"/>
      <c r="MH81" s="1153"/>
      <c r="MI81" s="1153"/>
      <c r="MJ81" s="1153"/>
      <c r="MK81" s="1153"/>
      <c r="ML81" s="1153"/>
      <c r="MM81" s="1153"/>
      <c r="MN81" s="1153"/>
      <c r="MO81" s="1153"/>
      <c r="MP81" s="1153"/>
      <c r="MQ81" s="1153"/>
      <c r="MR81" s="1153"/>
      <c r="MS81" s="1153"/>
      <c r="MT81" s="1153"/>
      <c r="MU81" s="1153"/>
      <c r="MV81" s="1153"/>
      <c r="MW81" s="1153"/>
      <c r="MX81" s="1153"/>
      <c r="MY81" s="1153"/>
      <c r="MZ81" s="1153"/>
      <c r="NA81" s="1153"/>
      <c r="NB81" s="1153"/>
      <c r="NC81" s="1153"/>
      <c r="ND81" s="1153"/>
      <c r="NE81" s="1153"/>
      <c r="NF81" s="1153"/>
      <c r="NG81" s="1153"/>
      <c r="NH81" s="1153"/>
      <c r="NI81" s="1153"/>
      <c r="NJ81" s="1153"/>
      <c r="NK81" s="1153"/>
      <c r="NL81" s="1153"/>
      <c r="NM81" s="1153"/>
      <c r="NN81" s="1153"/>
      <c r="NO81" s="1153"/>
      <c r="NP81" s="1153"/>
      <c r="NQ81" s="1153"/>
      <c r="NR81" s="1153"/>
      <c r="NS81" s="1153"/>
      <c r="NT81" s="1153"/>
      <c r="NU81" s="1153"/>
      <c r="NV81" s="1153"/>
      <c r="NW81" s="1153"/>
      <c r="NX81" s="1153"/>
      <c r="NY81" s="1153"/>
      <c r="NZ81" s="1153"/>
      <c r="OA81" s="1153"/>
      <c r="OB81" s="1153"/>
      <c r="OC81" s="1153"/>
      <c r="OD81" s="1153"/>
      <c r="OE81" s="1153"/>
      <c r="OF81" s="1153"/>
      <c r="OG81" s="1153"/>
      <c r="OH81" s="1153"/>
      <c r="OI81" s="1153"/>
      <c r="OJ81" s="1153"/>
      <c r="PY81" s="1259" t="s">
        <v>18665</v>
      </c>
      <c r="PZ81" s="1259" t="s">
        <v>2479</v>
      </c>
      <c r="QA81" s="1259" t="s">
        <v>18683</v>
      </c>
    </row>
    <row r="82" spans="2:443" ht="17.25">
      <c r="B82" s="2" t="s">
        <v>12908</v>
      </c>
      <c r="C82" s="2" t="s">
        <v>13065</v>
      </c>
      <c r="E82" s="2" t="s">
        <v>12993</v>
      </c>
      <c r="K82" s="29">
        <v>18</v>
      </c>
      <c r="L82" s="29" t="s">
        <v>566</v>
      </c>
      <c r="N82" s="2" t="s">
        <v>13201</v>
      </c>
      <c r="P82" s="29">
        <v>79</v>
      </c>
      <c r="Q82" s="29" t="s">
        <v>1599</v>
      </c>
      <c r="V82" s="2">
        <v>79</v>
      </c>
      <c r="W82" s="2" t="s">
        <v>1463</v>
      </c>
      <c r="Z82" s="1190"/>
      <c r="AA82" s="1190"/>
      <c r="AB82" s="1190"/>
      <c r="AC82" s="1190"/>
      <c r="AD82" s="1190"/>
      <c r="AE82" s="1190"/>
      <c r="AF82" s="1190"/>
      <c r="AG82" s="1190"/>
      <c r="AH82" s="1190"/>
      <c r="AI82" s="1190"/>
      <c r="AJ82" s="1190"/>
      <c r="AK82" s="1190"/>
      <c r="AL82" s="1190"/>
      <c r="AM82" s="1190"/>
      <c r="AN82" s="1190"/>
      <c r="AO82" s="1190"/>
      <c r="AP82" s="1190"/>
      <c r="AQ82" s="1190"/>
      <c r="AR82" s="1190"/>
      <c r="AS82" s="1190"/>
      <c r="AT82" s="1190"/>
      <c r="AU82" s="1190"/>
      <c r="AV82" s="1190"/>
      <c r="AW82" s="1190"/>
      <c r="AX82" s="1190"/>
      <c r="AY82" s="1190"/>
      <c r="AZ82" s="1190"/>
      <c r="BA82" s="1190"/>
      <c r="BB82" s="1190"/>
      <c r="BC82" s="1190"/>
      <c r="BD82" s="1190"/>
      <c r="BE82" s="1190"/>
      <c r="BF82" s="1190"/>
      <c r="BG82" s="1190"/>
      <c r="BH82" s="1190"/>
      <c r="BI82" s="1190"/>
      <c r="BJ82" s="1190"/>
      <c r="BK82" s="1190"/>
      <c r="BL82" s="1190"/>
      <c r="BM82" s="1190"/>
      <c r="BU82" s="2">
        <v>3</v>
      </c>
      <c r="BV82" s="2" t="s">
        <v>2026</v>
      </c>
      <c r="BX82" s="2">
        <v>4</v>
      </c>
      <c r="BY82" s="2" t="s">
        <v>2034</v>
      </c>
      <c r="CA82" s="2">
        <v>4</v>
      </c>
      <c r="CB82" s="2" t="s">
        <v>2041</v>
      </c>
      <c r="CX82" s="2" t="s">
        <v>12789</v>
      </c>
      <c r="CY82" s="2" t="s">
        <v>9162</v>
      </c>
      <c r="CZ82" s="2" t="s">
        <v>9162</v>
      </c>
      <c r="DL82" s="1082" t="s">
        <v>16377</v>
      </c>
      <c r="DM82" s="1082" t="s">
        <v>1881</v>
      </c>
      <c r="DQ82" s="1078" t="s">
        <v>5732</v>
      </c>
      <c r="DR82" s="1078">
        <v>1</v>
      </c>
      <c r="DS82" s="1078">
        <v>0.75</v>
      </c>
      <c r="DT82" s="1078">
        <v>0.5</v>
      </c>
      <c r="DV82" s="2" t="s">
        <v>5731</v>
      </c>
      <c r="DW82" s="2" t="s">
        <v>16400</v>
      </c>
      <c r="IQ82" s="1189"/>
      <c r="LS82" s="1189"/>
      <c r="LU82" s="1153"/>
      <c r="LV82" s="1153"/>
      <c r="LW82" s="1153"/>
      <c r="LX82" s="1153"/>
      <c r="LY82" s="1153"/>
      <c r="LZ82" s="1153"/>
      <c r="MA82" s="1153"/>
      <c r="MB82" s="1153"/>
      <c r="MC82" s="1153"/>
      <c r="MD82" s="1153"/>
      <c r="ME82" s="1153"/>
      <c r="MF82" s="1153"/>
      <c r="MG82" s="1153"/>
      <c r="MH82" s="1153"/>
      <c r="MI82" s="1153"/>
      <c r="MJ82" s="1153"/>
      <c r="MK82" s="1153"/>
      <c r="ML82" s="1153"/>
      <c r="MM82" s="1153"/>
      <c r="MN82" s="1153"/>
      <c r="MO82" s="1153"/>
      <c r="MP82" s="1153"/>
      <c r="MQ82" s="1153"/>
      <c r="MR82" s="1153"/>
      <c r="MS82" s="1153"/>
      <c r="MT82" s="1153"/>
      <c r="MU82" s="1153"/>
      <c r="MV82" s="1153"/>
      <c r="MW82" s="1153"/>
      <c r="MX82" s="1153"/>
      <c r="MY82" s="1153"/>
      <c r="MZ82" s="1153"/>
      <c r="NA82" s="1153"/>
      <c r="NB82" s="1153"/>
      <c r="NC82" s="1153"/>
      <c r="ND82" s="1153"/>
      <c r="NE82" s="1153"/>
      <c r="NF82" s="1153"/>
      <c r="NG82" s="1153"/>
      <c r="NH82" s="1153"/>
      <c r="NI82" s="1153"/>
      <c r="NJ82" s="1153"/>
      <c r="NK82" s="1153"/>
      <c r="NL82" s="1153"/>
      <c r="NM82" s="1153"/>
      <c r="NN82" s="1153"/>
      <c r="NO82" s="1153"/>
      <c r="NP82" s="1153"/>
      <c r="NQ82" s="1153"/>
      <c r="NR82" s="1153"/>
      <c r="NS82" s="1153"/>
      <c r="NT82" s="1153"/>
      <c r="NU82" s="1153"/>
      <c r="NV82" s="1153"/>
      <c r="NW82" s="1153"/>
      <c r="NX82" s="1153"/>
      <c r="NY82" s="1153"/>
      <c r="NZ82" s="1153"/>
      <c r="OA82" s="1153"/>
      <c r="OB82" s="1153"/>
      <c r="OC82" s="1153"/>
      <c r="OD82" s="1153"/>
      <c r="OE82" s="1153"/>
      <c r="OF82" s="1153"/>
      <c r="OG82" s="1153"/>
      <c r="OH82" s="1153"/>
      <c r="OI82" s="1153"/>
      <c r="OJ82" s="1153"/>
      <c r="PY82" s="1259" t="s">
        <v>18666</v>
      </c>
      <c r="PZ82" s="1259" t="s">
        <v>3084</v>
      </c>
      <c r="QA82" s="1259" t="s">
        <v>18684</v>
      </c>
    </row>
    <row r="83" spans="2:443" ht="17.25">
      <c r="B83" s="2" t="s">
        <v>12909</v>
      </c>
      <c r="C83" s="2" t="s">
        <v>13066</v>
      </c>
      <c r="K83" s="29">
        <v>19</v>
      </c>
      <c r="L83" s="29" t="s">
        <v>567</v>
      </c>
      <c r="N83" s="2" t="s">
        <v>13200</v>
      </c>
      <c r="P83" s="29">
        <v>80</v>
      </c>
      <c r="Q83" s="29" t="s">
        <v>586</v>
      </c>
      <c r="V83" s="2">
        <v>80</v>
      </c>
      <c r="W83" s="2" t="s">
        <v>1464</v>
      </c>
      <c r="Z83" s="1190"/>
      <c r="AA83" s="1190"/>
      <c r="AB83" s="1190"/>
      <c r="AC83" s="1190"/>
      <c r="AD83" s="1190"/>
      <c r="AE83" s="1190"/>
      <c r="AF83" s="1190"/>
      <c r="AG83" s="1190"/>
      <c r="AH83" s="1190"/>
      <c r="AI83" s="1190"/>
      <c r="AJ83" s="1190"/>
      <c r="AK83" s="1190"/>
      <c r="AL83" s="1190"/>
      <c r="AM83" s="1190"/>
      <c r="AN83" s="1190"/>
      <c r="AO83" s="1190"/>
      <c r="AP83" s="1190"/>
      <c r="AQ83" s="1190"/>
      <c r="AR83" s="1190"/>
      <c r="AS83" s="1190"/>
      <c r="AT83" s="1190"/>
      <c r="AU83" s="1190"/>
      <c r="AV83" s="1190"/>
      <c r="AW83" s="1190"/>
      <c r="AX83" s="1190"/>
      <c r="AY83" s="1190"/>
      <c r="AZ83" s="1190"/>
      <c r="BA83" s="1190"/>
      <c r="BB83" s="1190"/>
      <c r="BC83" s="1190"/>
      <c r="BD83" s="1190"/>
      <c r="BE83" s="1190"/>
      <c r="BF83" s="1190"/>
      <c r="BG83" s="1190"/>
      <c r="BH83" s="1190"/>
      <c r="BI83" s="1190"/>
      <c r="BJ83" s="1190"/>
      <c r="BK83" s="1190"/>
      <c r="BL83" s="1190"/>
      <c r="BM83" s="1190"/>
      <c r="BU83" s="2">
        <v>4</v>
      </c>
      <c r="BV83" s="2" t="s">
        <v>2027</v>
      </c>
      <c r="BX83" s="2">
        <v>4</v>
      </c>
      <c r="BY83" s="2" t="s">
        <v>2035</v>
      </c>
      <c r="CA83" s="2">
        <v>4</v>
      </c>
      <c r="CB83" s="2" t="s">
        <v>2042</v>
      </c>
      <c r="DL83" s="1078" t="s">
        <v>16378</v>
      </c>
      <c r="DM83" s="1078">
        <v>60</v>
      </c>
      <c r="DQ83" s="1080" t="s">
        <v>5731</v>
      </c>
      <c r="DR83" s="1080">
        <v>1</v>
      </c>
      <c r="DS83" s="1080">
        <v>0.75</v>
      </c>
      <c r="DT83" s="1080">
        <v>0.25</v>
      </c>
      <c r="DV83" s="2" t="s">
        <v>16401</v>
      </c>
      <c r="DW83" s="2" t="s">
        <v>16402</v>
      </c>
      <c r="IQ83" s="1189"/>
      <c r="LS83" s="1189"/>
      <c r="LU83" s="1153"/>
      <c r="LV83" s="1153"/>
      <c r="LW83" s="1153"/>
      <c r="LX83" s="1153"/>
      <c r="LY83" s="1153"/>
      <c r="LZ83" s="1153"/>
      <c r="MA83" s="1153"/>
      <c r="MB83" s="1153"/>
      <c r="MC83" s="1153"/>
      <c r="MD83" s="1153"/>
      <c r="ME83" s="1153"/>
      <c r="MF83" s="1153"/>
      <c r="MG83" s="1153"/>
      <c r="MH83" s="1153"/>
      <c r="MI83" s="1153"/>
      <c r="MJ83" s="1153"/>
      <c r="MK83" s="1153"/>
      <c r="ML83" s="1153"/>
      <c r="MM83" s="1153"/>
      <c r="MN83" s="1153"/>
      <c r="MO83" s="1153"/>
      <c r="MP83" s="1153"/>
      <c r="MQ83" s="1153"/>
      <c r="MR83" s="1153"/>
      <c r="MS83" s="1153"/>
      <c r="MT83" s="1153"/>
      <c r="MU83" s="1153"/>
      <c r="MV83" s="1153"/>
      <c r="MW83" s="1153"/>
      <c r="MX83" s="1153"/>
      <c r="MY83" s="1153"/>
      <c r="MZ83" s="1153"/>
      <c r="NA83" s="1153"/>
      <c r="NB83" s="1153"/>
      <c r="NC83" s="1153"/>
      <c r="ND83" s="1153"/>
      <c r="NE83" s="1153"/>
      <c r="NF83" s="1153"/>
      <c r="NG83" s="1153"/>
      <c r="NH83" s="1153"/>
      <c r="NI83" s="1153"/>
      <c r="NJ83" s="1153"/>
      <c r="NK83" s="1153"/>
      <c r="NL83" s="1153"/>
      <c r="NM83" s="1153"/>
      <c r="NN83" s="1153"/>
      <c r="NO83" s="1153"/>
      <c r="NP83" s="1153"/>
      <c r="NQ83" s="1153"/>
      <c r="NR83" s="1153"/>
      <c r="NS83" s="1153"/>
      <c r="NT83" s="1153"/>
      <c r="NU83" s="1153"/>
      <c r="NV83" s="1153"/>
      <c r="NW83" s="1153"/>
      <c r="NX83" s="1153"/>
      <c r="NY83" s="1153"/>
      <c r="NZ83" s="1153"/>
      <c r="OA83" s="1153"/>
      <c r="OB83" s="1153"/>
      <c r="OC83" s="1153"/>
      <c r="OD83" s="1153"/>
      <c r="OE83" s="1153"/>
      <c r="OF83" s="1153"/>
      <c r="OG83" s="1153"/>
      <c r="OH83" s="1153"/>
      <c r="OI83" s="1153"/>
      <c r="OJ83" s="1153"/>
      <c r="PY83" s="1259" t="s">
        <v>18667</v>
      </c>
      <c r="PZ83" s="1259" t="s">
        <v>2858</v>
      </c>
      <c r="QA83" s="1259" t="s">
        <v>18685</v>
      </c>
    </row>
    <row r="84" spans="2:443" ht="17.25">
      <c r="B84" s="2" t="s">
        <v>13080</v>
      </c>
      <c r="C84" s="2" t="s">
        <v>12936</v>
      </c>
      <c r="K84" s="29">
        <v>20</v>
      </c>
      <c r="L84" s="29" t="s">
        <v>1572</v>
      </c>
      <c r="N84" s="2" t="s">
        <v>13202</v>
      </c>
      <c r="P84" s="29">
        <v>81</v>
      </c>
      <c r="Q84" s="29" t="s">
        <v>1600</v>
      </c>
      <c r="V84" s="2">
        <v>81</v>
      </c>
      <c r="W84" s="2" t="s">
        <v>1465</v>
      </c>
      <c r="Z84" s="1190"/>
      <c r="AA84" s="1190"/>
      <c r="AB84" s="1190"/>
      <c r="AC84" s="1190"/>
      <c r="AD84" s="1190"/>
      <c r="AE84" s="1190"/>
      <c r="AF84" s="1190"/>
      <c r="AG84" s="1190"/>
      <c r="AH84" s="1190"/>
      <c r="AI84" s="1190"/>
      <c r="AJ84" s="1190"/>
      <c r="AK84" s="1190"/>
      <c r="AL84" s="1190"/>
      <c r="AM84" s="1190"/>
      <c r="AN84" s="1190"/>
      <c r="AO84" s="1190"/>
      <c r="AP84" s="1190"/>
      <c r="AQ84" s="1190"/>
      <c r="AR84" s="1190"/>
      <c r="AS84" s="1190"/>
      <c r="AT84" s="1190"/>
      <c r="AU84" s="1190"/>
      <c r="AV84" s="1190"/>
      <c r="AW84" s="1190"/>
      <c r="AX84" s="1190"/>
      <c r="AY84" s="1190"/>
      <c r="AZ84" s="1190"/>
      <c r="BA84" s="1190"/>
      <c r="BB84" s="1190"/>
      <c r="BC84" s="1190"/>
      <c r="BD84" s="1190"/>
      <c r="BE84" s="1190"/>
      <c r="BF84" s="1190"/>
      <c r="BG84" s="1190"/>
      <c r="BH84" s="1190"/>
      <c r="BI84" s="1190"/>
      <c r="BJ84" s="1190"/>
      <c r="BK84" s="1190"/>
      <c r="BL84" s="1190"/>
      <c r="BM84" s="1190"/>
      <c r="BU84" s="2">
        <v>5</v>
      </c>
      <c r="BV84" s="2" t="s">
        <v>2028</v>
      </c>
      <c r="BX84" s="2">
        <v>5</v>
      </c>
      <c r="BY84" s="2" t="s">
        <v>2036</v>
      </c>
      <c r="CA84" s="2">
        <v>5</v>
      </c>
      <c r="CB84" s="2" t="s">
        <v>2043</v>
      </c>
      <c r="DL84" s="1080" t="s">
        <v>16379</v>
      </c>
      <c r="DM84" s="1080">
        <v>50</v>
      </c>
      <c r="DQ84" s="1078" t="s">
        <v>16356</v>
      </c>
      <c r="DR84" s="1078">
        <v>0.75</v>
      </c>
      <c r="DS84" s="1078">
        <v>0.5</v>
      </c>
      <c r="DT84" s="1078">
        <v>0</v>
      </c>
      <c r="DV84" s="2" t="s">
        <v>16356</v>
      </c>
      <c r="DW84" s="2" t="s">
        <v>16403</v>
      </c>
      <c r="IQ84" s="1189"/>
      <c r="LS84" s="1189"/>
      <c r="LU84" s="1153"/>
      <c r="LV84" s="1153"/>
      <c r="LW84" s="1153"/>
      <c r="LX84" s="1153"/>
      <c r="LY84" s="1153"/>
      <c r="LZ84" s="1153"/>
      <c r="MA84" s="1153"/>
      <c r="MB84" s="1153"/>
      <c r="MC84" s="1153"/>
      <c r="MD84" s="1153"/>
      <c r="ME84" s="1153"/>
      <c r="MF84" s="1153"/>
      <c r="MG84" s="1153"/>
      <c r="MH84" s="1153"/>
      <c r="MI84" s="1153"/>
      <c r="MJ84" s="1153"/>
      <c r="MK84" s="1153"/>
      <c r="ML84" s="1153"/>
      <c r="MM84" s="1153"/>
      <c r="MN84" s="1153"/>
      <c r="MO84" s="1153"/>
      <c r="MP84" s="1153"/>
      <c r="MQ84" s="1153"/>
      <c r="MR84" s="1153"/>
      <c r="MS84" s="1153"/>
      <c r="MT84" s="1153"/>
      <c r="MU84" s="1153"/>
      <c r="MV84" s="1153"/>
      <c r="MW84" s="1153"/>
      <c r="MX84" s="1153"/>
      <c r="MY84" s="1153"/>
      <c r="MZ84" s="1153"/>
      <c r="NA84" s="1153"/>
      <c r="NB84" s="1153"/>
      <c r="NC84" s="1153"/>
      <c r="ND84" s="1153"/>
      <c r="NE84" s="1153"/>
      <c r="NF84" s="1153"/>
      <c r="NG84" s="1153"/>
      <c r="NH84" s="1153"/>
      <c r="NI84" s="1153"/>
      <c r="NJ84" s="1153"/>
      <c r="NK84" s="1153"/>
      <c r="NL84" s="1153"/>
      <c r="NM84" s="1153"/>
      <c r="NN84" s="1153"/>
      <c r="NO84" s="1153"/>
      <c r="NP84" s="1153"/>
      <c r="NQ84" s="1153"/>
      <c r="NR84" s="1153"/>
      <c r="NS84" s="1153"/>
      <c r="NT84" s="1153"/>
      <c r="NU84" s="1153"/>
      <c r="NV84" s="1153"/>
      <c r="NW84" s="1153"/>
      <c r="NX84" s="1153"/>
      <c r="NY84" s="1153"/>
      <c r="NZ84" s="1153"/>
      <c r="OA84" s="1153"/>
      <c r="OB84" s="1153"/>
      <c r="OC84" s="1153"/>
      <c r="OD84" s="1153"/>
      <c r="OE84" s="1153"/>
      <c r="OF84" s="1153"/>
      <c r="OG84" s="1153"/>
      <c r="OH84" s="1153"/>
      <c r="OI84" s="1153"/>
      <c r="OJ84" s="1153"/>
      <c r="PY84" s="1259" t="s">
        <v>18668</v>
      </c>
      <c r="PZ84" s="1259" t="s">
        <v>18669</v>
      </c>
      <c r="QA84" s="1259" t="s">
        <v>18686</v>
      </c>
    </row>
    <row r="85" spans="2:443" ht="17.25">
      <c r="B85" s="2" t="s">
        <v>12910</v>
      </c>
      <c r="C85" s="2" t="s">
        <v>12937</v>
      </c>
      <c r="K85" s="29">
        <v>21</v>
      </c>
      <c r="L85" s="29" t="s">
        <v>542</v>
      </c>
      <c r="N85" s="2" t="s">
        <v>13203</v>
      </c>
      <c r="P85" s="29">
        <v>82</v>
      </c>
      <c r="Q85" s="29" t="s">
        <v>1601</v>
      </c>
      <c r="V85" s="2">
        <v>82</v>
      </c>
      <c r="W85" s="2" t="s">
        <v>1466</v>
      </c>
      <c r="Z85" s="1190"/>
      <c r="AA85" s="1190"/>
      <c r="AB85" s="1190"/>
      <c r="AC85" s="1190"/>
      <c r="AD85" s="1190"/>
      <c r="AE85" s="1190"/>
      <c r="AF85" s="1190"/>
      <c r="AG85" s="1190"/>
      <c r="AH85" s="1190"/>
      <c r="AI85" s="1190"/>
      <c r="AJ85" s="1190"/>
      <c r="AK85" s="1190"/>
      <c r="AL85" s="1190"/>
      <c r="AM85" s="1190"/>
      <c r="AN85" s="1190"/>
      <c r="AO85" s="1190"/>
      <c r="AP85" s="1190"/>
      <c r="AQ85" s="1190"/>
      <c r="AR85" s="1190"/>
      <c r="AS85" s="1190"/>
      <c r="AT85" s="1190"/>
      <c r="AU85" s="1190"/>
      <c r="AV85" s="1190"/>
      <c r="AW85" s="1190"/>
      <c r="AX85" s="1190"/>
      <c r="AY85" s="1190"/>
      <c r="AZ85" s="1190"/>
      <c r="BA85" s="1190"/>
      <c r="BB85" s="1190"/>
      <c r="BC85" s="1190"/>
      <c r="BD85" s="1190"/>
      <c r="BE85" s="1190"/>
      <c r="BF85" s="1190"/>
      <c r="BG85" s="1190"/>
      <c r="BH85" s="1190"/>
      <c r="BI85" s="1190"/>
      <c r="BJ85" s="1190"/>
      <c r="BK85" s="1190"/>
      <c r="BL85" s="1190"/>
      <c r="BM85" s="1190"/>
      <c r="BU85" s="2">
        <v>6</v>
      </c>
      <c r="BV85" s="2" t="s">
        <v>2029</v>
      </c>
      <c r="CA85" s="2">
        <v>6</v>
      </c>
      <c r="CB85" s="2" t="s">
        <v>2044</v>
      </c>
      <c r="DL85" s="1078" t="s">
        <v>16380</v>
      </c>
      <c r="DM85" s="1078">
        <v>40</v>
      </c>
      <c r="DQ85" s="1080" t="s">
        <v>13557</v>
      </c>
      <c r="DR85" s="1080">
        <v>1</v>
      </c>
      <c r="DS85" s="1080">
        <v>0.75</v>
      </c>
      <c r="DT85" s="1080">
        <v>0.5</v>
      </c>
      <c r="DV85" s="2" t="s">
        <v>13557</v>
      </c>
      <c r="DW85" s="2" t="s">
        <v>16404</v>
      </c>
      <c r="IQ85" s="1189"/>
      <c r="LS85" s="1189"/>
      <c r="LU85" s="1153"/>
      <c r="LV85" s="1153"/>
      <c r="LW85" s="1153"/>
      <c r="LX85" s="1153"/>
      <c r="LY85" s="1153"/>
      <c r="LZ85" s="1153"/>
      <c r="MA85" s="1153"/>
      <c r="MB85" s="1153"/>
      <c r="MC85" s="1153"/>
      <c r="MD85" s="1153"/>
      <c r="ME85" s="1153"/>
      <c r="MF85" s="1153"/>
      <c r="MG85" s="1153"/>
      <c r="MH85" s="1153"/>
      <c r="MI85" s="1153"/>
      <c r="MJ85" s="1153"/>
      <c r="MK85" s="1153"/>
      <c r="ML85" s="1153"/>
      <c r="MM85" s="1153"/>
      <c r="MN85" s="1153"/>
      <c r="MO85" s="1153"/>
      <c r="MP85" s="1153"/>
      <c r="MQ85" s="1153"/>
      <c r="MR85" s="1153"/>
      <c r="MS85" s="1153"/>
      <c r="MT85" s="1153"/>
      <c r="MU85" s="1153"/>
      <c r="MV85" s="1153"/>
      <c r="MW85" s="1153"/>
      <c r="MX85" s="1153"/>
      <c r="MY85" s="1153"/>
      <c r="MZ85" s="1153"/>
      <c r="NA85" s="1153"/>
      <c r="NB85" s="1153"/>
      <c r="NC85" s="1153"/>
      <c r="ND85" s="1153"/>
      <c r="NE85" s="1153"/>
      <c r="NF85" s="1153"/>
      <c r="NG85" s="1153"/>
      <c r="NH85" s="1153"/>
      <c r="NI85" s="1153"/>
      <c r="NJ85" s="1153"/>
      <c r="NK85" s="1153"/>
      <c r="NL85" s="1153"/>
      <c r="NM85" s="1153"/>
      <c r="NN85" s="1153"/>
      <c r="NO85" s="1153"/>
      <c r="NP85" s="1153"/>
      <c r="NQ85" s="1153"/>
      <c r="NR85" s="1153"/>
      <c r="NS85" s="1153"/>
      <c r="NT85" s="1153"/>
      <c r="NU85" s="1153"/>
      <c r="NV85" s="1153"/>
      <c r="NW85" s="1153"/>
      <c r="NX85" s="1153"/>
      <c r="NY85" s="1153"/>
      <c r="NZ85" s="1153"/>
      <c r="OA85" s="1153"/>
      <c r="OB85" s="1153"/>
      <c r="OC85" s="1153"/>
      <c r="OD85" s="1153"/>
      <c r="OE85" s="1153"/>
      <c r="OF85" s="1153"/>
      <c r="OG85" s="1153"/>
      <c r="OH85" s="1153"/>
      <c r="OI85" s="1153"/>
      <c r="OJ85" s="1153"/>
      <c r="PY85" s="1259" t="s">
        <v>18670</v>
      </c>
      <c r="PZ85" s="1259" t="s">
        <v>2461</v>
      </c>
      <c r="QA85" s="1259" t="s">
        <v>18687</v>
      </c>
    </row>
    <row r="86" spans="2:443" ht="17.25">
      <c r="B86" s="2" t="s">
        <v>13048</v>
      </c>
      <c r="C86" s="2" t="s">
        <v>12938</v>
      </c>
      <c r="K86" s="29">
        <v>22</v>
      </c>
      <c r="L86" s="29" t="s">
        <v>568</v>
      </c>
      <c r="N86" s="2" t="s">
        <v>13204</v>
      </c>
      <c r="P86" s="29">
        <v>83</v>
      </c>
      <c r="Q86" s="29" t="s">
        <v>23</v>
      </c>
      <c r="V86" s="2">
        <v>83</v>
      </c>
      <c r="W86" s="2" t="s">
        <v>1467</v>
      </c>
      <c r="Z86" s="1190"/>
      <c r="AA86" s="1190"/>
      <c r="AB86" s="1190"/>
      <c r="AC86" s="1190"/>
      <c r="AD86" s="1190"/>
      <c r="AE86" s="1190"/>
      <c r="AF86" s="1190"/>
      <c r="AG86" s="1190"/>
      <c r="AH86" s="1190"/>
      <c r="AI86" s="1190"/>
      <c r="AJ86" s="1190"/>
      <c r="AK86" s="1190"/>
      <c r="AL86" s="1190"/>
      <c r="AM86" s="1190"/>
      <c r="AN86" s="1190"/>
      <c r="AO86" s="1190"/>
      <c r="AP86" s="1190"/>
      <c r="AQ86" s="1190"/>
      <c r="AR86" s="1190"/>
      <c r="AS86" s="1190"/>
      <c r="AT86" s="1190"/>
      <c r="AU86" s="1190"/>
      <c r="AV86" s="1190"/>
      <c r="AW86" s="1190"/>
      <c r="AX86" s="1190"/>
      <c r="AY86" s="1190"/>
      <c r="AZ86" s="1190"/>
      <c r="BA86" s="1190"/>
      <c r="BB86" s="1190"/>
      <c r="BC86" s="1190"/>
      <c r="BD86" s="1190"/>
      <c r="BE86" s="1190"/>
      <c r="BF86" s="1190"/>
      <c r="BG86" s="1190"/>
      <c r="BH86" s="1190"/>
      <c r="BI86" s="1190"/>
      <c r="BJ86" s="1190"/>
      <c r="BK86" s="1190"/>
      <c r="BL86" s="1190"/>
      <c r="BM86" s="1190"/>
      <c r="CA86" s="814"/>
      <c r="CB86" s="1232" t="str" cm="1">
        <f t="array" aca="1" ref="CB86" ca="1">INDEX(CB88:CB92,RANDBETWEEN(1,5),1)</f>
        <v>Something that appears to be a mystery is clearly not when examined</v>
      </c>
      <c r="DL86" s="1080" t="s">
        <v>16381</v>
      </c>
      <c r="DM86" s="1080">
        <v>30</v>
      </c>
      <c r="DQ86" s="1078" t="s">
        <v>5730</v>
      </c>
      <c r="DR86" s="1078">
        <v>1</v>
      </c>
      <c r="DS86" s="1078">
        <v>1</v>
      </c>
      <c r="DT86" s="1078">
        <v>0.75</v>
      </c>
      <c r="DV86" s="2" t="s">
        <v>5730</v>
      </c>
      <c r="DW86" s="2" t="s">
        <v>16405</v>
      </c>
      <c r="IQ86" s="1189"/>
      <c r="LS86" s="1189"/>
      <c r="LU86" s="1153"/>
      <c r="LV86" s="1153"/>
      <c r="LW86" s="1153"/>
      <c r="LX86" s="1153"/>
      <c r="LY86" s="1153"/>
      <c r="LZ86" s="1153"/>
      <c r="MA86" s="1153"/>
      <c r="MB86" s="1153"/>
      <c r="MC86" s="1153"/>
      <c r="MD86" s="1153"/>
      <c r="ME86" s="1153"/>
      <c r="MF86" s="1153"/>
      <c r="MG86" s="1153"/>
      <c r="MH86" s="1153"/>
      <c r="MI86" s="1153"/>
      <c r="MJ86" s="1153"/>
      <c r="MK86" s="1153"/>
      <c r="ML86" s="1153"/>
      <c r="MM86" s="1153"/>
      <c r="MN86" s="1153"/>
      <c r="MO86" s="1153"/>
      <c r="MP86" s="1153"/>
      <c r="MQ86" s="1153"/>
      <c r="MR86" s="1153"/>
      <c r="MS86" s="1153"/>
      <c r="MT86" s="1153"/>
      <c r="MU86" s="1153"/>
      <c r="MV86" s="1153"/>
      <c r="MW86" s="1153"/>
      <c r="MX86" s="1153"/>
      <c r="MY86" s="1153"/>
      <c r="MZ86" s="1153"/>
      <c r="NA86" s="1153"/>
      <c r="NB86" s="1153"/>
      <c r="NC86" s="1153"/>
      <c r="ND86" s="1153"/>
      <c r="NE86" s="1153"/>
      <c r="NF86" s="1153"/>
      <c r="NG86" s="1153"/>
      <c r="NH86" s="1153"/>
      <c r="NI86" s="1153"/>
      <c r="NJ86" s="1153"/>
      <c r="NK86" s="1153"/>
      <c r="NL86" s="1153"/>
      <c r="NM86" s="1153"/>
      <c r="NN86" s="1153"/>
      <c r="NO86" s="1153"/>
      <c r="NP86" s="1153"/>
      <c r="NQ86" s="1153"/>
      <c r="NR86" s="1153"/>
      <c r="NS86" s="1153"/>
      <c r="NT86" s="1153"/>
      <c r="NU86" s="1153"/>
      <c r="NV86" s="1153"/>
      <c r="NW86" s="1153"/>
      <c r="NX86" s="1153"/>
      <c r="NY86" s="1153"/>
      <c r="NZ86" s="1153"/>
      <c r="OA86" s="1153"/>
      <c r="OB86" s="1153"/>
      <c r="OC86" s="1153"/>
      <c r="OD86" s="1153"/>
      <c r="OE86" s="1153"/>
      <c r="OF86" s="1153"/>
      <c r="OG86" s="1153"/>
      <c r="OH86" s="1153"/>
      <c r="OI86" s="1153"/>
      <c r="OJ86" s="1153"/>
      <c r="PY86" s="1259" t="s">
        <v>18671</v>
      </c>
      <c r="PZ86" s="1259" t="s">
        <v>18672</v>
      </c>
      <c r="QA86" s="1259" t="s">
        <v>18688</v>
      </c>
    </row>
    <row r="87" spans="2:443" ht="17.25">
      <c r="B87" s="2" t="s">
        <v>12911</v>
      </c>
      <c r="C87" s="2" t="s">
        <v>12939</v>
      </c>
      <c r="K87" s="29">
        <v>23</v>
      </c>
      <c r="L87" s="29" t="s">
        <v>1573</v>
      </c>
      <c r="N87" s="2" t="s">
        <v>13205</v>
      </c>
      <c r="P87" s="29">
        <v>84</v>
      </c>
      <c r="Q87" s="29" t="s">
        <v>587</v>
      </c>
      <c r="V87" s="2">
        <v>84</v>
      </c>
      <c r="W87" s="2" t="s">
        <v>1468</v>
      </c>
      <c r="Z87" s="1190"/>
      <c r="AA87" s="1190"/>
      <c r="AB87" s="1190"/>
      <c r="AC87" s="1190"/>
      <c r="AD87" s="1190"/>
      <c r="AE87" s="1190"/>
      <c r="AF87" s="1190"/>
      <c r="AG87" s="1190"/>
      <c r="AH87" s="1190"/>
      <c r="AI87" s="1190"/>
      <c r="AJ87" s="1190"/>
      <c r="AK87" s="1190"/>
      <c r="AL87" s="1190"/>
      <c r="AM87" s="1190"/>
      <c r="AN87" s="1190"/>
      <c r="AO87" s="1190"/>
      <c r="AP87" s="1190"/>
      <c r="AQ87" s="1190"/>
      <c r="AR87" s="1190"/>
      <c r="AS87" s="1190"/>
      <c r="AT87" s="1190"/>
      <c r="AU87" s="1190"/>
      <c r="AV87" s="1190"/>
      <c r="AW87" s="1190"/>
      <c r="AX87" s="1190"/>
      <c r="AY87" s="1190"/>
      <c r="AZ87" s="1190"/>
      <c r="BA87" s="1190"/>
      <c r="BB87" s="1190"/>
      <c r="BC87" s="1190"/>
      <c r="BD87" s="1190"/>
      <c r="BE87" s="1190"/>
      <c r="BF87" s="1190"/>
      <c r="BG87" s="1190"/>
      <c r="BH87" s="1190"/>
      <c r="BI87" s="1190"/>
      <c r="BJ87" s="1190"/>
      <c r="BK87" s="1190"/>
      <c r="BL87" s="1190"/>
      <c r="BM87" s="1190"/>
      <c r="CA87" s="2" t="s">
        <v>1643</v>
      </c>
      <c r="CB87" s="2" t="s">
        <v>2050</v>
      </c>
      <c r="DL87" s="1078" t="s">
        <v>16382</v>
      </c>
      <c r="DM87" s="1078">
        <v>20</v>
      </c>
      <c r="DQ87" s="1080" t="s">
        <v>16357</v>
      </c>
      <c r="DR87" s="1080">
        <v>1</v>
      </c>
      <c r="DS87" s="1080">
        <v>1</v>
      </c>
      <c r="DT87" s="1080">
        <v>0.75</v>
      </c>
      <c r="DV87" s="2" t="s">
        <v>7748</v>
      </c>
      <c r="DW87" s="2" t="s">
        <v>16406</v>
      </c>
      <c r="IQ87" s="1189"/>
      <c r="LS87" s="1189"/>
      <c r="LU87" s="1153"/>
      <c r="LV87" s="1153"/>
      <c r="LW87" s="1153"/>
      <c r="LX87" s="1153"/>
      <c r="LY87" s="1153"/>
      <c r="LZ87" s="1153"/>
      <c r="MA87" s="1153"/>
      <c r="MB87" s="1153"/>
      <c r="MC87" s="1153"/>
      <c r="MD87" s="1153"/>
      <c r="ME87" s="1153"/>
      <c r="MF87" s="1153"/>
      <c r="MG87" s="1153"/>
      <c r="MH87" s="1153"/>
      <c r="MI87" s="1153"/>
      <c r="MJ87" s="1153"/>
      <c r="MK87" s="1153"/>
      <c r="ML87" s="1153"/>
      <c r="MM87" s="1153"/>
      <c r="MN87" s="1153"/>
      <c r="MO87" s="1153"/>
      <c r="MP87" s="1153"/>
      <c r="MQ87" s="1153"/>
      <c r="MR87" s="1153"/>
      <c r="MS87" s="1153"/>
      <c r="MT87" s="1153"/>
      <c r="MU87" s="1153"/>
      <c r="MV87" s="1153"/>
      <c r="MW87" s="1153"/>
      <c r="MX87" s="1153"/>
      <c r="MY87" s="1153"/>
      <c r="MZ87" s="1153"/>
      <c r="NA87" s="1153"/>
      <c r="NB87" s="1153"/>
      <c r="NC87" s="1153"/>
      <c r="ND87" s="1153"/>
      <c r="NE87" s="1153"/>
      <c r="NF87" s="1153"/>
      <c r="NG87" s="1153"/>
      <c r="NH87" s="1153"/>
      <c r="NI87" s="1153"/>
      <c r="NJ87" s="1153"/>
      <c r="NK87" s="1153"/>
      <c r="NL87" s="1153"/>
      <c r="NM87" s="1153"/>
      <c r="NN87" s="1153"/>
      <c r="NO87" s="1153"/>
      <c r="NP87" s="1153"/>
      <c r="NQ87" s="1153"/>
      <c r="NR87" s="1153"/>
      <c r="NS87" s="1153"/>
      <c r="NT87" s="1153"/>
      <c r="NU87" s="1153"/>
      <c r="NV87" s="1153"/>
      <c r="NW87" s="1153"/>
      <c r="NX87" s="1153"/>
      <c r="NY87" s="1153"/>
      <c r="NZ87" s="1153"/>
      <c r="OA87" s="1153"/>
      <c r="OB87" s="1153"/>
      <c r="OC87" s="1153"/>
      <c r="OD87" s="1153"/>
      <c r="OE87" s="1153"/>
      <c r="OF87" s="1153"/>
      <c r="OG87" s="1153"/>
      <c r="OH87" s="1153"/>
      <c r="OI87" s="1153"/>
      <c r="OJ87" s="1153"/>
      <c r="PY87" s="1259" t="s">
        <v>18673</v>
      </c>
      <c r="PZ87" s="1259" t="s">
        <v>18674</v>
      </c>
      <c r="QA87" s="1259" t="s">
        <v>18689</v>
      </c>
    </row>
    <row r="88" spans="2:443" ht="17.25">
      <c r="B88" s="2" t="s">
        <v>13049</v>
      </c>
      <c r="C88" s="2" t="s">
        <v>13088</v>
      </c>
      <c r="K88" s="29">
        <v>24</v>
      </c>
      <c r="L88" s="29" t="s">
        <v>569</v>
      </c>
      <c r="N88" s="2" t="s">
        <v>13206</v>
      </c>
      <c r="P88" s="29">
        <v>85</v>
      </c>
      <c r="Q88" s="29" t="s">
        <v>1602</v>
      </c>
      <c r="V88" s="2">
        <v>85</v>
      </c>
      <c r="W88" s="2" t="s">
        <v>1469</v>
      </c>
      <c r="Z88" s="1190"/>
      <c r="AA88" s="1190"/>
      <c r="AB88" s="1190"/>
      <c r="AC88" s="1190"/>
      <c r="AD88" s="1190"/>
      <c r="AE88" s="1190"/>
      <c r="AF88" s="1190"/>
      <c r="AG88" s="1190"/>
      <c r="AH88" s="1190"/>
      <c r="AI88" s="1190"/>
      <c r="AJ88" s="1190"/>
      <c r="AK88" s="1190"/>
      <c r="AL88" s="1190"/>
      <c r="AM88" s="1190"/>
      <c r="AN88" s="1190"/>
      <c r="AO88" s="1190"/>
      <c r="AP88" s="1190"/>
      <c r="AQ88" s="1190"/>
      <c r="AR88" s="1190"/>
      <c r="AS88" s="1190"/>
      <c r="AT88" s="1190"/>
      <c r="AU88" s="1190"/>
      <c r="AV88" s="1190"/>
      <c r="AW88" s="1190"/>
      <c r="AX88" s="1190"/>
      <c r="AY88" s="1190"/>
      <c r="AZ88" s="1190"/>
      <c r="BA88" s="1190"/>
      <c r="BB88" s="1190"/>
      <c r="BC88" s="1190"/>
      <c r="BD88" s="1190"/>
      <c r="BE88" s="1190"/>
      <c r="BF88" s="1190"/>
      <c r="BG88" s="1190"/>
      <c r="BH88" s="1190"/>
      <c r="BI88" s="1190"/>
      <c r="BJ88" s="1190"/>
      <c r="BK88" s="1190"/>
      <c r="BL88" s="1190"/>
      <c r="BM88" s="1190"/>
      <c r="BV88" s="1229" t="str" cm="1">
        <f t="array" aca="1" ref="BV88" ca="1">INDEX(BV90:BV93,RANDBETWEEN(1,4),1)</f>
        <v>You set out to explore an area only to discover it is already well mapped</v>
      </c>
      <c r="CA88" s="2">
        <v>1</v>
      </c>
      <c r="CB88" s="2" t="s">
        <v>2051</v>
      </c>
      <c r="DL88" s="1078" t="s">
        <v>16383</v>
      </c>
      <c r="DM88" s="1078">
        <v>5</v>
      </c>
      <c r="DQ88" s="1078" t="s">
        <v>16358</v>
      </c>
      <c r="DR88" s="1078">
        <v>1</v>
      </c>
      <c r="DS88" s="1078">
        <v>0</v>
      </c>
      <c r="DT88" s="1078">
        <v>0.5</v>
      </c>
      <c r="DV88" s="2" t="s">
        <v>13681</v>
      </c>
      <c r="DW88" s="2" t="s">
        <v>16407</v>
      </c>
      <c r="IQ88" s="1189"/>
      <c r="LS88" s="1189"/>
      <c r="PY88" s="1259" t="s">
        <v>18675</v>
      </c>
      <c r="PZ88" s="1259" t="s">
        <v>13483</v>
      </c>
      <c r="QA88" s="1259" t="s">
        <v>18690</v>
      </c>
    </row>
    <row r="89" spans="2:443" ht="17.25">
      <c r="B89" s="2" t="s">
        <v>12912</v>
      </c>
      <c r="C89" s="2" t="s">
        <v>13067</v>
      </c>
      <c r="K89" s="29">
        <v>25</v>
      </c>
      <c r="L89" s="29" t="s">
        <v>1574</v>
      </c>
      <c r="N89" s="2" t="s">
        <v>13207</v>
      </c>
      <c r="P89" s="29">
        <v>86</v>
      </c>
      <c r="Q89" s="29" t="s">
        <v>588</v>
      </c>
      <c r="V89" s="2">
        <v>86</v>
      </c>
      <c r="W89" s="2" t="s">
        <v>1470</v>
      </c>
      <c r="Z89" s="1190"/>
      <c r="AA89" s="1190"/>
      <c r="AB89" s="1190"/>
      <c r="AC89" s="1190"/>
      <c r="AD89" s="1190"/>
      <c r="AE89" s="1190"/>
      <c r="AF89" s="1190"/>
      <c r="AG89" s="1190"/>
      <c r="AH89" s="1190"/>
      <c r="AI89" s="1190"/>
      <c r="AJ89" s="1190"/>
      <c r="AK89" s="1190"/>
      <c r="AL89" s="1190"/>
      <c r="AM89" s="1190"/>
      <c r="AN89" s="1190"/>
      <c r="AO89" s="1190"/>
      <c r="AP89" s="1190"/>
      <c r="AQ89" s="1190"/>
      <c r="AR89" s="1190"/>
      <c r="AS89" s="1190"/>
      <c r="AT89" s="1190"/>
      <c r="AU89" s="1190"/>
      <c r="AV89" s="1190"/>
      <c r="AW89" s="1190"/>
      <c r="AX89" s="1190"/>
      <c r="AY89" s="1190"/>
      <c r="AZ89" s="1190"/>
      <c r="BA89" s="1190"/>
      <c r="BB89" s="1190"/>
      <c r="BC89" s="1190"/>
      <c r="BD89" s="1190"/>
      <c r="BE89" s="1190"/>
      <c r="BF89" s="1190"/>
      <c r="BG89" s="1190"/>
      <c r="BH89" s="1190"/>
      <c r="BI89" s="1190"/>
      <c r="BJ89" s="1190"/>
      <c r="BK89" s="1190"/>
      <c r="BL89" s="1190"/>
      <c r="BM89" s="1190"/>
      <c r="BU89" s="2" t="s">
        <v>1643</v>
      </c>
      <c r="BV89" s="2" t="s">
        <v>2045</v>
      </c>
      <c r="CA89" s="2">
        <v>2</v>
      </c>
      <c r="CB89" s="2" t="s">
        <v>2052</v>
      </c>
      <c r="DL89" s="1080" t="s">
        <v>16384</v>
      </c>
      <c r="DM89" s="1080">
        <v>10</v>
      </c>
      <c r="DQ89" s="1080" t="s">
        <v>5727</v>
      </c>
      <c r="DR89" s="1080">
        <v>1</v>
      </c>
      <c r="DS89" s="1080">
        <v>0.75</v>
      </c>
      <c r="DT89" s="1080">
        <v>0.5</v>
      </c>
      <c r="DV89" s="2" t="s">
        <v>16357</v>
      </c>
      <c r="DW89" s="2" t="s">
        <v>16408</v>
      </c>
      <c r="IQ89" s="1189"/>
      <c r="LS89" s="1189"/>
      <c r="PY89" s="1259" t="s">
        <v>18676</v>
      </c>
      <c r="PZ89" s="1259" t="s">
        <v>2743</v>
      </c>
      <c r="QA89" s="1259" t="s">
        <v>18691</v>
      </c>
    </row>
    <row r="90" spans="2:443" ht="17.25">
      <c r="B90" s="2" t="s">
        <v>12913</v>
      </c>
      <c r="C90" s="2" t="s">
        <v>13068</v>
      </c>
      <c r="E90" s="2" t="s">
        <v>13013</v>
      </c>
      <c r="F90" s="2" t="s">
        <v>13014</v>
      </c>
      <c r="K90" s="29">
        <v>26</v>
      </c>
      <c r="L90" s="29" t="s">
        <v>1575</v>
      </c>
      <c r="N90" s="2" t="s">
        <v>13208</v>
      </c>
      <c r="P90" s="29">
        <v>87</v>
      </c>
      <c r="Q90" s="29" t="s">
        <v>11</v>
      </c>
      <c r="V90" s="2">
        <v>87</v>
      </c>
      <c r="W90" s="2" t="s">
        <v>1471</v>
      </c>
      <c r="Z90" s="1190"/>
      <c r="AA90" s="1190"/>
      <c r="AB90" s="1190"/>
      <c r="AC90" s="1190"/>
      <c r="AD90" s="1190"/>
      <c r="AE90" s="1190"/>
      <c r="AF90" s="1190"/>
      <c r="AG90" s="1190"/>
      <c r="AH90" s="1190"/>
      <c r="AI90" s="1190"/>
      <c r="AJ90" s="1190"/>
      <c r="AK90" s="1190"/>
      <c r="AL90" s="1190"/>
      <c r="AM90" s="1190"/>
      <c r="AN90" s="1190"/>
      <c r="AO90" s="1190"/>
      <c r="AP90" s="1190"/>
      <c r="AQ90" s="1190"/>
      <c r="AR90" s="1190"/>
      <c r="AS90" s="1190"/>
      <c r="AT90" s="1190"/>
      <c r="AU90" s="1190"/>
      <c r="AV90" s="1190"/>
      <c r="AW90" s="1190"/>
      <c r="AX90" s="1190"/>
      <c r="AY90" s="1190"/>
      <c r="AZ90" s="1190"/>
      <c r="BA90" s="1190"/>
      <c r="BB90" s="1190"/>
      <c r="BC90" s="1190"/>
      <c r="BD90" s="1190"/>
      <c r="BE90" s="1190"/>
      <c r="BF90" s="1190"/>
      <c r="BG90" s="1190"/>
      <c r="BH90" s="1190"/>
      <c r="BI90" s="1190"/>
      <c r="BJ90" s="1190"/>
      <c r="BK90" s="1190"/>
      <c r="BL90" s="1190"/>
      <c r="BM90" s="1190"/>
      <c r="BU90" s="2">
        <v>1</v>
      </c>
      <c r="BV90" s="2" t="s">
        <v>2046</v>
      </c>
      <c r="CA90" s="2">
        <v>3</v>
      </c>
      <c r="CB90" s="2" t="s">
        <v>2053</v>
      </c>
      <c r="DL90" s="1078" t="s">
        <v>16385</v>
      </c>
      <c r="DM90" s="1078">
        <v>15</v>
      </c>
      <c r="DV90" s="2" t="s">
        <v>16358</v>
      </c>
      <c r="DW90" s="2" t="s">
        <v>16409</v>
      </c>
      <c r="IQ90" s="1189"/>
      <c r="LS90" s="1189"/>
      <c r="PY90" s="1259" t="s">
        <v>18677</v>
      </c>
      <c r="PZ90" s="1259" t="s">
        <v>2319</v>
      </c>
      <c r="QA90" s="1259" t="s">
        <v>18692</v>
      </c>
    </row>
    <row r="91" spans="2:443" ht="17.25">
      <c r="B91" s="2" t="s">
        <v>12914</v>
      </c>
      <c r="C91" s="2" t="s">
        <v>12940</v>
      </c>
      <c r="E91" s="596" t="s">
        <v>13037</v>
      </c>
      <c r="F91" s="596" t="s">
        <v>13015</v>
      </c>
      <c r="K91" s="29">
        <v>27</v>
      </c>
      <c r="L91" s="29" t="s">
        <v>1576</v>
      </c>
      <c r="N91" s="2" t="s">
        <v>13209</v>
      </c>
      <c r="P91" s="29">
        <v>88</v>
      </c>
      <c r="Q91" s="29" t="s">
        <v>589</v>
      </c>
      <c r="V91" s="2">
        <v>88</v>
      </c>
      <c r="W91" s="2" t="s">
        <v>1472</v>
      </c>
      <c r="Z91" s="1190"/>
      <c r="AA91" s="1190"/>
      <c r="AB91" s="1190"/>
      <c r="AC91" s="1190"/>
      <c r="AD91" s="1190"/>
      <c r="AE91" s="1190"/>
      <c r="AF91" s="1190"/>
      <c r="AG91" s="1190"/>
      <c r="AH91" s="1190"/>
      <c r="AI91" s="1190"/>
      <c r="AJ91" s="1190"/>
      <c r="AK91" s="1190"/>
      <c r="AL91" s="1190"/>
      <c r="AM91" s="1190"/>
      <c r="AN91" s="1190"/>
      <c r="AO91" s="1190"/>
      <c r="AP91" s="1190"/>
      <c r="AQ91" s="1190"/>
      <c r="AR91" s="1190"/>
      <c r="AS91" s="1190"/>
      <c r="AT91" s="1190"/>
      <c r="AU91" s="1190"/>
      <c r="AV91" s="1190"/>
      <c r="AW91" s="1190"/>
      <c r="AX91" s="1190"/>
      <c r="AY91" s="1190"/>
      <c r="AZ91" s="1190"/>
      <c r="BA91" s="1190"/>
      <c r="BB91" s="1190"/>
      <c r="BC91" s="1190"/>
      <c r="BD91" s="1190"/>
      <c r="BE91" s="1190"/>
      <c r="BF91" s="1190"/>
      <c r="BG91" s="1190"/>
      <c r="BH91" s="1190"/>
      <c r="BI91" s="1190"/>
      <c r="BJ91" s="1190"/>
      <c r="BK91" s="1190"/>
      <c r="BL91" s="1190"/>
      <c r="BM91" s="1190"/>
      <c r="BU91" s="2">
        <v>2</v>
      </c>
      <c r="BV91" s="2" t="s">
        <v>2047</v>
      </c>
      <c r="CA91" s="2">
        <v>4</v>
      </c>
      <c r="CB91" s="2" t="s">
        <v>2054</v>
      </c>
      <c r="DL91" s="1080" t="s">
        <v>16386</v>
      </c>
      <c r="DM91" s="1080">
        <v>20</v>
      </c>
      <c r="DV91" s="2" t="s">
        <v>5727</v>
      </c>
      <c r="DW91" s="2" t="s">
        <v>16410</v>
      </c>
      <c r="IQ91" s="1189"/>
      <c r="LS91" s="1189"/>
      <c r="PY91" s="1259" t="s">
        <v>18678</v>
      </c>
      <c r="PZ91" s="1259" t="s">
        <v>18679</v>
      </c>
      <c r="QA91" s="1259" t="s">
        <v>18693</v>
      </c>
    </row>
    <row r="92" spans="2:443" ht="17.25">
      <c r="B92" s="2" t="s">
        <v>13050</v>
      </c>
      <c r="C92" s="2" t="s">
        <v>12940</v>
      </c>
      <c r="E92" s="596" t="s">
        <v>13038</v>
      </c>
      <c r="F92" s="596" t="s">
        <v>13016</v>
      </c>
      <c r="K92" s="29">
        <v>28</v>
      </c>
      <c r="L92" s="29" t="s">
        <v>570</v>
      </c>
      <c r="N92" s="2" t="s">
        <v>13210</v>
      </c>
      <c r="P92" s="29">
        <v>89</v>
      </c>
      <c r="Q92" s="29" t="s">
        <v>1603</v>
      </c>
      <c r="V92" s="2">
        <v>89</v>
      </c>
      <c r="W92" s="2" t="s">
        <v>1473</v>
      </c>
      <c r="Z92" s="1190"/>
      <c r="AA92" s="1190"/>
      <c r="AB92" s="1190"/>
      <c r="AC92" s="1190"/>
      <c r="AD92" s="1190"/>
      <c r="AE92" s="1190"/>
      <c r="AF92" s="1190"/>
      <c r="AG92" s="1190"/>
      <c r="AH92" s="1190"/>
      <c r="AI92" s="1190"/>
      <c r="AJ92" s="1190"/>
      <c r="AK92" s="1190"/>
      <c r="AL92" s="1190"/>
      <c r="AM92" s="1190"/>
      <c r="AN92" s="1190"/>
      <c r="AO92" s="1190"/>
      <c r="AP92" s="1190"/>
      <c r="AQ92" s="1190"/>
      <c r="AR92" s="1190"/>
      <c r="AS92" s="1190"/>
      <c r="AT92" s="1190"/>
      <c r="AU92" s="1190"/>
      <c r="AV92" s="1190"/>
      <c r="AW92" s="1190"/>
      <c r="AX92" s="1190"/>
      <c r="AY92" s="1190"/>
      <c r="AZ92" s="1190"/>
      <c r="BA92" s="1190"/>
      <c r="BB92" s="1190"/>
      <c r="BC92" s="1190"/>
      <c r="BD92" s="1190"/>
      <c r="BE92" s="1190"/>
      <c r="BF92" s="1190"/>
      <c r="BG92" s="1190"/>
      <c r="BH92" s="1190"/>
      <c r="BI92" s="1190"/>
      <c r="BJ92" s="1190"/>
      <c r="BK92" s="1190"/>
      <c r="BL92" s="1190"/>
      <c r="BM92" s="1190"/>
      <c r="BU92" s="2">
        <v>3</v>
      </c>
      <c r="BV92" s="2" t="s">
        <v>2048</v>
      </c>
      <c r="CA92" s="2">
        <v>5</v>
      </c>
      <c r="CB92" s="2" t="s">
        <v>2055</v>
      </c>
      <c r="DL92" s="1078" t="s">
        <v>16387</v>
      </c>
      <c r="DM92" s="1078">
        <v>25</v>
      </c>
      <c r="DV92" s="2" t="s">
        <v>13772</v>
      </c>
      <c r="DW92" s="2" t="s">
        <v>16411</v>
      </c>
      <c r="IQ92" s="1189"/>
      <c r="LS92" s="1189"/>
      <c r="PY92" s="1259"/>
      <c r="PZ92" s="1259"/>
      <c r="QA92" s="1259"/>
    </row>
    <row r="93" spans="2:443" ht="17.25">
      <c r="B93" s="2" t="s">
        <v>13081</v>
      </c>
      <c r="C93" s="2" t="s">
        <v>13069</v>
      </c>
      <c r="E93" s="596" t="s">
        <v>13039</v>
      </c>
      <c r="F93" s="596" t="s">
        <v>13017</v>
      </c>
      <c r="K93" s="29">
        <v>29</v>
      </c>
      <c r="L93" s="29" t="s">
        <v>41</v>
      </c>
      <c r="N93" s="2" t="s">
        <v>13211</v>
      </c>
      <c r="P93" s="29">
        <v>90</v>
      </c>
      <c r="Q93" s="29" t="s">
        <v>590</v>
      </c>
      <c r="V93" s="2">
        <v>90</v>
      </c>
      <c r="W93" s="2" t="s">
        <v>1474</v>
      </c>
      <c r="Z93" s="1190"/>
      <c r="AA93" s="1190"/>
      <c r="AB93" s="1190"/>
      <c r="AC93" s="1190"/>
      <c r="AD93" s="1190"/>
      <c r="AE93" s="1190"/>
      <c r="AF93" s="1190"/>
      <c r="AG93" s="1190"/>
      <c r="AH93" s="1190"/>
      <c r="AI93" s="1190"/>
      <c r="AJ93" s="1190"/>
      <c r="AK93" s="1190"/>
      <c r="AL93" s="1190"/>
      <c r="AM93" s="1190"/>
      <c r="AN93" s="1190"/>
      <c r="AO93" s="1190"/>
      <c r="AP93" s="1190"/>
      <c r="AQ93" s="1190"/>
      <c r="AR93" s="1190"/>
      <c r="AS93" s="1190"/>
      <c r="AT93" s="1190"/>
      <c r="AU93" s="1190"/>
      <c r="AV93" s="1190"/>
      <c r="AW93" s="1190"/>
      <c r="AX93" s="1190"/>
      <c r="AY93" s="1190"/>
      <c r="AZ93" s="1190"/>
      <c r="BA93" s="1190"/>
      <c r="BB93" s="1190"/>
      <c r="BC93" s="1190"/>
      <c r="BD93" s="1190"/>
      <c r="BE93" s="1190"/>
      <c r="BF93" s="1190"/>
      <c r="BG93" s="1190"/>
      <c r="BH93" s="1190"/>
      <c r="BI93" s="1190"/>
      <c r="BJ93" s="1190"/>
      <c r="BK93" s="1190"/>
      <c r="BL93" s="1190"/>
      <c r="BM93" s="1190"/>
      <c r="BU93" s="2">
        <v>4</v>
      </c>
      <c r="BV93" s="2" t="s">
        <v>2049</v>
      </c>
      <c r="DL93" s="1080" t="s">
        <v>16388</v>
      </c>
      <c r="DM93" s="1080">
        <v>30</v>
      </c>
      <c r="IQ93" s="1189"/>
      <c r="LS93" s="1189"/>
      <c r="PY93" s="1259" t="s">
        <v>18680</v>
      </c>
      <c r="PZ93" s="1259"/>
      <c r="QA93" s="1259"/>
    </row>
    <row r="94" spans="2:443" ht="17.25">
      <c r="B94" s="2" t="s">
        <v>12915</v>
      </c>
      <c r="C94" s="2" t="s">
        <v>12941</v>
      </c>
      <c r="E94" s="596" t="s">
        <v>13040</v>
      </c>
      <c r="F94" s="596" t="s">
        <v>13018</v>
      </c>
      <c r="K94" s="29">
        <v>30</v>
      </c>
      <c r="L94" s="29" t="s">
        <v>571</v>
      </c>
      <c r="N94" s="2" t="s">
        <v>13212</v>
      </c>
      <c r="P94" s="29">
        <v>91</v>
      </c>
      <c r="Q94" s="29" t="s">
        <v>86</v>
      </c>
      <c r="V94" s="2">
        <v>91</v>
      </c>
      <c r="W94" s="2" t="s">
        <v>1475</v>
      </c>
      <c r="Z94" s="1190"/>
      <c r="AA94" s="1190"/>
      <c r="AB94" s="1190"/>
      <c r="AC94" s="1190"/>
      <c r="AD94" s="1190"/>
      <c r="AE94" s="1190"/>
      <c r="AF94" s="1190"/>
      <c r="AG94" s="1190"/>
      <c r="AH94" s="1190"/>
      <c r="AI94" s="1190"/>
      <c r="AJ94" s="1190"/>
      <c r="AK94" s="1190"/>
      <c r="AL94" s="1190"/>
      <c r="AM94" s="1190"/>
      <c r="AN94" s="1190"/>
      <c r="AO94" s="1190"/>
      <c r="AP94" s="1190"/>
      <c r="AQ94" s="1190"/>
      <c r="AR94" s="1190"/>
      <c r="AS94" s="1190"/>
      <c r="AT94" s="1190"/>
      <c r="AU94" s="1190"/>
      <c r="AV94" s="1190"/>
      <c r="AW94" s="1190"/>
      <c r="AX94" s="1190"/>
      <c r="AY94" s="1190"/>
      <c r="AZ94" s="1190"/>
      <c r="BA94" s="1190"/>
      <c r="BB94" s="1190"/>
      <c r="BC94" s="1190"/>
      <c r="BD94" s="1190"/>
      <c r="BE94" s="1190"/>
      <c r="BF94" s="1190"/>
      <c r="BG94" s="1190"/>
      <c r="BH94" s="1190"/>
      <c r="BI94" s="1190"/>
      <c r="BJ94" s="1190"/>
      <c r="BK94" s="1190"/>
      <c r="BL94" s="1190"/>
      <c r="BM94" s="1190"/>
      <c r="DL94" s="1078" t="s">
        <v>16389</v>
      </c>
      <c r="DM94" s="1078">
        <v>40</v>
      </c>
      <c r="IQ94" s="1189"/>
      <c r="LS94" s="1189"/>
      <c r="PY94" s="1259" t="s">
        <v>18681</v>
      </c>
      <c r="PZ94" s="1259"/>
      <c r="QA94" s="1259"/>
    </row>
    <row r="95" spans="2:443" ht="17.25">
      <c r="B95" s="2" t="s">
        <v>13051</v>
      </c>
      <c r="C95" s="2" t="s">
        <v>13070</v>
      </c>
      <c r="E95" s="596" t="s">
        <v>13041</v>
      </c>
      <c r="F95" s="596" t="s">
        <v>13019</v>
      </c>
      <c r="K95" s="29">
        <v>31</v>
      </c>
      <c r="L95" s="29" t="s">
        <v>92</v>
      </c>
      <c r="N95" s="2" t="s">
        <v>13213</v>
      </c>
      <c r="P95" s="29">
        <v>92</v>
      </c>
      <c r="Q95" s="29" t="s">
        <v>591</v>
      </c>
      <c r="V95" s="2">
        <v>92</v>
      </c>
      <c r="W95" s="2" t="s">
        <v>1476</v>
      </c>
      <c r="Z95" s="1190"/>
      <c r="AA95" s="1190"/>
      <c r="AB95" s="1190"/>
      <c r="AC95" s="1190"/>
      <c r="AD95" s="1190"/>
      <c r="AE95" s="1190"/>
      <c r="AF95" s="1190"/>
      <c r="AG95" s="1190"/>
      <c r="AH95" s="1190"/>
      <c r="AI95" s="1190"/>
      <c r="AJ95" s="1190"/>
      <c r="AK95" s="1190"/>
      <c r="AL95" s="1190"/>
      <c r="AM95" s="1190"/>
      <c r="AN95" s="1190"/>
      <c r="AO95" s="1190"/>
      <c r="AP95" s="1190"/>
      <c r="AQ95" s="1190"/>
      <c r="AR95" s="1190"/>
      <c r="AS95" s="1190"/>
      <c r="AT95" s="1190"/>
      <c r="AU95" s="1190"/>
      <c r="AV95" s="1190"/>
      <c r="AW95" s="1190"/>
      <c r="AX95" s="1190"/>
      <c r="AY95" s="1190"/>
      <c r="AZ95" s="1190"/>
      <c r="BA95" s="1190"/>
      <c r="BB95" s="1190"/>
      <c r="BC95" s="1190"/>
      <c r="BD95" s="1190"/>
      <c r="BE95" s="1190"/>
      <c r="BF95" s="1190"/>
      <c r="BG95" s="1190"/>
      <c r="BH95" s="1190"/>
      <c r="BI95" s="1190"/>
      <c r="BJ95" s="1190"/>
      <c r="BK95" s="1190"/>
      <c r="BL95" s="1190"/>
      <c r="BM95" s="1190"/>
      <c r="DL95" s="1086" t="s">
        <v>16390</v>
      </c>
      <c r="DM95" s="1084"/>
      <c r="IQ95" s="1189"/>
      <c r="LS95" s="1189"/>
      <c r="PY95" s="1259" t="s">
        <v>18682</v>
      </c>
      <c r="PZ95" s="1259"/>
      <c r="QA95" s="1259"/>
    </row>
    <row r="96" spans="2:443" ht="17.25">
      <c r="B96" s="2" t="s">
        <v>12916</v>
      </c>
      <c r="C96" s="2" t="s">
        <v>13071</v>
      </c>
      <c r="F96" s="596" t="s">
        <v>13020</v>
      </c>
      <c r="K96" s="29">
        <v>32</v>
      </c>
      <c r="L96" s="29" t="s">
        <v>1577</v>
      </c>
      <c r="N96" s="2" t="s">
        <v>13214</v>
      </c>
      <c r="P96" s="29">
        <v>93</v>
      </c>
      <c r="Q96" s="29" t="s">
        <v>79</v>
      </c>
      <c r="V96" s="2">
        <v>93</v>
      </c>
      <c r="W96" s="2" t="s">
        <v>1477</v>
      </c>
      <c r="Z96" s="1190"/>
      <c r="AA96" s="1190"/>
      <c r="AB96" s="1190"/>
      <c r="AC96" s="1190"/>
      <c r="AD96" s="1190"/>
      <c r="AE96" s="1190"/>
      <c r="AF96" s="1190"/>
      <c r="AG96" s="1190"/>
      <c r="AH96" s="1190"/>
      <c r="AI96" s="1190"/>
      <c r="AJ96" s="1190"/>
      <c r="AK96" s="1190"/>
      <c r="AL96" s="1190"/>
      <c r="AM96" s="1190"/>
      <c r="AN96" s="1190"/>
      <c r="AO96" s="1190"/>
      <c r="AP96" s="1190"/>
      <c r="AQ96" s="1190"/>
      <c r="AR96" s="1190"/>
      <c r="AS96" s="1190"/>
      <c r="AT96" s="1190"/>
      <c r="AU96" s="1190"/>
      <c r="AV96" s="1190"/>
      <c r="AW96" s="1190"/>
      <c r="AX96" s="1190"/>
      <c r="AY96" s="1190"/>
      <c r="AZ96" s="1190"/>
      <c r="BA96" s="1190"/>
      <c r="BB96" s="1190"/>
      <c r="BC96" s="1190"/>
      <c r="BD96" s="1190"/>
      <c r="BE96" s="1190"/>
      <c r="BF96" s="1190"/>
      <c r="BG96" s="1190"/>
      <c r="BH96" s="1190"/>
      <c r="BI96" s="1190"/>
      <c r="BJ96" s="1190"/>
      <c r="BK96" s="1190"/>
      <c r="BL96" s="1190"/>
      <c r="BM96" s="1190"/>
      <c r="BY96" s="1229" t="str" cm="1">
        <f t="array" aca="1" ref="BY96" ca="1">INDEX(BY98:BY102,RANDBETWEEN(1,5),1)</f>
        <v>It turns out that a skilled person wasn't needed at all</v>
      </c>
      <c r="DL96" s="1086" t="s">
        <v>16391</v>
      </c>
      <c r="DM96" s="1084"/>
      <c r="IQ96" s="1189"/>
      <c r="LS96" s="1189"/>
      <c r="PY96" s="1259" t="s">
        <v>18683</v>
      </c>
      <c r="PZ96" s="1259"/>
      <c r="QA96" s="1259"/>
    </row>
    <row r="97" spans="2:443" ht="17.25">
      <c r="B97" s="2" t="s">
        <v>12917</v>
      </c>
      <c r="C97" s="2" t="s">
        <v>13072</v>
      </c>
      <c r="F97" s="596" t="s">
        <v>13021</v>
      </c>
      <c r="K97" s="29">
        <v>33</v>
      </c>
      <c r="L97" s="29" t="s">
        <v>572</v>
      </c>
      <c r="N97" s="2" t="s">
        <v>13215</v>
      </c>
      <c r="P97" s="29">
        <v>94</v>
      </c>
      <c r="Q97" s="29" t="s">
        <v>592</v>
      </c>
      <c r="V97" s="2">
        <v>94</v>
      </c>
      <c r="W97" s="2" t="s">
        <v>1478</v>
      </c>
      <c r="Z97" s="1190"/>
      <c r="AA97" s="1190"/>
      <c r="AB97" s="1190"/>
      <c r="AC97" s="1190"/>
      <c r="AD97" s="1190"/>
      <c r="AE97" s="1190"/>
      <c r="AF97" s="1190"/>
      <c r="AG97" s="1190"/>
      <c r="AH97" s="1190"/>
      <c r="AI97" s="1190"/>
      <c r="AJ97" s="1190"/>
      <c r="AK97" s="1190"/>
      <c r="AL97" s="1190"/>
      <c r="AM97" s="1190"/>
      <c r="AN97" s="1190"/>
      <c r="AO97" s="1190"/>
      <c r="AP97" s="1190"/>
      <c r="AQ97" s="1190"/>
      <c r="AR97" s="1190"/>
      <c r="AS97" s="1190"/>
      <c r="AT97" s="1190"/>
      <c r="AU97" s="1190"/>
      <c r="AV97" s="1190"/>
      <c r="AW97" s="1190"/>
      <c r="AX97" s="1190"/>
      <c r="AY97" s="1190"/>
      <c r="AZ97" s="1190"/>
      <c r="BA97" s="1190"/>
      <c r="BB97" s="1190"/>
      <c r="BC97" s="1190"/>
      <c r="BD97" s="1190"/>
      <c r="BE97" s="1190"/>
      <c r="BF97" s="1190"/>
      <c r="BG97" s="1190"/>
      <c r="BH97" s="1190"/>
      <c r="BI97" s="1190"/>
      <c r="BJ97" s="1190"/>
      <c r="BK97" s="1190"/>
      <c r="BL97" s="1190"/>
      <c r="BM97" s="1190"/>
      <c r="BX97" s="2" t="s">
        <v>1643</v>
      </c>
      <c r="BY97" s="2" t="s">
        <v>2056</v>
      </c>
      <c r="IQ97" s="1189"/>
      <c r="LS97" s="1189"/>
      <c r="PY97" s="1259" t="s">
        <v>18684</v>
      </c>
      <c r="PZ97" s="1259"/>
      <c r="QA97" s="1259"/>
    </row>
    <row r="98" spans="2:443" ht="17.25">
      <c r="B98" s="2" t="s">
        <v>12918</v>
      </c>
      <c r="C98" s="2" t="s">
        <v>12942</v>
      </c>
      <c r="F98" s="596" t="s">
        <v>13022</v>
      </c>
      <c r="K98" s="29">
        <v>34</v>
      </c>
      <c r="L98" s="29" t="s">
        <v>1578</v>
      </c>
      <c r="N98" s="2" t="s">
        <v>13216</v>
      </c>
      <c r="P98" s="29">
        <v>95</v>
      </c>
      <c r="Q98" s="29" t="s">
        <v>593</v>
      </c>
      <c r="V98" s="2">
        <v>95</v>
      </c>
      <c r="W98" s="2" t="s">
        <v>1479</v>
      </c>
      <c r="Z98" s="1190"/>
      <c r="AA98" s="1190"/>
      <c r="AB98" s="1190"/>
      <c r="AC98" s="1190"/>
      <c r="AD98" s="1190"/>
      <c r="AE98" s="1190"/>
      <c r="AF98" s="1190"/>
      <c r="AG98" s="1190"/>
      <c r="AH98" s="1190"/>
      <c r="AI98" s="1190"/>
      <c r="AJ98" s="1190"/>
      <c r="AK98" s="1190"/>
      <c r="AL98" s="1190"/>
      <c r="AM98" s="1190"/>
      <c r="AN98" s="1190"/>
      <c r="AO98" s="1190"/>
      <c r="AP98" s="1190"/>
      <c r="AQ98" s="1190"/>
      <c r="AR98" s="1190"/>
      <c r="AS98" s="1190"/>
      <c r="AT98" s="1190"/>
      <c r="AU98" s="1190"/>
      <c r="AV98" s="1190"/>
      <c r="AW98" s="1190"/>
      <c r="AX98" s="1190"/>
      <c r="AY98" s="1190"/>
      <c r="AZ98" s="1190"/>
      <c r="BA98" s="1190"/>
      <c r="BB98" s="1190"/>
      <c r="BC98" s="1190"/>
      <c r="BD98" s="1190"/>
      <c r="BE98" s="1190"/>
      <c r="BF98" s="1190"/>
      <c r="BG98" s="1190"/>
      <c r="BH98" s="1190"/>
      <c r="BI98" s="1190"/>
      <c r="BJ98" s="1190"/>
      <c r="BK98" s="1190"/>
      <c r="BL98" s="1190"/>
      <c r="BM98" s="1190"/>
      <c r="BX98" s="2">
        <v>1</v>
      </c>
      <c r="BY98" s="2" t="s">
        <v>2057</v>
      </c>
      <c r="DM98" s="1085"/>
      <c r="IQ98" s="1189"/>
      <c r="LS98" s="1189"/>
      <c r="PY98" s="1259" t="s">
        <v>18685</v>
      </c>
      <c r="PZ98" s="1259"/>
      <c r="QA98" s="1259"/>
    </row>
    <row r="99" spans="2:443" ht="17.25">
      <c r="B99" s="2" t="s">
        <v>12919</v>
      </c>
      <c r="C99" s="2" t="s">
        <v>13089</v>
      </c>
      <c r="F99" s="596" t="s">
        <v>13023</v>
      </c>
      <c r="K99" s="29">
        <v>35</v>
      </c>
      <c r="L99" s="29" t="s">
        <v>554</v>
      </c>
      <c r="N99" s="2" t="s">
        <v>13217</v>
      </c>
      <c r="P99" s="29">
        <v>96</v>
      </c>
      <c r="Q99" s="29" t="s">
        <v>594</v>
      </c>
      <c r="V99" s="2">
        <v>96</v>
      </c>
      <c r="W99" s="2" t="s">
        <v>1480</v>
      </c>
      <c r="Z99" s="1190"/>
      <c r="AA99" s="1190"/>
      <c r="AB99" s="1190"/>
      <c r="AC99" s="1190"/>
      <c r="AD99" s="1190"/>
      <c r="AE99" s="1190"/>
      <c r="AF99" s="1190"/>
      <c r="AG99" s="1190"/>
      <c r="AH99" s="1190"/>
      <c r="AI99" s="1190"/>
      <c r="AJ99" s="1190"/>
      <c r="AK99" s="1190"/>
      <c r="AL99" s="1190"/>
      <c r="AM99" s="1190"/>
      <c r="AN99" s="1190"/>
      <c r="AO99" s="1190"/>
      <c r="AP99" s="1190"/>
      <c r="AQ99" s="1190"/>
      <c r="AR99" s="1190"/>
      <c r="AS99" s="1190"/>
      <c r="AT99" s="1190"/>
      <c r="AU99" s="1190"/>
      <c r="AV99" s="1190"/>
      <c r="AW99" s="1190"/>
      <c r="AX99" s="1190"/>
      <c r="AY99" s="1190"/>
      <c r="AZ99" s="1190"/>
      <c r="BA99" s="1190"/>
      <c r="BB99" s="1190"/>
      <c r="BC99" s="1190"/>
      <c r="BD99" s="1190"/>
      <c r="BE99" s="1190"/>
      <c r="BF99" s="1190"/>
      <c r="BG99" s="1190"/>
      <c r="BH99" s="1190"/>
      <c r="BI99" s="1190"/>
      <c r="BJ99" s="1190"/>
      <c r="BK99" s="1190"/>
      <c r="BL99" s="1190"/>
      <c r="BM99" s="1190"/>
      <c r="BX99" s="2">
        <v>2</v>
      </c>
      <c r="BY99" s="2" t="s">
        <v>2058</v>
      </c>
      <c r="IQ99" s="1189"/>
      <c r="LS99" s="1189"/>
      <c r="PY99" s="1259" t="s">
        <v>18686</v>
      </c>
      <c r="PZ99" s="1259"/>
      <c r="QA99" s="1259"/>
    </row>
    <row r="100" spans="2:443" ht="17.25">
      <c r="B100" s="2" t="s">
        <v>12920</v>
      </c>
      <c r="C100" s="2" t="s">
        <v>13073</v>
      </c>
      <c r="F100" s="596" t="s">
        <v>13024</v>
      </c>
      <c r="K100" s="29">
        <v>36</v>
      </c>
      <c r="L100" s="29" t="s">
        <v>573</v>
      </c>
      <c r="N100" s="2" t="s">
        <v>13218</v>
      </c>
      <c r="P100" s="29">
        <v>97</v>
      </c>
      <c r="Q100" s="29" t="s">
        <v>595</v>
      </c>
      <c r="V100" s="2">
        <v>97</v>
      </c>
      <c r="W100" s="2" t="s">
        <v>1481</v>
      </c>
      <c r="Z100" s="1190"/>
      <c r="AA100" s="1190"/>
      <c r="AB100" s="1190"/>
      <c r="AC100" s="1190"/>
      <c r="AD100" s="1190"/>
      <c r="AE100" s="1190"/>
      <c r="AF100" s="1190"/>
      <c r="AG100" s="1190"/>
      <c r="AH100" s="1190"/>
      <c r="AI100" s="1190"/>
      <c r="AJ100" s="1190"/>
      <c r="AK100" s="1190"/>
      <c r="AL100" s="1190"/>
      <c r="AM100" s="1190"/>
      <c r="AN100" s="1190"/>
      <c r="AO100" s="1190"/>
      <c r="AP100" s="1190"/>
      <c r="AQ100" s="1190"/>
      <c r="AR100" s="1190"/>
      <c r="AS100" s="1190"/>
      <c r="AT100" s="1190"/>
      <c r="AU100" s="1190"/>
      <c r="AV100" s="1190"/>
      <c r="AW100" s="1190"/>
      <c r="AX100" s="1190"/>
      <c r="AY100" s="1190"/>
      <c r="AZ100" s="1190"/>
      <c r="BA100" s="1190"/>
      <c r="BB100" s="1190"/>
      <c r="BC100" s="1190"/>
      <c r="BD100" s="1190"/>
      <c r="BE100" s="1190"/>
      <c r="BF100" s="1190"/>
      <c r="BG100" s="1190"/>
      <c r="BH100" s="1190"/>
      <c r="BI100" s="1190"/>
      <c r="BJ100" s="1190"/>
      <c r="BK100" s="1190"/>
      <c r="BL100" s="1190"/>
      <c r="BM100" s="1190"/>
      <c r="BX100" s="2">
        <v>3</v>
      </c>
      <c r="BY100" s="2" t="s">
        <v>2059</v>
      </c>
      <c r="IQ100" s="1189"/>
      <c r="LS100" s="1189"/>
      <c r="PY100" s="1259" t="s">
        <v>18687</v>
      </c>
      <c r="PZ100" s="1259"/>
      <c r="QA100" s="1259"/>
    </row>
    <row r="101" spans="2:443" ht="17.25">
      <c r="B101" s="2" t="s">
        <v>12921</v>
      </c>
      <c r="C101" s="2" t="s">
        <v>12943</v>
      </c>
      <c r="F101" s="596" t="s">
        <v>13025</v>
      </c>
      <c r="K101" s="29">
        <v>37</v>
      </c>
      <c r="L101" s="29" t="s">
        <v>1579</v>
      </c>
      <c r="N101" s="2" t="s">
        <v>13219</v>
      </c>
      <c r="P101" s="29">
        <v>98</v>
      </c>
      <c r="Q101" s="29" t="s">
        <v>1604</v>
      </c>
      <c r="V101" s="2">
        <v>98</v>
      </c>
      <c r="W101" s="2" t="s">
        <v>1482</v>
      </c>
      <c r="Z101" s="1190"/>
      <c r="AA101" s="1190"/>
      <c r="AB101" s="1190"/>
      <c r="AC101" s="1190"/>
      <c r="AD101" s="1190"/>
      <c r="AE101" s="1190"/>
      <c r="AF101" s="1190"/>
      <c r="AG101" s="1190"/>
      <c r="AH101" s="1190"/>
      <c r="AI101" s="1190"/>
      <c r="AJ101" s="1190"/>
      <c r="AK101" s="1190"/>
      <c r="AL101" s="1190"/>
      <c r="AM101" s="1190"/>
      <c r="AN101" s="1190"/>
      <c r="AO101" s="1190"/>
      <c r="AP101" s="1190"/>
      <c r="AQ101" s="1190"/>
      <c r="AR101" s="1190"/>
      <c r="AS101" s="1190"/>
      <c r="AT101" s="1190"/>
      <c r="AU101" s="1190"/>
      <c r="AV101" s="1190"/>
      <c r="AW101" s="1190"/>
      <c r="AX101" s="1190"/>
      <c r="AY101" s="1190"/>
      <c r="AZ101" s="1190"/>
      <c r="BA101" s="1190"/>
      <c r="BB101" s="1190"/>
      <c r="BC101" s="1190"/>
      <c r="BD101" s="1190"/>
      <c r="BE101" s="1190"/>
      <c r="BF101" s="1190"/>
      <c r="BG101" s="1190"/>
      <c r="BH101" s="1190"/>
      <c r="BI101" s="1190"/>
      <c r="BJ101" s="1190"/>
      <c r="BK101" s="1190"/>
      <c r="BL101" s="1190"/>
      <c r="BM101" s="1190"/>
      <c r="BX101" s="2">
        <v>4</v>
      </c>
      <c r="BY101" s="2" t="s">
        <v>2060</v>
      </c>
      <c r="IQ101" s="1189"/>
      <c r="LS101" s="1189"/>
      <c r="PY101" s="1259" t="s">
        <v>18688</v>
      </c>
      <c r="PZ101" s="1259"/>
      <c r="QA101" s="1259"/>
    </row>
    <row r="102" spans="2:443" ht="17.25">
      <c r="B102" s="2" t="s">
        <v>12921</v>
      </c>
      <c r="C102" s="2" t="s">
        <v>12944</v>
      </c>
      <c r="F102" s="596" t="s">
        <v>13026</v>
      </c>
      <c r="K102" s="29">
        <v>38</v>
      </c>
      <c r="L102" s="29" t="s">
        <v>575</v>
      </c>
      <c r="N102" s="2" t="s">
        <v>13220</v>
      </c>
      <c r="P102" s="29">
        <v>99</v>
      </c>
      <c r="Q102" s="29" t="s">
        <v>1605</v>
      </c>
      <c r="V102" s="2">
        <v>99</v>
      </c>
      <c r="W102" s="2" t="s">
        <v>1483</v>
      </c>
      <c r="Z102" s="1190"/>
      <c r="AA102" s="1190"/>
      <c r="AB102" s="1190"/>
      <c r="AC102" s="1190"/>
      <c r="AD102" s="1190"/>
      <c r="AE102" s="1190"/>
      <c r="AF102" s="1190"/>
      <c r="AG102" s="1190"/>
      <c r="AH102" s="1190"/>
      <c r="AI102" s="1190"/>
      <c r="AJ102" s="1190"/>
      <c r="AK102" s="1190"/>
      <c r="AL102" s="1190"/>
      <c r="AM102" s="1190"/>
      <c r="AN102" s="1190"/>
      <c r="AO102" s="1190"/>
      <c r="AP102" s="1190"/>
      <c r="AQ102" s="1190"/>
      <c r="AR102" s="1190"/>
      <c r="AS102" s="1190"/>
      <c r="AT102" s="1190"/>
      <c r="AU102" s="1190"/>
      <c r="AV102" s="1190"/>
      <c r="AW102" s="1190"/>
      <c r="AX102" s="1190"/>
      <c r="AY102" s="1190"/>
      <c r="AZ102" s="1190"/>
      <c r="BA102" s="1190"/>
      <c r="BB102" s="1190"/>
      <c r="BC102" s="1190"/>
      <c r="BD102" s="1190"/>
      <c r="BE102" s="1190"/>
      <c r="BF102" s="1190"/>
      <c r="BG102" s="1190"/>
      <c r="BH102" s="1190"/>
      <c r="BI102" s="1190"/>
      <c r="BJ102" s="1190"/>
      <c r="BK102" s="1190"/>
      <c r="BL102" s="1190"/>
      <c r="BM102" s="1190"/>
      <c r="BX102" s="2">
        <v>5</v>
      </c>
      <c r="BY102" s="2" t="s">
        <v>2061</v>
      </c>
      <c r="IQ102" s="1189"/>
      <c r="LS102" s="1189"/>
      <c r="PY102" s="1259" t="s">
        <v>18689</v>
      </c>
      <c r="PZ102" s="1259"/>
      <c r="QA102" s="1259"/>
    </row>
    <row r="103" spans="2:443" ht="17.25">
      <c r="B103" s="2" t="s">
        <v>13052</v>
      </c>
      <c r="C103" s="2" t="s">
        <v>13090</v>
      </c>
      <c r="F103" s="596" t="s">
        <v>13027</v>
      </c>
      <c r="K103" s="29">
        <v>39</v>
      </c>
      <c r="L103" s="29" t="s">
        <v>1580</v>
      </c>
      <c r="N103" s="2" t="s">
        <v>13221</v>
      </c>
      <c r="P103" s="29">
        <v>100</v>
      </c>
      <c r="Q103" s="29" t="s">
        <v>642</v>
      </c>
      <c r="V103" s="2">
        <v>100</v>
      </c>
      <c r="W103" s="2" t="s">
        <v>1484</v>
      </c>
      <c r="Z103" s="1190"/>
      <c r="AA103" s="1190"/>
      <c r="AB103" s="1190"/>
      <c r="AC103" s="1190"/>
      <c r="AD103" s="1190"/>
      <c r="AE103" s="1190"/>
      <c r="AF103" s="1190"/>
      <c r="AG103" s="1190"/>
      <c r="AH103" s="1190"/>
      <c r="AI103" s="1190"/>
      <c r="AJ103" s="1190"/>
      <c r="AK103" s="1190"/>
      <c r="AL103" s="1190"/>
      <c r="AM103" s="1190"/>
      <c r="AN103" s="1190"/>
      <c r="AO103" s="1190"/>
      <c r="AP103" s="1190"/>
      <c r="AQ103" s="1190"/>
      <c r="AR103" s="1190"/>
      <c r="AS103" s="1190"/>
      <c r="AT103" s="1190"/>
      <c r="AU103" s="1190"/>
      <c r="AV103" s="1190"/>
      <c r="AW103" s="1190"/>
      <c r="AX103" s="1190"/>
      <c r="AY103" s="1190"/>
      <c r="AZ103" s="1190"/>
      <c r="BA103" s="1190"/>
      <c r="BB103" s="1190"/>
      <c r="BC103" s="1190"/>
      <c r="BD103" s="1190"/>
      <c r="BE103" s="1190"/>
      <c r="BF103" s="1190"/>
      <c r="BG103" s="1190"/>
      <c r="BH103" s="1190"/>
      <c r="BI103" s="1190"/>
      <c r="BJ103" s="1190"/>
      <c r="BK103" s="1190"/>
      <c r="BL103" s="1190"/>
      <c r="BM103" s="1190"/>
      <c r="IQ103" s="1189"/>
      <c r="LS103" s="1189"/>
      <c r="PY103" s="1259" t="s">
        <v>18690</v>
      </c>
      <c r="PZ103" s="1259"/>
      <c r="QA103" s="1259"/>
    </row>
    <row r="104" spans="2:443" ht="17.25">
      <c r="B104" s="2" t="s">
        <v>13082</v>
      </c>
      <c r="C104" s="2" t="s">
        <v>12946</v>
      </c>
      <c r="F104" s="596" t="s">
        <v>13028</v>
      </c>
      <c r="K104" s="29">
        <v>40</v>
      </c>
      <c r="L104" s="29" t="s">
        <v>164</v>
      </c>
      <c r="N104" s="2" t="s">
        <v>13222</v>
      </c>
      <c r="P104" s="29">
        <v>101</v>
      </c>
      <c r="Q104" s="29" t="s">
        <v>1635</v>
      </c>
      <c r="Z104" s="1190"/>
      <c r="AA104" s="1190"/>
      <c r="AB104" s="1190"/>
      <c r="AC104" s="1190"/>
      <c r="AD104" s="1190"/>
      <c r="AE104" s="1190"/>
      <c r="AF104" s="1190"/>
      <c r="AG104" s="1190"/>
      <c r="AH104" s="1190"/>
      <c r="AI104" s="1190"/>
      <c r="AJ104" s="1190"/>
      <c r="AK104" s="1190"/>
      <c r="AL104" s="1190"/>
      <c r="AM104" s="1190"/>
      <c r="AN104" s="1190"/>
      <c r="AO104" s="1190"/>
      <c r="AP104" s="1190"/>
      <c r="AQ104" s="1190"/>
      <c r="AR104" s="1190"/>
      <c r="AS104" s="1190"/>
      <c r="AT104" s="1190"/>
      <c r="AU104" s="1190"/>
      <c r="AV104" s="1190"/>
      <c r="AW104" s="1190"/>
      <c r="AX104" s="1190"/>
      <c r="AY104" s="1190"/>
      <c r="AZ104" s="1190"/>
      <c r="BA104" s="1190"/>
      <c r="BB104" s="1190"/>
      <c r="BC104" s="1190"/>
      <c r="BD104" s="1190"/>
      <c r="BE104" s="1190"/>
      <c r="BF104" s="1190"/>
      <c r="BG104" s="1190"/>
      <c r="BH104" s="1190"/>
      <c r="BI104" s="1190"/>
      <c r="BJ104" s="1190"/>
      <c r="BK104" s="1190"/>
      <c r="BL104" s="1190"/>
      <c r="BM104" s="1190"/>
      <c r="IQ104" s="1189"/>
      <c r="LS104" s="1189"/>
      <c r="PY104" s="1259" t="s">
        <v>18691</v>
      </c>
      <c r="PZ104" s="1259"/>
      <c r="QA104" s="1259"/>
    </row>
    <row r="105" spans="2:443" ht="17.25">
      <c r="B105" s="2" t="s">
        <v>13053</v>
      </c>
      <c r="C105" s="2" t="s">
        <v>12945</v>
      </c>
      <c r="F105" s="596" t="s">
        <v>13029</v>
      </c>
      <c r="K105" s="29">
        <v>41</v>
      </c>
      <c r="L105" s="29" t="s">
        <v>1642</v>
      </c>
      <c r="N105" s="2" t="s">
        <v>13223</v>
      </c>
      <c r="P105" s="29">
        <v>102</v>
      </c>
      <c r="Q105" s="29" t="s">
        <v>1606</v>
      </c>
      <c r="Z105" s="1190"/>
      <c r="AA105" s="1190"/>
      <c r="AB105" s="1190"/>
      <c r="AC105" s="1190"/>
      <c r="AD105" s="1190"/>
      <c r="AE105" s="1190"/>
      <c r="AF105" s="1190"/>
      <c r="AG105" s="1190"/>
      <c r="AH105" s="1190"/>
      <c r="AI105" s="1190"/>
      <c r="AJ105" s="1190"/>
      <c r="AK105" s="1190"/>
      <c r="AL105" s="1190"/>
      <c r="AM105" s="1190"/>
      <c r="AN105" s="1190"/>
      <c r="AO105" s="1190"/>
      <c r="AP105" s="1190"/>
      <c r="AQ105" s="1190"/>
      <c r="AR105" s="1190"/>
      <c r="AS105" s="1190"/>
      <c r="AT105" s="1190"/>
      <c r="AU105" s="1190"/>
      <c r="AV105" s="1190"/>
      <c r="AW105" s="1190"/>
      <c r="AX105" s="1190"/>
      <c r="AY105" s="1190"/>
      <c r="AZ105" s="1190"/>
      <c r="BA105" s="1190"/>
      <c r="BB105" s="1190"/>
      <c r="BC105" s="1190"/>
      <c r="BD105" s="1190"/>
      <c r="BE105" s="1190"/>
      <c r="BF105" s="1190"/>
      <c r="BG105" s="1190"/>
      <c r="BH105" s="1190"/>
      <c r="BI105" s="1190"/>
      <c r="BJ105" s="1190"/>
      <c r="BK105" s="1190"/>
      <c r="BL105" s="1190"/>
      <c r="BM105" s="1190"/>
      <c r="IQ105" s="1189"/>
      <c r="LS105" s="1189"/>
      <c r="PY105" s="1259" t="s">
        <v>18692</v>
      </c>
      <c r="PZ105" s="1259"/>
      <c r="QA105" s="1259"/>
    </row>
    <row r="106" spans="2:443" ht="17.25">
      <c r="B106" s="2" t="s">
        <v>13054</v>
      </c>
      <c r="C106" s="2" t="s">
        <v>12947</v>
      </c>
      <c r="F106" s="596" t="s">
        <v>13030</v>
      </c>
      <c r="K106" s="29">
        <v>42</v>
      </c>
      <c r="L106" s="29" t="s">
        <v>576</v>
      </c>
      <c r="N106" s="2" t="s">
        <v>13224</v>
      </c>
      <c r="P106" s="29">
        <v>103</v>
      </c>
      <c r="Q106" s="29" t="s">
        <v>596</v>
      </c>
      <c r="Z106" s="1190"/>
      <c r="AA106" s="1190"/>
      <c r="AB106" s="1190"/>
      <c r="AC106" s="1190"/>
      <c r="AD106" s="1190"/>
      <c r="AE106" s="1190"/>
      <c r="AF106" s="1190"/>
      <c r="AG106" s="1190"/>
      <c r="AH106" s="1190"/>
      <c r="AI106" s="1190"/>
      <c r="AJ106" s="1190"/>
      <c r="AK106" s="1190"/>
      <c r="AL106" s="1190"/>
      <c r="AM106" s="1190"/>
      <c r="AN106" s="1190"/>
      <c r="AO106" s="1190"/>
      <c r="AP106" s="1190"/>
      <c r="AQ106" s="1190"/>
      <c r="AR106" s="1190"/>
      <c r="AS106" s="1190"/>
      <c r="AT106" s="1190"/>
      <c r="AU106" s="1190"/>
      <c r="AV106" s="1190"/>
      <c r="AW106" s="1190"/>
      <c r="AX106" s="1190"/>
      <c r="AY106" s="1190"/>
      <c r="AZ106" s="1190"/>
      <c r="BA106" s="1190"/>
      <c r="BB106" s="1190"/>
      <c r="BC106" s="1190"/>
      <c r="BD106" s="1190"/>
      <c r="BE106" s="1190"/>
      <c r="BF106" s="1190"/>
      <c r="BG106" s="1190"/>
      <c r="BH106" s="1190"/>
      <c r="BI106" s="1190"/>
      <c r="BJ106" s="1190"/>
      <c r="BK106" s="1190"/>
      <c r="BL106" s="1190"/>
      <c r="BM106" s="1190"/>
      <c r="IQ106" s="1189"/>
      <c r="LS106" s="1189"/>
      <c r="PY106" s="1259" t="s">
        <v>18693</v>
      </c>
      <c r="PZ106" s="1259"/>
      <c r="QA106" s="1259"/>
    </row>
    <row r="107" spans="2:443" ht="17.25">
      <c r="B107" s="2" t="s">
        <v>12922</v>
      </c>
      <c r="C107" s="2" t="s">
        <v>13074</v>
      </c>
      <c r="F107" s="596" t="s">
        <v>13031</v>
      </c>
      <c r="K107" s="29">
        <v>43</v>
      </c>
      <c r="L107" s="29" t="s">
        <v>1581</v>
      </c>
      <c r="N107" s="2" t="s">
        <v>1639</v>
      </c>
      <c r="P107" s="29">
        <v>104</v>
      </c>
      <c r="Q107" s="29" t="s">
        <v>597</v>
      </c>
      <c r="Z107" s="1190"/>
      <c r="AA107" s="1190"/>
      <c r="AB107" s="1190"/>
      <c r="AC107" s="1190"/>
      <c r="AD107" s="1190"/>
      <c r="AE107" s="1190"/>
      <c r="AF107" s="1190"/>
      <c r="AG107" s="1190"/>
      <c r="AH107" s="1190"/>
      <c r="AI107" s="1190"/>
      <c r="AJ107" s="1190"/>
      <c r="AK107" s="1190"/>
      <c r="AL107" s="1190"/>
      <c r="AM107" s="1190"/>
      <c r="AN107" s="1190"/>
      <c r="AO107" s="1190"/>
      <c r="AP107" s="1190"/>
      <c r="AQ107" s="1190"/>
      <c r="AR107" s="1190"/>
      <c r="AS107" s="1190"/>
      <c r="AT107" s="1190"/>
      <c r="AU107" s="1190"/>
      <c r="AV107" s="1190"/>
      <c r="AW107" s="1190"/>
      <c r="AX107" s="1190"/>
      <c r="AY107" s="1190"/>
      <c r="AZ107" s="1190"/>
      <c r="BA107" s="1190"/>
      <c r="BB107" s="1190"/>
      <c r="BC107" s="1190"/>
      <c r="BD107" s="1190"/>
      <c r="BE107" s="1190"/>
      <c r="BF107" s="1190"/>
      <c r="BG107" s="1190"/>
      <c r="BH107" s="1190"/>
      <c r="BI107" s="1190"/>
      <c r="BJ107" s="1190"/>
      <c r="BK107" s="1190"/>
      <c r="BL107" s="1190"/>
      <c r="BM107" s="1190"/>
      <c r="IQ107" s="1189"/>
      <c r="LS107" s="1189"/>
      <c r="PY107" s="1259" t="s">
        <v>18694</v>
      </c>
      <c r="PZ107" s="1259"/>
      <c r="QA107" s="1259"/>
    </row>
    <row r="108" spans="2:443" ht="17.25">
      <c r="B108" s="2" t="s">
        <v>12923</v>
      </c>
      <c r="C108" s="2" t="s">
        <v>13091</v>
      </c>
      <c r="F108" s="596" t="s">
        <v>13032</v>
      </c>
      <c r="K108" s="29">
        <v>44</v>
      </c>
      <c r="L108" s="29" t="s">
        <v>1582</v>
      </c>
      <c r="N108" s="2" t="s">
        <v>13226</v>
      </c>
      <c r="P108" s="29">
        <v>105</v>
      </c>
      <c r="Q108" s="29" t="s">
        <v>406</v>
      </c>
      <c r="Z108" s="1190"/>
      <c r="AA108" s="1190"/>
      <c r="AB108" s="1190"/>
      <c r="AC108" s="1190"/>
      <c r="AD108" s="1190"/>
      <c r="AE108" s="1190"/>
      <c r="AF108" s="1190"/>
      <c r="AG108" s="1190"/>
      <c r="AH108" s="1190"/>
      <c r="AI108" s="1190"/>
      <c r="AJ108" s="1190"/>
      <c r="AK108" s="1190"/>
      <c r="AL108" s="1190"/>
      <c r="AM108" s="1190"/>
      <c r="AN108" s="1190"/>
      <c r="AO108" s="1190"/>
      <c r="AP108" s="1190"/>
      <c r="AQ108" s="1190"/>
      <c r="AR108" s="1190"/>
      <c r="AS108" s="1190"/>
      <c r="AT108" s="1190"/>
      <c r="AU108" s="1190"/>
      <c r="AV108" s="1190"/>
      <c r="AW108" s="1190"/>
      <c r="AX108" s="1190"/>
      <c r="AY108" s="1190"/>
      <c r="AZ108" s="1190"/>
      <c r="BA108" s="1190"/>
      <c r="BB108" s="1190"/>
      <c r="BC108" s="1190"/>
      <c r="BD108" s="1190"/>
      <c r="BE108" s="1190"/>
      <c r="BF108" s="1190"/>
      <c r="BG108" s="1190"/>
      <c r="BH108" s="1190"/>
      <c r="BI108" s="1190"/>
      <c r="BJ108" s="1190"/>
      <c r="BK108" s="1190"/>
      <c r="BL108" s="1190"/>
      <c r="BM108" s="1190"/>
      <c r="IQ108" s="1189"/>
      <c r="LS108" s="1189"/>
      <c r="PY108" s="1259" t="s">
        <v>18695</v>
      </c>
      <c r="PZ108" s="1259" t="s">
        <v>551</v>
      </c>
      <c r="QA108" s="1259"/>
    </row>
    <row r="109" spans="2:443" ht="17.25">
      <c r="B109" s="2" t="s">
        <v>12924</v>
      </c>
      <c r="C109" s="2" t="s">
        <v>13075</v>
      </c>
      <c r="F109" s="596" t="s">
        <v>13033</v>
      </c>
      <c r="K109" s="29">
        <v>45</v>
      </c>
      <c r="L109" s="29" t="s">
        <v>577</v>
      </c>
      <c r="N109" s="2" t="s">
        <v>13225</v>
      </c>
      <c r="P109" s="29">
        <v>106</v>
      </c>
      <c r="Q109" s="29" t="s">
        <v>598</v>
      </c>
      <c r="V109" s="106"/>
      <c r="W109" s="106"/>
      <c r="X109" s="106"/>
      <c r="Y109" s="106"/>
      <c r="Z109" s="106"/>
      <c r="AA109" s="106"/>
      <c r="AB109" s="106"/>
      <c r="AC109" s="1190"/>
      <c r="AD109" s="1190"/>
      <c r="AE109" s="1190"/>
      <c r="AF109" s="1190"/>
      <c r="AG109" s="1190"/>
      <c r="AH109" s="1190"/>
      <c r="AI109" s="1190"/>
      <c r="AJ109" s="1190"/>
      <c r="AK109" s="1190"/>
      <c r="AL109" s="1190"/>
      <c r="AM109" s="2" t="s">
        <v>11477</v>
      </c>
      <c r="AO109" s="1190"/>
      <c r="AP109" s="1190"/>
      <c r="AQ109" s="1190"/>
      <c r="AR109" s="1190"/>
      <c r="AS109" s="1190"/>
      <c r="AT109" s="1190"/>
      <c r="AU109" s="1190"/>
      <c r="AV109" s="1190"/>
      <c r="AW109" s="1190"/>
      <c r="AX109" s="1190"/>
      <c r="AY109" s="1190"/>
      <c r="AZ109" s="1190"/>
      <c r="BA109" s="1190"/>
      <c r="BB109" s="1190"/>
      <c r="BC109" s="1190"/>
      <c r="BD109" s="1190"/>
      <c r="BE109" s="1190"/>
      <c r="BF109" s="1190"/>
      <c r="BG109" s="1190"/>
      <c r="BH109" s="1190"/>
      <c r="BI109" s="1190"/>
      <c r="BJ109" s="1190"/>
      <c r="BK109" s="1190"/>
      <c r="BL109" s="1190"/>
      <c r="BM109" s="1190"/>
      <c r="IQ109" s="1189"/>
      <c r="LS109" s="1189"/>
      <c r="PY109" s="1259">
        <v>1</v>
      </c>
      <c r="PZ109" s="1259" t="s">
        <v>18696</v>
      </c>
      <c r="QA109" s="1259"/>
    </row>
    <row r="110" spans="2:443" ht="51" customHeight="1">
      <c r="B110" s="2" t="s">
        <v>13055</v>
      </c>
      <c r="C110" s="2" t="s">
        <v>12948</v>
      </c>
      <c r="F110" s="596" t="s">
        <v>13034</v>
      </c>
      <c r="K110" s="29">
        <v>46</v>
      </c>
      <c r="L110" s="29" t="s">
        <v>1583</v>
      </c>
      <c r="N110" s="2" t="s">
        <v>13227</v>
      </c>
      <c r="P110" s="29">
        <v>107</v>
      </c>
      <c r="Q110" s="29" t="s">
        <v>1607</v>
      </c>
      <c r="V110" s="106"/>
      <c r="W110" s="106"/>
      <c r="X110" s="106"/>
      <c r="Y110" s="106"/>
      <c r="Z110" s="106"/>
      <c r="AA110" s="106"/>
      <c r="AB110" s="106"/>
      <c r="AC110" s="2" t="s">
        <v>11483</v>
      </c>
      <c r="AD110" s="2" t="s">
        <v>5690</v>
      </c>
      <c r="AE110" s="1190"/>
      <c r="AF110" s="1190"/>
      <c r="AG110" s="1233" t="s">
        <v>1643</v>
      </c>
      <c r="AH110" s="2" t="s">
        <v>11483</v>
      </c>
      <c r="AI110" s="2" t="s">
        <v>7382</v>
      </c>
      <c r="AJ110" s="2" t="s">
        <v>11484</v>
      </c>
      <c r="AM110" s="1233" t="s">
        <v>1643</v>
      </c>
      <c r="AN110" s="2" t="s">
        <v>7382</v>
      </c>
      <c r="AO110" s="2" t="s">
        <v>11484</v>
      </c>
      <c r="AP110" s="1190"/>
      <c r="AQ110" s="1190"/>
      <c r="AR110" s="2" t="s">
        <v>9435</v>
      </c>
      <c r="AS110" s="2" t="s">
        <v>11586</v>
      </c>
      <c r="AT110" s="1190"/>
      <c r="AU110" s="1190"/>
      <c r="AV110" s="1190"/>
      <c r="AW110" s="1190"/>
      <c r="AX110" s="1190"/>
      <c r="AY110" s="1190"/>
      <c r="AZ110" s="1190"/>
      <c r="BA110" s="1190"/>
      <c r="BB110" s="1190"/>
      <c r="BC110" s="1190"/>
      <c r="BD110" s="1190"/>
      <c r="BE110" s="1190"/>
      <c r="BF110" s="1190"/>
      <c r="BG110" s="1190"/>
      <c r="BH110" s="1190"/>
      <c r="BI110" s="1190"/>
      <c r="BJ110" s="1190"/>
      <c r="BK110" s="1190"/>
      <c r="BL110" s="1190"/>
      <c r="BM110" s="1190"/>
      <c r="IQ110" s="1189"/>
      <c r="LS110" s="1189"/>
      <c r="PY110" s="1259">
        <v>2</v>
      </c>
      <c r="PZ110" s="1259" t="s">
        <v>18697</v>
      </c>
      <c r="QA110" s="1259"/>
    </row>
    <row r="111" spans="2:443" ht="17.25">
      <c r="B111" s="2" t="s">
        <v>13056</v>
      </c>
      <c r="C111" s="2" t="s">
        <v>13076</v>
      </c>
      <c r="F111" s="596" t="s">
        <v>13035</v>
      </c>
      <c r="K111" s="29">
        <v>47</v>
      </c>
      <c r="L111" s="29" t="s">
        <v>1584</v>
      </c>
      <c r="N111" s="2" t="s">
        <v>13228</v>
      </c>
      <c r="P111" s="29">
        <v>108</v>
      </c>
      <c r="Q111" s="29" t="s">
        <v>1608</v>
      </c>
      <c r="V111" s="106"/>
      <c r="W111" s="106"/>
      <c r="X111" s="106"/>
      <c r="Y111" s="106"/>
      <c r="Z111" s="106"/>
      <c r="AA111" s="106"/>
      <c r="AB111" s="106"/>
      <c r="AE111" s="1190"/>
      <c r="AF111" s="1190"/>
      <c r="AG111" s="2">
        <v>1</v>
      </c>
      <c r="AH111" s="2" t="s">
        <v>11475</v>
      </c>
      <c r="AI111" s="2" t="s">
        <v>11476</v>
      </c>
      <c r="AM111" s="2">
        <v>1</v>
      </c>
      <c r="AN111" s="2" t="s">
        <v>11478</v>
      </c>
      <c r="AO111" s="1190"/>
      <c r="AP111" s="1190"/>
      <c r="AQ111" s="1190"/>
      <c r="AR111" s="2">
        <v>1</v>
      </c>
      <c r="AS111" s="2" t="s">
        <v>11574</v>
      </c>
      <c r="AT111" s="1190"/>
      <c r="AU111" s="1190"/>
      <c r="AV111" s="1190"/>
      <c r="AW111" s="1190"/>
      <c r="AX111" s="1190"/>
      <c r="AY111" s="1190"/>
      <c r="AZ111" s="1190"/>
      <c r="BA111" s="1190"/>
      <c r="BB111" s="1190"/>
      <c r="BC111" s="1190"/>
      <c r="BD111" s="1190"/>
      <c r="BE111" s="1190"/>
      <c r="BF111" s="1190"/>
      <c r="BG111" s="1190"/>
      <c r="BH111" s="1190"/>
      <c r="BI111" s="1190"/>
      <c r="BJ111" s="1190"/>
      <c r="BK111" s="1190"/>
      <c r="BL111" s="1190"/>
      <c r="BM111" s="1190"/>
      <c r="IQ111" s="1189"/>
      <c r="LS111" s="1189"/>
      <c r="PY111" s="1259">
        <v>3</v>
      </c>
      <c r="PZ111" s="1259" t="s">
        <v>18698</v>
      </c>
      <c r="QA111" s="1259"/>
    </row>
    <row r="112" spans="2:443" ht="17.25">
      <c r="B112" s="2" t="s">
        <v>12925</v>
      </c>
      <c r="C112" s="2" t="s">
        <v>12949</v>
      </c>
      <c r="F112" s="646" t="s">
        <v>13036</v>
      </c>
      <c r="K112" s="29">
        <v>48</v>
      </c>
      <c r="L112" s="29" t="s">
        <v>578</v>
      </c>
      <c r="N112" s="2" t="s">
        <v>13229</v>
      </c>
      <c r="P112" s="29">
        <v>109</v>
      </c>
      <c r="Q112" s="29" t="s">
        <v>1636</v>
      </c>
      <c r="V112" s="106"/>
      <c r="W112" s="106"/>
      <c r="X112" s="106"/>
      <c r="Y112" s="106"/>
      <c r="Z112" s="106"/>
      <c r="AA112" s="106"/>
      <c r="AB112" s="106"/>
      <c r="AE112" s="1190"/>
      <c r="AF112" s="1190"/>
      <c r="AG112" s="2">
        <v>2</v>
      </c>
      <c r="AH112" s="2" t="s">
        <v>11334</v>
      </c>
      <c r="AI112" s="2" t="s">
        <v>11332</v>
      </c>
      <c r="AM112" s="2">
        <v>2</v>
      </c>
      <c r="AN112" s="2" t="s">
        <v>11479</v>
      </c>
      <c r="AO112" s="1190"/>
      <c r="AP112" s="1190"/>
      <c r="AQ112" s="1190"/>
      <c r="AR112" s="2">
        <v>2</v>
      </c>
      <c r="AS112" s="2" t="s">
        <v>11575</v>
      </c>
      <c r="AT112" s="1190"/>
      <c r="AU112" s="1190"/>
      <c r="AV112" s="1190"/>
      <c r="AW112" s="1190"/>
      <c r="AX112" s="1190"/>
      <c r="AY112" s="1190"/>
      <c r="AZ112" s="1190"/>
      <c r="BA112" s="1190"/>
      <c r="BB112" s="1190"/>
      <c r="BC112" s="1190"/>
      <c r="BD112" s="1190"/>
      <c r="BE112" s="1190"/>
      <c r="BF112" s="1190"/>
      <c r="BG112" s="1190"/>
      <c r="BH112" s="1190"/>
      <c r="BI112" s="1190"/>
      <c r="BJ112" s="1190"/>
      <c r="BK112" s="1190"/>
      <c r="BL112" s="1190"/>
      <c r="BM112" s="1190"/>
      <c r="IQ112" s="1189"/>
      <c r="LS112" s="1189"/>
      <c r="PY112" s="1259">
        <v>4</v>
      </c>
      <c r="PZ112" s="1259" t="s">
        <v>18699</v>
      </c>
      <c r="QA112" s="1259"/>
    </row>
    <row r="113" spans="1:443" ht="17.25">
      <c r="B113" s="2" t="s">
        <v>12926</v>
      </c>
      <c r="K113" s="29">
        <v>49</v>
      </c>
      <c r="L113" s="29" t="s">
        <v>1585</v>
      </c>
      <c r="N113" s="2" t="s">
        <v>13230</v>
      </c>
      <c r="P113" s="29">
        <v>110</v>
      </c>
      <c r="Q113" s="29" t="s">
        <v>1609</v>
      </c>
      <c r="V113" s="106"/>
      <c r="W113" s="106"/>
      <c r="X113" s="106"/>
      <c r="Y113" s="106"/>
      <c r="Z113" s="106"/>
      <c r="AA113" s="106"/>
      <c r="AB113" s="106"/>
      <c r="AE113" s="1190"/>
      <c r="AF113" s="1190"/>
      <c r="AG113" s="2">
        <v>3</v>
      </c>
      <c r="AH113" s="2" t="s">
        <v>11335</v>
      </c>
      <c r="AI113" s="2" t="s">
        <v>11333</v>
      </c>
      <c r="AM113" s="2">
        <v>3</v>
      </c>
      <c r="AN113" s="2" t="s">
        <v>11877</v>
      </c>
      <c r="AO113" s="1190"/>
      <c r="AP113" s="1190"/>
      <c r="AQ113" s="1190"/>
      <c r="AR113" s="2">
        <v>3</v>
      </c>
      <c r="AS113" s="2" t="s">
        <v>11576</v>
      </c>
      <c r="AT113" s="1190"/>
      <c r="AU113" s="1190"/>
      <c r="AV113" s="1190"/>
      <c r="AW113" s="1190"/>
      <c r="AX113" s="1190"/>
      <c r="AY113" s="1190"/>
      <c r="AZ113" s="1190"/>
      <c r="BA113" s="1190"/>
      <c r="BB113" s="1190"/>
      <c r="BC113" s="1190"/>
      <c r="BD113" s="1190"/>
      <c r="BE113" s="1190"/>
      <c r="BF113" s="1190"/>
      <c r="BG113" s="1190"/>
      <c r="BH113" s="1190"/>
      <c r="BI113" s="1190"/>
      <c r="BJ113" s="1190"/>
      <c r="BK113" s="1190"/>
      <c r="BL113" s="1190"/>
      <c r="BM113" s="1190"/>
      <c r="IQ113" s="1189"/>
      <c r="LS113" s="1189"/>
      <c r="PY113" s="1259">
        <v>5</v>
      </c>
      <c r="PZ113" s="1259" t="s">
        <v>18700</v>
      </c>
      <c r="QA113" s="1259"/>
    </row>
    <row r="114" spans="1:443" ht="17.25">
      <c r="B114" s="2" t="s">
        <v>13083</v>
      </c>
      <c r="K114" s="29">
        <v>50</v>
      </c>
      <c r="L114" s="29" t="s">
        <v>393</v>
      </c>
      <c r="N114" s="2" t="s">
        <v>13231</v>
      </c>
      <c r="P114" s="29">
        <v>111</v>
      </c>
      <c r="Q114" s="29" t="s">
        <v>17</v>
      </c>
      <c r="V114" s="106"/>
      <c r="W114" s="106"/>
      <c r="X114" s="106"/>
      <c r="Y114" s="106"/>
      <c r="Z114" s="106"/>
      <c r="AA114" s="106"/>
      <c r="AB114" s="106"/>
      <c r="AE114" s="1190"/>
      <c r="AF114" s="1190"/>
      <c r="AG114" s="2">
        <v>4</v>
      </c>
      <c r="AH114" s="2" t="s">
        <v>10374</v>
      </c>
      <c r="AI114" s="2" t="s">
        <v>11339</v>
      </c>
      <c r="AP114" s="1190"/>
      <c r="AQ114" s="1190"/>
      <c r="AR114" s="2">
        <v>4</v>
      </c>
      <c r="AS114" s="2" t="s">
        <v>11577</v>
      </c>
      <c r="AT114" s="1190"/>
      <c r="AU114" s="1190"/>
      <c r="AV114" s="1190"/>
      <c r="AW114" s="1190"/>
      <c r="AX114" s="1190"/>
      <c r="AY114" s="1190"/>
      <c r="AZ114" s="1190"/>
      <c r="BA114" s="1190"/>
      <c r="BB114" s="1190"/>
      <c r="BC114" s="1190"/>
      <c r="BD114" s="1190"/>
      <c r="BE114" s="1190"/>
      <c r="BF114" s="1190"/>
      <c r="BG114" s="1190"/>
      <c r="BH114" s="1190"/>
      <c r="BI114" s="1190"/>
      <c r="BJ114" s="1190"/>
      <c r="BK114" s="1190"/>
      <c r="BL114" s="1190"/>
      <c r="BM114" s="1190"/>
      <c r="IQ114" s="1189"/>
      <c r="LS114" s="1189"/>
      <c r="PY114" s="1259">
        <v>6</v>
      </c>
      <c r="PZ114" s="1259" t="s">
        <v>18701</v>
      </c>
      <c r="QA114" s="1259"/>
    </row>
    <row r="115" spans="1:443" ht="17.25">
      <c r="K115" s="29">
        <v>51</v>
      </c>
      <c r="L115" s="29" t="s">
        <v>579</v>
      </c>
      <c r="N115" s="2" t="s">
        <v>131</v>
      </c>
      <c r="P115" s="29">
        <v>112</v>
      </c>
      <c r="Q115" s="29" t="s">
        <v>1610</v>
      </c>
      <c r="V115" s="106"/>
      <c r="W115" s="106"/>
      <c r="X115" s="106"/>
      <c r="Y115" s="106"/>
      <c r="Z115" s="106"/>
      <c r="AA115" s="106"/>
      <c r="AB115" s="106"/>
      <c r="AE115" s="1190"/>
      <c r="AF115" s="1190"/>
      <c r="AG115" s="2">
        <v>5</v>
      </c>
      <c r="AH115" s="2" t="s">
        <v>10371</v>
      </c>
      <c r="AI115" s="2" t="s">
        <v>11336</v>
      </c>
      <c r="AO115" s="1190"/>
      <c r="AP115" s="1190"/>
      <c r="AQ115" s="1190"/>
      <c r="AR115" s="2">
        <v>5</v>
      </c>
      <c r="AS115" s="2" t="s">
        <v>11578</v>
      </c>
      <c r="AT115" s="1190"/>
      <c r="AU115" s="1190"/>
      <c r="AV115" s="1190"/>
      <c r="AW115" s="1190"/>
      <c r="AX115" s="1190"/>
      <c r="AY115" s="1190"/>
      <c r="AZ115" s="1190"/>
      <c r="BA115" s="1190"/>
      <c r="BB115" s="1190"/>
      <c r="BC115" s="1190"/>
      <c r="BD115" s="1190"/>
      <c r="BE115" s="1190"/>
      <c r="BF115" s="1190"/>
      <c r="BG115" s="1190"/>
      <c r="BH115" s="1190"/>
      <c r="BI115" s="1190"/>
      <c r="BJ115" s="1190"/>
      <c r="BK115" s="1190"/>
      <c r="BL115" s="1190"/>
      <c r="BM115" s="1190"/>
      <c r="IQ115" s="1189"/>
      <c r="LS115" s="1189"/>
      <c r="PY115" s="1259">
        <v>7</v>
      </c>
      <c r="PZ115" s="1259" t="s">
        <v>18702</v>
      </c>
      <c r="QA115" s="1259"/>
    </row>
    <row r="116" spans="1:443" ht="17.25">
      <c r="K116" s="29">
        <v>52</v>
      </c>
      <c r="L116" s="29" t="s">
        <v>395</v>
      </c>
      <c r="N116" s="2" t="s">
        <v>13232</v>
      </c>
      <c r="P116" s="29">
        <v>113</v>
      </c>
      <c r="Q116" s="29" t="s">
        <v>29</v>
      </c>
      <c r="V116" s="106"/>
      <c r="W116" s="106"/>
      <c r="X116" s="106"/>
      <c r="Y116" s="106"/>
      <c r="Z116" s="106"/>
      <c r="AA116" s="106"/>
      <c r="AB116" s="106"/>
      <c r="AE116" s="1190"/>
      <c r="AF116" s="1190"/>
      <c r="AG116" s="2">
        <v>6</v>
      </c>
      <c r="AH116" s="2" t="s">
        <v>10372</v>
      </c>
      <c r="AI116" s="2" t="s">
        <v>11337</v>
      </c>
      <c r="AO116" s="1190"/>
      <c r="AP116" s="1190"/>
      <c r="AQ116" s="1190"/>
      <c r="AR116" s="2">
        <v>6</v>
      </c>
      <c r="AS116" s="2" t="s">
        <v>11579</v>
      </c>
      <c r="AT116" s="1190"/>
      <c r="AU116" s="1190"/>
      <c r="AV116" s="1190"/>
      <c r="AW116" s="1190"/>
      <c r="AX116" s="1190"/>
      <c r="AY116" s="1190"/>
      <c r="AZ116" s="1190"/>
      <c r="BA116" s="1190"/>
      <c r="BB116" s="1190"/>
      <c r="BC116" s="1190"/>
      <c r="BD116" s="1190"/>
      <c r="BE116" s="1190"/>
      <c r="BF116" s="1190"/>
      <c r="BG116" s="1190"/>
      <c r="BH116" s="1190"/>
      <c r="BI116" s="1190"/>
      <c r="BJ116" s="1190"/>
      <c r="BK116" s="1190"/>
      <c r="BL116" s="1190"/>
      <c r="BM116" s="1190"/>
      <c r="IQ116" s="1189"/>
      <c r="LS116" s="1189"/>
      <c r="PY116" s="1259">
        <v>8</v>
      </c>
      <c r="PZ116" s="1259" t="s">
        <v>18703</v>
      </c>
      <c r="QA116" s="1259"/>
    </row>
    <row r="117" spans="1:443" ht="17.25">
      <c r="K117" s="29">
        <v>53</v>
      </c>
      <c r="L117" s="29" t="s">
        <v>580</v>
      </c>
      <c r="N117" s="1234"/>
      <c r="P117" s="29">
        <v>114</v>
      </c>
      <c r="Q117" s="29" t="s">
        <v>599</v>
      </c>
      <c r="V117" s="106"/>
      <c r="W117" s="106"/>
      <c r="X117" s="106"/>
      <c r="Y117" s="106"/>
      <c r="Z117" s="106"/>
      <c r="AA117" s="106"/>
      <c r="AB117" s="106"/>
      <c r="AE117" s="1190"/>
      <c r="AF117" s="1190"/>
      <c r="AG117" s="2">
        <v>7</v>
      </c>
      <c r="AH117" s="2" t="s">
        <v>10373</v>
      </c>
      <c r="AI117" s="2" t="s">
        <v>11338</v>
      </c>
      <c r="AO117" s="1190"/>
      <c r="AP117" s="1190"/>
      <c r="AQ117" s="1190"/>
      <c r="AR117" s="2">
        <v>7</v>
      </c>
      <c r="AS117" s="2" t="s">
        <v>11580</v>
      </c>
      <c r="AT117" s="1190"/>
      <c r="AU117" s="1190"/>
      <c r="AV117" s="1190"/>
      <c r="AW117" s="1190"/>
      <c r="AX117" s="1190"/>
      <c r="AY117" s="1190"/>
      <c r="AZ117" s="1190"/>
      <c r="BA117" s="1190"/>
      <c r="BB117" s="1190"/>
      <c r="BC117" s="1190"/>
      <c r="BD117" s="1190"/>
      <c r="BE117" s="1190"/>
      <c r="BF117" s="1190"/>
      <c r="BG117" s="1190"/>
      <c r="BH117" s="1190"/>
      <c r="BI117" s="1190"/>
      <c r="BJ117" s="1190"/>
      <c r="BK117" s="1190"/>
      <c r="BL117" s="1190"/>
      <c r="BM117" s="1190"/>
      <c r="IQ117" s="1189"/>
      <c r="LS117" s="1189"/>
      <c r="PY117" s="1259">
        <v>9</v>
      </c>
      <c r="PZ117" s="1259" t="s">
        <v>18704</v>
      </c>
      <c r="QA117" s="1259"/>
    </row>
    <row r="118" spans="1:443" ht="17.25">
      <c r="K118" s="29">
        <v>54</v>
      </c>
      <c r="L118" s="29" t="s">
        <v>581</v>
      </c>
      <c r="N118" s="1234"/>
      <c r="P118" s="29">
        <v>115</v>
      </c>
      <c r="Q118" s="29" t="s">
        <v>600</v>
      </c>
      <c r="V118" s="106"/>
      <c r="W118" s="106"/>
      <c r="X118" s="106"/>
      <c r="Y118" s="106"/>
      <c r="Z118" s="106"/>
      <c r="AA118" s="106"/>
      <c r="AB118" s="106"/>
      <c r="AE118" s="1190"/>
      <c r="AF118" s="1190"/>
      <c r="AG118" s="2">
        <v>8</v>
      </c>
      <c r="AH118" s="2" t="s">
        <v>10358</v>
      </c>
      <c r="AI118" s="2" t="s">
        <v>11340</v>
      </c>
      <c r="AO118" s="1190"/>
      <c r="AP118" s="1190"/>
      <c r="AQ118" s="1190"/>
      <c r="AR118" s="2">
        <v>8</v>
      </c>
      <c r="AS118" s="2" t="s">
        <v>11581</v>
      </c>
      <c r="AT118" s="1190"/>
      <c r="AU118" s="1190"/>
      <c r="AV118" s="1190"/>
      <c r="AW118" s="1190"/>
      <c r="AX118" s="1190"/>
      <c r="AY118" s="1190"/>
      <c r="AZ118" s="1190"/>
      <c r="BA118" s="1190"/>
      <c r="BB118" s="1190"/>
      <c r="BC118" s="1190"/>
      <c r="BD118" s="1190"/>
      <c r="BE118" s="1190"/>
      <c r="BF118" s="1190"/>
      <c r="BG118" s="1190"/>
      <c r="BH118" s="1190"/>
      <c r="BI118" s="1190"/>
      <c r="BJ118" s="1190"/>
      <c r="BK118" s="1190"/>
      <c r="BL118" s="1190"/>
      <c r="BM118" s="1190"/>
      <c r="IQ118" s="1189"/>
      <c r="LS118" s="1189"/>
      <c r="PY118" s="1259">
        <v>10</v>
      </c>
      <c r="PZ118" s="1259" t="s">
        <v>18705</v>
      </c>
      <c r="QA118" s="1259"/>
    </row>
    <row r="119" spans="1:443" ht="17.25">
      <c r="K119" s="29">
        <v>55</v>
      </c>
      <c r="L119" s="29" t="s">
        <v>1586</v>
      </c>
      <c r="N119" s="1234"/>
      <c r="P119" s="29">
        <v>116</v>
      </c>
      <c r="Q119" s="29" t="s">
        <v>20</v>
      </c>
      <c r="V119" s="106"/>
      <c r="W119" s="106"/>
      <c r="X119" s="106"/>
      <c r="Y119" s="106"/>
      <c r="Z119" s="106"/>
      <c r="AA119" s="106"/>
      <c r="AB119" s="106"/>
      <c r="AE119" s="1190"/>
      <c r="AF119" s="1190"/>
      <c r="AG119" s="2">
        <v>9</v>
      </c>
      <c r="AH119" s="2" t="s">
        <v>10359</v>
      </c>
      <c r="AI119" s="2" t="s">
        <v>11341</v>
      </c>
      <c r="AO119" s="1190"/>
      <c r="AP119" s="1190"/>
      <c r="AQ119" s="1190"/>
      <c r="AR119" s="2">
        <v>9</v>
      </c>
      <c r="AS119" s="2" t="s">
        <v>11582</v>
      </c>
      <c r="AT119" s="1190"/>
      <c r="AU119" s="1190"/>
      <c r="AV119" s="1190"/>
      <c r="AW119" s="1190"/>
      <c r="AX119" s="1190"/>
      <c r="AY119" s="1190"/>
      <c r="AZ119" s="1190"/>
      <c r="BA119" s="1190"/>
      <c r="BB119" s="1190"/>
      <c r="BC119" s="1190"/>
      <c r="BD119" s="1190"/>
      <c r="BE119" s="1190"/>
      <c r="BF119" s="1190"/>
      <c r="BG119" s="1190"/>
      <c r="BH119" s="1190"/>
      <c r="BI119" s="1190"/>
      <c r="BJ119" s="1190"/>
      <c r="BK119" s="1190"/>
      <c r="BL119" s="1190"/>
      <c r="BM119" s="1190"/>
      <c r="IQ119" s="1189"/>
      <c r="LS119" s="1189"/>
      <c r="PY119" s="1259">
        <v>11</v>
      </c>
      <c r="PZ119" s="1259" t="s">
        <v>18706</v>
      </c>
      <c r="QA119" s="1259"/>
    </row>
    <row r="120" spans="1:443" ht="17.25">
      <c r="K120" s="29">
        <v>56</v>
      </c>
      <c r="L120" s="29" t="s">
        <v>582</v>
      </c>
      <c r="N120" s="1234"/>
      <c r="P120" s="29">
        <v>117</v>
      </c>
      <c r="Q120" s="29" t="s">
        <v>601</v>
      </c>
      <c r="V120" s="106"/>
      <c r="W120" s="106"/>
      <c r="X120" s="106"/>
      <c r="Y120" s="106"/>
      <c r="Z120" s="106"/>
      <c r="AA120" s="106"/>
      <c r="AB120" s="106"/>
      <c r="AE120" s="1190"/>
      <c r="AF120" s="1190"/>
      <c r="AG120" s="2">
        <v>10</v>
      </c>
      <c r="AH120" s="2" t="s">
        <v>10360</v>
      </c>
      <c r="AI120" s="2" t="s">
        <v>11342</v>
      </c>
      <c r="AO120" s="1190"/>
      <c r="AP120" s="1190"/>
      <c r="AQ120" s="1190"/>
      <c r="AR120" s="2">
        <v>10</v>
      </c>
      <c r="AS120" s="2" t="s">
        <v>11583</v>
      </c>
      <c r="AT120" s="1190"/>
      <c r="AU120" s="1190"/>
      <c r="AV120" s="1190"/>
      <c r="AW120" s="1190"/>
      <c r="AX120" s="1190"/>
      <c r="AY120" s="1190"/>
      <c r="AZ120" s="1190"/>
      <c r="BA120" s="1190"/>
      <c r="BB120" s="1190"/>
      <c r="BC120" s="1190"/>
      <c r="BD120" s="1190"/>
      <c r="BE120" s="1190"/>
      <c r="BF120" s="1190"/>
      <c r="BG120" s="1190"/>
      <c r="BH120" s="1190"/>
      <c r="BI120" s="1190"/>
      <c r="BJ120" s="1190"/>
      <c r="BK120" s="1190"/>
      <c r="BL120" s="1190"/>
      <c r="BM120" s="1190"/>
      <c r="BN120" s="1190"/>
      <c r="BO120" s="1190"/>
      <c r="IQ120" s="1189"/>
      <c r="LS120" s="1189"/>
      <c r="PY120" s="1259">
        <v>12</v>
      </c>
      <c r="PZ120" s="1259" t="s">
        <v>2321</v>
      </c>
      <c r="QA120" s="1259"/>
    </row>
    <row r="121" spans="1:443" ht="17.25">
      <c r="K121" s="29">
        <v>57</v>
      </c>
      <c r="L121" s="29" t="s">
        <v>583</v>
      </c>
      <c r="N121" s="1234"/>
      <c r="P121" s="29">
        <v>118</v>
      </c>
      <c r="Q121" s="29" t="s">
        <v>1611</v>
      </c>
      <c r="V121" s="106"/>
      <c r="W121" s="106"/>
      <c r="X121" s="106"/>
      <c r="Y121" s="106"/>
      <c r="Z121" s="106"/>
      <c r="AA121" s="106"/>
      <c r="AB121" s="106"/>
      <c r="AE121" s="1190"/>
      <c r="AF121" s="1190"/>
      <c r="AG121" s="2">
        <v>11</v>
      </c>
      <c r="AH121" s="2" t="s">
        <v>10379</v>
      </c>
      <c r="AI121" s="2" t="s">
        <v>10391</v>
      </c>
      <c r="AO121" s="1190"/>
      <c r="AP121" s="1190"/>
      <c r="AQ121" s="1190"/>
      <c r="AR121" s="2">
        <v>11</v>
      </c>
      <c r="AS121" s="2" t="s">
        <v>11584</v>
      </c>
      <c r="AT121" s="1190"/>
      <c r="AU121" s="1190"/>
      <c r="AV121" s="1190"/>
      <c r="AW121" s="1190"/>
      <c r="AX121" s="1190"/>
      <c r="AY121" s="1190"/>
      <c r="AZ121" s="1190"/>
      <c r="BA121" s="1190"/>
      <c r="BB121" s="1190"/>
      <c r="BC121" s="1190"/>
      <c r="BD121" s="1190"/>
      <c r="BE121" s="1190"/>
      <c r="BF121" s="1190"/>
      <c r="BG121" s="1190"/>
      <c r="BH121" s="1190"/>
      <c r="BI121" s="1190"/>
      <c r="BJ121" s="1190"/>
      <c r="BK121" s="1190"/>
      <c r="BL121" s="1190"/>
      <c r="BM121" s="1190"/>
      <c r="BN121" s="1190"/>
      <c r="BO121" s="1190"/>
      <c r="IQ121" s="1189"/>
      <c r="LS121" s="1189"/>
      <c r="PY121" s="1259">
        <v>13</v>
      </c>
      <c r="PZ121" s="1259" t="s">
        <v>18707</v>
      </c>
      <c r="QA121" s="1259"/>
    </row>
    <row r="122" spans="1:443" ht="17.25">
      <c r="A122" s="2" t="s">
        <v>551</v>
      </c>
      <c r="B122" s="2" t="s">
        <v>7706</v>
      </c>
      <c r="G122" s="1218" t="s">
        <v>1922</v>
      </c>
      <c r="H122" s="2" t="s">
        <v>17463</v>
      </c>
      <c r="K122" s="29">
        <v>58</v>
      </c>
      <c r="L122" s="29" t="s">
        <v>584</v>
      </c>
      <c r="N122" s="1234"/>
      <c r="P122" s="29">
        <v>119</v>
      </c>
      <c r="Q122" s="29" t="s">
        <v>602</v>
      </c>
      <c r="V122" s="106"/>
      <c r="W122" s="106"/>
      <c r="X122" s="106"/>
      <c r="Y122" s="106"/>
      <c r="Z122" s="106"/>
      <c r="AA122" s="106"/>
      <c r="AB122" s="106"/>
      <c r="AE122" s="1190"/>
      <c r="AF122" s="1190"/>
      <c r="AG122" s="2">
        <v>12</v>
      </c>
      <c r="AH122" s="2" t="s">
        <v>10361</v>
      </c>
      <c r="AI122" s="2" t="s">
        <v>11343</v>
      </c>
      <c r="AO122" s="1190"/>
      <c r="AP122" s="1190"/>
      <c r="AQ122" s="1190"/>
      <c r="AR122" s="2">
        <v>12</v>
      </c>
      <c r="AS122" s="2" t="s">
        <v>11585</v>
      </c>
      <c r="AT122" s="1190"/>
      <c r="AU122" s="1190"/>
      <c r="AV122" s="1190"/>
      <c r="AW122" s="1190"/>
      <c r="AX122" s="1190"/>
      <c r="AY122" s="1190"/>
      <c r="AZ122" s="1190"/>
      <c r="BA122" s="1190"/>
      <c r="BB122" s="1190"/>
      <c r="BC122" s="1190"/>
      <c r="BD122" s="1190"/>
      <c r="BE122" s="1190"/>
      <c r="BF122" s="1190"/>
      <c r="BG122" s="1190"/>
      <c r="BH122" s="1190"/>
      <c r="BI122" s="1190"/>
      <c r="BJ122" s="1190"/>
      <c r="BK122" s="1190"/>
      <c r="BL122" s="1190"/>
      <c r="BM122" s="1190"/>
      <c r="BN122" s="1190"/>
      <c r="BO122" s="1190"/>
      <c r="IQ122" s="1189"/>
      <c r="LS122" s="1189"/>
      <c r="PY122" s="1259">
        <v>14</v>
      </c>
      <c r="PZ122" s="1259" t="s">
        <v>18708</v>
      </c>
      <c r="QA122" s="1259"/>
    </row>
    <row r="123" spans="1:443" ht="17.25">
      <c r="A123" s="2">
        <v>1</v>
      </c>
      <c r="B123" s="2" t="s">
        <v>15789</v>
      </c>
      <c r="D123" s="2" t="s">
        <v>551</v>
      </c>
      <c r="E123" s="2" t="s">
        <v>7706</v>
      </c>
      <c r="G123" s="1218">
        <v>44044</v>
      </c>
      <c r="H123" s="2" t="s">
        <v>9112</v>
      </c>
      <c r="K123" s="29">
        <v>59</v>
      </c>
      <c r="L123" s="29" t="s">
        <v>1587</v>
      </c>
      <c r="N123" s="1234"/>
      <c r="P123" s="29">
        <v>120</v>
      </c>
      <c r="Q123" s="29" t="s">
        <v>603</v>
      </c>
      <c r="V123" s="106"/>
      <c r="W123" s="106"/>
      <c r="X123" s="106"/>
      <c r="Y123" s="106"/>
      <c r="Z123" s="106"/>
      <c r="AA123" s="106"/>
      <c r="AB123" s="106"/>
      <c r="AE123" s="1190"/>
      <c r="AF123" s="1190"/>
      <c r="AG123" s="2">
        <v>13</v>
      </c>
      <c r="AH123" s="2" t="s">
        <v>10362</v>
      </c>
      <c r="AI123" s="2" t="s">
        <v>11344</v>
      </c>
      <c r="AO123" s="1190"/>
      <c r="AP123" s="1190"/>
      <c r="AQ123" s="1190"/>
      <c r="AR123" s="1190"/>
      <c r="AS123" s="1190"/>
      <c r="AT123" s="1190"/>
      <c r="AU123" s="1190"/>
      <c r="AV123" s="1190"/>
      <c r="AW123" s="1190"/>
      <c r="AX123" s="1190"/>
      <c r="AY123" s="1190"/>
      <c r="AZ123" s="1190"/>
      <c r="BA123" s="1190"/>
      <c r="BB123" s="1190"/>
      <c r="BC123" s="1190"/>
      <c r="BD123" s="1190"/>
      <c r="BE123" s="1190"/>
      <c r="BF123" s="1190"/>
      <c r="BG123" s="1190"/>
      <c r="BH123" s="1190"/>
      <c r="BI123" s="1190"/>
      <c r="BJ123" s="1190"/>
      <c r="BK123" s="1190"/>
      <c r="BL123" s="1190"/>
      <c r="BM123" s="1190"/>
      <c r="BN123" s="1190"/>
      <c r="BO123" s="1190"/>
      <c r="IQ123" s="1189"/>
      <c r="LS123" s="1189"/>
      <c r="PY123" s="1259">
        <v>15</v>
      </c>
      <c r="PZ123" s="1259" t="s">
        <v>18709</v>
      </c>
      <c r="QA123" s="1259"/>
    </row>
    <row r="124" spans="1:443" ht="17.25">
      <c r="A124" s="2">
        <v>2</v>
      </c>
      <c r="B124" s="2" t="s">
        <v>15791</v>
      </c>
      <c r="D124" s="2">
        <v>1</v>
      </c>
      <c r="E124" s="2" t="s">
        <v>15811</v>
      </c>
      <c r="G124" s="1220">
        <v>43344</v>
      </c>
      <c r="H124" s="2" t="s">
        <v>9114</v>
      </c>
      <c r="K124" s="29">
        <v>60</v>
      </c>
      <c r="L124" s="29" t="s">
        <v>1633</v>
      </c>
      <c r="N124" s="1234"/>
      <c r="P124" s="29">
        <v>121</v>
      </c>
      <c r="Q124" s="29" t="s">
        <v>1637</v>
      </c>
      <c r="V124" s="106"/>
      <c r="W124" s="106"/>
      <c r="X124" s="106"/>
      <c r="Y124" s="106"/>
      <c r="Z124" s="106"/>
      <c r="AA124" s="106"/>
      <c r="AB124" s="106"/>
      <c r="AE124" s="1190"/>
      <c r="AF124" s="1190"/>
      <c r="AG124" s="2">
        <v>14</v>
      </c>
      <c r="AH124" s="2" t="s">
        <v>10363</v>
      </c>
      <c r="AI124" s="2" t="s">
        <v>11345</v>
      </c>
      <c r="AO124" s="1190"/>
      <c r="AP124" s="1190"/>
      <c r="AQ124" s="1190"/>
      <c r="AR124" s="1190"/>
      <c r="AS124" s="1190"/>
      <c r="AT124" s="1190"/>
      <c r="AU124" s="1190"/>
      <c r="AV124" s="1190"/>
      <c r="AW124" s="1190"/>
      <c r="AX124" s="1190"/>
      <c r="AY124" s="1190"/>
      <c r="AZ124" s="1190"/>
      <c r="BA124" s="1190"/>
      <c r="BB124" s="1190"/>
      <c r="BC124" s="1190"/>
      <c r="BD124" s="1190"/>
      <c r="BE124" s="1190"/>
      <c r="BF124" s="1190"/>
      <c r="BG124" s="1190"/>
      <c r="BH124" s="1190"/>
      <c r="BI124" s="1190"/>
      <c r="BJ124" s="1190"/>
      <c r="BK124" s="1190"/>
      <c r="BL124" s="1190"/>
      <c r="BM124" s="1190"/>
      <c r="BN124" s="1190"/>
      <c r="BO124" s="1190"/>
      <c r="IQ124" s="1189"/>
      <c r="LS124" s="1189"/>
      <c r="PY124" s="1259">
        <v>16</v>
      </c>
      <c r="PZ124" s="1259" t="s">
        <v>18710</v>
      </c>
      <c r="QA124" s="1259"/>
    </row>
    <row r="125" spans="1:443" ht="17.25">
      <c r="A125" s="2">
        <v>3</v>
      </c>
      <c r="B125" s="2" t="s">
        <v>3171</v>
      </c>
      <c r="D125" s="2">
        <v>2</v>
      </c>
      <c r="E125" s="2" t="s">
        <v>15812</v>
      </c>
      <c r="G125" s="2" t="s">
        <v>9117</v>
      </c>
      <c r="H125" s="2" t="s">
        <v>9118</v>
      </c>
      <c r="K125" s="29">
        <v>61</v>
      </c>
      <c r="L125" s="29" t="s">
        <v>640</v>
      </c>
      <c r="N125" s="1234"/>
      <c r="P125" s="29">
        <v>122</v>
      </c>
      <c r="Q125" s="29" t="s">
        <v>1612</v>
      </c>
      <c r="V125" s="106"/>
      <c r="W125" s="106"/>
      <c r="X125" s="106"/>
      <c r="Y125" s="106"/>
      <c r="Z125" s="106"/>
      <c r="AA125" s="106"/>
      <c r="AB125" s="106"/>
      <c r="AE125" s="1190"/>
      <c r="AF125" s="1190"/>
      <c r="AG125" s="2">
        <v>15</v>
      </c>
      <c r="AH125" s="2" t="s">
        <v>10364</v>
      </c>
      <c r="AI125" s="2" t="s">
        <v>11482</v>
      </c>
      <c r="AO125" s="1190"/>
      <c r="AP125" s="1190"/>
      <c r="AQ125" s="1190"/>
      <c r="AR125" s="1190"/>
      <c r="AS125" s="1190"/>
      <c r="AT125" s="1190"/>
      <c r="AU125" s="1190"/>
      <c r="AV125" s="1190"/>
      <c r="AW125" s="1190"/>
      <c r="AX125" s="1190"/>
      <c r="AY125" s="1190"/>
      <c r="AZ125" s="1190"/>
      <c r="BA125" s="1190"/>
      <c r="BB125" s="1190"/>
      <c r="BC125" s="1190"/>
      <c r="BD125" s="1190"/>
      <c r="BE125" s="1190"/>
      <c r="BF125" s="1190"/>
      <c r="BG125" s="1190"/>
      <c r="BH125" s="1190"/>
      <c r="BI125" s="1190"/>
      <c r="BJ125" s="1190"/>
      <c r="BK125" s="1190"/>
      <c r="BL125" s="1190"/>
      <c r="BM125" s="1190"/>
      <c r="BN125" s="1160"/>
      <c r="BO125" s="1160"/>
      <c r="BP125" s="1160"/>
      <c r="BQ125" s="1160"/>
      <c r="BR125" s="1160"/>
      <c r="BS125" s="1160"/>
      <c r="BT125" s="1160"/>
      <c r="BU125" s="1160"/>
      <c r="BV125" s="1160"/>
      <c r="BW125" s="1160"/>
      <c r="IQ125" s="1189"/>
      <c r="LS125" s="1189"/>
      <c r="PY125" s="1259">
        <v>17</v>
      </c>
      <c r="PZ125" s="1259" t="s">
        <v>18711</v>
      </c>
      <c r="QA125" s="1259"/>
    </row>
    <row r="126" spans="1:443" ht="17.25">
      <c r="A126" s="2">
        <v>4</v>
      </c>
      <c r="B126" s="2" t="s">
        <v>763</v>
      </c>
      <c r="D126" s="2">
        <v>3</v>
      </c>
      <c r="E126" s="2" t="s">
        <v>15813</v>
      </c>
      <c r="G126" s="2" t="s">
        <v>9121</v>
      </c>
      <c r="H126" s="2" t="s">
        <v>9122</v>
      </c>
      <c r="K126" s="29">
        <v>62</v>
      </c>
      <c r="L126" s="29" t="s">
        <v>161</v>
      </c>
      <c r="N126" s="1234"/>
      <c r="P126" s="29">
        <v>123</v>
      </c>
      <c r="Q126" s="29" t="s">
        <v>604</v>
      </c>
      <c r="V126" s="106"/>
      <c r="W126" s="106"/>
      <c r="X126" s="106"/>
      <c r="Y126" s="106"/>
      <c r="Z126" s="106"/>
      <c r="AA126" s="106"/>
      <c r="AB126" s="106"/>
      <c r="AE126" s="1190"/>
      <c r="AF126" s="1190"/>
      <c r="AG126" s="2">
        <v>16</v>
      </c>
      <c r="AH126" s="2" t="s">
        <v>10365</v>
      </c>
      <c r="AI126" s="2" t="s">
        <v>10366</v>
      </c>
      <c r="AO126" s="1190"/>
      <c r="AP126" s="1190"/>
      <c r="AQ126" s="1190"/>
      <c r="AR126" s="1190"/>
      <c r="AS126" s="1190"/>
      <c r="AT126" s="1190"/>
      <c r="AU126" s="1190"/>
      <c r="AV126" s="1190"/>
      <c r="AW126" s="1190"/>
      <c r="AX126" s="1190"/>
      <c r="AY126" s="1190"/>
      <c r="AZ126" s="1190"/>
      <c r="BA126" s="1190"/>
      <c r="BB126" s="1190"/>
      <c r="BC126" s="1190"/>
      <c r="BD126" s="1190"/>
      <c r="BE126" s="1190"/>
      <c r="BF126" s="1190"/>
      <c r="BG126" s="1190"/>
      <c r="BH126" s="1190"/>
      <c r="BI126" s="1190"/>
      <c r="BJ126" s="1190"/>
      <c r="BK126" s="1190"/>
      <c r="BL126" s="1190"/>
      <c r="BM126" s="1190"/>
      <c r="BN126" s="630" t="s">
        <v>5743</v>
      </c>
      <c r="BO126" s="630" t="s">
        <v>5742</v>
      </c>
      <c r="BP126" s="630" t="s">
        <v>5741</v>
      </c>
      <c r="BQ126" s="630" t="s">
        <v>5740</v>
      </c>
      <c r="BR126" s="630" t="s">
        <v>5739</v>
      </c>
      <c r="BS126" s="630" t="s">
        <v>5738</v>
      </c>
      <c r="BT126" s="1160"/>
      <c r="BU126" s="630" t="s">
        <v>5778</v>
      </c>
      <c r="BV126" s="630" t="s">
        <v>5698</v>
      </c>
      <c r="BW126" s="1160"/>
      <c r="BX126" s="2" t="s">
        <v>5770</v>
      </c>
      <c r="BY126" s="2" t="s">
        <v>5725</v>
      </c>
      <c r="BZ126" s="2" t="s">
        <v>5769</v>
      </c>
      <c r="CA126" s="2" t="s">
        <v>5768</v>
      </c>
      <c r="CB126" s="2" t="s">
        <v>5736</v>
      </c>
      <c r="IQ126" s="1189"/>
      <c r="LS126" s="1189"/>
      <c r="PY126" s="1259">
        <v>18</v>
      </c>
      <c r="PZ126" s="1259" t="s">
        <v>18712</v>
      </c>
      <c r="QA126" s="1259"/>
    </row>
    <row r="127" spans="1:443" ht="17.25">
      <c r="A127" s="2">
        <v>5</v>
      </c>
      <c r="B127" s="2" t="s">
        <v>5784</v>
      </c>
      <c r="D127" s="2">
        <v>4</v>
      </c>
      <c r="E127" s="2" t="s">
        <v>15814</v>
      </c>
      <c r="G127" s="2" t="s">
        <v>9124</v>
      </c>
      <c r="H127" s="2" t="s">
        <v>9125</v>
      </c>
      <c r="K127" s="29">
        <v>63</v>
      </c>
      <c r="L127" s="29" t="s">
        <v>397</v>
      </c>
      <c r="N127" s="1234"/>
      <c r="P127" s="29">
        <v>124</v>
      </c>
      <c r="Q127" s="29" t="s">
        <v>605</v>
      </c>
      <c r="V127" s="106"/>
      <c r="W127" s="106"/>
      <c r="X127" s="106"/>
      <c r="Y127" s="106"/>
      <c r="Z127" s="106"/>
      <c r="AA127" s="106"/>
      <c r="AB127" s="106"/>
      <c r="AE127" s="1190"/>
      <c r="AF127" s="1190"/>
      <c r="AG127" s="2">
        <v>17</v>
      </c>
      <c r="AH127" s="2" t="s">
        <v>10367</v>
      </c>
      <c r="AI127" s="2" t="s">
        <v>11485</v>
      </c>
      <c r="AO127" s="1190"/>
      <c r="AP127" s="1190"/>
      <c r="AQ127" s="1190"/>
      <c r="AR127" s="1190"/>
      <c r="AS127" s="1190"/>
      <c r="AT127" s="1190"/>
      <c r="AU127" s="1190"/>
      <c r="AV127" s="1190"/>
      <c r="AW127" s="1190"/>
      <c r="AX127" s="1190"/>
      <c r="AY127" s="1190"/>
      <c r="AZ127" s="1190"/>
      <c r="BA127" s="1190"/>
      <c r="BB127" s="1190"/>
      <c r="BC127" s="1190"/>
      <c r="BD127" s="1190"/>
      <c r="BE127" s="1190"/>
      <c r="BF127" s="1190"/>
      <c r="BG127" s="1190"/>
      <c r="BH127" s="1190"/>
      <c r="BI127" s="1190"/>
      <c r="BJ127" s="1190"/>
      <c r="BK127" s="1190"/>
      <c r="BL127" s="1190"/>
      <c r="BM127" s="1190"/>
      <c r="BN127" s="630" t="s">
        <v>5737</v>
      </c>
      <c r="BO127" s="622">
        <v>1</v>
      </c>
      <c r="BP127" s="622">
        <v>1</v>
      </c>
      <c r="BQ127" s="622">
        <v>0.75</v>
      </c>
      <c r="BR127" s="1235">
        <v>14</v>
      </c>
      <c r="BS127" s="1235">
        <v>16</v>
      </c>
      <c r="BT127" s="1160"/>
      <c r="BU127" s="630" t="s">
        <v>5713</v>
      </c>
      <c r="BV127" s="630" t="s">
        <v>9</v>
      </c>
      <c r="BW127" s="1160"/>
      <c r="BX127" s="2" t="s">
        <v>5767</v>
      </c>
      <c r="BY127" s="2" t="s">
        <v>5766</v>
      </c>
      <c r="BZ127" s="2" t="s">
        <v>5765</v>
      </c>
      <c r="CA127" s="2" t="s">
        <v>5764</v>
      </c>
      <c r="CB127" s="2" t="s">
        <v>5763</v>
      </c>
      <c r="IQ127" s="1189"/>
      <c r="LS127" s="1189"/>
      <c r="PY127" s="1259">
        <v>19</v>
      </c>
      <c r="PZ127" s="1259" t="s">
        <v>18713</v>
      </c>
      <c r="QA127" s="1259"/>
    </row>
    <row r="128" spans="1:443" ht="17.25">
      <c r="A128" s="2">
        <v>6</v>
      </c>
      <c r="B128" s="2" t="s">
        <v>15796</v>
      </c>
      <c r="D128" s="2">
        <v>5</v>
      </c>
      <c r="E128" s="2" t="s">
        <v>15815</v>
      </c>
      <c r="G128" s="2" t="s">
        <v>9128</v>
      </c>
      <c r="H128" s="2" t="s">
        <v>9129</v>
      </c>
      <c r="K128" s="29">
        <v>64</v>
      </c>
      <c r="L128" s="29" t="s">
        <v>1588</v>
      </c>
      <c r="N128" s="1234"/>
      <c r="P128" s="29">
        <v>125</v>
      </c>
      <c r="Q128" s="29" t="s">
        <v>606</v>
      </c>
      <c r="V128" s="106"/>
      <c r="W128" s="106"/>
      <c r="X128" s="106"/>
      <c r="Y128" s="106"/>
      <c r="Z128" s="106"/>
      <c r="AA128" s="106"/>
      <c r="AB128" s="106"/>
      <c r="AE128" s="1190"/>
      <c r="AF128" s="1190"/>
      <c r="AG128" s="2">
        <v>18</v>
      </c>
      <c r="AH128" s="2" t="s">
        <v>10368</v>
      </c>
      <c r="AI128" s="2" t="s">
        <v>11486</v>
      </c>
      <c r="AO128" s="1190"/>
      <c r="AP128" s="1190"/>
      <c r="AQ128" s="1190"/>
      <c r="AR128" s="1190"/>
      <c r="AS128" s="1190"/>
      <c r="AT128" s="1190"/>
      <c r="AU128" s="1190"/>
      <c r="AV128" s="1190"/>
      <c r="AW128" s="1190"/>
      <c r="AX128" s="1190"/>
      <c r="AY128" s="1190"/>
      <c r="AZ128" s="1190"/>
      <c r="BA128" s="1190"/>
      <c r="BB128" s="1190"/>
      <c r="BC128" s="1190"/>
      <c r="BD128" s="1190"/>
      <c r="BE128" s="1190"/>
      <c r="BF128" s="1190"/>
      <c r="BG128" s="1190"/>
      <c r="BH128" s="1190"/>
      <c r="BI128" s="1190"/>
      <c r="BJ128" s="1190"/>
      <c r="BK128" s="1190"/>
      <c r="BL128" s="1190"/>
      <c r="BM128" s="1190"/>
      <c r="BN128" s="630" t="s">
        <v>5736</v>
      </c>
      <c r="BO128" s="622">
        <v>1</v>
      </c>
      <c r="BP128" s="622">
        <v>0.5</v>
      </c>
      <c r="BQ128" s="622">
        <v>0.5</v>
      </c>
      <c r="BR128" s="1235">
        <v>12</v>
      </c>
      <c r="BS128" s="1235">
        <v>20</v>
      </c>
      <c r="BT128" s="1160"/>
      <c r="BU128" s="630" t="s">
        <v>3715</v>
      </c>
      <c r="BV128" s="630" t="s">
        <v>5694</v>
      </c>
      <c r="BW128" s="1160"/>
      <c r="BX128" s="2" t="s">
        <v>5762</v>
      </c>
      <c r="BY128" s="2" t="s">
        <v>5761</v>
      </c>
      <c r="BZ128" s="2" t="s">
        <v>5760</v>
      </c>
      <c r="CA128" s="2" t="s">
        <v>5759</v>
      </c>
      <c r="CB128" s="2" t="s">
        <v>5752</v>
      </c>
      <c r="IQ128" s="1189"/>
      <c r="LS128" s="1189"/>
      <c r="PY128" s="1259">
        <v>20</v>
      </c>
      <c r="PZ128" s="1259" t="s">
        <v>18714</v>
      </c>
      <c r="QA128" s="1259"/>
    </row>
    <row r="129" spans="1:443" ht="17.25">
      <c r="A129" s="2">
        <v>7</v>
      </c>
      <c r="B129" s="2" t="s">
        <v>15798</v>
      </c>
      <c r="D129" s="2">
        <v>6</v>
      </c>
      <c r="E129" s="2" t="s">
        <v>15816</v>
      </c>
      <c r="G129" s="2" t="s">
        <v>9131</v>
      </c>
      <c r="H129" s="2" t="s">
        <v>9132</v>
      </c>
      <c r="K129" s="29">
        <v>65</v>
      </c>
      <c r="L129" s="29" t="s">
        <v>1634</v>
      </c>
      <c r="N129" s="1234"/>
      <c r="P129" s="29">
        <v>126</v>
      </c>
      <c r="Q129" s="29" t="s">
        <v>607</v>
      </c>
      <c r="V129" s="106"/>
      <c r="W129" s="106"/>
      <c r="X129" s="106"/>
      <c r="Y129" s="106"/>
      <c r="Z129" s="106"/>
      <c r="AA129" s="106"/>
      <c r="AB129" s="106"/>
      <c r="AC129" s="106"/>
      <c r="AD129" s="106"/>
      <c r="AE129" s="1190"/>
      <c r="AF129" s="1190"/>
      <c r="AG129" s="2">
        <v>19</v>
      </c>
      <c r="AH129" s="2" t="s">
        <v>10369</v>
      </c>
      <c r="AI129" s="2" t="s">
        <v>11481</v>
      </c>
      <c r="AO129" s="1190"/>
      <c r="AP129" s="1190"/>
      <c r="AQ129" s="1190"/>
      <c r="AR129" s="1190"/>
      <c r="AS129" s="1190"/>
      <c r="AT129" s="1190"/>
      <c r="AU129" s="1190"/>
      <c r="AV129" s="1190"/>
      <c r="AW129" s="1190"/>
      <c r="AX129" s="1190"/>
      <c r="AY129" s="1190"/>
      <c r="AZ129" s="1190"/>
      <c r="BA129" s="1190"/>
      <c r="BB129" s="1190"/>
      <c r="BC129" s="1190"/>
      <c r="BD129" s="1190"/>
      <c r="BE129" s="1190"/>
      <c r="BF129" s="1190"/>
      <c r="BG129" s="1190"/>
      <c r="BH129" s="1190"/>
      <c r="BI129" s="1190"/>
      <c r="BJ129" s="1190"/>
      <c r="BK129" s="1190"/>
      <c r="BL129" s="1190"/>
      <c r="BM129" s="1190"/>
      <c r="BN129" s="630" t="s">
        <v>5735</v>
      </c>
      <c r="BO129" s="622">
        <v>1</v>
      </c>
      <c r="BP129" s="622">
        <v>1</v>
      </c>
      <c r="BQ129" s="622">
        <v>0.5</v>
      </c>
      <c r="BR129" s="1235">
        <v>14</v>
      </c>
      <c r="BS129" s="1235">
        <v>14</v>
      </c>
      <c r="BT129" s="1160"/>
      <c r="BU129" s="630" t="s">
        <v>5712</v>
      </c>
      <c r="BV129" s="630" t="s">
        <v>5693</v>
      </c>
      <c r="BW129" s="1160"/>
      <c r="BZ129" s="2" t="s">
        <v>5758</v>
      </c>
      <c r="CA129" s="2" t="s">
        <v>5757</v>
      </c>
      <c r="IQ129" s="1189"/>
      <c r="LS129" s="1189"/>
      <c r="QA129" s="1259"/>
    </row>
    <row r="130" spans="1:443" ht="17.25">
      <c r="A130" s="2">
        <v>8</v>
      </c>
      <c r="B130" s="2" t="s">
        <v>15800</v>
      </c>
      <c r="D130" s="2">
        <v>7</v>
      </c>
      <c r="E130" s="2" t="s">
        <v>15817</v>
      </c>
      <c r="G130" s="2" t="s">
        <v>9135</v>
      </c>
      <c r="H130" s="2" t="s">
        <v>15833</v>
      </c>
      <c r="K130" s="29">
        <v>66</v>
      </c>
      <c r="L130" s="29" t="s">
        <v>1589</v>
      </c>
      <c r="N130" s="1234"/>
      <c r="P130" s="29">
        <v>127</v>
      </c>
      <c r="Q130" s="29" t="s">
        <v>167</v>
      </c>
      <c r="V130" s="106"/>
      <c r="W130" s="106"/>
      <c r="X130" s="106"/>
      <c r="Y130" s="106"/>
      <c r="Z130" s="106"/>
      <c r="AA130" s="106"/>
      <c r="AB130" s="106"/>
      <c r="AC130" s="106"/>
      <c r="AD130" s="106"/>
      <c r="AE130" s="1190"/>
      <c r="AF130" s="1190"/>
      <c r="AG130" s="2">
        <v>20</v>
      </c>
      <c r="AH130" s="2" t="s">
        <v>10370</v>
      </c>
      <c r="AI130" s="2" t="s">
        <v>11480</v>
      </c>
      <c r="AO130" s="1190"/>
      <c r="AP130" s="1190"/>
      <c r="AQ130" s="1190"/>
      <c r="AR130" s="1190"/>
      <c r="AS130" s="1190"/>
      <c r="AT130" s="1190"/>
      <c r="AU130" s="1190"/>
      <c r="AV130" s="1190"/>
      <c r="AW130" s="1190"/>
      <c r="AX130" s="1190"/>
      <c r="AY130" s="1190"/>
      <c r="AZ130" s="1190"/>
      <c r="BA130" s="1190"/>
      <c r="BB130" s="1190"/>
      <c r="BC130" s="1190"/>
      <c r="BD130" s="1190"/>
      <c r="BE130" s="1190"/>
      <c r="BF130" s="1190"/>
      <c r="BG130" s="1190"/>
      <c r="BH130" s="1190"/>
      <c r="BI130" s="1190"/>
      <c r="BJ130" s="1190"/>
      <c r="BK130" s="1190"/>
      <c r="BL130" s="1190"/>
      <c r="BM130" s="1190"/>
      <c r="BN130" s="630" t="s">
        <v>5734</v>
      </c>
      <c r="BO130" s="622">
        <v>1</v>
      </c>
      <c r="BP130" s="622">
        <v>1</v>
      </c>
      <c r="BQ130" s="622">
        <v>0.5</v>
      </c>
      <c r="BR130" s="1235">
        <v>16</v>
      </c>
      <c r="BS130" s="1235">
        <v>14</v>
      </c>
      <c r="BT130" s="1160"/>
      <c r="BU130" s="630" t="s">
        <v>5711</v>
      </c>
      <c r="BV130" s="630" t="s">
        <v>5692</v>
      </c>
      <c r="BW130" s="1160"/>
      <c r="BX130" s="2" t="s">
        <v>5756</v>
      </c>
      <c r="BY130" s="2" t="s">
        <v>5755</v>
      </c>
      <c r="BZ130" s="2" t="s">
        <v>5754</v>
      </c>
      <c r="CA130" s="2" t="s">
        <v>5753</v>
      </c>
      <c r="CB130" s="2" t="s">
        <v>5752</v>
      </c>
      <c r="IQ130" s="1189"/>
      <c r="LS130" s="1189"/>
      <c r="QA130" s="1259"/>
    </row>
    <row r="131" spans="1:443" ht="17.25">
      <c r="A131" s="2">
        <v>9</v>
      </c>
      <c r="B131" s="2" t="s">
        <v>15802</v>
      </c>
      <c r="D131" s="2">
        <v>8</v>
      </c>
      <c r="E131" s="2" t="s">
        <v>15818</v>
      </c>
      <c r="G131" s="2" t="s">
        <v>9141</v>
      </c>
      <c r="H131" s="2" t="s">
        <v>9142</v>
      </c>
      <c r="K131" s="29">
        <v>67</v>
      </c>
      <c r="L131" s="29" t="s">
        <v>1590</v>
      </c>
      <c r="N131" s="1234"/>
      <c r="P131" s="29">
        <v>128</v>
      </c>
      <c r="Q131" s="29" t="s">
        <v>1613</v>
      </c>
      <c r="V131" s="106"/>
      <c r="W131" s="106"/>
      <c r="X131" s="106"/>
      <c r="Y131" s="106"/>
      <c r="Z131" s="106"/>
      <c r="AA131" s="106"/>
      <c r="AB131" s="106"/>
      <c r="AC131" s="106"/>
      <c r="AD131" s="106"/>
      <c r="AE131" s="1190"/>
      <c r="AF131" s="1190"/>
      <c r="AG131" s="2">
        <v>21</v>
      </c>
      <c r="AH131" s="2" t="s">
        <v>11964</v>
      </c>
      <c r="AI131" s="2" t="s">
        <v>12070</v>
      </c>
      <c r="AO131" s="1190"/>
      <c r="AP131" s="1190"/>
      <c r="AQ131" s="1190"/>
      <c r="AR131" s="1190"/>
      <c r="AS131" s="1190"/>
      <c r="AT131" s="1190"/>
      <c r="AU131" s="1190"/>
      <c r="AV131" s="1190"/>
      <c r="AW131" s="1190"/>
      <c r="AX131" s="1190"/>
      <c r="AY131" s="1190"/>
      <c r="AZ131" s="1190"/>
      <c r="BA131" s="1190"/>
      <c r="BB131" s="1190"/>
      <c r="BC131" s="1190"/>
      <c r="BD131" s="1190"/>
      <c r="BE131" s="1190"/>
      <c r="BF131" s="1190"/>
      <c r="BG131" s="1190"/>
      <c r="BH131" s="1190"/>
      <c r="BI131" s="1190"/>
      <c r="BJ131" s="1190"/>
      <c r="BK131" s="1190"/>
      <c r="BL131" s="1190"/>
      <c r="BM131" s="1190"/>
      <c r="BN131" s="630" t="s">
        <v>5733</v>
      </c>
      <c r="BO131" s="622">
        <v>1</v>
      </c>
      <c r="BP131" s="622">
        <v>1</v>
      </c>
      <c r="BQ131" s="622">
        <v>0.5</v>
      </c>
      <c r="BR131" s="1235">
        <v>18</v>
      </c>
      <c r="BS131" s="1235">
        <v>14</v>
      </c>
      <c r="BT131" s="1160"/>
      <c r="BU131" s="630" t="s">
        <v>5710</v>
      </c>
      <c r="BV131" s="630" t="s">
        <v>5691</v>
      </c>
      <c r="BW131" s="1160"/>
      <c r="BX131" s="2" t="s">
        <v>5751</v>
      </c>
      <c r="BY131" s="2" t="s">
        <v>5716</v>
      </c>
      <c r="BZ131" s="2" t="s">
        <v>5750</v>
      </c>
      <c r="CA131" s="2" t="s">
        <v>5749</v>
      </c>
      <c r="CB131" s="2" t="s">
        <v>5748</v>
      </c>
      <c r="IQ131" s="1189"/>
      <c r="LS131" s="1189"/>
      <c r="QA131" s="1259"/>
    </row>
    <row r="132" spans="1:443" ht="17.25">
      <c r="A132" s="2">
        <v>10</v>
      </c>
      <c r="B132" s="2" t="s">
        <v>15804</v>
      </c>
      <c r="D132" s="2">
        <v>9</v>
      </c>
      <c r="E132" s="2" t="s">
        <v>15819</v>
      </c>
      <c r="G132" s="2" t="s">
        <v>9145</v>
      </c>
      <c r="H132" s="2" t="s">
        <v>9146</v>
      </c>
      <c r="K132" s="29">
        <v>68</v>
      </c>
      <c r="L132" s="29" t="s">
        <v>1591</v>
      </c>
      <c r="N132" s="1234"/>
      <c r="P132" s="29">
        <v>129</v>
      </c>
      <c r="Q132" s="29" t="s">
        <v>608</v>
      </c>
      <c r="V132" s="106"/>
      <c r="W132" s="106"/>
      <c r="X132" s="106"/>
      <c r="Y132" s="106"/>
      <c r="Z132" s="106"/>
      <c r="AA132" s="106"/>
      <c r="AB132" s="106"/>
      <c r="AC132" s="106"/>
      <c r="AD132" s="106"/>
      <c r="AE132" s="1190"/>
      <c r="AF132" s="1190"/>
      <c r="AG132" s="2">
        <v>22</v>
      </c>
      <c r="AH132" s="2" t="s">
        <v>5624</v>
      </c>
      <c r="AI132" s="2" t="s">
        <v>2307</v>
      </c>
      <c r="AO132" s="1190"/>
      <c r="AP132" s="1190"/>
      <c r="AQ132" s="1190"/>
      <c r="AR132" s="1190"/>
      <c r="AS132" s="1190"/>
      <c r="AT132" s="1190"/>
      <c r="AU132" s="1190"/>
      <c r="AV132" s="1190"/>
      <c r="AW132" s="1190"/>
      <c r="AX132" s="1190"/>
      <c r="AY132" s="1190"/>
      <c r="AZ132" s="1190"/>
      <c r="BA132" s="1190"/>
      <c r="BB132" s="1190"/>
      <c r="BC132" s="1190"/>
      <c r="BD132" s="1190"/>
      <c r="BE132" s="1190"/>
      <c r="BF132" s="1190"/>
      <c r="BG132" s="1190"/>
      <c r="BH132" s="1190"/>
      <c r="BI132" s="1190"/>
      <c r="BJ132" s="1190"/>
      <c r="BK132" s="1190"/>
      <c r="BL132" s="1190"/>
      <c r="BM132" s="1190"/>
      <c r="BN132" s="630" t="s">
        <v>5732</v>
      </c>
      <c r="BO132" s="622">
        <v>1</v>
      </c>
      <c r="BP132" s="622">
        <v>0.75</v>
      </c>
      <c r="BQ132" s="622">
        <v>0.5</v>
      </c>
      <c r="BR132" s="1235">
        <v>14</v>
      </c>
      <c r="BS132" s="1235">
        <v>12</v>
      </c>
      <c r="BT132" s="1160"/>
      <c r="BU132" s="630" t="s">
        <v>5709</v>
      </c>
      <c r="BV132" s="1160"/>
      <c r="BW132" s="1160"/>
      <c r="BX132" s="2">
        <v>100</v>
      </c>
      <c r="BY132" s="2" t="s">
        <v>5747</v>
      </c>
      <c r="BZ132" s="2" t="s">
        <v>5746</v>
      </c>
      <c r="CA132" s="2" t="s">
        <v>5745</v>
      </c>
      <c r="CB132" s="2" t="s">
        <v>5744</v>
      </c>
      <c r="IQ132" s="1189"/>
      <c r="LS132" s="1189"/>
      <c r="PY132" s="1259"/>
      <c r="PZ132" s="1259"/>
      <c r="QA132" s="1259"/>
    </row>
    <row r="133" spans="1:443" ht="17.25">
      <c r="A133" s="2">
        <v>11</v>
      </c>
      <c r="B133" s="2" t="s">
        <v>15417</v>
      </c>
      <c r="D133" s="2">
        <v>10</v>
      </c>
      <c r="E133" s="2" t="s">
        <v>15820</v>
      </c>
      <c r="G133" s="2" t="s">
        <v>9149</v>
      </c>
      <c r="H133" s="2" t="s">
        <v>9150</v>
      </c>
      <c r="K133" s="29">
        <v>69</v>
      </c>
      <c r="L133" s="29" t="s">
        <v>585</v>
      </c>
      <c r="N133" s="1234"/>
      <c r="P133" s="29">
        <v>130</v>
      </c>
      <c r="Q133" s="29" t="s">
        <v>609</v>
      </c>
      <c r="V133" s="106"/>
      <c r="W133" s="106"/>
      <c r="X133" s="106"/>
      <c r="Y133" s="106"/>
      <c r="Z133" s="106"/>
      <c r="AA133" s="106"/>
      <c r="AB133" s="106"/>
      <c r="AC133" s="106"/>
      <c r="AD133" s="106"/>
      <c r="AE133" s="1190"/>
      <c r="AF133" s="1190"/>
      <c r="AG133" s="2">
        <v>23</v>
      </c>
      <c r="AH133" s="2" t="s">
        <v>5623</v>
      </c>
      <c r="AI133" s="2" t="s">
        <v>5689</v>
      </c>
      <c r="AJ133" s="1190"/>
      <c r="AK133" s="1190"/>
      <c r="AL133" s="1190"/>
      <c r="AM133" s="1190"/>
      <c r="AN133" s="1190"/>
      <c r="AO133" s="1190"/>
      <c r="AP133" s="1190"/>
      <c r="AQ133" s="1190"/>
      <c r="AR133" s="1190"/>
      <c r="AS133" s="1190"/>
      <c r="AT133" s="1190"/>
      <c r="AU133" s="1190"/>
      <c r="AV133" s="1190"/>
      <c r="AW133" s="1190"/>
      <c r="AX133" s="1190"/>
      <c r="AY133" s="1190"/>
      <c r="AZ133" s="1190"/>
      <c r="BA133" s="1190"/>
      <c r="BB133" s="1190"/>
      <c r="BC133" s="1190"/>
      <c r="BD133" s="1190"/>
      <c r="BE133" s="1190"/>
      <c r="BF133" s="1190"/>
      <c r="BG133" s="1190"/>
      <c r="BH133" s="1190"/>
      <c r="BI133" s="1190"/>
      <c r="BJ133" s="1190"/>
      <c r="BK133" s="1190"/>
      <c r="BL133" s="1190"/>
      <c r="BM133" s="1190"/>
      <c r="BN133" s="630" t="s">
        <v>5731</v>
      </c>
      <c r="BO133" s="622">
        <v>1</v>
      </c>
      <c r="BP133" s="622">
        <v>0.75</v>
      </c>
      <c r="BQ133" s="622">
        <v>0.25</v>
      </c>
      <c r="BR133" s="1235">
        <v>16</v>
      </c>
      <c r="BS133" s="1235">
        <v>14</v>
      </c>
      <c r="BT133" s="1160"/>
      <c r="BU133" s="630" t="s">
        <v>5708</v>
      </c>
      <c r="BV133" s="1160"/>
      <c r="BW133" s="1160"/>
      <c r="IQ133" s="1189"/>
      <c r="LS133" s="1189"/>
      <c r="PY133" s="1259"/>
      <c r="PZ133" s="1259"/>
      <c r="QA133" s="1259"/>
    </row>
    <row r="134" spans="1:443" ht="17.25">
      <c r="A134" s="2">
        <v>12</v>
      </c>
      <c r="B134" s="2" t="s">
        <v>15807</v>
      </c>
      <c r="D134" s="2">
        <v>11</v>
      </c>
      <c r="E134" s="2" t="s">
        <v>15821</v>
      </c>
      <c r="G134" s="2" t="s">
        <v>9153</v>
      </c>
      <c r="H134" s="2" t="s">
        <v>15834</v>
      </c>
      <c r="K134" s="29">
        <v>70</v>
      </c>
      <c r="L134" s="29" t="s">
        <v>399</v>
      </c>
      <c r="N134" s="1234"/>
      <c r="P134" s="29">
        <v>131</v>
      </c>
      <c r="Q134" s="29" t="s">
        <v>610</v>
      </c>
      <c r="V134" s="106"/>
      <c r="W134" s="106"/>
      <c r="X134" s="106"/>
      <c r="Y134" s="106"/>
      <c r="Z134" s="106"/>
      <c r="AA134" s="106"/>
      <c r="AB134" s="106"/>
      <c r="AC134" s="106"/>
      <c r="AD134" s="106"/>
      <c r="AE134" s="1190"/>
      <c r="AF134" s="1190"/>
      <c r="AG134" s="2">
        <v>24</v>
      </c>
      <c r="AH134" s="2" t="s">
        <v>5622</v>
      </c>
      <c r="AI134" s="2" t="s">
        <v>5688</v>
      </c>
      <c r="AJ134" s="1190"/>
      <c r="AK134" s="1190"/>
      <c r="AL134" s="1190"/>
      <c r="AM134" s="1190"/>
      <c r="AN134" s="1190"/>
      <c r="AO134" s="1190"/>
      <c r="AP134" s="1190"/>
      <c r="AQ134" s="1190"/>
      <c r="AR134" s="1190"/>
      <c r="AS134" s="1190"/>
      <c r="AT134" s="1190"/>
      <c r="AU134" s="1190"/>
      <c r="AV134" s="1190"/>
      <c r="AW134" s="1190"/>
      <c r="AX134" s="1190"/>
      <c r="AY134" s="1190"/>
      <c r="AZ134" s="1190"/>
      <c r="BA134" s="1190"/>
      <c r="BB134" s="1190"/>
      <c r="BC134" s="1190"/>
      <c r="BD134" s="1190"/>
      <c r="BE134" s="1190"/>
      <c r="BF134" s="1190"/>
      <c r="BG134" s="1190"/>
      <c r="BH134" s="1190"/>
      <c r="BI134" s="1190"/>
      <c r="BJ134" s="1190"/>
      <c r="BK134" s="1190"/>
      <c r="BL134" s="1190"/>
      <c r="BM134" s="1190"/>
      <c r="BN134" s="630" t="s">
        <v>5730</v>
      </c>
      <c r="BO134" s="622">
        <v>1</v>
      </c>
      <c r="BP134" s="622">
        <v>1</v>
      </c>
      <c r="BQ134" s="622">
        <v>0.75</v>
      </c>
      <c r="BR134" s="1235">
        <v>14</v>
      </c>
      <c r="BS134" s="1235">
        <v>16</v>
      </c>
      <c r="BT134" s="1160"/>
      <c r="BU134" s="630" t="s">
        <v>5707</v>
      </c>
      <c r="BV134" s="1160"/>
      <c r="BW134" s="1160"/>
      <c r="IQ134" s="1189"/>
      <c r="LS134" s="1189"/>
      <c r="PY134" s="1259" t="s">
        <v>18715</v>
      </c>
      <c r="PZ134" s="1259"/>
      <c r="QA134" s="1259"/>
    </row>
    <row r="135" spans="1:443" ht="17.25">
      <c r="A135" s="2">
        <v>13</v>
      </c>
      <c r="B135" s="2" t="s">
        <v>15790</v>
      </c>
      <c r="D135" s="2">
        <v>12</v>
      </c>
      <c r="E135" s="2" t="s">
        <v>15822</v>
      </c>
      <c r="G135" s="2" t="s">
        <v>9160</v>
      </c>
      <c r="H135" s="2" t="s">
        <v>9161</v>
      </c>
      <c r="K135" s="29">
        <v>71</v>
      </c>
      <c r="L135" s="29" t="s">
        <v>1592</v>
      </c>
      <c r="N135" s="1234"/>
      <c r="P135" s="29">
        <v>132</v>
      </c>
      <c r="Q135" s="29" t="s">
        <v>1614</v>
      </c>
      <c r="V135" s="106"/>
      <c r="W135" s="106"/>
      <c r="X135" s="106"/>
      <c r="Y135" s="106"/>
      <c r="Z135" s="106"/>
      <c r="AA135" s="106"/>
      <c r="AB135" s="106"/>
      <c r="AC135" s="106"/>
      <c r="AD135" s="106"/>
      <c r="AE135" s="1190"/>
      <c r="AF135" s="1190"/>
      <c r="AG135" s="2">
        <v>25</v>
      </c>
      <c r="AH135" s="2" t="s">
        <v>5621</v>
      </c>
      <c r="AI135" s="2" t="s">
        <v>5687</v>
      </c>
      <c r="AJ135" s="1190"/>
      <c r="AK135" s="1190"/>
      <c r="AL135" s="1190"/>
      <c r="AM135" s="1190"/>
      <c r="AN135" s="1190"/>
      <c r="AO135" s="1190"/>
      <c r="AP135" s="1190"/>
      <c r="AQ135" s="1190"/>
      <c r="AR135" s="1190"/>
      <c r="AS135" s="1190"/>
      <c r="AT135" s="1190"/>
      <c r="AU135" s="1190"/>
      <c r="AV135" s="1190"/>
      <c r="AW135" s="1190"/>
      <c r="AX135" s="1190"/>
      <c r="AY135" s="1190"/>
      <c r="AZ135" s="1190"/>
      <c r="BA135" s="1190"/>
      <c r="BB135" s="1190"/>
      <c r="BC135" s="1190"/>
      <c r="BD135" s="1190"/>
      <c r="BE135" s="1190"/>
      <c r="BF135" s="1190"/>
      <c r="BG135" s="1190"/>
      <c r="BH135" s="1190"/>
      <c r="BI135" s="1190"/>
      <c r="BJ135" s="1190"/>
      <c r="BK135" s="1190"/>
      <c r="BL135" s="1190"/>
      <c r="BM135" s="1190"/>
      <c r="BN135" s="630" t="s">
        <v>5729</v>
      </c>
      <c r="BO135" s="622">
        <v>0.75</v>
      </c>
      <c r="BP135" s="622">
        <v>0.75</v>
      </c>
      <c r="BQ135" s="622">
        <v>0.5</v>
      </c>
      <c r="BR135" s="1235">
        <v>16</v>
      </c>
      <c r="BS135" s="1235">
        <v>18</v>
      </c>
      <c r="BT135" s="1160"/>
      <c r="BU135" s="630" t="s">
        <v>5706</v>
      </c>
      <c r="BV135" s="1160"/>
      <c r="BW135" s="1160"/>
      <c r="IQ135" s="1189"/>
      <c r="LS135" s="1189"/>
      <c r="PY135" s="1259" t="s">
        <v>18716</v>
      </c>
      <c r="PZ135" s="1259" t="s">
        <v>551</v>
      </c>
      <c r="QA135" s="1259"/>
    </row>
    <row r="136" spans="1:443" ht="17.25">
      <c r="A136" s="2">
        <v>14</v>
      </c>
      <c r="B136" s="2" t="s">
        <v>15792</v>
      </c>
      <c r="D136" s="2">
        <v>13</v>
      </c>
      <c r="E136" s="2" t="s">
        <v>15823</v>
      </c>
      <c r="G136" s="2" t="s">
        <v>15835</v>
      </c>
      <c r="H136" s="2" t="s">
        <v>15836</v>
      </c>
      <c r="K136" s="29">
        <v>72</v>
      </c>
      <c r="L136" s="29" t="s">
        <v>1593</v>
      </c>
      <c r="N136" s="1234"/>
      <c r="P136" s="29">
        <v>133</v>
      </c>
      <c r="Q136" s="29" t="s">
        <v>611</v>
      </c>
      <c r="V136" s="106"/>
      <c r="W136" s="106"/>
      <c r="X136" s="106"/>
      <c r="Y136" s="106"/>
      <c r="Z136" s="106"/>
      <c r="AA136" s="106"/>
      <c r="AB136" s="106"/>
      <c r="AC136" s="106"/>
      <c r="AD136" s="106"/>
      <c r="AE136" s="1190"/>
      <c r="AF136" s="1190"/>
      <c r="AG136" s="2">
        <v>26</v>
      </c>
      <c r="AH136" s="2" t="s">
        <v>5618</v>
      </c>
      <c r="AI136" s="2" t="s">
        <v>5680</v>
      </c>
      <c r="AJ136" s="1190"/>
      <c r="AK136" s="1190"/>
      <c r="AL136" s="1190"/>
      <c r="AM136" s="1190"/>
      <c r="AN136" s="1190"/>
      <c r="AO136" s="1190"/>
      <c r="AP136" s="1190"/>
      <c r="AQ136" s="1190"/>
      <c r="AR136" s="1190"/>
      <c r="AS136" s="1190"/>
      <c r="AT136" s="1190"/>
      <c r="AU136" s="1190"/>
      <c r="AV136" s="1190"/>
      <c r="AW136" s="1190"/>
      <c r="AX136" s="1190"/>
      <c r="AY136" s="1190"/>
      <c r="AZ136" s="1190"/>
      <c r="BA136" s="1190"/>
      <c r="BB136" s="1190"/>
      <c r="BC136" s="1190"/>
      <c r="BD136" s="1190"/>
      <c r="BE136" s="1190"/>
      <c r="BF136" s="1190"/>
      <c r="BG136" s="1190"/>
      <c r="BH136" s="1190"/>
      <c r="BI136" s="1190"/>
      <c r="BJ136" s="1190"/>
      <c r="BK136" s="1190"/>
      <c r="BL136" s="1190"/>
      <c r="BM136" s="1190"/>
      <c r="BN136" s="630" t="s">
        <v>5728</v>
      </c>
      <c r="BO136" s="622">
        <v>1</v>
      </c>
      <c r="BP136" s="622">
        <v>1</v>
      </c>
      <c r="BQ136" s="622">
        <v>0.75</v>
      </c>
      <c r="BR136" s="1235">
        <v>12</v>
      </c>
      <c r="BS136" s="1235">
        <v>12</v>
      </c>
      <c r="BT136" s="1160"/>
      <c r="BU136" s="630" t="s">
        <v>5705</v>
      </c>
      <c r="BV136" s="1160"/>
      <c r="BW136" s="1160"/>
      <c r="IQ136" s="1189"/>
      <c r="LS136" s="1189"/>
      <c r="PY136" s="1220">
        <v>43831</v>
      </c>
      <c r="PZ136" s="1259" t="s">
        <v>18717</v>
      </c>
      <c r="QA136" s="1259"/>
    </row>
    <row r="137" spans="1:443" ht="17.25">
      <c r="A137" s="2">
        <v>15</v>
      </c>
      <c r="B137" s="2" t="s">
        <v>15793</v>
      </c>
      <c r="D137" s="2">
        <v>14</v>
      </c>
      <c r="E137" s="2" t="s">
        <v>15824</v>
      </c>
      <c r="K137" s="29">
        <v>73</v>
      </c>
      <c r="L137" s="29" t="s">
        <v>1594</v>
      </c>
      <c r="N137" s="1234"/>
      <c r="P137" s="29">
        <v>134</v>
      </c>
      <c r="Q137" s="29" t="s">
        <v>410</v>
      </c>
      <c r="V137" s="106"/>
      <c r="W137" s="106"/>
      <c r="X137" s="106"/>
      <c r="Y137" s="106"/>
      <c r="Z137" s="106"/>
      <c r="AA137" s="106"/>
      <c r="AB137" s="106"/>
      <c r="AC137" s="106"/>
      <c r="AD137" s="106"/>
      <c r="AE137" s="1190"/>
      <c r="AF137" s="1190"/>
      <c r="AG137" s="2">
        <v>27</v>
      </c>
      <c r="AH137" s="2" t="s">
        <v>5617</v>
      </c>
      <c r="AI137" s="2" t="s">
        <v>5680</v>
      </c>
      <c r="AJ137" s="1190"/>
      <c r="AK137" s="1190"/>
      <c r="AL137" s="1190"/>
      <c r="AM137" s="1190"/>
      <c r="AN137" s="1190"/>
      <c r="AO137" s="1190"/>
      <c r="AP137" s="1190"/>
      <c r="AQ137" s="1190"/>
      <c r="AR137" s="1190"/>
      <c r="AS137" s="1190"/>
      <c r="AT137" s="1190"/>
      <c r="AU137" s="1190"/>
      <c r="AV137" s="1190"/>
      <c r="AW137" s="1190"/>
      <c r="AX137" s="1190"/>
      <c r="AY137" s="1190"/>
      <c r="AZ137" s="1190"/>
      <c r="BA137" s="1190"/>
      <c r="BB137" s="1190"/>
      <c r="BC137" s="1190"/>
      <c r="BD137" s="1190"/>
      <c r="BE137" s="1190"/>
      <c r="BF137" s="1190"/>
      <c r="BG137" s="1190"/>
      <c r="BH137" s="1190"/>
      <c r="BI137" s="1190"/>
      <c r="BJ137" s="1190"/>
      <c r="BK137" s="1190"/>
      <c r="BL137" s="1190"/>
      <c r="BM137" s="1190"/>
      <c r="BN137" s="630" t="s">
        <v>5727</v>
      </c>
      <c r="BO137" s="622">
        <v>1</v>
      </c>
      <c r="BP137" s="622">
        <v>0.75</v>
      </c>
      <c r="BQ137" s="622">
        <v>0.5</v>
      </c>
      <c r="BR137" s="1235">
        <v>15</v>
      </c>
      <c r="BS137" s="1235">
        <v>16</v>
      </c>
      <c r="BT137" s="1160"/>
      <c r="BU137" s="630" t="s">
        <v>5704</v>
      </c>
      <c r="BV137" s="1160"/>
      <c r="BW137" s="1160"/>
      <c r="IQ137" s="1189"/>
      <c r="LS137" s="1189"/>
      <c r="PY137" s="1259" t="s">
        <v>18718</v>
      </c>
      <c r="PZ137" s="1259" t="s">
        <v>18719</v>
      </c>
      <c r="QA137" s="1259"/>
    </row>
    <row r="138" spans="1:443" ht="17.25">
      <c r="A138" s="2">
        <v>16</v>
      </c>
      <c r="B138" s="2" t="s">
        <v>15794</v>
      </c>
      <c r="D138" s="2">
        <v>15</v>
      </c>
      <c r="E138" s="2" t="s">
        <v>15825</v>
      </c>
      <c r="K138" s="29">
        <v>74</v>
      </c>
      <c r="L138" s="29" t="s">
        <v>1595</v>
      </c>
      <c r="N138" s="1234"/>
      <c r="P138" s="29">
        <v>135</v>
      </c>
      <c r="Q138" s="29" t="s">
        <v>1638</v>
      </c>
      <c r="V138" s="106"/>
      <c r="W138" s="106"/>
      <c r="X138" s="106"/>
      <c r="Y138" s="106"/>
      <c r="Z138" s="106"/>
      <c r="AA138" s="106"/>
      <c r="AB138" s="106"/>
      <c r="AC138" s="106"/>
      <c r="AD138" s="106"/>
      <c r="AE138" s="1190"/>
      <c r="AF138" s="1190"/>
      <c r="AG138" s="2">
        <v>28</v>
      </c>
      <c r="AH138" s="2" t="s">
        <v>5614</v>
      </c>
      <c r="AI138" s="2" t="s">
        <v>5686</v>
      </c>
      <c r="AJ138" s="1190"/>
      <c r="AK138" s="1190"/>
      <c r="AL138" s="1190"/>
      <c r="AM138" s="1190"/>
      <c r="AN138" s="1190"/>
      <c r="AO138" s="1190"/>
      <c r="AP138" s="1190"/>
      <c r="AQ138" s="1190"/>
      <c r="AR138" s="1190"/>
      <c r="AS138" s="1190"/>
      <c r="AT138" s="1190"/>
      <c r="AU138" s="1190"/>
      <c r="AV138" s="1190"/>
      <c r="AW138" s="1190"/>
      <c r="AX138" s="1190"/>
      <c r="AY138" s="1190"/>
      <c r="AZ138" s="1190"/>
      <c r="BA138" s="1190"/>
      <c r="BB138" s="1190"/>
      <c r="BC138" s="1190"/>
      <c r="BD138" s="1190"/>
      <c r="BE138" s="1190"/>
      <c r="BF138" s="1190"/>
      <c r="BG138" s="1190"/>
      <c r="BH138" s="1190"/>
      <c r="BI138" s="1190"/>
      <c r="BJ138" s="1190"/>
      <c r="BK138" s="1190"/>
      <c r="BL138" s="1190"/>
      <c r="BM138" s="1190"/>
      <c r="BN138" s="630" t="s">
        <v>5726</v>
      </c>
      <c r="BO138" s="622">
        <v>1</v>
      </c>
      <c r="BP138" s="622">
        <v>0.75</v>
      </c>
      <c r="BQ138" s="622">
        <v>0.75</v>
      </c>
      <c r="BR138" s="1235">
        <v>12</v>
      </c>
      <c r="BS138" s="1235">
        <v>18</v>
      </c>
      <c r="BT138" s="1160"/>
      <c r="BU138" s="630" t="s">
        <v>5703</v>
      </c>
      <c r="BV138" s="1160"/>
      <c r="BW138" s="1160"/>
      <c r="IQ138" s="1189"/>
      <c r="LS138" s="1189"/>
      <c r="PY138" s="1259" t="s">
        <v>15661</v>
      </c>
      <c r="PZ138" s="1259" t="s">
        <v>18720</v>
      </c>
      <c r="QA138" s="1259"/>
    </row>
    <row r="139" spans="1:443" ht="17.25">
      <c r="A139" s="2">
        <v>17</v>
      </c>
      <c r="B139" s="2" t="s">
        <v>15795</v>
      </c>
      <c r="D139" s="2">
        <v>16</v>
      </c>
      <c r="E139" s="2" t="s">
        <v>15826</v>
      </c>
      <c r="K139" s="29">
        <v>75</v>
      </c>
      <c r="L139" s="29" t="s">
        <v>1596</v>
      </c>
      <c r="N139" s="1234"/>
      <c r="P139" s="29">
        <v>136</v>
      </c>
      <c r="Q139" s="29" t="s">
        <v>612</v>
      </c>
      <c r="V139" s="106"/>
      <c r="W139" s="106"/>
      <c r="X139" s="106"/>
      <c r="Y139" s="106"/>
      <c r="Z139" s="106"/>
      <c r="AA139" s="106"/>
      <c r="AB139" s="106"/>
      <c r="AC139" s="106"/>
      <c r="AD139" s="106"/>
      <c r="AE139" s="1190"/>
      <c r="AF139" s="1190"/>
      <c r="AG139" s="2">
        <v>29</v>
      </c>
      <c r="AH139" s="2" t="s">
        <v>5620</v>
      </c>
      <c r="AI139" s="2" t="s">
        <v>5685</v>
      </c>
      <c r="AJ139" s="1190"/>
      <c r="AK139" s="1190"/>
      <c r="AL139" s="1190"/>
      <c r="AM139" s="1190"/>
      <c r="AN139" s="1190"/>
      <c r="AO139" s="1190"/>
      <c r="AP139" s="1190"/>
      <c r="AQ139" s="1190"/>
      <c r="AR139" s="1190"/>
      <c r="AS139" s="1190"/>
      <c r="AT139" s="1190"/>
      <c r="AU139" s="1190"/>
      <c r="AV139" s="1190"/>
      <c r="AW139" s="1190"/>
      <c r="AX139" s="1190"/>
      <c r="AY139" s="1190"/>
      <c r="AZ139" s="1190"/>
      <c r="BA139" s="1190"/>
      <c r="BB139" s="1190"/>
      <c r="BC139" s="1190"/>
      <c r="BD139" s="1190"/>
      <c r="BE139" s="1190"/>
      <c r="BF139" s="1190"/>
      <c r="BG139" s="1190"/>
      <c r="BH139" s="1190"/>
      <c r="BI139" s="1190"/>
      <c r="BJ139" s="1190"/>
      <c r="BK139" s="1190"/>
      <c r="BL139" s="1190"/>
      <c r="BM139" s="1190"/>
      <c r="BN139" s="1160"/>
      <c r="BO139" s="1160"/>
      <c r="BP139" s="1160"/>
      <c r="BQ139" s="1160"/>
      <c r="BR139" s="1160"/>
      <c r="BS139" s="1160"/>
      <c r="BT139" s="1160"/>
      <c r="BU139" s="630" t="s">
        <v>5702</v>
      </c>
      <c r="BV139" s="1160"/>
      <c r="BW139" s="1160"/>
      <c r="IQ139" s="1189"/>
      <c r="LS139" s="1189"/>
      <c r="PY139" s="1259" t="s">
        <v>18721</v>
      </c>
      <c r="PZ139" s="1259" t="s">
        <v>18722</v>
      </c>
      <c r="QA139" s="1259"/>
    </row>
    <row r="140" spans="1:443" ht="17.25">
      <c r="A140" s="2">
        <v>18</v>
      </c>
      <c r="B140" s="2" t="s">
        <v>15797</v>
      </c>
      <c r="D140" s="2">
        <v>17</v>
      </c>
      <c r="E140" s="2" t="s">
        <v>15827</v>
      </c>
      <c r="K140" s="29">
        <v>76</v>
      </c>
      <c r="L140" s="29" t="s">
        <v>1597</v>
      </c>
      <c r="N140" s="1234"/>
      <c r="P140" s="29">
        <v>137</v>
      </c>
      <c r="Q140" s="29" t="s">
        <v>613</v>
      </c>
      <c r="V140" s="106"/>
      <c r="W140" s="106"/>
      <c r="X140" s="106"/>
      <c r="Y140" s="106"/>
      <c r="Z140" s="106"/>
      <c r="AA140" s="106"/>
      <c r="AB140" s="106"/>
      <c r="AC140" s="106"/>
      <c r="AD140" s="106"/>
      <c r="AE140" s="1190"/>
      <c r="AF140" s="1190"/>
      <c r="AG140" s="2">
        <v>30</v>
      </c>
      <c r="AH140" s="2" t="s">
        <v>5619</v>
      </c>
      <c r="AI140" s="2" t="s">
        <v>5684</v>
      </c>
      <c r="AJ140" s="1190"/>
      <c r="AK140" s="1190"/>
      <c r="AL140" s="1190"/>
      <c r="AM140" s="1190"/>
      <c r="AN140" s="1190"/>
      <c r="AO140" s="1190"/>
      <c r="AP140" s="1190"/>
      <c r="AQ140" s="1190"/>
      <c r="AR140" s="1190"/>
      <c r="AS140" s="1190"/>
      <c r="AT140" s="1190"/>
      <c r="AU140" s="1190"/>
      <c r="AV140" s="1190"/>
      <c r="AW140" s="1190"/>
      <c r="AX140" s="1190"/>
      <c r="AY140" s="1190"/>
      <c r="AZ140" s="1190"/>
      <c r="BA140" s="1190"/>
      <c r="BB140" s="1190"/>
      <c r="BC140" s="1190"/>
      <c r="BD140" s="1190"/>
      <c r="BE140" s="1190"/>
      <c r="BF140" s="1190"/>
      <c r="BG140" s="1190"/>
      <c r="BH140" s="1190"/>
      <c r="BI140" s="1190"/>
      <c r="BJ140" s="1190"/>
      <c r="BK140" s="1190"/>
      <c r="BL140" s="1190"/>
      <c r="BM140" s="1190"/>
      <c r="BN140" s="630" t="s">
        <v>5725</v>
      </c>
      <c r="BO140" s="630" t="s">
        <v>5697</v>
      </c>
      <c r="BP140" s="630" t="s">
        <v>5696</v>
      </c>
      <c r="BQ140" s="630" t="s">
        <v>5695</v>
      </c>
      <c r="BR140" s="1160"/>
      <c r="BS140" s="1160"/>
      <c r="BT140" s="1160"/>
      <c r="BU140" s="630" t="s">
        <v>5701</v>
      </c>
      <c r="BV140" s="1160"/>
      <c r="BW140" s="1160"/>
      <c r="IQ140" s="1189"/>
      <c r="LS140" s="1189"/>
      <c r="PY140" s="1259" t="s">
        <v>18589</v>
      </c>
      <c r="PZ140" s="1259" t="s">
        <v>18723</v>
      </c>
      <c r="QA140" s="1259"/>
    </row>
    <row r="141" spans="1:443" ht="17.25">
      <c r="A141" s="2">
        <v>19</v>
      </c>
      <c r="B141" s="2" t="s">
        <v>15799</v>
      </c>
      <c r="D141" s="2">
        <v>18</v>
      </c>
      <c r="E141" s="2" t="s">
        <v>15828</v>
      </c>
      <c r="K141" s="29">
        <v>77</v>
      </c>
      <c r="L141" s="29" t="s">
        <v>1598</v>
      </c>
      <c r="N141" s="1234"/>
      <c r="P141" s="29">
        <v>138</v>
      </c>
      <c r="Q141" s="29" t="s">
        <v>413</v>
      </c>
      <c r="V141" s="106"/>
      <c r="W141" s="106"/>
      <c r="X141" s="106"/>
      <c r="Y141" s="106"/>
      <c r="Z141" s="106"/>
      <c r="AA141" s="106"/>
      <c r="AB141" s="106"/>
      <c r="AC141" s="106"/>
      <c r="AD141" s="106"/>
      <c r="AE141" s="1190"/>
      <c r="AF141" s="1190"/>
      <c r="AG141" s="2">
        <v>31</v>
      </c>
      <c r="AH141" s="2" t="s">
        <v>5618</v>
      </c>
      <c r="AI141" s="2" t="s">
        <v>5683</v>
      </c>
      <c r="AJ141" s="1190"/>
      <c r="AK141" s="1190"/>
      <c r="AL141" s="1190"/>
      <c r="AM141" s="1190"/>
      <c r="AN141" s="1190"/>
      <c r="AO141" s="1190"/>
      <c r="AP141" s="1190"/>
      <c r="AQ141" s="1190"/>
      <c r="AR141" s="1190"/>
      <c r="AS141" s="1190"/>
      <c r="AT141" s="1190"/>
      <c r="AU141" s="1190"/>
      <c r="AV141" s="1190"/>
      <c r="AW141" s="1190"/>
      <c r="AX141" s="1190"/>
      <c r="AY141" s="1190"/>
      <c r="AZ141" s="1190"/>
      <c r="BA141" s="1190"/>
      <c r="BB141" s="1190"/>
      <c r="BC141" s="1190"/>
      <c r="BD141" s="1190"/>
      <c r="BE141" s="1190"/>
      <c r="BF141" s="1190"/>
      <c r="BG141" s="1190"/>
      <c r="BH141" s="1190"/>
      <c r="BI141" s="1190"/>
      <c r="BJ141" s="1190"/>
      <c r="BK141" s="1190"/>
      <c r="BL141" s="1190"/>
      <c r="BM141" s="1190"/>
      <c r="BN141" s="630" t="s">
        <v>5724</v>
      </c>
      <c r="BO141" s="1236">
        <v>0.75</v>
      </c>
      <c r="BP141" s="1236">
        <v>0</v>
      </c>
      <c r="BQ141" s="1236">
        <v>0</v>
      </c>
      <c r="BR141" s="1236"/>
      <c r="BS141" s="1160"/>
      <c r="BT141" s="1160"/>
      <c r="BU141" s="630" t="s">
        <v>5700</v>
      </c>
      <c r="BV141" s="1160"/>
      <c r="BW141" s="1160"/>
      <c r="IQ141" s="1189"/>
      <c r="LS141" s="1189"/>
      <c r="PY141" s="1259"/>
      <c r="PZ141" s="1259"/>
      <c r="QA141" s="1259"/>
    </row>
    <row r="142" spans="1:443" ht="17.25">
      <c r="A142" s="2">
        <v>20</v>
      </c>
      <c r="B142" s="2" t="s">
        <v>15801</v>
      </c>
      <c r="D142" s="2">
        <v>19</v>
      </c>
      <c r="E142" s="2" t="s">
        <v>15829</v>
      </c>
      <c r="K142" s="29">
        <v>78</v>
      </c>
      <c r="L142" s="29" t="s">
        <v>76</v>
      </c>
      <c r="N142" s="1234"/>
      <c r="P142" s="29">
        <v>139</v>
      </c>
      <c r="Q142" s="29" t="s">
        <v>415</v>
      </c>
      <c r="V142" s="106"/>
      <c r="W142" s="106"/>
      <c r="X142" s="106"/>
      <c r="Y142" s="106"/>
      <c r="Z142" s="106"/>
      <c r="AA142" s="106"/>
      <c r="AB142" s="106"/>
      <c r="AC142" s="106"/>
      <c r="AD142" s="106"/>
      <c r="AE142" s="1190"/>
      <c r="AF142" s="1190"/>
      <c r="AG142" s="2">
        <v>32</v>
      </c>
      <c r="AH142" s="2" t="s">
        <v>5617</v>
      </c>
      <c r="AI142" s="2" t="s">
        <v>5682</v>
      </c>
      <c r="AJ142" s="1190"/>
      <c r="AK142" s="1190"/>
      <c r="AL142" s="1190"/>
      <c r="AM142" s="1190"/>
      <c r="AN142" s="1190"/>
      <c r="AO142" s="1190"/>
      <c r="AP142" s="1190"/>
      <c r="AQ142" s="1190"/>
      <c r="AR142" s="1190"/>
      <c r="AS142" s="1190"/>
      <c r="AT142" s="1190"/>
      <c r="AU142" s="1190"/>
      <c r="AV142" s="1190"/>
      <c r="AW142" s="1190"/>
      <c r="AX142" s="1190"/>
      <c r="AY142" s="1190"/>
      <c r="AZ142" s="1190"/>
      <c r="BA142" s="1190"/>
      <c r="BB142" s="1190"/>
      <c r="BC142" s="1190"/>
      <c r="BD142" s="1190"/>
      <c r="BE142" s="1190"/>
      <c r="BF142" s="1190"/>
      <c r="BG142" s="1190"/>
      <c r="BH142" s="1190"/>
      <c r="BI142" s="1190"/>
      <c r="BJ142" s="1190"/>
      <c r="BK142" s="1190"/>
      <c r="BL142" s="1190"/>
      <c r="BM142" s="1190"/>
      <c r="BN142" s="630" t="s">
        <v>5723</v>
      </c>
      <c r="BO142" s="1236">
        <v>1</v>
      </c>
      <c r="BP142" s="1236">
        <v>0</v>
      </c>
      <c r="BQ142" s="1236">
        <v>0</v>
      </c>
      <c r="BR142" s="1236"/>
      <c r="BS142" s="1160"/>
      <c r="BT142" s="1160"/>
      <c r="BU142" s="630" t="s">
        <v>5699</v>
      </c>
      <c r="BV142" s="1160"/>
      <c r="BW142" s="1160"/>
      <c r="IQ142" s="1189"/>
      <c r="LS142" s="1189"/>
      <c r="PY142" s="1259" t="s">
        <v>18724</v>
      </c>
      <c r="PZ142" s="1259"/>
      <c r="QA142" s="1259"/>
    </row>
    <row r="143" spans="1:443" ht="17.25">
      <c r="A143" s="2">
        <v>21</v>
      </c>
      <c r="B143" s="2" t="s">
        <v>15803</v>
      </c>
      <c r="D143" s="2">
        <v>20</v>
      </c>
      <c r="E143" s="2" t="s">
        <v>15830</v>
      </c>
      <c r="K143" s="29">
        <v>79</v>
      </c>
      <c r="L143" s="29" t="s">
        <v>1599</v>
      </c>
      <c r="N143" s="1234"/>
      <c r="P143" s="29">
        <v>140</v>
      </c>
      <c r="Q143" s="29" t="s">
        <v>416</v>
      </c>
      <c r="V143" s="106"/>
      <c r="W143" s="106"/>
      <c r="X143" s="106"/>
      <c r="Y143" s="106"/>
      <c r="Z143" s="106"/>
      <c r="AA143" s="106"/>
      <c r="AB143" s="106"/>
      <c r="AC143" s="106"/>
      <c r="AD143" s="106"/>
      <c r="AE143" s="1190"/>
      <c r="AF143" s="1190"/>
      <c r="AG143" s="2">
        <v>33</v>
      </c>
      <c r="AH143" s="2" t="s">
        <v>5616</v>
      </c>
      <c r="AI143" s="2" t="s">
        <v>5681</v>
      </c>
      <c r="AJ143" s="1190"/>
      <c r="AK143" s="1190"/>
      <c r="AL143" s="1190"/>
      <c r="AM143" s="1190"/>
      <c r="AN143" s="1190"/>
      <c r="AO143" s="1190"/>
      <c r="AP143" s="1190"/>
      <c r="AQ143" s="1190"/>
      <c r="AR143" s="1190"/>
      <c r="AS143" s="1190"/>
      <c r="AT143" s="1190"/>
      <c r="AU143" s="1190"/>
      <c r="AV143" s="1190"/>
      <c r="AW143" s="1190"/>
      <c r="AX143" s="1190"/>
      <c r="AY143" s="1190"/>
      <c r="AZ143" s="1190"/>
      <c r="BA143" s="1190"/>
      <c r="BB143" s="1190"/>
      <c r="BC143" s="1190"/>
      <c r="BD143" s="1190"/>
      <c r="BE143" s="1190"/>
      <c r="BF143" s="1190"/>
      <c r="BG143" s="1190"/>
      <c r="BH143" s="1190"/>
      <c r="BI143" s="1190"/>
      <c r="BJ143" s="1190"/>
      <c r="BK143" s="1190"/>
      <c r="BL143" s="1190"/>
      <c r="BM143" s="1190"/>
      <c r="BN143" s="630" t="s">
        <v>5722</v>
      </c>
      <c r="BO143" s="1236">
        <v>0.75</v>
      </c>
      <c r="BP143" s="1236">
        <v>0</v>
      </c>
      <c r="BQ143" s="1236">
        <v>0</v>
      </c>
      <c r="BR143" s="1236"/>
      <c r="BS143" s="1160"/>
      <c r="BT143" s="1160"/>
      <c r="BU143" s="1160"/>
      <c r="BV143" s="1160"/>
      <c r="BW143" s="1160"/>
      <c r="IQ143" s="1189"/>
      <c r="LS143" s="1189"/>
      <c r="PY143" s="1259" t="s">
        <v>18725</v>
      </c>
      <c r="PZ143" s="1259"/>
      <c r="QA143" s="1259"/>
    </row>
    <row r="144" spans="1:443" ht="17.25">
      <c r="A144" s="2">
        <v>22</v>
      </c>
      <c r="B144" s="2" t="s">
        <v>15805</v>
      </c>
      <c r="D144" s="2">
        <v>21</v>
      </c>
      <c r="E144" s="2" t="s">
        <v>15831</v>
      </c>
      <c r="K144" s="29">
        <v>80</v>
      </c>
      <c r="L144" s="29" t="s">
        <v>586</v>
      </c>
      <c r="N144" s="1234"/>
      <c r="P144" s="29">
        <v>141</v>
      </c>
      <c r="Q144" s="29" t="s">
        <v>109</v>
      </c>
      <c r="V144" s="106"/>
      <c r="W144" s="106"/>
      <c r="X144" s="106"/>
      <c r="Y144" s="106"/>
      <c r="Z144" s="106"/>
      <c r="AA144" s="106"/>
      <c r="AB144" s="106"/>
      <c r="AC144" s="106"/>
      <c r="AD144" s="106"/>
      <c r="AE144" s="1190"/>
      <c r="AF144" s="1190"/>
      <c r="AG144" s="2">
        <v>34</v>
      </c>
      <c r="AH144" s="2" t="s">
        <v>5615</v>
      </c>
      <c r="AI144" s="2" t="s">
        <v>5680</v>
      </c>
      <c r="AJ144" s="1190"/>
      <c r="AK144" s="1190"/>
      <c r="AL144" s="1190"/>
      <c r="AM144" s="1190"/>
      <c r="AN144" s="1190"/>
      <c r="AO144" s="1190"/>
      <c r="AP144" s="1190"/>
      <c r="AQ144" s="1190"/>
      <c r="AR144" s="1190"/>
      <c r="AS144" s="1190"/>
      <c r="AT144" s="1190"/>
      <c r="AU144" s="1190"/>
      <c r="AV144" s="1190"/>
      <c r="AW144" s="1190"/>
      <c r="AX144" s="1190"/>
      <c r="AY144" s="1190"/>
      <c r="AZ144" s="1190"/>
      <c r="BA144" s="1190"/>
      <c r="BB144" s="1190"/>
      <c r="BC144" s="1190"/>
      <c r="BD144" s="1190"/>
      <c r="BE144" s="1190"/>
      <c r="BF144" s="1190"/>
      <c r="BG144" s="1190"/>
      <c r="BH144" s="1190"/>
      <c r="BI144" s="1190"/>
      <c r="BJ144" s="1190"/>
      <c r="BK144" s="1190"/>
      <c r="BL144" s="1190"/>
      <c r="BM144" s="1190"/>
      <c r="BN144" s="630" t="s">
        <v>5721</v>
      </c>
      <c r="BO144" s="1236">
        <v>0.1</v>
      </c>
      <c r="BP144" s="1236">
        <v>0</v>
      </c>
      <c r="BQ144" s="1236">
        <v>0</v>
      </c>
      <c r="BR144" s="1236"/>
      <c r="BS144" s="1160"/>
      <c r="BT144" s="1160"/>
      <c r="BU144" s="1160"/>
      <c r="BV144" s="1160"/>
      <c r="BW144" s="1160"/>
      <c r="IQ144" s="1189"/>
      <c r="LS144" s="1189"/>
      <c r="PY144" s="1259" t="s">
        <v>18530</v>
      </c>
      <c r="PZ144" s="1259" t="s">
        <v>12234</v>
      </c>
      <c r="QA144" s="1259"/>
    </row>
    <row r="145" spans="1:443" ht="17.25">
      <c r="A145" s="2">
        <v>23</v>
      </c>
      <c r="B145" s="2" t="s">
        <v>15806</v>
      </c>
      <c r="D145" s="2">
        <v>22</v>
      </c>
      <c r="E145" s="2" t="s">
        <v>15832</v>
      </c>
      <c r="K145" s="29">
        <v>81</v>
      </c>
      <c r="L145" s="29" t="s">
        <v>1600</v>
      </c>
      <c r="N145" s="1234"/>
      <c r="P145" s="29">
        <v>142</v>
      </c>
      <c r="Q145" s="29" t="s">
        <v>1615</v>
      </c>
      <c r="V145" s="106"/>
      <c r="W145" s="106"/>
      <c r="X145" s="106"/>
      <c r="Y145" s="106"/>
      <c r="Z145" s="106"/>
      <c r="AA145" s="106"/>
      <c r="AB145" s="106"/>
      <c r="AC145" s="106"/>
      <c r="AD145" s="106"/>
      <c r="AE145" s="1190"/>
      <c r="AF145" s="1190"/>
      <c r="AG145" s="2">
        <v>35</v>
      </c>
      <c r="AH145" s="2" t="s">
        <v>5614</v>
      </c>
      <c r="AJ145" s="1190"/>
      <c r="AK145" s="1190"/>
      <c r="AL145" s="1190"/>
      <c r="AM145" s="1190"/>
      <c r="AN145" s="1190"/>
      <c r="AO145" s="1190"/>
      <c r="AP145" s="1190"/>
      <c r="AQ145" s="1190"/>
      <c r="AR145" s="1190"/>
      <c r="AS145" s="1190"/>
      <c r="AT145" s="1190"/>
      <c r="AU145" s="1190"/>
      <c r="AV145" s="1190"/>
      <c r="AW145" s="1190"/>
      <c r="AX145" s="1190"/>
      <c r="AY145" s="1190"/>
      <c r="AZ145" s="1190"/>
      <c r="BA145" s="1190"/>
      <c r="BB145" s="1190"/>
      <c r="BC145" s="1190"/>
      <c r="BD145" s="1190"/>
      <c r="BE145" s="1190"/>
      <c r="BF145" s="1190"/>
      <c r="BG145" s="1190"/>
      <c r="BH145" s="1190"/>
      <c r="BI145" s="1190"/>
      <c r="BJ145" s="1190"/>
      <c r="BK145" s="1190"/>
      <c r="BL145" s="1190"/>
      <c r="BM145" s="1190"/>
      <c r="BN145" s="630" t="s">
        <v>5720</v>
      </c>
      <c r="BO145" s="1236">
        <v>0.5</v>
      </c>
      <c r="BP145" s="1236">
        <v>4</v>
      </c>
      <c r="BQ145" s="1236">
        <v>2</v>
      </c>
      <c r="BR145" s="1236"/>
      <c r="BS145" s="1160"/>
      <c r="BT145" s="1160"/>
      <c r="BU145" s="1160"/>
      <c r="BV145" s="1160"/>
      <c r="BW145" s="1160"/>
      <c r="IQ145" s="1189"/>
      <c r="LS145" s="1189"/>
      <c r="PY145" s="1218">
        <v>43922</v>
      </c>
      <c r="PZ145" s="1259" t="s">
        <v>18726</v>
      </c>
      <c r="QA145" s="1259"/>
    </row>
    <row r="146" spans="1:443" ht="19.5">
      <c r="A146" s="2">
        <v>24</v>
      </c>
      <c r="B146" s="2" t="s">
        <v>15808</v>
      </c>
      <c r="K146" s="29">
        <v>82</v>
      </c>
      <c r="L146" s="29" t="s">
        <v>1601</v>
      </c>
      <c r="N146" s="1234"/>
      <c r="P146" s="29">
        <v>143</v>
      </c>
      <c r="Q146" s="29" t="s">
        <v>1616</v>
      </c>
      <c r="V146" s="106"/>
      <c r="W146" s="106"/>
      <c r="X146" s="106"/>
      <c r="Y146" s="106"/>
      <c r="Z146" s="106"/>
      <c r="AA146" s="106"/>
      <c r="AB146" s="106"/>
      <c r="AC146" s="106"/>
      <c r="AD146" s="106"/>
      <c r="AE146" s="1190"/>
      <c r="AF146" s="1190"/>
      <c r="AG146" s="2">
        <v>36</v>
      </c>
      <c r="AH146" s="2" t="s">
        <v>5613</v>
      </c>
      <c r="AJ146" s="1190"/>
      <c r="AK146" s="1190"/>
      <c r="AL146" s="1190"/>
      <c r="AM146" s="1190"/>
      <c r="AN146" s="1190"/>
      <c r="AO146" s="1190"/>
      <c r="AP146" s="1190"/>
      <c r="AQ146" s="1190"/>
      <c r="AR146" s="1190"/>
      <c r="AS146" s="1190"/>
      <c r="AT146" s="1190"/>
      <c r="AU146" s="1190"/>
      <c r="AV146" s="1190"/>
      <c r="AW146" s="1190"/>
      <c r="AX146" s="1190"/>
      <c r="AY146" s="1190"/>
      <c r="AZ146" s="1190"/>
      <c r="BA146" s="1190"/>
      <c r="BB146" s="1190"/>
      <c r="BC146" s="1190"/>
      <c r="BD146" s="1190"/>
      <c r="BE146" s="1190"/>
      <c r="BF146" s="1190"/>
      <c r="BG146" s="1190"/>
      <c r="BH146" s="1190"/>
      <c r="BI146" s="1190"/>
      <c r="BJ146" s="1190"/>
      <c r="BK146" s="1190"/>
      <c r="BL146" s="1190"/>
      <c r="BM146" s="1190"/>
      <c r="BN146" s="630" t="s">
        <v>5719</v>
      </c>
      <c r="BO146" s="1236">
        <v>0.75</v>
      </c>
      <c r="BP146" s="1236">
        <v>0</v>
      </c>
      <c r="BQ146" s="1236">
        <v>0</v>
      </c>
      <c r="BR146" s="1236"/>
      <c r="BS146" s="1160"/>
      <c r="BT146" s="1160"/>
      <c r="BU146" s="1160"/>
      <c r="BV146" s="1160"/>
      <c r="BW146" s="1160"/>
      <c r="CF146" s="782" t="s">
        <v>12790</v>
      </c>
      <c r="IQ146" s="1189"/>
      <c r="LS146" s="1189"/>
      <c r="PY146" s="1218">
        <v>44048</v>
      </c>
      <c r="PZ146" s="1259" t="s">
        <v>18727</v>
      </c>
      <c r="QA146" s="1259"/>
    </row>
    <row r="147" spans="1:443" ht="17.25">
      <c r="K147" s="29">
        <v>83</v>
      </c>
      <c r="L147" s="29" t="s">
        <v>23</v>
      </c>
      <c r="N147" s="1234"/>
      <c r="P147" s="29">
        <v>144</v>
      </c>
      <c r="Q147" s="29" t="s">
        <v>614</v>
      </c>
      <c r="V147" s="106"/>
      <c r="W147" s="106"/>
      <c r="X147" s="106"/>
      <c r="Y147" s="106"/>
      <c r="Z147" s="106"/>
      <c r="AA147" s="106"/>
      <c r="AB147" s="106"/>
      <c r="AC147" s="106"/>
      <c r="AD147" s="106"/>
      <c r="AE147" s="1190"/>
      <c r="AF147" s="1190"/>
      <c r="AG147" s="2">
        <v>37</v>
      </c>
      <c r="AH147" s="2" t="s">
        <v>5612</v>
      </c>
      <c r="AJ147" s="1190"/>
      <c r="AK147" s="1190"/>
      <c r="AL147" s="1190"/>
      <c r="AM147" s="1190"/>
      <c r="AN147" s="1190"/>
      <c r="AO147" s="1190"/>
      <c r="AP147" s="1190"/>
      <c r="AQ147" s="1190"/>
      <c r="AR147" s="1190"/>
      <c r="AS147" s="1190"/>
      <c r="AT147" s="1190"/>
      <c r="AU147" s="1190"/>
      <c r="AV147" s="1190"/>
      <c r="AW147" s="1190"/>
      <c r="AX147" s="1190"/>
      <c r="AY147" s="1190"/>
      <c r="AZ147" s="1190"/>
      <c r="BA147" s="1190"/>
      <c r="BB147" s="1190"/>
      <c r="BC147" s="1190"/>
      <c r="BD147" s="1190"/>
      <c r="BE147" s="1190"/>
      <c r="BF147" s="1190"/>
      <c r="BG147" s="1190"/>
      <c r="BH147" s="1190"/>
      <c r="BI147" s="1190"/>
      <c r="BJ147" s="1190"/>
      <c r="BK147" s="1190"/>
      <c r="BL147" s="1190"/>
      <c r="BM147" s="1190"/>
      <c r="BN147" s="630" t="s">
        <v>5718</v>
      </c>
      <c r="BO147" s="1236">
        <v>0.5</v>
      </c>
      <c r="BP147" s="1236">
        <v>0</v>
      </c>
      <c r="BQ147" s="1236">
        <v>0</v>
      </c>
      <c r="BR147" s="1236"/>
      <c r="BS147" s="1160"/>
      <c r="BT147" s="1160"/>
      <c r="BU147" s="1160"/>
      <c r="BV147" s="1160"/>
      <c r="BW147" s="1160"/>
      <c r="CF147" s="1237" t="s">
        <v>7930</v>
      </c>
      <c r="CG147" s="1238" t="s">
        <v>12725</v>
      </c>
      <c r="CH147" s="1238" t="s">
        <v>12726</v>
      </c>
      <c r="IQ147" s="1189"/>
      <c r="LS147" s="1189"/>
      <c r="PY147" s="1218">
        <v>44174</v>
      </c>
      <c r="PZ147" s="1259" t="s">
        <v>18728</v>
      </c>
      <c r="QA147" s="1259"/>
    </row>
    <row r="148" spans="1:443" ht="17.25">
      <c r="A148" s="2" t="s">
        <v>15809</v>
      </c>
      <c r="K148" s="29">
        <v>84</v>
      </c>
      <c r="L148" s="29" t="s">
        <v>587</v>
      </c>
      <c r="N148" s="1234"/>
      <c r="P148" s="29">
        <v>145</v>
      </c>
      <c r="Q148" s="29" t="s">
        <v>1617</v>
      </c>
      <c r="V148" s="106"/>
      <c r="W148" s="106"/>
      <c r="X148" s="106"/>
      <c r="Y148" s="106"/>
      <c r="Z148" s="106"/>
      <c r="AA148" s="106"/>
      <c r="AB148" s="106"/>
      <c r="AC148" s="106"/>
      <c r="AD148" s="106"/>
      <c r="AE148" s="1190"/>
      <c r="AF148" s="1190"/>
      <c r="AG148" s="2">
        <v>38</v>
      </c>
      <c r="AH148" s="2" t="s">
        <v>5611</v>
      </c>
      <c r="AJ148" s="1190"/>
      <c r="AK148" s="1190"/>
      <c r="AL148" s="1190"/>
      <c r="AM148" s="1190"/>
      <c r="AN148" s="1190"/>
      <c r="AO148" s="1190"/>
      <c r="AP148" s="1190"/>
      <c r="AQ148" s="1190"/>
      <c r="AR148" s="1190"/>
      <c r="AS148" s="1190"/>
      <c r="AT148" s="1190"/>
      <c r="AU148" s="1190"/>
      <c r="AV148" s="1190"/>
      <c r="AW148" s="1190"/>
      <c r="AX148" s="1190"/>
      <c r="AY148" s="1190"/>
      <c r="AZ148" s="1190"/>
      <c r="BA148" s="1190"/>
      <c r="BB148" s="1190"/>
      <c r="BC148" s="1190"/>
      <c r="BD148" s="1190"/>
      <c r="BE148" s="1190"/>
      <c r="BF148" s="1190"/>
      <c r="BG148" s="1190"/>
      <c r="BH148" s="1190"/>
      <c r="BI148" s="1190"/>
      <c r="BJ148" s="1190"/>
      <c r="BK148" s="1190"/>
      <c r="BL148" s="1190"/>
      <c r="BM148" s="1190"/>
      <c r="BN148" s="630" t="s">
        <v>5717</v>
      </c>
      <c r="BO148" s="1236">
        <v>0.25</v>
      </c>
      <c r="BP148" s="1236">
        <v>0</v>
      </c>
      <c r="BQ148" s="1236">
        <v>0</v>
      </c>
      <c r="BR148" s="1236"/>
      <c r="BS148" s="1160"/>
      <c r="BT148" s="1160"/>
      <c r="BU148" s="1160"/>
      <c r="BV148" s="1160"/>
      <c r="BW148" s="1160"/>
      <c r="CF148" s="1239" t="s">
        <v>12747</v>
      </c>
      <c r="CG148" s="1239">
        <v>51</v>
      </c>
      <c r="CH148" s="1239">
        <v>52</v>
      </c>
      <c r="IQ148" s="1189"/>
      <c r="LS148" s="1189"/>
      <c r="PY148" s="1259" t="s">
        <v>9115</v>
      </c>
      <c r="PZ148" s="1259" t="s">
        <v>18729</v>
      </c>
      <c r="QA148" s="1259"/>
    </row>
    <row r="149" spans="1:443" ht="17.25">
      <c r="A149" s="2" t="s">
        <v>15810</v>
      </c>
      <c r="K149" s="29">
        <v>85</v>
      </c>
      <c r="L149" s="29" t="s">
        <v>1602</v>
      </c>
      <c r="N149" s="1234"/>
      <c r="P149" s="29">
        <v>146</v>
      </c>
      <c r="Q149" s="29" t="s">
        <v>615</v>
      </c>
      <c r="V149" s="106"/>
      <c r="W149" s="106"/>
      <c r="X149" s="106"/>
      <c r="Y149" s="106"/>
      <c r="Z149" s="106"/>
      <c r="AA149" s="106"/>
      <c r="AB149" s="106"/>
      <c r="AC149" s="106"/>
      <c r="AD149" s="106"/>
      <c r="AE149" s="1190"/>
      <c r="AF149" s="1190"/>
      <c r="AG149" s="2">
        <v>39</v>
      </c>
      <c r="AH149" s="2" t="s">
        <v>5610</v>
      </c>
      <c r="AJ149" s="1190"/>
      <c r="AK149" s="1190"/>
      <c r="AL149" s="1190"/>
      <c r="AM149" s="1190"/>
      <c r="AN149" s="1190"/>
      <c r="AO149" s="1190"/>
      <c r="AP149" s="1190"/>
      <c r="AQ149" s="1190"/>
      <c r="AR149" s="1190"/>
      <c r="AS149" s="1190"/>
      <c r="AT149" s="1190"/>
      <c r="AU149" s="1190"/>
      <c r="AV149" s="1190"/>
      <c r="AW149" s="1190"/>
      <c r="AX149" s="1190"/>
      <c r="AY149" s="1190"/>
      <c r="AZ149" s="1190"/>
      <c r="BA149" s="1190"/>
      <c r="BB149" s="1190"/>
      <c r="BC149" s="1190"/>
      <c r="BD149" s="1190"/>
      <c r="BE149" s="1190"/>
      <c r="BF149" s="1190"/>
      <c r="BG149" s="1190"/>
      <c r="BH149" s="1190"/>
      <c r="BI149" s="1190"/>
      <c r="BJ149" s="1190"/>
      <c r="BK149" s="1190"/>
      <c r="BL149" s="1190"/>
      <c r="BM149" s="1190"/>
      <c r="BN149" s="630" t="s">
        <v>5716</v>
      </c>
      <c r="BO149" s="1236">
        <v>0.75</v>
      </c>
      <c r="BP149" s="1236">
        <v>0</v>
      </c>
      <c r="BQ149" s="1236">
        <v>0</v>
      </c>
      <c r="BR149" s="1236"/>
      <c r="BS149" s="1160"/>
      <c r="BT149" s="1160"/>
      <c r="BU149" s="1160"/>
      <c r="BV149" s="1160"/>
      <c r="BW149" s="1160"/>
      <c r="CF149" s="1239" t="s">
        <v>12762</v>
      </c>
      <c r="CG149" s="1239" t="s">
        <v>12791</v>
      </c>
      <c r="CH149" s="1239" t="s">
        <v>12792</v>
      </c>
      <c r="IQ149" s="1189"/>
      <c r="LS149" s="1189"/>
      <c r="PY149" s="1259" t="s">
        <v>9119</v>
      </c>
      <c r="PZ149" s="1259" t="s">
        <v>18730</v>
      </c>
      <c r="QA149" s="1259"/>
    </row>
    <row r="150" spans="1:443" ht="17.25">
      <c r="K150" s="29">
        <v>86</v>
      </c>
      <c r="L150" s="29" t="s">
        <v>588</v>
      </c>
      <c r="N150" s="1234"/>
      <c r="P150" s="29">
        <v>147</v>
      </c>
      <c r="Q150" s="29" t="s">
        <v>1618</v>
      </c>
      <c r="V150" s="106"/>
      <c r="W150" s="106"/>
      <c r="X150" s="106"/>
      <c r="Y150" s="106"/>
      <c r="Z150" s="106"/>
      <c r="AA150" s="106"/>
      <c r="AB150" s="106"/>
      <c r="AC150" s="106"/>
      <c r="AD150" s="106"/>
      <c r="AE150" s="1190"/>
      <c r="AF150" s="1190"/>
      <c r="AG150" s="1190"/>
      <c r="AH150" s="1190"/>
      <c r="AI150" s="1190"/>
      <c r="AJ150" s="1190"/>
      <c r="AK150" s="1190"/>
      <c r="AL150" s="1190"/>
      <c r="AM150" s="1190"/>
      <c r="AN150" s="1190"/>
      <c r="AO150" s="1190"/>
      <c r="AP150" s="1190"/>
      <c r="AQ150" s="1190"/>
      <c r="AR150" s="1190"/>
      <c r="AS150" s="1190"/>
      <c r="AT150" s="1190"/>
      <c r="AU150" s="1190"/>
      <c r="AV150" s="1190"/>
      <c r="AW150" s="1190"/>
      <c r="AX150" s="1190"/>
      <c r="AY150" s="1190"/>
      <c r="AZ150" s="1190"/>
      <c r="BA150" s="1190"/>
      <c r="BB150" s="1190"/>
      <c r="BC150" s="1190"/>
      <c r="BD150" s="1190"/>
      <c r="BE150" s="1190"/>
      <c r="BF150" s="1190"/>
      <c r="BG150" s="1190"/>
      <c r="BH150" s="1190"/>
      <c r="BI150" s="1190"/>
      <c r="BJ150" s="1190"/>
      <c r="BK150" s="1190"/>
      <c r="BL150" s="1190"/>
      <c r="BM150" s="1190"/>
      <c r="BN150" s="630" t="s">
        <v>5715</v>
      </c>
      <c r="BO150" s="1236">
        <v>0.5</v>
      </c>
      <c r="BP150" s="1236">
        <v>0</v>
      </c>
      <c r="BQ150" s="1236">
        <v>0</v>
      </c>
      <c r="BR150" s="1236"/>
      <c r="BS150" s="1160"/>
      <c r="BT150" s="1160"/>
      <c r="BU150" s="1160"/>
      <c r="BV150" s="1160"/>
      <c r="BW150" s="1160"/>
      <c r="CF150" s="1239" t="s">
        <v>12764</v>
      </c>
      <c r="CG150" s="1239" t="s">
        <v>12793</v>
      </c>
      <c r="CH150" s="1239" t="s">
        <v>12794</v>
      </c>
      <c r="IQ150" s="1189"/>
      <c r="LS150" s="1189"/>
    </row>
    <row r="151" spans="1:443" ht="17.25">
      <c r="K151" s="29">
        <v>87</v>
      </c>
      <c r="L151" s="29" t="s">
        <v>11</v>
      </c>
      <c r="N151" s="1234"/>
      <c r="P151" s="29">
        <v>148</v>
      </c>
      <c r="Q151" s="29" t="s">
        <v>1619</v>
      </c>
      <c r="V151" s="106"/>
      <c r="W151" s="106"/>
      <c r="X151" s="106"/>
      <c r="Y151" s="106"/>
      <c r="Z151" s="106"/>
      <c r="AA151" s="106"/>
      <c r="AB151" s="106"/>
      <c r="AC151" s="106"/>
      <c r="AD151" s="106"/>
      <c r="AE151" s="1190"/>
      <c r="AF151" s="1190"/>
      <c r="AG151" s="1190"/>
      <c r="AH151" s="1190"/>
      <c r="AI151" s="1190"/>
      <c r="AJ151" s="1190"/>
      <c r="AK151" s="1190"/>
      <c r="AL151" s="1190"/>
      <c r="AM151" s="1190"/>
      <c r="AN151" s="1190"/>
      <c r="AO151" s="1190"/>
      <c r="AP151" s="1190"/>
      <c r="AQ151" s="1190"/>
      <c r="AR151" s="1190"/>
      <c r="AS151" s="1190"/>
      <c r="AT151" s="1190"/>
      <c r="AU151" s="1190"/>
      <c r="AV151" s="1190"/>
      <c r="AW151" s="1190"/>
      <c r="AX151" s="1190"/>
      <c r="AY151" s="1190"/>
      <c r="AZ151" s="1190"/>
      <c r="BA151" s="1190"/>
      <c r="BB151" s="1190"/>
      <c r="BC151" s="1190"/>
      <c r="BD151" s="1190"/>
      <c r="BE151" s="1190"/>
      <c r="BF151" s="1190"/>
      <c r="BG151" s="1190"/>
      <c r="BH151" s="1190"/>
      <c r="BI151" s="1190"/>
      <c r="BJ151" s="1190"/>
      <c r="BK151" s="1190"/>
      <c r="BL151" s="1190"/>
      <c r="BM151" s="1190"/>
      <c r="BN151" s="1160"/>
      <c r="BO151" s="1160"/>
      <c r="BP151" s="1160"/>
      <c r="BQ151" s="1160"/>
      <c r="BR151" s="1160"/>
      <c r="BS151" s="1160"/>
      <c r="BT151" s="1160"/>
      <c r="BU151" s="1160"/>
      <c r="BV151" s="1160"/>
      <c r="BW151" s="1160"/>
      <c r="CF151" s="1239" t="s">
        <v>10015</v>
      </c>
      <c r="CG151" s="1239" t="s">
        <v>12765</v>
      </c>
      <c r="CH151" s="1239" t="s">
        <v>12795</v>
      </c>
      <c r="IQ151" s="1189"/>
      <c r="LS151" s="1189"/>
    </row>
    <row r="152" spans="1:443" ht="17.25">
      <c r="K152" s="29">
        <v>88</v>
      </c>
      <c r="L152" s="29" t="s">
        <v>589</v>
      </c>
      <c r="N152" s="1234"/>
      <c r="P152" s="29">
        <v>149</v>
      </c>
      <c r="Q152" s="29" t="s">
        <v>1620</v>
      </c>
      <c r="V152" s="106"/>
      <c r="W152" s="106"/>
      <c r="X152" s="106"/>
      <c r="Y152" s="106"/>
      <c r="Z152" s="106"/>
      <c r="AA152" s="106"/>
      <c r="AB152" s="106"/>
      <c r="AC152" s="106"/>
      <c r="AD152" s="106"/>
      <c r="AE152" s="1190"/>
      <c r="AF152" s="1190"/>
      <c r="AG152" s="1190"/>
      <c r="AH152" s="1190"/>
      <c r="AI152" s="1190"/>
      <c r="AJ152" s="1190"/>
      <c r="AK152" s="1190"/>
      <c r="AL152" s="1190"/>
      <c r="AM152" s="1190"/>
      <c r="AN152" s="1190"/>
      <c r="AO152" s="1190"/>
      <c r="AP152" s="1190"/>
      <c r="AQ152" s="1190"/>
      <c r="AR152" s="1190"/>
      <c r="AS152" s="1190"/>
      <c r="AT152" s="1190"/>
      <c r="AU152" s="1190"/>
      <c r="AV152" s="1190"/>
      <c r="AW152" s="1190"/>
      <c r="AX152" s="1190"/>
      <c r="AY152" s="1190"/>
      <c r="AZ152" s="1190"/>
      <c r="BA152" s="1190"/>
      <c r="BB152" s="1190"/>
      <c r="BC152" s="1190"/>
      <c r="BD152" s="1190"/>
      <c r="BE152" s="1190"/>
      <c r="BF152" s="1190"/>
      <c r="BG152" s="1190"/>
      <c r="BH152" s="1190"/>
      <c r="BI152" s="1190"/>
      <c r="BJ152" s="1190"/>
      <c r="BK152" s="1190"/>
      <c r="BL152" s="1190"/>
      <c r="BM152" s="1190"/>
      <c r="BN152" s="630" t="s">
        <v>5714</v>
      </c>
      <c r="BO152" s="630" t="s">
        <v>5697</v>
      </c>
      <c r="BP152" s="630" t="s">
        <v>5696</v>
      </c>
      <c r="BQ152" s="630" t="s">
        <v>5695</v>
      </c>
      <c r="BR152" s="1160"/>
      <c r="BS152" s="1160"/>
      <c r="BT152" s="1160"/>
      <c r="BU152" s="1160"/>
      <c r="BV152" s="1160"/>
      <c r="BW152" s="1160"/>
      <c r="CF152" s="1239" t="s">
        <v>4269</v>
      </c>
      <c r="CG152" s="1239" t="s">
        <v>12796</v>
      </c>
      <c r="CH152" s="1239" t="s">
        <v>12797</v>
      </c>
      <c r="IQ152" s="1189"/>
      <c r="LS152" s="1189"/>
    </row>
    <row r="153" spans="1:443" ht="17.25">
      <c r="K153" s="29">
        <v>89</v>
      </c>
      <c r="L153" s="29" t="s">
        <v>1603</v>
      </c>
      <c r="N153" s="1234"/>
      <c r="P153" s="29">
        <v>150</v>
      </c>
      <c r="Q153" s="29" t="s">
        <v>1621</v>
      </c>
      <c r="V153" s="106"/>
      <c r="W153" s="106"/>
      <c r="X153" s="106"/>
      <c r="Y153" s="106"/>
      <c r="Z153" s="106"/>
      <c r="AA153" s="106"/>
      <c r="AB153" s="106"/>
      <c r="AC153" s="106"/>
      <c r="AD153" s="106"/>
      <c r="AE153" s="1190"/>
      <c r="AF153" s="1190"/>
      <c r="AG153" s="1190"/>
      <c r="AH153" s="1190"/>
      <c r="AI153" s="1190"/>
      <c r="AJ153" s="1190"/>
      <c r="AK153" s="1190"/>
      <c r="AL153" s="1190"/>
      <c r="AM153" s="1190"/>
      <c r="AN153" s="1190"/>
      <c r="AO153" s="1190"/>
      <c r="AP153" s="1190"/>
      <c r="AQ153" s="1190"/>
      <c r="AR153" s="1190"/>
      <c r="AS153" s="1190"/>
      <c r="AT153" s="1190"/>
      <c r="AU153" s="1190"/>
      <c r="AV153" s="1190"/>
      <c r="AW153" s="1190"/>
      <c r="AX153" s="1190"/>
      <c r="AY153" s="1190"/>
      <c r="AZ153" s="1190"/>
      <c r="BA153" s="1190"/>
      <c r="BB153" s="1190"/>
      <c r="BC153" s="1190"/>
      <c r="BD153" s="1190"/>
      <c r="BE153" s="1190"/>
      <c r="BF153" s="1190"/>
      <c r="BG153" s="1190"/>
      <c r="BH153" s="1190"/>
      <c r="BI153" s="1190"/>
      <c r="BJ153" s="1190"/>
      <c r="BK153" s="1190"/>
      <c r="BL153" s="1190"/>
      <c r="BM153" s="1190"/>
      <c r="BN153" s="630" t="s">
        <v>5713</v>
      </c>
      <c r="BO153" s="1235">
        <v>3</v>
      </c>
      <c r="BP153" s="1235">
        <v>0</v>
      </c>
      <c r="BQ153" s="1235">
        <v>0</v>
      </c>
      <c r="BR153" s="1160"/>
      <c r="BS153" s="1160"/>
      <c r="BT153" s="1160"/>
      <c r="BU153" s="1160"/>
      <c r="BV153" s="1160"/>
      <c r="BW153" s="1160"/>
      <c r="CF153" s="1239" t="s">
        <v>3957</v>
      </c>
      <c r="CG153" s="1239" t="s">
        <v>12711</v>
      </c>
      <c r="CH153" s="1239" t="s">
        <v>9145</v>
      </c>
      <c r="IQ153" s="1189"/>
      <c r="LS153" s="1189"/>
    </row>
    <row r="154" spans="1:443" ht="17.25">
      <c r="G154" s="1218" t="s">
        <v>1922</v>
      </c>
      <c r="H154" s="2" t="s">
        <v>17464</v>
      </c>
      <c r="K154" s="29">
        <v>90</v>
      </c>
      <c r="L154" s="29" t="s">
        <v>590</v>
      </c>
      <c r="N154" s="1234"/>
      <c r="P154" s="29">
        <v>151</v>
      </c>
      <c r="Q154" s="29" t="s">
        <v>1622</v>
      </c>
      <c r="V154" s="106"/>
      <c r="W154" s="106"/>
      <c r="X154" s="106"/>
      <c r="Y154" s="106"/>
      <c r="Z154" s="106"/>
      <c r="AA154" s="106"/>
      <c r="AB154" s="106"/>
      <c r="AC154" s="106"/>
      <c r="AD154" s="106"/>
      <c r="AE154" s="1190"/>
      <c r="AF154" s="1190"/>
      <c r="AG154" s="1190"/>
      <c r="AH154" s="1190"/>
      <c r="AI154" s="1190"/>
      <c r="AJ154" s="1190"/>
      <c r="AK154" s="1190"/>
      <c r="AL154" s="1190"/>
      <c r="AM154" s="1190"/>
      <c r="AN154" s="1190"/>
      <c r="AO154" s="1190"/>
      <c r="AP154" s="1190"/>
      <c r="AQ154" s="1190"/>
      <c r="AR154" s="1190"/>
      <c r="AS154" s="1190"/>
      <c r="AT154" s="1190"/>
      <c r="AU154" s="1190"/>
      <c r="AV154" s="1190"/>
      <c r="AW154" s="1190"/>
      <c r="AX154" s="1190"/>
      <c r="AY154" s="1190"/>
      <c r="AZ154" s="1190"/>
      <c r="BA154" s="1190"/>
      <c r="BB154" s="1190"/>
      <c r="BC154" s="1190"/>
      <c r="BD154" s="1190"/>
      <c r="BE154" s="1190"/>
      <c r="BF154" s="1190"/>
      <c r="BG154" s="1190"/>
      <c r="BH154" s="1190"/>
      <c r="BI154" s="1190"/>
      <c r="BJ154" s="1190"/>
      <c r="BK154" s="1190"/>
      <c r="BL154" s="1190"/>
      <c r="BM154" s="1190"/>
      <c r="BN154" s="630" t="s">
        <v>3715</v>
      </c>
      <c r="BO154" s="1235">
        <v>3</v>
      </c>
      <c r="BP154" s="1235">
        <v>0</v>
      </c>
      <c r="BQ154" s="1235">
        <v>0</v>
      </c>
      <c r="BR154" s="1160"/>
      <c r="BS154" s="1160"/>
      <c r="BT154" s="1160"/>
      <c r="BU154" s="1160"/>
      <c r="BV154" s="1160"/>
      <c r="BW154" s="1160"/>
      <c r="CF154" s="1239" t="s">
        <v>3580</v>
      </c>
      <c r="CG154" s="1239" t="s">
        <v>12798</v>
      </c>
      <c r="CH154" s="1239" t="s">
        <v>12799</v>
      </c>
      <c r="IQ154" s="1189"/>
      <c r="LS154" s="1189"/>
    </row>
    <row r="155" spans="1:443" ht="17.25">
      <c r="A155" s="2" t="s">
        <v>17454</v>
      </c>
      <c r="B155" s="2" t="s">
        <v>17455</v>
      </c>
      <c r="C155" s="2" t="s">
        <v>8533</v>
      </c>
      <c r="G155" s="1218">
        <v>44166</v>
      </c>
      <c r="H155" s="2" t="s">
        <v>9113</v>
      </c>
      <c r="K155" s="29">
        <v>91</v>
      </c>
      <c r="L155" s="29" t="s">
        <v>86</v>
      </c>
      <c r="N155" s="1234"/>
      <c r="P155" s="29">
        <v>152</v>
      </c>
      <c r="Q155" s="29" t="s">
        <v>616</v>
      </c>
      <c r="V155" s="106"/>
      <c r="W155" s="106"/>
      <c r="X155" s="106"/>
      <c r="Y155" s="106"/>
      <c r="Z155" s="106"/>
      <c r="AA155" s="106"/>
      <c r="AB155" s="106"/>
      <c r="AC155" s="106"/>
      <c r="AD155" s="106"/>
      <c r="AE155" s="1190"/>
      <c r="AF155" s="1190"/>
      <c r="AG155" s="1190"/>
      <c r="AH155" s="1190"/>
      <c r="AI155" s="1190"/>
      <c r="AJ155" s="1190"/>
      <c r="AK155" s="1190"/>
      <c r="AL155" s="1190"/>
      <c r="AM155" s="1190"/>
      <c r="AN155" s="1190"/>
      <c r="AO155" s="1190"/>
      <c r="AP155" s="1190"/>
      <c r="AQ155" s="1190"/>
      <c r="AR155" s="1190"/>
      <c r="AS155" s="1190"/>
      <c r="AT155" s="1190"/>
      <c r="AU155" s="1190"/>
      <c r="AV155" s="1190"/>
      <c r="AW155" s="1190"/>
      <c r="AX155" s="1190"/>
      <c r="AY155" s="1190"/>
      <c r="AZ155" s="1190"/>
      <c r="BA155" s="1190"/>
      <c r="BB155" s="1190"/>
      <c r="BC155" s="1190"/>
      <c r="BD155" s="1190"/>
      <c r="BE155" s="1190"/>
      <c r="BF155" s="1190"/>
      <c r="BG155" s="1190"/>
      <c r="BH155" s="1190"/>
      <c r="BI155" s="1190"/>
      <c r="BJ155" s="1190"/>
      <c r="BK155" s="1190"/>
      <c r="BL155" s="1190"/>
      <c r="BM155" s="1190"/>
      <c r="BN155" s="630" t="s">
        <v>5712</v>
      </c>
      <c r="BO155" s="1235">
        <v>5</v>
      </c>
      <c r="BP155" s="1235">
        <v>0</v>
      </c>
      <c r="BQ155" s="1235">
        <v>0</v>
      </c>
      <c r="BR155" s="1160"/>
      <c r="BS155" s="1160"/>
      <c r="BT155" s="1160"/>
      <c r="BU155" s="1160"/>
      <c r="BV155" s="1160"/>
      <c r="BW155" s="1160"/>
      <c r="CF155" s="1239" t="s">
        <v>4104</v>
      </c>
      <c r="CG155" s="1239" t="s">
        <v>12800</v>
      </c>
      <c r="CH155" s="1239" t="s">
        <v>8010</v>
      </c>
      <c r="IQ155" s="1189"/>
      <c r="LS155" s="1189"/>
    </row>
    <row r="156" spans="1:443" ht="17.25">
      <c r="A156" s="2" t="s">
        <v>6281</v>
      </c>
      <c r="B156" s="2">
        <v>0</v>
      </c>
      <c r="C156" s="2" t="s">
        <v>17462</v>
      </c>
      <c r="G156" s="2" t="s">
        <v>9115</v>
      </c>
      <c r="H156" s="2" t="s">
        <v>9116</v>
      </c>
      <c r="K156" s="29">
        <v>92</v>
      </c>
      <c r="L156" s="29" t="s">
        <v>591</v>
      </c>
      <c r="N156" s="1234"/>
      <c r="P156" s="29">
        <v>153</v>
      </c>
      <c r="Q156" s="29" t="s">
        <v>617</v>
      </c>
      <c r="V156" s="106"/>
      <c r="W156" s="106"/>
      <c r="X156" s="106"/>
      <c r="Y156" s="106"/>
      <c r="Z156" s="106"/>
      <c r="AA156" s="106"/>
      <c r="AB156" s="106"/>
      <c r="AC156" s="106"/>
      <c r="AD156" s="106"/>
      <c r="AE156" s="1190"/>
      <c r="AF156" s="1190"/>
      <c r="AG156" s="1190"/>
      <c r="AH156" s="1190"/>
      <c r="AI156" s="1190"/>
      <c r="AJ156" s="1190"/>
      <c r="AK156" s="1190"/>
      <c r="AL156" s="1190"/>
      <c r="AM156" s="1190"/>
      <c r="AN156" s="1190"/>
      <c r="AO156" s="1190"/>
      <c r="AP156" s="1190"/>
      <c r="AQ156" s="1190"/>
      <c r="AR156" s="1190"/>
      <c r="AS156" s="1190"/>
      <c r="AT156" s="1190"/>
      <c r="AU156" s="1190"/>
      <c r="AV156" s="1190"/>
      <c r="AW156" s="1190"/>
      <c r="AX156" s="1190"/>
      <c r="AY156" s="1190"/>
      <c r="AZ156" s="1190"/>
      <c r="BA156" s="1190"/>
      <c r="BB156" s="1190"/>
      <c r="BC156" s="1190"/>
      <c r="BD156" s="1190"/>
      <c r="BE156" s="1190"/>
      <c r="BF156" s="1190"/>
      <c r="BG156" s="1190"/>
      <c r="BH156" s="1190"/>
      <c r="BI156" s="1190"/>
      <c r="BJ156" s="1190"/>
      <c r="BK156" s="1190"/>
      <c r="BL156" s="1190"/>
      <c r="BM156" s="1190"/>
      <c r="BN156" s="630" t="s">
        <v>5711</v>
      </c>
      <c r="BO156" s="1235">
        <v>6</v>
      </c>
      <c r="BP156" s="1235">
        <v>0</v>
      </c>
      <c r="BQ156" s="1235">
        <v>0</v>
      </c>
      <c r="BR156" s="1160"/>
      <c r="BS156" s="1160"/>
      <c r="BT156" s="1160"/>
      <c r="BU156" s="1160"/>
      <c r="BV156" s="1160"/>
      <c r="BW156" s="1160"/>
      <c r="CF156" s="1239" t="s">
        <v>4281</v>
      </c>
      <c r="CG156" s="1239" t="s">
        <v>12801</v>
      </c>
      <c r="CH156" s="1239" t="s">
        <v>12774</v>
      </c>
      <c r="IQ156" s="1189"/>
      <c r="LS156" s="1189"/>
    </row>
    <row r="157" spans="1:443" ht="17.25">
      <c r="A157" s="2" t="s">
        <v>9810</v>
      </c>
      <c r="B157" s="2">
        <v>0.1</v>
      </c>
      <c r="C157" s="2" t="s">
        <v>17458</v>
      </c>
      <c r="G157" s="2" t="s">
        <v>9119</v>
      </c>
      <c r="H157" s="2" t="s">
        <v>9120</v>
      </c>
      <c r="K157" s="29">
        <v>93</v>
      </c>
      <c r="L157" s="29" t="s">
        <v>79</v>
      </c>
      <c r="N157" s="1234"/>
      <c r="P157" s="29">
        <v>154</v>
      </c>
      <c r="Q157" s="29" t="s">
        <v>1623</v>
      </c>
      <c r="V157" s="106"/>
      <c r="W157" s="106"/>
      <c r="X157" s="106"/>
      <c r="Y157" s="106"/>
      <c r="Z157" s="106"/>
      <c r="AA157" s="106"/>
      <c r="AB157" s="106"/>
      <c r="AC157" s="106"/>
      <c r="AD157" s="106"/>
      <c r="AE157" s="1190"/>
      <c r="AF157" s="1190"/>
      <c r="AG157" s="1190"/>
      <c r="AH157" s="1190"/>
      <c r="AI157" s="1190"/>
      <c r="AJ157" s="1190"/>
      <c r="AK157" s="1190"/>
      <c r="AL157" s="1190"/>
      <c r="AM157" s="1190"/>
      <c r="AN157" s="1190"/>
      <c r="AO157" s="1190"/>
      <c r="AP157" s="1190"/>
      <c r="AQ157" s="1190"/>
      <c r="AR157" s="1190"/>
      <c r="AS157" s="1190"/>
      <c r="AT157" s="1190"/>
      <c r="AU157" s="1190"/>
      <c r="AV157" s="1190"/>
      <c r="AW157" s="1190"/>
      <c r="AX157" s="1190"/>
      <c r="AY157" s="1190"/>
      <c r="AZ157" s="1190"/>
      <c r="BA157" s="1190"/>
      <c r="BB157" s="1190"/>
      <c r="BC157" s="1190"/>
      <c r="BD157" s="1190"/>
      <c r="BE157" s="1190"/>
      <c r="BF157" s="1190"/>
      <c r="BG157" s="1190"/>
      <c r="BH157" s="1190"/>
      <c r="BI157" s="1190"/>
      <c r="BJ157" s="1190"/>
      <c r="BK157" s="1190"/>
      <c r="BL157" s="1190"/>
      <c r="BM157" s="1190"/>
      <c r="BN157" s="630" t="s">
        <v>5710</v>
      </c>
      <c r="BO157" s="1235">
        <v>5</v>
      </c>
      <c r="BP157" s="1235">
        <v>0</v>
      </c>
      <c r="BQ157" s="1235">
        <v>0</v>
      </c>
      <c r="BR157" s="1160"/>
      <c r="BS157" s="1160"/>
      <c r="BT157" s="1160"/>
      <c r="BU157" s="1160"/>
      <c r="BV157" s="1160"/>
      <c r="BW157" s="1160"/>
      <c r="CF157" s="1239" t="s">
        <v>5081</v>
      </c>
      <c r="CG157" s="1239" t="s">
        <v>7685</v>
      </c>
      <c r="CH157" s="1239" t="s">
        <v>7685</v>
      </c>
      <c r="IQ157" s="1189"/>
      <c r="LS157" s="1189"/>
    </row>
    <row r="158" spans="1:443" ht="17.25">
      <c r="A158" s="2" t="s">
        <v>7344</v>
      </c>
      <c r="B158" s="2">
        <v>0.2</v>
      </c>
      <c r="C158" s="2" t="s">
        <v>17459</v>
      </c>
      <c r="G158" s="2" t="s">
        <v>8133</v>
      </c>
      <c r="H158" s="2" t="s">
        <v>9123</v>
      </c>
      <c r="K158" s="29">
        <v>94</v>
      </c>
      <c r="L158" s="29" t="s">
        <v>592</v>
      </c>
      <c r="N158" s="1234"/>
      <c r="P158" s="29">
        <v>155</v>
      </c>
      <c r="Q158" s="29" t="s">
        <v>618</v>
      </c>
      <c r="V158" s="106"/>
      <c r="W158" s="106"/>
      <c r="X158" s="106"/>
      <c r="Y158" s="106"/>
      <c r="Z158" s="106"/>
      <c r="AA158" s="106"/>
      <c r="AB158" s="106"/>
      <c r="AC158" s="106"/>
      <c r="AD158" s="106"/>
      <c r="AE158" s="1190"/>
      <c r="AF158" s="1190"/>
      <c r="AG158" s="1190"/>
      <c r="AH158" s="1190"/>
      <c r="AI158" s="1190"/>
      <c r="AJ158" s="1190"/>
      <c r="AK158" s="1190"/>
      <c r="AL158" s="1190"/>
      <c r="AM158" s="1190"/>
      <c r="AN158" s="1190"/>
      <c r="AO158" s="1190"/>
      <c r="AP158" s="1190"/>
      <c r="AQ158" s="1190"/>
      <c r="AR158" s="1190"/>
      <c r="AS158" s="1190"/>
      <c r="AT158" s="1190"/>
      <c r="AU158" s="1190"/>
      <c r="AV158" s="1190"/>
      <c r="AW158" s="1190"/>
      <c r="AX158" s="1190"/>
      <c r="AY158" s="1190"/>
      <c r="AZ158" s="1190"/>
      <c r="BA158" s="1190"/>
      <c r="BB158" s="1190"/>
      <c r="BC158" s="1190"/>
      <c r="BD158" s="1190"/>
      <c r="BE158" s="1190"/>
      <c r="BF158" s="1190"/>
      <c r="BG158" s="1190"/>
      <c r="BH158" s="1190"/>
      <c r="BI158" s="1190"/>
      <c r="BJ158" s="1190"/>
      <c r="BK158" s="1190"/>
      <c r="BL158" s="1190"/>
      <c r="BM158" s="1190"/>
      <c r="BN158" s="630" t="s">
        <v>5709</v>
      </c>
      <c r="BO158" s="1235">
        <v>5</v>
      </c>
      <c r="BP158" s="1235">
        <v>0</v>
      </c>
      <c r="BQ158" s="1235">
        <v>0</v>
      </c>
      <c r="BR158" s="1160"/>
      <c r="BS158" s="1160"/>
      <c r="BT158" s="1160"/>
      <c r="BU158" s="1160"/>
      <c r="BV158" s="1160"/>
      <c r="BW158" s="1160"/>
      <c r="CF158" s="1239" t="s">
        <v>3609</v>
      </c>
      <c r="CG158" s="1239">
        <v>79</v>
      </c>
      <c r="CH158" s="1239">
        <v>83</v>
      </c>
      <c r="IQ158" s="1189"/>
      <c r="LS158" s="1189"/>
    </row>
    <row r="159" spans="1:443" ht="17.25">
      <c r="A159" s="2" t="s">
        <v>7332</v>
      </c>
      <c r="B159" s="2">
        <v>1</v>
      </c>
      <c r="C159" s="2" t="s">
        <v>17460</v>
      </c>
      <c r="G159" s="2" t="s">
        <v>9126</v>
      </c>
      <c r="H159" s="2" t="s">
        <v>9127</v>
      </c>
      <c r="K159" s="29">
        <v>95</v>
      </c>
      <c r="L159" s="29" t="s">
        <v>593</v>
      </c>
      <c r="N159" s="1234"/>
      <c r="P159" s="29">
        <v>156</v>
      </c>
      <c r="Q159" s="29" t="s">
        <v>619</v>
      </c>
      <c r="V159" s="106"/>
      <c r="W159" s="106"/>
      <c r="X159" s="106"/>
      <c r="Y159" s="106"/>
      <c r="Z159" s="106"/>
      <c r="AA159" s="106"/>
      <c r="AB159" s="106"/>
      <c r="AC159" s="106"/>
      <c r="AD159" s="106"/>
      <c r="AE159" s="1190"/>
      <c r="AF159" s="1190"/>
      <c r="AG159" s="1190"/>
      <c r="AH159" s="1190"/>
      <c r="AI159" s="1190"/>
      <c r="AJ159" s="1190"/>
      <c r="AK159" s="1190"/>
      <c r="AL159" s="1190"/>
      <c r="AM159" s="1190"/>
      <c r="AN159" s="1190"/>
      <c r="AO159" s="1190"/>
      <c r="AP159" s="1190"/>
      <c r="AQ159" s="1190"/>
      <c r="AR159" s="1190"/>
      <c r="AS159" s="1190"/>
      <c r="AT159" s="1190"/>
      <c r="AU159" s="1190"/>
      <c r="AV159" s="1190"/>
      <c r="AW159" s="1190"/>
      <c r="AX159" s="1190"/>
      <c r="AY159" s="1190"/>
      <c r="AZ159" s="1190"/>
      <c r="BA159" s="1190"/>
      <c r="BB159" s="1190"/>
      <c r="BC159" s="1190"/>
      <c r="BD159" s="1190"/>
      <c r="BE159" s="1190"/>
      <c r="BF159" s="1190"/>
      <c r="BG159" s="1190"/>
      <c r="BH159" s="1190"/>
      <c r="BI159" s="1190"/>
      <c r="BJ159" s="1190"/>
      <c r="BK159" s="1190"/>
      <c r="BL159" s="1190"/>
      <c r="BM159" s="1190"/>
      <c r="BN159" s="630" t="s">
        <v>5708</v>
      </c>
      <c r="BO159" s="1235">
        <v>4</v>
      </c>
      <c r="BP159" s="1235">
        <v>0</v>
      </c>
      <c r="BQ159" s="1235">
        <v>0</v>
      </c>
      <c r="BR159" s="1160"/>
      <c r="BS159" s="1160"/>
      <c r="BT159" s="1160"/>
      <c r="BU159" s="1160"/>
      <c r="BV159" s="1160"/>
      <c r="BW159" s="1160"/>
      <c r="CF159" s="1239" t="s">
        <v>12594</v>
      </c>
      <c r="CG159" s="1239" t="s">
        <v>12773</v>
      </c>
      <c r="CH159" s="1239" t="s">
        <v>12802</v>
      </c>
      <c r="IQ159" s="1189"/>
      <c r="LS159" s="1189"/>
    </row>
    <row r="160" spans="1:443" ht="17.25">
      <c r="A160" s="2" t="s">
        <v>7333</v>
      </c>
      <c r="B160" s="2">
        <v>2</v>
      </c>
      <c r="C160" s="2" t="s">
        <v>17461</v>
      </c>
      <c r="G160" s="2" t="s">
        <v>9130</v>
      </c>
      <c r="H160" s="2" t="s">
        <v>6347</v>
      </c>
      <c r="K160" s="29">
        <v>96</v>
      </c>
      <c r="L160" s="29" t="s">
        <v>594</v>
      </c>
      <c r="N160" s="1234"/>
      <c r="P160" s="29">
        <v>157</v>
      </c>
      <c r="Q160" s="29" t="s">
        <v>1624</v>
      </c>
      <c r="V160" s="106"/>
      <c r="W160" s="106"/>
      <c r="X160" s="106"/>
      <c r="Y160" s="106"/>
      <c r="Z160" s="106"/>
      <c r="AA160" s="106"/>
      <c r="AB160" s="106"/>
      <c r="AC160" s="106"/>
      <c r="AD160" s="106"/>
      <c r="AE160" s="1190"/>
      <c r="AF160" s="1190"/>
      <c r="AG160" s="1190"/>
      <c r="AH160" s="1190"/>
      <c r="AI160" s="1190"/>
      <c r="AJ160" s="1190"/>
      <c r="AK160" s="1190"/>
      <c r="AL160" s="1190"/>
      <c r="AM160" s="1190"/>
      <c r="AN160" s="1190"/>
      <c r="AO160" s="1190"/>
      <c r="AP160" s="1190"/>
      <c r="AQ160" s="1190"/>
      <c r="AR160" s="1190"/>
      <c r="AS160" s="1190"/>
      <c r="AT160" s="1190"/>
      <c r="AU160" s="1190"/>
      <c r="AV160" s="1190"/>
      <c r="AW160" s="1190"/>
      <c r="AX160" s="1190"/>
      <c r="AY160" s="1190"/>
      <c r="AZ160" s="1190"/>
      <c r="BA160" s="1190"/>
      <c r="BB160" s="1190"/>
      <c r="BC160" s="1190"/>
      <c r="BD160" s="1190"/>
      <c r="BE160" s="1190"/>
      <c r="BF160" s="1190"/>
      <c r="BG160" s="1190"/>
      <c r="BH160" s="1190"/>
      <c r="BI160" s="1190"/>
      <c r="BJ160" s="1190"/>
      <c r="BK160" s="1190"/>
      <c r="BL160" s="1190"/>
      <c r="BM160" s="1190"/>
      <c r="BN160" s="630" t="s">
        <v>5707</v>
      </c>
      <c r="BO160" s="1235">
        <v>8</v>
      </c>
      <c r="BP160" s="1235">
        <v>-1</v>
      </c>
      <c r="BQ160" s="1235">
        <v>2</v>
      </c>
      <c r="BR160" s="1160"/>
      <c r="BS160" s="1160"/>
      <c r="BT160" s="1160"/>
      <c r="BU160" s="1160"/>
      <c r="BV160" s="1160"/>
      <c r="BW160" s="1160"/>
      <c r="CF160" s="1239" t="s">
        <v>12776</v>
      </c>
      <c r="CG160" s="1239">
        <v>82</v>
      </c>
      <c r="CH160" s="1239">
        <v>86</v>
      </c>
      <c r="IQ160" s="1189"/>
      <c r="LS160" s="1189"/>
    </row>
    <row r="161" spans="1:331" ht="17.25">
      <c r="A161" s="2" t="s">
        <v>7341</v>
      </c>
      <c r="B161" s="2">
        <v>4</v>
      </c>
      <c r="C161" s="2" t="s">
        <v>17457</v>
      </c>
      <c r="G161" s="2" t="s">
        <v>9133</v>
      </c>
      <c r="H161" s="2" t="s">
        <v>9134</v>
      </c>
      <c r="K161" s="29">
        <v>97</v>
      </c>
      <c r="L161" s="29" t="s">
        <v>595</v>
      </c>
      <c r="N161" s="1234"/>
      <c r="P161" s="29">
        <v>158</v>
      </c>
      <c r="Q161" s="29" t="s">
        <v>620</v>
      </c>
      <c r="V161" s="106"/>
      <c r="W161" s="106"/>
      <c r="X161" s="106"/>
      <c r="Y161" s="106"/>
      <c r="Z161" s="106"/>
      <c r="AA161" s="106"/>
      <c r="AB161" s="106"/>
      <c r="AC161" s="106"/>
      <c r="AD161" s="106"/>
      <c r="AE161" s="1190"/>
      <c r="AF161" s="1190"/>
      <c r="AG161" s="1190"/>
      <c r="AH161" s="1190"/>
      <c r="AI161" s="1190"/>
      <c r="AJ161" s="1190"/>
      <c r="AK161" s="1190"/>
      <c r="AL161" s="1190"/>
      <c r="AM161" s="1190"/>
      <c r="AN161" s="1190"/>
      <c r="AO161" s="1190"/>
      <c r="AP161" s="1190"/>
      <c r="AQ161" s="1190"/>
      <c r="AR161" s="1190"/>
      <c r="AS161" s="1190"/>
      <c r="AT161" s="1190"/>
      <c r="AU161" s="1190"/>
      <c r="AV161" s="1190"/>
      <c r="AW161" s="1190"/>
      <c r="AX161" s="1190"/>
      <c r="AY161" s="1190"/>
      <c r="AZ161" s="1190"/>
      <c r="BA161" s="1190"/>
      <c r="BB161" s="1190"/>
      <c r="BC161" s="1190"/>
      <c r="BD161" s="1190"/>
      <c r="BE161" s="1190"/>
      <c r="BF161" s="1190"/>
      <c r="BG161" s="1190"/>
      <c r="BH161" s="1190"/>
      <c r="BI161" s="1190"/>
      <c r="BJ161" s="1190"/>
      <c r="BK161" s="1190"/>
      <c r="BL161" s="1190"/>
      <c r="BM161" s="1190"/>
      <c r="BN161" s="630" t="s">
        <v>5706</v>
      </c>
      <c r="BO161" s="1235">
        <v>2</v>
      </c>
      <c r="BP161" s="1235">
        <v>0</v>
      </c>
      <c r="BQ161" s="1235">
        <v>0</v>
      </c>
      <c r="BR161" s="1160"/>
      <c r="BS161" s="1160"/>
      <c r="BT161" s="1160"/>
      <c r="BU161" s="1160"/>
      <c r="BV161" s="1160"/>
      <c r="BW161" s="1160"/>
      <c r="CF161" s="1239" t="s">
        <v>12777</v>
      </c>
      <c r="CG161" s="1239" t="s">
        <v>12775</v>
      </c>
      <c r="CH161" s="1239">
        <v>87</v>
      </c>
      <c r="IQ161" s="1189"/>
      <c r="LS161" s="1189"/>
    </row>
    <row r="162" spans="1:331" ht="17.25">
      <c r="A162" s="2" t="s">
        <v>9812</v>
      </c>
      <c r="B162" s="2">
        <v>10</v>
      </c>
      <c r="C162" s="2" t="s">
        <v>17456</v>
      </c>
      <c r="G162" s="2" t="s">
        <v>8086</v>
      </c>
      <c r="H162" s="2" t="s">
        <v>9137</v>
      </c>
      <c r="K162" s="29">
        <v>98</v>
      </c>
      <c r="L162" s="29" t="s">
        <v>1604</v>
      </c>
      <c r="N162" s="1234"/>
      <c r="P162" s="29">
        <v>159</v>
      </c>
      <c r="Q162" s="29" t="s">
        <v>621</v>
      </c>
      <c r="V162" s="106"/>
      <c r="W162" s="106"/>
      <c r="X162" s="106"/>
      <c r="Y162" s="106"/>
      <c r="Z162" s="106"/>
      <c r="AA162" s="106"/>
      <c r="AB162" s="106"/>
      <c r="AC162" s="106"/>
      <c r="AD162" s="106"/>
      <c r="AE162" s="1190"/>
      <c r="AF162" s="1190"/>
      <c r="AG162" s="1190"/>
      <c r="AH162" s="1190"/>
      <c r="AI162" s="1190"/>
      <c r="AJ162" s="1190"/>
      <c r="AK162" s="1190"/>
      <c r="AL162" s="1190"/>
      <c r="AM162" s="1190"/>
      <c r="AN162" s="1190"/>
      <c r="AO162" s="1190"/>
      <c r="AP162" s="1190"/>
      <c r="AQ162" s="1190"/>
      <c r="AR162" s="1190"/>
      <c r="AS162" s="1190"/>
      <c r="AT162" s="1190"/>
      <c r="AU162" s="1190"/>
      <c r="AV162" s="1190"/>
      <c r="AW162" s="1190"/>
      <c r="AX162" s="1190"/>
      <c r="AY162" s="1190"/>
      <c r="AZ162" s="1190"/>
      <c r="BA162" s="1190"/>
      <c r="BB162" s="1190"/>
      <c r="BC162" s="1190"/>
      <c r="BD162" s="1190"/>
      <c r="BE162" s="1190"/>
      <c r="BF162" s="1190"/>
      <c r="BG162" s="1190"/>
      <c r="BH162" s="1190"/>
      <c r="BI162" s="1190"/>
      <c r="BJ162" s="1190"/>
      <c r="BK162" s="1190"/>
      <c r="BL162" s="1190"/>
      <c r="BM162" s="1190"/>
      <c r="BN162" s="630" t="s">
        <v>5705</v>
      </c>
      <c r="BO162" s="1235">
        <v>0.5</v>
      </c>
      <c r="BP162" s="1235">
        <v>0</v>
      </c>
      <c r="BQ162" s="1235">
        <v>0</v>
      </c>
      <c r="BR162" s="1160"/>
      <c r="BS162" s="1160"/>
      <c r="BT162" s="1160"/>
      <c r="BU162" s="1160"/>
      <c r="BV162" s="1160"/>
      <c r="BW162" s="1160"/>
      <c r="CF162" s="1239" t="s">
        <v>12778</v>
      </c>
      <c r="CG162" s="1239">
        <v>85</v>
      </c>
      <c r="CH162" s="1239">
        <v>88</v>
      </c>
      <c r="IQ162" s="1189"/>
      <c r="LS162" s="1189"/>
    </row>
    <row r="163" spans="1:331" ht="17.25">
      <c r="G163" s="2" t="s">
        <v>9139</v>
      </c>
      <c r="H163" s="2" t="s">
        <v>9140</v>
      </c>
      <c r="K163" s="29">
        <v>99</v>
      </c>
      <c r="L163" s="29" t="s">
        <v>1605</v>
      </c>
      <c r="N163" s="1234"/>
      <c r="P163" s="29">
        <v>160</v>
      </c>
      <c r="Q163" s="29" t="s">
        <v>1625</v>
      </c>
      <c r="V163" s="106"/>
      <c r="W163" s="106"/>
      <c r="X163" s="106"/>
      <c r="Y163" s="106"/>
      <c r="Z163" s="106"/>
      <c r="AA163" s="106"/>
      <c r="AB163" s="106"/>
      <c r="AC163" s="106"/>
      <c r="AD163" s="106"/>
      <c r="AE163" s="1190"/>
      <c r="AF163" s="1190"/>
      <c r="AG163" s="1190"/>
      <c r="AH163" s="1190"/>
      <c r="AI163" s="1190"/>
      <c r="AJ163" s="1190"/>
      <c r="AK163" s="1190"/>
      <c r="AL163" s="1190"/>
      <c r="AM163" s="1190"/>
      <c r="AN163" s="1190"/>
      <c r="AO163" s="1190"/>
      <c r="AP163" s="1190"/>
      <c r="AQ163" s="1190"/>
      <c r="AR163" s="1190"/>
      <c r="AS163" s="1190"/>
      <c r="AT163" s="1190"/>
      <c r="AU163" s="1190"/>
      <c r="AV163" s="1190"/>
      <c r="AW163" s="1190"/>
      <c r="AX163" s="1190"/>
      <c r="AY163" s="1190"/>
      <c r="AZ163" s="1190"/>
      <c r="BA163" s="1190"/>
      <c r="BB163" s="1190"/>
      <c r="BC163" s="1190"/>
      <c r="BD163" s="1190"/>
      <c r="BE163" s="1190"/>
      <c r="BF163" s="1190"/>
      <c r="BG163" s="1190"/>
      <c r="BH163" s="1190"/>
      <c r="BI163" s="1190"/>
      <c r="BJ163" s="1190"/>
      <c r="BK163" s="1190"/>
      <c r="BL163" s="1190"/>
      <c r="BM163" s="1190"/>
      <c r="BN163" s="630" t="s">
        <v>5704</v>
      </c>
      <c r="BO163" s="1235">
        <v>1</v>
      </c>
      <c r="BP163" s="1235">
        <v>0</v>
      </c>
      <c r="BQ163" s="1235">
        <v>0</v>
      </c>
      <c r="BR163" s="1160"/>
      <c r="BS163" s="1160"/>
      <c r="BT163" s="1160"/>
      <c r="BU163" s="1160"/>
      <c r="BV163" s="1160"/>
      <c r="BW163" s="1160"/>
      <c r="CF163" s="1239" t="s">
        <v>5181</v>
      </c>
      <c r="CG163" s="1239" t="s">
        <v>12803</v>
      </c>
      <c r="CH163" s="1239">
        <v>89</v>
      </c>
      <c r="IQ163" s="1189"/>
      <c r="LS163" s="1189"/>
    </row>
    <row r="164" spans="1:331" ht="17.25">
      <c r="G164" s="2" t="s">
        <v>9143</v>
      </c>
      <c r="H164" s="2" t="s">
        <v>9144</v>
      </c>
      <c r="K164" s="29">
        <v>100</v>
      </c>
      <c r="L164" s="29" t="s">
        <v>642</v>
      </c>
      <c r="N164" s="1234"/>
      <c r="P164" s="29">
        <v>161</v>
      </c>
      <c r="Q164" s="29" t="s">
        <v>622</v>
      </c>
      <c r="V164" s="106"/>
      <c r="W164" s="106"/>
      <c r="X164" s="106"/>
      <c r="Y164" s="106"/>
      <c r="Z164" s="106"/>
      <c r="AA164" s="106"/>
      <c r="AB164" s="106"/>
      <c r="AC164" s="106"/>
      <c r="AD164" s="106"/>
      <c r="AE164" s="1190"/>
      <c r="AF164" s="1190"/>
      <c r="AG164" s="1190"/>
      <c r="AH164" s="1190"/>
      <c r="AI164" s="1190"/>
      <c r="AJ164" s="1190"/>
      <c r="AK164" s="1190"/>
      <c r="AL164" s="1190"/>
      <c r="AM164" s="1190"/>
      <c r="AN164" s="1190"/>
      <c r="AO164" s="1190"/>
      <c r="AP164" s="1190"/>
      <c r="AQ164" s="1190"/>
      <c r="AR164" s="1190"/>
      <c r="AS164" s="1190"/>
      <c r="AT164" s="1190"/>
      <c r="AU164" s="1190"/>
      <c r="AV164" s="1190"/>
      <c r="AW164" s="1190"/>
      <c r="AX164" s="1190"/>
      <c r="AY164" s="1190"/>
      <c r="AZ164" s="1190"/>
      <c r="BA164" s="1190"/>
      <c r="BB164" s="1190"/>
      <c r="BC164" s="1190"/>
      <c r="BD164" s="1190"/>
      <c r="BE164" s="1190"/>
      <c r="BF164" s="1190"/>
      <c r="BG164" s="1190"/>
      <c r="BH164" s="1190"/>
      <c r="BI164" s="1190"/>
      <c r="BJ164" s="1190"/>
      <c r="BK164" s="1190"/>
      <c r="BL164" s="1190"/>
      <c r="BM164" s="1190"/>
      <c r="BN164" s="630" t="s">
        <v>5703</v>
      </c>
      <c r="BO164" s="1235">
        <v>7</v>
      </c>
      <c r="BP164" s="1235">
        <v>0</v>
      </c>
      <c r="BQ164" s="1235">
        <v>0</v>
      </c>
      <c r="BR164" s="1160"/>
      <c r="BS164" s="1160"/>
      <c r="BT164" s="1160"/>
      <c r="BU164" s="1160"/>
      <c r="BV164" s="1160"/>
      <c r="BW164" s="1160"/>
      <c r="CF164" s="1239" t="s">
        <v>5032</v>
      </c>
      <c r="CG164" s="1239" t="s">
        <v>12804</v>
      </c>
      <c r="CH164" s="1239">
        <v>90</v>
      </c>
      <c r="IQ164" s="1189"/>
      <c r="LS164" s="1189"/>
    </row>
    <row r="165" spans="1:331" ht="17.25">
      <c r="G165" s="2" t="s">
        <v>9147</v>
      </c>
      <c r="H165" s="2" t="s">
        <v>9148</v>
      </c>
      <c r="K165" s="29">
        <v>101</v>
      </c>
      <c r="L165" s="29" t="s">
        <v>1635</v>
      </c>
      <c r="N165" s="1234"/>
      <c r="P165" s="29">
        <v>162</v>
      </c>
      <c r="Q165" s="29" t="s">
        <v>1626</v>
      </c>
      <c r="V165" s="106"/>
      <c r="W165" s="106"/>
      <c r="X165" s="106"/>
      <c r="Y165" s="106"/>
      <c r="Z165" s="106"/>
      <c r="AA165" s="106"/>
      <c r="AB165" s="106"/>
      <c r="AC165" s="106"/>
      <c r="AD165" s="106"/>
      <c r="AE165" s="1190"/>
      <c r="AF165" s="1190"/>
      <c r="AG165" s="1190"/>
      <c r="AH165" s="1190"/>
      <c r="AI165" s="1190"/>
      <c r="AJ165" s="1190"/>
      <c r="AK165" s="1190"/>
      <c r="AL165" s="1190"/>
      <c r="AM165" s="1190"/>
      <c r="AN165" s="1190"/>
      <c r="AO165" s="1190"/>
      <c r="AP165" s="1190"/>
      <c r="AQ165" s="1190"/>
      <c r="AR165" s="1190"/>
      <c r="AS165" s="1190"/>
      <c r="AT165" s="1190"/>
      <c r="AU165" s="1190"/>
      <c r="AV165" s="1190"/>
      <c r="AW165" s="1190"/>
      <c r="AX165" s="1190"/>
      <c r="AY165" s="1190"/>
      <c r="AZ165" s="1190"/>
      <c r="BA165" s="1190"/>
      <c r="BB165" s="1190"/>
      <c r="BC165" s="1190"/>
      <c r="BD165" s="1190"/>
      <c r="BE165" s="1190"/>
      <c r="BF165" s="1190"/>
      <c r="BG165" s="1190"/>
      <c r="BH165" s="1190"/>
      <c r="BI165" s="1190"/>
      <c r="BJ165" s="1190"/>
      <c r="BK165" s="1190"/>
      <c r="BL165" s="1190"/>
      <c r="BM165" s="1190"/>
      <c r="BN165" s="630" t="s">
        <v>5702</v>
      </c>
      <c r="BO165" s="1235">
        <v>4</v>
      </c>
      <c r="BP165" s="1235">
        <v>0</v>
      </c>
      <c r="BQ165" s="1235">
        <v>0</v>
      </c>
      <c r="BR165" s="1160"/>
      <c r="BS165" s="1160"/>
      <c r="BT165" s="1160"/>
      <c r="BU165" s="1160"/>
      <c r="BV165" s="1160"/>
      <c r="BW165" s="1160"/>
      <c r="CF165" s="1239" t="s">
        <v>3789</v>
      </c>
      <c r="CG165" s="1239">
        <v>90</v>
      </c>
      <c r="CH165" s="1239">
        <v>91</v>
      </c>
      <c r="IQ165" s="1189"/>
      <c r="LS165" s="1189"/>
    </row>
    <row r="166" spans="1:331" ht="19.5">
      <c r="A166" s="2201" t="s">
        <v>7558</v>
      </c>
      <c r="B166" s="2202"/>
      <c r="C166" s="2202"/>
      <c r="D166" s="2202"/>
      <c r="G166" s="2" t="s">
        <v>9151</v>
      </c>
      <c r="H166" s="2" t="s">
        <v>9152</v>
      </c>
      <c r="K166" s="29">
        <v>102</v>
      </c>
      <c r="L166" s="29" t="s">
        <v>1606</v>
      </c>
      <c r="N166" s="1234"/>
      <c r="P166" s="29">
        <v>163</v>
      </c>
      <c r="Q166" s="29" t="s">
        <v>623</v>
      </c>
      <c r="V166" s="106"/>
      <c r="W166" s="106"/>
      <c r="X166" s="106"/>
      <c r="Y166" s="106"/>
      <c r="Z166" s="106"/>
      <c r="AA166" s="106"/>
      <c r="AB166" s="106"/>
      <c r="AC166" s="106"/>
      <c r="AD166" s="106"/>
      <c r="AE166" s="1190"/>
      <c r="AF166" s="1190"/>
      <c r="AG166" s="1190"/>
      <c r="AH166" s="1190"/>
      <c r="AI166" s="1190"/>
      <c r="AJ166" s="1190"/>
      <c r="AK166" s="1190"/>
      <c r="AL166" s="1190"/>
      <c r="AM166" s="1190"/>
      <c r="AN166" s="1190"/>
      <c r="AO166" s="1190"/>
      <c r="AP166" s="1190"/>
      <c r="AQ166" s="1190"/>
      <c r="AR166" s="1190"/>
      <c r="AS166" s="1190"/>
      <c r="AT166" s="1190"/>
      <c r="AU166" s="1190"/>
      <c r="AV166" s="1190"/>
      <c r="AW166" s="1190"/>
      <c r="AX166" s="1190"/>
      <c r="AY166" s="1190"/>
      <c r="AZ166" s="1190"/>
      <c r="BA166" s="1190"/>
      <c r="BB166" s="1190"/>
      <c r="BC166" s="1190"/>
      <c r="BD166" s="1190"/>
      <c r="BE166" s="1190"/>
      <c r="BF166" s="1190"/>
      <c r="BG166" s="1190"/>
      <c r="BH166" s="1190"/>
      <c r="BI166" s="1190"/>
      <c r="BJ166" s="1190"/>
      <c r="BK166" s="1190"/>
      <c r="BL166" s="1190"/>
      <c r="BM166" s="1190"/>
      <c r="BN166" s="630" t="s">
        <v>5701</v>
      </c>
      <c r="BO166" s="1235">
        <v>20</v>
      </c>
      <c r="BP166" s="1235">
        <v>0</v>
      </c>
      <c r="BQ166" s="1235">
        <v>0</v>
      </c>
      <c r="BR166" s="1160"/>
      <c r="BS166" s="1160"/>
      <c r="BT166" s="1160"/>
      <c r="BU166" s="1160"/>
      <c r="BV166" s="1160"/>
      <c r="BW166" s="1160"/>
      <c r="CF166" s="1239" t="s">
        <v>12781</v>
      </c>
      <c r="CG166" s="1239">
        <v>91</v>
      </c>
      <c r="CH166" s="1239">
        <v>92</v>
      </c>
      <c r="LS166" s="1189"/>
    </row>
    <row r="167" spans="1:331" ht="17.25">
      <c r="A167" s="2" t="s">
        <v>5923</v>
      </c>
      <c r="B167" s="2" t="s">
        <v>7555</v>
      </c>
      <c r="C167" s="2" t="s">
        <v>7556</v>
      </c>
      <c r="D167" s="2" t="s">
        <v>7557</v>
      </c>
      <c r="G167" s="2" t="s">
        <v>9155</v>
      </c>
      <c r="H167" s="2" t="s">
        <v>9156</v>
      </c>
      <c r="K167" s="29">
        <v>103</v>
      </c>
      <c r="L167" s="29" t="s">
        <v>596</v>
      </c>
      <c r="N167" s="1234"/>
      <c r="P167" s="29">
        <v>164</v>
      </c>
      <c r="Q167" s="29" t="s">
        <v>1627</v>
      </c>
      <c r="V167" s="106"/>
      <c r="W167" s="106"/>
      <c r="X167" s="106"/>
      <c r="Y167" s="106"/>
      <c r="Z167" s="106"/>
      <c r="AA167" s="106"/>
      <c r="AB167" s="106"/>
      <c r="AC167" s="106"/>
      <c r="AD167" s="106"/>
      <c r="AE167" s="1190"/>
      <c r="AF167" s="1190"/>
      <c r="AG167" s="1190"/>
      <c r="AH167" s="1190"/>
      <c r="AI167" s="1190"/>
      <c r="AJ167" s="1190"/>
      <c r="AK167" s="1190"/>
      <c r="AL167" s="1190"/>
      <c r="AM167" s="1190"/>
      <c r="AN167" s="1190"/>
      <c r="AO167" s="1190"/>
      <c r="AP167" s="1190"/>
      <c r="AQ167" s="1190"/>
      <c r="AR167" s="1190"/>
      <c r="AS167" s="1190"/>
      <c r="AT167" s="1190"/>
      <c r="AU167" s="1190"/>
      <c r="AV167" s="1190"/>
      <c r="AW167" s="1190"/>
      <c r="AX167" s="1190"/>
      <c r="AY167" s="1190"/>
      <c r="AZ167" s="1190"/>
      <c r="BA167" s="1190"/>
      <c r="BB167" s="1190"/>
      <c r="BC167" s="1190"/>
      <c r="BD167" s="1190"/>
      <c r="BE167" s="1190"/>
      <c r="BF167" s="1190"/>
      <c r="BG167" s="1190"/>
      <c r="BH167" s="1190"/>
      <c r="BI167" s="1190"/>
      <c r="BJ167" s="1190"/>
      <c r="BK167" s="1190"/>
      <c r="BL167" s="1190"/>
      <c r="BM167" s="1190"/>
      <c r="BN167" s="630" t="s">
        <v>5700</v>
      </c>
      <c r="BO167" s="1235">
        <v>20</v>
      </c>
      <c r="BP167" s="1235">
        <v>-1</v>
      </c>
      <c r="BQ167" s="1235">
        <v>4</v>
      </c>
      <c r="BR167" s="1160"/>
      <c r="BS167" s="1160"/>
      <c r="BT167" s="1160"/>
      <c r="BU167" s="1160"/>
      <c r="BV167" s="1160"/>
      <c r="BW167" s="1160"/>
      <c r="CF167" s="1239" t="s">
        <v>12782</v>
      </c>
      <c r="CG167" s="1239" t="s">
        <v>12805</v>
      </c>
      <c r="CH167" s="1239" t="s">
        <v>12716</v>
      </c>
      <c r="LS167" s="1189"/>
    </row>
    <row r="168" spans="1:331" ht="17.25">
      <c r="A168" s="2" t="s">
        <v>7535</v>
      </c>
      <c r="B168" s="2" t="s">
        <v>7536</v>
      </c>
      <c r="C168" s="2">
        <v>0</v>
      </c>
      <c r="D168" s="2" t="s">
        <v>7537</v>
      </c>
      <c r="G168" s="2" t="s">
        <v>9158</v>
      </c>
      <c r="H168" s="2" t="s">
        <v>9159</v>
      </c>
      <c r="K168" s="29">
        <v>104</v>
      </c>
      <c r="L168" s="29" t="s">
        <v>597</v>
      </c>
      <c r="N168" s="1234"/>
      <c r="P168" s="29">
        <v>165</v>
      </c>
      <c r="Q168" s="29" t="s">
        <v>624</v>
      </c>
      <c r="V168" s="106"/>
      <c r="W168" s="106"/>
      <c r="X168" s="106"/>
      <c r="Y168" s="106"/>
      <c r="Z168" s="106"/>
      <c r="AA168" s="106"/>
      <c r="AB168" s="106"/>
      <c r="AC168" s="106"/>
      <c r="AD168" s="106"/>
      <c r="AE168" s="1190"/>
      <c r="AF168" s="1190"/>
      <c r="AG168" s="1190"/>
      <c r="AH168" s="1190"/>
      <c r="AI168" s="1190"/>
      <c r="AJ168" s="1190"/>
      <c r="AK168" s="1190"/>
      <c r="AL168" s="1190"/>
      <c r="AM168" s="1190"/>
      <c r="AN168" s="1190"/>
      <c r="AO168" s="1190"/>
      <c r="AP168" s="1190"/>
      <c r="AQ168" s="1190"/>
      <c r="AR168" s="1190"/>
      <c r="AS168" s="1190"/>
      <c r="AT168" s="1190"/>
      <c r="AU168" s="1190"/>
      <c r="AV168" s="1190"/>
      <c r="AW168" s="1190"/>
      <c r="AX168" s="1190"/>
      <c r="AY168" s="1190"/>
      <c r="AZ168" s="1190"/>
      <c r="BA168" s="1190"/>
      <c r="BB168" s="1190"/>
      <c r="BC168" s="1190"/>
      <c r="BD168" s="1190"/>
      <c r="BE168" s="1190"/>
      <c r="BF168" s="1190"/>
      <c r="BG168" s="1190"/>
      <c r="BH168" s="1190"/>
      <c r="BI168" s="1190"/>
      <c r="BJ168" s="1190"/>
      <c r="BK168" s="1190"/>
      <c r="BL168" s="1190"/>
      <c r="BM168" s="1190"/>
      <c r="BN168" s="630" t="s">
        <v>5699</v>
      </c>
      <c r="BO168" s="1235">
        <v>25</v>
      </c>
      <c r="BP168" s="1235">
        <v>-2</v>
      </c>
      <c r="BQ168" s="1235">
        <v>6</v>
      </c>
      <c r="BR168" s="1160"/>
      <c r="BS168" s="1160"/>
      <c r="BT168" s="1160"/>
      <c r="BU168" s="1160"/>
      <c r="BV168" s="1160"/>
      <c r="BW168" s="1160"/>
      <c r="CF168" s="1239" t="s">
        <v>12784</v>
      </c>
      <c r="CG168" s="1239" t="s">
        <v>12785</v>
      </c>
      <c r="CH168" s="1239" t="s">
        <v>12806</v>
      </c>
    </row>
    <row r="169" spans="1:331" ht="17.25">
      <c r="A169" s="2" t="s">
        <v>7538</v>
      </c>
      <c r="B169" s="2" t="s">
        <v>7539</v>
      </c>
      <c r="C169" s="2">
        <v>0.05</v>
      </c>
      <c r="D169" s="2">
        <v>20</v>
      </c>
      <c r="G169" s="2" t="s">
        <v>9162</v>
      </c>
      <c r="H169" s="2" t="s">
        <v>9163</v>
      </c>
      <c r="K169" s="29">
        <v>105</v>
      </c>
      <c r="L169" s="29" t="s">
        <v>406</v>
      </c>
      <c r="N169" s="1234"/>
      <c r="P169" s="29">
        <v>166</v>
      </c>
      <c r="Q169" s="29" t="s">
        <v>556</v>
      </c>
      <c r="V169" s="106"/>
      <c r="W169" s="106"/>
      <c r="X169" s="106"/>
      <c r="Y169" s="106"/>
      <c r="Z169" s="106"/>
      <c r="AA169" s="106"/>
      <c r="AB169" s="106"/>
      <c r="AC169" s="106"/>
      <c r="AD169" s="106"/>
      <c r="AE169" s="1190"/>
      <c r="AF169" s="1190"/>
      <c r="AG169" s="1190"/>
      <c r="AH169" s="1190"/>
      <c r="AI169" s="1190"/>
      <c r="AJ169" s="1190"/>
      <c r="AK169" s="1190"/>
      <c r="AL169" s="1190"/>
      <c r="AM169" s="1190"/>
      <c r="AN169" s="1190"/>
      <c r="AO169" s="1190"/>
      <c r="AP169" s="1190"/>
      <c r="AQ169" s="1190"/>
      <c r="AR169" s="1190"/>
      <c r="AS169" s="1190"/>
      <c r="AT169" s="1190"/>
      <c r="AU169" s="1190"/>
      <c r="AV169" s="1190"/>
      <c r="AW169" s="1190"/>
      <c r="AX169" s="1190"/>
      <c r="AY169" s="1190"/>
      <c r="AZ169" s="1190"/>
      <c r="BA169" s="1190"/>
      <c r="BB169" s="1190"/>
      <c r="BC169" s="1190"/>
      <c r="BD169" s="1190"/>
      <c r="BE169" s="1190"/>
      <c r="BF169" s="1190"/>
      <c r="BG169" s="1190"/>
      <c r="BH169" s="1190"/>
      <c r="BI169" s="1190"/>
      <c r="BJ169" s="1190"/>
      <c r="BK169" s="1190"/>
      <c r="BL169" s="1190"/>
      <c r="BM169" s="1190"/>
      <c r="BN169" s="1160"/>
      <c r="BO169" s="1160"/>
      <c r="BP169" s="1160"/>
      <c r="BQ169" s="1160"/>
      <c r="BR169" s="1160"/>
      <c r="BS169" s="1160"/>
      <c r="BT169" s="1160"/>
      <c r="BU169" s="1160"/>
      <c r="BV169" s="1160"/>
      <c r="BW169" s="1160"/>
      <c r="CF169" s="1239" t="s">
        <v>12786</v>
      </c>
      <c r="CG169" s="1239">
        <v>96</v>
      </c>
      <c r="CH169" s="1239" t="s">
        <v>7685</v>
      </c>
    </row>
    <row r="170" spans="1:331" ht="17.25">
      <c r="A170" s="2" t="s">
        <v>7540</v>
      </c>
      <c r="B170" s="2" t="s">
        <v>7541</v>
      </c>
      <c r="C170" s="2">
        <v>0.1</v>
      </c>
      <c r="D170" s="2" t="s">
        <v>7542</v>
      </c>
      <c r="K170" s="29">
        <v>106</v>
      </c>
      <c r="L170" s="29" t="s">
        <v>598</v>
      </c>
      <c r="N170" s="1234"/>
      <c r="P170" s="29">
        <v>167</v>
      </c>
      <c r="Q170" s="29" t="s">
        <v>625</v>
      </c>
      <c r="V170" s="106"/>
      <c r="W170" s="106"/>
      <c r="X170" s="106"/>
      <c r="Y170" s="106"/>
      <c r="Z170" s="106"/>
      <c r="AA170" s="106"/>
      <c r="AB170" s="106"/>
      <c r="AC170" s="2" t="s">
        <v>5770</v>
      </c>
      <c r="AD170" s="2" t="s">
        <v>5725</v>
      </c>
      <c r="AE170" s="2" t="s">
        <v>5769</v>
      </c>
      <c r="AF170" s="2" t="s">
        <v>5768</v>
      </c>
      <c r="AG170" s="2" t="s">
        <v>5736</v>
      </c>
      <c r="AH170" s="1190"/>
      <c r="AI170" s="1190"/>
      <c r="AJ170" s="1190"/>
      <c r="AK170" s="1190"/>
      <c r="AL170" s="1190"/>
      <c r="AM170" s="1190"/>
      <c r="AN170" s="1190"/>
      <c r="AO170" s="1190"/>
      <c r="AP170" s="1190"/>
      <c r="AQ170" s="1190"/>
      <c r="AR170" s="1190"/>
      <c r="AS170" s="1190"/>
      <c r="AT170" s="1190"/>
      <c r="AU170" s="1190"/>
      <c r="AV170" s="1190"/>
      <c r="AW170" s="1190"/>
      <c r="AX170" s="1190"/>
      <c r="AY170" s="1190"/>
      <c r="AZ170" s="1190"/>
      <c r="BA170" s="1190"/>
      <c r="BB170" s="1190"/>
      <c r="BC170" s="1190"/>
      <c r="BD170" s="1190"/>
      <c r="BE170" s="1190"/>
      <c r="BF170" s="1190"/>
      <c r="BG170" s="1190"/>
      <c r="BH170" s="1190"/>
      <c r="BI170" s="1190"/>
      <c r="BJ170" s="1190"/>
      <c r="BK170" s="1190"/>
      <c r="BL170" s="1190"/>
      <c r="BM170" s="1190"/>
      <c r="BN170" s="630" t="s">
        <v>5698</v>
      </c>
      <c r="BO170" s="630" t="s">
        <v>5697</v>
      </c>
      <c r="BP170" s="630" t="s">
        <v>5696</v>
      </c>
      <c r="BQ170" s="630" t="s">
        <v>5695</v>
      </c>
      <c r="BR170" s="1160"/>
      <c r="BS170" s="1160"/>
      <c r="BT170" s="1160"/>
      <c r="BU170" s="1160"/>
      <c r="BV170" s="1160"/>
      <c r="BW170" s="1160"/>
      <c r="CF170" s="1239" t="s">
        <v>12787</v>
      </c>
      <c r="CG170" s="1239" t="s">
        <v>7971</v>
      </c>
      <c r="CH170" s="1239" t="s">
        <v>7971</v>
      </c>
    </row>
    <row r="171" spans="1:331" ht="17.25">
      <c r="A171" s="2" t="s">
        <v>7543</v>
      </c>
      <c r="B171" s="2" t="s">
        <v>7544</v>
      </c>
      <c r="C171" s="2">
        <v>0.15</v>
      </c>
      <c r="D171" s="2" t="s">
        <v>7545</v>
      </c>
      <c r="K171" s="29">
        <v>107</v>
      </c>
      <c r="L171" s="29" t="s">
        <v>1607</v>
      </c>
      <c r="N171" s="1234"/>
      <c r="P171" s="29">
        <v>168</v>
      </c>
      <c r="Q171" s="29" t="s">
        <v>1628</v>
      </c>
      <c r="V171" s="106"/>
      <c r="W171" s="106"/>
      <c r="X171" s="106"/>
      <c r="Y171" s="106"/>
      <c r="Z171" s="106"/>
      <c r="AA171" s="106"/>
      <c r="AB171" s="106"/>
      <c r="AC171" s="2" t="s">
        <v>5767</v>
      </c>
      <c r="AD171" s="2" t="s">
        <v>5766</v>
      </c>
      <c r="AE171" s="2" t="s">
        <v>5765</v>
      </c>
      <c r="AF171" s="2" t="s">
        <v>5764</v>
      </c>
      <c r="AG171" s="2" t="s">
        <v>5763</v>
      </c>
      <c r="AH171" s="1190"/>
      <c r="AI171" s="1190"/>
      <c r="AJ171" s="1190"/>
      <c r="AK171" s="1190"/>
      <c r="AL171" s="1190"/>
      <c r="AM171" s="1190"/>
      <c r="AN171" s="1190"/>
      <c r="AO171" s="1190"/>
      <c r="AP171" s="1190"/>
      <c r="AQ171" s="1190"/>
      <c r="AR171" s="1190"/>
      <c r="AS171" s="1190"/>
      <c r="AT171" s="1190"/>
      <c r="AU171" s="1190"/>
      <c r="AV171" s="1190"/>
      <c r="AW171" s="1190"/>
      <c r="AX171" s="1190"/>
      <c r="AY171" s="1190"/>
      <c r="AZ171" s="1190"/>
      <c r="BA171" s="1190"/>
      <c r="BB171" s="1190"/>
      <c r="BC171" s="1190"/>
      <c r="BD171" s="1190"/>
      <c r="BE171" s="1190"/>
      <c r="BF171" s="1190"/>
      <c r="BG171" s="1190"/>
      <c r="BH171" s="1190"/>
      <c r="BI171" s="1190"/>
      <c r="BJ171" s="1190"/>
      <c r="BK171" s="1190"/>
      <c r="BL171" s="1190"/>
      <c r="BM171" s="1190"/>
      <c r="BN171" s="630" t="s">
        <v>9</v>
      </c>
      <c r="BO171" s="630">
        <v>1</v>
      </c>
      <c r="BP171" s="630">
        <v>0</v>
      </c>
      <c r="BQ171" s="630">
        <v>0</v>
      </c>
      <c r="BR171" s="1160"/>
      <c r="BS171" s="1160"/>
      <c r="BT171" s="1160"/>
      <c r="BU171" s="1160"/>
      <c r="BV171" s="1160"/>
      <c r="BW171" s="1160"/>
      <c r="CF171" s="1239" t="s">
        <v>2837</v>
      </c>
      <c r="CG171" s="1239">
        <v>99</v>
      </c>
      <c r="CH171" s="1239">
        <v>99</v>
      </c>
    </row>
    <row r="172" spans="1:331" ht="17.25">
      <c r="A172" s="2" t="s">
        <v>7546</v>
      </c>
      <c r="B172" s="2" t="s">
        <v>7547</v>
      </c>
      <c r="C172" s="2">
        <v>0.5</v>
      </c>
      <c r="D172" s="2">
        <v>43424</v>
      </c>
      <c r="K172" s="29">
        <v>108</v>
      </c>
      <c r="L172" s="29" t="s">
        <v>1608</v>
      </c>
      <c r="N172" s="1234"/>
      <c r="P172" s="29">
        <v>169</v>
      </c>
      <c r="Q172" s="29" t="s">
        <v>626</v>
      </c>
      <c r="V172" s="106"/>
      <c r="W172" s="106"/>
      <c r="X172" s="106"/>
      <c r="Y172" s="106"/>
      <c r="Z172" s="106"/>
      <c r="AA172" s="106"/>
      <c r="AB172" s="106"/>
      <c r="AC172" s="2" t="s">
        <v>5762</v>
      </c>
      <c r="AD172" s="2" t="s">
        <v>5761</v>
      </c>
      <c r="AE172" s="2" t="s">
        <v>5760</v>
      </c>
      <c r="AF172" s="2" t="s">
        <v>5759</v>
      </c>
      <c r="AG172" s="2" t="s">
        <v>5752</v>
      </c>
      <c r="AH172" s="1190"/>
      <c r="AI172" s="1190"/>
      <c r="AJ172" s="1190"/>
      <c r="AK172" s="1190"/>
      <c r="AL172" s="1190"/>
      <c r="AM172" s="1190"/>
      <c r="AN172" s="1190"/>
      <c r="AO172" s="1190"/>
      <c r="AP172" s="1190"/>
      <c r="AQ172" s="1190"/>
      <c r="AR172" s="1190"/>
      <c r="AS172" s="1190"/>
      <c r="AT172" s="1190"/>
      <c r="AU172" s="1190"/>
      <c r="AV172" s="1190"/>
      <c r="AW172" s="1190"/>
      <c r="AX172" s="1190"/>
      <c r="AY172" s="1190"/>
      <c r="AZ172" s="1190"/>
      <c r="BA172" s="1190"/>
      <c r="BB172" s="1190"/>
      <c r="BC172" s="1190"/>
      <c r="BD172" s="1190"/>
      <c r="BE172" s="1190"/>
      <c r="BF172" s="1190"/>
      <c r="BG172" s="1190"/>
      <c r="BH172" s="1190"/>
      <c r="BI172" s="1190"/>
      <c r="BJ172" s="1190"/>
      <c r="BK172" s="1190"/>
      <c r="BL172" s="1190"/>
      <c r="BM172" s="1190"/>
      <c r="BN172" s="630" t="s">
        <v>5694</v>
      </c>
      <c r="BO172" s="630">
        <v>2</v>
      </c>
      <c r="BP172" s="630">
        <v>5</v>
      </c>
      <c r="BQ172" s="630">
        <v>0</v>
      </c>
      <c r="BR172" s="1160"/>
      <c r="BS172" s="1160"/>
      <c r="BT172" s="1160"/>
      <c r="BU172" s="1160"/>
      <c r="BV172" s="1160"/>
      <c r="BW172" s="1160"/>
      <c r="CF172" s="1239" t="s">
        <v>12789</v>
      </c>
      <c r="CG172" s="1239">
        <v>0</v>
      </c>
      <c r="CH172" s="1239">
        <v>0</v>
      </c>
    </row>
    <row r="173" spans="1:331" ht="17.25">
      <c r="A173" s="2" t="s">
        <v>7546</v>
      </c>
      <c r="B173" s="2" t="s">
        <v>7548</v>
      </c>
      <c r="C173" s="2">
        <v>1</v>
      </c>
      <c r="K173" s="29">
        <v>109</v>
      </c>
      <c r="L173" s="29" t="s">
        <v>1636</v>
      </c>
      <c r="N173" s="1234"/>
      <c r="P173" s="29">
        <v>170</v>
      </c>
      <c r="Q173" s="29" t="s">
        <v>627</v>
      </c>
      <c r="V173" s="106"/>
      <c r="W173" s="106"/>
      <c r="X173" s="106"/>
      <c r="Y173" s="106"/>
      <c r="Z173" s="106"/>
      <c r="AA173" s="106"/>
      <c r="AB173" s="106"/>
      <c r="AE173" s="2" t="s">
        <v>5758</v>
      </c>
      <c r="AF173" s="2" t="s">
        <v>5757</v>
      </c>
      <c r="AH173" s="1190"/>
      <c r="AI173" s="1190"/>
      <c r="AJ173" s="1190"/>
      <c r="AK173" s="1190"/>
      <c r="AL173" s="1190"/>
      <c r="AM173" s="1190"/>
      <c r="AN173" s="1190"/>
      <c r="AO173" s="1190"/>
      <c r="AP173" s="1190"/>
      <c r="AQ173" s="1190"/>
      <c r="AR173" s="1190"/>
      <c r="AS173" s="1190"/>
      <c r="AT173" s="1190"/>
      <c r="AU173" s="1190"/>
      <c r="AV173" s="1190"/>
      <c r="AW173" s="1190"/>
      <c r="AX173" s="1190"/>
      <c r="AY173" s="1190"/>
      <c r="AZ173" s="1190"/>
      <c r="BA173" s="1190"/>
      <c r="BB173" s="1190"/>
      <c r="BC173" s="1190"/>
      <c r="BD173" s="1190"/>
      <c r="BE173" s="1190"/>
      <c r="BF173" s="1190"/>
      <c r="BG173" s="1190"/>
      <c r="BH173" s="1190"/>
      <c r="BI173" s="1190"/>
      <c r="BJ173" s="1190"/>
      <c r="BK173" s="1190"/>
      <c r="BL173" s="1190"/>
      <c r="BM173" s="1190"/>
      <c r="BN173" s="630" t="s">
        <v>5693</v>
      </c>
      <c r="BO173" s="630">
        <v>0.5</v>
      </c>
      <c r="BP173" s="630">
        <v>0</v>
      </c>
      <c r="BQ173" s="630">
        <v>0</v>
      </c>
      <c r="BR173" s="1160"/>
      <c r="BS173" s="1160"/>
      <c r="BT173" s="1160"/>
      <c r="BU173" s="1160"/>
      <c r="BV173" s="1160"/>
      <c r="BW173" s="1160"/>
      <c r="CF173" s="29"/>
    </row>
    <row r="174" spans="1:331" ht="20.25">
      <c r="A174" s="2" t="s">
        <v>7549</v>
      </c>
      <c r="B174" s="2" t="s">
        <v>7550</v>
      </c>
      <c r="C174" s="2">
        <v>0.15</v>
      </c>
      <c r="D174" s="2" t="s">
        <v>7545</v>
      </c>
      <c r="K174" s="29">
        <v>110</v>
      </c>
      <c r="L174" s="29" t="s">
        <v>1609</v>
      </c>
      <c r="N174" s="1234"/>
      <c r="P174" s="29">
        <v>171</v>
      </c>
      <c r="Q174" s="29" t="s">
        <v>1629</v>
      </c>
      <c r="V174" s="106"/>
      <c r="W174" s="106"/>
      <c r="X174" s="106"/>
      <c r="Y174" s="106"/>
      <c r="Z174" s="106"/>
      <c r="AA174" s="106"/>
      <c r="AB174" s="106"/>
      <c r="AC174" s="2" t="s">
        <v>5756</v>
      </c>
      <c r="AD174" s="2" t="s">
        <v>5755</v>
      </c>
      <c r="AE174" s="2" t="s">
        <v>5754</v>
      </c>
      <c r="AF174" s="2" t="s">
        <v>5753</v>
      </c>
      <c r="AG174" s="2" t="s">
        <v>5752</v>
      </c>
      <c r="AH174" s="1190"/>
      <c r="AI174" s="1190"/>
      <c r="AJ174" s="1190"/>
      <c r="AK174" s="1190"/>
      <c r="AL174" s="1190"/>
      <c r="AM174" s="1190"/>
      <c r="AN174" s="1190"/>
      <c r="AO174" s="1190"/>
      <c r="AP174" s="1190"/>
      <c r="AQ174" s="1190"/>
      <c r="AR174" s="1190"/>
      <c r="AS174" s="1190"/>
      <c r="AT174" s="1190"/>
      <c r="AU174" s="1190"/>
      <c r="AV174" s="1190"/>
      <c r="AW174" s="1190"/>
      <c r="AX174" s="1190"/>
      <c r="AY174" s="1190"/>
      <c r="AZ174" s="1190"/>
      <c r="BA174" s="1190"/>
      <c r="BB174" s="1190"/>
      <c r="BC174" s="1190"/>
      <c r="BD174" s="1190"/>
      <c r="BE174" s="1190"/>
      <c r="BF174" s="1190"/>
      <c r="BG174" s="1190"/>
      <c r="BH174" s="1190"/>
      <c r="BI174" s="1190"/>
      <c r="BJ174" s="1190"/>
      <c r="BK174" s="1190"/>
      <c r="BL174" s="1190"/>
      <c r="BM174" s="1190"/>
      <c r="BN174" s="630" t="s">
        <v>5692</v>
      </c>
      <c r="BO174" s="630">
        <v>0.25</v>
      </c>
      <c r="BP174" s="630">
        <v>0</v>
      </c>
      <c r="BQ174" s="630">
        <v>0</v>
      </c>
      <c r="BR174" s="1160"/>
      <c r="BS174" s="1160"/>
      <c r="BT174" s="1160"/>
      <c r="BU174" s="1160"/>
      <c r="BV174" s="1160"/>
      <c r="BW174" s="1160"/>
      <c r="CF174" s="782" t="s">
        <v>12807</v>
      </c>
    </row>
    <row r="175" spans="1:331" ht="17.25">
      <c r="A175" s="2" t="s">
        <v>7551</v>
      </c>
      <c r="B175" s="2" t="s">
        <v>7552</v>
      </c>
      <c r="C175" s="2">
        <v>0.1</v>
      </c>
      <c r="D175" s="2" t="s">
        <v>7542</v>
      </c>
      <c r="K175" s="29">
        <v>111</v>
      </c>
      <c r="L175" s="29" t="s">
        <v>17</v>
      </c>
      <c r="N175" s="1234"/>
      <c r="P175" s="29">
        <v>172</v>
      </c>
      <c r="Q175" s="29" t="s">
        <v>386</v>
      </c>
      <c r="V175" s="106"/>
      <c r="W175" s="106"/>
      <c r="X175" s="106"/>
      <c r="Y175" s="106"/>
      <c r="Z175" s="106"/>
      <c r="AA175" s="106"/>
      <c r="AB175" s="106"/>
      <c r="AC175" s="2" t="s">
        <v>5751</v>
      </c>
      <c r="AD175" s="2" t="s">
        <v>5716</v>
      </c>
      <c r="AE175" s="2" t="s">
        <v>5750</v>
      </c>
      <c r="AF175" s="2" t="s">
        <v>5749</v>
      </c>
      <c r="AG175" s="2" t="s">
        <v>5748</v>
      </c>
      <c r="AH175" s="1190"/>
      <c r="AI175" s="1190"/>
      <c r="AJ175" s="1190"/>
      <c r="AK175" s="1190"/>
      <c r="AL175" s="1190"/>
      <c r="AM175" s="1190"/>
      <c r="AN175" s="1190"/>
      <c r="AO175" s="1190"/>
      <c r="AP175" s="1190"/>
      <c r="AQ175" s="1190"/>
      <c r="AR175" s="1190"/>
      <c r="AS175" s="1190"/>
      <c r="AT175" s="1190"/>
      <c r="AU175" s="1190"/>
      <c r="AV175" s="1190"/>
      <c r="AW175" s="1190"/>
      <c r="AX175" s="1190"/>
      <c r="AY175" s="1190"/>
      <c r="AZ175" s="1190"/>
      <c r="BA175" s="1190"/>
      <c r="BB175" s="1190"/>
      <c r="BC175" s="1190"/>
      <c r="BD175" s="1190"/>
      <c r="BE175" s="1190"/>
      <c r="BF175" s="1190"/>
      <c r="BG175" s="1190"/>
      <c r="BH175" s="1190"/>
      <c r="BI175" s="1190"/>
      <c r="BJ175" s="1190"/>
      <c r="BK175" s="1190"/>
      <c r="BL175" s="1190"/>
      <c r="BM175" s="1190"/>
      <c r="BN175" s="630" t="s">
        <v>5691</v>
      </c>
      <c r="BO175" s="630">
        <v>0.5</v>
      </c>
      <c r="BP175" s="630">
        <v>0</v>
      </c>
      <c r="BQ175" s="630">
        <v>0</v>
      </c>
      <c r="BR175" s="1160"/>
      <c r="BS175" s="1160"/>
      <c r="BT175" s="1160"/>
      <c r="BU175" s="1160"/>
      <c r="BV175" s="1160"/>
      <c r="BW175" s="1160"/>
      <c r="CF175" s="1237" t="s">
        <v>7930</v>
      </c>
      <c r="CG175" s="1238" t="s">
        <v>12725</v>
      </c>
      <c r="CH175" s="1240" t="s">
        <v>12726</v>
      </c>
    </row>
    <row r="176" spans="1:331" ht="17.25">
      <c r="A176" s="2" t="s">
        <v>7553</v>
      </c>
      <c r="B176" s="2" t="s">
        <v>7554</v>
      </c>
      <c r="C176" s="2">
        <v>0.05</v>
      </c>
      <c r="D176" s="2">
        <v>20</v>
      </c>
      <c r="K176" s="29">
        <v>112</v>
      </c>
      <c r="L176" s="29" t="s">
        <v>1610</v>
      </c>
      <c r="N176" s="1234"/>
      <c r="P176" s="29">
        <v>173</v>
      </c>
      <c r="Q176" s="29" t="s">
        <v>1639</v>
      </c>
      <c r="V176" s="106"/>
      <c r="W176" s="106"/>
      <c r="X176" s="106"/>
      <c r="Y176" s="106"/>
      <c r="Z176" s="106"/>
      <c r="AA176" s="106"/>
      <c r="AB176" s="106"/>
      <c r="AC176" s="2">
        <v>100</v>
      </c>
      <c r="AD176" s="2" t="s">
        <v>5747</v>
      </c>
      <c r="AE176" s="2" t="s">
        <v>5746</v>
      </c>
      <c r="AF176" s="2" t="s">
        <v>5745</v>
      </c>
      <c r="AG176" s="2" t="s">
        <v>5744</v>
      </c>
      <c r="AH176" s="1190"/>
      <c r="AI176" s="1190"/>
      <c r="AJ176" s="1190"/>
      <c r="AK176" s="1190"/>
      <c r="AL176" s="1190"/>
      <c r="AM176" s="1190"/>
      <c r="AN176" s="1190"/>
      <c r="AO176" s="1190"/>
      <c r="AP176" s="1190"/>
      <c r="AQ176" s="1190"/>
      <c r="AR176" s="1190"/>
      <c r="AS176" s="1190"/>
      <c r="AT176" s="1190"/>
      <c r="AU176" s="1190"/>
      <c r="AV176" s="1190"/>
      <c r="AW176" s="1190"/>
      <c r="AX176" s="1190"/>
      <c r="AY176" s="1190"/>
      <c r="AZ176" s="1190"/>
      <c r="BA176" s="1190"/>
      <c r="BB176" s="1190"/>
      <c r="BC176" s="1190"/>
      <c r="BD176" s="1190"/>
      <c r="BE176" s="1190"/>
      <c r="BF176" s="1190"/>
      <c r="BG176" s="1190"/>
      <c r="BH176" s="1190"/>
      <c r="BI176" s="1190"/>
      <c r="BJ176" s="1190"/>
      <c r="BK176" s="1190"/>
      <c r="BL176" s="1190"/>
      <c r="BM176" s="1190"/>
      <c r="BN176" s="1160"/>
      <c r="BO176" s="1160"/>
      <c r="BP176" s="1160"/>
      <c r="BQ176" s="1160"/>
      <c r="BR176" s="1160"/>
      <c r="BS176" s="1160"/>
      <c r="BT176" s="1160"/>
      <c r="BU176" s="1160"/>
      <c r="BV176" s="1160"/>
      <c r="BW176" s="1160"/>
      <c r="CF176" s="1239" t="s">
        <v>12727</v>
      </c>
      <c r="CG176" s="1241">
        <v>44166</v>
      </c>
      <c r="CH176" s="1241">
        <v>44166</v>
      </c>
    </row>
    <row r="177" spans="11:118" ht="17.25">
      <c r="K177" s="29">
        <v>113</v>
      </c>
      <c r="L177" s="29" t="s">
        <v>29</v>
      </c>
      <c r="N177" s="1234"/>
      <c r="P177" s="29">
        <v>174</v>
      </c>
      <c r="Q177" s="29" t="s">
        <v>628</v>
      </c>
      <c r="V177" s="106"/>
      <c r="W177" s="106"/>
      <c r="X177" s="106"/>
      <c r="Y177" s="106"/>
      <c r="Z177" s="106"/>
      <c r="AA177" s="106"/>
      <c r="AB177" s="106"/>
      <c r="AC177" s="106"/>
      <c r="AD177" s="106"/>
      <c r="AE177" s="1190"/>
      <c r="AF177" s="1190"/>
      <c r="AG177" s="1190"/>
      <c r="AH177" s="1190"/>
      <c r="AI177" s="1190"/>
      <c r="AJ177" s="1190"/>
      <c r="AK177" s="1190"/>
      <c r="AL177" s="1190"/>
      <c r="AM177" s="1190"/>
      <c r="AN177" s="1190"/>
      <c r="AO177" s="1190"/>
      <c r="AP177" s="1190"/>
      <c r="AQ177" s="1190"/>
      <c r="AR177" s="1190"/>
      <c r="AS177" s="1190"/>
      <c r="AT177" s="1190"/>
      <c r="AU177" s="1190"/>
      <c r="AV177" s="1190"/>
      <c r="AW177" s="1190"/>
      <c r="AX177" s="1190"/>
      <c r="AY177" s="1190"/>
      <c r="AZ177" s="1190"/>
      <c r="BA177" s="1190"/>
      <c r="BB177" s="1190"/>
      <c r="BC177" s="1190"/>
      <c r="BD177" s="1190"/>
      <c r="BE177" s="1190"/>
      <c r="BF177" s="1190"/>
      <c r="BG177" s="1190"/>
      <c r="BH177" s="1190"/>
      <c r="BI177" s="1190"/>
      <c r="BJ177" s="1190"/>
      <c r="BK177" s="1190"/>
      <c r="BL177" s="1190"/>
      <c r="BM177" s="1190"/>
      <c r="BN177" s="1160"/>
      <c r="BO177" s="1160"/>
      <c r="BP177" s="1160"/>
      <c r="BQ177" s="1160"/>
      <c r="BR177" s="1160"/>
      <c r="BS177" s="1160"/>
      <c r="BT177" s="1160"/>
      <c r="BW177" s="1160"/>
      <c r="CF177" s="1239" t="s">
        <v>12728</v>
      </c>
      <c r="CG177" s="1239" t="s">
        <v>12808</v>
      </c>
      <c r="CH177" s="1239" t="s">
        <v>12809</v>
      </c>
    </row>
    <row r="178" spans="11:118" ht="17.25">
      <c r="K178" s="29">
        <v>114</v>
      </c>
      <c r="L178" s="29" t="s">
        <v>599</v>
      </c>
      <c r="N178" s="1234"/>
      <c r="P178" s="29">
        <v>175</v>
      </c>
      <c r="Q178" s="29" t="s">
        <v>1640</v>
      </c>
      <c r="V178" s="106"/>
      <c r="W178" s="106"/>
      <c r="X178" s="106"/>
      <c r="Y178" s="106"/>
      <c r="Z178" s="106"/>
      <c r="AA178" s="106"/>
      <c r="AB178" s="106"/>
      <c r="AC178" s="106"/>
      <c r="AD178" s="106"/>
      <c r="AE178" s="1190"/>
      <c r="AF178" s="1190"/>
      <c r="AG178" s="1190"/>
      <c r="AH178" s="1190"/>
      <c r="AI178" s="1190"/>
      <c r="AJ178" s="1190"/>
      <c r="AK178" s="1190"/>
      <c r="AL178" s="1190"/>
      <c r="AM178" s="1190"/>
      <c r="AN178" s="1190"/>
      <c r="AO178" s="1190"/>
      <c r="AP178" s="1190"/>
      <c r="AQ178" s="1190"/>
      <c r="AR178" s="1190"/>
      <c r="AS178" s="1190"/>
      <c r="AT178" s="1190"/>
      <c r="AU178" s="1190"/>
      <c r="AV178" s="1190"/>
      <c r="AW178" s="1190"/>
      <c r="AX178" s="1190"/>
      <c r="AY178" s="1190"/>
      <c r="AZ178" s="1190"/>
      <c r="BA178" s="1190"/>
      <c r="BB178" s="1190"/>
      <c r="BC178" s="1190"/>
      <c r="BD178" s="1190"/>
      <c r="BE178" s="1190"/>
      <c r="BF178" s="1190"/>
      <c r="BG178" s="1190"/>
      <c r="BH178" s="1190"/>
      <c r="BI178" s="1190"/>
      <c r="BJ178" s="1190"/>
      <c r="BK178" s="1190"/>
      <c r="BL178" s="1190"/>
      <c r="BM178" s="1190"/>
      <c r="BN178" s="1160"/>
      <c r="BO178" s="1160"/>
      <c r="BP178" s="1160"/>
      <c r="BQ178" s="1160"/>
      <c r="BR178" s="1160"/>
      <c r="BS178" s="1160"/>
      <c r="BT178" s="1160"/>
      <c r="BW178" s="1160"/>
      <c r="CF178" s="1239" t="s">
        <v>12729</v>
      </c>
      <c r="CG178" s="1239" t="s">
        <v>9761</v>
      </c>
      <c r="CH178" s="1239" t="s">
        <v>12810</v>
      </c>
    </row>
    <row r="179" spans="11:118" ht="17.25">
      <c r="K179" s="29">
        <v>115</v>
      </c>
      <c r="L179" s="29" t="s">
        <v>600</v>
      </c>
      <c r="N179" s="1234"/>
      <c r="P179" s="29">
        <v>176</v>
      </c>
      <c r="Q179" s="29" t="s">
        <v>629</v>
      </c>
      <c r="V179" s="106"/>
      <c r="W179" s="106"/>
      <c r="X179" s="106"/>
      <c r="Y179" s="106"/>
      <c r="Z179" s="106"/>
      <c r="AA179" s="106"/>
      <c r="AB179" s="106"/>
      <c r="AC179" s="106"/>
      <c r="AD179" s="106"/>
      <c r="AE179" s="1190"/>
      <c r="AF179" s="1190"/>
      <c r="AG179" s="1190"/>
      <c r="AH179" s="1190"/>
      <c r="AI179" s="1190"/>
      <c r="AJ179" s="1190"/>
      <c r="AK179" s="1190"/>
      <c r="AL179" s="1190"/>
      <c r="AM179" s="1190"/>
      <c r="AN179" s="1190"/>
      <c r="AO179" s="1190"/>
      <c r="AP179" s="1190"/>
      <c r="AQ179" s="1190"/>
      <c r="AR179" s="1190"/>
      <c r="AS179" s="1190"/>
      <c r="AT179" s="1190"/>
      <c r="AU179" s="1190"/>
      <c r="AV179" s="1190"/>
      <c r="AW179" s="1190"/>
      <c r="AX179" s="1190"/>
      <c r="AY179" s="1190"/>
      <c r="AZ179" s="1190"/>
      <c r="BA179" s="1190"/>
      <c r="BB179" s="1190"/>
      <c r="BC179" s="1190"/>
      <c r="BD179" s="1190"/>
      <c r="BE179" s="1190"/>
      <c r="BF179" s="1190"/>
      <c r="BG179" s="1190"/>
      <c r="BH179" s="1190"/>
      <c r="BI179" s="1190"/>
      <c r="BJ179" s="1190"/>
      <c r="BK179" s="1190"/>
      <c r="BL179" s="1190"/>
      <c r="BM179" s="1190"/>
      <c r="BN179" s="1160"/>
      <c r="BO179" s="1160"/>
      <c r="BP179" s="1160"/>
      <c r="BQ179" s="1160"/>
      <c r="BR179" s="1160"/>
      <c r="BS179" s="1160"/>
      <c r="BT179" s="1160"/>
      <c r="BW179" s="1160"/>
      <c r="CF179" s="1239" t="s">
        <v>12732</v>
      </c>
      <c r="CG179" s="1239" t="s">
        <v>12811</v>
      </c>
      <c r="CH179" s="1239" t="s">
        <v>12811</v>
      </c>
    </row>
    <row r="180" spans="11:118" ht="17.25">
      <c r="K180" s="29">
        <v>116</v>
      </c>
      <c r="L180" s="29" t="s">
        <v>20</v>
      </c>
      <c r="N180" s="1234"/>
      <c r="P180" s="29">
        <v>177</v>
      </c>
      <c r="Q180" s="29" t="s">
        <v>1630</v>
      </c>
      <c r="V180" s="106"/>
      <c r="W180" s="106"/>
      <c r="X180" s="106"/>
      <c r="Y180" s="106"/>
      <c r="Z180" s="106"/>
      <c r="AA180" s="106"/>
      <c r="AB180" s="106"/>
      <c r="AC180" s="106"/>
      <c r="AD180" s="106"/>
      <c r="AE180" s="1190"/>
      <c r="AF180" s="1190"/>
      <c r="AG180" s="1190"/>
      <c r="AH180" s="1190"/>
      <c r="AI180" s="1190"/>
      <c r="AJ180" s="1190"/>
      <c r="AK180" s="1190"/>
      <c r="AL180" s="1190"/>
      <c r="AM180" s="1190"/>
      <c r="AN180" s="1190"/>
      <c r="AO180" s="1190"/>
      <c r="AP180" s="1190"/>
      <c r="AQ180" s="1190"/>
      <c r="AR180" s="1190"/>
      <c r="AS180" s="1190"/>
      <c r="AT180" s="1190"/>
      <c r="AU180" s="1190"/>
      <c r="AV180" s="1190"/>
      <c r="AW180" s="1190"/>
      <c r="AX180" s="1190"/>
      <c r="AY180" s="1190"/>
      <c r="AZ180" s="1190"/>
      <c r="BA180" s="1190"/>
      <c r="BB180" s="1190"/>
      <c r="BC180" s="1190"/>
      <c r="BD180" s="1190"/>
      <c r="BE180" s="1190"/>
      <c r="BF180" s="1190"/>
      <c r="BG180" s="1190"/>
      <c r="BH180" s="1190"/>
      <c r="BI180" s="1190"/>
      <c r="BJ180" s="1190"/>
      <c r="BK180" s="1190"/>
      <c r="BL180" s="1190"/>
      <c r="BM180" s="1190"/>
      <c r="BN180" s="1160"/>
      <c r="BO180" s="1160"/>
      <c r="BP180" s="1160"/>
      <c r="BQ180" s="1160"/>
      <c r="BR180" s="1160"/>
      <c r="BS180" s="1160"/>
      <c r="BT180" s="1160"/>
      <c r="BW180" s="1160"/>
      <c r="CF180" s="1239" t="s">
        <v>5197</v>
      </c>
      <c r="CG180" s="1239" t="s">
        <v>9316</v>
      </c>
      <c r="CH180" s="1239" t="s">
        <v>12812</v>
      </c>
    </row>
    <row r="181" spans="11:118" ht="17.25">
      <c r="K181" s="29">
        <v>117</v>
      </c>
      <c r="L181" s="29" t="s">
        <v>601</v>
      </c>
      <c r="N181" s="1234"/>
      <c r="P181" s="29">
        <v>178</v>
      </c>
      <c r="Q181" s="29" t="s">
        <v>1631</v>
      </c>
      <c r="V181" s="106"/>
      <c r="W181" s="106"/>
      <c r="X181" s="106"/>
      <c r="Y181" s="106"/>
      <c r="Z181" s="106"/>
      <c r="AA181" s="106"/>
      <c r="AB181" s="106"/>
      <c r="AC181" s="106"/>
      <c r="AD181" s="106"/>
      <c r="AE181" s="1190"/>
      <c r="AF181" s="1190"/>
      <c r="AG181" s="1190"/>
      <c r="AH181" s="1190"/>
      <c r="AI181" s="1190"/>
      <c r="AJ181" s="1190"/>
      <c r="AK181" s="1190"/>
      <c r="AL181" s="1190"/>
      <c r="AM181" s="1190"/>
      <c r="AN181" s="1190"/>
      <c r="AO181" s="1190"/>
      <c r="AP181" s="1190"/>
      <c r="AQ181" s="1190"/>
      <c r="AR181" s="1190"/>
      <c r="AS181" s="1190"/>
      <c r="AT181" s="1190"/>
      <c r="AU181" s="1190"/>
      <c r="AV181" s="1190"/>
      <c r="AW181" s="1190"/>
      <c r="AX181" s="1190"/>
      <c r="AY181" s="1190"/>
      <c r="AZ181" s="1190"/>
      <c r="BA181" s="1190"/>
      <c r="BB181" s="1190"/>
      <c r="BC181" s="1190"/>
      <c r="BD181" s="1190"/>
      <c r="BE181" s="1190"/>
      <c r="BF181" s="1190"/>
      <c r="BG181" s="1190"/>
      <c r="BH181" s="1190"/>
      <c r="BI181" s="1190"/>
      <c r="BJ181" s="1190"/>
      <c r="BK181" s="1190"/>
      <c r="BL181" s="1190"/>
      <c r="BM181" s="1190"/>
      <c r="BN181" s="1160"/>
      <c r="BO181" s="1160"/>
      <c r="BP181" s="1160"/>
      <c r="BQ181" s="1160"/>
      <c r="BR181" s="1160"/>
      <c r="BS181" s="1160"/>
      <c r="BT181" s="1160"/>
      <c r="BW181" s="1160"/>
      <c r="CF181" s="1239" t="s">
        <v>12736</v>
      </c>
      <c r="CG181" s="1239" t="s">
        <v>12813</v>
      </c>
      <c r="CH181" s="1239" t="s">
        <v>12814</v>
      </c>
    </row>
    <row r="182" spans="11:118" ht="17.25">
      <c r="K182" s="29">
        <v>118</v>
      </c>
      <c r="L182" s="29" t="s">
        <v>1611</v>
      </c>
      <c r="P182" s="29">
        <v>179</v>
      </c>
      <c r="Q182" s="29" t="s">
        <v>630</v>
      </c>
      <c r="V182" s="106"/>
      <c r="W182" s="106"/>
      <c r="X182" s="106"/>
      <c r="Y182" s="106"/>
      <c r="Z182" s="106"/>
      <c r="AA182" s="106"/>
      <c r="AB182" s="106"/>
      <c r="AC182" s="106"/>
      <c r="AD182" s="106"/>
      <c r="AE182" s="1190"/>
      <c r="AF182" s="1190"/>
      <c r="AG182" s="1190"/>
      <c r="AH182" s="1190"/>
      <c r="AI182" s="1190"/>
      <c r="AJ182" s="1190"/>
      <c r="AK182" s="1190"/>
      <c r="AL182" s="1190"/>
      <c r="AM182" s="1190"/>
      <c r="AN182" s="1190"/>
      <c r="AO182" s="1190"/>
      <c r="AP182" s="1190"/>
      <c r="AQ182" s="1190"/>
      <c r="AR182" s="1190"/>
      <c r="AS182" s="1190"/>
      <c r="AT182" s="1190"/>
      <c r="AU182" s="1190"/>
      <c r="AV182" s="1190"/>
      <c r="AW182" s="1190"/>
      <c r="AX182" s="1190"/>
      <c r="AY182" s="1190"/>
      <c r="AZ182" s="1190"/>
      <c r="BA182" s="1190"/>
      <c r="BB182" s="1190"/>
      <c r="BC182" s="1190"/>
      <c r="BD182" s="1190"/>
      <c r="BE182" s="1190"/>
      <c r="BF182" s="1190"/>
      <c r="BG182" s="1190"/>
      <c r="BH182" s="1190"/>
      <c r="BI182" s="1190"/>
      <c r="BJ182" s="1190"/>
      <c r="BK182" s="1190"/>
      <c r="BL182" s="1190"/>
      <c r="BM182" s="1190"/>
      <c r="BN182" s="1160"/>
      <c r="BO182" s="1160"/>
      <c r="BP182" s="1160"/>
      <c r="BQ182" s="1160"/>
      <c r="BR182" s="1160"/>
      <c r="BS182" s="1160"/>
      <c r="BT182" s="1160"/>
      <c r="BW182" s="1160"/>
      <c r="CF182" s="1239" t="s">
        <v>2545</v>
      </c>
      <c r="CG182" s="1239" t="s">
        <v>12697</v>
      </c>
      <c r="CH182" s="1239" t="s">
        <v>12815</v>
      </c>
    </row>
    <row r="183" spans="11:118" ht="17.25">
      <c r="K183" s="29">
        <v>119</v>
      </c>
      <c r="L183" s="29" t="s">
        <v>602</v>
      </c>
      <c r="P183" s="29">
        <v>180</v>
      </c>
      <c r="Q183" s="29" t="s">
        <v>631</v>
      </c>
      <c r="V183" s="106"/>
      <c r="W183" s="106"/>
      <c r="X183" s="106"/>
      <c r="Y183" s="106"/>
      <c r="Z183" s="106"/>
      <c r="AA183" s="106"/>
      <c r="AB183" s="106"/>
      <c r="AC183" s="106"/>
      <c r="AD183" s="106"/>
      <c r="AE183" s="1190"/>
      <c r="AF183" s="1190"/>
      <c r="AG183" s="1190"/>
      <c r="AH183" s="1190"/>
      <c r="AI183" s="1190"/>
      <c r="AJ183" s="1190"/>
      <c r="AK183" s="1190"/>
      <c r="AL183" s="1190"/>
      <c r="AM183" s="1190"/>
      <c r="AN183" s="1190"/>
      <c r="AO183" s="1190"/>
      <c r="AP183" s="1190"/>
      <c r="AQ183" s="1190"/>
      <c r="AR183" s="1190"/>
      <c r="AS183" s="1190"/>
      <c r="AT183" s="1190"/>
      <c r="AU183" s="1190"/>
      <c r="AV183" s="1190"/>
      <c r="AW183" s="1190"/>
      <c r="AX183" s="1190"/>
      <c r="AY183" s="1190"/>
      <c r="AZ183" s="1190"/>
      <c r="BA183" s="1190"/>
      <c r="BB183" s="1190"/>
      <c r="BC183" s="1190"/>
      <c r="BD183" s="1190"/>
      <c r="BE183" s="1190"/>
      <c r="BF183" s="1190"/>
      <c r="BG183" s="1190"/>
      <c r="BH183" s="1190"/>
      <c r="BI183" s="1190"/>
      <c r="BJ183" s="1190"/>
      <c r="BK183" s="1190"/>
      <c r="BL183" s="1190"/>
      <c r="BM183" s="1190"/>
      <c r="BN183" s="1160"/>
      <c r="BO183" s="1160"/>
      <c r="BP183" s="1160"/>
      <c r="BQ183" s="1160"/>
      <c r="BR183" s="1160"/>
      <c r="BS183" s="1160"/>
      <c r="BT183" s="1160"/>
      <c r="BW183" s="1160"/>
      <c r="CF183" s="1239" t="s">
        <v>2535</v>
      </c>
      <c r="CG183" s="1239">
        <v>40</v>
      </c>
      <c r="CH183" s="1239" t="s">
        <v>12816</v>
      </c>
    </row>
    <row r="184" spans="11:118" ht="17.25">
      <c r="K184" s="29">
        <v>120</v>
      </c>
      <c r="L184" s="29" t="s">
        <v>603</v>
      </c>
      <c r="P184" s="29">
        <v>181</v>
      </c>
      <c r="Q184" s="29" t="s">
        <v>632</v>
      </c>
      <c r="V184" s="106"/>
      <c r="W184" s="106"/>
      <c r="X184" s="106"/>
      <c r="Y184" s="106"/>
      <c r="Z184" s="106"/>
      <c r="AA184" s="106"/>
      <c r="AB184" s="106"/>
      <c r="AC184" s="106"/>
      <c r="AD184" s="106"/>
      <c r="AE184" s="1190"/>
      <c r="AF184" s="1190"/>
      <c r="AG184" s="1190"/>
      <c r="AH184" s="1190"/>
      <c r="AI184" s="1190"/>
      <c r="AJ184" s="1190"/>
      <c r="AK184" s="1190"/>
      <c r="AL184" s="1190"/>
      <c r="AM184" s="1190"/>
      <c r="AN184" s="1190"/>
      <c r="AO184" s="1190"/>
      <c r="AP184" s="1190"/>
      <c r="AQ184" s="1190"/>
      <c r="AR184" s="1190"/>
      <c r="AS184" s="1190"/>
      <c r="AT184" s="1190"/>
      <c r="AU184" s="1190"/>
      <c r="AV184" s="1190"/>
      <c r="AW184" s="1190"/>
      <c r="AX184" s="1190"/>
      <c r="AY184" s="1190"/>
      <c r="AZ184" s="1190"/>
      <c r="BA184" s="1190"/>
      <c r="BB184" s="1190"/>
      <c r="BC184" s="1190"/>
      <c r="BD184" s="1190"/>
      <c r="BE184" s="1190"/>
      <c r="BF184" s="1190"/>
      <c r="BG184" s="1190"/>
      <c r="BH184" s="1190"/>
      <c r="BI184" s="1190"/>
      <c r="BJ184" s="1190"/>
      <c r="BK184" s="1190"/>
      <c r="BL184" s="1190"/>
      <c r="BM184" s="1190"/>
      <c r="BN184" s="1160"/>
      <c r="BO184" s="1160"/>
      <c r="BP184" s="1160"/>
      <c r="BQ184" s="1160"/>
      <c r="BR184" s="1160"/>
      <c r="BS184" s="1160"/>
      <c r="BT184" s="1160"/>
      <c r="BW184" s="1160"/>
      <c r="CF184" s="1239" t="s">
        <v>12741</v>
      </c>
      <c r="CG184" s="1239" t="s">
        <v>7685</v>
      </c>
      <c r="CH184" s="1239">
        <v>42</v>
      </c>
    </row>
    <row r="185" spans="11:118" ht="17.25">
      <c r="K185" s="29">
        <v>121</v>
      </c>
      <c r="L185" s="29" t="s">
        <v>1637</v>
      </c>
      <c r="P185" s="29">
        <v>182</v>
      </c>
      <c r="Q185" s="29" t="s">
        <v>231</v>
      </c>
      <c r="V185" s="106"/>
      <c r="W185" s="106"/>
      <c r="X185" s="106"/>
      <c r="Y185" s="106"/>
      <c r="Z185" s="106"/>
      <c r="AA185" s="106"/>
      <c r="AB185" s="106"/>
      <c r="AC185" s="106"/>
      <c r="AD185" s="106"/>
      <c r="AE185" s="1190"/>
      <c r="AF185" s="1190"/>
      <c r="AG185" s="1190"/>
      <c r="AH185" s="1190"/>
      <c r="AI185" s="1190"/>
      <c r="AJ185" s="1190"/>
      <c r="AK185" s="1190"/>
      <c r="AL185" s="1190"/>
      <c r="AM185" s="1190"/>
      <c r="AN185" s="1190"/>
      <c r="AO185" s="1190"/>
      <c r="AP185" s="1190"/>
      <c r="AQ185" s="1190"/>
      <c r="AR185" s="1190"/>
      <c r="AS185" s="1190"/>
      <c r="AT185" s="1190"/>
      <c r="AU185" s="1190"/>
      <c r="AV185" s="1190"/>
      <c r="AW185" s="1190"/>
      <c r="AX185" s="1190"/>
      <c r="AY185" s="1190"/>
      <c r="AZ185" s="1190"/>
      <c r="BA185" s="1190"/>
      <c r="BB185" s="1190"/>
      <c r="BC185" s="1190"/>
      <c r="BD185" s="1190"/>
      <c r="BE185" s="1190"/>
      <c r="BF185" s="1190"/>
      <c r="BG185" s="1190"/>
      <c r="BH185" s="1190"/>
      <c r="BI185" s="1190"/>
      <c r="BJ185" s="1190"/>
      <c r="BK185" s="1190"/>
      <c r="BL185" s="1190"/>
      <c r="BM185" s="1190"/>
      <c r="BN185" s="1160"/>
      <c r="BO185" s="1160"/>
      <c r="BP185" s="1160"/>
      <c r="BQ185" s="1160"/>
      <c r="BR185" s="1160"/>
      <c r="BS185" s="1160"/>
      <c r="BT185" s="1160"/>
      <c r="BW185" s="1160"/>
      <c r="CF185" s="1239" t="s">
        <v>12742</v>
      </c>
      <c r="CG185" s="1239">
        <v>41</v>
      </c>
      <c r="CH185" s="1239">
        <v>43</v>
      </c>
    </row>
    <row r="186" spans="11:118" ht="17.25">
      <c r="K186" s="29">
        <v>122</v>
      </c>
      <c r="L186" s="29" t="s">
        <v>1612</v>
      </c>
      <c r="P186" s="29">
        <v>183</v>
      </c>
      <c r="Q186" s="29" t="s">
        <v>633</v>
      </c>
      <c r="V186" s="106"/>
      <c r="W186" s="106"/>
      <c r="X186" s="106"/>
      <c r="Y186" s="106"/>
      <c r="Z186" s="106"/>
      <c r="AA186" s="106"/>
      <c r="AB186" s="106"/>
      <c r="AC186" s="106"/>
      <c r="AD186" s="106"/>
      <c r="AE186" s="1190"/>
      <c r="AF186" s="1190"/>
      <c r="AG186" s="1190"/>
      <c r="AH186" s="1190"/>
      <c r="AI186" s="1190"/>
      <c r="AJ186" s="1190"/>
      <c r="AK186" s="1190"/>
      <c r="AL186" s="1190"/>
      <c r="AM186" s="1190"/>
      <c r="AN186" s="1190"/>
      <c r="AO186" s="1190"/>
      <c r="AP186" s="1190"/>
      <c r="AQ186" s="1190"/>
      <c r="AR186" s="1190"/>
      <c r="AS186" s="1190"/>
      <c r="AT186" s="1190"/>
      <c r="AU186" s="1190"/>
      <c r="AV186" s="1190"/>
      <c r="AW186" s="1190"/>
      <c r="AX186" s="1190"/>
      <c r="AY186" s="1190"/>
      <c r="AZ186" s="1190"/>
      <c r="BA186" s="1190"/>
      <c r="BB186" s="1190"/>
      <c r="BC186" s="1190"/>
      <c r="BD186" s="1190"/>
      <c r="BE186" s="1190"/>
      <c r="BF186" s="1190"/>
      <c r="BG186" s="1190"/>
      <c r="BH186" s="1190"/>
      <c r="BI186" s="1190"/>
      <c r="BJ186" s="1190"/>
      <c r="BK186" s="1190"/>
      <c r="BL186" s="1190"/>
      <c r="BM186" s="1190"/>
      <c r="BN186" s="1160"/>
      <c r="BO186" s="1160"/>
      <c r="BP186" s="1160"/>
      <c r="BQ186" s="1160"/>
      <c r="BR186" s="1160"/>
      <c r="BS186" s="1160"/>
      <c r="BT186" s="1160"/>
      <c r="BW186" s="1160"/>
      <c r="CF186" s="29"/>
    </row>
    <row r="187" spans="11:118" ht="17.25">
      <c r="K187" s="29">
        <v>123</v>
      </c>
      <c r="L187" s="29" t="s">
        <v>604</v>
      </c>
      <c r="V187" s="106"/>
      <c r="W187" s="106"/>
      <c r="X187" s="106"/>
      <c r="Y187" s="106"/>
      <c r="Z187" s="106"/>
      <c r="AA187" s="106"/>
      <c r="AB187" s="106"/>
      <c r="AC187" s="106"/>
      <c r="AD187" s="106"/>
      <c r="AE187" s="1190"/>
      <c r="AF187" s="1190"/>
      <c r="AG187" s="1190"/>
      <c r="AH187" s="1190"/>
      <c r="AI187" s="1190"/>
      <c r="AJ187" s="1190"/>
      <c r="AK187" s="1190"/>
      <c r="AL187" s="1190"/>
      <c r="AM187" s="1190"/>
      <c r="AN187" s="1190"/>
      <c r="AO187" s="1190"/>
      <c r="AP187" s="1190"/>
      <c r="AQ187" s="1190"/>
      <c r="AR187" s="1190"/>
      <c r="AS187" s="1190"/>
      <c r="AT187" s="1190"/>
      <c r="AU187" s="1190"/>
      <c r="AV187" s="1190"/>
      <c r="AW187" s="1190"/>
      <c r="AX187" s="1190"/>
      <c r="AY187" s="1190"/>
      <c r="AZ187" s="1190"/>
      <c r="BA187" s="1190"/>
      <c r="BB187" s="1190"/>
      <c r="BC187" s="1190"/>
      <c r="BD187" s="1190"/>
      <c r="BE187" s="1190"/>
      <c r="BF187" s="1190"/>
      <c r="BG187" s="1190"/>
      <c r="BH187" s="1190"/>
      <c r="BI187" s="1190"/>
      <c r="BJ187" s="1190"/>
      <c r="BK187" s="1190"/>
      <c r="BL187" s="1190"/>
      <c r="BM187" s="1190"/>
      <c r="BN187" s="1160"/>
      <c r="BO187" s="1160"/>
      <c r="BP187" s="1160"/>
      <c r="BQ187" s="1160"/>
      <c r="BR187" s="1160"/>
      <c r="BS187" s="1160"/>
      <c r="BT187" s="1160"/>
      <c r="BU187" s="1160"/>
      <c r="BV187" s="1160"/>
      <c r="BW187" s="1160"/>
      <c r="CF187" s="1237" t="s">
        <v>7930</v>
      </c>
      <c r="CG187" s="1238" t="s">
        <v>12725</v>
      </c>
      <c r="CH187" s="1238" t="s">
        <v>12726</v>
      </c>
    </row>
    <row r="188" spans="11:118" ht="17.25">
      <c r="K188" s="29">
        <v>124</v>
      </c>
      <c r="L188" s="29" t="s">
        <v>605</v>
      </c>
      <c r="V188" s="106"/>
      <c r="W188" s="106"/>
      <c r="X188" s="106"/>
      <c r="Y188" s="106"/>
      <c r="Z188" s="106"/>
      <c r="AA188" s="106"/>
      <c r="AB188" s="106"/>
      <c r="AC188" s="106"/>
      <c r="AD188" s="106"/>
      <c r="AE188" s="1190"/>
      <c r="AF188" s="1190"/>
      <c r="AG188" s="1190"/>
      <c r="AH188" s="1190"/>
      <c r="AI188" s="1190"/>
      <c r="AJ188" s="1190"/>
      <c r="AK188" s="1190"/>
      <c r="AL188" s="1190"/>
      <c r="AM188" s="1190"/>
      <c r="AN188" s="1190"/>
      <c r="AO188" s="1190"/>
      <c r="AP188" s="1190"/>
      <c r="AQ188" s="1190"/>
      <c r="AR188" s="1190"/>
      <c r="AS188" s="1190"/>
      <c r="AT188" s="1190"/>
      <c r="AU188" s="1190"/>
      <c r="AV188" s="1190"/>
      <c r="AW188" s="1190"/>
      <c r="AX188" s="1190"/>
      <c r="AY188" s="1190"/>
      <c r="AZ188" s="1190"/>
      <c r="BA188" s="1190"/>
      <c r="BB188" s="1190"/>
      <c r="BC188" s="1190"/>
      <c r="BD188" s="1190"/>
      <c r="BE188" s="1190"/>
      <c r="BF188" s="1190"/>
      <c r="BG188" s="1190"/>
      <c r="BH188" s="1190"/>
      <c r="BI188" s="1190"/>
      <c r="BJ188" s="1190"/>
      <c r="BK188" s="1190"/>
      <c r="BL188" s="1190"/>
      <c r="BM188" s="1190"/>
      <c r="BN188" s="1160"/>
      <c r="BO188" s="1160"/>
      <c r="BP188" s="1160"/>
      <c r="BQ188" s="1160"/>
      <c r="BR188" s="1160"/>
      <c r="BS188" s="1160"/>
      <c r="BT188" s="1160"/>
      <c r="BU188" s="1160"/>
      <c r="BV188" s="1160"/>
      <c r="BW188" s="1160"/>
      <c r="CF188" s="1239" t="s">
        <v>3885</v>
      </c>
      <c r="CG188" s="1239" t="s">
        <v>12817</v>
      </c>
      <c r="CH188" s="1239" t="s">
        <v>9277</v>
      </c>
    </row>
    <row r="189" spans="11:118" ht="17.25">
      <c r="K189" s="29">
        <v>125</v>
      </c>
      <c r="L189" s="29" t="s">
        <v>606</v>
      </c>
      <c r="V189" s="106"/>
      <c r="W189" s="106"/>
      <c r="X189" s="106"/>
      <c r="Y189" s="106"/>
      <c r="Z189" s="106"/>
      <c r="AA189" s="106"/>
      <c r="AB189" s="106"/>
      <c r="AC189" s="106"/>
      <c r="AD189" s="106"/>
      <c r="AE189" s="1190"/>
      <c r="AF189" s="1190"/>
      <c r="AG189" s="1190"/>
      <c r="AH189" s="1190"/>
      <c r="AI189" s="1190"/>
      <c r="AJ189" s="1190"/>
      <c r="AK189" s="1190"/>
      <c r="AL189" s="1190"/>
      <c r="AM189" s="1190"/>
      <c r="AN189" s="1190"/>
      <c r="AO189" s="1190"/>
      <c r="AP189" s="1190"/>
      <c r="AQ189" s="1190"/>
      <c r="AR189" s="1190"/>
      <c r="AS189" s="1190"/>
      <c r="AT189" s="1190"/>
      <c r="AU189" s="1190"/>
      <c r="AV189" s="1190"/>
      <c r="AW189" s="1190"/>
      <c r="AX189" s="1190"/>
      <c r="AY189" s="1190"/>
      <c r="AZ189" s="1190"/>
      <c r="BA189" s="1190"/>
      <c r="BB189" s="1190"/>
      <c r="BC189" s="1190"/>
      <c r="BD189" s="1190"/>
      <c r="BE189" s="1190"/>
      <c r="BF189" s="1190"/>
      <c r="BG189" s="1190"/>
      <c r="BH189" s="1190"/>
      <c r="BI189" s="1190"/>
      <c r="BJ189" s="1190"/>
      <c r="BK189" s="1190"/>
      <c r="BL189" s="1190"/>
      <c r="BM189" s="1190"/>
      <c r="BN189" s="1160"/>
      <c r="BO189" s="1160"/>
      <c r="BP189" s="1160"/>
      <c r="BQ189" s="1160"/>
      <c r="BR189" s="1160"/>
      <c r="BS189" s="1160"/>
      <c r="BT189" s="1160"/>
      <c r="BU189" s="1160"/>
      <c r="BV189" s="1160"/>
      <c r="BW189" s="1160"/>
      <c r="CF189" s="1239" t="s">
        <v>5805</v>
      </c>
      <c r="CG189" s="1239" t="s">
        <v>12818</v>
      </c>
      <c r="CH189" s="1239" t="s">
        <v>12819</v>
      </c>
    </row>
    <row r="190" spans="11:118" ht="17.25">
      <c r="K190" s="29">
        <v>126</v>
      </c>
      <c r="L190" s="29" t="s">
        <v>607</v>
      </c>
      <c r="V190" s="106"/>
      <c r="W190" s="106"/>
      <c r="X190" s="106"/>
      <c r="Y190" s="106"/>
      <c r="Z190" s="106"/>
      <c r="AA190" s="106"/>
      <c r="AB190" s="106"/>
      <c r="AC190" s="106"/>
      <c r="AD190" s="106"/>
      <c r="AE190" s="1190"/>
      <c r="AF190" s="1190"/>
      <c r="AG190" s="1190"/>
      <c r="AH190" s="1190"/>
      <c r="AI190" s="1190"/>
      <c r="AJ190" s="1190"/>
      <c r="AK190" s="1190"/>
      <c r="AL190" s="1190"/>
      <c r="AM190" s="1190"/>
      <c r="AN190" s="1190"/>
      <c r="AO190" s="1190"/>
      <c r="AP190" s="1190"/>
      <c r="AQ190" s="1190"/>
      <c r="AR190" s="1190"/>
      <c r="AS190" s="1190"/>
      <c r="AT190" s="1190"/>
      <c r="AU190" s="1190"/>
      <c r="AV190" s="1190"/>
      <c r="AW190" s="1190"/>
      <c r="AX190" s="1190"/>
      <c r="AY190" s="1190"/>
      <c r="AZ190" s="1190"/>
      <c r="BA190" s="1190"/>
      <c r="BB190" s="1190"/>
      <c r="BC190" s="1190"/>
      <c r="BD190" s="1190"/>
      <c r="BE190" s="1190"/>
      <c r="BF190" s="1190"/>
      <c r="BG190" s="1190"/>
      <c r="BH190" s="1190"/>
      <c r="BI190" s="1190"/>
      <c r="BJ190" s="1190"/>
      <c r="BK190" s="1190"/>
      <c r="BL190" s="1190"/>
      <c r="BM190" s="1190"/>
      <c r="BN190" s="1160"/>
      <c r="BO190" s="1160"/>
      <c r="BP190" s="1160"/>
      <c r="BQ190" s="1160"/>
      <c r="BR190" s="1160"/>
      <c r="BS190" s="1160"/>
      <c r="BT190" s="1160"/>
      <c r="BU190" s="1160"/>
      <c r="BV190" s="1160"/>
      <c r="BW190" s="1160"/>
      <c r="CF190" s="1239" t="s">
        <v>2612</v>
      </c>
      <c r="CG190" s="1239">
        <v>49</v>
      </c>
      <c r="CH190" s="1239">
        <v>50</v>
      </c>
      <c r="DE190" s="1320" t="s">
        <v>15450</v>
      </c>
      <c r="DF190" s="1289"/>
      <c r="DG190" s="1289"/>
      <c r="DH190" s="1289"/>
      <c r="DI190" s="1289"/>
      <c r="DJ190" s="1289"/>
      <c r="DK190" s="1289"/>
      <c r="DL190" s="1289"/>
      <c r="DM190" s="1289"/>
      <c r="DN190" s="1820"/>
    </row>
    <row r="191" spans="11:118" ht="17.25">
      <c r="K191" s="29">
        <v>127</v>
      </c>
      <c r="L191" s="29" t="s">
        <v>167</v>
      </c>
      <c r="V191" s="106"/>
      <c r="W191" s="106"/>
      <c r="X191" s="106"/>
      <c r="Y191" s="106"/>
      <c r="Z191" s="106"/>
      <c r="AA191" s="106"/>
      <c r="AB191" s="106"/>
      <c r="AC191" s="106"/>
      <c r="AD191" s="106"/>
      <c r="AE191" s="1190"/>
      <c r="AF191" s="1190"/>
      <c r="AG191" s="1190"/>
      <c r="AH191" s="1190"/>
      <c r="AI191" s="1190"/>
      <c r="AJ191" s="1190"/>
      <c r="AK191" s="1190"/>
      <c r="AL191" s="1190"/>
      <c r="AM191" s="1190"/>
      <c r="AN191" s="1190"/>
      <c r="AO191" s="1190"/>
      <c r="AP191" s="1190"/>
      <c r="AQ191" s="1190"/>
      <c r="AR191" s="1190"/>
      <c r="AS191" s="1190"/>
      <c r="AT191" s="1190"/>
      <c r="AU191" s="1190"/>
      <c r="AV191" s="1190"/>
      <c r="AW191" s="1190"/>
      <c r="AX191" s="1190"/>
      <c r="AY191" s="1190"/>
      <c r="AZ191" s="1190"/>
      <c r="BA191" s="1190"/>
      <c r="BB191" s="1190"/>
      <c r="BC191" s="1190"/>
      <c r="BD191" s="1190"/>
      <c r="BE191" s="1190"/>
      <c r="BF191" s="1190"/>
      <c r="BG191" s="1190"/>
      <c r="BH191" s="1190"/>
      <c r="BI191" s="1190"/>
      <c r="BJ191" s="1190"/>
      <c r="BK191" s="1190"/>
      <c r="BL191" s="1190"/>
      <c r="BM191" s="1190"/>
      <c r="BN191" s="1160"/>
      <c r="BO191" s="1160"/>
      <c r="BP191" s="1160"/>
      <c r="BQ191" s="1160"/>
      <c r="BR191" s="1160"/>
      <c r="BS191" s="1160"/>
      <c r="BT191" s="1160"/>
      <c r="BU191" s="1160"/>
      <c r="BV191" s="1160"/>
      <c r="BW191" s="1160"/>
      <c r="CF191" s="1239" t="s">
        <v>12762</v>
      </c>
      <c r="CG191" s="1239" t="s">
        <v>12820</v>
      </c>
      <c r="CH191" s="1239" t="s">
        <v>12821</v>
      </c>
      <c r="DE191" t="s">
        <v>5816</v>
      </c>
      <c r="DF191" t="s">
        <v>15451</v>
      </c>
      <c r="DG191" t="s">
        <v>551</v>
      </c>
      <c r="DH191" t="s">
        <v>15452</v>
      </c>
      <c r="DI191" t="s">
        <v>7706</v>
      </c>
      <c r="DJ191" t="s">
        <v>15453</v>
      </c>
      <c r="DK191" t="s">
        <v>7705</v>
      </c>
      <c r="DL191" t="s">
        <v>15454</v>
      </c>
      <c r="DM191" t="s">
        <v>18183</v>
      </c>
      <c r="DN191" t="s">
        <v>18184</v>
      </c>
    </row>
    <row r="192" spans="11:118" ht="17.25">
      <c r="K192" s="29">
        <v>128</v>
      </c>
      <c r="L192" s="29" t="s">
        <v>1613</v>
      </c>
      <c r="V192" s="106"/>
      <c r="W192" s="106"/>
      <c r="X192" s="106"/>
      <c r="Y192" s="106"/>
      <c r="Z192" s="106"/>
      <c r="AA192" s="106"/>
      <c r="AB192" s="106"/>
      <c r="AC192" s="106"/>
      <c r="AD192" s="106"/>
      <c r="AE192" s="1190"/>
      <c r="AF192" s="1190"/>
      <c r="AG192" s="1190"/>
      <c r="AH192" s="1190"/>
      <c r="AI192" s="1190"/>
      <c r="AJ192" s="1190"/>
      <c r="AK192" s="1190"/>
      <c r="AL192" s="1190"/>
      <c r="AM192" s="1190"/>
      <c r="AN192" s="1190"/>
      <c r="AO192" s="1190"/>
      <c r="AP192" s="1190"/>
      <c r="AQ192" s="1190"/>
      <c r="AR192" s="1190"/>
      <c r="AS192" s="1190"/>
      <c r="AT192" s="1190"/>
      <c r="AU192" s="1190"/>
      <c r="AV192" s="1190"/>
      <c r="AW192" s="1190"/>
      <c r="AX192" s="1190"/>
      <c r="AY192" s="1190"/>
      <c r="AZ192" s="1190"/>
      <c r="BA192" s="1190"/>
      <c r="BB192" s="1190"/>
      <c r="BC192" s="1190"/>
      <c r="BD192" s="1190"/>
      <c r="BE192" s="1190"/>
      <c r="BF192" s="1190"/>
      <c r="BG192" s="1190"/>
      <c r="BH192" s="1190"/>
      <c r="BI192" s="1190"/>
      <c r="BJ192" s="1190"/>
      <c r="BK192" s="1190"/>
      <c r="BL192" s="1190"/>
      <c r="BM192" s="1190"/>
      <c r="BN192" s="1160"/>
      <c r="BO192" s="1160"/>
      <c r="BP192" s="1160"/>
      <c r="BQ192" s="1160"/>
      <c r="BR192" s="1160"/>
      <c r="BS192" s="1160"/>
      <c r="BT192" s="1160"/>
      <c r="BU192" s="1160"/>
      <c r="BV192" s="1160"/>
      <c r="BW192" s="1160"/>
      <c r="CF192" s="1239" t="s">
        <v>12764</v>
      </c>
      <c r="CG192" s="1239">
        <v>55</v>
      </c>
      <c r="CH192" s="1239" t="s">
        <v>7685</v>
      </c>
      <c r="DE192"/>
      <c r="DF192"/>
      <c r="DG192"/>
      <c r="DH192"/>
      <c r="DI192"/>
      <c r="DJ192"/>
      <c r="DK192"/>
      <c r="DL192"/>
      <c r="DM192"/>
      <c r="DN192"/>
    </row>
    <row r="193" spans="11:118" ht="17.25">
      <c r="K193" s="29">
        <v>129</v>
      </c>
      <c r="L193" s="29" t="s">
        <v>608</v>
      </c>
      <c r="V193" s="106"/>
      <c r="W193" s="106"/>
      <c r="X193" s="106"/>
      <c r="Y193" s="106"/>
      <c r="Z193" s="106"/>
      <c r="AA193" s="106"/>
      <c r="AB193" s="106"/>
      <c r="AC193" s="106"/>
      <c r="AD193" s="106"/>
      <c r="AE193" s="1190"/>
      <c r="AF193" s="1190"/>
      <c r="AG193" s="1190"/>
      <c r="AH193" s="1190"/>
      <c r="AI193" s="1190"/>
      <c r="AJ193" s="1190"/>
      <c r="AK193" s="1190"/>
      <c r="AL193" s="1190"/>
      <c r="AM193" s="1190"/>
      <c r="AN193" s="1190"/>
      <c r="AO193" s="1190"/>
      <c r="AP193" s="1190"/>
      <c r="AQ193" s="1190"/>
      <c r="AR193" s="1190"/>
      <c r="AS193" s="1190"/>
      <c r="AT193" s="1190"/>
      <c r="AU193" s="1190"/>
      <c r="AV193" s="1190"/>
      <c r="AW193" s="1190"/>
      <c r="AX193" s="1190"/>
      <c r="AY193" s="1190"/>
      <c r="AZ193" s="1190"/>
      <c r="BA193" s="1190"/>
      <c r="BB193" s="1190"/>
      <c r="BC193" s="1190"/>
      <c r="BD193" s="1190"/>
      <c r="BE193" s="1190"/>
      <c r="BF193" s="1190"/>
      <c r="BG193" s="1190"/>
      <c r="BH193" s="1190"/>
      <c r="BI193" s="1190"/>
      <c r="BJ193" s="1190"/>
      <c r="BK193" s="1190"/>
      <c r="BL193" s="1190"/>
      <c r="BM193" s="1190"/>
      <c r="BN193" s="1160"/>
      <c r="BO193" s="1160"/>
      <c r="BP193" s="1160"/>
      <c r="BQ193" s="1160"/>
      <c r="BR193" s="1160"/>
      <c r="BS193" s="1160"/>
      <c r="BT193" s="1160"/>
      <c r="BU193" s="1160"/>
      <c r="BV193" s="1160"/>
      <c r="BW193" s="1160"/>
      <c r="CF193" s="1239" t="s">
        <v>10015</v>
      </c>
      <c r="CG193" s="1239" t="s">
        <v>12748</v>
      </c>
      <c r="CH193" s="1239" t="s">
        <v>12706</v>
      </c>
      <c r="DE193">
        <v>1</v>
      </c>
      <c r="DF193" t="s">
        <v>15455</v>
      </c>
      <c r="DG193"/>
      <c r="DH193" t="s">
        <v>15456</v>
      </c>
      <c r="DI193"/>
      <c r="DJ193" t="s">
        <v>15457</v>
      </c>
      <c r="DK193"/>
      <c r="DL193" t="s">
        <v>15458</v>
      </c>
      <c r="DM193"/>
      <c r="DN193"/>
    </row>
    <row r="194" spans="11:118" ht="17.25">
      <c r="K194" s="29">
        <v>130</v>
      </c>
      <c r="L194" s="29" t="s">
        <v>609</v>
      </c>
      <c r="V194" s="106"/>
      <c r="W194" s="106"/>
      <c r="X194" s="106"/>
      <c r="Y194" s="106"/>
      <c r="Z194" s="106"/>
      <c r="AA194" s="106"/>
      <c r="AB194" s="106"/>
      <c r="AC194" s="106"/>
      <c r="AD194" s="106"/>
      <c r="AE194" s="1190"/>
      <c r="AF194" s="1190"/>
      <c r="AG194" s="1190"/>
      <c r="AH194" s="1190"/>
      <c r="AI194" s="1190"/>
      <c r="AJ194" s="1190"/>
      <c r="AK194" s="1190"/>
      <c r="AL194" s="1190"/>
      <c r="AM194" s="1190"/>
      <c r="AN194" s="1190"/>
      <c r="AO194" s="1190"/>
      <c r="AP194" s="1190"/>
      <c r="AQ194" s="1190"/>
      <c r="AR194" s="1190"/>
      <c r="AS194" s="1190"/>
      <c r="AT194" s="1190"/>
      <c r="AU194" s="1190"/>
      <c r="AV194" s="1190"/>
      <c r="AW194" s="1190"/>
      <c r="AX194" s="1190"/>
      <c r="AY194" s="1190"/>
      <c r="AZ194" s="1190"/>
      <c r="BA194" s="1190"/>
      <c r="BB194" s="1190"/>
      <c r="BC194" s="1190"/>
      <c r="BD194" s="1190"/>
      <c r="BE194" s="1190"/>
      <c r="BF194" s="1190"/>
      <c r="BG194" s="1190"/>
      <c r="BH194" s="1190"/>
      <c r="BI194" s="1190"/>
      <c r="BJ194" s="1190"/>
      <c r="BK194" s="1190"/>
      <c r="BL194" s="1190"/>
      <c r="BM194" s="1190"/>
      <c r="BN194" s="1160"/>
      <c r="BO194" s="1160"/>
      <c r="BP194" s="1160"/>
      <c r="BQ194" s="1160"/>
      <c r="BR194" s="1160"/>
      <c r="BS194" s="1160"/>
      <c r="BT194" s="1160"/>
      <c r="BU194" s="1160"/>
      <c r="BV194" s="1160"/>
      <c r="BW194" s="1160"/>
      <c r="CF194" s="1239" t="s">
        <v>4269</v>
      </c>
      <c r="CG194" s="1239" t="s">
        <v>12822</v>
      </c>
      <c r="CH194" s="1239" t="s">
        <v>12823</v>
      </c>
      <c r="DE194">
        <v>2</v>
      </c>
      <c r="DF194" t="s">
        <v>15459</v>
      </c>
      <c r="DG194"/>
      <c r="DH194" t="s">
        <v>15460</v>
      </c>
      <c r="DI194"/>
      <c r="DJ194" t="s">
        <v>15461</v>
      </c>
      <c r="DK194"/>
      <c r="DL194" t="s">
        <v>15462</v>
      </c>
      <c r="DM194"/>
      <c r="DN194"/>
    </row>
    <row r="195" spans="11:118" ht="17.25">
      <c r="K195" s="29">
        <v>131</v>
      </c>
      <c r="L195" s="29" t="s">
        <v>610</v>
      </c>
      <c r="V195" s="106"/>
      <c r="W195" s="106"/>
      <c r="X195" s="106"/>
      <c r="Y195" s="106"/>
      <c r="Z195" s="106"/>
      <c r="AA195" s="106"/>
      <c r="AB195" s="106"/>
      <c r="AC195" s="106"/>
      <c r="AD195" s="106"/>
      <c r="AE195" s="1190"/>
      <c r="AF195" s="1190"/>
      <c r="AG195" s="1190"/>
      <c r="AH195" s="1190"/>
      <c r="AI195" s="1190"/>
      <c r="AJ195" s="1190"/>
      <c r="AK195" s="1190"/>
      <c r="AL195" s="1190"/>
      <c r="AM195" s="1190"/>
      <c r="AN195" s="1190"/>
      <c r="AO195" s="1190"/>
      <c r="AP195" s="1190"/>
      <c r="AQ195" s="1190"/>
      <c r="AR195" s="1190"/>
      <c r="AS195" s="1190"/>
      <c r="AT195" s="1190"/>
      <c r="AU195" s="1190"/>
      <c r="AV195" s="1190"/>
      <c r="AW195" s="1190"/>
      <c r="AX195" s="1190"/>
      <c r="AY195" s="1190"/>
      <c r="AZ195" s="1190"/>
      <c r="BA195" s="1190"/>
      <c r="BB195" s="1190"/>
      <c r="BC195" s="1190"/>
      <c r="BD195" s="1190"/>
      <c r="BE195" s="1190"/>
      <c r="BF195" s="1190"/>
      <c r="BG195" s="1190"/>
      <c r="BH195" s="1190"/>
      <c r="BI195" s="1190"/>
      <c r="BJ195" s="1190"/>
      <c r="BK195" s="1190"/>
      <c r="BL195" s="1190"/>
      <c r="BM195" s="1190"/>
      <c r="BN195" s="1160"/>
      <c r="BO195" s="1160"/>
      <c r="BP195" s="1160"/>
      <c r="BQ195" s="1160"/>
      <c r="BR195" s="1160"/>
      <c r="BS195" s="1160"/>
      <c r="BT195" s="1160"/>
      <c r="BU195" s="1160"/>
      <c r="BV195" s="1160"/>
      <c r="BW195" s="1160"/>
      <c r="CF195" s="1239" t="s">
        <v>3957</v>
      </c>
      <c r="CG195" s="1239" t="s">
        <v>12824</v>
      </c>
      <c r="CH195" s="1239" t="s">
        <v>12825</v>
      </c>
      <c r="DE195">
        <v>3</v>
      </c>
      <c r="DF195" t="s">
        <v>15463</v>
      </c>
      <c r="DG195"/>
      <c r="DH195" t="s">
        <v>15464</v>
      </c>
      <c r="DI195"/>
      <c r="DJ195" t="s">
        <v>15465</v>
      </c>
      <c r="DK195"/>
      <c r="DL195" t="s">
        <v>15466</v>
      </c>
      <c r="DM195"/>
      <c r="DN195"/>
    </row>
    <row r="196" spans="11:118" ht="17.25">
      <c r="K196" s="29">
        <v>132</v>
      </c>
      <c r="L196" s="29" t="s">
        <v>1614</v>
      </c>
      <c r="V196" s="106"/>
      <c r="W196" s="106"/>
      <c r="X196" s="106"/>
      <c r="Y196" s="106"/>
      <c r="Z196" s="106"/>
      <c r="AA196" s="106"/>
      <c r="AB196" s="106"/>
      <c r="AC196" s="106"/>
      <c r="AD196" s="106"/>
      <c r="AE196" s="1190"/>
      <c r="AF196" s="1190"/>
      <c r="AG196" s="1190"/>
      <c r="AH196" s="1190"/>
      <c r="AI196" s="1190"/>
      <c r="AJ196" s="1190"/>
      <c r="AK196" s="1190"/>
      <c r="AL196" s="1190"/>
      <c r="AM196" s="1190"/>
      <c r="AN196" s="1190"/>
      <c r="AO196" s="1190"/>
      <c r="AP196" s="1190"/>
      <c r="AQ196" s="1190"/>
      <c r="AR196" s="1190"/>
      <c r="AS196" s="1190"/>
      <c r="AT196" s="1190"/>
      <c r="AU196" s="1190"/>
      <c r="AV196" s="1190"/>
      <c r="AW196" s="1190"/>
      <c r="AX196" s="1190"/>
      <c r="AY196" s="1190"/>
      <c r="AZ196" s="1190"/>
      <c r="BA196" s="1190"/>
      <c r="BB196" s="1190"/>
      <c r="BC196" s="1190"/>
      <c r="BD196" s="1190"/>
      <c r="BE196" s="1190"/>
      <c r="BF196" s="1190"/>
      <c r="BG196" s="1190"/>
      <c r="BH196" s="1190"/>
      <c r="BI196" s="1190"/>
      <c r="BJ196" s="1190"/>
      <c r="BK196" s="1190"/>
      <c r="BL196" s="1190"/>
      <c r="BM196" s="1190"/>
      <c r="BN196" s="1160"/>
      <c r="BO196" s="1160"/>
      <c r="BP196" s="1160"/>
      <c r="BQ196" s="1160"/>
      <c r="BR196" s="1160"/>
      <c r="BS196" s="1160"/>
      <c r="BT196" s="1160"/>
      <c r="BU196" s="1160"/>
      <c r="BV196" s="1160"/>
      <c r="BW196" s="1160"/>
      <c r="CF196" s="1239" t="s">
        <v>3580</v>
      </c>
      <c r="CG196" s="1239" t="s">
        <v>12826</v>
      </c>
      <c r="CH196" s="1239" t="s">
        <v>9145</v>
      </c>
      <c r="DE196">
        <v>4</v>
      </c>
      <c r="DF196" t="s">
        <v>15467</v>
      </c>
      <c r="DG196"/>
      <c r="DH196" t="s">
        <v>15468</v>
      </c>
      <c r="DI196"/>
      <c r="DJ196" t="s">
        <v>15469</v>
      </c>
      <c r="DK196"/>
      <c r="DL196" t="s">
        <v>15470</v>
      </c>
      <c r="DM196"/>
      <c r="DN196"/>
    </row>
    <row r="197" spans="11:118" ht="17.25">
      <c r="K197" s="29">
        <v>133</v>
      </c>
      <c r="L197" s="29" t="s">
        <v>611</v>
      </c>
      <c r="V197" s="106"/>
      <c r="W197" s="106"/>
      <c r="X197" s="106"/>
      <c r="Y197" s="106"/>
      <c r="Z197" s="106"/>
      <c r="AA197" s="106"/>
      <c r="AB197" s="106"/>
      <c r="AC197" s="106"/>
      <c r="AD197" s="106"/>
      <c r="AE197" s="1190"/>
      <c r="AF197" s="1190"/>
      <c r="AG197" s="1190"/>
      <c r="AH197" s="1190"/>
      <c r="AI197" s="1190"/>
      <c r="AJ197" s="1190"/>
      <c r="AK197" s="1190"/>
      <c r="AL197" s="1190"/>
      <c r="AM197" s="1190"/>
      <c r="AN197" s="1190"/>
      <c r="AO197" s="1190"/>
      <c r="AP197" s="1190"/>
      <c r="AQ197" s="1190"/>
      <c r="AR197" s="1190"/>
      <c r="AS197" s="1190"/>
      <c r="AT197" s="1190"/>
      <c r="AU197" s="1190"/>
      <c r="AV197" s="1190"/>
      <c r="AW197" s="1190"/>
      <c r="AX197" s="1190"/>
      <c r="AY197" s="1190"/>
      <c r="AZ197" s="1190"/>
      <c r="BA197" s="1190"/>
      <c r="BB197" s="1190"/>
      <c r="BC197" s="1190"/>
      <c r="BD197" s="1190"/>
      <c r="BE197" s="1190"/>
      <c r="BF197" s="1190"/>
      <c r="BG197" s="1190"/>
      <c r="BH197" s="1190"/>
      <c r="BI197" s="1190"/>
      <c r="BJ197" s="1190"/>
      <c r="BK197" s="1190"/>
      <c r="BL197" s="1190"/>
      <c r="BM197" s="1190"/>
      <c r="BN197" s="1160"/>
      <c r="BO197" s="1160"/>
      <c r="BP197" s="1160"/>
      <c r="BQ197" s="1160"/>
      <c r="BR197" s="1160"/>
      <c r="BS197" s="1160"/>
      <c r="BT197" s="1160"/>
      <c r="BU197" s="1160"/>
      <c r="BV197" s="1160"/>
      <c r="BW197" s="1160"/>
      <c r="CF197" s="1239" t="s">
        <v>4104</v>
      </c>
      <c r="CG197" s="1239" t="s">
        <v>12827</v>
      </c>
      <c r="CH197" s="1239" t="s">
        <v>12828</v>
      </c>
      <c r="DE197">
        <v>5</v>
      </c>
      <c r="DF197" t="s">
        <v>15471</v>
      </c>
      <c r="DG197"/>
      <c r="DH197" t="s">
        <v>15472</v>
      </c>
      <c r="DI197"/>
      <c r="DJ197" t="s">
        <v>15473</v>
      </c>
      <c r="DK197"/>
      <c r="DL197" t="s">
        <v>15474</v>
      </c>
      <c r="DM197"/>
      <c r="DN197"/>
    </row>
    <row r="198" spans="11:118" ht="17.25">
      <c r="K198" s="29">
        <v>134</v>
      </c>
      <c r="L198" s="29" t="s">
        <v>410</v>
      </c>
      <c r="V198" s="106"/>
      <c r="W198" s="106"/>
      <c r="X198" s="106"/>
      <c r="Y198" s="106"/>
      <c r="Z198" s="106"/>
      <c r="AA198" s="106"/>
      <c r="AB198" s="106"/>
      <c r="AC198" s="106"/>
      <c r="AD198" s="106"/>
      <c r="AE198" s="1190"/>
      <c r="AF198" s="1190"/>
      <c r="AG198" s="1190"/>
      <c r="AH198" s="1190"/>
      <c r="AI198" s="1190"/>
      <c r="AJ198" s="1190"/>
      <c r="AK198" s="1190"/>
      <c r="AL198" s="1190"/>
      <c r="AM198" s="1190"/>
      <c r="AN198" s="1190"/>
      <c r="AO198" s="1190"/>
      <c r="AP198" s="1190"/>
      <c r="AQ198" s="1190"/>
      <c r="AR198" s="1190"/>
      <c r="AS198" s="1190"/>
      <c r="AT198" s="1190"/>
      <c r="AU198" s="1190"/>
      <c r="AV198" s="1190"/>
      <c r="AW198" s="1190"/>
      <c r="AX198" s="1190"/>
      <c r="AY198" s="1190"/>
      <c r="AZ198" s="1190"/>
      <c r="BA198" s="1190"/>
      <c r="BB198" s="1190"/>
      <c r="BC198" s="1190"/>
      <c r="BD198" s="1190"/>
      <c r="BE198" s="1190"/>
      <c r="BF198" s="1190"/>
      <c r="BG198" s="1190"/>
      <c r="BH198" s="1190"/>
      <c r="BI198" s="1190"/>
      <c r="BJ198" s="1190"/>
      <c r="BK198" s="1190"/>
      <c r="BL198" s="1190"/>
      <c r="BM198" s="1190"/>
      <c r="BN198" s="1160"/>
      <c r="BO198" s="1160"/>
      <c r="BP198" s="1160"/>
      <c r="BQ198" s="1160"/>
      <c r="BR198" s="1160"/>
      <c r="BS198" s="1160"/>
      <c r="BT198" s="1160"/>
      <c r="BU198" s="1160"/>
      <c r="BV198" s="1160"/>
      <c r="BW198" s="1160"/>
      <c r="CF198" s="1239" t="s">
        <v>4281</v>
      </c>
      <c r="CG198" s="1239" t="s">
        <v>12775</v>
      </c>
      <c r="CH198" s="1239" t="s">
        <v>12829</v>
      </c>
      <c r="DE198">
        <v>6</v>
      </c>
      <c r="DF198" t="s">
        <v>15475</v>
      </c>
      <c r="DG198"/>
      <c r="DH198" t="s">
        <v>15476</v>
      </c>
      <c r="DI198"/>
      <c r="DJ198" t="s">
        <v>15477</v>
      </c>
      <c r="DK198"/>
      <c r="DL198" t="s">
        <v>15478</v>
      </c>
      <c r="DM198"/>
      <c r="DN198"/>
    </row>
    <row r="199" spans="11:118" ht="17.25">
      <c r="K199" s="29">
        <v>135</v>
      </c>
      <c r="L199" s="29" t="s">
        <v>1638</v>
      </c>
      <c r="V199" s="106"/>
      <c r="W199" s="106"/>
      <c r="X199" s="106"/>
      <c r="Y199" s="106"/>
      <c r="Z199" s="106"/>
      <c r="AA199" s="106"/>
      <c r="AB199" s="106"/>
      <c r="AC199" s="106"/>
      <c r="AD199" s="106"/>
      <c r="AE199" s="1190"/>
      <c r="AF199" s="1190"/>
      <c r="AG199" s="1190"/>
      <c r="AH199" s="1190"/>
      <c r="AI199" s="1190"/>
      <c r="AJ199" s="1190"/>
      <c r="AK199" s="1190"/>
      <c r="AL199" s="1190"/>
      <c r="AM199" s="1190"/>
      <c r="AN199" s="1190"/>
      <c r="AO199" s="1190"/>
      <c r="AP199" s="1190"/>
      <c r="AQ199" s="1190"/>
      <c r="AR199" s="1190"/>
      <c r="AS199" s="1190"/>
      <c r="AT199" s="1190"/>
      <c r="AU199" s="1190"/>
      <c r="AV199" s="1190"/>
      <c r="AW199" s="1190"/>
      <c r="AX199" s="1190"/>
      <c r="AY199" s="1190"/>
      <c r="AZ199" s="1190"/>
      <c r="BA199" s="1190"/>
      <c r="BB199" s="1190"/>
      <c r="BC199" s="1190"/>
      <c r="BD199" s="1190"/>
      <c r="BE199" s="1190"/>
      <c r="BF199" s="1190"/>
      <c r="BG199" s="1190"/>
      <c r="BH199" s="1190"/>
      <c r="BI199" s="1190"/>
      <c r="BJ199" s="1190"/>
      <c r="BK199" s="1190"/>
      <c r="BL199" s="1190"/>
      <c r="BM199" s="1190"/>
      <c r="BN199" s="1160"/>
      <c r="BO199" s="1160"/>
      <c r="BP199" s="1160"/>
      <c r="BQ199" s="1160"/>
      <c r="BR199" s="1160"/>
      <c r="BS199" s="1160"/>
      <c r="BT199" s="1160"/>
      <c r="BU199" s="1160"/>
      <c r="BV199" s="1160"/>
      <c r="BW199" s="1160"/>
      <c r="CF199" s="1239" t="s">
        <v>5081</v>
      </c>
      <c r="CG199" s="1239" t="s">
        <v>12830</v>
      </c>
      <c r="CH199" s="1239" t="s">
        <v>12831</v>
      </c>
      <c r="DE199">
        <v>7</v>
      </c>
      <c r="DF199" t="s">
        <v>15479</v>
      </c>
      <c r="DG199"/>
      <c r="DH199" t="s">
        <v>15480</v>
      </c>
      <c r="DI199"/>
      <c r="DJ199" t="s">
        <v>15481</v>
      </c>
      <c r="DK199"/>
      <c r="DL199" t="s">
        <v>15482</v>
      </c>
      <c r="DM199"/>
      <c r="DN199"/>
    </row>
    <row r="200" spans="11:118" ht="17.25">
      <c r="K200" s="29">
        <v>136</v>
      </c>
      <c r="L200" s="29" t="s">
        <v>612</v>
      </c>
      <c r="V200" s="106"/>
      <c r="W200" s="106"/>
      <c r="X200" s="106"/>
      <c r="Y200" s="106"/>
      <c r="Z200" s="106"/>
      <c r="AA200" s="106"/>
      <c r="AB200" s="106"/>
      <c r="AC200" s="106"/>
      <c r="AD200" s="106"/>
      <c r="AE200" s="1190"/>
      <c r="AF200" s="1190"/>
      <c r="AG200" s="1190"/>
      <c r="AH200" s="1190"/>
      <c r="AI200" s="1190"/>
      <c r="AJ200" s="1190"/>
      <c r="AK200" s="1190"/>
      <c r="AL200" s="1190"/>
      <c r="AM200" s="1190"/>
      <c r="AN200" s="1190"/>
      <c r="AO200" s="1190"/>
      <c r="AP200" s="1190"/>
      <c r="AQ200" s="1190"/>
      <c r="AR200" s="1190"/>
      <c r="AS200" s="1190"/>
      <c r="AT200" s="1190"/>
      <c r="AU200" s="1190"/>
      <c r="AV200" s="1190"/>
      <c r="AW200" s="1190"/>
      <c r="AX200" s="1190"/>
      <c r="AY200" s="1190"/>
      <c r="AZ200" s="1190"/>
      <c r="BA200" s="1190"/>
      <c r="BB200" s="1190"/>
      <c r="BC200" s="1190"/>
      <c r="BD200" s="1190"/>
      <c r="BE200" s="1190"/>
      <c r="BF200" s="1190"/>
      <c r="BG200" s="1190"/>
      <c r="BH200" s="1190"/>
      <c r="BI200" s="1190"/>
      <c r="BJ200" s="1190"/>
      <c r="BK200" s="1190"/>
      <c r="BL200" s="1190"/>
      <c r="BM200" s="1190"/>
      <c r="BN200" s="1160"/>
      <c r="BO200" s="1160"/>
      <c r="BP200" s="1160"/>
      <c r="BQ200" s="1160"/>
      <c r="BR200" s="1160"/>
      <c r="BS200" s="1160"/>
      <c r="BT200" s="1160"/>
      <c r="BU200" s="1160"/>
      <c r="BV200" s="1160"/>
      <c r="BW200" s="1160"/>
      <c r="CF200" s="1239" t="s">
        <v>3609</v>
      </c>
      <c r="CG200" s="1239" t="s">
        <v>12804</v>
      </c>
      <c r="CH200" s="1239" t="s">
        <v>12802</v>
      </c>
      <c r="DE200">
        <v>8</v>
      </c>
      <c r="DF200" t="s">
        <v>15483</v>
      </c>
      <c r="DG200"/>
      <c r="DH200" t="s">
        <v>15484</v>
      </c>
      <c r="DI200"/>
      <c r="DJ200" t="s">
        <v>15485</v>
      </c>
      <c r="DK200"/>
      <c r="DL200" t="s">
        <v>15486</v>
      </c>
      <c r="DM200"/>
      <c r="DN200"/>
    </row>
    <row r="201" spans="11:118" ht="17.25">
      <c r="K201" s="29">
        <v>137</v>
      </c>
      <c r="L201" s="29" t="s">
        <v>613</v>
      </c>
      <c r="V201" s="106"/>
      <c r="W201" s="106"/>
      <c r="X201" s="106"/>
      <c r="Y201" s="106"/>
      <c r="Z201" s="106"/>
      <c r="AA201" s="106"/>
      <c r="AB201" s="106"/>
      <c r="AC201" s="106"/>
      <c r="AD201" s="106"/>
      <c r="AE201" s="1190"/>
      <c r="AF201" s="1190"/>
      <c r="AG201" s="1190"/>
      <c r="AH201" s="1190"/>
      <c r="AI201" s="1190"/>
      <c r="AJ201" s="1190"/>
      <c r="AK201" s="1190"/>
      <c r="AL201" s="1190"/>
      <c r="AM201" s="1190"/>
      <c r="AN201" s="1190"/>
      <c r="AO201" s="1190"/>
      <c r="AP201" s="1190"/>
      <c r="AQ201" s="1190"/>
      <c r="AR201" s="1190"/>
      <c r="AS201" s="1190"/>
      <c r="AT201" s="1190"/>
      <c r="AU201" s="1190"/>
      <c r="AV201" s="1190"/>
      <c r="AW201" s="1190"/>
      <c r="AX201" s="1190"/>
      <c r="AY201" s="1190"/>
      <c r="AZ201" s="1190"/>
      <c r="BA201" s="1190"/>
      <c r="BB201" s="1190"/>
      <c r="BC201" s="1190"/>
      <c r="BD201" s="1190"/>
      <c r="BE201" s="1190"/>
      <c r="BF201" s="1190"/>
      <c r="BG201" s="1190"/>
      <c r="BH201" s="1190"/>
      <c r="BI201" s="1190"/>
      <c r="BJ201" s="1190"/>
      <c r="BK201" s="1190"/>
      <c r="BL201" s="1190"/>
      <c r="BM201" s="1190"/>
      <c r="BN201" s="1160"/>
      <c r="BO201" s="1160"/>
      <c r="BP201" s="1160"/>
      <c r="BQ201" s="1160"/>
      <c r="BR201" s="1160"/>
      <c r="BS201" s="1160"/>
      <c r="BT201" s="1160"/>
      <c r="BU201" s="1160"/>
      <c r="BV201" s="1160"/>
      <c r="BW201" s="1160"/>
      <c r="CF201" s="1239" t="s">
        <v>12594</v>
      </c>
      <c r="CG201" s="1239">
        <v>90</v>
      </c>
      <c r="CH201" s="1239" t="s">
        <v>12803</v>
      </c>
      <c r="DE201">
        <v>9</v>
      </c>
      <c r="DF201" t="s">
        <v>15487</v>
      </c>
      <c r="DG201"/>
      <c r="DH201" t="s">
        <v>15488</v>
      </c>
      <c r="DI201"/>
      <c r="DJ201" t="s">
        <v>15489</v>
      </c>
      <c r="DK201"/>
      <c r="DL201" t="s">
        <v>15490</v>
      </c>
      <c r="DM201"/>
      <c r="DN201"/>
    </row>
    <row r="202" spans="11:118" ht="17.25">
      <c r="K202" s="29">
        <v>138</v>
      </c>
      <c r="L202" s="29" t="s">
        <v>413</v>
      </c>
      <c r="V202" s="106"/>
      <c r="W202" s="106"/>
      <c r="X202" s="106"/>
      <c r="Y202" s="106"/>
      <c r="Z202" s="106"/>
      <c r="AA202" s="106"/>
      <c r="AB202" s="106"/>
      <c r="AC202" s="106"/>
      <c r="AD202" s="106"/>
      <c r="AE202" s="1190"/>
      <c r="AF202" s="1190"/>
      <c r="AG202" s="1190"/>
      <c r="AH202" s="1190"/>
      <c r="AI202" s="1190"/>
      <c r="AJ202" s="1190"/>
      <c r="AK202" s="1190"/>
      <c r="AL202" s="1190"/>
      <c r="AM202" s="1190"/>
      <c r="AN202" s="1190"/>
      <c r="AO202" s="1190"/>
      <c r="AP202" s="1190"/>
      <c r="AQ202" s="1190"/>
      <c r="AR202" s="1190"/>
      <c r="AS202" s="1190"/>
      <c r="AT202" s="1190"/>
      <c r="AU202" s="1190"/>
      <c r="AV202" s="1190"/>
      <c r="AW202" s="1190"/>
      <c r="AX202" s="1190"/>
      <c r="AY202" s="1190"/>
      <c r="AZ202" s="1190"/>
      <c r="BA202" s="1190"/>
      <c r="BB202" s="1190"/>
      <c r="BC202" s="1190"/>
      <c r="BD202" s="1190"/>
      <c r="BE202" s="1190"/>
      <c r="BF202" s="1190"/>
      <c r="BG202" s="1190"/>
      <c r="BH202" s="1190"/>
      <c r="BI202" s="1190"/>
      <c r="BJ202" s="1190"/>
      <c r="BK202" s="1190"/>
      <c r="BL202" s="1190"/>
      <c r="BM202" s="1190"/>
      <c r="BN202" s="1160"/>
      <c r="BO202" s="1160"/>
      <c r="BP202" s="1160"/>
      <c r="BQ202" s="1160"/>
      <c r="BR202" s="1160"/>
      <c r="BS202" s="1160"/>
      <c r="BT202" s="1160"/>
      <c r="BU202" s="1160"/>
      <c r="BV202" s="1160"/>
      <c r="BW202" s="1160"/>
      <c r="CF202" s="1239" t="s">
        <v>12776</v>
      </c>
      <c r="CG202" s="1239">
        <v>91</v>
      </c>
      <c r="CH202" s="1239" t="s">
        <v>12804</v>
      </c>
      <c r="DE202">
        <v>10</v>
      </c>
      <c r="DF202" t="s">
        <v>15491</v>
      </c>
      <c r="DG202"/>
      <c r="DH202" t="s">
        <v>15492</v>
      </c>
      <c r="DI202"/>
      <c r="DJ202" t="s">
        <v>15493</v>
      </c>
      <c r="DK202"/>
      <c r="DL202" t="s">
        <v>15494</v>
      </c>
      <c r="DM202"/>
      <c r="DN202"/>
    </row>
    <row r="203" spans="11:118" ht="17.25">
      <c r="K203" s="29">
        <v>139</v>
      </c>
      <c r="L203" s="29" t="s">
        <v>415</v>
      </c>
      <c r="V203" s="106"/>
      <c r="W203" s="106"/>
      <c r="X203" s="106"/>
      <c r="Y203" s="106"/>
      <c r="Z203" s="106"/>
      <c r="AA203" s="106"/>
      <c r="AB203" s="106"/>
      <c r="AC203" s="106"/>
      <c r="AD203" s="106"/>
      <c r="AE203" s="1190"/>
      <c r="AF203" s="1190"/>
      <c r="AG203" s="1190"/>
      <c r="AH203" s="1190"/>
      <c r="AI203" s="1190"/>
      <c r="AJ203" s="1190"/>
      <c r="AK203" s="1190"/>
      <c r="AL203" s="1190"/>
      <c r="AM203" s="1190"/>
      <c r="AN203" s="1190"/>
      <c r="AO203" s="1190"/>
      <c r="AP203" s="1190"/>
      <c r="AQ203" s="1190"/>
      <c r="AR203" s="1190"/>
      <c r="AS203" s="1190"/>
      <c r="AT203" s="1190"/>
      <c r="AU203" s="1190"/>
      <c r="AV203" s="1190"/>
      <c r="AW203" s="1190"/>
      <c r="AX203" s="1190"/>
      <c r="AY203" s="1190"/>
      <c r="AZ203" s="1190"/>
      <c r="BA203" s="1190"/>
      <c r="BB203" s="1190"/>
      <c r="BC203" s="1190"/>
      <c r="BD203" s="1190"/>
      <c r="BE203" s="1190"/>
      <c r="BF203" s="1190"/>
      <c r="BG203" s="1190"/>
      <c r="BH203" s="1190"/>
      <c r="BI203" s="1190"/>
      <c r="BJ203" s="1190"/>
      <c r="BK203" s="1190"/>
      <c r="BL203" s="1190"/>
      <c r="BM203" s="1190"/>
      <c r="BN203" s="1160"/>
      <c r="BO203" s="1160"/>
      <c r="BP203" s="1160"/>
      <c r="BQ203" s="1160"/>
      <c r="BR203" s="1160"/>
      <c r="BS203" s="1160"/>
      <c r="BT203" s="1160"/>
      <c r="BU203" s="1160"/>
      <c r="BV203" s="1160"/>
      <c r="BW203" s="1160"/>
      <c r="CF203" s="1239" t="s">
        <v>12777</v>
      </c>
      <c r="CG203" s="1239" t="s">
        <v>7685</v>
      </c>
      <c r="CH203" s="1239">
        <v>90</v>
      </c>
      <c r="DF203" s="2" t="str" cm="1">
        <f t="array" aca="1" ref="DF203" ca="1">INDEX(DF193:DG202,RANDBETWEEN(1,10),1)</f>
        <v>A Child</v>
      </c>
      <c r="DH203" s="2" t="str" cm="1">
        <f t="array" aca="1" ref="DH203" ca="1">INDEX(DH193:DI202,RANDBETWEEN(1,10),1)</f>
        <v>Disappeared for 3 days</v>
      </c>
      <c r="DJ203" s="2" t="str" cm="1">
        <f t="array" aca="1" ref="DJ203" ca="1">INDEX(DJ193:DK202,RANDBETWEEN(1,10),1)</f>
        <v>A new disease</v>
      </c>
      <c r="DL203" s="2" t="str" cm="1">
        <f t="array" aca="1" ref="DL203" ca="1">INDEX(DL193:DM202,RANDBETWEEN(1,10),1)</f>
        <v>The moon might fracture!</v>
      </c>
    </row>
    <row r="204" spans="11:118" ht="17.25">
      <c r="K204" s="29">
        <v>140</v>
      </c>
      <c r="L204" s="29" t="s">
        <v>416</v>
      </c>
      <c r="V204" s="106"/>
      <c r="W204" s="106"/>
      <c r="X204" s="106"/>
      <c r="Y204" s="106"/>
      <c r="Z204" s="106"/>
      <c r="AA204" s="106"/>
      <c r="AB204" s="106"/>
      <c r="AC204" s="106"/>
      <c r="AD204" s="106"/>
      <c r="AE204" s="1190"/>
      <c r="AF204" s="1190"/>
      <c r="AG204" s="1190"/>
      <c r="AH204" s="1190"/>
      <c r="AI204" s="1190"/>
      <c r="AJ204" s="1190"/>
      <c r="AK204" s="1190"/>
      <c r="AL204" s="1190"/>
      <c r="AM204" s="1190"/>
      <c r="AN204" s="1190"/>
      <c r="AO204" s="1190"/>
      <c r="AP204" s="1190"/>
      <c r="AQ204" s="1190"/>
      <c r="AR204" s="1190"/>
      <c r="AS204" s="1190"/>
      <c r="AT204" s="1190"/>
      <c r="AU204" s="1190"/>
      <c r="AV204" s="1190"/>
      <c r="AW204" s="1190"/>
      <c r="AX204" s="1190"/>
      <c r="AY204" s="1190"/>
      <c r="AZ204" s="1190"/>
      <c r="BA204" s="1190"/>
      <c r="BB204" s="1190"/>
      <c r="BC204" s="1190"/>
      <c r="BD204" s="1190"/>
      <c r="BE204" s="1190"/>
      <c r="BF204" s="1190"/>
      <c r="BG204" s="1190"/>
      <c r="BH204" s="1190"/>
      <c r="BI204" s="1190"/>
      <c r="BJ204" s="1190"/>
      <c r="BK204" s="1190"/>
      <c r="BL204" s="1190"/>
      <c r="BM204" s="1190"/>
      <c r="BN204" s="1190"/>
      <c r="BO204" s="1190"/>
      <c r="CF204" s="1239" t="s">
        <v>12778</v>
      </c>
      <c r="CG204" s="1239">
        <v>92</v>
      </c>
      <c r="CH204" s="1239">
        <v>91</v>
      </c>
    </row>
    <row r="205" spans="11:118" ht="17.25">
      <c r="K205" s="29">
        <v>141</v>
      </c>
      <c r="L205" s="29" t="s">
        <v>109</v>
      </c>
      <c r="V205" s="106"/>
      <c r="W205" s="106"/>
      <c r="X205" s="106"/>
      <c r="Y205" s="106"/>
      <c r="Z205" s="106"/>
      <c r="AA205" s="106"/>
      <c r="AB205" s="106"/>
      <c r="AC205" s="106"/>
      <c r="AD205" s="106"/>
      <c r="AE205" s="1190"/>
      <c r="AF205" s="1190"/>
      <c r="AG205" s="1190"/>
      <c r="AH205" s="1190"/>
      <c r="AI205" s="1190"/>
      <c r="AJ205" s="1190"/>
      <c r="AK205" s="1190"/>
      <c r="AL205" s="1190"/>
      <c r="AM205" s="1190"/>
      <c r="AN205" s="1190"/>
      <c r="AO205" s="1190"/>
      <c r="AP205" s="1190"/>
      <c r="AQ205" s="1190"/>
      <c r="AR205" s="1190"/>
      <c r="AS205" s="1190"/>
      <c r="AT205" s="1190"/>
      <c r="AU205" s="1190"/>
      <c r="AV205" s="1190"/>
      <c r="AW205" s="1190"/>
      <c r="AX205" s="1190"/>
      <c r="AY205" s="1190"/>
      <c r="AZ205" s="1190"/>
      <c r="BA205" s="1190"/>
      <c r="BB205" s="1190"/>
      <c r="BC205" s="1190"/>
      <c r="BD205" s="1190"/>
      <c r="BE205" s="1190"/>
      <c r="BF205" s="1190"/>
      <c r="BG205" s="1190"/>
      <c r="BH205" s="1190"/>
      <c r="BI205" s="1190"/>
      <c r="BJ205" s="1190"/>
      <c r="BK205" s="1190"/>
      <c r="BL205" s="1190"/>
      <c r="BM205" s="1190"/>
      <c r="BN205" s="1190"/>
      <c r="BO205" s="1190"/>
      <c r="CF205" s="1239" t="s">
        <v>5181</v>
      </c>
      <c r="CG205" s="1239">
        <v>93</v>
      </c>
      <c r="CH205" s="1239">
        <v>92</v>
      </c>
    </row>
    <row r="206" spans="11:118" ht="17.25">
      <c r="K206" s="29">
        <v>142</v>
      </c>
      <c r="L206" s="29" t="s">
        <v>1615</v>
      </c>
      <c r="V206" s="106"/>
      <c r="W206" s="106"/>
      <c r="X206" s="106"/>
      <c r="Y206" s="106"/>
      <c r="Z206" s="106"/>
      <c r="AA206" s="106"/>
      <c r="AB206" s="106"/>
      <c r="AC206" s="106"/>
      <c r="AD206" s="106"/>
      <c r="AE206" s="1190"/>
      <c r="AF206" s="1190"/>
      <c r="AG206" s="1190"/>
      <c r="AH206" s="1190"/>
      <c r="AI206" s="1190"/>
      <c r="AJ206" s="1190"/>
      <c r="AK206" s="1190"/>
      <c r="AL206" s="1190"/>
      <c r="AM206" s="1190"/>
      <c r="AN206" s="1190"/>
      <c r="AO206" s="1190"/>
      <c r="AP206" s="1190"/>
      <c r="AQ206" s="1190"/>
      <c r="AR206" s="1190"/>
      <c r="AS206" s="1190"/>
      <c r="AT206" s="1190"/>
      <c r="AU206" s="1190"/>
      <c r="AV206" s="1190"/>
      <c r="AW206" s="1190"/>
      <c r="AX206" s="1190"/>
      <c r="AY206" s="1190"/>
      <c r="AZ206" s="1190"/>
      <c r="BA206" s="1190"/>
      <c r="BB206" s="1190"/>
      <c r="BC206" s="1190"/>
      <c r="BD206" s="1190"/>
      <c r="BE206" s="1190"/>
      <c r="BF206" s="1190"/>
      <c r="BG206" s="1190"/>
      <c r="BH206" s="1190"/>
      <c r="BI206" s="1190"/>
      <c r="BJ206" s="1190"/>
      <c r="BK206" s="1190"/>
      <c r="BL206" s="1190"/>
      <c r="BM206" s="1190"/>
      <c r="BN206" s="1190"/>
      <c r="BO206" s="1190"/>
      <c r="CF206" s="1239" t="s">
        <v>5032</v>
      </c>
      <c r="CG206" s="1239">
        <v>94</v>
      </c>
      <c r="CH206" s="1239">
        <v>93</v>
      </c>
    </row>
    <row r="207" spans="11:118" ht="17.25">
      <c r="K207" s="29">
        <v>143</v>
      </c>
      <c r="L207" s="29" t="s">
        <v>1616</v>
      </c>
      <c r="V207" s="106"/>
      <c r="W207" s="106"/>
      <c r="X207" s="106"/>
      <c r="Y207" s="106"/>
      <c r="Z207" s="106"/>
      <c r="AA207" s="106"/>
      <c r="AB207" s="106"/>
      <c r="AC207" s="106"/>
      <c r="AD207" s="106"/>
      <c r="AE207" s="1190"/>
      <c r="AF207" s="1190"/>
      <c r="AG207" s="1190"/>
      <c r="AH207" s="1190"/>
      <c r="AI207" s="1190"/>
      <c r="AJ207" s="1190"/>
      <c r="AK207" s="1190"/>
      <c r="AL207" s="1190"/>
      <c r="AM207" s="1190"/>
      <c r="AN207" s="1190"/>
      <c r="AO207" s="1190"/>
      <c r="AP207" s="1190"/>
      <c r="AQ207" s="1190"/>
      <c r="AR207" s="1190"/>
      <c r="AS207" s="1190"/>
      <c r="AT207" s="1190"/>
      <c r="AU207" s="1190"/>
      <c r="AV207" s="1190"/>
      <c r="AW207" s="1190"/>
      <c r="AX207" s="1190"/>
      <c r="AY207" s="1190"/>
      <c r="AZ207" s="1190"/>
      <c r="BA207" s="1190"/>
      <c r="BB207" s="1190"/>
      <c r="BC207" s="1190"/>
      <c r="BD207" s="1190"/>
      <c r="BE207" s="1190"/>
      <c r="BF207" s="1190"/>
      <c r="BG207" s="1190"/>
      <c r="BH207" s="1190"/>
      <c r="BI207" s="1190"/>
      <c r="BJ207" s="1190"/>
      <c r="BK207" s="1190"/>
      <c r="BL207" s="1190"/>
      <c r="BM207" s="1190"/>
      <c r="BN207" s="1190"/>
      <c r="BO207" s="1190"/>
      <c r="CF207" s="1239" t="s">
        <v>3789</v>
      </c>
      <c r="CG207" s="1239">
        <v>95</v>
      </c>
      <c r="CH207" s="1239">
        <v>94</v>
      </c>
    </row>
    <row r="208" spans="11:118" ht="17.25">
      <c r="K208" s="29">
        <v>144</v>
      </c>
      <c r="L208" s="29" t="s">
        <v>614</v>
      </c>
      <c r="V208" s="107"/>
      <c r="W208" s="106"/>
      <c r="X208" s="106"/>
      <c r="Y208" s="106"/>
      <c r="Z208" s="106"/>
      <c r="AA208" s="106"/>
      <c r="AB208" s="106"/>
      <c r="AC208" s="106"/>
      <c r="AD208" s="106"/>
      <c r="AE208" s="1190"/>
      <c r="AF208" s="1190"/>
      <c r="AG208" s="1190"/>
      <c r="AH208" s="1190"/>
      <c r="AI208" s="1190"/>
      <c r="AJ208" s="1190"/>
      <c r="AK208" s="1190"/>
      <c r="AL208" s="1190"/>
      <c r="AM208" s="1190"/>
      <c r="AN208" s="1190"/>
      <c r="AO208" s="1190"/>
      <c r="AP208" s="1190"/>
      <c r="AQ208" s="1190"/>
      <c r="AR208" s="1190"/>
      <c r="AS208" s="1190"/>
      <c r="AT208" s="1190"/>
      <c r="AU208" s="1190"/>
      <c r="AV208" s="1190"/>
      <c r="AW208" s="1190"/>
      <c r="AX208" s="1190"/>
      <c r="AY208" s="1190"/>
      <c r="AZ208" s="1190"/>
      <c r="BA208" s="1190"/>
      <c r="BB208" s="1190"/>
      <c r="BC208" s="1190"/>
      <c r="BD208" s="1190"/>
      <c r="BE208" s="1190"/>
      <c r="BF208" s="1190"/>
      <c r="BG208" s="1190"/>
      <c r="BH208" s="1190"/>
      <c r="BI208" s="1190"/>
      <c r="BJ208" s="1190"/>
      <c r="BK208" s="1190"/>
      <c r="BL208" s="1190"/>
      <c r="BM208" s="1190"/>
      <c r="BN208" s="1190"/>
      <c r="BO208" s="1190"/>
      <c r="CF208" s="1239" t="s">
        <v>12782</v>
      </c>
      <c r="CG208" s="1239">
        <v>96</v>
      </c>
      <c r="CH208" s="1239">
        <v>95</v>
      </c>
    </row>
    <row r="209" spans="11:87" ht="17.25">
      <c r="K209" s="29">
        <v>145</v>
      </c>
      <c r="L209" s="29" t="s">
        <v>1617</v>
      </c>
      <c r="V209" s="2" t="s">
        <v>12319</v>
      </c>
      <c r="W209" s="2" t="s">
        <v>12320</v>
      </c>
      <c r="X209" s="1160" t="s">
        <v>13111</v>
      </c>
      <c r="Y209" s="1160" t="s">
        <v>13112</v>
      </c>
      <c r="AB209" s="106"/>
      <c r="AC209" s="106"/>
      <c r="AD209" s="106"/>
      <c r="AE209" s="1190"/>
      <c r="AF209" s="1190"/>
      <c r="AG209" s="1190"/>
      <c r="AH209" s="1190"/>
      <c r="AI209" s="1190"/>
      <c r="AJ209" s="1190"/>
      <c r="AK209" s="1190"/>
      <c r="AL209" s="1190"/>
      <c r="AM209" s="1190"/>
      <c r="AN209" s="1190"/>
      <c r="AO209" s="1190"/>
      <c r="AP209" s="1190"/>
      <c r="AQ209" s="1190"/>
      <c r="AR209" s="1190"/>
      <c r="AS209" s="1190"/>
      <c r="AT209" s="1190"/>
      <c r="AU209" s="1190"/>
      <c r="AV209" s="1190"/>
      <c r="AW209" s="1190"/>
      <c r="AX209" s="1190"/>
      <c r="AY209" s="1190"/>
      <c r="AZ209" s="1190"/>
      <c r="BA209" s="1190"/>
      <c r="BB209" s="1190"/>
      <c r="BC209" s="1190"/>
      <c r="BD209" s="1190"/>
      <c r="BE209" s="1190"/>
      <c r="BF209" s="1190"/>
      <c r="BG209" s="1190"/>
      <c r="BH209" s="1190"/>
      <c r="BI209" s="1190"/>
      <c r="BJ209" s="1190"/>
      <c r="BK209" s="1190"/>
      <c r="BL209" s="1190"/>
      <c r="BM209" s="1190"/>
      <c r="BN209" s="1190"/>
      <c r="BO209" s="1190"/>
      <c r="CF209" s="1239" t="s">
        <v>12783</v>
      </c>
      <c r="CG209" s="1239">
        <v>97</v>
      </c>
      <c r="CH209" s="1239">
        <v>96</v>
      </c>
    </row>
    <row r="210" spans="11:87" ht="17.25">
      <c r="K210" s="29">
        <v>146</v>
      </c>
      <c r="L210" s="29" t="s">
        <v>615</v>
      </c>
      <c r="V210" s="2" t="s">
        <v>12301</v>
      </c>
      <c r="W210" s="2" t="s">
        <v>12302</v>
      </c>
      <c r="X210" s="795" t="s">
        <v>13103</v>
      </c>
      <c r="Y210" s="795"/>
      <c r="AB210" s="106"/>
      <c r="AC210" s="106"/>
      <c r="AD210" s="106"/>
      <c r="AE210" s="1190"/>
      <c r="AF210" s="1190"/>
      <c r="AG210" s="1190"/>
      <c r="AH210" s="1190"/>
      <c r="AI210" s="1190"/>
      <c r="AJ210" s="1190"/>
      <c r="AK210" s="1190"/>
      <c r="AL210" s="1190"/>
      <c r="AM210" s="1190"/>
      <c r="AN210" s="1190"/>
      <c r="AO210" s="1190"/>
      <c r="AP210" s="1190"/>
      <c r="AQ210" s="1190"/>
      <c r="AR210" s="1190"/>
      <c r="AS210" s="1190"/>
      <c r="AT210" s="1190"/>
      <c r="AU210" s="1190"/>
      <c r="AV210" s="1190"/>
      <c r="AW210" s="1190"/>
      <c r="AX210" s="1190"/>
      <c r="AY210" s="1190"/>
      <c r="AZ210" s="1190"/>
      <c r="BA210" s="1190"/>
      <c r="BB210" s="1190"/>
      <c r="BC210" s="1190"/>
      <c r="BD210" s="1190"/>
      <c r="BE210" s="1190"/>
      <c r="BF210" s="1190"/>
      <c r="BG210" s="1190"/>
      <c r="BH210" s="1190"/>
      <c r="BI210" s="1190"/>
      <c r="BJ210" s="1190"/>
      <c r="BK210" s="1190"/>
      <c r="BL210" s="1190"/>
      <c r="BM210" s="1190"/>
      <c r="BN210" s="1190"/>
      <c r="BO210" s="1190"/>
      <c r="CF210" s="1239" t="s">
        <v>12784</v>
      </c>
      <c r="CG210" s="1239">
        <v>98</v>
      </c>
      <c r="CH210" s="1239">
        <v>97</v>
      </c>
    </row>
    <row r="211" spans="11:87" ht="17.25">
      <c r="K211" s="29">
        <v>147</v>
      </c>
      <c r="L211" s="29" t="s">
        <v>1618</v>
      </c>
      <c r="V211" s="2" t="s">
        <v>12303</v>
      </c>
      <c r="W211" s="2" t="s">
        <v>12304</v>
      </c>
      <c r="X211" s="795" t="s">
        <v>13104</v>
      </c>
      <c r="Y211" s="795"/>
      <c r="AB211" s="106"/>
      <c r="AC211" s="106"/>
      <c r="AD211" s="106"/>
      <c r="AE211" s="1190"/>
      <c r="AF211" s="1190"/>
      <c r="AG211" s="1190"/>
      <c r="AH211" s="1190"/>
      <c r="AI211" s="1190"/>
      <c r="AJ211" s="1190"/>
      <c r="AK211" s="1190"/>
      <c r="AL211" s="1190"/>
      <c r="AM211" s="1190"/>
      <c r="AN211" s="1190"/>
      <c r="AO211" s="1190"/>
      <c r="AP211" s="1190"/>
      <c r="AQ211" s="1190"/>
      <c r="AR211" s="1190"/>
      <c r="AS211" s="1190"/>
      <c r="AT211" s="1190"/>
      <c r="AU211" s="1190"/>
      <c r="AV211" s="1190"/>
      <c r="AW211" s="1190"/>
      <c r="AX211" s="1190"/>
      <c r="AY211" s="1190"/>
      <c r="AZ211" s="1190"/>
      <c r="BA211" s="1190"/>
      <c r="BB211" s="1190"/>
      <c r="BC211" s="1190"/>
      <c r="BD211" s="1190"/>
      <c r="BE211" s="1190"/>
      <c r="BF211" s="1190"/>
      <c r="BG211" s="1190"/>
      <c r="BH211" s="1190"/>
      <c r="BI211" s="1190"/>
      <c r="BJ211" s="1190"/>
      <c r="BK211" s="1190"/>
      <c r="BL211" s="1190"/>
      <c r="BM211" s="1190"/>
      <c r="BN211" s="1190"/>
      <c r="BO211" s="1190"/>
      <c r="CF211" s="1239" t="s">
        <v>12787</v>
      </c>
      <c r="CG211" s="1239">
        <v>99</v>
      </c>
      <c r="CH211" s="1239" t="s">
        <v>12721</v>
      </c>
    </row>
    <row r="212" spans="11:87" ht="17.25">
      <c r="K212" s="29">
        <v>148</v>
      </c>
      <c r="L212" s="29" t="s">
        <v>1619</v>
      </c>
      <c r="V212" s="2" t="s">
        <v>12305</v>
      </c>
      <c r="W212" s="2" t="s">
        <v>12306</v>
      </c>
      <c r="X212" s="795" t="s">
        <v>13105</v>
      </c>
      <c r="Y212" s="795"/>
      <c r="AB212" s="106"/>
      <c r="AC212" s="106"/>
      <c r="AD212" s="106"/>
      <c r="AE212" s="1190"/>
      <c r="AF212" s="1190"/>
      <c r="AG212" s="1190"/>
      <c r="AH212" s="1190"/>
      <c r="AI212" s="1190"/>
      <c r="AJ212" s="1190"/>
      <c r="AK212" s="1190"/>
      <c r="AL212" s="1190"/>
      <c r="AM212" s="1190"/>
      <c r="AN212" s="1190"/>
      <c r="AO212" s="1190"/>
      <c r="AP212" s="1190"/>
      <c r="AQ212" s="1190"/>
      <c r="AR212" s="1190"/>
      <c r="AS212" s="1190"/>
      <c r="AT212" s="1190"/>
      <c r="AU212" s="1190"/>
      <c r="AV212" s="1190"/>
      <c r="AW212" s="1190"/>
      <c r="AX212" s="1190"/>
      <c r="AY212" s="1190"/>
      <c r="AZ212" s="1190"/>
      <c r="BA212" s="1190"/>
      <c r="BB212" s="1190"/>
      <c r="BC212" s="1190"/>
      <c r="BD212" s="1190"/>
      <c r="BE212" s="1190"/>
      <c r="BF212" s="1190"/>
      <c r="BG212" s="1190"/>
      <c r="BH212" s="1190"/>
      <c r="BI212" s="1190"/>
      <c r="BJ212" s="1190"/>
      <c r="BK212" s="1190"/>
      <c r="BL212" s="1190"/>
      <c r="BM212" s="1190"/>
      <c r="BN212" s="1190"/>
      <c r="BO212" s="1190"/>
      <c r="CF212" s="1239" t="s">
        <v>12789</v>
      </c>
      <c r="CG212" s="1239">
        <v>0</v>
      </c>
      <c r="CH212" s="1239">
        <v>0</v>
      </c>
    </row>
    <row r="213" spans="11:87" ht="17.25">
      <c r="K213" s="29">
        <v>149</v>
      </c>
      <c r="L213" s="29" t="s">
        <v>1620</v>
      </c>
      <c r="V213" s="2" t="s">
        <v>12307</v>
      </c>
      <c r="W213" s="2" t="s">
        <v>12308</v>
      </c>
      <c r="X213" s="795" t="s">
        <v>13106</v>
      </c>
      <c r="Y213" s="795"/>
      <c r="AB213" s="106"/>
      <c r="AC213" s="106"/>
      <c r="AD213" s="106"/>
      <c r="AE213" s="1190"/>
      <c r="AF213" s="1190"/>
      <c r="AG213" s="1190"/>
      <c r="AH213" s="1190"/>
      <c r="AI213" s="1190"/>
      <c r="AJ213" s="1190"/>
      <c r="AK213" s="1190"/>
      <c r="AL213" s="1190"/>
      <c r="AM213" s="1190"/>
      <c r="AN213" s="1190"/>
      <c r="AO213" s="1190"/>
      <c r="AP213" s="1190"/>
      <c r="AQ213" s="1190"/>
      <c r="AR213" s="1190"/>
      <c r="AS213" s="1190"/>
      <c r="AT213" s="1190"/>
      <c r="AU213" s="1190"/>
      <c r="AV213" s="1190"/>
      <c r="AW213" s="1190"/>
      <c r="AX213" s="1190"/>
      <c r="AY213" s="1190"/>
      <c r="AZ213" s="1190"/>
      <c r="BA213" s="1190"/>
      <c r="BB213" s="1190"/>
      <c r="BC213" s="1190"/>
      <c r="BD213" s="1190"/>
      <c r="BE213" s="1190"/>
      <c r="BF213" s="1190"/>
      <c r="BG213" s="1190"/>
      <c r="BH213" s="1190"/>
      <c r="BI213" s="1190"/>
      <c r="BJ213" s="1190"/>
      <c r="BK213" s="1190"/>
      <c r="BL213" s="1190"/>
      <c r="BM213" s="1190"/>
      <c r="BN213" s="1190"/>
      <c r="BO213" s="1190"/>
      <c r="CF213" s="29"/>
    </row>
    <row r="214" spans="11:87" ht="19.5">
      <c r="K214" s="29">
        <v>150</v>
      </c>
      <c r="L214" s="29" t="s">
        <v>1621</v>
      </c>
      <c r="V214" s="1160" t="s">
        <v>12309</v>
      </c>
      <c r="W214" s="1160" t="s">
        <v>12310</v>
      </c>
      <c r="X214" s="795" t="s">
        <v>13107</v>
      </c>
      <c r="Y214" s="795"/>
      <c r="AB214" s="106"/>
      <c r="AC214" s="106"/>
      <c r="AD214" s="106"/>
      <c r="AE214" s="1190"/>
      <c r="AF214" s="1190"/>
      <c r="AG214" s="1190"/>
      <c r="AH214" s="1190"/>
      <c r="AI214" s="1190"/>
      <c r="AJ214" s="1190"/>
      <c r="AK214" s="1190"/>
      <c r="AL214" s="1190"/>
      <c r="AM214" s="1190"/>
      <c r="AN214" s="1190"/>
      <c r="AO214" s="1190"/>
      <c r="AP214" s="1190"/>
      <c r="AQ214" s="1190"/>
      <c r="AR214" s="1190"/>
      <c r="AS214" s="1190"/>
      <c r="AT214" s="1190"/>
      <c r="AU214" s="1190"/>
      <c r="AV214" s="1190"/>
      <c r="AW214" s="1190"/>
      <c r="AX214" s="1190"/>
      <c r="AY214" s="1190"/>
      <c r="AZ214" s="1190"/>
      <c r="BA214" s="1190"/>
      <c r="BB214" s="1190"/>
      <c r="BC214" s="1190"/>
      <c r="BD214" s="1190"/>
      <c r="BE214" s="1190"/>
      <c r="BF214" s="1190"/>
      <c r="BG214" s="1190"/>
      <c r="BH214" s="1190"/>
      <c r="BI214" s="1190"/>
      <c r="BJ214" s="1190"/>
      <c r="BK214" s="1190"/>
      <c r="BL214" s="1190"/>
      <c r="BM214" s="1190"/>
      <c r="BN214" s="1190"/>
      <c r="BO214" s="1190"/>
      <c r="CF214" s="782" t="s">
        <v>12832</v>
      </c>
    </row>
    <row r="215" spans="11:87" ht="19.5">
      <c r="K215" s="29">
        <v>151</v>
      </c>
      <c r="L215" s="29" t="s">
        <v>1622</v>
      </c>
      <c r="V215" s="1160" t="s">
        <v>12311</v>
      </c>
      <c r="W215" s="1160" t="s">
        <v>12312</v>
      </c>
      <c r="X215" s="795"/>
      <c r="Y215" s="795"/>
      <c r="AB215" s="106"/>
      <c r="AC215" s="106"/>
      <c r="AD215" s="106"/>
      <c r="AE215" s="1190"/>
      <c r="AF215" s="1190"/>
      <c r="AG215" s="1190"/>
      <c r="AH215" s="1190"/>
      <c r="AI215" s="1190"/>
      <c r="AJ215" s="1190"/>
      <c r="AK215" s="1190"/>
      <c r="AL215" s="1190"/>
      <c r="AM215" s="1190"/>
      <c r="AN215" s="1190"/>
      <c r="AO215" s="1190"/>
      <c r="AP215" s="1190"/>
      <c r="AQ215" s="1190"/>
      <c r="AR215" s="1190"/>
      <c r="AS215" s="1190"/>
      <c r="AT215" s="1190"/>
      <c r="AU215" s="1190"/>
      <c r="AV215" s="1190"/>
      <c r="AW215" s="1190"/>
      <c r="AX215" s="1190"/>
      <c r="AY215" s="1190"/>
      <c r="AZ215" s="1190"/>
      <c r="BA215" s="1190"/>
      <c r="BB215" s="1190"/>
      <c r="BC215" s="1190"/>
      <c r="BD215" s="1190"/>
      <c r="BE215" s="1190"/>
      <c r="BF215" s="1190"/>
      <c r="BG215" s="1190"/>
      <c r="BH215" s="1190"/>
      <c r="BI215" s="1190"/>
      <c r="BJ215" s="1190"/>
      <c r="BK215" s="1190"/>
      <c r="BL215" s="1190"/>
      <c r="BM215" s="1190"/>
      <c r="BN215" s="1190"/>
      <c r="BO215" s="1190"/>
      <c r="CF215" s="782" t="s">
        <v>12833</v>
      </c>
    </row>
    <row r="216" spans="11:87" ht="17.25">
      <c r="K216" s="29">
        <v>152</v>
      </c>
      <c r="L216" s="29" t="s">
        <v>616</v>
      </c>
      <c r="V216" s="1160" t="s">
        <v>12313</v>
      </c>
      <c r="W216" s="1160" t="s">
        <v>12314</v>
      </c>
      <c r="X216" s="795" t="s">
        <v>13108</v>
      </c>
      <c r="Y216" s="795"/>
      <c r="AB216" s="106"/>
      <c r="AC216" s="106"/>
      <c r="AD216" s="106"/>
      <c r="AE216" s="1190"/>
      <c r="AF216" s="1190"/>
      <c r="AG216" s="1190"/>
      <c r="AH216" s="1190"/>
      <c r="AI216" s="1190"/>
      <c r="AJ216" s="1190"/>
      <c r="AK216" s="1190"/>
      <c r="AL216" s="1190"/>
      <c r="AM216" s="1190"/>
      <c r="AN216" s="1190"/>
      <c r="AO216" s="1190"/>
      <c r="AP216" s="1190"/>
      <c r="AQ216" s="1190"/>
      <c r="AR216" s="1190"/>
      <c r="AS216" s="1190"/>
      <c r="AT216" s="1190"/>
      <c r="AU216" s="1190"/>
      <c r="AV216" s="1190"/>
      <c r="AW216" s="1190"/>
      <c r="AX216" s="1190"/>
      <c r="AY216" s="1190"/>
      <c r="AZ216" s="1190"/>
      <c r="BA216" s="1190"/>
      <c r="BB216" s="1190"/>
      <c r="BC216" s="1190"/>
      <c r="BD216" s="1190"/>
      <c r="BE216" s="1190"/>
      <c r="BF216" s="1190"/>
      <c r="BG216" s="1190"/>
      <c r="BH216" s="1190"/>
      <c r="BI216" s="1190"/>
      <c r="BJ216" s="1190"/>
      <c r="BK216" s="1190"/>
      <c r="BL216" s="1190"/>
      <c r="BM216" s="1190"/>
      <c r="BN216" s="1190"/>
      <c r="BO216" s="1190"/>
      <c r="CF216" s="1237" t="s">
        <v>7930</v>
      </c>
      <c r="CG216" s="1238" t="s">
        <v>12725</v>
      </c>
      <c r="CH216" s="1238" t="s">
        <v>12726</v>
      </c>
      <c r="CI216" s="1238" t="s">
        <v>5716</v>
      </c>
    </row>
    <row r="217" spans="11:87" ht="17.25">
      <c r="K217" s="29">
        <v>153</v>
      </c>
      <c r="L217" s="29" t="s">
        <v>617</v>
      </c>
      <c r="V217" s="1160" t="s">
        <v>12315</v>
      </c>
      <c r="W217" s="1160" t="s">
        <v>12316</v>
      </c>
      <c r="X217" s="795" t="s">
        <v>13110</v>
      </c>
      <c r="Y217" s="795"/>
      <c r="AB217" s="106"/>
      <c r="AC217" s="106"/>
      <c r="AD217" s="106"/>
      <c r="AE217" s="1190"/>
      <c r="AF217" s="1190"/>
      <c r="AG217" s="1190"/>
      <c r="AH217" s="1190"/>
      <c r="AI217" s="1190"/>
      <c r="AJ217" s="1190"/>
      <c r="AK217" s="1190"/>
      <c r="AL217" s="1190"/>
      <c r="AM217" s="1190"/>
      <c r="AN217" s="1190"/>
      <c r="AO217" s="1190"/>
      <c r="AP217" s="1190"/>
      <c r="AQ217" s="1190"/>
      <c r="AR217" s="1190"/>
      <c r="AS217" s="1190"/>
      <c r="AT217" s="1190"/>
      <c r="AU217" s="1190"/>
      <c r="AV217" s="1190"/>
      <c r="AW217" s="1190"/>
      <c r="AX217" s="1190"/>
      <c r="AY217" s="1190"/>
      <c r="AZ217" s="1190"/>
      <c r="BA217" s="1190"/>
      <c r="BB217" s="1190"/>
      <c r="BC217" s="1190"/>
      <c r="BD217" s="1190"/>
      <c r="BE217" s="1190"/>
      <c r="BF217" s="1190"/>
      <c r="BG217" s="1190"/>
      <c r="BH217" s="1190"/>
      <c r="BI217" s="1190"/>
      <c r="BJ217" s="1190"/>
      <c r="BK217" s="1190"/>
      <c r="BL217" s="1190"/>
      <c r="BM217" s="1190"/>
      <c r="BN217" s="1190"/>
      <c r="BO217" s="1190"/>
      <c r="CF217" s="1239" t="s">
        <v>12727</v>
      </c>
      <c r="CG217" s="1241">
        <v>44105</v>
      </c>
      <c r="CH217" s="1241">
        <v>44044</v>
      </c>
      <c r="CI217" s="1241">
        <v>43983</v>
      </c>
    </row>
    <row r="218" spans="11:87" ht="17.25">
      <c r="K218" s="29">
        <v>154</v>
      </c>
      <c r="L218" s="29" t="s">
        <v>1623</v>
      </c>
      <c r="V218" s="1160" t="s">
        <v>12317</v>
      </c>
      <c r="W218" s="1160" t="s">
        <v>12318</v>
      </c>
      <c r="X218" s="795" t="s">
        <v>13109</v>
      </c>
      <c r="Y218" s="795"/>
      <c r="AB218" s="106"/>
      <c r="AC218" s="106"/>
      <c r="AD218" s="106"/>
      <c r="AE218" s="1190"/>
      <c r="AF218" s="1190"/>
      <c r="AG218" s="1190"/>
      <c r="AH218" s="1190"/>
      <c r="AI218" s="1190"/>
      <c r="AJ218" s="1190"/>
      <c r="AK218" s="1190"/>
      <c r="AL218" s="1190"/>
      <c r="AM218" s="1190"/>
      <c r="AN218" s="1190"/>
      <c r="AO218" s="1190"/>
      <c r="AP218" s="1190"/>
      <c r="AQ218" s="1190"/>
      <c r="AR218" s="1190"/>
      <c r="AS218" s="1190"/>
      <c r="AT218" s="1190"/>
      <c r="AU218" s="1190"/>
      <c r="AV218" s="1190"/>
      <c r="AW218" s="1190"/>
      <c r="AX218" s="1190"/>
      <c r="AY218" s="1190"/>
      <c r="AZ218" s="1190"/>
      <c r="BA218" s="1190"/>
      <c r="BB218" s="1190"/>
      <c r="BC218" s="1190"/>
      <c r="BD218" s="1190"/>
      <c r="BE218" s="1190"/>
      <c r="BF218" s="1190"/>
      <c r="BG218" s="1190"/>
      <c r="BH218" s="1190"/>
      <c r="BI218" s="1190"/>
      <c r="BJ218" s="1190"/>
      <c r="BK218" s="1190"/>
      <c r="BL218" s="1190"/>
      <c r="BM218" s="1190"/>
      <c r="BN218" s="1190"/>
      <c r="BO218" s="1190"/>
      <c r="CF218" s="1239" t="s">
        <v>12728</v>
      </c>
      <c r="CG218" s="1242">
        <v>41944</v>
      </c>
      <c r="CH218" s="1241">
        <v>44174</v>
      </c>
      <c r="CI218" s="1241">
        <v>44111</v>
      </c>
    </row>
    <row r="219" spans="11:87" ht="17.25">
      <c r="K219" s="29">
        <v>155</v>
      </c>
      <c r="L219" s="29" t="s">
        <v>618</v>
      </c>
      <c r="V219" s="1160"/>
      <c r="W219" s="1160"/>
      <c r="X219" s="1160"/>
      <c r="Y219" s="1160"/>
      <c r="AB219" s="106"/>
      <c r="AC219" s="106"/>
      <c r="AD219" s="106"/>
      <c r="AE219" s="1190"/>
      <c r="AF219" s="1190"/>
      <c r="AG219" s="1190"/>
      <c r="AH219" s="1190"/>
      <c r="AI219" s="1190"/>
      <c r="AJ219" s="1190"/>
      <c r="AK219" s="1190"/>
      <c r="AL219" s="1190"/>
      <c r="AM219" s="1190"/>
      <c r="AN219" s="1190"/>
      <c r="AO219" s="1190"/>
      <c r="AP219" s="1190"/>
      <c r="AQ219" s="1190"/>
      <c r="AR219" s="1190"/>
      <c r="AS219" s="1190"/>
      <c r="AT219" s="1190"/>
      <c r="AU219" s="1190"/>
      <c r="AV219" s="1190"/>
      <c r="AW219" s="1190"/>
      <c r="AX219" s="1190"/>
      <c r="AY219" s="1190"/>
      <c r="AZ219" s="1190"/>
      <c r="BA219" s="1190"/>
      <c r="BB219" s="1190"/>
      <c r="BC219" s="1190"/>
      <c r="BD219" s="1190"/>
      <c r="BE219" s="1190"/>
      <c r="BF219" s="1190"/>
      <c r="BG219" s="1190"/>
      <c r="BH219" s="1190"/>
      <c r="BI219" s="1190"/>
      <c r="BJ219" s="1190"/>
      <c r="BK219" s="1190"/>
      <c r="BL219" s="1190"/>
      <c r="BM219" s="1190"/>
      <c r="BN219" s="1190"/>
      <c r="BO219" s="1190"/>
      <c r="CF219" s="1239" t="s">
        <v>12729</v>
      </c>
      <c r="CG219" s="1239" t="s">
        <v>12730</v>
      </c>
      <c r="CH219" s="1239" t="s">
        <v>12731</v>
      </c>
      <c r="CI219" s="1242">
        <v>41944</v>
      </c>
    </row>
    <row r="220" spans="11:87" ht="17.25">
      <c r="K220" s="29">
        <v>156</v>
      </c>
      <c r="L220" s="29" t="s">
        <v>619</v>
      </c>
      <c r="V220" s="1160"/>
      <c r="W220" s="1160"/>
      <c r="X220" s="1160"/>
      <c r="Y220" s="1160"/>
      <c r="AB220" s="106"/>
      <c r="AC220" s="106"/>
      <c r="AD220" s="106"/>
      <c r="AE220" s="1190"/>
      <c r="AF220" s="1190"/>
      <c r="AG220" s="1190"/>
      <c r="AH220" s="1190"/>
      <c r="AI220" s="1190"/>
      <c r="AJ220" s="1190"/>
      <c r="AK220" s="1190"/>
      <c r="AL220" s="1190"/>
      <c r="AM220" s="1190"/>
      <c r="AN220" s="1190"/>
      <c r="AO220" s="1190"/>
      <c r="AP220" s="1190"/>
      <c r="AQ220" s="1190"/>
      <c r="AR220" s="1190"/>
      <c r="AS220" s="1190"/>
      <c r="AT220" s="1190"/>
      <c r="AU220" s="1190"/>
      <c r="AV220" s="1190"/>
      <c r="AW220" s="1190"/>
      <c r="AX220" s="1190"/>
      <c r="AY220" s="1190"/>
      <c r="AZ220" s="1190"/>
      <c r="BA220" s="1190"/>
      <c r="BB220" s="1190"/>
      <c r="BC220" s="1190"/>
      <c r="BD220" s="1190"/>
      <c r="BE220" s="1190"/>
      <c r="BF220" s="1190"/>
      <c r="BG220" s="1190"/>
      <c r="BH220" s="1190"/>
      <c r="BI220" s="1190"/>
      <c r="BJ220" s="1190"/>
      <c r="BK220" s="1190"/>
      <c r="BL220" s="1190"/>
      <c r="BM220" s="1190"/>
      <c r="BN220" s="1190"/>
      <c r="BO220" s="1190"/>
      <c r="CF220" s="1239" t="s">
        <v>12834</v>
      </c>
      <c r="CG220" s="1239" t="s">
        <v>12733</v>
      </c>
      <c r="CH220" s="1239" t="s">
        <v>12734</v>
      </c>
      <c r="CI220" s="1239" t="s">
        <v>9761</v>
      </c>
    </row>
    <row r="221" spans="11:87" ht="17.25">
      <c r="K221" s="29">
        <v>157</v>
      </c>
      <c r="L221" s="29" t="s">
        <v>1624</v>
      </c>
      <c r="V221" s="1160" t="s">
        <v>12319</v>
      </c>
      <c r="W221" s="1160" t="s">
        <v>12321</v>
      </c>
      <c r="X221" s="1160" t="s">
        <v>12322</v>
      </c>
      <c r="Y221" s="1160" t="s">
        <v>12323</v>
      </c>
      <c r="Z221" s="2" t="s">
        <v>12324</v>
      </c>
      <c r="AA221" s="2" t="s">
        <v>12325</v>
      </c>
      <c r="AB221" s="106"/>
      <c r="AC221" s="106"/>
      <c r="AD221" s="106"/>
      <c r="AE221" s="1190"/>
      <c r="AF221" s="1190"/>
      <c r="AG221" s="1190"/>
      <c r="AH221" s="1190"/>
      <c r="AI221" s="1190"/>
      <c r="AJ221" s="1190"/>
      <c r="AK221" s="1190"/>
      <c r="AL221" s="1190"/>
      <c r="AM221" s="1190"/>
      <c r="AN221" s="1190"/>
      <c r="AO221" s="1190"/>
      <c r="AP221" s="1190"/>
      <c r="AQ221" s="1190"/>
      <c r="AR221" s="1190"/>
      <c r="AS221" s="1190"/>
      <c r="AT221" s="1190"/>
      <c r="AU221" s="1190"/>
      <c r="AV221" s="1190"/>
      <c r="AW221" s="1190"/>
      <c r="AX221" s="1190"/>
      <c r="AY221" s="1190"/>
      <c r="AZ221" s="1190"/>
      <c r="BA221" s="1190"/>
      <c r="BB221" s="1190"/>
      <c r="BC221" s="1190"/>
      <c r="BD221" s="1190"/>
      <c r="BE221" s="1190"/>
      <c r="BF221" s="1190"/>
      <c r="BG221" s="1190"/>
      <c r="BH221" s="1190"/>
      <c r="BI221" s="1190"/>
      <c r="BJ221" s="1190"/>
      <c r="BK221" s="1190"/>
      <c r="BL221" s="1190"/>
      <c r="BM221" s="1190"/>
      <c r="BN221" s="1190"/>
      <c r="BO221" s="1190"/>
      <c r="CF221" s="1239" t="s">
        <v>5197</v>
      </c>
      <c r="CG221" s="1239" t="s">
        <v>9264</v>
      </c>
      <c r="CH221" s="1239" t="s">
        <v>12735</v>
      </c>
      <c r="CI221" s="1239" t="s">
        <v>12835</v>
      </c>
    </row>
    <row r="222" spans="11:87" ht="17.25">
      <c r="K222" s="29">
        <v>158</v>
      </c>
      <c r="L222" s="29" t="s">
        <v>620</v>
      </c>
      <c r="V222" s="1160" t="s">
        <v>12326</v>
      </c>
      <c r="W222" s="1160" t="s">
        <v>12327</v>
      </c>
      <c r="X222" s="1160" t="s">
        <v>12328</v>
      </c>
      <c r="Y222" s="1160" t="s">
        <v>12329</v>
      </c>
      <c r="Z222" s="2" t="s">
        <v>12330</v>
      </c>
      <c r="AA222" s="2" t="s">
        <v>12331</v>
      </c>
      <c r="AB222" s="106"/>
      <c r="AC222" s="106"/>
      <c r="AD222" s="106"/>
      <c r="AE222" s="1190"/>
      <c r="AF222" s="1190"/>
      <c r="AG222" s="1190"/>
      <c r="AH222" s="1190"/>
      <c r="AI222" s="1190"/>
      <c r="AJ222" s="1190"/>
      <c r="AK222" s="1190"/>
      <c r="AL222" s="1190"/>
      <c r="AM222" s="1190"/>
      <c r="AN222" s="1190"/>
      <c r="AO222" s="1190"/>
      <c r="AP222" s="1190"/>
      <c r="AQ222" s="1190"/>
      <c r="AR222" s="1190"/>
      <c r="AS222" s="1190"/>
      <c r="AT222" s="1190"/>
      <c r="AU222" s="1190"/>
      <c r="AV222" s="1190"/>
      <c r="AW222" s="1190"/>
      <c r="AX222" s="1190"/>
      <c r="AY222" s="1190"/>
      <c r="AZ222" s="1190"/>
      <c r="BA222" s="1190"/>
      <c r="BB222" s="1190"/>
      <c r="BC222" s="1190"/>
      <c r="BD222" s="1190"/>
      <c r="BE222" s="1190"/>
      <c r="BF222" s="1190"/>
      <c r="BG222" s="1190"/>
      <c r="BH222" s="1190"/>
      <c r="BI222" s="1190"/>
      <c r="BJ222" s="1190"/>
      <c r="BK222" s="1190"/>
      <c r="BL222" s="1190"/>
      <c r="BM222" s="1190"/>
      <c r="BN222" s="1190"/>
      <c r="BO222" s="1190"/>
      <c r="CF222" s="1239" t="s">
        <v>12736</v>
      </c>
      <c r="CG222" s="1239" t="s">
        <v>12737</v>
      </c>
      <c r="CH222" s="1239" t="s">
        <v>9267</v>
      </c>
      <c r="CI222" s="1239" t="s">
        <v>12836</v>
      </c>
    </row>
    <row r="223" spans="11:87" ht="17.25">
      <c r="K223" s="29">
        <v>159</v>
      </c>
      <c r="L223" s="29" t="s">
        <v>621</v>
      </c>
      <c r="V223" s="1160" t="s">
        <v>12332</v>
      </c>
      <c r="W223" s="1160" t="s">
        <v>12333</v>
      </c>
      <c r="X223" s="1160" t="s">
        <v>12334</v>
      </c>
      <c r="Y223" s="1160" t="s">
        <v>12335</v>
      </c>
      <c r="Z223" s="2" t="s">
        <v>12336</v>
      </c>
      <c r="AA223" s="2" t="s">
        <v>12337</v>
      </c>
      <c r="AB223" s="106"/>
      <c r="AC223" s="106"/>
      <c r="AD223" s="106"/>
      <c r="AE223" s="1190"/>
      <c r="AF223" s="1190"/>
      <c r="AG223" s="1190"/>
      <c r="AH223" s="1190"/>
      <c r="AI223" s="1190"/>
      <c r="AJ223" s="1190"/>
      <c r="AK223" s="1190"/>
      <c r="AL223" s="1190"/>
      <c r="AM223" s="1190"/>
      <c r="AN223" s="1190"/>
      <c r="AO223" s="1190"/>
      <c r="AP223" s="1190"/>
      <c r="AQ223" s="1190"/>
      <c r="AR223" s="1190"/>
      <c r="AS223" s="1190"/>
      <c r="AT223" s="1190"/>
      <c r="AU223" s="1190"/>
      <c r="AV223" s="1190"/>
      <c r="AW223" s="1190"/>
      <c r="AX223" s="1190"/>
      <c r="AY223" s="1190"/>
      <c r="AZ223" s="1190"/>
      <c r="BA223" s="1190"/>
      <c r="BB223" s="1190"/>
      <c r="BC223" s="1190"/>
      <c r="BD223" s="1190"/>
      <c r="BE223" s="1190"/>
      <c r="BF223" s="1190"/>
      <c r="BG223" s="1190"/>
      <c r="BH223" s="1190"/>
      <c r="BI223" s="1190"/>
      <c r="BJ223" s="1190"/>
      <c r="BK223" s="1190"/>
      <c r="BL223" s="1190"/>
      <c r="BM223" s="1190"/>
      <c r="BN223" s="1190"/>
      <c r="BO223" s="1190"/>
      <c r="CF223" s="1239" t="s">
        <v>2545</v>
      </c>
      <c r="CG223" s="1239" t="s">
        <v>12837</v>
      </c>
      <c r="CH223" s="1239" t="s">
        <v>12739</v>
      </c>
      <c r="CI223" s="1239" t="s">
        <v>12838</v>
      </c>
    </row>
    <row r="224" spans="11:87" ht="17.25">
      <c r="K224" s="29">
        <v>160</v>
      </c>
      <c r="L224" s="29" t="s">
        <v>1625</v>
      </c>
      <c r="V224" s="1160" t="s">
        <v>12338</v>
      </c>
      <c r="W224" s="1160" t="s">
        <v>12339</v>
      </c>
      <c r="X224" s="1160" t="s">
        <v>12340</v>
      </c>
      <c r="Y224" s="1160" t="s">
        <v>12341</v>
      </c>
      <c r="Z224" s="2" t="s">
        <v>12342</v>
      </c>
      <c r="AA224" s="2" t="s">
        <v>12343</v>
      </c>
      <c r="AB224" s="106"/>
      <c r="AC224" s="106"/>
      <c r="AD224" s="106"/>
      <c r="AE224" s="1190"/>
      <c r="AF224" s="1190"/>
      <c r="AG224" s="1190"/>
      <c r="AH224" s="1190"/>
      <c r="AI224" s="1190"/>
      <c r="AJ224" s="1190"/>
      <c r="AK224" s="1190"/>
      <c r="AL224" s="1190"/>
      <c r="AM224" s="1190"/>
      <c r="AN224" s="1190"/>
      <c r="AO224" s="1190"/>
      <c r="AP224" s="1190"/>
      <c r="AQ224" s="1190"/>
      <c r="AR224" s="1190"/>
      <c r="AS224" s="1190"/>
      <c r="AT224" s="1190"/>
      <c r="AU224" s="1190"/>
      <c r="AV224" s="1190"/>
      <c r="AW224" s="1190"/>
      <c r="AX224" s="1190"/>
      <c r="AY224" s="1190"/>
      <c r="AZ224" s="1190"/>
      <c r="BA224" s="1190"/>
      <c r="BB224" s="1190"/>
      <c r="BC224" s="1190"/>
      <c r="BD224" s="1190"/>
      <c r="BE224" s="1190"/>
      <c r="BF224" s="1190"/>
      <c r="BG224" s="1190"/>
      <c r="BH224" s="1190"/>
      <c r="BI224" s="1190"/>
      <c r="BJ224" s="1190"/>
      <c r="BK224" s="1190"/>
      <c r="BL224" s="1190"/>
      <c r="BM224" s="1190"/>
      <c r="BN224" s="1190"/>
      <c r="BO224" s="1190"/>
      <c r="CF224" s="1239" t="s">
        <v>2535</v>
      </c>
      <c r="CG224" s="1239" t="s">
        <v>12839</v>
      </c>
      <c r="CH224" s="1239" t="s">
        <v>12740</v>
      </c>
      <c r="CI224" s="1239" t="s">
        <v>8108</v>
      </c>
    </row>
    <row r="225" spans="11:87" ht="17.25">
      <c r="K225" s="29">
        <v>161</v>
      </c>
      <c r="L225" s="29" t="s">
        <v>622</v>
      </c>
      <c r="V225" s="1160" t="s">
        <v>12344</v>
      </c>
      <c r="W225" s="1160" t="s">
        <v>12345</v>
      </c>
      <c r="X225" s="1160" t="s">
        <v>12346</v>
      </c>
      <c r="Y225" s="1160" t="s">
        <v>12347</v>
      </c>
      <c r="Z225" s="2" t="s">
        <v>12348</v>
      </c>
      <c r="AA225" s="2" t="s">
        <v>12349</v>
      </c>
      <c r="AB225" s="106"/>
      <c r="AC225" s="106"/>
      <c r="AD225" s="106"/>
      <c r="AE225" s="1190"/>
      <c r="AF225" s="1190"/>
      <c r="AG225" s="1190"/>
      <c r="AH225" s="1190"/>
      <c r="AI225" s="1190"/>
      <c r="AJ225" s="1190"/>
      <c r="AK225" s="1190"/>
      <c r="AL225" s="1190"/>
      <c r="AM225" s="1190"/>
      <c r="AN225" s="1190"/>
      <c r="AO225" s="1190"/>
      <c r="AP225" s="1190"/>
      <c r="AQ225" s="1190"/>
      <c r="AR225" s="1190"/>
      <c r="AS225" s="1190"/>
      <c r="AT225" s="1190"/>
      <c r="AU225" s="1190"/>
      <c r="AV225" s="1190"/>
      <c r="AW225" s="1190"/>
      <c r="AX225" s="1190"/>
      <c r="AY225" s="1190"/>
      <c r="AZ225" s="1190"/>
      <c r="BA225" s="1190"/>
      <c r="BB225" s="1190"/>
      <c r="BC225" s="1190"/>
      <c r="BD225" s="1190"/>
      <c r="BE225" s="1190"/>
      <c r="BF225" s="1190"/>
      <c r="BG225" s="1190"/>
      <c r="BH225" s="1190"/>
      <c r="BI225" s="1190"/>
      <c r="BJ225" s="1190"/>
      <c r="BK225" s="1190"/>
      <c r="BL225" s="1190"/>
      <c r="BM225" s="1190"/>
      <c r="BN225" s="1190"/>
      <c r="BO225" s="1190"/>
      <c r="CF225" s="1239" t="s">
        <v>3885</v>
      </c>
      <c r="CG225" s="1239" t="s">
        <v>12743</v>
      </c>
      <c r="CH225" s="1239" t="s">
        <v>12761</v>
      </c>
      <c r="CI225" s="1239" t="s">
        <v>12840</v>
      </c>
    </row>
    <row r="226" spans="11:87" ht="17.25">
      <c r="K226" s="29">
        <v>162</v>
      </c>
      <c r="L226" s="29" t="s">
        <v>1626</v>
      </c>
      <c r="V226" s="2" t="s">
        <v>12350</v>
      </c>
      <c r="W226" s="2" t="s">
        <v>12351</v>
      </c>
      <c r="X226" s="2" t="s">
        <v>12352</v>
      </c>
      <c r="Y226" s="2" t="s">
        <v>12353</v>
      </c>
      <c r="Z226" s="2" t="s">
        <v>12354</v>
      </c>
      <c r="AA226" s="2" t="s">
        <v>12343</v>
      </c>
      <c r="AB226" s="106"/>
      <c r="AC226" s="106"/>
      <c r="AD226" s="106"/>
      <c r="AE226" s="1190"/>
      <c r="AF226" s="1190"/>
      <c r="AG226" s="1190"/>
      <c r="AH226" s="1190"/>
      <c r="AI226" s="1190"/>
      <c r="AJ226" s="1190"/>
      <c r="AK226" s="1190"/>
      <c r="AL226" s="1190"/>
      <c r="AM226" s="1190"/>
      <c r="AN226" s="1190"/>
      <c r="AO226" s="1190"/>
      <c r="AP226" s="1190"/>
      <c r="AQ226" s="1190"/>
      <c r="AR226" s="1190"/>
      <c r="AS226" s="1190"/>
      <c r="AT226" s="1190"/>
      <c r="AU226" s="1190"/>
      <c r="AV226" s="1190"/>
      <c r="AW226" s="1190"/>
      <c r="AX226" s="1190"/>
      <c r="AY226" s="1190"/>
      <c r="AZ226" s="1190"/>
      <c r="BA226" s="1190"/>
      <c r="BB226" s="1190"/>
      <c r="BC226" s="1190"/>
      <c r="BD226" s="1190"/>
      <c r="BE226" s="1190"/>
      <c r="BF226" s="1190"/>
      <c r="BG226" s="1190"/>
      <c r="BH226" s="1190"/>
      <c r="BI226" s="1190"/>
      <c r="BJ226" s="1190"/>
      <c r="BK226" s="1190"/>
      <c r="BL226" s="1190"/>
      <c r="BM226" s="1190"/>
      <c r="BN226" s="1190"/>
      <c r="BO226" s="1190"/>
      <c r="CF226" s="1239" t="s">
        <v>5805</v>
      </c>
      <c r="CG226" s="1239" t="s">
        <v>12744</v>
      </c>
      <c r="CH226" s="1239" t="s">
        <v>12745</v>
      </c>
      <c r="CI226" s="1239" t="s">
        <v>12815</v>
      </c>
    </row>
    <row r="227" spans="11:87" ht="17.25">
      <c r="K227" s="29">
        <v>163</v>
      </c>
      <c r="L227" s="29" t="s">
        <v>623</v>
      </c>
      <c r="V227" s="2" t="s">
        <v>12313</v>
      </c>
      <c r="W227" s="2" t="s">
        <v>12355</v>
      </c>
      <c r="X227" s="2" t="s">
        <v>12356</v>
      </c>
      <c r="Y227" s="2" t="s">
        <v>12357</v>
      </c>
      <c r="Z227" s="2" t="s">
        <v>12354</v>
      </c>
      <c r="AA227" s="2" t="s">
        <v>12343</v>
      </c>
      <c r="AB227" s="106"/>
      <c r="AC227" s="106"/>
      <c r="AD227" s="106"/>
      <c r="AE227" s="1190"/>
      <c r="AF227" s="1190"/>
      <c r="AG227" s="1190"/>
      <c r="AH227" s="1190"/>
      <c r="AI227" s="1190"/>
      <c r="AJ227" s="1190"/>
      <c r="AK227" s="1190"/>
      <c r="AL227" s="1190"/>
      <c r="AM227" s="1190"/>
      <c r="AN227" s="1190"/>
      <c r="AO227" s="1190"/>
      <c r="AP227" s="1190"/>
      <c r="AQ227" s="1190"/>
      <c r="AR227" s="1190"/>
      <c r="AS227" s="1190"/>
      <c r="AT227" s="1190"/>
      <c r="AU227" s="1190"/>
      <c r="AV227" s="1190"/>
      <c r="AW227" s="1190"/>
      <c r="AX227" s="1190"/>
      <c r="AY227" s="1190"/>
      <c r="AZ227" s="1190"/>
      <c r="BA227" s="1190"/>
      <c r="BB227" s="1190"/>
      <c r="BC227" s="1190"/>
      <c r="BD227" s="1190"/>
      <c r="BE227" s="1190"/>
      <c r="BF227" s="1190"/>
      <c r="BG227" s="1190"/>
      <c r="BH227" s="1190"/>
      <c r="BI227" s="1190"/>
      <c r="BJ227" s="1190"/>
      <c r="BK227" s="1190"/>
      <c r="BL227" s="1190"/>
      <c r="BM227" s="1190"/>
      <c r="BN227" s="1190"/>
      <c r="BO227" s="1190"/>
      <c r="CF227" s="1239" t="s">
        <v>2612</v>
      </c>
      <c r="CG227" s="1239" t="s">
        <v>12746</v>
      </c>
      <c r="CH227" s="1239" t="s">
        <v>8084</v>
      </c>
      <c r="CI227" s="1239" t="s">
        <v>12841</v>
      </c>
    </row>
    <row r="228" spans="11:87" ht="17.25">
      <c r="K228" s="29">
        <v>164</v>
      </c>
      <c r="L228" s="29" t="s">
        <v>1627</v>
      </c>
      <c r="V228" s="2" t="s">
        <v>12358</v>
      </c>
      <c r="W228" s="2" t="s">
        <v>12359</v>
      </c>
      <c r="X228" s="2" t="s">
        <v>12360</v>
      </c>
      <c r="Y228" s="2" t="s">
        <v>12341</v>
      </c>
      <c r="Z228" s="2" t="s">
        <v>12361</v>
      </c>
      <c r="AA228" s="2" t="s">
        <v>12343</v>
      </c>
      <c r="AB228" s="106"/>
      <c r="AC228" s="106"/>
      <c r="AD228" s="106"/>
      <c r="AE228" s="1190"/>
      <c r="AF228" s="1190"/>
      <c r="AG228" s="1190"/>
      <c r="AH228" s="1190"/>
      <c r="AI228" s="1190"/>
      <c r="AJ228" s="1190"/>
      <c r="AK228" s="1190"/>
      <c r="AL228" s="1190"/>
      <c r="AM228" s="1190"/>
      <c r="AN228" s="1190"/>
      <c r="AO228" s="1190"/>
      <c r="AP228" s="1190"/>
      <c r="AQ228" s="1190"/>
      <c r="AR228" s="1190"/>
      <c r="AS228" s="1190"/>
      <c r="AT228" s="1190"/>
      <c r="AU228" s="1190"/>
      <c r="AV228" s="1190"/>
      <c r="AW228" s="1190"/>
      <c r="AX228" s="1190"/>
      <c r="AY228" s="1190"/>
      <c r="AZ228" s="1190"/>
      <c r="BA228" s="1190"/>
      <c r="BB228" s="1190"/>
      <c r="BC228" s="1190"/>
      <c r="BD228" s="1190"/>
      <c r="BE228" s="1190"/>
      <c r="BF228" s="1190"/>
      <c r="BG228" s="1190"/>
      <c r="BH228" s="1190"/>
      <c r="BI228" s="1190"/>
      <c r="BJ228" s="1190"/>
      <c r="BK228" s="1190"/>
      <c r="BL228" s="1190"/>
      <c r="BM228" s="1190"/>
      <c r="BN228" s="1190"/>
      <c r="BO228" s="1190"/>
      <c r="CF228" s="1239" t="s">
        <v>12842</v>
      </c>
      <c r="CG228" s="1239" t="s">
        <v>12843</v>
      </c>
      <c r="CH228" s="1239" t="s">
        <v>8071</v>
      </c>
      <c r="CI228" s="1239" t="s">
        <v>12740</v>
      </c>
    </row>
    <row r="229" spans="11:87" ht="17.25">
      <c r="K229" s="29">
        <v>165</v>
      </c>
      <c r="L229" s="29" t="s">
        <v>624</v>
      </c>
      <c r="V229" s="2" t="s">
        <v>12362</v>
      </c>
      <c r="W229" s="2" t="s">
        <v>12363</v>
      </c>
      <c r="X229" s="2" t="s">
        <v>12364</v>
      </c>
      <c r="Y229" s="2" t="s">
        <v>12365</v>
      </c>
      <c r="Z229" s="2" t="s">
        <v>12342</v>
      </c>
      <c r="AA229" s="2" t="s">
        <v>12343</v>
      </c>
      <c r="AB229" s="106"/>
      <c r="AC229" s="106"/>
      <c r="AD229" s="106"/>
      <c r="AE229" s="1190"/>
      <c r="AF229" s="1190"/>
      <c r="AG229" s="1190"/>
      <c r="AH229" s="1190"/>
      <c r="AI229" s="1190"/>
      <c r="AJ229" s="1190"/>
      <c r="AK229" s="1190"/>
      <c r="AL229" s="1190"/>
      <c r="AM229" s="1190"/>
      <c r="AN229" s="1190"/>
      <c r="AO229" s="1190"/>
      <c r="AP229" s="1190"/>
      <c r="AQ229" s="1190"/>
      <c r="AR229" s="1190"/>
      <c r="AS229" s="1190"/>
      <c r="AT229" s="1190"/>
      <c r="AU229" s="1190"/>
      <c r="AV229" s="1190"/>
      <c r="AW229" s="1190"/>
      <c r="AX229" s="1190"/>
      <c r="AY229" s="1190"/>
      <c r="AZ229" s="1190"/>
      <c r="BA229" s="1190"/>
      <c r="BB229" s="1190"/>
      <c r="BC229" s="1190"/>
      <c r="BD229" s="1190"/>
      <c r="BE229" s="1190"/>
      <c r="BF229" s="1190"/>
      <c r="BG229" s="1190"/>
      <c r="BH229" s="1190"/>
      <c r="BI229" s="1190"/>
      <c r="BJ229" s="1190"/>
      <c r="BK229" s="1190"/>
      <c r="BL229" s="1190"/>
      <c r="BM229" s="1190"/>
      <c r="BN229" s="1190"/>
      <c r="BO229" s="1190"/>
      <c r="CF229" s="29"/>
    </row>
    <row r="230" spans="11:87" ht="17.25">
      <c r="K230" s="29">
        <v>166</v>
      </c>
      <c r="L230" s="29" t="s">
        <v>556</v>
      </c>
      <c r="V230" s="2" t="s">
        <v>12366</v>
      </c>
      <c r="W230" s="2" t="s">
        <v>12367</v>
      </c>
      <c r="X230" s="2" t="s">
        <v>12368</v>
      </c>
      <c r="Y230" s="2" t="s">
        <v>12369</v>
      </c>
      <c r="Z230" s="2" t="s">
        <v>12370</v>
      </c>
      <c r="AA230" s="2" t="s">
        <v>12371</v>
      </c>
      <c r="AB230" s="106"/>
      <c r="AC230" s="106"/>
      <c r="AD230" s="106"/>
      <c r="AE230" s="1190"/>
      <c r="AF230" s="1190"/>
      <c r="AG230" s="1190"/>
      <c r="AH230" s="1190"/>
      <c r="AI230" s="1190"/>
      <c r="AJ230" s="1190"/>
      <c r="AK230" s="1190"/>
      <c r="AL230" s="1190"/>
      <c r="AM230" s="1190"/>
      <c r="AN230" s="1190"/>
      <c r="AO230" s="1190"/>
      <c r="AP230" s="1190"/>
      <c r="AQ230" s="1190"/>
      <c r="AR230" s="1190"/>
      <c r="AS230" s="1190"/>
      <c r="AT230" s="1190"/>
      <c r="AU230" s="1190"/>
      <c r="AV230" s="1190"/>
      <c r="AW230" s="1190"/>
      <c r="AX230" s="1190"/>
      <c r="AY230" s="1190"/>
      <c r="AZ230" s="1190"/>
      <c r="BA230" s="1190"/>
      <c r="BB230" s="1190"/>
      <c r="BC230" s="1190"/>
      <c r="BD230" s="1190"/>
      <c r="BE230" s="1190"/>
      <c r="BF230" s="1190"/>
      <c r="BG230" s="1190"/>
      <c r="BH230" s="1190"/>
      <c r="BI230" s="1190"/>
      <c r="BJ230" s="1190"/>
      <c r="BK230" s="1190"/>
      <c r="BL230" s="1190"/>
      <c r="BM230" s="1190"/>
      <c r="BN230" s="1190"/>
      <c r="BO230" s="1190"/>
      <c r="CF230" s="29"/>
    </row>
    <row r="231" spans="11:87" ht="17.25">
      <c r="K231" s="29">
        <v>167</v>
      </c>
      <c r="L231" s="29" t="s">
        <v>625</v>
      </c>
      <c r="V231" s="2" t="s">
        <v>12372</v>
      </c>
      <c r="W231" s="2" t="s">
        <v>12373</v>
      </c>
      <c r="X231" s="2" t="s">
        <v>12374</v>
      </c>
      <c r="Y231" s="2" t="s">
        <v>12375</v>
      </c>
      <c r="Z231" s="2" t="s">
        <v>12342</v>
      </c>
      <c r="AA231" s="2" t="s">
        <v>12343</v>
      </c>
      <c r="AB231" s="106"/>
      <c r="AC231" s="106"/>
      <c r="AD231" s="106"/>
      <c r="AE231" s="1190"/>
      <c r="AF231" s="1190"/>
      <c r="AG231" s="1190"/>
      <c r="AH231" s="1190"/>
      <c r="AI231" s="1190"/>
      <c r="AJ231" s="1190"/>
      <c r="AK231" s="1190"/>
      <c r="AL231" s="1190"/>
      <c r="AM231" s="1190"/>
      <c r="AN231" s="1190"/>
      <c r="AO231" s="1190"/>
      <c r="AP231" s="1190"/>
      <c r="AQ231" s="1190"/>
      <c r="AR231" s="1190"/>
      <c r="AS231" s="1190"/>
      <c r="AT231" s="1190"/>
      <c r="AU231" s="1190"/>
      <c r="AV231" s="1190"/>
      <c r="AW231" s="1190"/>
      <c r="AX231" s="1190"/>
      <c r="AY231" s="1190"/>
      <c r="AZ231" s="1190"/>
      <c r="BA231" s="1190"/>
      <c r="BB231" s="1190"/>
      <c r="BC231" s="1190"/>
      <c r="BD231" s="1190"/>
      <c r="BE231" s="1190"/>
      <c r="BF231" s="1190"/>
      <c r="BG231" s="1190"/>
      <c r="BH231" s="1190"/>
      <c r="BI231" s="1190"/>
      <c r="BJ231" s="1190"/>
      <c r="BK231" s="1190"/>
      <c r="BL231" s="1190"/>
      <c r="BM231" s="1190"/>
      <c r="BN231" s="1190"/>
      <c r="BO231" s="1190"/>
      <c r="CF231" s="29"/>
    </row>
    <row r="232" spans="11:87" ht="17.25">
      <c r="K232" s="29">
        <v>168</v>
      </c>
      <c r="L232" s="29" t="s">
        <v>1628</v>
      </c>
      <c r="V232" s="2" t="s">
        <v>12376</v>
      </c>
      <c r="W232" s="2" t="s">
        <v>12377</v>
      </c>
      <c r="X232" s="2" t="s">
        <v>12378</v>
      </c>
      <c r="Y232" s="2" t="s">
        <v>12379</v>
      </c>
      <c r="Z232" s="2" t="s">
        <v>12342</v>
      </c>
      <c r="AA232" s="2" t="s">
        <v>12343</v>
      </c>
      <c r="AB232" s="106"/>
      <c r="AC232" s="106"/>
      <c r="AD232" s="106"/>
      <c r="AE232" s="1190"/>
      <c r="AF232" s="1190"/>
      <c r="AG232" s="1190"/>
      <c r="AH232" s="1190"/>
      <c r="AI232" s="1190"/>
      <c r="AJ232" s="1190"/>
      <c r="AK232" s="1190"/>
      <c r="AL232" s="1190"/>
      <c r="AM232" s="1190"/>
      <c r="AN232" s="1190"/>
      <c r="AO232" s="1190"/>
      <c r="AP232" s="1190"/>
      <c r="AQ232" s="1190"/>
      <c r="AR232" s="1190"/>
      <c r="AS232" s="1190"/>
      <c r="AT232" s="1190"/>
      <c r="AU232" s="1190"/>
      <c r="AV232" s="1190"/>
      <c r="AW232" s="1190"/>
      <c r="AX232" s="1190"/>
      <c r="AY232" s="1190"/>
      <c r="AZ232" s="1190"/>
      <c r="BA232" s="1190"/>
      <c r="BB232" s="1190"/>
      <c r="BC232" s="1190"/>
      <c r="BD232" s="1190"/>
      <c r="BE232" s="1190"/>
      <c r="BF232" s="1190"/>
      <c r="BG232" s="1190"/>
      <c r="BH232" s="1190"/>
      <c r="BI232" s="1190"/>
      <c r="BJ232" s="1190"/>
      <c r="BK232" s="1190"/>
      <c r="BL232" s="1190"/>
      <c r="BM232" s="1190"/>
      <c r="BN232" s="1190"/>
      <c r="BO232" s="1190"/>
      <c r="CF232" s="1181"/>
    </row>
    <row r="233" spans="11:87" ht="17.25">
      <c r="K233" s="29">
        <v>169</v>
      </c>
      <c r="L233" s="29" t="s">
        <v>626</v>
      </c>
      <c r="V233" s="2" t="s">
        <v>12380</v>
      </c>
      <c r="W233" s="2" t="s">
        <v>12373</v>
      </c>
      <c r="X233" s="2" t="s">
        <v>12381</v>
      </c>
      <c r="Y233" s="2" t="s">
        <v>12382</v>
      </c>
      <c r="Z233" s="2" t="s">
        <v>12342</v>
      </c>
      <c r="AA233" s="2" t="s">
        <v>12343</v>
      </c>
      <c r="AB233" s="106"/>
      <c r="AC233" s="106"/>
      <c r="AD233" s="106"/>
      <c r="AE233" s="1190"/>
      <c r="AF233" s="1190"/>
      <c r="AG233" s="1190"/>
      <c r="AH233" s="1190"/>
      <c r="AI233" s="1190"/>
      <c r="AJ233" s="1190"/>
      <c r="AK233" s="1190"/>
      <c r="AL233" s="1190"/>
      <c r="AM233" s="1190"/>
      <c r="AN233" s="1190"/>
      <c r="AO233" s="1190"/>
      <c r="AP233" s="1190"/>
      <c r="AQ233" s="1190"/>
      <c r="AR233" s="1190"/>
      <c r="AS233" s="1190"/>
      <c r="AT233" s="1190"/>
      <c r="AU233" s="1190"/>
      <c r="AV233" s="1190"/>
      <c r="AW233" s="1190"/>
      <c r="AX233" s="1190"/>
      <c r="AY233" s="1190"/>
      <c r="AZ233" s="1190"/>
      <c r="BA233" s="1190"/>
      <c r="BB233" s="1190"/>
      <c r="BC233" s="1190"/>
      <c r="BD233" s="1190"/>
      <c r="BE233" s="1190"/>
      <c r="BF233" s="1190"/>
      <c r="BG233" s="1190"/>
      <c r="BH233" s="1190"/>
      <c r="BI233" s="1190"/>
      <c r="BJ233" s="1190"/>
      <c r="BK233" s="1190"/>
      <c r="BL233" s="1190"/>
      <c r="BM233" s="1190"/>
      <c r="BN233" s="1190"/>
      <c r="BO233" s="1190"/>
      <c r="CF233" s="1181"/>
    </row>
    <row r="234" spans="11:87" ht="17.25">
      <c r="K234" s="29">
        <v>170</v>
      </c>
      <c r="L234" s="29" t="s">
        <v>627</v>
      </c>
      <c r="V234" s="2" t="s">
        <v>12383</v>
      </c>
      <c r="W234" s="2" t="s">
        <v>12384</v>
      </c>
      <c r="X234" s="2" t="s">
        <v>12385</v>
      </c>
      <c r="Y234" s="2" t="s">
        <v>12386</v>
      </c>
      <c r="Z234" s="2" t="s">
        <v>12336</v>
      </c>
      <c r="AA234" s="2" t="s">
        <v>12337</v>
      </c>
      <c r="AB234" s="106"/>
      <c r="AC234" s="106"/>
      <c r="AD234" s="106"/>
      <c r="AE234" s="1190"/>
      <c r="AF234" s="1190"/>
      <c r="AG234" s="1190"/>
      <c r="AH234" s="1190"/>
      <c r="AI234" s="1190"/>
      <c r="AJ234" s="1190"/>
      <c r="AK234" s="1190"/>
      <c r="AL234" s="1190"/>
      <c r="AM234" s="1190"/>
      <c r="AN234" s="1190"/>
      <c r="AO234" s="1190"/>
      <c r="AP234" s="1190"/>
      <c r="AQ234" s="1190"/>
      <c r="AR234" s="1190"/>
      <c r="AS234" s="1190"/>
      <c r="AT234" s="1190"/>
      <c r="AU234" s="1190"/>
      <c r="AV234" s="1190"/>
      <c r="AW234" s="1190"/>
      <c r="AX234" s="1190"/>
      <c r="AY234" s="1190"/>
      <c r="AZ234" s="1190"/>
      <c r="BA234" s="1190"/>
      <c r="BB234" s="1190"/>
      <c r="BC234" s="1190"/>
      <c r="BD234" s="1190"/>
      <c r="BE234" s="1190"/>
      <c r="BF234" s="1190"/>
      <c r="BG234" s="1190"/>
      <c r="BH234" s="1190"/>
      <c r="BI234" s="1190"/>
      <c r="BJ234" s="1190"/>
      <c r="BK234" s="1190"/>
      <c r="BL234" s="1190"/>
      <c r="BM234" s="1190"/>
      <c r="BN234" s="1190"/>
      <c r="BO234" s="1190"/>
      <c r="CF234" s="1237" t="s">
        <v>7930</v>
      </c>
      <c r="CG234" s="1238" t="s">
        <v>12725</v>
      </c>
      <c r="CH234" s="1238" t="s">
        <v>12726</v>
      </c>
      <c r="CI234" s="1238" t="s">
        <v>5716</v>
      </c>
    </row>
    <row r="235" spans="11:87" ht="17.25">
      <c r="K235" s="29">
        <v>171</v>
      </c>
      <c r="L235" s="29" t="s">
        <v>1629</v>
      </c>
      <c r="V235" s="2" t="s">
        <v>12387</v>
      </c>
      <c r="W235" s="2" t="s">
        <v>12388</v>
      </c>
      <c r="X235" s="2" t="s">
        <v>12389</v>
      </c>
      <c r="Y235" s="2" t="s">
        <v>12390</v>
      </c>
      <c r="Z235" s="2" t="s">
        <v>12391</v>
      </c>
      <c r="AA235" s="2" t="s">
        <v>12331</v>
      </c>
      <c r="AB235" s="106"/>
      <c r="AC235" s="106"/>
      <c r="AD235" s="106"/>
      <c r="AE235" s="1190"/>
      <c r="AF235" s="1190"/>
      <c r="AG235" s="1190"/>
      <c r="AH235" s="1190"/>
      <c r="AI235" s="1190"/>
      <c r="AJ235" s="1190"/>
      <c r="AK235" s="1190"/>
      <c r="AL235" s="1190"/>
      <c r="AM235" s="1190"/>
      <c r="AN235" s="1190"/>
      <c r="AO235" s="1190"/>
      <c r="AP235" s="1190"/>
      <c r="AQ235" s="1190"/>
      <c r="AR235" s="1190"/>
      <c r="AS235" s="1190"/>
      <c r="AT235" s="1190"/>
      <c r="AU235" s="1190"/>
      <c r="AV235" s="1190"/>
      <c r="AW235" s="1190"/>
      <c r="AX235" s="1190"/>
      <c r="AY235" s="1190"/>
      <c r="AZ235" s="1190"/>
      <c r="BA235" s="1190"/>
      <c r="BB235" s="1190"/>
      <c r="BC235" s="1190"/>
      <c r="BD235" s="1190"/>
      <c r="BE235" s="1190"/>
      <c r="BF235" s="1190"/>
      <c r="BG235" s="1190"/>
      <c r="BH235" s="1190"/>
      <c r="BI235" s="1190"/>
      <c r="BJ235" s="1190"/>
      <c r="BK235" s="1190"/>
      <c r="BL235" s="1190"/>
      <c r="BM235" s="1190"/>
      <c r="BN235" s="1190"/>
      <c r="BO235" s="1190"/>
      <c r="CF235" s="1239" t="s">
        <v>12762</v>
      </c>
      <c r="CG235" s="1239">
        <v>59</v>
      </c>
      <c r="CH235" s="1239" t="s">
        <v>12844</v>
      </c>
      <c r="CI235" s="1239" t="s">
        <v>12743</v>
      </c>
    </row>
    <row r="236" spans="11:87" ht="17.25">
      <c r="K236" s="29">
        <v>172</v>
      </c>
      <c r="L236" s="29" t="s">
        <v>386</v>
      </c>
      <c r="V236" s="2" t="s">
        <v>12392</v>
      </c>
      <c r="W236" s="2" t="s">
        <v>12393</v>
      </c>
      <c r="X236" s="2" t="s">
        <v>12394</v>
      </c>
      <c r="Y236" s="2" t="s">
        <v>12395</v>
      </c>
      <c r="Z236" s="2" t="s">
        <v>12342</v>
      </c>
      <c r="AA236" s="2" t="s">
        <v>12343</v>
      </c>
      <c r="AB236" s="106"/>
      <c r="AC236" s="106"/>
      <c r="AD236" s="106"/>
      <c r="AE236" s="1190"/>
      <c r="AF236" s="1190"/>
      <c r="AG236" s="1190"/>
      <c r="AH236" s="1190"/>
      <c r="AI236" s="1190"/>
      <c r="AJ236" s="1190"/>
      <c r="AK236" s="1190"/>
      <c r="AL236" s="1190"/>
      <c r="AM236" s="1190"/>
      <c r="AN236" s="1190"/>
      <c r="AO236" s="1190"/>
      <c r="AP236" s="1190"/>
      <c r="AQ236" s="1190"/>
      <c r="AR236" s="1190"/>
      <c r="AS236" s="1190"/>
      <c r="AT236" s="1190"/>
      <c r="AU236" s="1190"/>
      <c r="AV236" s="1190"/>
      <c r="AW236" s="1190"/>
      <c r="AX236" s="1190"/>
      <c r="AY236" s="1190"/>
      <c r="AZ236" s="1190"/>
      <c r="BA236" s="1190"/>
      <c r="BB236" s="1190"/>
      <c r="BC236" s="1190"/>
      <c r="BD236" s="1190"/>
      <c r="BE236" s="1190"/>
      <c r="BF236" s="1190"/>
      <c r="BG236" s="1190"/>
      <c r="BH236" s="1190"/>
      <c r="BI236" s="1190"/>
      <c r="BJ236" s="1190"/>
      <c r="BK236" s="1190"/>
      <c r="BL236" s="1190"/>
      <c r="BM236" s="1190"/>
      <c r="BN236" s="1190"/>
      <c r="BO236" s="1190"/>
      <c r="CF236" s="1239" t="s">
        <v>12764</v>
      </c>
      <c r="CG236" s="1239" t="s">
        <v>12845</v>
      </c>
      <c r="CH236" s="1239" t="s">
        <v>7685</v>
      </c>
      <c r="CI236" s="1239">
        <v>47</v>
      </c>
    </row>
    <row r="237" spans="11:87" ht="17.25">
      <c r="K237" s="29">
        <v>173</v>
      </c>
      <c r="L237" s="29" t="s">
        <v>1639</v>
      </c>
      <c r="V237" s="2" t="s">
        <v>12396</v>
      </c>
      <c r="W237" s="2" t="s">
        <v>12397</v>
      </c>
      <c r="Y237" s="2" t="s">
        <v>12398</v>
      </c>
      <c r="Z237" s="2" t="s">
        <v>12399</v>
      </c>
      <c r="AA237" s="2" t="s">
        <v>12343</v>
      </c>
      <c r="AB237" s="106"/>
      <c r="AC237" s="106"/>
      <c r="AD237" s="106"/>
      <c r="AE237" s="1190"/>
      <c r="AF237" s="1190"/>
      <c r="AG237" s="1190"/>
      <c r="AH237" s="1190"/>
      <c r="AI237" s="1190"/>
      <c r="AJ237" s="1190"/>
      <c r="AK237" s="1190"/>
      <c r="AL237" s="1190"/>
      <c r="AM237" s="1190"/>
      <c r="AN237" s="1190"/>
      <c r="AO237" s="1190"/>
      <c r="AP237" s="1190"/>
      <c r="AQ237" s="1190"/>
      <c r="AR237" s="1190"/>
      <c r="AS237" s="1190"/>
      <c r="AT237" s="1190"/>
      <c r="AU237" s="1190"/>
      <c r="AV237" s="1190"/>
      <c r="AW237" s="1190"/>
      <c r="AX237" s="1190"/>
      <c r="AY237" s="1190"/>
      <c r="AZ237" s="1190"/>
      <c r="BA237" s="1190"/>
      <c r="BB237" s="1190"/>
      <c r="BC237" s="1190"/>
      <c r="BD237" s="1190"/>
      <c r="BE237" s="1190"/>
      <c r="BF237" s="1190"/>
      <c r="BG237" s="1190"/>
      <c r="BH237" s="1190"/>
      <c r="BI237" s="1190"/>
      <c r="BJ237" s="1190"/>
      <c r="BK237" s="1190"/>
      <c r="BL237" s="1190"/>
      <c r="BM237" s="1190"/>
      <c r="BN237" s="1190"/>
      <c r="BO237" s="1190"/>
      <c r="CF237" s="1239" t="s">
        <v>10015</v>
      </c>
      <c r="CG237" s="1239" t="s">
        <v>12766</v>
      </c>
      <c r="CH237" s="1239" t="s">
        <v>12846</v>
      </c>
      <c r="CI237" s="1239" t="s">
        <v>12819</v>
      </c>
    </row>
    <row r="238" spans="11:87" ht="17.25">
      <c r="K238" s="29">
        <v>174</v>
      </c>
      <c r="L238" s="29" t="s">
        <v>628</v>
      </c>
      <c r="V238" s="2" t="s">
        <v>12400</v>
      </c>
      <c r="W238" s="2" t="s">
        <v>12401</v>
      </c>
      <c r="X238" s="2" t="s">
        <v>12402</v>
      </c>
      <c r="Y238" s="2" t="s">
        <v>12403</v>
      </c>
      <c r="Z238" s="2" t="s">
        <v>12404</v>
      </c>
      <c r="AA238" s="2" t="s">
        <v>12343</v>
      </c>
      <c r="AB238" s="106"/>
      <c r="AC238" s="106"/>
      <c r="AD238" s="106"/>
      <c r="AE238" s="1190"/>
      <c r="AF238" s="1190"/>
      <c r="AG238" s="1190"/>
      <c r="AH238" s="1190"/>
      <c r="AI238" s="1190"/>
      <c r="AJ238" s="1190"/>
      <c r="AK238" s="1190"/>
      <c r="AL238" s="1190"/>
      <c r="AM238" s="1190"/>
      <c r="AN238" s="1190"/>
      <c r="AO238" s="1190"/>
      <c r="AP238" s="1190"/>
      <c r="AQ238" s="1190"/>
      <c r="AR238" s="1190"/>
      <c r="AS238" s="1190"/>
      <c r="AT238" s="1190"/>
      <c r="AU238" s="1190"/>
      <c r="AV238" s="1190"/>
      <c r="AW238" s="1190"/>
      <c r="AX238" s="1190"/>
      <c r="AY238" s="1190"/>
      <c r="AZ238" s="1190"/>
      <c r="BA238" s="1190"/>
      <c r="BB238" s="1190"/>
      <c r="BC238" s="1190"/>
      <c r="BD238" s="1190"/>
      <c r="BE238" s="1190"/>
      <c r="BF238" s="1190"/>
      <c r="BG238" s="1190"/>
      <c r="BH238" s="1190"/>
      <c r="BI238" s="1190"/>
      <c r="BJ238" s="1190"/>
      <c r="BK238" s="1190"/>
      <c r="BL238" s="1190"/>
      <c r="BM238" s="1190"/>
      <c r="BN238" s="1190"/>
      <c r="BO238" s="1190"/>
      <c r="CF238" s="1239" t="s">
        <v>4269</v>
      </c>
      <c r="CG238" s="1239" t="s">
        <v>8036</v>
      </c>
      <c r="CH238" s="1239" t="s">
        <v>12769</v>
      </c>
      <c r="CI238" s="1239" t="s">
        <v>12847</v>
      </c>
    </row>
    <row r="239" spans="11:87" ht="17.25">
      <c r="K239" s="29">
        <v>175</v>
      </c>
      <c r="L239" s="29" t="s">
        <v>1640</v>
      </c>
      <c r="V239" s="2" t="s">
        <v>12405</v>
      </c>
      <c r="W239" s="2" t="s">
        <v>12406</v>
      </c>
      <c r="X239" s="2" t="s">
        <v>12407</v>
      </c>
      <c r="Y239" s="2" t="s">
        <v>12398</v>
      </c>
      <c r="Z239" s="2" t="s">
        <v>12399</v>
      </c>
      <c r="AA239" s="2" t="s">
        <v>12343</v>
      </c>
      <c r="AB239" s="106"/>
      <c r="AC239" s="106"/>
      <c r="AD239" s="106"/>
      <c r="AE239" s="1190"/>
      <c r="AF239" s="1190"/>
      <c r="AG239" s="1190"/>
      <c r="AH239" s="1190"/>
      <c r="AI239" s="1190"/>
      <c r="AJ239" s="1190"/>
      <c r="AK239" s="1190"/>
      <c r="AL239" s="1190"/>
      <c r="AM239" s="1190"/>
      <c r="AN239" s="1190"/>
      <c r="AO239" s="1190"/>
      <c r="AP239" s="1190"/>
      <c r="AQ239" s="1190"/>
      <c r="AR239" s="1190"/>
      <c r="AS239" s="1190"/>
      <c r="AT239" s="1190"/>
      <c r="AU239" s="1190"/>
      <c r="AV239" s="1190"/>
      <c r="AW239" s="1190"/>
      <c r="AX239" s="1190"/>
      <c r="AY239" s="1190"/>
      <c r="AZ239" s="1190"/>
      <c r="BA239" s="1190"/>
      <c r="BB239" s="1190"/>
      <c r="BC239" s="1190"/>
      <c r="BD239" s="1190"/>
      <c r="BE239" s="1190"/>
      <c r="BF239" s="1190"/>
      <c r="BG239" s="1190"/>
      <c r="BH239" s="1190"/>
      <c r="BI239" s="1190"/>
      <c r="BJ239" s="1190"/>
      <c r="BK239" s="1190"/>
      <c r="BL239" s="1190"/>
      <c r="BM239" s="1190"/>
      <c r="BN239" s="1190"/>
      <c r="BO239" s="1190"/>
      <c r="CF239" s="1239" t="s">
        <v>3957</v>
      </c>
      <c r="CG239" s="1239" t="s">
        <v>12768</v>
      </c>
      <c r="CH239" s="1239" t="s">
        <v>12712</v>
      </c>
      <c r="CI239" s="1239" t="s">
        <v>12848</v>
      </c>
    </row>
    <row r="240" spans="11:87" ht="17.25">
      <c r="K240" s="29">
        <v>176</v>
      </c>
      <c r="L240" s="29" t="s">
        <v>629</v>
      </c>
      <c r="V240" s="2" t="s">
        <v>12408</v>
      </c>
      <c r="W240" s="2" t="s">
        <v>12409</v>
      </c>
      <c r="X240" s="2" t="s">
        <v>12410</v>
      </c>
      <c r="Y240" s="2" t="s">
        <v>12411</v>
      </c>
      <c r="Z240" s="2" t="s">
        <v>12336</v>
      </c>
      <c r="AA240" s="2" t="s">
        <v>12337</v>
      </c>
      <c r="AB240" s="106"/>
      <c r="AC240" s="106"/>
      <c r="AD240" s="106"/>
      <c r="AE240" s="1190"/>
      <c r="AF240" s="1190"/>
      <c r="AG240" s="1190"/>
      <c r="AH240" s="1190"/>
      <c r="AI240" s="1190"/>
      <c r="AJ240" s="1190"/>
      <c r="AK240" s="1190"/>
      <c r="AL240" s="1190"/>
      <c r="AM240" s="1190"/>
      <c r="AN240" s="1190"/>
      <c r="AO240" s="1190"/>
      <c r="AP240" s="1190"/>
      <c r="AQ240" s="1190"/>
      <c r="AR240" s="1190"/>
      <c r="AS240" s="1190"/>
      <c r="AT240" s="1190"/>
      <c r="AU240" s="1190"/>
      <c r="AV240" s="1190"/>
      <c r="AW240" s="1190"/>
      <c r="AX240" s="1190"/>
      <c r="AY240" s="1190"/>
      <c r="AZ240" s="1190"/>
      <c r="BA240" s="1190"/>
      <c r="BB240" s="1190"/>
      <c r="BC240" s="1190"/>
      <c r="BD240" s="1190"/>
      <c r="BE240" s="1190"/>
      <c r="BF240" s="1190"/>
      <c r="BG240" s="1190"/>
      <c r="BH240" s="1190"/>
      <c r="BI240" s="1190"/>
      <c r="BJ240" s="1190"/>
      <c r="BK240" s="1190"/>
      <c r="BL240" s="1190"/>
      <c r="BM240" s="1190"/>
      <c r="BN240" s="1190"/>
      <c r="BO240" s="1190"/>
      <c r="CF240" s="1239" t="s">
        <v>3580</v>
      </c>
      <c r="CG240" s="1239" t="s">
        <v>9331</v>
      </c>
      <c r="CH240" s="1239" t="s">
        <v>12849</v>
      </c>
      <c r="CI240" s="1239" t="s">
        <v>12748</v>
      </c>
    </row>
    <row r="241" spans="1:87" ht="17.25">
      <c r="K241" s="29">
        <v>177</v>
      </c>
      <c r="L241" s="29" t="s">
        <v>1630</v>
      </c>
      <c r="V241" s="2" t="s">
        <v>12412</v>
      </c>
      <c r="W241" s="2" t="s">
        <v>12413</v>
      </c>
      <c r="X241" s="2" t="s">
        <v>12414</v>
      </c>
      <c r="Y241" s="2" t="s">
        <v>12415</v>
      </c>
      <c r="Z241" s="2" t="s">
        <v>12416</v>
      </c>
      <c r="AA241" s="2" t="s">
        <v>12343</v>
      </c>
      <c r="AB241" s="106"/>
      <c r="AC241" s="106"/>
      <c r="AD241" s="106"/>
      <c r="AE241" s="1190"/>
      <c r="AF241" s="1190"/>
      <c r="AG241" s="1190"/>
      <c r="AH241" s="1190"/>
      <c r="AI241" s="1190"/>
      <c r="AJ241" s="1190"/>
      <c r="AK241" s="1190"/>
      <c r="AL241" s="1190"/>
      <c r="AM241" s="1190"/>
      <c r="AN241" s="1190"/>
      <c r="AO241" s="1190"/>
      <c r="AP241" s="1190"/>
      <c r="AQ241" s="1190"/>
      <c r="AR241" s="1190"/>
      <c r="AS241" s="1190"/>
      <c r="AT241" s="1190"/>
      <c r="AU241" s="1190"/>
      <c r="AV241" s="1190"/>
      <c r="AW241" s="1190"/>
      <c r="AX241" s="1190"/>
      <c r="AY241" s="1190"/>
      <c r="AZ241" s="1190"/>
      <c r="BA241" s="1190"/>
      <c r="BB241" s="1190"/>
      <c r="BC241" s="1190"/>
      <c r="BD241" s="1190"/>
      <c r="BE241" s="1190"/>
      <c r="BF241" s="1190"/>
      <c r="BG241" s="1190"/>
      <c r="BH241" s="1190"/>
      <c r="BI241" s="1190"/>
      <c r="BJ241" s="1190"/>
      <c r="BK241" s="1190"/>
      <c r="BL241" s="1190"/>
      <c r="BM241" s="1190"/>
      <c r="BN241" s="1190"/>
      <c r="BO241" s="1190"/>
      <c r="CF241" s="1239" t="s">
        <v>4104</v>
      </c>
      <c r="CG241" s="1239" t="s">
        <v>12770</v>
      </c>
      <c r="CH241" s="1239" t="s">
        <v>12770</v>
      </c>
      <c r="CI241" s="1239" t="s">
        <v>12850</v>
      </c>
    </row>
    <row r="242" spans="1:87" ht="17.25">
      <c r="K242" s="29">
        <v>178</v>
      </c>
      <c r="L242" s="29" t="s">
        <v>1631</v>
      </c>
      <c r="V242" s="2" t="s">
        <v>12417</v>
      </c>
      <c r="W242" s="2" t="s">
        <v>12418</v>
      </c>
      <c r="X242" s="2" t="s">
        <v>12419</v>
      </c>
      <c r="Y242" s="2" t="s">
        <v>12420</v>
      </c>
      <c r="Z242" s="2" t="s">
        <v>12417</v>
      </c>
      <c r="AA242" s="2" t="s">
        <v>12371</v>
      </c>
      <c r="AB242" s="106"/>
      <c r="AC242" s="106"/>
      <c r="AD242" s="106"/>
      <c r="AE242" s="1190"/>
      <c r="AF242" s="1190"/>
      <c r="AG242" s="1190"/>
      <c r="AH242" s="1190"/>
      <c r="AI242" s="1190"/>
      <c r="AJ242" s="1190"/>
      <c r="AK242" s="1190"/>
      <c r="AL242" s="1190"/>
      <c r="AM242" s="1190"/>
      <c r="AN242" s="1190"/>
      <c r="AO242" s="1190"/>
      <c r="AP242" s="1190"/>
      <c r="AQ242" s="1190"/>
      <c r="AR242" s="1190"/>
      <c r="AS242" s="1190"/>
      <c r="AT242" s="1190"/>
      <c r="AU242" s="1190"/>
      <c r="AV242" s="1190"/>
      <c r="AW242" s="1190"/>
      <c r="AX242" s="1190"/>
      <c r="AY242" s="1190"/>
      <c r="AZ242" s="1190"/>
      <c r="BA242" s="1190"/>
      <c r="BB242" s="1190"/>
      <c r="BC242" s="1190"/>
      <c r="BD242" s="1190"/>
      <c r="BE242" s="1190"/>
      <c r="BF242" s="1190"/>
      <c r="BG242" s="1190"/>
      <c r="BH242" s="1190"/>
      <c r="BI242" s="1190"/>
      <c r="BJ242" s="1190"/>
      <c r="BK242" s="1190"/>
      <c r="BL242" s="1190"/>
      <c r="BM242" s="1190"/>
      <c r="BN242" s="1190"/>
      <c r="BO242" s="1190"/>
      <c r="CF242" s="1239" t="s">
        <v>4281</v>
      </c>
      <c r="CG242" s="1239" t="s">
        <v>12772</v>
      </c>
      <c r="CH242" s="1239" t="s">
        <v>12851</v>
      </c>
      <c r="CI242" s="1239" t="s">
        <v>12852</v>
      </c>
    </row>
    <row r="243" spans="1:87" ht="17.25">
      <c r="K243" s="29">
        <v>179</v>
      </c>
      <c r="L243" s="29" t="s">
        <v>630</v>
      </c>
      <c r="V243" s="2" t="s">
        <v>12421</v>
      </c>
      <c r="W243" s="2" t="s">
        <v>12422</v>
      </c>
      <c r="Y243" s="2" t="s">
        <v>12423</v>
      </c>
      <c r="Z243" s="2" t="s">
        <v>12424</v>
      </c>
      <c r="AA243" s="2" t="s">
        <v>12343</v>
      </c>
      <c r="AB243" s="106"/>
      <c r="AC243" s="106"/>
      <c r="AD243" s="106"/>
      <c r="AE243" s="1190"/>
      <c r="AF243" s="1190"/>
      <c r="AG243" s="1190"/>
      <c r="AH243" s="1190"/>
      <c r="AI243" s="1190"/>
      <c r="AJ243" s="1190"/>
      <c r="AK243" s="1190"/>
      <c r="AL243" s="1190"/>
      <c r="AM243" s="1190"/>
      <c r="AN243" s="1190"/>
      <c r="AO243" s="1190"/>
      <c r="AP243" s="1190"/>
      <c r="AQ243" s="1190"/>
      <c r="AR243" s="1190"/>
      <c r="AS243" s="1190"/>
      <c r="AT243" s="1190"/>
      <c r="AU243" s="1190"/>
      <c r="AV243" s="1190"/>
      <c r="AW243" s="1190"/>
      <c r="AX243" s="1190"/>
      <c r="AY243" s="1190"/>
      <c r="AZ243" s="1190"/>
      <c r="BA243" s="1190"/>
      <c r="BB243" s="1190"/>
      <c r="BC243" s="1190"/>
      <c r="BD243" s="1190"/>
      <c r="BE243" s="1190"/>
      <c r="BF243" s="1190"/>
      <c r="BG243" s="1190"/>
      <c r="BH243" s="1190"/>
      <c r="BI243" s="1190"/>
      <c r="BJ243" s="1190"/>
      <c r="BK243" s="1190"/>
      <c r="BL243" s="1190"/>
      <c r="BM243" s="1190"/>
      <c r="BN243" s="1190"/>
      <c r="BO243" s="1190"/>
      <c r="CF243" s="1239" t="s">
        <v>3609</v>
      </c>
      <c r="CG243" s="1239">
        <v>80</v>
      </c>
      <c r="CH243" s="1239">
        <v>81</v>
      </c>
      <c r="CI243" s="1239" t="s">
        <v>12853</v>
      </c>
    </row>
    <row r="244" spans="1:87" ht="17.25">
      <c r="K244" s="29">
        <v>180</v>
      </c>
      <c r="L244" s="29" t="s">
        <v>631</v>
      </c>
      <c r="V244" s="2" t="s">
        <v>12425</v>
      </c>
      <c r="W244" s="2" t="s">
        <v>12426</v>
      </c>
      <c r="X244" s="2" t="s">
        <v>12427</v>
      </c>
      <c r="Z244" s="2" t="s">
        <v>12342</v>
      </c>
      <c r="AA244" s="2" t="s">
        <v>12343</v>
      </c>
      <c r="AB244" s="106"/>
      <c r="AC244" s="106"/>
      <c r="AD244" s="106"/>
      <c r="AE244" s="1190"/>
      <c r="AF244" s="1190"/>
      <c r="AG244" s="1190"/>
      <c r="AH244" s="1190"/>
      <c r="AI244" s="1190"/>
      <c r="AJ244" s="1190"/>
      <c r="AK244" s="1190"/>
      <c r="AL244" s="1190"/>
      <c r="AM244" s="1190"/>
      <c r="AN244" s="1190"/>
      <c r="AO244" s="1190"/>
      <c r="AP244" s="1190"/>
      <c r="AQ244" s="1190"/>
      <c r="AR244" s="1190"/>
      <c r="AS244" s="1190"/>
      <c r="AT244" s="1190"/>
      <c r="AU244" s="1190"/>
      <c r="AV244" s="1190"/>
      <c r="AW244" s="1190"/>
      <c r="AX244" s="1190"/>
      <c r="AY244" s="1190"/>
      <c r="AZ244" s="1190"/>
      <c r="BA244" s="1190"/>
      <c r="BB244" s="1190"/>
      <c r="BC244" s="1190"/>
      <c r="BD244" s="1190"/>
      <c r="BE244" s="1190"/>
      <c r="BF244" s="1190"/>
      <c r="BG244" s="1190"/>
      <c r="BH244" s="1190"/>
      <c r="BI244" s="1190"/>
      <c r="BJ244" s="1190"/>
      <c r="BK244" s="1190"/>
      <c r="BL244" s="1190"/>
      <c r="BM244" s="1190"/>
      <c r="BN244" s="1190"/>
      <c r="BO244" s="1190"/>
      <c r="CF244" s="1239" t="s">
        <v>12594</v>
      </c>
      <c r="CG244" s="1239">
        <v>81</v>
      </c>
      <c r="CH244" s="1239">
        <v>82</v>
      </c>
      <c r="CI244" s="1239" t="s">
        <v>12825</v>
      </c>
    </row>
    <row r="245" spans="1:87" ht="17.25">
      <c r="K245" s="29">
        <v>181</v>
      </c>
      <c r="L245" s="29" t="s">
        <v>632</v>
      </c>
      <c r="V245" s="2" t="s">
        <v>12428</v>
      </c>
      <c r="W245" s="2" t="s">
        <v>12327</v>
      </c>
      <c r="X245" s="2" t="s">
        <v>12429</v>
      </c>
      <c r="Y245" s="2" t="s">
        <v>12430</v>
      </c>
      <c r="Z245" s="2" t="s">
        <v>12336</v>
      </c>
      <c r="AA245" s="2" t="s">
        <v>12337</v>
      </c>
      <c r="AB245" s="106"/>
      <c r="AC245" s="106"/>
      <c r="AD245" s="106"/>
      <c r="AE245" s="1190"/>
      <c r="AF245" s="1190"/>
      <c r="AG245" s="1190"/>
      <c r="AH245" s="1190"/>
      <c r="AI245" s="1190"/>
      <c r="AJ245" s="1190"/>
      <c r="AK245" s="1190"/>
      <c r="AL245" s="1190"/>
      <c r="AM245" s="1190"/>
      <c r="AN245" s="1190"/>
      <c r="AO245" s="1190"/>
      <c r="AP245" s="1190"/>
      <c r="AQ245" s="1190"/>
      <c r="AR245" s="1190"/>
      <c r="AS245" s="1190"/>
      <c r="AT245" s="1190"/>
      <c r="AU245" s="1190"/>
      <c r="AV245" s="1190"/>
      <c r="AW245" s="1190"/>
      <c r="AX245" s="1190"/>
      <c r="AY245" s="1190"/>
      <c r="AZ245" s="1190"/>
      <c r="BA245" s="1190"/>
      <c r="BB245" s="1190"/>
      <c r="BC245" s="1190"/>
      <c r="BD245" s="1190"/>
      <c r="BE245" s="1190"/>
      <c r="BF245" s="1190"/>
      <c r="BG245" s="1190"/>
      <c r="BH245" s="1190"/>
      <c r="BI245" s="1190"/>
      <c r="BJ245" s="1190"/>
      <c r="BK245" s="1190"/>
      <c r="BL245" s="1190"/>
      <c r="BM245" s="1190"/>
      <c r="BN245" s="1190"/>
      <c r="BO245" s="1190"/>
      <c r="CF245" s="1239" t="s">
        <v>12854</v>
      </c>
      <c r="CG245" s="1239">
        <v>82</v>
      </c>
      <c r="CH245" s="1239">
        <v>83</v>
      </c>
      <c r="CI245" s="1239" t="s">
        <v>9145</v>
      </c>
    </row>
    <row r="246" spans="1:87" ht="17.25">
      <c r="K246" s="29">
        <v>182</v>
      </c>
      <c r="L246" s="29" t="s">
        <v>231</v>
      </c>
      <c r="V246" s="2" t="s">
        <v>12431</v>
      </c>
      <c r="W246" s="2" t="s">
        <v>12551</v>
      </c>
      <c r="X246" s="2" t="s">
        <v>12432</v>
      </c>
      <c r="Y246" s="2" t="s">
        <v>12420</v>
      </c>
      <c r="Z246" s="2" t="s">
        <v>12433</v>
      </c>
      <c r="AA246" s="2" t="s">
        <v>12337</v>
      </c>
      <c r="AB246" s="106"/>
      <c r="AC246" s="106"/>
      <c r="AD246" s="106"/>
      <c r="AE246" s="1190"/>
      <c r="AF246" s="1190"/>
      <c r="AG246" s="1190"/>
      <c r="AH246" s="1190"/>
      <c r="AI246" s="1190"/>
      <c r="AJ246" s="1190"/>
      <c r="AK246" s="1190"/>
      <c r="AL246" s="1190"/>
      <c r="AM246" s="1190"/>
      <c r="AN246" s="1190"/>
      <c r="AO246" s="1190"/>
      <c r="AP246" s="1190"/>
      <c r="AQ246" s="1190"/>
      <c r="AR246" s="1190"/>
      <c r="AS246" s="1190"/>
      <c r="AT246" s="1190"/>
      <c r="AU246" s="1190"/>
      <c r="AV246" s="1190"/>
      <c r="AW246" s="1190"/>
      <c r="AX246" s="1190"/>
      <c r="AY246" s="1190"/>
      <c r="AZ246" s="1190"/>
      <c r="BA246" s="1190"/>
      <c r="BB246" s="1190"/>
      <c r="BC246" s="1190"/>
      <c r="BD246" s="1190"/>
      <c r="BE246" s="1190"/>
      <c r="BF246" s="1190"/>
      <c r="BG246" s="1190"/>
      <c r="BH246" s="1190"/>
      <c r="BI246" s="1190"/>
      <c r="BJ246" s="1190"/>
      <c r="BK246" s="1190"/>
      <c r="BL246" s="1190"/>
      <c r="BM246" s="1190"/>
      <c r="BN246" s="1190"/>
      <c r="BO246" s="1190"/>
      <c r="CF246" s="1239" t="s">
        <v>12855</v>
      </c>
      <c r="CG246" s="1239">
        <v>83</v>
      </c>
      <c r="CH246" s="1239">
        <v>84</v>
      </c>
      <c r="CI246" s="1239" t="s">
        <v>12856</v>
      </c>
    </row>
    <row r="247" spans="1:87" ht="17.25">
      <c r="K247" s="29">
        <v>183</v>
      </c>
      <c r="L247" s="29" t="s">
        <v>633</v>
      </c>
      <c r="V247" s="2" t="s">
        <v>12435</v>
      </c>
      <c r="W247" s="2" t="s">
        <v>12436</v>
      </c>
      <c r="X247" s="2" t="s">
        <v>12434</v>
      </c>
      <c r="Y247" s="2" t="s">
        <v>12420</v>
      </c>
      <c r="Z247" s="2" t="s">
        <v>12437</v>
      </c>
      <c r="AA247" s="2" t="s">
        <v>12371</v>
      </c>
      <c r="AB247" s="106"/>
      <c r="AC247" s="106"/>
      <c r="AD247" s="106"/>
      <c r="AE247" s="1190"/>
      <c r="AF247" s="1190"/>
      <c r="AG247" s="1190"/>
      <c r="AH247" s="1190"/>
      <c r="AI247" s="1190"/>
      <c r="AJ247" s="1190"/>
      <c r="AK247" s="1190"/>
      <c r="AL247" s="1190"/>
      <c r="AM247" s="1190"/>
      <c r="AN247" s="1190"/>
      <c r="AO247" s="1190"/>
      <c r="AP247" s="1190"/>
      <c r="AQ247" s="1190"/>
      <c r="AR247" s="1190"/>
      <c r="AS247" s="1190"/>
      <c r="AT247" s="1190"/>
      <c r="AU247" s="1190"/>
      <c r="AV247" s="1190"/>
      <c r="AW247" s="1190"/>
      <c r="AX247" s="1190"/>
      <c r="AY247" s="1190"/>
      <c r="AZ247" s="1190"/>
      <c r="BA247" s="1190"/>
      <c r="BB247" s="1190"/>
      <c r="BC247" s="1190"/>
      <c r="BD247" s="1190"/>
      <c r="BE247" s="1190"/>
      <c r="BF247" s="1190"/>
      <c r="BG247" s="1190"/>
      <c r="BH247" s="1190"/>
      <c r="BI247" s="1190"/>
      <c r="BJ247" s="1190"/>
      <c r="BK247" s="1190"/>
      <c r="BL247" s="1190"/>
      <c r="BM247" s="1190"/>
      <c r="BN247" s="1190"/>
      <c r="BO247" s="1190"/>
      <c r="CF247" s="1239" t="s">
        <v>12857</v>
      </c>
      <c r="CG247" s="1239">
        <v>84</v>
      </c>
      <c r="CH247" s="1239">
        <v>85</v>
      </c>
      <c r="CI247" s="1239" t="s">
        <v>12858</v>
      </c>
    </row>
    <row r="248" spans="1:87">
      <c r="V248" s="2" t="s">
        <v>12438</v>
      </c>
      <c r="W248" s="2" t="s">
        <v>12439</v>
      </c>
      <c r="X248" s="2" t="s">
        <v>12440</v>
      </c>
      <c r="Y248" s="2" t="s">
        <v>12441</v>
      </c>
      <c r="Z248" s="2" t="s">
        <v>12433</v>
      </c>
      <c r="AA248" s="2" t="s">
        <v>12337</v>
      </c>
      <c r="AB248" s="106"/>
      <c r="AC248" s="106"/>
      <c r="AD248" s="106"/>
      <c r="AE248" s="1190"/>
      <c r="AF248" s="1190"/>
      <c r="AG248" s="1190"/>
      <c r="AH248" s="1190"/>
      <c r="AI248" s="1190"/>
      <c r="AJ248" s="1190"/>
      <c r="AK248" s="1190"/>
      <c r="AL248" s="1190"/>
      <c r="AM248" s="1190"/>
      <c r="AN248" s="1190"/>
      <c r="AO248" s="1190"/>
      <c r="AP248" s="1190"/>
      <c r="AQ248" s="1190"/>
      <c r="AR248" s="1190"/>
      <c r="AS248" s="1190"/>
      <c r="AT248" s="1190"/>
      <c r="AU248" s="1190"/>
      <c r="AV248" s="1190"/>
      <c r="AW248" s="1190"/>
      <c r="AX248" s="1190"/>
      <c r="AY248" s="1190"/>
      <c r="AZ248" s="1190"/>
      <c r="BA248" s="1190"/>
      <c r="BB248" s="1190"/>
      <c r="BC248" s="1190"/>
      <c r="BD248" s="1190"/>
      <c r="BE248" s="1190"/>
      <c r="BF248" s="1190"/>
      <c r="BG248" s="1190"/>
      <c r="BH248" s="1190"/>
      <c r="BI248" s="1190"/>
      <c r="BJ248" s="1190"/>
      <c r="BK248" s="1190"/>
      <c r="BL248" s="1190"/>
      <c r="BM248" s="1190"/>
      <c r="BN248" s="1190"/>
      <c r="BO248" s="1190"/>
      <c r="CF248" s="1239" t="s">
        <v>2319</v>
      </c>
      <c r="CG248" s="1239" t="s">
        <v>7685</v>
      </c>
      <c r="CH248" s="1239" t="s">
        <v>12803</v>
      </c>
      <c r="CI248" s="1239" t="s">
        <v>12780</v>
      </c>
    </row>
    <row r="249" spans="1:87">
      <c r="V249" s="2" t="s">
        <v>12442</v>
      </c>
      <c r="W249" s="2" t="s">
        <v>12443</v>
      </c>
      <c r="X249" s="2" t="s">
        <v>12444</v>
      </c>
      <c r="Z249" s="2" t="s">
        <v>12336</v>
      </c>
      <c r="AA249" s="2" t="s">
        <v>12337</v>
      </c>
      <c r="AB249" s="106"/>
      <c r="AC249" s="106"/>
      <c r="AD249" s="106"/>
      <c r="AE249" s="1190"/>
      <c r="AF249" s="1190"/>
      <c r="AG249" s="1190"/>
      <c r="AH249" s="1190"/>
      <c r="AI249" s="1190"/>
      <c r="AJ249" s="1190"/>
      <c r="AK249" s="1190"/>
      <c r="AL249" s="1190"/>
      <c r="AM249" s="1190"/>
      <c r="AN249" s="1190"/>
      <c r="AO249" s="1190"/>
      <c r="AP249" s="1190"/>
      <c r="AQ249" s="1190"/>
      <c r="AR249" s="1190"/>
      <c r="AS249" s="1190"/>
      <c r="AT249" s="1190"/>
      <c r="AU249" s="1190"/>
      <c r="AV249" s="1190"/>
      <c r="AW249" s="1190"/>
      <c r="AX249" s="1190"/>
      <c r="AY249" s="1190"/>
      <c r="AZ249" s="1190"/>
      <c r="BA249" s="1190"/>
      <c r="BB249" s="1190"/>
      <c r="BC249" s="1190"/>
      <c r="BD249" s="1190"/>
      <c r="BE249" s="1190"/>
      <c r="BF249" s="1190"/>
      <c r="BG249" s="1190"/>
      <c r="BH249" s="1190"/>
      <c r="BI249" s="1190"/>
      <c r="BJ249" s="1190"/>
      <c r="BK249" s="1190"/>
      <c r="BL249" s="1190"/>
      <c r="BM249" s="1190"/>
      <c r="BN249" s="1190"/>
      <c r="BO249" s="1190"/>
      <c r="CF249" s="1239" t="s">
        <v>12777</v>
      </c>
      <c r="CG249" s="1239">
        <v>85</v>
      </c>
      <c r="CH249" s="1239">
        <v>88</v>
      </c>
      <c r="CI249" s="1239">
        <v>91</v>
      </c>
    </row>
    <row r="250" spans="1:87">
      <c r="V250" s="2" t="s">
        <v>12445</v>
      </c>
      <c r="W250" s="2" t="s">
        <v>12446</v>
      </c>
      <c r="X250" s="2" t="s">
        <v>12447</v>
      </c>
      <c r="Y250" s="2" t="s">
        <v>2315</v>
      </c>
      <c r="Z250" s="2" t="s">
        <v>12342</v>
      </c>
      <c r="AA250" s="2" t="s">
        <v>12343</v>
      </c>
      <c r="AB250" s="106"/>
      <c r="AC250" s="106"/>
      <c r="AD250" s="106"/>
      <c r="AE250" s="1190"/>
      <c r="AF250" s="1190"/>
      <c r="AG250" s="1190"/>
      <c r="AH250" s="1190"/>
      <c r="AI250" s="1190"/>
      <c r="AJ250" s="1190"/>
      <c r="AK250" s="1190"/>
      <c r="AL250" s="1190"/>
      <c r="AM250" s="1190"/>
      <c r="AN250" s="1190"/>
      <c r="AO250" s="1190"/>
      <c r="AP250" s="1190"/>
      <c r="AQ250" s="1190"/>
      <c r="AR250" s="1190"/>
      <c r="AS250" s="1190"/>
      <c r="AT250" s="1190"/>
      <c r="AU250" s="1190"/>
      <c r="AV250" s="1190"/>
      <c r="AW250" s="1190"/>
      <c r="AX250" s="1190"/>
      <c r="AY250" s="1190"/>
      <c r="AZ250" s="1190"/>
      <c r="BA250" s="1190"/>
      <c r="BB250" s="1190"/>
      <c r="BC250" s="1190"/>
      <c r="BD250" s="1190"/>
      <c r="BE250" s="1190"/>
      <c r="BF250" s="1190"/>
      <c r="BG250" s="1190"/>
      <c r="BH250" s="1190"/>
      <c r="BI250" s="1190"/>
      <c r="BJ250" s="1190"/>
      <c r="BK250" s="1190"/>
      <c r="BL250" s="1190"/>
      <c r="BM250" s="1190"/>
      <c r="BN250" s="1190"/>
      <c r="BO250" s="1190"/>
      <c r="CF250" s="1239" t="s">
        <v>5181</v>
      </c>
      <c r="CG250" s="1239">
        <v>86</v>
      </c>
      <c r="CH250" s="1239">
        <v>89</v>
      </c>
      <c r="CI250" s="1239">
        <v>92</v>
      </c>
    </row>
    <row r="251" spans="1:87">
      <c r="V251" s="2" t="s">
        <v>12448</v>
      </c>
      <c r="W251" s="2" t="s">
        <v>12449</v>
      </c>
      <c r="X251" s="2" t="s">
        <v>12450</v>
      </c>
      <c r="Y251" s="2" t="s">
        <v>12451</v>
      </c>
      <c r="Z251" s="2" t="s">
        <v>12452</v>
      </c>
      <c r="AA251" s="2" t="s">
        <v>12453</v>
      </c>
      <c r="AB251" s="106"/>
      <c r="AC251" s="106"/>
      <c r="AD251" s="106"/>
      <c r="AE251" s="1190"/>
      <c r="AF251" s="1190"/>
      <c r="AG251" s="1190"/>
      <c r="AH251" s="1190"/>
      <c r="AI251" s="1190"/>
      <c r="AJ251" s="1190"/>
      <c r="AK251" s="1190"/>
      <c r="AL251" s="1190"/>
      <c r="AM251" s="1190"/>
      <c r="AN251" s="1190"/>
      <c r="AO251" s="1190"/>
      <c r="AP251" s="1190"/>
      <c r="AQ251" s="1190"/>
      <c r="AR251" s="1190"/>
      <c r="AS251" s="1190"/>
      <c r="AT251" s="1190"/>
      <c r="AU251" s="1190"/>
      <c r="AV251" s="1190"/>
      <c r="AW251" s="1190"/>
      <c r="AX251" s="1190"/>
      <c r="AY251" s="1190"/>
      <c r="AZ251" s="1190"/>
      <c r="BA251" s="1190"/>
      <c r="BB251" s="1190"/>
      <c r="BC251" s="1190"/>
      <c r="BD251" s="1190"/>
      <c r="BE251" s="1190"/>
      <c r="BF251" s="1190"/>
      <c r="BG251" s="1190"/>
      <c r="BH251" s="1190"/>
      <c r="BI251" s="1190"/>
      <c r="BJ251" s="1190"/>
      <c r="BK251" s="1190"/>
      <c r="BL251" s="1190"/>
      <c r="BM251" s="1190"/>
      <c r="BN251" s="1190"/>
      <c r="BO251" s="1190"/>
      <c r="CF251" s="1239" t="s">
        <v>5032</v>
      </c>
      <c r="CG251" s="1239" t="s">
        <v>12859</v>
      </c>
      <c r="CH251" s="1239">
        <v>90</v>
      </c>
      <c r="CI251" s="1239">
        <v>93</v>
      </c>
    </row>
    <row r="252" spans="1:87">
      <c r="V252" s="2" t="s">
        <v>12454</v>
      </c>
      <c r="W252" s="2" t="s">
        <v>12455</v>
      </c>
      <c r="X252" s="2" t="s">
        <v>12456</v>
      </c>
      <c r="Y252" s="2" t="s">
        <v>12457</v>
      </c>
      <c r="Z252" s="2" t="s">
        <v>12452</v>
      </c>
      <c r="AA252" s="2" t="s">
        <v>12453</v>
      </c>
      <c r="AB252" s="106"/>
      <c r="AC252" s="106"/>
      <c r="AD252" s="106"/>
      <c r="AE252" s="1190"/>
      <c r="AF252" s="1190"/>
      <c r="AG252" s="1190"/>
      <c r="AH252" s="1190"/>
      <c r="AI252" s="1190"/>
      <c r="AJ252" s="1190"/>
      <c r="AK252" s="1190"/>
      <c r="AL252" s="1190"/>
      <c r="AM252" s="1190"/>
      <c r="AN252" s="1190"/>
      <c r="AO252" s="1190"/>
      <c r="AP252" s="1190"/>
      <c r="AQ252" s="1190"/>
      <c r="AR252" s="1190"/>
      <c r="AS252" s="1190"/>
      <c r="AT252" s="1190"/>
      <c r="AU252" s="1190"/>
      <c r="AV252" s="1190"/>
      <c r="AW252" s="1190"/>
      <c r="AX252" s="1190"/>
      <c r="AY252" s="1190"/>
      <c r="AZ252" s="1190"/>
      <c r="BA252" s="1190"/>
      <c r="BB252" s="1190"/>
      <c r="BC252" s="1190"/>
      <c r="BD252" s="1190"/>
      <c r="BE252" s="1190"/>
      <c r="BF252" s="1190"/>
      <c r="BG252" s="1190"/>
      <c r="BH252" s="1190"/>
      <c r="BI252" s="1190"/>
      <c r="BJ252" s="1190"/>
      <c r="BK252" s="1190"/>
      <c r="BL252" s="1190"/>
      <c r="BM252" s="1190"/>
      <c r="BN252" s="1190"/>
      <c r="BO252" s="1190"/>
      <c r="CF252" s="1239" t="s">
        <v>3789</v>
      </c>
      <c r="CG252" s="1239">
        <v>89</v>
      </c>
      <c r="CH252" s="1239" t="s">
        <v>12715</v>
      </c>
      <c r="CI252" s="1239" t="s">
        <v>12860</v>
      </c>
    </row>
    <row r="253" spans="1:87">
      <c r="V253" s="2" t="s">
        <v>12458</v>
      </c>
      <c r="W253" s="2" t="s">
        <v>12459</v>
      </c>
      <c r="X253" s="2" t="s">
        <v>12460</v>
      </c>
      <c r="Y253" s="2" t="s">
        <v>12411</v>
      </c>
      <c r="Z253" s="2" t="s">
        <v>12336</v>
      </c>
      <c r="AA253" s="2" t="s">
        <v>12337</v>
      </c>
      <c r="AB253" s="106"/>
      <c r="AC253" s="106"/>
      <c r="AD253" s="106"/>
      <c r="AE253" s="1190"/>
      <c r="AF253" s="1190"/>
      <c r="AG253" s="1190"/>
      <c r="AH253" s="1190"/>
      <c r="AI253" s="1190"/>
      <c r="AJ253" s="1190"/>
      <c r="AK253" s="1190"/>
      <c r="AL253" s="1190"/>
      <c r="AM253" s="1190"/>
      <c r="AN253" s="1190"/>
      <c r="AO253" s="1190"/>
      <c r="AP253" s="1190"/>
      <c r="AQ253" s="1190"/>
      <c r="AR253" s="1190"/>
      <c r="AS253" s="1190"/>
      <c r="AT253" s="1190"/>
      <c r="AU253" s="1190"/>
      <c r="AV253" s="1190"/>
      <c r="AW253" s="1190"/>
      <c r="AX253" s="1190"/>
      <c r="AY253" s="1190"/>
      <c r="AZ253" s="1190"/>
      <c r="BA253" s="1190"/>
      <c r="BB253" s="1190"/>
      <c r="BC253" s="1190"/>
      <c r="BD253" s="1190"/>
      <c r="BE253" s="1190"/>
      <c r="BF253" s="1190"/>
      <c r="BG253" s="1190"/>
      <c r="BH253" s="1190"/>
      <c r="BI253" s="1190"/>
      <c r="BJ253" s="1190"/>
      <c r="BK253" s="1190"/>
      <c r="BL253" s="1190"/>
      <c r="BM253" s="1190"/>
      <c r="BN253" s="1190"/>
      <c r="BO253" s="1190"/>
      <c r="CF253" s="1239" t="s">
        <v>12782</v>
      </c>
      <c r="CG253" s="1239" t="s">
        <v>12860</v>
      </c>
      <c r="CH253" s="1239">
        <v>93</v>
      </c>
      <c r="CI253" s="1239">
        <v>92</v>
      </c>
    </row>
    <row r="254" spans="1:87">
      <c r="A254" s="2" t="s">
        <v>7936</v>
      </c>
      <c r="B254" s="2" t="s">
        <v>7935</v>
      </c>
      <c r="V254" s="2" t="s">
        <v>12461</v>
      </c>
      <c r="W254" s="2" t="s">
        <v>12462</v>
      </c>
      <c r="X254" s="2" t="s">
        <v>12463</v>
      </c>
      <c r="Y254" s="2" t="s">
        <v>12464</v>
      </c>
      <c r="Z254" s="2" t="s">
        <v>12342</v>
      </c>
      <c r="AA254" s="2" t="s">
        <v>12343</v>
      </c>
      <c r="AB254" s="106"/>
      <c r="AC254" s="106"/>
      <c r="AD254" s="106"/>
      <c r="AE254" s="1190"/>
      <c r="AF254" s="1190"/>
      <c r="AG254" s="1190"/>
      <c r="AH254" s="1190"/>
      <c r="AI254" s="1190"/>
      <c r="AJ254" s="1190"/>
      <c r="AK254" s="1190"/>
      <c r="AL254" s="1190"/>
      <c r="AM254" s="1190"/>
      <c r="AN254" s="1190"/>
      <c r="AO254" s="1190"/>
      <c r="AP254" s="1190"/>
      <c r="AQ254" s="1190"/>
      <c r="AR254" s="1190"/>
      <c r="AS254" s="1190"/>
      <c r="AT254" s="1190"/>
      <c r="AU254" s="1190"/>
      <c r="AV254" s="1190"/>
      <c r="AW254" s="1190"/>
      <c r="AX254" s="1190"/>
      <c r="AY254" s="1190"/>
      <c r="AZ254" s="1190"/>
      <c r="BA254" s="1190"/>
      <c r="BB254" s="1190"/>
      <c r="BC254" s="1190"/>
      <c r="BD254" s="1190"/>
      <c r="BE254" s="1190"/>
      <c r="BF254" s="1190"/>
      <c r="BG254" s="1190"/>
      <c r="BH254" s="1190"/>
      <c r="BI254" s="1190"/>
      <c r="BJ254" s="1190"/>
      <c r="BK254" s="1190"/>
      <c r="BL254" s="1190"/>
      <c r="BM254" s="1190"/>
      <c r="BN254" s="1190"/>
      <c r="BO254" s="1190"/>
      <c r="CF254" s="1239" t="s">
        <v>12783</v>
      </c>
      <c r="CG254" s="1239">
        <v>92</v>
      </c>
      <c r="CH254" s="1239" t="s">
        <v>7685</v>
      </c>
      <c r="CI254" s="1239">
        <v>93</v>
      </c>
    </row>
    <row r="255" spans="1:87">
      <c r="A255" s="2" t="s">
        <v>7917</v>
      </c>
      <c r="B255" s="2" t="s">
        <v>7916</v>
      </c>
      <c r="V255" s="2" t="s">
        <v>12465</v>
      </c>
      <c r="W255" s="2" t="s">
        <v>12466</v>
      </c>
      <c r="X255" s="2" t="s">
        <v>2315</v>
      </c>
      <c r="Y255" s="2" t="s">
        <v>2315</v>
      </c>
      <c r="Z255" s="2" t="s">
        <v>12417</v>
      </c>
      <c r="AA255" s="2" t="s">
        <v>12371</v>
      </c>
      <c r="AB255" s="106"/>
      <c r="AC255" s="106"/>
      <c r="AD255" s="106"/>
      <c r="AE255" s="1190"/>
      <c r="AF255" s="1190"/>
      <c r="AG255" s="1190"/>
      <c r="AH255" s="1190"/>
      <c r="AI255" s="1190"/>
      <c r="AJ255" s="1190"/>
      <c r="AK255" s="1190"/>
      <c r="AL255" s="1190"/>
      <c r="AM255" s="1190"/>
      <c r="AN255" s="1190"/>
      <c r="AO255" s="1190"/>
      <c r="AP255" s="1190"/>
      <c r="AQ255" s="1190"/>
      <c r="AR255" s="1190"/>
      <c r="AS255" s="1190"/>
      <c r="AT255" s="1190"/>
      <c r="AU255" s="1190"/>
      <c r="AV255" s="1190"/>
      <c r="AW255" s="1190"/>
      <c r="AX255" s="1190"/>
      <c r="AY255" s="1190"/>
      <c r="AZ255" s="1190"/>
      <c r="BA255" s="1190"/>
      <c r="BB255" s="1190"/>
      <c r="BC255" s="1190"/>
      <c r="BD255" s="1190"/>
      <c r="BE255" s="1190"/>
      <c r="BF255" s="1190"/>
      <c r="BG255" s="1190"/>
      <c r="BH255" s="1190"/>
      <c r="BI255" s="1190"/>
      <c r="BJ255" s="1190"/>
      <c r="BK255" s="1190"/>
      <c r="BL255" s="1190"/>
      <c r="BM255" s="1190"/>
      <c r="BN255" s="1190"/>
      <c r="BO255" s="1190"/>
      <c r="CF255" s="1239" t="s">
        <v>12861</v>
      </c>
      <c r="CG255" s="1239">
        <v>93</v>
      </c>
      <c r="CH255" s="1239" t="s">
        <v>7685</v>
      </c>
      <c r="CI255" s="1239" t="s">
        <v>7685</v>
      </c>
    </row>
    <row r="256" spans="1:87">
      <c r="A256" s="2" t="s">
        <v>7899</v>
      </c>
      <c r="B256" s="2" t="s">
        <v>7898</v>
      </c>
      <c r="V256" s="2" t="s">
        <v>12467</v>
      </c>
      <c r="W256" s="2" t="s">
        <v>12468</v>
      </c>
      <c r="X256" s="2" t="s">
        <v>12469</v>
      </c>
      <c r="Y256" s="2" t="s">
        <v>12470</v>
      </c>
      <c r="Z256" s="2" t="s">
        <v>12342</v>
      </c>
      <c r="AA256" s="2" t="s">
        <v>12343</v>
      </c>
      <c r="AB256" s="106"/>
      <c r="AC256" s="106"/>
      <c r="AD256" s="106"/>
      <c r="AE256" s="1190"/>
      <c r="AF256" s="1190"/>
      <c r="AG256" s="1190"/>
      <c r="AH256" s="1190"/>
      <c r="AI256" s="1190"/>
      <c r="AJ256" s="1190"/>
      <c r="AK256" s="1190"/>
      <c r="AL256" s="1190"/>
      <c r="AM256" s="1190"/>
      <c r="AN256" s="1190"/>
      <c r="AO256" s="1190"/>
      <c r="AP256" s="1190"/>
      <c r="AQ256" s="1190"/>
      <c r="AR256" s="1190"/>
      <c r="AS256" s="1190"/>
      <c r="AT256" s="1190"/>
      <c r="AU256" s="1190"/>
      <c r="AV256" s="1190"/>
      <c r="AW256" s="1190"/>
      <c r="AX256" s="1190"/>
      <c r="AY256" s="1190"/>
      <c r="AZ256" s="1190"/>
      <c r="BA256" s="1190"/>
      <c r="BB256" s="1190"/>
      <c r="BC256" s="1190"/>
      <c r="BD256" s="1190"/>
      <c r="BE256" s="1190"/>
      <c r="BF256" s="1190"/>
      <c r="BG256" s="1190"/>
      <c r="BH256" s="1190"/>
      <c r="BI256" s="1190"/>
      <c r="BJ256" s="1190"/>
      <c r="BK256" s="1190"/>
      <c r="BL256" s="1190"/>
      <c r="BM256" s="1190"/>
      <c r="BN256" s="1190"/>
      <c r="BO256" s="1190"/>
      <c r="CF256" s="2247" t="s">
        <v>12862</v>
      </c>
      <c r="CG256" s="2247"/>
      <c r="CH256" s="1239" t="s">
        <v>7685</v>
      </c>
      <c r="CI256" s="1239" t="s">
        <v>7685</v>
      </c>
    </row>
    <row r="257" spans="1:87">
      <c r="A257" s="2" t="s">
        <v>7878</v>
      </c>
      <c r="B257" s="2" t="s">
        <v>7877</v>
      </c>
      <c r="V257" s="2" t="s">
        <v>12317</v>
      </c>
      <c r="W257" s="2" t="s">
        <v>12471</v>
      </c>
      <c r="X257" s="2" t="s">
        <v>12472</v>
      </c>
      <c r="Y257" s="2" t="s">
        <v>12473</v>
      </c>
      <c r="Z257" s="2" t="s">
        <v>12318</v>
      </c>
      <c r="AA257" s="2" t="s">
        <v>12343</v>
      </c>
      <c r="AB257" s="106"/>
      <c r="AC257" s="106"/>
      <c r="AD257" s="106"/>
      <c r="AE257" s="1190"/>
      <c r="AF257" s="1190"/>
      <c r="AG257" s="1190"/>
      <c r="AH257" s="1190"/>
      <c r="AI257" s="1190"/>
      <c r="AJ257" s="1190"/>
      <c r="AK257" s="1190"/>
      <c r="AL257" s="1190"/>
      <c r="AM257" s="1190"/>
      <c r="AN257" s="1190"/>
      <c r="AO257" s="1190"/>
      <c r="AP257" s="1190"/>
      <c r="AQ257" s="1190"/>
      <c r="AR257" s="1190"/>
      <c r="AS257" s="1190"/>
      <c r="AT257" s="1190"/>
      <c r="AU257" s="1190"/>
      <c r="AV257" s="1190"/>
      <c r="AW257" s="1190"/>
      <c r="AX257" s="1190"/>
      <c r="AY257" s="1190"/>
      <c r="AZ257" s="1190"/>
      <c r="BA257" s="1190"/>
      <c r="BB257" s="1190"/>
      <c r="BC257" s="1190"/>
      <c r="BD257" s="1190"/>
      <c r="BE257" s="1190"/>
      <c r="BF257" s="1190"/>
      <c r="BG257" s="1190"/>
      <c r="BH257" s="1190"/>
      <c r="BI257" s="1190"/>
      <c r="BJ257" s="1190"/>
      <c r="BK257" s="1190"/>
      <c r="BL257" s="1190"/>
      <c r="BM257" s="1190"/>
      <c r="BN257" s="1190"/>
      <c r="BO257" s="1190"/>
      <c r="CF257" s="1239" t="s">
        <v>12784</v>
      </c>
      <c r="CG257" s="1239">
        <v>95</v>
      </c>
      <c r="CH257" s="1239" t="s">
        <v>12785</v>
      </c>
      <c r="CI257" s="1239" t="s">
        <v>12785</v>
      </c>
    </row>
    <row r="258" spans="1:87">
      <c r="A258" s="2" t="s">
        <v>7858</v>
      </c>
      <c r="B258" s="2" t="s">
        <v>7857</v>
      </c>
      <c r="V258" s="2" t="s">
        <v>12474</v>
      </c>
      <c r="W258" s="2" t="s">
        <v>12475</v>
      </c>
      <c r="Y258" s="2" t="s">
        <v>12476</v>
      </c>
      <c r="Z258" s="2" t="s">
        <v>12342</v>
      </c>
      <c r="AA258" s="2" t="s">
        <v>12343</v>
      </c>
      <c r="AB258" s="106"/>
      <c r="AC258" s="106"/>
      <c r="AD258" s="106"/>
      <c r="AE258" s="1190"/>
      <c r="AF258" s="1190"/>
      <c r="AG258" s="1190"/>
      <c r="AH258" s="1190"/>
      <c r="AI258" s="1190"/>
      <c r="AJ258" s="1190"/>
      <c r="AK258" s="1190"/>
      <c r="AL258" s="1190"/>
      <c r="AM258" s="1190"/>
      <c r="AN258" s="1190"/>
      <c r="AO258" s="1190"/>
      <c r="AP258" s="1190"/>
      <c r="AQ258" s="1190"/>
      <c r="AR258" s="1190"/>
      <c r="AS258" s="1190"/>
      <c r="AT258" s="1190"/>
      <c r="AU258" s="1190"/>
      <c r="AV258" s="1190"/>
      <c r="AW258" s="1190"/>
      <c r="AX258" s="1190"/>
      <c r="AY258" s="1190"/>
      <c r="AZ258" s="1190"/>
      <c r="BA258" s="1190"/>
      <c r="BB258" s="1190"/>
      <c r="BC258" s="1190"/>
      <c r="BD258" s="1190"/>
      <c r="BE258" s="1190"/>
      <c r="BF258" s="1190"/>
      <c r="BG258" s="1190"/>
      <c r="BH258" s="1190"/>
      <c r="BI258" s="1190"/>
      <c r="BJ258" s="1190"/>
      <c r="BK258" s="1190"/>
      <c r="BL258" s="1190"/>
      <c r="BM258" s="1190"/>
      <c r="BN258" s="1190"/>
      <c r="BO258" s="1190"/>
      <c r="CF258" s="1239" t="s">
        <v>12786</v>
      </c>
      <c r="CG258" s="1239">
        <v>96</v>
      </c>
      <c r="CH258" s="1239" t="s">
        <v>7685</v>
      </c>
      <c r="CI258" s="1239">
        <v>96</v>
      </c>
    </row>
    <row r="259" spans="1:87">
      <c r="A259" s="2" t="s">
        <v>7835</v>
      </c>
      <c r="B259" s="2" t="s">
        <v>7834</v>
      </c>
      <c r="V259" s="2" t="s">
        <v>12477</v>
      </c>
      <c r="W259" s="2" t="s">
        <v>12478</v>
      </c>
      <c r="X259" s="2" t="s">
        <v>12479</v>
      </c>
      <c r="Y259" s="2" t="s">
        <v>12480</v>
      </c>
      <c r="Z259" s="2" t="s">
        <v>12452</v>
      </c>
      <c r="AA259" s="2" t="s">
        <v>12453</v>
      </c>
      <c r="AB259" s="106"/>
      <c r="AC259" s="106"/>
      <c r="AD259" s="106"/>
      <c r="AE259" s="1190"/>
      <c r="AF259" s="1190"/>
      <c r="AG259" s="1190"/>
      <c r="AH259" s="1190"/>
      <c r="AI259" s="1190"/>
      <c r="AJ259" s="1190"/>
      <c r="AK259" s="1190"/>
      <c r="AL259" s="1190"/>
      <c r="AM259" s="1190"/>
      <c r="AN259" s="1190"/>
      <c r="AO259" s="1190"/>
      <c r="AP259" s="1190"/>
      <c r="AQ259" s="1190"/>
      <c r="AR259" s="1190"/>
      <c r="AS259" s="1190"/>
      <c r="AT259" s="1190"/>
      <c r="AU259" s="1190"/>
      <c r="AV259" s="1190"/>
      <c r="AW259" s="1190"/>
      <c r="AX259" s="1190"/>
      <c r="AY259" s="1190"/>
      <c r="AZ259" s="1190"/>
      <c r="BA259" s="1190"/>
      <c r="BB259" s="1190"/>
      <c r="BC259" s="1190"/>
      <c r="BD259" s="1190"/>
      <c r="BE259" s="1190"/>
      <c r="BF259" s="1190"/>
      <c r="BG259" s="1190"/>
      <c r="BH259" s="1190"/>
      <c r="BI259" s="1190"/>
      <c r="BJ259" s="1190"/>
      <c r="BK259" s="1190"/>
      <c r="BL259" s="1190"/>
      <c r="BM259" s="1190"/>
      <c r="BN259" s="1190"/>
      <c r="BO259" s="1190"/>
      <c r="CF259" s="1239" t="s">
        <v>12787</v>
      </c>
      <c r="CG259" s="1239">
        <v>97</v>
      </c>
      <c r="CH259" s="1239" t="s">
        <v>12788</v>
      </c>
      <c r="CI259" s="1239">
        <v>97</v>
      </c>
    </row>
    <row r="260" spans="1:87">
      <c r="A260" s="2" t="s">
        <v>7812</v>
      </c>
      <c r="B260" s="2" t="s">
        <v>7811</v>
      </c>
      <c r="V260" s="2" t="s">
        <v>12481</v>
      </c>
      <c r="W260" s="2" t="s">
        <v>12482</v>
      </c>
      <c r="X260" s="2" t="s">
        <v>12483</v>
      </c>
      <c r="Y260" s="2" t="s">
        <v>12335</v>
      </c>
      <c r="Z260" s="2" t="s">
        <v>12433</v>
      </c>
      <c r="AA260" s="2" t="s">
        <v>12337</v>
      </c>
      <c r="AB260" s="106"/>
      <c r="AC260" s="106"/>
      <c r="AD260" s="106"/>
      <c r="AE260" s="1190"/>
      <c r="AF260" s="1190"/>
      <c r="AG260" s="1190"/>
      <c r="AH260" s="1190"/>
      <c r="AI260" s="1190"/>
      <c r="AJ260" s="1190"/>
      <c r="AK260" s="1190"/>
      <c r="AL260" s="1190"/>
      <c r="AM260" s="1190"/>
      <c r="AN260" s="1190"/>
      <c r="AO260" s="1190"/>
      <c r="AP260" s="1190"/>
      <c r="AQ260" s="1190"/>
      <c r="AR260" s="1190"/>
      <c r="AS260" s="1190"/>
      <c r="AT260" s="1190"/>
      <c r="AU260" s="1190"/>
      <c r="AV260" s="1190"/>
      <c r="AW260" s="1190"/>
      <c r="AX260" s="1190"/>
      <c r="AY260" s="1190"/>
      <c r="AZ260" s="1190"/>
      <c r="BA260" s="1190"/>
      <c r="BB260" s="1190"/>
      <c r="BC260" s="1190"/>
      <c r="BD260" s="1190"/>
      <c r="BE260" s="1190"/>
      <c r="BF260" s="1190"/>
      <c r="BG260" s="1190"/>
      <c r="BH260" s="1190"/>
      <c r="BI260" s="1190"/>
      <c r="BJ260" s="1190"/>
      <c r="BK260" s="1190"/>
      <c r="BL260" s="1190"/>
      <c r="BM260" s="1190"/>
      <c r="BN260" s="1190"/>
      <c r="BO260" s="1190"/>
      <c r="CF260" s="1239" t="s">
        <v>2837</v>
      </c>
      <c r="CG260" s="1239">
        <v>98</v>
      </c>
      <c r="CH260" s="1239">
        <v>98</v>
      </c>
      <c r="CI260" s="1239">
        <v>98</v>
      </c>
    </row>
    <row r="261" spans="1:87">
      <c r="A261" s="2" t="s">
        <v>7796</v>
      </c>
      <c r="B261" s="2" t="s">
        <v>7795</v>
      </c>
      <c r="V261" s="2" t="s">
        <v>12484</v>
      </c>
      <c r="W261" s="2" t="s">
        <v>12485</v>
      </c>
      <c r="X261" s="2" t="s">
        <v>12486</v>
      </c>
      <c r="Y261" s="2" t="s">
        <v>12487</v>
      </c>
      <c r="Z261" s="2" t="s">
        <v>12433</v>
      </c>
      <c r="AA261" s="2" t="s">
        <v>12337</v>
      </c>
      <c r="AB261" s="106"/>
      <c r="AC261" s="106"/>
      <c r="AD261" s="106"/>
      <c r="AE261" s="1190"/>
      <c r="AF261" s="1190"/>
      <c r="AG261" s="1190"/>
      <c r="AH261" s="1190"/>
      <c r="AI261" s="1190"/>
      <c r="AJ261" s="1190"/>
      <c r="AK261" s="1190"/>
      <c r="AL261" s="1190"/>
      <c r="AM261" s="1190"/>
      <c r="AN261" s="1190"/>
      <c r="AO261" s="1190"/>
      <c r="AP261" s="1190"/>
      <c r="AQ261" s="1190"/>
      <c r="AR261" s="1190"/>
      <c r="AS261" s="1190"/>
      <c r="AT261" s="1190"/>
      <c r="AU261" s="1190"/>
      <c r="AV261" s="1190"/>
      <c r="AW261" s="1190"/>
      <c r="AX261" s="1190"/>
      <c r="AY261" s="1190"/>
      <c r="AZ261" s="1190"/>
      <c r="BA261" s="1190"/>
      <c r="BB261" s="1190"/>
      <c r="BC261" s="1190"/>
      <c r="BD261" s="1190"/>
      <c r="BE261" s="1190"/>
      <c r="BF261" s="1190"/>
      <c r="BG261" s="1190"/>
      <c r="BH261" s="1190"/>
      <c r="BI261" s="1190"/>
      <c r="BJ261" s="1190"/>
      <c r="BK261" s="1190"/>
      <c r="BL261" s="1190"/>
      <c r="BM261" s="1190"/>
      <c r="BN261" s="1190"/>
      <c r="BO261" s="1190"/>
      <c r="CF261" s="1239" t="s">
        <v>12789</v>
      </c>
      <c r="CG261" s="1239">
        <v>99</v>
      </c>
      <c r="CH261" s="1239">
        <v>99</v>
      </c>
      <c r="CI261" s="1239">
        <v>99</v>
      </c>
    </row>
    <row r="262" spans="1:87">
      <c r="V262" s="2" t="s">
        <v>12488</v>
      </c>
      <c r="W262" s="2" t="s">
        <v>12489</v>
      </c>
      <c r="X262" s="2" t="s">
        <v>12490</v>
      </c>
      <c r="Y262" s="2" t="s">
        <v>12491</v>
      </c>
      <c r="Z262" s="2" t="s">
        <v>12342</v>
      </c>
      <c r="AA262" s="2" t="s">
        <v>12343</v>
      </c>
      <c r="AB262" s="106"/>
      <c r="AC262" s="106"/>
      <c r="AD262" s="106"/>
      <c r="AE262" s="1190"/>
      <c r="AF262" s="1190"/>
      <c r="AG262" s="1190"/>
      <c r="AH262" s="1190"/>
      <c r="AI262" s="1190"/>
      <c r="AJ262" s="1190"/>
      <c r="AK262" s="1190"/>
      <c r="AL262" s="1190"/>
      <c r="AM262" s="1190"/>
      <c r="AN262" s="1190"/>
      <c r="AO262" s="1190"/>
      <c r="AP262" s="1190"/>
      <c r="AQ262" s="1190"/>
      <c r="AR262" s="1190"/>
      <c r="AS262" s="1190"/>
      <c r="AT262" s="1190"/>
      <c r="AU262" s="1190"/>
      <c r="AV262" s="1190"/>
      <c r="AW262" s="1190"/>
      <c r="AX262" s="1190"/>
      <c r="AY262" s="1190"/>
      <c r="AZ262" s="1190"/>
      <c r="BA262" s="1190"/>
      <c r="BB262" s="1190"/>
      <c r="BC262" s="1190"/>
      <c r="BD262" s="1190"/>
      <c r="BE262" s="1190"/>
      <c r="BF262" s="1190"/>
      <c r="BG262" s="1190"/>
      <c r="BH262" s="1190"/>
      <c r="BI262" s="1190"/>
      <c r="BJ262" s="1190"/>
      <c r="BK262" s="1190"/>
      <c r="BL262" s="1190"/>
      <c r="BM262" s="1190"/>
      <c r="BN262" s="1190"/>
      <c r="BO262" s="1190"/>
      <c r="CF262" s="1239" t="s">
        <v>12672</v>
      </c>
      <c r="CG262" s="1239">
        <v>0</v>
      </c>
      <c r="CH262" s="1239">
        <v>0</v>
      </c>
      <c r="CI262" s="1239">
        <v>0</v>
      </c>
    </row>
    <row r="263" spans="1:87" ht="17.25">
      <c r="V263" s="2" t="s">
        <v>12492</v>
      </c>
      <c r="W263" s="2" t="s">
        <v>12493</v>
      </c>
      <c r="X263" s="2" t="s">
        <v>12494</v>
      </c>
      <c r="Y263" s="2" t="s">
        <v>12495</v>
      </c>
      <c r="Z263" s="2" t="s">
        <v>12336</v>
      </c>
      <c r="AA263" s="2" t="s">
        <v>12337</v>
      </c>
      <c r="AB263" s="106"/>
      <c r="AC263" s="106"/>
      <c r="AD263" s="106"/>
      <c r="AE263" s="1190"/>
      <c r="AF263" s="1190"/>
      <c r="AG263" s="1190"/>
      <c r="AH263" s="1190"/>
      <c r="AI263" s="1190"/>
      <c r="AJ263" s="1190"/>
      <c r="AK263" s="1190"/>
      <c r="AL263" s="1190"/>
      <c r="AM263" s="1190"/>
      <c r="AN263" s="1190"/>
      <c r="AO263" s="1190"/>
      <c r="AP263" s="1190"/>
      <c r="AQ263" s="1190"/>
      <c r="AR263" s="1190"/>
      <c r="AS263" s="1190"/>
      <c r="AT263" s="1190"/>
      <c r="AU263" s="1190"/>
      <c r="AV263" s="1190"/>
      <c r="AW263" s="1190"/>
      <c r="AX263" s="1190"/>
      <c r="AY263" s="1190"/>
      <c r="AZ263" s="1190"/>
      <c r="BA263" s="1190"/>
      <c r="BB263" s="1190"/>
      <c r="BC263" s="1190"/>
      <c r="BD263" s="1190"/>
      <c r="BE263" s="1190"/>
      <c r="BF263" s="1190"/>
      <c r="BG263" s="1190"/>
      <c r="BH263" s="1190"/>
      <c r="BI263" s="1190"/>
      <c r="BJ263" s="1190"/>
      <c r="BK263" s="1190"/>
      <c r="BL263" s="1190"/>
      <c r="BM263" s="1190"/>
      <c r="BN263" s="1190"/>
      <c r="BO263" s="1190"/>
      <c r="CF263" s="29"/>
    </row>
    <row r="264" spans="1:87" ht="19.5">
      <c r="A264" s="2" t="s">
        <v>7948</v>
      </c>
      <c r="V264" s="2" t="s">
        <v>12496</v>
      </c>
      <c r="W264" s="2" t="s">
        <v>12497</v>
      </c>
      <c r="X264" s="2" t="s">
        <v>12498</v>
      </c>
      <c r="Y264" s="2" t="s">
        <v>12499</v>
      </c>
      <c r="Z264" s="2" t="s">
        <v>12424</v>
      </c>
      <c r="AA264" s="2" t="s">
        <v>12343</v>
      </c>
      <c r="AB264" s="106"/>
      <c r="AC264" s="106"/>
      <c r="AD264" s="106"/>
      <c r="AE264" s="1190"/>
      <c r="AF264" s="1190"/>
      <c r="AG264" s="1190"/>
      <c r="AH264" s="1190"/>
      <c r="AI264" s="1190"/>
      <c r="AJ264" s="1190"/>
      <c r="AK264" s="1190"/>
      <c r="AL264" s="1190"/>
      <c r="AM264" s="1190"/>
      <c r="AN264" s="1190"/>
      <c r="AO264" s="1190"/>
      <c r="AP264" s="1190"/>
      <c r="AQ264" s="1190"/>
      <c r="AR264" s="1190"/>
      <c r="AS264" s="1190"/>
      <c r="AT264" s="1190"/>
      <c r="AU264" s="1190"/>
      <c r="AV264" s="1190"/>
      <c r="AW264" s="1190"/>
      <c r="AX264" s="1190"/>
      <c r="AY264" s="1190"/>
      <c r="AZ264" s="1190"/>
      <c r="BA264" s="1190"/>
      <c r="BB264" s="1190"/>
      <c r="BC264" s="1190"/>
      <c r="BD264" s="1190"/>
      <c r="BE264" s="1190"/>
      <c r="BF264" s="1190"/>
      <c r="BG264" s="1190"/>
      <c r="BH264" s="1190"/>
      <c r="BI264" s="1190"/>
      <c r="BJ264" s="1190"/>
      <c r="BK264" s="1190"/>
      <c r="BL264" s="1190"/>
      <c r="BM264" s="1190"/>
      <c r="BN264" s="1190"/>
      <c r="BO264" s="1190"/>
      <c r="CF264" s="783" t="s">
        <v>12863</v>
      </c>
    </row>
    <row r="265" spans="1:87" ht="15">
      <c r="V265" s="2" t="s">
        <v>12500</v>
      </c>
      <c r="W265" s="2" t="s">
        <v>12501</v>
      </c>
      <c r="X265" s="2" t="s">
        <v>12502</v>
      </c>
      <c r="Y265" s="2" t="s">
        <v>12503</v>
      </c>
      <c r="Z265" s="2" t="s">
        <v>12504</v>
      </c>
      <c r="AA265" s="2" t="s">
        <v>12337</v>
      </c>
      <c r="AB265" s="106"/>
      <c r="AC265" s="106"/>
      <c r="AD265" s="106"/>
      <c r="AE265" s="1190"/>
      <c r="AF265" s="1190"/>
      <c r="AG265" s="1190"/>
      <c r="AH265" s="1190"/>
      <c r="AI265" s="1190"/>
      <c r="AJ265" s="1190"/>
      <c r="AK265" s="1190"/>
      <c r="AL265" s="1190"/>
      <c r="AM265" s="1190"/>
      <c r="AN265" s="1190"/>
      <c r="AO265" s="1190"/>
      <c r="AP265" s="1190"/>
      <c r="AQ265" s="1190"/>
      <c r="AR265" s="1190"/>
      <c r="AS265" s="1190"/>
      <c r="AT265" s="1190"/>
      <c r="AU265" s="1190"/>
      <c r="AV265" s="1190"/>
      <c r="AW265" s="1190"/>
      <c r="AX265" s="1190"/>
      <c r="AY265" s="1190"/>
      <c r="AZ265" s="1190"/>
      <c r="BA265" s="1190"/>
      <c r="BB265" s="1190"/>
      <c r="BC265" s="1190"/>
      <c r="BD265" s="1190"/>
      <c r="BE265" s="1190"/>
      <c r="BF265" s="1190"/>
      <c r="BG265" s="1190"/>
      <c r="BH265" s="1190"/>
      <c r="BI265" s="1190"/>
      <c r="BJ265" s="1190"/>
      <c r="BK265" s="1190"/>
      <c r="BL265" s="1190"/>
      <c r="BM265" s="1190"/>
      <c r="BN265" s="1190"/>
      <c r="BO265" s="1190"/>
      <c r="CF265" s="1237" t="s">
        <v>7930</v>
      </c>
      <c r="CG265" s="1238" t="s">
        <v>12725</v>
      </c>
      <c r="CH265" s="1238" t="s">
        <v>12726</v>
      </c>
    </row>
    <row r="266" spans="1:87">
      <c r="A266" s="2" t="s">
        <v>7934</v>
      </c>
      <c r="B266" s="2" t="s">
        <v>1644</v>
      </c>
      <c r="D266" s="2" t="s">
        <v>7933</v>
      </c>
      <c r="E266" s="2" t="s">
        <v>6891</v>
      </c>
      <c r="F266" s="2" t="s">
        <v>7932</v>
      </c>
      <c r="G266" s="2" t="s">
        <v>7931</v>
      </c>
      <c r="V266" s="2" t="s">
        <v>12505</v>
      </c>
      <c r="W266" s="2" t="s">
        <v>12506</v>
      </c>
      <c r="X266" s="2" t="s">
        <v>12507</v>
      </c>
      <c r="Y266" s="2" t="s">
        <v>12508</v>
      </c>
      <c r="Z266" s="2" t="s">
        <v>12342</v>
      </c>
      <c r="AA266" s="2" t="s">
        <v>12343</v>
      </c>
      <c r="AB266" s="106"/>
      <c r="AC266" s="106"/>
      <c r="AD266" s="106"/>
      <c r="AE266" s="1190"/>
      <c r="AF266" s="1190"/>
      <c r="AG266" s="1190"/>
      <c r="AH266" s="1190"/>
      <c r="AI266" s="1190"/>
      <c r="AJ266" s="1190"/>
      <c r="AK266" s="1190"/>
      <c r="AL266" s="1190"/>
      <c r="AM266" s="1190"/>
      <c r="AN266" s="1190"/>
      <c r="AO266" s="1190"/>
      <c r="AP266" s="1190"/>
      <c r="AQ266" s="1190"/>
      <c r="AR266" s="1190"/>
      <c r="AS266" s="1190"/>
      <c r="AT266" s="1190"/>
      <c r="AU266" s="1190"/>
      <c r="AV266" s="1190"/>
      <c r="AW266" s="1190"/>
      <c r="AX266" s="1190"/>
      <c r="AY266" s="1190"/>
      <c r="AZ266" s="1190"/>
      <c r="BA266" s="1190"/>
      <c r="BB266" s="1190"/>
      <c r="BC266" s="1190"/>
      <c r="BD266" s="1190"/>
      <c r="BE266" s="1190"/>
      <c r="BF266" s="1190"/>
      <c r="BG266" s="1190"/>
      <c r="BH266" s="1190"/>
      <c r="BI266" s="1190"/>
      <c r="BJ266" s="1190"/>
      <c r="BK266" s="1190"/>
      <c r="BL266" s="1190"/>
      <c r="BM266" s="1190"/>
      <c r="BN266" s="1190"/>
      <c r="BO266" s="1190"/>
      <c r="CF266" s="1239" t="s">
        <v>12727</v>
      </c>
      <c r="CG266" s="1241">
        <v>44166</v>
      </c>
      <c r="CH266" s="1241">
        <v>44166</v>
      </c>
    </row>
    <row r="267" spans="1:87">
      <c r="A267" s="2">
        <v>1</v>
      </c>
      <c r="B267" s="2" t="s">
        <v>7915</v>
      </c>
      <c r="D267" s="2" t="s">
        <v>7914</v>
      </c>
      <c r="E267" s="2" t="s">
        <v>7913</v>
      </c>
      <c r="F267" s="2" t="s">
        <v>7912</v>
      </c>
      <c r="G267" s="2" t="s">
        <v>7911</v>
      </c>
      <c r="V267" s="2" t="s">
        <v>12509</v>
      </c>
      <c r="W267" s="2" t="s">
        <v>12501</v>
      </c>
      <c r="X267" s="2" t="s">
        <v>12510</v>
      </c>
      <c r="Y267" s="2" t="s">
        <v>12511</v>
      </c>
      <c r="Z267" s="2" t="s">
        <v>12504</v>
      </c>
      <c r="AA267" s="2" t="s">
        <v>12337</v>
      </c>
      <c r="AB267" s="106"/>
      <c r="AC267" s="106"/>
      <c r="AD267" s="106"/>
      <c r="AE267" s="1190"/>
      <c r="AF267" s="1190"/>
      <c r="AG267" s="1190"/>
      <c r="AH267" s="1190"/>
      <c r="AI267" s="1190"/>
      <c r="AJ267" s="1190"/>
      <c r="AK267" s="1190"/>
      <c r="AL267" s="1190"/>
      <c r="AM267" s="1190"/>
      <c r="AN267" s="1190"/>
      <c r="AO267" s="1190"/>
      <c r="AP267" s="1190"/>
      <c r="AQ267" s="1190"/>
      <c r="AR267" s="1190"/>
      <c r="AS267" s="1190"/>
      <c r="AT267" s="1190"/>
      <c r="AU267" s="1190"/>
      <c r="AV267" s="1190"/>
      <c r="AW267" s="1190"/>
      <c r="AX267" s="1190"/>
      <c r="AY267" s="1190"/>
      <c r="AZ267" s="1190"/>
      <c r="BA267" s="1190"/>
      <c r="BB267" s="1190"/>
      <c r="BC267" s="1190"/>
      <c r="BD267" s="1190"/>
      <c r="BE267" s="1190"/>
      <c r="BF267" s="1190"/>
      <c r="BG267" s="1190"/>
      <c r="BH267" s="1190"/>
      <c r="BI267" s="1190"/>
      <c r="BJ267" s="1190"/>
      <c r="BK267" s="1190"/>
      <c r="BL267" s="1190"/>
      <c r="BM267" s="1190"/>
      <c r="BN267" s="1190"/>
      <c r="BO267" s="1190"/>
      <c r="CF267" s="1239" t="s">
        <v>12728</v>
      </c>
      <c r="CG267" s="1239" t="s">
        <v>12808</v>
      </c>
      <c r="CH267" s="1239" t="s">
        <v>12809</v>
      </c>
    </row>
    <row r="268" spans="1:87">
      <c r="A268" s="2">
        <v>2</v>
      </c>
      <c r="B268" s="2" t="s">
        <v>7897</v>
      </c>
      <c r="D268" s="2" t="s">
        <v>7896</v>
      </c>
      <c r="E268" s="2" t="s">
        <v>7895</v>
      </c>
      <c r="F268" s="2" t="s">
        <v>7894</v>
      </c>
      <c r="G268" s="2" t="s">
        <v>7893</v>
      </c>
      <c r="V268" s="2" t="s">
        <v>12512</v>
      </c>
      <c r="W268" s="2" t="s">
        <v>12513</v>
      </c>
      <c r="X268" s="2" t="s">
        <v>12514</v>
      </c>
      <c r="Y268" s="2" t="s">
        <v>12515</v>
      </c>
      <c r="Z268" s="2" t="s">
        <v>12452</v>
      </c>
      <c r="AA268" s="2" t="s">
        <v>12516</v>
      </c>
      <c r="AB268" s="106"/>
      <c r="AC268" s="106"/>
      <c r="AD268" s="106"/>
      <c r="AE268" s="1190"/>
      <c r="AF268" s="1190"/>
      <c r="AG268" s="1190"/>
      <c r="AH268" s="1190"/>
      <c r="AI268" s="1190"/>
      <c r="AJ268" s="1190"/>
      <c r="AK268" s="1190"/>
      <c r="AL268" s="1190"/>
      <c r="AM268" s="1190"/>
      <c r="AN268" s="1190"/>
      <c r="AO268" s="1190"/>
      <c r="AP268" s="1190"/>
      <c r="AQ268" s="1190"/>
      <c r="AR268" s="1190"/>
      <c r="AS268" s="1190"/>
      <c r="AT268" s="1190"/>
      <c r="AU268" s="1190"/>
      <c r="AV268" s="1190"/>
      <c r="AW268" s="1190"/>
      <c r="AX268" s="1190"/>
      <c r="AY268" s="1190"/>
      <c r="AZ268" s="1190"/>
      <c r="BA268" s="1190"/>
      <c r="BB268" s="1190"/>
      <c r="BC268" s="1190"/>
      <c r="BD268" s="1190"/>
      <c r="BE268" s="1190"/>
      <c r="BF268" s="1190"/>
      <c r="BG268" s="1190"/>
      <c r="BH268" s="1190"/>
      <c r="BI268" s="1190"/>
      <c r="BJ268" s="1190"/>
      <c r="BK268" s="1190"/>
      <c r="BL268" s="1190"/>
      <c r="BM268" s="1190"/>
      <c r="BN268" s="1190"/>
      <c r="BO268" s="1190"/>
      <c r="CF268" s="1239" t="s">
        <v>12729</v>
      </c>
      <c r="CG268" s="1239" t="s">
        <v>9761</v>
      </c>
      <c r="CH268" s="1239" t="s">
        <v>12810</v>
      </c>
    </row>
    <row r="269" spans="1:87">
      <c r="A269" s="2">
        <v>3</v>
      </c>
      <c r="B269" s="2" t="s">
        <v>7876</v>
      </c>
      <c r="D269" s="2" t="s">
        <v>7875</v>
      </c>
      <c r="E269" s="2" t="s">
        <v>7874</v>
      </c>
      <c r="F269" s="2" t="s">
        <v>7873</v>
      </c>
      <c r="G269" s="2" t="s">
        <v>7872</v>
      </c>
      <c r="V269" s="2" t="s">
        <v>12517</v>
      </c>
      <c r="W269" s="2" t="s">
        <v>12518</v>
      </c>
      <c r="X269" s="2" t="s">
        <v>12519</v>
      </c>
      <c r="Y269" s="2" t="s">
        <v>12520</v>
      </c>
      <c r="Z269" s="2" t="s">
        <v>12336</v>
      </c>
      <c r="AA269" s="2" t="s">
        <v>12337</v>
      </c>
      <c r="AB269" s="106"/>
      <c r="AC269" s="106"/>
      <c r="AD269" s="106"/>
      <c r="AE269" s="1190"/>
      <c r="AF269" s="1190"/>
      <c r="AG269" s="1190"/>
      <c r="AH269" s="1190"/>
      <c r="AI269" s="1190"/>
      <c r="AJ269" s="1190"/>
      <c r="AK269" s="1190"/>
      <c r="AL269" s="1190"/>
      <c r="AM269" s="1190"/>
      <c r="AN269" s="1190"/>
      <c r="AO269" s="1190"/>
      <c r="AP269" s="1190"/>
      <c r="AQ269" s="1190"/>
      <c r="AR269" s="1190"/>
      <c r="AS269" s="1190"/>
      <c r="AT269" s="1190"/>
      <c r="AU269" s="1190"/>
      <c r="AV269" s="1190"/>
      <c r="AW269" s="1190"/>
      <c r="AX269" s="1190"/>
      <c r="AY269" s="1190"/>
      <c r="AZ269" s="1190"/>
      <c r="BA269" s="1190"/>
      <c r="BB269" s="1190"/>
      <c r="BC269" s="1190"/>
      <c r="BD269" s="1190"/>
      <c r="BE269" s="1190"/>
      <c r="BF269" s="1190"/>
      <c r="BG269" s="1190"/>
      <c r="BH269" s="1190"/>
      <c r="BI269" s="1190"/>
      <c r="BJ269" s="1190"/>
      <c r="BK269" s="1190"/>
      <c r="BL269" s="1190"/>
      <c r="BM269" s="1190"/>
      <c r="BN269" s="1190"/>
      <c r="BO269" s="1190"/>
      <c r="CF269" s="1239" t="s">
        <v>12732</v>
      </c>
      <c r="CG269" s="1239" t="s">
        <v>12811</v>
      </c>
      <c r="CH269" s="1239" t="s">
        <v>12811</v>
      </c>
    </row>
    <row r="270" spans="1:87">
      <c r="A270" s="2">
        <v>4</v>
      </c>
      <c r="B270" s="2" t="s">
        <v>7856</v>
      </c>
      <c r="D270" s="2" t="s">
        <v>7855</v>
      </c>
      <c r="E270" s="2" t="s">
        <v>7854</v>
      </c>
      <c r="F270" s="2" t="s">
        <v>7853</v>
      </c>
      <c r="G270" s="2" t="s">
        <v>7852</v>
      </c>
      <c r="V270" s="2" t="s">
        <v>12521</v>
      </c>
      <c r="W270" s="2" t="s">
        <v>12522</v>
      </c>
      <c r="X270" s="2" t="s">
        <v>2315</v>
      </c>
      <c r="Y270" s="2" t="s">
        <v>12523</v>
      </c>
      <c r="Z270" s="2" t="s">
        <v>12524</v>
      </c>
      <c r="AA270" s="2" t="s">
        <v>12343</v>
      </c>
      <c r="AB270" s="106"/>
      <c r="AC270" s="106"/>
      <c r="AD270" s="106"/>
      <c r="AE270" s="1190"/>
      <c r="AF270" s="1190"/>
      <c r="AG270" s="1190"/>
      <c r="AH270" s="1190"/>
      <c r="AI270" s="1190"/>
      <c r="AJ270" s="1190"/>
      <c r="AK270" s="1190"/>
      <c r="AL270" s="1190"/>
      <c r="AM270" s="1190"/>
      <c r="AN270" s="1190"/>
      <c r="AO270" s="1190"/>
      <c r="AP270" s="1190"/>
      <c r="AQ270" s="1190"/>
      <c r="AR270" s="1190"/>
      <c r="AS270" s="1190"/>
      <c r="AT270" s="1190"/>
      <c r="AU270" s="1190"/>
      <c r="AV270" s="1190"/>
      <c r="AW270" s="1190"/>
      <c r="AX270" s="1190"/>
      <c r="AY270" s="1190"/>
      <c r="AZ270" s="1190"/>
      <c r="BA270" s="1190"/>
      <c r="BB270" s="1190"/>
      <c r="BC270" s="1190"/>
      <c r="BD270" s="1190"/>
      <c r="BE270" s="1190"/>
      <c r="BF270" s="1190"/>
      <c r="BG270" s="1190"/>
      <c r="BH270" s="1190"/>
      <c r="BI270" s="1190"/>
      <c r="BJ270" s="1190"/>
      <c r="BK270" s="1190"/>
      <c r="BL270" s="1190"/>
      <c r="BM270" s="1190"/>
      <c r="BN270" s="1190"/>
      <c r="BO270" s="1190"/>
      <c r="CF270" s="1239" t="s">
        <v>5197</v>
      </c>
      <c r="CG270" s="1239" t="s">
        <v>12864</v>
      </c>
      <c r="CH270" s="1239" t="s">
        <v>12812</v>
      </c>
    </row>
    <row r="271" spans="1:87">
      <c r="A271" s="2">
        <v>5</v>
      </c>
      <c r="B271" s="2" t="s">
        <v>7833</v>
      </c>
      <c r="D271" s="2" t="s">
        <v>7832</v>
      </c>
      <c r="E271" s="2" t="s">
        <v>7831</v>
      </c>
      <c r="F271" s="2" t="s">
        <v>7830</v>
      </c>
      <c r="G271" s="2" t="s">
        <v>7829</v>
      </c>
      <c r="V271" s="2" t="s">
        <v>12525</v>
      </c>
      <c r="W271" s="2" t="s">
        <v>12526</v>
      </c>
      <c r="X271" s="2" t="s">
        <v>12527</v>
      </c>
      <c r="Y271" s="2" t="s">
        <v>12411</v>
      </c>
      <c r="Z271" s="2" t="s">
        <v>12528</v>
      </c>
      <c r="AA271" s="2" t="s">
        <v>12337</v>
      </c>
      <c r="AB271" s="106"/>
      <c r="AC271" s="106"/>
      <c r="AD271" s="106"/>
      <c r="AE271" s="1190"/>
      <c r="AF271" s="1190"/>
      <c r="AG271" s="1190"/>
      <c r="AH271" s="1190"/>
      <c r="AI271" s="1190"/>
      <c r="AJ271" s="1190"/>
      <c r="AK271" s="1190"/>
      <c r="AL271" s="1190"/>
      <c r="AM271" s="1190"/>
      <c r="AN271" s="1190"/>
      <c r="AO271" s="1190"/>
      <c r="AP271" s="1190"/>
      <c r="AQ271" s="1190"/>
      <c r="AR271" s="1190"/>
      <c r="AS271" s="1190"/>
      <c r="AT271" s="1190"/>
      <c r="AU271" s="1190"/>
      <c r="AV271" s="1190"/>
      <c r="AW271" s="1190"/>
      <c r="AX271" s="1190"/>
      <c r="AY271" s="1190"/>
      <c r="AZ271" s="1190"/>
      <c r="BA271" s="1190"/>
      <c r="BB271" s="1190"/>
      <c r="BC271" s="1190"/>
      <c r="BD271" s="1190"/>
      <c r="BE271" s="1190"/>
      <c r="BF271" s="1190"/>
      <c r="BG271" s="1190"/>
      <c r="BH271" s="1190"/>
      <c r="BI271" s="1190"/>
      <c r="BJ271" s="1190"/>
      <c r="BK271" s="1190"/>
      <c r="BL271" s="1190"/>
      <c r="BM271" s="1190"/>
      <c r="BN271" s="1190"/>
      <c r="BO271" s="1190"/>
      <c r="CF271" s="1239" t="s">
        <v>12736</v>
      </c>
      <c r="CG271" s="1239" t="s">
        <v>12865</v>
      </c>
      <c r="CH271" s="1239" t="s">
        <v>12814</v>
      </c>
    </row>
    <row r="272" spans="1:87">
      <c r="A272" s="2">
        <v>6</v>
      </c>
      <c r="B272" s="2" t="s">
        <v>7810</v>
      </c>
      <c r="V272" s="2" t="s">
        <v>12529</v>
      </c>
      <c r="W272" s="2" t="s">
        <v>12530</v>
      </c>
      <c r="X272" s="2" t="s">
        <v>12531</v>
      </c>
      <c r="Y272" s="2" t="s">
        <v>12532</v>
      </c>
      <c r="Z272" s="2" t="s">
        <v>12336</v>
      </c>
      <c r="AA272" s="2" t="s">
        <v>12337</v>
      </c>
      <c r="AB272" s="106"/>
      <c r="AC272" s="106"/>
      <c r="AD272" s="106"/>
      <c r="AE272" s="1190"/>
      <c r="AF272" s="1190"/>
      <c r="AG272" s="1190"/>
      <c r="AH272" s="1190"/>
      <c r="AI272" s="1190"/>
      <c r="AJ272" s="1190"/>
      <c r="AK272" s="1190"/>
      <c r="AL272" s="1190"/>
      <c r="AM272" s="1190"/>
      <c r="AN272" s="1190"/>
      <c r="AO272" s="1190"/>
      <c r="AP272" s="1190"/>
      <c r="AQ272" s="1190"/>
      <c r="AR272" s="1190"/>
      <c r="AS272" s="1190"/>
      <c r="AT272" s="1190"/>
      <c r="AU272" s="1190"/>
      <c r="AV272" s="1190"/>
      <c r="AW272" s="1190"/>
      <c r="AX272" s="1190"/>
      <c r="AY272" s="1190"/>
      <c r="AZ272" s="1190"/>
      <c r="BA272" s="1190"/>
      <c r="BB272" s="1190"/>
      <c r="BC272" s="1190"/>
      <c r="BD272" s="1190"/>
      <c r="BE272" s="1190"/>
      <c r="BF272" s="1190"/>
      <c r="BG272" s="1190"/>
      <c r="BH272" s="1190"/>
      <c r="BI272" s="1190"/>
      <c r="BJ272" s="1190"/>
      <c r="BK272" s="1190"/>
      <c r="BL272" s="1190"/>
      <c r="BM272" s="1190"/>
      <c r="BN272" s="1190"/>
      <c r="BO272" s="1190"/>
      <c r="CF272" s="1239" t="s">
        <v>2545</v>
      </c>
      <c r="CG272" s="1239" t="s">
        <v>12813</v>
      </c>
      <c r="CH272" s="1239" t="s">
        <v>12815</v>
      </c>
    </row>
    <row r="273" spans="1:86">
      <c r="V273" s="2" t="s">
        <v>12533</v>
      </c>
      <c r="W273" s="2" t="s">
        <v>12397</v>
      </c>
      <c r="X273" s="2" t="s">
        <v>2315</v>
      </c>
      <c r="Y273" s="2" t="s">
        <v>12534</v>
      </c>
      <c r="Z273" s="2" t="s">
        <v>12399</v>
      </c>
      <c r="AA273" s="2" t="s">
        <v>12343</v>
      </c>
      <c r="AB273" s="106"/>
      <c r="AC273" s="106"/>
      <c r="AD273" s="106"/>
      <c r="AE273" s="1190"/>
      <c r="AF273" s="1190"/>
      <c r="AG273" s="1190"/>
      <c r="AH273" s="1190"/>
      <c r="AI273" s="1190"/>
      <c r="AJ273" s="1190"/>
      <c r="AK273" s="1190"/>
      <c r="AL273" s="1190"/>
      <c r="AM273" s="1190"/>
      <c r="AN273" s="1190"/>
      <c r="AO273" s="1190"/>
      <c r="AP273" s="1190"/>
      <c r="AQ273" s="1190"/>
      <c r="AR273" s="1190"/>
      <c r="AS273" s="1190"/>
      <c r="AT273" s="1190"/>
      <c r="AU273" s="1190"/>
      <c r="AV273" s="1190"/>
      <c r="AW273" s="1190"/>
      <c r="AX273" s="1190"/>
      <c r="AY273" s="1190"/>
      <c r="AZ273" s="1190"/>
      <c r="BA273" s="1190"/>
      <c r="BB273" s="1190"/>
      <c r="BC273" s="1190"/>
      <c r="BD273" s="1190"/>
      <c r="BE273" s="1190"/>
      <c r="BF273" s="1190"/>
      <c r="BG273" s="1190"/>
      <c r="BH273" s="1190"/>
      <c r="BI273" s="1190"/>
      <c r="BJ273" s="1190"/>
      <c r="BK273" s="1190"/>
      <c r="BL273" s="1190"/>
      <c r="BM273" s="1190"/>
      <c r="BN273" s="1190"/>
      <c r="BO273" s="1190"/>
      <c r="CF273" s="1239" t="s">
        <v>2535</v>
      </c>
      <c r="CG273" s="1239" t="s">
        <v>9133</v>
      </c>
      <c r="CH273" s="1239" t="s">
        <v>12816</v>
      </c>
    </row>
    <row r="274" spans="1:86" ht="17.25">
      <c r="V274" s="2" t="s">
        <v>12535</v>
      </c>
      <c r="W274" s="2" t="s">
        <v>12536</v>
      </c>
      <c r="X274" s="2" t="s">
        <v>12537</v>
      </c>
      <c r="Y274" s="2" t="s">
        <v>12538</v>
      </c>
      <c r="Z274" s="2" t="s">
        <v>12336</v>
      </c>
      <c r="AA274" s="2" t="s">
        <v>12337</v>
      </c>
      <c r="AB274" s="106"/>
      <c r="AC274" s="106"/>
      <c r="AD274" s="106"/>
      <c r="AE274" s="1190"/>
      <c r="AF274" s="1190"/>
      <c r="AG274" s="1190"/>
      <c r="AH274" s="1190"/>
      <c r="AI274" s="1190"/>
      <c r="AJ274" s="1190"/>
      <c r="AK274" s="1190"/>
      <c r="AL274" s="1190"/>
      <c r="AM274" s="1190"/>
      <c r="AN274" s="1190"/>
      <c r="AO274" s="1190"/>
      <c r="AP274" s="1190"/>
      <c r="AQ274" s="1190"/>
      <c r="AR274" s="1190"/>
      <c r="AS274" s="1190"/>
      <c r="AT274" s="1190"/>
      <c r="AU274" s="1190"/>
      <c r="AV274" s="1190"/>
      <c r="AW274" s="1190"/>
      <c r="AX274" s="1190"/>
      <c r="AY274" s="1190"/>
      <c r="AZ274" s="1190"/>
      <c r="BA274" s="1190"/>
      <c r="BB274" s="1190"/>
      <c r="BC274" s="1190"/>
      <c r="BD274" s="1190"/>
      <c r="BE274" s="1190"/>
      <c r="BF274" s="1190"/>
      <c r="BG274" s="1190"/>
      <c r="BH274" s="1190"/>
      <c r="BI274" s="1190"/>
      <c r="BJ274" s="1190"/>
      <c r="BK274" s="1190"/>
      <c r="BL274" s="1190"/>
      <c r="BM274" s="1190"/>
      <c r="BN274" s="1190"/>
      <c r="BO274" s="1190"/>
      <c r="CF274" s="29"/>
    </row>
    <row r="275" spans="1:86" ht="15">
      <c r="V275" s="2" t="s">
        <v>12539</v>
      </c>
      <c r="W275" s="2" t="s">
        <v>12540</v>
      </c>
      <c r="X275" s="2" t="s">
        <v>12541</v>
      </c>
      <c r="Y275" s="2" t="s">
        <v>12542</v>
      </c>
      <c r="Z275" s="2" t="s">
        <v>12399</v>
      </c>
      <c r="AA275" s="2" t="s">
        <v>12343</v>
      </c>
      <c r="AB275" s="106"/>
      <c r="AC275" s="106"/>
      <c r="AD275" s="106"/>
      <c r="AE275" s="1190"/>
      <c r="AF275" s="1190"/>
      <c r="AG275" s="1190"/>
      <c r="AH275" s="1190"/>
      <c r="AI275" s="1190"/>
      <c r="AJ275" s="1190"/>
      <c r="AK275" s="1190"/>
      <c r="AL275" s="1190"/>
      <c r="AM275" s="1190"/>
      <c r="AN275" s="1190"/>
      <c r="AO275" s="1190"/>
      <c r="AP275" s="1190"/>
      <c r="AQ275" s="1190"/>
      <c r="AR275" s="1190"/>
      <c r="AS275" s="1190"/>
      <c r="AT275" s="1190"/>
      <c r="AU275" s="1190"/>
      <c r="AV275" s="1190"/>
      <c r="AW275" s="1190"/>
      <c r="AX275" s="1190"/>
      <c r="AY275" s="1190"/>
      <c r="AZ275" s="1190"/>
      <c r="BA275" s="1190"/>
      <c r="BB275" s="1190"/>
      <c r="BC275" s="1190"/>
      <c r="BD275" s="1190"/>
      <c r="BE275" s="1190"/>
      <c r="BF275" s="1190"/>
      <c r="BG275" s="1190"/>
      <c r="BH275" s="1190"/>
      <c r="BI275" s="1190"/>
      <c r="BJ275" s="1190"/>
      <c r="BK275" s="1190"/>
      <c r="BL275" s="1190"/>
      <c r="BM275" s="1190"/>
      <c r="BN275" s="1190"/>
      <c r="BO275" s="1190"/>
      <c r="CF275" s="1237" t="s">
        <v>7930</v>
      </c>
      <c r="CG275" s="1238" t="s">
        <v>12725</v>
      </c>
      <c r="CH275" s="1238" t="s">
        <v>12726</v>
      </c>
    </row>
    <row r="276" spans="1:86">
      <c r="A276" s="2" t="s">
        <v>7930</v>
      </c>
      <c r="B276" s="2" t="s">
        <v>5648</v>
      </c>
      <c r="C276" s="2" t="s">
        <v>7929</v>
      </c>
      <c r="D276" s="2" t="s">
        <v>7928</v>
      </c>
      <c r="E276" s="2" t="s">
        <v>5642</v>
      </c>
      <c r="F276" s="2" t="s">
        <v>5641</v>
      </c>
      <c r="G276" s="2" t="s">
        <v>1881</v>
      </c>
      <c r="H276" s="2" t="s">
        <v>7927</v>
      </c>
      <c r="I276" s="2" t="s">
        <v>7926</v>
      </c>
      <c r="J276" s="2" t="s">
        <v>7364</v>
      </c>
      <c r="K276" s="2" t="s">
        <v>5679</v>
      </c>
      <c r="L276" s="2" t="s">
        <v>7925</v>
      </c>
      <c r="V276" s="2" t="s">
        <v>12543</v>
      </c>
      <c r="W276" s="2" t="s">
        <v>12544</v>
      </c>
      <c r="X276" s="2" t="s">
        <v>12545</v>
      </c>
      <c r="Y276" s="2" t="s">
        <v>12546</v>
      </c>
      <c r="Z276" s="2" t="s">
        <v>12342</v>
      </c>
      <c r="AA276" s="2" t="s">
        <v>12343</v>
      </c>
      <c r="AB276" s="106"/>
      <c r="AC276" s="106"/>
      <c r="AD276" s="106"/>
      <c r="AE276" s="1190"/>
      <c r="AF276" s="1190"/>
      <c r="AG276" s="1190"/>
      <c r="AH276" s="1190"/>
      <c r="AI276" s="1190"/>
      <c r="AJ276" s="1190"/>
      <c r="AK276" s="1190"/>
      <c r="AL276" s="1190"/>
      <c r="AM276" s="1190"/>
      <c r="AN276" s="1190"/>
      <c r="AO276" s="1190"/>
      <c r="AP276" s="1190"/>
      <c r="AQ276" s="1190"/>
      <c r="AR276" s="1190"/>
      <c r="AS276" s="1190"/>
      <c r="AT276" s="1190"/>
      <c r="AU276" s="1190"/>
      <c r="AV276" s="1190"/>
      <c r="AW276" s="1190"/>
      <c r="AX276" s="1190"/>
      <c r="AY276" s="1190"/>
      <c r="AZ276" s="1190"/>
      <c r="BA276" s="1190"/>
      <c r="BB276" s="1190"/>
      <c r="BC276" s="1190"/>
      <c r="BD276" s="1190"/>
      <c r="BE276" s="1190"/>
      <c r="BF276" s="1190"/>
      <c r="BG276" s="1190"/>
      <c r="BH276" s="1190"/>
      <c r="BI276" s="1190"/>
      <c r="BJ276" s="1190"/>
      <c r="BK276" s="1190"/>
      <c r="BL276" s="1190"/>
      <c r="BM276" s="1190"/>
      <c r="BN276" s="1190"/>
      <c r="BO276" s="1190"/>
      <c r="CF276" s="1239" t="s">
        <v>3885</v>
      </c>
      <c r="CG276" s="1239" t="s">
        <v>12740</v>
      </c>
      <c r="CH276" s="1239" t="s">
        <v>12866</v>
      </c>
    </row>
    <row r="277" spans="1:86">
      <c r="A277" s="2" t="s">
        <v>7910</v>
      </c>
      <c r="B277" s="2" t="s">
        <v>7909</v>
      </c>
      <c r="C277" s="2" t="s">
        <v>7908</v>
      </c>
      <c r="D277" s="2" t="s">
        <v>7907</v>
      </c>
      <c r="E277" s="2">
        <v>10</v>
      </c>
      <c r="F277" s="2" t="s">
        <v>7906</v>
      </c>
      <c r="G277" s="2">
        <v>30</v>
      </c>
      <c r="H277" s="2" t="s">
        <v>7905</v>
      </c>
      <c r="J277" s="2" t="s">
        <v>7866</v>
      </c>
      <c r="K277" s="2" t="s">
        <v>7802</v>
      </c>
      <c r="L277" s="2" t="s">
        <v>7904</v>
      </c>
      <c r="V277" s="2" t="s">
        <v>12547</v>
      </c>
      <c r="W277" s="2" t="s">
        <v>12548</v>
      </c>
      <c r="X277" s="2" t="s">
        <v>12549</v>
      </c>
      <c r="Y277" s="2" t="s">
        <v>12550</v>
      </c>
      <c r="Z277" s="2" t="s">
        <v>12342</v>
      </c>
      <c r="AA277" s="2" t="s">
        <v>12343</v>
      </c>
      <c r="AB277" s="106"/>
      <c r="AC277" s="106"/>
      <c r="AD277" s="106"/>
      <c r="AE277" s="1190"/>
      <c r="AF277" s="1190"/>
      <c r="AG277" s="1190"/>
      <c r="AH277" s="1190"/>
      <c r="AI277" s="1190"/>
      <c r="AJ277" s="1190"/>
      <c r="AK277" s="1190"/>
      <c r="AL277" s="1190"/>
      <c r="AM277" s="1190"/>
      <c r="AN277" s="1190"/>
      <c r="AO277" s="1190"/>
      <c r="AP277" s="1190"/>
      <c r="AQ277" s="1190"/>
      <c r="AR277" s="1190"/>
      <c r="AS277" s="1190"/>
      <c r="AT277" s="1190"/>
      <c r="AU277" s="1190"/>
      <c r="AV277" s="1190"/>
      <c r="AW277" s="1190"/>
      <c r="AX277" s="1190"/>
      <c r="AY277" s="1190"/>
      <c r="AZ277" s="1190"/>
      <c r="BA277" s="1190"/>
      <c r="BB277" s="1190"/>
      <c r="BC277" s="1190"/>
      <c r="BD277" s="1190"/>
      <c r="BE277" s="1190"/>
      <c r="BF277" s="1190"/>
      <c r="BG277" s="1190"/>
      <c r="BH277" s="1190"/>
      <c r="BI277" s="1190"/>
      <c r="BJ277" s="1190"/>
      <c r="BK277" s="1190"/>
      <c r="BL277" s="1190"/>
      <c r="BM277" s="1190"/>
      <c r="BN277" s="1190"/>
      <c r="BO277" s="1190"/>
      <c r="CF277" s="1239" t="s">
        <v>5805</v>
      </c>
      <c r="CG277" s="1239" t="s">
        <v>12818</v>
      </c>
      <c r="CH277" s="1239" t="s">
        <v>12819</v>
      </c>
    </row>
    <row r="278" spans="1:86">
      <c r="A278" s="2" t="s">
        <v>7892</v>
      </c>
      <c r="B278" s="2" t="s">
        <v>7850</v>
      </c>
      <c r="C278" s="2" t="s">
        <v>7891</v>
      </c>
      <c r="D278" s="2" t="s">
        <v>7890</v>
      </c>
      <c r="E278" s="2">
        <v>13</v>
      </c>
      <c r="F278" s="2" t="s">
        <v>7889</v>
      </c>
      <c r="G278" s="2">
        <v>30</v>
      </c>
      <c r="H278" s="2" t="s">
        <v>7888</v>
      </c>
      <c r="I278" s="2" t="s">
        <v>7887</v>
      </c>
      <c r="J278" s="2" t="s">
        <v>7886</v>
      </c>
      <c r="K278" s="2" t="s">
        <v>7885</v>
      </c>
      <c r="L278" s="2" t="s">
        <v>7884</v>
      </c>
      <c r="V278" s="107"/>
      <c r="W278" s="106"/>
      <c r="X278" s="106"/>
      <c r="Y278" s="106"/>
      <c r="Z278" s="106"/>
      <c r="AA278" s="106"/>
      <c r="AB278" s="106"/>
      <c r="AC278" s="106"/>
      <c r="AD278" s="106"/>
      <c r="AE278" s="1190"/>
      <c r="AF278" s="1190"/>
      <c r="AG278" s="1190"/>
      <c r="AH278" s="1190"/>
      <c r="AI278" s="1190"/>
      <c r="AJ278" s="1190"/>
      <c r="AK278" s="1190"/>
      <c r="AL278" s="1190"/>
      <c r="AM278" s="1190"/>
      <c r="AN278" s="1190"/>
      <c r="AO278" s="1190"/>
      <c r="AP278" s="1190"/>
      <c r="AQ278" s="1190"/>
      <c r="AR278" s="1190"/>
      <c r="AS278" s="1190"/>
      <c r="AT278" s="1190"/>
      <c r="AU278" s="1190"/>
      <c r="AV278" s="1190"/>
      <c r="AW278" s="1190"/>
      <c r="AX278" s="1190"/>
      <c r="AY278" s="1190"/>
      <c r="AZ278" s="1190"/>
      <c r="BA278" s="1190"/>
      <c r="BB278" s="1190"/>
      <c r="BC278" s="1190"/>
      <c r="BD278" s="1190"/>
      <c r="BE278" s="1190"/>
      <c r="BF278" s="1190"/>
      <c r="BG278" s="1190"/>
      <c r="BH278" s="1190"/>
      <c r="BI278" s="1190"/>
      <c r="BJ278" s="1190"/>
      <c r="BK278" s="1190"/>
      <c r="BL278" s="1190"/>
      <c r="BM278" s="1190"/>
      <c r="BN278" s="1190"/>
      <c r="BO278" s="1190"/>
      <c r="CF278" s="1239" t="s">
        <v>2612</v>
      </c>
      <c r="CG278" s="1239">
        <v>49</v>
      </c>
      <c r="CH278" s="1239">
        <v>50</v>
      </c>
    </row>
    <row r="279" spans="1:86">
      <c r="A279" s="2" t="s">
        <v>7871</v>
      </c>
      <c r="B279" s="2" t="s">
        <v>7850</v>
      </c>
      <c r="C279" s="2" t="s">
        <v>7870</v>
      </c>
      <c r="D279" s="2">
        <v>1</v>
      </c>
      <c r="E279" s="2">
        <v>15</v>
      </c>
      <c r="F279" s="2" t="s">
        <v>7869</v>
      </c>
      <c r="G279" s="2">
        <v>30</v>
      </c>
      <c r="H279" s="2" t="s">
        <v>7868</v>
      </c>
      <c r="I279" s="2" t="s">
        <v>7867</v>
      </c>
      <c r="J279" s="2" t="s">
        <v>7866</v>
      </c>
      <c r="K279" s="2" t="s">
        <v>7786</v>
      </c>
      <c r="L279" s="2" t="s">
        <v>7865</v>
      </c>
      <c r="V279" s="107"/>
      <c r="W279" s="106"/>
      <c r="X279" s="106"/>
      <c r="Y279" s="106"/>
      <c r="Z279" s="106"/>
      <c r="AA279" s="106"/>
      <c r="AB279" s="106"/>
      <c r="AC279" s="106"/>
      <c r="AD279" s="106"/>
      <c r="AE279" s="1190"/>
      <c r="AF279" s="1190"/>
      <c r="AG279" s="1190"/>
      <c r="AH279" s="1190"/>
      <c r="AI279" s="1190"/>
      <c r="AJ279" s="1190"/>
      <c r="AK279" s="1190"/>
      <c r="AL279" s="1190"/>
      <c r="AM279" s="1190"/>
      <c r="AN279" s="1190"/>
      <c r="AO279" s="1190"/>
      <c r="AP279" s="1190"/>
      <c r="AQ279" s="1190"/>
      <c r="AR279" s="1190"/>
      <c r="AS279" s="1190"/>
      <c r="AT279" s="1190"/>
      <c r="AU279" s="1190"/>
      <c r="AV279" s="1190"/>
      <c r="AW279" s="1190"/>
      <c r="AX279" s="1190"/>
      <c r="AY279" s="1190"/>
      <c r="AZ279" s="1190"/>
      <c r="BA279" s="1190"/>
      <c r="BB279" s="1190"/>
      <c r="BC279" s="1190"/>
      <c r="BD279" s="1190"/>
      <c r="BE279" s="1190"/>
      <c r="BF279" s="1190"/>
      <c r="BG279" s="1190"/>
      <c r="BH279" s="1190"/>
      <c r="BI279" s="1190"/>
      <c r="BJ279" s="1190"/>
      <c r="BK279" s="1190"/>
      <c r="BL279" s="1190"/>
      <c r="BM279" s="1190"/>
      <c r="BN279" s="1190"/>
      <c r="BO279" s="1190"/>
      <c r="CF279" s="1239" t="s">
        <v>12842</v>
      </c>
      <c r="CG279" s="1239" t="s">
        <v>12847</v>
      </c>
      <c r="CH279" s="1239" t="s">
        <v>12867</v>
      </c>
    </row>
    <row r="280" spans="1:86">
      <c r="A280" s="2" t="s">
        <v>7851</v>
      </c>
      <c r="B280" s="2" t="s">
        <v>7850</v>
      </c>
      <c r="C280" s="2" t="s">
        <v>7849</v>
      </c>
      <c r="D280" s="2" t="s">
        <v>7848</v>
      </c>
      <c r="E280" s="2">
        <v>13</v>
      </c>
      <c r="F280" s="2" t="s">
        <v>7847</v>
      </c>
      <c r="G280" s="2">
        <v>30</v>
      </c>
      <c r="H280" s="2" t="s">
        <v>7846</v>
      </c>
      <c r="I280" s="2" t="s">
        <v>7845</v>
      </c>
      <c r="J280" s="2" t="s">
        <v>7844</v>
      </c>
      <c r="K280" s="2" t="s">
        <v>7820</v>
      </c>
      <c r="L280" s="2" t="s">
        <v>7843</v>
      </c>
      <c r="V280" s="107"/>
      <c r="W280" s="106"/>
      <c r="X280" s="106"/>
      <c r="Y280" s="106"/>
      <c r="Z280" s="106"/>
      <c r="AA280" s="106"/>
      <c r="AB280" s="106"/>
      <c r="AC280" s="106"/>
      <c r="AD280" s="106"/>
      <c r="AE280" s="1190"/>
      <c r="AF280" s="1190"/>
      <c r="AG280" s="1190"/>
      <c r="AH280" s="1190"/>
      <c r="AI280" s="1190"/>
      <c r="AJ280" s="1190"/>
      <c r="AK280" s="1190"/>
      <c r="AL280" s="1190"/>
      <c r="AM280" s="1190"/>
      <c r="AN280" s="1190"/>
      <c r="AO280" s="1190"/>
      <c r="AP280" s="1190"/>
      <c r="AQ280" s="1190"/>
      <c r="AR280" s="1190"/>
      <c r="AS280" s="1190"/>
      <c r="AT280" s="1190"/>
      <c r="AU280" s="1190"/>
      <c r="AV280" s="1190"/>
      <c r="AW280" s="1190"/>
      <c r="AX280" s="1190"/>
      <c r="AY280" s="1190"/>
      <c r="AZ280" s="1190"/>
      <c r="BA280" s="1190"/>
      <c r="BB280" s="1190"/>
      <c r="BC280" s="1190"/>
      <c r="BD280" s="1190"/>
      <c r="BE280" s="1190"/>
      <c r="BF280" s="1190"/>
      <c r="BG280" s="1190"/>
      <c r="BH280" s="1190"/>
      <c r="BI280" s="1190"/>
      <c r="BJ280" s="1190"/>
      <c r="BK280" s="1190"/>
      <c r="BL280" s="1190"/>
      <c r="BM280" s="1190"/>
      <c r="BN280" s="1190"/>
      <c r="BO280" s="1190"/>
      <c r="CF280" s="1239" t="s">
        <v>12762</v>
      </c>
      <c r="CG280" s="1239" t="s">
        <v>12848</v>
      </c>
      <c r="CH280" s="1239" t="s">
        <v>12708</v>
      </c>
    </row>
    <row r="281" spans="1:86">
      <c r="A281" s="2" t="s">
        <v>7828</v>
      </c>
      <c r="B281" s="2" t="s">
        <v>7827</v>
      </c>
      <c r="C281" s="2" t="s">
        <v>7826</v>
      </c>
      <c r="D281" s="2" t="s">
        <v>7825</v>
      </c>
      <c r="E281" s="2">
        <v>10</v>
      </c>
      <c r="F281" s="2" t="s">
        <v>7824</v>
      </c>
      <c r="G281" s="2">
        <v>15</v>
      </c>
      <c r="H281" s="2" t="s">
        <v>7823</v>
      </c>
      <c r="I281" s="2" t="s">
        <v>7822</v>
      </c>
      <c r="J281" s="2" t="s">
        <v>7821</v>
      </c>
      <c r="K281" s="2" t="s">
        <v>7820</v>
      </c>
      <c r="L281" s="2" t="s">
        <v>7819</v>
      </c>
      <c r="V281" s="107"/>
      <c r="W281" s="106"/>
      <c r="X281" s="106"/>
      <c r="Y281" s="106"/>
      <c r="Z281" s="106"/>
      <c r="AA281" s="106"/>
      <c r="AB281" s="106"/>
      <c r="AC281" s="106"/>
      <c r="AD281" s="106"/>
      <c r="AE281" s="1190"/>
      <c r="AF281" s="1190"/>
      <c r="AG281" s="1190"/>
      <c r="AH281" s="1190"/>
      <c r="AI281" s="1190"/>
      <c r="AJ281" s="1190"/>
      <c r="AK281" s="1190"/>
      <c r="AL281" s="1190"/>
      <c r="AM281" s="1190"/>
      <c r="AN281" s="1190"/>
      <c r="AO281" s="1190"/>
      <c r="AP281" s="1190"/>
      <c r="AQ281" s="1190"/>
      <c r="AR281" s="1190"/>
      <c r="AS281" s="1190"/>
      <c r="AT281" s="1190"/>
      <c r="AU281" s="1190"/>
      <c r="AV281" s="1190"/>
      <c r="AW281" s="1190"/>
      <c r="AX281" s="1190"/>
      <c r="AY281" s="1190"/>
      <c r="AZ281" s="1190"/>
      <c r="BA281" s="1190"/>
      <c r="BB281" s="1190"/>
      <c r="BC281" s="1190"/>
      <c r="BD281" s="1190"/>
      <c r="BE281" s="1190"/>
      <c r="BF281" s="1190"/>
      <c r="BG281" s="1190"/>
      <c r="BH281" s="1190"/>
      <c r="BI281" s="1190"/>
      <c r="BJ281" s="1190"/>
      <c r="BK281" s="1190"/>
      <c r="BL281" s="1190"/>
      <c r="BM281" s="1190"/>
      <c r="BN281" s="1190"/>
      <c r="BO281" s="1190"/>
      <c r="CF281" s="1239" t="s">
        <v>10015</v>
      </c>
      <c r="CG281" s="1239" t="s">
        <v>12748</v>
      </c>
      <c r="CH281" s="1239" t="s">
        <v>12868</v>
      </c>
    </row>
    <row r="282" spans="1:86">
      <c r="A282" s="2" t="s">
        <v>7809</v>
      </c>
      <c r="B282" s="2" t="s">
        <v>7808</v>
      </c>
      <c r="C282" s="2" t="s">
        <v>7807</v>
      </c>
      <c r="D282" s="2" t="s">
        <v>7806</v>
      </c>
      <c r="E282" s="2">
        <v>9</v>
      </c>
      <c r="F282" s="2" t="s">
        <v>7805</v>
      </c>
      <c r="G282" s="2">
        <v>20</v>
      </c>
      <c r="H282" s="2" t="s">
        <v>7804</v>
      </c>
      <c r="I282" s="2" t="s">
        <v>7803</v>
      </c>
      <c r="J282" s="2" t="s">
        <v>7787</v>
      </c>
      <c r="K282" s="2" t="s">
        <v>7802</v>
      </c>
      <c r="L282" s="2" t="s">
        <v>7801</v>
      </c>
      <c r="V282" s="107"/>
      <c r="W282" s="106"/>
      <c r="X282" s="106"/>
      <c r="Y282" s="106"/>
      <c r="Z282" s="106"/>
      <c r="AA282" s="106"/>
      <c r="AB282" s="106"/>
      <c r="AC282" s="106"/>
      <c r="AD282" s="106"/>
      <c r="AE282" s="1190"/>
      <c r="AF282" s="1190"/>
      <c r="AG282" s="1190"/>
      <c r="AH282" s="1190"/>
      <c r="AI282" s="1190"/>
      <c r="AJ282" s="1190"/>
      <c r="AK282" s="1190"/>
      <c r="AL282" s="1190"/>
      <c r="AM282" s="1190"/>
      <c r="AN282" s="1190"/>
      <c r="AO282" s="1190"/>
      <c r="AP282" s="1190"/>
      <c r="AQ282" s="1190"/>
      <c r="AR282" s="1190"/>
      <c r="AS282" s="1190"/>
      <c r="AT282" s="1190"/>
      <c r="AU282" s="1190"/>
      <c r="AV282" s="1190"/>
      <c r="AW282" s="1190"/>
      <c r="AX282" s="1190"/>
      <c r="AY282" s="1190"/>
      <c r="AZ282" s="1190"/>
      <c r="BA282" s="1190"/>
      <c r="BB282" s="1190"/>
      <c r="BC282" s="1190"/>
      <c r="BD282" s="1190"/>
      <c r="BE282" s="1190"/>
      <c r="BF282" s="1190"/>
      <c r="BG282" s="1190"/>
      <c r="BH282" s="1190"/>
      <c r="BI282" s="1190"/>
      <c r="BJ282" s="1190"/>
      <c r="BK282" s="1190"/>
      <c r="BL282" s="1190"/>
      <c r="BM282" s="1190"/>
      <c r="BN282" s="1190"/>
      <c r="BO282" s="1190"/>
      <c r="CF282" s="1239" t="s">
        <v>4269</v>
      </c>
      <c r="CG282" s="1239" t="s">
        <v>12869</v>
      </c>
      <c r="CH282" s="1239" t="s">
        <v>8049</v>
      </c>
    </row>
    <row r="283" spans="1:86">
      <c r="A283" s="2" t="s">
        <v>7794</v>
      </c>
      <c r="B283" s="2" t="s">
        <v>7793</v>
      </c>
      <c r="C283" s="2" t="s">
        <v>7792</v>
      </c>
      <c r="D283" s="2" t="s">
        <v>7791</v>
      </c>
      <c r="E283" s="2">
        <v>13</v>
      </c>
      <c r="F283" s="2" t="s">
        <v>7790</v>
      </c>
      <c r="G283" s="2">
        <v>20</v>
      </c>
      <c r="H283" s="2" t="s">
        <v>7789</v>
      </c>
      <c r="I283" s="2" t="s">
        <v>7788</v>
      </c>
      <c r="J283" s="2" t="s">
        <v>7787</v>
      </c>
      <c r="K283" s="2" t="s">
        <v>7786</v>
      </c>
      <c r="L283" s="2" t="s">
        <v>7785</v>
      </c>
      <c r="V283" s="107"/>
      <c r="W283" s="106"/>
      <c r="X283" s="106"/>
      <c r="Y283" s="106"/>
      <c r="Z283" s="106"/>
      <c r="AA283" s="106"/>
      <c r="AB283" s="106"/>
      <c r="AC283" s="106"/>
      <c r="AD283" s="106"/>
      <c r="AE283" s="1190"/>
      <c r="AF283" s="1190"/>
      <c r="AG283" s="1190"/>
      <c r="AH283" s="1190"/>
      <c r="AI283" s="1190"/>
      <c r="AJ283" s="1190"/>
      <c r="AK283" s="1190"/>
      <c r="AL283" s="1190"/>
      <c r="AM283" s="1190"/>
      <c r="AN283" s="1190"/>
      <c r="AO283" s="1190"/>
      <c r="AP283" s="1190"/>
      <c r="AQ283" s="1190"/>
      <c r="AR283" s="1190"/>
      <c r="AS283" s="1190"/>
      <c r="AT283" s="1190"/>
      <c r="AU283" s="1190"/>
      <c r="AV283" s="1190"/>
      <c r="AW283" s="1190"/>
      <c r="AX283" s="1190"/>
      <c r="AY283" s="1190"/>
      <c r="AZ283" s="1190"/>
      <c r="BA283" s="1190"/>
      <c r="BB283" s="1190"/>
      <c r="BC283" s="1190"/>
      <c r="BD283" s="1190"/>
      <c r="BE283" s="1190"/>
      <c r="BF283" s="1190"/>
      <c r="BG283" s="1190"/>
      <c r="BH283" s="1190"/>
      <c r="BI283" s="1190"/>
      <c r="BJ283" s="1190"/>
      <c r="BK283" s="1190"/>
      <c r="BL283" s="1190"/>
      <c r="BM283" s="1190"/>
      <c r="BN283" s="1190"/>
      <c r="BO283" s="1190"/>
      <c r="CF283" s="1239" t="s">
        <v>3957</v>
      </c>
      <c r="CG283" s="1239" t="s">
        <v>12870</v>
      </c>
      <c r="CH283" s="1239" t="s">
        <v>12846</v>
      </c>
    </row>
    <row r="284" spans="1:86">
      <c r="A284" s="2" t="s">
        <v>7778</v>
      </c>
      <c r="B284" s="2" t="s">
        <v>7777</v>
      </c>
      <c r="C284" s="2" t="s">
        <v>7776</v>
      </c>
      <c r="D284" s="2" t="s">
        <v>7775</v>
      </c>
      <c r="E284" s="2">
        <v>12</v>
      </c>
      <c r="F284" s="2" t="s">
        <v>7774</v>
      </c>
      <c r="G284" s="2">
        <v>20</v>
      </c>
      <c r="H284" s="2" t="s">
        <v>7773</v>
      </c>
      <c r="I284" s="2" t="s">
        <v>7772</v>
      </c>
      <c r="J284" s="2" t="s">
        <v>7771</v>
      </c>
      <c r="K284" s="2" t="s">
        <v>7770</v>
      </c>
      <c r="L284" s="2" t="s">
        <v>7769</v>
      </c>
      <c r="V284" s="107"/>
      <c r="W284" s="106"/>
      <c r="X284" s="106"/>
      <c r="Y284" s="106"/>
      <c r="Z284" s="106"/>
      <c r="AA284" s="106"/>
      <c r="AB284" s="106"/>
      <c r="AC284" s="106"/>
      <c r="AD284" s="106"/>
      <c r="AE284" s="1190"/>
      <c r="AF284" s="1190"/>
      <c r="AG284" s="1190"/>
      <c r="AH284" s="1190"/>
      <c r="AI284" s="1190"/>
      <c r="AJ284" s="1190"/>
      <c r="AK284" s="1190"/>
      <c r="AL284" s="1190"/>
      <c r="AM284" s="1190"/>
      <c r="AN284" s="1190"/>
      <c r="AO284" s="1190"/>
      <c r="AP284" s="1190"/>
      <c r="AQ284" s="1190"/>
      <c r="AR284" s="1190"/>
      <c r="AS284" s="1190"/>
      <c r="AT284" s="1190"/>
      <c r="AU284" s="1190"/>
      <c r="AV284" s="1190"/>
      <c r="AW284" s="1190"/>
      <c r="AX284" s="1190"/>
      <c r="AY284" s="1190"/>
      <c r="AZ284" s="1190"/>
      <c r="BA284" s="1190"/>
      <c r="BB284" s="1190"/>
      <c r="BC284" s="1190"/>
      <c r="BD284" s="1190"/>
      <c r="BE284" s="1190"/>
      <c r="BF284" s="1190"/>
      <c r="BG284" s="1190"/>
      <c r="BH284" s="1190"/>
      <c r="BI284" s="1190"/>
      <c r="BJ284" s="1190"/>
      <c r="BK284" s="1190"/>
      <c r="BL284" s="1190"/>
      <c r="BM284" s="1190"/>
      <c r="BN284" s="1190"/>
      <c r="BO284" s="1190"/>
      <c r="CF284" s="1239" t="s">
        <v>3580</v>
      </c>
      <c r="CG284" s="1239" t="s">
        <v>12799</v>
      </c>
      <c r="CH284" s="1239" t="s">
        <v>12769</v>
      </c>
    </row>
    <row r="285" spans="1:86">
      <c r="V285" s="107"/>
      <c r="W285" s="106"/>
      <c r="X285" s="106"/>
      <c r="Y285" s="106"/>
      <c r="Z285" s="106"/>
      <c r="AA285" s="106"/>
      <c r="AB285" s="106"/>
      <c r="AC285" s="106"/>
      <c r="AD285" s="106"/>
      <c r="AE285" s="1190"/>
      <c r="AF285" s="1190"/>
      <c r="AG285" s="1190"/>
      <c r="AH285" s="1190"/>
      <c r="AI285" s="1190"/>
      <c r="AJ285" s="1190"/>
      <c r="AK285" s="1190"/>
      <c r="AL285" s="1190"/>
      <c r="AM285" s="1190"/>
      <c r="AN285" s="1190"/>
      <c r="AO285" s="1190"/>
      <c r="AP285" s="1190"/>
      <c r="AQ285" s="1190"/>
      <c r="AR285" s="1190"/>
      <c r="AS285" s="1190"/>
      <c r="AT285" s="1190"/>
      <c r="AU285" s="1190"/>
      <c r="AV285" s="1190"/>
      <c r="AW285" s="1190"/>
      <c r="AX285" s="1190"/>
      <c r="AY285" s="1190"/>
      <c r="AZ285" s="1190"/>
      <c r="BA285" s="1190"/>
      <c r="BB285" s="1190"/>
      <c r="BC285" s="1190"/>
      <c r="BD285" s="1190"/>
      <c r="BE285" s="1190"/>
      <c r="BF285" s="1190"/>
      <c r="BG285" s="1190"/>
      <c r="BH285" s="1190"/>
      <c r="BI285" s="1190"/>
      <c r="BJ285" s="1190"/>
      <c r="BK285" s="1190"/>
      <c r="BL285" s="1190"/>
      <c r="BM285" s="1190"/>
      <c r="BN285" s="1190"/>
      <c r="BO285" s="1190"/>
      <c r="CF285" s="1239" t="s">
        <v>4104</v>
      </c>
      <c r="CG285" s="1239" t="s">
        <v>12871</v>
      </c>
      <c r="CH285" s="1239" t="s">
        <v>12872</v>
      </c>
    </row>
    <row r="286" spans="1:86">
      <c r="V286" s="107"/>
      <c r="W286" s="106"/>
      <c r="X286" s="106"/>
      <c r="Y286" s="106"/>
      <c r="Z286" s="106"/>
      <c r="AA286" s="106"/>
      <c r="AB286" s="106"/>
      <c r="AC286" s="106"/>
      <c r="AD286" s="106"/>
      <c r="AE286" s="1190"/>
      <c r="AF286" s="1190"/>
      <c r="AG286" s="1190"/>
      <c r="AH286" s="1190"/>
      <c r="AI286" s="1190"/>
      <c r="AJ286" s="1190"/>
      <c r="AK286" s="1190"/>
      <c r="AL286" s="1190"/>
      <c r="AM286" s="1190"/>
      <c r="AN286" s="1190"/>
      <c r="AO286" s="1190"/>
      <c r="AP286" s="1190"/>
      <c r="AQ286" s="1190"/>
      <c r="AR286" s="1190"/>
      <c r="AS286" s="1190"/>
      <c r="AT286" s="1190"/>
      <c r="AU286" s="1190"/>
      <c r="AV286" s="1190"/>
      <c r="AW286" s="1190"/>
      <c r="AX286" s="1190"/>
      <c r="AY286" s="1190"/>
      <c r="AZ286" s="1190"/>
      <c r="BA286" s="1190"/>
      <c r="BB286" s="1190"/>
      <c r="BC286" s="1190"/>
      <c r="BD286" s="1190"/>
      <c r="BE286" s="1190"/>
      <c r="BF286" s="1190"/>
      <c r="BG286" s="1190"/>
      <c r="BH286" s="1190"/>
      <c r="BI286" s="1190"/>
      <c r="BJ286" s="1190"/>
      <c r="BK286" s="1190"/>
      <c r="BL286" s="1190"/>
      <c r="BM286" s="1190"/>
      <c r="BN286" s="1190"/>
      <c r="BO286" s="1190"/>
      <c r="CF286" s="1239" t="s">
        <v>4281</v>
      </c>
      <c r="CG286" s="1239" t="s">
        <v>12873</v>
      </c>
      <c r="CH286" s="1239" t="s">
        <v>12828</v>
      </c>
    </row>
    <row r="287" spans="1:86">
      <c r="A287" s="2" t="s">
        <v>7947</v>
      </c>
      <c r="V287" s="107"/>
      <c r="W287" s="106"/>
      <c r="X287" s="106"/>
      <c r="Y287" s="106"/>
      <c r="Z287" s="106"/>
      <c r="AA287" s="106"/>
      <c r="AB287" s="106"/>
      <c r="AC287" s="106"/>
      <c r="AD287" s="106"/>
      <c r="AE287" s="1190"/>
      <c r="AF287" s="1190"/>
      <c r="AG287" s="1190"/>
      <c r="AH287" s="1190"/>
      <c r="AI287" s="1190"/>
      <c r="AJ287" s="1190"/>
      <c r="AK287" s="1190"/>
      <c r="AL287" s="1190"/>
      <c r="AM287" s="1190"/>
      <c r="AN287" s="1190"/>
      <c r="AO287" s="1190"/>
      <c r="AP287" s="1190"/>
      <c r="AQ287" s="1190"/>
      <c r="AR287" s="1190"/>
      <c r="AS287" s="1190"/>
      <c r="AT287" s="1190"/>
      <c r="AU287" s="1190"/>
      <c r="AV287" s="1190"/>
      <c r="AW287" s="1190"/>
      <c r="AX287" s="1190"/>
      <c r="AY287" s="1190"/>
      <c r="AZ287" s="1190"/>
      <c r="BA287" s="1190"/>
      <c r="BB287" s="1190"/>
      <c r="BC287" s="1190"/>
      <c r="BD287" s="1190"/>
      <c r="BE287" s="1190"/>
      <c r="BF287" s="1190"/>
      <c r="BG287" s="1190"/>
      <c r="BH287" s="1190"/>
      <c r="BI287" s="1190"/>
      <c r="BJ287" s="1190"/>
      <c r="BK287" s="1190"/>
      <c r="BL287" s="1190"/>
      <c r="BM287" s="1190"/>
      <c r="BN287" s="1190"/>
      <c r="BO287" s="1190"/>
      <c r="CF287" s="1239" t="s">
        <v>3609</v>
      </c>
      <c r="CG287" s="1239" t="s">
        <v>12802</v>
      </c>
      <c r="CH287" s="1239" t="s">
        <v>12827</v>
      </c>
    </row>
    <row r="288" spans="1:86">
      <c r="V288" s="107"/>
      <c r="W288" s="106"/>
      <c r="X288" s="106"/>
      <c r="Y288" s="106"/>
      <c r="Z288" s="106"/>
      <c r="AA288" s="106"/>
      <c r="AB288" s="106"/>
      <c r="AC288" s="106"/>
      <c r="AD288" s="106"/>
      <c r="AE288" s="1190"/>
      <c r="AF288" s="1190"/>
      <c r="AG288" s="1190"/>
      <c r="AH288" s="1190"/>
      <c r="AI288" s="1190"/>
      <c r="AJ288" s="1190"/>
      <c r="AK288" s="1190"/>
      <c r="AL288" s="1190"/>
      <c r="AM288" s="1190"/>
      <c r="AN288" s="1190"/>
      <c r="AO288" s="1190"/>
      <c r="AP288" s="1190"/>
      <c r="AQ288" s="1190"/>
      <c r="AR288" s="1190"/>
      <c r="AS288" s="1190"/>
      <c r="AT288" s="1190"/>
      <c r="AU288" s="1190"/>
      <c r="AV288" s="1190"/>
      <c r="AW288" s="1190"/>
      <c r="AX288" s="1190"/>
      <c r="AY288" s="1190"/>
      <c r="AZ288" s="1190"/>
      <c r="BA288" s="1190"/>
      <c r="BB288" s="1190"/>
      <c r="BC288" s="1190"/>
      <c r="BD288" s="1190"/>
      <c r="BE288" s="1190"/>
      <c r="BF288" s="1190"/>
      <c r="BG288" s="1190"/>
      <c r="BH288" s="1190"/>
      <c r="BI288" s="1190"/>
      <c r="BJ288" s="1190"/>
      <c r="BK288" s="1190"/>
      <c r="BL288" s="1190"/>
      <c r="BM288" s="1190"/>
      <c r="BN288" s="1190"/>
      <c r="BO288" s="1190"/>
      <c r="CF288" s="1239" t="s">
        <v>12594</v>
      </c>
      <c r="CG288" s="1239">
        <v>86</v>
      </c>
      <c r="CH288" s="1239" t="s">
        <v>12775</v>
      </c>
    </row>
    <row r="289" spans="22:86">
      <c r="V289" s="107"/>
      <c r="W289" s="106"/>
      <c r="X289" s="106"/>
      <c r="Y289" s="106"/>
      <c r="Z289" s="106"/>
      <c r="AA289" s="106"/>
      <c r="AB289" s="106"/>
      <c r="AC289" s="106"/>
      <c r="AD289" s="106"/>
      <c r="AE289" s="1190"/>
      <c r="AF289" s="1190"/>
      <c r="AG289" s="1190"/>
      <c r="AH289" s="1190"/>
      <c r="AI289" s="1190"/>
      <c r="AJ289" s="1190"/>
      <c r="AK289" s="1190"/>
      <c r="AL289" s="1190"/>
      <c r="AM289" s="1190"/>
      <c r="AN289" s="1190"/>
      <c r="AO289" s="1190"/>
      <c r="AP289" s="1190"/>
      <c r="AQ289" s="1190"/>
      <c r="AR289" s="1190"/>
      <c r="AS289" s="1190"/>
      <c r="AT289" s="1190"/>
      <c r="AU289" s="1190"/>
      <c r="AV289" s="1190"/>
      <c r="AW289" s="1190"/>
      <c r="AX289" s="1190"/>
      <c r="AY289" s="1190"/>
      <c r="AZ289" s="1190"/>
      <c r="BA289" s="1190"/>
      <c r="BB289" s="1190"/>
      <c r="BC289" s="1190"/>
      <c r="BD289" s="1190"/>
      <c r="BE289" s="1190"/>
      <c r="BF289" s="1190"/>
      <c r="BG289" s="1190"/>
      <c r="BH289" s="1190"/>
      <c r="BI289" s="1190"/>
      <c r="BJ289" s="1190"/>
      <c r="BK289" s="1190"/>
      <c r="BL289" s="1190"/>
      <c r="BM289" s="1190"/>
      <c r="BN289" s="1190"/>
      <c r="BO289" s="1190"/>
      <c r="CF289" s="1239" t="s">
        <v>12854</v>
      </c>
      <c r="CG289" s="1239" t="s">
        <v>7685</v>
      </c>
      <c r="CH289" s="1239">
        <v>85</v>
      </c>
    </row>
    <row r="290" spans="22:86">
      <c r="V290" s="107"/>
      <c r="W290" s="106"/>
      <c r="X290" s="106"/>
      <c r="Y290" s="106"/>
      <c r="Z290" s="106"/>
      <c r="AA290" s="106"/>
      <c r="AB290" s="106"/>
      <c r="AC290" s="106"/>
      <c r="AD290" s="106"/>
      <c r="AE290" s="1190"/>
      <c r="AF290" s="1190"/>
      <c r="AG290" s="1190"/>
      <c r="AH290" s="1190"/>
      <c r="AI290" s="1190"/>
      <c r="AJ290" s="1190"/>
      <c r="AK290" s="1190"/>
      <c r="AL290" s="1190"/>
      <c r="AM290" s="1190"/>
      <c r="AN290" s="1190"/>
      <c r="AO290" s="1190"/>
      <c r="AP290" s="1190"/>
      <c r="AQ290" s="1190"/>
      <c r="AR290" s="1190"/>
      <c r="AS290" s="1190"/>
      <c r="AT290" s="1190"/>
      <c r="AU290" s="1190"/>
      <c r="AV290" s="1190"/>
      <c r="AW290" s="1190"/>
      <c r="AX290" s="1190"/>
      <c r="AY290" s="1190"/>
      <c r="AZ290" s="1190"/>
      <c r="BA290" s="1190"/>
      <c r="BB290" s="1190"/>
      <c r="BC290" s="1190"/>
      <c r="BD290" s="1190"/>
      <c r="BE290" s="1190"/>
      <c r="BF290" s="1190"/>
      <c r="BG290" s="1190"/>
      <c r="BH290" s="1190"/>
      <c r="BI290" s="1190"/>
      <c r="BJ290" s="1190"/>
      <c r="BK290" s="1190"/>
      <c r="BL290" s="1190"/>
      <c r="BM290" s="1190"/>
      <c r="BN290" s="1190"/>
      <c r="BO290" s="1190"/>
      <c r="CF290" s="1239" t="s">
        <v>12874</v>
      </c>
      <c r="CG290" s="1239" t="s">
        <v>12779</v>
      </c>
      <c r="CH290" s="1239" t="s">
        <v>12875</v>
      </c>
    </row>
    <row r="291" spans="22:86">
      <c r="V291" s="107"/>
      <c r="W291" s="106"/>
      <c r="X291" s="106"/>
      <c r="Y291" s="106"/>
      <c r="Z291" s="106"/>
      <c r="AA291" s="106"/>
      <c r="AB291" s="106"/>
      <c r="AC291" s="106"/>
      <c r="AD291" s="106"/>
      <c r="AE291" s="1190"/>
      <c r="AF291" s="1190"/>
      <c r="AG291" s="1190"/>
      <c r="AH291" s="1190"/>
      <c r="AI291" s="1190"/>
      <c r="AJ291" s="1190"/>
      <c r="AK291" s="1190"/>
      <c r="AL291" s="1190"/>
      <c r="AM291" s="1190"/>
      <c r="AN291" s="1190"/>
      <c r="AO291" s="1190"/>
      <c r="AP291" s="1190"/>
      <c r="AQ291" s="1190"/>
      <c r="AR291" s="1190"/>
      <c r="AS291" s="1190"/>
      <c r="AT291" s="1190"/>
      <c r="AU291" s="1190"/>
      <c r="AV291" s="1190"/>
      <c r="AW291" s="1190"/>
      <c r="AX291" s="1190"/>
      <c r="AY291" s="1190"/>
      <c r="AZ291" s="1190"/>
      <c r="BA291" s="1190"/>
      <c r="BB291" s="1190"/>
      <c r="BC291" s="1190"/>
      <c r="BD291" s="1190"/>
      <c r="BE291" s="1190"/>
      <c r="BF291" s="1190"/>
      <c r="BG291" s="1190"/>
      <c r="BH291" s="1190"/>
      <c r="BI291" s="1190"/>
      <c r="BJ291" s="1190"/>
      <c r="BK291" s="1190"/>
      <c r="BL291" s="1190"/>
      <c r="BM291" s="1190"/>
      <c r="BN291" s="1190"/>
      <c r="BO291" s="1190"/>
      <c r="CF291" s="1239" t="s">
        <v>2319</v>
      </c>
      <c r="CG291" s="1239">
        <v>90</v>
      </c>
      <c r="CH291" s="1239">
        <v>89</v>
      </c>
    </row>
    <row r="292" spans="22:86">
      <c r="V292" s="107"/>
      <c r="W292" s="106"/>
      <c r="X292" s="106"/>
      <c r="Y292" s="106"/>
      <c r="Z292" s="106"/>
      <c r="AA292" s="106"/>
      <c r="AB292" s="106"/>
      <c r="AC292" s="106"/>
      <c r="AD292" s="106"/>
      <c r="AE292" s="1190"/>
      <c r="AF292" s="1190"/>
      <c r="AG292" s="1190"/>
      <c r="AH292" s="1190"/>
      <c r="AI292" s="1190"/>
      <c r="AJ292" s="1190"/>
      <c r="AK292" s="1190"/>
      <c r="AL292" s="1190"/>
      <c r="AM292" s="1190"/>
      <c r="AN292" s="1190"/>
      <c r="AO292" s="1190"/>
      <c r="AP292" s="1190"/>
      <c r="AQ292" s="1190"/>
      <c r="AR292" s="1190"/>
      <c r="AS292" s="1190"/>
      <c r="AT292" s="1190"/>
      <c r="AU292" s="1190"/>
      <c r="AV292" s="1190"/>
      <c r="AW292" s="1190"/>
      <c r="AX292" s="1190"/>
      <c r="AY292" s="1190"/>
      <c r="AZ292" s="1190"/>
      <c r="BA292" s="1190"/>
      <c r="BB292" s="1190"/>
      <c r="BC292" s="1190"/>
      <c r="BD292" s="1190"/>
      <c r="BE292" s="1190"/>
      <c r="BF292" s="1190"/>
      <c r="BG292" s="1190"/>
      <c r="BH292" s="1190"/>
      <c r="BI292" s="1190"/>
      <c r="BJ292" s="1190"/>
      <c r="BK292" s="1190"/>
      <c r="BL292" s="1190"/>
      <c r="BM292" s="1190"/>
      <c r="BN292" s="1190"/>
      <c r="BO292" s="1190"/>
      <c r="CF292" s="1239" t="s">
        <v>12777</v>
      </c>
      <c r="CG292" s="1239" t="s">
        <v>7685</v>
      </c>
      <c r="CH292" s="1239">
        <v>90</v>
      </c>
    </row>
    <row r="293" spans="22:86">
      <c r="V293" s="107"/>
      <c r="W293" s="106"/>
      <c r="X293" s="106"/>
      <c r="Y293" s="106"/>
      <c r="Z293" s="106"/>
      <c r="AA293" s="106"/>
      <c r="AB293" s="106"/>
      <c r="AC293" s="106"/>
      <c r="AD293" s="106"/>
      <c r="AE293" s="1190"/>
      <c r="AF293" s="1190"/>
      <c r="AG293" s="1190"/>
      <c r="AH293" s="1190"/>
      <c r="AI293" s="1190"/>
      <c r="AJ293" s="1190"/>
      <c r="AK293" s="1190"/>
      <c r="AL293" s="1190"/>
      <c r="AM293" s="1190"/>
      <c r="AN293" s="1190"/>
      <c r="AO293" s="1190"/>
      <c r="AP293" s="1190"/>
      <c r="AQ293" s="1190"/>
      <c r="AR293" s="1190"/>
      <c r="AS293" s="1190"/>
      <c r="AT293" s="1190"/>
      <c r="AU293" s="1190"/>
      <c r="AV293" s="1190"/>
      <c r="AW293" s="1190"/>
      <c r="AX293" s="1190"/>
      <c r="AY293" s="1190"/>
      <c r="AZ293" s="1190"/>
      <c r="BA293" s="1190"/>
      <c r="BB293" s="1190"/>
      <c r="BC293" s="1190"/>
      <c r="BD293" s="1190"/>
      <c r="BE293" s="1190"/>
      <c r="BF293" s="1190"/>
      <c r="BG293" s="1190"/>
      <c r="BH293" s="1190"/>
      <c r="BI293" s="1190"/>
      <c r="BJ293" s="1190"/>
      <c r="BK293" s="1190"/>
      <c r="BL293" s="1190"/>
      <c r="BM293" s="1190"/>
      <c r="BN293" s="1190"/>
      <c r="BO293" s="1190"/>
      <c r="CF293" s="1239" t="s">
        <v>5181</v>
      </c>
      <c r="CG293" s="1239">
        <v>91</v>
      </c>
      <c r="CH293" s="1239">
        <v>91</v>
      </c>
    </row>
    <row r="294" spans="22:86">
      <c r="V294" s="107"/>
      <c r="W294" s="106"/>
      <c r="X294" s="106"/>
      <c r="Y294" s="106"/>
      <c r="Z294" s="106"/>
      <c r="AA294" s="106"/>
      <c r="AB294" s="106"/>
      <c r="AC294" s="106"/>
      <c r="AD294" s="106"/>
      <c r="AE294" s="1190"/>
      <c r="AF294" s="1190"/>
      <c r="AG294" s="1190"/>
      <c r="AH294" s="1190"/>
      <c r="AI294" s="1190"/>
      <c r="AJ294" s="1190"/>
      <c r="AK294" s="1190"/>
      <c r="AL294" s="1190"/>
      <c r="AM294" s="1190"/>
      <c r="AN294" s="1190"/>
      <c r="AO294" s="1190"/>
      <c r="AP294" s="1190"/>
      <c r="AQ294" s="1190"/>
      <c r="AR294" s="1190"/>
      <c r="AS294" s="1190"/>
      <c r="AT294" s="1190"/>
      <c r="AU294" s="1190"/>
      <c r="AV294" s="1190"/>
      <c r="AW294" s="1190"/>
      <c r="AX294" s="1190"/>
      <c r="AY294" s="1190"/>
      <c r="AZ294" s="1190"/>
      <c r="BA294" s="1190"/>
      <c r="BB294" s="1190"/>
      <c r="BC294" s="1190"/>
      <c r="BD294" s="1190"/>
      <c r="BE294" s="1190"/>
      <c r="BF294" s="1190"/>
      <c r="BG294" s="1190"/>
      <c r="BH294" s="1190"/>
      <c r="BI294" s="1190"/>
      <c r="BJ294" s="1190"/>
      <c r="BK294" s="1190"/>
      <c r="BL294" s="1190"/>
      <c r="BM294" s="1190"/>
      <c r="BN294" s="1190"/>
      <c r="BO294" s="1190"/>
      <c r="CF294" s="1239" t="s">
        <v>5032</v>
      </c>
      <c r="CG294" s="1239">
        <v>92</v>
      </c>
      <c r="CH294" s="1239">
        <v>92</v>
      </c>
    </row>
    <row r="295" spans="22:86">
      <c r="V295" s="107"/>
      <c r="W295" s="106"/>
      <c r="X295" s="106"/>
      <c r="Y295" s="106"/>
      <c r="Z295" s="106"/>
      <c r="AA295" s="106"/>
      <c r="AB295" s="106"/>
      <c r="AC295" s="106"/>
      <c r="AD295" s="106"/>
      <c r="AE295" s="1190"/>
      <c r="AF295" s="1190"/>
      <c r="AG295" s="1190"/>
      <c r="AH295" s="1190"/>
      <c r="AI295" s="1190"/>
      <c r="AJ295" s="1190"/>
      <c r="AK295" s="1190"/>
      <c r="AL295" s="1190"/>
      <c r="AM295" s="1190"/>
      <c r="AN295" s="1190"/>
      <c r="AO295" s="1190"/>
      <c r="AP295" s="1190"/>
      <c r="AQ295" s="1190"/>
      <c r="AR295" s="1190"/>
      <c r="AS295" s="1190"/>
      <c r="AT295" s="1190"/>
      <c r="AU295" s="1190"/>
      <c r="AV295" s="1190"/>
      <c r="AW295" s="1190"/>
      <c r="AX295" s="1190"/>
      <c r="AY295" s="1190"/>
      <c r="AZ295" s="1190"/>
      <c r="BA295" s="1190"/>
      <c r="BB295" s="1190"/>
      <c r="BC295" s="1190"/>
      <c r="BD295" s="1190"/>
      <c r="BE295" s="1190"/>
      <c r="BF295" s="1190"/>
      <c r="BG295" s="1190"/>
      <c r="BH295" s="1190"/>
      <c r="BI295" s="1190"/>
      <c r="BJ295" s="1190"/>
      <c r="BK295" s="1190"/>
      <c r="BL295" s="1190"/>
      <c r="BM295" s="1190"/>
      <c r="BN295" s="1190"/>
      <c r="BO295" s="1190"/>
      <c r="CF295" s="1239" t="s">
        <v>3789</v>
      </c>
      <c r="CG295" s="1239" t="s">
        <v>12716</v>
      </c>
      <c r="CH295" s="1239">
        <v>93</v>
      </c>
    </row>
    <row r="296" spans="22:86">
      <c r="V296" s="107"/>
      <c r="W296" s="106"/>
      <c r="X296" s="106"/>
      <c r="Y296" s="106"/>
      <c r="Z296" s="106"/>
      <c r="AA296" s="106"/>
      <c r="AB296" s="106"/>
      <c r="AC296" s="106"/>
      <c r="AD296" s="106"/>
      <c r="AE296" s="1190"/>
      <c r="AF296" s="1190"/>
      <c r="AG296" s="1190"/>
      <c r="AH296" s="1190"/>
      <c r="AI296" s="1190"/>
      <c r="AJ296" s="1190"/>
      <c r="AK296" s="1190"/>
      <c r="AL296" s="1190"/>
      <c r="AM296" s="1190"/>
      <c r="AN296" s="1190"/>
      <c r="AO296" s="1190"/>
      <c r="AP296" s="1190"/>
      <c r="AQ296" s="1190"/>
      <c r="AR296" s="1190"/>
      <c r="AS296" s="1190"/>
      <c r="AT296" s="1190"/>
      <c r="AU296" s="1190"/>
      <c r="AV296" s="1190"/>
      <c r="AW296" s="1190"/>
      <c r="AX296" s="1190"/>
      <c r="AY296" s="1190"/>
      <c r="AZ296" s="1190"/>
      <c r="BA296" s="1190"/>
      <c r="BB296" s="1190"/>
      <c r="BC296" s="1190"/>
      <c r="BD296" s="1190"/>
      <c r="BE296" s="1190"/>
      <c r="BF296" s="1190"/>
      <c r="BG296" s="1190"/>
      <c r="BH296" s="1190"/>
      <c r="BI296" s="1190"/>
      <c r="BJ296" s="1190"/>
      <c r="BK296" s="1190"/>
      <c r="BL296" s="1190"/>
      <c r="BM296" s="1190"/>
      <c r="BN296" s="1190"/>
      <c r="BO296" s="1190"/>
      <c r="CF296" s="1239" t="s">
        <v>12782</v>
      </c>
      <c r="CG296" s="1239" t="s">
        <v>7685</v>
      </c>
      <c r="CH296" s="1239">
        <v>94</v>
      </c>
    </row>
    <row r="297" spans="22:86">
      <c r="V297" s="107"/>
      <c r="W297" s="106"/>
      <c r="X297" s="106"/>
      <c r="Y297" s="106"/>
      <c r="Z297" s="106"/>
      <c r="AA297" s="106"/>
      <c r="AB297" s="106"/>
      <c r="AC297" s="106"/>
      <c r="AD297" s="106"/>
      <c r="AE297" s="1190"/>
      <c r="AF297" s="1190"/>
      <c r="AG297" s="1190"/>
      <c r="AH297" s="1190"/>
      <c r="AI297" s="1190"/>
      <c r="AJ297" s="1190"/>
      <c r="AK297" s="1190"/>
      <c r="AL297" s="1190"/>
      <c r="AM297" s="1190"/>
      <c r="AN297" s="1190"/>
      <c r="AO297" s="1190"/>
      <c r="AP297" s="1190"/>
      <c r="AQ297" s="1190"/>
      <c r="AR297" s="1190"/>
      <c r="AS297" s="1190"/>
      <c r="AT297" s="1190"/>
      <c r="AU297" s="1190"/>
      <c r="AV297" s="1190"/>
      <c r="AW297" s="1190"/>
      <c r="AX297" s="1190"/>
      <c r="AY297" s="1190"/>
      <c r="AZ297" s="1190"/>
      <c r="BA297" s="1190"/>
      <c r="BB297" s="1190"/>
      <c r="BC297" s="1190"/>
      <c r="BD297" s="1190"/>
      <c r="BE297" s="1190"/>
      <c r="BF297" s="1190"/>
      <c r="BG297" s="1190"/>
      <c r="BH297" s="1190"/>
      <c r="BI297" s="1190"/>
      <c r="BJ297" s="1190"/>
      <c r="BK297" s="1190"/>
      <c r="BL297" s="1190"/>
      <c r="BM297" s="1190"/>
      <c r="BN297" s="1190"/>
      <c r="BO297" s="1190"/>
      <c r="CF297" s="1239" t="s">
        <v>12783</v>
      </c>
      <c r="CG297" s="1239">
        <v>95</v>
      </c>
      <c r="CH297" s="1239">
        <v>95</v>
      </c>
    </row>
    <row r="298" spans="22:86">
      <c r="V298" s="107"/>
      <c r="W298" s="106"/>
      <c r="X298" s="106"/>
      <c r="Y298" s="106"/>
      <c r="Z298" s="106"/>
      <c r="AA298" s="106"/>
      <c r="AB298" s="106"/>
      <c r="AC298" s="106"/>
      <c r="AD298" s="106"/>
      <c r="AE298" s="1190"/>
      <c r="AF298" s="1190"/>
      <c r="AG298" s="1190"/>
      <c r="AH298" s="1190"/>
      <c r="AI298" s="1190"/>
      <c r="AJ298" s="1190"/>
      <c r="AK298" s="1190"/>
      <c r="AL298" s="1190"/>
      <c r="AM298" s="1190"/>
      <c r="AN298" s="1190"/>
      <c r="AO298" s="1190"/>
      <c r="AP298" s="1190"/>
      <c r="AQ298" s="1190"/>
      <c r="AR298" s="1190"/>
      <c r="AS298" s="1190"/>
      <c r="AT298" s="1190"/>
      <c r="AU298" s="1190"/>
      <c r="AV298" s="1190"/>
      <c r="AW298" s="1190"/>
      <c r="AX298" s="1190"/>
      <c r="AY298" s="1190"/>
      <c r="AZ298" s="1190"/>
      <c r="BA298" s="1190"/>
      <c r="BB298" s="1190"/>
      <c r="BC298" s="1190"/>
      <c r="BD298" s="1190"/>
      <c r="BE298" s="1190"/>
      <c r="BF298" s="1190"/>
      <c r="BG298" s="1190"/>
      <c r="BH298" s="1190"/>
      <c r="BI298" s="1190"/>
      <c r="BJ298" s="1190"/>
      <c r="BK298" s="1190"/>
      <c r="BL298" s="1190"/>
      <c r="BM298" s="1190"/>
      <c r="BN298" s="1190"/>
      <c r="BO298" s="1190"/>
      <c r="CF298" s="1239" t="s">
        <v>12861</v>
      </c>
      <c r="CG298" s="1239">
        <v>96</v>
      </c>
      <c r="CH298" s="1239">
        <v>96</v>
      </c>
    </row>
    <row r="299" spans="22:86">
      <c r="V299" s="107"/>
      <c r="W299" s="106"/>
      <c r="X299" s="106"/>
      <c r="Y299" s="106"/>
      <c r="Z299" s="106"/>
      <c r="AA299" s="106"/>
      <c r="AB299" s="106"/>
      <c r="AC299" s="106"/>
      <c r="AD299" s="106"/>
      <c r="AE299" s="1190"/>
      <c r="AF299" s="1190"/>
      <c r="AG299" s="1190"/>
      <c r="AH299" s="1190"/>
      <c r="AI299" s="1190"/>
      <c r="AJ299" s="1190"/>
      <c r="AK299" s="1190"/>
      <c r="AL299" s="1190"/>
      <c r="AM299" s="1190"/>
      <c r="AN299" s="1190"/>
      <c r="AO299" s="1190"/>
      <c r="AP299" s="1190"/>
      <c r="AQ299" s="1190"/>
      <c r="AR299" s="1190"/>
      <c r="AS299" s="1190"/>
      <c r="AT299" s="1190"/>
      <c r="AU299" s="1190"/>
      <c r="AV299" s="1190"/>
      <c r="AW299" s="1190"/>
      <c r="AX299" s="1190"/>
      <c r="AY299" s="1190"/>
      <c r="AZ299" s="1190"/>
      <c r="BA299" s="1190"/>
      <c r="BB299" s="1190"/>
      <c r="BC299" s="1190"/>
      <c r="BD299" s="1190"/>
      <c r="BE299" s="1190"/>
      <c r="BF299" s="1190"/>
      <c r="BG299" s="1190"/>
      <c r="BH299" s="1190"/>
      <c r="BI299" s="1190"/>
      <c r="BJ299" s="1190"/>
      <c r="BK299" s="1190"/>
      <c r="BL299" s="1190"/>
      <c r="BM299" s="1190"/>
      <c r="BN299" s="1190"/>
      <c r="BO299" s="1190"/>
      <c r="CF299" s="1239" t="s">
        <v>12784</v>
      </c>
      <c r="CG299" s="1239">
        <v>97</v>
      </c>
      <c r="CH299" s="1239">
        <v>97</v>
      </c>
    </row>
    <row r="300" spans="22:86">
      <c r="V300" s="107"/>
      <c r="W300" s="106"/>
      <c r="X300" s="106"/>
      <c r="Y300" s="106"/>
      <c r="Z300" s="106"/>
      <c r="AA300" s="106"/>
      <c r="AB300" s="106"/>
      <c r="AC300" s="106"/>
      <c r="AD300" s="106"/>
      <c r="AE300" s="1190"/>
      <c r="AF300" s="1190"/>
      <c r="AG300" s="1190"/>
      <c r="AH300" s="1190"/>
      <c r="AI300" s="1190"/>
      <c r="AJ300" s="1190"/>
      <c r="AK300" s="1190"/>
      <c r="AL300" s="1190"/>
      <c r="AM300" s="1190"/>
      <c r="AN300" s="1190"/>
      <c r="AO300" s="1190"/>
      <c r="AP300" s="1190"/>
      <c r="AQ300" s="1190"/>
      <c r="AR300" s="1190"/>
      <c r="AS300" s="1190"/>
      <c r="AT300" s="1190"/>
      <c r="AU300" s="1190"/>
      <c r="AV300" s="1190"/>
      <c r="AW300" s="1190"/>
      <c r="AX300" s="1190"/>
      <c r="AY300" s="1190"/>
      <c r="AZ300" s="1190"/>
      <c r="BA300" s="1190"/>
      <c r="BB300" s="1190"/>
      <c r="BC300" s="1190"/>
      <c r="BD300" s="1190"/>
      <c r="BE300" s="1190"/>
      <c r="BF300" s="1190"/>
      <c r="BG300" s="1190"/>
      <c r="BH300" s="1190"/>
      <c r="BI300" s="1190"/>
      <c r="BJ300" s="1190"/>
      <c r="BK300" s="1190"/>
      <c r="BL300" s="1190"/>
      <c r="BM300" s="1190"/>
      <c r="BN300" s="1190"/>
      <c r="BO300" s="1190"/>
      <c r="CF300" s="1239" t="s">
        <v>12787</v>
      </c>
      <c r="CG300" s="1239">
        <v>98</v>
      </c>
      <c r="CH300" s="1239">
        <v>98</v>
      </c>
    </row>
    <row r="301" spans="22:86">
      <c r="V301" s="107"/>
      <c r="W301" s="106"/>
      <c r="X301" s="106"/>
      <c r="Y301" s="106"/>
      <c r="Z301" s="106"/>
      <c r="AA301" s="106"/>
      <c r="AB301" s="106"/>
      <c r="AC301" s="106"/>
      <c r="AD301" s="106"/>
      <c r="AE301" s="1190"/>
      <c r="AF301" s="1190"/>
      <c r="AG301" s="1190"/>
      <c r="AH301" s="1190"/>
      <c r="AI301" s="1190"/>
      <c r="AJ301" s="1190"/>
      <c r="AK301" s="1190"/>
      <c r="AL301" s="1190"/>
      <c r="AM301" s="1190"/>
      <c r="AN301" s="1190"/>
      <c r="AO301" s="1190"/>
      <c r="AP301" s="1190"/>
      <c r="AQ301" s="1190"/>
      <c r="AR301" s="1190"/>
      <c r="AS301" s="1190"/>
      <c r="AT301" s="1190"/>
      <c r="AU301" s="1190"/>
      <c r="AV301" s="1190"/>
      <c r="AW301" s="1190"/>
      <c r="AX301" s="1190"/>
      <c r="AY301" s="1190"/>
      <c r="AZ301" s="1190"/>
      <c r="BA301" s="1190"/>
      <c r="BB301" s="1190"/>
      <c r="BC301" s="1190"/>
      <c r="BD301" s="1190"/>
      <c r="BE301" s="1190"/>
      <c r="BF301" s="1190"/>
      <c r="BG301" s="1190"/>
      <c r="BH301" s="1190"/>
      <c r="BI301" s="1190"/>
      <c r="BJ301" s="1190"/>
      <c r="BK301" s="1190"/>
      <c r="BL301" s="1190"/>
      <c r="BM301" s="1190"/>
      <c r="BN301" s="1190"/>
      <c r="BO301" s="1190"/>
      <c r="CF301" s="1239" t="s">
        <v>12789</v>
      </c>
      <c r="CG301" s="1239">
        <v>99</v>
      </c>
      <c r="CH301" s="1239">
        <v>99</v>
      </c>
    </row>
    <row r="302" spans="22:86">
      <c r="V302" s="107"/>
      <c r="W302" s="106"/>
      <c r="X302" s="106"/>
      <c r="Y302" s="106"/>
      <c r="Z302" s="106"/>
      <c r="AA302" s="106"/>
      <c r="AB302" s="106"/>
      <c r="AC302" s="106"/>
      <c r="AD302" s="106"/>
      <c r="AE302" s="1190"/>
      <c r="AF302" s="1190"/>
      <c r="AG302" s="1190"/>
      <c r="AH302" s="1190"/>
      <c r="AI302" s="1190"/>
      <c r="AJ302" s="1190"/>
      <c r="AK302" s="1190"/>
      <c r="AL302" s="1190"/>
      <c r="AM302" s="1190"/>
      <c r="AN302" s="1190"/>
      <c r="AO302" s="1190"/>
      <c r="AP302" s="1190"/>
      <c r="AQ302" s="1190"/>
      <c r="AR302" s="1190"/>
      <c r="AS302" s="1190"/>
      <c r="AT302" s="1190"/>
      <c r="AU302" s="1190"/>
      <c r="AV302" s="1190"/>
      <c r="AW302" s="1190"/>
      <c r="AX302" s="1190"/>
      <c r="AY302" s="1190"/>
      <c r="AZ302" s="1190"/>
      <c r="BA302" s="1190"/>
      <c r="BB302" s="1190"/>
      <c r="BC302" s="1190"/>
      <c r="BD302" s="1190"/>
      <c r="BE302" s="1190"/>
      <c r="BF302" s="1190"/>
      <c r="BG302" s="1190"/>
      <c r="BH302" s="1190"/>
      <c r="BI302" s="1190"/>
      <c r="BJ302" s="1190"/>
      <c r="BK302" s="1190"/>
      <c r="BL302" s="1190"/>
      <c r="BM302" s="1190"/>
      <c r="BN302" s="1190"/>
      <c r="BO302" s="1190"/>
      <c r="CF302" s="1239" t="s">
        <v>12672</v>
      </c>
      <c r="CG302" s="1239">
        <v>0</v>
      </c>
      <c r="CH302" s="1239">
        <v>0</v>
      </c>
    </row>
    <row r="303" spans="22:86">
      <c r="V303" s="107"/>
      <c r="W303" s="106"/>
      <c r="X303" s="106"/>
      <c r="Y303" s="106"/>
      <c r="Z303" s="106"/>
      <c r="AA303" s="106"/>
      <c r="AB303" s="106"/>
      <c r="AC303" s="106"/>
      <c r="AD303" s="106"/>
      <c r="AE303" s="1190"/>
      <c r="AF303" s="1190"/>
      <c r="AG303" s="1190"/>
      <c r="AH303" s="1190"/>
      <c r="AI303" s="1190"/>
      <c r="AJ303" s="1190"/>
      <c r="AK303" s="1190"/>
      <c r="AL303" s="1190"/>
      <c r="AM303" s="1190"/>
      <c r="AN303" s="1190"/>
      <c r="AO303" s="1190"/>
      <c r="AP303" s="1190"/>
      <c r="AQ303" s="1190"/>
      <c r="AR303" s="1190"/>
      <c r="AS303" s="1190"/>
      <c r="AT303" s="1190"/>
      <c r="AU303" s="1190"/>
      <c r="AV303" s="1190"/>
      <c r="AW303" s="1190"/>
      <c r="AX303" s="1190"/>
      <c r="AY303" s="1190"/>
      <c r="AZ303" s="1190"/>
      <c r="BA303" s="1190"/>
      <c r="BB303" s="1190"/>
      <c r="BC303" s="1190"/>
      <c r="BD303" s="1190"/>
      <c r="BE303" s="1190"/>
      <c r="BF303" s="1190"/>
      <c r="BG303" s="1190"/>
      <c r="BH303" s="1190"/>
      <c r="BI303" s="1190"/>
      <c r="BJ303" s="1190"/>
      <c r="BK303" s="1190"/>
      <c r="BL303" s="1190"/>
      <c r="BM303" s="1190"/>
      <c r="BN303" s="1190"/>
      <c r="BO303" s="1190"/>
    </row>
    <row r="304" spans="22:86">
      <c r="V304" s="107"/>
      <c r="W304" s="106"/>
      <c r="X304" s="106"/>
      <c r="Y304" s="106"/>
      <c r="Z304" s="106"/>
      <c r="AA304" s="106"/>
      <c r="AB304" s="106"/>
      <c r="AC304" s="106"/>
      <c r="AD304" s="106"/>
      <c r="AE304" s="1190"/>
      <c r="AF304" s="1190"/>
      <c r="AG304" s="1190"/>
      <c r="AH304" s="1190"/>
      <c r="AI304" s="1190"/>
      <c r="AJ304" s="1190"/>
      <c r="AK304" s="1190"/>
      <c r="AL304" s="1190"/>
      <c r="AM304" s="1190"/>
      <c r="AN304" s="1190"/>
      <c r="AO304" s="1190"/>
      <c r="AP304" s="1190"/>
      <c r="AQ304" s="1190"/>
      <c r="AR304" s="1190"/>
      <c r="AS304" s="1190"/>
      <c r="AT304" s="1190"/>
      <c r="AU304" s="1190"/>
      <c r="AV304" s="1190"/>
      <c r="AW304" s="1190"/>
      <c r="AX304" s="1190"/>
      <c r="AY304" s="1190"/>
      <c r="AZ304" s="1190"/>
      <c r="BA304" s="1190"/>
      <c r="BB304" s="1190"/>
      <c r="BC304" s="1190"/>
      <c r="BD304" s="1190"/>
      <c r="BE304" s="1190"/>
      <c r="BF304" s="1190"/>
      <c r="BG304" s="1190"/>
      <c r="BH304" s="1190"/>
      <c r="BI304" s="1190"/>
      <c r="BJ304" s="1190"/>
      <c r="BK304" s="1190"/>
      <c r="BL304" s="1190"/>
      <c r="BM304" s="1190"/>
      <c r="BN304" s="1190"/>
      <c r="BO304" s="1190"/>
    </row>
    <row r="305" spans="22:67">
      <c r="V305" s="107"/>
      <c r="W305" s="106"/>
      <c r="X305" s="106"/>
      <c r="Y305" s="106"/>
      <c r="Z305" s="106"/>
      <c r="AA305" s="106"/>
      <c r="AB305" s="106"/>
      <c r="AC305" s="106"/>
      <c r="AD305" s="106"/>
      <c r="AE305" s="1190"/>
      <c r="AF305" s="1190"/>
      <c r="AG305" s="1190"/>
      <c r="AH305" s="1190"/>
      <c r="AI305" s="1190"/>
      <c r="AJ305" s="1190"/>
      <c r="AK305" s="1190"/>
      <c r="AL305" s="1190"/>
      <c r="AM305" s="1190"/>
      <c r="AN305" s="1190"/>
      <c r="AO305" s="1190"/>
      <c r="AP305" s="1190"/>
      <c r="AQ305" s="1190"/>
      <c r="AR305" s="1190"/>
      <c r="AS305" s="1190"/>
      <c r="AT305" s="1190"/>
      <c r="AU305" s="1190"/>
      <c r="AV305" s="1190"/>
      <c r="AW305" s="1190"/>
      <c r="AX305" s="1190"/>
      <c r="AY305" s="1190"/>
      <c r="AZ305" s="1190"/>
      <c r="BA305" s="1190"/>
      <c r="BB305" s="1190"/>
      <c r="BC305" s="1190"/>
      <c r="BD305" s="1190"/>
      <c r="BE305" s="1190"/>
      <c r="BF305" s="1190"/>
      <c r="BG305" s="1190"/>
      <c r="BH305" s="1190"/>
      <c r="BI305" s="1190"/>
      <c r="BJ305" s="1190"/>
      <c r="BK305" s="1190"/>
      <c r="BL305" s="1190"/>
      <c r="BM305" s="1190"/>
      <c r="BN305" s="1190"/>
      <c r="BO305" s="1190"/>
    </row>
    <row r="306" spans="22:67">
      <c r="V306" s="107"/>
      <c r="W306" s="106"/>
      <c r="X306" s="106"/>
      <c r="Y306" s="106"/>
      <c r="Z306" s="106"/>
      <c r="AA306" s="106"/>
      <c r="AB306" s="106"/>
      <c r="AC306" s="106"/>
      <c r="AD306" s="106"/>
      <c r="AE306" s="1190"/>
      <c r="AF306" s="1190"/>
      <c r="AG306" s="1190"/>
      <c r="AH306" s="1190"/>
      <c r="AI306" s="1190"/>
      <c r="AJ306" s="1190"/>
      <c r="AK306" s="1190"/>
      <c r="AL306" s="1190"/>
      <c r="AM306" s="1190"/>
      <c r="AN306" s="1190"/>
      <c r="AO306" s="1190"/>
      <c r="AP306" s="1190"/>
      <c r="AQ306" s="1190"/>
      <c r="AR306" s="1190"/>
      <c r="AS306" s="1190"/>
      <c r="AT306" s="1190"/>
      <c r="AU306" s="1190"/>
      <c r="AV306" s="1190"/>
      <c r="AW306" s="1190"/>
      <c r="AX306" s="1190"/>
      <c r="AY306" s="1190"/>
      <c r="AZ306" s="1190"/>
      <c r="BA306" s="1190"/>
      <c r="BB306" s="1190"/>
      <c r="BC306" s="1190"/>
      <c r="BD306" s="1190"/>
      <c r="BE306" s="1190"/>
      <c r="BF306" s="1190"/>
      <c r="BG306" s="1190"/>
      <c r="BH306" s="1190"/>
      <c r="BI306" s="1190"/>
      <c r="BJ306" s="1190"/>
      <c r="BK306" s="1190"/>
      <c r="BL306" s="1190"/>
      <c r="BM306" s="1190"/>
      <c r="BN306" s="1190"/>
      <c r="BO306" s="1190"/>
    </row>
    <row r="307" spans="22:67">
      <c r="V307" s="107"/>
      <c r="W307" s="106"/>
      <c r="X307" s="106"/>
      <c r="Y307" s="106"/>
      <c r="Z307" s="106"/>
      <c r="AA307" s="106"/>
      <c r="AB307" s="106"/>
      <c r="AC307" s="106"/>
      <c r="AD307" s="106"/>
      <c r="AE307" s="1190"/>
      <c r="AF307" s="1190"/>
      <c r="AG307" s="1190"/>
      <c r="AH307" s="1190"/>
      <c r="AI307" s="1190"/>
      <c r="AJ307" s="1190"/>
      <c r="AK307" s="1190"/>
      <c r="AL307" s="1190"/>
      <c r="AM307" s="1190"/>
      <c r="AN307" s="1190"/>
      <c r="AO307" s="1190"/>
      <c r="AP307" s="1190"/>
      <c r="AQ307" s="1190"/>
      <c r="AR307" s="1190"/>
      <c r="AS307" s="1190"/>
      <c r="AT307" s="1190"/>
      <c r="AU307" s="1190"/>
      <c r="AV307" s="1190"/>
      <c r="AW307" s="1190"/>
      <c r="AX307" s="1190"/>
      <c r="AY307" s="1190"/>
      <c r="AZ307" s="1190"/>
      <c r="BA307" s="1190"/>
      <c r="BB307" s="1190"/>
      <c r="BC307" s="1190"/>
      <c r="BD307" s="1190"/>
      <c r="BE307" s="1190"/>
      <c r="BF307" s="1190"/>
      <c r="BG307" s="1190"/>
      <c r="BH307" s="1190"/>
      <c r="BI307" s="1190"/>
      <c r="BJ307" s="1190"/>
      <c r="BK307" s="1190"/>
      <c r="BL307" s="1190"/>
      <c r="BM307" s="1190"/>
      <c r="BN307" s="1190"/>
      <c r="BO307" s="1190"/>
    </row>
    <row r="308" spans="22:67">
      <c r="V308" s="107"/>
      <c r="W308" s="106"/>
      <c r="X308" s="106"/>
      <c r="Y308" s="106"/>
      <c r="Z308" s="106"/>
      <c r="AA308" s="106"/>
      <c r="AB308" s="106"/>
      <c r="AC308" s="106"/>
      <c r="AD308" s="106"/>
      <c r="AE308" s="1190"/>
      <c r="AF308" s="1190"/>
      <c r="AG308" s="1190"/>
      <c r="AH308" s="1190"/>
      <c r="AI308" s="1190"/>
      <c r="AJ308" s="1190"/>
      <c r="AK308" s="1190"/>
      <c r="AL308" s="1190"/>
      <c r="AM308" s="1190"/>
      <c r="AN308" s="1190"/>
      <c r="AO308" s="1190"/>
      <c r="AP308" s="1190"/>
      <c r="AQ308" s="1190"/>
      <c r="AR308" s="1190"/>
      <c r="AS308" s="1190"/>
      <c r="AT308" s="1190"/>
      <c r="AU308" s="1190"/>
      <c r="AV308" s="1190"/>
      <c r="AW308" s="1190"/>
      <c r="AX308" s="1190"/>
      <c r="AY308" s="1190"/>
      <c r="AZ308" s="1190"/>
      <c r="BA308" s="1190"/>
      <c r="BB308" s="1190"/>
      <c r="BC308" s="1190"/>
      <c r="BD308" s="1190"/>
      <c r="BE308" s="1190"/>
      <c r="BF308" s="1190"/>
      <c r="BG308" s="1190"/>
      <c r="BH308" s="1190"/>
      <c r="BI308" s="1190"/>
      <c r="BJ308" s="1190"/>
      <c r="BK308" s="1190"/>
      <c r="BL308" s="1190"/>
      <c r="BM308" s="1190"/>
      <c r="BN308" s="1190"/>
      <c r="BO308" s="1190"/>
    </row>
    <row r="309" spans="22:67">
      <c r="V309" s="107"/>
      <c r="W309" s="106"/>
      <c r="X309" s="106"/>
      <c r="Y309" s="106"/>
      <c r="Z309" s="106"/>
      <c r="AA309" s="106"/>
      <c r="AB309" s="106"/>
      <c r="AC309" s="106"/>
      <c r="AD309" s="106"/>
      <c r="AE309" s="1190"/>
      <c r="AF309" s="1190"/>
      <c r="AG309" s="1190"/>
      <c r="AH309" s="1190"/>
      <c r="AI309" s="1190"/>
      <c r="AJ309" s="1190"/>
      <c r="AK309" s="1190"/>
      <c r="AL309" s="1190"/>
      <c r="AM309" s="1190"/>
      <c r="AN309" s="1190"/>
      <c r="AO309" s="1190"/>
      <c r="AP309" s="1190"/>
      <c r="AQ309" s="1190"/>
      <c r="AR309" s="1190"/>
      <c r="AS309" s="1190"/>
      <c r="AT309" s="1190"/>
      <c r="AU309" s="1190"/>
      <c r="AV309" s="1190"/>
      <c r="AW309" s="1190"/>
      <c r="AX309" s="1190"/>
      <c r="AY309" s="1190"/>
      <c r="AZ309" s="1190"/>
      <c r="BA309" s="1190"/>
      <c r="BB309" s="1190"/>
      <c r="BC309" s="1190"/>
      <c r="BD309" s="1190"/>
      <c r="BE309" s="1190"/>
      <c r="BF309" s="1190"/>
      <c r="BG309" s="1190"/>
      <c r="BH309" s="1190"/>
      <c r="BI309" s="1190"/>
      <c r="BJ309" s="1190"/>
      <c r="BK309" s="1190"/>
      <c r="BL309" s="1190"/>
      <c r="BM309" s="1190"/>
      <c r="BN309" s="1190"/>
      <c r="BO309" s="1190"/>
    </row>
    <row r="310" spans="22:67">
      <c r="V310" s="107"/>
      <c r="W310" s="106"/>
      <c r="X310" s="106"/>
      <c r="Y310" s="106"/>
      <c r="Z310" s="106"/>
      <c r="AA310" s="106"/>
      <c r="AB310" s="106"/>
      <c r="AC310" s="106"/>
      <c r="AD310" s="106"/>
      <c r="AE310" s="1190"/>
      <c r="AF310" s="1190"/>
      <c r="AG310" s="1190"/>
      <c r="AH310" s="1190"/>
      <c r="AI310" s="1190"/>
      <c r="AJ310" s="1190"/>
      <c r="AK310" s="1190"/>
      <c r="AL310" s="1190"/>
      <c r="AM310" s="1190"/>
      <c r="AN310" s="1190"/>
      <c r="AO310" s="1190"/>
      <c r="AP310" s="1190"/>
      <c r="AQ310" s="1190"/>
      <c r="AR310" s="1190"/>
      <c r="AS310" s="1190"/>
      <c r="AT310" s="1190"/>
      <c r="AU310" s="1190"/>
      <c r="AV310" s="1190"/>
      <c r="AW310" s="1190"/>
      <c r="AX310" s="1190"/>
      <c r="AY310" s="1190"/>
      <c r="AZ310" s="1190"/>
      <c r="BA310" s="1190"/>
      <c r="BB310" s="1190"/>
      <c r="BC310" s="1190"/>
      <c r="BD310" s="1190"/>
      <c r="BE310" s="1190"/>
      <c r="BF310" s="1190"/>
      <c r="BG310" s="1190"/>
      <c r="BH310" s="1190"/>
      <c r="BI310" s="1190"/>
      <c r="BJ310" s="1190"/>
      <c r="BK310" s="1190"/>
      <c r="BL310" s="1190"/>
      <c r="BM310" s="1190"/>
      <c r="BN310" s="1190"/>
      <c r="BO310" s="1190"/>
    </row>
    <row r="311" spans="22:67">
      <c r="V311" s="107"/>
      <c r="W311" s="106"/>
      <c r="X311" s="106"/>
      <c r="Y311" s="106"/>
      <c r="Z311" s="106"/>
      <c r="AA311" s="106"/>
      <c r="AB311" s="106"/>
      <c r="AC311" s="106"/>
      <c r="AD311" s="106"/>
      <c r="AE311" s="1190"/>
      <c r="AF311" s="1190"/>
      <c r="AG311" s="1190"/>
      <c r="AH311" s="1190"/>
      <c r="AI311" s="1190"/>
      <c r="AJ311" s="1190"/>
      <c r="AK311" s="1190"/>
      <c r="AL311" s="1190"/>
      <c r="AM311" s="1190"/>
      <c r="AN311" s="1190"/>
      <c r="AO311" s="1190"/>
      <c r="AP311" s="1190"/>
      <c r="AQ311" s="1190"/>
      <c r="AR311" s="1190"/>
      <c r="AS311" s="1190"/>
      <c r="AT311" s="1190"/>
      <c r="AU311" s="1190"/>
      <c r="AV311" s="1190"/>
      <c r="AW311" s="1190"/>
      <c r="AX311" s="1190"/>
      <c r="AY311" s="1190"/>
      <c r="AZ311" s="1190"/>
      <c r="BA311" s="1190"/>
      <c r="BB311" s="1190"/>
      <c r="BC311" s="1190"/>
      <c r="BD311" s="1190"/>
      <c r="BE311" s="1190"/>
      <c r="BF311" s="1190"/>
      <c r="BG311" s="1190"/>
      <c r="BH311" s="1190"/>
      <c r="BI311" s="1190"/>
      <c r="BJ311" s="1190"/>
      <c r="BK311" s="1190"/>
      <c r="BL311" s="1190"/>
      <c r="BM311" s="1190"/>
      <c r="BN311" s="1190"/>
      <c r="BO311" s="1190"/>
    </row>
    <row r="312" spans="22:67">
      <c r="V312" s="107"/>
      <c r="W312" s="106"/>
      <c r="X312" s="106"/>
      <c r="Y312" s="106"/>
      <c r="Z312" s="106"/>
      <c r="AA312" s="106"/>
      <c r="AB312" s="106"/>
      <c r="AC312" s="106"/>
      <c r="AD312" s="106"/>
      <c r="AE312" s="1190"/>
      <c r="AF312" s="1190"/>
      <c r="AG312" s="1190"/>
      <c r="AH312" s="1190"/>
      <c r="AI312" s="1190"/>
      <c r="AJ312" s="1190"/>
      <c r="AK312" s="1190"/>
      <c r="AL312" s="1190"/>
      <c r="AM312" s="1190"/>
      <c r="AN312" s="1190"/>
      <c r="AO312" s="1190"/>
      <c r="AP312" s="1190"/>
      <c r="AQ312" s="1190"/>
      <c r="AR312" s="1190"/>
      <c r="AS312" s="1190"/>
      <c r="AT312" s="1190"/>
      <c r="AU312" s="1190"/>
      <c r="AV312" s="1190"/>
      <c r="AW312" s="1190"/>
      <c r="AX312" s="1190"/>
      <c r="AY312" s="1190"/>
      <c r="AZ312" s="1190"/>
      <c r="BA312" s="1190"/>
      <c r="BB312" s="1190"/>
      <c r="BC312" s="1190"/>
      <c r="BD312" s="1190"/>
      <c r="BE312" s="1190"/>
      <c r="BF312" s="1190"/>
      <c r="BG312" s="1190"/>
      <c r="BH312" s="1190"/>
      <c r="BI312" s="1190"/>
      <c r="BJ312" s="1190"/>
      <c r="BK312" s="1190"/>
      <c r="BL312" s="1190"/>
      <c r="BM312" s="1190"/>
      <c r="BN312" s="1190"/>
      <c r="BO312" s="1190"/>
    </row>
    <row r="313" spans="22:67">
      <c r="V313" s="107"/>
      <c r="W313" s="106"/>
      <c r="X313" s="106"/>
      <c r="Y313" s="106"/>
      <c r="Z313" s="106"/>
      <c r="AA313" s="106"/>
      <c r="AB313" s="106"/>
      <c r="AC313" s="106"/>
      <c r="AD313" s="106"/>
      <c r="AE313" s="1190"/>
      <c r="AF313" s="1190"/>
      <c r="AG313" s="1190"/>
      <c r="AH313" s="1190"/>
      <c r="AI313" s="1190"/>
      <c r="AJ313" s="1190"/>
      <c r="AK313" s="1190"/>
      <c r="AL313" s="1190"/>
      <c r="AM313" s="1190"/>
      <c r="AN313" s="1190"/>
      <c r="AO313" s="1190"/>
      <c r="AP313" s="1190"/>
      <c r="AQ313" s="1190"/>
      <c r="AR313" s="1190"/>
      <c r="AS313" s="1190"/>
      <c r="AT313" s="1190"/>
      <c r="AU313" s="1190"/>
      <c r="AV313" s="1190"/>
      <c r="AW313" s="1190"/>
      <c r="AX313" s="1190"/>
      <c r="AY313" s="1190"/>
      <c r="AZ313" s="1190"/>
      <c r="BA313" s="1190"/>
      <c r="BB313" s="1190"/>
      <c r="BC313" s="1190"/>
      <c r="BD313" s="1190"/>
      <c r="BE313" s="1190"/>
      <c r="BF313" s="1190"/>
      <c r="BG313" s="1190"/>
      <c r="BH313" s="1190"/>
      <c r="BI313" s="1190"/>
      <c r="BJ313" s="1190"/>
      <c r="BK313" s="1190"/>
      <c r="BL313" s="1190"/>
      <c r="BM313" s="1190"/>
      <c r="BN313" s="1190"/>
      <c r="BO313" s="1190"/>
    </row>
    <row r="314" spans="22:67">
      <c r="V314" s="107"/>
      <c r="W314" s="106"/>
      <c r="X314" s="106"/>
      <c r="Y314" s="106"/>
      <c r="Z314" s="106"/>
      <c r="AA314" s="106"/>
      <c r="AB314" s="106"/>
      <c r="AC314" s="106"/>
      <c r="AD314" s="106"/>
      <c r="AE314" s="1190"/>
      <c r="AF314" s="1190"/>
      <c r="AG314" s="1190"/>
      <c r="AH314" s="1190"/>
      <c r="AI314" s="1190"/>
      <c r="AJ314" s="1190"/>
      <c r="AK314" s="1190"/>
      <c r="AL314" s="1190"/>
      <c r="AM314" s="1190"/>
      <c r="AN314" s="1190"/>
      <c r="AO314" s="1190"/>
      <c r="AP314" s="1190"/>
      <c r="AQ314" s="1190"/>
      <c r="AR314" s="1190"/>
      <c r="AS314" s="1190"/>
      <c r="AT314" s="1190"/>
      <c r="AU314" s="1190"/>
      <c r="AV314" s="1190"/>
      <c r="AW314" s="1190"/>
      <c r="AX314" s="1190"/>
      <c r="AY314" s="1190"/>
      <c r="AZ314" s="1190"/>
      <c r="BA314" s="1190"/>
      <c r="BB314" s="1190"/>
      <c r="BC314" s="1190"/>
      <c r="BD314" s="1190"/>
      <c r="BE314" s="1190"/>
      <c r="BF314" s="1190"/>
      <c r="BG314" s="1190"/>
      <c r="BH314" s="1190"/>
      <c r="BI314" s="1190"/>
      <c r="BJ314" s="1190"/>
      <c r="BK314" s="1190"/>
      <c r="BL314" s="1190"/>
      <c r="BM314" s="1190"/>
      <c r="BN314" s="1190"/>
      <c r="BO314" s="1190"/>
    </row>
    <row r="315" spans="22:67">
      <c r="V315" s="107"/>
      <c r="W315" s="106"/>
      <c r="X315" s="106"/>
      <c r="Y315" s="106"/>
      <c r="Z315" s="106"/>
      <c r="AA315" s="106"/>
      <c r="AB315" s="106"/>
      <c r="AC315" s="106"/>
      <c r="AD315" s="106"/>
      <c r="AE315" s="1190"/>
      <c r="AF315" s="1190"/>
      <c r="AG315" s="1190"/>
      <c r="AH315" s="1190"/>
      <c r="AI315" s="1190"/>
      <c r="AJ315" s="1190"/>
      <c r="AK315" s="1190"/>
      <c r="AL315" s="1190"/>
      <c r="AM315" s="1190"/>
      <c r="AN315" s="1190"/>
      <c r="AO315" s="1190"/>
      <c r="AP315" s="1190"/>
      <c r="AQ315" s="1190"/>
      <c r="AR315" s="1190"/>
      <c r="AS315" s="1190"/>
      <c r="AT315" s="1190"/>
      <c r="AU315" s="1190"/>
      <c r="AV315" s="1190"/>
      <c r="AW315" s="1190"/>
      <c r="AX315" s="1190"/>
      <c r="AY315" s="1190"/>
      <c r="AZ315" s="1190"/>
      <c r="BA315" s="1190"/>
      <c r="BB315" s="1190"/>
      <c r="BC315" s="1190"/>
      <c r="BD315" s="1190"/>
      <c r="BE315" s="1190"/>
      <c r="BF315" s="1190"/>
      <c r="BG315" s="1190"/>
      <c r="BH315" s="1190"/>
      <c r="BI315" s="1190"/>
      <c r="BJ315" s="1190"/>
      <c r="BK315" s="1190"/>
      <c r="BL315" s="1190"/>
      <c r="BM315" s="1190"/>
      <c r="BN315" s="1190"/>
      <c r="BO315" s="1190"/>
    </row>
    <row r="316" spans="22:67">
      <c r="V316" s="107"/>
      <c r="W316" s="106"/>
      <c r="X316" s="106"/>
      <c r="Y316" s="106"/>
      <c r="Z316" s="106"/>
      <c r="AA316" s="106"/>
      <c r="AB316" s="106"/>
      <c r="AC316" s="106"/>
      <c r="AD316" s="106"/>
      <c r="AE316" s="1190"/>
      <c r="AF316" s="1190"/>
      <c r="AG316" s="1190"/>
      <c r="AH316" s="1190"/>
      <c r="AI316" s="1190"/>
      <c r="AJ316" s="1190"/>
      <c r="AK316" s="1190"/>
      <c r="AL316" s="1190"/>
      <c r="AM316" s="1190"/>
      <c r="AN316" s="1190"/>
      <c r="AO316" s="1190"/>
      <c r="AP316" s="1190"/>
      <c r="AQ316" s="1190"/>
      <c r="AR316" s="1190"/>
      <c r="AS316" s="1190"/>
      <c r="AT316" s="1190"/>
      <c r="AU316" s="1190"/>
      <c r="AV316" s="1190"/>
      <c r="AW316" s="1190"/>
      <c r="AX316" s="1190"/>
      <c r="AY316" s="1190"/>
      <c r="AZ316" s="1190"/>
      <c r="BA316" s="1190"/>
      <c r="BB316" s="1190"/>
      <c r="BC316" s="1190"/>
      <c r="BD316" s="1190"/>
      <c r="BE316" s="1190"/>
      <c r="BF316" s="1190"/>
      <c r="BG316" s="1190"/>
      <c r="BH316" s="1190"/>
      <c r="BI316" s="1190"/>
      <c r="BJ316" s="1190"/>
      <c r="BK316" s="1190"/>
      <c r="BL316" s="1190"/>
      <c r="BM316" s="1190"/>
      <c r="BN316" s="1190"/>
      <c r="BO316" s="1190"/>
    </row>
    <row r="317" spans="22:67">
      <c r="V317" s="107"/>
      <c r="W317" s="106"/>
      <c r="X317" s="106"/>
      <c r="Y317" s="106"/>
      <c r="Z317" s="106"/>
      <c r="AA317" s="106"/>
      <c r="AB317" s="106"/>
      <c r="AC317" s="106"/>
      <c r="AD317" s="106"/>
      <c r="AE317" s="1190"/>
      <c r="AF317" s="1190"/>
      <c r="AG317" s="1190"/>
      <c r="AH317" s="1190"/>
      <c r="AI317" s="1190"/>
      <c r="AJ317" s="1190"/>
      <c r="AK317" s="1190"/>
      <c r="AL317" s="1190"/>
      <c r="AM317" s="1190"/>
      <c r="AN317" s="1190"/>
      <c r="AO317" s="1190"/>
      <c r="AP317" s="1190"/>
      <c r="AQ317" s="1190"/>
      <c r="AR317" s="1190"/>
      <c r="AS317" s="1190"/>
      <c r="AT317" s="1190"/>
      <c r="AU317" s="1190"/>
      <c r="AV317" s="1190"/>
      <c r="AW317" s="1190"/>
      <c r="AX317" s="1190"/>
      <c r="AY317" s="1190"/>
      <c r="AZ317" s="1190"/>
      <c r="BA317" s="1190"/>
      <c r="BB317" s="1190"/>
      <c r="BC317" s="1190"/>
      <c r="BD317" s="1190"/>
      <c r="BE317" s="1190"/>
      <c r="BF317" s="1190"/>
      <c r="BG317" s="1190"/>
      <c r="BH317" s="1190"/>
      <c r="BI317" s="1190"/>
      <c r="BJ317" s="1190"/>
      <c r="BK317" s="1190"/>
      <c r="BL317" s="1190"/>
      <c r="BM317" s="1190"/>
      <c r="BN317" s="1190"/>
      <c r="BO317" s="1190"/>
    </row>
    <row r="318" spans="22:67">
      <c r="V318" s="107"/>
      <c r="W318" s="106"/>
      <c r="X318" s="106"/>
      <c r="Y318" s="106"/>
      <c r="Z318" s="106"/>
      <c r="AA318" s="106"/>
      <c r="AB318" s="106"/>
      <c r="AC318" s="106"/>
      <c r="AD318" s="106"/>
      <c r="AE318" s="1190"/>
      <c r="AF318" s="1190"/>
      <c r="AG318" s="1190"/>
      <c r="AH318" s="1190"/>
      <c r="AI318" s="1190"/>
      <c r="AJ318" s="1190"/>
      <c r="AK318" s="1190"/>
      <c r="AL318" s="1190"/>
      <c r="AM318" s="1190"/>
      <c r="AN318" s="1190"/>
      <c r="AO318" s="1190"/>
      <c r="AP318" s="1190"/>
      <c r="AQ318" s="1190"/>
      <c r="AR318" s="1190"/>
      <c r="AS318" s="1190"/>
      <c r="AT318" s="1190"/>
      <c r="AU318" s="1190"/>
      <c r="AV318" s="1190"/>
      <c r="AW318" s="1190"/>
      <c r="AX318" s="1190"/>
      <c r="AY318" s="1190"/>
      <c r="AZ318" s="1190"/>
      <c r="BA318" s="1190"/>
      <c r="BB318" s="1190"/>
      <c r="BC318" s="1190"/>
      <c r="BD318" s="1190"/>
      <c r="BE318" s="1190"/>
      <c r="BF318" s="1190"/>
      <c r="BG318" s="1190"/>
      <c r="BH318" s="1190"/>
      <c r="BI318" s="1190"/>
      <c r="BJ318" s="1190"/>
      <c r="BK318" s="1190"/>
      <c r="BL318" s="1190"/>
      <c r="BM318" s="1190"/>
      <c r="BN318" s="1190"/>
      <c r="BO318" s="1190"/>
    </row>
    <row r="319" spans="22:67">
      <c r="V319" s="107"/>
      <c r="W319" s="106"/>
      <c r="X319" s="106"/>
      <c r="Y319" s="106"/>
      <c r="Z319" s="106"/>
      <c r="AA319" s="106"/>
      <c r="AB319" s="106"/>
      <c r="AC319" s="106"/>
      <c r="AD319" s="106"/>
      <c r="AE319" s="1190"/>
      <c r="AF319" s="1190"/>
      <c r="AG319" s="1190"/>
      <c r="AH319" s="1190"/>
      <c r="AI319" s="1190"/>
      <c r="AJ319" s="1190"/>
      <c r="AK319" s="1190"/>
      <c r="AL319" s="1190"/>
      <c r="AM319" s="1190"/>
      <c r="AN319" s="1190"/>
      <c r="AO319" s="1190"/>
      <c r="AP319" s="1190"/>
      <c r="AQ319" s="1190"/>
      <c r="AR319" s="1190"/>
      <c r="AS319" s="1190"/>
      <c r="AT319" s="1190"/>
      <c r="AU319" s="1190"/>
      <c r="AV319" s="1190"/>
      <c r="AW319" s="1190"/>
      <c r="AX319" s="1190"/>
      <c r="AY319" s="1190"/>
      <c r="AZ319" s="1190"/>
      <c r="BA319" s="1190"/>
      <c r="BB319" s="1190"/>
      <c r="BC319" s="1190"/>
      <c r="BD319" s="1190"/>
      <c r="BE319" s="1190"/>
      <c r="BF319" s="1190"/>
      <c r="BG319" s="1190"/>
      <c r="BH319" s="1190"/>
      <c r="BI319" s="1190"/>
      <c r="BJ319" s="1190"/>
      <c r="BK319" s="1190"/>
      <c r="BL319" s="1190"/>
      <c r="BM319" s="1190"/>
      <c r="BN319" s="1190"/>
      <c r="BO319" s="1190"/>
    </row>
    <row r="320" spans="22:67">
      <c r="V320" s="107"/>
      <c r="W320" s="106"/>
      <c r="X320" s="106"/>
      <c r="Y320" s="106"/>
      <c r="Z320" s="106"/>
      <c r="AA320" s="106"/>
      <c r="AB320" s="106"/>
      <c r="AC320" s="106"/>
      <c r="AD320" s="106"/>
      <c r="AE320" s="1190"/>
      <c r="AF320" s="1190"/>
      <c r="AG320" s="1190"/>
      <c r="AH320" s="1190"/>
      <c r="AI320" s="1190"/>
      <c r="AJ320" s="1190"/>
      <c r="AK320" s="1190"/>
      <c r="AL320" s="1190"/>
      <c r="AM320" s="1190"/>
      <c r="AN320" s="1190"/>
      <c r="AO320" s="1190"/>
      <c r="AP320" s="1190"/>
      <c r="AQ320" s="1190"/>
      <c r="AR320" s="1190"/>
      <c r="AS320" s="1190"/>
      <c r="AT320" s="1190"/>
      <c r="AU320" s="1190"/>
      <c r="AV320" s="1190"/>
      <c r="AW320" s="1190"/>
      <c r="AX320" s="1190"/>
      <c r="AY320" s="1190"/>
      <c r="AZ320" s="1190"/>
      <c r="BA320" s="1190"/>
      <c r="BB320" s="1190"/>
      <c r="BC320" s="1190"/>
      <c r="BD320" s="1190"/>
      <c r="BE320" s="1190"/>
      <c r="BF320" s="1190"/>
      <c r="BG320" s="1190"/>
      <c r="BH320" s="1190"/>
      <c r="BI320" s="1190"/>
      <c r="BJ320" s="1190"/>
      <c r="BK320" s="1190"/>
      <c r="BL320" s="1190"/>
      <c r="BM320" s="1190"/>
      <c r="BN320" s="1190"/>
      <c r="BO320" s="1190"/>
    </row>
    <row r="321" spans="22:67">
      <c r="V321" s="107"/>
      <c r="W321" s="106"/>
      <c r="X321" s="106"/>
      <c r="Y321" s="106"/>
      <c r="Z321" s="106"/>
      <c r="AA321" s="106"/>
      <c r="AB321" s="106"/>
      <c r="AC321" s="106"/>
      <c r="AD321" s="106"/>
      <c r="AE321" s="1190"/>
      <c r="AF321" s="1190"/>
      <c r="AG321" s="1190"/>
      <c r="AH321" s="1190"/>
      <c r="AI321" s="1190"/>
      <c r="AJ321" s="1190"/>
      <c r="AK321" s="1190"/>
      <c r="AL321" s="1190"/>
      <c r="AM321" s="1190"/>
      <c r="AN321" s="1190"/>
      <c r="AO321" s="1190"/>
      <c r="AP321" s="1190"/>
      <c r="AQ321" s="1190"/>
      <c r="AR321" s="1190"/>
      <c r="AS321" s="1190"/>
      <c r="AT321" s="1190"/>
      <c r="AU321" s="1190"/>
      <c r="AV321" s="1190"/>
      <c r="AW321" s="1190"/>
      <c r="AX321" s="1190"/>
      <c r="AY321" s="1190"/>
      <c r="AZ321" s="1190"/>
      <c r="BA321" s="1190"/>
      <c r="BB321" s="1190"/>
      <c r="BC321" s="1190"/>
      <c r="BD321" s="1190"/>
      <c r="BE321" s="1190"/>
      <c r="BF321" s="1190"/>
      <c r="BG321" s="1190"/>
      <c r="BH321" s="1190"/>
      <c r="BI321" s="1190"/>
      <c r="BJ321" s="1190"/>
      <c r="BK321" s="1190"/>
      <c r="BL321" s="1190"/>
      <c r="BM321" s="1190"/>
      <c r="BN321" s="1190"/>
      <c r="BO321" s="1190"/>
    </row>
    <row r="322" spans="22:67">
      <c r="V322" s="107"/>
      <c r="W322" s="106"/>
      <c r="X322" s="106"/>
      <c r="Y322" s="106"/>
      <c r="Z322" s="106"/>
      <c r="AA322" s="106"/>
      <c r="AB322" s="106"/>
      <c r="AC322" s="106"/>
      <c r="AD322" s="106"/>
      <c r="AE322" s="1190"/>
      <c r="AF322" s="1190"/>
      <c r="AG322" s="1190"/>
      <c r="AH322" s="1190"/>
      <c r="AI322" s="1190"/>
      <c r="AJ322" s="1190"/>
      <c r="AK322" s="1190"/>
      <c r="AL322" s="1190"/>
      <c r="AM322" s="1190"/>
      <c r="AN322" s="1190"/>
      <c r="AO322" s="1190"/>
      <c r="AP322" s="1190"/>
      <c r="AQ322" s="1190"/>
      <c r="AR322" s="1190"/>
      <c r="AS322" s="1190"/>
      <c r="AT322" s="1190"/>
      <c r="AU322" s="1190"/>
      <c r="AV322" s="1190"/>
      <c r="AW322" s="1190"/>
      <c r="AX322" s="1190"/>
      <c r="AY322" s="1190"/>
      <c r="AZ322" s="1190"/>
      <c r="BA322" s="1190"/>
      <c r="BB322" s="1190"/>
      <c r="BC322" s="1190"/>
      <c r="BD322" s="1190"/>
      <c r="BE322" s="1190"/>
      <c r="BF322" s="1190"/>
      <c r="BG322" s="1190"/>
      <c r="BH322" s="1190"/>
      <c r="BI322" s="1190"/>
      <c r="BJ322" s="1190"/>
      <c r="BK322" s="1190"/>
      <c r="BL322" s="1190"/>
      <c r="BM322" s="1190"/>
      <c r="BN322" s="1190"/>
      <c r="BO322" s="1190"/>
    </row>
    <row r="323" spans="22:67">
      <c r="V323" s="107"/>
      <c r="W323" s="106"/>
      <c r="X323" s="106"/>
      <c r="Y323" s="106"/>
      <c r="Z323" s="106"/>
      <c r="AA323" s="106"/>
      <c r="AB323" s="106"/>
      <c r="AC323" s="106"/>
      <c r="AD323" s="106"/>
      <c r="AE323" s="1190"/>
      <c r="AF323" s="1190"/>
      <c r="AG323" s="1190"/>
      <c r="AH323" s="1190"/>
      <c r="AI323" s="1190"/>
      <c r="AJ323" s="1190"/>
      <c r="AK323" s="1190"/>
      <c r="AL323" s="1190"/>
      <c r="AM323" s="1190"/>
      <c r="AN323" s="1190"/>
      <c r="AO323" s="1190"/>
      <c r="AP323" s="1190"/>
      <c r="AQ323" s="1190"/>
      <c r="AR323" s="1190"/>
      <c r="AS323" s="1190"/>
      <c r="AT323" s="1190"/>
      <c r="AU323" s="1190"/>
      <c r="AV323" s="1190"/>
      <c r="AW323" s="1190"/>
      <c r="AX323" s="1190"/>
      <c r="AY323" s="1190"/>
      <c r="AZ323" s="1190"/>
      <c r="BA323" s="1190"/>
      <c r="BB323" s="1190"/>
      <c r="BC323" s="1190"/>
      <c r="BD323" s="1190"/>
      <c r="BE323" s="1190"/>
      <c r="BF323" s="1190"/>
      <c r="BG323" s="1190"/>
      <c r="BH323" s="1190"/>
      <c r="BI323" s="1190"/>
      <c r="BJ323" s="1190"/>
      <c r="BK323" s="1190"/>
      <c r="BL323" s="1190"/>
      <c r="BM323" s="1190"/>
      <c r="BN323" s="1190"/>
      <c r="BO323" s="1190"/>
    </row>
    <row r="324" spans="22:67">
      <c r="V324" s="107"/>
      <c r="W324" s="106"/>
      <c r="X324" s="106"/>
      <c r="Y324" s="106"/>
      <c r="Z324" s="106"/>
      <c r="AA324" s="106"/>
      <c r="AB324" s="106"/>
      <c r="AC324" s="106"/>
      <c r="AD324" s="106"/>
      <c r="AE324" s="1190"/>
      <c r="AF324" s="1190"/>
      <c r="AG324" s="1190"/>
      <c r="AH324" s="1190"/>
      <c r="AI324" s="1190"/>
      <c r="AJ324" s="1190"/>
      <c r="AK324" s="1190"/>
      <c r="AL324" s="1190"/>
      <c r="AM324" s="1190"/>
      <c r="AN324" s="1190"/>
      <c r="AO324" s="1190"/>
      <c r="AP324" s="1190"/>
      <c r="AQ324" s="1190"/>
      <c r="AR324" s="1190"/>
      <c r="AS324" s="1190"/>
      <c r="AT324" s="1190"/>
      <c r="AU324" s="1190"/>
      <c r="AV324" s="1190"/>
      <c r="AW324" s="1190"/>
      <c r="AX324" s="1190"/>
      <c r="AY324" s="1190"/>
      <c r="AZ324" s="1190"/>
      <c r="BA324" s="1190"/>
      <c r="BB324" s="1190"/>
      <c r="BC324" s="1190"/>
      <c r="BD324" s="1190"/>
      <c r="BE324" s="1190"/>
      <c r="BF324" s="1190"/>
      <c r="BG324" s="1190"/>
      <c r="BH324" s="1190"/>
      <c r="BI324" s="1190"/>
      <c r="BJ324" s="1190"/>
      <c r="BK324" s="1190"/>
      <c r="BL324" s="1190"/>
      <c r="BM324" s="1190"/>
      <c r="BN324" s="1190"/>
      <c r="BO324" s="1190"/>
    </row>
    <row r="325" spans="22:67">
      <c r="V325" s="107"/>
      <c r="W325" s="106"/>
      <c r="X325" s="106"/>
      <c r="Y325" s="106"/>
      <c r="Z325" s="106"/>
      <c r="AA325" s="106"/>
      <c r="AB325" s="106"/>
      <c r="AC325" s="106"/>
      <c r="AD325" s="106"/>
      <c r="AE325" s="1190"/>
      <c r="AF325" s="1190"/>
      <c r="AG325" s="1190"/>
      <c r="AH325" s="1190"/>
      <c r="AI325" s="1190"/>
      <c r="AJ325" s="1190"/>
      <c r="AK325" s="1190"/>
      <c r="AL325" s="1190"/>
      <c r="AM325" s="1190"/>
      <c r="AN325" s="1190"/>
      <c r="AO325" s="1190"/>
      <c r="AP325" s="1190"/>
      <c r="AQ325" s="1190"/>
      <c r="AR325" s="1190"/>
      <c r="AS325" s="1190"/>
      <c r="AT325" s="1190"/>
      <c r="AU325" s="1190"/>
      <c r="AV325" s="1190"/>
      <c r="AW325" s="1190"/>
      <c r="AX325" s="1190"/>
      <c r="AY325" s="1190"/>
      <c r="AZ325" s="1190"/>
      <c r="BA325" s="1190"/>
      <c r="BB325" s="1190"/>
      <c r="BC325" s="1190"/>
      <c r="BD325" s="1190"/>
      <c r="BE325" s="1190"/>
      <c r="BF325" s="1190"/>
      <c r="BG325" s="1190"/>
      <c r="BH325" s="1190"/>
      <c r="BI325" s="1190"/>
      <c r="BJ325" s="1190"/>
      <c r="BK325" s="1190"/>
      <c r="BL325" s="1190"/>
      <c r="BM325" s="1190"/>
      <c r="BN325" s="1190"/>
      <c r="BO325" s="1190"/>
    </row>
    <row r="326" spans="22:67">
      <c r="V326" s="107"/>
      <c r="W326" s="106"/>
      <c r="X326" s="106"/>
      <c r="Y326" s="106"/>
      <c r="Z326" s="106"/>
      <c r="AA326" s="106"/>
      <c r="AB326" s="106"/>
      <c r="AC326" s="106"/>
      <c r="AD326" s="106"/>
      <c r="AE326" s="1190"/>
      <c r="AF326" s="1190"/>
      <c r="AG326" s="1190"/>
      <c r="AH326" s="1190"/>
      <c r="AI326" s="1190"/>
      <c r="AJ326" s="1190"/>
      <c r="AK326" s="1190"/>
      <c r="AL326" s="1190"/>
      <c r="AM326" s="1190"/>
      <c r="AN326" s="1190"/>
      <c r="AO326" s="1190"/>
      <c r="AP326" s="1190"/>
      <c r="AQ326" s="1190"/>
      <c r="AR326" s="1190"/>
      <c r="AS326" s="1190"/>
      <c r="AT326" s="1190"/>
      <c r="AU326" s="1190"/>
      <c r="AV326" s="1190"/>
      <c r="AW326" s="1190"/>
      <c r="AX326" s="1190"/>
      <c r="AY326" s="1190"/>
      <c r="AZ326" s="1190"/>
      <c r="BA326" s="1190"/>
      <c r="BB326" s="1190"/>
      <c r="BC326" s="1190"/>
      <c r="BD326" s="1190"/>
      <c r="BE326" s="1190"/>
      <c r="BF326" s="1190"/>
      <c r="BG326" s="1190"/>
      <c r="BH326" s="1190"/>
      <c r="BI326" s="1190"/>
      <c r="BJ326" s="1190"/>
      <c r="BK326" s="1190"/>
      <c r="BL326" s="1190"/>
      <c r="BM326" s="1190"/>
      <c r="BN326" s="1190"/>
      <c r="BO326" s="1190"/>
    </row>
    <row r="327" spans="22:67">
      <c r="V327" s="107"/>
      <c r="W327" s="106"/>
      <c r="X327" s="106"/>
      <c r="Y327" s="106"/>
      <c r="Z327" s="106"/>
      <c r="AA327" s="106"/>
      <c r="AB327" s="106"/>
      <c r="AC327" s="106"/>
      <c r="AD327" s="106"/>
      <c r="AE327" s="1190"/>
      <c r="AF327" s="1190"/>
      <c r="AG327" s="1190"/>
      <c r="AH327" s="1190"/>
      <c r="AI327" s="1190"/>
      <c r="AJ327" s="1190"/>
      <c r="AK327" s="1190"/>
      <c r="AL327" s="1190"/>
      <c r="AM327" s="1190"/>
      <c r="AN327" s="1190"/>
      <c r="AO327" s="1190"/>
      <c r="AP327" s="1190"/>
      <c r="AQ327" s="1190"/>
      <c r="AR327" s="1190"/>
      <c r="AS327" s="1190"/>
      <c r="AT327" s="1190"/>
      <c r="AU327" s="1190"/>
      <c r="AV327" s="1190"/>
      <c r="AW327" s="1190"/>
      <c r="AX327" s="1190"/>
      <c r="AY327" s="1190"/>
      <c r="AZ327" s="1190"/>
      <c r="BA327" s="1190"/>
      <c r="BB327" s="1190"/>
      <c r="BC327" s="1190"/>
      <c r="BD327" s="1190"/>
      <c r="BE327" s="1190"/>
      <c r="BF327" s="1190"/>
      <c r="BG327" s="1190"/>
      <c r="BH327" s="1190"/>
      <c r="BI327" s="1190"/>
      <c r="BJ327" s="1190"/>
      <c r="BK327" s="1190"/>
      <c r="BL327" s="1190"/>
      <c r="BM327" s="1190"/>
      <c r="BN327" s="1190"/>
      <c r="BO327" s="1190"/>
    </row>
    <row r="328" spans="22:67">
      <c r="V328" s="107"/>
      <c r="W328" s="106"/>
      <c r="X328" s="106"/>
      <c r="Y328" s="106"/>
      <c r="Z328" s="106"/>
      <c r="AA328" s="106"/>
      <c r="AB328" s="106"/>
      <c r="AC328" s="106"/>
      <c r="AD328" s="106"/>
      <c r="AE328" s="1190"/>
      <c r="AF328" s="1190"/>
      <c r="AG328" s="1190"/>
      <c r="AH328" s="1190"/>
      <c r="AI328" s="1190"/>
      <c r="AJ328" s="1190"/>
      <c r="AK328" s="1190"/>
      <c r="AL328" s="1190"/>
      <c r="AM328" s="1190"/>
      <c r="AN328" s="1190"/>
      <c r="AO328" s="1190"/>
      <c r="AP328" s="1190"/>
      <c r="AQ328" s="1190"/>
      <c r="AR328" s="1190"/>
      <c r="AS328" s="1190"/>
      <c r="AT328" s="1190"/>
      <c r="AU328" s="1190"/>
      <c r="AV328" s="1190"/>
      <c r="AW328" s="1190"/>
      <c r="AX328" s="1190"/>
      <c r="AY328" s="1190"/>
      <c r="AZ328" s="1190"/>
      <c r="BA328" s="1190"/>
      <c r="BB328" s="1190"/>
      <c r="BC328" s="1190"/>
      <c r="BD328" s="1190"/>
      <c r="BE328" s="1190"/>
      <c r="BF328" s="1190"/>
      <c r="BG328" s="1190"/>
      <c r="BH328" s="1190"/>
      <c r="BI328" s="1190"/>
      <c r="BJ328" s="1190"/>
      <c r="BK328" s="1190"/>
      <c r="BL328" s="1190"/>
      <c r="BM328" s="1190"/>
      <c r="BN328" s="1190"/>
      <c r="BO328" s="1190"/>
    </row>
    <row r="329" spans="22:67">
      <c r="V329" s="107"/>
      <c r="W329" s="106"/>
      <c r="X329" s="106"/>
      <c r="Y329" s="106"/>
      <c r="Z329" s="106"/>
      <c r="AA329" s="106"/>
      <c r="AB329" s="106"/>
      <c r="AC329" s="106"/>
      <c r="AD329" s="106"/>
      <c r="AE329" s="1190"/>
      <c r="AF329" s="1190"/>
      <c r="AG329" s="1190"/>
      <c r="AH329" s="1190"/>
      <c r="AI329" s="1190"/>
      <c r="AJ329" s="1190"/>
      <c r="AK329" s="1190"/>
      <c r="AL329" s="1190"/>
      <c r="AM329" s="1190"/>
      <c r="AN329" s="1190"/>
      <c r="AO329" s="1190"/>
      <c r="AP329" s="1190"/>
      <c r="AQ329" s="1190"/>
      <c r="AR329" s="1190"/>
      <c r="AS329" s="1190"/>
      <c r="AT329" s="1190"/>
      <c r="AU329" s="1190"/>
      <c r="AV329" s="1190"/>
      <c r="AW329" s="1190"/>
      <c r="AX329" s="1190"/>
      <c r="AY329" s="1190"/>
      <c r="AZ329" s="1190"/>
      <c r="BA329" s="1190"/>
      <c r="BB329" s="1190"/>
      <c r="BC329" s="1190"/>
      <c r="BD329" s="1190"/>
      <c r="BE329" s="1190"/>
      <c r="BF329" s="1190"/>
      <c r="BG329" s="1190"/>
      <c r="BH329" s="1190"/>
      <c r="BI329" s="1190"/>
      <c r="BJ329" s="1190"/>
      <c r="BK329" s="1190"/>
      <c r="BL329" s="1190"/>
      <c r="BM329" s="1190"/>
      <c r="BN329" s="1190"/>
      <c r="BO329" s="1190"/>
    </row>
    <row r="330" spans="22:67">
      <c r="V330" s="107"/>
      <c r="W330" s="106"/>
      <c r="X330" s="106"/>
      <c r="Y330" s="106"/>
      <c r="Z330" s="106"/>
      <c r="AA330" s="106"/>
      <c r="AB330" s="106"/>
      <c r="AC330" s="106"/>
      <c r="AD330" s="106"/>
      <c r="AE330" s="1190"/>
      <c r="AF330" s="1190"/>
      <c r="AG330" s="1190"/>
      <c r="AH330" s="1190"/>
      <c r="AI330" s="1190"/>
      <c r="AJ330" s="1190"/>
      <c r="AK330" s="1190"/>
      <c r="AL330" s="1190"/>
      <c r="AM330" s="1190"/>
      <c r="AN330" s="1190"/>
      <c r="AO330" s="1190"/>
      <c r="AP330" s="1190"/>
      <c r="AQ330" s="1190"/>
      <c r="AR330" s="1190"/>
      <c r="AS330" s="1190"/>
      <c r="AT330" s="1190"/>
      <c r="AU330" s="1190"/>
      <c r="AV330" s="1190"/>
      <c r="AW330" s="1190"/>
      <c r="AX330" s="1190"/>
      <c r="AY330" s="1190"/>
      <c r="AZ330" s="1190"/>
      <c r="BA330" s="1190"/>
      <c r="BB330" s="1190"/>
      <c r="BC330" s="1190"/>
      <c r="BD330" s="1190"/>
      <c r="BE330" s="1190"/>
      <c r="BF330" s="1190"/>
      <c r="BG330" s="1190"/>
      <c r="BH330" s="1190"/>
      <c r="BI330" s="1190"/>
      <c r="BJ330" s="1190"/>
      <c r="BK330" s="1190"/>
      <c r="BL330" s="1190"/>
      <c r="BM330" s="1190"/>
      <c r="BN330" s="1190"/>
      <c r="BO330" s="1190"/>
    </row>
    <row r="331" spans="22:67">
      <c r="V331" s="107"/>
      <c r="W331" s="106"/>
      <c r="X331" s="106"/>
      <c r="Y331" s="106"/>
      <c r="Z331" s="106"/>
      <c r="AA331" s="106"/>
      <c r="AB331" s="106"/>
      <c r="AC331" s="106"/>
      <c r="AD331" s="106"/>
      <c r="AE331" s="1190"/>
      <c r="AF331" s="1190"/>
      <c r="AG331" s="1190"/>
      <c r="AH331" s="1190"/>
      <c r="AI331" s="1190"/>
      <c r="AJ331" s="1190"/>
      <c r="AK331" s="1190"/>
      <c r="AL331" s="1190"/>
      <c r="AM331" s="1190"/>
      <c r="AN331" s="1190"/>
      <c r="AO331" s="1190"/>
      <c r="AP331" s="1190"/>
      <c r="AQ331" s="1190"/>
      <c r="AR331" s="1190"/>
      <c r="AS331" s="1190"/>
      <c r="AT331" s="1190"/>
      <c r="AU331" s="1190"/>
      <c r="AV331" s="1190"/>
      <c r="AW331" s="1190"/>
      <c r="AX331" s="1190"/>
      <c r="AY331" s="1190"/>
      <c r="AZ331" s="1190"/>
      <c r="BA331" s="1190"/>
      <c r="BB331" s="1190"/>
      <c r="BC331" s="1190"/>
      <c r="BD331" s="1190"/>
      <c r="BE331" s="1190"/>
      <c r="BF331" s="1190"/>
      <c r="BG331" s="1190"/>
      <c r="BH331" s="1190"/>
      <c r="BI331" s="1190"/>
      <c r="BJ331" s="1190"/>
      <c r="BK331" s="1190"/>
      <c r="BL331" s="1190"/>
      <c r="BM331" s="1190"/>
      <c r="BN331" s="1190"/>
      <c r="BO331" s="1190"/>
    </row>
    <row r="332" spans="22:67">
      <c r="V332" s="107"/>
      <c r="W332" s="106"/>
      <c r="X332" s="106"/>
      <c r="Y332" s="106"/>
      <c r="Z332" s="106"/>
      <c r="AA332" s="106"/>
      <c r="AB332" s="106"/>
      <c r="AC332" s="106"/>
      <c r="AD332" s="106"/>
      <c r="AE332" s="1190"/>
      <c r="AF332" s="1190"/>
      <c r="AG332" s="1190"/>
      <c r="AH332" s="1190"/>
      <c r="AI332" s="1190"/>
      <c r="AJ332" s="1190"/>
      <c r="AK332" s="1190"/>
      <c r="AL332" s="1190"/>
      <c r="AM332" s="1190"/>
      <c r="AN332" s="1190"/>
      <c r="AO332" s="1190"/>
      <c r="AP332" s="1190"/>
      <c r="AQ332" s="1190"/>
      <c r="AR332" s="1190"/>
      <c r="AS332" s="1190"/>
      <c r="AT332" s="1190"/>
      <c r="AU332" s="1190"/>
      <c r="AV332" s="1190"/>
      <c r="AW332" s="1190"/>
      <c r="AX332" s="1190"/>
      <c r="AY332" s="1190"/>
      <c r="AZ332" s="1190"/>
      <c r="BA332" s="1190"/>
      <c r="BB332" s="1190"/>
      <c r="BC332" s="1190"/>
      <c r="BD332" s="1190"/>
      <c r="BE332" s="1190"/>
      <c r="BF332" s="1190"/>
      <c r="BG332" s="1190"/>
      <c r="BH332" s="1190"/>
      <c r="BI332" s="1190"/>
      <c r="BJ332" s="1190"/>
      <c r="BK332" s="1190"/>
      <c r="BL332" s="1190"/>
      <c r="BM332" s="1190"/>
      <c r="BN332" s="1190"/>
      <c r="BO332" s="1190"/>
    </row>
    <row r="333" spans="22:67">
      <c r="V333" s="107"/>
      <c r="W333" s="106"/>
      <c r="X333" s="106"/>
      <c r="Y333" s="106"/>
      <c r="Z333" s="106"/>
      <c r="AA333" s="106"/>
      <c r="AB333" s="106"/>
      <c r="AC333" s="106"/>
      <c r="AD333" s="106"/>
      <c r="AE333" s="1190"/>
      <c r="AF333" s="1190"/>
      <c r="AG333" s="1190"/>
      <c r="AH333" s="1190"/>
      <c r="AI333" s="1190"/>
      <c r="AJ333" s="1190"/>
      <c r="AK333" s="1190"/>
      <c r="AL333" s="1190"/>
      <c r="AM333" s="1190"/>
      <c r="AN333" s="1190"/>
      <c r="AO333" s="1190"/>
      <c r="AP333" s="1190"/>
      <c r="AQ333" s="1190"/>
      <c r="AR333" s="1190"/>
      <c r="AS333" s="1190"/>
      <c r="AT333" s="1190"/>
      <c r="AU333" s="1190"/>
      <c r="AV333" s="1190"/>
      <c r="AW333" s="1190"/>
      <c r="AX333" s="1190"/>
      <c r="AY333" s="1190"/>
      <c r="AZ333" s="1190"/>
      <c r="BA333" s="1190"/>
      <c r="BB333" s="1190"/>
      <c r="BC333" s="1190"/>
      <c r="BD333" s="1190"/>
      <c r="BE333" s="1190"/>
      <c r="BF333" s="1190"/>
      <c r="BG333" s="1190"/>
      <c r="BH333" s="1190"/>
      <c r="BI333" s="1190"/>
      <c r="BJ333" s="1190"/>
      <c r="BK333" s="1190"/>
      <c r="BL333" s="1190"/>
      <c r="BM333" s="1190"/>
      <c r="BN333" s="1190"/>
      <c r="BO333" s="1190"/>
    </row>
    <row r="334" spans="22:67">
      <c r="V334" s="107"/>
      <c r="W334" s="106"/>
      <c r="X334" s="106"/>
      <c r="Y334" s="106"/>
      <c r="Z334" s="106"/>
      <c r="AA334" s="106"/>
      <c r="AB334" s="106"/>
      <c r="AC334" s="106"/>
      <c r="AD334" s="106"/>
      <c r="AE334" s="1190"/>
      <c r="AF334" s="1190"/>
      <c r="AG334" s="1190"/>
      <c r="AH334" s="1190"/>
      <c r="AI334" s="1190"/>
      <c r="AJ334" s="1190"/>
      <c r="AK334" s="1190"/>
      <c r="AL334" s="1190"/>
      <c r="AM334" s="1190"/>
      <c r="AN334" s="1190"/>
      <c r="AO334" s="1190"/>
      <c r="AP334" s="1190"/>
      <c r="AQ334" s="1190"/>
      <c r="AR334" s="1190"/>
      <c r="AS334" s="1190"/>
      <c r="AT334" s="1190"/>
      <c r="AU334" s="1190"/>
      <c r="AV334" s="1190"/>
      <c r="AW334" s="1190"/>
      <c r="AX334" s="1190"/>
      <c r="AY334" s="1190"/>
      <c r="AZ334" s="1190"/>
      <c r="BA334" s="1190"/>
      <c r="BB334" s="1190"/>
      <c r="BC334" s="1190"/>
      <c r="BD334" s="1190"/>
      <c r="BE334" s="1190"/>
      <c r="BF334" s="1190"/>
      <c r="BG334" s="1190"/>
      <c r="BH334" s="1190"/>
      <c r="BI334" s="1190"/>
      <c r="BJ334" s="1190"/>
      <c r="BK334" s="1190"/>
      <c r="BL334" s="1190"/>
      <c r="BM334" s="1190"/>
      <c r="BN334" s="1190"/>
      <c r="BO334" s="1190"/>
    </row>
    <row r="335" spans="22:67">
      <c r="V335" s="107"/>
      <c r="W335" s="106"/>
      <c r="X335" s="106"/>
      <c r="Y335" s="106"/>
      <c r="Z335" s="106"/>
      <c r="AA335" s="106"/>
      <c r="AB335" s="106"/>
      <c r="AC335" s="106"/>
      <c r="AD335" s="106"/>
      <c r="AE335" s="1190"/>
      <c r="AF335" s="1190"/>
      <c r="AG335" s="1190"/>
      <c r="AH335" s="1190"/>
      <c r="AI335" s="1190"/>
      <c r="AJ335" s="1190"/>
      <c r="AK335" s="1190"/>
      <c r="AL335" s="1190"/>
      <c r="AM335" s="1190"/>
      <c r="AN335" s="1190"/>
      <c r="AO335" s="1190"/>
      <c r="AP335" s="1190"/>
      <c r="AQ335" s="1190"/>
      <c r="AR335" s="1190"/>
      <c r="AS335" s="1190"/>
      <c r="AT335" s="1190"/>
      <c r="AU335" s="1190"/>
      <c r="AV335" s="1190"/>
      <c r="AW335" s="1190"/>
      <c r="AX335" s="1190"/>
      <c r="AY335" s="1190"/>
      <c r="AZ335" s="1190"/>
      <c r="BA335" s="1190"/>
      <c r="BB335" s="1190"/>
      <c r="BC335" s="1190"/>
      <c r="BD335" s="1190"/>
      <c r="BE335" s="1190"/>
      <c r="BF335" s="1190"/>
      <c r="BG335" s="1190"/>
      <c r="BH335" s="1190"/>
      <c r="BI335" s="1190"/>
      <c r="BJ335" s="1190"/>
      <c r="BK335" s="1190"/>
      <c r="BL335" s="1190"/>
      <c r="BM335" s="1190"/>
      <c r="BN335" s="1190"/>
      <c r="BO335" s="1190"/>
    </row>
    <row r="336" spans="22:67">
      <c r="V336" s="107"/>
      <c r="W336" s="106"/>
      <c r="X336" s="106"/>
      <c r="Y336" s="106"/>
      <c r="Z336" s="106"/>
      <c r="AA336" s="106"/>
      <c r="AB336" s="106"/>
      <c r="AC336" s="106"/>
      <c r="AD336" s="106"/>
      <c r="AE336" s="1190"/>
      <c r="AF336" s="1190"/>
      <c r="AG336" s="1190"/>
      <c r="AH336" s="1190"/>
      <c r="AI336" s="1190"/>
      <c r="AJ336" s="1190"/>
      <c r="AK336" s="1190"/>
      <c r="AL336" s="1190"/>
      <c r="AM336" s="1190"/>
      <c r="AN336" s="1190"/>
      <c r="AO336" s="1190"/>
      <c r="AP336" s="1190"/>
      <c r="AQ336" s="1190"/>
      <c r="AR336" s="1190"/>
      <c r="AS336" s="1190"/>
      <c r="AT336" s="1190"/>
      <c r="AU336" s="1190"/>
      <c r="AV336" s="1190"/>
      <c r="AW336" s="1190"/>
      <c r="AX336" s="1190"/>
      <c r="AY336" s="1190"/>
      <c r="AZ336" s="1190"/>
      <c r="BA336" s="1190"/>
      <c r="BB336" s="1190"/>
      <c r="BC336" s="1190"/>
      <c r="BD336" s="1190"/>
      <c r="BE336" s="1190"/>
      <c r="BF336" s="1190"/>
      <c r="BG336" s="1190"/>
      <c r="BH336" s="1190"/>
      <c r="BI336" s="1190"/>
      <c r="BJ336" s="1190"/>
      <c r="BK336" s="1190"/>
      <c r="BL336" s="1190"/>
      <c r="BM336" s="1190"/>
      <c r="BN336" s="1190"/>
      <c r="BO336" s="1190"/>
    </row>
    <row r="337" spans="22:67">
      <c r="V337" s="107"/>
      <c r="W337" s="106"/>
      <c r="X337" s="106"/>
      <c r="Y337" s="106"/>
      <c r="Z337" s="106"/>
      <c r="AA337" s="106"/>
      <c r="AB337" s="106"/>
      <c r="AC337" s="106"/>
      <c r="AD337" s="106"/>
      <c r="AE337" s="1190"/>
      <c r="AF337" s="1190"/>
      <c r="AG337" s="1190"/>
      <c r="AH337" s="1190"/>
      <c r="AI337" s="1190"/>
      <c r="AJ337" s="1190"/>
      <c r="AK337" s="1190"/>
      <c r="AL337" s="1190"/>
      <c r="AM337" s="1190"/>
      <c r="AN337" s="1190"/>
      <c r="AO337" s="1190"/>
      <c r="AP337" s="1190"/>
      <c r="AQ337" s="1190"/>
      <c r="AR337" s="1190"/>
      <c r="AS337" s="1190"/>
      <c r="AT337" s="1190"/>
      <c r="AU337" s="1190"/>
      <c r="AV337" s="1190"/>
      <c r="AW337" s="1190"/>
      <c r="AX337" s="1190"/>
      <c r="AY337" s="1190"/>
      <c r="AZ337" s="1190"/>
      <c r="BA337" s="1190"/>
      <c r="BB337" s="1190"/>
      <c r="BC337" s="1190"/>
      <c r="BD337" s="1190"/>
      <c r="BE337" s="1190"/>
      <c r="BF337" s="1190"/>
      <c r="BG337" s="1190"/>
      <c r="BH337" s="1190"/>
      <c r="BI337" s="1190"/>
      <c r="BJ337" s="1190"/>
      <c r="BK337" s="1190"/>
      <c r="BL337" s="1190"/>
      <c r="BM337" s="1190"/>
      <c r="BN337" s="1190"/>
      <c r="BO337" s="1190"/>
    </row>
    <row r="338" spans="22:67">
      <c r="V338" s="107"/>
      <c r="W338" s="106"/>
      <c r="X338" s="106"/>
      <c r="Y338" s="106"/>
      <c r="Z338" s="106"/>
      <c r="AA338" s="106"/>
      <c r="AB338" s="106"/>
      <c r="AC338" s="106"/>
      <c r="AD338" s="106"/>
      <c r="AE338" s="1190"/>
      <c r="AF338" s="1190"/>
      <c r="AG338" s="1190"/>
      <c r="AH338" s="1190"/>
      <c r="AI338" s="1190"/>
      <c r="AJ338" s="1190"/>
      <c r="AK338" s="1190"/>
      <c r="AL338" s="1190"/>
      <c r="AM338" s="1190"/>
      <c r="AN338" s="1190"/>
      <c r="AO338" s="1190"/>
      <c r="AP338" s="1190"/>
      <c r="AQ338" s="1190"/>
      <c r="AR338" s="1190"/>
      <c r="AS338" s="1190"/>
      <c r="AT338" s="1190"/>
      <c r="AU338" s="1190"/>
      <c r="AV338" s="1190"/>
      <c r="AW338" s="1190"/>
      <c r="AX338" s="1190"/>
      <c r="AY338" s="1190"/>
      <c r="AZ338" s="1190"/>
      <c r="BA338" s="1190"/>
      <c r="BB338" s="1190"/>
      <c r="BC338" s="1190"/>
      <c r="BD338" s="1190"/>
      <c r="BE338" s="1190"/>
      <c r="BF338" s="1190"/>
      <c r="BG338" s="1190"/>
      <c r="BH338" s="1190"/>
      <c r="BI338" s="1190"/>
      <c r="BJ338" s="1190"/>
      <c r="BK338" s="1190"/>
      <c r="BL338" s="1190"/>
      <c r="BM338" s="1190"/>
      <c r="BN338" s="1190"/>
      <c r="BO338" s="1190"/>
    </row>
    <row r="339" spans="22:67">
      <c r="V339" s="107"/>
      <c r="W339" s="106"/>
      <c r="X339" s="106"/>
      <c r="Y339" s="106"/>
      <c r="Z339" s="106"/>
      <c r="AA339" s="106"/>
      <c r="AB339" s="106"/>
      <c r="AC339" s="106"/>
      <c r="AD339" s="106"/>
      <c r="AE339" s="1190"/>
      <c r="AF339" s="1190"/>
      <c r="AG339" s="1190"/>
      <c r="AH339" s="1190"/>
      <c r="AI339" s="1190"/>
      <c r="AJ339" s="1190"/>
      <c r="AK339" s="1190"/>
      <c r="AL339" s="1190"/>
      <c r="AM339" s="1190"/>
      <c r="AN339" s="1190"/>
      <c r="AO339" s="1190"/>
      <c r="AP339" s="1190"/>
      <c r="AQ339" s="1190"/>
      <c r="AR339" s="1190"/>
      <c r="AS339" s="1190"/>
      <c r="AT339" s="1190"/>
      <c r="AU339" s="1190"/>
      <c r="AV339" s="1190"/>
      <c r="AW339" s="1190"/>
      <c r="AX339" s="1190"/>
      <c r="AY339" s="1190"/>
      <c r="AZ339" s="1190"/>
      <c r="BA339" s="1190"/>
      <c r="BB339" s="1190"/>
      <c r="BC339" s="1190"/>
      <c r="BD339" s="1190"/>
      <c r="BE339" s="1190"/>
      <c r="BF339" s="1190"/>
      <c r="BG339" s="1190"/>
      <c r="BH339" s="1190"/>
      <c r="BI339" s="1190"/>
      <c r="BJ339" s="1190"/>
      <c r="BK339" s="1190"/>
      <c r="BL339" s="1190"/>
      <c r="BM339" s="1190"/>
      <c r="BN339" s="1190"/>
      <c r="BO339" s="1190"/>
    </row>
    <row r="340" spans="22:67">
      <c r="V340" s="107"/>
      <c r="W340" s="106"/>
      <c r="X340" s="106"/>
      <c r="Y340" s="106"/>
      <c r="Z340" s="106"/>
      <c r="AA340" s="106"/>
      <c r="AB340" s="106"/>
      <c r="AC340" s="106"/>
      <c r="AD340" s="106"/>
      <c r="AE340" s="1190"/>
      <c r="AF340" s="1190"/>
      <c r="AG340" s="1190"/>
      <c r="AH340" s="1190"/>
      <c r="AI340" s="1190"/>
      <c r="AJ340" s="1190"/>
      <c r="AK340" s="1190"/>
      <c r="AL340" s="1190"/>
      <c r="AM340" s="1190"/>
      <c r="AN340" s="1190"/>
      <c r="AO340" s="1190"/>
      <c r="AP340" s="1190"/>
      <c r="AQ340" s="1190"/>
      <c r="AR340" s="1190"/>
      <c r="AS340" s="1190"/>
      <c r="AT340" s="1190"/>
      <c r="AU340" s="1190"/>
      <c r="AV340" s="1190"/>
      <c r="AW340" s="1190"/>
      <c r="AX340" s="1190"/>
      <c r="AY340" s="1190"/>
      <c r="AZ340" s="1190"/>
      <c r="BA340" s="1190"/>
      <c r="BB340" s="1190"/>
      <c r="BC340" s="1190"/>
      <c r="BD340" s="1190"/>
      <c r="BE340" s="1190"/>
      <c r="BF340" s="1190"/>
      <c r="BG340" s="1190"/>
      <c r="BH340" s="1190"/>
      <c r="BI340" s="1190"/>
      <c r="BJ340" s="1190"/>
      <c r="BK340" s="1190"/>
      <c r="BL340" s="1190"/>
      <c r="BM340" s="1190"/>
      <c r="BN340" s="1190"/>
      <c r="BO340" s="1190"/>
    </row>
    <row r="341" spans="22:67">
      <c r="V341" s="107"/>
      <c r="W341" s="106"/>
      <c r="X341" s="106"/>
      <c r="Y341" s="106"/>
      <c r="Z341" s="106"/>
      <c r="AA341" s="106"/>
      <c r="AB341" s="106"/>
      <c r="AC341" s="106"/>
      <c r="AD341" s="106"/>
      <c r="AE341" s="1190"/>
      <c r="AF341" s="1190"/>
      <c r="AG341" s="1190"/>
      <c r="AH341" s="1190"/>
      <c r="AI341" s="1190"/>
      <c r="AJ341" s="1190"/>
      <c r="AK341" s="1190"/>
      <c r="AL341" s="1190"/>
      <c r="AM341" s="1190"/>
      <c r="AN341" s="1190"/>
      <c r="AO341" s="1190"/>
      <c r="AP341" s="1190"/>
      <c r="AQ341" s="1190"/>
      <c r="AR341" s="1190"/>
      <c r="AS341" s="1190"/>
      <c r="AT341" s="1190"/>
      <c r="AU341" s="1190"/>
      <c r="AV341" s="1190"/>
      <c r="AW341" s="1190"/>
      <c r="AX341" s="1190"/>
      <c r="AY341" s="1190"/>
      <c r="AZ341" s="1190"/>
      <c r="BA341" s="1190"/>
      <c r="BB341" s="1190"/>
      <c r="BC341" s="1190"/>
      <c r="BD341" s="1190"/>
      <c r="BE341" s="1190"/>
      <c r="BF341" s="1190"/>
      <c r="BG341" s="1190"/>
      <c r="BH341" s="1190"/>
      <c r="BI341" s="1190"/>
      <c r="BJ341" s="1190"/>
      <c r="BK341" s="1190"/>
      <c r="BL341" s="1190"/>
      <c r="BM341" s="1190"/>
      <c r="BN341" s="1190"/>
      <c r="BO341" s="1190"/>
    </row>
    <row r="342" spans="22:67">
      <c r="V342" s="107"/>
      <c r="W342" s="106"/>
      <c r="X342" s="106"/>
      <c r="Y342" s="106"/>
      <c r="Z342" s="106"/>
      <c r="AA342" s="106"/>
      <c r="AB342" s="106"/>
      <c r="AC342" s="106"/>
      <c r="AD342" s="106"/>
      <c r="AE342" s="1190"/>
      <c r="AF342" s="1190"/>
      <c r="AG342" s="1190"/>
      <c r="AH342" s="1190"/>
      <c r="AI342" s="1190"/>
      <c r="AJ342" s="1190"/>
      <c r="AK342" s="1190"/>
      <c r="AL342" s="1190"/>
      <c r="AM342" s="1190"/>
      <c r="AN342" s="1190"/>
      <c r="AO342" s="1190"/>
      <c r="AP342" s="1190"/>
      <c r="AQ342" s="1190"/>
      <c r="AR342" s="1190"/>
      <c r="AS342" s="1190"/>
      <c r="AT342" s="1190"/>
      <c r="AU342" s="1190"/>
      <c r="AV342" s="1190"/>
      <c r="AW342" s="1190"/>
      <c r="AX342" s="1190"/>
      <c r="AY342" s="1190"/>
      <c r="AZ342" s="1190"/>
      <c r="BA342" s="1190"/>
      <c r="BB342" s="1190"/>
      <c r="BC342" s="1190"/>
      <c r="BD342" s="1190"/>
      <c r="BE342" s="1190"/>
      <c r="BF342" s="1190"/>
      <c r="BG342" s="1190"/>
      <c r="BH342" s="1190"/>
      <c r="BI342" s="1190"/>
      <c r="BJ342" s="1190"/>
      <c r="BK342" s="1190"/>
      <c r="BL342" s="1190"/>
      <c r="BM342" s="1190"/>
      <c r="BN342" s="1190"/>
      <c r="BO342" s="1190"/>
    </row>
    <row r="343" spans="22:67">
      <c r="V343" s="107"/>
      <c r="W343" s="106"/>
      <c r="X343" s="106"/>
      <c r="Y343" s="106"/>
      <c r="Z343" s="106"/>
      <c r="AA343" s="106"/>
      <c r="AB343" s="106"/>
      <c r="AC343" s="106"/>
      <c r="AD343" s="106"/>
      <c r="AE343" s="1190"/>
      <c r="AF343" s="1190"/>
      <c r="AG343" s="1190"/>
      <c r="AH343" s="1190"/>
      <c r="AI343" s="1190"/>
      <c r="AJ343" s="1190"/>
      <c r="AK343" s="1190"/>
      <c r="AL343" s="1190"/>
      <c r="AM343" s="1190"/>
      <c r="AN343" s="1190"/>
      <c r="AO343" s="1190"/>
      <c r="AP343" s="1190"/>
      <c r="AQ343" s="1190"/>
      <c r="AR343" s="1190"/>
      <c r="AS343" s="1190"/>
      <c r="AT343" s="1190"/>
      <c r="AU343" s="1190"/>
      <c r="AV343" s="1190"/>
      <c r="AW343" s="1190"/>
      <c r="AX343" s="1190"/>
      <c r="AY343" s="1190"/>
      <c r="AZ343" s="1190"/>
      <c r="BA343" s="1190"/>
      <c r="BB343" s="1190"/>
      <c r="BC343" s="1190"/>
      <c r="BD343" s="1190"/>
      <c r="BE343" s="1190"/>
      <c r="BF343" s="1190"/>
      <c r="BG343" s="1190"/>
      <c r="BH343" s="1190"/>
      <c r="BI343" s="1190"/>
      <c r="BJ343" s="1190"/>
      <c r="BK343" s="1190"/>
      <c r="BL343" s="1190"/>
      <c r="BM343" s="1190"/>
      <c r="BN343" s="1190"/>
      <c r="BO343" s="1190"/>
    </row>
    <row r="344" spans="22:67">
      <c r="V344" s="107"/>
      <c r="W344" s="106"/>
      <c r="X344" s="106"/>
      <c r="Y344" s="106"/>
      <c r="Z344" s="106"/>
      <c r="AA344" s="106"/>
      <c r="AB344" s="106"/>
      <c r="AC344" s="106"/>
      <c r="AD344" s="106"/>
      <c r="AE344" s="1190"/>
      <c r="AF344" s="1190"/>
      <c r="AG344" s="1190"/>
      <c r="AH344" s="1190"/>
      <c r="AI344" s="1190"/>
      <c r="AJ344" s="1190"/>
      <c r="AK344" s="1190"/>
      <c r="AL344" s="1190"/>
      <c r="AM344" s="1190"/>
      <c r="AN344" s="1190"/>
      <c r="AO344" s="1190"/>
      <c r="AP344" s="1190"/>
      <c r="AQ344" s="1190"/>
      <c r="AR344" s="1190"/>
      <c r="AS344" s="1190"/>
      <c r="AT344" s="1190"/>
      <c r="AU344" s="1190"/>
      <c r="AV344" s="1190"/>
      <c r="AW344" s="1190"/>
      <c r="AX344" s="1190"/>
      <c r="AY344" s="1190"/>
      <c r="AZ344" s="1190"/>
      <c r="BA344" s="1190"/>
      <c r="BB344" s="1190"/>
      <c r="BC344" s="1190"/>
      <c r="BD344" s="1190"/>
      <c r="BE344" s="1190"/>
      <c r="BF344" s="1190"/>
      <c r="BG344" s="1190"/>
      <c r="BH344" s="1190"/>
      <c r="BI344" s="1190"/>
      <c r="BJ344" s="1190"/>
      <c r="BK344" s="1190"/>
      <c r="BL344" s="1190"/>
      <c r="BM344" s="1190"/>
      <c r="BN344" s="1190"/>
      <c r="BO344" s="1190"/>
    </row>
    <row r="345" spans="22:67">
      <c r="V345" s="107"/>
      <c r="W345" s="106"/>
      <c r="X345" s="106"/>
      <c r="Y345" s="106"/>
      <c r="Z345" s="106"/>
      <c r="AA345" s="106"/>
      <c r="AB345" s="106"/>
      <c r="AC345" s="106"/>
      <c r="AD345" s="106"/>
      <c r="AE345" s="1190"/>
      <c r="AF345" s="1190"/>
      <c r="AG345" s="1190"/>
      <c r="AH345" s="1190"/>
      <c r="AI345" s="1190"/>
      <c r="AJ345" s="1190"/>
      <c r="AK345" s="1190"/>
      <c r="AL345" s="1190"/>
      <c r="AM345" s="1190"/>
      <c r="AN345" s="1190"/>
      <c r="AO345" s="1190"/>
      <c r="AP345" s="1190"/>
      <c r="AQ345" s="1190"/>
      <c r="AR345" s="1190"/>
      <c r="AS345" s="1190"/>
      <c r="AT345" s="1190"/>
      <c r="AU345" s="1190"/>
      <c r="AV345" s="1190"/>
      <c r="AW345" s="1190"/>
      <c r="AX345" s="1190"/>
      <c r="AY345" s="1190"/>
      <c r="AZ345" s="1190"/>
      <c r="BA345" s="1190"/>
      <c r="BB345" s="1190"/>
      <c r="BC345" s="1190"/>
      <c r="BD345" s="1190"/>
      <c r="BE345" s="1190"/>
      <c r="BF345" s="1190"/>
      <c r="BG345" s="1190"/>
      <c r="BH345" s="1190"/>
      <c r="BI345" s="1190"/>
      <c r="BJ345" s="1190"/>
      <c r="BK345" s="1190"/>
      <c r="BL345" s="1190"/>
      <c r="BM345" s="1190"/>
      <c r="BN345" s="1190"/>
      <c r="BO345" s="1190"/>
    </row>
    <row r="346" spans="22:67">
      <c r="Z346" s="1190"/>
      <c r="AA346" s="1190"/>
      <c r="AB346" s="1190"/>
      <c r="AC346" s="1190"/>
      <c r="AD346" s="1190"/>
      <c r="AE346" s="1190"/>
      <c r="AF346" s="1190"/>
      <c r="AG346" s="1190"/>
      <c r="AH346" s="1190"/>
      <c r="AI346" s="1190"/>
      <c r="AJ346" s="1190"/>
      <c r="AK346" s="1190"/>
      <c r="AL346" s="1190"/>
      <c r="AM346" s="1190"/>
      <c r="AN346" s="1190"/>
      <c r="AO346" s="1190"/>
      <c r="AP346" s="1190"/>
      <c r="AQ346" s="1190"/>
      <c r="AR346" s="1190"/>
      <c r="AS346" s="1190"/>
      <c r="AT346" s="1190"/>
      <c r="AU346" s="1190"/>
      <c r="AV346" s="1190"/>
      <c r="AW346" s="1190"/>
      <c r="AX346" s="1190"/>
      <c r="AY346" s="1190"/>
      <c r="AZ346" s="1190"/>
      <c r="BA346" s="1190"/>
      <c r="BB346" s="1190"/>
      <c r="BC346" s="1190"/>
      <c r="BD346" s="1190"/>
      <c r="BE346" s="1190"/>
      <c r="BF346" s="1190"/>
      <c r="BG346" s="1190"/>
      <c r="BH346" s="1190"/>
      <c r="BI346" s="1190"/>
      <c r="BJ346" s="1190"/>
      <c r="BK346" s="1190"/>
      <c r="BL346" s="1190"/>
      <c r="BM346" s="1190"/>
      <c r="BN346" s="1190"/>
      <c r="BO346" s="1190"/>
    </row>
    <row r="347" spans="22:67">
      <c r="Z347" s="1190"/>
      <c r="AA347" s="1190"/>
      <c r="AB347" s="1190"/>
      <c r="AC347" s="1190"/>
      <c r="AD347" s="1190"/>
      <c r="AE347" s="1190"/>
      <c r="AF347" s="1190"/>
      <c r="AG347" s="1190"/>
      <c r="AH347" s="1190"/>
      <c r="AI347" s="1190"/>
      <c r="AJ347" s="1190"/>
      <c r="AK347" s="1190"/>
      <c r="AL347" s="1190"/>
      <c r="AM347" s="1190"/>
      <c r="AN347" s="1190"/>
      <c r="AO347" s="1190"/>
      <c r="AP347" s="1190"/>
      <c r="AQ347" s="1190"/>
      <c r="AR347" s="1190"/>
      <c r="AS347" s="1190"/>
      <c r="AT347" s="1190"/>
      <c r="AU347" s="1190"/>
      <c r="AV347" s="1190"/>
      <c r="AW347" s="1190"/>
      <c r="AX347" s="1190"/>
      <c r="AY347" s="1190"/>
      <c r="AZ347" s="1190"/>
      <c r="BA347" s="1190"/>
      <c r="BB347" s="1190"/>
      <c r="BC347" s="1190"/>
      <c r="BD347" s="1190"/>
      <c r="BE347" s="1190"/>
      <c r="BF347" s="1190"/>
      <c r="BG347" s="1190"/>
      <c r="BH347" s="1190"/>
      <c r="BI347" s="1190"/>
      <c r="BJ347" s="1190"/>
      <c r="BK347" s="1190"/>
      <c r="BL347" s="1190"/>
      <c r="BM347" s="1190"/>
      <c r="BN347" s="1190"/>
      <c r="BO347" s="1190"/>
    </row>
    <row r="348" spans="22:67">
      <c r="Z348" s="1190"/>
      <c r="AA348" s="1190"/>
      <c r="AB348" s="1190"/>
      <c r="AC348" s="1190"/>
      <c r="AD348" s="1190"/>
      <c r="AE348" s="1190"/>
      <c r="AF348" s="1190"/>
      <c r="AG348" s="1190"/>
      <c r="AH348" s="1190"/>
      <c r="AI348" s="1190"/>
      <c r="AJ348" s="1190"/>
      <c r="AK348" s="1190"/>
      <c r="AL348" s="1190"/>
      <c r="AM348" s="1190"/>
      <c r="AN348" s="1190"/>
      <c r="AO348" s="1190"/>
      <c r="AP348" s="1190"/>
      <c r="AQ348" s="1190"/>
      <c r="AR348" s="1190"/>
      <c r="AS348" s="1190"/>
      <c r="AT348" s="1190"/>
      <c r="AU348" s="1190"/>
      <c r="AV348" s="1190"/>
      <c r="AW348" s="1190"/>
      <c r="AX348" s="1190"/>
      <c r="AY348" s="1190"/>
      <c r="AZ348" s="1190"/>
      <c r="BA348" s="1190"/>
      <c r="BB348" s="1190"/>
      <c r="BC348" s="1190"/>
      <c r="BD348" s="1190"/>
      <c r="BE348" s="1190"/>
      <c r="BF348" s="1190"/>
      <c r="BG348" s="1190"/>
      <c r="BH348" s="1190"/>
      <c r="BI348" s="1190"/>
      <c r="BJ348" s="1190"/>
      <c r="BK348" s="1190"/>
      <c r="BL348" s="1190"/>
      <c r="BM348" s="1190"/>
      <c r="BN348" s="1190"/>
      <c r="BO348" s="1190"/>
    </row>
    <row r="349" spans="22:67">
      <c r="Z349" s="1190"/>
      <c r="AA349" s="1190"/>
      <c r="AB349" s="1190"/>
      <c r="AC349" s="1190"/>
      <c r="AD349" s="1190"/>
      <c r="AE349" s="1190"/>
      <c r="AF349" s="1190"/>
      <c r="AG349" s="1190"/>
      <c r="AH349" s="1190"/>
      <c r="AI349" s="1190"/>
      <c r="AJ349" s="1190"/>
      <c r="AK349" s="1190"/>
      <c r="AL349" s="1190"/>
      <c r="AM349" s="1190"/>
      <c r="AN349" s="1190"/>
      <c r="AO349" s="1190"/>
      <c r="AP349" s="1190"/>
      <c r="AQ349" s="1190"/>
      <c r="AR349" s="1190"/>
      <c r="AS349" s="1190"/>
      <c r="AT349" s="1190"/>
      <c r="AU349" s="1190"/>
      <c r="AV349" s="1190"/>
      <c r="AW349" s="1190"/>
      <c r="AX349" s="1190"/>
      <c r="AY349" s="1190"/>
      <c r="AZ349" s="1190"/>
      <c r="BA349" s="1190"/>
      <c r="BB349" s="1190"/>
      <c r="BC349" s="1190"/>
      <c r="BD349" s="1190"/>
      <c r="BE349" s="1190"/>
      <c r="BF349" s="1190"/>
      <c r="BG349" s="1190"/>
      <c r="BH349" s="1190"/>
      <c r="BI349" s="1190"/>
      <c r="BJ349" s="1190"/>
      <c r="BK349" s="1190"/>
      <c r="BL349" s="1190"/>
      <c r="BM349" s="1190"/>
      <c r="BN349" s="1190"/>
      <c r="BO349" s="1190"/>
    </row>
    <row r="350" spans="22:67">
      <c r="Z350" s="1190"/>
      <c r="AA350" s="1190"/>
      <c r="AB350" s="1190"/>
      <c r="AC350" s="1190"/>
      <c r="AD350" s="1190"/>
      <c r="AE350" s="1190"/>
      <c r="AF350" s="1190"/>
      <c r="AG350" s="1190"/>
      <c r="AH350" s="1190"/>
      <c r="AI350" s="1190"/>
      <c r="AJ350" s="1190"/>
      <c r="AK350" s="1190"/>
      <c r="AL350" s="1190"/>
      <c r="AM350" s="1190"/>
      <c r="AN350" s="1190"/>
      <c r="AO350" s="1190"/>
      <c r="AP350" s="1190"/>
      <c r="AQ350" s="1190"/>
      <c r="AR350" s="1190"/>
      <c r="AS350" s="1190"/>
      <c r="AT350" s="1190"/>
      <c r="AU350" s="1190"/>
      <c r="AV350" s="1190"/>
      <c r="AW350" s="1190"/>
      <c r="AX350" s="1190"/>
      <c r="AY350" s="1190"/>
      <c r="AZ350" s="1190"/>
      <c r="BA350" s="1190"/>
      <c r="BB350" s="1190"/>
      <c r="BC350" s="1190"/>
      <c r="BD350" s="1190"/>
      <c r="BE350" s="1190"/>
      <c r="BF350" s="1190"/>
      <c r="BG350" s="1190"/>
      <c r="BH350" s="1190"/>
      <c r="BI350" s="1190"/>
      <c r="BJ350" s="1190"/>
      <c r="BK350" s="1190"/>
      <c r="BL350" s="1190"/>
      <c r="BM350" s="1190"/>
      <c r="BN350" s="1190"/>
      <c r="BO350" s="1190"/>
    </row>
    <row r="351" spans="22:67">
      <c r="Z351" s="1190"/>
      <c r="AA351" s="1190"/>
      <c r="AB351" s="1190"/>
      <c r="AC351" s="1190"/>
      <c r="AD351" s="1190"/>
      <c r="AE351" s="1190"/>
      <c r="AF351" s="1190"/>
      <c r="AG351" s="1190"/>
      <c r="AH351" s="1190"/>
      <c r="AI351" s="1190"/>
      <c r="AJ351" s="1190"/>
      <c r="AK351" s="1190"/>
      <c r="AL351" s="1190"/>
      <c r="AM351" s="1190"/>
      <c r="AN351" s="1190"/>
      <c r="AO351" s="1190"/>
      <c r="AP351" s="1190"/>
      <c r="AQ351" s="1190"/>
      <c r="AR351" s="1190"/>
      <c r="AS351" s="1190"/>
      <c r="AT351" s="1190"/>
      <c r="AU351" s="1190"/>
      <c r="AV351" s="1190"/>
      <c r="AW351" s="1190"/>
      <c r="AX351" s="1190"/>
      <c r="AY351" s="1190"/>
      <c r="AZ351" s="1190"/>
      <c r="BA351" s="1190"/>
      <c r="BB351" s="1190"/>
      <c r="BC351" s="1190"/>
      <c r="BD351" s="1190"/>
      <c r="BE351" s="1190"/>
      <c r="BF351" s="1190"/>
      <c r="BG351" s="1190"/>
      <c r="BH351" s="1190"/>
      <c r="BI351" s="1190"/>
      <c r="BJ351" s="1190"/>
      <c r="BK351" s="1190"/>
      <c r="BL351" s="1190"/>
      <c r="BM351" s="1190"/>
      <c r="BN351" s="1190"/>
      <c r="BO351" s="1190"/>
    </row>
    <row r="352" spans="22:67">
      <c r="Z352" s="1190"/>
      <c r="AA352" s="1190"/>
      <c r="AB352" s="1190"/>
      <c r="AC352" s="1190"/>
      <c r="AD352" s="1190"/>
      <c r="AE352" s="1190"/>
      <c r="AF352" s="1190"/>
      <c r="AG352" s="1190"/>
      <c r="AH352" s="1190"/>
      <c r="AI352" s="1190"/>
      <c r="AJ352" s="1190"/>
      <c r="AK352" s="1190"/>
      <c r="AL352" s="1190"/>
      <c r="AM352" s="1190"/>
      <c r="AN352" s="1190"/>
      <c r="AO352" s="1190"/>
      <c r="AP352" s="1190"/>
      <c r="AQ352" s="1190"/>
      <c r="AR352" s="1190"/>
      <c r="AS352" s="1190"/>
      <c r="AT352" s="1190"/>
      <c r="AU352" s="1190"/>
      <c r="AV352" s="1190"/>
      <c r="AW352" s="1190"/>
      <c r="AX352" s="1190"/>
      <c r="AY352" s="1190"/>
      <c r="AZ352" s="1190"/>
      <c r="BA352" s="1190"/>
      <c r="BB352" s="1190"/>
      <c r="BC352" s="1190"/>
      <c r="BD352" s="1190"/>
      <c r="BE352" s="1190"/>
      <c r="BF352" s="1190"/>
      <c r="BG352" s="1190"/>
      <c r="BH352" s="1190"/>
      <c r="BI352" s="1190"/>
      <c r="BJ352" s="1190"/>
      <c r="BK352" s="1190"/>
      <c r="BL352" s="1190"/>
      <c r="BM352" s="1190"/>
      <c r="BN352" s="1190"/>
      <c r="BO352" s="1190"/>
    </row>
    <row r="353" spans="26:67">
      <c r="Z353" s="1190"/>
      <c r="AA353" s="1190"/>
      <c r="AB353" s="1190"/>
      <c r="AC353" s="1190"/>
      <c r="AD353" s="1190"/>
      <c r="AE353" s="1190"/>
      <c r="AF353" s="1190"/>
      <c r="AG353" s="1190"/>
      <c r="AH353" s="1190"/>
      <c r="AI353" s="1190"/>
      <c r="AJ353" s="1190"/>
      <c r="AK353" s="1190"/>
      <c r="AL353" s="1190"/>
      <c r="AM353" s="1190"/>
      <c r="AN353" s="1190"/>
      <c r="AO353" s="1190"/>
      <c r="AP353" s="1190"/>
      <c r="AQ353" s="1190"/>
      <c r="AR353" s="1190"/>
      <c r="AS353" s="1190"/>
      <c r="AT353" s="1190"/>
      <c r="AU353" s="1190"/>
      <c r="AV353" s="1190"/>
      <c r="AW353" s="1190"/>
      <c r="AX353" s="1190"/>
      <c r="AY353" s="1190"/>
      <c r="AZ353" s="1190"/>
      <c r="BA353" s="1190"/>
      <c r="BB353" s="1190"/>
      <c r="BC353" s="1190"/>
      <c r="BD353" s="1190"/>
      <c r="BE353" s="1190"/>
      <c r="BF353" s="1190"/>
      <c r="BG353" s="1190"/>
      <c r="BH353" s="1190"/>
      <c r="BI353" s="1190"/>
      <c r="BJ353" s="1190"/>
      <c r="BK353" s="1190"/>
      <c r="BL353" s="1190"/>
      <c r="BM353" s="1190"/>
      <c r="BN353" s="1190"/>
      <c r="BO353" s="1190"/>
    </row>
    <row r="354" spans="26:67">
      <c r="Z354" s="1190"/>
      <c r="AA354" s="1190"/>
      <c r="AB354" s="1190"/>
      <c r="AC354" s="1190"/>
      <c r="AD354" s="1190"/>
      <c r="AE354" s="1190"/>
      <c r="AF354" s="1190"/>
      <c r="AG354" s="1190"/>
      <c r="AH354" s="1190"/>
      <c r="AI354" s="1190"/>
      <c r="AJ354" s="1190"/>
      <c r="AK354" s="1190"/>
      <c r="AL354" s="1190"/>
      <c r="AM354" s="1190"/>
      <c r="AN354" s="1190"/>
      <c r="AO354" s="1190"/>
      <c r="AP354" s="1190"/>
      <c r="AQ354" s="1190"/>
      <c r="AR354" s="1190"/>
      <c r="AS354" s="1190"/>
      <c r="AT354" s="1190"/>
      <c r="AU354" s="1190"/>
      <c r="AV354" s="1190"/>
      <c r="AW354" s="1190"/>
      <c r="AX354" s="1190"/>
      <c r="AY354" s="1190"/>
      <c r="AZ354" s="1190"/>
      <c r="BA354" s="1190"/>
      <c r="BB354" s="1190"/>
      <c r="BC354" s="1190"/>
      <c r="BD354" s="1190"/>
      <c r="BE354" s="1190"/>
      <c r="BF354" s="1190"/>
      <c r="BG354" s="1190"/>
      <c r="BH354" s="1190"/>
      <c r="BI354" s="1190"/>
      <c r="BJ354" s="1190"/>
      <c r="BK354" s="1190"/>
      <c r="BL354" s="1190"/>
      <c r="BM354" s="1190"/>
      <c r="BN354" s="1190"/>
      <c r="BO354" s="1190"/>
    </row>
    <row r="355" spans="26:67">
      <c r="Z355" s="1190"/>
      <c r="AA355" s="1190"/>
      <c r="AB355" s="1190"/>
      <c r="AC355" s="1190"/>
      <c r="AD355" s="1190"/>
      <c r="AE355" s="1190"/>
      <c r="AF355" s="1190"/>
      <c r="AG355" s="1190"/>
      <c r="AH355" s="1190"/>
      <c r="AI355" s="1190"/>
      <c r="AJ355" s="1190"/>
      <c r="AK355" s="1190"/>
      <c r="AL355" s="1190"/>
      <c r="AM355" s="1190"/>
      <c r="AN355" s="1190"/>
      <c r="AO355" s="1190"/>
      <c r="AP355" s="1190"/>
      <c r="AQ355" s="1190"/>
      <c r="AR355" s="1190"/>
      <c r="AS355" s="1190"/>
      <c r="AT355" s="1190"/>
      <c r="AU355" s="1190"/>
      <c r="AV355" s="1190"/>
      <c r="AW355" s="1190"/>
      <c r="AX355" s="1190"/>
      <c r="AY355" s="1190"/>
      <c r="AZ355" s="1190"/>
      <c r="BA355" s="1190"/>
      <c r="BB355" s="1190"/>
      <c r="BC355" s="1190"/>
      <c r="BD355" s="1190"/>
      <c r="BE355" s="1190"/>
      <c r="BF355" s="1190"/>
      <c r="BG355" s="1190"/>
      <c r="BH355" s="1190"/>
      <c r="BI355" s="1190"/>
      <c r="BJ355" s="1190"/>
      <c r="BK355" s="1190"/>
      <c r="BL355" s="1190"/>
      <c r="BM355" s="1190"/>
      <c r="BN355" s="1190"/>
      <c r="BO355" s="1190"/>
    </row>
    <row r="356" spans="26:67">
      <c r="Z356" s="1190"/>
      <c r="AA356" s="1190"/>
      <c r="AB356" s="1190"/>
      <c r="AC356" s="1190"/>
      <c r="AD356" s="1190"/>
      <c r="AE356" s="1190"/>
      <c r="AF356" s="1190"/>
      <c r="AG356" s="1190"/>
      <c r="AH356" s="1190"/>
      <c r="AI356" s="1190"/>
      <c r="AJ356" s="1190"/>
      <c r="AK356" s="1190"/>
      <c r="AL356" s="1190"/>
      <c r="AM356" s="1190"/>
      <c r="AN356" s="1190"/>
      <c r="AO356" s="1190"/>
      <c r="AP356" s="1190"/>
      <c r="AQ356" s="1190"/>
      <c r="AR356" s="1190"/>
      <c r="AS356" s="1190"/>
      <c r="AT356" s="1190"/>
      <c r="AU356" s="1190"/>
      <c r="AV356" s="1190"/>
      <c r="AW356" s="1190"/>
      <c r="AX356" s="1190"/>
      <c r="AY356" s="1190"/>
      <c r="AZ356" s="1190"/>
      <c r="BA356" s="1190"/>
      <c r="BB356" s="1190"/>
      <c r="BC356" s="1190"/>
      <c r="BD356" s="1190"/>
      <c r="BE356" s="1190"/>
      <c r="BF356" s="1190"/>
      <c r="BG356" s="1190"/>
      <c r="BH356" s="1190"/>
      <c r="BI356" s="1190"/>
      <c r="BJ356" s="1190"/>
      <c r="BK356" s="1190"/>
      <c r="BL356" s="1190"/>
      <c r="BM356" s="1190"/>
      <c r="BN356" s="1190"/>
      <c r="BO356" s="1190"/>
    </row>
    <row r="357" spans="26:67">
      <c r="Z357" s="1190"/>
      <c r="AA357" s="1190"/>
      <c r="AB357" s="1190"/>
      <c r="AC357" s="1190"/>
      <c r="AD357" s="1190"/>
      <c r="AE357" s="1190"/>
      <c r="AF357" s="1190"/>
      <c r="AG357" s="1190"/>
      <c r="AH357" s="1190"/>
      <c r="AI357" s="1190"/>
      <c r="AJ357" s="1190"/>
      <c r="AK357" s="1190"/>
      <c r="AL357" s="1190"/>
      <c r="AM357" s="1190"/>
      <c r="AN357" s="1190"/>
      <c r="AO357" s="1190"/>
      <c r="AP357" s="1190"/>
      <c r="AQ357" s="1190"/>
      <c r="AR357" s="1190"/>
      <c r="AS357" s="1190"/>
      <c r="AT357" s="1190"/>
      <c r="AU357" s="1190"/>
      <c r="AV357" s="1190"/>
      <c r="AW357" s="1190"/>
      <c r="AX357" s="1190"/>
      <c r="AY357" s="1190"/>
      <c r="AZ357" s="1190"/>
      <c r="BA357" s="1190"/>
      <c r="BB357" s="1190"/>
      <c r="BC357" s="1190"/>
      <c r="BD357" s="1190"/>
      <c r="BE357" s="1190"/>
      <c r="BF357" s="1190"/>
      <c r="BG357" s="1190"/>
      <c r="BH357" s="1190"/>
      <c r="BI357" s="1190"/>
      <c r="BJ357" s="1190"/>
      <c r="BK357" s="1190"/>
      <c r="BL357" s="1190"/>
      <c r="BM357" s="1190"/>
      <c r="BN357" s="1190"/>
      <c r="BO357" s="1190"/>
    </row>
    <row r="358" spans="26:67">
      <c r="Z358" s="1190"/>
      <c r="AA358" s="1190"/>
      <c r="AB358" s="1190"/>
      <c r="AC358" s="1190"/>
      <c r="AD358" s="1190"/>
      <c r="AE358" s="1190"/>
      <c r="AF358" s="1190"/>
      <c r="AG358" s="1190"/>
      <c r="AH358" s="1190"/>
      <c r="AI358" s="1190"/>
      <c r="AJ358" s="1190"/>
      <c r="AK358" s="1190"/>
      <c r="AL358" s="1190"/>
      <c r="AM358" s="1190"/>
      <c r="AN358" s="1190"/>
      <c r="AO358" s="1190"/>
      <c r="AP358" s="1190"/>
      <c r="AQ358" s="1190"/>
      <c r="AR358" s="1190"/>
      <c r="AS358" s="1190"/>
      <c r="AT358" s="1190"/>
      <c r="AU358" s="1190"/>
      <c r="AV358" s="1190"/>
      <c r="AW358" s="1190"/>
      <c r="AX358" s="1190"/>
      <c r="AY358" s="1190"/>
      <c r="AZ358" s="1190"/>
      <c r="BA358" s="1190"/>
      <c r="BB358" s="1190"/>
      <c r="BC358" s="1190"/>
      <c r="BD358" s="1190"/>
      <c r="BE358" s="1190"/>
      <c r="BF358" s="1190"/>
      <c r="BG358" s="1190"/>
      <c r="BH358" s="1190"/>
      <c r="BI358" s="1190"/>
      <c r="BJ358" s="1190"/>
      <c r="BK358" s="1190"/>
      <c r="BL358" s="1190"/>
      <c r="BM358" s="1190"/>
      <c r="BN358" s="1190"/>
      <c r="BO358" s="1190"/>
    </row>
    <row r="359" spans="26:67">
      <c r="Z359" s="1190"/>
      <c r="AA359" s="1190"/>
      <c r="AB359" s="1190"/>
      <c r="AC359" s="1190"/>
      <c r="AD359" s="1190"/>
      <c r="AE359" s="1190"/>
      <c r="AF359" s="1190"/>
      <c r="AG359" s="1190"/>
      <c r="AH359" s="1190"/>
      <c r="AI359" s="1190"/>
      <c r="AJ359" s="1190"/>
      <c r="AK359" s="1190"/>
      <c r="AL359" s="1190"/>
      <c r="AM359" s="1190"/>
      <c r="AN359" s="1190"/>
      <c r="AO359" s="1190"/>
      <c r="AP359" s="1190"/>
      <c r="AQ359" s="1190"/>
      <c r="AR359" s="1190"/>
      <c r="AS359" s="1190"/>
      <c r="AT359" s="1190"/>
      <c r="AU359" s="1190"/>
      <c r="AV359" s="1190"/>
      <c r="AW359" s="1190"/>
      <c r="AX359" s="1190"/>
      <c r="AY359" s="1190"/>
      <c r="AZ359" s="1190"/>
      <c r="BA359" s="1190"/>
      <c r="BB359" s="1190"/>
      <c r="BC359" s="1190"/>
      <c r="BD359" s="1190"/>
      <c r="BE359" s="1190"/>
      <c r="BF359" s="1190"/>
      <c r="BG359" s="1190"/>
      <c r="BH359" s="1190"/>
      <c r="BI359" s="1190"/>
      <c r="BJ359" s="1190"/>
      <c r="BK359" s="1190"/>
      <c r="BL359" s="1190"/>
      <c r="BM359" s="1190"/>
      <c r="BN359" s="1190"/>
      <c r="BO359" s="1190"/>
    </row>
    <row r="360" spans="26:67">
      <c r="Z360" s="1190"/>
      <c r="AA360" s="1190"/>
      <c r="AB360" s="1190"/>
      <c r="AC360" s="1190"/>
      <c r="AD360" s="1190"/>
      <c r="AE360" s="1190"/>
      <c r="AF360" s="1190"/>
      <c r="AG360" s="1190"/>
      <c r="AH360" s="1190"/>
      <c r="AI360" s="1190"/>
      <c r="AJ360" s="1190"/>
      <c r="AK360" s="1190"/>
      <c r="AL360" s="1190"/>
      <c r="AM360" s="1190"/>
      <c r="AN360" s="1190"/>
      <c r="AO360" s="1190"/>
      <c r="AP360" s="1190"/>
      <c r="AQ360" s="1190"/>
      <c r="AR360" s="1190"/>
      <c r="AS360" s="1190"/>
      <c r="AT360" s="1190"/>
      <c r="AU360" s="1190"/>
      <c r="AV360" s="1190"/>
      <c r="AW360" s="1190"/>
      <c r="AX360" s="1190"/>
      <c r="AY360" s="1190"/>
      <c r="AZ360" s="1190"/>
      <c r="BA360" s="1190"/>
      <c r="BB360" s="1190"/>
      <c r="BC360" s="1190"/>
      <c r="BD360" s="1190"/>
      <c r="BE360" s="1190"/>
      <c r="BF360" s="1190"/>
      <c r="BG360" s="1190"/>
      <c r="BH360" s="1190"/>
      <c r="BI360" s="1190"/>
      <c r="BJ360" s="1190"/>
      <c r="BK360" s="1190"/>
      <c r="BL360" s="1190"/>
      <c r="BM360" s="1190"/>
      <c r="BN360" s="1190"/>
      <c r="BO360" s="1190"/>
    </row>
    <row r="361" spans="26:67">
      <c r="Z361" s="1190"/>
      <c r="AA361" s="1190"/>
      <c r="AB361" s="1190"/>
      <c r="AC361" s="1190"/>
      <c r="AD361" s="1190"/>
      <c r="AE361" s="1190"/>
      <c r="AF361" s="1190"/>
      <c r="AG361" s="1190"/>
      <c r="AH361" s="1190"/>
      <c r="AI361" s="1190"/>
      <c r="AJ361" s="1190"/>
      <c r="AK361" s="1190"/>
      <c r="AL361" s="1190"/>
      <c r="AM361" s="1190"/>
      <c r="AN361" s="1190"/>
      <c r="AO361" s="1190"/>
      <c r="AP361" s="1190"/>
      <c r="AQ361" s="1190"/>
      <c r="AR361" s="1190"/>
      <c r="AS361" s="1190"/>
      <c r="AT361" s="1190"/>
      <c r="AU361" s="1190"/>
      <c r="AV361" s="1190"/>
      <c r="AW361" s="1190"/>
      <c r="AX361" s="1190"/>
      <c r="AY361" s="1190"/>
      <c r="AZ361" s="1190"/>
      <c r="BA361" s="1190"/>
      <c r="BB361" s="1190"/>
      <c r="BC361" s="1190"/>
      <c r="BD361" s="1190"/>
      <c r="BE361" s="1190"/>
      <c r="BF361" s="1190"/>
      <c r="BG361" s="1190"/>
      <c r="BH361" s="1190"/>
      <c r="BI361" s="1190"/>
      <c r="BJ361" s="1190"/>
      <c r="BK361" s="1190"/>
      <c r="BL361" s="1190"/>
      <c r="BM361" s="1190"/>
      <c r="BN361" s="1190"/>
      <c r="BO361" s="1190"/>
    </row>
    <row r="362" spans="26:67">
      <c r="Z362" s="1190"/>
      <c r="AA362" s="1190"/>
      <c r="AB362" s="1190"/>
      <c r="AC362" s="1190"/>
      <c r="AD362" s="1190"/>
      <c r="AE362" s="1190"/>
      <c r="AF362" s="1190"/>
      <c r="AG362" s="1190"/>
      <c r="AH362" s="1190"/>
      <c r="AI362" s="1190"/>
      <c r="AJ362" s="1190"/>
      <c r="AK362" s="1190"/>
      <c r="AL362" s="1190"/>
      <c r="AM362" s="1190"/>
      <c r="AN362" s="1190"/>
      <c r="AO362" s="1190"/>
      <c r="AP362" s="1190"/>
      <c r="AQ362" s="1190"/>
      <c r="AR362" s="1190"/>
      <c r="AS362" s="1190"/>
      <c r="AT362" s="1190"/>
      <c r="AU362" s="1190"/>
      <c r="AV362" s="1190"/>
      <c r="AW362" s="1190"/>
      <c r="AX362" s="1190"/>
      <c r="AY362" s="1190"/>
      <c r="AZ362" s="1190"/>
      <c r="BA362" s="1190"/>
      <c r="BB362" s="1190"/>
      <c r="BC362" s="1190"/>
      <c r="BD362" s="1190"/>
      <c r="BE362" s="1190"/>
      <c r="BF362" s="1190"/>
      <c r="BG362" s="1190"/>
      <c r="BH362" s="1190"/>
      <c r="BI362" s="1190"/>
      <c r="BJ362" s="1190"/>
      <c r="BK362" s="1190"/>
      <c r="BL362" s="1190"/>
      <c r="BM362" s="1190"/>
      <c r="BN362" s="1190"/>
      <c r="BO362" s="1190"/>
    </row>
    <row r="363" spans="26:67">
      <c r="Z363" s="1190"/>
      <c r="AA363" s="1190"/>
      <c r="AB363" s="1190"/>
      <c r="AC363" s="1190"/>
      <c r="AD363" s="1190"/>
      <c r="AE363" s="1190"/>
      <c r="AF363" s="1190"/>
      <c r="AG363" s="1190"/>
      <c r="AH363" s="1190"/>
      <c r="AI363" s="1190"/>
      <c r="AJ363" s="1190"/>
      <c r="AK363" s="1190"/>
      <c r="AL363" s="1190"/>
      <c r="AM363" s="1190"/>
      <c r="AN363" s="1190"/>
      <c r="AO363" s="1190"/>
      <c r="AP363" s="1190"/>
      <c r="AQ363" s="1190"/>
      <c r="AR363" s="1190"/>
      <c r="AS363" s="1190"/>
      <c r="AT363" s="1190"/>
      <c r="AU363" s="1190"/>
      <c r="AV363" s="1190"/>
      <c r="AW363" s="1190"/>
      <c r="AX363" s="1190"/>
      <c r="AY363" s="1190"/>
      <c r="AZ363" s="1190"/>
      <c r="BA363" s="1190"/>
      <c r="BB363" s="1190"/>
      <c r="BC363" s="1190"/>
      <c r="BD363" s="1190"/>
      <c r="BE363" s="1190"/>
      <c r="BF363" s="1190"/>
      <c r="BG363" s="1190"/>
      <c r="BH363" s="1190"/>
      <c r="BI363" s="1190"/>
      <c r="BJ363" s="1190"/>
      <c r="BK363" s="1190"/>
      <c r="BL363" s="1190"/>
      <c r="BM363" s="1190"/>
      <c r="BN363" s="1190"/>
      <c r="BO363" s="1190"/>
    </row>
    <row r="364" spans="26:67">
      <c r="Z364" s="1190"/>
      <c r="AA364" s="1190"/>
      <c r="AB364" s="1190"/>
      <c r="AC364" s="1190"/>
      <c r="AD364" s="1190"/>
      <c r="AE364" s="1190"/>
      <c r="AF364" s="1190"/>
      <c r="AG364" s="1190"/>
      <c r="AH364" s="1190"/>
      <c r="AI364" s="1190"/>
      <c r="AJ364" s="1190"/>
      <c r="AK364" s="1190"/>
      <c r="AL364" s="1190"/>
      <c r="AM364" s="1190"/>
      <c r="AN364" s="1190"/>
      <c r="AO364" s="1190"/>
      <c r="AP364" s="1190"/>
      <c r="AQ364" s="1190"/>
      <c r="AR364" s="1190"/>
      <c r="AS364" s="1190"/>
      <c r="AT364" s="1190"/>
      <c r="AU364" s="1190"/>
      <c r="AV364" s="1190"/>
      <c r="AW364" s="1190"/>
      <c r="AX364" s="1190"/>
      <c r="AY364" s="1190"/>
      <c r="AZ364" s="1190"/>
      <c r="BA364" s="1190"/>
      <c r="BB364" s="1190"/>
      <c r="BC364" s="1190"/>
      <c r="BD364" s="1190"/>
      <c r="BE364" s="1190"/>
      <c r="BF364" s="1190"/>
      <c r="BG364" s="1190"/>
      <c r="BH364" s="1190"/>
      <c r="BI364" s="1190"/>
      <c r="BJ364" s="1190"/>
      <c r="BK364" s="1190"/>
      <c r="BL364" s="1190"/>
      <c r="BM364" s="1190"/>
      <c r="BN364" s="1190"/>
      <c r="BO364" s="1190"/>
    </row>
    <row r="365" spans="26:67">
      <c r="Z365" s="1190"/>
      <c r="AA365" s="1190"/>
      <c r="AB365" s="1190"/>
      <c r="AC365" s="1190"/>
      <c r="AD365" s="1190"/>
      <c r="AE365" s="1190"/>
      <c r="AF365" s="1190"/>
      <c r="AG365" s="1190"/>
      <c r="AH365" s="1190"/>
      <c r="AI365" s="1190"/>
      <c r="AJ365" s="1190"/>
      <c r="AK365" s="1190"/>
      <c r="AL365" s="1190"/>
      <c r="AM365" s="1190"/>
      <c r="AN365" s="1190"/>
      <c r="AO365" s="1190"/>
      <c r="AP365" s="1190"/>
      <c r="AQ365" s="1190"/>
      <c r="AR365" s="1190"/>
      <c r="AS365" s="1190"/>
      <c r="AT365" s="1190"/>
      <c r="AU365" s="1190"/>
      <c r="AV365" s="1190"/>
      <c r="AW365" s="1190"/>
      <c r="AX365" s="1190"/>
      <c r="AY365" s="1190"/>
      <c r="AZ365" s="1190"/>
      <c r="BA365" s="1190"/>
      <c r="BB365" s="1190"/>
      <c r="BC365" s="1190"/>
      <c r="BD365" s="1190"/>
      <c r="BE365" s="1190"/>
      <c r="BF365" s="1190"/>
      <c r="BG365" s="1190"/>
      <c r="BH365" s="1190"/>
      <c r="BI365" s="1190"/>
      <c r="BJ365" s="1190"/>
      <c r="BK365" s="1190"/>
      <c r="BL365" s="1190"/>
      <c r="BM365" s="1190"/>
      <c r="BN365" s="1190"/>
      <c r="BO365" s="1190"/>
    </row>
    <row r="366" spans="26:67">
      <c r="Z366" s="1190"/>
      <c r="AA366" s="1190"/>
      <c r="AB366" s="1190"/>
      <c r="AC366" s="1190"/>
      <c r="AD366" s="1190"/>
      <c r="AE366" s="1190"/>
      <c r="AF366" s="1190"/>
      <c r="AG366" s="1190"/>
      <c r="AH366" s="1190"/>
      <c r="AI366" s="1190"/>
      <c r="AJ366" s="1190"/>
      <c r="AK366" s="1190"/>
      <c r="AL366" s="1190"/>
      <c r="AM366" s="1190"/>
      <c r="AN366" s="1190"/>
      <c r="AO366" s="1190"/>
      <c r="AP366" s="1190"/>
      <c r="AQ366" s="1190"/>
      <c r="AR366" s="1190"/>
      <c r="AS366" s="1190"/>
      <c r="AT366" s="1190"/>
      <c r="AU366" s="1190"/>
      <c r="AV366" s="1190"/>
      <c r="AW366" s="1190"/>
      <c r="AX366" s="1190"/>
      <c r="AY366" s="1190"/>
      <c r="AZ366" s="1190"/>
      <c r="BA366" s="1190"/>
      <c r="BB366" s="1190"/>
      <c r="BC366" s="1190"/>
      <c r="BD366" s="1190"/>
      <c r="BE366" s="1190"/>
      <c r="BF366" s="1190"/>
      <c r="BG366" s="1190"/>
      <c r="BH366" s="1190"/>
      <c r="BI366" s="1190"/>
      <c r="BJ366" s="1190"/>
      <c r="BK366" s="1190"/>
      <c r="BL366" s="1190"/>
      <c r="BM366" s="1190"/>
      <c r="BN366" s="1190"/>
      <c r="BO366" s="1190"/>
    </row>
    <row r="367" spans="26:67">
      <c r="Z367" s="1190"/>
      <c r="AA367" s="1190"/>
      <c r="AB367" s="1190"/>
      <c r="AC367" s="1190"/>
      <c r="AD367" s="1190"/>
      <c r="AE367" s="1190"/>
      <c r="AF367" s="1190"/>
      <c r="AG367" s="1190"/>
      <c r="AH367" s="1190"/>
      <c r="AI367" s="1190"/>
      <c r="AJ367" s="1190"/>
      <c r="AK367" s="1190"/>
      <c r="AL367" s="1190"/>
      <c r="AM367" s="1190"/>
      <c r="AN367" s="1190"/>
      <c r="AO367" s="1190"/>
      <c r="AP367" s="1190"/>
      <c r="AQ367" s="1190"/>
      <c r="AR367" s="1190"/>
      <c r="AS367" s="1190"/>
      <c r="AT367" s="1190"/>
      <c r="AU367" s="1190"/>
      <c r="AV367" s="1190"/>
      <c r="AW367" s="1190"/>
      <c r="AX367" s="1190"/>
      <c r="AY367" s="1190"/>
      <c r="AZ367" s="1190"/>
      <c r="BA367" s="1190"/>
      <c r="BB367" s="1190"/>
      <c r="BC367" s="1190"/>
      <c r="BD367" s="1190"/>
      <c r="BE367" s="1190"/>
      <c r="BF367" s="1190"/>
      <c r="BG367" s="1190"/>
      <c r="BH367" s="1190"/>
      <c r="BI367" s="1190"/>
      <c r="BJ367" s="1190"/>
      <c r="BK367" s="1190"/>
      <c r="BL367" s="1190"/>
      <c r="BM367" s="1190"/>
      <c r="BN367" s="1190"/>
      <c r="BO367" s="1190"/>
    </row>
    <row r="368" spans="26:67">
      <c r="Z368" s="1190"/>
      <c r="AA368" s="1190"/>
      <c r="AB368" s="1190"/>
      <c r="AC368" s="1190"/>
      <c r="AD368" s="1190"/>
      <c r="AE368" s="1190"/>
      <c r="AF368" s="1190"/>
      <c r="AG368" s="1190"/>
      <c r="AH368" s="1190"/>
      <c r="AI368" s="1190"/>
      <c r="AJ368" s="1190"/>
      <c r="AK368" s="1190"/>
      <c r="AL368" s="1190"/>
      <c r="AM368" s="1190"/>
      <c r="AN368" s="1190"/>
      <c r="AO368" s="1190"/>
      <c r="AP368" s="1190"/>
      <c r="AQ368" s="1190"/>
      <c r="AR368" s="1190"/>
      <c r="AS368" s="1190"/>
      <c r="AT368" s="1190"/>
      <c r="AU368" s="1190"/>
      <c r="AV368" s="1190"/>
      <c r="AW368" s="1190"/>
      <c r="AX368" s="1190"/>
      <c r="AY368" s="1190"/>
      <c r="AZ368" s="1190"/>
      <c r="BA368" s="1190"/>
      <c r="BB368" s="1190"/>
      <c r="BC368" s="1190"/>
      <c r="BD368" s="1190"/>
      <c r="BE368" s="1190"/>
      <c r="BF368" s="1190"/>
      <c r="BG368" s="1190"/>
      <c r="BH368" s="1190"/>
      <c r="BI368" s="1190"/>
      <c r="BJ368" s="1190"/>
      <c r="BK368" s="1190"/>
      <c r="BL368" s="1190"/>
      <c r="BM368" s="1190"/>
      <c r="BN368" s="1190"/>
      <c r="BO368" s="1190"/>
    </row>
    <row r="369" spans="26:67">
      <c r="Z369" s="1190"/>
      <c r="AA369" s="1190"/>
      <c r="AB369" s="1190"/>
      <c r="AC369" s="1190"/>
      <c r="AD369" s="1190"/>
      <c r="AE369" s="1190"/>
      <c r="AF369" s="1190"/>
      <c r="AG369" s="1190"/>
      <c r="AH369" s="1190"/>
      <c r="AI369" s="1190"/>
      <c r="AJ369" s="1190"/>
      <c r="AK369" s="1190"/>
      <c r="AL369" s="1190"/>
      <c r="AM369" s="1190"/>
      <c r="AN369" s="1190"/>
      <c r="AO369" s="1190"/>
      <c r="AP369" s="1190"/>
      <c r="AQ369" s="1190"/>
      <c r="AR369" s="1190"/>
      <c r="AS369" s="1190"/>
      <c r="AT369" s="1190"/>
      <c r="AU369" s="1190"/>
      <c r="AV369" s="1190"/>
      <c r="AW369" s="1190"/>
      <c r="AX369" s="1190"/>
      <c r="AY369" s="1190"/>
      <c r="AZ369" s="1190"/>
      <c r="BA369" s="1190"/>
      <c r="BB369" s="1190"/>
      <c r="BC369" s="1190"/>
      <c r="BD369" s="1190"/>
      <c r="BE369" s="1190"/>
      <c r="BF369" s="1190"/>
      <c r="BG369" s="1190"/>
      <c r="BH369" s="1190"/>
      <c r="BI369" s="1190"/>
      <c r="BJ369" s="1190"/>
      <c r="BK369" s="1190"/>
      <c r="BL369" s="1190"/>
      <c r="BM369" s="1190"/>
      <c r="BN369" s="1190"/>
      <c r="BO369" s="1190"/>
    </row>
    <row r="370" spans="26:67">
      <c r="Z370" s="1190"/>
      <c r="AA370" s="1190"/>
      <c r="AB370" s="1190"/>
      <c r="AC370" s="1190"/>
      <c r="AD370" s="1190"/>
      <c r="AE370" s="1190"/>
      <c r="AF370" s="1190"/>
      <c r="AG370" s="1190"/>
      <c r="AH370" s="1190"/>
      <c r="AI370" s="1190"/>
      <c r="AJ370" s="1190"/>
      <c r="AK370" s="1190"/>
      <c r="AL370" s="1190"/>
      <c r="AM370" s="1190"/>
      <c r="AN370" s="1190"/>
      <c r="AO370" s="1190"/>
      <c r="AP370" s="1190"/>
      <c r="AQ370" s="1190"/>
      <c r="AR370" s="1190"/>
      <c r="AS370" s="1190"/>
      <c r="AT370" s="1190"/>
      <c r="AU370" s="1190"/>
      <c r="AV370" s="1190"/>
      <c r="AW370" s="1190"/>
      <c r="AX370" s="1190"/>
      <c r="AY370" s="1190"/>
      <c r="AZ370" s="1190"/>
      <c r="BA370" s="1190"/>
      <c r="BB370" s="1190"/>
      <c r="BC370" s="1190"/>
      <c r="BD370" s="1190"/>
      <c r="BE370" s="1190"/>
      <c r="BF370" s="1190"/>
      <c r="BG370" s="1190"/>
      <c r="BH370" s="1190"/>
      <c r="BI370" s="1190"/>
      <c r="BJ370" s="1190"/>
      <c r="BK370" s="1190"/>
      <c r="BL370" s="1190"/>
      <c r="BM370" s="1190"/>
      <c r="BN370" s="1190"/>
      <c r="BO370" s="1190"/>
    </row>
    <row r="371" spans="26:67">
      <c r="Z371" s="1190"/>
      <c r="AA371" s="1190"/>
      <c r="AB371" s="1190"/>
      <c r="AC371" s="1190"/>
      <c r="AD371" s="1190"/>
      <c r="AE371" s="1190"/>
      <c r="AF371" s="1190"/>
      <c r="AG371" s="1190"/>
      <c r="AH371" s="1190"/>
      <c r="AI371" s="1190"/>
      <c r="AJ371" s="1190"/>
      <c r="AK371" s="1190"/>
      <c r="AL371" s="1190"/>
      <c r="AM371" s="1190"/>
      <c r="AN371" s="1190"/>
      <c r="AO371" s="1190"/>
      <c r="AP371" s="1190"/>
      <c r="AQ371" s="1190"/>
      <c r="AR371" s="1190"/>
      <c r="AS371" s="1190"/>
      <c r="AT371" s="1190"/>
      <c r="AU371" s="1190"/>
      <c r="AV371" s="1190"/>
      <c r="AW371" s="1190"/>
      <c r="AX371" s="1190"/>
      <c r="AY371" s="1190"/>
      <c r="AZ371" s="1190"/>
      <c r="BA371" s="1190"/>
      <c r="BB371" s="1190"/>
      <c r="BC371" s="1190"/>
      <c r="BD371" s="1190"/>
      <c r="BE371" s="1190"/>
      <c r="BF371" s="1190"/>
      <c r="BG371" s="1190"/>
      <c r="BH371" s="1190"/>
      <c r="BI371" s="1190"/>
      <c r="BJ371" s="1190"/>
      <c r="BK371" s="1190"/>
      <c r="BL371" s="1190"/>
      <c r="BM371" s="1190"/>
      <c r="BN371" s="1190"/>
      <c r="BO371" s="1190"/>
    </row>
    <row r="372" spans="26:67">
      <c r="Z372" s="1190"/>
      <c r="AA372" s="1190"/>
      <c r="AB372" s="1190"/>
      <c r="AC372" s="1190"/>
      <c r="AD372" s="1190"/>
      <c r="AE372" s="1190"/>
      <c r="AF372" s="1190"/>
      <c r="AG372" s="1190"/>
      <c r="AH372" s="1190"/>
      <c r="AI372" s="1190"/>
      <c r="AJ372" s="1190"/>
      <c r="AK372" s="1190"/>
      <c r="AL372" s="1190"/>
      <c r="AM372" s="1190"/>
      <c r="AN372" s="1190"/>
      <c r="AO372" s="1190"/>
      <c r="AP372" s="1190"/>
      <c r="AQ372" s="1190"/>
      <c r="AR372" s="1190"/>
      <c r="AS372" s="1190"/>
      <c r="AT372" s="1190"/>
      <c r="AU372" s="1190"/>
      <c r="AV372" s="1190"/>
      <c r="AW372" s="1190"/>
      <c r="AX372" s="1190"/>
      <c r="AY372" s="1190"/>
      <c r="AZ372" s="1190"/>
      <c r="BA372" s="1190"/>
      <c r="BB372" s="1190"/>
      <c r="BC372" s="1190"/>
      <c r="BD372" s="1190"/>
      <c r="BE372" s="1190"/>
      <c r="BF372" s="1190"/>
      <c r="BG372" s="1190"/>
      <c r="BH372" s="1190"/>
      <c r="BI372" s="1190"/>
      <c r="BJ372" s="1190"/>
      <c r="BK372" s="1190"/>
      <c r="BL372" s="1190"/>
      <c r="BM372" s="1190"/>
      <c r="BN372" s="1190"/>
      <c r="BO372" s="1190"/>
    </row>
    <row r="373" spans="26:67">
      <c r="Z373" s="1190"/>
      <c r="AA373" s="1190"/>
      <c r="AB373" s="1190"/>
      <c r="AC373" s="1190"/>
      <c r="AD373" s="1190"/>
      <c r="AE373" s="1190"/>
      <c r="AF373" s="1190"/>
      <c r="AG373" s="1190"/>
      <c r="AH373" s="1190"/>
      <c r="AI373" s="1190"/>
      <c r="AJ373" s="1190"/>
      <c r="AK373" s="1190"/>
      <c r="AL373" s="1190"/>
      <c r="AM373" s="1190"/>
      <c r="AN373" s="1190"/>
      <c r="AO373" s="1190"/>
      <c r="AP373" s="1190"/>
      <c r="AQ373" s="1190"/>
      <c r="AR373" s="1190"/>
      <c r="AS373" s="1190"/>
      <c r="AT373" s="1190"/>
      <c r="AU373" s="1190"/>
      <c r="AV373" s="1190"/>
      <c r="AW373" s="1190"/>
      <c r="AX373" s="1190"/>
      <c r="AY373" s="1190"/>
      <c r="AZ373" s="1190"/>
      <c r="BA373" s="1190"/>
      <c r="BB373" s="1190"/>
      <c r="BC373" s="1190"/>
      <c r="BD373" s="1190"/>
      <c r="BE373" s="1190"/>
      <c r="BF373" s="1190"/>
      <c r="BG373" s="1190"/>
      <c r="BH373" s="1190"/>
      <c r="BI373" s="1190"/>
      <c r="BJ373" s="1190"/>
      <c r="BK373" s="1190"/>
      <c r="BL373" s="1190"/>
      <c r="BM373" s="1190"/>
      <c r="BN373" s="1190"/>
      <c r="BO373" s="1190"/>
    </row>
    <row r="374" spans="26:67">
      <c r="Z374" s="1190"/>
      <c r="AA374" s="1190"/>
      <c r="AB374" s="1190"/>
      <c r="AC374" s="1190"/>
      <c r="AD374" s="1190"/>
      <c r="AE374" s="1190"/>
      <c r="AF374" s="1190"/>
      <c r="AG374" s="1190"/>
      <c r="AH374" s="1190"/>
      <c r="AI374" s="1190"/>
      <c r="AJ374" s="1190"/>
      <c r="AK374" s="1190"/>
      <c r="AL374" s="1190"/>
      <c r="AM374" s="1190"/>
      <c r="AN374" s="1190"/>
      <c r="AO374" s="1190"/>
      <c r="AP374" s="1190"/>
      <c r="AQ374" s="1190"/>
      <c r="AR374" s="1190"/>
      <c r="AS374" s="1190"/>
      <c r="AT374" s="1190"/>
      <c r="AU374" s="1190"/>
      <c r="AV374" s="1190"/>
      <c r="AW374" s="1190"/>
      <c r="AX374" s="1190"/>
      <c r="AY374" s="1190"/>
      <c r="AZ374" s="1190"/>
      <c r="BA374" s="1190"/>
      <c r="BB374" s="1190"/>
      <c r="BC374" s="1190"/>
      <c r="BD374" s="1190"/>
      <c r="BE374" s="1190"/>
      <c r="BF374" s="1190"/>
      <c r="BG374" s="1190"/>
      <c r="BH374" s="1190"/>
      <c r="BI374" s="1190"/>
      <c r="BJ374" s="1190"/>
      <c r="BK374" s="1190"/>
      <c r="BL374" s="1190"/>
      <c r="BM374" s="1190"/>
      <c r="BN374" s="1190"/>
      <c r="BO374" s="1190"/>
    </row>
    <row r="375" spans="26:67">
      <c r="Z375" s="1190"/>
      <c r="AA375" s="1190"/>
      <c r="AB375" s="1190"/>
      <c r="AC375" s="1190"/>
      <c r="AD375" s="1190"/>
      <c r="AE375" s="1190"/>
      <c r="AF375" s="1190"/>
      <c r="AG375" s="1190"/>
      <c r="AH375" s="1190"/>
      <c r="AI375" s="1190"/>
      <c r="AJ375" s="1190"/>
      <c r="AK375" s="1190"/>
      <c r="AL375" s="1190"/>
      <c r="AM375" s="1190"/>
      <c r="AN375" s="1190"/>
      <c r="AO375" s="1190"/>
      <c r="AP375" s="1190"/>
      <c r="AQ375" s="1190"/>
      <c r="AR375" s="1190"/>
      <c r="AS375" s="1190"/>
      <c r="AT375" s="1190"/>
      <c r="AU375" s="1190"/>
      <c r="AV375" s="1190"/>
      <c r="AW375" s="1190"/>
      <c r="AX375" s="1190"/>
      <c r="AY375" s="1190"/>
      <c r="AZ375" s="1190"/>
      <c r="BA375" s="1190"/>
      <c r="BB375" s="1190"/>
      <c r="BC375" s="1190"/>
      <c r="BD375" s="1190"/>
      <c r="BE375" s="1190"/>
      <c r="BF375" s="1190"/>
      <c r="BG375" s="1190"/>
      <c r="BH375" s="1190"/>
      <c r="BI375" s="1190"/>
      <c r="BJ375" s="1190"/>
      <c r="BK375" s="1190"/>
      <c r="BL375" s="1190"/>
      <c r="BM375" s="1190"/>
      <c r="BN375" s="1190"/>
      <c r="BO375" s="1190"/>
    </row>
    <row r="376" spans="26:67">
      <c r="Z376" s="1190"/>
      <c r="AA376" s="1190"/>
      <c r="AB376" s="1190"/>
      <c r="AC376" s="1190"/>
      <c r="AD376" s="1190"/>
      <c r="AE376" s="1190"/>
      <c r="AF376" s="1190"/>
      <c r="AG376" s="1190"/>
      <c r="AH376" s="1190"/>
      <c r="AI376" s="1190"/>
      <c r="AJ376" s="1190"/>
      <c r="AK376" s="1190"/>
      <c r="AL376" s="1190"/>
      <c r="AM376" s="1190"/>
      <c r="AN376" s="1190"/>
      <c r="AO376" s="1190"/>
      <c r="AP376" s="1190"/>
      <c r="AQ376" s="1190"/>
      <c r="AR376" s="1190"/>
      <c r="AS376" s="1190"/>
      <c r="AT376" s="1190"/>
      <c r="AU376" s="1190"/>
      <c r="AV376" s="1190"/>
      <c r="AW376" s="1190"/>
      <c r="AX376" s="1190"/>
      <c r="AY376" s="1190"/>
      <c r="AZ376" s="1190"/>
      <c r="BA376" s="1190"/>
      <c r="BB376" s="1190"/>
      <c r="BC376" s="1190"/>
      <c r="BD376" s="1190"/>
      <c r="BE376" s="1190"/>
      <c r="BF376" s="1190"/>
      <c r="BG376" s="1190"/>
      <c r="BH376" s="1190"/>
      <c r="BI376" s="1190"/>
      <c r="BJ376" s="1190"/>
      <c r="BK376" s="1190"/>
      <c r="BL376" s="1190"/>
      <c r="BM376" s="1190"/>
      <c r="BN376" s="1190"/>
      <c r="BO376" s="1190"/>
    </row>
    <row r="377" spans="26:67">
      <c r="Z377" s="1190"/>
      <c r="AA377" s="1190"/>
      <c r="AB377" s="1190"/>
      <c r="AC377" s="1190"/>
      <c r="AD377" s="1190"/>
      <c r="AE377" s="1190"/>
      <c r="AF377" s="1190"/>
      <c r="AG377" s="1190"/>
      <c r="AH377" s="1190"/>
      <c r="AI377" s="1190"/>
      <c r="AJ377" s="1190"/>
      <c r="AK377" s="1190"/>
      <c r="AL377" s="1190"/>
      <c r="AM377" s="1190"/>
      <c r="AN377" s="1190"/>
      <c r="AO377" s="1190"/>
      <c r="AP377" s="1190"/>
      <c r="AQ377" s="1190"/>
      <c r="AR377" s="1190"/>
      <c r="AS377" s="1190"/>
      <c r="AT377" s="1190"/>
      <c r="AU377" s="1190"/>
      <c r="AV377" s="1190"/>
      <c r="AW377" s="1190"/>
      <c r="AX377" s="1190"/>
      <c r="AY377" s="1190"/>
      <c r="AZ377" s="1190"/>
      <c r="BA377" s="1190"/>
      <c r="BB377" s="1190"/>
      <c r="BC377" s="1190"/>
      <c r="BD377" s="1190"/>
      <c r="BE377" s="1190"/>
      <c r="BF377" s="1190"/>
      <c r="BG377" s="1190"/>
      <c r="BH377" s="1190"/>
      <c r="BI377" s="1190"/>
      <c r="BJ377" s="1190"/>
      <c r="BK377" s="1190"/>
      <c r="BL377" s="1190"/>
      <c r="BM377" s="1190"/>
      <c r="BN377" s="1190"/>
      <c r="BO377" s="1190"/>
    </row>
    <row r="378" spans="26:67">
      <c r="Z378" s="1190"/>
      <c r="AA378" s="1190"/>
      <c r="AB378" s="1190"/>
      <c r="AC378" s="1190"/>
      <c r="AD378" s="1190"/>
      <c r="AE378" s="1190"/>
      <c r="AF378" s="1190"/>
      <c r="AG378" s="1190"/>
      <c r="AH378" s="1190"/>
      <c r="AI378" s="1190"/>
      <c r="AJ378" s="1190"/>
      <c r="AK378" s="1190"/>
      <c r="AL378" s="1190"/>
      <c r="AM378" s="1190"/>
      <c r="AN378" s="1190"/>
      <c r="AO378" s="1190"/>
      <c r="AP378" s="1190"/>
      <c r="AQ378" s="1190"/>
      <c r="AR378" s="1190"/>
      <c r="AS378" s="1190"/>
      <c r="AT378" s="1190"/>
      <c r="AU378" s="1190"/>
      <c r="AV378" s="1190"/>
      <c r="AW378" s="1190"/>
      <c r="AX378" s="1190"/>
      <c r="AY378" s="1190"/>
      <c r="AZ378" s="1190"/>
      <c r="BA378" s="1190"/>
      <c r="BB378" s="1190"/>
      <c r="BC378" s="1190"/>
      <c r="BD378" s="1190"/>
      <c r="BE378" s="1190"/>
      <c r="BF378" s="1190"/>
      <c r="BG378" s="1190"/>
      <c r="BH378" s="1190"/>
      <c r="BI378" s="1190"/>
      <c r="BJ378" s="1190"/>
      <c r="BK378" s="1190"/>
      <c r="BL378" s="1190"/>
      <c r="BM378" s="1190"/>
      <c r="BN378" s="1190"/>
      <c r="BO378" s="1190"/>
    </row>
    <row r="379" spans="26:67">
      <c r="Z379" s="1190"/>
      <c r="AA379" s="1190"/>
      <c r="AB379" s="1190"/>
      <c r="AC379" s="1190"/>
      <c r="AD379" s="1190"/>
      <c r="AE379" s="1190"/>
      <c r="AF379" s="1190"/>
      <c r="AG379" s="1190"/>
      <c r="AH379" s="1190"/>
      <c r="AI379" s="1190"/>
      <c r="AJ379" s="1190"/>
      <c r="AK379" s="1190"/>
      <c r="AL379" s="1190"/>
      <c r="AM379" s="1190"/>
      <c r="AN379" s="1190"/>
      <c r="AO379" s="1190"/>
      <c r="AP379" s="1190"/>
      <c r="AQ379" s="1190"/>
      <c r="AR379" s="1190"/>
      <c r="AS379" s="1190"/>
      <c r="AT379" s="1190"/>
      <c r="AU379" s="1190"/>
      <c r="AV379" s="1190"/>
      <c r="AW379" s="1190"/>
      <c r="AX379" s="1190"/>
      <c r="AY379" s="1190"/>
      <c r="AZ379" s="1190"/>
      <c r="BA379" s="1190"/>
      <c r="BB379" s="1190"/>
      <c r="BC379" s="1190"/>
      <c r="BD379" s="1190"/>
      <c r="BE379" s="1190"/>
      <c r="BF379" s="1190"/>
      <c r="BG379" s="1190"/>
      <c r="BH379" s="1190"/>
      <c r="BI379" s="1190"/>
      <c r="BJ379" s="1190"/>
      <c r="BK379" s="1190"/>
      <c r="BL379" s="1190"/>
      <c r="BM379" s="1190"/>
      <c r="BN379" s="1190"/>
      <c r="BO379" s="1190"/>
    </row>
    <row r="380" spans="26:67">
      <c r="Z380" s="1190"/>
      <c r="AA380" s="1190"/>
      <c r="AB380" s="1190"/>
      <c r="AC380" s="1190"/>
      <c r="AD380" s="1190"/>
      <c r="AE380" s="1190"/>
      <c r="AF380" s="1190"/>
      <c r="AG380" s="1190"/>
      <c r="AH380" s="1190"/>
      <c r="AI380" s="1190"/>
      <c r="AJ380" s="1190"/>
      <c r="AK380" s="1190"/>
      <c r="AL380" s="1190"/>
      <c r="AM380" s="1190"/>
      <c r="AN380" s="1190"/>
      <c r="AO380" s="1190"/>
      <c r="AP380" s="1190"/>
      <c r="AQ380" s="1190"/>
      <c r="AR380" s="1190"/>
      <c r="AS380" s="1190"/>
      <c r="AT380" s="1190"/>
      <c r="AU380" s="1190"/>
      <c r="AV380" s="1190"/>
      <c r="AW380" s="1190"/>
      <c r="AX380" s="1190"/>
      <c r="AY380" s="1190"/>
      <c r="AZ380" s="1190"/>
      <c r="BA380" s="1190"/>
      <c r="BB380" s="1190"/>
      <c r="BC380" s="1190"/>
      <c r="BD380" s="1190"/>
      <c r="BE380" s="1190"/>
      <c r="BF380" s="1190"/>
      <c r="BG380" s="1190"/>
      <c r="BH380" s="1190"/>
      <c r="BI380" s="1190"/>
      <c r="BJ380" s="1190"/>
      <c r="BK380" s="1190"/>
      <c r="BL380" s="1190"/>
      <c r="BM380" s="1190"/>
      <c r="BN380" s="1190"/>
      <c r="BO380" s="1190"/>
    </row>
    <row r="381" spans="26:67">
      <c r="Z381" s="1190"/>
      <c r="AA381" s="1190"/>
      <c r="AB381" s="1190"/>
      <c r="AC381" s="1190"/>
      <c r="AD381" s="1190"/>
      <c r="AE381" s="1190"/>
      <c r="AF381" s="1190"/>
      <c r="AG381" s="1190"/>
      <c r="AH381" s="1190"/>
      <c r="AI381" s="1190"/>
      <c r="AJ381" s="1190"/>
      <c r="AK381" s="1190"/>
      <c r="AL381" s="1190"/>
      <c r="AM381" s="1190"/>
      <c r="AN381" s="1190"/>
      <c r="AO381" s="1190"/>
      <c r="AP381" s="1190"/>
      <c r="AQ381" s="1190"/>
      <c r="AR381" s="1190"/>
      <c r="AS381" s="1190"/>
      <c r="AT381" s="1190"/>
      <c r="AU381" s="1190"/>
      <c r="AV381" s="1190"/>
      <c r="AW381" s="1190"/>
      <c r="AX381" s="1190"/>
      <c r="AY381" s="1190"/>
      <c r="AZ381" s="1190"/>
      <c r="BA381" s="1190"/>
      <c r="BB381" s="1190"/>
      <c r="BC381" s="1190"/>
      <c r="BD381" s="1190"/>
      <c r="BE381" s="1190"/>
      <c r="BF381" s="1190"/>
      <c r="BG381" s="1190"/>
      <c r="BH381" s="1190"/>
      <c r="BI381" s="1190"/>
      <c r="BJ381" s="1190"/>
      <c r="BK381" s="1190"/>
      <c r="BL381" s="1190"/>
      <c r="BM381" s="1190"/>
      <c r="BN381" s="1190"/>
      <c r="BO381" s="1190"/>
    </row>
    <row r="382" spans="26:67">
      <c r="Z382" s="1190"/>
      <c r="AA382" s="1190"/>
      <c r="AB382" s="1190"/>
      <c r="AC382" s="1190"/>
      <c r="AD382" s="1190"/>
      <c r="AE382" s="1190"/>
      <c r="AF382" s="1190"/>
      <c r="AG382" s="1190"/>
      <c r="AH382" s="1190"/>
      <c r="AI382" s="1190"/>
      <c r="AJ382" s="1190"/>
      <c r="AK382" s="1190"/>
      <c r="AL382" s="1190"/>
      <c r="AM382" s="1190"/>
      <c r="AN382" s="1190"/>
      <c r="AO382" s="1190"/>
      <c r="AP382" s="1190"/>
      <c r="AQ382" s="1190"/>
      <c r="AR382" s="1190"/>
      <c r="AS382" s="1190"/>
      <c r="AT382" s="1190"/>
      <c r="AU382" s="1190"/>
      <c r="AV382" s="1190"/>
      <c r="AW382" s="1190"/>
      <c r="AX382" s="1190"/>
      <c r="AY382" s="1190"/>
      <c r="AZ382" s="1190"/>
      <c r="BA382" s="1190"/>
      <c r="BB382" s="1190"/>
      <c r="BC382" s="1190"/>
      <c r="BD382" s="1190"/>
      <c r="BE382" s="1190"/>
      <c r="BF382" s="1190"/>
      <c r="BG382" s="1190"/>
      <c r="BH382" s="1190"/>
      <c r="BI382" s="1190"/>
      <c r="BJ382" s="1190"/>
      <c r="BK382" s="1190"/>
      <c r="BL382" s="1190"/>
      <c r="BM382" s="1190"/>
      <c r="BN382" s="1190"/>
      <c r="BO382" s="1190"/>
    </row>
    <row r="383" spans="26:67">
      <c r="Z383" s="1190"/>
      <c r="AA383" s="1190"/>
      <c r="AB383" s="1190"/>
      <c r="AC383" s="1190"/>
      <c r="AD383" s="1190"/>
      <c r="AE383" s="1190"/>
      <c r="AF383" s="1190"/>
      <c r="AG383" s="1190"/>
      <c r="AH383" s="1190"/>
      <c r="AI383" s="1190"/>
      <c r="AJ383" s="1190"/>
      <c r="AK383" s="1190"/>
      <c r="AL383" s="1190"/>
      <c r="AM383" s="1190"/>
      <c r="AN383" s="1190"/>
      <c r="AO383" s="1190"/>
      <c r="AP383" s="1190"/>
      <c r="AQ383" s="1190"/>
      <c r="AR383" s="1190"/>
      <c r="AS383" s="1190"/>
      <c r="AT383" s="1190"/>
      <c r="AU383" s="1190"/>
      <c r="AV383" s="1190"/>
      <c r="AW383" s="1190"/>
      <c r="AX383" s="1190"/>
      <c r="AY383" s="1190"/>
      <c r="AZ383" s="1190"/>
      <c r="BA383" s="1190"/>
      <c r="BB383" s="1190"/>
      <c r="BC383" s="1190"/>
      <c r="BD383" s="1190"/>
      <c r="BE383" s="1190"/>
      <c r="BF383" s="1190"/>
      <c r="BG383" s="1190"/>
      <c r="BH383" s="1190"/>
      <c r="BI383" s="1190"/>
      <c r="BJ383" s="1190"/>
      <c r="BK383" s="1190"/>
      <c r="BL383" s="1190"/>
      <c r="BM383" s="1190"/>
      <c r="BN383" s="1190"/>
      <c r="BO383" s="1190"/>
    </row>
    <row r="384" spans="26:67">
      <c r="Z384" s="1190"/>
      <c r="AA384" s="1190"/>
      <c r="AB384" s="1190"/>
      <c r="AC384" s="1190"/>
      <c r="AD384" s="1190"/>
      <c r="AE384" s="1190"/>
      <c r="AF384" s="1190"/>
      <c r="AG384" s="1190"/>
      <c r="AH384" s="1190"/>
      <c r="AI384" s="1190"/>
      <c r="AJ384" s="1190"/>
      <c r="AK384" s="1190"/>
      <c r="AL384" s="1190"/>
      <c r="AM384" s="1190"/>
      <c r="AN384" s="1190"/>
      <c r="AO384" s="1190"/>
      <c r="AP384" s="1190"/>
      <c r="AQ384" s="1190"/>
      <c r="AR384" s="1190"/>
      <c r="AS384" s="1190"/>
      <c r="AT384" s="1190"/>
      <c r="AU384" s="1190"/>
      <c r="AV384" s="1190"/>
      <c r="AW384" s="1190"/>
      <c r="AX384" s="1190"/>
      <c r="AY384" s="1190"/>
      <c r="AZ384" s="1190"/>
      <c r="BA384" s="1190"/>
      <c r="BB384" s="1190"/>
      <c r="BC384" s="1190"/>
      <c r="BD384" s="1190"/>
      <c r="BE384" s="1190"/>
      <c r="BF384" s="1190"/>
      <c r="BG384" s="1190"/>
      <c r="BH384" s="1190"/>
      <c r="BI384" s="1190"/>
      <c r="BJ384" s="1190"/>
      <c r="BK384" s="1190"/>
      <c r="BL384" s="1190"/>
      <c r="BM384" s="1190"/>
      <c r="BN384" s="1190"/>
      <c r="BO384" s="1190"/>
    </row>
    <row r="385" spans="26:67">
      <c r="Z385" s="1190"/>
      <c r="AA385" s="1190"/>
      <c r="AB385" s="1190"/>
      <c r="AC385" s="1190"/>
      <c r="AD385" s="1190"/>
      <c r="AE385" s="1190"/>
      <c r="AF385" s="1190"/>
      <c r="AG385" s="1190"/>
      <c r="AH385" s="1190"/>
      <c r="AI385" s="1190"/>
      <c r="AJ385" s="1190"/>
      <c r="AK385" s="1190"/>
      <c r="AL385" s="1190"/>
      <c r="AM385" s="1190"/>
      <c r="AN385" s="1190"/>
      <c r="AO385" s="1190"/>
      <c r="AP385" s="1190"/>
      <c r="AQ385" s="1190"/>
      <c r="AR385" s="1190"/>
      <c r="AS385" s="1190"/>
      <c r="AT385" s="1190"/>
      <c r="AU385" s="1190"/>
      <c r="AV385" s="1190"/>
      <c r="AW385" s="1190"/>
      <c r="AX385" s="1190"/>
      <c r="AY385" s="1190"/>
      <c r="AZ385" s="1190"/>
      <c r="BA385" s="1190"/>
      <c r="BB385" s="1190"/>
      <c r="BC385" s="1190"/>
      <c r="BD385" s="1190"/>
      <c r="BE385" s="1190"/>
      <c r="BF385" s="1190"/>
      <c r="BG385" s="1190"/>
      <c r="BH385" s="1190"/>
      <c r="BI385" s="1190"/>
      <c r="BJ385" s="1190"/>
      <c r="BK385" s="1190"/>
      <c r="BL385" s="1190"/>
      <c r="BM385" s="1190"/>
      <c r="BN385" s="1190"/>
      <c r="BO385" s="1190"/>
    </row>
    <row r="386" spans="26:67">
      <c r="Z386" s="1190"/>
      <c r="AA386" s="1190"/>
      <c r="AB386" s="1190"/>
      <c r="AC386" s="1190"/>
      <c r="AD386" s="1190"/>
      <c r="AE386" s="1190"/>
      <c r="AF386" s="1190"/>
      <c r="AG386" s="1190"/>
      <c r="AH386" s="1190"/>
      <c r="AI386" s="1190"/>
      <c r="AJ386" s="1190"/>
      <c r="AK386" s="1190"/>
      <c r="AL386" s="1190"/>
      <c r="AM386" s="1190"/>
      <c r="AN386" s="1190"/>
      <c r="AO386" s="1190"/>
      <c r="AP386" s="1190"/>
      <c r="AQ386" s="1190"/>
      <c r="AR386" s="1190"/>
      <c r="AS386" s="1190"/>
      <c r="AT386" s="1190"/>
      <c r="AU386" s="1190"/>
      <c r="AV386" s="1190"/>
      <c r="AW386" s="1190"/>
      <c r="AX386" s="1190"/>
      <c r="AY386" s="1190"/>
      <c r="AZ386" s="1190"/>
      <c r="BA386" s="1190"/>
      <c r="BB386" s="1190"/>
      <c r="BC386" s="1190"/>
      <c r="BD386" s="1190"/>
      <c r="BE386" s="1190"/>
      <c r="BF386" s="1190"/>
      <c r="BG386" s="1190"/>
      <c r="BH386" s="1190"/>
      <c r="BI386" s="1190"/>
      <c r="BJ386" s="1190"/>
      <c r="BK386" s="1190"/>
      <c r="BL386" s="1190"/>
      <c r="BM386" s="1190"/>
      <c r="BN386" s="1190"/>
      <c r="BO386" s="1190"/>
    </row>
    <row r="387" spans="26:67">
      <c r="Z387" s="1190"/>
      <c r="AA387" s="1190"/>
      <c r="AB387" s="1190"/>
      <c r="AC387" s="1190"/>
      <c r="AD387" s="1190"/>
      <c r="AE387" s="1190"/>
      <c r="AF387" s="1190"/>
      <c r="AG387" s="1190"/>
      <c r="AH387" s="1190"/>
      <c r="AI387" s="1190"/>
      <c r="AJ387" s="1190"/>
      <c r="AK387" s="1190"/>
      <c r="AL387" s="1190"/>
      <c r="AM387" s="1190"/>
      <c r="AN387" s="1190"/>
      <c r="AO387" s="1190"/>
      <c r="AP387" s="1190"/>
      <c r="AQ387" s="1190"/>
      <c r="AR387" s="1190"/>
      <c r="AS387" s="1190"/>
      <c r="AT387" s="1190"/>
      <c r="AU387" s="1190"/>
      <c r="AV387" s="1190"/>
      <c r="AW387" s="1190"/>
      <c r="AX387" s="1190"/>
      <c r="AY387" s="1190"/>
      <c r="AZ387" s="1190"/>
      <c r="BA387" s="1190"/>
      <c r="BB387" s="1190"/>
      <c r="BC387" s="1190"/>
      <c r="BD387" s="1190"/>
      <c r="BE387" s="1190"/>
      <c r="BF387" s="1190"/>
      <c r="BG387" s="1190"/>
      <c r="BH387" s="1190"/>
      <c r="BI387" s="1190"/>
      <c r="BJ387" s="1190"/>
      <c r="BK387" s="1190"/>
      <c r="BL387" s="1190"/>
      <c r="BM387" s="1190"/>
      <c r="BN387" s="1190"/>
      <c r="BO387" s="1190"/>
    </row>
    <row r="388" spans="26:67">
      <c r="Z388" s="1190"/>
      <c r="AA388" s="1190"/>
      <c r="AB388" s="1190"/>
      <c r="AC388" s="1190"/>
      <c r="AD388" s="1190"/>
      <c r="AE388" s="1190"/>
      <c r="AF388" s="1190"/>
      <c r="AG388" s="1190"/>
      <c r="AH388" s="1190"/>
      <c r="AI388" s="1190"/>
      <c r="AJ388" s="1190"/>
      <c r="AK388" s="1190"/>
      <c r="AL388" s="1190"/>
      <c r="AM388" s="1190"/>
      <c r="AN388" s="1190"/>
      <c r="AO388" s="1190"/>
      <c r="AP388" s="1190"/>
      <c r="AQ388" s="1190"/>
      <c r="AR388" s="1190"/>
      <c r="AS388" s="1190"/>
      <c r="AT388" s="1190"/>
      <c r="AU388" s="1190"/>
      <c r="AV388" s="1190"/>
      <c r="AW388" s="1190"/>
      <c r="AX388" s="1190"/>
      <c r="AY388" s="1190"/>
      <c r="AZ388" s="1190"/>
      <c r="BA388" s="1190"/>
      <c r="BB388" s="1190"/>
      <c r="BC388" s="1190"/>
      <c r="BD388" s="1190"/>
      <c r="BE388" s="1190"/>
      <c r="BF388" s="1190"/>
      <c r="BG388" s="1190"/>
      <c r="BH388" s="1190"/>
      <c r="BI388" s="1190"/>
      <c r="BJ388" s="1190"/>
      <c r="BK388" s="1190"/>
      <c r="BL388" s="1190"/>
      <c r="BM388" s="1190"/>
      <c r="BN388" s="1190"/>
      <c r="BO388" s="1190"/>
    </row>
    <row r="389" spans="26:67">
      <c r="Z389" s="1190"/>
      <c r="AA389" s="1190"/>
      <c r="AB389" s="1190"/>
      <c r="AC389" s="1190"/>
      <c r="AD389" s="1190"/>
      <c r="AE389" s="1190"/>
      <c r="AF389" s="1190"/>
      <c r="AG389" s="1190"/>
      <c r="AH389" s="1190"/>
      <c r="AI389" s="1190"/>
      <c r="AJ389" s="1190"/>
      <c r="AK389" s="1190"/>
      <c r="AL389" s="1190"/>
      <c r="AM389" s="1190"/>
      <c r="AN389" s="1190"/>
      <c r="AO389" s="1190"/>
      <c r="AP389" s="1190"/>
      <c r="AQ389" s="1190"/>
      <c r="AR389" s="1190"/>
      <c r="AS389" s="1190"/>
      <c r="AT389" s="1190"/>
      <c r="AU389" s="1190"/>
      <c r="AV389" s="1190"/>
      <c r="AW389" s="1190"/>
      <c r="AX389" s="1190"/>
      <c r="AY389" s="1190"/>
      <c r="AZ389" s="1190"/>
      <c r="BA389" s="1190"/>
      <c r="BB389" s="1190"/>
      <c r="BC389" s="1190"/>
      <c r="BD389" s="1190"/>
      <c r="BE389" s="1190"/>
      <c r="BF389" s="1190"/>
      <c r="BG389" s="1190"/>
      <c r="BH389" s="1190"/>
      <c r="BI389" s="1190"/>
      <c r="BJ389" s="1190"/>
      <c r="BK389" s="1190"/>
      <c r="BL389" s="1190"/>
      <c r="BM389" s="1190"/>
      <c r="BN389" s="1190"/>
      <c r="BO389" s="1190"/>
    </row>
    <row r="390" spans="26:67">
      <c r="Z390" s="1190"/>
      <c r="AA390" s="1190"/>
      <c r="AB390" s="1190"/>
      <c r="AC390" s="1190"/>
      <c r="AD390" s="1190"/>
      <c r="AE390" s="1190"/>
      <c r="AF390" s="1190"/>
      <c r="AG390" s="1190"/>
      <c r="AH390" s="1190"/>
      <c r="AI390" s="1190"/>
      <c r="AJ390" s="1190"/>
      <c r="AK390" s="1190"/>
      <c r="AL390" s="1190"/>
      <c r="AM390" s="1190"/>
      <c r="AN390" s="1190"/>
      <c r="AO390" s="1190"/>
      <c r="AP390" s="1190"/>
      <c r="AQ390" s="1190"/>
      <c r="AR390" s="1190"/>
      <c r="AS390" s="1190"/>
      <c r="AT390" s="1190"/>
      <c r="AU390" s="1190"/>
      <c r="AV390" s="1190"/>
      <c r="AW390" s="1190"/>
      <c r="AX390" s="1190"/>
      <c r="AY390" s="1190"/>
      <c r="AZ390" s="1190"/>
      <c r="BA390" s="1190"/>
      <c r="BB390" s="1190"/>
      <c r="BC390" s="1190"/>
      <c r="BD390" s="1190"/>
      <c r="BE390" s="1190"/>
      <c r="BF390" s="1190"/>
      <c r="BG390" s="1190"/>
      <c r="BH390" s="1190"/>
      <c r="BI390" s="1190"/>
      <c r="BJ390" s="1190"/>
      <c r="BK390" s="1190"/>
      <c r="BL390" s="1190"/>
      <c r="BM390" s="1190"/>
      <c r="BN390" s="1190"/>
      <c r="BO390" s="1190"/>
    </row>
    <row r="391" spans="26:67">
      <c r="Z391" s="1190"/>
      <c r="AA391" s="1190"/>
      <c r="AB391" s="1190"/>
      <c r="AC391" s="1190"/>
      <c r="AD391" s="1190"/>
      <c r="AE391" s="1190"/>
      <c r="AF391" s="1190"/>
      <c r="AG391" s="1190"/>
      <c r="AH391" s="1190"/>
      <c r="AI391" s="1190"/>
      <c r="AJ391" s="1190"/>
      <c r="AK391" s="1190"/>
      <c r="AL391" s="1190"/>
      <c r="AM391" s="1190"/>
      <c r="AN391" s="1190"/>
      <c r="AO391" s="1190"/>
      <c r="AP391" s="1190"/>
      <c r="AQ391" s="1190"/>
      <c r="AR391" s="1190"/>
      <c r="AS391" s="1190"/>
      <c r="AT391" s="1190"/>
      <c r="AU391" s="1190"/>
      <c r="AV391" s="1190"/>
      <c r="AW391" s="1190"/>
      <c r="AX391" s="1190"/>
      <c r="AY391" s="1190"/>
      <c r="AZ391" s="1190"/>
      <c r="BA391" s="1190"/>
      <c r="BB391" s="1190"/>
      <c r="BC391" s="1190"/>
      <c r="BD391" s="1190"/>
      <c r="BE391" s="1190"/>
      <c r="BF391" s="1190"/>
      <c r="BG391" s="1190"/>
      <c r="BH391" s="1190"/>
      <c r="BI391" s="1190"/>
      <c r="BJ391" s="1190"/>
      <c r="BK391" s="1190"/>
      <c r="BL391" s="1190"/>
      <c r="BM391" s="1190"/>
      <c r="BN391" s="1190"/>
      <c r="BO391" s="1190"/>
    </row>
    <row r="392" spans="26:67">
      <c r="Z392" s="1190"/>
      <c r="AA392" s="1190"/>
      <c r="AB392" s="1190"/>
      <c r="AC392" s="1190"/>
      <c r="AD392" s="1190"/>
      <c r="AE392" s="1190"/>
      <c r="AF392" s="1190"/>
      <c r="AG392" s="1190"/>
      <c r="AH392" s="1190"/>
      <c r="AI392" s="1190"/>
      <c r="AJ392" s="1190"/>
      <c r="AK392" s="1190"/>
      <c r="AL392" s="1190"/>
      <c r="AM392" s="1190"/>
      <c r="AN392" s="1190"/>
      <c r="AO392" s="1190"/>
      <c r="AP392" s="1190"/>
      <c r="AQ392" s="1190"/>
      <c r="AR392" s="1190"/>
      <c r="AS392" s="1190"/>
      <c r="AT392" s="1190"/>
      <c r="AU392" s="1190"/>
      <c r="AV392" s="1190"/>
      <c r="AW392" s="1190"/>
      <c r="AX392" s="1190"/>
      <c r="AY392" s="1190"/>
      <c r="AZ392" s="1190"/>
      <c r="BA392" s="1190"/>
      <c r="BB392" s="1190"/>
      <c r="BC392" s="1190"/>
      <c r="BD392" s="1190"/>
      <c r="BE392" s="1190"/>
      <c r="BF392" s="1190"/>
      <c r="BG392" s="1190"/>
      <c r="BH392" s="1190"/>
      <c r="BI392" s="1190"/>
      <c r="BJ392" s="1190"/>
      <c r="BK392" s="1190"/>
      <c r="BL392" s="1190"/>
      <c r="BM392" s="1190"/>
      <c r="BN392" s="1190"/>
      <c r="BO392" s="1190"/>
    </row>
    <row r="393" spans="26:67">
      <c r="Z393" s="1190"/>
      <c r="AA393" s="1190"/>
      <c r="AB393" s="1190"/>
      <c r="AC393" s="1190"/>
      <c r="AD393" s="1190"/>
      <c r="AE393" s="1190"/>
      <c r="AF393" s="1190"/>
      <c r="AG393" s="1190"/>
      <c r="AH393" s="1190"/>
      <c r="AI393" s="1190"/>
      <c r="AJ393" s="1190"/>
      <c r="AK393" s="1190"/>
      <c r="AL393" s="1190"/>
      <c r="AM393" s="1190"/>
      <c r="AN393" s="1190"/>
      <c r="AO393" s="1190"/>
      <c r="AP393" s="1190"/>
      <c r="AQ393" s="1190"/>
      <c r="AR393" s="1190"/>
      <c r="AS393" s="1190"/>
      <c r="AT393" s="1190"/>
      <c r="AU393" s="1190"/>
      <c r="AV393" s="1190"/>
      <c r="AW393" s="1190"/>
      <c r="AX393" s="1190"/>
      <c r="AY393" s="1190"/>
      <c r="AZ393" s="1190"/>
      <c r="BA393" s="1190"/>
      <c r="BB393" s="1190"/>
      <c r="BC393" s="1190"/>
      <c r="BD393" s="1190"/>
      <c r="BE393" s="1190"/>
      <c r="BF393" s="1190"/>
      <c r="BG393" s="1190"/>
      <c r="BH393" s="1190"/>
      <c r="BI393" s="1190"/>
      <c r="BJ393" s="1190"/>
      <c r="BK393" s="1190"/>
      <c r="BL393" s="1190"/>
      <c r="BM393" s="1190"/>
      <c r="BN393" s="1190"/>
      <c r="BO393" s="1190"/>
    </row>
    <row r="394" spans="26:67">
      <c r="Z394" s="1190"/>
      <c r="AA394" s="1190"/>
      <c r="AB394" s="1190"/>
      <c r="AC394" s="1190"/>
      <c r="AD394" s="1190"/>
      <c r="AE394" s="1190"/>
      <c r="AF394" s="1190"/>
      <c r="AG394" s="1190"/>
      <c r="AH394" s="1190"/>
      <c r="AI394" s="1190"/>
      <c r="AJ394" s="1190"/>
      <c r="AK394" s="1190"/>
      <c r="AL394" s="1190"/>
      <c r="AM394" s="1190"/>
      <c r="AN394" s="1190"/>
      <c r="AO394" s="1190"/>
      <c r="AP394" s="1190"/>
      <c r="AQ394" s="1190"/>
      <c r="AR394" s="1190"/>
      <c r="AS394" s="1190"/>
      <c r="AT394" s="1190"/>
      <c r="AU394" s="1190"/>
      <c r="AV394" s="1190"/>
      <c r="AW394" s="1190"/>
      <c r="AX394" s="1190"/>
      <c r="AY394" s="1190"/>
      <c r="AZ394" s="1190"/>
      <c r="BA394" s="1190"/>
      <c r="BB394" s="1190"/>
      <c r="BC394" s="1190"/>
      <c r="BD394" s="1190"/>
      <c r="BE394" s="1190"/>
      <c r="BF394" s="1190"/>
      <c r="BG394" s="1190"/>
      <c r="BH394" s="1190"/>
      <c r="BI394" s="1190"/>
      <c r="BJ394" s="1190"/>
      <c r="BK394" s="1190"/>
      <c r="BL394" s="1190"/>
      <c r="BM394" s="1190"/>
      <c r="BN394" s="1190"/>
      <c r="BO394" s="1190"/>
    </row>
    <row r="395" spans="26:67">
      <c r="Z395" s="1190"/>
      <c r="AA395" s="1190"/>
      <c r="AB395" s="1190"/>
      <c r="AC395" s="1190"/>
      <c r="AD395" s="1190"/>
      <c r="AE395" s="1190"/>
      <c r="AF395" s="1190"/>
      <c r="AG395" s="1190"/>
      <c r="AH395" s="1190"/>
      <c r="AI395" s="1190"/>
      <c r="AJ395" s="1190"/>
      <c r="AK395" s="1190"/>
      <c r="AL395" s="1190"/>
      <c r="AM395" s="1190"/>
      <c r="AN395" s="1190"/>
      <c r="AO395" s="1190"/>
      <c r="AP395" s="1190"/>
      <c r="AQ395" s="1190"/>
      <c r="AR395" s="1190"/>
      <c r="AS395" s="1190"/>
      <c r="AT395" s="1190"/>
      <c r="AU395" s="1190"/>
      <c r="AV395" s="1190"/>
      <c r="AW395" s="1190"/>
      <c r="AX395" s="1190"/>
      <c r="AY395" s="1190"/>
      <c r="AZ395" s="1190"/>
      <c r="BA395" s="1190"/>
      <c r="BB395" s="1190"/>
      <c r="BC395" s="1190"/>
      <c r="BD395" s="1190"/>
      <c r="BE395" s="1190"/>
      <c r="BF395" s="1190"/>
      <c r="BG395" s="1190"/>
      <c r="BH395" s="1190"/>
      <c r="BI395" s="1190"/>
      <c r="BJ395" s="1190"/>
      <c r="BK395" s="1190"/>
      <c r="BL395" s="1190"/>
      <c r="BM395" s="1190"/>
      <c r="BN395" s="1190"/>
      <c r="BO395" s="1190"/>
    </row>
    <row r="396" spans="26:67">
      <c r="Z396" s="1190"/>
      <c r="AA396" s="1190"/>
      <c r="AB396" s="1190"/>
      <c r="AC396" s="1190"/>
      <c r="AD396" s="1190"/>
      <c r="AE396" s="1190"/>
      <c r="AF396" s="1190"/>
      <c r="AG396" s="1190"/>
      <c r="AH396" s="1190"/>
      <c r="AI396" s="1190"/>
      <c r="AJ396" s="1190"/>
      <c r="AK396" s="1190"/>
      <c r="AL396" s="1190"/>
      <c r="AM396" s="1190"/>
      <c r="AN396" s="1190"/>
      <c r="AO396" s="1190"/>
      <c r="AP396" s="1190"/>
      <c r="AQ396" s="1190"/>
      <c r="AR396" s="1190"/>
      <c r="AS396" s="1190"/>
      <c r="AT396" s="1190"/>
      <c r="AU396" s="1190"/>
      <c r="AV396" s="1190"/>
      <c r="AW396" s="1190"/>
      <c r="AX396" s="1190"/>
      <c r="AY396" s="1190"/>
      <c r="AZ396" s="1190"/>
      <c r="BA396" s="1190"/>
      <c r="BB396" s="1190"/>
      <c r="BC396" s="1190"/>
      <c r="BD396" s="1190"/>
      <c r="BE396" s="1190"/>
      <c r="BF396" s="1190"/>
      <c r="BG396" s="1190"/>
      <c r="BH396" s="1190"/>
      <c r="BI396" s="1190"/>
      <c r="BJ396" s="1190"/>
      <c r="BK396" s="1190"/>
      <c r="BL396" s="1190"/>
      <c r="BM396" s="1190"/>
      <c r="BN396" s="1190"/>
      <c r="BO396" s="1190"/>
    </row>
    <row r="397" spans="26:67">
      <c r="Z397" s="1190"/>
      <c r="AA397" s="1190"/>
      <c r="AB397" s="1190"/>
      <c r="AC397" s="1190"/>
      <c r="AD397" s="1190"/>
      <c r="AE397" s="1190"/>
      <c r="AF397" s="1190"/>
      <c r="AG397" s="1190"/>
      <c r="AH397" s="1190"/>
      <c r="AI397" s="1190"/>
      <c r="AJ397" s="1190"/>
      <c r="AK397" s="1190"/>
      <c r="AL397" s="1190"/>
      <c r="AM397" s="1190"/>
      <c r="AN397" s="1190"/>
      <c r="AO397" s="1190"/>
      <c r="AP397" s="1190"/>
      <c r="AQ397" s="1190"/>
      <c r="AR397" s="1190"/>
      <c r="AS397" s="1190"/>
      <c r="AT397" s="1190"/>
      <c r="AU397" s="1190"/>
      <c r="AV397" s="1190"/>
      <c r="AW397" s="1190"/>
      <c r="AX397" s="1190"/>
      <c r="AY397" s="1190"/>
      <c r="AZ397" s="1190"/>
      <c r="BA397" s="1190"/>
      <c r="BB397" s="1190"/>
      <c r="BC397" s="1190"/>
      <c r="BD397" s="1190"/>
      <c r="BE397" s="1190"/>
      <c r="BF397" s="1190"/>
      <c r="BG397" s="1190"/>
      <c r="BH397" s="1190"/>
      <c r="BI397" s="1190"/>
      <c r="BJ397" s="1190"/>
      <c r="BK397" s="1190"/>
      <c r="BL397" s="1190"/>
      <c r="BM397" s="1190"/>
      <c r="BN397" s="1190"/>
      <c r="BO397" s="1190"/>
    </row>
    <row r="398" spans="26:67">
      <c r="Z398" s="1190"/>
      <c r="AA398" s="1190"/>
      <c r="AB398" s="1190"/>
      <c r="AC398" s="1190"/>
      <c r="AD398" s="1190"/>
      <c r="AE398" s="1190"/>
      <c r="AF398" s="1190"/>
      <c r="AG398" s="1190"/>
      <c r="AH398" s="1190"/>
      <c r="AI398" s="1190"/>
      <c r="AJ398" s="1190"/>
      <c r="AK398" s="1190"/>
      <c r="AL398" s="1190"/>
      <c r="AM398" s="1190"/>
      <c r="AN398" s="1190"/>
      <c r="AO398" s="1190"/>
      <c r="AP398" s="1190"/>
      <c r="AQ398" s="1190"/>
      <c r="AR398" s="1190"/>
      <c r="AS398" s="1190"/>
      <c r="AT398" s="1190"/>
      <c r="AU398" s="1190"/>
      <c r="AV398" s="1190"/>
      <c r="AW398" s="1190"/>
      <c r="AX398" s="1190"/>
      <c r="AY398" s="1190"/>
      <c r="AZ398" s="1190"/>
      <c r="BA398" s="1190"/>
      <c r="BB398" s="1190"/>
      <c r="BC398" s="1190"/>
      <c r="BD398" s="1190"/>
      <c r="BE398" s="1190"/>
      <c r="BF398" s="1190"/>
      <c r="BG398" s="1190"/>
      <c r="BH398" s="1190"/>
      <c r="BI398" s="1190"/>
      <c r="BJ398" s="1190"/>
      <c r="BK398" s="1190"/>
      <c r="BL398" s="1190"/>
      <c r="BM398" s="1190"/>
      <c r="BN398" s="1190"/>
      <c r="BO398" s="1190"/>
    </row>
    <row r="399" spans="26:67">
      <c r="Z399" s="1190"/>
      <c r="AA399" s="1190"/>
      <c r="AB399" s="1190"/>
      <c r="AC399" s="1190"/>
      <c r="AD399" s="1190"/>
      <c r="AE399" s="1190"/>
      <c r="AF399" s="1190"/>
      <c r="AG399" s="1190"/>
      <c r="AH399" s="1190"/>
      <c r="AI399" s="1190"/>
      <c r="AJ399" s="1190"/>
      <c r="AK399" s="1190"/>
      <c r="AL399" s="1190"/>
      <c r="AM399" s="1190"/>
      <c r="AN399" s="1190"/>
      <c r="AO399" s="1190"/>
      <c r="AP399" s="1190"/>
      <c r="AQ399" s="1190"/>
      <c r="AR399" s="1190"/>
      <c r="AS399" s="1190"/>
      <c r="AT399" s="1190"/>
      <c r="AU399" s="1190"/>
      <c r="AV399" s="1190"/>
      <c r="AW399" s="1190"/>
      <c r="AX399" s="1190"/>
      <c r="AY399" s="1190"/>
      <c r="AZ399" s="1190"/>
      <c r="BA399" s="1190"/>
      <c r="BB399" s="1190"/>
      <c r="BC399" s="1190"/>
      <c r="BD399" s="1190"/>
      <c r="BE399" s="1190"/>
      <c r="BF399" s="1190"/>
      <c r="BG399" s="1190"/>
      <c r="BH399" s="1190"/>
      <c r="BI399" s="1190"/>
      <c r="BJ399" s="1190"/>
      <c r="BK399" s="1190"/>
      <c r="BL399" s="1190"/>
      <c r="BM399" s="1190"/>
      <c r="BN399" s="1190"/>
      <c r="BO399" s="1190"/>
    </row>
    <row r="400" spans="26:67">
      <c r="Z400" s="1190"/>
      <c r="AA400" s="1190"/>
      <c r="AB400" s="1190"/>
      <c r="AC400" s="1190"/>
      <c r="AD400" s="1190"/>
      <c r="AE400" s="1190"/>
      <c r="AF400" s="1190"/>
      <c r="AG400" s="1190"/>
      <c r="AH400" s="1190"/>
      <c r="AI400" s="1190"/>
      <c r="AJ400" s="1190"/>
      <c r="AK400" s="1190"/>
      <c r="AL400" s="1190"/>
      <c r="AM400" s="1190"/>
      <c r="AN400" s="1190"/>
      <c r="AO400" s="1190"/>
      <c r="AP400" s="1190"/>
      <c r="AQ400" s="1190"/>
      <c r="AR400" s="1190"/>
      <c r="AS400" s="1190"/>
      <c r="AT400" s="1190"/>
      <c r="AU400" s="1190"/>
      <c r="AV400" s="1190"/>
      <c r="AW400" s="1190"/>
      <c r="AX400" s="1190"/>
      <c r="AY400" s="1190"/>
      <c r="AZ400" s="1190"/>
      <c r="BA400" s="1190"/>
      <c r="BB400" s="1190"/>
      <c r="BC400" s="1190"/>
      <c r="BD400" s="1190"/>
      <c r="BE400" s="1190"/>
      <c r="BF400" s="1190"/>
      <c r="BG400" s="1190"/>
      <c r="BH400" s="1190"/>
      <c r="BI400" s="1190"/>
      <c r="BJ400" s="1190"/>
      <c r="BK400" s="1190"/>
      <c r="BL400" s="1190"/>
      <c r="BM400" s="1190"/>
      <c r="BN400" s="1190"/>
      <c r="BO400" s="1190"/>
    </row>
    <row r="401" spans="26:67">
      <c r="Z401" s="1190"/>
      <c r="AA401" s="1190"/>
      <c r="AB401" s="1190"/>
      <c r="AC401" s="1190"/>
      <c r="AD401" s="1190"/>
      <c r="AE401" s="1190"/>
      <c r="AF401" s="1190"/>
      <c r="AG401" s="1190"/>
      <c r="AH401" s="1190"/>
      <c r="AI401" s="1190"/>
      <c r="AJ401" s="1190"/>
      <c r="AK401" s="1190"/>
      <c r="AL401" s="1190"/>
      <c r="AM401" s="1190"/>
      <c r="AN401" s="1190"/>
      <c r="AO401" s="1190"/>
      <c r="AP401" s="1190"/>
      <c r="AQ401" s="1190"/>
      <c r="AR401" s="1190"/>
      <c r="AS401" s="1190"/>
      <c r="AT401" s="1190"/>
      <c r="AU401" s="1190"/>
      <c r="AV401" s="1190"/>
      <c r="AW401" s="1190"/>
      <c r="AX401" s="1190"/>
      <c r="AY401" s="1190"/>
      <c r="AZ401" s="1190"/>
      <c r="BA401" s="1190"/>
      <c r="BB401" s="1190"/>
      <c r="BC401" s="1190"/>
      <c r="BD401" s="1190"/>
      <c r="BE401" s="1190"/>
      <c r="BF401" s="1190"/>
      <c r="BG401" s="1190"/>
      <c r="BH401" s="1190"/>
      <c r="BI401" s="1190"/>
      <c r="BJ401" s="1190"/>
      <c r="BK401" s="1190"/>
      <c r="BL401" s="1190"/>
      <c r="BM401" s="1190"/>
      <c r="BN401" s="1190"/>
      <c r="BO401" s="1190"/>
    </row>
    <row r="402" spans="26:67">
      <c r="Z402" s="1190"/>
      <c r="AA402" s="1190"/>
      <c r="AB402" s="1190"/>
      <c r="AC402" s="1190"/>
      <c r="AD402" s="1190"/>
      <c r="AE402" s="1190"/>
      <c r="AF402" s="1190"/>
      <c r="AG402" s="1190"/>
      <c r="AH402" s="1190"/>
      <c r="AI402" s="1190"/>
      <c r="AJ402" s="1190"/>
      <c r="AK402" s="1190"/>
      <c r="AL402" s="1190"/>
      <c r="AM402" s="1190"/>
      <c r="AN402" s="1190"/>
      <c r="AO402" s="1190"/>
      <c r="AP402" s="1190"/>
      <c r="AQ402" s="1190"/>
      <c r="AR402" s="1190"/>
      <c r="AS402" s="1190"/>
      <c r="AT402" s="1190"/>
      <c r="AU402" s="1190"/>
      <c r="AV402" s="1190"/>
      <c r="AW402" s="1190"/>
      <c r="AX402" s="1190"/>
      <c r="AY402" s="1190"/>
      <c r="AZ402" s="1190"/>
      <c r="BA402" s="1190"/>
      <c r="BB402" s="1190"/>
      <c r="BC402" s="1190"/>
      <c r="BD402" s="1190"/>
      <c r="BE402" s="1190"/>
      <c r="BF402" s="1190"/>
      <c r="BG402" s="1190"/>
      <c r="BH402" s="1190"/>
      <c r="BI402" s="1190"/>
      <c r="BJ402" s="1190"/>
      <c r="BK402" s="1190"/>
      <c r="BL402" s="1190"/>
      <c r="BM402" s="1190"/>
      <c r="BN402" s="1190"/>
      <c r="BO402" s="1190"/>
    </row>
    <row r="403" spans="26:67">
      <c r="Z403" s="1190"/>
      <c r="AA403" s="1190"/>
      <c r="AB403" s="1190"/>
      <c r="AC403" s="1190"/>
      <c r="AD403" s="1190"/>
      <c r="AE403" s="1190"/>
      <c r="AF403" s="1190"/>
      <c r="AG403" s="1190"/>
      <c r="AH403" s="1190"/>
      <c r="AI403" s="1190"/>
      <c r="AJ403" s="1190"/>
      <c r="AK403" s="1190"/>
      <c r="AL403" s="1190"/>
      <c r="AM403" s="1190"/>
      <c r="AN403" s="1190"/>
      <c r="AO403" s="1190"/>
      <c r="AP403" s="1190"/>
      <c r="AQ403" s="1190"/>
      <c r="AR403" s="1190"/>
      <c r="AS403" s="1190"/>
      <c r="AT403" s="1190"/>
      <c r="AU403" s="1190"/>
      <c r="AV403" s="1190"/>
      <c r="AW403" s="1190"/>
      <c r="AX403" s="1190"/>
      <c r="AY403" s="1190"/>
      <c r="AZ403" s="1190"/>
      <c r="BA403" s="1190"/>
      <c r="BB403" s="1190"/>
      <c r="BC403" s="1190"/>
      <c r="BD403" s="1190"/>
      <c r="BE403" s="1190"/>
      <c r="BF403" s="1190"/>
      <c r="BG403" s="1190"/>
      <c r="BH403" s="1190"/>
      <c r="BI403" s="1190"/>
      <c r="BJ403" s="1190"/>
      <c r="BK403" s="1190"/>
      <c r="BL403" s="1190"/>
      <c r="BM403" s="1190"/>
      <c r="BN403" s="1190"/>
      <c r="BO403" s="1190"/>
    </row>
    <row r="404" spans="26:67">
      <c r="Z404" s="1190"/>
      <c r="AA404" s="1190"/>
      <c r="AB404" s="1190"/>
      <c r="AC404" s="1190"/>
      <c r="AD404" s="1190"/>
      <c r="AE404" s="1190"/>
      <c r="AF404" s="1190"/>
      <c r="AG404" s="1190"/>
      <c r="AH404" s="1190"/>
      <c r="AI404" s="1190"/>
      <c r="AJ404" s="1190"/>
      <c r="AK404" s="1190"/>
      <c r="AL404" s="1190"/>
      <c r="AM404" s="1190"/>
      <c r="AN404" s="1190"/>
      <c r="AO404" s="1190"/>
      <c r="AP404" s="1190"/>
      <c r="AQ404" s="1190"/>
      <c r="AR404" s="1190"/>
      <c r="AS404" s="1190"/>
      <c r="AT404" s="1190"/>
      <c r="AU404" s="1190"/>
      <c r="AV404" s="1190"/>
      <c r="AW404" s="1190"/>
      <c r="AX404" s="1190"/>
      <c r="AY404" s="1190"/>
      <c r="AZ404" s="1190"/>
      <c r="BA404" s="1190"/>
      <c r="BB404" s="1190"/>
      <c r="BC404" s="1190"/>
      <c r="BD404" s="1190"/>
      <c r="BE404" s="1190"/>
      <c r="BF404" s="1190"/>
      <c r="BG404" s="1190"/>
      <c r="BH404" s="1190"/>
      <c r="BI404" s="1190"/>
      <c r="BJ404" s="1190"/>
      <c r="BK404" s="1190"/>
      <c r="BL404" s="1190"/>
      <c r="BM404" s="1190"/>
      <c r="BN404" s="1190"/>
      <c r="BO404" s="1190"/>
    </row>
    <row r="405" spans="26:67">
      <c r="Z405" s="1190"/>
      <c r="AA405" s="1190"/>
      <c r="AB405" s="1190"/>
      <c r="AC405" s="1190"/>
      <c r="AD405" s="1190"/>
      <c r="AE405" s="1190"/>
      <c r="AF405" s="1190"/>
      <c r="AG405" s="1190"/>
      <c r="AH405" s="1190"/>
      <c r="AI405" s="1190"/>
      <c r="AJ405" s="1190"/>
      <c r="AK405" s="1190"/>
      <c r="AL405" s="1190"/>
      <c r="AM405" s="1190"/>
      <c r="AN405" s="1190"/>
      <c r="AO405" s="1190"/>
      <c r="AP405" s="1190"/>
      <c r="AQ405" s="1190"/>
      <c r="AR405" s="1190"/>
      <c r="AS405" s="1190"/>
      <c r="AT405" s="1190"/>
      <c r="AU405" s="1190"/>
      <c r="AV405" s="1190"/>
      <c r="AW405" s="1190"/>
      <c r="AX405" s="1190"/>
      <c r="AY405" s="1190"/>
      <c r="AZ405" s="1190"/>
      <c r="BA405" s="1190"/>
      <c r="BB405" s="1190"/>
      <c r="BC405" s="1190"/>
      <c r="BD405" s="1190"/>
      <c r="BE405" s="1190"/>
      <c r="BF405" s="1190"/>
      <c r="BG405" s="1190"/>
      <c r="BH405" s="1190"/>
      <c r="BI405" s="1190"/>
      <c r="BJ405" s="1190"/>
      <c r="BK405" s="1190"/>
      <c r="BL405" s="1190"/>
      <c r="BM405" s="1190"/>
      <c r="BN405" s="1190"/>
      <c r="BO405" s="1190"/>
    </row>
    <row r="406" spans="26:67">
      <c r="Z406" s="1190"/>
      <c r="AA406" s="1190"/>
      <c r="AB406" s="1190"/>
      <c r="AC406" s="1190"/>
      <c r="AD406" s="1190"/>
      <c r="AE406" s="1190"/>
      <c r="AF406" s="1190"/>
      <c r="AG406" s="1190"/>
      <c r="AH406" s="1190"/>
      <c r="AI406" s="1190"/>
      <c r="AJ406" s="1190"/>
      <c r="AK406" s="1190"/>
      <c r="AL406" s="1190"/>
      <c r="AM406" s="1190"/>
      <c r="AN406" s="1190"/>
      <c r="AO406" s="1190"/>
      <c r="AP406" s="1190"/>
      <c r="AQ406" s="1190"/>
      <c r="AR406" s="1190"/>
      <c r="AS406" s="1190"/>
      <c r="AT406" s="1190"/>
      <c r="AU406" s="1190"/>
      <c r="AV406" s="1190"/>
      <c r="AW406" s="1190"/>
      <c r="AX406" s="1190"/>
      <c r="AY406" s="1190"/>
      <c r="AZ406" s="1190"/>
      <c r="BA406" s="1190"/>
      <c r="BB406" s="1190"/>
      <c r="BC406" s="1190"/>
      <c r="BD406" s="1190"/>
      <c r="BE406" s="1190"/>
      <c r="BF406" s="1190"/>
      <c r="BG406" s="1190"/>
      <c r="BH406" s="1190"/>
      <c r="BI406" s="1190"/>
      <c r="BJ406" s="1190"/>
      <c r="BK406" s="1190"/>
      <c r="BL406" s="1190"/>
      <c r="BM406" s="1190"/>
      <c r="BN406" s="1190"/>
      <c r="BO406" s="1190"/>
    </row>
    <row r="407" spans="26:67">
      <c r="Z407" s="1190"/>
      <c r="AA407" s="1190"/>
      <c r="AB407" s="1190"/>
      <c r="AC407" s="1190"/>
      <c r="AD407" s="1190"/>
      <c r="AE407" s="1190"/>
      <c r="AF407" s="1190"/>
      <c r="AG407" s="1190"/>
      <c r="AH407" s="1190"/>
      <c r="AI407" s="1190"/>
      <c r="AJ407" s="1190"/>
      <c r="AK407" s="1190"/>
      <c r="AL407" s="1190"/>
      <c r="AM407" s="1190"/>
      <c r="AN407" s="1190"/>
      <c r="AO407" s="1190"/>
      <c r="AP407" s="1190"/>
      <c r="AQ407" s="1190"/>
      <c r="AR407" s="1190"/>
      <c r="AS407" s="1190"/>
      <c r="AT407" s="1190"/>
      <c r="AU407" s="1190"/>
      <c r="AV407" s="1190"/>
      <c r="AW407" s="1190"/>
      <c r="AX407" s="1190"/>
      <c r="AY407" s="1190"/>
      <c r="AZ407" s="1190"/>
      <c r="BA407" s="1190"/>
      <c r="BB407" s="1190"/>
      <c r="BC407" s="1190"/>
      <c r="BD407" s="1190"/>
      <c r="BE407" s="1190"/>
      <c r="BF407" s="1190"/>
      <c r="BG407" s="1190"/>
      <c r="BH407" s="1190"/>
      <c r="BI407" s="1190"/>
      <c r="BJ407" s="1190"/>
      <c r="BK407" s="1190"/>
      <c r="BL407" s="1190"/>
      <c r="BM407" s="1190"/>
      <c r="BN407" s="1190"/>
      <c r="BO407" s="1190"/>
    </row>
    <row r="408" spans="26:67">
      <c r="Z408" s="1190"/>
      <c r="AA408" s="1190"/>
      <c r="AB408" s="1190"/>
      <c r="AC408" s="1190"/>
      <c r="AD408" s="1190"/>
      <c r="AE408" s="1190"/>
      <c r="AF408" s="1190"/>
      <c r="AG408" s="1190"/>
      <c r="AH408" s="1190"/>
      <c r="AI408" s="1190"/>
      <c r="AJ408" s="1190"/>
      <c r="AK408" s="1190"/>
      <c r="AL408" s="1190"/>
      <c r="AM408" s="1190"/>
      <c r="AN408" s="1190"/>
      <c r="AO408" s="1190"/>
      <c r="AP408" s="1190"/>
      <c r="AQ408" s="1190"/>
      <c r="AR408" s="1190"/>
      <c r="AS408" s="1190"/>
      <c r="AT408" s="1190"/>
      <c r="AU408" s="1190"/>
      <c r="AV408" s="1190"/>
      <c r="AW408" s="1190"/>
      <c r="AX408" s="1190"/>
      <c r="AY408" s="1190"/>
      <c r="AZ408" s="1190"/>
      <c r="BA408" s="1190"/>
      <c r="BB408" s="1190"/>
      <c r="BC408" s="1190"/>
      <c r="BD408" s="1190"/>
      <c r="BE408" s="1190"/>
      <c r="BF408" s="1190"/>
      <c r="BG408" s="1190"/>
      <c r="BH408" s="1190"/>
      <c r="BI408" s="1190"/>
      <c r="BJ408" s="1190"/>
      <c r="BK408" s="1190"/>
      <c r="BL408" s="1190"/>
      <c r="BM408" s="1190"/>
      <c r="BN408" s="1190"/>
      <c r="BO408" s="1190"/>
    </row>
    <row r="409" spans="26:67">
      <c r="Z409" s="1190"/>
      <c r="AA409" s="1190"/>
      <c r="AB409" s="1190"/>
      <c r="AC409" s="1190"/>
      <c r="AD409" s="1190"/>
      <c r="AE409" s="1190"/>
      <c r="AF409" s="1190"/>
      <c r="AG409" s="1190"/>
      <c r="AH409" s="1190"/>
      <c r="AI409" s="1190"/>
      <c r="AJ409" s="1190"/>
      <c r="AK409" s="1190"/>
      <c r="AL409" s="1190"/>
      <c r="AM409" s="1190"/>
      <c r="AN409" s="1190"/>
      <c r="AO409" s="1190"/>
      <c r="AP409" s="1190"/>
      <c r="AQ409" s="1190"/>
      <c r="AR409" s="1190"/>
      <c r="AS409" s="1190"/>
      <c r="AT409" s="1190"/>
      <c r="AU409" s="1190"/>
      <c r="AV409" s="1190"/>
      <c r="AW409" s="1190"/>
      <c r="AX409" s="1190"/>
      <c r="AY409" s="1190"/>
      <c r="AZ409" s="1190"/>
      <c r="BA409" s="1190"/>
      <c r="BB409" s="1190"/>
      <c r="BC409" s="1190"/>
      <c r="BD409" s="1190"/>
      <c r="BE409" s="1190"/>
      <c r="BF409" s="1190"/>
      <c r="BG409" s="1190"/>
      <c r="BH409" s="1190"/>
      <c r="BI409" s="1190"/>
      <c r="BJ409" s="1190"/>
      <c r="BK409" s="1190"/>
      <c r="BL409" s="1190"/>
      <c r="BM409" s="1190"/>
      <c r="BN409" s="1190"/>
      <c r="BO409" s="1190"/>
    </row>
    <row r="410" spans="26:67">
      <c r="Z410" s="1190"/>
      <c r="AA410" s="1190"/>
      <c r="AB410" s="1190"/>
      <c r="AC410" s="1190"/>
      <c r="AD410" s="1190"/>
      <c r="AE410" s="1190"/>
      <c r="AF410" s="1190"/>
      <c r="AG410" s="1190"/>
      <c r="AH410" s="1190"/>
      <c r="AI410" s="1190"/>
      <c r="AJ410" s="1190"/>
      <c r="AK410" s="1190"/>
      <c r="AL410" s="1190"/>
      <c r="AM410" s="1190"/>
      <c r="AN410" s="1190"/>
      <c r="AO410" s="1190"/>
      <c r="AP410" s="1190"/>
      <c r="AQ410" s="1190"/>
      <c r="AR410" s="1190"/>
      <c r="AS410" s="1190"/>
      <c r="AT410" s="1190"/>
      <c r="AU410" s="1190"/>
      <c r="AV410" s="1190"/>
      <c r="AW410" s="1190"/>
      <c r="AX410" s="1190"/>
      <c r="AY410" s="1190"/>
      <c r="AZ410" s="1190"/>
      <c r="BA410" s="1190"/>
      <c r="BB410" s="1190"/>
      <c r="BC410" s="1190"/>
      <c r="BD410" s="1190"/>
      <c r="BE410" s="1190"/>
      <c r="BF410" s="1190"/>
      <c r="BG410" s="1190"/>
      <c r="BH410" s="1190"/>
      <c r="BI410" s="1190"/>
      <c r="BJ410" s="1190"/>
      <c r="BK410" s="1190"/>
      <c r="BL410" s="1190"/>
      <c r="BM410" s="1190"/>
      <c r="BN410" s="1190"/>
      <c r="BO410" s="1190"/>
    </row>
    <row r="411" spans="26:67">
      <c r="Z411" s="1190"/>
      <c r="AA411" s="1190"/>
      <c r="AB411" s="1190"/>
      <c r="AC411" s="1190"/>
      <c r="AD411" s="1190"/>
      <c r="AE411" s="1190"/>
      <c r="AF411" s="1190"/>
      <c r="AG411" s="1190"/>
      <c r="AH411" s="1190"/>
      <c r="AI411" s="1190"/>
      <c r="AJ411" s="1190"/>
      <c r="AK411" s="1190"/>
      <c r="AL411" s="1190"/>
      <c r="AM411" s="1190"/>
      <c r="AN411" s="1190"/>
      <c r="AO411" s="1190"/>
      <c r="AP411" s="1190"/>
      <c r="AQ411" s="1190"/>
      <c r="AR411" s="1190"/>
      <c r="AS411" s="1190"/>
      <c r="AT411" s="1190"/>
      <c r="AU411" s="1190"/>
      <c r="AV411" s="1190"/>
      <c r="AW411" s="1190"/>
      <c r="AX411" s="1190"/>
      <c r="AY411" s="1190"/>
      <c r="AZ411" s="1190"/>
      <c r="BA411" s="1190"/>
      <c r="BB411" s="1190"/>
      <c r="BC411" s="1190"/>
      <c r="BD411" s="1190"/>
      <c r="BE411" s="1190"/>
      <c r="BF411" s="1190"/>
      <c r="BG411" s="1190"/>
      <c r="BH411" s="1190"/>
      <c r="BI411" s="1190"/>
      <c r="BJ411" s="1190"/>
      <c r="BK411" s="1190"/>
      <c r="BL411" s="1190"/>
      <c r="BM411" s="1190"/>
      <c r="BN411" s="1190"/>
      <c r="BO411" s="1190"/>
    </row>
    <row r="412" spans="26:67">
      <c r="Z412" s="1190"/>
      <c r="AA412" s="1190"/>
      <c r="AB412" s="1190"/>
      <c r="AC412" s="1190"/>
      <c r="AD412" s="1190"/>
      <c r="AE412" s="1190"/>
      <c r="AF412" s="1190"/>
      <c r="AG412" s="1190"/>
      <c r="AH412" s="1190"/>
      <c r="AI412" s="1190"/>
      <c r="AJ412" s="1190"/>
      <c r="AK412" s="1190"/>
      <c r="AL412" s="1190"/>
      <c r="AM412" s="1190"/>
      <c r="AN412" s="1190"/>
      <c r="AO412" s="1190"/>
      <c r="AP412" s="1190"/>
      <c r="AQ412" s="1190"/>
      <c r="AR412" s="1190"/>
      <c r="AS412" s="1190"/>
      <c r="AT412" s="1190"/>
      <c r="AU412" s="1190"/>
      <c r="AV412" s="1190"/>
      <c r="AW412" s="1190"/>
      <c r="AX412" s="1190"/>
      <c r="AY412" s="1190"/>
      <c r="AZ412" s="1190"/>
      <c r="BA412" s="1190"/>
      <c r="BB412" s="1190"/>
      <c r="BC412" s="1190"/>
      <c r="BD412" s="1190"/>
      <c r="BE412" s="1190"/>
      <c r="BF412" s="1190"/>
      <c r="BG412" s="1190"/>
      <c r="BH412" s="1190"/>
      <c r="BI412" s="1190"/>
      <c r="BJ412" s="1190"/>
      <c r="BK412" s="1190"/>
      <c r="BL412" s="1190"/>
      <c r="BM412" s="1190"/>
      <c r="BN412" s="1190"/>
      <c r="BO412" s="1190"/>
    </row>
    <row r="413" spans="26:67">
      <c r="Z413" s="1190"/>
      <c r="AA413" s="1190"/>
      <c r="AB413" s="1190"/>
      <c r="AC413" s="1190"/>
      <c r="AD413" s="1190"/>
      <c r="AE413" s="1190"/>
      <c r="AF413" s="1190"/>
      <c r="AG413" s="1190"/>
      <c r="AH413" s="1190"/>
      <c r="AI413" s="1190"/>
      <c r="AJ413" s="1190"/>
      <c r="AK413" s="1190"/>
      <c r="AL413" s="1190"/>
      <c r="AM413" s="1190"/>
      <c r="AN413" s="1190"/>
      <c r="AO413" s="1190"/>
      <c r="AP413" s="1190"/>
      <c r="AQ413" s="1190"/>
      <c r="AR413" s="1190"/>
      <c r="AS413" s="1190"/>
      <c r="AT413" s="1190"/>
      <c r="AU413" s="1190"/>
      <c r="AV413" s="1190"/>
      <c r="AW413" s="1190"/>
      <c r="AX413" s="1190"/>
      <c r="AY413" s="1190"/>
      <c r="AZ413" s="1190"/>
      <c r="BA413" s="1190"/>
      <c r="BB413" s="1190"/>
      <c r="BC413" s="1190"/>
      <c r="BD413" s="1190"/>
      <c r="BE413" s="1190"/>
      <c r="BF413" s="1190"/>
      <c r="BG413" s="1190"/>
      <c r="BH413" s="1190"/>
      <c r="BI413" s="1190"/>
      <c r="BJ413" s="1190"/>
      <c r="BK413" s="1190"/>
      <c r="BL413" s="1190"/>
      <c r="BM413" s="1190"/>
      <c r="BN413" s="1190"/>
      <c r="BO413" s="1190"/>
    </row>
    <row r="414" spans="26:67">
      <c r="Z414" s="1190"/>
      <c r="AA414" s="1190"/>
      <c r="AB414" s="1190"/>
      <c r="AC414" s="1190"/>
      <c r="AD414" s="1190"/>
      <c r="AE414" s="1190"/>
      <c r="AF414" s="1190"/>
      <c r="AG414" s="1190"/>
      <c r="AH414" s="1190"/>
      <c r="AI414" s="1190"/>
      <c r="AJ414" s="1190"/>
      <c r="AK414" s="1190"/>
      <c r="AL414" s="1190"/>
      <c r="AM414" s="1190"/>
      <c r="AN414" s="1190"/>
      <c r="AO414" s="1190"/>
      <c r="AP414" s="1190"/>
      <c r="AQ414" s="1190"/>
      <c r="AR414" s="1190"/>
      <c r="AS414" s="1190"/>
      <c r="AT414" s="1190"/>
      <c r="AU414" s="1190"/>
      <c r="AV414" s="1190"/>
      <c r="AW414" s="1190"/>
      <c r="AX414" s="1190"/>
      <c r="AY414" s="1190"/>
      <c r="AZ414" s="1190"/>
      <c r="BA414" s="1190"/>
      <c r="BB414" s="1190"/>
      <c r="BC414" s="1190"/>
      <c r="BD414" s="1190"/>
      <c r="BE414" s="1190"/>
      <c r="BF414" s="1190"/>
      <c r="BG414" s="1190"/>
      <c r="BH414" s="1190"/>
      <c r="BI414" s="1190"/>
      <c r="BJ414" s="1190"/>
      <c r="BK414" s="1190"/>
      <c r="BL414" s="1190"/>
      <c r="BM414" s="1190"/>
      <c r="BN414" s="1190"/>
      <c r="BO414" s="1190"/>
    </row>
    <row r="415" spans="26:67">
      <c r="Z415" s="1190"/>
      <c r="AA415" s="1190"/>
      <c r="AB415" s="1190"/>
      <c r="AC415" s="1190"/>
      <c r="AD415" s="1190"/>
      <c r="AE415" s="1190"/>
      <c r="AF415" s="1190"/>
      <c r="AG415" s="1190"/>
      <c r="AH415" s="1190"/>
      <c r="AI415" s="1190"/>
      <c r="AJ415" s="1190"/>
      <c r="AK415" s="1190"/>
      <c r="AL415" s="1190"/>
      <c r="AM415" s="1190"/>
      <c r="AN415" s="1190"/>
      <c r="AO415" s="1190"/>
      <c r="AP415" s="1190"/>
      <c r="AQ415" s="1190"/>
      <c r="AR415" s="1190"/>
      <c r="AS415" s="1190"/>
      <c r="AT415" s="1190"/>
      <c r="AU415" s="1190"/>
      <c r="AV415" s="1190"/>
      <c r="AW415" s="1190"/>
      <c r="AX415" s="1190"/>
      <c r="AY415" s="1190"/>
      <c r="AZ415" s="1190"/>
      <c r="BA415" s="1190"/>
      <c r="BB415" s="1190"/>
      <c r="BC415" s="1190"/>
      <c r="BD415" s="1190"/>
      <c r="BE415" s="1190"/>
      <c r="BF415" s="1190"/>
      <c r="BG415" s="1190"/>
      <c r="BH415" s="1190"/>
      <c r="BI415" s="1190"/>
      <c r="BJ415" s="1190"/>
      <c r="BK415" s="1190"/>
      <c r="BL415" s="1190"/>
      <c r="BM415" s="1190"/>
      <c r="BN415" s="1190"/>
      <c r="BO415" s="1190"/>
    </row>
    <row r="416" spans="26:67">
      <c r="Z416" s="1190"/>
      <c r="AA416" s="1190"/>
      <c r="AB416" s="1190"/>
      <c r="AC416" s="1190"/>
      <c r="AD416" s="1190"/>
      <c r="AE416" s="1190"/>
      <c r="AF416" s="1190"/>
      <c r="AG416" s="1190"/>
      <c r="AH416" s="1190"/>
      <c r="AI416" s="1190"/>
      <c r="AJ416" s="1190"/>
      <c r="AK416" s="1190"/>
      <c r="AL416" s="1190"/>
      <c r="AM416" s="1190"/>
      <c r="AN416" s="1190"/>
      <c r="AO416" s="1190"/>
      <c r="AP416" s="1190"/>
      <c r="AQ416" s="1190"/>
      <c r="AR416" s="1190"/>
      <c r="AS416" s="1190"/>
      <c r="AT416" s="1190"/>
      <c r="AU416" s="1190"/>
      <c r="AV416" s="1190"/>
      <c r="AW416" s="1190"/>
      <c r="AX416" s="1190"/>
      <c r="AY416" s="1190"/>
      <c r="AZ416" s="1190"/>
      <c r="BA416" s="1190"/>
      <c r="BB416" s="1190"/>
      <c r="BC416" s="1190"/>
      <c r="BD416" s="1190"/>
      <c r="BE416" s="1190"/>
      <c r="BF416" s="1190"/>
      <c r="BG416" s="1190"/>
      <c r="BH416" s="1190"/>
      <c r="BI416" s="1190"/>
      <c r="BJ416" s="1190"/>
      <c r="BK416" s="1190"/>
      <c r="BL416" s="1190"/>
      <c r="BM416" s="1190"/>
      <c r="BN416" s="1190"/>
      <c r="BO416" s="1190"/>
    </row>
    <row r="417" spans="26:67">
      <c r="Z417" s="1190"/>
      <c r="AA417" s="1190"/>
      <c r="AB417" s="1190"/>
      <c r="AC417" s="1190"/>
      <c r="AD417" s="1190"/>
      <c r="AE417" s="1190"/>
      <c r="AF417" s="1190"/>
      <c r="AG417" s="1190"/>
      <c r="AH417" s="1190"/>
      <c r="AI417" s="1190"/>
      <c r="AJ417" s="1190"/>
      <c r="AK417" s="1190"/>
      <c r="AL417" s="1190"/>
      <c r="AM417" s="1190"/>
      <c r="AN417" s="1190"/>
      <c r="AO417" s="1190"/>
      <c r="AP417" s="1190"/>
      <c r="AQ417" s="1190"/>
      <c r="AR417" s="1190"/>
      <c r="AS417" s="1190"/>
      <c r="AT417" s="1190"/>
      <c r="AU417" s="1190"/>
      <c r="AV417" s="1190"/>
      <c r="AW417" s="1190"/>
      <c r="AX417" s="1190"/>
      <c r="AY417" s="1190"/>
      <c r="AZ417" s="1190"/>
      <c r="BA417" s="1190"/>
      <c r="BB417" s="1190"/>
      <c r="BC417" s="1190"/>
      <c r="BD417" s="1190"/>
      <c r="BE417" s="1190"/>
      <c r="BF417" s="1190"/>
      <c r="BG417" s="1190"/>
      <c r="BH417" s="1190"/>
      <c r="BI417" s="1190"/>
      <c r="BJ417" s="1190"/>
      <c r="BK417" s="1190"/>
      <c r="BL417" s="1190"/>
      <c r="BM417" s="1190"/>
      <c r="BN417" s="1190"/>
      <c r="BO417" s="1190"/>
    </row>
    <row r="418" spans="26:67">
      <c r="Z418" s="1190"/>
      <c r="AA418" s="1190"/>
      <c r="AB418" s="1190"/>
      <c r="AC418" s="1190"/>
      <c r="AD418" s="1190"/>
      <c r="AE418" s="1190"/>
      <c r="AF418" s="1190"/>
      <c r="AG418" s="1190"/>
      <c r="AH418" s="1190"/>
      <c r="AI418" s="1190"/>
      <c r="AJ418" s="1190"/>
      <c r="AK418" s="1190"/>
      <c r="AL418" s="1190"/>
      <c r="AM418" s="1190"/>
      <c r="AN418" s="1190"/>
      <c r="AO418" s="1190"/>
      <c r="AP418" s="1190"/>
      <c r="AQ418" s="1190"/>
      <c r="AR418" s="1190"/>
      <c r="AS418" s="1190"/>
      <c r="AT418" s="1190"/>
      <c r="AU418" s="1190"/>
      <c r="AV418" s="1190"/>
      <c r="AW418" s="1190"/>
      <c r="AX418" s="1190"/>
      <c r="AY418" s="1190"/>
      <c r="AZ418" s="1190"/>
      <c r="BA418" s="1190"/>
      <c r="BB418" s="1190"/>
      <c r="BC418" s="1190"/>
      <c r="BD418" s="1190"/>
      <c r="BE418" s="1190"/>
      <c r="BF418" s="1190"/>
      <c r="BG418" s="1190"/>
      <c r="BH418" s="1190"/>
      <c r="BI418" s="1190"/>
      <c r="BJ418" s="1190"/>
      <c r="BK418" s="1190"/>
      <c r="BL418" s="1190"/>
      <c r="BM418" s="1190"/>
      <c r="BN418" s="1190"/>
      <c r="BO418" s="1190"/>
    </row>
    <row r="419" spans="26:67">
      <c r="Z419" s="1190"/>
      <c r="AA419" s="1190"/>
      <c r="AB419" s="1190"/>
      <c r="AC419" s="1190"/>
      <c r="AD419" s="1190"/>
      <c r="AE419" s="1190"/>
      <c r="AF419" s="1190"/>
      <c r="AG419" s="1190"/>
      <c r="AH419" s="1190"/>
      <c r="AI419" s="1190"/>
      <c r="AJ419" s="1190"/>
      <c r="AK419" s="1190"/>
      <c r="AL419" s="1190"/>
      <c r="AM419" s="1190"/>
      <c r="AN419" s="1190"/>
      <c r="AO419" s="1190"/>
      <c r="AP419" s="1190"/>
      <c r="AQ419" s="1190"/>
      <c r="AR419" s="1190"/>
      <c r="AS419" s="1190"/>
      <c r="AT419" s="1190"/>
      <c r="AU419" s="1190"/>
      <c r="AV419" s="1190"/>
      <c r="AW419" s="1190"/>
      <c r="AX419" s="1190"/>
      <c r="AY419" s="1190"/>
      <c r="AZ419" s="1190"/>
      <c r="BA419" s="1190"/>
      <c r="BB419" s="1190"/>
      <c r="BC419" s="1190"/>
      <c r="BD419" s="1190"/>
      <c r="BE419" s="1190"/>
      <c r="BF419" s="1190"/>
      <c r="BG419" s="1190"/>
      <c r="BH419" s="1190"/>
      <c r="BI419" s="1190"/>
      <c r="BJ419" s="1190"/>
      <c r="BK419" s="1190"/>
      <c r="BL419" s="1190"/>
      <c r="BM419" s="1190"/>
      <c r="BN419" s="1190"/>
      <c r="BO419" s="1190"/>
    </row>
    <row r="420" spans="26:67">
      <c r="Z420" s="1190"/>
      <c r="AA420" s="1190"/>
      <c r="AB420" s="1190"/>
      <c r="AC420" s="1190"/>
      <c r="AD420" s="1190"/>
      <c r="AE420" s="1190"/>
      <c r="AF420" s="1190"/>
      <c r="AG420" s="1190"/>
      <c r="AH420" s="1190"/>
      <c r="AI420" s="1190"/>
      <c r="AJ420" s="1190"/>
      <c r="AK420" s="1190"/>
      <c r="AL420" s="1190"/>
      <c r="AM420" s="1190"/>
      <c r="AN420" s="1190"/>
      <c r="AO420" s="1190"/>
      <c r="AP420" s="1190"/>
      <c r="AQ420" s="1190"/>
      <c r="AR420" s="1190"/>
      <c r="AS420" s="1190"/>
      <c r="AT420" s="1190"/>
      <c r="AU420" s="1190"/>
      <c r="AV420" s="1190"/>
      <c r="AW420" s="1190"/>
      <c r="AX420" s="1190"/>
      <c r="AY420" s="1190"/>
      <c r="AZ420" s="1190"/>
      <c r="BA420" s="1190"/>
      <c r="BB420" s="1190"/>
      <c r="BC420" s="1190"/>
      <c r="BD420" s="1190"/>
      <c r="BE420" s="1190"/>
      <c r="BF420" s="1190"/>
      <c r="BG420" s="1190"/>
      <c r="BH420" s="1190"/>
      <c r="BI420" s="1190"/>
      <c r="BJ420" s="1190"/>
      <c r="BK420" s="1190"/>
      <c r="BL420" s="1190"/>
      <c r="BM420" s="1190"/>
      <c r="BN420" s="1190"/>
      <c r="BO420" s="1190"/>
    </row>
    <row r="421" spans="26:67">
      <c r="Z421" s="1190"/>
      <c r="AA421" s="1190"/>
      <c r="AB421" s="1190"/>
      <c r="AC421" s="1190"/>
      <c r="AD421" s="1190"/>
      <c r="AE421" s="1190"/>
      <c r="AF421" s="1190"/>
      <c r="AG421" s="1190"/>
      <c r="AH421" s="1190"/>
      <c r="AI421" s="1190"/>
      <c r="AJ421" s="1190"/>
      <c r="AK421" s="1190"/>
      <c r="AL421" s="1190"/>
      <c r="AM421" s="1190"/>
      <c r="AN421" s="1190"/>
      <c r="AO421" s="1190"/>
      <c r="AP421" s="1190"/>
      <c r="AQ421" s="1190"/>
      <c r="AR421" s="1190"/>
      <c r="AS421" s="1190"/>
      <c r="AT421" s="1190"/>
      <c r="AU421" s="1190"/>
      <c r="AV421" s="1190"/>
      <c r="AW421" s="1190"/>
      <c r="AX421" s="1190"/>
      <c r="AY421" s="1190"/>
      <c r="AZ421" s="1190"/>
      <c r="BA421" s="1190"/>
      <c r="BB421" s="1190"/>
      <c r="BC421" s="1190"/>
      <c r="BD421" s="1190"/>
      <c r="BE421" s="1190"/>
      <c r="BF421" s="1190"/>
      <c r="BG421" s="1190"/>
      <c r="BH421" s="1190"/>
      <c r="BI421" s="1190"/>
      <c r="BJ421" s="1190"/>
      <c r="BK421" s="1190"/>
      <c r="BL421" s="1190"/>
      <c r="BM421" s="1190"/>
      <c r="BN421" s="1190"/>
      <c r="BO421" s="1190"/>
    </row>
    <row r="422" spans="26:67">
      <c r="Z422" s="1190"/>
      <c r="AA422" s="1190"/>
      <c r="AB422" s="1190"/>
      <c r="AC422" s="1190"/>
      <c r="AD422" s="1190"/>
      <c r="AE422" s="1190"/>
      <c r="AF422" s="1190"/>
      <c r="AG422" s="1190"/>
      <c r="AH422" s="1190"/>
      <c r="AI422" s="1190"/>
      <c r="AJ422" s="1190"/>
      <c r="AK422" s="1190"/>
      <c r="AL422" s="1190"/>
      <c r="AM422" s="1190"/>
      <c r="AN422" s="1190"/>
      <c r="AO422" s="1190"/>
      <c r="AP422" s="1190"/>
      <c r="AQ422" s="1190"/>
      <c r="AR422" s="1190"/>
      <c r="AS422" s="1190"/>
      <c r="AT422" s="1190"/>
      <c r="AU422" s="1190"/>
      <c r="AV422" s="1190"/>
      <c r="AW422" s="1190"/>
      <c r="AX422" s="1190"/>
      <c r="AY422" s="1190"/>
      <c r="AZ422" s="1190"/>
      <c r="BA422" s="1190"/>
      <c r="BB422" s="1190"/>
      <c r="BC422" s="1190"/>
      <c r="BD422" s="1190"/>
      <c r="BE422" s="1190"/>
      <c r="BF422" s="1190"/>
      <c r="BG422" s="1190"/>
      <c r="BH422" s="1190"/>
      <c r="BI422" s="1190"/>
      <c r="BJ422" s="1190"/>
      <c r="BK422" s="1190"/>
      <c r="BL422" s="1190"/>
      <c r="BM422" s="1190"/>
      <c r="BN422" s="1190"/>
      <c r="BO422" s="1190"/>
    </row>
    <row r="423" spans="26:67">
      <c r="Z423" s="1190"/>
      <c r="AA423" s="1190"/>
      <c r="AB423" s="1190"/>
      <c r="AC423" s="1190"/>
      <c r="AD423" s="1190"/>
      <c r="AE423" s="1190"/>
      <c r="AF423" s="1190"/>
      <c r="AG423" s="1190"/>
      <c r="AH423" s="1190"/>
      <c r="AI423" s="1190"/>
      <c r="AJ423" s="1190"/>
      <c r="AK423" s="1190"/>
      <c r="AL423" s="1190"/>
      <c r="AM423" s="1190"/>
      <c r="AN423" s="1190"/>
      <c r="AO423" s="1190"/>
      <c r="AP423" s="1190"/>
      <c r="AQ423" s="1190"/>
      <c r="AR423" s="1190"/>
      <c r="AS423" s="1190"/>
      <c r="AT423" s="1190"/>
      <c r="AU423" s="1190"/>
      <c r="AV423" s="1190"/>
      <c r="AW423" s="1190"/>
      <c r="AX423" s="1190"/>
      <c r="AY423" s="1190"/>
      <c r="AZ423" s="1190"/>
      <c r="BA423" s="1190"/>
      <c r="BB423" s="1190"/>
      <c r="BC423" s="1190"/>
      <c r="BD423" s="1190"/>
      <c r="BE423" s="1190"/>
      <c r="BF423" s="1190"/>
      <c r="BG423" s="1190"/>
      <c r="BH423" s="1190"/>
      <c r="BI423" s="1190"/>
      <c r="BJ423" s="1190"/>
      <c r="BK423" s="1190"/>
      <c r="BL423" s="1190"/>
      <c r="BM423" s="1190"/>
      <c r="BN423" s="1190"/>
      <c r="BO423" s="1190"/>
    </row>
    <row r="424" spans="26:67">
      <c r="Z424" s="1190"/>
      <c r="AA424" s="1190"/>
      <c r="AB424" s="1190"/>
      <c r="AC424" s="1190"/>
      <c r="AD424" s="1190"/>
      <c r="AE424" s="1190"/>
      <c r="AF424" s="1190"/>
      <c r="AG424" s="1190"/>
      <c r="AH424" s="1190"/>
      <c r="AI424" s="1190"/>
      <c r="AJ424" s="1190"/>
      <c r="AK424" s="1190"/>
      <c r="AL424" s="1190"/>
      <c r="AM424" s="1190"/>
      <c r="AN424" s="1190"/>
      <c r="AO424" s="1190"/>
      <c r="AP424" s="1190"/>
      <c r="AQ424" s="1190"/>
      <c r="AR424" s="1190"/>
      <c r="AS424" s="1190"/>
      <c r="AT424" s="1190"/>
      <c r="AU424" s="1190"/>
      <c r="AV424" s="1190"/>
      <c r="AW424" s="1190"/>
      <c r="AX424" s="1190"/>
      <c r="AY424" s="1190"/>
      <c r="AZ424" s="1190"/>
      <c r="BA424" s="1190"/>
      <c r="BB424" s="1190"/>
      <c r="BC424" s="1190"/>
      <c r="BD424" s="1190"/>
      <c r="BE424" s="1190"/>
      <c r="BF424" s="1190"/>
      <c r="BG424" s="1190"/>
      <c r="BH424" s="1190"/>
      <c r="BI424" s="1190"/>
      <c r="BJ424" s="1190"/>
      <c r="BK424" s="1190"/>
      <c r="BL424" s="1190"/>
      <c r="BM424" s="1190"/>
      <c r="BN424" s="1190"/>
      <c r="BO424" s="1190"/>
    </row>
    <row r="425" spans="26:67">
      <c r="Z425" s="1190"/>
      <c r="AA425" s="1190"/>
      <c r="AB425" s="1190"/>
      <c r="AC425" s="1190"/>
      <c r="AD425" s="1190"/>
      <c r="AE425" s="1190"/>
      <c r="AF425" s="1190"/>
      <c r="AG425" s="1190"/>
      <c r="AH425" s="1190"/>
      <c r="AI425" s="1190"/>
      <c r="AJ425" s="1190"/>
      <c r="AK425" s="1190"/>
      <c r="AL425" s="1190"/>
      <c r="AM425" s="1190"/>
      <c r="AN425" s="1190"/>
      <c r="AO425" s="1190"/>
      <c r="AP425" s="1190"/>
      <c r="AQ425" s="1190"/>
      <c r="AR425" s="1190"/>
      <c r="AS425" s="1190"/>
      <c r="AT425" s="1190"/>
      <c r="AU425" s="1190"/>
      <c r="AV425" s="1190"/>
      <c r="AW425" s="1190"/>
      <c r="AX425" s="1190"/>
      <c r="AY425" s="1190"/>
      <c r="AZ425" s="1190"/>
      <c r="BA425" s="1190"/>
      <c r="BB425" s="1190"/>
      <c r="BC425" s="1190"/>
      <c r="BD425" s="1190"/>
      <c r="BE425" s="1190"/>
      <c r="BF425" s="1190"/>
      <c r="BG425" s="1190"/>
      <c r="BH425" s="1190"/>
      <c r="BI425" s="1190"/>
      <c r="BJ425" s="1190"/>
      <c r="BK425" s="1190"/>
      <c r="BL425" s="1190"/>
      <c r="BM425" s="1190"/>
      <c r="BN425" s="1190"/>
      <c r="BO425" s="1190"/>
    </row>
    <row r="426" spans="26:67">
      <c r="Z426" s="1190"/>
      <c r="AA426" s="1190"/>
      <c r="AB426" s="1190"/>
      <c r="AC426" s="1190"/>
      <c r="AD426" s="1190"/>
      <c r="AE426" s="1190"/>
      <c r="AF426" s="1190"/>
      <c r="AG426" s="1190"/>
      <c r="AH426" s="1190"/>
      <c r="AI426" s="1190"/>
      <c r="AJ426" s="1190"/>
      <c r="AK426" s="1190"/>
      <c r="AL426" s="1190"/>
      <c r="AM426" s="1190"/>
      <c r="AN426" s="1190"/>
      <c r="AO426" s="1190"/>
      <c r="AP426" s="1190"/>
      <c r="AQ426" s="1190"/>
      <c r="AR426" s="1190"/>
      <c r="AS426" s="1190"/>
      <c r="AT426" s="1190"/>
      <c r="AU426" s="1190"/>
      <c r="AV426" s="1190"/>
      <c r="AW426" s="1190"/>
      <c r="AX426" s="1190"/>
      <c r="AY426" s="1190"/>
      <c r="AZ426" s="1190"/>
      <c r="BA426" s="1190"/>
      <c r="BB426" s="1190"/>
      <c r="BC426" s="1190"/>
      <c r="BD426" s="1190"/>
      <c r="BE426" s="1190"/>
      <c r="BF426" s="1190"/>
      <c r="BG426" s="1190"/>
      <c r="BH426" s="1190"/>
      <c r="BI426" s="1190"/>
      <c r="BJ426" s="1190"/>
      <c r="BK426" s="1190"/>
      <c r="BL426" s="1190"/>
      <c r="BM426" s="1190"/>
      <c r="BN426" s="1190"/>
      <c r="BO426" s="1190"/>
    </row>
    <row r="427" spans="26:67">
      <c r="Z427" s="1190"/>
      <c r="AA427" s="1190"/>
      <c r="AB427" s="1190"/>
      <c r="AC427" s="1190"/>
      <c r="AD427" s="1190"/>
      <c r="AE427" s="1190"/>
      <c r="AF427" s="1190"/>
      <c r="AG427" s="1190"/>
      <c r="AH427" s="1190"/>
      <c r="AI427" s="1190"/>
      <c r="AJ427" s="1190"/>
      <c r="AK427" s="1190"/>
      <c r="AL427" s="1190"/>
      <c r="AM427" s="1190"/>
      <c r="AN427" s="1190"/>
      <c r="AO427" s="1190"/>
      <c r="AP427" s="1190"/>
      <c r="AQ427" s="1190"/>
      <c r="AR427" s="1190"/>
      <c r="AS427" s="1190"/>
      <c r="AT427" s="1190"/>
      <c r="AU427" s="1190"/>
      <c r="AV427" s="1190"/>
      <c r="AW427" s="1190"/>
      <c r="AX427" s="1190"/>
      <c r="AY427" s="1190"/>
      <c r="AZ427" s="1190"/>
      <c r="BA427" s="1190"/>
      <c r="BB427" s="1190"/>
      <c r="BC427" s="1190"/>
      <c r="BD427" s="1190"/>
      <c r="BE427" s="1190"/>
      <c r="BF427" s="1190"/>
      <c r="BG427" s="1190"/>
      <c r="BH427" s="1190"/>
      <c r="BI427" s="1190"/>
      <c r="BJ427" s="1190"/>
      <c r="BK427" s="1190"/>
      <c r="BL427" s="1190"/>
      <c r="BM427" s="1190"/>
      <c r="BN427" s="1190"/>
      <c r="BO427" s="1190"/>
    </row>
    <row r="428" spans="26:67">
      <c r="Z428" s="1190"/>
      <c r="AA428" s="1190"/>
      <c r="AB428" s="1190"/>
      <c r="AC428" s="1190"/>
      <c r="AD428" s="1190"/>
      <c r="AE428" s="1190"/>
      <c r="AF428" s="1190"/>
      <c r="AG428" s="1190"/>
      <c r="AH428" s="1190"/>
      <c r="AI428" s="1190"/>
      <c r="AJ428" s="1190"/>
      <c r="AK428" s="1190"/>
      <c r="AL428" s="1190"/>
      <c r="AM428" s="1190"/>
      <c r="AN428" s="1190"/>
      <c r="AO428" s="1190"/>
      <c r="AP428" s="1190"/>
      <c r="AQ428" s="1190"/>
      <c r="AR428" s="1190"/>
      <c r="AS428" s="1190"/>
      <c r="AT428" s="1190"/>
      <c r="AU428" s="1190"/>
      <c r="AV428" s="1190"/>
      <c r="AW428" s="1190"/>
      <c r="AX428" s="1190"/>
      <c r="AY428" s="1190"/>
      <c r="AZ428" s="1190"/>
      <c r="BA428" s="1190"/>
      <c r="BB428" s="1190"/>
      <c r="BC428" s="1190"/>
      <c r="BD428" s="1190"/>
      <c r="BE428" s="1190"/>
      <c r="BF428" s="1190"/>
      <c r="BG428" s="1190"/>
      <c r="BH428" s="1190"/>
      <c r="BI428" s="1190"/>
      <c r="BJ428" s="1190"/>
      <c r="BK428" s="1190"/>
      <c r="BL428" s="1190"/>
      <c r="BM428" s="1190"/>
      <c r="BN428" s="1190"/>
      <c r="BO428" s="1190"/>
    </row>
    <row r="429" spans="26:67">
      <c r="Z429" s="1190"/>
      <c r="AA429" s="1190"/>
      <c r="AB429" s="1190"/>
      <c r="AC429" s="1190"/>
      <c r="AD429" s="1190"/>
      <c r="AE429" s="1190"/>
      <c r="AF429" s="1190"/>
      <c r="AG429" s="1190"/>
      <c r="AH429" s="1190"/>
      <c r="AI429" s="1190"/>
      <c r="AJ429" s="1190"/>
      <c r="AK429" s="1190"/>
      <c r="AL429" s="1190"/>
      <c r="AM429" s="1190"/>
      <c r="AN429" s="1190"/>
      <c r="AO429" s="1190"/>
      <c r="AP429" s="1190"/>
      <c r="AQ429" s="1190"/>
      <c r="AR429" s="1190"/>
      <c r="AS429" s="1190"/>
      <c r="AT429" s="1190"/>
      <c r="AU429" s="1190"/>
      <c r="AV429" s="1190"/>
      <c r="AW429" s="1190"/>
      <c r="AX429" s="1190"/>
      <c r="AY429" s="1190"/>
      <c r="AZ429" s="1190"/>
      <c r="BA429" s="1190"/>
      <c r="BB429" s="1190"/>
      <c r="BC429" s="1190"/>
      <c r="BD429" s="1190"/>
      <c r="BE429" s="1190"/>
      <c r="BF429" s="1190"/>
      <c r="BG429" s="1190"/>
      <c r="BH429" s="1190"/>
      <c r="BI429" s="1190"/>
      <c r="BJ429" s="1190"/>
      <c r="BK429" s="1190"/>
      <c r="BL429" s="1190"/>
      <c r="BM429" s="1190"/>
      <c r="BN429" s="1190"/>
      <c r="BO429" s="1190"/>
    </row>
    <row r="430" spans="26:67">
      <c r="Z430" s="1190"/>
      <c r="AA430" s="1190"/>
      <c r="AB430" s="1190"/>
      <c r="AC430" s="1190"/>
      <c r="AD430" s="1190"/>
      <c r="AE430" s="1190"/>
      <c r="AF430" s="1190"/>
      <c r="AG430" s="1190"/>
      <c r="AH430" s="1190"/>
      <c r="AI430" s="1190"/>
      <c r="AJ430" s="1190"/>
      <c r="AK430" s="1190"/>
      <c r="AL430" s="1190"/>
      <c r="AM430" s="1190"/>
      <c r="AN430" s="1190"/>
      <c r="AO430" s="1190"/>
      <c r="AP430" s="1190"/>
      <c r="AQ430" s="1190"/>
      <c r="AR430" s="1190"/>
      <c r="AS430" s="1190"/>
      <c r="AT430" s="1190"/>
      <c r="AU430" s="1190"/>
      <c r="AV430" s="1190"/>
      <c r="AW430" s="1190"/>
      <c r="AX430" s="1190"/>
      <c r="AY430" s="1190"/>
      <c r="AZ430" s="1190"/>
      <c r="BA430" s="1190"/>
      <c r="BB430" s="1190"/>
      <c r="BC430" s="1190"/>
      <c r="BD430" s="1190"/>
      <c r="BE430" s="1190"/>
      <c r="BF430" s="1190"/>
      <c r="BG430" s="1190"/>
      <c r="BH430" s="1190"/>
      <c r="BI430" s="1190"/>
      <c r="BJ430" s="1190"/>
      <c r="BK430" s="1190"/>
      <c r="BL430" s="1190"/>
      <c r="BM430" s="1190"/>
      <c r="BN430" s="1190"/>
      <c r="BO430" s="1190"/>
    </row>
    <row r="431" spans="26:67">
      <c r="Z431" s="1190"/>
      <c r="AA431" s="1190"/>
      <c r="AB431" s="1190"/>
      <c r="AC431" s="1190"/>
      <c r="AD431" s="1190"/>
      <c r="AE431" s="1190"/>
      <c r="AF431" s="1190"/>
      <c r="AG431" s="1190"/>
      <c r="AH431" s="1190"/>
      <c r="AI431" s="1190"/>
      <c r="AJ431" s="1190"/>
      <c r="AK431" s="1190"/>
      <c r="AL431" s="1190"/>
      <c r="AM431" s="1190"/>
      <c r="AN431" s="1190"/>
      <c r="AO431" s="1190"/>
      <c r="AP431" s="1190"/>
      <c r="AQ431" s="1190"/>
      <c r="AR431" s="1190"/>
      <c r="AS431" s="1190"/>
      <c r="AT431" s="1190"/>
      <c r="AU431" s="1190"/>
      <c r="AV431" s="1190"/>
      <c r="AW431" s="1190"/>
      <c r="AX431" s="1190"/>
      <c r="AY431" s="1190"/>
      <c r="AZ431" s="1190"/>
      <c r="BA431" s="1190"/>
      <c r="BB431" s="1190"/>
      <c r="BC431" s="1190"/>
      <c r="BD431" s="1190"/>
      <c r="BE431" s="1190"/>
      <c r="BF431" s="1190"/>
      <c r="BG431" s="1190"/>
      <c r="BH431" s="1190"/>
      <c r="BI431" s="1190"/>
      <c r="BJ431" s="1190"/>
      <c r="BK431" s="1190"/>
      <c r="BL431" s="1190"/>
      <c r="BM431" s="1190"/>
      <c r="BN431" s="1190"/>
      <c r="BO431" s="1190"/>
    </row>
    <row r="432" spans="26:67">
      <c r="Z432" s="1190"/>
      <c r="AA432" s="1190"/>
      <c r="AB432" s="1190"/>
      <c r="AC432" s="1190"/>
      <c r="AD432" s="1190"/>
      <c r="AE432" s="1190"/>
      <c r="AF432" s="1190"/>
      <c r="AG432" s="1190"/>
      <c r="AH432" s="1190"/>
      <c r="AI432" s="1190"/>
      <c r="AJ432" s="1190"/>
      <c r="AK432" s="1190"/>
      <c r="AL432" s="1190"/>
      <c r="AM432" s="1190"/>
      <c r="AN432" s="1190"/>
      <c r="AO432" s="1190"/>
      <c r="AP432" s="1190"/>
      <c r="AQ432" s="1190"/>
      <c r="AR432" s="1190"/>
      <c r="AS432" s="1190"/>
      <c r="AT432" s="1190"/>
      <c r="AU432" s="1190"/>
      <c r="AV432" s="1190"/>
      <c r="AW432" s="1190"/>
      <c r="AX432" s="1190"/>
      <c r="AY432" s="1190"/>
      <c r="AZ432" s="1190"/>
      <c r="BA432" s="1190"/>
      <c r="BB432" s="1190"/>
      <c r="BC432" s="1190"/>
      <c r="BD432" s="1190"/>
      <c r="BE432" s="1190"/>
      <c r="BF432" s="1190"/>
      <c r="BG432" s="1190"/>
      <c r="BH432" s="1190"/>
      <c r="BI432" s="1190"/>
      <c r="BJ432" s="1190"/>
      <c r="BK432" s="1190"/>
      <c r="BL432" s="1190"/>
      <c r="BM432" s="1190"/>
      <c r="BN432" s="1190"/>
      <c r="BO432" s="1190"/>
    </row>
    <row r="433" spans="26:67">
      <c r="Z433" s="1190"/>
      <c r="AA433" s="1190"/>
      <c r="AB433" s="1190"/>
      <c r="AC433" s="1190"/>
      <c r="AD433" s="1190"/>
      <c r="AE433" s="1190"/>
      <c r="AF433" s="1190"/>
      <c r="AG433" s="1190"/>
      <c r="AH433" s="1190"/>
      <c r="AI433" s="1190"/>
      <c r="AJ433" s="1190"/>
      <c r="AK433" s="1190"/>
      <c r="AL433" s="1190"/>
      <c r="AM433" s="1190"/>
      <c r="AN433" s="1190"/>
      <c r="AO433" s="1190"/>
      <c r="AP433" s="1190"/>
      <c r="AQ433" s="1190"/>
      <c r="AR433" s="1190"/>
      <c r="AS433" s="1190"/>
      <c r="AT433" s="1190"/>
      <c r="AU433" s="1190"/>
      <c r="AV433" s="1190"/>
      <c r="AW433" s="1190"/>
      <c r="AX433" s="1190"/>
      <c r="AY433" s="1190"/>
      <c r="AZ433" s="1190"/>
      <c r="BA433" s="1190"/>
      <c r="BB433" s="1190"/>
      <c r="BC433" s="1190"/>
      <c r="BD433" s="1190"/>
      <c r="BE433" s="1190"/>
      <c r="BF433" s="1190"/>
      <c r="BG433" s="1190"/>
      <c r="BH433" s="1190"/>
      <c r="BI433" s="1190"/>
      <c r="BJ433" s="1190"/>
      <c r="BK433" s="1190"/>
      <c r="BL433" s="1190"/>
      <c r="BM433" s="1190"/>
      <c r="BN433" s="1190"/>
      <c r="BO433" s="1190"/>
    </row>
    <row r="434" spans="26:67">
      <c r="Z434" s="1190"/>
      <c r="AA434" s="1190"/>
      <c r="AB434" s="1190"/>
      <c r="AC434" s="1190"/>
      <c r="AD434" s="1190"/>
      <c r="AE434" s="1190"/>
      <c r="AF434" s="1190"/>
      <c r="AG434" s="1190"/>
      <c r="AH434" s="1190"/>
      <c r="AI434" s="1190"/>
      <c r="AJ434" s="1190"/>
      <c r="AK434" s="1190"/>
      <c r="AL434" s="1190"/>
      <c r="AM434" s="1190"/>
      <c r="AN434" s="1190"/>
      <c r="AO434" s="1190"/>
      <c r="AP434" s="1190"/>
      <c r="AQ434" s="1190"/>
      <c r="AR434" s="1190"/>
      <c r="AS434" s="1190"/>
      <c r="AT434" s="1190"/>
      <c r="AU434" s="1190"/>
      <c r="AV434" s="1190"/>
      <c r="AW434" s="1190"/>
      <c r="AX434" s="1190"/>
      <c r="AY434" s="1190"/>
      <c r="AZ434" s="1190"/>
      <c r="BA434" s="1190"/>
      <c r="BB434" s="1190"/>
      <c r="BC434" s="1190"/>
      <c r="BD434" s="1190"/>
      <c r="BE434" s="1190"/>
      <c r="BF434" s="1190"/>
      <c r="BG434" s="1190"/>
      <c r="BH434" s="1190"/>
      <c r="BI434" s="1190"/>
      <c r="BJ434" s="1190"/>
      <c r="BK434" s="1190"/>
      <c r="BL434" s="1190"/>
      <c r="BM434" s="1190"/>
      <c r="BN434" s="1190"/>
      <c r="BO434" s="1190"/>
    </row>
    <row r="435" spans="26:67">
      <c r="Z435" s="1190"/>
      <c r="AA435" s="1190"/>
      <c r="AB435" s="1190"/>
      <c r="AC435" s="1190"/>
      <c r="AD435" s="1190"/>
      <c r="AE435" s="1190"/>
      <c r="AF435" s="1190"/>
      <c r="AG435" s="1190"/>
      <c r="AH435" s="1190"/>
      <c r="AI435" s="1190"/>
      <c r="AJ435" s="1190"/>
      <c r="AK435" s="1190"/>
      <c r="AL435" s="1190"/>
      <c r="AM435" s="1190"/>
      <c r="AN435" s="1190"/>
      <c r="AO435" s="1190"/>
      <c r="AP435" s="1190"/>
      <c r="AQ435" s="1190"/>
      <c r="AR435" s="1190"/>
      <c r="AS435" s="1190"/>
      <c r="AT435" s="1190"/>
      <c r="AU435" s="1190"/>
      <c r="AV435" s="1190"/>
      <c r="AW435" s="1190"/>
      <c r="AX435" s="1190"/>
      <c r="AY435" s="1190"/>
      <c r="AZ435" s="1190"/>
      <c r="BA435" s="1190"/>
      <c r="BB435" s="1190"/>
      <c r="BC435" s="1190"/>
      <c r="BD435" s="1190"/>
      <c r="BE435" s="1190"/>
      <c r="BF435" s="1190"/>
      <c r="BG435" s="1190"/>
      <c r="BH435" s="1190"/>
      <c r="BI435" s="1190"/>
      <c r="BJ435" s="1190"/>
      <c r="BK435" s="1190"/>
      <c r="BL435" s="1190"/>
      <c r="BM435" s="1190"/>
      <c r="BN435" s="1190"/>
      <c r="BO435" s="1190"/>
    </row>
    <row r="436" spans="26:67">
      <c r="Z436" s="1190"/>
      <c r="AA436" s="1190"/>
      <c r="AB436" s="1190"/>
      <c r="AC436" s="1190"/>
      <c r="AD436" s="1190"/>
      <c r="AE436" s="1190"/>
      <c r="AF436" s="1190"/>
      <c r="AG436" s="1190"/>
      <c r="AH436" s="1190"/>
      <c r="AI436" s="1190"/>
      <c r="AJ436" s="1190"/>
      <c r="AK436" s="1190"/>
      <c r="AL436" s="1190"/>
      <c r="AM436" s="1190"/>
      <c r="AN436" s="1190"/>
      <c r="AO436" s="1190"/>
      <c r="AP436" s="1190"/>
      <c r="AQ436" s="1190"/>
      <c r="AR436" s="1190"/>
      <c r="AS436" s="1190"/>
      <c r="AT436" s="1190"/>
      <c r="AU436" s="1190"/>
      <c r="AV436" s="1190"/>
      <c r="AW436" s="1190"/>
      <c r="AX436" s="1190"/>
      <c r="AY436" s="1190"/>
      <c r="AZ436" s="1190"/>
      <c r="BA436" s="1190"/>
      <c r="BB436" s="1190"/>
      <c r="BC436" s="1190"/>
      <c r="BD436" s="1190"/>
      <c r="BE436" s="1190"/>
      <c r="BF436" s="1190"/>
      <c r="BG436" s="1190"/>
      <c r="BH436" s="1190"/>
      <c r="BI436" s="1190"/>
      <c r="BJ436" s="1190"/>
      <c r="BK436" s="1190"/>
      <c r="BL436" s="1190"/>
      <c r="BM436" s="1190"/>
      <c r="BN436" s="1190"/>
      <c r="BO436" s="1190"/>
    </row>
    <row r="437" spans="26:67">
      <c r="Z437" s="1190"/>
      <c r="AA437" s="1190"/>
      <c r="AB437" s="1190"/>
      <c r="AC437" s="1190"/>
      <c r="AD437" s="1190"/>
      <c r="AE437" s="1190"/>
      <c r="AF437" s="1190"/>
      <c r="AG437" s="1190"/>
      <c r="AH437" s="1190"/>
      <c r="AI437" s="1190"/>
      <c r="AJ437" s="1190"/>
      <c r="AK437" s="1190"/>
      <c r="AL437" s="1190"/>
      <c r="AM437" s="1190"/>
      <c r="AN437" s="1190"/>
      <c r="AO437" s="1190"/>
      <c r="AP437" s="1190"/>
      <c r="AQ437" s="1190"/>
      <c r="AR437" s="1190"/>
      <c r="AS437" s="1190"/>
      <c r="AT437" s="1190"/>
      <c r="AU437" s="1190"/>
      <c r="AV437" s="1190"/>
      <c r="AW437" s="1190"/>
      <c r="AX437" s="1190"/>
      <c r="AY437" s="1190"/>
      <c r="AZ437" s="1190"/>
      <c r="BA437" s="1190"/>
      <c r="BB437" s="1190"/>
      <c r="BC437" s="1190"/>
      <c r="BD437" s="1190"/>
      <c r="BE437" s="1190"/>
      <c r="BF437" s="1190"/>
      <c r="BG437" s="1190"/>
      <c r="BH437" s="1190"/>
      <c r="BI437" s="1190"/>
      <c r="BJ437" s="1190"/>
      <c r="BK437" s="1190"/>
      <c r="BL437" s="1190"/>
      <c r="BM437" s="1190"/>
      <c r="BN437" s="1190"/>
      <c r="BO437" s="1190"/>
    </row>
    <row r="438" spans="26:67">
      <c r="Z438" s="1190"/>
      <c r="AA438" s="1190"/>
      <c r="AB438" s="1190"/>
      <c r="AC438" s="1190"/>
      <c r="AD438" s="1190"/>
      <c r="AE438" s="1190"/>
      <c r="AF438" s="1190"/>
      <c r="AG438" s="1190"/>
      <c r="AH438" s="1190"/>
      <c r="AI438" s="1190"/>
      <c r="AJ438" s="1190"/>
      <c r="AK438" s="1190"/>
      <c r="AL438" s="1190"/>
      <c r="AM438" s="1190"/>
      <c r="AN438" s="1190"/>
      <c r="AO438" s="1190"/>
      <c r="AP438" s="1190"/>
      <c r="AQ438" s="1190"/>
      <c r="AR438" s="1190"/>
      <c r="AS438" s="1190"/>
      <c r="AT438" s="1190"/>
      <c r="AU438" s="1190"/>
      <c r="AV438" s="1190"/>
      <c r="AW438" s="1190"/>
      <c r="AX438" s="1190"/>
      <c r="AY438" s="1190"/>
      <c r="AZ438" s="1190"/>
      <c r="BA438" s="1190"/>
      <c r="BB438" s="1190"/>
      <c r="BC438" s="1190"/>
      <c r="BD438" s="1190"/>
      <c r="BE438" s="1190"/>
      <c r="BF438" s="1190"/>
      <c r="BG438" s="1190"/>
      <c r="BH438" s="1190"/>
      <c r="BI438" s="1190"/>
      <c r="BJ438" s="1190"/>
      <c r="BK438" s="1190"/>
      <c r="BL438" s="1190"/>
      <c r="BM438" s="1190"/>
      <c r="BN438" s="1190"/>
      <c r="BO438" s="1190"/>
    </row>
    <row r="439" spans="26:67">
      <c r="Z439" s="1190"/>
      <c r="AA439" s="1190"/>
      <c r="AB439" s="1190"/>
      <c r="AC439" s="1190"/>
      <c r="AD439" s="1190"/>
      <c r="AE439" s="1190"/>
      <c r="AF439" s="1190"/>
      <c r="AG439" s="1190"/>
      <c r="AH439" s="1190"/>
      <c r="AI439" s="1190"/>
      <c r="AJ439" s="1190"/>
      <c r="AK439" s="1190"/>
      <c r="AL439" s="1190"/>
      <c r="AM439" s="1190"/>
      <c r="AN439" s="1190"/>
      <c r="AO439" s="1190"/>
      <c r="AP439" s="1190"/>
      <c r="AQ439" s="1190"/>
      <c r="AR439" s="1190"/>
      <c r="AS439" s="1190"/>
      <c r="AT439" s="1190"/>
      <c r="AU439" s="1190"/>
      <c r="AV439" s="1190"/>
      <c r="AW439" s="1190"/>
      <c r="AX439" s="1190"/>
      <c r="AY439" s="1190"/>
      <c r="AZ439" s="1190"/>
      <c r="BA439" s="1190"/>
      <c r="BB439" s="1190"/>
      <c r="BC439" s="1190"/>
      <c r="BD439" s="1190"/>
      <c r="BE439" s="1190"/>
      <c r="BF439" s="1190"/>
      <c r="BG439" s="1190"/>
      <c r="BH439" s="1190"/>
      <c r="BI439" s="1190"/>
      <c r="BJ439" s="1190"/>
      <c r="BK439" s="1190"/>
      <c r="BL439" s="1190"/>
      <c r="BM439" s="1190"/>
      <c r="BN439" s="1190"/>
      <c r="BO439" s="1190"/>
    </row>
    <row r="440" spans="26:67">
      <c r="Z440" s="1190"/>
      <c r="AA440" s="1190"/>
      <c r="AB440" s="1190"/>
      <c r="AC440" s="1190"/>
      <c r="AD440" s="1190"/>
      <c r="AE440" s="1190"/>
      <c r="AF440" s="1190"/>
      <c r="AG440" s="1190"/>
      <c r="AH440" s="1190"/>
      <c r="AI440" s="1190"/>
      <c r="AJ440" s="1190"/>
      <c r="AK440" s="1190"/>
      <c r="AL440" s="1190"/>
      <c r="AM440" s="1190"/>
      <c r="AN440" s="1190"/>
      <c r="AO440" s="1190"/>
      <c r="AP440" s="1190"/>
      <c r="AQ440" s="1190"/>
      <c r="AR440" s="1190"/>
      <c r="AS440" s="1190"/>
      <c r="AT440" s="1190"/>
      <c r="AU440" s="1190"/>
      <c r="AV440" s="1190"/>
      <c r="AW440" s="1190"/>
      <c r="AX440" s="1190"/>
      <c r="AY440" s="1190"/>
      <c r="AZ440" s="1190"/>
      <c r="BA440" s="1190"/>
      <c r="BB440" s="1190"/>
      <c r="BC440" s="1190"/>
      <c r="BD440" s="1190"/>
      <c r="BE440" s="1190"/>
      <c r="BF440" s="1190"/>
      <c r="BG440" s="1190"/>
      <c r="BH440" s="1190"/>
      <c r="BI440" s="1190"/>
      <c r="BJ440" s="1190"/>
      <c r="BK440" s="1190"/>
      <c r="BL440" s="1190"/>
      <c r="BM440" s="1190"/>
      <c r="BN440" s="1190"/>
      <c r="BO440" s="1190"/>
    </row>
    <row r="441" spans="26:67">
      <c r="Z441" s="1190"/>
      <c r="AA441" s="1190"/>
      <c r="AB441" s="1190"/>
      <c r="AC441" s="1190"/>
      <c r="AD441" s="1190"/>
      <c r="AE441" s="1190"/>
      <c r="AF441" s="1190"/>
      <c r="AG441" s="1190"/>
      <c r="AH441" s="1190"/>
      <c r="AI441" s="1190"/>
      <c r="AJ441" s="1190"/>
      <c r="AK441" s="1190"/>
      <c r="AL441" s="1190"/>
      <c r="AM441" s="1190"/>
      <c r="AN441" s="1190"/>
      <c r="AO441" s="1190"/>
      <c r="AP441" s="1190"/>
      <c r="AQ441" s="1190"/>
      <c r="AR441" s="1190"/>
      <c r="AS441" s="1190"/>
      <c r="AT441" s="1190"/>
      <c r="AU441" s="1190"/>
      <c r="AV441" s="1190"/>
      <c r="AW441" s="1190"/>
      <c r="AX441" s="1190"/>
      <c r="AY441" s="1190"/>
      <c r="AZ441" s="1190"/>
      <c r="BA441" s="1190"/>
      <c r="BB441" s="1190"/>
      <c r="BC441" s="1190"/>
      <c r="BD441" s="1190"/>
      <c r="BE441" s="1190"/>
      <c r="BF441" s="1190"/>
      <c r="BG441" s="1190"/>
      <c r="BH441" s="1190"/>
      <c r="BI441" s="1190"/>
      <c r="BJ441" s="1190"/>
      <c r="BK441" s="1190"/>
      <c r="BL441" s="1190"/>
      <c r="BM441" s="1190"/>
      <c r="BN441" s="1190"/>
      <c r="BO441" s="1190"/>
    </row>
    <row r="442" spans="26:67">
      <c r="Z442" s="1190"/>
      <c r="AA442" s="1190"/>
      <c r="AB442" s="1190"/>
      <c r="AC442" s="1190"/>
      <c r="AD442" s="1190"/>
      <c r="AE442" s="1190"/>
      <c r="AF442" s="1190"/>
      <c r="AG442" s="1190"/>
      <c r="AH442" s="1190"/>
      <c r="AI442" s="1190"/>
      <c r="AJ442" s="1190"/>
      <c r="AK442" s="1190"/>
      <c r="AL442" s="1190"/>
      <c r="AM442" s="1190"/>
      <c r="AN442" s="1190"/>
      <c r="AO442" s="1190"/>
      <c r="AP442" s="1190"/>
      <c r="AQ442" s="1190"/>
      <c r="AR442" s="1190"/>
      <c r="AS442" s="1190"/>
      <c r="AT442" s="1190"/>
      <c r="AU442" s="1190"/>
      <c r="AV442" s="1190"/>
      <c r="AW442" s="1190"/>
      <c r="AX442" s="1190"/>
      <c r="AY442" s="1190"/>
      <c r="AZ442" s="1190"/>
      <c r="BA442" s="1190"/>
      <c r="BB442" s="1190"/>
      <c r="BC442" s="1190"/>
      <c r="BD442" s="1190"/>
      <c r="BE442" s="1190"/>
      <c r="BF442" s="1190"/>
      <c r="BG442" s="1190"/>
      <c r="BH442" s="1190"/>
      <c r="BI442" s="1190"/>
      <c r="BJ442" s="1190"/>
      <c r="BK442" s="1190"/>
      <c r="BL442" s="1190"/>
      <c r="BM442" s="1190"/>
      <c r="BN442" s="1190"/>
      <c r="BO442" s="1190"/>
    </row>
    <row r="443" spans="26:67">
      <c r="Z443" s="1190"/>
      <c r="AA443" s="1190"/>
      <c r="AB443" s="1190"/>
      <c r="AC443" s="1190"/>
      <c r="AD443" s="1190"/>
      <c r="AE443" s="1190"/>
      <c r="AF443" s="1190"/>
      <c r="AG443" s="1190"/>
      <c r="AH443" s="1190"/>
      <c r="AI443" s="1190"/>
      <c r="AJ443" s="1190"/>
      <c r="AK443" s="1190"/>
      <c r="AL443" s="1190"/>
      <c r="AM443" s="1190"/>
      <c r="AN443" s="1190"/>
      <c r="AO443" s="1190"/>
      <c r="AP443" s="1190"/>
      <c r="AQ443" s="1190"/>
      <c r="AR443" s="1190"/>
      <c r="AS443" s="1190"/>
      <c r="AT443" s="1190"/>
      <c r="AU443" s="1190"/>
      <c r="AV443" s="1190"/>
      <c r="AW443" s="1190"/>
      <c r="AX443" s="1190"/>
      <c r="AY443" s="1190"/>
      <c r="AZ443" s="1190"/>
      <c r="BA443" s="1190"/>
      <c r="BB443" s="1190"/>
      <c r="BC443" s="1190"/>
      <c r="BD443" s="1190"/>
      <c r="BE443" s="1190"/>
      <c r="BF443" s="1190"/>
      <c r="BG443" s="1190"/>
      <c r="BH443" s="1190"/>
      <c r="BI443" s="1190"/>
      <c r="BJ443" s="1190"/>
      <c r="BK443" s="1190"/>
      <c r="BL443" s="1190"/>
      <c r="BM443" s="1190"/>
      <c r="BN443" s="1190"/>
      <c r="BO443" s="1190"/>
    </row>
    <row r="444" spans="26:67">
      <c r="Z444" s="1190"/>
      <c r="AA444" s="1190"/>
      <c r="AB444" s="1190"/>
      <c r="AC444" s="1190"/>
      <c r="AD444" s="1190"/>
      <c r="AE444" s="1190"/>
      <c r="AF444" s="1190"/>
      <c r="AG444" s="1190"/>
      <c r="AH444" s="1190"/>
      <c r="AI444" s="1190"/>
      <c r="AJ444" s="1190"/>
      <c r="AK444" s="1190"/>
      <c r="AL444" s="1190"/>
      <c r="AM444" s="1190"/>
      <c r="AN444" s="1190"/>
      <c r="AO444" s="1190"/>
      <c r="AP444" s="1190"/>
      <c r="AQ444" s="1190"/>
      <c r="AR444" s="1190"/>
      <c r="AS444" s="1190"/>
      <c r="AT444" s="1190"/>
      <c r="AU444" s="1190"/>
      <c r="AV444" s="1190"/>
      <c r="AW444" s="1190"/>
      <c r="AX444" s="1190"/>
      <c r="AY444" s="1190"/>
      <c r="AZ444" s="1190"/>
      <c r="BA444" s="1190"/>
      <c r="BB444" s="1190"/>
      <c r="BC444" s="1190"/>
      <c r="BD444" s="1190"/>
      <c r="BE444" s="1190"/>
      <c r="BF444" s="1190"/>
      <c r="BG444" s="1190"/>
      <c r="BH444" s="1190"/>
      <c r="BI444" s="1190"/>
      <c r="BJ444" s="1190"/>
      <c r="BK444" s="1190"/>
      <c r="BL444" s="1190"/>
      <c r="BM444" s="1190"/>
      <c r="BN444" s="1190"/>
      <c r="BO444" s="1190"/>
    </row>
    <row r="445" spans="26:67">
      <c r="Z445" s="1190"/>
      <c r="AA445" s="1190"/>
      <c r="AB445" s="1190"/>
      <c r="AC445" s="1190"/>
      <c r="AD445" s="1190"/>
      <c r="AE445" s="1190"/>
      <c r="AF445" s="1190"/>
      <c r="AG445" s="1190"/>
      <c r="AH445" s="1190"/>
      <c r="AI445" s="1190"/>
      <c r="AJ445" s="1190"/>
      <c r="AK445" s="1190"/>
      <c r="AL445" s="1190"/>
      <c r="AM445" s="1190"/>
      <c r="AN445" s="1190"/>
      <c r="AO445" s="1190"/>
      <c r="AP445" s="1190"/>
      <c r="AQ445" s="1190"/>
      <c r="AR445" s="1190"/>
      <c r="AS445" s="1190"/>
      <c r="AT445" s="1190"/>
      <c r="AU445" s="1190"/>
      <c r="AV445" s="1190"/>
      <c r="AW445" s="1190"/>
      <c r="AX445" s="1190"/>
      <c r="AY445" s="1190"/>
      <c r="AZ445" s="1190"/>
      <c r="BA445" s="1190"/>
      <c r="BB445" s="1190"/>
      <c r="BC445" s="1190"/>
      <c r="BD445" s="1190"/>
      <c r="BE445" s="1190"/>
      <c r="BF445" s="1190"/>
      <c r="BG445" s="1190"/>
      <c r="BH445" s="1190"/>
      <c r="BI445" s="1190"/>
      <c r="BJ445" s="1190"/>
      <c r="BK445" s="1190"/>
      <c r="BL445" s="1190"/>
      <c r="BM445" s="1190"/>
      <c r="BN445" s="1190"/>
      <c r="BO445" s="1190"/>
    </row>
    <row r="446" spans="26:67">
      <c r="Z446" s="1190"/>
      <c r="AA446" s="1190"/>
      <c r="AB446" s="1190"/>
      <c r="AC446" s="1190"/>
      <c r="AD446" s="1190"/>
      <c r="AE446" s="1190"/>
      <c r="AF446" s="1190"/>
      <c r="AG446" s="1190"/>
      <c r="AH446" s="1190"/>
      <c r="AI446" s="1190"/>
      <c r="AJ446" s="1190"/>
      <c r="AK446" s="1190"/>
      <c r="AL446" s="1190"/>
      <c r="AM446" s="1190"/>
      <c r="AN446" s="1190"/>
      <c r="AO446" s="1190"/>
      <c r="AP446" s="1190"/>
      <c r="AQ446" s="1190"/>
      <c r="AR446" s="1190"/>
      <c r="AS446" s="1190"/>
      <c r="AT446" s="1190"/>
      <c r="AU446" s="1190"/>
      <c r="AV446" s="1190"/>
      <c r="AW446" s="1190"/>
      <c r="AX446" s="1190"/>
      <c r="AY446" s="1190"/>
      <c r="AZ446" s="1190"/>
      <c r="BA446" s="1190"/>
      <c r="BB446" s="1190"/>
      <c r="BC446" s="1190"/>
      <c r="BD446" s="1190"/>
      <c r="BE446" s="1190"/>
      <c r="BF446" s="1190"/>
      <c r="BG446" s="1190"/>
      <c r="BH446" s="1190"/>
      <c r="BI446" s="1190"/>
      <c r="BJ446" s="1190"/>
      <c r="BK446" s="1190"/>
      <c r="BL446" s="1190"/>
      <c r="BM446" s="1190"/>
      <c r="BN446" s="1190"/>
      <c r="BO446" s="1190"/>
    </row>
    <row r="447" spans="26:67">
      <c r="Z447" s="1190"/>
      <c r="AA447" s="1190"/>
      <c r="AB447" s="1190"/>
      <c r="AC447" s="1190"/>
      <c r="AD447" s="1190"/>
      <c r="AE447" s="1190"/>
      <c r="AF447" s="1190"/>
      <c r="AG447" s="1190"/>
      <c r="AH447" s="1190"/>
      <c r="AI447" s="1190"/>
      <c r="AJ447" s="1190"/>
      <c r="AK447" s="1190"/>
      <c r="AL447" s="1190"/>
      <c r="AM447" s="1190"/>
      <c r="AN447" s="1190"/>
      <c r="AO447" s="1190"/>
      <c r="AP447" s="1190"/>
      <c r="AQ447" s="1190"/>
      <c r="AR447" s="1190"/>
      <c r="AS447" s="1190"/>
      <c r="AT447" s="1190"/>
      <c r="AU447" s="1190"/>
      <c r="AV447" s="1190"/>
      <c r="AW447" s="1190"/>
      <c r="AX447" s="1190"/>
      <c r="AY447" s="1190"/>
      <c r="AZ447" s="1190"/>
      <c r="BA447" s="1190"/>
      <c r="BB447" s="1190"/>
      <c r="BC447" s="1190"/>
      <c r="BD447" s="1190"/>
      <c r="BE447" s="1190"/>
      <c r="BF447" s="1190"/>
      <c r="BG447" s="1190"/>
      <c r="BH447" s="1190"/>
      <c r="BI447" s="1190"/>
      <c r="BJ447" s="1190"/>
      <c r="BK447" s="1190"/>
      <c r="BL447" s="1190"/>
      <c r="BM447" s="1190"/>
      <c r="BN447" s="1190"/>
      <c r="BO447" s="1190"/>
    </row>
    <row r="448" spans="26:67">
      <c r="Z448" s="1190"/>
      <c r="AA448" s="1190"/>
      <c r="AB448" s="1190"/>
      <c r="AC448" s="1190"/>
      <c r="AD448" s="1190"/>
      <c r="AE448" s="1190"/>
      <c r="AF448" s="1190"/>
      <c r="AG448" s="1190"/>
      <c r="AH448" s="1190"/>
      <c r="AI448" s="1190"/>
      <c r="AJ448" s="1190"/>
      <c r="AK448" s="1190"/>
      <c r="AL448" s="1190"/>
      <c r="AM448" s="1190"/>
      <c r="AN448" s="1190"/>
      <c r="AO448" s="1190"/>
      <c r="AP448" s="1190"/>
      <c r="AQ448" s="1190"/>
      <c r="AR448" s="1190"/>
      <c r="AS448" s="1190"/>
      <c r="AT448" s="1190"/>
      <c r="AU448" s="1190"/>
      <c r="AV448" s="1190"/>
      <c r="AW448" s="1190"/>
      <c r="AX448" s="1190"/>
      <c r="AY448" s="1190"/>
      <c r="AZ448" s="1190"/>
      <c r="BA448" s="1190"/>
      <c r="BB448" s="1190"/>
      <c r="BC448" s="1190"/>
      <c r="BD448" s="1190"/>
      <c r="BE448" s="1190"/>
      <c r="BF448" s="1190"/>
      <c r="BG448" s="1190"/>
      <c r="BH448" s="1190"/>
      <c r="BI448" s="1190"/>
      <c r="BJ448" s="1190"/>
      <c r="BK448" s="1190"/>
      <c r="BL448" s="1190"/>
      <c r="BM448" s="1190"/>
      <c r="BN448" s="1190"/>
      <c r="BO448" s="1190"/>
    </row>
    <row r="449" spans="26:67">
      <c r="Z449" s="1190"/>
      <c r="AA449" s="1190"/>
      <c r="AB449" s="1190"/>
      <c r="AC449" s="1190"/>
      <c r="AD449" s="1190"/>
      <c r="AE449" s="1190"/>
      <c r="AF449" s="1190"/>
      <c r="AG449" s="1190"/>
      <c r="AH449" s="1190"/>
      <c r="AI449" s="1190"/>
      <c r="AJ449" s="1190"/>
      <c r="AK449" s="1190"/>
      <c r="AL449" s="1190"/>
      <c r="AM449" s="1190"/>
      <c r="AN449" s="1190"/>
      <c r="AO449" s="1190"/>
      <c r="AP449" s="1190"/>
      <c r="AQ449" s="1190"/>
      <c r="AR449" s="1190"/>
      <c r="AS449" s="1190"/>
      <c r="AT449" s="1190"/>
      <c r="AU449" s="1190"/>
      <c r="AV449" s="1190"/>
      <c r="AW449" s="1190"/>
      <c r="AX449" s="1190"/>
      <c r="AY449" s="1190"/>
      <c r="AZ449" s="1190"/>
      <c r="BA449" s="1190"/>
      <c r="BB449" s="1190"/>
      <c r="BC449" s="1190"/>
      <c r="BD449" s="1190"/>
      <c r="BE449" s="1190"/>
      <c r="BF449" s="1190"/>
      <c r="BG449" s="1190"/>
      <c r="BH449" s="1190"/>
      <c r="BI449" s="1190"/>
      <c r="BJ449" s="1190"/>
      <c r="BK449" s="1190"/>
      <c r="BL449" s="1190"/>
      <c r="BM449" s="1190"/>
      <c r="BN449" s="1190"/>
      <c r="BO449" s="1190"/>
    </row>
    <row r="450" spans="26:67">
      <c r="Z450" s="1190"/>
      <c r="AA450" s="1190"/>
      <c r="AB450" s="1190"/>
      <c r="AC450" s="1190"/>
      <c r="AD450" s="1190"/>
      <c r="AE450" s="1190"/>
      <c r="AF450" s="1190"/>
      <c r="AG450" s="1190"/>
      <c r="AH450" s="1190"/>
      <c r="AI450" s="1190"/>
      <c r="AJ450" s="1190"/>
      <c r="AK450" s="1190"/>
      <c r="AL450" s="1190"/>
      <c r="AM450" s="1190"/>
      <c r="AN450" s="1190"/>
      <c r="AO450" s="1190"/>
      <c r="AP450" s="1190"/>
      <c r="AQ450" s="1190"/>
      <c r="AR450" s="1190"/>
      <c r="AS450" s="1190"/>
      <c r="AT450" s="1190"/>
      <c r="AU450" s="1190"/>
      <c r="AV450" s="1190"/>
      <c r="AW450" s="1190"/>
      <c r="AX450" s="1190"/>
      <c r="AY450" s="1190"/>
      <c r="AZ450" s="1190"/>
      <c r="BA450" s="1190"/>
      <c r="BB450" s="1190"/>
      <c r="BC450" s="1190"/>
      <c r="BD450" s="1190"/>
      <c r="BE450" s="1190"/>
      <c r="BF450" s="1190"/>
      <c r="BG450" s="1190"/>
      <c r="BH450" s="1190"/>
      <c r="BI450" s="1190"/>
      <c r="BJ450" s="1190"/>
      <c r="BK450" s="1190"/>
      <c r="BL450" s="1190"/>
      <c r="BM450" s="1190"/>
      <c r="BN450" s="1190"/>
      <c r="BO450" s="1190"/>
    </row>
    <row r="451" spans="26:67">
      <c r="Z451" s="1190"/>
      <c r="AA451" s="1190"/>
      <c r="AB451" s="1190"/>
      <c r="AC451" s="1190"/>
      <c r="AD451" s="1190"/>
      <c r="AE451" s="1190"/>
      <c r="AF451" s="1190"/>
      <c r="AG451" s="1190"/>
      <c r="AH451" s="1190"/>
      <c r="AI451" s="1190"/>
      <c r="AJ451" s="1190"/>
      <c r="AK451" s="1190"/>
      <c r="AL451" s="1190"/>
      <c r="AM451" s="1190"/>
      <c r="AN451" s="1190"/>
      <c r="AO451" s="1190"/>
      <c r="AP451" s="1190"/>
      <c r="AQ451" s="1190"/>
      <c r="AR451" s="1190"/>
      <c r="AS451" s="1190"/>
      <c r="AT451" s="1190"/>
      <c r="AU451" s="1190"/>
      <c r="AV451" s="1190"/>
      <c r="AW451" s="1190"/>
      <c r="AX451" s="1190"/>
      <c r="AY451" s="1190"/>
      <c r="AZ451" s="1190"/>
      <c r="BA451" s="1190"/>
      <c r="BB451" s="1190"/>
      <c r="BC451" s="1190"/>
      <c r="BD451" s="1190"/>
      <c r="BE451" s="1190"/>
      <c r="BF451" s="1190"/>
      <c r="BG451" s="1190"/>
      <c r="BH451" s="1190"/>
      <c r="BI451" s="1190"/>
      <c r="BJ451" s="1190"/>
      <c r="BK451" s="1190"/>
      <c r="BL451" s="1190"/>
      <c r="BM451" s="1190"/>
      <c r="BN451" s="1190"/>
      <c r="BO451" s="1190"/>
    </row>
    <row r="452" spans="26:67">
      <c r="Z452" s="1190"/>
      <c r="AA452" s="1190"/>
      <c r="AB452" s="1190"/>
      <c r="AC452" s="1190"/>
      <c r="AD452" s="1190"/>
      <c r="AE452" s="1190"/>
      <c r="AF452" s="1190"/>
      <c r="AG452" s="1190"/>
      <c r="AH452" s="1190"/>
      <c r="AI452" s="1190"/>
      <c r="AJ452" s="1190"/>
      <c r="AK452" s="1190"/>
      <c r="AL452" s="1190"/>
      <c r="AM452" s="1190"/>
      <c r="AN452" s="1190"/>
      <c r="AO452" s="1190"/>
      <c r="AP452" s="1190"/>
      <c r="AQ452" s="1190"/>
      <c r="AR452" s="1190"/>
      <c r="AS452" s="1190"/>
      <c r="AT452" s="1190"/>
      <c r="AU452" s="1190"/>
      <c r="AV452" s="1190"/>
      <c r="AW452" s="1190"/>
      <c r="AX452" s="1190"/>
      <c r="AY452" s="1190"/>
      <c r="AZ452" s="1190"/>
      <c r="BA452" s="1190"/>
      <c r="BB452" s="1190"/>
      <c r="BC452" s="1190"/>
      <c r="BD452" s="1190"/>
      <c r="BE452" s="1190"/>
      <c r="BF452" s="1190"/>
      <c r="BG452" s="1190"/>
      <c r="BH452" s="1190"/>
      <c r="BI452" s="1190"/>
      <c r="BJ452" s="1190"/>
      <c r="BK452" s="1190"/>
      <c r="BL452" s="1190"/>
      <c r="BM452" s="1190"/>
      <c r="BN452" s="1190"/>
      <c r="BO452" s="1190"/>
    </row>
    <row r="453" spans="26:67">
      <c r="Z453" s="1190"/>
      <c r="AA453" s="1190"/>
      <c r="AB453" s="1190"/>
      <c r="AC453" s="1190"/>
      <c r="AD453" s="1190"/>
      <c r="AE453" s="1190"/>
      <c r="AF453" s="1190"/>
      <c r="AG453" s="1190"/>
      <c r="AH453" s="1190"/>
      <c r="AI453" s="1190"/>
      <c r="AJ453" s="1190"/>
      <c r="AK453" s="1190"/>
      <c r="AL453" s="1190"/>
      <c r="AM453" s="1190"/>
      <c r="AN453" s="1190"/>
      <c r="AO453" s="1190"/>
      <c r="AP453" s="1190"/>
      <c r="AQ453" s="1190"/>
      <c r="AR453" s="1190"/>
      <c r="AS453" s="1190"/>
      <c r="AT453" s="1190"/>
      <c r="AU453" s="1190"/>
      <c r="AV453" s="1190"/>
      <c r="AW453" s="1190"/>
      <c r="AX453" s="1190"/>
      <c r="AY453" s="1190"/>
      <c r="AZ453" s="1190"/>
      <c r="BA453" s="1190"/>
      <c r="BB453" s="1190"/>
      <c r="BC453" s="1190"/>
      <c r="BD453" s="1190"/>
      <c r="BE453" s="1190"/>
      <c r="BF453" s="1190"/>
      <c r="BG453" s="1190"/>
      <c r="BH453" s="1190"/>
      <c r="BI453" s="1190"/>
      <c r="BJ453" s="1190"/>
      <c r="BK453" s="1190"/>
      <c r="BL453" s="1190"/>
      <c r="BM453" s="1190"/>
      <c r="BN453" s="1190"/>
      <c r="BO453" s="1190"/>
    </row>
    <row r="454" spans="26:67">
      <c r="Z454" s="1190"/>
      <c r="AA454" s="1190"/>
      <c r="AB454" s="1190"/>
      <c r="AC454" s="1190"/>
      <c r="AD454" s="1190"/>
      <c r="AE454" s="1190"/>
      <c r="AF454" s="1190"/>
      <c r="AG454" s="1190"/>
      <c r="AH454" s="1190"/>
      <c r="AI454" s="1190"/>
      <c r="AJ454" s="1190"/>
      <c r="AK454" s="1190"/>
      <c r="AL454" s="1190"/>
      <c r="AM454" s="1190"/>
      <c r="AN454" s="1190"/>
      <c r="AO454" s="1190"/>
      <c r="AP454" s="1190"/>
      <c r="AQ454" s="1190"/>
      <c r="AR454" s="1190"/>
      <c r="AS454" s="1190"/>
      <c r="AT454" s="1190"/>
      <c r="AU454" s="1190"/>
      <c r="AV454" s="1190"/>
      <c r="AW454" s="1190"/>
      <c r="AX454" s="1190"/>
      <c r="AY454" s="1190"/>
      <c r="AZ454" s="1190"/>
      <c r="BA454" s="1190"/>
      <c r="BB454" s="1190"/>
      <c r="BC454" s="1190"/>
      <c r="BD454" s="1190"/>
      <c r="BE454" s="1190"/>
      <c r="BF454" s="1190"/>
      <c r="BG454" s="1190"/>
      <c r="BH454" s="1190"/>
      <c r="BI454" s="1190"/>
      <c r="BJ454" s="1190"/>
      <c r="BK454" s="1190"/>
      <c r="BL454" s="1190"/>
      <c r="BM454" s="1190"/>
      <c r="BN454" s="1190"/>
      <c r="BO454" s="1190"/>
    </row>
    <row r="455" spans="26:67">
      <c r="Z455" s="1190"/>
      <c r="AA455" s="1190"/>
      <c r="AB455" s="1190"/>
      <c r="AC455" s="1190"/>
      <c r="AD455" s="1190"/>
      <c r="AE455" s="1190"/>
      <c r="AF455" s="1190"/>
      <c r="AG455" s="1190"/>
      <c r="AH455" s="1190"/>
      <c r="AI455" s="1190"/>
      <c r="AJ455" s="1190"/>
      <c r="AK455" s="1190"/>
      <c r="AL455" s="1190"/>
      <c r="AM455" s="1190"/>
      <c r="AN455" s="1190"/>
      <c r="AO455" s="1190"/>
      <c r="AP455" s="1190"/>
      <c r="AQ455" s="1190"/>
      <c r="AR455" s="1190"/>
      <c r="AS455" s="1190"/>
      <c r="AT455" s="1190"/>
      <c r="AU455" s="1190"/>
      <c r="AV455" s="1190"/>
      <c r="AW455" s="1190"/>
      <c r="AX455" s="1190"/>
      <c r="AY455" s="1190"/>
      <c r="AZ455" s="1190"/>
      <c r="BA455" s="1190"/>
      <c r="BB455" s="1190"/>
      <c r="BC455" s="1190"/>
      <c r="BD455" s="1190"/>
      <c r="BE455" s="1190"/>
      <c r="BF455" s="1190"/>
      <c r="BG455" s="1190"/>
      <c r="BH455" s="1190"/>
      <c r="BI455" s="1190"/>
      <c r="BJ455" s="1190"/>
      <c r="BK455" s="1190"/>
      <c r="BL455" s="1190"/>
      <c r="BM455" s="1190"/>
      <c r="BN455" s="1190"/>
      <c r="BO455" s="1190"/>
    </row>
    <row r="456" spans="26:67">
      <c r="Z456" s="1190"/>
      <c r="AA456" s="1190"/>
      <c r="AB456" s="1190"/>
      <c r="AC456" s="1190"/>
      <c r="AD456" s="1190"/>
      <c r="AE456" s="1190"/>
      <c r="AF456" s="1190"/>
      <c r="AG456" s="1190"/>
      <c r="AH456" s="1190"/>
      <c r="AI456" s="1190"/>
      <c r="AJ456" s="1190"/>
      <c r="AK456" s="1190"/>
      <c r="AL456" s="1190"/>
      <c r="AM456" s="1190"/>
      <c r="AN456" s="1190"/>
      <c r="AO456" s="1190"/>
      <c r="AP456" s="1190"/>
      <c r="AQ456" s="1190"/>
      <c r="AR456" s="1190"/>
      <c r="AS456" s="1190"/>
      <c r="AT456" s="1190"/>
      <c r="AU456" s="1190"/>
      <c r="AV456" s="1190"/>
      <c r="AW456" s="1190"/>
      <c r="AX456" s="1190"/>
      <c r="AY456" s="1190"/>
      <c r="AZ456" s="1190"/>
      <c r="BA456" s="1190"/>
      <c r="BB456" s="1190"/>
      <c r="BC456" s="1190"/>
      <c r="BD456" s="1190"/>
      <c r="BE456" s="1190"/>
      <c r="BF456" s="1190"/>
      <c r="BG456" s="1190"/>
      <c r="BH456" s="1190"/>
      <c r="BI456" s="1190"/>
      <c r="BJ456" s="1190"/>
      <c r="BK456" s="1190"/>
      <c r="BL456" s="1190"/>
      <c r="BM456" s="1190"/>
      <c r="BN456" s="1190"/>
      <c r="BO456" s="1190"/>
    </row>
    <row r="457" spans="26:67">
      <c r="Z457" s="1190"/>
      <c r="AA457" s="1190"/>
      <c r="AB457" s="1190"/>
      <c r="AC457" s="1190"/>
      <c r="AD457" s="1190"/>
      <c r="AE457" s="1190"/>
      <c r="AF457" s="1190"/>
      <c r="AG457" s="1190"/>
      <c r="AH457" s="1190"/>
      <c r="AI457" s="1190"/>
      <c r="AJ457" s="1190"/>
      <c r="AK457" s="1190"/>
      <c r="AL457" s="1190"/>
      <c r="AM457" s="1190"/>
      <c r="AN457" s="1190"/>
      <c r="AO457" s="1190"/>
      <c r="AP457" s="1190"/>
      <c r="AQ457" s="1190"/>
      <c r="AR457" s="1190"/>
      <c r="AS457" s="1190"/>
      <c r="AT457" s="1190"/>
      <c r="AU457" s="1190"/>
      <c r="AV457" s="1190"/>
      <c r="AW457" s="1190"/>
      <c r="AX457" s="1190"/>
      <c r="AY457" s="1190"/>
      <c r="AZ457" s="1190"/>
      <c r="BA457" s="1190"/>
      <c r="BB457" s="1190"/>
      <c r="BC457" s="1190"/>
      <c r="BD457" s="1190"/>
      <c r="BE457" s="1190"/>
      <c r="BF457" s="1190"/>
      <c r="BG457" s="1190"/>
      <c r="BH457" s="1190"/>
      <c r="BI457" s="1190"/>
      <c r="BJ457" s="1190"/>
      <c r="BK457" s="1190"/>
      <c r="BL457" s="1190"/>
      <c r="BM457" s="1190"/>
      <c r="BN457" s="1190"/>
      <c r="BO457" s="1190"/>
    </row>
    <row r="458" spans="26:67">
      <c r="Z458" s="1190"/>
      <c r="AA458" s="1190"/>
      <c r="AB458" s="1190"/>
      <c r="AC458" s="1190"/>
      <c r="AD458" s="1190"/>
      <c r="AE458" s="1190"/>
      <c r="AF458" s="1190"/>
      <c r="AG458" s="1190"/>
      <c r="AH458" s="1190"/>
      <c r="AI458" s="1190"/>
      <c r="AJ458" s="1190"/>
      <c r="AK458" s="1190"/>
      <c r="AL458" s="1190"/>
      <c r="AM458" s="1190"/>
      <c r="AN458" s="1190"/>
      <c r="AO458" s="1190"/>
      <c r="AP458" s="1190"/>
      <c r="AQ458" s="1190"/>
      <c r="AR458" s="1190"/>
      <c r="AS458" s="1190"/>
      <c r="AT458" s="1190"/>
      <c r="AU458" s="1190"/>
      <c r="AV458" s="1190"/>
      <c r="AW458" s="1190"/>
      <c r="AX458" s="1190"/>
      <c r="AY458" s="1190"/>
      <c r="AZ458" s="1190"/>
      <c r="BA458" s="1190"/>
      <c r="BB458" s="1190"/>
      <c r="BC458" s="1190"/>
      <c r="BD458" s="1190"/>
      <c r="BE458" s="1190"/>
      <c r="BF458" s="1190"/>
      <c r="BG458" s="1190"/>
      <c r="BH458" s="1190"/>
      <c r="BI458" s="1190"/>
      <c r="BJ458" s="1190"/>
      <c r="BK458" s="1190"/>
      <c r="BL458" s="1190"/>
      <c r="BM458" s="1190"/>
      <c r="BN458" s="1190"/>
      <c r="BO458" s="1190"/>
    </row>
    <row r="459" spans="26:67">
      <c r="Z459" s="1190"/>
      <c r="AA459" s="1190"/>
      <c r="AB459" s="1190"/>
      <c r="AC459" s="1190"/>
      <c r="AD459" s="1190"/>
      <c r="AE459" s="1190"/>
      <c r="AF459" s="1190"/>
      <c r="AG459" s="1190"/>
      <c r="AH459" s="1190"/>
      <c r="AI459" s="1190"/>
      <c r="AJ459" s="1190"/>
      <c r="AK459" s="1190"/>
      <c r="AL459" s="1190"/>
      <c r="AM459" s="1190"/>
      <c r="AN459" s="1190"/>
      <c r="AO459" s="1190"/>
      <c r="AP459" s="1190"/>
      <c r="AQ459" s="1190"/>
      <c r="AR459" s="1190"/>
      <c r="AS459" s="1190"/>
      <c r="AT459" s="1190"/>
      <c r="AU459" s="1190"/>
      <c r="AV459" s="1190"/>
      <c r="AW459" s="1190"/>
      <c r="AX459" s="1190"/>
      <c r="AY459" s="1190"/>
      <c r="AZ459" s="1190"/>
      <c r="BA459" s="1190"/>
      <c r="BB459" s="1190"/>
      <c r="BC459" s="1190"/>
      <c r="BD459" s="1190"/>
      <c r="BE459" s="1190"/>
      <c r="BF459" s="1190"/>
      <c r="BG459" s="1190"/>
      <c r="BH459" s="1190"/>
      <c r="BI459" s="1190"/>
      <c r="BJ459" s="1190"/>
      <c r="BK459" s="1190"/>
      <c r="BL459" s="1190"/>
      <c r="BM459" s="1190"/>
      <c r="BN459" s="1190"/>
      <c r="BO459" s="1190"/>
    </row>
    <row r="460" spans="26:67">
      <c r="Z460" s="1190"/>
      <c r="AA460" s="1190"/>
      <c r="AB460" s="1190"/>
      <c r="AC460" s="1190"/>
      <c r="AD460" s="1190"/>
      <c r="AE460" s="1190"/>
      <c r="AF460" s="1190"/>
      <c r="AG460" s="1190"/>
      <c r="AH460" s="1190"/>
      <c r="AI460" s="1190"/>
      <c r="AJ460" s="1190"/>
      <c r="AK460" s="1190"/>
      <c r="AL460" s="1190"/>
      <c r="AM460" s="1190"/>
      <c r="AN460" s="1190"/>
      <c r="AO460" s="1190"/>
      <c r="AP460" s="1190"/>
      <c r="AQ460" s="1190"/>
      <c r="AR460" s="1190"/>
      <c r="AS460" s="1190"/>
      <c r="AT460" s="1190"/>
      <c r="AU460" s="1190"/>
      <c r="AV460" s="1190"/>
      <c r="AW460" s="1190"/>
      <c r="AX460" s="1190"/>
      <c r="AY460" s="1190"/>
      <c r="AZ460" s="1190"/>
      <c r="BA460" s="1190"/>
      <c r="BB460" s="1190"/>
      <c r="BC460" s="1190"/>
      <c r="BD460" s="1190"/>
      <c r="BE460" s="1190"/>
      <c r="BF460" s="1190"/>
      <c r="BG460" s="1190"/>
      <c r="BH460" s="1190"/>
      <c r="BI460" s="1190"/>
      <c r="BJ460" s="1190"/>
      <c r="BK460" s="1190"/>
      <c r="BL460" s="1190"/>
      <c r="BM460" s="1190"/>
      <c r="BN460" s="1190"/>
      <c r="BO460" s="1190"/>
    </row>
    <row r="461" spans="26:67">
      <c r="Z461" s="1190"/>
      <c r="AA461" s="1190"/>
      <c r="AB461" s="1190"/>
      <c r="AC461" s="1190"/>
      <c r="AD461" s="1190"/>
      <c r="AE461" s="1190"/>
      <c r="AF461" s="1190"/>
      <c r="AG461" s="1190"/>
      <c r="AH461" s="1190"/>
      <c r="AI461" s="1190"/>
      <c r="AJ461" s="1190"/>
      <c r="AK461" s="1190"/>
      <c r="AL461" s="1190"/>
      <c r="AM461" s="1190"/>
      <c r="AN461" s="1190"/>
      <c r="AO461" s="1190"/>
      <c r="AP461" s="1190"/>
      <c r="AQ461" s="1190"/>
      <c r="AR461" s="1190"/>
      <c r="AS461" s="1190"/>
      <c r="AT461" s="1190"/>
      <c r="AU461" s="1190"/>
      <c r="AV461" s="1190"/>
      <c r="AW461" s="1190"/>
      <c r="AX461" s="1190"/>
      <c r="AY461" s="1190"/>
      <c r="AZ461" s="1190"/>
      <c r="BA461" s="1190"/>
      <c r="BB461" s="1190"/>
      <c r="BC461" s="1190"/>
      <c r="BD461" s="1190"/>
      <c r="BE461" s="1190"/>
      <c r="BF461" s="1190"/>
      <c r="BG461" s="1190"/>
      <c r="BH461" s="1190"/>
      <c r="BI461" s="1190"/>
      <c r="BJ461" s="1190"/>
      <c r="BK461" s="1190"/>
      <c r="BL461" s="1190"/>
      <c r="BM461" s="1190"/>
      <c r="BN461" s="1190"/>
      <c r="BO461" s="1190"/>
    </row>
    <row r="462" spans="26:67">
      <c r="Z462" s="1190"/>
      <c r="AA462" s="1190"/>
      <c r="AB462" s="1190"/>
      <c r="AC462" s="1190"/>
      <c r="AD462" s="1190"/>
      <c r="AE462" s="1190"/>
      <c r="AF462" s="1190"/>
      <c r="AG462" s="1190"/>
      <c r="AH462" s="1190"/>
      <c r="AI462" s="1190"/>
      <c r="AJ462" s="1190"/>
      <c r="AK462" s="1190"/>
      <c r="AL462" s="1190"/>
      <c r="AM462" s="1190"/>
      <c r="AN462" s="1190"/>
      <c r="AO462" s="1190"/>
      <c r="AP462" s="1190"/>
      <c r="AQ462" s="1190"/>
      <c r="AR462" s="1190"/>
      <c r="AS462" s="1190"/>
      <c r="AT462" s="1190"/>
      <c r="AU462" s="1190"/>
      <c r="AV462" s="1190"/>
      <c r="AW462" s="1190"/>
      <c r="AX462" s="1190"/>
      <c r="AY462" s="1190"/>
      <c r="AZ462" s="1190"/>
      <c r="BA462" s="1190"/>
      <c r="BB462" s="1190"/>
      <c r="BC462" s="1190"/>
      <c r="BD462" s="1190"/>
      <c r="BE462" s="1190"/>
      <c r="BF462" s="1190"/>
      <c r="BG462" s="1190"/>
      <c r="BH462" s="1190"/>
      <c r="BI462" s="1190"/>
      <c r="BJ462" s="1190"/>
      <c r="BK462" s="1190"/>
      <c r="BL462" s="1190"/>
      <c r="BM462" s="1190"/>
      <c r="BN462" s="1190"/>
      <c r="BO462" s="1190"/>
    </row>
    <row r="463" spans="26:67">
      <c r="Z463" s="1190"/>
      <c r="AA463" s="1190"/>
      <c r="AB463" s="1190"/>
      <c r="AC463" s="1190"/>
      <c r="AD463" s="1190"/>
      <c r="AE463" s="1190"/>
      <c r="AF463" s="1190"/>
      <c r="AG463" s="1190"/>
      <c r="AH463" s="1190"/>
      <c r="AI463" s="1190"/>
      <c r="AJ463" s="1190"/>
      <c r="AK463" s="1190"/>
      <c r="AL463" s="1190"/>
      <c r="AM463" s="1190"/>
      <c r="AN463" s="1190"/>
      <c r="AO463" s="1190"/>
      <c r="AP463" s="1190"/>
      <c r="AQ463" s="1190"/>
      <c r="AR463" s="1190"/>
      <c r="AS463" s="1190"/>
      <c r="AT463" s="1190"/>
      <c r="AU463" s="1190"/>
      <c r="AV463" s="1190"/>
      <c r="AW463" s="1190"/>
      <c r="AX463" s="1190"/>
      <c r="AY463" s="1190"/>
      <c r="AZ463" s="1190"/>
      <c r="BA463" s="1190"/>
      <c r="BB463" s="1190"/>
      <c r="BC463" s="1190"/>
      <c r="BD463" s="1190"/>
      <c r="BE463" s="1190"/>
      <c r="BF463" s="1190"/>
      <c r="BG463" s="1190"/>
      <c r="BH463" s="1190"/>
      <c r="BI463" s="1190"/>
      <c r="BJ463" s="1190"/>
      <c r="BK463" s="1190"/>
      <c r="BL463" s="1190"/>
      <c r="BM463" s="1190"/>
      <c r="BN463" s="1190"/>
      <c r="BO463" s="1190"/>
    </row>
    <row r="464" spans="26:67">
      <c r="Z464" s="1190"/>
      <c r="AA464" s="1190"/>
      <c r="AB464" s="1190"/>
      <c r="AC464" s="1190"/>
      <c r="AD464" s="1190"/>
      <c r="AE464" s="1190"/>
      <c r="AF464" s="1190"/>
      <c r="AG464" s="1190"/>
      <c r="AH464" s="1190"/>
      <c r="AI464" s="1190"/>
      <c r="AJ464" s="1190"/>
      <c r="AK464" s="1190"/>
      <c r="AL464" s="1190"/>
      <c r="AM464" s="1190"/>
      <c r="AN464" s="1190"/>
      <c r="AO464" s="1190"/>
      <c r="AP464" s="1190"/>
      <c r="AQ464" s="1190"/>
      <c r="AR464" s="1190"/>
      <c r="AS464" s="1190"/>
      <c r="AT464" s="1190"/>
      <c r="AU464" s="1190"/>
      <c r="AV464" s="1190"/>
      <c r="AW464" s="1190"/>
      <c r="AX464" s="1190"/>
      <c r="AY464" s="1190"/>
      <c r="AZ464" s="1190"/>
      <c r="BA464" s="1190"/>
      <c r="BB464" s="1190"/>
      <c r="BC464" s="1190"/>
      <c r="BD464" s="1190"/>
      <c r="BE464" s="1190"/>
      <c r="BF464" s="1190"/>
      <c r="BG464" s="1190"/>
      <c r="BH464" s="1190"/>
      <c r="BI464" s="1190"/>
      <c r="BJ464" s="1190"/>
      <c r="BK464" s="1190"/>
      <c r="BL464" s="1190"/>
      <c r="BM464" s="1190"/>
      <c r="BN464" s="1190"/>
      <c r="BO464" s="1190"/>
    </row>
    <row r="465" spans="26:67">
      <c r="Z465" s="1190"/>
      <c r="AA465" s="1190"/>
      <c r="AB465" s="1190"/>
      <c r="AC465" s="1190"/>
      <c r="AD465" s="1190"/>
      <c r="AE465" s="1190"/>
      <c r="AF465" s="1190"/>
      <c r="AG465" s="1190"/>
      <c r="AH465" s="1190"/>
      <c r="AI465" s="1190"/>
      <c r="AJ465" s="1190"/>
      <c r="AK465" s="1190"/>
      <c r="AL465" s="1190"/>
      <c r="AM465" s="1190"/>
      <c r="AN465" s="1190"/>
      <c r="AO465" s="1190"/>
      <c r="AP465" s="1190"/>
      <c r="AQ465" s="1190"/>
      <c r="AR465" s="1190"/>
      <c r="AS465" s="1190"/>
      <c r="AT465" s="1190"/>
      <c r="AU465" s="1190"/>
      <c r="AV465" s="1190"/>
      <c r="AW465" s="1190"/>
      <c r="AX465" s="1190"/>
      <c r="AY465" s="1190"/>
      <c r="AZ465" s="1190"/>
      <c r="BA465" s="1190"/>
      <c r="BB465" s="1190"/>
      <c r="BC465" s="1190"/>
      <c r="BD465" s="1190"/>
      <c r="BE465" s="1190"/>
      <c r="BF465" s="1190"/>
      <c r="BG465" s="1190"/>
      <c r="BH465" s="1190"/>
      <c r="BI465" s="1190"/>
      <c r="BJ465" s="1190"/>
      <c r="BK465" s="1190"/>
      <c r="BL465" s="1190"/>
      <c r="BM465" s="1190"/>
      <c r="BN465" s="1190"/>
      <c r="BO465" s="1190"/>
    </row>
    <row r="466" spans="26:67">
      <c r="Z466" s="1190"/>
      <c r="AA466" s="1190"/>
      <c r="AB466" s="1190"/>
      <c r="AC466" s="1190"/>
      <c r="AD466" s="1190"/>
      <c r="AE466" s="1190"/>
      <c r="AF466" s="1190"/>
      <c r="AG466" s="1190"/>
      <c r="AH466" s="1190"/>
      <c r="AI466" s="1190"/>
      <c r="AJ466" s="1190"/>
      <c r="AK466" s="1190"/>
      <c r="AL466" s="1190"/>
      <c r="AM466" s="1190"/>
      <c r="AN466" s="1190"/>
      <c r="AO466" s="1190"/>
      <c r="AP466" s="1190"/>
      <c r="AQ466" s="1190"/>
      <c r="AR466" s="1190"/>
      <c r="AS466" s="1190"/>
      <c r="AT466" s="1190"/>
      <c r="AU466" s="1190"/>
      <c r="AV466" s="1190"/>
      <c r="AW466" s="1190"/>
      <c r="AX466" s="1190"/>
      <c r="AY466" s="1190"/>
      <c r="AZ466" s="1190"/>
      <c r="BA466" s="1190"/>
      <c r="BB466" s="1190"/>
      <c r="BC466" s="1190"/>
      <c r="BD466" s="1190"/>
      <c r="BE466" s="1190"/>
      <c r="BF466" s="1190"/>
      <c r="BG466" s="1190"/>
      <c r="BH466" s="1190"/>
      <c r="BI466" s="1190"/>
      <c r="BJ466" s="1190"/>
      <c r="BK466" s="1190"/>
      <c r="BL466" s="1190"/>
      <c r="BM466" s="1190"/>
      <c r="BN466" s="1190"/>
      <c r="BO466" s="1190"/>
    </row>
    <row r="467" spans="26:67">
      <c r="Z467" s="1190"/>
      <c r="AA467" s="1190"/>
      <c r="AB467" s="1190"/>
      <c r="AC467" s="1190"/>
      <c r="AD467" s="1190"/>
      <c r="AE467" s="1190"/>
      <c r="AF467" s="1190"/>
      <c r="AG467" s="1190"/>
      <c r="AH467" s="1190"/>
      <c r="AI467" s="1190"/>
      <c r="AJ467" s="1190"/>
      <c r="AK467" s="1190"/>
      <c r="AL467" s="1190"/>
      <c r="AM467" s="1190"/>
      <c r="AN467" s="1190"/>
      <c r="AO467" s="1190"/>
      <c r="AP467" s="1190"/>
      <c r="AQ467" s="1190"/>
      <c r="AR467" s="1190"/>
      <c r="AS467" s="1190"/>
      <c r="AT467" s="1190"/>
      <c r="AU467" s="1190"/>
      <c r="AV467" s="1190"/>
      <c r="AW467" s="1190"/>
      <c r="AX467" s="1190"/>
      <c r="AY467" s="1190"/>
      <c r="AZ467" s="1190"/>
      <c r="BA467" s="1190"/>
      <c r="BB467" s="1190"/>
      <c r="BC467" s="1190"/>
      <c r="BD467" s="1190"/>
      <c r="BE467" s="1190"/>
      <c r="BF467" s="1190"/>
      <c r="BG467" s="1190"/>
      <c r="BH467" s="1190"/>
      <c r="BI467" s="1190"/>
      <c r="BJ467" s="1190"/>
      <c r="BK467" s="1190"/>
      <c r="BL467" s="1190"/>
      <c r="BM467" s="1190"/>
      <c r="BN467" s="1190"/>
      <c r="BO467" s="1190"/>
    </row>
    <row r="468" spans="26:67">
      <c r="Z468" s="1190"/>
      <c r="AA468" s="1190"/>
      <c r="AB468" s="1190"/>
      <c r="AC468" s="1190"/>
      <c r="AD468" s="1190"/>
      <c r="AE468" s="1190"/>
      <c r="AF468" s="1190"/>
      <c r="AG468" s="1190"/>
      <c r="AH468" s="1190"/>
      <c r="AI468" s="1190"/>
      <c r="AJ468" s="1190"/>
      <c r="AK468" s="1190"/>
      <c r="AL468" s="1190"/>
      <c r="AM468" s="1190"/>
      <c r="AN468" s="1190"/>
      <c r="AO468" s="1190"/>
      <c r="AP468" s="1190"/>
      <c r="AQ468" s="1190"/>
      <c r="AR468" s="1190"/>
      <c r="AS468" s="1190"/>
      <c r="AT468" s="1190"/>
      <c r="AU468" s="1190"/>
      <c r="AV468" s="1190"/>
      <c r="AW468" s="1190"/>
      <c r="AX468" s="1190"/>
      <c r="AY468" s="1190"/>
      <c r="AZ468" s="1190"/>
      <c r="BA468" s="1190"/>
      <c r="BB468" s="1190"/>
      <c r="BC468" s="1190"/>
      <c r="BD468" s="1190"/>
      <c r="BE468" s="1190"/>
      <c r="BF468" s="1190"/>
      <c r="BG468" s="1190"/>
      <c r="BH468" s="1190"/>
      <c r="BI468" s="1190"/>
      <c r="BJ468" s="1190"/>
      <c r="BK468" s="1190"/>
      <c r="BL468" s="1190"/>
      <c r="BM468" s="1190"/>
      <c r="BN468" s="1190"/>
      <c r="BO468" s="1190"/>
    </row>
    <row r="469" spans="26:67">
      <c r="Z469" s="1190"/>
      <c r="AA469" s="1190"/>
      <c r="AB469" s="1190"/>
      <c r="AC469" s="1190"/>
      <c r="AD469" s="1190"/>
      <c r="AE469" s="1190"/>
      <c r="AF469" s="1190"/>
      <c r="AG469" s="1190"/>
      <c r="AH469" s="1190"/>
      <c r="AI469" s="1190"/>
      <c r="AJ469" s="1190"/>
      <c r="AK469" s="1190"/>
      <c r="AL469" s="1190"/>
      <c r="AM469" s="1190"/>
      <c r="AN469" s="1190"/>
      <c r="AO469" s="1190"/>
      <c r="AP469" s="1190"/>
      <c r="AQ469" s="1190"/>
      <c r="AR469" s="1190"/>
      <c r="AS469" s="1190"/>
      <c r="AT469" s="1190"/>
      <c r="AU469" s="1190"/>
      <c r="AV469" s="1190"/>
      <c r="AW469" s="1190"/>
      <c r="AX469" s="1190"/>
      <c r="AY469" s="1190"/>
      <c r="AZ469" s="1190"/>
      <c r="BA469" s="1190"/>
      <c r="BB469" s="1190"/>
      <c r="BC469" s="1190"/>
      <c r="BD469" s="1190"/>
      <c r="BE469" s="1190"/>
      <c r="BF469" s="1190"/>
      <c r="BG469" s="1190"/>
      <c r="BH469" s="1190"/>
      <c r="BI469" s="1190"/>
      <c r="BJ469" s="1190"/>
      <c r="BK469" s="1190"/>
      <c r="BL469" s="1190"/>
      <c r="BM469" s="1190"/>
      <c r="BN469" s="1190"/>
      <c r="BO469" s="1190"/>
    </row>
    <row r="470" spans="26:67">
      <c r="Z470" s="1190"/>
      <c r="AA470" s="1190"/>
      <c r="AB470" s="1190"/>
      <c r="AC470" s="1190"/>
      <c r="AD470" s="1190"/>
      <c r="AE470" s="1190"/>
      <c r="AF470" s="1190"/>
      <c r="AG470" s="1190"/>
      <c r="AH470" s="1190"/>
      <c r="AI470" s="1190"/>
      <c r="AJ470" s="1190"/>
      <c r="AK470" s="1190"/>
      <c r="AL470" s="1190"/>
      <c r="AM470" s="1190"/>
      <c r="AN470" s="1190"/>
      <c r="AO470" s="1190"/>
      <c r="AP470" s="1190"/>
      <c r="AQ470" s="1190"/>
      <c r="AR470" s="1190"/>
      <c r="AS470" s="1190"/>
      <c r="AT470" s="1190"/>
      <c r="AU470" s="1190"/>
      <c r="AV470" s="1190"/>
      <c r="AW470" s="1190"/>
      <c r="AX470" s="1190"/>
      <c r="AY470" s="1190"/>
      <c r="AZ470" s="1190"/>
      <c r="BA470" s="1190"/>
      <c r="BB470" s="1190"/>
      <c r="BC470" s="1190"/>
      <c r="BD470" s="1190"/>
      <c r="BE470" s="1190"/>
      <c r="BF470" s="1190"/>
      <c r="BG470" s="1190"/>
      <c r="BH470" s="1190"/>
      <c r="BI470" s="1190"/>
      <c r="BJ470" s="1190"/>
      <c r="BK470" s="1190"/>
      <c r="BL470" s="1190"/>
      <c r="BM470" s="1190"/>
      <c r="BN470" s="1190"/>
      <c r="BO470" s="1190"/>
    </row>
    <row r="471" spans="26:67">
      <c r="Z471" s="1190"/>
      <c r="AA471" s="1190"/>
      <c r="AB471" s="1190"/>
      <c r="AC471" s="1190"/>
      <c r="AD471" s="1190"/>
      <c r="AE471" s="1190"/>
      <c r="AF471" s="1190"/>
      <c r="AG471" s="1190"/>
      <c r="AH471" s="1190"/>
      <c r="AI471" s="1190"/>
      <c r="AJ471" s="1190"/>
      <c r="AK471" s="1190"/>
      <c r="AL471" s="1190"/>
      <c r="AM471" s="1190"/>
      <c r="AN471" s="1190"/>
      <c r="AO471" s="1190"/>
      <c r="AP471" s="1190"/>
      <c r="AQ471" s="1190"/>
      <c r="AR471" s="1190"/>
      <c r="AS471" s="1190"/>
      <c r="AT471" s="1190"/>
      <c r="AU471" s="1190"/>
      <c r="AV471" s="1190"/>
      <c r="AW471" s="1190"/>
      <c r="AX471" s="1190"/>
      <c r="AY471" s="1190"/>
      <c r="AZ471" s="1190"/>
      <c r="BA471" s="1190"/>
      <c r="BB471" s="1190"/>
      <c r="BC471" s="1190"/>
      <c r="BD471" s="1190"/>
      <c r="BE471" s="1190"/>
      <c r="BF471" s="1190"/>
      <c r="BG471" s="1190"/>
      <c r="BH471" s="1190"/>
      <c r="BI471" s="1190"/>
      <c r="BJ471" s="1190"/>
      <c r="BK471" s="1190"/>
      <c r="BL471" s="1190"/>
      <c r="BM471" s="1190"/>
      <c r="BN471" s="1190"/>
      <c r="BO471" s="1190"/>
    </row>
    <row r="472" spans="26:67">
      <c r="Z472" s="1190"/>
      <c r="AA472" s="1190"/>
      <c r="AB472" s="1190"/>
      <c r="AC472" s="1190"/>
      <c r="AD472" s="1190"/>
      <c r="AE472" s="1190"/>
      <c r="AF472" s="1190"/>
      <c r="AG472" s="1190"/>
      <c r="AH472" s="1190"/>
      <c r="AI472" s="1190"/>
      <c r="AJ472" s="1190"/>
      <c r="AK472" s="1190"/>
      <c r="AL472" s="1190"/>
      <c r="AM472" s="1190"/>
      <c r="AN472" s="1190"/>
      <c r="AO472" s="1190"/>
      <c r="AP472" s="1190"/>
      <c r="AQ472" s="1190"/>
      <c r="AR472" s="1190"/>
      <c r="AS472" s="1190"/>
      <c r="AT472" s="1190"/>
      <c r="AU472" s="1190"/>
      <c r="AV472" s="1190"/>
      <c r="AW472" s="1190"/>
      <c r="AX472" s="1190"/>
      <c r="AY472" s="1190"/>
      <c r="AZ472" s="1190"/>
      <c r="BA472" s="1190"/>
      <c r="BB472" s="1190"/>
      <c r="BC472" s="1190"/>
      <c r="BD472" s="1190"/>
      <c r="BE472" s="1190"/>
      <c r="BF472" s="1190"/>
      <c r="BG472" s="1190"/>
      <c r="BH472" s="1190"/>
      <c r="BI472" s="1190"/>
      <c r="BJ472" s="1190"/>
      <c r="BK472" s="1190"/>
      <c r="BL472" s="1190"/>
      <c r="BM472" s="1190"/>
      <c r="BN472" s="1190"/>
      <c r="BO472" s="1190"/>
    </row>
    <row r="473" spans="26:67">
      <c r="Z473" s="1190"/>
      <c r="AA473" s="1190"/>
      <c r="AB473" s="1190"/>
      <c r="AC473" s="1190"/>
      <c r="AD473" s="1190"/>
      <c r="AE473" s="1190"/>
      <c r="AF473" s="1190"/>
      <c r="AG473" s="1190"/>
      <c r="AH473" s="1190"/>
      <c r="AI473" s="1190"/>
      <c r="AJ473" s="1190"/>
      <c r="AK473" s="1190"/>
      <c r="AL473" s="1190"/>
      <c r="AM473" s="1190"/>
      <c r="AN473" s="1190"/>
      <c r="AO473" s="1190"/>
      <c r="AP473" s="1190"/>
      <c r="AQ473" s="1190"/>
      <c r="AR473" s="1190"/>
      <c r="AS473" s="1190"/>
      <c r="AT473" s="1190"/>
      <c r="AU473" s="1190"/>
      <c r="AV473" s="1190"/>
      <c r="AW473" s="1190"/>
      <c r="AX473" s="1190"/>
      <c r="AY473" s="1190"/>
      <c r="AZ473" s="1190"/>
      <c r="BA473" s="1190"/>
      <c r="BB473" s="1190"/>
      <c r="BC473" s="1190"/>
      <c r="BD473" s="1190"/>
      <c r="BE473" s="1190"/>
      <c r="BF473" s="1190"/>
      <c r="BG473" s="1190"/>
      <c r="BH473" s="1190"/>
      <c r="BI473" s="1190"/>
      <c r="BJ473" s="1190"/>
      <c r="BK473" s="1190"/>
      <c r="BL473" s="1190"/>
      <c r="BM473" s="1190"/>
      <c r="BN473" s="1190"/>
      <c r="BO473" s="1190"/>
    </row>
    <row r="474" spans="26:67">
      <c r="Z474" s="1190"/>
      <c r="AA474" s="1190"/>
      <c r="AB474" s="1190"/>
      <c r="AC474" s="1190"/>
      <c r="AD474" s="1190"/>
      <c r="AE474" s="1190"/>
      <c r="AF474" s="1190"/>
      <c r="AG474" s="1190"/>
      <c r="AH474" s="1190"/>
      <c r="AI474" s="1190"/>
      <c r="AJ474" s="1190"/>
      <c r="AK474" s="1190"/>
      <c r="AL474" s="1190"/>
      <c r="AM474" s="1190"/>
      <c r="AN474" s="1190"/>
      <c r="AO474" s="1190"/>
      <c r="AP474" s="1190"/>
      <c r="AQ474" s="1190"/>
      <c r="AR474" s="1190"/>
      <c r="AS474" s="1190"/>
      <c r="AT474" s="1190"/>
      <c r="AU474" s="1190"/>
      <c r="AV474" s="1190"/>
      <c r="AW474" s="1190"/>
      <c r="AX474" s="1190"/>
      <c r="AY474" s="1190"/>
      <c r="AZ474" s="1190"/>
      <c r="BA474" s="1190"/>
      <c r="BB474" s="1190"/>
      <c r="BC474" s="1190"/>
      <c r="BD474" s="1190"/>
      <c r="BE474" s="1190"/>
      <c r="BF474" s="1190"/>
      <c r="BG474" s="1190"/>
      <c r="BH474" s="1190"/>
      <c r="BI474" s="1190"/>
      <c r="BJ474" s="1190"/>
      <c r="BK474" s="1190"/>
      <c r="BL474" s="1190"/>
      <c r="BM474" s="1190"/>
      <c r="BN474" s="1190"/>
      <c r="BO474" s="1190"/>
    </row>
    <row r="475" spans="26:67">
      <c r="Z475" s="1190"/>
      <c r="AA475" s="1190"/>
      <c r="AB475" s="1190"/>
      <c r="AC475" s="1190"/>
      <c r="AD475" s="1190"/>
      <c r="AE475" s="1190"/>
      <c r="AF475" s="1190"/>
      <c r="AG475" s="1190"/>
      <c r="AH475" s="1190"/>
      <c r="AI475" s="1190"/>
      <c r="AJ475" s="1190"/>
      <c r="AK475" s="1190"/>
      <c r="AL475" s="1190"/>
      <c r="AM475" s="1190"/>
      <c r="AN475" s="1190"/>
      <c r="AO475" s="1190"/>
      <c r="AP475" s="1190"/>
      <c r="AQ475" s="1190"/>
      <c r="AR475" s="1190"/>
      <c r="AS475" s="1190"/>
      <c r="AT475" s="1190"/>
      <c r="AU475" s="1190"/>
      <c r="AV475" s="1190"/>
      <c r="AW475" s="1190"/>
      <c r="AX475" s="1190"/>
      <c r="AY475" s="1190"/>
      <c r="AZ475" s="1190"/>
      <c r="BA475" s="1190"/>
      <c r="BB475" s="1190"/>
      <c r="BC475" s="1190"/>
      <c r="BD475" s="1190"/>
      <c r="BE475" s="1190"/>
      <c r="BF475" s="1190"/>
      <c r="BG475" s="1190"/>
      <c r="BH475" s="1190"/>
      <c r="BI475" s="1190"/>
      <c r="BJ475" s="1190"/>
      <c r="BK475" s="1190"/>
      <c r="BL475" s="1190"/>
      <c r="BM475" s="1190"/>
      <c r="BN475" s="1190"/>
      <c r="BO475" s="1190"/>
    </row>
    <row r="476" spans="26:67">
      <c r="Z476" s="1190"/>
      <c r="AA476" s="1190"/>
      <c r="AB476" s="1190"/>
      <c r="AC476" s="1190"/>
      <c r="AD476" s="1190"/>
      <c r="AE476" s="1190"/>
      <c r="AF476" s="1190"/>
      <c r="AG476" s="1190"/>
      <c r="AH476" s="1190"/>
      <c r="AI476" s="1190"/>
      <c r="AJ476" s="1190"/>
      <c r="AK476" s="1190"/>
      <c r="AL476" s="1190"/>
      <c r="AM476" s="1190"/>
      <c r="AN476" s="1190"/>
      <c r="AO476" s="1190"/>
      <c r="AP476" s="1190"/>
      <c r="AQ476" s="1190"/>
      <c r="AR476" s="1190"/>
      <c r="AS476" s="1190"/>
      <c r="AT476" s="1190"/>
      <c r="AU476" s="1190"/>
      <c r="AV476" s="1190"/>
      <c r="AW476" s="1190"/>
      <c r="AX476" s="1190"/>
      <c r="AY476" s="1190"/>
      <c r="AZ476" s="1190"/>
      <c r="BA476" s="1190"/>
      <c r="BB476" s="1190"/>
      <c r="BC476" s="1190"/>
      <c r="BD476" s="1190"/>
      <c r="BE476" s="1190"/>
      <c r="BF476" s="1190"/>
      <c r="BG476" s="1190"/>
      <c r="BH476" s="1190"/>
      <c r="BI476" s="1190"/>
      <c r="BJ476" s="1190"/>
      <c r="BK476" s="1190"/>
      <c r="BL476" s="1190"/>
      <c r="BM476" s="1190"/>
      <c r="BN476" s="1190"/>
      <c r="BO476" s="1190"/>
    </row>
    <row r="477" spans="26:67">
      <c r="Z477" s="1190"/>
      <c r="AA477" s="1190"/>
      <c r="AB477" s="1190"/>
      <c r="AC477" s="1190"/>
      <c r="AD477" s="1190"/>
      <c r="AE477" s="1190"/>
      <c r="AF477" s="1190"/>
      <c r="AG477" s="1190"/>
      <c r="AH477" s="1190"/>
      <c r="AI477" s="1190"/>
      <c r="AJ477" s="1190"/>
      <c r="AK477" s="1190"/>
      <c r="AL477" s="1190"/>
      <c r="AM477" s="1190"/>
      <c r="AN477" s="1190"/>
      <c r="AO477" s="1190"/>
      <c r="AP477" s="1190"/>
      <c r="AQ477" s="1190"/>
      <c r="AR477" s="1190"/>
      <c r="AS477" s="1190"/>
      <c r="AT477" s="1190"/>
      <c r="AU477" s="1190"/>
      <c r="AV477" s="1190"/>
      <c r="AW477" s="1190"/>
      <c r="AX477" s="1190"/>
      <c r="AY477" s="1190"/>
      <c r="AZ477" s="1190"/>
      <c r="BA477" s="1190"/>
      <c r="BB477" s="1190"/>
      <c r="BC477" s="1190"/>
      <c r="BD477" s="1190"/>
      <c r="BE477" s="1190"/>
      <c r="BF477" s="1190"/>
      <c r="BG477" s="1190"/>
      <c r="BH477" s="1190"/>
      <c r="BI477" s="1190"/>
      <c r="BJ477" s="1190"/>
      <c r="BK477" s="1190"/>
      <c r="BL477" s="1190"/>
      <c r="BM477" s="1190"/>
      <c r="BN477" s="1190"/>
      <c r="BO477" s="1190"/>
    </row>
    <row r="478" spans="26:67">
      <c r="Z478" s="1190"/>
      <c r="AA478" s="1190"/>
      <c r="AB478" s="1190"/>
      <c r="AC478" s="1190"/>
      <c r="AD478" s="1190"/>
      <c r="AE478" s="1190"/>
      <c r="AF478" s="1190"/>
      <c r="AG478" s="1190"/>
      <c r="AH478" s="1190"/>
      <c r="AI478" s="1190"/>
      <c r="AJ478" s="1190"/>
      <c r="AK478" s="1190"/>
      <c r="AL478" s="1190"/>
      <c r="AM478" s="1190"/>
      <c r="AN478" s="1190"/>
      <c r="AO478" s="1190"/>
      <c r="AP478" s="1190"/>
      <c r="AQ478" s="1190"/>
      <c r="AR478" s="1190"/>
      <c r="AS478" s="1190"/>
      <c r="AT478" s="1190"/>
      <c r="AU478" s="1190"/>
      <c r="AV478" s="1190"/>
      <c r="AW478" s="1190"/>
      <c r="AX478" s="1190"/>
      <c r="AY478" s="1190"/>
      <c r="AZ478" s="1190"/>
      <c r="BA478" s="1190"/>
      <c r="BB478" s="1190"/>
      <c r="BC478" s="1190"/>
      <c r="BD478" s="1190"/>
      <c r="BE478" s="1190"/>
      <c r="BF478" s="1190"/>
      <c r="BG478" s="1190"/>
      <c r="BH478" s="1190"/>
      <c r="BI478" s="1190"/>
      <c r="BJ478" s="1190"/>
      <c r="BK478" s="1190"/>
      <c r="BL478" s="1190"/>
      <c r="BM478" s="1190"/>
      <c r="BN478" s="1190"/>
      <c r="BO478" s="1190"/>
    </row>
    <row r="479" spans="26:67">
      <c r="Z479" s="1190"/>
      <c r="AA479" s="1190"/>
      <c r="AB479" s="1190"/>
      <c r="AC479" s="1190"/>
      <c r="AD479" s="1190"/>
      <c r="AE479" s="1190"/>
      <c r="AF479" s="1190"/>
      <c r="AG479" s="1190"/>
      <c r="AH479" s="1190"/>
      <c r="AI479" s="1190"/>
      <c r="AJ479" s="1190"/>
      <c r="AK479" s="1190"/>
      <c r="AL479" s="1190"/>
      <c r="AM479" s="1190"/>
      <c r="AN479" s="1190"/>
      <c r="AO479" s="1190"/>
      <c r="AP479" s="1190"/>
      <c r="AQ479" s="1190"/>
      <c r="AR479" s="1190"/>
      <c r="AS479" s="1190"/>
      <c r="AT479" s="1190"/>
      <c r="AU479" s="1190"/>
      <c r="AV479" s="1190"/>
      <c r="AW479" s="1190"/>
      <c r="AX479" s="1190"/>
      <c r="AY479" s="1190"/>
      <c r="AZ479" s="1190"/>
      <c r="BA479" s="1190"/>
      <c r="BB479" s="1190"/>
      <c r="BC479" s="1190"/>
      <c r="BD479" s="1190"/>
      <c r="BE479" s="1190"/>
      <c r="BF479" s="1190"/>
      <c r="BG479" s="1190"/>
      <c r="BH479" s="1190"/>
      <c r="BI479" s="1190"/>
      <c r="BJ479" s="1190"/>
      <c r="BK479" s="1190"/>
      <c r="BL479" s="1190"/>
      <c r="BM479" s="1190"/>
      <c r="BN479" s="1190"/>
      <c r="BO479" s="1190"/>
    </row>
    <row r="480" spans="26:67">
      <c r="Z480" s="1190"/>
      <c r="AA480" s="1190"/>
      <c r="AB480" s="1190"/>
      <c r="AC480" s="1190"/>
      <c r="AD480" s="1190"/>
      <c r="AE480" s="1190"/>
      <c r="AF480" s="1190"/>
      <c r="AG480" s="1190"/>
      <c r="AH480" s="1190"/>
      <c r="AI480" s="1190"/>
      <c r="AJ480" s="1190"/>
      <c r="AK480" s="1190"/>
      <c r="AL480" s="1190"/>
      <c r="AM480" s="1190"/>
      <c r="AN480" s="1190"/>
      <c r="AO480" s="1190"/>
      <c r="AP480" s="1190"/>
      <c r="AQ480" s="1190"/>
      <c r="AR480" s="1190"/>
      <c r="AS480" s="1190"/>
      <c r="AT480" s="1190"/>
      <c r="AU480" s="1190"/>
      <c r="AV480" s="1190"/>
      <c r="AW480" s="1190"/>
      <c r="AX480" s="1190"/>
      <c r="AY480" s="1190"/>
      <c r="AZ480" s="1190"/>
      <c r="BA480" s="1190"/>
      <c r="BB480" s="1190"/>
      <c r="BC480" s="1190"/>
      <c r="BD480" s="1190"/>
      <c r="BE480" s="1190"/>
      <c r="BF480" s="1190"/>
      <c r="BG480" s="1190"/>
      <c r="BH480" s="1190"/>
      <c r="BI480" s="1190"/>
      <c r="BJ480" s="1190"/>
      <c r="BK480" s="1190"/>
      <c r="BL480" s="1190"/>
      <c r="BM480" s="1190"/>
      <c r="BN480" s="1190"/>
      <c r="BO480" s="1190"/>
    </row>
    <row r="481" spans="26:67">
      <c r="Z481" s="1190"/>
      <c r="AA481" s="1190"/>
      <c r="AB481" s="1190"/>
      <c r="AC481" s="1190"/>
      <c r="AD481" s="1190"/>
      <c r="AE481" s="1190"/>
      <c r="AF481" s="1190"/>
      <c r="AG481" s="1190"/>
      <c r="AH481" s="1190"/>
      <c r="AI481" s="1190"/>
      <c r="AJ481" s="1190"/>
      <c r="AK481" s="1190"/>
      <c r="AL481" s="1190"/>
      <c r="AM481" s="1190"/>
      <c r="AN481" s="1190"/>
      <c r="AO481" s="1190"/>
      <c r="AP481" s="1190"/>
      <c r="AQ481" s="1190"/>
      <c r="AR481" s="1190"/>
      <c r="AS481" s="1190"/>
      <c r="AT481" s="1190"/>
      <c r="AU481" s="1190"/>
      <c r="AV481" s="1190"/>
      <c r="AW481" s="1190"/>
      <c r="AX481" s="1190"/>
      <c r="AY481" s="1190"/>
      <c r="AZ481" s="1190"/>
      <c r="BA481" s="1190"/>
      <c r="BB481" s="1190"/>
      <c r="BC481" s="1190"/>
      <c r="BD481" s="1190"/>
      <c r="BE481" s="1190"/>
      <c r="BF481" s="1190"/>
      <c r="BG481" s="1190"/>
      <c r="BH481" s="1190"/>
      <c r="BI481" s="1190"/>
      <c r="BJ481" s="1190"/>
      <c r="BK481" s="1190"/>
      <c r="BL481" s="1190"/>
      <c r="BM481" s="1190"/>
      <c r="BN481" s="1190"/>
      <c r="BO481" s="1190"/>
    </row>
    <row r="482" spans="26:67">
      <c r="Z482" s="1190"/>
      <c r="AA482" s="1190"/>
      <c r="AB482" s="1190"/>
      <c r="AC482" s="1190"/>
      <c r="AD482" s="1190"/>
      <c r="AE482" s="1190"/>
      <c r="AF482" s="1190"/>
      <c r="AG482" s="1190"/>
      <c r="AH482" s="1190"/>
      <c r="AI482" s="1190"/>
      <c r="AJ482" s="1190"/>
      <c r="AK482" s="1190"/>
      <c r="AL482" s="1190"/>
      <c r="AM482" s="1190"/>
      <c r="AN482" s="1190"/>
      <c r="AO482" s="1190"/>
      <c r="AP482" s="1190"/>
      <c r="AQ482" s="1190"/>
      <c r="AR482" s="1190"/>
      <c r="AS482" s="1190"/>
      <c r="AT482" s="1190"/>
      <c r="AU482" s="1190"/>
      <c r="AV482" s="1190"/>
      <c r="AW482" s="1190"/>
      <c r="AX482" s="1190"/>
      <c r="AY482" s="1190"/>
      <c r="AZ482" s="1190"/>
      <c r="BA482" s="1190"/>
      <c r="BB482" s="1190"/>
      <c r="BC482" s="1190"/>
      <c r="BD482" s="1190"/>
      <c r="BE482" s="1190"/>
      <c r="BF482" s="1190"/>
      <c r="BG482" s="1190"/>
      <c r="BH482" s="1190"/>
      <c r="BI482" s="1190"/>
      <c r="BJ482" s="1190"/>
      <c r="BK482" s="1190"/>
      <c r="BL482" s="1190"/>
      <c r="BM482" s="1190"/>
      <c r="BN482" s="1190"/>
      <c r="BO482" s="1190"/>
    </row>
    <row r="483" spans="26:67">
      <c r="Z483" s="1190"/>
      <c r="AA483" s="1190"/>
      <c r="AB483" s="1190"/>
      <c r="AC483" s="1190"/>
      <c r="AD483" s="1190"/>
      <c r="AE483" s="1190"/>
      <c r="AF483" s="1190"/>
      <c r="AG483" s="1190"/>
      <c r="AH483" s="1190"/>
      <c r="AI483" s="1190"/>
      <c r="AJ483" s="1190"/>
      <c r="AK483" s="1190"/>
      <c r="AL483" s="1190"/>
      <c r="AM483" s="1190"/>
      <c r="AN483" s="1190"/>
      <c r="AO483" s="1190"/>
      <c r="AP483" s="1190"/>
      <c r="AQ483" s="1190"/>
      <c r="AR483" s="1190"/>
      <c r="AS483" s="1190"/>
      <c r="AT483" s="1190"/>
      <c r="AU483" s="1190"/>
      <c r="AV483" s="1190"/>
      <c r="AW483" s="1190"/>
      <c r="AX483" s="1190"/>
      <c r="AY483" s="1190"/>
      <c r="AZ483" s="1190"/>
      <c r="BA483" s="1190"/>
      <c r="BB483" s="1190"/>
      <c r="BC483" s="1190"/>
      <c r="BD483" s="1190"/>
      <c r="BE483" s="1190"/>
      <c r="BF483" s="1190"/>
      <c r="BG483" s="1190"/>
      <c r="BH483" s="1190"/>
      <c r="BI483" s="1190"/>
      <c r="BJ483" s="1190"/>
      <c r="BK483" s="1190"/>
      <c r="BL483" s="1190"/>
      <c r="BM483" s="1190"/>
      <c r="BN483" s="1190"/>
      <c r="BO483" s="1190"/>
    </row>
    <row r="484" spans="26:67">
      <c r="Z484" s="1190"/>
      <c r="AA484" s="1190"/>
      <c r="AB484" s="1190"/>
      <c r="AC484" s="1190"/>
      <c r="AD484" s="1190"/>
      <c r="AE484" s="1190"/>
      <c r="AF484" s="1190"/>
      <c r="AG484" s="1190"/>
      <c r="AH484" s="1190"/>
      <c r="AI484" s="1190"/>
      <c r="AJ484" s="1190"/>
      <c r="AK484" s="1190"/>
      <c r="AL484" s="1190"/>
      <c r="AM484" s="1190"/>
      <c r="AN484" s="1190"/>
      <c r="AO484" s="1190"/>
      <c r="AP484" s="1190"/>
      <c r="AQ484" s="1190"/>
      <c r="AR484" s="1190"/>
      <c r="AS484" s="1190"/>
      <c r="AT484" s="1190"/>
      <c r="AU484" s="1190"/>
      <c r="AV484" s="1190"/>
      <c r="AW484" s="1190"/>
      <c r="AX484" s="1190"/>
      <c r="AY484" s="1190"/>
      <c r="AZ484" s="1190"/>
      <c r="BA484" s="1190"/>
      <c r="BB484" s="1190"/>
      <c r="BC484" s="1190"/>
      <c r="BD484" s="1190"/>
      <c r="BE484" s="1190"/>
      <c r="BF484" s="1190"/>
      <c r="BG484" s="1190"/>
      <c r="BH484" s="1190"/>
      <c r="BI484" s="1190"/>
      <c r="BJ484" s="1190"/>
      <c r="BK484" s="1190"/>
      <c r="BL484" s="1190"/>
      <c r="BM484" s="1190"/>
      <c r="BN484" s="1190"/>
      <c r="BO484" s="1190"/>
    </row>
    <row r="485" spans="26:67">
      <c r="Z485" s="1190"/>
      <c r="AA485" s="1190"/>
      <c r="AB485" s="1190"/>
      <c r="AC485" s="1190"/>
      <c r="AD485" s="1190"/>
      <c r="AE485" s="1190"/>
      <c r="AF485" s="1190"/>
      <c r="AG485" s="1190"/>
      <c r="AH485" s="1190"/>
      <c r="AI485" s="1190"/>
      <c r="AJ485" s="1190"/>
      <c r="AK485" s="1190"/>
      <c r="AL485" s="1190"/>
      <c r="AM485" s="1190"/>
      <c r="AN485" s="1190"/>
      <c r="AO485" s="1190"/>
      <c r="AP485" s="1190"/>
      <c r="AQ485" s="1190"/>
      <c r="AR485" s="1190"/>
      <c r="AS485" s="1190"/>
      <c r="AT485" s="1190"/>
      <c r="AU485" s="1190"/>
      <c r="AV485" s="1190"/>
      <c r="AW485" s="1190"/>
      <c r="AX485" s="1190"/>
      <c r="AY485" s="1190"/>
      <c r="AZ485" s="1190"/>
      <c r="BA485" s="1190"/>
      <c r="BB485" s="1190"/>
      <c r="BC485" s="1190"/>
      <c r="BD485" s="1190"/>
      <c r="BE485" s="1190"/>
      <c r="BF485" s="1190"/>
      <c r="BG485" s="1190"/>
      <c r="BH485" s="1190"/>
      <c r="BI485" s="1190"/>
      <c r="BJ485" s="1190"/>
      <c r="BK485" s="1190"/>
      <c r="BL485" s="1190"/>
      <c r="BM485" s="1190"/>
      <c r="BN485" s="1190"/>
      <c r="BO485" s="1190"/>
    </row>
    <row r="486" spans="26:67">
      <c r="Z486" s="1190"/>
      <c r="AA486" s="1190"/>
      <c r="AB486" s="1190"/>
      <c r="AC486" s="1190"/>
      <c r="AD486" s="1190"/>
      <c r="AE486" s="1190"/>
      <c r="AF486" s="1190"/>
      <c r="AG486" s="1190"/>
      <c r="AH486" s="1190"/>
      <c r="AI486" s="1190"/>
      <c r="AJ486" s="1190"/>
      <c r="AK486" s="1190"/>
      <c r="AL486" s="1190"/>
      <c r="AM486" s="1190"/>
      <c r="AN486" s="1190"/>
      <c r="AO486" s="1190"/>
      <c r="AP486" s="1190"/>
      <c r="AQ486" s="1190"/>
      <c r="AR486" s="1190"/>
      <c r="AS486" s="1190"/>
      <c r="AT486" s="1190"/>
      <c r="AU486" s="1190"/>
      <c r="AV486" s="1190"/>
      <c r="AW486" s="1190"/>
      <c r="AX486" s="1190"/>
      <c r="AY486" s="1190"/>
      <c r="AZ486" s="1190"/>
      <c r="BA486" s="1190"/>
      <c r="BB486" s="1190"/>
      <c r="BC486" s="1190"/>
      <c r="BD486" s="1190"/>
      <c r="BE486" s="1190"/>
      <c r="BF486" s="1190"/>
      <c r="BG486" s="1190"/>
      <c r="BH486" s="1190"/>
      <c r="BI486" s="1190"/>
      <c r="BJ486" s="1190"/>
      <c r="BK486" s="1190"/>
      <c r="BL486" s="1190"/>
      <c r="BM486" s="1190"/>
      <c r="BN486" s="1190"/>
      <c r="BO486" s="1190"/>
    </row>
    <row r="487" spans="26:67">
      <c r="Z487" s="1190"/>
      <c r="AA487" s="1190"/>
      <c r="AB487" s="1190"/>
      <c r="AC487" s="1190"/>
      <c r="AD487" s="1190"/>
      <c r="AE487" s="1190"/>
      <c r="AF487" s="1190"/>
      <c r="AG487" s="1190"/>
      <c r="AH487" s="1190"/>
      <c r="AI487" s="1190"/>
      <c r="AJ487" s="1190"/>
      <c r="AK487" s="1190"/>
      <c r="AL487" s="1190"/>
      <c r="AM487" s="1190"/>
      <c r="AN487" s="1190"/>
      <c r="AO487" s="1190"/>
      <c r="AP487" s="1190"/>
      <c r="AQ487" s="1190"/>
      <c r="AR487" s="1190"/>
      <c r="AS487" s="1190"/>
      <c r="AT487" s="1190"/>
      <c r="AU487" s="1190"/>
      <c r="AV487" s="1190"/>
      <c r="AW487" s="1190"/>
      <c r="AX487" s="1190"/>
      <c r="AY487" s="1190"/>
      <c r="AZ487" s="1190"/>
      <c r="BA487" s="1190"/>
      <c r="BB487" s="1190"/>
      <c r="BC487" s="1190"/>
      <c r="BD487" s="1190"/>
      <c r="BE487" s="1190"/>
      <c r="BF487" s="1190"/>
      <c r="BG487" s="1190"/>
      <c r="BH487" s="1190"/>
      <c r="BI487" s="1190"/>
      <c r="BJ487" s="1190"/>
      <c r="BK487" s="1190"/>
      <c r="BL487" s="1190"/>
      <c r="BM487" s="1190"/>
      <c r="BN487" s="1190"/>
      <c r="BO487" s="1190"/>
    </row>
    <row r="488" spans="26:67">
      <c r="Z488" s="1190"/>
      <c r="AA488" s="1190"/>
      <c r="AB488" s="1190"/>
      <c r="AC488" s="1190"/>
      <c r="AD488" s="1190"/>
      <c r="AE488" s="1190"/>
      <c r="AF488" s="1190"/>
      <c r="AG488" s="1190"/>
      <c r="AH488" s="1190"/>
      <c r="AI488" s="1190"/>
      <c r="AJ488" s="1190"/>
      <c r="AK488" s="1190"/>
      <c r="AL488" s="1190"/>
      <c r="AM488" s="1190"/>
      <c r="AN488" s="1190"/>
      <c r="AO488" s="1190"/>
      <c r="AP488" s="1190"/>
      <c r="AQ488" s="1190"/>
      <c r="AR488" s="1190"/>
      <c r="AS488" s="1190"/>
      <c r="AT488" s="1190"/>
      <c r="AU488" s="1190"/>
      <c r="AV488" s="1190"/>
      <c r="AW488" s="1190"/>
      <c r="AX488" s="1190"/>
      <c r="AY488" s="1190"/>
      <c r="AZ488" s="1190"/>
      <c r="BA488" s="1190"/>
      <c r="BB488" s="1190"/>
      <c r="BC488" s="1190"/>
      <c r="BD488" s="1190"/>
      <c r="BE488" s="1190"/>
      <c r="BF488" s="1190"/>
      <c r="BG488" s="1190"/>
      <c r="BH488" s="1190"/>
      <c r="BI488" s="1190"/>
      <c r="BJ488" s="1190"/>
      <c r="BK488" s="1190"/>
      <c r="BL488" s="1190"/>
      <c r="BM488" s="1190"/>
      <c r="BN488" s="1190"/>
      <c r="BO488" s="1190"/>
    </row>
    <row r="489" spans="26:67">
      <c r="Z489" s="1190"/>
      <c r="AA489" s="1190"/>
      <c r="AB489" s="1190"/>
      <c r="AC489" s="1190"/>
      <c r="AD489" s="1190"/>
      <c r="AE489" s="1190"/>
      <c r="AF489" s="1190"/>
      <c r="AG489" s="1190"/>
      <c r="AH489" s="1190"/>
      <c r="AI489" s="1190"/>
      <c r="AJ489" s="1190"/>
      <c r="AK489" s="1190"/>
      <c r="AL489" s="1190"/>
      <c r="AM489" s="1190"/>
      <c r="AN489" s="1190"/>
      <c r="AO489" s="1190"/>
      <c r="AP489" s="1190"/>
      <c r="AQ489" s="1190"/>
      <c r="AR489" s="1190"/>
      <c r="AS489" s="1190"/>
      <c r="AT489" s="1190"/>
      <c r="AU489" s="1190"/>
      <c r="AV489" s="1190"/>
      <c r="AW489" s="1190"/>
      <c r="AX489" s="1190"/>
      <c r="AY489" s="1190"/>
      <c r="AZ489" s="1190"/>
      <c r="BA489" s="1190"/>
      <c r="BB489" s="1190"/>
      <c r="BC489" s="1190"/>
      <c r="BD489" s="1190"/>
      <c r="BE489" s="1190"/>
      <c r="BF489" s="1190"/>
      <c r="BG489" s="1190"/>
      <c r="BH489" s="1190"/>
      <c r="BI489" s="1190"/>
      <c r="BJ489" s="1190"/>
      <c r="BK489" s="1190"/>
      <c r="BL489" s="1190"/>
      <c r="BM489" s="1190"/>
      <c r="BN489" s="1190"/>
      <c r="BO489" s="1190"/>
    </row>
    <row r="490" spans="26:67">
      <c r="Z490" s="1190"/>
      <c r="AA490" s="1190"/>
      <c r="AB490" s="1190"/>
      <c r="AC490" s="1190"/>
      <c r="AD490" s="1190"/>
      <c r="AE490" s="1190"/>
      <c r="AF490" s="1190"/>
      <c r="AG490" s="1190"/>
      <c r="AH490" s="1190"/>
      <c r="AI490" s="1190"/>
      <c r="AJ490" s="1190"/>
      <c r="AK490" s="1190"/>
      <c r="AL490" s="1190"/>
      <c r="AM490" s="1190"/>
      <c r="AN490" s="1190"/>
      <c r="AO490" s="1190"/>
      <c r="AP490" s="1190"/>
      <c r="AQ490" s="1190"/>
      <c r="AR490" s="1190"/>
      <c r="AS490" s="1190"/>
      <c r="AT490" s="1190"/>
      <c r="AU490" s="1190"/>
      <c r="AV490" s="1190"/>
      <c r="AW490" s="1190"/>
      <c r="AX490" s="1190"/>
      <c r="AY490" s="1190"/>
      <c r="AZ490" s="1190"/>
      <c r="BA490" s="1190"/>
      <c r="BB490" s="1190"/>
      <c r="BC490" s="1190"/>
      <c r="BD490" s="1190"/>
      <c r="BE490" s="1190"/>
      <c r="BF490" s="1190"/>
      <c r="BG490" s="1190"/>
      <c r="BH490" s="1190"/>
      <c r="BI490" s="1190"/>
      <c r="BJ490" s="1190"/>
      <c r="BK490" s="1190"/>
      <c r="BL490" s="1190"/>
      <c r="BM490" s="1190"/>
      <c r="BN490" s="1190"/>
      <c r="BO490" s="1190"/>
    </row>
    <row r="491" spans="26:67">
      <c r="Z491" s="1190"/>
      <c r="AA491" s="1190"/>
      <c r="AB491" s="1190"/>
      <c r="AC491" s="1190"/>
      <c r="AD491" s="1190"/>
      <c r="AE491" s="1190"/>
      <c r="AF491" s="1190"/>
      <c r="AG491" s="1190"/>
      <c r="AH491" s="1190"/>
      <c r="AI491" s="1190"/>
      <c r="AJ491" s="1190"/>
      <c r="AK491" s="1190"/>
      <c r="AL491" s="1190"/>
      <c r="AM491" s="1190"/>
      <c r="AN491" s="1190"/>
      <c r="AO491" s="1190"/>
      <c r="AP491" s="1190"/>
      <c r="AQ491" s="1190"/>
      <c r="AR491" s="1190"/>
      <c r="AS491" s="1190"/>
      <c r="AT491" s="1190"/>
      <c r="AU491" s="1190"/>
      <c r="AV491" s="1190"/>
      <c r="AW491" s="1190"/>
      <c r="AX491" s="1190"/>
      <c r="AY491" s="1190"/>
      <c r="AZ491" s="1190"/>
      <c r="BA491" s="1190"/>
      <c r="BB491" s="1190"/>
      <c r="BC491" s="1190"/>
      <c r="BD491" s="1190"/>
      <c r="BE491" s="1190"/>
      <c r="BF491" s="1190"/>
      <c r="BG491" s="1190"/>
      <c r="BH491" s="1190"/>
      <c r="BI491" s="1190"/>
      <c r="BJ491" s="1190"/>
      <c r="BK491" s="1190"/>
      <c r="BL491" s="1190"/>
      <c r="BM491" s="1190"/>
      <c r="BN491" s="1190"/>
      <c r="BO491" s="1190"/>
    </row>
    <row r="492" spans="26:67">
      <c r="Z492" s="1190"/>
      <c r="AA492" s="1190"/>
      <c r="AB492" s="1190"/>
      <c r="AC492" s="1190"/>
      <c r="AD492" s="1190"/>
      <c r="AE492" s="1190"/>
      <c r="AF492" s="1190"/>
      <c r="AG492" s="1190"/>
      <c r="AH492" s="1190"/>
      <c r="AI492" s="1190"/>
      <c r="AJ492" s="1190"/>
      <c r="AK492" s="1190"/>
      <c r="AL492" s="1190"/>
      <c r="AM492" s="1190"/>
      <c r="AN492" s="1190"/>
      <c r="AO492" s="1190"/>
      <c r="AP492" s="1190"/>
      <c r="AQ492" s="1190"/>
      <c r="AR492" s="1190"/>
      <c r="AS492" s="1190"/>
      <c r="AT492" s="1190"/>
      <c r="AU492" s="1190"/>
      <c r="AV492" s="1190"/>
      <c r="AW492" s="1190"/>
      <c r="AX492" s="1190"/>
      <c r="AY492" s="1190"/>
      <c r="AZ492" s="1190"/>
      <c r="BA492" s="1190"/>
      <c r="BB492" s="1190"/>
      <c r="BC492" s="1190"/>
      <c r="BD492" s="1190"/>
      <c r="BE492" s="1190"/>
      <c r="BF492" s="1190"/>
      <c r="BG492" s="1190"/>
      <c r="BH492" s="1190"/>
      <c r="BI492" s="1190"/>
      <c r="BJ492" s="1190"/>
      <c r="BK492" s="1190"/>
      <c r="BL492" s="1190"/>
      <c r="BM492" s="1190"/>
      <c r="BN492" s="1190"/>
      <c r="BO492" s="1190"/>
    </row>
    <row r="493" spans="26:67">
      <c r="Z493" s="1190"/>
      <c r="AA493" s="1190"/>
      <c r="AB493" s="1190"/>
      <c r="AC493" s="1190"/>
      <c r="AD493" s="1190"/>
      <c r="AE493" s="1190"/>
      <c r="AF493" s="1190"/>
      <c r="AG493" s="1190"/>
      <c r="AH493" s="1190"/>
      <c r="AI493" s="1190"/>
      <c r="AJ493" s="1190"/>
      <c r="AK493" s="1190"/>
      <c r="AL493" s="1190"/>
      <c r="AM493" s="1190"/>
      <c r="AN493" s="1190"/>
      <c r="AO493" s="1190"/>
      <c r="AP493" s="1190"/>
      <c r="AQ493" s="1190"/>
      <c r="AR493" s="1190"/>
      <c r="AS493" s="1190"/>
      <c r="AT493" s="1190"/>
      <c r="AU493" s="1190"/>
      <c r="AV493" s="1190"/>
      <c r="AW493" s="1190"/>
      <c r="AX493" s="1190"/>
      <c r="AY493" s="1190"/>
      <c r="AZ493" s="1190"/>
      <c r="BA493" s="1190"/>
      <c r="BB493" s="1190"/>
      <c r="BC493" s="1190"/>
      <c r="BD493" s="1190"/>
      <c r="BE493" s="1190"/>
      <c r="BF493" s="1190"/>
      <c r="BG493" s="1190"/>
      <c r="BH493" s="1190"/>
      <c r="BI493" s="1190"/>
      <c r="BJ493" s="1190"/>
      <c r="BK493" s="1190"/>
      <c r="BL493" s="1190"/>
      <c r="BM493" s="1190"/>
      <c r="BN493" s="1190"/>
      <c r="BO493" s="1190"/>
    </row>
    <row r="494" spans="26:67">
      <c r="Z494" s="1190"/>
      <c r="AA494" s="1190"/>
      <c r="AB494" s="1190"/>
      <c r="AC494" s="1190"/>
      <c r="AD494" s="1190"/>
      <c r="AE494" s="1190"/>
      <c r="AF494" s="1190"/>
      <c r="AG494" s="1190"/>
      <c r="AH494" s="1190"/>
      <c r="AI494" s="1190"/>
      <c r="AJ494" s="1190"/>
      <c r="AK494" s="1190"/>
      <c r="AL494" s="1190"/>
      <c r="AM494" s="1190"/>
      <c r="AN494" s="1190"/>
      <c r="AO494" s="1190"/>
      <c r="AP494" s="1190"/>
      <c r="AQ494" s="1190"/>
      <c r="AR494" s="1190"/>
      <c r="AS494" s="1190"/>
      <c r="AT494" s="1190"/>
      <c r="AU494" s="1190"/>
      <c r="AV494" s="1190"/>
      <c r="AW494" s="1190"/>
      <c r="AX494" s="1190"/>
      <c r="AY494" s="1190"/>
      <c r="AZ494" s="1190"/>
      <c r="BA494" s="1190"/>
      <c r="BB494" s="1190"/>
      <c r="BC494" s="1190"/>
      <c r="BD494" s="1190"/>
      <c r="BE494" s="1190"/>
      <c r="BF494" s="1190"/>
      <c r="BG494" s="1190"/>
      <c r="BH494" s="1190"/>
      <c r="BI494" s="1190"/>
      <c r="BJ494" s="1190"/>
      <c r="BK494" s="1190"/>
      <c r="BL494" s="1190"/>
      <c r="BM494" s="1190"/>
      <c r="BN494" s="1190"/>
      <c r="BO494" s="1190"/>
    </row>
    <row r="495" spans="26:67">
      <c r="Z495" s="1190"/>
      <c r="AA495" s="1190"/>
      <c r="AB495" s="1190"/>
      <c r="AC495" s="1190"/>
      <c r="AD495" s="1190"/>
      <c r="AE495" s="1190"/>
      <c r="AF495" s="1190"/>
      <c r="AG495" s="1190"/>
      <c r="AH495" s="1190"/>
      <c r="AI495" s="1190"/>
      <c r="AJ495" s="1190"/>
      <c r="AK495" s="1190"/>
      <c r="AL495" s="1190"/>
      <c r="AM495" s="1190"/>
      <c r="AN495" s="1190"/>
      <c r="AO495" s="1190"/>
      <c r="AP495" s="1190"/>
      <c r="AQ495" s="1190"/>
      <c r="AR495" s="1190"/>
      <c r="AS495" s="1190"/>
      <c r="AT495" s="1190"/>
      <c r="AU495" s="1190"/>
      <c r="AV495" s="1190"/>
      <c r="AW495" s="1190"/>
      <c r="AX495" s="1190"/>
      <c r="AY495" s="1190"/>
      <c r="AZ495" s="1190"/>
      <c r="BA495" s="1190"/>
      <c r="BB495" s="1190"/>
      <c r="BC495" s="1190"/>
      <c r="BD495" s="1190"/>
      <c r="BE495" s="1190"/>
      <c r="BF495" s="1190"/>
      <c r="BG495" s="1190"/>
      <c r="BH495" s="1190"/>
      <c r="BI495" s="1190"/>
      <c r="BJ495" s="1190"/>
      <c r="BK495" s="1190"/>
      <c r="BL495" s="1190"/>
      <c r="BM495" s="1190"/>
      <c r="BN495" s="1190"/>
      <c r="BO495" s="1190"/>
    </row>
    <row r="496" spans="26:67">
      <c r="Z496" s="1190"/>
      <c r="AA496" s="1190"/>
      <c r="AB496" s="1190"/>
      <c r="AC496" s="1190"/>
      <c r="AD496" s="1190"/>
      <c r="AE496" s="1190"/>
      <c r="AF496" s="1190"/>
      <c r="AG496" s="1190"/>
      <c r="AH496" s="1190"/>
      <c r="AI496" s="1190"/>
      <c r="AJ496" s="1190"/>
      <c r="AK496" s="1190"/>
      <c r="AL496" s="1190"/>
      <c r="AM496" s="1190"/>
      <c r="AN496" s="1190"/>
      <c r="AO496" s="1190"/>
      <c r="AP496" s="1190"/>
      <c r="AQ496" s="1190"/>
      <c r="AR496" s="1190"/>
      <c r="AS496" s="1190"/>
      <c r="AT496" s="1190"/>
      <c r="AU496" s="1190"/>
      <c r="AV496" s="1190"/>
      <c r="AW496" s="1190"/>
      <c r="AX496" s="1190"/>
      <c r="AY496" s="1190"/>
      <c r="AZ496" s="1190"/>
      <c r="BA496" s="1190"/>
      <c r="BB496" s="1190"/>
      <c r="BC496" s="1190"/>
      <c r="BD496" s="1190"/>
      <c r="BE496" s="1190"/>
      <c r="BF496" s="1190"/>
      <c r="BG496" s="1190"/>
      <c r="BH496" s="1190"/>
      <c r="BI496" s="1190"/>
      <c r="BJ496" s="1190"/>
      <c r="BK496" s="1190"/>
      <c r="BL496" s="1190"/>
      <c r="BM496" s="1190"/>
      <c r="BN496" s="1190"/>
      <c r="BO496" s="1190"/>
    </row>
    <row r="497" spans="26:67">
      <c r="Z497" s="1190"/>
      <c r="AA497" s="1190"/>
      <c r="AB497" s="1190"/>
      <c r="AC497" s="1190"/>
      <c r="AD497" s="1190"/>
      <c r="AE497" s="1190"/>
      <c r="AF497" s="1190"/>
      <c r="AG497" s="1190"/>
      <c r="AH497" s="1190"/>
      <c r="AI497" s="1190"/>
      <c r="AJ497" s="1190"/>
      <c r="AK497" s="1190"/>
      <c r="AL497" s="1190"/>
      <c r="AM497" s="1190"/>
      <c r="AN497" s="1190"/>
      <c r="AO497" s="1190"/>
      <c r="AP497" s="1190"/>
      <c r="AQ497" s="1190"/>
      <c r="AR497" s="1190"/>
      <c r="AS497" s="1190"/>
      <c r="AT497" s="1190"/>
      <c r="AU497" s="1190"/>
      <c r="AV497" s="1190"/>
      <c r="AW497" s="1190"/>
      <c r="AX497" s="1190"/>
      <c r="AY497" s="1190"/>
      <c r="AZ497" s="1190"/>
      <c r="BA497" s="1190"/>
      <c r="BB497" s="1190"/>
      <c r="BC497" s="1190"/>
      <c r="BD497" s="1190"/>
      <c r="BE497" s="1190"/>
      <c r="BF497" s="1190"/>
      <c r="BG497" s="1190"/>
      <c r="BH497" s="1190"/>
      <c r="BI497" s="1190"/>
      <c r="BJ497" s="1190"/>
      <c r="BK497" s="1190"/>
      <c r="BL497" s="1190"/>
      <c r="BM497" s="1190"/>
      <c r="BN497" s="1190"/>
      <c r="BO497" s="1190"/>
    </row>
    <row r="498" spans="26:67">
      <c r="Z498" s="1190"/>
      <c r="AA498" s="1190"/>
      <c r="AB498" s="1190"/>
      <c r="AC498" s="1190"/>
      <c r="AD498" s="1190"/>
      <c r="AE498" s="1190"/>
      <c r="AF498" s="1190"/>
      <c r="AG498" s="1190"/>
      <c r="AH498" s="1190"/>
      <c r="AI498" s="1190"/>
      <c r="AJ498" s="1190"/>
      <c r="AK498" s="1190"/>
      <c r="AL498" s="1190"/>
      <c r="AM498" s="1190"/>
      <c r="AN498" s="1190"/>
      <c r="AO498" s="1190"/>
      <c r="AP498" s="1190"/>
      <c r="AQ498" s="1190"/>
      <c r="AR498" s="1190"/>
      <c r="AS498" s="1190"/>
      <c r="AT498" s="1190"/>
      <c r="AU498" s="1190"/>
      <c r="AV498" s="1190"/>
      <c r="AW498" s="1190"/>
      <c r="AX498" s="1190"/>
      <c r="AY498" s="1190"/>
      <c r="AZ498" s="1190"/>
      <c r="BA498" s="1190"/>
      <c r="BB498" s="1190"/>
      <c r="BC498" s="1190"/>
      <c r="BD498" s="1190"/>
      <c r="BE498" s="1190"/>
      <c r="BF498" s="1190"/>
      <c r="BG498" s="1190"/>
      <c r="BH498" s="1190"/>
      <c r="BI498" s="1190"/>
      <c r="BJ498" s="1190"/>
      <c r="BK498" s="1190"/>
      <c r="BL498" s="1190"/>
      <c r="BM498" s="1190"/>
      <c r="BN498" s="1190"/>
      <c r="BO498" s="1190"/>
    </row>
    <row r="499" spans="26:67">
      <c r="Z499" s="1190"/>
      <c r="AA499" s="1190"/>
      <c r="AB499" s="1190"/>
      <c r="AC499" s="1190"/>
      <c r="AD499" s="1190"/>
      <c r="AE499" s="1190"/>
      <c r="AF499" s="1190"/>
      <c r="AG499" s="1190"/>
      <c r="AH499" s="1190"/>
      <c r="AI499" s="1190"/>
      <c r="AJ499" s="1190"/>
      <c r="AK499" s="1190"/>
      <c r="AL499" s="1190"/>
      <c r="AM499" s="1190"/>
      <c r="AN499" s="1190"/>
      <c r="AO499" s="1190"/>
      <c r="AP499" s="1190"/>
      <c r="AQ499" s="1190"/>
      <c r="AR499" s="1190"/>
      <c r="AS499" s="1190"/>
      <c r="AT499" s="1190"/>
      <c r="AU499" s="1190"/>
      <c r="AV499" s="1190"/>
      <c r="AW499" s="1190"/>
      <c r="AX499" s="1190"/>
      <c r="AY499" s="1190"/>
      <c r="AZ499" s="1190"/>
      <c r="BA499" s="1190"/>
      <c r="BB499" s="1190"/>
      <c r="BC499" s="1190"/>
      <c r="BD499" s="1190"/>
      <c r="BE499" s="1190"/>
      <c r="BF499" s="1190"/>
      <c r="BG499" s="1190"/>
      <c r="BH499" s="1190"/>
      <c r="BI499" s="1190"/>
      <c r="BJ499" s="1190"/>
      <c r="BK499" s="1190"/>
      <c r="BL499" s="1190"/>
      <c r="BM499" s="1190"/>
      <c r="BN499" s="1190"/>
      <c r="BO499" s="1190"/>
    </row>
    <row r="500" spans="26:67">
      <c r="Z500" s="1190"/>
      <c r="AA500" s="1190"/>
      <c r="AB500" s="1190"/>
      <c r="AC500" s="1190"/>
      <c r="AD500" s="1190"/>
      <c r="AE500" s="1190"/>
      <c r="AF500" s="1190"/>
      <c r="AG500" s="1190"/>
      <c r="AH500" s="1190"/>
      <c r="AI500" s="1190"/>
      <c r="AJ500" s="1190"/>
      <c r="AK500" s="1190"/>
      <c r="AL500" s="1190"/>
      <c r="AM500" s="1190"/>
      <c r="AN500" s="1190"/>
      <c r="AO500" s="1190"/>
      <c r="AP500" s="1190"/>
      <c r="AQ500" s="1190"/>
      <c r="AR500" s="1190"/>
      <c r="AS500" s="1190"/>
      <c r="AT500" s="1190"/>
      <c r="AU500" s="1190"/>
      <c r="AV500" s="1190"/>
      <c r="AW500" s="1190"/>
      <c r="AX500" s="1190"/>
      <c r="AY500" s="1190"/>
      <c r="AZ500" s="1190"/>
      <c r="BA500" s="1190"/>
      <c r="BB500" s="1190"/>
      <c r="BC500" s="1190"/>
      <c r="BD500" s="1190"/>
      <c r="BE500" s="1190"/>
      <c r="BF500" s="1190"/>
      <c r="BG500" s="1190"/>
      <c r="BH500" s="1190"/>
      <c r="BI500" s="1190"/>
      <c r="BJ500" s="1190"/>
      <c r="BK500" s="1190"/>
      <c r="BL500" s="1190"/>
      <c r="BM500" s="1190"/>
      <c r="BN500" s="1190"/>
      <c r="BO500" s="1190"/>
    </row>
    <row r="501" spans="26:67">
      <c r="Z501" s="1190"/>
      <c r="AA501" s="1190"/>
      <c r="AB501" s="1190"/>
      <c r="AC501" s="1190"/>
      <c r="AD501" s="1190"/>
      <c r="AE501" s="1190"/>
      <c r="AF501" s="1190"/>
      <c r="AG501" s="1190"/>
      <c r="AH501" s="1190"/>
      <c r="AI501" s="1190"/>
      <c r="AJ501" s="1190"/>
      <c r="AK501" s="1190"/>
      <c r="AL501" s="1190"/>
      <c r="AM501" s="1190"/>
      <c r="AN501" s="1190"/>
      <c r="AO501" s="1190"/>
      <c r="AP501" s="1190"/>
      <c r="AQ501" s="1190"/>
      <c r="AR501" s="1190"/>
      <c r="AS501" s="1190"/>
      <c r="AT501" s="1190"/>
      <c r="AU501" s="1190"/>
      <c r="AV501" s="1190"/>
      <c r="AW501" s="1190"/>
      <c r="AX501" s="1190"/>
      <c r="AY501" s="1190"/>
      <c r="AZ501" s="1190"/>
      <c r="BA501" s="1190"/>
      <c r="BB501" s="1190"/>
      <c r="BC501" s="1190"/>
      <c r="BD501" s="1190"/>
      <c r="BE501" s="1190"/>
      <c r="BF501" s="1190"/>
      <c r="BG501" s="1190"/>
      <c r="BH501" s="1190"/>
      <c r="BI501" s="1190"/>
      <c r="BJ501" s="1190"/>
      <c r="BK501" s="1190"/>
      <c r="BL501" s="1190"/>
      <c r="BM501" s="1190"/>
      <c r="BN501" s="1190"/>
      <c r="BO501" s="1190"/>
    </row>
    <row r="502" spans="26:67">
      <c r="Z502" s="1190"/>
      <c r="AA502" s="1190"/>
      <c r="AB502" s="1190"/>
      <c r="AC502" s="1190"/>
      <c r="AD502" s="1190"/>
      <c r="AE502" s="1190"/>
      <c r="AF502" s="1190"/>
      <c r="AG502" s="1190"/>
      <c r="AH502" s="1190"/>
      <c r="AI502" s="1190"/>
      <c r="AJ502" s="1190"/>
      <c r="AK502" s="1190"/>
      <c r="AL502" s="1190"/>
      <c r="AM502" s="1190"/>
      <c r="AN502" s="1190"/>
      <c r="AO502" s="1190"/>
      <c r="AP502" s="1190"/>
      <c r="AQ502" s="1190"/>
      <c r="AR502" s="1190"/>
      <c r="AS502" s="1190"/>
      <c r="AT502" s="1190"/>
      <c r="AU502" s="1190"/>
      <c r="AV502" s="1190"/>
      <c r="AW502" s="1190"/>
      <c r="AX502" s="1190"/>
      <c r="AY502" s="1190"/>
      <c r="AZ502" s="1190"/>
      <c r="BA502" s="1190"/>
      <c r="BB502" s="1190"/>
      <c r="BC502" s="1190"/>
      <c r="BD502" s="1190"/>
      <c r="BE502" s="1190"/>
      <c r="BF502" s="1190"/>
      <c r="BG502" s="1190"/>
      <c r="BH502" s="1190"/>
      <c r="BI502" s="1190"/>
      <c r="BJ502" s="1190"/>
      <c r="BK502" s="1190"/>
      <c r="BL502" s="1190"/>
      <c r="BM502" s="1190"/>
      <c r="BN502" s="1190"/>
      <c r="BO502" s="1190"/>
    </row>
    <row r="503" spans="26:67">
      <c r="Z503" s="1190"/>
      <c r="AA503" s="1190"/>
      <c r="AB503" s="1190"/>
      <c r="AC503" s="1190"/>
      <c r="AD503" s="1190"/>
      <c r="AE503" s="1190"/>
      <c r="AF503" s="1190"/>
      <c r="AG503" s="1190"/>
      <c r="AH503" s="1190"/>
      <c r="AI503" s="1190"/>
      <c r="AJ503" s="1190"/>
      <c r="AK503" s="1190"/>
      <c r="AL503" s="1190"/>
      <c r="AM503" s="1190"/>
      <c r="AN503" s="1190"/>
      <c r="AO503" s="1190"/>
      <c r="AP503" s="1190"/>
      <c r="AQ503" s="1190"/>
      <c r="AR503" s="1190"/>
      <c r="AS503" s="1190"/>
      <c r="AT503" s="1190"/>
      <c r="AU503" s="1190"/>
      <c r="AV503" s="1190"/>
      <c r="AW503" s="1190"/>
      <c r="AX503" s="1190"/>
      <c r="AY503" s="1190"/>
      <c r="AZ503" s="1190"/>
      <c r="BA503" s="1190"/>
      <c r="BB503" s="1190"/>
      <c r="BC503" s="1190"/>
      <c r="BD503" s="1190"/>
      <c r="BE503" s="1190"/>
      <c r="BF503" s="1190"/>
      <c r="BG503" s="1190"/>
      <c r="BH503" s="1190"/>
      <c r="BI503" s="1190"/>
      <c r="BJ503" s="1190"/>
      <c r="BK503" s="1190"/>
      <c r="BL503" s="1190"/>
      <c r="BM503" s="1190"/>
      <c r="BN503" s="1190"/>
      <c r="BO503" s="1190"/>
    </row>
    <row r="504" spans="26:67">
      <c r="Z504" s="1190"/>
      <c r="AA504" s="1190"/>
      <c r="AB504" s="1190"/>
      <c r="AC504" s="1190"/>
      <c r="AD504" s="1190"/>
      <c r="AE504" s="1190"/>
      <c r="AF504" s="1190"/>
      <c r="AG504" s="1190"/>
      <c r="AH504" s="1190"/>
      <c r="AI504" s="1190"/>
      <c r="AJ504" s="1190"/>
      <c r="AK504" s="1190"/>
      <c r="AL504" s="1190"/>
      <c r="AM504" s="1190"/>
      <c r="AN504" s="1190"/>
      <c r="AO504" s="1190"/>
      <c r="AP504" s="1190"/>
      <c r="AQ504" s="1190"/>
      <c r="AR504" s="1190"/>
      <c r="AS504" s="1190"/>
      <c r="AT504" s="1190"/>
      <c r="AU504" s="1190"/>
      <c r="AV504" s="1190"/>
      <c r="AW504" s="1190"/>
      <c r="AX504" s="1190"/>
      <c r="AY504" s="1190"/>
      <c r="AZ504" s="1190"/>
      <c r="BA504" s="1190"/>
      <c r="BB504" s="1190"/>
      <c r="BC504" s="1190"/>
      <c r="BD504" s="1190"/>
      <c r="BE504" s="1190"/>
      <c r="BF504" s="1190"/>
      <c r="BG504" s="1190"/>
      <c r="BH504" s="1190"/>
      <c r="BI504" s="1190"/>
      <c r="BJ504" s="1190"/>
      <c r="BK504" s="1190"/>
      <c r="BL504" s="1190"/>
      <c r="BM504" s="1190"/>
      <c r="BN504" s="1190"/>
      <c r="BO504" s="1190"/>
    </row>
    <row r="505" spans="26:67">
      <c r="Z505" s="1190"/>
      <c r="AA505" s="1190"/>
      <c r="AB505" s="1190"/>
      <c r="AC505" s="1190"/>
      <c r="AD505" s="1190"/>
      <c r="AE505" s="1190"/>
      <c r="AF505" s="1190"/>
      <c r="AG505" s="1190"/>
      <c r="AH505" s="1190"/>
      <c r="AI505" s="1190"/>
      <c r="AJ505" s="1190"/>
      <c r="AK505" s="1190"/>
      <c r="AL505" s="1190"/>
      <c r="AM505" s="1190"/>
      <c r="AN505" s="1190"/>
      <c r="AO505" s="1190"/>
      <c r="AP505" s="1190"/>
      <c r="AQ505" s="1190"/>
      <c r="AR505" s="1190"/>
      <c r="AS505" s="1190"/>
      <c r="AT505" s="1190"/>
      <c r="AU505" s="1190"/>
      <c r="AV505" s="1190"/>
      <c r="AW505" s="1190"/>
      <c r="AX505" s="1190"/>
      <c r="AY505" s="1190"/>
      <c r="AZ505" s="1190"/>
      <c r="BA505" s="1190"/>
      <c r="BB505" s="1190"/>
      <c r="BC505" s="1190"/>
      <c r="BD505" s="1190"/>
      <c r="BE505" s="1190"/>
      <c r="BF505" s="1190"/>
      <c r="BG505" s="1190"/>
      <c r="BH505" s="1190"/>
      <c r="BI505" s="1190"/>
      <c r="BJ505" s="1190"/>
      <c r="BK505" s="1190"/>
      <c r="BL505" s="1190"/>
      <c r="BM505" s="1190"/>
      <c r="BN505" s="1190"/>
      <c r="BO505" s="1190"/>
    </row>
    <row r="506" spans="26:67">
      <c r="Z506" s="1190"/>
      <c r="AA506" s="1190"/>
      <c r="AB506" s="1190"/>
      <c r="AC506" s="1190"/>
      <c r="AD506" s="1190"/>
      <c r="AE506" s="1190"/>
      <c r="AF506" s="1190"/>
      <c r="AG506" s="1190"/>
      <c r="AH506" s="1190"/>
      <c r="AI506" s="1190"/>
      <c r="AJ506" s="1190"/>
      <c r="AK506" s="1190"/>
      <c r="AL506" s="1190"/>
      <c r="AM506" s="1190"/>
      <c r="AN506" s="1190"/>
      <c r="AO506" s="1190"/>
      <c r="AP506" s="1190"/>
      <c r="AQ506" s="1190"/>
      <c r="AR506" s="1190"/>
      <c r="AS506" s="1190"/>
      <c r="AT506" s="1190"/>
      <c r="AU506" s="1190"/>
      <c r="AV506" s="1190"/>
      <c r="AW506" s="1190"/>
      <c r="AX506" s="1190"/>
      <c r="AY506" s="1190"/>
      <c r="AZ506" s="1190"/>
      <c r="BA506" s="1190"/>
      <c r="BB506" s="1190"/>
      <c r="BC506" s="1190"/>
      <c r="BD506" s="1190"/>
      <c r="BE506" s="1190"/>
      <c r="BF506" s="1190"/>
      <c r="BG506" s="1190"/>
      <c r="BH506" s="1190"/>
      <c r="BI506" s="1190"/>
      <c r="BJ506" s="1190"/>
      <c r="BK506" s="1190"/>
      <c r="BL506" s="1190"/>
      <c r="BM506" s="1190"/>
      <c r="BN506" s="1190"/>
      <c r="BO506" s="1190"/>
    </row>
    <row r="507" spans="26:67">
      <c r="Z507" s="1190"/>
      <c r="AA507" s="1190"/>
      <c r="AB507" s="1190"/>
      <c r="AC507" s="1190"/>
      <c r="AD507" s="1190"/>
      <c r="AE507" s="1190"/>
      <c r="AF507" s="1190"/>
      <c r="AG507" s="1190"/>
      <c r="AH507" s="1190"/>
      <c r="AI507" s="1190"/>
      <c r="AJ507" s="1190"/>
      <c r="AK507" s="1190"/>
      <c r="AL507" s="1190"/>
      <c r="AM507" s="1190"/>
      <c r="AN507" s="1190"/>
      <c r="AO507" s="1190"/>
      <c r="AP507" s="1190"/>
      <c r="AQ507" s="1190"/>
      <c r="AR507" s="1190"/>
      <c r="AS507" s="1190"/>
      <c r="AT507" s="1190"/>
      <c r="AU507" s="1190"/>
      <c r="AV507" s="1190"/>
      <c r="AW507" s="1190"/>
      <c r="AX507" s="1190"/>
      <c r="AY507" s="1190"/>
      <c r="AZ507" s="1190"/>
      <c r="BA507" s="1190"/>
      <c r="BB507" s="1190"/>
      <c r="BC507" s="1190"/>
      <c r="BD507" s="1190"/>
      <c r="BE507" s="1190"/>
      <c r="BF507" s="1190"/>
      <c r="BG507" s="1190"/>
      <c r="BH507" s="1190"/>
      <c r="BI507" s="1190"/>
      <c r="BJ507" s="1190"/>
      <c r="BK507" s="1190"/>
      <c r="BL507" s="1190"/>
      <c r="BM507" s="1190"/>
      <c r="BN507" s="1190"/>
      <c r="BO507" s="1190"/>
    </row>
    <row r="508" spans="26:67">
      <c r="Z508" s="1190"/>
      <c r="AA508" s="1190"/>
      <c r="AB508" s="1190"/>
      <c r="AC508" s="1190"/>
      <c r="AD508" s="1190"/>
      <c r="AE508" s="1190"/>
      <c r="AF508" s="1190"/>
      <c r="AG508" s="1190"/>
      <c r="AH508" s="1190"/>
      <c r="AI508" s="1190"/>
      <c r="AJ508" s="1190"/>
      <c r="AK508" s="1190"/>
      <c r="AL508" s="1190"/>
      <c r="AM508" s="1190"/>
      <c r="AN508" s="1190"/>
      <c r="AO508" s="1190"/>
      <c r="AP508" s="1190"/>
      <c r="AQ508" s="1190"/>
      <c r="AR508" s="1190"/>
      <c r="AS508" s="1190"/>
      <c r="AT508" s="1190"/>
      <c r="AU508" s="1190"/>
      <c r="AV508" s="1190"/>
      <c r="AW508" s="1190"/>
      <c r="AX508" s="1190"/>
      <c r="AY508" s="1190"/>
      <c r="AZ508" s="1190"/>
      <c r="BA508" s="1190"/>
      <c r="BB508" s="1190"/>
      <c r="BC508" s="1190"/>
      <c r="BD508" s="1190"/>
      <c r="BE508" s="1190"/>
      <c r="BF508" s="1190"/>
      <c r="BG508" s="1190"/>
      <c r="BH508" s="1190"/>
      <c r="BI508" s="1190"/>
      <c r="BJ508" s="1190"/>
      <c r="BK508" s="1190"/>
      <c r="BL508" s="1190"/>
      <c r="BM508" s="1190"/>
      <c r="BN508" s="1190"/>
      <c r="BO508" s="1190"/>
    </row>
    <row r="509" spans="26:67">
      <c r="Z509" s="1190"/>
      <c r="AA509" s="1190"/>
      <c r="AB509" s="1190"/>
      <c r="AC509" s="1190"/>
      <c r="AD509" s="1190"/>
      <c r="AE509" s="1190"/>
      <c r="AF509" s="1190"/>
      <c r="AG509" s="1190"/>
      <c r="AH509" s="1190"/>
      <c r="AI509" s="1190"/>
      <c r="AJ509" s="1190"/>
      <c r="AK509" s="1190"/>
      <c r="AL509" s="1190"/>
      <c r="AM509" s="1190"/>
      <c r="AN509" s="1190"/>
      <c r="AO509" s="1190"/>
      <c r="AP509" s="1190"/>
      <c r="AQ509" s="1190"/>
      <c r="AR509" s="1190"/>
      <c r="AS509" s="1190"/>
      <c r="AT509" s="1190"/>
      <c r="AU509" s="1190"/>
      <c r="AV509" s="1190"/>
      <c r="AW509" s="1190"/>
      <c r="AX509" s="1190"/>
      <c r="AY509" s="1190"/>
      <c r="AZ509" s="1190"/>
      <c r="BA509" s="1190"/>
      <c r="BB509" s="1190"/>
      <c r="BC509" s="1190"/>
      <c r="BD509" s="1190"/>
      <c r="BE509" s="1190"/>
      <c r="BF509" s="1190"/>
      <c r="BG509" s="1190"/>
      <c r="BH509" s="1190"/>
      <c r="BI509" s="1190"/>
      <c r="BJ509" s="1190"/>
      <c r="BK509" s="1190"/>
      <c r="BL509" s="1190"/>
      <c r="BM509" s="1190"/>
      <c r="BN509" s="1190"/>
      <c r="BO509" s="1190"/>
    </row>
    <row r="510" spans="26:67">
      <c r="Z510" s="1190"/>
      <c r="AA510" s="1190"/>
      <c r="AB510" s="1190"/>
      <c r="AC510" s="1190"/>
      <c r="AD510" s="1190"/>
      <c r="AE510" s="1190"/>
      <c r="AF510" s="1190"/>
      <c r="AG510" s="1190"/>
      <c r="AH510" s="1190"/>
      <c r="AI510" s="1190"/>
      <c r="AJ510" s="1190"/>
      <c r="AK510" s="1190"/>
      <c r="AL510" s="1190"/>
      <c r="AM510" s="1190"/>
      <c r="AN510" s="1190"/>
      <c r="AO510" s="1190"/>
      <c r="AP510" s="1190"/>
      <c r="AQ510" s="1190"/>
      <c r="AR510" s="1190"/>
      <c r="AS510" s="1190"/>
      <c r="AT510" s="1190"/>
      <c r="AU510" s="1190"/>
      <c r="AV510" s="1190"/>
      <c r="AW510" s="1190"/>
      <c r="AX510" s="1190"/>
      <c r="AY510" s="1190"/>
      <c r="AZ510" s="1190"/>
      <c r="BA510" s="1190"/>
      <c r="BB510" s="1190"/>
      <c r="BC510" s="1190"/>
      <c r="BD510" s="1190"/>
      <c r="BE510" s="1190"/>
      <c r="BF510" s="1190"/>
      <c r="BG510" s="1190"/>
      <c r="BH510" s="1190"/>
      <c r="BI510" s="1190"/>
      <c r="BJ510" s="1190"/>
      <c r="BK510" s="1190"/>
      <c r="BL510" s="1190"/>
      <c r="BM510" s="1190"/>
      <c r="BN510" s="1190"/>
      <c r="BO510" s="1190"/>
    </row>
    <row r="511" spans="26:67">
      <c r="Z511" s="1190"/>
      <c r="AA511" s="1190"/>
      <c r="AB511" s="1190"/>
      <c r="AC511" s="1190"/>
      <c r="AD511" s="1190"/>
      <c r="AE511" s="1190"/>
      <c r="AF511" s="1190"/>
      <c r="AG511" s="1190"/>
      <c r="AH511" s="1190"/>
      <c r="AI511" s="1190"/>
      <c r="AJ511" s="1190"/>
      <c r="AK511" s="1190"/>
      <c r="AL511" s="1190"/>
      <c r="AM511" s="1190"/>
      <c r="AN511" s="1190"/>
      <c r="AO511" s="1190"/>
      <c r="AP511" s="1190"/>
      <c r="AQ511" s="1190"/>
      <c r="AR511" s="1190"/>
      <c r="AS511" s="1190"/>
      <c r="AT511" s="1190"/>
      <c r="AU511" s="1190"/>
      <c r="AV511" s="1190"/>
      <c r="AW511" s="1190"/>
      <c r="AX511" s="1190"/>
      <c r="AY511" s="1190"/>
      <c r="AZ511" s="1190"/>
      <c r="BA511" s="1190"/>
      <c r="BB511" s="1190"/>
      <c r="BC511" s="1190"/>
      <c r="BD511" s="1190"/>
      <c r="BE511" s="1190"/>
      <c r="BF511" s="1190"/>
      <c r="BG511" s="1190"/>
      <c r="BH511" s="1190"/>
      <c r="BI511" s="1190"/>
      <c r="BJ511" s="1190"/>
      <c r="BK511" s="1190"/>
      <c r="BL511" s="1190"/>
      <c r="BM511" s="1190"/>
      <c r="BN511" s="1190"/>
      <c r="BO511" s="1190"/>
    </row>
    <row r="512" spans="26:67">
      <c r="Z512" s="1190"/>
      <c r="AA512" s="1190"/>
      <c r="AB512" s="1190"/>
      <c r="AC512" s="1190"/>
      <c r="AD512" s="1190"/>
      <c r="AE512" s="1190"/>
      <c r="AF512" s="1190"/>
      <c r="AG512" s="1190"/>
      <c r="AH512" s="1190"/>
      <c r="AI512" s="1190"/>
      <c r="AJ512" s="1190"/>
      <c r="AK512" s="1190"/>
      <c r="AL512" s="1190"/>
      <c r="AM512" s="1190"/>
      <c r="AN512" s="1190"/>
      <c r="AO512" s="1190"/>
      <c r="AP512" s="1190"/>
      <c r="AQ512" s="1190"/>
      <c r="AR512" s="1190"/>
      <c r="AS512" s="1190"/>
      <c r="AT512" s="1190"/>
      <c r="AU512" s="1190"/>
      <c r="AV512" s="1190"/>
      <c r="AW512" s="1190"/>
      <c r="AX512" s="1190"/>
      <c r="AY512" s="1190"/>
      <c r="AZ512" s="1190"/>
      <c r="BA512" s="1190"/>
      <c r="BB512" s="1190"/>
      <c r="BC512" s="1190"/>
      <c r="BD512" s="1190"/>
      <c r="BE512" s="1190"/>
      <c r="BF512" s="1190"/>
      <c r="BG512" s="1190"/>
      <c r="BH512" s="1190"/>
      <c r="BI512" s="1190"/>
      <c r="BJ512" s="1190"/>
      <c r="BK512" s="1190"/>
      <c r="BL512" s="1190"/>
      <c r="BM512" s="1190"/>
      <c r="BN512" s="1190"/>
      <c r="BO512" s="1190"/>
    </row>
    <row r="513" spans="26:67">
      <c r="Z513" s="1190"/>
      <c r="AA513" s="1190"/>
      <c r="AB513" s="1190"/>
      <c r="AC513" s="1190"/>
      <c r="AD513" s="1190"/>
      <c r="AE513" s="1190"/>
      <c r="AF513" s="1190"/>
      <c r="AG513" s="1190"/>
      <c r="AH513" s="1190"/>
      <c r="AI513" s="1190"/>
      <c r="AJ513" s="1190"/>
      <c r="AK513" s="1190"/>
      <c r="AL513" s="1190"/>
      <c r="AM513" s="1190"/>
      <c r="AN513" s="1190"/>
      <c r="AO513" s="1190"/>
      <c r="AP513" s="1190"/>
      <c r="AQ513" s="1190"/>
      <c r="AR513" s="1190"/>
      <c r="AS513" s="1190"/>
      <c r="AT513" s="1190"/>
      <c r="AU513" s="1190"/>
      <c r="AV513" s="1190"/>
      <c r="AW513" s="1190"/>
      <c r="AX513" s="1190"/>
      <c r="AY513" s="1190"/>
      <c r="AZ513" s="1190"/>
      <c r="BA513" s="1190"/>
      <c r="BB513" s="1190"/>
      <c r="BC513" s="1190"/>
      <c r="BD513" s="1190"/>
      <c r="BE513" s="1190"/>
      <c r="BF513" s="1190"/>
      <c r="BG513" s="1190"/>
      <c r="BH513" s="1190"/>
      <c r="BI513" s="1190"/>
      <c r="BJ513" s="1190"/>
      <c r="BK513" s="1190"/>
      <c r="BL513" s="1190"/>
      <c r="BM513" s="1190"/>
      <c r="BN513" s="1190"/>
      <c r="BO513" s="1190"/>
    </row>
    <row r="514" spans="26:67">
      <c r="Z514" s="1190"/>
      <c r="AA514" s="1190"/>
      <c r="AB514" s="1190"/>
      <c r="AC514" s="1190"/>
      <c r="AD514" s="1190"/>
      <c r="AE514" s="1190"/>
      <c r="AF514" s="1190"/>
      <c r="AG514" s="1190"/>
      <c r="AH514" s="1190"/>
      <c r="AI514" s="1190"/>
      <c r="AJ514" s="1190"/>
      <c r="AK514" s="1190"/>
      <c r="AL514" s="1190"/>
      <c r="AM514" s="1190"/>
      <c r="AN514" s="1190"/>
      <c r="AO514" s="1190"/>
      <c r="AP514" s="1190"/>
      <c r="AQ514" s="1190"/>
      <c r="AR514" s="1190"/>
      <c r="AS514" s="1190"/>
      <c r="AT514" s="1190"/>
      <c r="AU514" s="1190"/>
      <c r="AV514" s="1190"/>
      <c r="AW514" s="1190"/>
      <c r="AX514" s="1190"/>
      <c r="AY514" s="1190"/>
      <c r="AZ514" s="1190"/>
      <c r="BA514" s="1190"/>
      <c r="BB514" s="1190"/>
      <c r="BC514" s="1190"/>
      <c r="BD514" s="1190"/>
      <c r="BE514" s="1190"/>
      <c r="BF514" s="1190"/>
      <c r="BG514" s="1190"/>
      <c r="BH514" s="1190"/>
      <c r="BI514" s="1190"/>
      <c r="BJ514" s="1190"/>
      <c r="BK514" s="1190"/>
      <c r="BL514" s="1190"/>
      <c r="BM514" s="1190"/>
      <c r="BN514" s="1190"/>
      <c r="BO514" s="1190"/>
    </row>
    <row r="515" spans="26:67">
      <c r="Z515" s="1190"/>
      <c r="AA515" s="1190"/>
      <c r="AB515" s="1190"/>
      <c r="AC515" s="1190"/>
      <c r="AD515" s="1190"/>
      <c r="AE515" s="1190"/>
      <c r="AF515" s="1190"/>
      <c r="AG515" s="1190"/>
      <c r="AH515" s="1190"/>
      <c r="AI515" s="1190"/>
      <c r="AJ515" s="1190"/>
      <c r="AK515" s="1190"/>
      <c r="AL515" s="1190"/>
      <c r="AM515" s="1190"/>
      <c r="AN515" s="1190"/>
      <c r="AO515" s="1190"/>
      <c r="AP515" s="1190"/>
      <c r="AQ515" s="1190"/>
      <c r="AR515" s="1190"/>
      <c r="AS515" s="1190"/>
      <c r="AT515" s="1190"/>
      <c r="AU515" s="1190"/>
      <c r="AV515" s="1190"/>
      <c r="AW515" s="1190"/>
      <c r="AX515" s="1190"/>
      <c r="AY515" s="1190"/>
      <c r="AZ515" s="1190"/>
      <c r="BA515" s="1190"/>
      <c r="BB515" s="1190"/>
      <c r="BC515" s="1190"/>
      <c r="BD515" s="1190"/>
      <c r="BE515" s="1190"/>
      <c r="BF515" s="1190"/>
      <c r="BG515" s="1190"/>
      <c r="BH515" s="1190"/>
      <c r="BI515" s="1190"/>
      <c r="BJ515" s="1190"/>
      <c r="BK515" s="1190"/>
      <c r="BL515" s="1190"/>
      <c r="BM515" s="1190"/>
      <c r="BN515" s="1190"/>
      <c r="BO515" s="1190"/>
    </row>
    <row r="516" spans="26:67">
      <c r="Z516" s="1190"/>
      <c r="AA516" s="1190"/>
      <c r="AB516" s="1190"/>
      <c r="AC516" s="1190"/>
      <c r="AD516" s="1190"/>
      <c r="AE516" s="1190"/>
      <c r="AF516" s="1190"/>
      <c r="AG516" s="1190"/>
      <c r="AH516" s="1190"/>
      <c r="AI516" s="1190"/>
      <c r="AJ516" s="1190"/>
      <c r="AK516" s="1190"/>
      <c r="AL516" s="1190"/>
      <c r="AM516" s="1190"/>
      <c r="AN516" s="1190"/>
      <c r="AO516" s="1190"/>
      <c r="AP516" s="1190"/>
      <c r="AQ516" s="1190"/>
      <c r="AR516" s="1190"/>
      <c r="AS516" s="1190"/>
      <c r="AT516" s="1190"/>
      <c r="AU516" s="1190"/>
      <c r="AV516" s="1190"/>
      <c r="AW516" s="1190"/>
      <c r="AX516" s="1190"/>
      <c r="AY516" s="1190"/>
      <c r="AZ516" s="1190"/>
      <c r="BA516" s="1190"/>
      <c r="BB516" s="1190"/>
      <c r="BC516" s="1190"/>
      <c r="BD516" s="1190"/>
      <c r="BE516" s="1190"/>
      <c r="BF516" s="1190"/>
      <c r="BG516" s="1190"/>
      <c r="BH516" s="1190"/>
      <c r="BI516" s="1190"/>
      <c r="BJ516" s="1190"/>
      <c r="BK516" s="1190"/>
      <c r="BL516" s="1190"/>
      <c r="BM516" s="1190"/>
      <c r="BN516" s="1190"/>
      <c r="BO516" s="1190"/>
    </row>
    <row r="517" spans="26:67">
      <c r="Z517" s="1190"/>
      <c r="AA517" s="1190"/>
      <c r="AB517" s="1190"/>
      <c r="AC517" s="1190"/>
      <c r="AD517" s="1190"/>
      <c r="AE517" s="1190"/>
      <c r="AF517" s="1190"/>
      <c r="AG517" s="1190"/>
      <c r="AH517" s="1190"/>
      <c r="AI517" s="1190"/>
      <c r="AJ517" s="1190"/>
      <c r="AK517" s="1190"/>
      <c r="AL517" s="1190"/>
      <c r="AM517" s="1190"/>
      <c r="AN517" s="1190"/>
      <c r="AO517" s="1190"/>
      <c r="AP517" s="1190"/>
      <c r="AQ517" s="1190"/>
      <c r="AR517" s="1190"/>
      <c r="AS517" s="1190"/>
      <c r="AT517" s="1190"/>
      <c r="AU517" s="1190"/>
      <c r="AV517" s="1190"/>
      <c r="AW517" s="1190"/>
      <c r="AX517" s="1190"/>
      <c r="AY517" s="1190"/>
      <c r="AZ517" s="1190"/>
      <c r="BA517" s="1190"/>
      <c r="BB517" s="1190"/>
      <c r="BC517" s="1190"/>
      <c r="BD517" s="1190"/>
      <c r="BE517" s="1190"/>
      <c r="BF517" s="1190"/>
      <c r="BG517" s="1190"/>
      <c r="BH517" s="1190"/>
      <c r="BI517" s="1190"/>
      <c r="BJ517" s="1190"/>
      <c r="BK517" s="1190"/>
      <c r="BL517" s="1190"/>
      <c r="BM517" s="1190"/>
      <c r="BN517" s="1190"/>
      <c r="BO517" s="1190"/>
    </row>
    <row r="518" spans="26:67">
      <c r="Z518" s="1190"/>
      <c r="AA518" s="1190"/>
      <c r="AB518" s="1190"/>
      <c r="AC518" s="1190"/>
      <c r="AD518" s="1190"/>
      <c r="AE518" s="1190"/>
      <c r="AF518" s="1190"/>
      <c r="AG518" s="1190"/>
      <c r="AH518" s="1190"/>
      <c r="AI518" s="1190"/>
      <c r="AJ518" s="1190"/>
      <c r="AK518" s="1190"/>
      <c r="AL518" s="1190"/>
      <c r="AM518" s="1190"/>
      <c r="AN518" s="1190"/>
      <c r="AO518" s="1190"/>
      <c r="AP518" s="1190"/>
      <c r="AQ518" s="1190"/>
      <c r="AR518" s="1190"/>
      <c r="AS518" s="1190"/>
      <c r="AT518" s="1190"/>
      <c r="AU518" s="1190"/>
      <c r="AV518" s="1190"/>
      <c r="AW518" s="1190"/>
      <c r="AX518" s="1190"/>
      <c r="AY518" s="1190"/>
      <c r="AZ518" s="1190"/>
      <c r="BA518" s="1190"/>
      <c r="BB518" s="1190"/>
      <c r="BC518" s="1190"/>
      <c r="BD518" s="1190"/>
      <c r="BE518" s="1190"/>
      <c r="BF518" s="1190"/>
      <c r="BG518" s="1190"/>
      <c r="BH518" s="1190"/>
      <c r="BI518" s="1190"/>
      <c r="BJ518" s="1190"/>
      <c r="BK518" s="1190"/>
      <c r="BL518" s="1190"/>
      <c r="BM518" s="1190"/>
      <c r="BN518" s="1190"/>
      <c r="BO518" s="1190"/>
    </row>
    <row r="519" spans="26:67">
      <c r="Z519" s="1190"/>
      <c r="AA519" s="1190"/>
      <c r="AB519" s="1190"/>
      <c r="AC519" s="1190"/>
      <c r="AD519" s="1190"/>
      <c r="AE519" s="1190"/>
      <c r="AF519" s="1190"/>
      <c r="AG519" s="1190"/>
      <c r="AH519" s="1190"/>
      <c r="AI519" s="1190"/>
      <c r="AJ519" s="1190"/>
      <c r="AK519" s="1190"/>
      <c r="AL519" s="1190"/>
      <c r="AM519" s="1190"/>
      <c r="AN519" s="1190"/>
      <c r="AO519" s="1190"/>
      <c r="AP519" s="1190"/>
      <c r="AQ519" s="1190"/>
      <c r="AR519" s="1190"/>
      <c r="AS519" s="1190"/>
      <c r="AT519" s="1190"/>
      <c r="AU519" s="1190"/>
      <c r="AV519" s="1190"/>
      <c r="AW519" s="1190"/>
      <c r="AX519" s="1190"/>
      <c r="AY519" s="1190"/>
      <c r="AZ519" s="1190"/>
      <c r="BA519" s="1190"/>
      <c r="BB519" s="1190"/>
      <c r="BC519" s="1190"/>
      <c r="BD519" s="1190"/>
      <c r="BE519" s="1190"/>
      <c r="BF519" s="1190"/>
      <c r="BG519" s="1190"/>
      <c r="BH519" s="1190"/>
      <c r="BI519" s="1190"/>
      <c r="BJ519" s="1190"/>
      <c r="BK519" s="1190"/>
      <c r="BL519" s="1190"/>
      <c r="BM519" s="1190"/>
      <c r="BN519" s="1190"/>
      <c r="BO519" s="1190"/>
    </row>
    <row r="520" spans="26:67">
      <c r="Z520" s="1190"/>
      <c r="AA520" s="1190"/>
      <c r="AB520" s="1190"/>
      <c r="AC520" s="1190"/>
      <c r="AD520" s="1190"/>
      <c r="AE520" s="1190"/>
      <c r="AF520" s="1190"/>
      <c r="AG520" s="1190"/>
      <c r="AH520" s="1190"/>
      <c r="AI520" s="1190"/>
      <c r="AJ520" s="1190"/>
      <c r="AK520" s="1190"/>
      <c r="AL520" s="1190"/>
      <c r="AM520" s="1190"/>
      <c r="AN520" s="1190"/>
      <c r="AO520" s="1190"/>
      <c r="AP520" s="1190"/>
      <c r="AQ520" s="1190"/>
      <c r="AR520" s="1190"/>
      <c r="AS520" s="1190"/>
      <c r="AT520" s="1190"/>
      <c r="AU520" s="1190"/>
      <c r="AV520" s="1190"/>
      <c r="AW520" s="1190"/>
      <c r="AX520" s="1190"/>
      <c r="AY520" s="1190"/>
      <c r="AZ520" s="1190"/>
      <c r="BA520" s="1190"/>
      <c r="BB520" s="1190"/>
      <c r="BC520" s="1190"/>
      <c r="BD520" s="1190"/>
      <c r="BE520" s="1190"/>
      <c r="BF520" s="1190"/>
      <c r="BG520" s="1190"/>
      <c r="BH520" s="1190"/>
      <c r="BI520" s="1190"/>
      <c r="BJ520" s="1190"/>
      <c r="BK520" s="1190"/>
      <c r="BL520" s="1190"/>
      <c r="BM520" s="1190"/>
      <c r="BN520" s="1190"/>
      <c r="BO520" s="1190"/>
    </row>
    <row r="521" spans="26:67">
      <c r="Z521" s="1190"/>
      <c r="AA521" s="1190"/>
      <c r="AB521" s="1190"/>
      <c r="AC521" s="1190"/>
      <c r="AD521" s="1190"/>
      <c r="AE521" s="1190"/>
      <c r="AF521" s="1190"/>
      <c r="AG521" s="1190"/>
      <c r="AH521" s="1190"/>
      <c r="AI521" s="1190"/>
      <c r="AJ521" s="1190"/>
      <c r="AK521" s="1190"/>
      <c r="AL521" s="1190"/>
      <c r="AM521" s="1190"/>
      <c r="AN521" s="1190"/>
      <c r="AO521" s="1190"/>
      <c r="AP521" s="1190"/>
      <c r="AQ521" s="1190"/>
      <c r="AR521" s="1190"/>
      <c r="AS521" s="1190"/>
      <c r="AT521" s="1190"/>
      <c r="AU521" s="1190"/>
      <c r="AV521" s="1190"/>
      <c r="AW521" s="1190"/>
      <c r="AX521" s="1190"/>
      <c r="AY521" s="1190"/>
      <c r="AZ521" s="1190"/>
      <c r="BA521" s="1190"/>
      <c r="BB521" s="1190"/>
      <c r="BC521" s="1190"/>
      <c r="BD521" s="1190"/>
      <c r="BE521" s="1190"/>
      <c r="BF521" s="1190"/>
      <c r="BG521" s="1190"/>
      <c r="BH521" s="1190"/>
      <c r="BI521" s="1190"/>
      <c r="BJ521" s="1190"/>
      <c r="BK521" s="1190"/>
      <c r="BL521" s="1190"/>
      <c r="BM521" s="1190"/>
      <c r="BN521" s="1190"/>
      <c r="BO521" s="1190"/>
    </row>
    <row r="522" spans="26:67">
      <c r="Z522" s="1190"/>
      <c r="AA522" s="1190"/>
      <c r="AB522" s="1190"/>
      <c r="AC522" s="1190"/>
      <c r="AD522" s="1190"/>
      <c r="AE522" s="1190"/>
      <c r="AF522" s="1190"/>
      <c r="AG522" s="1190"/>
      <c r="AH522" s="1190"/>
      <c r="AI522" s="1190"/>
      <c r="AJ522" s="1190"/>
      <c r="AK522" s="1190"/>
      <c r="AL522" s="1190"/>
      <c r="AM522" s="1190"/>
      <c r="AN522" s="1190"/>
      <c r="AO522" s="1190"/>
      <c r="AP522" s="1190"/>
      <c r="AQ522" s="1190"/>
      <c r="AR522" s="1190"/>
      <c r="AS522" s="1190"/>
      <c r="AT522" s="1190"/>
      <c r="AU522" s="1190"/>
      <c r="AV522" s="1190"/>
      <c r="AW522" s="1190"/>
      <c r="AX522" s="1190"/>
      <c r="AY522" s="1190"/>
      <c r="AZ522" s="1190"/>
      <c r="BA522" s="1190"/>
      <c r="BB522" s="1190"/>
      <c r="BC522" s="1190"/>
      <c r="BD522" s="1190"/>
      <c r="BE522" s="1190"/>
      <c r="BF522" s="1190"/>
      <c r="BG522" s="1190"/>
      <c r="BH522" s="1190"/>
      <c r="BI522" s="1190"/>
      <c r="BJ522" s="1190"/>
      <c r="BK522" s="1190"/>
      <c r="BL522" s="1190"/>
      <c r="BM522" s="1190"/>
      <c r="BN522" s="1190"/>
      <c r="BO522" s="1190"/>
    </row>
    <row r="523" spans="26:67">
      <c r="Z523" s="1190"/>
      <c r="AA523" s="1190"/>
      <c r="AB523" s="1190"/>
      <c r="AC523" s="1190"/>
      <c r="AD523" s="1190"/>
      <c r="AE523" s="1190"/>
      <c r="AF523" s="1190"/>
      <c r="AG523" s="1190"/>
      <c r="AH523" s="1190"/>
      <c r="AI523" s="1190"/>
      <c r="AJ523" s="1190"/>
      <c r="AK523" s="1190"/>
      <c r="AL523" s="1190"/>
      <c r="AM523" s="1190"/>
      <c r="AN523" s="1190"/>
      <c r="AO523" s="1190"/>
      <c r="AP523" s="1190"/>
      <c r="AQ523" s="1190"/>
      <c r="AR523" s="1190"/>
      <c r="AS523" s="1190"/>
      <c r="AT523" s="1190"/>
      <c r="AU523" s="1190"/>
      <c r="AV523" s="1190"/>
      <c r="AW523" s="1190"/>
      <c r="AX523" s="1190"/>
      <c r="AY523" s="1190"/>
      <c r="AZ523" s="1190"/>
      <c r="BA523" s="1190"/>
      <c r="BB523" s="1190"/>
      <c r="BC523" s="1190"/>
      <c r="BD523" s="1190"/>
      <c r="BE523" s="1190"/>
      <c r="BF523" s="1190"/>
      <c r="BG523" s="1190"/>
      <c r="BH523" s="1190"/>
      <c r="BI523" s="1190"/>
      <c r="BJ523" s="1190"/>
      <c r="BK523" s="1190"/>
      <c r="BL523" s="1190"/>
      <c r="BM523" s="1190"/>
      <c r="BN523" s="1190"/>
      <c r="BO523" s="1190"/>
    </row>
    <row r="524" spans="26:67">
      <c r="Z524" s="1190"/>
      <c r="AA524" s="1190"/>
      <c r="AB524" s="1190"/>
      <c r="AC524" s="1190"/>
      <c r="AD524" s="1190"/>
      <c r="AE524" s="1190"/>
      <c r="AF524" s="1190"/>
      <c r="AG524" s="1190"/>
      <c r="AH524" s="1190"/>
      <c r="AI524" s="1190"/>
      <c r="AJ524" s="1190"/>
      <c r="AK524" s="1190"/>
      <c r="AL524" s="1190"/>
      <c r="AM524" s="1190"/>
      <c r="AN524" s="1190"/>
      <c r="AO524" s="1190"/>
      <c r="AP524" s="1190"/>
      <c r="AQ524" s="1190"/>
      <c r="AR524" s="1190"/>
      <c r="AS524" s="1190"/>
      <c r="AT524" s="1190"/>
      <c r="AU524" s="1190"/>
      <c r="AV524" s="1190"/>
      <c r="AW524" s="1190"/>
      <c r="AX524" s="1190"/>
      <c r="AY524" s="1190"/>
      <c r="AZ524" s="1190"/>
      <c r="BA524" s="1190"/>
      <c r="BB524" s="1190"/>
      <c r="BC524" s="1190"/>
      <c r="BD524" s="1190"/>
      <c r="BE524" s="1190"/>
      <c r="BF524" s="1190"/>
      <c r="BG524" s="1190"/>
      <c r="BH524" s="1190"/>
      <c r="BI524" s="1190"/>
      <c r="BJ524" s="1190"/>
      <c r="BK524" s="1190"/>
      <c r="BL524" s="1190"/>
      <c r="BM524" s="1190"/>
      <c r="BN524" s="1190"/>
      <c r="BO524" s="1190"/>
    </row>
    <row r="525" spans="26:67">
      <c r="Z525" s="1190"/>
      <c r="AA525" s="1190"/>
      <c r="AB525" s="1190"/>
      <c r="AC525" s="1190"/>
      <c r="AD525" s="1190"/>
      <c r="AE525" s="1190"/>
      <c r="AF525" s="1190"/>
      <c r="AG525" s="1190"/>
      <c r="AH525" s="1190"/>
      <c r="AI525" s="1190"/>
      <c r="AJ525" s="1190"/>
      <c r="AK525" s="1190"/>
      <c r="AL525" s="1190"/>
      <c r="AM525" s="1190"/>
      <c r="AN525" s="1190"/>
      <c r="AO525" s="1190"/>
      <c r="AP525" s="1190"/>
      <c r="AQ525" s="1190"/>
      <c r="AR525" s="1190"/>
      <c r="AS525" s="1190"/>
      <c r="AT525" s="1190"/>
      <c r="AU525" s="1190"/>
      <c r="AV525" s="1190"/>
      <c r="AW525" s="1190"/>
      <c r="AX525" s="1190"/>
      <c r="AY525" s="1190"/>
      <c r="AZ525" s="1190"/>
      <c r="BA525" s="1190"/>
      <c r="BB525" s="1190"/>
      <c r="BC525" s="1190"/>
      <c r="BD525" s="1190"/>
      <c r="BE525" s="1190"/>
      <c r="BF525" s="1190"/>
      <c r="BG525" s="1190"/>
      <c r="BH525" s="1190"/>
      <c r="BI525" s="1190"/>
      <c r="BJ525" s="1190"/>
      <c r="BK525" s="1190"/>
      <c r="BL525" s="1190"/>
      <c r="BM525" s="1190"/>
      <c r="BN525" s="1190"/>
      <c r="BO525" s="1190"/>
    </row>
    <row r="526" spans="26:67">
      <c r="Z526" s="1190"/>
      <c r="AA526" s="1190"/>
      <c r="AB526" s="1190"/>
      <c r="AC526" s="1190"/>
      <c r="AD526" s="1190"/>
      <c r="AE526" s="1190"/>
      <c r="AF526" s="1190"/>
      <c r="AG526" s="1190"/>
      <c r="AH526" s="1190"/>
      <c r="AI526" s="1190"/>
      <c r="AJ526" s="1190"/>
      <c r="AK526" s="1190"/>
      <c r="AL526" s="1190"/>
      <c r="AM526" s="1190"/>
      <c r="AN526" s="1190"/>
      <c r="AO526" s="1190"/>
      <c r="AP526" s="1190"/>
      <c r="AQ526" s="1190"/>
      <c r="AR526" s="1190"/>
      <c r="AS526" s="1190"/>
      <c r="AT526" s="1190"/>
      <c r="AU526" s="1190"/>
      <c r="AV526" s="1190"/>
      <c r="AW526" s="1190"/>
      <c r="AX526" s="1190"/>
      <c r="AY526" s="1190"/>
      <c r="AZ526" s="1190"/>
      <c r="BA526" s="1190"/>
      <c r="BB526" s="1190"/>
      <c r="BC526" s="1190"/>
      <c r="BD526" s="1190"/>
      <c r="BE526" s="1190"/>
      <c r="BF526" s="1190"/>
      <c r="BG526" s="1190"/>
      <c r="BH526" s="1190"/>
      <c r="BI526" s="1190"/>
      <c r="BJ526" s="1190"/>
      <c r="BK526" s="1190"/>
      <c r="BL526" s="1190"/>
      <c r="BM526" s="1190"/>
      <c r="BN526" s="1190"/>
      <c r="BO526" s="1190"/>
    </row>
    <row r="527" spans="26:67">
      <c r="Z527" s="1190"/>
      <c r="AA527" s="1190"/>
      <c r="AB527" s="1190"/>
      <c r="AC527" s="1190"/>
      <c r="AD527" s="1190"/>
      <c r="AE527" s="1190"/>
      <c r="AF527" s="1190"/>
      <c r="AG527" s="1190"/>
      <c r="AH527" s="1190"/>
      <c r="AI527" s="1190"/>
      <c r="AJ527" s="1190"/>
      <c r="AK527" s="1190"/>
      <c r="AL527" s="1190"/>
      <c r="AM527" s="1190"/>
      <c r="AN527" s="1190"/>
      <c r="AO527" s="1190"/>
      <c r="AP527" s="1190"/>
      <c r="AQ527" s="1190"/>
      <c r="AR527" s="1190"/>
      <c r="AS527" s="1190"/>
      <c r="AT527" s="1190"/>
      <c r="AU527" s="1190"/>
      <c r="AV527" s="1190"/>
      <c r="AW527" s="1190"/>
      <c r="AX527" s="1190"/>
      <c r="AY527" s="1190"/>
      <c r="AZ527" s="1190"/>
      <c r="BA527" s="1190"/>
      <c r="BB527" s="1190"/>
      <c r="BC527" s="1190"/>
      <c r="BD527" s="1190"/>
      <c r="BE527" s="1190"/>
      <c r="BF527" s="1190"/>
      <c r="BG527" s="1190"/>
      <c r="BH527" s="1190"/>
      <c r="BI527" s="1190"/>
      <c r="BJ527" s="1190"/>
      <c r="BK527" s="1190"/>
      <c r="BL527" s="1190"/>
      <c r="BM527" s="1190"/>
      <c r="BN527" s="1190"/>
      <c r="BO527" s="1190"/>
    </row>
    <row r="528" spans="26:67">
      <c r="Z528" s="1190"/>
      <c r="AA528" s="1190"/>
      <c r="AB528" s="1190"/>
      <c r="AC528" s="1190"/>
      <c r="AD528" s="1190"/>
      <c r="AE528" s="1190"/>
      <c r="AF528" s="1190"/>
      <c r="AG528" s="1190"/>
      <c r="AH528" s="1190"/>
      <c r="AI528" s="1190"/>
      <c r="AJ528" s="1190"/>
      <c r="AK528" s="1190"/>
      <c r="AL528" s="1190"/>
      <c r="AM528" s="1190"/>
      <c r="AN528" s="1190"/>
      <c r="AO528" s="1190"/>
      <c r="AP528" s="1190"/>
      <c r="AQ528" s="1190"/>
      <c r="AR528" s="1190"/>
      <c r="AS528" s="1190"/>
      <c r="AT528" s="1190"/>
      <c r="AU528" s="1190"/>
      <c r="AV528" s="1190"/>
      <c r="AW528" s="1190"/>
      <c r="AX528" s="1190"/>
      <c r="AY528" s="1190"/>
      <c r="AZ528" s="1190"/>
      <c r="BA528" s="1190"/>
      <c r="BB528" s="1190"/>
      <c r="BC528" s="1190"/>
      <c r="BD528" s="1190"/>
      <c r="BE528" s="1190"/>
      <c r="BF528" s="1190"/>
      <c r="BG528" s="1190"/>
      <c r="BH528" s="1190"/>
      <c r="BI528" s="1190"/>
      <c r="BJ528" s="1190"/>
      <c r="BK528" s="1190"/>
      <c r="BL528" s="1190"/>
      <c r="BM528" s="1190"/>
      <c r="BN528" s="1190"/>
      <c r="BO528" s="1190"/>
    </row>
    <row r="529" spans="26:67">
      <c r="Z529" s="1190"/>
      <c r="AA529" s="1190"/>
      <c r="AB529" s="1190"/>
      <c r="AC529" s="1190"/>
      <c r="AD529" s="1190"/>
      <c r="AE529" s="1190"/>
      <c r="AF529" s="1190"/>
      <c r="AG529" s="1190"/>
      <c r="AH529" s="1190"/>
      <c r="AI529" s="1190"/>
      <c r="AJ529" s="1190"/>
      <c r="AK529" s="1190"/>
      <c r="AL529" s="1190"/>
      <c r="AM529" s="1190"/>
      <c r="AN529" s="1190"/>
      <c r="AO529" s="1190"/>
      <c r="AP529" s="1190"/>
      <c r="AQ529" s="1190"/>
      <c r="AR529" s="1190"/>
      <c r="AS529" s="1190"/>
      <c r="AT529" s="1190"/>
      <c r="AU529" s="1190"/>
      <c r="AV529" s="1190"/>
      <c r="AW529" s="1190"/>
      <c r="AX529" s="1190"/>
      <c r="AY529" s="1190"/>
      <c r="AZ529" s="1190"/>
      <c r="BA529" s="1190"/>
      <c r="BB529" s="1190"/>
      <c r="BC529" s="1190"/>
      <c r="BD529" s="1190"/>
      <c r="BE529" s="1190"/>
      <c r="BF529" s="1190"/>
      <c r="BG529" s="1190"/>
      <c r="BH529" s="1190"/>
      <c r="BI529" s="1190"/>
      <c r="BJ529" s="1190"/>
      <c r="BK529" s="1190"/>
      <c r="BL529" s="1190"/>
      <c r="BM529" s="1190"/>
      <c r="BN529" s="1190"/>
      <c r="BO529" s="1190"/>
    </row>
    <row r="530" spans="26:67">
      <c r="Z530" s="1190"/>
      <c r="AA530" s="1190"/>
      <c r="AB530" s="1190"/>
      <c r="AC530" s="1190"/>
      <c r="AD530" s="1190"/>
      <c r="AE530" s="1190"/>
      <c r="AF530" s="1190"/>
      <c r="AG530" s="1190"/>
      <c r="AH530" s="1190"/>
      <c r="AI530" s="1190"/>
      <c r="AJ530" s="1190"/>
      <c r="AK530" s="1190"/>
      <c r="AL530" s="1190"/>
      <c r="AM530" s="1190"/>
      <c r="AN530" s="1190"/>
      <c r="AO530" s="1190"/>
      <c r="AP530" s="1190"/>
      <c r="AQ530" s="1190"/>
      <c r="AR530" s="1190"/>
      <c r="AS530" s="1190"/>
      <c r="AT530" s="1190"/>
      <c r="AU530" s="1190"/>
      <c r="AV530" s="1190"/>
      <c r="AW530" s="1190"/>
      <c r="AX530" s="1190"/>
      <c r="AY530" s="1190"/>
      <c r="AZ530" s="1190"/>
      <c r="BA530" s="1190"/>
      <c r="BB530" s="1190"/>
      <c r="BC530" s="1190"/>
      <c r="BD530" s="1190"/>
      <c r="BE530" s="1190"/>
      <c r="BF530" s="1190"/>
      <c r="BG530" s="1190"/>
      <c r="BH530" s="1190"/>
      <c r="BI530" s="1190"/>
      <c r="BJ530" s="1190"/>
      <c r="BK530" s="1190"/>
      <c r="BL530" s="1190"/>
      <c r="BM530" s="1190"/>
      <c r="BN530" s="1190"/>
      <c r="BO530" s="1190"/>
    </row>
    <row r="531" spans="26:67">
      <c r="Z531" s="1190"/>
      <c r="AA531" s="1190"/>
      <c r="AB531" s="1190"/>
      <c r="AC531" s="1190"/>
      <c r="AD531" s="1190"/>
      <c r="AE531" s="1190"/>
      <c r="AF531" s="1190"/>
      <c r="AG531" s="1190"/>
      <c r="AH531" s="1190"/>
      <c r="AI531" s="1190"/>
      <c r="AJ531" s="1190"/>
      <c r="AK531" s="1190"/>
      <c r="AL531" s="1190"/>
      <c r="AM531" s="1190"/>
      <c r="AN531" s="1190"/>
      <c r="AO531" s="1190"/>
      <c r="AP531" s="1190"/>
      <c r="AQ531" s="1190"/>
      <c r="AR531" s="1190"/>
      <c r="AS531" s="1190"/>
      <c r="AT531" s="1190"/>
      <c r="AU531" s="1190"/>
      <c r="AV531" s="1190"/>
      <c r="AW531" s="1190"/>
      <c r="AX531" s="1190"/>
      <c r="AY531" s="1190"/>
      <c r="AZ531" s="1190"/>
      <c r="BA531" s="1190"/>
      <c r="BB531" s="1190"/>
      <c r="BC531" s="1190"/>
      <c r="BD531" s="1190"/>
      <c r="BE531" s="1190"/>
      <c r="BF531" s="1190"/>
      <c r="BG531" s="1190"/>
      <c r="BH531" s="1190"/>
      <c r="BI531" s="1190"/>
      <c r="BJ531" s="1190"/>
      <c r="BK531" s="1190"/>
      <c r="BL531" s="1190"/>
      <c r="BM531" s="1190"/>
      <c r="BN531" s="1190"/>
      <c r="BO531" s="1190"/>
    </row>
    <row r="532" spans="26:67">
      <c r="Z532" s="1190"/>
      <c r="AA532" s="1190"/>
      <c r="AB532" s="1190"/>
      <c r="AC532" s="1190"/>
      <c r="AD532" s="1190"/>
      <c r="AE532" s="1190"/>
      <c r="AF532" s="1190"/>
      <c r="AG532" s="1190"/>
      <c r="AH532" s="1190"/>
      <c r="AI532" s="1190"/>
      <c r="AJ532" s="1190"/>
      <c r="AK532" s="1190"/>
      <c r="AL532" s="1190"/>
      <c r="AM532" s="1190"/>
      <c r="AN532" s="1190"/>
      <c r="AO532" s="1190"/>
      <c r="AP532" s="1190"/>
      <c r="AQ532" s="1190"/>
      <c r="AR532" s="1190"/>
      <c r="AS532" s="1190"/>
      <c r="AT532" s="1190"/>
      <c r="AU532" s="1190"/>
      <c r="AV532" s="1190"/>
      <c r="AW532" s="1190"/>
      <c r="AX532" s="1190"/>
      <c r="AY532" s="1190"/>
      <c r="AZ532" s="1190"/>
      <c r="BA532" s="1190"/>
      <c r="BB532" s="1190"/>
      <c r="BC532" s="1190"/>
      <c r="BD532" s="1190"/>
      <c r="BE532" s="1190"/>
      <c r="BF532" s="1190"/>
      <c r="BG532" s="1190"/>
      <c r="BH532" s="1190"/>
      <c r="BI532" s="1190"/>
      <c r="BJ532" s="1190"/>
      <c r="BK532" s="1190"/>
      <c r="BL532" s="1190"/>
      <c r="BM532" s="1190"/>
      <c r="BN532" s="1190"/>
      <c r="BO532" s="1190"/>
    </row>
    <row r="533" spans="26:67">
      <c r="Z533" s="1190"/>
      <c r="AA533" s="1190"/>
      <c r="AB533" s="1190"/>
      <c r="AC533" s="1190"/>
      <c r="AD533" s="1190"/>
      <c r="AE533" s="1190"/>
      <c r="AF533" s="1190"/>
      <c r="AG533" s="1190"/>
      <c r="AH533" s="1190"/>
      <c r="AI533" s="1190"/>
      <c r="AJ533" s="1190"/>
      <c r="AK533" s="1190"/>
      <c r="AL533" s="1190"/>
      <c r="AM533" s="1190"/>
      <c r="AN533" s="1190"/>
      <c r="AO533" s="1190"/>
      <c r="AP533" s="1190"/>
      <c r="AQ533" s="1190"/>
      <c r="AR533" s="1190"/>
      <c r="AS533" s="1190"/>
      <c r="AT533" s="1190"/>
      <c r="AU533" s="1190"/>
      <c r="AV533" s="1190"/>
      <c r="AW533" s="1190"/>
      <c r="AX533" s="1190"/>
      <c r="AY533" s="1190"/>
      <c r="AZ533" s="1190"/>
      <c r="BA533" s="1190"/>
      <c r="BB533" s="1190"/>
      <c r="BC533" s="1190"/>
      <c r="BD533" s="1190"/>
      <c r="BE533" s="1190"/>
      <c r="BF533" s="1190"/>
      <c r="BG533" s="1190"/>
      <c r="BH533" s="1190"/>
      <c r="BI533" s="1190"/>
      <c r="BJ533" s="1190"/>
      <c r="BK533" s="1190"/>
      <c r="BL533" s="1190"/>
      <c r="BM533" s="1190"/>
      <c r="BN533" s="1190"/>
      <c r="BO533" s="1190"/>
    </row>
    <row r="534" spans="26:67">
      <c r="Z534" s="1190"/>
      <c r="AA534" s="1190"/>
      <c r="AB534" s="1190"/>
      <c r="AC534" s="1190"/>
      <c r="AD534" s="1190"/>
      <c r="AE534" s="1190"/>
      <c r="AF534" s="1190"/>
      <c r="AG534" s="1190"/>
      <c r="AH534" s="1190"/>
      <c r="AI534" s="1190"/>
      <c r="AJ534" s="1190"/>
      <c r="AK534" s="1190"/>
      <c r="AL534" s="1190"/>
      <c r="AM534" s="1190"/>
      <c r="AN534" s="1190"/>
      <c r="AO534" s="1190"/>
      <c r="AP534" s="1190"/>
      <c r="AQ534" s="1190"/>
      <c r="AR534" s="1190"/>
      <c r="AS534" s="1190"/>
      <c r="AT534" s="1190"/>
      <c r="AU534" s="1190"/>
      <c r="AV534" s="1190"/>
      <c r="AW534" s="1190"/>
      <c r="AX534" s="1190"/>
      <c r="AY534" s="1190"/>
      <c r="AZ534" s="1190"/>
      <c r="BA534" s="1190"/>
      <c r="BB534" s="1190"/>
      <c r="BC534" s="1190"/>
      <c r="BD534" s="1190"/>
      <c r="BE534" s="1190"/>
      <c r="BF534" s="1190"/>
      <c r="BG534" s="1190"/>
      <c r="BH534" s="1190"/>
      <c r="BI534" s="1190"/>
      <c r="BJ534" s="1190"/>
      <c r="BK534" s="1190"/>
      <c r="BL534" s="1190"/>
      <c r="BM534" s="1190"/>
      <c r="BN534" s="1190"/>
      <c r="BO534" s="1190"/>
    </row>
    <row r="535" spans="26:67">
      <c r="Z535" s="1190"/>
      <c r="AA535" s="1190"/>
      <c r="AB535" s="1190"/>
      <c r="AC535" s="1190"/>
      <c r="AD535" s="1190"/>
      <c r="AE535" s="1190"/>
      <c r="AF535" s="1190"/>
      <c r="AG535" s="1190"/>
      <c r="AH535" s="1190"/>
      <c r="AI535" s="1190"/>
      <c r="AJ535" s="1190"/>
      <c r="AK535" s="1190"/>
      <c r="AL535" s="1190"/>
      <c r="AM535" s="1190"/>
      <c r="AN535" s="1190"/>
      <c r="AO535" s="1190"/>
      <c r="AP535" s="1190"/>
      <c r="AQ535" s="1190"/>
      <c r="AR535" s="1190"/>
      <c r="AS535" s="1190"/>
      <c r="AT535" s="1190"/>
      <c r="AU535" s="1190"/>
      <c r="AV535" s="1190"/>
      <c r="AW535" s="1190"/>
      <c r="AX535" s="1190"/>
      <c r="AY535" s="1190"/>
      <c r="AZ535" s="1190"/>
      <c r="BA535" s="1190"/>
      <c r="BB535" s="1190"/>
      <c r="BC535" s="1190"/>
      <c r="BD535" s="1190"/>
      <c r="BE535" s="1190"/>
      <c r="BF535" s="1190"/>
      <c r="BG535" s="1190"/>
      <c r="BH535" s="1190"/>
      <c r="BI535" s="1190"/>
      <c r="BJ535" s="1190"/>
      <c r="BK535" s="1190"/>
      <c r="BL535" s="1190"/>
      <c r="BM535" s="1190"/>
      <c r="BN535" s="1190"/>
      <c r="BO535" s="1190"/>
    </row>
    <row r="536" spans="26:67">
      <c r="Z536" s="1190"/>
      <c r="AA536" s="1190"/>
      <c r="AB536" s="1190"/>
      <c r="AC536" s="1190"/>
      <c r="AD536" s="1190"/>
      <c r="AE536" s="1190"/>
      <c r="AF536" s="1190"/>
      <c r="AG536" s="1190"/>
      <c r="AH536" s="1190"/>
      <c r="AI536" s="1190"/>
      <c r="AJ536" s="1190"/>
      <c r="AK536" s="1190"/>
      <c r="AL536" s="1190"/>
      <c r="AM536" s="1190"/>
      <c r="AN536" s="1190"/>
      <c r="AO536" s="1190"/>
      <c r="AP536" s="1190"/>
      <c r="AQ536" s="1190"/>
      <c r="AR536" s="1190"/>
      <c r="AS536" s="1190"/>
      <c r="AT536" s="1190"/>
      <c r="AU536" s="1190"/>
      <c r="AV536" s="1190"/>
      <c r="AW536" s="1190"/>
      <c r="AX536" s="1190"/>
      <c r="AY536" s="1190"/>
      <c r="AZ536" s="1190"/>
      <c r="BA536" s="1190"/>
      <c r="BB536" s="1190"/>
      <c r="BC536" s="1190"/>
      <c r="BD536" s="1190"/>
      <c r="BE536" s="1190"/>
      <c r="BF536" s="1190"/>
      <c r="BG536" s="1190"/>
      <c r="BH536" s="1190"/>
      <c r="BI536" s="1190"/>
      <c r="BJ536" s="1190"/>
      <c r="BK536" s="1190"/>
      <c r="BL536" s="1190"/>
      <c r="BM536" s="1190"/>
      <c r="BN536" s="1190"/>
      <c r="BO536" s="1190"/>
    </row>
    <row r="537" spans="26:67">
      <c r="Z537" s="1190"/>
      <c r="AA537" s="1190"/>
      <c r="AB537" s="1190"/>
      <c r="AC537" s="1190"/>
      <c r="AD537" s="1190"/>
      <c r="AE537" s="1190"/>
      <c r="AF537" s="1190"/>
      <c r="AG537" s="1190"/>
      <c r="AH537" s="1190"/>
      <c r="AI537" s="1190"/>
      <c r="AJ537" s="1190"/>
      <c r="AK537" s="1190"/>
      <c r="AL537" s="1190"/>
      <c r="AM537" s="1190"/>
      <c r="AN537" s="1190"/>
      <c r="AO537" s="1190"/>
      <c r="AP537" s="1190"/>
      <c r="AQ537" s="1190"/>
      <c r="AR537" s="1190"/>
      <c r="AS537" s="1190"/>
      <c r="AT537" s="1190"/>
      <c r="AU537" s="1190"/>
      <c r="AV537" s="1190"/>
      <c r="AW537" s="1190"/>
      <c r="AX537" s="1190"/>
      <c r="AY537" s="1190"/>
      <c r="AZ537" s="1190"/>
      <c r="BA537" s="1190"/>
      <c r="BB537" s="1190"/>
      <c r="BC537" s="1190"/>
      <c r="BD537" s="1190"/>
      <c r="BE537" s="1190"/>
      <c r="BF537" s="1190"/>
      <c r="BG537" s="1190"/>
      <c r="BH537" s="1190"/>
      <c r="BI537" s="1190"/>
      <c r="BJ537" s="1190"/>
      <c r="BK537" s="1190"/>
      <c r="BL537" s="1190"/>
      <c r="BM537" s="1190"/>
      <c r="BN537" s="1190"/>
      <c r="BO537" s="1190"/>
    </row>
    <row r="538" spans="26:67">
      <c r="Z538" s="1190"/>
      <c r="AA538" s="1190"/>
      <c r="AB538" s="1190"/>
      <c r="AC538" s="1190"/>
      <c r="AD538" s="1190"/>
      <c r="AE538" s="1190"/>
      <c r="AF538" s="1190"/>
      <c r="AG538" s="1190"/>
      <c r="AH538" s="1190"/>
      <c r="AI538" s="1190"/>
      <c r="AJ538" s="1190"/>
      <c r="AK538" s="1190"/>
      <c r="AL538" s="1190"/>
      <c r="AM538" s="1190"/>
      <c r="AN538" s="1190"/>
      <c r="AO538" s="1190"/>
      <c r="AP538" s="1190"/>
      <c r="AQ538" s="1190"/>
      <c r="AR538" s="1190"/>
      <c r="AS538" s="1190"/>
      <c r="AT538" s="1190"/>
      <c r="AU538" s="1190"/>
      <c r="AV538" s="1190"/>
      <c r="AW538" s="1190"/>
      <c r="AX538" s="1190"/>
      <c r="AY538" s="1190"/>
      <c r="AZ538" s="1190"/>
      <c r="BA538" s="1190"/>
      <c r="BB538" s="1190"/>
      <c r="BC538" s="1190"/>
      <c r="BD538" s="1190"/>
      <c r="BE538" s="1190"/>
      <c r="BF538" s="1190"/>
      <c r="BG538" s="1190"/>
      <c r="BH538" s="1190"/>
      <c r="BI538" s="1190"/>
      <c r="BJ538" s="1190"/>
      <c r="BK538" s="1190"/>
      <c r="BL538" s="1190"/>
      <c r="BM538" s="1190"/>
      <c r="BN538" s="1190"/>
      <c r="BO538" s="1190"/>
    </row>
    <row r="539" spans="26:67">
      <c r="Z539" s="1190"/>
      <c r="AA539" s="1190"/>
      <c r="AB539" s="1190"/>
      <c r="AC539" s="1190"/>
      <c r="AD539" s="1190"/>
      <c r="AE539" s="1190"/>
      <c r="AF539" s="1190"/>
      <c r="AG539" s="1190"/>
      <c r="AH539" s="1190"/>
      <c r="AI539" s="1190"/>
      <c r="AJ539" s="1190"/>
      <c r="AK539" s="1190"/>
      <c r="AL539" s="1190"/>
      <c r="AM539" s="1190"/>
      <c r="AN539" s="1190"/>
      <c r="AO539" s="1190"/>
      <c r="AP539" s="1190"/>
      <c r="AQ539" s="1190"/>
      <c r="AR539" s="1190"/>
      <c r="AS539" s="1190"/>
      <c r="AT539" s="1190"/>
      <c r="AU539" s="1190"/>
      <c r="AV539" s="1190"/>
      <c r="AW539" s="1190"/>
      <c r="AX539" s="1190"/>
      <c r="AY539" s="1190"/>
      <c r="AZ539" s="1190"/>
      <c r="BA539" s="1190"/>
      <c r="BB539" s="1190"/>
      <c r="BC539" s="1190"/>
      <c r="BD539" s="1190"/>
      <c r="BE539" s="1190"/>
      <c r="BF539" s="1190"/>
      <c r="BG539" s="1190"/>
      <c r="BH539" s="1190"/>
      <c r="BI539" s="1190"/>
      <c r="BJ539" s="1190"/>
      <c r="BK539" s="1190"/>
      <c r="BL539" s="1190"/>
      <c r="BM539" s="1190"/>
      <c r="BN539" s="1190"/>
      <c r="BO539" s="1190"/>
    </row>
    <row r="540" spans="26:67">
      <c r="Z540" s="1190"/>
      <c r="AA540" s="1190"/>
      <c r="AB540" s="1190"/>
      <c r="AC540" s="1190"/>
      <c r="AD540" s="1190"/>
      <c r="AE540" s="1190"/>
      <c r="AF540" s="1190"/>
      <c r="AG540" s="1190"/>
      <c r="AH540" s="1190"/>
      <c r="AI540" s="1190"/>
      <c r="AJ540" s="1190"/>
      <c r="AK540" s="1190"/>
      <c r="AL540" s="1190"/>
      <c r="AM540" s="1190"/>
      <c r="AN540" s="1190"/>
      <c r="AO540" s="1190"/>
      <c r="AP540" s="1190"/>
      <c r="AQ540" s="1190"/>
      <c r="AR540" s="1190"/>
      <c r="AS540" s="1190"/>
      <c r="AT540" s="1190"/>
      <c r="AU540" s="1190"/>
      <c r="AV540" s="1190"/>
      <c r="AW540" s="1190"/>
      <c r="AX540" s="1190"/>
      <c r="AY540" s="1190"/>
      <c r="AZ540" s="1190"/>
      <c r="BA540" s="1190"/>
      <c r="BB540" s="1190"/>
      <c r="BC540" s="1190"/>
      <c r="BD540" s="1190"/>
      <c r="BE540" s="1190"/>
      <c r="BF540" s="1190"/>
      <c r="BG540" s="1190"/>
      <c r="BH540" s="1190"/>
      <c r="BI540" s="1190"/>
      <c r="BJ540" s="1190"/>
      <c r="BK540" s="1190"/>
      <c r="BL540" s="1190"/>
      <c r="BM540" s="1190"/>
      <c r="BN540" s="1190"/>
      <c r="BO540" s="1190"/>
    </row>
    <row r="541" spans="26:67">
      <c r="Z541" s="1190"/>
      <c r="AA541" s="1190"/>
      <c r="AB541" s="1190"/>
      <c r="AC541" s="1190"/>
      <c r="AD541" s="1190"/>
      <c r="AE541" s="1190"/>
      <c r="AF541" s="1190"/>
      <c r="AG541" s="1190"/>
      <c r="AH541" s="1190"/>
      <c r="AI541" s="1190"/>
      <c r="AJ541" s="1190"/>
      <c r="AK541" s="1190"/>
      <c r="AL541" s="1190"/>
      <c r="AM541" s="1190"/>
      <c r="AN541" s="1190"/>
      <c r="AO541" s="1190"/>
      <c r="AP541" s="1190"/>
      <c r="AQ541" s="1190"/>
      <c r="AR541" s="1190"/>
      <c r="AS541" s="1190"/>
      <c r="AT541" s="1190"/>
      <c r="AU541" s="1190"/>
      <c r="AV541" s="1190"/>
      <c r="AW541" s="1190"/>
      <c r="AX541" s="1190"/>
      <c r="AY541" s="1190"/>
      <c r="AZ541" s="1190"/>
      <c r="BA541" s="1190"/>
      <c r="BB541" s="1190"/>
      <c r="BC541" s="1190"/>
      <c r="BD541" s="1190"/>
      <c r="BE541" s="1190"/>
      <c r="BF541" s="1190"/>
      <c r="BG541" s="1190"/>
      <c r="BH541" s="1190"/>
      <c r="BI541" s="1190"/>
      <c r="BJ541" s="1190"/>
      <c r="BK541" s="1190"/>
      <c r="BL541" s="1190"/>
      <c r="BM541" s="1190"/>
      <c r="BN541" s="1190"/>
      <c r="BO541" s="1190"/>
    </row>
    <row r="542" spans="26:67">
      <c r="Z542" s="1190"/>
      <c r="AA542" s="1190"/>
      <c r="AB542" s="1190"/>
      <c r="AC542" s="1190"/>
      <c r="AD542" s="1190"/>
      <c r="AE542" s="1190"/>
      <c r="AF542" s="1190"/>
      <c r="AG542" s="1190"/>
      <c r="AH542" s="1190"/>
      <c r="AI542" s="1190"/>
      <c r="AJ542" s="1190"/>
      <c r="AK542" s="1190"/>
      <c r="AL542" s="1190"/>
      <c r="AM542" s="1190"/>
      <c r="AN542" s="1190"/>
      <c r="AO542" s="1190"/>
      <c r="AP542" s="1190"/>
      <c r="AQ542" s="1190"/>
      <c r="AR542" s="1190"/>
      <c r="AS542" s="1190"/>
      <c r="AT542" s="1190"/>
      <c r="AU542" s="1190"/>
      <c r="AV542" s="1190"/>
      <c r="AW542" s="1190"/>
      <c r="AX542" s="1190"/>
      <c r="AY542" s="1190"/>
      <c r="AZ542" s="1190"/>
      <c r="BA542" s="1190"/>
      <c r="BB542" s="1190"/>
      <c r="BC542" s="1190"/>
      <c r="BD542" s="1190"/>
      <c r="BE542" s="1190"/>
      <c r="BF542" s="1190"/>
      <c r="BG542" s="1190"/>
      <c r="BH542" s="1190"/>
      <c r="BI542" s="1190"/>
      <c r="BJ542" s="1190"/>
      <c r="BK542" s="1190"/>
      <c r="BL542" s="1190"/>
      <c r="BM542" s="1190"/>
      <c r="BN542" s="1190"/>
      <c r="BO542" s="1190"/>
    </row>
    <row r="543" spans="26:67">
      <c r="Z543" s="1190"/>
      <c r="AA543" s="1190"/>
      <c r="AB543" s="1190"/>
      <c r="AC543" s="1190"/>
      <c r="AD543" s="1190"/>
      <c r="AE543" s="1190"/>
      <c r="AF543" s="1190"/>
      <c r="AG543" s="1190"/>
      <c r="AH543" s="1190"/>
      <c r="AI543" s="1190"/>
      <c r="AJ543" s="1190"/>
      <c r="AK543" s="1190"/>
      <c r="AL543" s="1190"/>
      <c r="AM543" s="1190"/>
      <c r="AN543" s="1190"/>
      <c r="AO543" s="1190"/>
      <c r="AP543" s="1190"/>
      <c r="AQ543" s="1190"/>
      <c r="AR543" s="1190"/>
      <c r="AS543" s="1190"/>
      <c r="AT543" s="1190"/>
      <c r="AU543" s="1190"/>
      <c r="AV543" s="1190"/>
      <c r="AW543" s="1190"/>
      <c r="AX543" s="1190"/>
      <c r="AY543" s="1190"/>
      <c r="AZ543" s="1190"/>
      <c r="BA543" s="1190"/>
      <c r="BB543" s="1190"/>
      <c r="BC543" s="1190"/>
      <c r="BD543" s="1190"/>
      <c r="BE543" s="1190"/>
      <c r="BF543" s="1190"/>
      <c r="BG543" s="1190"/>
      <c r="BH543" s="1190"/>
      <c r="BI543" s="1190"/>
      <c r="BJ543" s="1190"/>
      <c r="BK543" s="1190"/>
      <c r="BL543" s="1190"/>
      <c r="BM543" s="1190"/>
      <c r="BN543" s="1190"/>
      <c r="BO543" s="1190"/>
    </row>
    <row r="544" spans="26:67">
      <c r="Z544" s="1190"/>
      <c r="AA544" s="1190"/>
      <c r="AB544" s="1190"/>
      <c r="AC544" s="1190"/>
      <c r="AD544" s="1190"/>
      <c r="AE544" s="1190"/>
      <c r="AF544" s="1190"/>
      <c r="AG544" s="1190"/>
      <c r="AH544" s="1190"/>
      <c r="AI544" s="1190"/>
      <c r="AJ544" s="1190"/>
      <c r="AK544" s="1190"/>
      <c r="AL544" s="1190"/>
      <c r="AM544" s="1190"/>
      <c r="AN544" s="1190"/>
      <c r="AO544" s="1190"/>
      <c r="AP544" s="1190"/>
      <c r="AQ544" s="1190"/>
      <c r="AR544" s="1190"/>
      <c r="AS544" s="1190"/>
      <c r="AT544" s="1190"/>
      <c r="AU544" s="1190"/>
      <c r="AV544" s="1190"/>
      <c r="AW544" s="1190"/>
      <c r="AX544" s="1190"/>
      <c r="AY544" s="1190"/>
      <c r="AZ544" s="1190"/>
      <c r="BA544" s="1190"/>
      <c r="BB544" s="1190"/>
      <c r="BC544" s="1190"/>
      <c r="BD544" s="1190"/>
      <c r="BE544" s="1190"/>
      <c r="BF544" s="1190"/>
      <c r="BG544" s="1190"/>
      <c r="BH544" s="1190"/>
      <c r="BI544" s="1190"/>
      <c r="BJ544" s="1190"/>
      <c r="BK544" s="1190"/>
      <c r="BL544" s="1190"/>
      <c r="BM544" s="1190"/>
      <c r="BN544" s="1190"/>
      <c r="BO544" s="1190"/>
    </row>
    <row r="545" spans="26:67">
      <c r="Z545" s="1190"/>
      <c r="AA545" s="1190"/>
      <c r="AB545" s="1190"/>
      <c r="AC545" s="1190"/>
      <c r="AD545" s="1190"/>
      <c r="AE545" s="1190"/>
      <c r="AF545" s="1190"/>
      <c r="AG545" s="1190"/>
      <c r="AH545" s="1190"/>
      <c r="AI545" s="1190"/>
      <c r="AJ545" s="1190"/>
      <c r="AK545" s="1190"/>
      <c r="AL545" s="1190"/>
      <c r="AM545" s="1190"/>
      <c r="AN545" s="1190"/>
      <c r="AO545" s="1190"/>
      <c r="AP545" s="1190"/>
      <c r="AQ545" s="1190"/>
      <c r="AR545" s="1190"/>
      <c r="AS545" s="1190"/>
      <c r="AT545" s="1190"/>
      <c r="AU545" s="1190"/>
      <c r="AV545" s="1190"/>
      <c r="AW545" s="1190"/>
      <c r="AX545" s="1190"/>
      <c r="AY545" s="1190"/>
      <c r="AZ545" s="1190"/>
      <c r="BA545" s="1190"/>
      <c r="BB545" s="1190"/>
      <c r="BC545" s="1190"/>
      <c r="BD545" s="1190"/>
      <c r="BE545" s="1190"/>
      <c r="BF545" s="1190"/>
      <c r="BG545" s="1190"/>
      <c r="BH545" s="1190"/>
      <c r="BI545" s="1190"/>
      <c r="BJ545" s="1190"/>
      <c r="BK545" s="1190"/>
      <c r="BL545" s="1190"/>
      <c r="BM545" s="1190"/>
      <c r="BN545" s="1190"/>
      <c r="BO545" s="1190"/>
    </row>
    <row r="546" spans="26:67">
      <c r="Z546" s="1190"/>
      <c r="AA546" s="1190"/>
      <c r="AB546" s="1190"/>
      <c r="AC546" s="1190"/>
      <c r="AD546" s="1190"/>
      <c r="AE546" s="1190"/>
      <c r="AF546" s="1190"/>
      <c r="AG546" s="1190"/>
      <c r="AH546" s="1190"/>
      <c r="AI546" s="1190"/>
      <c r="AJ546" s="1190"/>
      <c r="AK546" s="1190"/>
      <c r="AL546" s="1190"/>
      <c r="AM546" s="1190"/>
      <c r="AN546" s="1190"/>
      <c r="AO546" s="1190"/>
      <c r="AP546" s="1190"/>
      <c r="AQ546" s="1190"/>
      <c r="AR546" s="1190"/>
      <c r="AS546" s="1190"/>
      <c r="AT546" s="1190"/>
      <c r="AU546" s="1190"/>
      <c r="AV546" s="1190"/>
      <c r="AW546" s="1190"/>
      <c r="AX546" s="1190"/>
      <c r="AY546" s="1190"/>
      <c r="AZ546" s="1190"/>
      <c r="BA546" s="1190"/>
      <c r="BB546" s="1190"/>
      <c r="BC546" s="1190"/>
      <c r="BD546" s="1190"/>
      <c r="BE546" s="1190"/>
      <c r="BF546" s="1190"/>
      <c r="BG546" s="1190"/>
      <c r="BH546" s="1190"/>
      <c r="BI546" s="1190"/>
      <c r="BJ546" s="1190"/>
      <c r="BK546" s="1190"/>
      <c r="BL546" s="1190"/>
      <c r="BM546" s="1190"/>
      <c r="BN546" s="1190"/>
      <c r="BO546" s="1190"/>
    </row>
    <row r="547" spans="26:67">
      <c r="Z547" s="1190"/>
      <c r="AA547" s="1190"/>
      <c r="AB547" s="1190"/>
      <c r="AC547" s="1190"/>
      <c r="AD547" s="1190"/>
      <c r="AE547" s="1190"/>
      <c r="AF547" s="1190"/>
      <c r="AG547" s="1190"/>
      <c r="AH547" s="1190"/>
      <c r="AI547" s="1190"/>
      <c r="AJ547" s="1190"/>
      <c r="AK547" s="1190"/>
      <c r="AL547" s="1190"/>
      <c r="AM547" s="1190"/>
      <c r="AN547" s="1190"/>
      <c r="AO547" s="1190"/>
      <c r="AP547" s="1190"/>
      <c r="AQ547" s="1190"/>
      <c r="AR547" s="1190"/>
      <c r="AS547" s="1190"/>
      <c r="AT547" s="1190"/>
      <c r="AU547" s="1190"/>
      <c r="AV547" s="1190"/>
      <c r="AW547" s="1190"/>
      <c r="AX547" s="1190"/>
      <c r="AY547" s="1190"/>
      <c r="AZ547" s="1190"/>
      <c r="BA547" s="1190"/>
      <c r="BB547" s="1190"/>
      <c r="BC547" s="1190"/>
      <c r="BD547" s="1190"/>
      <c r="BE547" s="1190"/>
      <c r="BF547" s="1190"/>
      <c r="BG547" s="1190"/>
      <c r="BH547" s="1190"/>
      <c r="BI547" s="1190"/>
      <c r="BJ547" s="1190"/>
      <c r="BK547" s="1190"/>
      <c r="BL547" s="1190"/>
      <c r="BM547" s="1190"/>
      <c r="BN547" s="1190"/>
      <c r="BO547" s="1190"/>
    </row>
    <row r="548" spans="26:67">
      <c r="Z548" s="1190"/>
      <c r="AA548" s="1190"/>
      <c r="AB548" s="1190"/>
      <c r="AC548" s="1190"/>
      <c r="AD548" s="1190"/>
      <c r="AE548" s="1190"/>
      <c r="AF548" s="1190"/>
      <c r="AG548" s="1190"/>
      <c r="AH548" s="1190"/>
      <c r="AI548" s="1190"/>
      <c r="AJ548" s="1190"/>
      <c r="AK548" s="1190"/>
      <c r="AL548" s="1190"/>
      <c r="AM548" s="1190"/>
      <c r="AN548" s="1190"/>
      <c r="AO548" s="1190"/>
      <c r="AP548" s="1190"/>
      <c r="AQ548" s="1190"/>
      <c r="AR548" s="1190"/>
      <c r="AS548" s="1190"/>
      <c r="AT548" s="1190"/>
      <c r="AU548" s="1190"/>
      <c r="AV548" s="1190"/>
      <c r="AW548" s="1190"/>
      <c r="AX548" s="1190"/>
      <c r="AY548" s="1190"/>
      <c r="AZ548" s="1190"/>
      <c r="BA548" s="1190"/>
      <c r="BB548" s="1190"/>
      <c r="BC548" s="1190"/>
      <c r="BD548" s="1190"/>
      <c r="BE548" s="1190"/>
      <c r="BF548" s="1190"/>
      <c r="BG548" s="1190"/>
      <c r="BH548" s="1190"/>
      <c r="BI548" s="1190"/>
      <c r="BJ548" s="1190"/>
      <c r="BK548" s="1190"/>
      <c r="BL548" s="1190"/>
      <c r="BM548" s="1190"/>
      <c r="BN548" s="1190"/>
      <c r="BO548" s="1190"/>
    </row>
    <row r="549" spans="26:67">
      <c r="Z549" s="1190"/>
      <c r="AA549" s="1190"/>
      <c r="AB549" s="1190"/>
      <c r="AC549" s="1190"/>
      <c r="AD549" s="1190"/>
      <c r="AE549" s="1190"/>
      <c r="AF549" s="1190"/>
      <c r="AG549" s="1190"/>
      <c r="AH549" s="1190"/>
      <c r="AI549" s="1190"/>
      <c r="AJ549" s="1190"/>
      <c r="AK549" s="1190"/>
      <c r="AL549" s="1190"/>
      <c r="AM549" s="1190"/>
      <c r="AN549" s="1190"/>
      <c r="AO549" s="1190"/>
      <c r="AP549" s="1190"/>
      <c r="AQ549" s="1190"/>
      <c r="AR549" s="1190"/>
      <c r="AS549" s="1190"/>
      <c r="AT549" s="1190"/>
      <c r="AU549" s="1190"/>
      <c r="AV549" s="1190"/>
      <c r="AW549" s="1190"/>
      <c r="AX549" s="1190"/>
      <c r="AY549" s="1190"/>
      <c r="AZ549" s="1190"/>
      <c r="BA549" s="1190"/>
      <c r="BB549" s="1190"/>
      <c r="BC549" s="1190"/>
      <c r="BD549" s="1190"/>
      <c r="BE549" s="1190"/>
      <c r="BF549" s="1190"/>
      <c r="BG549" s="1190"/>
      <c r="BH549" s="1190"/>
      <c r="BI549" s="1190"/>
      <c r="BJ549" s="1190"/>
      <c r="BK549" s="1190"/>
      <c r="BL549" s="1190"/>
      <c r="BM549" s="1190"/>
      <c r="BN549" s="1190"/>
      <c r="BO549" s="1190"/>
    </row>
    <row r="550" spans="26:67">
      <c r="Z550" s="1190"/>
      <c r="AA550" s="1190"/>
      <c r="AB550" s="1190"/>
      <c r="AC550" s="1190"/>
      <c r="AD550" s="1190"/>
      <c r="AE550" s="1190"/>
      <c r="AF550" s="1190"/>
      <c r="AG550" s="1190"/>
      <c r="AH550" s="1190"/>
      <c r="AI550" s="1190"/>
      <c r="AJ550" s="1190"/>
      <c r="AK550" s="1190"/>
      <c r="AL550" s="1190"/>
      <c r="AM550" s="1190"/>
      <c r="AN550" s="1190"/>
      <c r="AO550" s="1190"/>
      <c r="AP550" s="1190"/>
      <c r="AQ550" s="1190"/>
      <c r="AR550" s="1190"/>
      <c r="AS550" s="1190"/>
      <c r="AT550" s="1190"/>
      <c r="AU550" s="1190"/>
      <c r="AV550" s="1190"/>
      <c r="AW550" s="1190"/>
      <c r="AX550" s="1190"/>
      <c r="AY550" s="1190"/>
      <c r="AZ550" s="1190"/>
      <c r="BA550" s="1190"/>
      <c r="BB550" s="1190"/>
      <c r="BC550" s="1190"/>
      <c r="BD550" s="1190"/>
      <c r="BE550" s="1190"/>
      <c r="BF550" s="1190"/>
      <c r="BG550" s="1190"/>
      <c r="BH550" s="1190"/>
      <c r="BI550" s="1190"/>
      <c r="BJ550" s="1190"/>
      <c r="BK550" s="1190"/>
      <c r="BL550" s="1190"/>
      <c r="BM550" s="1190"/>
      <c r="BN550" s="1190"/>
      <c r="BO550" s="1190"/>
    </row>
    <row r="551" spans="26:67">
      <c r="Z551" s="1190"/>
      <c r="AA551" s="1190"/>
      <c r="AB551" s="1190"/>
      <c r="AC551" s="1190"/>
      <c r="AD551" s="1190"/>
      <c r="AE551" s="1190"/>
      <c r="AF551" s="1190"/>
      <c r="AG551" s="1190"/>
      <c r="AH551" s="1190"/>
      <c r="AI551" s="1190"/>
      <c r="AJ551" s="1190"/>
      <c r="AK551" s="1190"/>
      <c r="AL551" s="1190"/>
      <c r="AM551" s="1190"/>
      <c r="AN551" s="1190"/>
      <c r="AO551" s="1190"/>
      <c r="AP551" s="1190"/>
      <c r="AQ551" s="1190"/>
      <c r="AR551" s="1190"/>
      <c r="AS551" s="1190"/>
      <c r="AT551" s="1190"/>
      <c r="AU551" s="1190"/>
      <c r="AV551" s="1190"/>
      <c r="AW551" s="1190"/>
      <c r="AX551" s="1190"/>
      <c r="AY551" s="1190"/>
      <c r="AZ551" s="1190"/>
      <c r="BA551" s="1190"/>
      <c r="BB551" s="1190"/>
      <c r="BC551" s="1190"/>
      <c r="BD551" s="1190"/>
      <c r="BE551" s="1190"/>
      <c r="BF551" s="1190"/>
      <c r="BG551" s="1190"/>
      <c r="BH551" s="1190"/>
      <c r="BI551" s="1190"/>
      <c r="BJ551" s="1190"/>
      <c r="BK551" s="1190"/>
      <c r="BL551" s="1190"/>
      <c r="BM551" s="1190"/>
      <c r="BN551" s="1190"/>
      <c r="BO551" s="1190"/>
    </row>
    <row r="552" spans="26:67">
      <c r="Z552" s="1190"/>
      <c r="AA552" s="1190"/>
      <c r="AB552" s="1190"/>
      <c r="AC552" s="1190"/>
      <c r="AD552" s="1190"/>
      <c r="AE552" s="1190"/>
      <c r="AF552" s="1190"/>
      <c r="AG552" s="1190"/>
      <c r="AH552" s="1190"/>
      <c r="AI552" s="1190"/>
      <c r="AJ552" s="1190"/>
      <c r="AK552" s="1190"/>
      <c r="AL552" s="1190"/>
      <c r="AM552" s="1190"/>
      <c r="AN552" s="1190"/>
      <c r="AO552" s="1190"/>
      <c r="AP552" s="1190"/>
      <c r="AQ552" s="1190"/>
      <c r="AR552" s="1190"/>
      <c r="AS552" s="1190"/>
      <c r="AT552" s="1190"/>
      <c r="AU552" s="1190"/>
      <c r="AV552" s="1190"/>
      <c r="AW552" s="1190"/>
      <c r="AX552" s="1190"/>
      <c r="AY552" s="1190"/>
      <c r="AZ552" s="1190"/>
      <c r="BA552" s="1190"/>
      <c r="BB552" s="1190"/>
      <c r="BC552" s="1190"/>
      <c r="BD552" s="1190"/>
      <c r="BE552" s="1190"/>
      <c r="BF552" s="1190"/>
      <c r="BG552" s="1190"/>
      <c r="BH552" s="1190"/>
      <c r="BI552" s="1190"/>
      <c r="BJ552" s="1190"/>
      <c r="BK552" s="1190"/>
      <c r="BL552" s="1190"/>
      <c r="BM552" s="1190"/>
      <c r="BN552" s="1190"/>
      <c r="BO552" s="1190"/>
    </row>
    <row r="553" spans="26:67">
      <c r="Z553" s="1190"/>
      <c r="AA553" s="1190"/>
      <c r="AB553" s="1190"/>
      <c r="AC553" s="1190"/>
      <c r="AD553" s="1190"/>
      <c r="AE553" s="1190"/>
      <c r="AF553" s="1190"/>
      <c r="AG553" s="1190"/>
      <c r="AH553" s="1190"/>
      <c r="AI553" s="1190"/>
      <c r="AJ553" s="1190"/>
      <c r="AK553" s="1190"/>
      <c r="AL553" s="1190"/>
      <c r="AM553" s="1190"/>
      <c r="AN553" s="1190"/>
      <c r="AO553" s="1190"/>
      <c r="AP553" s="1190"/>
      <c r="AQ553" s="1190"/>
      <c r="AR553" s="1190"/>
      <c r="AS553" s="1190"/>
      <c r="AT553" s="1190"/>
      <c r="AU553" s="1190"/>
      <c r="AV553" s="1190"/>
      <c r="AW553" s="1190"/>
      <c r="AX553" s="1190"/>
      <c r="AY553" s="1190"/>
      <c r="AZ553" s="1190"/>
      <c r="BA553" s="1190"/>
      <c r="BB553" s="1190"/>
      <c r="BC553" s="1190"/>
      <c r="BD553" s="1190"/>
      <c r="BE553" s="1190"/>
      <c r="BF553" s="1190"/>
      <c r="BG553" s="1190"/>
      <c r="BH553" s="1190"/>
      <c r="BI553" s="1190"/>
      <c r="BJ553" s="1190"/>
      <c r="BK553" s="1190"/>
      <c r="BL553" s="1190"/>
      <c r="BM553" s="1190"/>
      <c r="BN553" s="1190"/>
      <c r="BO553" s="1190"/>
    </row>
    <row r="554" spans="26:67">
      <c r="Z554" s="1190"/>
      <c r="AA554" s="1190"/>
      <c r="AB554" s="1190"/>
      <c r="AC554" s="1190"/>
      <c r="AD554" s="1190"/>
      <c r="AE554" s="1190"/>
      <c r="AF554" s="1190"/>
      <c r="AG554" s="1190"/>
      <c r="AH554" s="1190"/>
      <c r="AI554" s="1190"/>
      <c r="AJ554" s="1190"/>
      <c r="AK554" s="1190"/>
      <c r="AL554" s="1190"/>
      <c r="AM554" s="1190"/>
      <c r="AN554" s="1190"/>
      <c r="AO554" s="1190"/>
      <c r="AP554" s="1190"/>
      <c r="AQ554" s="1190"/>
      <c r="AR554" s="1190"/>
      <c r="AS554" s="1190"/>
      <c r="AT554" s="1190"/>
      <c r="AU554" s="1190"/>
      <c r="AV554" s="1190"/>
      <c r="AW554" s="1190"/>
      <c r="AX554" s="1190"/>
      <c r="AY554" s="1190"/>
      <c r="AZ554" s="1190"/>
      <c r="BA554" s="1190"/>
      <c r="BB554" s="1190"/>
      <c r="BC554" s="1190"/>
      <c r="BD554" s="1190"/>
      <c r="BE554" s="1190"/>
      <c r="BF554" s="1190"/>
      <c r="BG554" s="1190"/>
      <c r="BH554" s="1190"/>
      <c r="BI554" s="1190"/>
      <c r="BJ554" s="1190"/>
      <c r="BK554" s="1190"/>
      <c r="BL554" s="1190"/>
      <c r="BM554" s="1190"/>
      <c r="BN554" s="1190"/>
      <c r="BO554" s="1190"/>
    </row>
    <row r="555" spans="26:67">
      <c r="Z555" s="1190"/>
      <c r="AA555" s="1190"/>
      <c r="AB555" s="1190"/>
      <c r="AC555" s="1190"/>
      <c r="AD555" s="1190"/>
      <c r="AE555" s="1190"/>
      <c r="AF555" s="1190"/>
      <c r="AG555" s="1190"/>
      <c r="AH555" s="1190"/>
      <c r="AI555" s="1190"/>
      <c r="AJ555" s="1190"/>
      <c r="AK555" s="1190"/>
      <c r="AL555" s="1190"/>
      <c r="AM555" s="1190"/>
      <c r="AN555" s="1190"/>
      <c r="AO555" s="1190"/>
      <c r="AP555" s="1190"/>
      <c r="AQ555" s="1190"/>
      <c r="AR555" s="1190"/>
      <c r="AS555" s="1190"/>
      <c r="AT555" s="1190"/>
      <c r="AU555" s="1190"/>
      <c r="AV555" s="1190"/>
      <c r="AW555" s="1190"/>
      <c r="AX555" s="1190"/>
      <c r="AY555" s="1190"/>
      <c r="AZ555" s="1190"/>
      <c r="BA555" s="1190"/>
      <c r="BB555" s="1190"/>
      <c r="BC555" s="1190"/>
      <c r="BD555" s="1190"/>
      <c r="BE555" s="1190"/>
      <c r="BF555" s="1190"/>
      <c r="BG555" s="1190"/>
      <c r="BH555" s="1190"/>
      <c r="BI555" s="1190"/>
      <c r="BJ555" s="1190"/>
      <c r="BK555" s="1190"/>
      <c r="BL555" s="1190"/>
      <c r="BM555" s="1190"/>
      <c r="BN555" s="1190"/>
      <c r="BO555" s="1190"/>
    </row>
    <row r="556" spans="26:67">
      <c r="Z556" s="1190"/>
      <c r="AA556" s="1190"/>
      <c r="AB556" s="1190"/>
      <c r="AC556" s="1190"/>
      <c r="AD556" s="1190"/>
      <c r="AE556" s="1190"/>
      <c r="AF556" s="1190"/>
      <c r="AG556" s="1190"/>
      <c r="AH556" s="1190"/>
      <c r="AI556" s="1190"/>
      <c r="AJ556" s="1190"/>
      <c r="AK556" s="1190"/>
      <c r="AL556" s="1190"/>
      <c r="AM556" s="1190"/>
      <c r="AN556" s="1190"/>
      <c r="AO556" s="1190"/>
      <c r="AP556" s="1190"/>
      <c r="AQ556" s="1190"/>
      <c r="AR556" s="1190"/>
      <c r="AS556" s="1190"/>
      <c r="AT556" s="1190"/>
      <c r="AU556" s="1190"/>
      <c r="AV556" s="1190"/>
      <c r="AW556" s="1190"/>
      <c r="AX556" s="1190"/>
      <c r="AY556" s="1190"/>
      <c r="AZ556" s="1190"/>
      <c r="BA556" s="1190"/>
      <c r="BB556" s="1190"/>
      <c r="BC556" s="1190"/>
      <c r="BD556" s="1190"/>
      <c r="BE556" s="1190"/>
      <c r="BF556" s="1190"/>
      <c r="BG556" s="1190"/>
      <c r="BH556" s="1190"/>
      <c r="BI556" s="1190"/>
      <c r="BJ556" s="1190"/>
      <c r="BK556" s="1190"/>
      <c r="BL556" s="1190"/>
      <c r="BM556" s="1190"/>
      <c r="BN556" s="1190"/>
      <c r="BO556" s="1190"/>
    </row>
    <row r="557" spans="26:67">
      <c r="Z557" s="1190"/>
      <c r="AA557" s="1190"/>
      <c r="AB557" s="1190"/>
      <c r="AC557" s="1190"/>
      <c r="AD557" s="1190"/>
      <c r="AE557" s="1190"/>
      <c r="AF557" s="1190"/>
      <c r="AG557" s="1190"/>
      <c r="AH557" s="1190"/>
      <c r="AI557" s="1190"/>
      <c r="AJ557" s="1190"/>
      <c r="AK557" s="1190"/>
      <c r="AL557" s="1190"/>
      <c r="AM557" s="1190"/>
      <c r="AN557" s="1190"/>
      <c r="AO557" s="1190"/>
      <c r="AP557" s="1190"/>
      <c r="AQ557" s="1190"/>
      <c r="AR557" s="1190"/>
      <c r="AS557" s="1190"/>
      <c r="AT557" s="1190"/>
      <c r="AU557" s="1190"/>
      <c r="AV557" s="1190"/>
      <c r="AW557" s="1190"/>
      <c r="AX557" s="1190"/>
      <c r="AY557" s="1190"/>
      <c r="AZ557" s="1190"/>
      <c r="BA557" s="1190"/>
      <c r="BB557" s="1190"/>
      <c r="BC557" s="1190"/>
      <c r="BD557" s="1190"/>
      <c r="BE557" s="1190"/>
      <c r="BF557" s="1190"/>
      <c r="BG557" s="1190"/>
      <c r="BH557" s="1190"/>
      <c r="BI557" s="1190"/>
      <c r="BJ557" s="1190"/>
      <c r="BK557" s="1190"/>
      <c r="BL557" s="1190"/>
      <c r="BM557" s="1190"/>
      <c r="BN557" s="1190"/>
      <c r="BO557" s="1190"/>
    </row>
    <row r="558" spans="26:67">
      <c r="Z558" s="1190"/>
      <c r="AA558" s="1190"/>
      <c r="AB558" s="1190"/>
      <c r="AC558" s="1190"/>
      <c r="AD558" s="1190"/>
      <c r="AE558" s="1190"/>
      <c r="AF558" s="1190"/>
      <c r="AG558" s="1190"/>
      <c r="AH558" s="1190"/>
      <c r="AI558" s="1190"/>
      <c r="AJ558" s="1190"/>
      <c r="AK558" s="1190"/>
      <c r="AL558" s="1190"/>
      <c r="AM558" s="1190"/>
      <c r="AN558" s="1190"/>
      <c r="AO558" s="1190"/>
      <c r="AP558" s="1190"/>
      <c r="AQ558" s="1190"/>
      <c r="AR558" s="1190"/>
      <c r="AS558" s="1190"/>
      <c r="AT558" s="1190"/>
      <c r="AU558" s="1190"/>
      <c r="AV558" s="1190"/>
      <c r="AW558" s="1190"/>
      <c r="AX558" s="1190"/>
      <c r="AY558" s="1190"/>
      <c r="AZ558" s="1190"/>
      <c r="BA558" s="1190"/>
      <c r="BB558" s="1190"/>
      <c r="BC558" s="1190"/>
      <c r="BD558" s="1190"/>
      <c r="BE558" s="1190"/>
      <c r="BF558" s="1190"/>
      <c r="BG558" s="1190"/>
      <c r="BH558" s="1190"/>
      <c r="BI558" s="1190"/>
      <c r="BJ558" s="1190"/>
      <c r="BK558" s="1190"/>
      <c r="BL558" s="1190"/>
      <c r="BM558" s="1190"/>
      <c r="BN558" s="1190"/>
      <c r="BO558" s="1190"/>
    </row>
    <row r="559" spans="26:67">
      <c r="Z559" s="1190"/>
      <c r="AA559" s="1190"/>
      <c r="AB559" s="1190"/>
      <c r="AC559" s="1190"/>
      <c r="AD559" s="1190"/>
      <c r="AE559" s="1190"/>
      <c r="AF559" s="1190"/>
      <c r="AG559" s="1190"/>
      <c r="AH559" s="1190"/>
      <c r="AI559" s="1190"/>
      <c r="AJ559" s="1190"/>
      <c r="AK559" s="1190"/>
      <c r="AL559" s="1190"/>
      <c r="AM559" s="1190"/>
      <c r="AN559" s="1190"/>
      <c r="AO559" s="1190"/>
      <c r="AP559" s="1190"/>
      <c r="AQ559" s="1190"/>
      <c r="AR559" s="1190"/>
      <c r="AS559" s="1190"/>
      <c r="AT559" s="1190"/>
      <c r="AU559" s="1190"/>
      <c r="AV559" s="1190"/>
      <c r="AW559" s="1190"/>
      <c r="AX559" s="1190"/>
      <c r="AY559" s="1190"/>
      <c r="AZ559" s="1190"/>
      <c r="BA559" s="1190"/>
      <c r="BB559" s="1190"/>
      <c r="BC559" s="1190"/>
      <c r="BD559" s="1190"/>
      <c r="BE559" s="1190"/>
      <c r="BF559" s="1190"/>
      <c r="BG559" s="1190"/>
      <c r="BH559" s="1190"/>
      <c r="BI559" s="1190"/>
      <c r="BJ559" s="1190"/>
      <c r="BK559" s="1190"/>
      <c r="BL559" s="1190"/>
      <c r="BM559" s="1190"/>
      <c r="BN559" s="1190"/>
      <c r="BO559" s="1190"/>
    </row>
    <row r="560" spans="26:67">
      <c r="Z560" s="1190"/>
      <c r="AA560" s="1190"/>
      <c r="AB560" s="1190"/>
      <c r="AC560" s="1190"/>
      <c r="AD560" s="1190"/>
      <c r="AE560" s="1190"/>
      <c r="AF560" s="1190"/>
      <c r="AG560" s="1190"/>
      <c r="AH560" s="1190"/>
      <c r="AI560" s="1190"/>
      <c r="AJ560" s="1190"/>
      <c r="AK560" s="1190"/>
      <c r="AL560" s="1190"/>
      <c r="AM560" s="1190"/>
      <c r="AN560" s="1190"/>
      <c r="AO560" s="1190"/>
      <c r="AP560" s="1190"/>
      <c r="AQ560" s="1190"/>
      <c r="AR560" s="1190"/>
      <c r="AS560" s="1190"/>
      <c r="AT560" s="1190"/>
      <c r="AU560" s="1190"/>
      <c r="AV560" s="1190"/>
      <c r="AW560" s="1190"/>
      <c r="AX560" s="1190"/>
      <c r="AY560" s="1190"/>
      <c r="AZ560" s="1190"/>
      <c r="BA560" s="1190"/>
      <c r="BB560" s="1190"/>
      <c r="BC560" s="1190"/>
      <c r="BD560" s="1190"/>
      <c r="BE560" s="1190"/>
      <c r="BF560" s="1190"/>
      <c r="BG560" s="1190"/>
      <c r="BH560" s="1190"/>
      <c r="BI560" s="1190"/>
      <c r="BJ560" s="1190"/>
      <c r="BK560" s="1190"/>
      <c r="BL560" s="1190"/>
      <c r="BM560" s="1190"/>
      <c r="BN560" s="1190"/>
      <c r="BO560" s="1190"/>
    </row>
    <row r="561" spans="26:67">
      <c r="Z561" s="1190"/>
      <c r="AA561" s="1190"/>
      <c r="AB561" s="1190"/>
      <c r="AC561" s="1190"/>
      <c r="AD561" s="1190"/>
      <c r="AE561" s="1190"/>
      <c r="AF561" s="1190"/>
      <c r="AG561" s="1190"/>
      <c r="AH561" s="1190"/>
      <c r="AI561" s="1190"/>
      <c r="AJ561" s="1190"/>
      <c r="AK561" s="1190"/>
      <c r="AL561" s="1190"/>
      <c r="AM561" s="1190"/>
      <c r="AN561" s="1190"/>
      <c r="AO561" s="1190"/>
      <c r="AP561" s="1190"/>
      <c r="AQ561" s="1190"/>
      <c r="AR561" s="1190"/>
      <c r="AS561" s="1190"/>
      <c r="AT561" s="1190"/>
      <c r="AU561" s="1190"/>
      <c r="AV561" s="1190"/>
      <c r="AW561" s="1190"/>
      <c r="AX561" s="1190"/>
      <c r="AY561" s="1190"/>
      <c r="AZ561" s="1190"/>
      <c r="BA561" s="1190"/>
      <c r="BB561" s="1190"/>
      <c r="BC561" s="1190"/>
      <c r="BD561" s="1190"/>
      <c r="BE561" s="1190"/>
      <c r="BF561" s="1190"/>
      <c r="BG561" s="1190"/>
      <c r="BH561" s="1190"/>
      <c r="BI561" s="1190"/>
      <c r="BJ561" s="1190"/>
      <c r="BK561" s="1190"/>
      <c r="BL561" s="1190"/>
      <c r="BM561" s="1190"/>
      <c r="BN561" s="1190"/>
      <c r="BO561" s="1190"/>
    </row>
    <row r="562" spans="26:67">
      <c r="Z562" s="1190"/>
      <c r="AA562" s="1190"/>
      <c r="AB562" s="1190"/>
      <c r="AC562" s="1190"/>
      <c r="AD562" s="1190"/>
      <c r="AE562" s="1190"/>
      <c r="AF562" s="1190"/>
      <c r="AG562" s="1190"/>
      <c r="AH562" s="1190"/>
      <c r="AI562" s="1190"/>
      <c r="AJ562" s="1190"/>
      <c r="AK562" s="1190"/>
      <c r="AL562" s="1190"/>
      <c r="AM562" s="1190"/>
      <c r="AN562" s="1190"/>
      <c r="AO562" s="1190"/>
      <c r="AP562" s="1190"/>
      <c r="AQ562" s="1190"/>
      <c r="AR562" s="1190"/>
      <c r="AS562" s="1190"/>
      <c r="AT562" s="1190"/>
      <c r="AU562" s="1190"/>
      <c r="AV562" s="1190"/>
      <c r="AW562" s="1190"/>
      <c r="AX562" s="1190"/>
      <c r="AY562" s="1190"/>
      <c r="AZ562" s="1190"/>
      <c r="BA562" s="1190"/>
      <c r="BB562" s="1190"/>
      <c r="BC562" s="1190"/>
      <c r="BD562" s="1190"/>
      <c r="BE562" s="1190"/>
      <c r="BF562" s="1190"/>
      <c r="BG562" s="1190"/>
      <c r="BH562" s="1190"/>
      <c r="BI562" s="1190"/>
      <c r="BJ562" s="1190"/>
      <c r="BK562" s="1190"/>
      <c r="BL562" s="1190"/>
      <c r="BM562" s="1190"/>
      <c r="BN562" s="1190"/>
      <c r="BO562" s="1190"/>
    </row>
    <row r="563" spans="26:67">
      <c r="Z563" s="1190"/>
      <c r="AA563" s="1190"/>
      <c r="AB563" s="1190"/>
      <c r="AC563" s="1190"/>
      <c r="AD563" s="1190"/>
      <c r="AE563" s="1190"/>
      <c r="AF563" s="1190"/>
      <c r="AG563" s="1190"/>
      <c r="AH563" s="1190"/>
      <c r="AI563" s="1190"/>
      <c r="AJ563" s="1190"/>
      <c r="AK563" s="1190"/>
      <c r="AL563" s="1190"/>
      <c r="AM563" s="1190"/>
      <c r="AN563" s="1190"/>
      <c r="AO563" s="1190"/>
      <c r="AP563" s="1190"/>
      <c r="AQ563" s="1190"/>
      <c r="AR563" s="1190"/>
      <c r="AS563" s="1190"/>
      <c r="AT563" s="1190"/>
      <c r="AU563" s="1190"/>
      <c r="AV563" s="1190"/>
      <c r="AW563" s="1190"/>
      <c r="AX563" s="1190"/>
      <c r="AY563" s="1190"/>
      <c r="AZ563" s="1190"/>
      <c r="BA563" s="1190"/>
      <c r="BB563" s="1190"/>
      <c r="BC563" s="1190"/>
      <c r="BD563" s="1190"/>
      <c r="BE563" s="1190"/>
      <c r="BF563" s="1190"/>
      <c r="BG563" s="1190"/>
      <c r="BH563" s="1190"/>
      <c r="BI563" s="1190"/>
      <c r="BJ563" s="1190"/>
      <c r="BK563" s="1190"/>
      <c r="BL563" s="1190"/>
      <c r="BM563" s="1190"/>
      <c r="BN563" s="1190"/>
      <c r="BO563" s="1190"/>
    </row>
    <row r="564" spans="26:67">
      <c r="Z564" s="1190"/>
      <c r="AA564" s="1190"/>
      <c r="AB564" s="1190"/>
      <c r="AC564" s="1190"/>
      <c r="AD564" s="1190"/>
      <c r="AE564" s="1190"/>
      <c r="AF564" s="1190"/>
      <c r="AG564" s="1190"/>
      <c r="AH564" s="1190"/>
      <c r="AI564" s="1190"/>
      <c r="AJ564" s="1190"/>
      <c r="AK564" s="1190"/>
      <c r="AL564" s="1190"/>
      <c r="AM564" s="1190"/>
      <c r="AN564" s="1190"/>
      <c r="AO564" s="1190"/>
      <c r="AP564" s="1190"/>
      <c r="AQ564" s="1190"/>
      <c r="AR564" s="1190"/>
      <c r="AS564" s="1190"/>
      <c r="AT564" s="1190"/>
      <c r="AU564" s="1190"/>
      <c r="AV564" s="1190"/>
      <c r="AW564" s="1190"/>
      <c r="AX564" s="1190"/>
      <c r="AY564" s="1190"/>
      <c r="AZ564" s="1190"/>
      <c r="BA564" s="1190"/>
      <c r="BB564" s="1190"/>
      <c r="BC564" s="1190"/>
      <c r="BD564" s="1190"/>
      <c r="BE564" s="1190"/>
      <c r="BF564" s="1190"/>
      <c r="BG564" s="1190"/>
      <c r="BH564" s="1190"/>
      <c r="BI564" s="1190"/>
      <c r="BJ564" s="1190"/>
      <c r="BK564" s="1190"/>
      <c r="BL564" s="1190"/>
      <c r="BM564" s="1190"/>
      <c r="BN564" s="1190"/>
      <c r="BO564" s="1190"/>
    </row>
    <row r="565" spans="26:67">
      <c r="Z565" s="1190"/>
      <c r="AA565" s="1190"/>
      <c r="AB565" s="1190"/>
      <c r="AC565" s="1190"/>
      <c r="AD565" s="1190"/>
      <c r="AE565" s="1190"/>
      <c r="AF565" s="1190"/>
      <c r="AG565" s="1190"/>
      <c r="AH565" s="1190"/>
      <c r="AI565" s="1190"/>
      <c r="AJ565" s="1190"/>
      <c r="AK565" s="1190"/>
      <c r="AL565" s="1190"/>
      <c r="AM565" s="1190"/>
      <c r="AN565" s="1190"/>
      <c r="AO565" s="1190"/>
      <c r="AP565" s="1190"/>
      <c r="AQ565" s="1190"/>
      <c r="AR565" s="1190"/>
      <c r="AS565" s="1190"/>
      <c r="AT565" s="1190"/>
      <c r="AU565" s="1190"/>
      <c r="AV565" s="1190"/>
      <c r="AW565" s="1190"/>
      <c r="AX565" s="1190"/>
      <c r="AY565" s="1190"/>
      <c r="AZ565" s="1190"/>
      <c r="BA565" s="1190"/>
      <c r="BB565" s="1190"/>
      <c r="BC565" s="1190"/>
      <c r="BD565" s="1190"/>
      <c r="BE565" s="1190"/>
      <c r="BF565" s="1190"/>
      <c r="BG565" s="1190"/>
      <c r="BH565" s="1190"/>
      <c r="BI565" s="1190"/>
      <c r="BJ565" s="1190"/>
      <c r="BK565" s="1190"/>
      <c r="BL565" s="1190"/>
      <c r="BM565" s="1190"/>
      <c r="BN565" s="1190"/>
      <c r="BO565" s="1190"/>
    </row>
    <row r="566" spans="26:67">
      <c r="Z566" s="1190"/>
      <c r="AA566" s="1190"/>
      <c r="AB566" s="1190"/>
      <c r="AC566" s="1190"/>
      <c r="AD566" s="1190"/>
      <c r="AE566" s="1190"/>
      <c r="AF566" s="1190"/>
      <c r="AG566" s="1190"/>
      <c r="AH566" s="1190"/>
      <c r="AI566" s="1190"/>
      <c r="AJ566" s="1190"/>
      <c r="AK566" s="1190"/>
      <c r="AL566" s="1190"/>
      <c r="AM566" s="1190"/>
      <c r="AN566" s="1190"/>
      <c r="AO566" s="1190"/>
      <c r="AP566" s="1190"/>
      <c r="AQ566" s="1190"/>
      <c r="AR566" s="1190"/>
      <c r="AS566" s="1190"/>
      <c r="AT566" s="1190"/>
      <c r="AU566" s="1190"/>
      <c r="AV566" s="1190"/>
      <c r="AW566" s="1190"/>
      <c r="AX566" s="1190"/>
      <c r="AY566" s="1190"/>
      <c r="AZ566" s="1190"/>
      <c r="BA566" s="1190"/>
      <c r="BB566" s="1190"/>
      <c r="BC566" s="1190"/>
      <c r="BD566" s="1190"/>
      <c r="BE566" s="1190"/>
      <c r="BF566" s="1190"/>
      <c r="BG566" s="1190"/>
      <c r="BH566" s="1190"/>
      <c r="BI566" s="1190"/>
      <c r="BJ566" s="1190"/>
      <c r="BK566" s="1190"/>
      <c r="BL566" s="1190"/>
      <c r="BM566" s="1190"/>
      <c r="BN566" s="1190"/>
      <c r="BO566" s="1190"/>
    </row>
    <row r="567" spans="26:67">
      <c r="Z567" s="1190"/>
      <c r="AA567" s="1190"/>
      <c r="AB567" s="1190"/>
      <c r="AC567" s="1190"/>
      <c r="AD567" s="1190"/>
      <c r="AE567" s="1190"/>
      <c r="AF567" s="1190"/>
      <c r="AG567" s="1190"/>
      <c r="AH567" s="1190"/>
      <c r="AI567" s="1190"/>
      <c r="AJ567" s="1190"/>
      <c r="AK567" s="1190"/>
      <c r="AL567" s="1190"/>
      <c r="AM567" s="1190"/>
      <c r="AN567" s="1190"/>
      <c r="AO567" s="1190"/>
      <c r="AP567" s="1190"/>
      <c r="AQ567" s="1190"/>
      <c r="AR567" s="1190"/>
      <c r="AS567" s="1190"/>
      <c r="AT567" s="1190"/>
      <c r="AU567" s="1190"/>
      <c r="AV567" s="1190"/>
      <c r="AW567" s="1190"/>
      <c r="AX567" s="1190"/>
      <c r="AY567" s="1190"/>
      <c r="AZ567" s="1190"/>
      <c r="BA567" s="1190"/>
      <c r="BB567" s="1190"/>
      <c r="BC567" s="1190"/>
      <c r="BD567" s="1190"/>
      <c r="BE567" s="1190"/>
      <c r="BF567" s="1190"/>
      <c r="BG567" s="1190"/>
      <c r="BH567" s="1190"/>
      <c r="BI567" s="1190"/>
      <c r="BJ567" s="1190"/>
      <c r="BK567" s="1190"/>
      <c r="BL567" s="1190"/>
      <c r="BM567" s="1190"/>
      <c r="BN567" s="1190"/>
      <c r="BO567" s="1190"/>
    </row>
    <row r="568" spans="26:67">
      <c r="Z568" s="1190"/>
      <c r="AA568" s="1190"/>
      <c r="AB568" s="1190"/>
      <c r="AC568" s="1190"/>
      <c r="AD568" s="1190"/>
      <c r="AE568" s="1190"/>
      <c r="AF568" s="1190"/>
      <c r="AG568" s="1190"/>
      <c r="AH568" s="1190"/>
      <c r="AI568" s="1190"/>
      <c r="AJ568" s="1190"/>
      <c r="AK568" s="1190"/>
      <c r="AL568" s="1190"/>
      <c r="AM568" s="1190"/>
      <c r="AN568" s="1190"/>
      <c r="AO568" s="1190"/>
      <c r="AP568" s="1190"/>
      <c r="AQ568" s="1190"/>
      <c r="AR568" s="1190"/>
      <c r="AS568" s="1190"/>
      <c r="AT568" s="1190"/>
      <c r="AU568" s="1190"/>
      <c r="AV568" s="1190"/>
      <c r="AW568" s="1190"/>
      <c r="AX568" s="1190"/>
      <c r="AY568" s="1190"/>
      <c r="AZ568" s="1190"/>
      <c r="BA568" s="1190"/>
      <c r="BB568" s="1190"/>
      <c r="BC568" s="1190"/>
      <c r="BD568" s="1190"/>
      <c r="BE568" s="1190"/>
      <c r="BF568" s="1190"/>
      <c r="BG568" s="1190"/>
      <c r="BH568" s="1190"/>
      <c r="BI568" s="1190"/>
      <c r="BJ568" s="1190"/>
      <c r="BK568" s="1190"/>
      <c r="BL568" s="1190"/>
      <c r="BM568" s="1190"/>
      <c r="BN568" s="1190"/>
      <c r="BO568" s="1190"/>
    </row>
    <row r="569" spans="26:67">
      <c r="Z569" s="1190"/>
      <c r="AA569" s="1190"/>
      <c r="AB569" s="1190"/>
      <c r="AC569" s="1190"/>
      <c r="AD569" s="1190"/>
      <c r="AE569" s="1190"/>
      <c r="AF569" s="1190"/>
      <c r="AG569" s="1190"/>
      <c r="AH569" s="1190"/>
      <c r="AI569" s="1190"/>
      <c r="AJ569" s="1190"/>
      <c r="AK569" s="1190"/>
      <c r="AL569" s="1190"/>
      <c r="AM569" s="1190"/>
      <c r="AN569" s="1190"/>
      <c r="AO569" s="1190"/>
      <c r="AP569" s="1190"/>
      <c r="AQ569" s="1190"/>
      <c r="AR569" s="1190"/>
      <c r="AS569" s="1190"/>
      <c r="AT569" s="1190"/>
      <c r="AU569" s="1190"/>
      <c r="AV569" s="1190"/>
      <c r="AW569" s="1190"/>
      <c r="AX569" s="1190"/>
      <c r="AY569" s="1190"/>
      <c r="AZ569" s="1190"/>
      <c r="BA569" s="1190"/>
      <c r="BB569" s="1190"/>
      <c r="BC569" s="1190"/>
      <c r="BD569" s="1190"/>
      <c r="BE569" s="1190"/>
      <c r="BF569" s="1190"/>
      <c r="BG569" s="1190"/>
      <c r="BH569" s="1190"/>
      <c r="BI569" s="1190"/>
      <c r="BJ569" s="1190"/>
      <c r="BK569" s="1190"/>
      <c r="BL569" s="1190"/>
      <c r="BM569" s="1190"/>
      <c r="BN569" s="1190"/>
      <c r="BO569" s="1190"/>
    </row>
    <row r="570" spans="26:67">
      <c r="Z570" s="1190"/>
      <c r="AA570" s="1190"/>
      <c r="AB570" s="1190"/>
      <c r="AC570" s="1190"/>
      <c r="AD570" s="1190"/>
      <c r="AE570" s="1190"/>
      <c r="AF570" s="1190"/>
      <c r="AG570" s="1190"/>
      <c r="AH570" s="1190"/>
      <c r="AI570" s="1190"/>
      <c r="AJ570" s="1190"/>
      <c r="AK570" s="1190"/>
      <c r="AL570" s="1190"/>
      <c r="AM570" s="1190"/>
      <c r="AN570" s="1190"/>
      <c r="AO570" s="1190"/>
      <c r="AP570" s="1190"/>
      <c r="AQ570" s="1190"/>
      <c r="AR570" s="1190"/>
      <c r="AS570" s="1190"/>
      <c r="AT570" s="1190"/>
      <c r="AU570" s="1190"/>
      <c r="AV570" s="1190"/>
      <c r="AW570" s="1190"/>
      <c r="AX570" s="1190"/>
      <c r="AY570" s="1190"/>
      <c r="AZ570" s="1190"/>
      <c r="BA570" s="1190"/>
      <c r="BB570" s="1190"/>
      <c r="BC570" s="1190"/>
      <c r="BD570" s="1190"/>
      <c r="BE570" s="1190"/>
      <c r="BF570" s="1190"/>
      <c r="BG570" s="1190"/>
      <c r="BH570" s="1190"/>
      <c r="BI570" s="1190"/>
      <c r="BJ570" s="1190"/>
      <c r="BK570" s="1190"/>
      <c r="BL570" s="1190"/>
      <c r="BM570" s="1190"/>
      <c r="BN570" s="1190"/>
      <c r="BO570" s="1190"/>
    </row>
    <row r="571" spans="26:67">
      <c r="Z571" s="1190"/>
      <c r="AA571" s="1190"/>
      <c r="AB571" s="1190"/>
      <c r="AC571" s="1190"/>
      <c r="AD571" s="1190"/>
      <c r="AE571" s="1190"/>
      <c r="AF571" s="1190"/>
      <c r="AG571" s="1190"/>
      <c r="AH571" s="1190"/>
      <c r="AI571" s="1190"/>
      <c r="AJ571" s="1190"/>
      <c r="AK571" s="1190"/>
      <c r="AL571" s="1190"/>
      <c r="AM571" s="1190"/>
      <c r="AN571" s="1190"/>
      <c r="AO571" s="1190"/>
      <c r="AP571" s="1190"/>
      <c r="AQ571" s="1190"/>
      <c r="AR571" s="1190"/>
      <c r="AS571" s="1190"/>
      <c r="AT571" s="1190"/>
      <c r="AU571" s="1190"/>
      <c r="AV571" s="1190"/>
      <c r="AW571" s="1190"/>
      <c r="AX571" s="1190"/>
      <c r="AY571" s="1190"/>
      <c r="AZ571" s="1190"/>
      <c r="BA571" s="1190"/>
      <c r="BB571" s="1190"/>
      <c r="BC571" s="1190"/>
      <c r="BD571" s="1190"/>
      <c r="BE571" s="1190"/>
      <c r="BF571" s="1190"/>
      <c r="BG571" s="1190"/>
      <c r="BH571" s="1190"/>
      <c r="BI571" s="1190"/>
      <c r="BJ571" s="1190"/>
      <c r="BK571" s="1190"/>
      <c r="BL571" s="1190"/>
      <c r="BM571" s="1190"/>
      <c r="BN571" s="1190"/>
      <c r="BO571" s="1190"/>
    </row>
    <row r="572" spans="26:67">
      <c r="Z572" s="1190"/>
      <c r="AA572" s="1190"/>
      <c r="AB572" s="1190"/>
      <c r="AC572" s="1190"/>
      <c r="AD572" s="1190"/>
      <c r="AE572" s="1190"/>
      <c r="AF572" s="1190"/>
      <c r="AG572" s="1190"/>
      <c r="AH572" s="1190"/>
      <c r="AI572" s="1190"/>
      <c r="AJ572" s="1190"/>
      <c r="AK572" s="1190"/>
      <c r="AL572" s="1190"/>
      <c r="AM572" s="1190"/>
      <c r="AN572" s="1190"/>
      <c r="AO572" s="1190"/>
      <c r="AP572" s="1190"/>
      <c r="AQ572" s="1190"/>
      <c r="AR572" s="1190"/>
      <c r="AS572" s="1190"/>
      <c r="AT572" s="1190"/>
      <c r="AU572" s="1190"/>
      <c r="AV572" s="1190"/>
      <c r="AW572" s="1190"/>
      <c r="AX572" s="1190"/>
      <c r="AY572" s="1190"/>
      <c r="AZ572" s="1190"/>
      <c r="BA572" s="1190"/>
      <c r="BB572" s="1190"/>
      <c r="BC572" s="1190"/>
      <c r="BD572" s="1190"/>
      <c r="BE572" s="1190"/>
      <c r="BF572" s="1190"/>
      <c r="BG572" s="1190"/>
      <c r="BH572" s="1190"/>
      <c r="BI572" s="1190"/>
      <c r="BJ572" s="1190"/>
      <c r="BK572" s="1190"/>
      <c r="BL572" s="1190"/>
      <c r="BM572" s="1190"/>
      <c r="BN572" s="1190"/>
      <c r="BO572" s="1190"/>
    </row>
    <row r="573" spans="26:67">
      <c r="Z573" s="1190"/>
      <c r="AA573" s="1190"/>
      <c r="AB573" s="1190"/>
      <c r="AC573" s="1190"/>
      <c r="AD573" s="1190"/>
      <c r="AE573" s="1190"/>
      <c r="AF573" s="1190"/>
      <c r="AG573" s="1190"/>
      <c r="AH573" s="1190"/>
      <c r="AI573" s="1190"/>
      <c r="AJ573" s="1190"/>
      <c r="AK573" s="1190"/>
      <c r="AL573" s="1190"/>
      <c r="AM573" s="1190"/>
      <c r="AN573" s="1190"/>
      <c r="AO573" s="1190"/>
      <c r="AP573" s="1190"/>
      <c r="AQ573" s="1190"/>
      <c r="AR573" s="1190"/>
      <c r="AS573" s="1190"/>
      <c r="AT573" s="1190"/>
      <c r="AU573" s="1190"/>
      <c r="AV573" s="1190"/>
      <c r="AW573" s="1190"/>
      <c r="AX573" s="1190"/>
      <c r="AY573" s="1190"/>
      <c r="AZ573" s="1190"/>
      <c r="BA573" s="1190"/>
      <c r="BB573" s="1190"/>
      <c r="BC573" s="1190"/>
      <c r="BD573" s="1190"/>
      <c r="BE573" s="1190"/>
      <c r="BF573" s="1190"/>
      <c r="BG573" s="1190"/>
      <c r="BH573" s="1190"/>
      <c r="BI573" s="1190"/>
      <c r="BJ573" s="1190"/>
      <c r="BK573" s="1190"/>
      <c r="BL573" s="1190"/>
      <c r="BM573" s="1190"/>
      <c r="BN573" s="1190"/>
      <c r="BO573" s="1190"/>
    </row>
    <row r="574" spans="26:67">
      <c r="Z574" s="1190"/>
      <c r="AA574" s="1190"/>
      <c r="AB574" s="1190"/>
      <c r="AC574" s="1190"/>
      <c r="AD574" s="1190"/>
      <c r="AE574" s="1190"/>
      <c r="AF574" s="1190"/>
      <c r="AG574" s="1190"/>
      <c r="AH574" s="1190"/>
      <c r="AI574" s="1190"/>
      <c r="AJ574" s="1190"/>
      <c r="AK574" s="1190"/>
      <c r="AL574" s="1190"/>
      <c r="AM574" s="1190"/>
      <c r="AN574" s="1190"/>
      <c r="AO574" s="1190"/>
      <c r="AP574" s="1190"/>
      <c r="AQ574" s="1190"/>
      <c r="AR574" s="1190"/>
      <c r="AS574" s="1190"/>
      <c r="AT574" s="1190"/>
      <c r="AU574" s="1190"/>
      <c r="AV574" s="1190"/>
      <c r="AW574" s="1190"/>
      <c r="AX574" s="1190"/>
      <c r="AY574" s="1190"/>
      <c r="AZ574" s="1190"/>
      <c r="BA574" s="1190"/>
      <c r="BB574" s="1190"/>
      <c r="BC574" s="1190"/>
      <c r="BD574" s="1190"/>
      <c r="BE574" s="1190"/>
      <c r="BF574" s="1190"/>
      <c r="BG574" s="1190"/>
      <c r="BH574" s="1190"/>
      <c r="BI574" s="1190"/>
      <c r="BJ574" s="1190"/>
      <c r="BK574" s="1190"/>
      <c r="BL574" s="1190"/>
      <c r="BM574" s="1190"/>
      <c r="BN574" s="1190"/>
      <c r="BO574" s="1190"/>
    </row>
    <row r="575" spans="26:67">
      <c r="Z575" s="1190"/>
      <c r="AA575" s="1190"/>
      <c r="AB575" s="1190"/>
      <c r="AC575" s="1190"/>
      <c r="AD575" s="1190"/>
      <c r="AE575" s="1190"/>
      <c r="AF575" s="1190"/>
      <c r="AG575" s="1190"/>
      <c r="AH575" s="1190"/>
      <c r="AI575" s="1190"/>
      <c r="AJ575" s="1190"/>
      <c r="AK575" s="1190"/>
      <c r="AL575" s="1190"/>
      <c r="AM575" s="1190"/>
      <c r="AN575" s="1190"/>
      <c r="AO575" s="1190"/>
      <c r="AP575" s="1190"/>
      <c r="AQ575" s="1190"/>
      <c r="AR575" s="1190"/>
      <c r="AS575" s="1190"/>
      <c r="AT575" s="1190"/>
      <c r="AU575" s="1190"/>
      <c r="AV575" s="1190"/>
      <c r="AW575" s="1190"/>
      <c r="AX575" s="1190"/>
      <c r="AY575" s="1190"/>
      <c r="AZ575" s="1190"/>
      <c r="BA575" s="1190"/>
      <c r="BB575" s="1190"/>
      <c r="BC575" s="1190"/>
      <c r="BD575" s="1190"/>
      <c r="BE575" s="1190"/>
      <c r="BF575" s="1190"/>
      <c r="BG575" s="1190"/>
      <c r="BH575" s="1190"/>
      <c r="BI575" s="1190"/>
      <c r="BJ575" s="1190"/>
      <c r="BK575" s="1190"/>
      <c r="BL575" s="1190"/>
      <c r="BM575" s="1190"/>
      <c r="BN575" s="1190"/>
      <c r="BO575" s="1190"/>
    </row>
    <row r="576" spans="26:67">
      <c r="Z576" s="1190"/>
      <c r="AA576" s="1190"/>
      <c r="AB576" s="1190"/>
      <c r="AC576" s="1190"/>
      <c r="AD576" s="1190"/>
      <c r="AE576" s="1190"/>
      <c r="AF576" s="1190"/>
      <c r="AG576" s="1190"/>
      <c r="AH576" s="1190"/>
      <c r="AI576" s="1190"/>
      <c r="AJ576" s="1190"/>
      <c r="AK576" s="1190"/>
      <c r="AL576" s="1190"/>
      <c r="AM576" s="1190"/>
      <c r="AN576" s="1190"/>
      <c r="AO576" s="1190"/>
      <c r="AP576" s="1190"/>
      <c r="AQ576" s="1190"/>
      <c r="AR576" s="1190"/>
      <c r="AS576" s="1190"/>
      <c r="AT576" s="1190"/>
      <c r="AU576" s="1190"/>
      <c r="AV576" s="1190"/>
      <c r="AW576" s="1190"/>
      <c r="AX576" s="1190"/>
      <c r="AY576" s="1190"/>
      <c r="AZ576" s="1190"/>
      <c r="BA576" s="1190"/>
      <c r="BB576" s="1190"/>
      <c r="BC576" s="1190"/>
      <c r="BD576" s="1190"/>
      <c r="BE576" s="1190"/>
      <c r="BF576" s="1190"/>
      <c r="BG576" s="1190"/>
      <c r="BH576" s="1190"/>
      <c r="BI576" s="1190"/>
      <c r="BJ576" s="1190"/>
      <c r="BK576" s="1190"/>
      <c r="BL576" s="1190"/>
      <c r="BM576" s="1190"/>
      <c r="BN576" s="1190"/>
      <c r="BO576" s="1190"/>
    </row>
    <row r="577" spans="26:67">
      <c r="Z577" s="1190"/>
      <c r="AA577" s="1190"/>
      <c r="AB577" s="1190"/>
      <c r="AC577" s="1190"/>
      <c r="AD577" s="1190"/>
      <c r="AE577" s="1190"/>
      <c r="AF577" s="1190"/>
      <c r="AG577" s="1190"/>
      <c r="AH577" s="1190"/>
      <c r="AI577" s="1190"/>
      <c r="AJ577" s="1190"/>
      <c r="AK577" s="1190"/>
      <c r="AL577" s="1190"/>
      <c r="AM577" s="1190"/>
      <c r="AN577" s="1190"/>
      <c r="AO577" s="1190"/>
      <c r="AP577" s="1190"/>
      <c r="AQ577" s="1190"/>
      <c r="AR577" s="1190"/>
      <c r="AS577" s="1190"/>
      <c r="AT577" s="1190"/>
      <c r="AU577" s="1190"/>
      <c r="AV577" s="1190"/>
      <c r="AW577" s="1190"/>
      <c r="AX577" s="1190"/>
      <c r="AY577" s="1190"/>
      <c r="AZ577" s="1190"/>
      <c r="BA577" s="1190"/>
      <c r="BB577" s="1190"/>
      <c r="BC577" s="1190"/>
      <c r="BD577" s="1190"/>
      <c r="BE577" s="1190"/>
      <c r="BF577" s="1190"/>
      <c r="BG577" s="1190"/>
      <c r="BH577" s="1190"/>
      <c r="BI577" s="1190"/>
      <c r="BJ577" s="1190"/>
      <c r="BK577" s="1190"/>
      <c r="BL577" s="1190"/>
      <c r="BM577" s="1190"/>
      <c r="BN577" s="1190"/>
      <c r="BO577" s="1190"/>
    </row>
    <row r="578" spans="26:67">
      <c r="Z578" s="1190"/>
      <c r="AA578" s="1190"/>
      <c r="AB578" s="1190"/>
      <c r="AC578" s="1190"/>
      <c r="AD578" s="1190"/>
      <c r="AE578" s="1190"/>
      <c r="AF578" s="1190"/>
      <c r="AG578" s="1190"/>
      <c r="AH578" s="1190"/>
      <c r="AI578" s="1190"/>
      <c r="AJ578" s="1190"/>
      <c r="AK578" s="1190"/>
      <c r="AL578" s="1190"/>
      <c r="AM578" s="1190"/>
      <c r="AN578" s="1190"/>
      <c r="AO578" s="1190"/>
      <c r="AP578" s="1190"/>
      <c r="AQ578" s="1190"/>
      <c r="AR578" s="1190"/>
      <c r="AS578" s="1190"/>
      <c r="AT578" s="1190"/>
      <c r="AU578" s="1190"/>
      <c r="AV578" s="1190"/>
      <c r="AW578" s="1190"/>
      <c r="AX578" s="1190"/>
      <c r="AY578" s="1190"/>
      <c r="AZ578" s="1190"/>
      <c r="BA578" s="1190"/>
      <c r="BB578" s="1190"/>
      <c r="BC578" s="1190"/>
      <c r="BD578" s="1190"/>
      <c r="BE578" s="1190"/>
      <c r="BF578" s="1190"/>
      <c r="BG578" s="1190"/>
      <c r="BH578" s="1190"/>
      <c r="BI578" s="1190"/>
      <c r="BJ578" s="1190"/>
      <c r="BK578" s="1190"/>
      <c r="BL578" s="1190"/>
      <c r="BM578" s="1190"/>
      <c r="BN578" s="1190"/>
      <c r="BO578" s="1190"/>
    </row>
    <row r="579" spans="26:67">
      <c r="Z579" s="1190"/>
      <c r="AA579" s="1190"/>
      <c r="AB579" s="1190"/>
      <c r="AC579" s="1190"/>
      <c r="AD579" s="1190"/>
      <c r="AE579" s="1190"/>
      <c r="AF579" s="1190"/>
      <c r="AG579" s="1190"/>
      <c r="AH579" s="1190"/>
      <c r="AI579" s="1190"/>
      <c r="AJ579" s="1190"/>
      <c r="AK579" s="1190"/>
      <c r="AL579" s="1190"/>
      <c r="AM579" s="1190"/>
      <c r="AN579" s="1190"/>
      <c r="AO579" s="1190"/>
      <c r="AP579" s="1190"/>
      <c r="AQ579" s="1190"/>
      <c r="AR579" s="1190"/>
      <c r="AS579" s="1190"/>
      <c r="AT579" s="1190"/>
      <c r="AU579" s="1190"/>
      <c r="AV579" s="1190"/>
      <c r="AW579" s="1190"/>
      <c r="AX579" s="1190"/>
      <c r="AY579" s="1190"/>
      <c r="AZ579" s="1190"/>
      <c r="BA579" s="1190"/>
      <c r="BB579" s="1190"/>
      <c r="BC579" s="1190"/>
      <c r="BD579" s="1190"/>
      <c r="BE579" s="1190"/>
      <c r="BF579" s="1190"/>
      <c r="BG579" s="1190"/>
      <c r="BH579" s="1190"/>
      <c r="BI579" s="1190"/>
      <c r="BJ579" s="1190"/>
      <c r="BK579" s="1190"/>
      <c r="BL579" s="1190"/>
      <c r="BM579" s="1190"/>
      <c r="BN579" s="1190"/>
      <c r="BO579" s="1190"/>
    </row>
    <row r="580" spans="26:67">
      <c r="Z580" s="1190"/>
      <c r="AA580" s="1190"/>
      <c r="AB580" s="1190"/>
      <c r="AC580" s="1190"/>
      <c r="AD580" s="1190"/>
      <c r="AE580" s="1190"/>
      <c r="AF580" s="1190"/>
      <c r="AG580" s="1190"/>
      <c r="AH580" s="1190"/>
      <c r="AI580" s="1190"/>
      <c r="AJ580" s="1190"/>
      <c r="AK580" s="1190"/>
      <c r="AL580" s="1190"/>
      <c r="AM580" s="1190"/>
      <c r="AN580" s="1190"/>
      <c r="AO580" s="1190"/>
      <c r="AP580" s="1190"/>
      <c r="AQ580" s="1190"/>
      <c r="AR580" s="1190"/>
      <c r="AS580" s="1190"/>
      <c r="AT580" s="1190"/>
      <c r="AU580" s="1190"/>
      <c r="AV580" s="1190"/>
      <c r="AW580" s="1190"/>
      <c r="AX580" s="1190"/>
      <c r="AY580" s="1190"/>
      <c r="AZ580" s="1190"/>
      <c r="BA580" s="1190"/>
      <c r="BB580" s="1190"/>
      <c r="BC580" s="1190"/>
      <c r="BD580" s="1190"/>
      <c r="BE580" s="1190"/>
      <c r="BF580" s="1190"/>
      <c r="BG580" s="1190"/>
      <c r="BH580" s="1190"/>
      <c r="BI580" s="1190"/>
      <c r="BJ580" s="1190"/>
      <c r="BK580" s="1190"/>
      <c r="BL580" s="1190"/>
      <c r="BM580" s="1190"/>
      <c r="BN580" s="1190"/>
      <c r="BO580" s="1190"/>
    </row>
    <row r="581" spans="26:67">
      <c r="Z581" s="1190"/>
      <c r="AA581" s="1190"/>
      <c r="AB581" s="1190"/>
      <c r="AC581" s="1190"/>
      <c r="AD581" s="1190"/>
      <c r="AE581" s="1190"/>
      <c r="AF581" s="1190"/>
      <c r="AG581" s="1190"/>
      <c r="AH581" s="1190"/>
      <c r="AI581" s="1190"/>
      <c r="AJ581" s="1190"/>
      <c r="AK581" s="1190"/>
      <c r="AL581" s="1190"/>
      <c r="AM581" s="1190"/>
      <c r="AN581" s="1190"/>
      <c r="AO581" s="1190"/>
      <c r="AP581" s="1190"/>
      <c r="AQ581" s="1190"/>
      <c r="AR581" s="1190"/>
      <c r="AS581" s="1190"/>
      <c r="AT581" s="1190"/>
      <c r="AU581" s="1190"/>
      <c r="AV581" s="1190"/>
      <c r="AW581" s="1190"/>
      <c r="AX581" s="1190"/>
      <c r="AY581" s="1190"/>
      <c r="AZ581" s="1190"/>
      <c r="BA581" s="1190"/>
      <c r="BB581" s="1190"/>
      <c r="BC581" s="1190"/>
      <c r="BD581" s="1190"/>
      <c r="BE581" s="1190"/>
      <c r="BF581" s="1190"/>
      <c r="BG581" s="1190"/>
      <c r="BH581" s="1190"/>
      <c r="BI581" s="1190"/>
      <c r="BJ581" s="1190"/>
      <c r="BK581" s="1190"/>
      <c r="BL581" s="1190"/>
      <c r="BM581" s="1190"/>
      <c r="BN581" s="1190"/>
      <c r="BO581" s="1190"/>
    </row>
    <row r="582" spans="26:67">
      <c r="Z582" s="1190"/>
      <c r="AA582" s="1190"/>
      <c r="AB582" s="1190"/>
      <c r="AC582" s="1190"/>
      <c r="AD582" s="1190"/>
      <c r="AE582" s="1190"/>
      <c r="AF582" s="1190"/>
      <c r="AG582" s="1190"/>
      <c r="AH582" s="1190"/>
      <c r="AI582" s="1190"/>
      <c r="AJ582" s="1190"/>
      <c r="AK582" s="1190"/>
      <c r="AL582" s="1190"/>
      <c r="AM582" s="1190"/>
      <c r="AN582" s="1190"/>
      <c r="AO582" s="1190"/>
      <c r="AP582" s="1190"/>
      <c r="AQ582" s="1190"/>
      <c r="AR582" s="1190"/>
      <c r="AS582" s="1190"/>
      <c r="AT582" s="1190"/>
      <c r="AU582" s="1190"/>
      <c r="AV582" s="1190"/>
      <c r="AW582" s="1190"/>
      <c r="AX582" s="1190"/>
      <c r="AY582" s="1190"/>
      <c r="AZ582" s="1190"/>
      <c r="BA582" s="1190"/>
      <c r="BB582" s="1190"/>
      <c r="BC582" s="1190"/>
      <c r="BD582" s="1190"/>
      <c r="BE582" s="1190"/>
      <c r="BF582" s="1190"/>
      <c r="BG582" s="1190"/>
      <c r="BH582" s="1190"/>
      <c r="BI582" s="1190"/>
      <c r="BJ582" s="1190"/>
      <c r="BK582" s="1190"/>
      <c r="BL582" s="1190"/>
      <c r="BM582" s="1190"/>
      <c r="BN582" s="1190"/>
      <c r="BO582" s="1190"/>
    </row>
    <row r="583" spans="26:67">
      <c r="Z583" s="1190"/>
      <c r="AA583" s="1190"/>
      <c r="AB583" s="1190"/>
      <c r="AC583" s="1190"/>
      <c r="AD583" s="1190"/>
      <c r="AE583" s="1190"/>
      <c r="AF583" s="1190"/>
      <c r="AG583" s="1190"/>
      <c r="AH583" s="1190"/>
      <c r="AI583" s="1190"/>
      <c r="AJ583" s="1190"/>
      <c r="AK583" s="1190"/>
      <c r="AL583" s="1190"/>
      <c r="AM583" s="1190"/>
      <c r="AN583" s="1190"/>
      <c r="AO583" s="1190"/>
      <c r="AP583" s="1190"/>
      <c r="AQ583" s="1190"/>
      <c r="AR583" s="1190"/>
      <c r="AS583" s="1190"/>
      <c r="AT583" s="1190"/>
      <c r="AU583" s="1190"/>
      <c r="AV583" s="1190"/>
      <c r="AW583" s="1190"/>
      <c r="AX583" s="1190"/>
      <c r="AY583" s="1190"/>
      <c r="AZ583" s="1190"/>
      <c r="BA583" s="1190"/>
      <c r="BB583" s="1190"/>
      <c r="BC583" s="1190"/>
      <c r="BD583" s="1190"/>
      <c r="BE583" s="1190"/>
      <c r="BF583" s="1190"/>
      <c r="BG583" s="1190"/>
      <c r="BH583" s="1190"/>
      <c r="BI583" s="1190"/>
      <c r="BJ583" s="1190"/>
      <c r="BK583" s="1190"/>
      <c r="BL583" s="1190"/>
      <c r="BM583" s="1190"/>
      <c r="BN583" s="1190"/>
      <c r="BO583" s="1190"/>
    </row>
    <row r="584" spans="26:67">
      <c r="Z584" s="1190"/>
      <c r="AA584" s="1190"/>
      <c r="AB584" s="1190"/>
      <c r="AC584" s="1190"/>
      <c r="AD584" s="1190"/>
      <c r="AE584" s="1190"/>
      <c r="AF584" s="1190"/>
      <c r="AG584" s="1190"/>
      <c r="AH584" s="1190"/>
      <c r="AI584" s="1190"/>
      <c r="AJ584" s="1190"/>
      <c r="AK584" s="1190"/>
      <c r="AL584" s="1190"/>
      <c r="AM584" s="1190"/>
      <c r="AN584" s="1190"/>
      <c r="AO584" s="1190"/>
      <c r="AP584" s="1190"/>
      <c r="AQ584" s="1190"/>
      <c r="AR584" s="1190"/>
      <c r="AS584" s="1190"/>
      <c r="AT584" s="1190"/>
      <c r="AU584" s="1190"/>
      <c r="AV584" s="1190"/>
      <c r="AW584" s="1190"/>
      <c r="AX584" s="1190"/>
      <c r="AY584" s="1190"/>
      <c r="AZ584" s="1190"/>
      <c r="BA584" s="1190"/>
      <c r="BB584" s="1190"/>
      <c r="BC584" s="1190"/>
      <c r="BD584" s="1190"/>
      <c r="BE584" s="1190"/>
      <c r="BF584" s="1190"/>
      <c r="BG584" s="1190"/>
      <c r="BH584" s="1190"/>
      <c r="BI584" s="1190"/>
      <c r="BJ584" s="1190"/>
      <c r="BK584" s="1190"/>
      <c r="BL584" s="1190"/>
      <c r="BM584" s="1190"/>
      <c r="BN584" s="1190"/>
      <c r="BO584" s="1190"/>
    </row>
    <row r="585" spans="26:67">
      <c r="Z585" s="1190"/>
      <c r="AA585" s="1190"/>
      <c r="AB585" s="1190"/>
      <c r="AC585" s="1190"/>
      <c r="AD585" s="1190"/>
      <c r="AE585" s="1190"/>
      <c r="AF585" s="1190"/>
      <c r="AG585" s="1190"/>
      <c r="AH585" s="1190"/>
      <c r="AI585" s="1190"/>
      <c r="AJ585" s="1190"/>
      <c r="AK585" s="1190"/>
      <c r="AL585" s="1190"/>
      <c r="AM585" s="1190"/>
      <c r="AN585" s="1190"/>
      <c r="AO585" s="1190"/>
      <c r="AP585" s="1190"/>
      <c r="AQ585" s="1190"/>
      <c r="AR585" s="1190"/>
      <c r="AS585" s="1190"/>
      <c r="AT585" s="1190"/>
      <c r="AU585" s="1190"/>
      <c r="AV585" s="1190"/>
      <c r="AW585" s="1190"/>
      <c r="AX585" s="1190"/>
      <c r="AY585" s="1190"/>
      <c r="AZ585" s="1190"/>
      <c r="BA585" s="1190"/>
      <c r="BB585" s="1190"/>
      <c r="BC585" s="1190"/>
      <c r="BD585" s="1190"/>
      <c r="BE585" s="1190"/>
      <c r="BF585" s="1190"/>
      <c r="BG585" s="1190"/>
      <c r="BH585" s="1190"/>
      <c r="BI585" s="1190"/>
      <c r="BJ585" s="1190"/>
      <c r="BK585" s="1190"/>
      <c r="BL585" s="1190"/>
      <c r="BM585" s="1190"/>
      <c r="BN585" s="1190"/>
      <c r="BO585" s="1190"/>
    </row>
    <row r="586" spans="26:67">
      <c r="Z586" s="1190"/>
      <c r="AA586" s="1190"/>
      <c r="AB586" s="1190"/>
      <c r="AC586" s="1190"/>
      <c r="AD586" s="1190"/>
      <c r="AE586" s="1190"/>
      <c r="AF586" s="1190"/>
      <c r="AG586" s="1190"/>
      <c r="AH586" s="1190"/>
      <c r="AI586" s="1190"/>
      <c r="AJ586" s="1190"/>
      <c r="AK586" s="1190"/>
      <c r="AL586" s="1190"/>
      <c r="AM586" s="1190"/>
      <c r="AN586" s="1190"/>
      <c r="AO586" s="1190"/>
      <c r="AP586" s="1190"/>
      <c r="AQ586" s="1190"/>
      <c r="AR586" s="1190"/>
      <c r="AS586" s="1190"/>
      <c r="AT586" s="1190"/>
      <c r="AU586" s="1190"/>
      <c r="AV586" s="1190"/>
      <c r="AW586" s="1190"/>
      <c r="AX586" s="1190"/>
      <c r="AY586" s="1190"/>
      <c r="AZ586" s="1190"/>
      <c r="BA586" s="1190"/>
      <c r="BB586" s="1190"/>
      <c r="BC586" s="1190"/>
      <c r="BD586" s="1190"/>
      <c r="BE586" s="1190"/>
      <c r="BF586" s="1190"/>
      <c r="BG586" s="1190"/>
      <c r="BH586" s="1190"/>
      <c r="BI586" s="1190"/>
      <c r="BJ586" s="1190"/>
      <c r="BK586" s="1190"/>
      <c r="BL586" s="1190"/>
      <c r="BM586" s="1190"/>
      <c r="BN586" s="1190"/>
      <c r="BO586" s="1190"/>
    </row>
    <row r="587" spans="26:67">
      <c r="Z587" s="1190"/>
      <c r="AA587" s="1190"/>
      <c r="AB587" s="1190"/>
      <c r="AC587" s="1190"/>
      <c r="AD587" s="1190"/>
      <c r="AE587" s="1190"/>
      <c r="AF587" s="1190"/>
      <c r="AG587" s="1190"/>
      <c r="AH587" s="1190"/>
      <c r="AI587" s="1190"/>
      <c r="AJ587" s="1190"/>
      <c r="AK587" s="1190"/>
      <c r="AL587" s="1190"/>
      <c r="AM587" s="1190"/>
      <c r="AN587" s="1190"/>
      <c r="AO587" s="1190"/>
      <c r="AP587" s="1190"/>
      <c r="AQ587" s="1190"/>
      <c r="AR587" s="1190"/>
      <c r="AS587" s="1190"/>
      <c r="AT587" s="1190"/>
      <c r="AU587" s="1190"/>
      <c r="AV587" s="1190"/>
      <c r="AW587" s="1190"/>
      <c r="AX587" s="1190"/>
      <c r="AY587" s="1190"/>
      <c r="AZ587" s="1190"/>
      <c r="BA587" s="1190"/>
      <c r="BB587" s="1190"/>
      <c r="BC587" s="1190"/>
      <c r="BD587" s="1190"/>
      <c r="BE587" s="1190"/>
      <c r="BF587" s="1190"/>
      <c r="BG587" s="1190"/>
      <c r="BH587" s="1190"/>
      <c r="BI587" s="1190"/>
      <c r="BJ587" s="1190"/>
      <c r="BK587" s="1190"/>
      <c r="BL587" s="1190"/>
      <c r="BM587" s="1190"/>
      <c r="BN587" s="1190"/>
      <c r="BO587" s="1190"/>
    </row>
    <row r="588" spans="26:67">
      <c r="Z588" s="1190"/>
      <c r="AA588" s="1190"/>
      <c r="AB588" s="1190"/>
      <c r="AC588" s="1190"/>
      <c r="AD588" s="1190"/>
      <c r="AE588" s="1190"/>
      <c r="AF588" s="1190"/>
      <c r="AG588" s="1190"/>
      <c r="AH588" s="1190"/>
      <c r="AI588" s="1190"/>
      <c r="AJ588" s="1190"/>
      <c r="AK588" s="1190"/>
      <c r="AL588" s="1190"/>
      <c r="AM588" s="1190"/>
      <c r="AN588" s="1190"/>
      <c r="AO588" s="1190"/>
      <c r="AP588" s="1190"/>
      <c r="AQ588" s="1190"/>
      <c r="AR588" s="1190"/>
      <c r="AS588" s="1190"/>
      <c r="AT588" s="1190"/>
      <c r="AU588" s="1190"/>
      <c r="AV588" s="1190"/>
      <c r="AW588" s="1190"/>
      <c r="AX588" s="1190"/>
      <c r="AY588" s="1190"/>
      <c r="AZ588" s="1190"/>
      <c r="BA588" s="1190"/>
      <c r="BB588" s="1190"/>
      <c r="BC588" s="1190"/>
      <c r="BD588" s="1190"/>
      <c r="BE588" s="1190"/>
      <c r="BF588" s="1190"/>
      <c r="BG588" s="1190"/>
      <c r="BH588" s="1190"/>
      <c r="BI588" s="1190"/>
      <c r="BJ588" s="1190"/>
      <c r="BK588" s="1190"/>
      <c r="BL588" s="1190"/>
      <c r="BM588" s="1190"/>
      <c r="BN588" s="1190"/>
      <c r="BO588" s="1190"/>
    </row>
    <row r="589" spans="26:67">
      <c r="Z589" s="1190"/>
      <c r="AA589" s="1190"/>
      <c r="AB589" s="1190"/>
      <c r="AC589" s="1190"/>
      <c r="AD589" s="1190"/>
      <c r="AE589" s="1190"/>
      <c r="AF589" s="1190"/>
      <c r="AG589" s="1190"/>
      <c r="AH589" s="1190"/>
      <c r="AI589" s="1190"/>
      <c r="AJ589" s="1190"/>
      <c r="AK589" s="1190"/>
      <c r="AL589" s="1190"/>
      <c r="AM589" s="1190"/>
      <c r="AN589" s="1190"/>
      <c r="AO589" s="1190"/>
      <c r="AP589" s="1190"/>
      <c r="AQ589" s="1190"/>
      <c r="AR589" s="1190"/>
      <c r="AS589" s="1190"/>
      <c r="AT589" s="1190"/>
      <c r="AU589" s="1190"/>
      <c r="AV589" s="1190"/>
      <c r="AW589" s="1190"/>
      <c r="AX589" s="1190"/>
      <c r="AY589" s="1190"/>
      <c r="AZ589" s="1190"/>
      <c r="BA589" s="1190"/>
      <c r="BB589" s="1190"/>
      <c r="BC589" s="1190"/>
      <c r="BD589" s="1190"/>
      <c r="BE589" s="1190"/>
      <c r="BF589" s="1190"/>
      <c r="BG589" s="1190"/>
      <c r="BH589" s="1190"/>
      <c r="BI589" s="1190"/>
      <c r="BJ589" s="1190"/>
      <c r="BK589" s="1190"/>
      <c r="BL589" s="1190"/>
      <c r="BM589" s="1190"/>
      <c r="BN589" s="1190"/>
      <c r="BO589" s="1190"/>
    </row>
    <row r="590" spans="26:67">
      <c r="Z590" s="1190"/>
      <c r="AA590" s="1190"/>
      <c r="AB590" s="1190"/>
      <c r="AC590" s="1190"/>
      <c r="AD590" s="1190"/>
      <c r="AE590" s="1190"/>
      <c r="AF590" s="1190"/>
      <c r="AG590" s="1190"/>
      <c r="AH590" s="1190"/>
      <c r="AI590" s="1190"/>
      <c r="AJ590" s="1190"/>
      <c r="AK590" s="1190"/>
      <c r="AL590" s="1190"/>
      <c r="AM590" s="1190"/>
      <c r="AN590" s="1190"/>
      <c r="AO590" s="1190"/>
      <c r="AP590" s="1190"/>
      <c r="AQ590" s="1190"/>
      <c r="AR590" s="1190"/>
      <c r="AS590" s="1190"/>
      <c r="AT590" s="1190"/>
      <c r="AU590" s="1190"/>
      <c r="AV590" s="1190"/>
      <c r="AW590" s="1190"/>
      <c r="AX590" s="1190"/>
      <c r="AY590" s="1190"/>
      <c r="AZ590" s="1190"/>
      <c r="BA590" s="1190"/>
      <c r="BB590" s="1190"/>
      <c r="BC590" s="1190"/>
      <c r="BD590" s="1190"/>
      <c r="BE590" s="1190"/>
      <c r="BF590" s="1190"/>
      <c r="BG590" s="1190"/>
      <c r="BH590" s="1190"/>
      <c r="BI590" s="1190"/>
      <c r="BJ590" s="1190"/>
      <c r="BK590" s="1190"/>
      <c r="BL590" s="1190"/>
      <c r="BM590" s="1190"/>
      <c r="BN590" s="1190"/>
      <c r="BO590" s="1190"/>
    </row>
    <row r="591" spans="26:67">
      <c r="Z591" s="1190"/>
      <c r="AA591" s="1190"/>
      <c r="AB591" s="1190"/>
      <c r="AC591" s="1190"/>
      <c r="AD591" s="1190"/>
      <c r="AE591" s="1190"/>
      <c r="AF591" s="1190"/>
      <c r="AG591" s="1190"/>
      <c r="AH591" s="1190"/>
      <c r="AI591" s="1190"/>
      <c r="AJ591" s="1190"/>
      <c r="AK591" s="1190"/>
      <c r="AL591" s="1190"/>
      <c r="AM591" s="1190"/>
      <c r="AN591" s="1190"/>
      <c r="AO591" s="1190"/>
      <c r="AP591" s="1190"/>
      <c r="AQ591" s="1190"/>
      <c r="AR591" s="1190"/>
      <c r="AS591" s="1190"/>
      <c r="AT591" s="1190"/>
      <c r="AU591" s="1190"/>
      <c r="AV591" s="1190"/>
      <c r="AW591" s="1190"/>
      <c r="AX591" s="1190"/>
      <c r="AY591" s="1190"/>
      <c r="AZ591" s="1190"/>
      <c r="BA591" s="1190"/>
      <c r="BB591" s="1190"/>
      <c r="BC591" s="1190"/>
      <c r="BD591" s="1190"/>
      <c r="BE591" s="1190"/>
      <c r="BF591" s="1190"/>
      <c r="BG591" s="1190"/>
      <c r="BH591" s="1190"/>
      <c r="BI591" s="1190"/>
      <c r="BJ591" s="1190"/>
      <c r="BK591" s="1190"/>
      <c r="BL591" s="1190"/>
      <c r="BM591" s="1190"/>
      <c r="BN591" s="1190"/>
      <c r="BO591" s="1190"/>
    </row>
    <row r="592" spans="26:67">
      <c r="Z592" s="1190"/>
      <c r="AA592" s="1190"/>
      <c r="AB592" s="1190"/>
      <c r="AC592" s="1190"/>
      <c r="AD592" s="1190"/>
      <c r="AE592" s="1190"/>
      <c r="AF592" s="1190"/>
      <c r="AG592" s="1190"/>
      <c r="AH592" s="1190"/>
      <c r="AI592" s="1190"/>
      <c r="AJ592" s="1190"/>
      <c r="AK592" s="1190"/>
      <c r="AL592" s="1190"/>
      <c r="AM592" s="1190"/>
      <c r="AN592" s="1190"/>
      <c r="AO592" s="1190"/>
      <c r="AP592" s="1190"/>
      <c r="AQ592" s="1190"/>
      <c r="AR592" s="1190"/>
      <c r="AS592" s="1190"/>
      <c r="AT592" s="1190"/>
      <c r="AU592" s="1190"/>
      <c r="AV592" s="1190"/>
      <c r="AW592" s="1190"/>
      <c r="AX592" s="1190"/>
      <c r="AY592" s="1190"/>
      <c r="AZ592" s="1190"/>
      <c r="BA592" s="1190"/>
      <c r="BB592" s="1190"/>
      <c r="BC592" s="1190"/>
      <c r="BD592" s="1190"/>
      <c r="BE592" s="1190"/>
      <c r="BF592" s="1190"/>
      <c r="BG592" s="1190"/>
      <c r="BH592" s="1190"/>
      <c r="BI592" s="1190"/>
      <c r="BJ592" s="1190"/>
      <c r="BK592" s="1190"/>
      <c r="BL592" s="1190"/>
      <c r="BM592" s="1190"/>
      <c r="BN592" s="1190"/>
      <c r="BO592" s="1190"/>
    </row>
    <row r="593" spans="26:67">
      <c r="Z593" s="1190"/>
      <c r="AA593" s="1190"/>
      <c r="AB593" s="1190"/>
      <c r="AC593" s="1190"/>
      <c r="AD593" s="1190"/>
      <c r="AE593" s="1190"/>
      <c r="AF593" s="1190"/>
      <c r="AG593" s="1190"/>
      <c r="AH593" s="1190"/>
      <c r="AI593" s="1190"/>
      <c r="AJ593" s="1190"/>
      <c r="AK593" s="1190"/>
      <c r="AL593" s="1190"/>
      <c r="AM593" s="1190"/>
      <c r="AN593" s="1190"/>
      <c r="AO593" s="1190"/>
      <c r="AP593" s="1190"/>
      <c r="AQ593" s="1190"/>
      <c r="AR593" s="1190"/>
      <c r="AS593" s="1190"/>
      <c r="AT593" s="1190"/>
      <c r="AU593" s="1190"/>
      <c r="AV593" s="1190"/>
      <c r="AW593" s="1190"/>
      <c r="AX593" s="1190"/>
      <c r="AY593" s="1190"/>
      <c r="AZ593" s="1190"/>
      <c r="BA593" s="1190"/>
      <c r="BB593" s="1190"/>
      <c r="BC593" s="1190"/>
      <c r="BD593" s="1190"/>
      <c r="BE593" s="1190"/>
      <c r="BF593" s="1190"/>
      <c r="BG593" s="1190"/>
      <c r="BH593" s="1190"/>
      <c r="BI593" s="1190"/>
      <c r="BJ593" s="1190"/>
      <c r="BK593" s="1190"/>
      <c r="BL593" s="1190"/>
      <c r="BM593" s="1190"/>
      <c r="BN593" s="1190"/>
      <c r="BO593" s="1190"/>
    </row>
    <row r="594" spans="26:67">
      <c r="Z594" s="1190"/>
      <c r="AA594" s="1190"/>
      <c r="AB594" s="1190"/>
      <c r="AC594" s="1190"/>
      <c r="AD594" s="1190"/>
      <c r="AE594" s="1190"/>
      <c r="AF594" s="1190"/>
      <c r="AG594" s="1190"/>
      <c r="AH594" s="1190"/>
      <c r="AI594" s="1190"/>
      <c r="AJ594" s="1190"/>
      <c r="AK594" s="1190"/>
      <c r="AL594" s="1190"/>
      <c r="AM594" s="1190"/>
      <c r="AN594" s="1190"/>
      <c r="AO594" s="1190"/>
      <c r="AP594" s="1190"/>
      <c r="AQ594" s="1190"/>
      <c r="AR594" s="1190"/>
      <c r="AS594" s="1190"/>
      <c r="AT594" s="1190"/>
      <c r="AU594" s="1190"/>
      <c r="AV594" s="1190"/>
      <c r="AW594" s="1190"/>
      <c r="AX594" s="1190"/>
      <c r="AY594" s="1190"/>
      <c r="AZ594" s="1190"/>
      <c r="BA594" s="1190"/>
      <c r="BB594" s="1190"/>
      <c r="BC594" s="1190"/>
      <c r="BD594" s="1190"/>
      <c r="BE594" s="1190"/>
      <c r="BF594" s="1190"/>
      <c r="BG594" s="1190"/>
      <c r="BH594" s="1190"/>
      <c r="BI594" s="1190"/>
      <c r="BJ594" s="1190"/>
      <c r="BK594" s="1190"/>
      <c r="BL594" s="1190"/>
      <c r="BM594" s="1190"/>
      <c r="BN594" s="1190"/>
      <c r="BO594" s="1190"/>
    </row>
    <row r="595" spans="26:67">
      <c r="Z595" s="1190"/>
      <c r="AA595" s="1190"/>
      <c r="AB595" s="1190"/>
      <c r="AC595" s="1190"/>
      <c r="AD595" s="1190"/>
      <c r="AE595" s="1190"/>
      <c r="AF595" s="1190"/>
      <c r="AG595" s="1190"/>
      <c r="AH595" s="1190"/>
      <c r="AI595" s="1190"/>
      <c r="AJ595" s="1190"/>
      <c r="AK595" s="1190"/>
      <c r="AL595" s="1190"/>
      <c r="AM595" s="1190"/>
      <c r="AN595" s="1190"/>
      <c r="AO595" s="1190"/>
      <c r="AP595" s="1190"/>
      <c r="AQ595" s="1190"/>
      <c r="AR595" s="1190"/>
      <c r="AS595" s="1190"/>
      <c r="AT595" s="1190"/>
      <c r="AU595" s="1190"/>
      <c r="AV595" s="1190"/>
      <c r="AW595" s="1190"/>
      <c r="AX595" s="1190"/>
      <c r="AY595" s="1190"/>
      <c r="AZ595" s="1190"/>
      <c r="BA595" s="1190"/>
      <c r="BB595" s="1190"/>
      <c r="BC595" s="1190"/>
      <c r="BD595" s="1190"/>
      <c r="BE595" s="1190"/>
      <c r="BF595" s="1190"/>
      <c r="BG595" s="1190"/>
      <c r="BH595" s="1190"/>
      <c r="BI595" s="1190"/>
      <c r="BJ595" s="1190"/>
      <c r="BK595" s="1190"/>
      <c r="BL595" s="1190"/>
      <c r="BM595" s="1190"/>
      <c r="BN595" s="1190"/>
      <c r="BO595" s="1190"/>
    </row>
    <row r="596" spans="26:67">
      <c r="Z596" s="1190"/>
      <c r="AA596" s="1190"/>
      <c r="AB596" s="1190"/>
      <c r="AC596" s="1190"/>
      <c r="AD596" s="1190"/>
      <c r="AE596" s="1190"/>
      <c r="AF596" s="1190"/>
      <c r="AG596" s="1190"/>
      <c r="AH596" s="1190"/>
      <c r="AI596" s="1190"/>
      <c r="AJ596" s="1190"/>
      <c r="AK596" s="1190"/>
      <c r="AL596" s="1190"/>
      <c r="AM596" s="1190"/>
      <c r="AN596" s="1190"/>
      <c r="AO596" s="1190"/>
      <c r="AP596" s="1190"/>
      <c r="AQ596" s="1190"/>
      <c r="AR596" s="1190"/>
      <c r="AS596" s="1190"/>
      <c r="AT596" s="1190"/>
      <c r="AU596" s="1190"/>
      <c r="AV596" s="1190"/>
      <c r="AW596" s="1190"/>
      <c r="AX596" s="1190"/>
      <c r="AY596" s="1190"/>
      <c r="AZ596" s="1190"/>
      <c r="BA596" s="1190"/>
      <c r="BB596" s="1190"/>
      <c r="BC596" s="1190"/>
      <c r="BD596" s="1190"/>
      <c r="BE596" s="1190"/>
      <c r="BF596" s="1190"/>
      <c r="BG596" s="1190"/>
      <c r="BH596" s="1190"/>
      <c r="BI596" s="1190"/>
      <c r="BJ596" s="1190"/>
      <c r="BK596" s="1190"/>
      <c r="BL596" s="1190"/>
      <c r="BM596" s="1190"/>
      <c r="BN596" s="1190"/>
      <c r="BO596" s="1190"/>
    </row>
    <row r="597" spans="26:67">
      <c r="Z597" s="1190"/>
      <c r="AA597" s="1190"/>
      <c r="AB597" s="1190"/>
      <c r="AC597" s="1190"/>
      <c r="AD597" s="1190"/>
      <c r="AE597" s="1190"/>
      <c r="AF597" s="1190"/>
      <c r="AG597" s="1190"/>
      <c r="AH597" s="1190"/>
      <c r="AI597" s="1190"/>
      <c r="AJ597" s="1190"/>
      <c r="AK597" s="1190"/>
      <c r="AL597" s="1190"/>
      <c r="AM597" s="1190"/>
      <c r="AN597" s="1190"/>
      <c r="AO597" s="1190"/>
      <c r="AP597" s="1190"/>
      <c r="AQ597" s="1190"/>
      <c r="AR597" s="1190"/>
      <c r="AS597" s="1190"/>
      <c r="AT597" s="1190"/>
      <c r="AU597" s="1190"/>
      <c r="AV597" s="1190"/>
      <c r="AW597" s="1190"/>
      <c r="AX597" s="1190"/>
      <c r="AY597" s="1190"/>
      <c r="AZ597" s="1190"/>
      <c r="BA597" s="1190"/>
      <c r="BB597" s="1190"/>
      <c r="BC597" s="1190"/>
      <c r="BD597" s="1190"/>
      <c r="BE597" s="1190"/>
      <c r="BF597" s="1190"/>
      <c r="BG597" s="1190"/>
      <c r="BH597" s="1190"/>
      <c r="BI597" s="1190"/>
      <c r="BJ597" s="1190"/>
      <c r="BK597" s="1190"/>
      <c r="BL597" s="1190"/>
      <c r="BM597" s="1190"/>
      <c r="BN597" s="1190"/>
      <c r="BO597" s="1190"/>
    </row>
    <row r="598" spans="26:67">
      <c r="Z598" s="1190"/>
      <c r="AA598" s="1190"/>
      <c r="AB598" s="1190"/>
      <c r="AC598" s="1190"/>
      <c r="AD598" s="1190"/>
      <c r="AE598" s="1190"/>
      <c r="AF598" s="1190"/>
      <c r="AG598" s="1190"/>
      <c r="AH598" s="1190"/>
      <c r="AI598" s="1190"/>
      <c r="AJ598" s="1190"/>
      <c r="AK598" s="1190"/>
      <c r="AL598" s="1190"/>
      <c r="AM598" s="1190"/>
      <c r="AN598" s="1190"/>
      <c r="AO598" s="1190"/>
      <c r="AP598" s="1190"/>
      <c r="AQ598" s="1190"/>
      <c r="AR598" s="1190"/>
      <c r="AS598" s="1190"/>
      <c r="AT598" s="1190"/>
      <c r="AU598" s="1190"/>
      <c r="AV598" s="1190"/>
      <c r="AW598" s="1190"/>
      <c r="AX598" s="1190"/>
      <c r="AY598" s="1190"/>
      <c r="AZ598" s="1190"/>
      <c r="BA598" s="1190"/>
      <c r="BB598" s="1190"/>
      <c r="BC598" s="1190"/>
      <c r="BD598" s="1190"/>
      <c r="BE598" s="1190"/>
      <c r="BF598" s="1190"/>
      <c r="BG598" s="1190"/>
      <c r="BH598" s="1190"/>
      <c r="BI598" s="1190"/>
      <c r="BJ598" s="1190"/>
      <c r="BK598" s="1190"/>
      <c r="BL598" s="1190"/>
      <c r="BM598" s="1190"/>
      <c r="BN598" s="1190"/>
      <c r="BO598" s="1190"/>
    </row>
    <row r="599" spans="26:67">
      <c r="Z599" s="1190"/>
      <c r="AA599" s="1190"/>
      <c r="AB599" s="1190"/>
      <c r="AC599" s="1190"/>
      <c r="AD599" s="1190"/>
      <c r="AE599" s="1190"/>
      <c r="AF599" s="1190"/>
      <c r="AG599" s="1190"/>
      <c r="AH599" s="1190"/>
      <c r="AI599" s="1190"/>
      <c r="AJ599" s="1190"/>
      <c r="AK599" s="1190"/>
      <c r="AL599" s="1190"/>
      <c r="AM599" s="1190"/>
      <c r="AN599" s="1190"/>
      <c r="AO599" s="1190"/>
      <c r="AP599" s="1190"/>
      <c r="AQ599" s="1190"/>
      <c r="AR599" s="1190"/>
      <c r="AS599" s="1190"/>
      <c r="AT599" s="1190"/>
      <c r="AU599" s="1190"/>
      <c r="AV599" s="1190"/>
      <c r="AW599" s="1190"/>
      <c r="AX599" s="1190"/>
      <c r="AY599" s="1190"/>
      <c r="AZ599" s="1190"/>
      <c r="BA599" s="1190"/>
      <c r="BB599" s="1190"/>
      <c r="BC599" s="1190"/>
      <c r="BD599" s="1190"/>
      <c r="BE599" s="1190"/>
      <c r="BF599" s="1190"/>
      <c r="BG599" s="1190"/>
      <c r="BH599" s="1190"/>
      <c r="BI599" s="1190"/>
      <c r="BJ599" s="1190"/>
      <c r="BK599" s="1190"/>
      <c r="BL599" s="1190"/>
      <c r="BM599" s="1190"/>
      <c r="BN599" s="1190"/>
      <c r="BO599" s="1190"/>
    </row>
    <row r="600" spans="26:67">
      <c r="Z600" s="1190"/>
      <c r="AA600" s="1190"/>
      <c r="AB600" s="1190"/>
      <c r="AC600" s="1190"/>
      <c r="AD600" s="1190"/>
      <c r="AE600" s="1190"/>
      <c r="AF600" s="1190"/>
      <c r="AG600" s="1190"/>
      <c r="AH600" s="1190"/>
      <c r="AI600" s="1190"/>
      <c r="AJ600" s="1190"/>
      <c r="AK600" s="1190"/>
      <c r="AL600" s="1190"/>
      <c r="AM600" s="1190"/>
      <c r="AN600" s="1190"/>
      <c r="AO600" s="1190"/>
      <c r="AP600" s="1190"/>
      <c r="AQ600" s="1190"/>
      <c r="AR600" s="1190"/>
      <c r="AS600" s="1190"/>
      <c r="AT600" s="1190"/>
      <c r="AU600" s="1190"/>
      <c r="AV600" s="1190"/>
      <c r="AW600" s="1190"/>
      <c r="AX600" s="1190"/>
      <c r="AY600" s="1190"/>
      <c r="AZ600" s="1190"/>
      <c r="BA600" s="1190"/>
      <c r="BB600" s="1190"/>
      <c r="BC600" s="1190"/>
      <c r="BD600" s="1190"/>
      <c r="BE600" s="1190"/>
      <c r="BF600" s="1190"/>
      <c r="BG600" s="1190"/>
      <c r="BH600" s="1190"/>
      <c r="BI600" s="1190"/>
      <c r="BJ600" s="1190"/>
      <c r="BK600" s="1190"/>
      <c r="BL600" s="1190"/>
      <c r="BM600" s="1190"/>
      <c r="BN600" s="1190"/>
      <c r="BO600" s="1190"/>
    </row>
    <row r="601" spans="26:67">
      <c r="Z601" s="1190"/>
      <c r="AA601" s="1190"/>
      <c r="AB601" s="1190"/>
      <c r="AC601" s="1190"/>
      <c r="AD601" s="1190"/>
      <c r="AE601" s="1190"/>
      <c r="AF601" s="1190"/>
      <c r="AG601" s="1190"/>
      <c r="AH601" s="1190"/>
      <c r="AI601" s="1190"/>
      <c r="AJ601" s="1190"/>
      <c r="AK601" s="1190"/>
      <c r="AL601" s="1190"/>
      <c r="AM601" s="1190"/>
      <c r="AN601" s="1190"/>
      <c r="AO601" s="1190"/>
      <c r="AP601" s="1190"/>
      <c r="AQ601" s="1190"/>
      <c r="AR601" s="1190"/>
      <c r="AS601" s="1190"/>
      <c r="AT601" s="1190"/>
      <c r="AU601" s="1190"/>
      <c r="AV601" s="1190"/>
      <c r="AW601" s="1190"/>
      <c r="AX601" s="1190"/>
      <c r="AY601" s="1190"/>
      <c r="AZ601" s="1190"/>
      <c r="BA601" s="1190"/>
      <c r="BB601" s="1190"/>
      <c r="BC601" s="1190"/>
      <c r="BD601" s="1190"/>
      <c r="BE601" s="1190"/>
      <c r="BF601" s="1190"/>
      <c r="BG601" s="1190"/>
      <c r="BH601" s="1190"/>
      <c r="BI601" s="1190"/>
      <c r="BJ601" s="1190"/>
      <c r="BK601" s="1190"/>
      <c r="BL601" s="1190"/>
      <c r="BM601" s="1190"/>
      <c r="BN601" s="1190"/>
      <c r="BO601" s="1190"/>
    </row>
    <row r="602" spans="26:67">
      <c r="Z602" s="1190"/>
      <c r="AA602" s="1190"/>
      <c r="AB602" s="1190"/>
      <c r="AC602" s="1190"/>
      <c r="AD602" s="1190"/>
      <c r="AE602" s="1190"/>
      <c r="AF602" s="1190"/>
      <c r="AG602" s="1190"/>
      <c r="AH602" s="1190"/>
      <c r="AI602" s="1190"/>
      <c r="AJ602" s="1190"/>
      <c r="AK602" s="1190"/>
      <c r="AL602" s="1190"/>
      <c r="AM602" s="1190"/>
      <c r="AN602" s="1190"/>
      <c r="AO602" s="1190"/>
      <c r="AP602" s="1190"/>
      <c r="AQ602" s="1190"/>
      <c r="AR602" s="1190"/>
      <c r="AS602" s="1190"/>
      <c r="AT602" s="1190"/>
      <c r="AU602" s="1190"/>
      <c r="AV602" s="1190"/>
      <c r="AW602" s="1190"/>
      <c r="AX602" s="1190"/>
      <c r="AY602" s="1190"/>
      <c r="AZ602" s="1190"/>
      <c r="BA602" s="1190"/>
      <c r="BB602" s="1190"/>
      <c r="BC602" s="1190"/>
      <c r="BD602" s="1190"/>
      <c r="BE602" s="1190"/>
      <c r="BF602" s="1190"/>
      <c r="BG602" s="1190"/>
      <c r="BH602" s="1190"/>
      <c r="BI602" s="1190"/>
      <c r="BJ602" s="1190"/>
      <c r="BK602" s="1190"/>
      <c r="BL602" s="1190"/>
      <c r="BM602" s="1190"/>
      <c r="BN602" s="1190"/>
      <c r="BO602" s="1190"/>
    </row>
    <row r="603" spans="26:67">
      <c r="Z603" s="1190"/>
      <c r="AA603" s="1190"/>
      <c r="AB603" s="1190"/>
      <c r="AC603" s="1190"/>
      <c r="AD603" s="1190"/>
      <c r="AE603" s="1190"/>
      <c r="AF603" s="1190"/>
      <c r="AG603" s="1190"/>
      <c r="AH603" s="1190"/>
      <c r="AI603" s="1190"/>
      <c r="AJ603" s="1190"/>
      <c r="AK603" s="1190"/>
      <c r="AL603" s="1190"/>
      <c r="AM603" s="1190"/>
      <c r="AN603" s="1190"/>
      <c r="AO603" s="1190"/>
      <c r="AP603" s="1190"/>
      <c r="AQ603" s="1190"/>
      <c r="AR603" s="1190"/>
      <c r="AS603" s="1190"/>
      <c r="AT603" s="1190"/>
      <c r="AU603" s="1190"/>
      <c r="AV603" s="1190"/>
      <c r="AW603" s="1190"/>
      <c r="AX603" s="1190"/>
      <c r="AY603" s="1190"/>
      <c r="AZ603" s="1190"/>
      <c r="BA603" s="1190"/>
      <c r="BB603" s="1190"/>
      <c r="BC603" s="1190"/>
      <c r="BD603" s="1190"/>
      <c r="BE603" s="1190"/>
      <c r="BF603" s="1190"/>
      <c r="BG603" s="1190"/>
      <c r="BH603" s="1190"/>
      <c r="BI603" s="1190"/>
      <c r="BJ603" s="1190"/>
      <c r="BK603" s="1190"/>
      <c r="BL603" s="1190"/>
      <c r="BM603" s="1190"/>
      <c r="BN603" s="1190"/>
      <c r="BO603" s="1190"/>
    </row>
    <row r="604" spans="26:67">
      <c r="Z604" s="1190"/>
      <c r="AA604" s="1190"/>
      <c r="AB604" s="1190"/>
      <c r="AC604" s="1190"/>
      <c r="AD604" s="1190"/>
      <c r="AE604" s="1190"/>
      <c r="AF604" s="1190"/>
      <c r="AG604" s="1190"/>
      <c r="AH604" s="1190"/>
      <c r="AI604" s="1190"/>
      <c r="AJ604" s="1190"/>
      <c r="AK604" s="1190"/>
      <c r="AL604" s="1190"/>
      <c r="AM604" s="1190"/>
      <c r="AN604" s="1190"/>
      <c r="AO604" s="1190"/>
      <c r="AP604" s="1190"/>
      <c r="AQ604" s="1190"/>
      <c r="AR604" s="1190"/>
      <c r="AS604" s="1190"/>
      <c r="AT604" s="1190"/>
      <c r="AU604" s="1190"/>
      <c r="AV604" s="1190"/>
      <c r="AW604" s="1190"/>
      <c r="AX604" s="1190"/>
      <c r="AY604" s="1190"/>
      <c r="AZ604" s="1190"/>
      <c r="BA604" s="1190"/>
      <c r="BB604" s="1190"/>
      <c r="BC604" s="1190"/>
      <c r="BD604" s="1190"/>
      <c r="BE604" s="1190"/>
      <c r="BF604" s="1190"/>
      <c r="BG604" s="1190"/>
      <c r="BH604" s="1190"/>
      <c r="BI604" s="1190"/>
      <c r="BJ604" s="1190"/>
      <c r="BK604" s="1190"/>
      <c r="BL604" s="1190"/>
      <c r="BM604" s="1190"/>
      <c r="BN604" s="1190"/>
      <c r="BO604" s="1190"/>
    </row>
    <row r="605" spans="26:67">
      <c r="Z605" s="1190"/>
      <c r="AA605" s="1190"/>
      <c r="AB605" s="1190"/>
      <c r="AC605" s="1190"/>
      <c r="AD605" s="1190"/>
      <c r="AE605" s="1190"/>
      <c r="AF605" s="1190"/>
      <c r="AG605" s="1190"/>
      <c r="AH605" s="1190"/>
      <c r="AI605" s="1190"/>
      <c r="AJ605" s="1190"/>
      <c r="AK605" s="1190"/>
      <c r="AL605" s="1190"/>
      <c r="AM605" s="1190"/>
      <c r="AN605" s="1190"/>
      <c r="AO605" s="1190"/>
      <c r="AP605" s="1190"/>
      <c r="AQ605" s="1190"/>
      <c r="AR605" s="1190"/>
      <c r="AS605" s="1190"/>
      <c r="AT605" s="1190"/>
      <c r="AU605" s="1190"/>
      <c r="AV605" s="1190"/>
      <c r="AW605" s="1190"/>
      <c r="AX605" s="1190"/>
      <c r="AY605" s="1190"/>
      <c r="AZ605" s="1190"/>
      <c r="BA605" s="1190"/>
      <c r="BB605" s="1190"/>
      <c r="BC605" s="1190"/>
      <c r="BD605" s="1190"/>
      <c r="BE605" s="1190"/>
      <c r="BF605" s="1190"/>
      <c r="BG605" s="1190"/>
      <c r="BH605" s="1190"/>
      <c r="BI605" s="1190"/>
      <c r="BJ605" s="1190"/>
      <c r="BK605" s="1190"/>
      <c r="BL605" s="1190"/>
      <c r="BM605" s="1190"/>
      <c r="BN605" s="1190"/>
      <c r="BO605" s="1190"/>
    </row>
    <row r="606" spans="26:67">
      <c r="Z606" s="1190"/>
      <c r="AA606" s="1190"/>
      <c r="AB606" s="1190"/>
      <c r="AC606" s="1190"/>
      <c r="AD606" s="1190"/>
      <c r="AE606" s="1190"/>
      <c r="AF606" s="1190"/>
      <c r="AG606" s="1190"/>
      <c r="AH606" s="1190"/>
      <c r="AI606" s="1190"/>
      <c r="AJ606" s="1190"/>
      <c r="AK606" s="1190"/>
      <c r="AL606" s="1190"/>
      <c r="AM606" s="1190"/>
      <c r="AN606" s="1190"/>
      <c r="AO606" s="1190"/>
      <c r="AP606" s="1190"/>
      <c r="AQ606" s="1190"/>
      <c r="AR606" s="1190"/>
      <c r="AS606" s="1190"/>
      <c r="AT606" s="1190"/>
      <c r="AU606" s="1190"/>
      <c r="AV606" s="1190"/>
      <c r="AW606" s="1190"/>
      <c r="AX606" s="1190"/>
      <c r="AY606" s="1190"/>
      <c r="AZ606" s="1190"/>
      <c r="BA606" s="1190"/>
      <c r="BB606" s="1190"/>
      <c r="BC606" s="1190"/>
      <c r="BD606" s="1190"/>
      <c r="BE606" s="1190"/>
      <c r="BF606" s="1190"/>
      <c r="BG606" s="1190"/>
      <c r="BH606" s="1190"/>
      <c r="BI606" s="1190"/>
      <c r="BJ606" s="1190"/>
      <c r="BK606" s="1190"/>
      <c r="BL606" s="1190"/>
      <c r="BM606" s="1190"/>
      <c r="BN606" s="1190"/>
      <c r="BO606" s="1190"/>
    </row>
    <row r="607" spans="26:67">
      <c r="Z607" s="1190"/>
      <c r="AA607" s="1190"/>
      <c r="AB607" s="1190"/>
      <c r="AC607" s="1190"/>
      <c r="AD607" s="1190"/>
      <c r="AE607" s="1190"/>
      <c r="AF607" s="1190"/>
      <c r="AG607" s="1190"/>
      <c r="AH607" s="1190"/>
      <c r="AI607" s="1190"/>
      <c r="AJ607" s="1190"/>
      <c r="AK607" s="1190"/>
      <c r="AL607" s="1190"/>
      <c r="AM607" s="1190"/>
      <c r="AN607" s="1190"/>
      <c r="AO607" s="1190"/>
      <c r="AP607" s="1190"/>
      <c r="AQ607" s="1190"/>
      <c r="AR607" s="1190"/>
      <c r="AS607" s="1190"/>
      <c r="AT607" s="1190"/>
      <c r="AU607" s="1190"/>
      <c r="AV607" s="1190"/>
      <c r="AW607" s="1190"/>
      <c r="AX607" s="1190"/>
      <c r="AY607" s="1190"/>
      <c r="AZ607" s="1190"/>
      <c r="BA607" s="1190"/>
      <c r="BB607" s="1190"/>
      <c r="BC607" s="1190"/>
      <c r="BD607" s="1190"/>
      <c r="BE607" s="1190"/>
      <c r="BF607" s="1190"/>
      <c r="BG607" s="1190"/>
      <c r="BH607" s="1190"/>
      <c r="BI607" s="1190"/>
      <c r="BJ607" s="1190"/>
      <c r="BK607" s="1190"/>
      <c r="BL607" s="1190"/>
      <c r="BM607" s="1190"/>
      <c r="BN607" s="1190"/>
      <c r="BO607" s="1190"/>
    </row>
    <row r="608" spans="26:67">
      <c r="Z608" s="1190"/>
      <c r="AA608" s="1190"/>
      <c r="AB608" s="1190"/>
      <c r="AC608" s="1190"/>
      <c r="AD608" s="1190"/>
      <c r="AE608" s="1190"/>
      <c r="AF608" s="1190"/>
      <c r="AG608" s="1190"/>
      <c r="AH608" s="1190"/>
      <c r="AI608" s="1190"/>
      <c r="AJ608" s="1190"/>
      <c r="AK608" s="1190"/>
      <c r="AL608" s="1190"/>
      <c r="AM608" s="1190"/>
      <c r="AN608" s="1190"/>
      <c r="AO608" s="1190"/>
      <c r="AP608" s="1190"/>
      <c r="AQ608" s="1190"/>
      <c r="AR608" s="1190"/>
      <c r="AS608" s="1190"/>
      <c r="AT608" s="1190"/>
      <c r="AU608" s="1190"/>
      <c r="AV608" s="1190"/>
      <c r="AW608" s="1190"/>
      <c r="AX608" s="1190"/>
      <c r="AY608" s="1190"/>
      <c r="AZ608" s="1190"/>
      <c r="BA608" s="1190"/>
      <c r="BB608" s="1190"/>
      <c r="BC608" s="1190"/>
      <c r="BD608" s="1190"/>
      <c r="BE608" s="1190"/>
      <c r="BF608" s="1190"/>
      <c r="BG608" s="1190"/>
      <c r="BH608" s="1190"/>
      <c r="BI608" s="1190"/>
      <c r="BJ608" s="1190"/>
      <c r="BK608" s="1190"/>
      <c r="BL608" s="1190"/>
      <c r="BM608" s="1190"/>
      <c r="BN608" s="1190"/>
      <c r="BO608" s="1190"/>
    </row>
    <row r="609" spans="26:67">
      <c r="Z609" s="1190"/>
      <c r="AA609" s="1190"/>
      <c r="AB609" s="1190"/>
      <c r="AC609" s="1190"/>
      <c r="AD609" s="1190"/>
      <c r="AE609" s="1190"/>
      <c r="AF609" s="1190"/>
      <c r="AG609" s="1190"/>
      <c r="AH609" s="1190"/>
      <c r="AI609" s="1190"/>
      <c r="AJ609" s="1190"/>
      <c r="AK609" s="1190"/>
      <c r="AL609" s="1190"/>
      <c r="AM609" s="1190"/>
      <c r="AN609" s="1190"/>
      <c r="AO609" s="1190"/>
      <c r="AP609" s="1190"/>
      <c r="AQ609" s="1190"/>
      <c r="AR609" s="1190"/>
      <c r="AS609" s="1190"/>
      <c r="AT609" s="1190"/>
      <c r="AU609" s="1190"/>
      <c r="AV609" s="1190"/>
      <c r="AW609" s="1190"/>
      <c r="AX609" s="1190"/>
      <c r="AY609" s="1190"/>
      <c r="AZ609" s="1190"/>
      <c r="BA609" s="1190"/>
      <c r="BB609" s="1190"/>
      <c r="BC609" s="1190"/>
      <c r="BD609" s="1190"/>
      <c r="BE609" s="1190"/>
      <c r="BF609" s="1190"/>
      <c r="BG609" s="1190"/>
      <c r="BH609" s="1190"/>
      <c r="BI609" s="1190"/>
      <c r="BJ609" s="1190"/>
      <c r="BK609" s="1190"/>
      <c r="BL609" s="1190"/>
      <c r="BM609" s="1190"/>
      <c r="BN609" s="1190"/>
      <c r="BO609" s="1190"/>
    </row>
    <row r="610" spans="26:67">
      <c r="Z610" s="1190"/>
      <c r="AA610" s="1190"/>
      <c r="AB610" s="1190"/>
      <c r="AC610" s="1190"/>
      <c r="AD610" s="1190"/>
      <c r="AE610" s="1190"/>
      <c r="AF610" s="1190"/>
      <c r="AG610" s="1190"/>
      <c r="AH610" s="1190"/>
      <c r="AI610" s="1190"/>
      <c r="AJ610" s="1190"/>
      <c r="AK610" s="1190"/>
      <c r="AL610" s="1190"/>
      <c r="AM610" s="1190"/>
      <c r="AN610" s="1190"/>
      <c r="AO610" s="1190"/>
      <c r="AP610" s="1190"/>
      <c r="AQ610" s="1190"/>
      <c r="AR610" s="1190"/>
      <c r="AS610" s="1190"/>
      <c r="AT610" s="1190"/>
      <c r="AU610" s="1190"/>
      <c r="AV610" s="1190"/>
      <c r="AW610" s="1190"/>
      <c r="AX610" s="1190"/>
      <c r="AY610" s="1190"/>
      <c r="AZ610" s="1190"/>
      <c r="BA610" s="1190"/>
      <c r="BB610" s="1190"/>
      <c r="BC610" s="1190"/>
      <c r="BD610" s="1190"/>
      <c r="BE610" s="1190"/>
      <c r="BF610" s="1190"/>
      <c r="BG610" s="1190"/>
      <c r="BH610" s="1190"/>
      <c r="BI610" s="1190"/>
      <c r="BJ610" s="1190"/>
      <c r="BK610" s="1190"/>
      <c r="BL610" s="1190"/>
      <c r="BM610" s="1190"/>
      <c r="BN610" s="1190"/>
      <c r="BO610" s="1190"/>
    </row>
    <row r="611" spans="26:67">
      <c r="Z611" s="1190"/>
      <c r="AA611" s="1190"/>
      <c r="AB611" s="1190"/>
      <c r="AC611" s="1190"/>
      <c r="AD611" s="1190"/>
      <c r="AE611" s="1190"/>
      <c r="AF611" s="1190"/>
      <c r="AG611" s="1190"/>
      <c r="AH611" s="1190"/>
      <c r="AI611" s="1190"/>
      <c r="AJ611" s="1190"/>
      <c r="AK611" s="1190"/>
      <c r="AL611" s="1190"/>
      <c r="AM611" s="1190"/>
      <c r="AN611" s="1190"/>
      <c r="AO611" s="1190"/>
      <c r="AP611" s="1190"/>
      <c r="AQ611" s="1190"/>
      <c r="AR611" s="1190"/>
      <c r="AS611" s="1190"/>
      <c r="AT611" s="1190"/>
      <c r="AU611" s="1190"/>
      <c r="AV611" s="1190"/>
      <c r="AW611" s="1190"/>
      <c r="AX611" s="1190"/>
      <c r="AY611" s="1190"/>
      <c r="AZ611" s="1190"/>
      <c r="BA611" s="1190"/>
      <c r="BB611" s="1190"/>
      <c r="BC611" s="1190"/>
      <c r="BD611" s="1190"/>
      <c r="BE611" s="1190"/>
      <c r="BF611" s="1190"/>
      <c r="BG611" s="1190"/>
      <c r="BH611" s="1190"/>
      <c r="BI611" s="1190"/>
      <c r="BJ611" s="1190"/>
      <c r="BK611" s="1190"/>
      <c r="BL611" s="1190"/>
      <c r="BM611" s="1190"/>
      <c r="BN611" s="1190"/>
      <c r="BO611" s="1190"/>
    </row>
    <row r="612" spans="26:67">
      <c r="Z612" s="1190"/>
      <c r="AA612" s="1190"/>
      <c r="AB612" s="1190"/>
      <c r="AC612" s="1190"/>
      <c r="AD612" s="1190"/>
      <c r="AE612" s="1190"/>
      <c r="AF612" s="1190"/>
      <c r="AG612" s="1190"/>
      <c r="AH612" s="1190"/>
      <c r="AI612" s="1190"/>
      <c r="AJ612" s="1190"/>
      <c r="AK612" s="1190"/>
      <c r="AL612" s="1190"/>
      <c r="AM612" s="1190"/>
      <c r="AN612" s="1190"/>
      <c r="AO612" s="1190"/>
      <c r="AP612" s="1190"/>
      <c r="AQ612" s="1190"/>
      <c r="AR612" s="1190"/>
      <c r="AS612" s="1190"/>
      <c r="AT612" s="1190"/>
      <c r="AU612" s="1190"/>
      <c r="AV612" s="1190"/>
      <c r="AW612" s="1190"/>
      <c r="AX612" s="1190"/>
      <c r="AY612" s="1190"/>
      <c r="AZ612" s="1190"/>
      <c r="BA612" s="1190"/>
      <c r="BB612" s="1190"/>
      <c r="BC612" s="1190"/>
      <c r="BD612" s="1190"/>
      <c r="BE612" s="1190"/>
      <c r="BF612" s="1190"/>
      <c r="BG612" s="1190"/>
      <c r="BH612" s="1190"/>
      <c r="BI612" s="1190"/>
      <c r="BJ612" s="1190"/>
      <c r="BK612" s="1190"/>
      <c r="BL612" s="1190"/>
      <c r="BM612" s="1190"/>
      <c r="BN612" s="1190"/>
      <c r="BO612" s="1190"/>
    </row>
    <row r="613" spans="26:67">
      <c r="Z613" s="1190"/>
      <c r="AA613" s="1190"/>
      <c r="AB613" s="1190"/>
      <c r="AC613" s="1190"/>
      <c r="AD613" s="1190"/>
      <c r="AE613" s="1190"/>
      <c r="AF613" s="1190"/>
      <c r="AG613" s="1190"/>
      <c r="AH613" s="1190"/>
      <c r="AI613" s="1190"/>
      <c r="AJ613" s="1190"/>
      <c r="AK613" s="1190"/>
      <c r="AL613" s="1190"/>
      <c r="AM613" s="1190"/>
      <c r="AN613" s="1190"/>
      <c r="AO613" s="1190"/>
      <c r="AP613" s="1190"/>
      <c r="AQ613" s="1190"/>
      <c r="AR613" s="1190"/>
      <c r="AS613" s="1190"/>
      <c r="AT613" s="1190"/>
      <c r="AU613" s="1190"/>
      <c r="AV613" s="1190"/>
      <c r="AW613" s="1190"/>
      <c r="AX613" s="1190"/>
      <c r="AY613" s="1190"/>
      <c r="AZ613" s="1190"/>
      <c r="BA613" s="1190"/>
      <c r="BB613" s="1190"/>
      <c r="BC613" s="1190"/>
      <c r="BD613" s="1190"/>
      <c r="BE613" s="1190"/>
      <c r="BF613" s="1190"/>
      <c r="BG613" s="1190"/>
      <c r="BH613" s="1190"/>
      <c r="BI613" s="1190"/>
      <c r="BJ613" s="1190"/>
      <c r="BK613" s="1190"/>
      <c r="BL613" s="1190"/>
      <c r="BM613" s="1190"/>
      <c r="BN613" s="1190"/>
      <c r="BO613" s="1190"/>
    </row>
    <row r="614" spans="26:67">
      <c r="Z614" s="1190"/>
      <c r="AA614" s="1190"/>
      <c r="AB614" s="1190"/>
      <c r="AC614" s="1190"/>
      <c r="AD614" s="1190"/>
      <c r="AE614" s="1190"/>
      <c r="AF614" s="1190"/>
      <c r="AG614" s="1190"/>
      <c r="AH614" s="1190"/>
      <c r="AI614" s="1190"/>
      <c r="AJ614" s="1190"/>
      <c r="AK614" s="1190"/>
      <c r="AL614" s="1190"/>
      <c r="AM614" s="1190"/>
      <c r="AN614" s="1190"/>
      <c r="AO614" s="1190"/>
      <c r="AP614" s="1190"/>
      <c r="AQ614" s="1190"/>
      <c r="AR614" s="1190"/>
      <c r="AS614" s="1190"/>
      <c r="AT614" s="1190"/>
      <c r="AU614" s="1190"/>
      <c r="AV614" s="1190"/>
      <c r="AW614" s="1190"/>
      <c r="AX614" s="1190"/>
      <c r="AY614" s="1190"/>
      <c r="AZ614" s="1190"/>
      <c r="BA614" s="1190"/>
      <c r="BB614" s="1190"/>
      <c r="BC614" s="1190"/>
      <c r="BD614" s="1190"/>
      <c r="BE614" s="1190"/>
      <c r="BF614" s="1190"/>
      <c r="BG614" s="1190"/>
      <c r="BH614" s="1190"/>
      <c r="BI614" s="1190"/>
      <c r="BJ614" s="1190"/>
      <c r="BK614" s="1190"/>
      <c r="BL614" s="1190"/>
      <c r="BM614" s="1190"/>
      <c r="BN614" s="1190"/>
      <c r="BO614" s="1190"/>
    </row>
    <row r="615" spans="26:67">
      <c r="Z615" s="1190"/>
      <c r="AA615" s="1190"/>
      <c r="AB615" s="1190"/>
      <c r="AC615" s="1190"/>
      <c r="AD615" s="1190"/>
      <c r="AE615" s="1190"/>
      <c r="AF615" s="1190"/>
      <c r="AG615" s="1190"/>
      <c r="AH615" s="1190"/>
      <c r="AI615" s="1190"/>
      <c r="AJ615" s="1190"/>
      <c r="AK615" s="1190"/>
      <c r="AL615" s="1190"/>
      <c r="AM615" s="1190"/>
      <c r="AN615" s="1190"/>
      <c r="AO615" s="1190"/>
      <c r="AP615" s="1190"/>
      <c r="AQ615" s="1190"/>
      <c r="AR615" s="1190"/>
      <c r="AS615" s="1190"/>
      <c r="AT615" s="1190"/>
      <c r="AU615" s="1190"/>
      <c r="AV615" s="1190"/>
      <c r="AW615" s="1190"/>
      <c r="AX615" s="1190"/>
      <c r="AY615" s="1190"/>
      <c r="AZ615" s="1190"/>
      <c r="BA615" s="1190"/>
      <c r="BB615" s="1190"/>
      <c r="BC615" s="1190"/>
      <c r="BD615" s="1190"/>
      <c r="BE615" s="1190"/>
      <c r="BF615" s="1190"/>
      <c r="BG615" s="1190"/>
      <c r="BH615" s="1190"/>
      <c r="BI615" s="1190"/>
      <c r="BJ615" s="1190"/>
      <c r="BK615" s="1190"/>
      <c r="BL615" s="1190"/>
      <c r="BM615" s="1190"/>
      <c r="BN615" s="1190"/>
      <c r="BO615" s="1190"/>
    </row>
    <row r="616" spans="26:67">
      <c r="Z616" s="1190"/>
      <c r="AA616" s="1190"/>
      <c r="AB616" s="1190"/>
      <c r="AC616" s="1190"/>
      <c r="AD616" s="1190"/>
      <c r="AE616" s="1190"/>
      <c r="AF616" s="1190"/>
      <c r="AG616" s="1190"/>
      <c r="AH616" s="1190"/>
      <c r="AI616" s="1190"/>
      <c r="AJ616" s="1190"/>
      <c r="AK616" s="1190"/>
      <c r="AL616" s="1190"/>
      <c r="AM616" s="1190"/>
      <c r="AN616" s="1190"/>
      <c r="AO616" s="1190"/>
      <c r="AP616" s="1190"/>
      <c r="AQ616" s="1190"/>
      <c r="AR616" s="1190"/>
      <c r="AS616" s="1190"/>
      <c r="AT616" s="1190"/>
      <c r="AU616" s="1190"/>
      <c r="AV616" s="1190"/>
      <c r="AW616" s="1190"/>
      <c r="AX616" s="1190"/>
      <c r="AY616" s="1190"/>
      <c r="AZ616" s="1190"/>
      <c r="BA616" s="1190"/>
      <c r="BB616" s="1190"/>
      <c r="BC616" s="1190"/>
      <c r="BD616" s="1190"/>
      <c r="BE616" s="1190"/>
      <c r="BF616" s="1190"/>
      <c r="BG616" s="1190"/>
      <c r="BH616" s="1190"/>
      <c r="BI616" s="1190"/>
      <c r="BJ616" s="1190"/>
      <c r="BK616" s="1190"/>
      <c r="BL616" s="1190"/>
      <c r="BM616" s="1190"/>
      <c r="BN616" s="1190"/>
      <c r="BO616" s="1190"/>
    </row>
    <row r="617" spans="26:67">
      <c r="Z617" s="1190"/>
      <c r="AA617" s="1190"/>
      <c r="AB617" s="1190"/>
      <c r="AC617" s="1190"/>
      <c r="AD617" s="1190"/>
      <c r="AE617" s="1190"/>
      <c r="AF617" s="1190"/>
      <c r="AG617" s="1190"/>
      <c r="AH617" s="1190"/>
      <c r="AI617" s="1190"/>
      <c r="AJ617" s="1190"/>
      <c r="AK617" s="1190"/>
      <c r="AL617" s="1190"/>
      <c r="AM617" s="1190"/>
      <c r="AN617" s="1190"/>
      <c r="AO617" s="1190"/>
      <c r="AP617" s="1190"/>
      <c r="AQ617" s="1190"/>
      <c r="AR617" s="1190"/>
      <c r="AS617" s="1190"/>
      <c r="AT617" s="1190"/>
      <c r="AU617" s="1190"/>
      <c r="AV617" s="1190"/>
      <c r="AW617" s="1190"/>
      <c r="AX617" s="1190"/>
      <c r="AY617" s="1190"/>
      <c r="AZ617" s="1190"/>
      <c r="BA617" s="1190"/>
      <c r="BB617" s="1190"/>
      <c r="BC617" s="1190"/>
      <c r="BD617" s="1190"/>
      <c r="BE617" s="1190"/>
      <c r="BF617" s="1190"/>
      <c r="BG617" s="1190"/>
      <c r="BH617" s="1190"/>
      <c r="BI617" s="1190"/>
      <c r="BJ617" s="1190"/>
      <c r="BK617" s="1190"/>
      <c r="BL617" s="1190"/>
      <c r="BM617" s="1190"/>
      <c r="BN617" s="1190"/>
      <c r="BO617" s="1190"/>
    </row>
    <row r="618" spans="26:67">
      <c r="Z618" s="1190"/>
      <c r="AA618" s="1190"/>
      <c r="AB618" s="1190"/>
      <c r="AC618" s="1190"/>
      <c r="AD618" s="1190"/>
      <c r="AE618" s="1190"/>
      <c r="AF618" s="1190"/>
      <c r="AG618" s="1190"/>
      <c r="AH618" s="1190"/>
      <c r="AI618" s="1190"/>
      <c r="AJ618" s="1190"/>
      <c r="AK618" s="1190"/>
      <c r="AL618" s="1190"/>
      <c r="AM618" s="1190"/>
      <c r="AN618" s="1190"/>
      <c r="AO618" s="1190"/>
      <c r="AP618" s="1190"/>
      <c r="AQ618" s="1190"/>
      <c r="AR618" s="1190"/>
      <c r="AS618" s="1190"/>
      <c r="AT618" s="1190"/>
      <c r="AU618" s="1190"/>
      <c r="AV618" s="1190"/>
      <c r="AW618" s="1190"/>
      <c r="AX618" s="1190"/>
      <c r="AY618" s="1190"/>
      <c r="AZ618" s="1190"/>
      <c r="BA618" s="1190"/>
      <c r="BB618" s="1190"/>
      <c r="BC618" s="1190"/>
      <c r="BD618" s="1190"/>
      <c r="BE618" s="1190"/>
      <c r="BF618" s="1190"/>
      <c r="BG618" s="1190"/>
      <c r="BH618" s="1190"/>
      <c r="BI618" s="1190"/>
      <c r="BJ618" s="1190"/>
      <c r="BK618" s="1190"/>
      <c r="BL618" s="1190"/>
      <c r="BM618" s="1190"/>
      <c r="BN618" s="1190"/>
      <c r="BO618" s="1190"/>
    </row>
    <row r="619" spans="26:67">
      <c r="Z619" s="1190"/>
      <c r="AA619" s="1190"/>
      <c r="AB619" s="1190"/>
      <c r="AC619" s="1190"/>
      <c r="AD619" s="1190"/>
      <c r="AE619" s="1190"/>
      <c r="AF619" s="1190"/>
      <c r="AG619" s="1190"/>
      <c r="AH619" s="1190"/>
      <c r="AI619" s="1190"/>
      <c r="AJ619" s="1190"/>
      <c r="AK619" s="1190"/>
      <c r="AL619" s="1190"/>
      <c r="AM619" s="1190"/>
      <c r="AN619" s="1190"/>
      <c r="AO619" s="1190"/>
      <c r="AP619" s="1190"/>
      <c r="AQ619" s="1190"/>
      <c r="AR619" s="1190"/>
      <c r="AS619" s="1190"/>
      <c r="AT619" s="1190"/>
      <c r="AU619" s="1190"/>
      <c r="AV619" s="1190"/>
      <c r="AW619" s="1190"/>
      <c r="AX619" s="1190"/>
      <c r="AY619" s="1190"/>
      <c r="AZ619" s="1190"/>
      <c r="BA619" s="1190"/>
      <c r="BB619" s="1190"/>
      <c r="BC619" s="1190"/>
      <c r="BD619" s="1190"/>
      <c r="BE619" s="1190"/>
      <c r="BF619" s="1190"/>
      <c r="BG619" s="1190"/>
      <c r="BH619" s="1190"/>
      <c r="BI619" s="1190"/>
      <c r="BJ619" s="1190"/>
      <c r="BK619" s="1190"/>
      <c r="BL619" s="1190"/>
      <c r="BM619" s="1190"/>
      <c r="BN619" s="1190"/>
      <c r="BO619" s="1190"/>
    </row>
    <row r="620" spans="26:67">
      <c r="Z620" s="1190"/>
      <c r="AA620" s="1190"/>
      <c r="AB620" s="1190"/>
      <c r="AC620" s="1190"/>
      <c r="AD620" s="1190"/>
      <c r="AE620" s="1190"/>
      <c r="AF620" s="1190"/>
      <c r="AG620" s="1190"/>
      <c r="AH620" s="1190"/>
      <c r="AI620" s="1190"/>
      <c r="AJ620" s="1190"/>
      <c r="AK620" s="1190"/>
      <c r="AL620" s="1190"/>
      <c r="AM620" s="1190"/>
      <c r="AN620" s="1190"/>
      <c r="AO620" s="1190"/>
      <c r="AP620" s="1190"/>
      <c r="AQ620" s="1190"/>
      <c r="AR620" s="1190"/>
      <c r="AS620" s="1190"/>
      <c r="AT620" s="1190"/>
      <c r="AU620" s="1190"/>
      <c r="AV620" s="1190"/>
      <c r="AW620" s="1190"/>
      <c r="AX620" s="1190"/>
      <c r="AY620" s="1190"/>
      <c r="AZ620" s="1190"/>
      <c r="BA620" s="1190"/>
      <c r="BB620" s="1190"/>
      <c r="BC620" s="1190"/>
      <c r="BD620" s="1190"/>
      <c r="BE620" s="1190"/>
      <c r="BF620" s="1190"/>
      <c r="BG620" s="1190"/>
      <c r="BH620" s="1190"/>
      <c r="BI620" s="1190"/>
      <c r="BJ620" s="1190"/>
      <c r="BK620" s="1190"/>
      <c r="BL620" s="1190"/>
      <c r="BM620" s="1190"/>
      <c r="BN620" s="1190"/>
      <c r="BO620" s="1190"/>
    </row>
    <row r="621" spans="26:67">
      <c r="Z621" s="1190"/>
      <c r="AA621" s="1190"/>
      <c r="AB621" s="1190"/>
      <c r="AC621" s="1190"/>
      <c r="AD621" s="1190"/>
      <c r="AE621" s="1190"/>
      <c r="AF621" s="1190"/>
      <c r="AG621" s="1190"/>
      <c r="AH621" s="1190"/>
      <c r="AI621" s="1190"/>
      <c r="AJ621" s="1190"/>
      <c r="AK621" s="1190"/>
      <c r="AL621" s="1190"/>
      <c r="AM621" s="1190"/>
      <c r="AN621" s="1190"/>
      <c r="AO621" s="1190"/>
      <c r="AP621" s="1190"/>
      <c r="AQ621" s="1190"/>
      <c r="AR621" s="1190"/>
      <c r="AS621" s="1190"/>
      <c r="AT621" s="1190"/>
      <c r="AU621" s="1190"/>
      <c r="AV621" s="1190"/>
      <c r="AW621" s="1190"/>
      <c r="AX621" s="1190"/>
      <c r="AY621" s="1190"/>
      <c r="AZ621" s="1190"/>
      <c r="BA621" s="1190"/>
      <c r="BB621" s="1190"/>
      <c r="BC621" s="1190"/>
      <c r="BD621" s="1190"/>
      <c r="BE621" s="1190"/>
      <c r="BF621" s="1190"/>
      <c r="BG621" s="1190"/>
      <c r="BH621" s="1190"/>
      <c r="BI621" s="1190"/>
      <c r="BJ621" s="1190"/>
      <c r="BK621" s="1190"/>
      <c r="BL621" s="1190"/>
      <c r="BM621" s="1190"/>
      <c r="BN621" s="1190"/>
      <c r="BO621" s="1190"/>
    </row>
    <row r="622" spans="26:67">
      <c r="Z622" s="1190"/>
      <c r="AA622" s="1190"/>
      <c r="AB622" s="1190"/>
      <c r="AC622" s="1190"/>
      <c r="AD622" s="1190"/>
      <c r="AE622" s="1190"/>
      <c r="AF622" s="1190"/>
      <c r="AG622" s="1190"/>
      <c r="AH622" s="1190"/>
      <c r="AI622" s="1190"/>
      <c r="AJ622" s="1190"/>
      <c r="AK622" s="1190"/>
      <c r="AL622" s="1190"/>
      <c r="AM622" s="1190"/>
      <c r="AN622" s="1190"/>
      <c r="AO622" s="1190"/>
      <c r="AP622" s="1190"/>
      <c r="AQ622" s="1190"/>
      <c r="AR622" s="1190"/>
      <c r="AS622" s="1190"/>
      <c r="AT622" s="1190"/>
      <c r="AU622" s="1190"/>
      <c r="AV622" s="1190"/>
      <c r="AW622" s="1190"/>
      <c r="AX622" s="1190"/>
      <c r="AY622" s="1190"/>
      <c r="AZ622" s="1190"/>
      <c r="BA622" s="1190"/>
      <c r="BB622" s="1190"/>
      <c r="BC622" s="1190"/>
      <c r="BD622" s="1190"/>
      <c r="BE622" s="1190"/>
      <c r="BF622" s="1190"/>
      <c r="BG622" s="1190"/>
      <c r="BH622" s="1190"/>
      <c r="BI622" s="1190"/>
      <c r="BJ622" s="1190"/>
      <c r="BK622" s="1190"/>
      <c r="BL622" s="1190"/>
      <c r="BM622" s="1190"/>
      <c r="BN622" s="1190"/>
      <c r="BO622" s="1190"/>
    </row>
    <row r="623" spans="26:67">
      <c r="Z623" s="1190"/>
      <c r="AA623" s="1190"/>
      <c r="AB623" s="1190"/>
      <c r="AC623" s="1190"/>
      <c r="AD623" s="1190"/>
      <c r="AE623" s="1190"/>
      <c r="AF623" s="1190"/>
      <c r="AG623" s="1190"/>
      <c r="AH623" s="1190"/>
      <c r="AI623" s="1190"/>
      <c r="AJ623" s="1190"/>
      <c r="AK623" s="1190"/>
      <c r="AL623" s="1190"/>
      <c r="AM623" s="1190"/>
      <c r="AN623" s="1190"/>
      <c r="AO623" s="1190"/>
      <c r="AP623" s="1190"/>
      <c r="AQ623" s="1190"/>
      <c r="AR623" s="1190"/>
      <c r="AS623" s="1190"/>
      <c r="AT623" s="1190"/>
      <c r="AU623" s="1190"/>
      <c r="AV623" s="1190"/>
      <c r="AW623" s="1190"/>
      <c r="AX623" s="1190"/>
      <c r="AY623" s="1190"/>
      <c r="AZ623" s="1190"/>
      <c r="BA623" s="1190"/>
      <c r="BB623" s="1190"/>
      <c r="BC623" s="1190"/>
      <c r="BD623" s="1190"/>
      <c r="BE623" s="1190"/>
      <c r="BF623" s="1190"/>
      <c r="BG623" s="1190"/>
      <c r="BH623" s="1190"/>
      <c r="BI623" s="1190"/>
      <c r="BJ623" s="1190"/>
      <c r="BK623" s="1190"/>
      <c r="BL623" s="1190"/>
      <c r="BM623" s="1190"/>
      <c r="BN623" s="1190"/>
      <c r="BO623" s="1190"/>
    </row>
    <row r="624" spans="26:67">
      <c r="Z624" s="1190"/>
      <c r="AA624" s="1190"/>
      <c r="AB624" s="1190"/>
      <c r="AC624" s="1190"/>
      <c r="AD624" s="1190"/>
      <c r="AE624" s="1190"/>
      <c r="AF624" s="1190"/>
      <c r="AG624" s="1190"/>
      <c r="AH624" s="1190"/>
      <c r="AI624" s="1190"/>
      <c r="AJ624" s="1190"/>
      <c r="AK624" s="1190"/>
      <c r="AL624" s="1190"/>
      <c r="AM624" s="1190"/>
      <c r="AN624" s="1190"/>
      <c r="AO624" s="1190"/>
      <c r="AP624" s="1190"/>
      <c r="AQ624" s="1190"/>
      <c r="AR624" s="1190"/>
      <c r="AS624" s="1190"/>
      <c r="AT624" s="1190"/>
      <c r="AU624" s="1190"/>
      <c r="AV624" s="1190"/>
      <c r="AW624" s="1190"/>
      <c r="AX624" s="1190"/>
      <c r="AY624" s="1190"/>
      <c r="AZ624" s="1190"/>
      <c r="BA624" s="1190"/>
      <c r="BB624" s="1190"/>
      <c r="BC624" s="1190"/>
      <c r="BD624" s="1190"/>
      <c r="BE624" s="1190"/>
      <c r="BF624" s="1190"/>
      <c r="BG624" s="1190"/>
      <c r="BH624" s="1190"/>
      <c r="BI624" s="1190"/>
      <c r="BJ624" s="1190"/>
      <c r="BK624" s="1190"/>
      <c r="BL624" s="1190"/>
      <c r="BM624" s="1190"/>
      <c r="BN624" s="1190"/>
      <c r="BO624" s="1190"/>
    </row>
    <row r="625" spans="26:67">
      <c r="Z625" s="1190"/>
      <c r="AA625" s="1190"/>
      <c r="AB625" s="1190"/>
      <c r="AC625" s="1190"/>
      <c r="AD625" s="1190"/>
      <c r="AE625" s="1190"/>
      <c r="AF625" s="1190"/>
      <c r="AG625" s="1190"/>
      <c r="AH625" s="1190"/>
      <c r="AI625" s="1190"/>
      <c r="AJ625" s="1190"/>
      <c r="AK625" s="1190"/>
      <c r="AL625" s="1190"/>
      <c r="AM625" s="1190"/>
      <c r="AN625" s="1190"/>
      <c r="AO625" s="1190"/>
      <c r="AP625" s="1190"/>
      <c r="AQ625" s="1190"/>
      <c r="AR625" s="1190"/>
      <c r="AS625" s="1190"/>
      <c r="AT625" s="1190"/>
      <c r="AU625" s="1190"/>
      <c r="AV625" s="1190"/>
      <c r="AW625" s="1190"/>
      <c r="AX625" s="1190"/>
      <c r="AY625" s="1190"/>
      <c r="AZ625" s="1190"/>
      <c r="BA625" s="1190"/>
      <c r="BB625" s="1190"/>
      <c r="BC625" s="1190"/>
      <c r="BD625" s="1190"/>
      <c r="BE625" s="1190"/>
      <c r="BF625" s="1190"/>
      <c r="BG625" s="1190"/>
      <c r="BH625" s="1190"/>
      <c r="BI625" s="1190"/>
      <c r="BJ625" s="1190"/>
      <c r="BK625" s="1190"/>
      <c r="BL625" s="1190"/>
      <c r="BM625" s="1190"/>
      <c r="BN625" s="1190"/>
      <c r="BO625" s="1190"/>
    </row>
    <row r="626" spans="26:67">
      <c r="Z626" s="1190"/>
      <c r="AA626" s="1190"/>
      <c r="AB626" s="1190"/>
      <c r="AC626" s="1190"/>
      <c r="AD626" s="1190"/>
      <c r="AE626" s="1190"/>
      <c r="AF626" s="1190"/>
      <c r="AG626" s="1190"/>
      <c r="AH626" s="1190"/>
      <c r="AI626" s="1190"/>
      <c r="AJ626" s="1190"/>
      <c r="AK626" s="1190"/>
      <c r="AL626" s="1190"/>
      <c r="AM626" s="1190"/>
      <c r="AN626" s="1190"/>
      <c r="AO626" s="1190"/>
      <c r="AP626" s="1190"/>
      <c r="AQ626" s="1190"/>
      <c r="AR626" s="1190"/>
      <c r="AS626" s="1190"/>
      <c r="AT626" s="1190"/>
      <c r="AU626" s="1190"/>
      <c r="AV626" s="1190"/>
      <c r="AW626" s="1190"/>
      <c r="AX626" s="1190"/>
      <c r="AY626" s="1190"/>
      <c r="AZ626" s="1190"/>
      <c r="BA626" s="1190"/>
      <c r="BB626" s="1190"/>
      <c r="BC626" s="1190"/>
      <c r="BD626" s="1190"/>
      <c r="BE626" s="1190"/>
      <c r="BF626" s="1190"/>
      <c r="BG626" s="1190"/>
      <c r="BH626" s="1190"/>
      <c r="BI626" s="1190"/>
      <c r="BJ626" s="1190"/>
      <c r="BK626" s="1190"/>
      <c r="BL626" s="1190"/>
      <c r="BM626" s="1190"/>
      <c r="BN626" s="1190"/>
      <c r="BO626" s="1190"/>
    </row>
    <row r="627" spans="26:67">
      <c r="Z627" s="1190"/>
      <c r="AA627" s="1190"/>
      <c r="AB627" s="1190"/>
      <c r="AC627" s="1190"/>
      <c r="AD627" s="1190"/>
      <c r="AE627" s="1190"/>
      <c r="AF627" s="1190"/>
      <c r="AG627" s="1190"/>
      <c r="AH627" s="1190"/>
      <c r="AI627" s="1190"/>
      <c r="AJ627" s="1190"/>
      <c r="AK627" s="1190"/>
      <c r="AL627" s="1190"/>
      <c r="AM627" s="1190"/>
      <c r="AN627" s="1190"/>
      <c r="AO627" s="1190"/>
      <c r="AP627" s="1190"/>
      <c r="AQ627" s="1190"/>
      <c r="AR627" s="1190"/>
      <c r="AS627" s="1190"/>
      <c r="AT627" s="1190"/>
      <c r="AU627" s="1190"/>
      <c r="AV627" s="1190"/>
      <c r="AW627" s="1190"/>
      <c r="AX627" s="1190"/>
      <c r="AY627" s="1190"/>
      <c r="AZ627" s="1190"/>
      <c r="BA627" s="1190"/>
      <c r="BB627" s="1190"/>
      <c r="BC627" s="1190"/>
      <c r="BD627" s="1190"/>
      <c r="BE627" s="1190"/>
      <c r="BF627" s="1190"/>
      <c r="BG627" s="1190"/>
      <c r="BH627" s="1190"/>
      <c r="BI627" s="1190"/>
      <c r="BJ627" s="1190"/>
      <c r="BK627" s="1190"/>
      <c r="BL627" s="1190"/>
      <c r="BM627" s="1190"/>
      <c r="BN627" s="1190"/>
      <c r="BO627" s="1190"/>
    </row>
    <row r="628" spans="26:67">
      <c r="Z628" s="1190"/>
      <c r="AA628" s="1190"/>
      <c r="AB628" s="1190"/>
      <c r="AC628" s="1190"/>
      <c r="AD628" s="1190"/>
      <c r="AE628" s="1190"/>
      <c r="AF628" s="1190"/>
      <c r="AG628" s="1190"/>
      <c r="AH628" s="1190"/>
      <c r="AI628" s="1190"/>
      <c r="AJ628" s="1190"/>
      <c r="AK628" s="1190"/>
      <c r="AL628" s="1190"/>
      <c r="AM628" s="1190"/>
      <c r="AN628" s="1190"/>
      <c r="AO628" s="1190"/>
      <c r="AP628" s="1190"/>
      <c r="AQ628" s="1190"/>
      <c r="AR628" s="1190"/>
      <c r="AS628" s="1190"/>
      <c r="AT628" s="1190"/>
      <c r="AU628" s="1190"/>
      <c r="AV628" s="1190"/>
      <c r="AW628" s="1190"/>
      <c r="AX628" s="1190"/>
      <c r="AY628" s="1190"/>
      <c r="AZ628" s="1190"/>
      <c r="BA628" s="1190"/>
      <c r="BB628" s="1190"/>
      <c r="BC628" s="1190"/>
      <c r="BD628" s="1190"/>
      <c r="BE628" s="1190"/>
      <c r="BF628" s="1190"/>
      <c r="BG628" s="1190"/>
      <c r="BH628" s="1190"/>
      <c r="BI628" s="1190"/>
      <c r="BJ628" s="1190"/>
      <c r="BK628" s="1190"/>
      <c r="BL628" s="1190"/>
      <c r="BM628" s="1190"/>
      <c r="BN628" s="1190"/>
      <c r="BO628" s="1190"/>
    </row>
    <row r="629" spans="26:67">
      <c r="Z629" s="1190"/>
      <c r="AA629" s="1190"/>
      <c r="AB629" s="1190"/>
      <c r="AC629" s="1190"/>
      <c r="AD629" s="1190"/>
      <c r="AE629" s="1190"/>
      <c r="AF629" s="1190"/>
      <c r="AG629" s="1190"/>
      <c r="AH629" s="1190"/>
      <c r="AI629" s="1190"/>
      <c r="AJ629" s="1190"/>
      <c r="AK629" s="1190"/>
      <c r="AL629" s="1190"/>
      <c r="AM629" s="1190"/>
      <c r="AN629" s="1190"/>
      <c r="AO629" s="1190"/>
      <c r="AP629" s="1190"/>
      <c r="AQ629" s="1190"/>
      <c r="AR629" s="1190"/>
      <c r="AS629" s="1190"/>
      <c r="AT629" s="1190"/>
      <c r="AU629" s="1190"/>
      <c r="AV629" s="1190"/>
      <c r="AW629" s="1190"/>
      <c r="AX629" s="1190"/>
      <c r="AY629" s="1190"/>
      <c r="AZ629" s="1190"/>
      <c r="BA629" s="1190"/>
      <c r="BB629" s="1190"/>
      <c r="BC629" s="1190"/>
      <c r="BD629" s="1190"/>
      <c r="BE629" s="1190"/>
      <c r="BF629" s="1190"/>
      <c r="BG629" s="1190"/>
      <c r="BH629" s="1190"/>
      <c r="BI629" s="1190"/>
      <c r="BJ629" s="1190"/>
      <c r="BK629" s="1190"/>
      <c r="BL629" s="1190"/>
      <c r="BM629" s="1190"/>
      <c r="BN629" s="1190"/>
      <c r="BO629" s="1190"/>
    </row>
    <row r="630" spans="26:67">
      <c r="Z630" s="1190"/>
      <c r="AA630" s="1190"/>
      <c r="AB630" s="1190"/>
      <c r="AC630" s="1190"/>
      <c r="AD630" s="1190"/>
      <c r="AE630" s="1190"/>
      <c r="AF630" s="1190"/>
      <c r="AG630" s="1190"/>
      <c r="AH630" s="1190"/>
      <c r="AI630" s="1190"/>
      <c r="AJ630" s="1190"/>
      <c r="AK630" s="1190"/>
      <c r="AL630" s="1190"/>
      <c r="AM630" s="1190"/>
      <c r="AN630" s="1190"/>
      <c r="AO630" s="1190"/>
      <c r="AP630" s="1190"/>
      <c r="AQ630" s="1190"/>
      <c r="AR630" s="1190"/>
      <c r="AS630" s="1190"/>
      <c r="AT630" s="1190"/>
      <c r="AU630" s="1190"/>
      <c r="AV630" s="1190"/>
      <c r="AW630" s="1190"/>
      <c r="AX630" s="1190"/>
      <c r="AY630" s="1190"/>
      <c r="AZ630" s="1190"/>
      <c r="BA630" s="1190"/>
      <c r="BB630" s="1190"/>
      <c r="BC630" s="1190"/>
      <c r="BD630" s="1190"/>
      <c r="BE630" s="1190"/>
      <c r="BF630" s="1190"/>
      <c r="BG630" s="1190"/>
      <c r="BH630" s="1190"/>
      <c r="BI630" s="1190"/>
      <c r="BJ630" s="1190"/>
      <c r="BK630" s="1190"/>
      <c r="BL630" s="1190"/>
      <c r="BM630" s="1190"/>
      <c r="BN630" s="1190"/>
      <c r="BO630" s="1190"/>
    </row>
    <row r="631" spans="26:67">
      <c r="Z631" s="1190"/>
      <c r="AA631" s="1190"/>
      <c r="AB631" s="1190"/>
      <c r="AC631" s="1190"/>
      <c r="AD631" s="1190"/>
      <c r="AE631" s="1190"/>
      <c r="AF631" s="1190"/>
      <c r="AG631" s="1190"/>
      <c r="AH631" s="1190"/>
      <c r="AI631" s="1190"/>
      <c r="AJ631" s="1190"/>
      <c r="AK631" s="1190"/>
      <c r="AL631" s="1190"/>
      <c r="AM631" s="1190"/>
      <c r="AN631" s="1190"/>
      <c r="AO631" s="1190"/>
      <c r="AP631" s="1190"/>
      <c r="AQ631" s="1190"/>
      <c r="AR631" s="1190"/>
      <c r="AS631" s="1190"/>
      <c r="AT631" s="1190"/>
      <c r="AU631" s="1190"/>
      <c r="AV631" s="1190"/>
      <c r="AW631" s="1190"/>
      <c r="AX631" s="1190"/>
      <c r="AY631" s="1190"/>
      <c r="AZ631" s="1190"/>
      <c r="BA631" s="1190"/>
      <c r="BB631" s="1190"/>
      <c r="BC631" s="1190"/>
      <c r="BD631" s="1190"/>
      <c r="BE631" s="1190"/>
      <c r="BF631" s="1190"/>
      <c r="BG631" s="1190"/>
      <c r="BH631" s="1190"/>
      <c r="BI631" s="1190"/>
      <c r="BJ631" s="1190"/>
      <c r="BK631" s="1190"/>
      <c r="BL631" s="1190"/>
      <c r="BM631" s="1190"/>
      <c r="BN631" s="1190"/>
      <c r="BO631" s="1190"/>
    </row>
    <row r="632" spans="26:67">
      <c r="Z632" s="1190"/>
      <c r="AA632" s="1190"/>
      <c r="AB632" s="1190"/>
      <c r="AC632" s="1190"/>
      <c r="AD632" s="1190"/>
      <c r="AE632" s="1190"/>
      <c r="AF632" s="1190"/>
      <c r="AG632" s="1190"/>
      <c r="AH632" s="1190"/>
      <c r="AI632" s="1190"/>
      <c r="AJ632" s="1190"/>
      <c r="AK632" s="1190"/>
      <c r="AL632" s="1190"/>
      <c r="AM632" s="1190"/>
      <c r="AN632" s="1190"/>
      <c r="AO632" s="1190"/>
      <c r="AP632" s="1190"/>
      <c r="AQ632" s="1190"/>
      <c r="AR632" s="1190"/>
      <c r="AS632" s="1190"/>
      <c r="AT632" s="1190"/>
      <c r="AU632" s="1190"/>
      <c r="AV632" s="1190"/>
      <c r="AW632" s="1190"/>
      <c r="AX632" s="1190"/>
      <c r="AY632" s="1190"/>
      <c r="AZ632" s="1190"/>
      <c r="BA632" s="1190"/>
      <c r="BB632" s="1190"/>
      <c r="BC632" s="1190"/>
      <c r="BD632" s="1190"/>
      <c r="BE632" s="1190"/>
      <c r="BF632" s="1190"/>
      <c r="BG632" s="1190"/>
      <c r="BH632" s="1190"/>
      <c r="BI632" s="1190"/>
      <c r="BJ632" s="1190"/>
      <c r="BK632" s="1190"/>
      <c r="BL632" s="1190"/>
      <c r="BM632" s="1190"/>
      <c r="BN632" s="1190"/>
      <c r="BO632" s="1190"/>
    </row>
    <row r="633" spans="26:67">
      <c r="Z633" s="1190"/>
      <c r="AA633" s="1190"/>
      <c r="AB633" s="1190"/>
      <c r="AC633" s="1190"/>
      <c r="AD633" s="1190"/>
      <c r="AE633" s="1190"/>
      <c r="AF633" s="1190"/>
      <c r="AG633" s="1190"/>
      <c r="AH633" s="1190"/>
      <c r="AI633" s="1190"/>
      <c r="AJ633" s="1190"/>
      <c r="AK633" s="1190"/>
      <c r="AL633" s="1190"/>
      <c r="AM633" s="1190"/>
      <c r="AN633" s="1190"/>
      <c r="AO633" s="1190"/>
      <c r="AP633" s="1190"/>
      <c r="AQ633" s="1190"/>
      <c r="AR633" s="1190"/>
      <c r="AS633" s="1190"/>
      <c r="AT633" s="1190"/>
      <c r="AU633" s="1190"/>
      <c r="AV633" s="1190"/>
      <c r="AW633" s="1190"/>
      <c r="AX633" s="1190"/>
      <c r="AY633" s="1190"/>
      <c r="AZ633" s="1190"/>
      <c r="BA633" s="1190"/>
      <c r="BB633" s="1190"/>
      <c r="BC633" s="1190"/>
      <c r="BD633" s="1190"/>
      <c r="BE633" s="1190"/>
      <c r="BF633" s="1190"/>
      <c r="BG633" s="1190"/>
      <c r="BH633" s="1190"/>
      <c r="BI633" s="1190"/>
      <c r="BJ633" s="1190"/>
      <c r="BK633" s="1190"/>
      <c r="BL633" s="1190"/>
      <c r="BM633" s="1190"/>
      <c r="BN633" s="1190"/>
      <c r="BO633" s="1190"/>
    </row>
    <row r="634" spans="26:67">
      <c r="Z634" s="1190"/>
      <c r="AA634" s="1190"/>
      <c r="AB634" s="1190"/>
      <c r="AC634" s="1190"/>
      <c r="AD634" s="1190"/>
      <c r="AE634" s="1190"/>
      <c r="AF634" s="1190"/>
      <c r="AG634" s="1190"/>
      <c r="AH634" s="1190"/>
      <c r="AI634" s="1190"/>
      <c r="AJ634" s="1190"/>
      <c r="AK634" s="1190"/>
      <c r="AL634" s="1190"/>
      <c r="AM634" s="1190"/>
      <c r="AN634" s="1190"/>
      <c r="AO634" s="1190"/>
      <c r="AP634" s="1190"/>
      <c r="AQ634" s="1190"/>
      <c r="AR634" s="1190"/>
      <c r="AS634" s="1190"/>
      <c r="AT634" s="1190"/>
      <c r="AU634" s="1190"/>
      <c r="AV634" s="1190"/>
      <c r="AW634" s="1190"/>
      <c r="AX634" s="1190"/>
      <c r="AY634" s="1190"/>
      <c r="AZ634" s="1190"/>
      <c r="BA634" s="1190"/>
      <c r="BB634" s="1190"/>
      <c r="BC634" s="1190"/>
      <c r="BD634" s="1190"/>
      <c r="BE634" s="1190"/>
      <c r="BF634" s="1190"/>
      <c r="BG634" s="1190"/>
      <c r="BH634" s="1190"/>
      <c r="BI634" s="1190"/>
      <c r="BJ634" s="1190"/>
      <c r="BK634" s="1190"/>
      <c r="BL634" s="1190"/>
      <c r="BM634" s="1190"/>
      <c r="BN634" s="1190"/>
      <c r="BO634" s="1190"/>
    </row>
    <row r="635" spans="26:67">
      <c r="Z635" s="1190"/>
      <c r="AA635" s="1190"/>
      <c r="AB635" s="1190"/>
      <c r="AC635" s="1190"/>
      <c r="AD635" s="1190"/>
      <c r="AE635" s="1190"/>
      <c r="AF635" s="1190"/>
      <c r="AG635" s="1190"/>
      <c r="AH635" s="1190"/>
      <c r="AI635" s="1190"/>
      <c r="AJ635" s="1190"/>
      <c r="AK635" s="1190"/>
      <c r="AL635" s="1190"/>
      <c r="AM635" s="1190"/>
      <c r="AN635" s="1190"/>
      <c r="AO635" s="1190"/>
      <c r="AP635" s="1190"/>
      <c r="AQ635" s="1190"/>
      <c r="AR635" s="1190"/>
      <c r="AS635" s="1190"/>
      <c r="AT635" s="1190"/>
      <c r="AU635" s="1190"/>
      <c r="AV635" s="1190"/>
      <c r="AW635" s="1190"/>
      <c r="AX635" s="1190"/>
      <c r="AY635" s="1190"/>
      <c r="AZ635" s="1190"/>
      <c r="BA635" s="1190"/>
      <c r="BB635" s="1190"/>
      <c r="BC635" s="1190"/>
      <c r="BD635" s="1190"/>
      <c r="BE635" s="1190"/>
      <c r="BF635" s="1190"/>
      <c r="BG635" s="1190"/>
      <c r="BH635" s="1190"/>
      <c r="BI635" s="1190"/>
      <c r="BJ635" s="1190"/>
      <c r="BK635" s="1190"/>
      <c r="BL635" s="1190"/>
      <c r="BM635" s="1190"/>
      <c r="BN635" s="1190"/>
      <c r="BO635" s="1190"/>
    </row>
    <row r="636" spans="26:67">
      <c r="Z636" s="1190"/>
      <c r="AA636" s="1190"/>
      <c r="AB636" s="1190"/>
      <c r="AC636" s="1190"/>
      <c r="AD636" s="1190"/>
      <c r="AE636" s="1190"/>
      <c r="AF636" s="1190"/>
      <c r="AG636" s="1190"/>
      <c r="AH636" s="1190"/>
      <c r="AI636" s="1190"/>
      <c r="AJ636" s="1190"/>
      <c r="AK636" s="1190"/>
      <c r="AL636" s="1190"/>
      <c r="AM636" s="1190"/>
      <c r="AN636" s="1190"/>
      <c r="AO636" s="1190"/>
      <c r="AP636" s="1190"/>
      <c r="AQ636" s="1190"/>
      <c r="AR636" s="1190"/>
      <c r="AS636" s="1190"/>
      <c r="AT636" s="1190"/>
      <c r="AU636" s="1190"/>
      <c r="AV636" s="1190"/>
      <c r="AW636" s="1190"/>
      <c r="AX636" s="1190"/>
      <c r="AY636" s="1190"/>
      <c r="AZ636" s="1190"/>
      <c r="BA636" s="1190"/>
      <c r="BB636" s="1190"/>
      <c r="BC636" s="1190"/>
      <c r="BD636" s="1190"/>
      <c r="BE636" s="1190"/>
      <c r="BF636" s="1190"/>
      <c r="BG636" s="1190"/>
      <c r="BH636" s="1190"/>
      <c r="BI636" s="1190"/>
      <c r="BJ636" s="1190"/>
      <c r="BK636" s="1190"/>
      <c r="BL636" s="1190"/>
      <c r="BM636" s="1190"/>
      <c r="BN636" s="1190"/>
      <c r="BO636" s="1190"/>
    </row>
    <row r="637" spans="26:67">
      <c r="Z637" s="1190"/>
      <c r="AA637" s="1190"/>
      <c r="AB637" s="1190"/>
      <c r="AC637" s="1190"/>
      <c r="AD637" s="1190"/>
      <c r="AE637" s="1190"/>
      <c r="AF637" s="1190"/>
      <c r="AG637" s="1190"/>
      <c r="AH637" s="1190"/>
      <c r="AI637" s="1190"/>
      <c r="AJ637" s="1190"/>
      <c r="AK637" s="1190"/>
      <c r="AL637" s="1190"/>
      <c r="AM637" s="1190"/>
      <c r="AN637" s="1190"/>
      <c r="AO637" s="1190"/>
      <c r="AP637" s="1190"/>
      <c r="AQ637" s="1190"/>
      <c r="AR637" s="1190"/>
      <c r="AS637" s="1190"/>
      <c r="AT637" s="1190"/>
      <c r="AU637" s="1190"/>
      <c r="AV637" s="1190"/>
      <c r="AW637" s="1190"/>
      <c r="AX637" s="1190"/>
      <c r="AY637" s="1190"/>
      <c r="AZ637" s="1190"/>
      <c r="BA637" s="1190"/>
      <c r="BB637" s="1190"/>
      <c r="BC637" s="1190"/>
      <c r="BD637" s="1190"/>
      <c r="BE637" s="1190"/>
      <c r="BF637" s="1190"/>
      <c r="BG637" s="1190"/>
      <c r="BH637" s="1190"/>
      <c r="BI637" s="1190"/>
      <c r="BJ637" s="1190"/>
      <c r="BK637" s="1190"/>
      <c r="BL637" s="1190"/>
      <c r="BM637" s="1190"/>
      <c r="BN637" s="1190"/>
      <c r="BO637" s="1190"/>
    </row>
    <row r="638" spans="26:67">
      <c r="Z638" s="1190"/>
      <c r="AA638" s="1190"/>
      <c r="AB638" s="1190"/>
      <c r="AC638" s="1190"/>
      <c r="AD638" s="1190"/>
      <c r="AE638" s="1190"/>
      <c r="AF638" s="1190"/>
      <c r="AG638" s="1190"/>
      <c r="AH638" s="1190"/>
      <c r="AI638" s="1190"/>
      <c r="AJ638" s="1190"/>
      <c r="AK638" s="1190"/>
      <c r="AL638" s="1190"/>
      <c r="AM638" s="1190"/>
      <c r="AN638" s="1190"/>
      <c r="AO638" s="1190"/>
      <c r="AP638" s="1190"/>
      <c r="AQ638" s="1190"/>
      <c r="AR638" s="1190"/>
      <c r="AS638" s="1190"/>
      <c r="AT638" s="1190"/>
      <c r="AU638" s="1190"/>
      <c r="AV638" s="1190"/>
      <c r="AW638" s="1190"/>
      <c r="AX638" s="1190"/>
      <c r="AY638" s="1190"/>
      <c r="AZ638" s="1190"/>
      <c r="BA638" s="1190"/>
      <c r="BB638" s="1190"/>
      <c r="BC638" s="1190"/>
      <c r="BD638" s="1190"/>
      <c r="BE638" s="1190"/>
      <c r="BF638" s="1190"/>
      <c r="BG638" s="1190"/>
      <c r="BH638" s="1190"/>
      <c r="BI638" s="1190"/>
      <c r="BJ638" s="1190"/>
      <c r="BK638" s="1190"/>
      <c r="BL638" s="1190"/>
      <c r="BM638" s="1190"/>
      <c r="BN638" s="1190"/>
      <c r="BO638" s="1190"/>
    </row>
    <row r="639" spans="26:67">
      <c r="Z639" s="1190"/>
      <c r="AA639" s="1190"/>
      <c r="AB639" s="1190"/>
      <c r="AC639" s="1190"/>
      <c r="AD639" s="1190"/>
      <c r="AE639" s="1190"/>
      <c r="AF639" s="1190"/>
      <c r="AG639" s="1190"/>
      <c r="AH639" s="1190"/>
      <c r="AI639" s="1190"/>
      <c r="AJ639" s="1190"/>
      <c r="AK639" s="1190"/>
      <c r="AL639" s="1190"/>
      <c r="AM639" s="1190"/>
      <c r="AN639" s="1190"/>
      <c r="AO639" s="1190"/>
      <c r="AP639" s="1190"/>
      <c r="AQ639" s="1190"/>
      <c r="AR639" s="1190"/>
      <c r="AS639" s="1190"/>
      <c r="AT639" s="1190"/>
      <c r="AU639" s="1190"/>
      <c r="AV639" s="1190"/>
      <c r="AW639" s="1190"/>
      <c r="AX639" s="1190"/>
      <c r="AY639" s="1190"/>
      <c r="AZ639" s="1190"/>
      <c r="BA639" s="1190"/>
      <c r="BB639" s="1190"/>
      <c r="BC639" s="1190"/>
      <c r="BD639" s="1190"/>
      <c r="BE639" s="1190"/>
      <c r="BF639" s="1190"/>
      <c r="BG639" s="1190"/>
      <c r="BH639" s="1190"/>
      <c r="BI639" s="1190"/>
      <c r="BJ639" s="1190"/>
      <c r="BK639" s="1190"/>
      <c r="BL639" s="1190"/>
      <c r="BM639" s="1190"/>
      <c r="BN639" s="1190"/>
      <c r="BO639" s="1190"/>
    </row>
    <row r="640" spans="26:67">
      <c r="Z640" s="1190"/>
      <c r="AA640" s="1190"/>
      <c r="AB640" s="1190"/>
      <c r="AC640" s="1190"/>
      <c r="AD640" s="1190"/>
      <c r="AE640" s="1190"/>
      <c r="AF640" s="1190"/>
      <c r="AG640" s="1190"/>
      <c r="AH640" s="1190"/>
      <c r="AI640" s="1190"/>
      <c r="AJ640" s="1190"/>
      <c r="AK640" s="1190"/>
      <c r="AL640" s="1190"/>
      <c r="AM640" s="1190"/>
      <c r="AN640" s="1190"/>
      <c r="AO640" s="1190"/>
      <c r="AP640" s="1190"/>
      <c r="AQ640" s="1190"/>
      <c r="AR640" s="1190"/>
      <c r="AS640" s="1190"/>
      <c r="AT640" s="1190"/>
      <c r="AU640" s="1190"/>
      <c r="AV640" s="1190"/>
      <c r="AW640" s="1190"/>
      <c r="AX640" s="1190"/>
      <c r="AY640" s="1190"/>
      <c r="AZ640" s="1190"/>
      <c r="BA640" s="1190"/>
      <c r="BB640" s="1190"/>
      <c r="BC640" s="1190"/>
      <c r="BD640" s="1190"/>
      <c r="BE640" s="1190"/>
      <c r="BF640" s="1190"/>
      <c r="BG640" s="1190"/>
      <c r="BH640" s="1190"/>
      <c r="BI640" s="1190"/>
      <c r="BJ640" s="1190"/>
      <c r="BK640" s="1190"/>
      <c r="BL640" s="1190"/>
      <c r="BM640" s="1190"/>
      <c r="BN640" s="1190"/>
      <c r="BO640" s="1190"/>
    </row>
    <row r="641" spans="26:67">
      <c r="Z641" s="1190"/>
      <c r="AA641" s="1190"/>
      <c r="AB641" s="1190"/>
      <c r="AC641" s="1190"/>
      <c r="AD641" s="1190"/>
      <c r="AE641" s="1190"/>
      <c r="AF641" s="1190"/>
      <c r="AG641" s="1190"/>
      <c r="AH641" s="1190"/>
      <c r="AI641" s="1190"/>
      <c r="AJ641" s="1190"/>
      <c r="AK641" s="1190"/>
      <c r="AL641" s="1190"/>
      <c r="AM641" s="1190"/>
      <c r="AN641" s="1190"/>
      <c r="AO641" s="1190"/>
      <c r="AP641" s="1190"/>
      <c r="AQ641" s="1190"/>
      <c r="AR641" s="1190"/>
      <c r="AS641" s="1190"/>
      <c r="AT641" s="1190"/>
      <c r="AU641" s="1190"/>
      <c r="AV641" s="1190"/>
      <c r="AW641" s="1190"/>
      <c r="AX641" s="1190"/>
      <c r="AY641" s="1190"/>
      <c r="AZ641" s="1190"/>
      <c r="BA641" s="1190"/>
      <c r="BB641" s="1190"/>
      <c r="BC641" s="1190"/>
      <c r="BD641" s="1190"/>
      <c r="BE641" s="1190"/>
      <c r="BF641" s="1190"/>
      <c r="BG641" s="1190"/>
      <c r="BH641" s="1190"/>
      <c r="BI641" s="1190"/>
      <c r="BJ641" s="1190"/>
      <c r="BK641" s="1190"/>
      <c r="BL641" s="1190"/>
      <c r="BM641" s="1190"/>
      <c r="BN641" s="1190"/>
      <c r="BO641" s="1190"/>
    </row>
    <row r="642" spans="26:67">
      <c r="Z642" s="1190"/>
      <c r="AA642" s="1190"/>
      <c r="AB642" s="1190"/>
      <c r="AC642" s="1190"/>
      <c r="AD642" s="1190"/>
      <c r="AE642" s="1190"/>
      <c r="AF642" s="1190"/>
      <c r="AG642" s="1190"/>
      <c r="AH642" s="1190"/>
      <c r="AI642" s="1190"/>
      <c r="AJ642" s="1190"/>
      <c r="AK642" s="1190"/>
      <c r="AL642" s="1190"/>
      <c r="AM642" s="1190"/>
      <c r="AN642" s="1190"/>
      <c r="AO642" s="1190"/>
      <c r="AP642" s="1190"/>
      <c r="AQ642" s="1190"/>
      <c r="AR642" s="1190"/>
      <c r="AS642" s="1190"/>
      <c r="AT642" s="1190"/>
      <c r="AU642" s="1190"/>
      <c r="AV642" s="1190"/>
      <c r="AW642" s="1190"/>
      <c r="AX642" s="1190"/>
      <c r="AY642" s="1190"/>
      <c r="AZ642" s="1190"/>
      <c r="BA642" s="1190"/>
      <c r="BB642" s="1190"/>
      <c r="BC642" s="1190"/>
      <c r="BD642" s="1190"/>
      <c r="BE642" s="1190"/>
      <c r="BF642" s="1190"/>
      <c r="BG642" s="1190"/>
      <c r="BH642" s="1190"/>
      <c r="BI642" s="1190"/>
      <c r="BJ642" s="1190"/>
      <c r="BK642" s="1190"/>
      <c r="BL642" s="1190"/>
      <c r="BM642" s="1190"/>
      <c r="BN642" s="1190"/>
      <c r="BO642" s="1190"/>
    </row>
    <row r="643" spans="26:67">
      <c r="Z643" s="1190"/>
      <c r="AA643" s="1190"/>
      <c r="AB643" s="1190"/>
      <c r="AC643" s="1190"/>
      <c r="AD643" s="1190"/>
      <c r="AE643" s="1190"/>
      <c r="AF643" s="1190"/>
      <c r="AG643" s="1190"/>
      <c r="AH643" s="1190"/>
      <c r="AI643" s="1190"/>
      <c r="AJ643" s="1190"/>
      <c r="AK643" s="1190"/>
      <c r="AL643" s="1190"/>
      <c r="AM643" s="1190"/>
      <c r="AN643" s="1190"/>
      <c r="AO643" s="1190"/>
      <c r="AP643" s="1190"/>
      <c r="AQ643" s="1190"/>
      <c r="AR643" s="1190"/>
      <c r="AS643" s="1190"/>
      <c r="AT643" s="1190"/>
      <c r="AU643" s="1190"/>
      <c r="AV643" s="1190"/>
      <c r="AW643" s="1190"/>
      <c r="AX643" s="1190"/>
      <c r="AY643" s="1190"/>
      <c r="AZ643" s="1190"/>
      <c r="BA643" s="1190"/>
      <c r="BB643" s="1190"/>
      <c r="BC643" s="1190"/>
      <c r="BD643" s="1190"/>
      <c r="BE643" s="1190"/>
      <c r="BF643" s="1190"/>
      <c r="BG643" s="1190"/>
      <c r="BH643" s="1190"/>
      <c r="BI643" s="1190"/>
      <c r="BJ643" s="1190"/>
      <c r="BK643" s="1190"/>
      <c r="BL643" s="1190"/>
      <c r="BM643" s="1190"/>
      <c r="BN643" s="1190"/>
      <c r="BO643" s="1190"/>
    </row>
    <row r="644" spans="26:67">
      <c r="Z644" s="1190"/>
      <c r="AA644" s="1190"/>
      <c r="AB644" s="1190"/>
      <c r="AC644" s="1190"/>
      <c r="AD644" s="1190"/>
      <c r="AE644" s="1190"/>
      <c r="AF644" s="1190"/>
      <c r="AG644" s="1190"/>
      <c r="AH644" s="1190"/>
      <c r="AI644" s="1190"/>
      <c r="AJ644" s="1190"/>
      <c r="AK644" s="1190"/>
      <c r="AL644" s="1190"/>
      <c r="AM644" s="1190"/>
      <c r="AN644" s="1190"/>
      <c r="AO644" s="1190"/>
      <c r="AP644" s="1190"/>
      <c r="AQ644" s="1190"/>
      <c r="AR644" s="1190"/>
      <c r="AS644" s="1190"/>
      <c r="AT644" s="1190"/>
      <c r="AU644" s="1190"/>
      <c r="AV644" s="1190"/>
      <c r="AW644" s="1190"/>
      <c r="AX644" s="1190"/>
      <c r="AY644" s="1190"/>
      <c r="AZ644" s="1190"/>
      <c r="BA644" s="1190"/>
      <c r="BB644" s="1190"/>
      <c r="BC644" s="1190"/>
      <c r="BD644" s="1190"/>
      <c r="BE644" s="1190"/>
      <c r="BF644" s="1190"/>
      <c r="BG644" s="1190"/>
      <c r="BH644" s="1190"/>
      <c r="BI644" s="1190"/>
      <c r="BJ644" s="1190"/>
      <c r="BK644" s="1190"/>
      <c r="BL644" s="1190"/>
      <c r="BM644" s="1190"/>
      <c r="BN644" s="1190"/>
      <c r="BO644" s="1190"/>
    </row>
    <row r="645" spans="26:67">
      <c r="Z645" s="1190"/>
      <c r="AA645" s="1190"/>
      <c r="AB645" s="1190"/>
      <c r="AC645" s="1190"/>
      <c r="AD645" s="1190"/>
      <c r="AE645" s="1190"/>
      <c r="AF645" s="1190"/>
      <c r="AG645" s="1190"/>
      <c r="AH645" s="1190"/>
      <c r="AI645" s="1190"/>
      <c r="AJ645" s="1190"/>
      <c r="AK645" s="1190"/>
      <c r="AL645" s="1190"/>
      <c r="AM645" s="1190"/>
      <c r="AN645" s="1190"/>
      <c r="AO645" s="1190"/>
      <c r="AP645" s="1190"/>
      <c r="AQ645" s="1190"/>
      <c r="AR645" s="1190"/>
      <c r="AS645" s="1190"/>
      <c r="AT645" s="1190"/>
      <c r="AU645" s="1190"/>
      <c r="AV645" s="1190"/>
      <c r="AW645" s="1190"/>
      <c r="AX645" s="1190"/>
      <c r="AY645" s="1190"/>
      <c r="AZ645" s="1190"/>
      <c r="BA645" s="1190"/>
      <c r="BB645" s="1190"/>
      <c r="BC645" s="1190"/>
      <c r="BD645" s="1190"/>
      <c r="BE645" s="1190"/>
      <c r="BF645" s="1190"/>
      <c r="BG645" s="1190"/>
      <c r="BH645" s="1190"/>
      <c r="BI645" s="1190"/>
      <c r="BJ645" s="1190"/>
      <c r="BK645" s="1190"/>
      <c r="BL645" s="1190"/>
      <c r="BM645" s="1190"/>
      <c r="BN645" s="1190"/>
      <c r="BO645" s="1190"/>
    </row>
    <row r="646" spans="26:67">
      <c r="Z646" s="1190"/>
      <c r="AA646" s="1190"/>
      <c r="AB646" s="1190"/>
      <c r="AC646" s="1190"/>
      <c r="AD646" s="1190"/>
      <c r="AE646" s="1190"/>
      <c r="AF646" s="1190"/>
      <c r="AG646" s="1190"/>
      <c r="AH646" s="1190"/>
      <c r="AI646" s="1190"/>
      <c r="AJ646" s="1190"/>
      <c r="AK646" s="1190"/>
      <c r="AL646" s="1190"/>
      <c r="AM646" s="1190"/>
      <c r="AN646" s="1190"/>
      <c r="AO646" s="1190"/>
      <c r="AP646" s="1190"/>
      <c r="AQ646" s="1190"/>
      <c r="AR646" s="1190"/>
      <c r="AS646" s="1190"/>
      <c r="AT646" s="1190"/>
      <c r="AU646" s="1190"/>
      <c r="AV646" s="1190"/>
      <c r="AW646" s="1190"/>
      <c r="AX646" s="1190"/>
      <c r="AY646" s="1190"/>
      <c r="AZ646" s="1190"/>
      <c r="BA646" s="1190"/>
      <c r="BB646" s="1190"/>
      <c r="BC646" s="1190"/>
      <c r="BD646" s="1190"/>
      <c r="BE646" s="1190"/>
      <c r="BF646" s="1190"/>
      <c r="BG646" s="1190"/>
      <c r="BH646" s="1190"/>
      <c r="BI646" s="1190"/>
      <c r="BJ646" s="1190"/>
      <c r="BK646" s="1190"/>
      <c r="BL646" s="1190"/>
      <c r="BM646" s="1190"/>
      <c r="BN646" s="1190"/>
      <c r="BO646" s="1190"/>
    </row>
    <row r="647" spans="26:67">
      <c r="Z647" s="1190"/>
      <c r="AA647" s="1190"/>
      <c r="AB647" s="1190"/>
      <c r="AC647" s="1190"/>
      <c r="AD647" s="1190"/>
      <c r="AE647" s="1190"/>
      <c r="AF647" s="1190"/>
      <c r="AG647" s="1190"/>
      <c r="AH647" s="1190"/>
      <c r="AI647" s="1190"/>
      <c r="AJ647" s="1190"/>
      <c r="AK647" s="1190"/>
      <c r="AL647" s="1190"/>
      <c r="AM647" s="1190"/>
      <c r="AN647" s="1190"/>
      <c r="AO647" s="1190"/>
      <c r="AP647" s="1190"/>
      <c r="AQ647" s="1190"/>
      <c r="AR647" s="1190"/>
      <c r="AS647" s="1190"/>
      <c r="AT647" s="1190"/>
      <c r="AU647" s="1190"/>
      <c r="AV647" s="1190"/>
      <c r="AW647" s="1190"/>
      <c r="AX647" s="1190"/>
      <c r="AY647" s="1190"/>
      <c r="AZ647" s="1190"/>
      <c r="BA647" s="1190"/>
      <c r="BB647" s="1190"/>
      <c r="BC647" s="1190"/>
      <c r="BD647" s="1190"/>
      <c r="BE647" s="1190"/>
      <c r="BF647" s="1190"/>
      <c r="BG647" s="1190"/>
      <c r="BH647" s="1190"/>
      <c r="BI647" s="1190"/>
      <c r="BJ647" s="1190"/>
      <c r="BK647" s="1190"/>
      <c r="BL647" s="1190"/>
      <c r="BM647" s="1190"/>
      <c r="BN647" s="1190"/>
      <c r="BO647" s="1190"/>
    </row>
    <row r="648" spans="26:67">
      <c r="Z648" s="1190"/>
      <c r="AA648" s="1190"/>
      <c r="AB648" s="1190"/>
      <c r="AC648" s="1190"/>
      <c r="AD648" s="1190"/>
      <c r="AE648" s="1190"/>
      <c r="AF648" s="1190"/>
      <c r="AG648" s="1190"/>
      <c r="AH648" s="1190"/>
      <c r="AI648" s="1190"/>
      <c r="AJ648" s="1190"/>
      <c r="AK648" s="1190"/>
      <c r="AL648" s="1190"/>
      <c r="AM648" s="1190"/>
      <c r="AN648" s="1190"/>
      <c r="AO648" s="1190"/>
      <c r="AP648" s="1190"/>
      <c r="AQ648" s="1190"/>
      <c r="AR648" s="1190"/>
      <c r="AS648" s="1190"/>
      <c r="AT648" s="1190"/>
      <c r="AU648" s="1190"/>
      <c r="AV648" s="1190"/>
      <c r="AW648" s="1190"/>
      <c r="AX648" s="1190"/>
      <c r="AY648" s="1190"/>
      <c r="AZ648" s="1190"/>
      <c r="BA648" s="1190"/>
      <c r="BB648" s="1190"/>
      <c r="BC648" s="1190"/>
      <c r="BD648" s="1190"/>
      <c r="BE648" s="1190"/>
      <c r="BF648" s="1190"/>
      <c r="BG648" s="1190"/>
      <c r="BH648" s="1190"/>
      <c r="BI648" s="1190"/>
      <c r="BJ648" s="1190"/>
      <c r="BK648" s="1190"/>
      <c r="BL648" s="1190"/>
      <c r="BM648" s="1190"/>
      <c r="BN648" s="1190"/>
      <c r="BO648" s="1190"/>
    </row>
    <row r="649" spans="26:67">
      <c r="Z649" s="1190"/>
      <c r="AA649" s="1190"/>
      <c r="AB649" s="1190"/>
      <c r="AC649" s="1190"/>
      <c r="AD649" s="1190"/>
      <c r="AE649" s="1190"/>
      <c r="AF649" s="1190"/>
      <c r="AG649" s="1190"/>
      <c r="AH649" s="1190"/>
      <c r="AI649" s="1190"/>
      <c r="AJ649" s="1190"/>
      <c r="AK649" s="1190"/>
      <c r="AL649" s="1190"/>
      <c r="AM649" s="1190"/>
      <c r="AN649" s="1190"/>
      <c r="AO649" s="1190"/>
      <c r="AP649" s="1190"/>
      <c r="AQ649" s="1190"/>
      <c r="AR649" s="1190"/>
      <c r="AS649" s="1190"/>
      <c r="AT649" s="1190"/>
      <c r="AU649" s="1190"/>
      <c r="AV649" s="1190"/>
      <c r="AW649" s="1190"/>
      <c r="AX649" s="1190"/>
      <c r="AY649" s="1190"/>
      <c r="AZ649" s="1190"/>
      <c r="BA649" s="1190"/>
      <c r="BB649" s="1190"/>
      <c r="BC649" s="1190"/>
      <c r="BD649" s="1190"/>
      <c r="BE649" s="1190"/>
      <c r="BF649" s="1190"/>
      <c r="BG649" s="1190"/>
      <c r="BH649" s="1190"/>
      <c r="BI649" s="1190"/>
      <c r="BJ649" s="1190"/>
      <c r="BK649" s="1190"/>
      <c r="BL649" s="1190"/>
      <c r="BM649" s="1190"/>
      <c r="BN649" s="1190"/>
      <c r="BO649" s="1190"/>
    </row>
    <row r="650" spans="26:67">
      <c r="Z650" s="1190"/>
      <c r="AA650" s="1190"/>
      <c r="AB650" s="1190"/>
      <c r="AC650" s="1190"/>
      <c r="AD650" s="1190"/>
      <c r="AE650" s="1190"/>
      <c r="AF650" s="1190"/>
      <c r="AG650" s="1190"/>
      <c r="AH650" s="1190"/>
      <c r="AI650" s="1190"/>
      <c r="AJ650" s="1190"/>
      <c r="AK650" s="1190"/>
      <c r="AL650" s="1190"/>
      <c r="AM650" s="1190"/>
      <c r="AN650" s="1190"/>
      <c r="AO650" s="1190"/>
      <c r="AP650" s="1190"/>
      <c r="AQ650" s="1190"/>
      <c r="AR650" s="1190"/>
      <c r="AS650" s="1190"/>
      <c r="AT650" s="1190"/>
      <c r="AU650" s="1190"/>
      <c r="AV650" s="1190"/>
      <c r="AW650" s="1190"/>
      <c r="AX650" s="1190"/>
      <c r="AY650" s="1190"/>
      <c r="AZ650" s="1190"/>
      <c r="BA650" s="1190"/>
      <c r="BB650" s="1190"/>
      <c r="BC650" s="1190"/>
      <c r="BD650" s="1190"/>
      <c r="BE650" s="1190"/>
      <c r="BF650" s="1190"/>
      <c r="BG650" s="1190"/>
      <c r="BH650" s="1190"/>
      <c r="BI650" s="1190"/>
      <c r="BJ650" s="1190"/>
      <c r="BK650" s="1190"/>
      <c r="BL650" s="1190"/>
      <c r="BM650" s="1190"/>
      <c r="BN650" s="1190"/>
      <c r="BO650" s="1190"/>
    </row>
    <row r="651" spans="26:67">
      <c r="Z651" s="1190"/>
      <c r="AA651" s="1190"/>
      <c r="AB651" s="1190"/>
      <c r="AC651" s="1190"/>
      <c r="AD651" s="1190"/>
      <c r="AE651" s="1190"/>
      <c r="AF651" s="1190"/>
      <c r="AG651" s="1190"/>
      <c r="AH651" s="1190"/>
      <c r="AI651" s="1190"/>
      <c r="AJ651" s="1190"/>
      <c r="AK651" s="1190"/>
      <c r="AL651" s="1190"/>
      <c r="AM651" s="1190"/>
      <c r="AN651" s="1190"/>
      <c r="AO651" s="1190"/>
      <c r="AP651" s="1190"/>
      <c r="AQ651" s="1190"/>
      <c r="AR651" s="1190"/>
      <c r="AS651" s="1190"/>
      <c r="AT651" s="1190"/>
      <c r="AU651" s="1190"/>
      <c r="AV651" s="1190"/>
      <c r="AW651" s="1190"/>
      <c r="AX651" s="1190"/>
      <c r="AY651" s="1190"/>
      <c r="AZ651" s="1190"/>
      <c r="BA651" s="1190"/>
      <c r="BB651" s="1190"/>
      <c r="BC651" s="1190"/>
      <c r="BD651" s="1190"/>
      <c r="BE651" s="1190"/>
      <c r="BF651" s="1190"/>
      <c r="BG651" s="1190"/>
      <c r="BH651" s="1190"/>
      <c r="BI651" s="1190"/>
      <c r="BJ651" s="1190"/>
      <c r="BK651" s="1190"/>
      <c r="BL651" s="1190"/>
      <c r="BM651" s="1190"/>
      <c r="BN651" s="1190"/>
      <c r="BO651" s="1190"/>
    </row>
    <row r="652" spans="26:67">
      <c r="Z652" s="1190"/>
      <c r="AA652" s="1190"/>
      <c r="AB652" s="1190"/>
      <c r="AC652" s="1190"/>
      <c r="AD652" s="1190"/>
      <c r="AE652" s="1190"/>
      <c r="AF652" s="1190"/>
      <c r="AG652" s="1190"/>
      <c r="AH652" s="1190"/>
      <c r="AI652" s="1190"/>
      <c r="AJ652" s="1190"/>
      <c r="AK652" s="1190"/>
      <c r="AL652" s="1190"/>
      <c r="AM652" s="1190"/>
      <c r="AN652" s="1190"/>
      <c r="AO652" s="1190"/>
      <c r="AP652" s="1190"/>
      <c r="AQ652" s="1190"/>
      <c r="AR652" s="1190"/>
      <c r="AS652" s="1190"/>
      <c r="AT652" s="1190"/>
      <c r="AU652" s="1190"/>
      <c r="AV652" s="1190"/>
      <c r="AW652" s="1190"/>
      <c r="AX652" s="1190"/>
      <c r="AY652" s="1190"/>
      <c r="AZ652" s="1190"/>
      <c r="BA652" s="1190"/>
      <c r="BB652" s="1190"/>
      <c r="BC652" s="1190"/>
      <c r="BD652" s="1190"/>
      <c r="BE652" s="1190"/>
      <c r="BF652" s="1190"/>
      <c r="BG652" s="1190"/>
      <c r="BH652" s="1190"/>
      <c r="BI652" s="1190"/>
      <c r="BJ652" s="1190"/>
      <c r="BK652" s="1190"/>
      <c r="BL652" s="1190"/>
      <c r="BM652" s="1190"/>
      <c r="BN652" s="1190"/>
      <c r="BO652" s="1190"/>
    </row>
    <row r="653" spans="26:67">
      <c r="Z653" s="1190"/>
      <c r="AA653" s="1190"/>
      <c r="AB653" s="1190"/>
      <c r="AC653" s="1190"/>
      <c r="AD653" s="1190"/>
      <c r="AE653" s="1190"/>
      <c r="AF653" s="1190"/>
      <c r="AG653" s="1190"/>
      <c r="AH653" s="1190"/>
      <c r="AI653" s="1190"/>
      <c r="AJ653" s="1190"/>
      <c r="AK653" s="1190"/>
      <c r="AL653" s="1190"/>
      <c r="AM653" s="1190"/>
      <c r="AN653" s="1190"/>
      <c r="AO653" s="1190"/>
      <c r="AP653" s="1190"/>
      <c r="AQ653" s="1190"/>
      <c r="AR653" s="1190"/>
      <c r="AS653" s="1190"/>
      <c r="AT653" s="1190"/>
      <c r="AU653" s="1190"/>
      <c r="AV653" s="1190"/>
      <c r="AW653" s="1190"/>
      <c r="AX653" s="1190"/>
      <c r="AY653" s="1190"/>
      <c r="AZ653" s="1190"/>
      <c r="BA653" s="1190"/>
      <c r="BB653" s="1190"/>
      <c r="BC653" s="1190"/>
      <c r="BD653" s="1190"/>
      <c r="BE653" s="1190"/>
      <c r="BF653" s="1190"/>
      <c r="BG653" s="1190"/>
      <c r="BH653" s="1190"/>
      <c r="BI653" s="1190"/>
      <c r="BJ653" s="1190"/>
      <c r="BK653" s="1190"/>
      <c r="BL653" s="1190"/>
      <c r="BM653" s="1190"/>
      <c r="BN653" s="1190"/>
      <c r="BO653" s="1190"/>
    </row>
    <row r="654" spans="26:67">
      <c r="Z654" s="1190"/>
      <c r="AA654" s="1190"/>
      <c r="AB654" s="1190"/>
      <c r="AC654" s="1190"/>
      <c r="AD654" s="1190"/>
      <c r="AE654" s="1190"/>
      <c r="AF654" s="1190"/>
      <c r="AG654" s="1190"/>
      <c r="AH654" s="1190"/>
      <c r="AI654" s="1190"/>
      <c r="AJ654" s="1190"/>
      <c r="AK654" s="1190"/>
      <c r="AL654" s="1190"/>
      <c r="AM654" s="1190"/>
      <c r="AN654" s="1190"/>
      <c r="AO654" s="1190"/>
      <c r="AP654" s="1190"/>
      <c r="AQ654" s="1190"/>
      <c r="AR654" s="1190"/>
      <c r="AS654" s="1190"/>
      <c r="AT654" s="1190"/>
      <c r="AU654" s="1190"/>
      <c r="AV654" s="1190"/>
      <c r="AW654" s="1190"/>
      <c r="AX654" s="1190"/>
      <c r="AY654" s="1190"/>
      <c r="AZ654" s="1190"/>
      <c r="BA654" s="1190"/>
      <c r="BB654" s="1190"/>
      <c r="BC654" s="1190"/>
      <c r="BD654" s="1190"/>
      <c r="BE654" s="1190"/>
      <c r="BF654" s="1190"/>
      <c r="BG654" s="1190"/>
      <c r="BH654" s="1190"/>
      <c r="BI654" s="1190"/>
      <c r="BJ654" s="1190"/>
      <c r="BK654" s="1190"/>
      <c r="BL654" s="1190"/>
      <c r="BM654" s="1190"/>
      <c r="BN654" s="1190"/>
      <c r="BO654" s="1190"/>
    </row>
    <row r="655" spans="26:67">
      <c r="Z655" s="1190"/>
      <c r="AA655" s="1190"/>
      <c r="AB655" s="1190"/>
      <c r="AC655" s="1190"/>
      <c r="AD655" s="1190"/>
      <c r="AE655" s="1190"/>
      <c r="AF655" s="1190"/>
      <c r="AG655" s="1190"/>
      <c r="AH655" s="1190"/>
      <c r="AI655" s="1190"/>
      <c r="AJ655" s="1190"/>
      <c r="AK655" s="1190"/>
      <c r="AL655" s="1190"/>
      <c r="AM655" s="1190"/>
      <c r="AN655" s="1190"/>
      <c r="AO655" s="1190"/>
      <c r="AP655" s="1190"/>
      <c r="AQ655" s="1190"/>
      <c r="AR655" s="1190"/>
      <c r="AS655" s="1190"/>
      <c r="AT655" s="1190"/>
      <c r="AU655" s="1190"/>
      <c r="AV655" s="1190"/>
      <c r="AW655" s="1190"/>
      <c r="AX655" s="1190"/>
      <c r="AY655" s="1190"/>
      <c r="AZ655" s="1190"/>
      <c r="BA655" s="1190"/>
      <c r="BB655" s="1190"/>
      <c r="BC655" s="1190"/>
      <c r="BD655" s="1190"/>
      <c r="BE655" s="1190"/>
      <c r="BF655" s="1190"/>
      <c r="BG655" s="1190"/>
      <c r="BH655" s="1190"/>
      <c r="BI655" s="1190"/>
      <c r="BJ655" s="1190"/>
      <c r="BK655" s="1190"/>
      <c r="BL655" s="1190"/>
      <c r="BM655" s="1190"/>
      <c r="BN655" s="1190"/>
      <c r="BO655" s="1190"/>
    </row>
    <row r="656" spans="26:67">
      <c r="Z656" s="1190"/>
      <c r="AA656" s="1190"/>
      <c r="AB656" s="1190"/>
      <c r="AC656" s="1190"/>
      <c r="AD656" s="1190"/>
      <c r="AE656" s="1190"/>
      <c r="AF656" s="1190"/>
      <c r="AG656" s="1190"/>
      <c r="AH656" s="1190"/>
      <c r="AI656" s="1190"/>
      <c r="AJ656" s="1190"/>
      <c r="AK656" s="1190"/>
      <c r="AL656" s="1190"/>
      <c r="AM656" s="1190"/>
      <c r="AN656" s="1190"/>
      <c r="AO656" s="1190"/>
      <c r="AP656" s="1190"/>
      <c r="AQ656" s="1190"/>
      <c r="AR656" s="1190"/>
      <c r="AS656" s="1190"/>
      <c r="AT656" s="1190"/>
      <c r="AU656" s="1190"/>
      <c r="AV656" s="1190"/>
      <c r="AW656" s="1190"/>
      <c r="AX656" s="1190"/>
      <c r="AY656" s="1190"/>
      <c r="AZ656" s="1190"/>
      <c r="BA656" s="1190"/>
      <c r="BB656" s="1190"/>
      <c r="BC656" s="1190"/>
      <c r="BD656" s="1190"/>
      <c r="BE656" s="1190"/>
      <c r="BF656" s="1190"/>
      <c r="BG656" s="1190"/>
      <c r="BH656" s="1190"/>
      <c r="BI656" s="1190"/>
      <c r="BJ656" s="1190"/>
      <c r="BK656" s="1190"/>
      <c r="BL656" s="1190"/>
      <c r="BM656" s="1190"/>
      <c r="BN656" s="1190"/>
      <c r="BO656" s="1190"/>
    </row>
    <row r="657" spans="26:67">
      <c r="Z657" s="1190"/>
      <c r="AA657" s="1190"/>
      <c r="AB657" s="1190"/>
      <c r="AC657" s="1190"/>
      <c r="AD657" s="1190"/>
      <c r="AE657" s="1190"/>
      <c r="AF657" s="1190"/>
      <c r="AG657" s="1190"/>
      <c r="AH657" s="1190"/>
      <c r="AI657" s="1190"/>
      <c r="AJ657" s="1190"/>
      <c r="AK657" s="1190"/>
      <c r="AL657" s="1190"/>
      <c r="AM657" s="1190"/>
      <c r="AN657" s="1190"/>
      <c r="AO657" s="1190"/>
      <c r="AP657" s="1190"/>
      <c r="AQ657" s="1190"/>
      <c r="AR657" s="1190"/>
      <c r="AS657" s="1190"/>
      <c r="AT657" s="1190"/>
      <c r="AU657" s="1190"/>
      <c r="AV657" s="1190"/>
      <c r="AW657" s="1190"/>
      <c r="AX657" s="1190"/>
      <c r="AY657" s="1190"/>
      <c r="AZ657" s="1190"/>
      <c r="BA657" s="1190"/>
      <c r="BB657" s="1190"/>
      <c r="BC657" s="1190"/>
      <c r="BD657" s="1190"/>
      <c r="BE657" s="1190"/>
      <c r="BF657" s="1190"/>
      <c r="BG657" s="1190"/>
      <c r="BH657" s="1190"/>
      <c r="BI657" s="1190"/>
      <c r="BJ657" s="1190"/>
      <c r="BK657" s="1190"/>
      <c r="BL657" s="1190"/>
      <c r="BM657" s="1190"/>
      <c r="BN657" s="1190"/>
      <c r="BO657" s="1190"/>
    </row>
    <row r="658" spans="26:67">
      <c r="Z658" s="1190"/>
      <c r="AA658" s="1190"/>
      <c r="AB658" s="1190"/>
      <c r="AC658" s="1190"/>
      <c r="AD658" s="1190"/>
      <c r="AE658" s="1190"/>
      <c r="AF658" s="1190"/>
      <c r="AG658" s="1190"/>
      <c r="AH658" s="1190"/>
      <c r="AI658" s="1190"/>
      <c r="AJ658" s="1190"/>
      <c r="AK658" s="1190"/>
      <c r="AL658" s="1190"/>
      <c r="AM658" s="1190"/>
      <c r="AN658" s="1190"/>
      <c r="AO658" s="1190"/>
      <c r="AP658" s="1190"/>
      <c r="AQ658" s="1190"/>
      <c r="AR658" s="1190"/>
      <c r="AS658" s="1190"/>
      <c r="AT658" s="1190"/>
      <c r="AU658" s="1190"/>
      <c r="AV658" s="1190"/>
      <c r="AW658" s="1190"/>
      <c r="AX658" s="1190"/>
      <c r="AY658" s="1190"/>
      <c r="AZ658" s="1190"/>
      <c r="BA658" s="1190"/>
      <c r="BB658" s="1190"/>
      <c r="BC658" s="1190"/>
      <c r="BD658" s="1190"/>
      <c r="BE658" s="1190"/>
      <c r="BF658" s="1190"/>
      <c r="BG658" s="1190"/>
      <c r="BH658" s="1190"/>
      <c r="BI658" s="1190"/>
      <c r="BJ658" s="1190"/>
      <c r="BK658" s="1190"/>
      <c r="BL658" s="1190"/>
      <c r="BM658" s="1190"/>
      <c r="BN658" s="1190"/>
      <c r="BO658" s="1190"/>
    </row>
    <row r="659" spans="26:67">
      <c r="Z659" s="1190"/>
      <c r="AA659" s="1190"/>
      <c r="AB659" s="1190"/>
      <c r="AC659" s="1190"/>
      <c r="AD659" s="1190"/>
      <c r="AE659" s="1190"/>
      <c r="AF659" s="1190"/>
      <c r="AG659" s="1190"/>
      <c r="AH659" s="1190"/>
      <c r="AI659" s="1190"/>
      <c r="AJ659" s="1190"/>
      <c r="AK659" s="1190"/>
      <c r="AL659" s="1190"/>
      <c r="AM659" s="1190"/>
      <c r="AN659" s="1190"/>
      <c r="AO659" s="1190"/>
      <c r="AP659" s="1190"/>
      <c r="AQ659" s="1190"/>
      <c r="AR659" s="1190"/>
      <c r="AS659" s="1190"/>
      <c r="AT659" s="1190"/>
      <c r="AU659" s="1190"/>
      <c r="AV659" s="1190"/>
      <c r="AW659" s="1190"/>
      <c r="AX659" s="1190"/>
      <c r="AY659" s="1190"/>
      <c r="AZ659" s="1190"/>
      <c r="BA659" s="1190"/>
      <c r="BB659" s="1190"/>
      <c r="BC659" s="1190"/>
      <c r="BD659" s="1190"/>
      <c r="BE659" s="1190"/>
      <c r="BF659" s="1190"/>
      <c r="BG659" s="1190"/>
      <c r="BH659" s="1190"/>
      <c r="BI659" s="1190"/>
      <c r="BJ659" s="1190"/>
      <c r="BK659" s="1190"/>
      <c r="BL659" s="1190"/>
      <c r="BM659" s="1190"/>
      <c r="BN659" s="1190"/>
      <c r="BO659" s="1190"/>
    </row>
    <row r="660" spans="26:67">
      <c r="Z660" s="1190"/>
      <c r="AA660" s="1190"/>
      <c r="AB660" s="1190"/>
      <c r="AC660" s="1190"/>
      <c r="AD660" s="1190"/>
      <c r="AE660" s="1190"/>
      <c r="AF660" s="1190"/>
      <c r="AG660" s="1190"/>
      <c r="AH660" s="1190"/>
      <c r="AI660" s="1190"/>
      <c r="AJ660" s="1190"/>
      <c r="AK660" s="1190"/>
      <c r="AL660" s="1190"/>
      <c r="AM660" s="1190"/>
      <c r="AN660" s="1190"/>
      <c r="AO660" s="1190"/>
      <c r="AP660" s="1190"/>
      <c r="AQ660" s="1190"/>
      <c r="AR660" s="1190"/>
      <c r="AS660" s="1190"/>
      <c r="AT660" s="1190"/>
      <c r="AU660" s="1190"/>
      <c r="AV660" s="1190"/>
      <c r="AW660" s="1190"/>
      <c r="AX660" s="1190"/>
      <c r="AY660" s="1190"/>
      <c r="AZ660" s="1190"/>
      <c r="BA660" s="1190"/>
      <c r="BB660" s="1190"/>
      <c r="BC660" s="1190"/>
      <c r="BD660" s="1190"/>
      <c r="BE660" s="1190"/>
      <c r="BF660" s="1190"/>
      <c r="BG660" s="1190"/>
      <c r="BH660" s="1190"/>
      <c r="BI660" s="1190"/>
      <c r="BJ660" s="1190"/>
      <c r="BK660" s="1190"/>
      <c r="BL660" s="1190"/>
      <c r="BM660" s="1190"/>
      <c r="BN660" s="1190"/>
      <c r="BO660" s="1190"/>
    </row>
    <row r="661" spans="26:67">
      <c r="Z661" s="1190"/>
      <c r="AA661" s="1190"/>
      <c r="AB661" s="1190"/>
      <c r="AC661" s="1190"/>
      <c r="AD661" s="1190"/>
      <c r="AE661" s="1190"/>
      <c r="AF661" s="1190"/>
      <c r="AG661" s="1190"/>
      <c r="AH661" s="1190"/>
      <c r="AI661" s="1190"/>
      <c r="AJ661" s="1190"/>
      <c r="AK661" s="1190"/>
      <c r="AL661" s="1190"/>
      <c r="AM661" s="1190"/>
      <c r="AN661" s="1190"/>
      <c r="AO661" s="1190"/>
      <c r="AP661" s="1190"/>
      <c r="AQ661" s="1190"/>
      <c r="AR661" s="1190"/>
      <c r="AS661" s="1190"/>
      <c r="AT661" s="1190"/>
      <c r="AU661" s="1190"/>
      <c r="AV661" s="1190"/>
      <c r="AW661" s="1190"/>
      <c r="AX661" s="1190"/>
      <c r="AY661" s="1190"/>
      <c r="AZ661" s="1190"/>
      <c r="BA661" s="1190"/>
      <c r="BB661" s="1190"/>
      <c r="BC661" s="1190"/>
      <c r="BD661" s="1190"/>
      <c r="BE661" s="1190"/>
      <c r="BF661" s="1190"/>
      <c r="BG661" s="1190"/>
      <c r="BH661" s="1190"/>
      <c r="BI661" s="1190"/>
      <c r="BJ661" s="1190"/>
      <c r="BK661" s="1190"/>
      <c r="BL661" s="1190"/>
      <c r="BM661" s="1190"/>
      <c r="BN661" s="1190"/>
      <c r="BO661" s="1190"/>
    </row>
    <row r="662" spans="26:67">
      <c r="Z662" s="1190"/>
      <c r="AA662" s="1190"/>
      <c r="AB662" s="1190"/>
      <c r="AC662" s="1190"/>
      <c r="AD662" s="1190"/>
      <c r="AE662" s="1190"/>
      <c r="AF662" s="1190"/>
      <c r="AG662" s="1190"/>
      <c r="AH662" s="1190"/>
      <c r="AI662" s="1190"/>
      <c r="AJ662" s="1190"/>
      <c r="AK662" s="1190"/>
      <c r="AL662" s="1190"/>
      <c r="AM662" s="1190"/>
      <c r="AN662" s="1190"/>
      <c r="AO662" s="1190"/>
      <c r="AP662" s="1190"/>
      <c r="AQ662" s="1190"/>
      <c r="AR662" s="1190"/>
      <c r="AS662" s="1190"/>
      <c r="AT662" s="1190"/>
      <c r="AU662" s="1190"/>
      <c r="AV662" s="1190"/>
      <c r="AW662" s="1190"/>
      <c r="AX662" s="1190"/>
      <c r="AY662" s="1190"/>
      <c r="AZ662" s="1190"/>
      <c r="BA662" s="1190"/>
      <c r="BB662" s="1190"/>
      <c r="BC662" s="1190"/>
      <c r="BD662" s="1190"/>
      <c r="BE662" s="1190"/>
      <c r="BF662" s="1190"/>
      <c r="BG662" s="1190"/>
      <c r="BH662" s="1190"/>
      <c r="BI662" s="1190"/>
      <c r="BJ662" s="1190"/>
      <c r="BK662" s="1190"/>
      <c r="BL662" s="1190"/>
      <c r="BM662" s="1190"/>
      <c r="BN662" s="1190"/>
      <c r="BO662" s="1190"/>
    </row>
    <row r="663" spans="26:67">
      <c r="Z663" s="1190"/>
      <c r="AA663" s="1190"/>
      <c r="AB663" s="1190"/>
      <c r="AC663" s="1190"/>
      <c r="AD663" s="1190"/>
      <c r="AE663" s="1190"/>
      <c r="AF663" s="1190"/>
      <c r="AG663" s="1190"/>
      <c r="AH663" s="1190"/>
      <c r="AI663" s="1190"/>
      <c r="AJ663" s="1190"/>
      <c r="AK663" s="1190"/>
      <c r="AL663" s="1190"/>
      <c r="AM663" s="1190"/>
      <c r="AN663" s="1190"/>
      <c r="AO663" s="1190"/>
      <c r="AP663" s="1190"/>
      <c r="AQ663" s="1190"/>
      <c r="AR663" s="1190"/>
      <c r="AS663" s="1190"/>
      <c r="AT663" s="1190"/>
      <c r="AU663" s="1190"/>
      <c r="AV663" s="1190"/>
      <c r="AW663" s="1190"/>
      <c r="AX663" s="1190"/>
      <c r="AY663" s="1190"/>
      <c r="AZ663" s="1190"/>
      <c r="BA663" s="1190"/>
      <c r="BB663" s="1190"/>
      <c r="BC663" s="1190"/>
      <c r="BD663" s="1190"/>
      <c r="BE663" s="1190"/>
      <c r="BF663" s="1190"/>
      <c r="BG663" s="1190"/>
      <c r="BH663" s="1190"/>
      <c r="BI663" s="1190"/>
      <c r="BJ663" s="1190"/>
      <c r="BK663" s="1190"/>
      <c r="BL663" s="1190"/>
      <c r="BM663" s="1190"/>
      <c r="BN663" s="1190"/>
      <c r="BO663" s="1190"/>
    </row>
    <row r="664" spans="26:67">
      <c r="Z664" s="1190"/>
      <c r="AA664" s="1190"/>
      <c r="AB664" s="1190"/>
      <c r="AC664" s="1190"/>
      <c r="AD664" s="1190"/>
      <c r="AE664" s="1190"/>
      <c r="AF664" s="1190"/>
      <c r="AG664" s="1190"/>
      <c r="AH664" s="1190"/>
      <c r="AI664" s="1190"/>
      <c r="AJ664" s="1190"/>
      <c r="AK664" s="1190"/>
      <c r="AL664" s="1190"/>
      <c r="AM664" s="1190"/>
      <c r="AN664" s="1190"/>
      <c r="AO664" s="1190"/>
      <c r="AP664" s="1190"/>
      <c r="AQ664" s="1190"/>
      <c r="AR664" s="1190"/>
      <c r="AS664" s="1190"/>
      <c r="AT664" s="1190"/>
      <c r="AU664" s="1190"/>
      <c r="AV664" s="1190"/>
      <c r="AW664" s="1190"/>
      <c r="AX664" s="1190"/>
      <c r="AY664" s="1190"/>
      <c r="AZ664" s="1190"/>
      <c r="BA664" s="1190"/>
      <c r="BB664" s="1190"/>
      <c r="BC664" s="1190"/>
      <c r="BD664" s="1190"/>
      <c r="BE664" s="1190"/>
      <c r="BF664" s="1190"/>
      <c r="BG664" s="1190"/>
      <c r="BH664" s="1190"/>
      <c r="BI664" s="1190"/>
      <c r="BJ664" s="1190"/>
      <c r="BK664" s="1190"/>
      <c r="BL664" s="1190"/>
      <c r="BM664" s="1190"/>
      <c r="BN664" s="1190"/>
      <c r="BO664" s="1190"/>
    </row>
    <row r="665" spans="26:67">
      <c r="Z665" s="1190"/>
      <c r="AA665" s="1190"/>
      <c r="AB665" s="1190"/>
      <c r="AC665" s="1190"/>
      <c r="AD665" s="1190"/>
      <c r="AE665" s="1190"/>
      <c r="AF665" s="1190"/>
      <c r="AG665" s="1190"/>
      <c r="AH665" s="1190"/>
      <c r="AI665" s="1190"/>
      <c r="AJ665" s="1190"/>
      <c r="AK665" s="1190"/>
      <c r="AL665" s="1190"/>
      <c r="AM665" s="1190"/>
      <c r="AN665" s="1190"/>
      <c r="AO665" s="1190"/>
      <c r="AP665" s="1190"/>
      <c r="AQ665" s="1190"/>
      <c r="AR665" s="1190"/>
      <c r="AS665" s="1190"/>
      <c r="AT665" s="1190"/>
      <c r="AU665" s="1190"/>
      <c r="AV665" s="1190"/>
      <c r="AW665" s="1190"/>
      <c r="AX665" s="1190"/>
      <c r="AY665" s="1190"/>
      <c r="AZ665" s="1190"/>
      <c r="BA665" s="1190"/>
      <c r="BB665" s="1190"/>
      <c r="BC665" s="1190"/>
      <c r="BD665" s="1190"/>
      <c r="BE665" s="1190"/>
      <c r="BF665" s="1190"/>
      <c r="BG665" s="1190"/>
      <c r="BH665" s="1190"/>
      <c r="BI665" s="1190"/>
      <c r="BJ665" s="1190"/>
      <c r="BK665" s="1190"/>
      <c r="BL665" s="1190"/>
      <c r="BM665" s="1190"/>
      <c r="BN665" s="1190"/>
      <c r="BO665" s="1190"/>
    </row>
    <row r="666" spans="26:67">
      <c r="Z666" s="1190"/>
      <c r="AA666" s="1190"/>
      <c r="AB666" s="1190"/>
      <c r="AC666" s="1190"/>
      <c r="AD666" s="1190"/>
      <c r="AE666" s="1190"/>
      <c r="AF666" s="1190"/>
      <c r="AG666" s="1190"/>
      <c r="AH666" s="1190"/>
      <c r="AI666" s="1190"/>
      <c r="AJ666" s="1190"/>
      <c r="AK666" s="1190"/>
      <c r="AL666" s="1190"/>
      <c r="AM666" s="1190"/>
      <c r="AN666" s="1190"/>
      <c r="AO666" s="1190"/>
      <c r="AP666" s="1190"/>
      <c r="AQ666" s="1190"/>
      <c r="AR666" s="1190"/>
      <c r="AS666" s="1190"/>
      <c r="AT666" s="1190"/>
      <c r="AU666" s="1190"/>
      <c r="AV666" s="1190"/>
      <c r="AW666" s="1190"/>
      <c r="AX666" s="1190"/>
      <c r="AY666" s="1190"/>
      <c r="AZ666" s="1190"/>
      <c r="BA666" s="1190"/>
      <c r="BB666" s="1190"/>
      <c r="BC666" s="1190"/>
      <c r="BD666" s="1190"/>
      <c r="BE666" s="1190"/>
      <c r="BF666" s="1190"/>
      <c r="BG666" s="1190"/>
      <c r="BH666" s="1190"/>
      <c r="BI666" s="1190"/>
      <c r="BJ666" s="1190"/>
      <c r="BK666" s="1190"/>
      <c r="BL666" s="1190"/>
      <c r="BM666" s="1190"/>
      <c r="BN666" s="1190"/>
      <c r="BO666" s="1190"/>
    </row>
    <row r="667" spans="26:67">
      <c r="Z667" s="1190"/>
      <c r="AA667" s="1190"/>
      <c r="AB667" s="1190"/>
      <c r="AC667" s="1190"/>
      <c r="AD667" s="1190"/>
      <c r="AE667" s="1190"/>
      <c r="AF667" s="1190"/>
      <c r="AG667" s="1190"/>
      <c r="AH667" s="1190"/>
      <c r="AI667" s="1190"/>
      <c r="AJ667" s="1190"/>
      <c r="AK667" s="1190"/>
      <c r="AL667" s="1190"/>
      <c r="AM667" s="1190"/>
      <c r="AN667" s="1190"/>
      <c r="AO667" s="1190"/>
      <c r="AP667" s="1190"/>
      <c r="AQ667" s="1190"/>
      <c r="AR667" s="1190"/>
      <c r="AS667" s="1190"/>
      <c r="AT667" s="1190"/>
      <c r="AU667" s="1190"/>
      <c r="AV667" s="1190"/>
      <c r="AW667" s="1190"/>
      <c r="AX667" s="1190"/>
      <c r="AY667" s="1190"/>
      <c r="AZ667" s="1190"/>
      <c r="BA667" s="1190"/>
      <c r="BB667" s="1190"/>
      <c r="BC667" s="1190"/>
      <c r="BD667" s="1190"/>
      <c r="BE667" s="1190"/>
      <c r="BF667" s="1190"/>
      <c r="BG667" s="1190"/>
      <c r="BH667" s="1190"/>
      <c r="BI667" s="1190"/>
      <c r="BJ667" s="1190"/>
      <c r="BK667" s="1190"/>
      <c r="BL667" s="1190"/>
      <c r="BM667" s="1190"/>
      <c r="BN667" s="1190"/>
      <c r="BO667" s="1190"/>
    </row>
    <row r="668" spans="26:67">
      <c r="Z668" s="1190"/>
      <c r="AA668" s="1190"/>
      <c r="AB668" s="1190"/>
      <c r="AC668" s="1190"/>
      <c r="AD668" s="1190"/>
      <c r="AE668" s="1190"/>
      <c r="AF668" s="1190"/>
      <c r="AG668" s="1190"/>
      <c r="AH668" s="1190"/>
      <c r="AI668" s="1190"/>
      <c r="AJ668" s="1190"/>
      <c r="AK668" s="1190"/>
      <c r="AL668" s="1190"/>
      <c r="AM668" s="1190"/>
      <c r="AN668" s="1190"/>
      <c r="AO668" s="1190"/>
      <c r="AP668" s="1190"/>
      <c r="AQ668" s="1190"/>
      <c r="AR668" s="1190"/>
      <c r="AS668" s="1190"/>
      <c r="AT668" s="1190"/>
      <c r="AU668" s="1190"/>
      <c r="AV668" s="1190"/>
      <c r="AW668" s="1190"/>
      <c r="AX668" s="1190"/>
      <c r="AY668" s="1190"/>
      <c r="AZ668" s="1190"/>
      <c r="BA668" s="1190"/>
      <c r="BB668" s="1190"/>
      <c r="BC668" s="1190"/>
      <c r="BD668" s="1190"/>
      <c r="BE668" s="1190"/>
      <c r="BF668" s="1190"/>
      <c r="BG668" s="1190"/>
      <c r="BH668" s="1190"/>
      <c r="BI668" s="1190"/>
      <c r="BJ668" s="1190"/>
      <c r="BK668" s="1190"/>
      <c r="BL668" s="1190"/>
      <c r="BM668" s="1190"/>
      <c r="BN668" s="1190"/>
      <c r="BO668" s="1190"/>
    </row>
    <row r="669" spans="26:67">
      <c r="Z669" s="1190"/>
      <c r="AA669" s="1190"/>
      <c r="AB669" s="1190"/>
      <c r="AC669" s="1190"/>
      <c r="AD669" s="1190"/>
      <c r="AE669" s="1190"/>
      <c r="AF669" s="1190"/>
      <c r="AG669" s="1190"/>
      <c r="AH669" s="1190"/>
      <c r="AI669" s="1190"/>
      <c r="AJ669" s="1190"/>
      <c r="AK669" s="1190"/>
      <c r="AL669" s="1190"/>
      <c r="AM669" s="1190"/>
      <c r="AN669" s="1190"/>
      <c r="AO669" s="1190"/>
      <c r="AP669" s="1190"/>
      <c r="AQ669" s="1190"/>
      <c r="AR669" s="1190"/>
      <c r="AS669" s="1190"/>
      <c r="AT669" s="1190"/>
      <c r="AU669" s="1190"/>
      <c r="AV669" s="1190"/>
      <c r="AW669" s="1190"/>
      <c r="AX669" s="1190"/>
      <c r="AY669" s="1190"/>
      <c r="AZ669" s="1190"/>
      <c r="BA669" s="1190"/>
      <c r="BB669" s="1190"/>
      <c r="BC669" s="1190"/>
      <c r="BD669" s="1190"/>
      <c r="BE669" s="1190"/>
      <c r="BF669" s="1190"/>
      <c r="BG669" s="1190"/>
      <c r="BH669" s="1190"/>
      <c r="BI669" s="1190"/>
      <c r="BJ669" s="1190"/>
      <c r="BK669" s="1190"/>
      <c r="BL669" s="1190"/>
      <c r="BM669" s="1190"/>
      <c r="BN669" s="1190"/>
      <c r="BO669" s="1190"/>
    </row>
    <row r="670" spans="26:67">
      <c r="Z670" s="1190"/>
      <c r="AA670" s="1190"/>
      <c r="AB670" s="1190"/>
      <c r="AC670" s="1190"/>
      <c r="AD670" s="1190"/>
      <c r="AE670" s="1190"/>
      <c r="AF670" s="1190"/>
      <c r="AG670" s="1190"/>
      <c r="AH670" s="1190"/>
      <c r="AI670" s="1190"/>
      <c r="AJ670" s="1190"/>
      <c r="AK670" s="1190"/>
      <c r="AL670" s="1190"/>
      <c r="AM670" s="1190"/>
      <c r="AN670" s="1190"/>
      <c r="AO670" s="1190"/>
      <c r="AP670" s="1190"/>
      <c r="AQ670" s="1190"/>
      <c r="AR670" s="1190"/>
      <c r="AS670" s="1190"/>
      <c r="AT670" s="1190"/>
      <c r="AU670" s="1190"/>
      <c r="AV670" s="1190"/>
      <c r="AW670" s="1190"/>
      <c r="AX670" s="1190"/>
      <c r="AY670" s="1190"/>
      <c r="AZ670" s="1190"/>
      <c r="BA670" s="1190"/>
      <c r="BB670" s="1190"/>
      <c r="BC670" s="1190"/>
      <c r="BD670" s="1190"/>
      <c r="BE670" s="1190"/>
      <c r="BF670" s="1190"/>
      <c r="BG670" s="1190"/>
      <c r="BH670" s="1190"/>
      <c r="BI670" s="1190"/>
      <c r="BJ670" s="1190"/>
      <c r="BK670" s="1190"/>
      <c r="BL670" s="1190"/>
      <c r="BM670" s="1190"/>
      <c r="BN670" s="1190"/>
      <c r="BO670" s="1190"/>
    </row>
    <row r="671" spans="26:67">
      <c r="Z671" s="1190"/>
      <c r="AA671" s="1190"/>
      <c r="AB671" s="1190"/>
      <c r="AC671" s="1190"/>
      <c r="AD671" s="1190"/>
      <c r="AE671" s="1190"/>
      <c r="AF671" s="1190"/>
      <c r="AG671" s="1190"/>
      <c r="AH671" s="1190"/>
      <c r="AI671" s="1190"/>
      <c r="AJ671" s="1190"/>
      <c r="AK671" s="1190"/>
      <c r="AL671" s="1190"/>
      <c r="AM671" s="1190"/>
      <c r="AN671" s="1190"/>
      <c r="AO671" s="1190"/>
      <c r="AP671" s="1190"/>
      <c r="AQ671" s="1190"/>
      <c r="AR671" s="1190"/>
      <c r="AS671" s="1190"/>
      <c r="AT671" s="1190"/>
      <c r="AU671" s="1190"/>
      <c r="AV671" s="1190"/>
      <c r="AW671" s="1190"/>
      <c r="AX671" s="1190"/>
      <c r="AY671" s="1190"/>
      <c r="AZ671" s="1190"/>
      <c r="BA671" s="1190"/>
      <c r="BB671" s="1190"/>
      <c r="BC671" s="1190"/>
      <c r="BD671" s="1190"/>
      <c r="BE671" s="1190"/>
      <c r="BF671" s="1190"/>
      <c r="BG671" s="1190"/>
      <c r="BH671" s="1190"/>
      <c r="BI671" s="1190"/>
      <c r="BJ671" s="1190"/>
      <c r="BK671" s="1190"/>
      <c r="BL671" s="1190"/>
      <c r="BM671" s="1190"/>
      <c r="BN671" s="1190"/>
      <c r="BO671" s="1190"/>
    </row>
    <row r="672" spans="26:67">
      <c r="Z672" s="1190"/>
      <c r="AA672" s="1190"/>
      <c r="AB672" s="1190"/>
      <c r="AC672" s="1190"/>
      <c r="AD672" s="1190"/>
      <c r="AE672" s="1190"/>
      <c r="AF672" s="1190"/>
      <c r="AG672" s="1190"/>
      <c r="AH672" s="1190"/>
      <c r="AI672" s="1190"/>
      <c r="AJ672" s="1190"/>
      <c r="AK672" s="1190"/>
      <c r="AL672" s="1190"/>
      <c r="AM672" s="1190"/>
      <c r="AN672" s="1190"/>
      <c r="AO672" s="1190"/>
      <c r="AP672" s="1190"/>
      <c r="AQ672" s="1190"/>
      <c r="AR672" s="1190"/>
      <c r="AS672" s="1190"/>
      <c r="AT672" s="1190"/>
      <c r="AU672" s="1190"/>
      <c r="AV672" s="1190"/>
      <c r="AW672" s="1190"/>
      <c r="AX672" s="1190"/>
      <c r="AY672" s="1190"/>
      <c r="AZ672" s="1190"/>
      <c r="BA672" s="1190"/>
      <c r="BB672" s="1190"/>
      <c r="BC672" s="1190"/>
      <c r="BD672" s="1190"/>
      <c r="BE672" s="1190"/>
      <c r="BF672" s="1190"/>
      <c r="BG672" s="1190"/>
      <c r="BH672" s="1190"/>
      <c r="BI672" s="1190"/>
      <c r="BJ672" s="1190"/>
      <c r="BK672" s="1190"/>
      <c r="BL672" s="1190"/>
      <c r="BM672" s="1190"/>
      <c r="BN672" s="1190"/>
      <c r="BO672" s="1190"/>
    </row>
    <row r="673" spans="26:67">
      <c r="Z673" s="1190"/>
      <c r="AA673" s="1190"/>
      <c r="AB673" s="1190"/>
      <c r="AC673" s="1190"/>
      <c r="AD673" s="1190"/>
      <c r="AE673" s="1190"/>
      <c r="AF673" s="1190"/>
      <c r="AG673" s="1190"/>
      <c r="AH673" s="1190"/>
      <c r="AI673" s="1190"/>
      <c r="AJ673" s="1190"/>
      <c r="AK673" s="1190"/>
      <c r="AL673" s="1190"/>
      <c r="AM673" s="1190"/>
      <c r="AN673" s="1190"/>
      <c r="AO673" s="1190"/>
      <c r="AP673" s="1190"/>
      <c r="AQ673" s="1190"/>
      <c r="AR673" s="1190"/>
      <c r="AS673" s="1190"/>
      <c r="AT673" s="1190"/>
      <c r="AU673" s="1190"/>
      <c r="AV673" s="1190"/>
      <c r="AW673" s="1190"/>
      <c r="AX673" s="1190"/>
      <c r="AY673" s="1190"/>
      <c r="AZ673" s="1190"/>
      <c r="BA673" s="1190"/>
      <c r="BB673" s="1190"/>
      <c r="BC673" s="1190"/>
      <c r="BD673" s="1190"/>
      <c r="BE673" s="1190"/>
      <c r="BF673" s="1190"/>
      <c r="BG673" s="1190"/>
      <c r="BH673" s="1190"/>
      <c r="BI673" s="1190"/>
      <c r="BJ673" s="1190"/>
      <c r="BK673" s="1190"/>
      <c r="BL673" s="1190"/>
      <c r="BM673" s="1190"/>
      <c r="BN673" s="1190"/>
      <c r="BO673" s="1190"/>
    </row>
    <row r="674" spans="26:67">
      <c r="Z674" s="1190"/>
      <c r="AA674" s="1190"/>
      <c r="AB674" s="1190"/>
      <c r="AC674" s="1190"/>
      <c r="AD674" s="1190"/>
      <c r="AE674" s="1190"/>
      <c r="AF674" s="1190"/>
      <c r="AG674" s="1190"/>
      <c r="AH674" s="1190"/>
      <c r="AI674" s="1190"/>
      <c r="AJ674" s="1190"/>
      <c r="AK674" s="1190"/>
      <c r="AL674" s="1190"/>
      <c r="AM674" s="1190"/>
      <c r="AN674" s="1190"/>
      <c r="AO674" s="1190"/>
      <c r="AP674" s="1190"/>
      <c r="AQ674" s="1190"/>
      <c r="AR674" s="1190"/>
      <c r="AS674" s="1190"/>
      <c r="AT674" s="1190"/>
      <c r="AU674" s="1190"/>
      <c r="AV674" s="1190"/>
      <c r="AW674" s="1190"/>
      <c r="AX674" s="1190"/>
      <c r="AY674" s="1190"/>
      <c r="AZ674" s="1190"/>
      <c r="BA674" s="1190"/>
      <c r="BB674" s="1190"/>
      <c r="BC674" s="1190"/>
      <c r="BD674" s="1190"/>
      <c r="BE674" s="1190"/>
      <c r="BF674" s="1190"/>
      <c r="BG674" s="1190"/>
      <c r="BH674" s="1190"/>
      <c r="BI674" s="1190"/>
      <c r="BJ674" s="1190"/>
      <c r="BK674" s="1190"/>
      <c r="BL674" s="1190"/>
      <c r="BM674" s="1190"/>
      <c r="BN674" s="1190"/>
      <c r="BO674" s="1190"/>
    </row>
    <row r="675" spans="26:67">
      <c r="Z675" s="1190"/>
      <c r="AA675" s="1190"/>
      <c r="AB675" s="1190"/>
      <c r="AC675" s="1190"/>
      <c r="AD675" s="1190"/>
      <c r="AE675" s="1190"/>
      <c r="AF675" s="1190"/>
      <c r="AG675" s="1190"/>
      <c r="AH675" s="1190"/>
      <c r="AI675" s="1190"/>
      <c r="AJ675" s="1190"/>
      <c r="AK675" s="1190"/>
      <c r="AL675" s="1190"/>
      <c r="AM675" s="1190"/>
      <c r="AN675" s="1190"/>
      <c r="AO675" s="1190"/>
      <c r="AP675" s="1190"/>
      <c r="AQ675" s="1190"/>
      <c r="AR675" s="1190"/>
      <c r="AS675" s="1190"/>
      <c r="AT675" s="1190"/>
      <c r="AU675" s="1190"/>
      <c r="AV675" s="1190"/>
      <c r="AW675" s="1190"/>
      <c r="AX675" s="1190"/>
      <c r="AY675" s="1190"/>
      <c r="AZ675" s="1190"/>
      <c r="BA675" s="1190"/>
      <c r="BB675" s="1190"/>
      <c r="BC675" s="1190"/>
      <c r="BD675" s="1190"/>
      <c r="BE675" s="1190"/>
      <c r="BF675" s="1190"/>
      <c r="BG675" s="1190"/>
      <c r="BH675" s="1190"/>
      <c r="BI675" s="1190"/>
      <c r="BJ675" s="1190"/>
      <c r="BK675" s="1190"/>
      <c r="BL675" s="1190"/>
      <c r="BM675" s="1190"/>
      <c r="BN675" s="1190"/>
      <c r="BO675" s="1190"/>
    </row>
    <row r="676" spans="26:67">
      <c r="Z676" s="1190"/>
      <c r="AA676" s="1190"/>
      <c r="AB676" s="1190"/>
      <c r="AC676" s="1190"/>
      <c r="AD676" s="1190"/>
      <c r="AE676" s="1190"/>
      <c r="AF676" s="1190"/>
      <c r="AG676" s="1190"/>
      <c r="AH676" s="1190"/>
      <c r="AI676" s="1190"/>
      <c r="AJ676" s="1190"/>
      <c r="AK676" s="1190"/>
      <c r="AL676" s="1190"/>
      <c r="AM676" s="1190"/>
      <c r="AN676" s="1190"/>
      <c r="AO676" s="1190"/>
      <c r="AP676" s="1190"/>
      <c r="AQ676" s="1190"/>
      <c r="AR676" s="1190"/>
      <c r="AS676" s="1190"/>
      <c r="AT676" s="1190"/>
      <c r="AU676" s="1190"/>
      <c r="AV676" s="1190"/>
      <c r="AW676" s="1190"/>
      <c r="AX676" s="1190"/>
      <c r="AY676" s="1190"/>
      <c r="AZ676" s="1190"/>
      <c r="BA676" s="1190"/>
      <c r="BB676" s="1190"/>
      <c r="BC676" s="1190"/>
      <c r="BD676" s="1190"/>
      <c r="BE676" s="1190"/>
      <c r="BF676" s="1190"/>
      <c r="BG676" s="1190"/>
      <c r="BH676" s="1190"/>
      <c r="BI676" s="1190"/>
      <c r="BJ676" s="1190"/>
      <c r="BK676" s="1190"/>
      <c r="BL676" s="1190"/>
      <c r="BM676" s="1190"/>
      <c r="BN676" s="1190"/>
      <c r="BO676" s="1190"/>
    </row>
    <row r="677" spans="26:67">
      <c r="Z677" s="1190"/>
      <c r="AA677" s="1190"/>
      <c r="AB677" s="1190"/>
      <c r="AC677" s="1190"/>
      <c r="AD677" s="1190"/>
      <c r="AE677" s="1190"/>
      <c r="AF677" s="1190"/>
      <c r="AG677" s="1190"/>
      <c r="AH677" s="1190"/>
      <c r="AI677" s="1190"/>
      <c r="AJ677" s="1190"/>
      <c r="AK677" s="1190"/>
      <c r="AL677" s="1190"/>
      <c r="AM677" s="1190"/>
      <c r="AN677" s="1190"/>
      <c r="AO677" s="1190"/>
      <c r="AP677" s="1190"/>
      <c r="AQ677" s="1190"/>
      <c r="AR677" s="1190"/>
      <c r="AS677" s="1190"/>
      <c r="AT677" s="1190"/>
      <c r="AU677" s="1190"/>
      <c r="AV677" s="1190"/>
      <c r="AW677" s="1190"/>
      <c r="AX677" s="1190"/>
      <c r="AY677" s="1190"/>
      <c r="AZ677" s="1190"/>
      <c r="BA677" s="1190"/>
      <c r="BB677" s="1190"/>
      <c r="BC677" s="1190"/>
      <c r="BD677" s="1190"/>
      <c r="BE677" s="1190"/>
      <c r="BF677" s="1190"/>
      <c r="BG677" s="1190"/>
      <c r="BH677" s="1190"/>
      <c r="BI677" s="1190"/>
      <c r="BJ677" s="1190"/>
      <c r="BK677" s="1190"/>
      <c r="BL677" s="1190"/>
      <c r="BM677" s="1190"/>
      <c r="BN677" s="1190"/>
      <c r="BO677" s="1190"/>
    </row>
    <row r="678" spans="26:67">
      <c r="Z678" s="1190"/>
      <c r="AA678" s="1190"/>
      <c r="AB678" s="1190"/>
      <c r="AC678" s="1190"/>
      <c r="AD678" s="1190"/>
      <c r="AE678" s="1190"/>
      <c r="AF678" s="1190"/>
      <c r="AG678" s="1190"/>
      <c r="AH678" s="1190"/>
      <c r="AI678" s="1190"/>
      <c r="AJ678" s="1190"/>
      <c r="AK678" s="1190"/>
      <c r="AL678" s="1190"/>
      <c r="AM678" s="1190"/>
      <c r="AN678" s="1190"/>
      <c r="AO678" s="1190"/>
      <c r="AP678" s="1190"/>
      <c r="AQ678" s="1190"/>
      <c r="AR678" s="1190"/>
      <c r="AS678" s="1190"/>
      <c r="AT678" s="1190"/>
      <c r="AU678" s="1190"/>
      <c r="AV678" s="1190"/>
      <c r="AW678" s="1190"/>
      <c r="AX678" s="1190"/>
      <c r="AY678" s="1190"/>
      <c r="AZ678" s="1190"/>
      <c r="BA678" s="1190"/>
      <c r="BB678" s="1190"/>
      <c r="BC678" s="1190"/>
      <c r="BD678" s="1190"/>
      <c r="BE678" s="1190"/>
      <c r="BF678" s="1190"/>
      <c r="BG678" s="1190"/>
      <c r="BH678" s="1190"/>
      <c r="BI678" s="1190"/>
      <c r="BJ678" s="1190"/>
      <c r="BK678" s="1190"/>
      <c r="BL678" s="1190"/>
      <c r="BM678" s="1190"/>
      <c r="BN678" s="1190"/>
      <c r="BO678" s="1190"/>
    </row>
    <row r="679" spans="26:67">
      <c r="Z679" s="1190"/>
      <c r="AA679" s="1190"/>
      <c r="AB679" s="1190"/>
      <c r="AC679" s="1190"/>
      <c r="AD679" s="1190"/>
      <c r="AE679" s="1190"/>
      <c r="AF679" s="1190"/>
      <c r="AG679" s="1190"/>
      <c r="AH679" s="1190"/>
      <c r="AI679" s="1190"/>
      <c r="AJ679" s="1190"/>
      <c r="AK679" s="1190"/>
      <c r="AL679" s="1190"/>
      <c r="AM679" s="1190"/>
      <c r="AN679" s="1190"/>
      <c r="AO679" s="1190"/>
      <c r="AP679" s="1190"/>
      <c r="AQ679" s="1190"/>
      <c r="AR679" s="1190"/>
      <c r="AS679" s="1190"/>
      <c r="AT679" s="1190"/>
      <c r="AU679" s="1190"/>
      <c r="AV679" s="1190"/>
      <c r="AW679" s="1190"/>
      <c r="AX679" s="1190"/>
      <c r="AY679" s="1190"/>
      <c r="AZ679" s="1190"/>
      <c r="BA679" s="1190"/>
      <c r="BB679" s="1190"/>
      <c r="BC679" s="1190"/>
      <c r="BD679" s="1190"/>
      <c r="BE679" s="1190"/>
      <c r="BF679" s="1190"/>
      <c r="BG679" s="1190"/>
      <c r="BH679" s="1190"/>
      <c r="BI679" s="1190"/>
      <c r="BJ679" s="1190"/>
      <c r="BK679" s="1190"/>
      <c r="BL679" s="1190"/>
      <c r="BM679" s="1190"/>
      <c r="BN679" s="1190"/>
      <c r="BO679" s="1190"/>
    </row>
    <row r="680" spans="26:67">
      <c r="Z680" s="1190"/>
      <c r="AA680" s="1190"/>
      <c r="AB680" s="1190"/>
      <c r="AC680" s="1190"/>
      <c r="AD680" s="1190"/>
      <c r="AE680" s="1190"/>
      <c r="AF680" s="1190"/>
      <c r="AG680" s="1190"/>
      <c r="AH680" s="1190"/>
      <c r="AI680" s="1190"/>
      <c r="AJ680" s="1190"/>
      <c r="AK680" s="1190"/>
      <c r="AL680" s="1190"/>
      <c r="AM680" s="1190"/>
      <c r="AN680" s="1190"/>
      <c r="AO680" s="1190"/>
      <c r="AP680" s="1190"/>
      <c r="AQ680" s="1190"/>
      <c r="AR680" s="1190"/>
      <c r="AS680" s="1190"/>
      <c r="AT680" s="1190"/>
      <c r="AU680" s="1190"/>
      <c r="AV680" s="1190"/>
      <c r="AW680" s="1190"/>
      <c r="AX680" s="1190"/>
      <c r="AY680" s="1190"/>
      <c r="AZ680" s="1190"/>
      <c r="BA680" s="1190"/>
      <c r="BB680" s="1190"/>
      <c r="BC680" s="1190"/>
      <c r="BD680" s="1190"/>
      <c r="BE680" s="1190"/>
      <c r="BF680" s="1190"/>
      <c r="BG680" s="1190"/>
      <c r="BH680" s="1190"/>
      <c r="BI680" s="1190"/>
      <c r="BJ680" s="1190"/>
      <c r="BK680" s="1190"/>
      <c r="BL680" s="1190"/>
      <c r="BM680" s="1190"/>
      <c r="BN680" s="1190"/>
      <c r="BO680" s="1190"/>
    </row>
    <row r="681" spans="26:67">
      <c r="Z681" s="1190"/>
      <c r="AA681" s="1190"/>
      <c r="AB681" s="1190"/>
      <c r="AC681" s="1190"/>
      <c r="AD681" s="1190"/>
      <c r="AE681" s="1190"/>
      <c r="AF681" s="1190"/>
      <c r="AG681" s="1190"/>
      <c r="AH681" s="1190"/>
      <c r="AI681" s="1190"/>
      <c r="AJ681" s="1190"/>
      <c r="AK681" s="1190"/>
      <c r="AL681" s="1190"/>
      <c r="AM681" s="1190"/>
      <c r="AN681" s="1190"/>
      <c r="AO681" s="1190"/>
      <c r="AP681" s="1190"/>
      <c r="AQ681" s="1190"/>
      <c r="AR681" s="1190"/>
      <c r="AS681" s="1190"/>
      <c r="AT681" s="1190"/>
      <c r="AU681" s="1190"/>
      <c r="AV681" s="1190"/>
      <c r="AW681" s="1190"/>
      <c r="AX681" s="1190"/>
      <c r="AY681" s="1190"/>
      <c r="AZ681" s="1190"/>
      <c r="BA681" s="1190"/>
      <c r="BB681" s="1190"/>
      <c r="BC681" s="1190"/>
      <c r="BD681" s="1190"/>
      <c r="BE681" s="1190"/>
      <c r="BF681" s="1190"/>
      <c r="BG681" s="1190"/>
      <c r="BH681" s="1190"/>
      <c r="BI681" s="1190"/>
      <c r="BJ681" s="1190"/>
      <c r="BK681" s="1190"/>
      <c r="BL681" s="1190"/>
      <c r="BM681" s="1190"/>
      <c r="BN681" s="1190"/>
      <c r="BO681" s="1190"/>
    </row>
    <row r="682" spans="26:67">
      <c r="Z682" s="1190"/>
      <c r="AA682" s="1190"/>
      <c r="AB682" s="1190"/>
      <c r="AC682" s="1190"/>
      <c r="AD682" s="1190"/>
      <c r="AE682" s="1190"/>
      <c r="AF682" s="1190"/>
      <c r="AG682" s="1190"/>
      <c r="AH682" s="1190"/>
      <c r="AI682" s="1190"/>
      <c r="AJ682" s="1190"/>
      <c r="AK682" s="1190"/>
      <c r="AL682" s="1190"/>
      <c r="AM682" s="1190"/>
      <c r="AN682" s="1190"/>
      <c r="AO682" s="1190"/>
      <c r="AP682" s="1190"/>
      <c r="AQ682" s="1190"/>
      <c r="AR682" s="1190"/>
      <c r="AS682" s="1190"/>
      <c r="AT682" s="1190"/>
      <c r="AU682" s="1190"/>
      <c r="AV682" s="1190"/>
      <c r="AW682" s="1190"/>
      <c r="AX682" s="1190"/>
      <c r="AY682" s="1190"/>
      <c r="AZ682" s="1190"/>
      <c r="BA682" s="1190"/>
      <c r="BB682" s="1190"/>
      <c r="BC682" s="1190"/>
      <c r="BD682" s="1190"/>
      <c r="BE682" s="1190"/>
      <c r="BF682" s="1190"/>
      <c r="BG682" s="1190"/>
      <c r="BH682" s="1190"/>
      <c r="BI682" s="1190"/>
      <c r="BJ682" s="1190"/>
      <c r="BK682" s="1190"/>
      <c r="BL682" s="1190"/>
      <c r="BM682" s="1190"/>
      <c r="BN682" s="1190"/>
      <c r="BO682" s="1190"/>
    </row>
    <row r="683" spans="26:67">
      <c r="Z683" s="1190"/>
      <c r="AA683" s="1190"/>
      <c r="AB683" s="1190"/>
      <c r="AC683" s="1190"/>
      <c r="AD683" s="1190"/>
      <c r="AE683" s="1190"/>
      <c r="AF683" s="1190"/>
      <c r="AG683" s="1190"/>
      <c r="AH683" s="1190"/>
      <c r="AI683" s="1190"/>
      <c r="AJ683" s="1190"/>
      <c r="AK683" s="1190"/>
      <c r="AL683" s="1190"/>
      <c r="AM683" s="1190"/>
      <c r="AN683" s="1190"/>
      <c r="AO683" s="1190"/>
      <c r="AP683" s="1190"/>
      <c r="AQ683" s="1190"/>
      <c r="AR683" s="1190"/>
      <c r="AS683" s="1190"/>
      <c r="AT683" s="1190"/>
      <c r="AU683" s="1190"/>
      <c r="AV683" s="1190"/>
      <c r="AW683" s="1190"/>
      <c r="AX683" s="1190"/>
      <c r="AY683" s="1190"/>
      <c r="AZ683" s="1190"/>
      <c r="BA683" s="1190"/>
      <c r="BB683" s="1190"/>
      <c r="BC683" s="1190"/>
      <c r="BD683" s="1190"/>
      <c r="BE683" s="1190"/>
      <c r="BF683" s="1190"/>
      <c r="BG683" s="1190"/>
      <c r="BH683" s="1190"/>
      <c r="BI683" s="1190"/>
      <c r="BJ683" s="1190"/>
      <c r="BK683" s="1190"/>
      <c r="BL683" s="1190"/>
      <c r="BM683" s="1190"/>
      <c r="BN683" s="1190"/>
      <c r="BO683" s="1190"/>
    </row>
    <row r="684" spans="26:67">
      <c r="Z684" s="1190"/>
      <c r="AA684" s="1190"/>
      <c r="AB684" s="1190"/>
      <c r="AC684" s="1190"/>
      <c r="AD684" s="1190"/>
      <c r="AE684" s="1190"/>
      <c r="AF684" s="1190"/>
      <c r="AG684" s="1190"/>
      <c r="AH684" s="1190"/>
      <c r="AI684" s="1190"/>
      <c r="AJ684" s="1190"/>
      <c r="AK684" s="1190"/>
      <c r="AL684" s="1190"/>
      <c r="AM684" s="1190"/>
      <c r="AN684" s="1190"/>
      <c r="AO684" s="1190"/>
      <c r="AP684" s="1190"/>
      <c r="AQ684" s="1190"/>
      <c r="AR684" s="1190"/>
      <c r="AS684" s="1190"/>
      <c r="AT684" s="1190"/>
      <c r="AU684" s="1190"/>
      <c r="AV684" s="1190"/>
      <c r="AW684" s="1190"/>
      <c r="AX684" s="1190"/>
      <c r="AY684" s="1190"/>
      <c r="AZ684" s="1190"/>
      <c r="BA684" s="1190"/>
      <c r="BB684" s="1190"/>
      <c r="BC684" s="1190"/>
      <c r="BD684" s="1190"/>
      <c r="BE684" s="1190"/>
      <c r="BF684" s="1190"/>
      <c r="BG684" s="1190"/>
      <c r="BH684" s="1190"/>
      <c r="BI684" s="1190"/>
      <c r="BJ684" s="1190"/>
      <c r="BK684" s="1190"/>
      <c r="BL684" s="1190"/>
      <c r="BM684" s="1190"/>
      <c r="BN684" s="1190"/>
      <c r="BO684" s="1190"/>
    </row>
    <row r="685" spans="26:67">
      <c r="Z685" s="1190"/>
      <c r="AA685" s="1190"/>
      <c r="AB685" s="1190"/>
      <c r="AC685" s="1190"/>
      <c r="AD685" s="1190"/>
      <c r="AE685" s="1190"/>
      <c r="AF685" s="1190"/>
      <c r="AG685" s="1190"/>
      <c r="AH685" s="1190"/>
      <c r="AI685" s="1190"/>
      <c r="AJ685" s="1190"/>
      <c r="AK685" s="1190"/>
      <c r="AL685" s="1190"/>
      <c r="AM685" s="1190"/>
      <c r="AN685" s="1190"/>
      <c r="AO685" s="1190"/>
      <c r="AP685" s="1190"/>
      <c r="AQ685" s="1190"/>
      <c r="AR685" s="1190"/>
      <c r="AS685" s="1190"/>
      <c r="AT685" s="1190"/>
      <c r="AU685" s="1190"/>
      <c r="AV685" s="1190"/>
      <c r="AW685" s="1190"/>
      <c r="AX685" s="1190"/>
      <c r="AY685" s="1190"/>
      <c r="AZ685" s="1190"/>
      <c r="BA685" s="1190"/>
      <c r="BB685" s="1190"/>
      <c r="BC685" s="1190"/>
      <c r="BD685" s="1190"/>
      <c r="BE685" s="1190"/>
      <c r="BF685" s="1190"/>
      <c r="BG685" s="1190"/>
      <c r="BH685" s="1190"/>
      <c r="BI685" s="1190"/>
      <c r="BJ685" s="1190"/>
      <c r="BK685" s="1190"/>
      <c r="BL685" s="1190"/>
      <c r="BM685" s="1190"/>
      <c r="BN685" s="1190"/>
      <c r="BO685" s="1190"/>
    </row>
    <row r="686" spans="26:67">
      <c r="Z686" s="1190"/>
      <c r="AA686" s="1190"/>
      <c r="AB686" s="1190"/>
      <c r="AC686" s="1190"/>
      <c r="AD686" s="1190"/>
      <c r="AE686" s="1190"/>
      <c r="AF686" s="1190"/>
      <c r="AG686" s="1190"/>
      <c r="AH686" s="1190"/>
      <c r="AI686" s="1190"/>
      <c r="AJ686" s="1190"/>
      <c r="AK686" s="1190"/>
      <c r="AL686" s="1190"/>
      <c r="AM686" s="1190"/>
      <c r="AN686" s="1190"/>
      <c r="AO686" s="1190"/>
      <c r="AP686" s="1190"/>
      <c r="AQ686" s="1190"/>
      <c r="AR686" s="1190"/>
      <c r="AS686" s="1190"/>
      <c r="AT686" s="1190"/>
      <c r="AU686" s="1190"/>
      <c r="AV686" s="1190"/>
      <c r="AW686" s="1190"/>
      <c r="AX686" s="1190"/>
      <c r="AY686" s="1190"/>
      <c r="AZ686" s="1190"/>
      <c r="BA686" s="1190"/>
      <c r="BB686" s="1190"/>
      <c r="BC686" s="1190"/>
      <c r="BD686" s="1190"/>
      <c r="BE686" s="1190"/>
      <c r="BF686" s="1190"/>
      <c r="BG686" s="1190"/>
      <c r="BH686" s="1190"/>
      <c r="BI686" s="1190"/>
      <c r="BJ686" s="1190"/>
      <c r="BK686" s="1190"/>
      <c r="BL686" s="1190"/>
      <c r="BM686" s="1190"/>
      <c r="BN686" s="1190"/>
      <c r="BO686" s="1190"/>
    </row>
    <row r="687" spans="26:67">
      <c r="Z687" s="1190"/>
      <c r="AA687" s="1190"/>
      <c r="AB687" s="1190"/>
      <c r="AC687" s="1190"/>
      <c r="AD687" s="1190"/>
      <c r="AE687" s="1190"/>
      <c r="AF687" s="1190"/>
      <c r="AG687" s="1190"/>
      <c r="AH687" s="1190"/>
      <c r="AI687" s="1190"/>
      <c r="AJ687" s="1190"/>
      <c r="AK687" s="1190"/>
      <c r="AL687" s="1190"/>
      <c r="AM687" s="1190"/>
      <c r="AN687" s="1190"/>
      <c r="AO687" s="1190"/>
      <c r="AP687" s="1190"/>
      <c r="AQ687" s="1190"/>
      <c r="AR687" s="1190"/>
      <c r="AS687" s="1190"/>
      <c r="AT687" s="1190"/>
      <c r="AU687" s="1190"/>
      <c r="AV687" s="1190"/>
      <c r="AW687" s="1190"/>
      <c r="AX687" s="1190"/>
      <c r="AY687" s="1190"/>
      <c r="AZ687" s="1190"/>
      <c r="BA687" s="1190"/>
      <c r="BB687" s="1190"/>
      <c r="BC687" s="1190"/>
      <c r="BD687" s="1190"/>
      <c r="BE687" s="1190"/>
      <c r="BF687" s="1190"/>
      <c r="BG687" s="1190"/>
      <c r="BH687" s="1190"/>
      <c r="BI687" s="1190"/>
      <c r="BJ687" s="1190"/>
      <c r="BK687" s="1190"/>
      <c r="BL687" s="1190"/>
      <c r="BM687" s="1190"/>
      <c r="BN687" s="1190"/>
      <c r="BO687" s="1190"/>
    </row>
    <row r="688" spans="26:67">
      <c r="Z688" s="1190"/>
      <c r="AA688" s="1190"/>
      <c r="AB688" s="1190"/>
      <c r="AC688" s="1190"/>
      <c r="AD688" s="1190"/>
      <c r="AE688" s="1190"/>
      <c r="AF688" s="1190"/>
      <c r="AG688" s="1190"/>
      <c r="AH688" s="1190"/>
      <c r="AI688" s="1190"/>
      <c r="AJ688" s="1190"/>
      <c r="AK688" s="1190"/>
      <c r="AL688" s="1190"/>
      <c r="AM688" s="1190"/>
      <c r="AN688" s="1190"/>
      <c r="AO688" s="1190"/>
      <c r="AP688" s="1190"/>
      <c r="AQ688" s="1190"/>
      <c r="AR688" s="1190"/>
      <c r="AS688" s="1190"/>
      <c r="AT688" s="1190"/>
      <c r="AU688" s="1190"/>
      <c r="AV688" s="1190"/>
      <c r="AW688" s="1190"/>
      <c r="AX688" s="1190"/>
      <c r="AY688" s="1190"/>
      <c r="AZ688" s="1190"/>
      <c r="BA688" s="1190"/>
      <c r="BB688" s="1190"/>
      <c r="BC688" s="1190"/>
      <c r="BD688" s="1190"/>
      <c r="BE688" s="1190"/>
      <c r="BF688" s="1190"/>
      <c r="BG688" s="1190"/>
      <c r="BH688" s="1190"/>
      <c r="BI688" s="1190"/>
      <c r="BJ688" s="1190"/>
      <c r="BK688" s="1190"/>
      <c r="BL688" s="1190"/>
      <c r="BM688" s="1190"/>
      <c r="BN688" s="1190"/>
      <c r="BO688" s="1190"/>
    </row>
    <row r="689" spans="26:67">
      <c r="Z689" s="1190"/>
      <c r="AA689" s="1190"/>
      <c r="AB689" s="1190"/>
      <c r="AC689" s="1190"/>
      <c r="AD689" s="1190"/>
      <c r="AE689" s="1190"/>
      <c r="AF689" s="1190"/>
      <c r="AG689" s="1190"/>
      <c r="AH689" s="1190"/>
      <c r="AI689" s="1190"/>
      <c r="AJ689" s="1190"/>
      <c r="AK689" s="1190"/>
      <c r="AL689" s="1190"/>
      <c r="AM689" s="1190"/>
      <c r="AN689" s="1190"/>
      <c r="AO689" s="1190"/>
      <c r="AP689" s="1190"/>
      <c r="AQ689" s="1190"/>
      <c r="AR689" s="1190"/>
      <c r="AS689" s="1190"/>
      <c r="AT689" s="1190"/>
      <c r="AU689" s="1190"/>
      <c r="AV689" s="1190"/>
      <c r="AW689" s="1190"/>
      <c r="AX689" s="1190"/>
      <c r="AY689" s="1190"/>
      <c r="AZ689" s="1190"/>
      <c r="BA689" s="1190"/>
      <c r="BB689" s="1190"/>
      <c r="BC689" s="1190"/>
      <c r="BD689" s="1190"/>
      <c r="BE689" s="1190"/>
      <c r="BF689" s="1190"/>
      <c r="BG689" s="1190"/>
      <c r="BH689" s="1190"/>
      <c r="BI689" s="1190"/>
      <c r="BJ689" s="1190"/>
      <c r="BK689" s="1190"/>
      <c r="BL689" s="1190"/>
      <c r="BM689" s="1190"/>
      <c r="BN689" s="1190"/>
      <c r="BO689" s="1190"/>
    </row>
    <row r="690" spans="26:67">
      <c r="Z690" s="1190"/>
      <c r="AA690" s="1190"/>
      <c r="AB690" s="1190"/>
      <c r="AC690" s="1190"/>
      <c r="AD690" s="1190"/>
      <c r="AE690" s="1190"/>
      <c r="AF690" s="1190"/>
      <c r="AG690" s="1190"/>
      <c r="AH690" s="1190"/>
      <c r="AI690" s="1190"/>
      <c r="AJ690" s="1190"/>
      <c r="AK690" s="1190"/>
      <c r="AL690" s="1190"/>
      <c r="AM690" s="1190"/>
      <c r="AN690" s="1190"/>
      <c r="AO690" s="1190"/>
      <c r="AP690" s="1190"/>
      <c r="AQ690" s="1190"/>
      <c r="AR690" s="1190"/>
      <c r="AS690" s="1190"/>
      <c r="AT690" s="1190"/>
      <c r="AU690" s="1190"/>
      <c r="AV690" s="1190"/>
      <c r="AW690" s="1190"/>
      <c r="AX690" s="1190"/>
      <c r="AY690" s="1190"/>
      <c r="AZ690" s="1190"/>
      <c r="BA690" s="1190"/>
      <c r="BB690" s="1190"/>
      <c r="BC690" s="1190"/>
      <c r="BD690" s="1190"/>
      <c r="BE690" s="1190"/>
      <c r="BF690" s="1190"/>
      <c r="BG690" s="1190"/>
      <c r="BH690" s="1190"/>
      <c r="BI690" s="1190"/>
      <c r="BJ690" s="1190"/>
      <c r="BK690" s="1190"/>
      <c r="BL690" s="1190"/>
      <c r="BM690" s="1190"/>
      <c r="BN690" s="1190"/>
      <c r="BO690" s="1190"/>
    </row>
    <row r="691" spans="26:67">
      <c r="Z691" s="1190"/>
      <c r="AA691" s="1190"/>
      <c r="AB691" s="1190"/>
      <c r="AC691" s="1190"/>
      <c r="AD691" s="1190"/>
      <c r="AE691" s="1190"/>
      <c r="AF691" s="1190"/>
      <c r="AG691" s="1190"/>
      <c r="AH691" s="1190"/>
      <c r="AI691" s="1190"/>
      <c r="AJ691" s="1190"/>
      <c r="AK691" s="1190"/>
      <c r="AL691" s="1190"/>
      <c r="AM691" s="1190"/>
      <c r="AN691" s="1190"/>
      <c r="AO691" s="1190"/>
      <c r="AP691" s="1190"/>
      <c r="AQ691" s="1190"/>
      <c r="AR691" s="1190"/>
      <c r="AS691" s="1190"/>
      <c r="AT691" s="1190"/>
      <c r="AU691" s="1190"/>
      <c r="AV691" s="1190"/>
      <c r="AW691" s="1190"/>
      <c r="AX691" s="1190"/>
      <c r="AY691" s="1190"/>
      <c r="AZ691" s="1190"/>
      <c r="BA691" s="1190"/>
      <c r="BB691" s="1190"/>
      <c r="BC691" s="1190"/>
      <c r="BD691" s="1190"/>
      <c r="BE691" s="1190"/>
      <c r="BF691" s="1190"/>
      <c r="BG691" s="1190"/>
      <c r="BH691" s="1190"/>
      <c r="BI691" s="1190"/>
      <c r="BJ691" s="1190"/>
      <c r="BK691" s="1190"/>
      <c r="BL691" s="1190"/>
      <c r="BM691" s="1190"/>
      <c r="BN691" s="1190"/>
      <c r="BO691" s="1190"/>
    </row>
    <row r="692" spans="26:67">
      <c r="Z692" s="1190"/>
      <c r="AA692" s="1190"/>
      <c r="AB692" s="1190"/>
      <c r="AC692" s="1190"/>
      <c r="AD692" s="1190"/>
      <c r="AE692" s="1190"/>
      <c r="AF692" s="1190"/>
      <c r="AG692" s="1190"/>
      <c r="AH692" s="1190"/>
      <c r="AI692" s="1190"/>
      <c r="AJ692" s="1190"/>
      <c r="AK692" s="1190"/>
      <c r="AL692" s="1190"/>
      <c r="AM692" s="1190"/>
      <c r="AN692" s="1190"/>
      <c r="AO692" s="1190"/>
      <c r="AP692" s="1190"/>
      <c r="AQ692" s="1190"/>
      <c r="AR692" s="1190"/>
      <c r="AS692" s="1190"/>
      <c r="AT692" s="1190"/>
      <c r="AU692" s="1190"/>
      <c r="AV692" s="1190"/>
      <c r="AW692" s="1190"/>
      <c r="AX692" s="1190"/>
      <c r="AY692" s="1190"/>
      <c r="AZ692" s="1190"/>
      <c r="BA692" s="1190"/>
      <c r="BB692" s="1190"/>
      <c r="BC692" s="1190"/>
      <c r="BD692" s="1190"/>
      <c r="BE692" s="1190"/>
      <c r="BF692" s="1190"/>
      <c r="BG692" s="1190"/>
      <c r="BH692" s="1190"/>
      <c r="BI692" s="1190"/>
      <c r="BJ692" s="1190"/>
      <c r="BK692" s="1190"/>
      <c r="BL692" s="1190"/>
      <c r="BM692" s="1190"/>
      <c r="BN692" s="1190"/>
      <c r="BO692" s="1190"/>
    </row>
    <row r="693" spans="26:67">
      <c r="Z693" s="1190"/>
      <c r="AA693" s="1190"/>
      <c r="AB693" s="1190"/>
      <c r="AC693" s="1190"/>
      <c r="AD693" s="1190"/>
      <c r="AE693" s="1190"/>
      <c r="AF693" s="1190"/>
      <c r="AG693" s="1190"/>
      <c r="AH693" s="1190"/>
      <c r="AI693" s="1190"/>
      <c r="AJ693" s="1190"/>
      <c r="AK693" s="1190"/>
      <c r="AL693" s="1190"/>
      <c r="AM693" s="1190"/>
      <c r="AN693" s="1190"/>
      <c r="AO693" s="1190"/>
      <c r="AP693" s="1190"/>
      <c r="AQ693" s="1190"/>
      <c r="AR693" s="1190"/>
      <c r="AS693" s="1190"/>
      <c r="AT693" s="1190"/>
      <c r="AU693" s="1190"/>
      <c r="AV693" s="1190"/>
      <c r="AW693" s="1190"/>
      <c r="AX693" s="1190"/>
      <c r="AY693" s="1190"/>
      <c r="AZ693" s="1190"/>
      <c r="BA693" s="1190"/>
      <c r="BB693" s="1190"/>
      <c r="BC693" s="1190"/>
      <c r="BD693" s="1190"/>
      <c r="BE693" s="1190"/>
      <c r="BF693" s="1190"/>
      <c r="BG693" s="1190"/>
      <c r="BH693" s="1190"/>
      <c r="BI693" s="1190"/>
      <c r="BJ693" s="1190"/>
      <c r="BK693" s="1190"/>
      <c r="BL693" s="1190"/>
      <c r="BM693" s="1190"/>
      <c r="BN693" s="1190"/>
      <c r="BO693" s="1190"/>
    </row>
    <row r="694" spans="26:67">
      <c r="Z694" s="1190"/>
      <c r="AA694" s="1190"/>
      <c r="AB694" s="1190"/>
      <c r="AC694" s="1190"/>
      <c r="AD694" s="1190"/>
      <c r="AE694" s="1190"/>
      <c r="AF694" s="1190"/>
      <c r="AG694" s="1190"/>
      <c r="AH694" s="1190"/>
      <c r="AI694" s="1190"/>
      <c r="AJ694" s="1190"/>
      <c r="AK694" s="1190"/>
      <c r="AL694" s="1190"/>
      <c r="AM694" s="1190"/>
      <c r="AN694" s="1190"/>
      <c r="AO694" s="1190"/>
      <c r="AP694" s="1190"/>
      <c r="AQ694" s="1190"/>
      <c r="AR694" s="1190"/>
      <c r="AS694" s="1190"/>
      <c r="AT694" s="1190"/>
      <c r="AU694" s="1190"/>
      <c r="AV694" s="1190"/>
      <c r="AW694" s="1190"/>
      <c r="AX694" s="1190"/>
      <c r="AY694" s="1190"/>
      <c r="AZ694" s="1190"/>
      <c r="BA694" s="1190"/>
      <c r="BB694" s="1190"/>
      <c r="BC694" s="1190"/>
      <c r="BD694" s="1190"/>
      <c r="BE694" s="1190"/>
      <c r="BF694" s="1190"/>
      <c r="BG694" s="1190"/>
      <c r="BH694" s="1190"/>
      <c r="BI694" s="1190"/>
      <c r="BJ694" s="1190"/>
      <c r="BK694" s="1190"/>
      <c r="BL694" s="1190"/>
      <c r="BM694" s="1190"/>
      <c r="BN694" s="1190"/>
      <c r="BO694" s="1190"/>
    </row>
    <row r="695" spans="26:67">
      <c r="Z695" s="1190"/>
      <c r="AA695" s="1190"/>
      <c r="AB695" s="1190"/>
      <c r="AC695" s="1190"/>
      <c r="AD695" s="1190"/>
      <c r="AE695" s="1190"/>
      <c r="AF695" s="1190"/>
      <c r="AG695" s="1190"/>
      <c r="AH695" s="1190"/>
      <c r="AI695" s="1190"/>
      <c r="AJ695" s="1190"/>
      <c r="AK695" s="1190"/>
      <c r="AL695" s="1190"/>
      <c r="AM695" s="1190"/>
      <c r="AN695" s="1190"/>
      <c r="AO695" s="1190"/>
      <c r="AP695" s="1190"/>
      <c r="AQ695" s="1190"/>
      <c r="AR695" s="1190"/>
      <c r="AS695" s="1190"/>
      <c r="AT695" s="1190"/>
      <c r="AU695" s="1190"/>
      <c r="AV695" s="1190"/>
      <c r="AW695" s="1190"/>
      <c r="AX695" s="1190"/>
      <c r="AY695" s="1190"/>
      <c r="AZ695" s="1190"/>
      <c r="BA695" s="1190"/>
      <c r="BB695" s="1190"/>
      <c r="BC695" s="1190"/>
      <c r="BD695" s="1190"/>
      <c r="BE695" s="1190"/>
      <c r="BF695" s="1190"/>
      <c r="BG695" s="1190"/>
      <c r="BH695" s="1190"/>
      <c r="BI695" s="1190"/>
      <c r="BJ695" s="1190"/>
      <c r="BK695" s="1190"/>
      <c r="BL695" s="1190"/>
      <c r="BM695" s="1190"/>
      <c r="BN695" s="1190"/>
      <c r="BO695" s="1190"/>
    </row>
    <row r="696" spans="26:67">
      <c r="Z696" s="1190"/>
      <c r="AA696" s="1190"/>
      <c r="AB696" s="1190"/>
      <c r="AC696" s="1190"/>
      <c r="AD696" s="1190"/>
      <c r="AE696" s="1190"/>
      <c r="AF696" s="1190"/>
      <c r="AG696" s="1190"/>
      <c r="AH696" s="1190"/>
      <c r="AI696" s="1190"/>
      <c r="AJ696" s="1190"/>
      <c r="AK696" s="1190"/>
      <c r="AL696" s="1190"/>
      <c r="AM696" s="1190"/>
      <c r="AN696" s="1190"/>
      <c r="AO696" s="1190"/>
      <c r="AP696" s="1190"/>
      <c r="AQ696" s="1190"/>
      <c r="AR696" s="1190"/>
      <c r="AS696" s="1190"/>
      <c r="AT696" s="1190"/>
      <c r="AU696" s="1190"/>
      <c r="AV696" s="1190"/>
      <c r="AW696" s="1190"/>
      <c r="AX696" s="1190"/>
      <c r="AY696" s="1190"/>
      <c r="AZ696" s="1190"/>
      <c r="BA696" s="1190"/>
      <c r="BB696" s="1190"/>
      <c r="BC696" s="1190"/>
      <c r="BD696" s="1190"/>
      <c r="BE696" s="1190"/>
      <c r="BF696" s="1190"/>
      <c r="BG696" s="1190"/>
      <c r="BH696" s="1190"/>
      <c r="BI696" s="1190"/>
      <c r="BJ696" s="1190"/>
      <c r="BK696" s="1190"/>
      <c r="BL696" s="1190"/>
      <c r="BM696" s="1190"/>
      <c r="BN696" s="1190"/>
      <c r="BO696" s="1190"/>
    </row>
    <row r="697" spans="26:67">
      <c r="Z697" s="1190"/>
      <c r="AA697" s="1190"/>
      <c r="AB697" s="1190"/>
      <c r="AC697" s="1190"/>
      <c r="AD697" s="1190"/>
      <c r="AE697" s="1190"/>
      <c r="AF697" s="1190"/>
      <c r="AG697" s="1190"/>
      <c r="AH697" s="1190"/>
      <c r="AI697" s="1190"/>
      <c r="AJ697" s="1190"/>
      <c r="AK697" s="1190"/>
      <c r="AL697" s="1190"/>
      <c r="AM697" s="1190"/>
      <c r="AN697" s="1190"/>
      <c r="AO697" s="1190"/>
      <c r="AP697" s="1190"/>
      <c r="AQ697" s="1190"/>
      <c r="AR697" s="1190"/>
      <c r="AS697" s="1190"/>
      <c r="AT697" s="1190"/>
      <c r="AU697" s="1190"/>
      <c r="AV697" s="1190"/>
      <c r="AW697" s="1190"/>
      <c r="AX697" s="1190"/>
      <c r="AY697" s="1190"/>
      <c r="AZ697" s="1190"/>
      <c r="BA697" s="1190"/>
      <c r="BB697" s="1190"/>
      <c r="BC697" s="1190"/>
      <c r="BD697" s="1190"/>
      <c r="BE697" s="1190"/>
      <c r="BF697" s="1190"/>
      <c r="BG697" s="1190"/>
      <c r="BH697" s="1190"/>
      <c r="BI697" s="1190"/>
      <c r="BJ697" s="1190"/>
      <c r="BK697" s="1190"/>
      <c r="BL697" s="1190"/>
      <c r="BM697" s="1190"/>
      <c r="BN697" s="1190"/>
      <c r="BO697" s="1190"/>
    </row>
    <row r="698" spans="26:67">
      <c r="Z698" s="1190"/>
      <c r="AA698" s="1190"/>
      <c r="AB698" s="1190"/>
      <c r="AC698" s="1190"/>
      <c r="AD698" s="1190"/>
      <c r="AE698" s="1190"/>
      <c r="AF698" s="1190"/>
      <c r="AG698" s="1190"/>
      <c r="AH698" s="1190"/>
      <c r="AI698" s="1190"/>
      <c r="AJ698" s="1190"/>
      <c r="AK698" s="1190"/>
      <c r="AL698" s="1190"/>
      <c r="AM698" s="1190"/>
      <c r="AN698" s="1190"/>
      <c r="AO698" s="1190"/>
      <c r="AP698" s="1190"/>
      <c r="AQ698" s="1190"/>
      <c r="AR698" s="1190"/>
      <c r="AS698" s="1190"/>
      <c r="AT698" s="1190"/>
      <c r="AU698" s="1190"/>
      <c r="AV698" s="1190"/>
      <c r="AW698" s="1190"/>
      <c r="AX698" s="1190"/>
      <c r="AY698" s="1190"/>
      <c r="AZ698" s="1190"/>
      <c r="BA698" s="1190"/>
      <c r="BB698" s="1190"/>
      <c r="BC698" s="1190"/>
      <c r="BD698" s="1190"/>
      <c r="BE698" s="1190"/>
      <c r="BF698" s="1190"/>
      <c r="BG698" s="1190"/>
      <c r="BH698" s="1190"/>
      <c r="BI698" s="1190"/>
      <c r="BJ698" s="1190"/>
      <c r="BK698" s="1190"/>
      <c r="BL698" s="1190"/>
      <c r="BM698" s="1190"/>
      <c r="BN698" s="1190"/>
      <c r="BO698" s="1190"/>
    </row>
    <row r="699" spans="26:67">
      <c r="Z699" s="1190"/>
      <c r="AA699" s="1190"/>
      <c r="AB699" s="1190"/>
      <c r="AC699" s="1190"/>
      <c r="AD699" s="1190"/>
      <c r="AE699" s="1190"/>
      <c r="AF699" s="1190"/>
      <c r="AG699" s="1190"/>
      <c r="AH699" s="1190"/>
      <c r="AI699" s="1190"/>
      <c r="AJ699" s="1190"/>
      <c r="AK699" s="1190"/>
      <c r="AL699" s="1190"/>
      <c r="AM699" s="1190"/>
      <c r="AN699" s="1190"/>
      <c r="AO699" s="1190"/>
      <c r="AP699" s="1190"/>
      <c r="AQ699" s="1190"/>
      <c r="AR699" s="1190"/>
      <c r="AS699" s="1190"/>
      <c r="AT699" s="1190"/>
      <c r="AU699" s="1190"/>
      <c r="AV699" s="1190"/>
      <c r="AW699" s="1190"/>
      <c r="AX699" s="1190"/>
      <c r="AY699" s="1190"/>
      <c r="AZ699" s="1190"/>
      <c r="BA699" s="1190"/>
      <c r="BB699" s="1190"/>
      <c r="BC699" s="1190"/>
      <c r="BD699" s="1190"/>
      <c r="BE699" s="1190"/>
      <c r="BF699" s="1190"/>
      <c r="BG699" s="1190"/>
      <c r="BH699" s="1190"/>
      <c r="BI699" s="1190"/>
      <c r="BJ699" s="1190"/>
      <c r="BK699" s="1190"/>
      <c r="BL699" s="1190"/>
      <c r="BM699" s="1190"/>
      <c r="BN699" s="1190"/>
      <c r="BO699" s="1190"/>
    </row>
    <row r="700" spans="26:67">
      <c r="Z700" s="1190"/>
      <c r="AA700" s="1190"/>
      <c r="AB700" s="1190"/>
      <c r="AC700" s="1190"/>
      <c r="AD700" s="1190"/>
      <c r="AE700" s="1190"/>
      <c r="AF700" s="1190"/>
      <c r="AG700" s="1190"/>
      <c r="AH700" s="1190"/>
      <c r="AI700" s="1190"/>
      <c r="AJ700" s="1190"/>
      <c r="AK700" s="1190"/>
      <c r="AL700" s="1190"/>
      <c r="AM700" s="1190"/>
      <c r="AN700" s="1190"/>
      <c r="AO700" s="1190"/>
      <c r="AP700" s="1190"/>
      <c r="AQ700" s="1190"/>
      <c r="AR700" s="1190"/>
      <c r="AS700" s="1190"/>
      <c r="AT700" s="1190"/>
      <c r="AU700" s="1190"/>
      <c r="AV700" s="1190"/>
      <c r="AW700" s="1190"/>
      <c r="AX700" s="1190"/>
      <c r="AY700" s="1190"/>
      <c r="AZ700" s="1190"/>
      <c r="BA700" s="1190"/>
      <c r="BB700" s="1190"/>
      <c r="BC700" s="1190"/>
      <c r="BD700" s="1190"/>
      <c r="BE700" s="1190"/>
      <c r="BF700" s="1190"/>
      <c r="BG700" s="1190"/>
      <c r="BH700" s="1190"/>
      <c r="BI700" s="1190"/>
      <c r="BJ700" s="1190"/>
      <c r="BK700" s="1190"/>
      <c r="BL700" s="1190"/>
      <c r="BM700" s="1190"/>
      <c r="BN700" s="1190"/>
      <c r="BO700" s="1190"/>
    </row>
    <row r="701" spans="26:67">
      <c r="Z701" s="1190"/>
      <c r="AA701" s="1190"/>
      <c r="AB701" s="1190"/>
      <c r="AC701" s="1190"/>
      <c r="AD701" s="1190"/>
      <c r="AE701" s="1190"/>
      <c r="AF701" s="1190"/>
      <c r="AG701" s="1190"/>
      <c r="AH701" s="1190"/>
      <c r="AI701" s="1190"/>
      <c r="AJ701" s="1190"/>
      <c r="AK701" s="1190"/>
      <c r="AL701" s="1190"/>
      <c r="AM701" s="1190"/>
      <c r="AN701" s="1190"/>
      <c r="AO701" s="1190"/>
      <c r="AP701" s="1190"/>
      <c r="AQ701" s="1190"/>
      <c r="AR701" s="1190"/>
      <c r="AS701" s="1190"/>
      <c r="AT701" s="1190"/>
      <c r="AU701" s="1190"/>
      <c r="AV701" s="1190"/>
      <c r="AW701" s="1190"/>
      <c r="AX701" s="1190"/>
      <c r="AY701" s="1190"/>
      <c r="AZ701" s="1190"/>
      <c r="BA701" s="1190"/>
      <c r="BB701" s="1190"/>
      <c r="BC701" s="1190"/>
      <c r="BD701" s="1190"/>
      <c r="BE701" s="1190"/>
      <c r="BF701" s="1190"/>
      <c r="BG701" s="1190"/>
      <c r="BH701" s="1190"/>
      <c r="BI701" s="1190"/>
      <c r="BJ701" s="1190"/>
      <c r="BK701" s="1190"/>
      <c r="BL701" s="1190"/>
      <c r="BM701" s="1190"/>
      <c r="BN701" s="1190"/>
      <c r="BO701" s="1190"/>
    </row>
    <row r="702" spans="26:67">
      <c r="Z702" s="1190"/>
      <c r="AA702" s="1190"/>
      <c r="AB702" s="1190"/>
      <c r="AC702" s="1190"/>
      <c r="AD702" s="1190"/>
      <c r="AE702" s="1190"/>
      <c r="AF702" s="1190"/>
      <c r="AG702" s="1190"/>
      <c r="AH702" s="1190"/>
      <c r="AI702" s="1190"/>
      <c r="AJ702" s="1190"/>
      <c r="AK702" s="1190"/>
      <c r="AL702" s="1190"/>
      <c r="AM702" s="1190"/>
      <c r="AN702" s="1190"/>
      <c r="AO702" s="1190"/>
      <c r="AP702" s="1190"/>
      <c r="AQ702" s="1190"/>
      <c r="AR702" s="1190"/>
      <c r="AS702" s="1190"/>
      <c r="AT702" s="1190"/>
      <c r="AU702" s="1190"/>
      <c r="AV702" s="1190"/>
      <c r="AW702" s="1190"/>
      <c r="AX702" s="1190"/>
      <c r="AY702" s="1190"/>
      <c r="AZ702" s="1190"/>
      <c r="BA702" s="1190"/>
      <c r="BB702" s="1190"/>
      <c r="BC702" s="1190"/>
      <c r="BD702" s="1190"/>
      <c r="BE702" s="1190"/>
      <c r="BF702" s="1190"/>
      <c r="BG702" s="1190"/>
      <c r="BH702" s="1190"/>
      <c r="BI702" s="1190"/>
      <c r="BJ702" s="1190"/>
      <c r="BK702" s="1190"/>
      <c r="BL702" s="1190"/>
      <c r="BM702" s="1190"/>
      <c r="BN702" s="1190"/>
      <c r="BO702" s="1190"/>
    </row>
    <row r="703" spans="26:67">
      <c r="Z703" s="1190"/>
      <c r="AA703" s="1190"/>
      <c r="AB703" s="1190"/>
      <c r="AC703" s="1190"/>
      <c r="AD703" s="1190"/>
      <c r="AE703" s="1190"/>
      <c r="AF703" s="1190"/>
      <c r="AG703" s="1190"/>
      <c r="AH703" s="1190"/>
      <c r="AI703" s="1190"/>
      <c r="AJ703" s="1190"/>
      <c r="AK703" s="1190"/>
      <c r="AL703" s="1190"/>
      <c r="AM703" s="1190"/>
      <c r="AN703" s="1190"/>
      <c r="AO703" s="1190"/>
      <c r="AP703" s="1190"/>
      <c r="AQ703" s="1190"/>
      <c r="AR703" s="1190"/>
      <c r="AS703" s="1190"/>
      <c r="AT703" s="1190"/>
      <c r="AU703" s="1190"/>
      <c r="AV703" s="1190"/>
      <c r="AW703" s="1190"/>
      <c r="AX703" s="1190"/>
      <c r="AY703" s="1190"/>
      <c r="AZ703" s="1190"/>
      <c r="BA703" s="1190"/>
      <c r="BB703" s="1190"/>
      <c r="BC703" s="1190"/>
      <c r="BD703" s="1190"/>
      <c r="BE703" s="1190"/>
      <c r="BF703" s="1190"/>
      <c r="BG703" s="1190"/>
      <c r="BH703" s="1190"/>
      <c r="BI703" s="1190"/>
      <c r="BJ703" s="1190"/>
      <c r="BK703" s="1190"/>
      <c r="BL703" s="1190"/>
      <c r="BM703" s="1190"/>
      <c r="BN703" s="1190"/>
      <c r="BO703" s="1190"/>
    </row>
    <row r="704" spans="26:67">
      <c r="Z704" s="1190"/>
      <c r="AA704" s="1190"/>
      <c r="AB704" s="1190"/>
      <c r="AC704" s="1190"/>
      <c r="AD704" s="1190"/>
      <c r="AE704" s="1190"/>
      <c r="AF704" s="1190"/>
      <c r="AG704" s="1190"/>
      <c r="AH704" s="1190"/>
      <c r="AI704" s="1190"/>
      <c r="AJ704" s="1190"/>
      <c r="AK704" s="1190"/>
      <c r="AL704" s="1190"/>
      <c r="AM704" s="1190"/>
      <c r="AN704" s="1190"/>
      <c r="AO704" s="1190"/>
      <c r="AP704" s="1190"/>
      <c r="AQ704" s="1190"/>
      <c r="AR704" s="1190"/>
      <c r="AS704" s="1190"/>
      <c r="AT704" s="1190"/>
      <c r="AU704" s="1190"/>
      <c r="AV704" s="1190"/>
      <c r="AW704" s="1190"/>
      <c r="AX704" s="1190"/>
      <c r="AY704" s="1190"/>
      <c r="AZ704" s="1190"/>
      <c r="BA704" s="1190"/>
      <c r="BB704" s="1190"/>
      <c r="BC704" s="1190"/>
      <c r="BD704" s="1190"/>
      <c r="BE704" s="1190"/>
      <c r="BF704" s="1190"/>
      <c r="BG704" s="1190"/>
      <c r="BH704" s="1190"/>
      <c r="BI704" s="1190"/>
      <c r="BJ704" s="1190"/>
      <c r="BK704" s="1190"/>
      <c r="BL704" s="1190"/>
      <c r="BM704" s="1190"/>
      <c r="BN704" s="1190"/>
      <c r="BO704" s="1190"/>
    </row>
    <row r="705" spans="26:67">
      <c r="Z705" s="1190"/>
      <c r="AA705" s="1190"/>
      <c r="AB705" s="1190"/>
      <c r="AC705" s="1190"/>
      <c r="AD705" s="1190"/>
      <c r="AE705" s="1190"/>
      <c r="AF705" s="1190"/>
      <c r="AG705" s="1190"/>
      <c r="AH705" s="1190"/>
      <c r="AI705" s="1190"/>
      <c r="AJ705" s="1190"/>
      <c r="AK705" s="1190"/>
      <c r="AL705" s="1190"/>
      <c r="AM705" s="1190"/>
      <c r="AN705" s="1190"/>
      <c r="AO705" s="1190"/>
      <c r="AP705" s="1190"/>
      <c r="AQ705" s="1190"/>
      <c r="AR705" s="1190"/>
      <c r="AS705" s="1190"/>
      <c r="AT705" s="1190"/>
      <c r="AU705" s="1190"/>
      <c r="AV705" s="1190"/>
      <c r="AW705" s="1190"/>
      <c r="AX705" s="1190"/>
      <c r="AY705" s="1190"/>
      <c r="AZ705" s="1190"/>
      <c r="BA705" s="1190"/>
      <c r="BB705" s="1190"/>
      <c r="BC705" s="1190"/>
      <c r="BD705" s="1190"/>
      <c r="BE705" s="1190"/>
      <c r="BF705" s="1190"/>
      <c r="BG705" s="1190"/>
      <c r="BH705" s="1190"/>
      <c r="BI705" s="1190"/>
      <c r="BJ705" s="1190"/>
      <c r="BK705" s="1190"/>
      <c r="BL705" s="1190"/>
      <c r="BM705" s="1190"/>
      <c r="BN705" s="1190"/>
      <c r="BO705" s="1190"/>
    </row>
    <row r="706" spans="26:67">
      <c r="Z706" s="1190"/>
      <c r="AA706" s="1190"/>
      <c r="AB706" s="1190"/>
      <c r="AC706" s="1190"/>
      <c r="AD706" s="1190"/>
      <c r="AE706" s="1190"/>
      <c r="AF706" s="1190"/>
      <c r="AG706" s="1190"/>
      <c r="AH706" s="1190"/>
      <c r="AI706" s="1190"/>
      <c r="AJ706" s="1190"/>
      <c r="AK706" s="1190"/>
      <c r="AL706" s="1190"/>
      <c r="AM706" s="1190"/>
      <c r="AN706" s="1190"/>
      <c r="AO706" s="1190"/>
      <c r="AP706" s="1190"/>
      <c r="AQ706" s="1190"/>
      <c r="AR706" s="1190"/>
      <c r="AS706" s="1190"/>
      <c r="AT706" s="1190"/>
      <c r="AU706" s="1190"/>
      <c r="AV706" s="1190"/>
      <c r="AW706" s="1190"/>
      <c r="AX706" s="1190"/>
      <c r="AY706" s="1190"/>
      <c r="AZ706" s="1190"/>
      <c r="BA706" s="1190"/>
      <c r="BB706" s="1190"/>
      <c r="BC706" s="1190"/>
      <c r="BD706" s="1190"/>
      <c r="BE706" s="1190"/>
      <c r="BF706" s="1190"/>
      <c r="BG706" s="1190"/>
      <c r="BH706" s="1190"/>
      <c r="BI706" s="1190"/>
      <c r="BJ706" s="1190"/>
      <c r="BK706" s="1190"/>
      <c r="BL706" s="1190"/>
      <c r="BM706" s="1190"/>
      <c r="BN706" s="1190"/>
      <c r="BO706" s="1190"/>
    </row>
    <row r="707" spans="26:67">
      <c r="Z707" s="1190"/>
      <c r="AA707" s="1190"/>
      <c r="AB707" s="1190"/>
      <c r="AC707" s="1190"/>
      <c r="AD707" s="1190"/>
      <c r="AE707" s="1190"/>
      <c r="AF707" s="1190"/>
      <c r="AG707" s="1190"/>
      <c r="AH707" s="1190"/>
      <c r="AI707" s="1190"/>
      <c r="AJ707" s="1190"/>
      <c r="AK707" s="1190"/>
      <c r="AL707" s="1190"/>
      <c r="AM707" s="1190"/>
      <c r="AN707" s="1190"/>
      <c r="AO707" s="1190"/>
      <c r="AP707" s="1190"/>
      <c r="AQ707" s="1190"/>
      <c r="AR707" s="1190"/>
      <c r="AS707" s="1190"/>
      <c r="AT707" s="1190"/>
      <c r="AU707" s="1190"/>
      <c r="AV707" s="1190"/>
      <c r="AW707" s="1190"/>
      <c r="AX707" s="1190"/>
      <c r="AY707" s="1190"/>
      <c r="AZ707" s="1190"/>
      <c r="BA707" s="1190"/>
      <c r="BB707" s="1190"/>
      <c r="BC707" s="1190"/>
      <c r="BD707" s="1190"/>
      <c r="BE707" s="1190"/>
      <c r="BF707" s="1190"/>
      <c r="BG707" s="1190"/>
      <c r="BH707" s="1190"/>
      <c r="BI707" s="1190"/>
      <c r="BJ707" s="1190"/>
      <c r="BK707" s="1190"/>
      <c r="BL707" s="1190"/>
      <c r="BM707" s="1190"/>
      <c r="BN707" s="1190"/>
      <c r="BO707" s="1190"/>
    </row>
    <row r="708" spans="26:67">
      <c r="Z708" s="1190"/>
      <c r="AA708" s="1190"/>
      <c r="AB708" s="1190"/>
      <c r="AC708" s="1190"/>
      <c r="AD708" s="1190"/>
      <c r="AE708" s="1190"/>
      <c r="AF708" s="1190"/>
      <c r="AG708" s="1190"/>
      <c r="AH708" s="1190"/>
      <c r="AI708" s="1190"/>
      <c r="AJ708" s="1190"/>
      <c r="AK708" s="1190"/>
      <c r="AL708" s="1190"/>
      <c r="AM708" s="1190"/>
      <c r="AN708" s="1190"/>
      <c r="AO708" s="1190"/>
      <c r="AP708" s="1190"/>
      <c r="AQ708" s="1190"/>
      <c r="AR708" s="1190"/>
      <c r="AS708" s="1190"/>
      <c r="AT708" s="1190"/>
      <c r="AU708" s="1190"/>
      <c r="AV708" s="1190"/>
      <c r="AW708" s="1190"/>
      <c r="AX708" s="1190"/>
      <c r="AY708" s="1190"/>
      <c r="AZ708" s="1190"/>
      <c r="BA708" s="1190"/>
      <c r="BB708" s="1190"/>
      <c r="BC708" s="1190"/>
      <c r="BD708" s="1190"/>
      <c r="BE708" s="1190"/>
      <c r="BF708" s="1190"/>
      <c r="BG708" s="1190"/>
      <c r="BH708" s="1190"/>
      <c r="BI708" s="1190"/>
      <c r="BJ708" s="1190"/>
      <c r="BK708" s="1190"/>
      <c r="BL708" s="1190"/>
      <c r="BM708" s="1190"/>
      <c r="BN708" s="1190"/>
      <c r="BO708" s="1190"/>
    </row>
    <row r="709" spans="26:67">
      <c r="Z709" s="1190"/>
      <c r="AA709" s="1190"/>
      <c r="AB709" s="1190"/>
      <c r="AC709" s="1190"/>
      <c r="AD709" s="1190"/>
      <c r="AE709" s="1190"/>
      <c r="AF709" s="1190"/>
      <c r="AG709" s="1190"/>
      <c r="AH709" s="1190"/>
      <c r="AI709" s="1190"/>
      <c r="AJ709" s="1190"/>
      <c r="AK709" s="1190"/>
      <c r="AL709" s="1190"/>
      <c r="AM709" s="1190"/>
      <c r="AN709" s="1190"/>
      <c r="AO709" s="1190"/>
      <c r="AP709" s="1190"/>
      <c r="AQ709" s="1190"/>
      <c r="AR709" s="1190"/>
      <c r="AS709" s="1190"/>
      <c r="AT709" s="1190"/>
      <c r="AU709" s="1190"/>
      <c r="AV709" s="1190"/>
      <c r="AW709" s="1190"/>
      <c r="AX709" s="1190"/>
      <c r="AY709" s="1190"/>
      <c r="AZ709" s="1190"/>
      <c r="BA709" s="1190"/>
      <c r="BB709" s="1190"/>
      <c r="BC709" s="1190"/>
      <c r="BD709" s="1190"/>
      <c r="BE709" s="1190"/>
      <c r="BF709" s="1190"/>
      <c r="BG709" s="1190"/>
      <c r="BH709" s="1190"/>
      <c r="BI709" s="1190"/>
      <c r="BJ709" s="1190"/>
      <c r="BK709" s="1190"/>
      <c r="BL709" s="1190"/>
      <c r="BM709" s="1190"/>
      <c r="BN709" s="1190"/>
      <c r="BO709" s="1190"/>
    </row>
    <row r="710" spans="26:67">
      <c r="Z710" s="1190"/>
      <c r="AA710" s="1190"/>
      <c r="AB710" s="1190"/>
      <c r="AC710" s="1190"/>
      <c r="AD710" s="1190"/>
      <c r="AE710" s="1190"/>
      <c r="AF710" s="1190"/>
      <c r="AG710" s="1190"/>
      <c r="AH710" s="1190"/>
      <c r="AI710" s="1190"/>
      <c r="AJ710" s="1190"/>
      <c r="AK710" s="1190"/>
      <c r="AL710" s="1190"/>
      <c r="AM710" s="1190"/>
      <c r="AN710" s="1190"/>
      <c r="AO710" s="1190"/>
      <c r="AP710" s="1190"/>
      <c r="AQ710" s="1190"/>
      <c r="AR710" s="1190"/>
      <c r="AS710" s="1190"/>
      <c r="AT710" s="1190"/>
      <c r="AU710" s="1190"/>
      <c r="AV710" s="1190"/>
      <c r="AW710" s="1190"/>
      <c r="AX710" s="1190"/>
      <c r="AY710" s="1190"/>
      <c r="AZ710" s="1190"/>
      <c r="BA710" s="1190"/>
      <c r="BB710" s="1190"/>
      <c r="BC710" s="1190"/>
      <c r="BD710" s="1190"/>
      <c r="BE710" s="1190"/>
      <c r="BF710" s="1190"/>
      <c r="BG710" s="1190"/>
      <c r="BH710" s="1190"/>
      <c r="BI710" s="1190"/>
      <c r="BJ710" s="1190"/>
      <c r="BK710" s="1190"/>
      <c r="BL710" s="1190"/>
      <c r="BM710" s="1190"/>
      <c r="BN710" s="1190"/>
      <c r="BO710" s="1190"/>
    </row>
    <row r="711" spans="26:67">
      <c r="Z711" s="1190"/>
      <c r="AA711" s="1190"/>
      <c r="AB711" s="1190"/>
      <c r="AC711" s="1190"/>
      <c r="AD711" s="1190"/>
      <c r="AE711" s="1190"/>
      <c r="AF711" s="1190"/>
      <c r="AG711" s="1190"/>
      <c r="AH711" s="1190"/>
      <c r="AI711" s="1190"/>
      <c r="AJ711" s="1190"/>
      <c r="AK711" s="1190"/>
      <c r="AL711" s="1190"/>
      <c r="AM711" s="1190"/>
      <c r="AN711" s="1190"/>
      <c r="AO711" s="1190"/>
      <c r="AP711" s="1190"/>
      <c r="AQ711" s="1190"/>
      <c r="AR711" s="1190"/>
      <c r="AS711" s="1190"/>
      <c r="AT711" s="1190"/>
      <c r="AU711" s="1190"/>
      <c r="AV711" s="1190"/>
      <c r="AW711" s="1190"/>
      <c r="AX711" s="1190"/>
      <c r="AY711" s="1190"/>
      <c r="AZ711" s="1190"/>
      <c r="BA711" s="1190"/>
      <c r="BB711" s="1190"/>
      <c r="BC711" s="1190"/>
      <c r="BD711" s="1190"/>
      <c r="BE711" s="1190"/>
      <c r="BF711" s="1190"/>
      <c r="BG711" s="1190"/>
      <c r="BH711" s="1190"/>
      <c r="BI711" s="1190"/>
      <c r="BJ711" s="1190"/>
      <c r="BK711" s="1190"/>
      <c r="BL711" s="1190"/>
      <c r="BM711" s="1190"/>
      <c r="BN711" s="1190"/>
      <c r="BO711" s="1190"/>
    </row>
    <row r="712" spans="26:67">
      <c r="Z712" s="1190"/>
      <c r="AA712" s="1190"/>
      <c r="AB712" s="1190"/>
      <c r="AC712" s="1190"/>
      <c r="AD712" s="1190"/>
      <c r="AE712" s="1190"/>
      <c r="AF712" s="1190"/>
      <c r="AG712" s="1190"/>
      <c r="AH712" s="1190"/>
      <c r="AI712" s="1190"/>
      <c r="AJ712" s="1190"/>
      <c r="AK712" s="1190"/>
      <c r="AL712" s="1190"/>
      <c r="AM712" s="1190"/>
      <c r="AN712" s="1190"/>
      <c r="AO712" s="1190"/>
      <c r="AP712" s="1190"/>
      <c r="AQ712" s="1190"/>
      <c r="AR712" s="1190"/>
      <c r="AS712" s="1190"/>
      <c r="AT712" s="1190"/>
      <c r="AU712" s="1190"/>
      <c r="AV712" s="1190"/>
      <c r="AW712" s="1190"/>
      <c r="AX712" s="1190"/>
      <c r="AY712" s="1190"/>
      <c r="AZ712" s="1190"/>
      <c r="BA712" s="1190"/>
      <c r="BB712" s="1190"/>
      <c r="BC712" s="1190"/>
      <c r="BD712" s="1190"/>
      <c r="BE712" s="1190"/>
      <c r="BF712" s="1190"/>
      <c r="BG712" s="1190"/>
      <c r="BH712" s="1190"/>
      <c r="BI712" s="1190"/>
      <c r="BJ712" s="1190"/>
      <c r="BK712" s="1190"/>
      <c r="BL712" s="1190"/>
      <c r="BM712" s="1190"/>
      <c r="BN712" s="1190"/>
      <c r="BO712" s="1190"/>
    </row>
    <row r="713" spans="26:67">
      <c r="Z713" s="1190"/>
      <c r="AA713" s="1190"/>
      <c r="AB713" s="1190"/>
      <c r="AC713" s="1190"/>
      <c r="AD713" s="1190"/>
      <c r="AE713" s="1190"/>
      <c r="AF713" s="1190"/>
      <c r="AG713" s="1190"/>
      <c r="AH713" s="1190"/>
      <c r="AI713" s="1190"/>
      <c r="AJ713" s="1190"/>
      <c r="AK713" s="1190"/>
      <c r="AL713" s="1190"/>
      <c r="AM713" s="1190"/>
      <c r="AN713" s="1190"/>
      <c r="AO713" s="1190"/>
      <c r="AP713" s="1190"/>
      <c r="AQ713" s="1190"/>
      <c r="AR713" s="1190"/>
      <c r="AS713" s="1190"/>
      <c r="AT713" s="1190"/>
      <c r="AU713" s="1190"/>
      <c r="AV713" s="1190"/>
      <c r="AW713" s="1190"/>
      <c r="AX713" s="1190"/>
      <c r="AY713" s="1190"/>
      <c r="AZ713" s="1190"/>
      <c r="BA713" s="1190"/>
      <c r="BB713" s="1190"/>
      <c r="BC713" s="1190"/>
      <c r="BD713" s="1190"/>
      <c r="BE713" s="1190"/>
      <c r="BF713" s="1190"/>
      <c r="BG713" s="1190"/>
      <c r="BH713" s="1190"/>
      <c r="BI713" s="1190"/>
      <c r="BJ713" s="1190"/>
      <c r="BK713" s="1190"/>
      <c r="BL713" s="1190"/>
      <c r="BM713" s="1190"/>
      <c r="BN713" s="1190"/>
      <c r="BO713" s="1190"/>
    </row>
    <row r="714" spans="26:67">
      <c r="Z714" s="1190"/>
      <c r="AA714" s="1190"/>
      <c r="AB714" s="1190"/>
      <c r="AC714" s="1190"/>
      <c r="AD714" s="1190"/>
      <c r="AE714" s="1190"/>
      <c r="AF714" s="1190"/>
      <c r="AG714" s="1190"/>
      <c r="AH714" s="1190"/>
      <c r="AI714" s="1190"/>
      <c r="AJ714" s="1190"/>
      <c r="AK714" s="1190"/>
      <c r="AL714" s="1190"/>
      <c r="AM714" s="1190"/>
      <c r="AN714" s="1190"/>
      <c r="AO714" s="1190"/>
      <c r="AP714" s="1190"/>
      <c r="AQ714" s="1190"/>
      <c r="AR714" s="1190"/>
      <c r="AS714" s="1190"/>
      <c r="AT714" s="1190"/>
      <c r="AU714" s="1190"/>
      <c r="AV714" s="1190"/>
      <c r="AW714" s="1190"/>
      <c r="AX714" s="1190"/>
      <c r="AY714" s="1190"/>
      <c r="AZ714" s="1190"/>
      <c r="BA714" s="1190"/>
      <c r="BB714" s="1190"/>
      <c r="BC714" s="1190"/>
      <c r="BD714" s="1190"/>
      <c r="BE714" s="1190"/>
      <c r="BF714" s="1190"/>
      <c r="BG714" s="1190"/>
      <c r="BH714" s="1190"/>
      <c r="BI714" s="1190"/>
      <c r="BJ714" s="1190"/>
      <c r="BK714" s="1190"/>
      <c r="BL714" s="1190"/>
      <c r="BM714" s="1190"/>
      <c r="BN714" s="1190"/>
      <c r="BO714" s="1190"/>
    </row>
    <row r="715" spans="26:67">
      <c r="Z715" s="1190"/>
      <c r="AA715" s="1190"/>
      <c r="AB715" s="1190"/>
      <c r="AC715" s="1190"/>
      <c r="AD715" s="1190"/>
      <c r="AE715" s="1190"/>
      <c r="AF715" s="1190"/>
      <c r="AG715" s="1190"/>
      <c r="AH715" s="1190"/>
      <c r="AI715" s="1190"/>
      <c r="AJ715" s="1190"/>
      <c r="AK715" s="1190"/>
      <c r="AL715" s="1190"/>
      <c r="AM715" s="1190"/>
      <c r="AN715" s="1190"/>
      <c r="AO715" s="1190"/>
      <c r="AP715" s="1190"/>
      <c r="AQ715" s="1190"/>
      <c r="AR715" s="1190"/>
      <c r="AS715" s="1190"/>
      <c r="AT715" s="1190"/>
      <c r="AU715" s="1190"/>
      <c r="AV715" s="1190"/>
      <c r="AW715" s="1190"/>
      <c r="AX715" s="1190"/>
      <c r="AY715" s="1190"/>
      <c r="AZ715" s="1190"/>
      <c r="BA715" s="1190"/>
      <c r="BB715" s="1190"/>
      <c r="BC715" s="1190"/>
      <c r="BD715" s="1190"/>
      <c r="BE715" s="1190"/>
      <c r="BF715" s="1190"/>
      <c r="BG715" s="1190"/>
      <c r="BH715" s="1190"/>
      <c r="BI715" s="1190"/>
      <c r="BJ715" s="1190"/>
      <c r="BK715" s="1190"/>
      <c r="BL715" s="1190"/>
      <c r="BM715" s="1190"/>
      <c r="BN715" s="1190"/>
      <c r="BO715" s="1190"/>
    </row>
    <row r="716" spans="26:67">
      <c r="Z716" s="1190"/>
      <c r="AA716" s="1190"/>
      <c r="AB716" s="1190"/>
      <c r="AC716" s="1190"/>
      <c r="AD716" s="1190"/>
      <c r="AE716" s="1190"/>
      <c r="AF716" s="1190"/>
      <c r="AG716" s="1190"/>
      <c r="AH716" s="1190"/>
      <c r="AI716" s="1190"/>
      <c r="AJ716" s="1190"/>
      <c r="AK716" s="1190"/>
      <c r="AL716" s="1190"/>
      <c r="AM716" s="1190"/>
      <c r="AN716" s="1190"/>
      <c r="AO716" s="1190"/>
      <c r="AP716" s="1190"/>
      <c r="AQ716" s="1190"/>
      <c r="AR716" s="1190"/>
      <c r="AS716" s="1190"/>
      <c r="AT716" s="1190"/>
      <c r="AU716" s="1190"/>
      <c r="AV716" s="1190"/>
      <c r="AW716" s="1190"/>
      <c r="AX716" s="1190"/>
      <c r="AY716" s="1190"/>
      <c r="AZ716" s="1190"/>
      <c r="BA716" s="1190"/>
      <c r="BB716" s="1190"/>
      <c r="BC716" s="1190"/>
      <c r="BD716" s="1190"/>
      <c r="BE716" s="1190"/>
      <c r="BF716" s="1190"/>
      <c r="BG716" s="1190"/>
      <c r="BH716" s="1190"/>
      <c r="BI716" s="1190"/>
      <c r="BJ716" s="1190"/>
      <c r="BK716" s="1190"/>
      <c r="BL716" s="1190"/>
      <c r="BM716" s="1190"/>
      <c r="BN716" s="1190"/>
      <c r="BO716" s="1190"/>
    </row>
    <row r="717" spans="26:67">
      <c r="Z717" s="1190"/>
      <c r="AA717" s="1190"/>
      <c r="AB717" s="1190"/>
      <c r="AC717" s="1190"/>
      <c r="AD717" s="1190"/>
      <c r="AE717" s="1190"/>
      <c r="AF717" s="1190"/>
      <c r="AG717" s="1190"/>
      <c r="AH717" s="1190"/>
      <c r="AI717" s="1190"/>
      <c r="AJ717" s="1190"/>
      <c r="AK717" s="1190"/>
      <c r="AL717" s="1190"/>
      <c r="AM717" s="1190"/>
      <c r="AN717" s="1190"/>
      <c r="AO717" s="1190"/>
      <c r="AP717" s="1190"/>
      <c r="AQ717" s="1190"/>
      <c r="AR717" s="1190"/>
      <c r="AS717" s="1190"/>
      <c r="AT717" s="1190"/>
      <c r="AU717" s="1190"/>
      <c r="AV717" s="1190"/>
      <c r="AW717" s="1190"/>
      <c r="AX717" s="1190"/>
      <c r="AY717" s="1190"/>
      <c r="AZ717" s="1190"/>
      <c r="BA717" s="1190"/>
      <c r="BB717" s="1190"/>
      <c r="BC717" s="1190"/>
      <c r="BD717" s="1190"/>
      <c r="BE717" s="1190"/>
      <c r="BF717" s="1190"/>
      <c r="BG717" s="1190"/>
      <c r="BH717" s="1190"/>
      <c r="BI717" s="1190"/>
      <c r="BJ717" s="1190"/>
      <c r="BK717" s="1190"/>
      <c r="BL717" s="1190"/>
      <c r="BM717" s="1190"/>
      <c r="BN717" s="1190"/>
      <c r="BO717" s="1190"/>
    </row>
    <row r="718" spans="26:67">
      <c r="Z718" s="1190"/>
      <c r="AA718" s="1190"/>
      <c r="AB718" s="1190"/>
      <c r="AC718" s="1190"/>
      <c r="AD718" s="1190"/>
      <c r="AE718" s="1190"/>
      <c r="AF718" s="1190"/>
      <c r="AG718" s="1190"/>
      <c r="AH718" s="1190"/>
      <c r="AI718" s="1190"/>
      <c r="AJ718" s="1190"/>
      <c r="AK718" s="1190"/>
      <c r="AL718" s="1190"/>
      <c r="AM718" s="1190"/>
      <c r="AN718" s="1190"/>
      <c r="AO718" s="1190"/>
      <c r="AP718" s="1190"/>
      <c r="AQ718" s="1190"/>
      <c r="AR718" s="1190"/>
      <c r="AS718" s="1190"/>
      <c r="AT718" s="1190"/>
      <c r="AU718" s="1190"/>
      <c r="AV718" s="1190"/>
      <c r="AW718" s="1190"/>
      <c r="AX718" s="1190"/>
      <c r="AY718" s="1190"/>
      <c r="AZ718" s="1190"/>
      <c r="BA718" s="1190"/>
      <c r="BB718" s="1190"/>
      <c r="BC718" s="1190"/>
      <c r="BD718" s="1190"/>
      <c r="BE718" s="1190"/>
      <c r="BF718" s="1190"/>
      <c r="BG718" s="1190"/>
      <c r="BH718" s="1190"/>
      <c r="BI718" s="1190"/>
      <c r="BJ718" s="1190"/>
      <c r="BK718" s="1190"/>
      <c r="BL718" s="1190"/>
      <c r="BM718" s="1190"/>
      <c r="BN718" s="1190"/>
      <c r="BO718" s="1190"/>
    </row>
    <row r="719" spans="26:67">
      <c r="Z719" s="1190"/>
      <c r="AA719" s="1190"/>
      <c r="AB719" s="1190"/>
      <c r="AC719" s="1190"/>
      <c r="AD719" s="1190"/>
      <c r="AE719" s="1190"/>
      <c r="AF719" s="1190"/>
      <c r="AG719" s="1190"/>
      <c r="AH719" s="1190"/>
      <c r="AI719" s="1190"/>
      <c r="AJ719" s="1190"/>
      <c r="AK719" s="1190"/>
      <c r="AL719" s="1190"/>
      <c r="AM719" s="1190"/>
      <c r="AN719" s="1190"/>
      <c r="AO719" s="1190"/>
      <c r="AP719" s="1190"/>
      <c r="AQ719" s="1190"/>
      <c r="AR719" s="1190"/>
      <c r="AS719" s="1190"/>
      <c r="AT719" s="1190"/>
      <c r="AU719" s="1190"/>
      <c r="AV719" s="1190"/>
      <c r="AW719" s="1190"/>
      <c r="AX719" s="1190"/>
      <c r="AY719" s="1190"/>
      <c r="AZ719" s="1190"/>
      <c r="BA719" s="1190"/>
      <c r="BB719" s="1190"/>
      <c r="BC719" s="1190"/>
      <c r="BD719" s="1190"/>
      <c r="BE719" s="1190"/>
      <c r="BF719" s="1190"/>
      <c r="BG719" s="1190"/>
      <c r="BH719" s="1190"/>
      <c r="BI719" s="1190"/>
      <c r="BJ719" s="1190"/>
      <c r="BK719" s="1190"/>
      <c r="BL719" s="1190"/>
      <c r="BM719" s="1190"/>
      <c r="BN719" s="1190"/>
      <c r="BO719" s="1190"/>
    </row>
    <row r="720" spans="26:67">
      <c r="Z720" s="1190"/>
      <c r="AA720" s="1190"/>
      <c r="AB720" s="1190"/>
      <c r="AC720" s="1190"/>
      <c r="AD720" s="1190"/>
      <c r="AE720" s="1190"/>
      <c r="AF720" s="1190"/>
      <c r="AG720" s="1190"/>
      <c r="AH720" s="1190"/>
      <c r="AI720" s="1190"/>
      <c r="AJ720" s="1190"/>
      <c r="AK720" s="1190"/>
      <c r="AL720" s="1190"/>
      <c r="AM720" s="1190"/>
      <c r="AN720" s="1190"/>
      <c r="AO720" s="1190"/>
      <c r="AP720" s="1190"/>
      <c r="AQ720" s="1190"/>
      <c r="AR720" s="1190"/>
      <c r="AS720" s="1190"/>
      <c r="AT720" s="1190"/>
      <c r="AU720" s="1190"/>
      <c r="AV720" s="1190"/>
      <c r="AW720" s="1190"/>
      <c r="AX720" s="1190"/>
      <c r="AY720" s="1190"/>
      <c r="AZ720" s="1190"/>
      <c r="BA720" s="1190"/>
      <c r="BB720" s="1190"/>
      <c r="BC720" s="1190"/>
      <c r="BD720" s="1190"/>
      <c r="BE720" s="1190"/>
      <c r="BF720" s="1190"/>
      <c r="BG720" s="1190"/>
      <c r="BH720" s="1190"/>
      <c r="BI720" s="1190"/>
      <c r="BJ720" s="1190"/>
      <c r="BK720" s="1190"/>
      <c r="BL720" s="1190"/>
      <c r="BM720" s="1190"/>
      <c r="BN720" s="1190"/>
      <c r="BO720" s="1190"/>
    </row>
    <row r="721" spans="26:67">
      <c r="Z721" s="1190"/>
      <c r="AA721" s="1190"/>
      <c r="AB721" s="1190"/>
      <c r="AC721" s="1190"/>
      <c r="AD721" s="1190"/>
      <c r="AE721" s="1190"/>
      <c r="AF721" s="1190"/>
      <c r="AG721" s="1190"/>
      <c r="AH721" s="1190"/>
      <c r="AI721" s="1190"/>
      <c r="AJ721" s="1190"/>
      <c r="AK721" s="1190"/>
      <c r="AL721" s="1190"/>
      <c r="AM721" s="1190"/>
      <c r="AN721" s="1190"/>
      <c r="AO721" s="1190"/>
      <c r="AP721" s="1190"/>
      <c r="AQ721" s="1190"/>
      <c r="AR721" s="1190"/>
      <c r="AS721" s="1190"/>
      <c r="AT721" s="1190"/>
      <c r="AU721" s="1190"/>
      <c r="AV721" s="1190"/>
      <c r="AW721" s="1190"/>
      <c r="AX721" s="1190"/>
      <c r="AY721" s="1190"/>
      <c r="AZ721" s="1190"/>
      <c r="BA721" s="1190"/>
      <c r="BB721" s="1190"/>
      <c r="BC721" s="1190"/>
      <c r="BD721" s="1190"/>
      <c r="BE721" s="1190"/>
      <c r="BF721" s="1190"/>
      <c r="BG721" s="1190"/>
      <c r="BH721" s="1190"/>
      <c r="BI721" s="1190"/>
      <c r="BJ721" s="1190"/>
      <c r="BK721" s="1190"/>
      <c r="BL721" s="1190"/>
      <c r="BM721" s="1190"/>
      <c r="BN721" s="1190"/>
      <c r="BO721" s="1190"/>
    </row>
    <row r="722" spans="26:67">
      <c r="Z722" s="1190"/>
      <c r="AA722" s="1190"/>
      <c r="AB722" s="1190"/>
      <c r="AC722" s="1190"/>
      <c r="AD722" s="1190"/>
      <c r="AE722" s="1190"/>
      <c r="AF722" s="1190"/>
      <c r="AG722" s="1190"/>
      <c r="AH722" s="1190"/>
      <c r="AI722" s="1190"/>
      <c r="AJ722" s="1190"/>
      <c r="AK722" s="1190"/>
      <c r="AL722" s="1190"/>
      <c r="AM722" s="1190"/>
      <c r="AN722" s="1190"/>
      <c r="AO722" s="1190"/>
      <c r="AP722" s="1190"/>
      <c r="AQ722" s="1190"/>
      <c r="AR722" s="1190"/>
      <c r="AS722" s="1190"/>
      <c r="AT722" s="1190"/>
      <c r="AU722" s="1190"/>
      <c r="AV722" s="1190"/>
      <c r="AW722" s="1190"/>
      <c r="AX722" s="1190"/>
      <c r="AY722" s="1190"/>
      <c r="AZ722" s="1190"/>
      <c r="BA722" s="1190"/>
      <c r="BB722" s="1190"/>
      <c r="BC722" s="1190"/>
      <c r="BD722" s="1190"/>
      <c r="BE722" s="1190"/>
      <c r="BF722" s="1190"/>
      <c r="BG722" s="1190"/>
      <c r="BH722" s="1190"/>
      <c r="BI722" s="1190"/>
      <c r="BJ722" s="1190"/>
      <c r="BK722" s="1190"/>
      <c r="BL722" s="1190"/>
      <c r="BM722" s="1190"/>
      <c r="BN722" s="1190"/>
      <c r="BO722" s="1190"/>
    </row>
    <row r="723" spans="26:67">
      <c r="Z723" s="1190"/>
      <c r="AA723" s="1190"/>
      <c r="AB723" s="1190"/>
      <c r="AC723" s="1190"/>
      <c r="AD723" s="1190"/>
      <c r="AE723" s="1190"/>
      <c r="AF723" s="1190"/>
      <c r="AG723" s="1190"/>
      <c r="AH723" s="1190"/>
      <c r="AI723" s="1190"/>
      <c r="AJ723" s="1190"/>
      <c r="AK723" s="1190"/>
      <c r="AL723" s="1190"/>
      <c r="AM723" s="1190"/>
      <c r="AN723" s="1190"/>
      <c r="AO723" s="1190"/>
      <c r="AP723" s="1190"/>
      <c r="AQ723" s="1190"/>
      <c r="AR723" s="1190"/>
      <c r="AS723" s="1190"/>
      <c r="AT723" s="1190"/>
      <c r="AU723" s="1190"/>
      <c r="AV723" s="1190"/>
      <c r="AW723" s="1190"/>
      <c r="AX723" s="1190"/>
      <c r="AY723" s="1190"/>
      <c r="AZ723" s="1190"/>
      <c r="BA723" s="1190"/>
      <c r="BB723" s="1190"/>
      <c r="BC723" s="1190"/>
      <c r="BD723" s="1190"/>
      <c r="BE723" s="1190"/>
      <c r="BF723" s="1190"/>
      <c r="BG723" s="1190"/>
      <c r="BH723" s="1190"/>
      <c r="BI723" s="1190"/>
      <c r="BJ723" s="1190"/>
      <c r="BK723" s="1190"/>
      <c r="BL723" s="1190"/>
      <c r="BM723" s="1190"/>
      <c r="BN723" s="1190"/>
      <c r="BO723" s="1190"/>
    </row>
    <row r="724" spans="26:67">
      <c r="Z724" s="1190"/>
      <c r="AA724" s="1190"/>
      <c r="AB724" s="1190"/>
      <c r="AC724" s="1190"/>
      <c r="AD724" s="1190"/>
      <c r="AE724" s="1190"/>
      <c r="AF724" s="1190"/>
      <c r="AG724" s="1190"/>
      <c r="AH724" s="1190"/>
      <c r="AI724" s="1190"/>
      <c r="AJ724" s="1190"/>
      <c r="AK724" s="1190"/>
      <c r="AL724" s="1190"/>
      <c r="AM724" s="1190"/>
      <c r="AN724" s="1190"/>
      <c r="AO724" s="1190"/>
      <c r="AP724" s="1190"/>
      <c r="AQ724" s="1190"/>
      <c r="AR724" s="1190"/>
      <c r="AS724" s="1190"/>
      <c r="AT724" s="1190"/>
      <c r="AU724" s="1190"/>
      <c r="AV724" s="1190"/>
      <c r="AW724" s="1190"/>
      <c r="AX724" s="1190"/>
      <c r="AY724" s="1190"/>
      <c r="AZ724" s="1190"/>
      <c r="BA724" s="1190"/>
      <c r="BB724" s="1190"/>
      <c r="BC724" s="1190"/>
      <c r="BD724" s="1190"/>
      <c r="BE724" s="1190"/>
      <c r="BF724" s="1190"/>
      <c r="BG724" s="1190"/>
      <c r="BH724" s="1190"/>
      <c r="BI724" s="1190"/>
      <c r="BJ724" s="1190"/>
      <c r="BK724" s="1190"/>
      <c r="BL724" s="1190"/>
      <c r="BM724" s="1190"/>
      <c r="BN724" s="1190"/>
      <c r="BO724" s="1190"/>
    </row>
    <row r="725" spans="26:67">
      <c r="Z725" s="1190"/>
      <c r="AA725" s="1190"/>
      <c r="AB725" s="1190"/>
      <c r="AC725" s="1190"/>
      <c r="AD725" s="1190"/>
      <c r="AE725" s="1190"/>
      <c r="AF725" s="1190"/>
      <c r="AG725" s="1190"/>
      <c r="AH725" s="1190"/>
      <c r="AI725" s="1190"/>
      <c r="AJ725" s="1190"/>
      <c r="AK725" s="1190"/>
      <c r="AL725" s="1190"/>
      <c r="AM725" s="1190"/>
      <c r="AN725" s="1190"/>
      <c r="AO725" s="1190"/>
      <c r="AP725" s="1190"/>
      <c r="AQ725" s="1190"/>
      <c r="AR725" s="1190"/>
      <c r="AS725" s="1190"/>
      <c r="AT725" s="1190"/>
      <c r="AU725" s="1190"/>
      <c r="AV725" s="1190"/>
      <c r="AW725" s="1190"/>
      <c r="AX725" s="1190"/>
      <c r="AY725" s="1190"/>
      <c r="AZ725" s="1190"/>
      <c r="BA725" s="1190"/>
      <c r="BB725" s="1190"/>
      <c r="BC725" s="1190"/>
      <c r="BD725" s="1190"/>
      <c r="BE725" s="1190"/>
      <c r="BF725" s="1190"/>
      <c r="BG725" s="1190"/>
      <c r="BH725" s="1190"/>
      <c r="BI725" s="1190"/>
      <c r="BJ725" s="1190"/>
      <c r="BK725" s="1190"/>
      <c r="BL725" s="1190"/>
      <c r="BM725" s="1190"/>
      <c r="BN725" s="1190"/>
      <c r="BO725" s="1190"/>
    </row>
    <row r="726" spans="26:67">
      <c r="Z726" s="1190"/>
      <c r="AA726" s="1190"/>
      <c r="AB726" s="1190"/>
      <c r="AC726" s="1190"/>
      <c r="AD726" s="1190"/>
      <c r="AE726" s="1190"/>
      <c r="AF726" s="1190"/>
      <c r="AG726" s="1190"/>
      <c r="AH726" s="1190"/>
      <c r="AI726" s="1190"/>
      <c r="AJ726" s="1190"/>
      <c r="AK726" s="1190"/>
      <c r="AL726" s="1190"/>
      <c r="AM726" s="1190"/>
      <c r="AN726" s="1190"/>
      <c r="AO726" s="1190"/>
      <c r="AP726" s="1190"/>
      <c r="AQ726" s="1190"/>
      <c r="AR726" s="1190"/>
      <c r="AS726" s="1190"/>
      <c r="AT726" s="1190"/>
      <c r="AU726" s="1190"/>
      <c r="AV726" s="1190"/>
      <c r="AW726" s="1190"/>
      <c r="AX726" s="1190"/>
      <c r="AY726" s="1190"/>
      <c r="AZ726" s="1190"/>
      <c r="BA726" s="1190"/>
      <c r="BB726" s="1190"/>
      <c r="BC726" s="1190"/>
      <c r="BD726" s="1190"/>
      <c r="BE726" s="1190"/>
      <c r="BF726" s="1190"/>
      <c r="BG726" s="1190"/>
      <c r="BH726" s="1190"/>
      <c r="BI726" s="1190"/>
      <c r="BJ726" s="1190"/>
      <c r="BK726" s="1190"/>
      <c r="BL726" s="1190"/>
      <c r="BM726" s="1190"/>
      <c r="BN726" s="1190"/>
      <c r="BO726" s="1190"/>
    </row>
    <row r="727" spans="26:67">
      <c r="Z727" s="1190"/>
      <c r="AA727" s="1190"/>
      <c r="AB727" s="1190"/>
      <c r="AC727" s="1190"/>
      <c r="AD727" s="1190"/>
      <c r="AE727" s="1190"/>
      <c r="AF727" s="1190"/>
      <c r="AG727" s="1190"/>
      <c r="AH727" s="1190"/>
      <c r="AI727" s="1190"/>
      <c r="AJ727" s="1190"/>
      <c r="AK727" s="1190"/>
      <c r="AL727" s="1190"/>
      <c r="AM727" s="1190"/>
      <c r="AN727" s="1190"/>
      <c r="AO727" s="1190"/>
      <c r="AP727" s="1190"/>
      <c r="AQ727" s="1190"/>
      <c r="AR727" s="1190"/>
      <c r="AS727" s="1190"/>
      <c r="AT727" s="1190"/>
      <c r="AU727" s="1190"/>
      <c r="AV727" s="1190"/>
      <c r="AW727" s="1190"/>
      <c r="AX727" s="1190"/>
      <c r="AY727" s="1190"/>
      <c r="AZ727" s="1190"/>
      <c r="BA727" s="1190"/>
      <c r="BB727" s="1190"/>
      <c r="BC727" s="1190"/>
      <c r="BD727" s="1190"/>
      <c r="BE727" s="1190"/>
      <c r="BF727" s="1190"/>
      <c r="BG727" s="1190"/>
      <c r="BH727" s="1190"/>
      <c r="BI727" s="1190"/>
      <c r="BJ727" s="1190"/>
      <c r="BK727" s="1190"/>
      <c r="BL727" s="1190"/>
      <c r="BM727" s="1190"/>
      <c r="BN727" s="1190"/>
      <c r="BO727" s="1190"/>
    </row>
    <row r="728" spans="26:67">
      <c r="Z728" s="1190"/>
      <c r="AA728" s="1190"/>
      <c r="AB728" s="1190"/>
      <c r="AC728" s="1190"/>
      <c r="AD728" s="1190"/>
      <c r="AE728" s="1190"/>
      <c r="AF728" s="1190"/>
      <c r="AG728" s="1190"/>
      <c r="AH728" s="1190"/>
      <c r="AI728" s="1190"/>
      <c r="AJ728" s="1190"/>
      <c r="AK728" s="1190"/>
      <c r="AL728" s="1190"/>
      <c r="AM728" s="1190"/>
      <c r="AN728" s="1190"/>
      <c r="AO728" s="1190"/>
      <c r="AP728" s="1190"/>
      <c r="AQ728" s="1190"/>
      <c r="AR728" s="1190"/>
      <c r="AS728" s="1190"/>
      <c r="AT728" s="1190"/>
      <c r="AU728" s="1190"/>
      <c r="AV728" s="1190"/>
      <c r="AW728" s="1190"/>
      <c r="AX728" s="1190"/>
      <c r="AY728" s="1190"/>
      <c r="AZ728" s="1190"/>
      <c r="BA728" s="1190"/>
      <c r="BB728" s="1190"/>
      <c r="BC728" s="1190"/>
      <c r="BD728" s="1190"/>
      <c r="BE728" s="1190"/>
      <c r="BF728" s="1190"/>
      <c r="BG728" s="1190"/>
      <c r="BH728" s="1190"/>
      <c r="BI728" s="1190"/>
      <c r="BJ728" s="1190"/>
      <c r="BK728" s="1190"/>
      <c r="BL728" s="1190"/>
      <c r="BM728" s="1190"/>
      <c r="BN728" s="1190"/>
      <c r="BO728" s="1190"/>
    </row>
    <row r="729" spans="26:67">
      <c r="Z729" s="1190"/>
      <c r="AA729" s="1190"/>
      <c r="AB729" s="1190"/>
      <c r="AC729" s="1190"/>
      <c r="AD729" s="1190"/>
      <c r="AE729" s="1190"/>
      <c r="AF729" s="1190"/>
      <c r="AG729" s="1190"/>
      <c r="AH729" s="1190"/>
      <c r="AI729" s="1190"/>
      <c r="AJ729" s="1190"/>
      <c r="AK729" s="1190"/>
      <c r="AL729" s="1190"/>
      <c r="AM729" s="1190"/>
      <c r="AN729" s="1190"/>
      <c r="AO729" s="1190"/>
      <c r="AP729" s="1190"/>
      <c r="AQ729" s="1190"/>
      <c r="AR729" s="1190"/>
      <c r="AS729" s="1190"/>
      <c r="AT729" s="1190"/>
      <c r="AU729" s="1190"/>
      <c r="AV729" s="1190"/>
      <c r="AW729" s="1190"/>
      <c r="AX729" s="1190"/>
      <c r="AY729" s="1190"/>
      <c r="AZ729" s="1190"/>
      <c r="BA729" s="1190"/>
      <c r="BB729" s="1190"/>
      <c r="BC729" s="1190"/>
      <c r="BD729" s="1190"/>
      <c r="BE729" s="1190"/>
      <c r="BF729" s="1190"/>
      <c r="BG729" s="1190"/>
      <c r="BH729" s="1190"/>
      <c r="BI729" s="1190"/>
      <c r="BJ729" s="1190"/>
      <c r="BK729" s="1190"/>
      <c r="BL729" s="1190"/>
      <c r="BM729" s="1190"/>
      <c r="BN729" s="1190"/>
      <c r="BO729" s="1190"/>
    </row>
    <row r="730" spans="26:67">
      <c r="Z730" s="1190"/>
      <c r="AA730" s="1190"/>
      <c r="AB730" s="1190"/>
      <c r="AC730" s="1190"/>
      <c r="AD730" s="1190"/>
      <c r="AE730" s="1190"/>
      <c r="AF730" s="1190"/>
      <c r="AG730" s="1190"/>
      <c r="AH730" s="1190"/>
      <c r="AI730" s="1190"/>
      <c r="AJ730" s="1190"/>
      <c r="AK730" s="1190"/>
      <c r="AL730" s="1190"/>
      <c r="AM730" s="1190"/>
      <c r="AN730" s="1190"/>
      <c r="AO730" s="1190"/>
      <c r="AP730" s="1190"/>
      <c r="AQ730" s="1190"/>
      <c r="AR730" s="1190"/>
      <c r="AS730" s="1190"/>
      <c r="AT730" s="1190"/>
      <c r="AU730" s="1190"/>
      <c r="AV730" s="1190"/>
      <c r="AW730" s="1190"/>
      <c r="AX730" s="1190"/>
      <c r="AY730" s="1190"/>
      <c r="AZ730" s="1190"/>
      <c r="BA730" s="1190"/>
      <c r="BB730" s="1190"/>
      <c r="BC730" s="1190"/>
      <c r="BD730" s="1190"/>
      <c r="BE730" s="1190"/>
      <c r="BF730" s="1190"/>
      <c r="BG730" s="1190"/>
      <c r="BH730" s="1190"/>
      <c r="BI730" s="1190"/>
      <c r="BJ730" s="1190"/>
      <c r="BK730" s="1190"/>
      <c r="BL730" s="1190"/>
      <c r="BM730" s="1190"/>
      <c r="BN730" s="1190"/>
      <c r="BO730" s="1190"/>
    </row>
    <row r="731" spans="26:67">
      <c r="Z731" s="1190"/>
      <c r="AA731" s="1190"/>
      <c r="AB731" s="1190"/>
      <c r="AC731" s="1190"/>
      <c r="AD731" s="1190"/>
      <c r="AE731" s="1190"/>
      <c r="AF731" s="1190"/>
      <c r="AG731" s="1190"/>
      <c r="AH731" s="1190"/>
      <c r="AI731" s="1190"/>
      <c r="AJ731" s="1190"/>
      <c r="AK731" s="1190"/>
      <c r="AL731" s="1190"/>
      <c r="AM731" s="1190"/>
      <c r="AN731" s="1190"/>
      <c r="AO731" s="1190"/>
      <c r="AP731" s="1190"/>
      <c r="AQ731" s="1190"/>
      <c r="AR731" s="1190"/>
      <c r="AS731" s="1190"/>
      <c r="AT731" s="1190"/>
      <c r="AU731" s="1190"/>
      <c r="AV731" s="1190"/>
      <c r="AW731" s="1190"/>
      <c r="AX731" s="1190"/>
      <c r="AY731" s="1190"/>
      <c r="AZ731" s="1190"/>
      <c r="BA731" s="1190"/>
      <c r="BB731" s="1190"/>
      <c r="BC731" s="1190"/>
      <c r="BD731" s="1190"/>
      <c r="BE731" s="1190"/>
      <c r="BF731" s="1190"/>
      <c r="BG731" s="1190"/>
      <c r="BH731" s="1190"/>
      <c r="BI731" s="1190"/>
      <c r="BJ731" s="1190"/>
      <c r="BK731" s="1190"/>
      <c r="BL731" s="1190"/>
      <c r="BM731" s="1190"/>
      <c r="BN731" s="1190"/>
      <c r="BO731" s="1190"/>
    </row>
    <row r="732" spans="26:67">
      <c r="Z732" s="1190"/>
      <c r="AA732" s="1190"/>
      <c r="AB732" s="1190"/>
      <c r="AC732" s="1190"/>
      <c r="AD732" s="1190"/>
      <c r="AE732" s="1190"/>
      <c r="AF732" s="1190"/>
      <c r="AG732" s="1190"/>
      <c r="AH732" s="1190"/>
      <c r="AI732" s="1190"/>
      <c r="AJ732" s="1190"/>
      <c r="AK732" s="1190"/>
      <c r="AL732" s="1190"/>
      <c r="AM732" s="1190"/>
      <c r="AN732" s="1190"/>
      <c r="AO732" s="1190"/>
      <c r="AP732" s="1190"/>
      <c r="AQ732" s="1190"/>
      <c r="AR732" s="1190"/>
      <c r="AS732" s="1190"/>
      <c r="AT732" s="1190"/>
      <c r="AU732" s="1190"/>
      <c r="AV732" s="1190"/>
      <c r="AW732" s="1190"/>
      <c r="AX732" s="1190"/>
      <c r="AY732" s="1190"/>
      <c r="AZ732" s="1190"/>
      <c r="BA732" s="1190"/>
      <c r="BB732" s="1190"/>
      <c r="BC732" s="1190"/>
      <c r="BD732" s="1190"/>
      <c r="BE732" s="1190"/>
      <c r="BF732" s="1190"/>
      <c r="BG732" s="1190"/>
      <c r="BH732" s="1190"/>
      <c r="BI732" s="1190"/>
      <c r="BJ732" s="1190"/>
      <c r="BK732" s="1190"/>
      <c r="BL732" s="1190"/>
      <c r="BM732" s="1190"/>
      <c r="BN732" s="1190"/>
      <c r="BO732" s="1190"/>
    </row>
    <row r="733" spans="26:67">
      <c r="Z733" s="1190"/>
      <c r="AA733" s="1190"/>
      <c r="AB733" s="1190"/>
      <c r="AC733" s="1190"/>
      <c r="AD733" s="1190"/>
      <c r="AE733" s="1190"/>
      <c r="AF733" s="1190"/>
      <c r="AG733" s="1190"/>
      <c r="AH733" s="1190"/>
      <c r="AI733" s="1190"/>
      <c r="AJ733" s="1190"/>
      <c r="AK733" s="1190"/>
      <c r="AL733" s="1190"/>
      <c r="AM733" s="1190"/>
      <c r="AN733" s="1190"/>
      <c r="AO733" s="1190"/>
      <c r="AP733" s="1190"/>
      <c r="AQ733" s="1190"/>
      <c r="AR733" s="1190"/>
      <c r="AS733" s="1190"/>
      <c r="AT733" s="1190"/>
      <c r="AU733" s="1190"/>
      <c r="AV733" s="1190"/>
      <c r="AW733" s="1190"/>
      <c r="AX733" s="1190"/>
      <c r="AY733" s="1190"/>
      <c r="AZ733" s="1190"/>
      <c r="BA733" s="1190"/>
      <c r="BB733" s="1190"/>
      <c r="BC733" s="1190"/>
      <c r="BD733" s="1190"/>
      <c r="BE733" s="1190"/>
      <c r="BF733" s="1190"/>
      <c r="BG733" s="1190"/>
      <c r="BH733" s="1190"/>
      <c r="BI733" s="1190"/>
      <c r="BJ733" s="1190"/>
      <c r="BK733" s="1190"/>
      <c r="BL733" s="1190"/>
      <c r="BM733" s="1190"/>
      <c r="BN733" s="1190"/>
      <c r="BO733" s="1190"/>
    </row>
    <row r="734" spans="26:67">
      <c r="Z734" s="1190"/>
      <c r="AA734" s="1190"/>
      <c r="AB734" s="1190"/>
      <c r="AC734" s="1190"/>
      <c r="AD734" s="1190"/>
      <c r="AE734" s="1190"/>
      <c r="AF734" s="1190"/>
      <c r="AG734" s="1190"/>
      <c r="AH734" s="1190"/>
      <c r="AI734" s="1190"/>
      <c r="AJ734" s="1190"/>
      <c r="AK734" s="1190"/>
      <c r="AL734" s="1190"/>
      <c r="AM734" s="1190"/>
      <c r="AN734" s="1190"/>
      <c r="AO734" s="1190"/>
      <c r="AP734" s="1190"/>
      <c r="AQ734" s="1190"/>
      <c r="AR734" s="1190"/>
      <c r="AS734" s="1190"/>
      <c r="AT734" s="1190"/>
      <c r="AU734" s="1190"/>
      <c r="AV734" s="1190"/>
      <c r="AW734" s="1190"/>
      <c r="AX734" s="1190"/>
      <c r="AY734" s="1190"/>
      <c r="AZ734" s="1190"/>
      <c r="BA734" s="1190"/>
      <c r="BB734" s="1190"/>
      <c r="BC734" s="1190"/>
      <c r="BD734" s="1190"/>
      <c r="BE734" s="1190"/>
      <c r="BF734" s="1190"/>
      <c r="BG734" s="1190"/>
      <c r="BH734" s="1190"/>
      <c r="BI734" s="1190"/>
      <c r="BJ734" s="1190"/>
      <c r="BK734" s="1190"/>
      <c r="BL734" s="1190"/>
      <c r="BM734" s="1190"/>
      <c r="BN734" s="1190"/>
      <c r="BO734" s="1190"/>
    </row>
    <row r="735" spans="26:67">
      <c r="Z735" s="1190"/>
      <c r="AA735" s="1190"/>
      <c r="AB735" s="1190"/>
      <c r="AC735" s="1190"/>
      <c r="AD735" s="1190"/>
      <c r="AE735" s="1190"/>
      <c r="AF735" s="1190"/>
      <c r="AG735" s="1190"/>
      <c r="AH735" s="1190"/>
      <c r="AI735" s="1190"/>
      <c r="AJ735" s="1190"/>
      <c r="AK735" s="1190"/>
      <c r="AL735" s="1190"/>
      <c r="AM735" s="1190"/>
      <c r="AN735" s="1190"/>
      <c r="AO735" s="1190"/>
      <c r="AP735" s="1190"/>
      <c r="AQ735" s="1190"/>
      <c r="AR735" s="1190"/>
      <c r="AS735" s="1190"/>
      <c r="AT735" s="1190"/>
      <c r="AU735" s="1190"/>
      <c r="AV735" s="1190"/>
      <c r="AW735" s="1190"/>
      <c r="AX735" s="1190"/>
      <c r="AY735" s="1190"/>
      <c r="AZ735" s="1190"/>
      <c r="BA735" s="1190"/>
      <c r="BB735" s="1190"/>
      <c r="BC735" s="1190"/>
      <c r="BD735" s="1190"/>
      <c r="BE735" s="1190"/>
      <c r="BF735" s="1190"/>
      <c r="BG735" s="1190"/>
      <c r="BH735" s="1190"/>
      <c r="BI735" s="1190"/>
      <c r="BJ735" s="1190"/>
      <c r="BK735" s="1190"/>
      <c r="BL735" s="1190"/>
      <c r="BM735" s="1190"/>
      <c r="BN735" s="1190"/>
      <c r="BO735" s="1190"/>
    </row>
    <row r="736" spans="26:67">
      <c r="Z736" s="1190"/>
      <c r="AA736" s="1190"/>
      <c r="AB736" s="1190"/>
      <c r="AC736" s="1190"/>
      <c r="AD736" s="1190"/>
      <c r="AE736" s="1190"/>
      <c r="AF736" s="1190"/>
      <c r="AG736" s="1190"/>
      <c r="AH736" s="1190"/>
      <c r="AI736" s="1190"/>
      <c r="AJ736" s="1190"/>
      <c r="AK736" s="1190"/>
      <c r="AL736" s="1190"/>
      <c r="AM736" s="1190"/>
      <c r="AN736" s="1190"/>
      <c r="AO736" s="1190"/>
      <c r="AP736" s="1190"/>
      <c r="AQ736" s="1190"/>
      <c r="AR736" s="1190"/>
      <c r="AS736" s="1190"/>
      <c r="AT736" s="1190"/>
      <c r="AU736" s="1190"/>
      <c r="AV736" s="1190"/>
      <c r="AW736" s="1190"/>
      <c r="AX736" s="1190"/>
      <c r="AY736" s="1190"/>
      <c r="AZ736" s="1190"/>
      <c r="BA736" s="1190"/>
      <c r="BB736" s="1190"/>
      <c r="BC736" s="1190"/>
      <c r="BD736" s="1190"/>
      <c r="BE736" s="1190"/>
      <c r="BF736" s="1190"/>
      <c r="BG736" s="1190"/>
      <c r="BH736" s="1190"/>
      <c r="BI736" s="1190"/>
      <c r="BJ736" s="1190"/>
      <c r="BK736" s="1190"/>
      <c r="BL736" s="1190"/>
      <c r="BM736" s="1190"/>
      <c r="BN736" s="1190"/>
      <c r="BO736" s="1190"/>
    </row>
    <row r="737" spans="26:67">
      <c r="Z737" s="1190"/>
      <c r="AA737" s="1190"/>
      <c r="AB737" s="1190"/>
      <c r="AC737" s="1190"/>
      <c r="AD737" s="1190"/>
      <c r="AE737" s="1190"/>
      <c r="AF737" s="1190"/>
      <c r="AG737" s="1190"/>
      <c r="AH737" s="1190"/>
      <c r="AI737" s="1190"/>
      <c r="AJ737" s="1190"/>
      <c r="AK737" s="1190"/>
      <c r="AL737" s="1190"/>
      <c r="AM737" s="1190"/>
      <c r="AN737" s="1190"/>
      <c r="AO737" s="1190"/>
      <c r="AP737" s="1190"/>
      <c r="AQ737" s="1190"/>
      <c r="AR737" s="1190"/>
      <c r="AS737" s="1190"/>
      <c r="AT737" s="1190"/>
      <c r="AU737" s="1190"/>
      <c r="AV737" s="1190"/>
      <c r="AW737" s="1190"/>
      <c r="AX737" s="1190"/>
      <c r="AY737" s="1190"/>
      <c r="AZ737" s="1190"/>
      <c r="BA737" s="1190"/>
      <c r="BB737" s="1190"/>
      <c r="BC737" s="1190"/>
      <c r="BD737" s="1190"/>
      <c r="BE737" s="1190"/>
      <c r="BF737" s="1190"/>
      <c r="BG737" s="1190"/>
      <c r="BH737" s="1190"/>
      <c r="BI737" s="1190"/>
      <c r="BJ737" s="1190"/>
      <c r="BK737" s="1190"/>
      <c r="BL737" s="1190"/>
      <c r="BM737" s="1190"/>
      <c r="BN737" s="1190"/>
      <c r="BO737" s="1190"/>
    </row>
    <row r="738" spans="26:67">
      <c r="Z738" s="1190"/>
      <c r="AA738" s="1190"/>
      <c r="AB738" s="1190"/>
      <c r="AC738" s="1190"/>
      <c r="AD738" s="1190"/>
      <c r="AE738" s="1190"/>
      <c r="AF738" s="1190"/>
      <c r="AG738" s="1190"/>
      <c r="AH738" s="1190"/>
      <c r="AI738" s="1190"/>
      <c r="AJ738" s="1190"/>
      <c r="AK738" s="1190"/>
      <c r="AL738" s="1190"/>
      <c r="AM738" s="1190"/>
      <c r="AN738" s="1190"/>
      <c r="AO738" s="1190"/>
      <c r="AP738" s="1190"/>
      <c r="AQ738" s="1190"/>
      <c r="AR738" s="1190"/>
      <c r="AS738" s="1190"/>
      <c r="AT738" s="1190"/>
      <c r="AU738" s="1190"/>
      <c r="AV738" s="1190"/>
      <c r="AW738" s="1190"/>
      <c r="AX738" s="1190"/>
      <c r="AY738" s="1190"/>
      <c r="AZ738" s="1190"/>
      <c r="BA738" s="1190"/>
      <c r="BB738" s="1190"/>
      <c r="BC738" s="1190"/>
      <c r="BD738" s="1190"/>
      <c r="BE738" s="1190"/>
      <c r="BF738" s="1190"/>
      <c r="BG738" s="1190"/>
      <c r="BH738" s="1190"/>
      <c r="BI738" s="1190"/>
      <c r="BJ738" s="1190"/>
      <c r="BK738" s="1190"/>
      <c r="BL738" s="1190"/>
      <c r="BM738" s="1190"/>
      <c r="BN738" s="1190"/>
      <c r="BO738" s="1190"/>
    </row>
    <row r="739" spans="26:67">
      <c r="Z739" s="1190"/>
      <c r="AA739" s="1190"/>
      <c r="AB739" s="1190"/>
      <c r="AC739" s="1190"/>
      <c r="AD739" s="1190"/>
      <c r="AE739" s="1190"/>
      <c r="AF739" s="1190"/>
      <c r="AG739" s="1190"/>
      <c r="AH739" s="1190"/>
      <c r="AI739" s="1190"/>
      <c r="AJ739" s="1190"/>
      <c r="AK739" s="1190"/>
      <c r="AL739" s="1190"/>
      <c r="AM739" s="1190"/>
      <c r="AN739" s="1190"/>
      <c r="AO739" s="1190"/>
      <c r="AP739" s="1190"/>
      <c r="AQ739" s="1190"/>
      <c r="AR739" s="1190"/>
      <c r="AS739" s="1190"/>
      <c r="AT739" s="1190"/>
      <c r="AU739" s="1190"/>
      <c r="AV739" s="1190"/>
      <c r="AW739" s="1190"/>
      <c r="AX739" s="1190"/>
      <c r="AY739" s="1190"/>
      <c r="AZ739" s="1190"/>
      <c r="BA739" s="1190"/>
      <c r="BB739" s="1190"/>
      <c r="BC739" s="1190"/>
      <c r="BD739" s="1190"/>
      <c r="BE739" s="1190"/>
      <c r="BF739" s="1190"/>
      <c r="BG739" s="1190"/>
      <c r="BH739" s="1190"/>
      <c r="BI739" s="1190"/>
      <c r="BJ739" s="1190"/>
      <c r="BK739" s="1190"/>
      <c r="BL739" s="1190"/>
      <c r="BM739" s="1190"/>
      <c r="BN739" s="1190"/>
      <c r="BO739" s="1190"/>
    </row>
    <row r="740" spans="26:67">
      <c r="Z740" s="1190"/>
      <c r="AA740" s="1190"/>
      <c r="AB740" s="1190"/>
      <c r="AC740" s="1190"/>
      <c r="AD740" s="1190"/>
      <c r="AE740" s="1190"/>
      <c r="AF740" s="1190"/>
      <c r="AG740" s="1190"/>
      <c r="AH740" s="1190"/>
      <c r="AI740" s="1190"/>
      <c r="AJ740" s="1190"/>
      <c r="AK740" s="1190"/>
      <c r="AL740" s="1190"/>
      <c r="AM740" s="1190"/>
      <c r="AN740" s="1190"/>
      <c r="AO740" s="1190"/>
      <c r="AP740" s="1190"/>
      <c r="AQ740" s="1190"/>
      <c r="AR740" s="1190"/>
      <c r="AS740" s="1190"/>
      <c r="AT740" s="1190"/>
      <c r="AU740" s="1190"/>
      <c r="AV740" s="1190"/>
      <c r="AW740" s="1190"/>
      <c r="AX740" s="1190"/>
      <c r="AY740" s="1190"/>
      <c r="AZ740" s="1190"/>
      <c r="BA740" s="1190"/>
      <c r="BB740" s="1190"/>
      <c r="BC740" s="1190"/>
      <c r="BD740" s="1190"/>
      <c r="BE740" s="1190"/>
      <c r="BF740" s="1190"/>
      <c r="BG740" s="1190"/>
      <c r="BH740" s="1190"/>
      <c r="BI740" s="1190"/>
      <c r="BJ740" s="1190"/>
      <c r="BK740" s="1190"/>
      <c r="BL740" s="1190"/>
      <c r="BM740" s="1190"/>
      <c r="BN740" s="1190"/>
      <c r="BO740" s="1190"/>
    </row>
    <row r="741" spans="26:67">
      <c r="Z741" s="1190"/>
      <c r="AA741" s="1190"/>
      <c r="AB741" s="1190"/>
      <c r="AC741" s="1190"/>
      <c r="AD741" s="1190"/>
      <c r="AE741" s="1190"/>
      <c r="AF741" s="1190"/>
      <c r="AG741" s="1190"/>
      <c r="AH741" s="1190"/>
      <c r="AI741" s="1190"/>
      <c r="AJ741" s="1190"/>
      <c r="AK741" s="1190"/>
      <c r="AL741" s="1190"/>
      <c r="AM741" s="1190"/>
      <c r="AN741" s="1190"/>
      <c r="AO741" s="1190"/>
      <c r="AP741" s="1190"/>
      <c r="AQ741" s="1190"/>
      <c r="AR741" s="1190"/>
      <c r="AS741" s="1190"/>
      <c r="AT741" s="1190"/>
      <c r="AU741" s="1190"/>
      <c r="AV741" s="1190"/>
      <c r="AW741" s="1190"/>
      <c r="AX741" s="1190"/>
      <c r="AY741" s="1190"/>
      <c r="AZ741" s="1190"/>
      <c r="BA741" s="1190"/>
      <c r="BB741" s="1190"/>
      <c r="BC741" s="1190"/>
      <c r="BD741" s="1190"/>
      <c r="BE741" s="1190"/>
      <c r="BF741" s="1190"/>
      <c r="BG741" s="1190"/>
      <c r="BH741" s="1190"/>
      <c r="BI741" s="1190"/>
      <c r="BJ741" s="1190"/>
      <c r="BK741" s="1190"/>
      <c r="BL741" s="1190"/>
      <c r="BM741" s="1190"/>
      <c r="BN741" s="1190"/>
      <c r="BO741" s="1190"/>
    </row>
    <row r="742" spans="26:67">
      <c r="Z742" s="1190"/>
      <c r="AA742" s="1190"/>
      <c r="AB742" s="1190"/>
      <c r="AC742" s="1190"/>
      <c r="AD742" s="1190"/>
      <c r="AE742" s="1190"/>
      <c r="AF742" s="1190"/>
      <c r="AG742" s="1190"/>
      <c r="AH742" s="1190"/>
      <c r="AI742" s="1190"/>
      <c r="AJ742" s="1190"/>
      <c r="AK742" s="1190"/>
      <c r="AL742" s="1190"/>
      <c r="AM742" s="1190"/>
      <c r="AN742" s="1190"/>
      <c r="AO742" s="1190"/>
      <c r="AP742" s="1190"/>
      <c r="AQ742" s="1190"/>
      <c r="AR742" s="1190"/>
      <c r="AS742" s="1190"/>
      <c r="AT742" s="1190"/>
      <c r="AU742" s="1190"/>
      <c r="AV742" s="1190"/>
      <c r="AW742" s="1190"/>
      <c r="AX742" s="1190"/>
      <c r="AY742" s="1190"/>
      <c r="AZ742" s="1190"/>
      <c r="BA742" s="1190"/>
      <c r="BB742" s="1190"/>
      <c r="BC742" s="1190"/>
      <c r="BD742" s="1190"/>
      <c r="BE742" s="1190"/>
      <c r="BF742" s="1190"/>
      <c r="BG742" s="1190"/>
      <c r="BH742" s="1190"/>
      <c r="BI742" s="1190"/>
      <c r="BJ742" s="1190"/>
      <c r="BK742" s="1190"/>
      <c r="BL742" s="1190"/>
      <c r="BM742" s="1190"/>
      <c r="BN742" s="1190"/>
      <c r="BO742" s="1190"/>
    </row>
    <row r="743" spans="26:67">
      <c r="Z743" s="1190"/>
      <c r="AA743" s="1190"/>
      <c r="AB743" s="1190"/>
      <c r="AC743" s="1190"/>
      <c r="AD743" s="1190"/>
      <c r="AE743" s="1190"/>
      <c r="AF743" s="1190"/>
      <c r="AG743" s="1190"/>
      <c r="AH743" s="1190"/>
      <c r="AI743" s="1190"/>
      <c r="AJ743" s="1190"/>
      <c r="AK743" s="1190"/>
      <c r="AL743" s="1190"/>
      <c r="AM743" s="1190"/>
      <c r="AN743" s="1190"/>
      <c r="AO743" s="1190"/>
      <c r="AP743" s="1190"/>
      <c r="AQ743" s="1190"/>
      <c r="AR743" s="1190"/>
      <c r="AS743" s="1190"/>
      <c r="AT743" s="1190"/>
      <c r="AU743" s="1190"/>
      <c r="AV743" s="1190"/>
      <c r="AW743" s="1190"/>
      <c r="AX743" s="1190"/>
      <c r="AY743" s="1190"/>
      <c r="AZ743" s="1190"/>
      <c r="BA743" s="1190"/>
      <c r="BB743" s="1190"/>
      <c r="BC743" s="1190"/>
      <c r="BD743" s="1190"/>
      <c r="BE743" s="1190"/>
      <c r="BF743" s="1190"/>
      <c r="BG743" s="1190"/>
      <c r="BH743" s="1190"/>
      <c r="BI743" s="1190"/>
      <c r="BJ743" s="1190"/>
      <c r="BK743" s="1190"/>
      <c r="BL743" s="1190"/>
      <c r="BM743" s="1190"/>
      <c r="BN743" s="1190"/>
      <c r="BO743" s="1190"/>
    </row>
    <row r="744" spans="26:67">
      <c r="Z744" s="1190"/>
      <c r="AA744" s="1190"/>
      <c r="AB744" s="1190"/>
      <c r="AC744" s="1190"/>
      <c r="AD744" s="1190"/>
      <c r="AE744" s="1190"/>
      <c r="AF744" s="1190"/>
      <c r="AG744" s="1190"/>
      <c r="AH744" s="1190"/>
      <c r="AI744" s="1190"/>
      <c r="AJ744" s="1190"/>
      <c r="AK744" s="1190"/>
      <c r="AL744" s="1190"/>
      <c r="AM744" s="1190"/>
      <c r="AN744" s="1190"/>
      <c r="AO744" s="1190"/>
      <c r="AP744" s="1190"/>
      <c r="AQ744" s="1190"/>
      <c r="AR744" s="1190"/>
      <c r="AS744" s="1190"/>
      <c r="AT744" s="1190"/>
      <c r="AU744" s="1190"/>
      <c r="AV744" s="1190"/>
      <c r="AW744" s="1190"/>
      <c r="AX744" s="1190"/>
      <c r="AY744" s="1190"/>
      <c r="AZ744" s="1190"/>
      <c r="BA744" s="1190"/>
      <c r="BB744" s="1190"/>
      <c r="BC744" s="1190"/>
      <c r="BD744" s="1190"/>
      <c r="BE744" s="1190"/>
      <c r="BF744" s="1190"/>
      <c r="BG744" s="1190"/>
      <c r="BH744" s="1190"/>
      <c r="BI744" s="1190"/>
      <c r="BJ744" s="1190"/>
      <c r="BK744" s="1190"/>
      <c r="BL744" s="1190"/>
      <c r="BM744" s="1190"/>
      <c r="BN744" s="1190"/>
      <c r="BO744" s="1190"/>
    </row>
    <row r="745" spans="26:67">
      <c r="Z745" s="1190"/>
      <c r="AA745" s="1190"/>
      <c r="AB745" s="1190"/>
      <c r="AC745" s="1190"/>
      <c r="AD745" s="1190"/>
      <c r="AE745" s="1190"/>
      <c r="AF745" s="1190"/>
      <c r="AG745" s="1190"/>
      <c r="AH745" s="1190"/>
      <c r="AI745" s="1190"/>
      <c r="AJ745" s="1190"/>
      <c r="AK745" s="1190"/>
      <c r="AL745" s="1190"/>
      <c r="AM745" s="1190"/>
      <c r="AN745" s="1190"/>
      <c r="AO745" s="1190"/>
      <c r="AP745" s="1190"/>
      <c r="AQ745" s="1190"/>
      <c r="AR745" s="1190"/>
      <c r="AS745" s="1190"/>
      <c r="AT745" s="1190"/>
      <c r="AU745" s="1190"/>
      <c r="AV745" s="1190"/>
      <c r="AW745" s="1190"/>
      <c r="AX745" s="1190"/>
      <c r="AY745" s="1190"/>
      <c r="AZ745" s="1190"/>
      <c r="BA745" s="1190"/>
      <c r="BB745" s="1190"/>
      <c r="BC745" s="1190"/>
      <c r="BD745" s="1190"/>
      <c r="BE745" s="1190"/>
      <c r="BF745" s="1190"/>
      <c r="BG745" s="1190"/>
      <c r="BH745" s="1190"/>
      <c r="BI745" s="1190"/>
      <c r="BJ745" s="1190"/>
      <c r="BK745" s="1190"/>
      <c r="BL745" s="1190"/>
      <c r="BM745" s="1190"/>
      <c r="BN745" s="1190"/>
      <c r="BO745" s="1190"/>
    </row>
    <row r="746" spans="26:67">
      <c r="Z746" s="1190"/>
      <c r="AA746" s="1190"/>
      <c r="AB746" s="1190"/>
      <c r="AC746" s="1190"/>
      <c r="AD746" s="1190"/>
      <c r="AE746" s="1190"/>
      <c r="AF746" s="1190"/>
      <c r="AG746" s="1190"/>
      <c r="AH746" s="1190"/>
      <c r="AI746" s="1190"/>
      <c r="AJ746" s="1190"/>
      <c r="AK746" s="1190"/>
      <c r="AL746" s="1190"/>
      <c r="AM746" s="1190"/>
      <c r="AN746" s="1190"/>
      <c r="AO746" s="1190"/>
      <c r="AP746" s="1190"/>
      <c r="AQ746" s="1190"/>
      <c r="AR746" s="1190"/>
      <c r="AS746" s="1190"/>
      <c r="AT746" s="1190"/>
      <c r="AU746" s="1190"/>
      <c r="AV746" s="1190"/>
      <c r="AW746" s="1190"/>
      <c r="AX746" s="1190"/>
      <c r="AY746" s="1190"/>
      <c r="AZ746" s="1190"/>
      <c r="BA746" s="1190"/>
      <c r="BB746" s="1190"/>
      <c r="BC746" s="1190"/>
      <c r="BD746" s="1190"/>
      <c r="BE746" s="1190"/>
      <c r="BF746" s="1190"/>
      <c r="BG746" s="1190"/>
      <c r="BH746" s="1190"/>
      <c r="BI746" s="1190"/>
      <c r="BJ746" s="1190"/>
      <c r="BK746" s="1190"/>
      <c r="BL746" s="1190"/>
      <c r="BM746" s="1190"/>
      <c r="BN746" s="1190"/>
      <c r="BO746" s="1190"/>
    </row>
    <row r="747" spans="26:67">
      <c r="Z747" s="1190"/>
      <c r="AA747" s="1190"/>
      <c r="AB747" s="1190"/>
      <c r="AC747" s="1190"/>
      <c r="AD747" s="1190"/>
      <c r="AE747" s="1190"/>
      <c r="AF747" s="1190"/>
      <c r="AG747" s="1190"/>
      <c r="AH747" s="1190"/>
      <c r="AI747" s="1190"/>
      <c r="AJ747" s="1190"/>
      <c r="AK747" s="1190"/>
      <c r="AL747" s="1190"/>
      <c r="AM747" s="1190"/>
      <c r="AN747" s="1190"/>
      <c r="AO747" s="1190"/>
      <c r="AP747" s="1190"/>
      <c r="AQ747" s="1190"/>
      <c r="AR747" s="1190"/>
      <c r="AS747" s="1190"/>
      <c r="AT747" s="1190"/>
      <c r="AU747" s="1190"/>
      <c r="AV747" s="1190"/>
      <c r="AW747" s="1190"/>
      <c r="AX747" s="1190"/>
      <c r="AY747" s="1190"/>
      <c r="AZ747" s="1190"/>
      <c r="BA747" s="1190"/>
      <c r="BB747" s="1190"/>
      <c r="BC747" s="1190"/>
      <c r="BD747" s="1190"/>
      <c r="BE747" s="1190"/>
      <c r="BF747" s="1190"/>
      <c r="BG747" s="1190"/>
      <c r="BH747" s="1190"/>
      <c r="BI747" s="1190"/>
      <c r="BJ747" s="1190"/>
      <c r="BK747" s="1190"/>
      <c r="BL747" s="1190"/>
      <c r="BM747" s="1190"/>
      <c r="BN747" s="1190"/>
      <c r="BO747" s="1190"/>
    </row>
    <row r="748" spans="26:67">
      <c r="Z748" s="1190"/>
      <c r="AA748" s="1190"/>
      <c r="AB748" s="1190"/>
      <c r="AC748" s="1190"/>
      <c r="AD748" s="1190"/>
      <c r="AE748" s="1190"/>
      <c r="AF748" s="1190"/>
      <c r="AG748" s="1190"/>
      <c r="AH748" s="1190"/>
      <c r="AI748" s="1190"/>
      <c r="AJ748" s="1190"/>
      <c r="AK748" s="1190"/>
      <c r="AL748" s="1190"/>
      <c r="AM748" s="1190"/>
      <c r="AN748" s="1190"/>
      <c r="AO748" s="1190"/>
      <c r="AP748" s="1190"/>
      <c r="AQ748" s="1190"/>
      <c r="AR748" s="1190"/>
      <c r="AS748" s="1190"/>
      <c r="AT748" s="1190"/>
      <c r="AU748" s="1190"/>
      <c r="AV748" s="1190"/>
      <c r="AW748" s="1190"/>
      <c r="AX748" s="1190"/>
      <c r="AY748" s="1190"/>
      <c r="AZ748" s="1190"/>
      <c r="BA748" s="1190"/>
      <c r="BB748" s="1190"/>
      <c r="BC748" s="1190"/>
      <c r="BD748" s="1190"/>
      <c r="BE748" s="1190"/>
      <c r="BF748" s="1190"/>
      <c r="BG748" s="1190"/>
      <c r="BH748" s="1190"/>
      <c r="BI748" s="1190"/>
      <c r="BJ748" s="1190"/>
      <c r="BK748" s="1190"/>
      <c r="BL748" s="1190"/>
      <c r="BM748" s="1190"/>
      <c r="BN748" s="1190"/>
      <c r="BO748" s="1190"/>
    </row>
    <row r="749" spans="26:67">
      <c r="Z749" s="1190"/>
      <c r="AA749" s="1190"/>
      <c r="AB749" s="1190"/>
      <c r="AC749" s="1190"/>
      <c r="AD749" s="1190"/>
      <c r="AE749" s="1190"/>
      <c r="AF749" s="1190"/>
      <c r="AG749" s="1190"/>
      <c r="AH749" s="1190"/>
      <c r="AI749" s="1190"/>
      <c r="AJ749" s="1190"/>
      <c r="AK749" s="1190"/>
      <c r="AL749" s="1190"/>
      <c r="AM749" s="1190"/>
      <c r="AN749" s="1190"/>
      <c r="AO749" s="1190"/>
      <c r="AP749" s="1190"/>
      <c r="AQ749" s="1190"/>
      <c r="AR749" s="1190"/>
      <c r="AS749" s="1190"/>
      <c r="AT749" s="1190"/>
      <c r="AU749" s="1190"/>
      <c r="AV749" s="1190"/>
      <c r="AW749" s="1190"/>
      <c r="AX749" s="1190"/>
      <c r="AY749" s="1190"/>
      <c r="AZ749" s="1190"/>
      <c r="BA749" s="1190"/>
      <c r="BB749" s="1190"/>
      <c r="BC749" s="1190"/>
      <c r="BD749" s="1190"/>
      <c r="BE749" s="1190"/>
      <c r="BF749" s="1190"/>
      <c r="BG749" s="1190"/>
      <c r="BH749" s="1190"/>
      <c r="BI749" s="1190"/>
      <c r="BJ749" s="1190"/>
      <c r="BK749" s="1190"/>
      <c r="BL749" s="1190"/>
      <c r="BM749" s="1190"/>
      <c r="BN749" s="1190"/>
      <c r="BO749" s="1190"/>
    </row>
    <row r="750" spans="26:67">
      <c r="Z750" s="1190"/>
      <c r="AA750" s="1190"/>
      <c r="AB750" s="1190"/>
      <c r="AC750" s="1190"/>
      <c r="AD750" s="1190"/>
      <c r="AE750" s="1190"/>
      <c r="AF750" s="1190"/>
      <c r="AG750" s="1190"/>
      <c r="AH750" s="1190"/>
      <c r="AI750" s="1190"/>
      <c r="AJ750" s="1190"/>
      <c r="AK750" s="1190"/>
      <c r="AL750" s="1190"/>
      <c r="AM750" s="1190"/>
      <c r="AN750" s="1190"/>
      <c r="AO750" s="1190"/>
      <c r="AP750" s="1190"/>
      <c r="AQ750" s="1190"/>
      <c r="AR750" s="1190"/>
      <c r="AS750" s="1190"/>
      <c r="AT750" s="1190"/>
      <c r="AU750" s="1190"/>
      <c r="AV750" s="1190"/>
      <c r="AW750" s="1190"/>
      <c r="AX750" s="1190"/>
      <c r="AY750" s="1190"/>
      <c r="AZ750" s="1190"/>
      <c r="BA750" s="1190"/>
      <c r="BB750" s="1190"/>
      <c r="BC750" s="1190"/>
      <c r="BD750" s="1190"/>
      <c r="BE750" s="1190"/>
      <c r="BF750" s="1190"/>
      <c r="BG750" s="1190"/>
      <c r="BH750" s="1190"/>
      <c r="BI750" s="1190"/>
      <c r="BJ750" s="1190"/>
      <c r="BK750" s="1190"/>
      <c r="BL750" s="1190"/>
      <c r="BM750" s="1190"/>
      <c r="BN750" s="1190"/>
      <c r="BO750" s="1190"/>
    </row>
    <row r="751" spans="26:67">
      <c r="Z751" s="1190"/>
      <c r="AA751" s="1190"/>
      <c r="AB751" s="1190"/>
      <c r="AC751" s="1190"/>
      <c r="AD751" s="1190"/>
      <c r="AE751" s="1190"/>
      <c r="AF751" s="1190"/>
      <c r="AG751" s="1190"/>
      <c r="AH751" s="1190"/>
      <c r="AI751" s="1190"/>
      <c r="AJ751" s="1190"/>
      <c r="AK751" s="1190"/>
      <c r="AL751" s="1190"/>
      <c r="AM751" s="1190"/>
      <c r="AN751" s="1190"/>
      <c r="AO751" s="1190"/>
      <c r="AP751" s="1190"/>
      <c r="AQ751" s="1190"/>
      <c r="AR751" s="1190"/>
      <c r="AS751" s="1190"/>
      <c r="AT751" s="1190"/>
      <c r="AU751" s="1190"/>
      <c r="AV751" s="1190"/>
      <c r="AW751" s="1190"/>
      <c r="AX751" s="1190"/>
      <c r="AY751" s="1190"/>
      <c r="AZ751" s="1190"/>
      <c r="BA751" s="1190"/>
      <c r="BB751" s="1190"/>
      <c r="BC751" s="1190"/>
      <c r="BD751" s="1190"/>
      <c r="BE751" s="1190"/>
      <c r="BF751" s="1190"/>
      <c r="BG751" s="1190"/>
      <c r="BH751" s="1190"/>
      <c r="BI751" s="1190"/>
      <c r="BJ751" s="1190"/>
      <c r="BK751" s="1190"/>
      <c r="BL751" s="1190"/>
      <c r="BM751" s="1190"/>
      <c r="BN751" s="1190"/>
      <c r="BO751" s="1190"/>
    </row>
    <row r="752" spans="26:67">
      <c r="Z752" s="1190"/>
      <c r="AA752" s="1190"/>
      <c r="AB752" s="1190"/>
      <c r="AC752" s="1190"/>
      <c r="AD752" s="1190"/>
      <c r="AE752" s="1190"/>
      <c r="AF752" s="1190"/>
      <c r="AG752" s="1190"/>
      <c r="AH752" s="1190"/>
      <c r="AI752" s="1190"/>
      <c r="AJ752" s="1190"/>
      <c r="AK752" s="1190"/>
      <c r="AL752" s="1190"/>
      <c r="AM752" s="1190"/>
      <c r="AN752" s="1190"/>
      <c r="AO752" s="1190"/>
      <c r="AP752" s="1190"/>
      <c r="AQ752" s="1190"/>
      <c r="AR752" s="1190"/>
      <c r="AS752" s="1190"/>
      <c r="AT752" s="1190"/>
      <c r="AU752" s="1190"/>
      <c r="AV752" s="1190"/>
      <c r="AW752" s="1190"/>
      <c r="AX752" s="1190"/>
      <c r="AY752" s="1190"/>
      <c r="AZ752" s="1190"/>
      <c r="BA752" s="1190"/>
      <c r="BB752" s="1190"/>
      <c r="BC752" s="1190"/>
      <c r="BD752" s="1190"/>
      <c r="BE752" s="1190"/>
      <c r="BF752" s="1190"/>
      <c r="BG752" s="1190"/>
      <c r="BH752" s="1190"/>
      <c r="BI752" s="1190"/>
      <c r="BJ752" s="1190"/>
      <c r="BK752" s="1190"/>
      <c r="BL752" s="1190"/>
      <c r="BM752" s="1190"/>
      <c r="BN752" s="1190"/>
      <c r="BO752" s="1190"/>
    </row>
    <row r="753" spans="26:67">
      <c r="Z753" s="1190"/>
      <c r="AA753" s="1190"/>
      <c r="AB753" s="1190"/>
      <c r="AC753" s="1190"/>
      <c r="AD753" s="1190"/>
      <c r="AE753" s="1190"/>
      <c r="AF753" s="1190"/>
      <c r="AG753" s="1190"/>
      <c r="AH753" s="1190"/>
      <c r="AI753" s="1190"/>
      <c r="AJ753" s="1190"/>
      <c r="AK753" s="1190"/>
      <c r="AL753" s="1190"/>
      <c r="AM753" s="1190"/>
      <c r="AN753" s="1190"/>
      <c r="AO753" s="1190"/>
      <c r="AP753" s="1190"/>
      <c r="AQ753" s="1190"/>
      <c r="AR753" s="1190"/>
      <c r="AS753" s="1190"/>
      <c r="AT753" s="1190"/>
      <c r="AU753" s="1190"/>
      <c r="AV753" s="1190"/>
      <c r="AW753" s="1190"/>
      <c r="AX753" s="1190"/>
      <c r="AY753" s="1190"/>
      <c r="AZ753" s="1190"/>
      <c r="BA753" s="1190"/>
      <c r="BB753" s="1190"/>
      <c r="BC753" s="1190"/>
      <c r="BD753" s="1190"/>
      <c r="BE753" s="1190"/>
      <c r="BF753" s="1190"/>
      <c r="BG753" s="1190"/>
      <c r="BH753" s="1190"/>
      <c r="BI753" s="1190"/>
      <c r="BJ753" s="1190"/>
      <c r="BK753" s="1190"/>
      <c r="BL753" s="1190"/>
      <c r="BM753" s="1190"/>
      <c r="BN753" s="1190"/>
      <c r="BO753" s="1190"/>
    </row>
    <row r="754" spans="26:67">
      <c r="Z754" s="1190"/>
      <c r="AA754" s="1190"/>
      <c r="AB754" s="1190"/>
      <c r="AC754" s="1190"/>
      <c r="AD754" s="1190"/>
      <c r="AE754" s="1190"/>
      <c r="AF754" s="1190"/>
      <c r="AG754" s="1190"/>
      <c r="AH754" s="1190"/>
      <c r="AI754" s="1190"/>
      <c r="AJ754" s="1190"/>
      <c r="AK754" s="1190"/>
      <c r="AL754" s="1190"/>
      <c r="AM754" s="1190"/>
      <c r="AN754" s="1190"/>
      <c r="AO754" s="1190"/>
      <c r="AP754" s="1190"/>
      <c r="AQ754" s="1190"/>
      <c r="AR754" s="1190"/>
      <c r="AS754" s="1190"/>
      <c r="AT754" s="1190"/>
      <c r="AU754" s="1190"/>
      <c r="AV754" s="1190"/>
      <c r="AW754" s="1190"/>
      <c r="AX754" s="1190"/>
      <c r="AY754" s="1190"/>
      <c r="AZ754" s="1190"/>
      <c r="BA754" s="1190"/>
      <c r="BB754" s="1190"/>
      <c r="BC754" s="1190"/>
      <c r="BD754" s="1190"/>
      <c r="BE754" s="1190"/>
      <c r="BF754" s="1190"/>
      <c r="BG754" s="1190"/>
      <c r="BH754" s="1190"/>
      <c r="BI754" s="1190"/>
      <c r="BJ754" s="1190"/>
      <c r="BK754" s="1190"/>
      <c r="BL754" s="1190"/>
      <c r="BM754" s="1190"/>
      <c r="BN754" s="1190"/>
      <c r="BO754" s="1190"/>
    </row>
    <row r="755" spans="26:67">
      <c r="Z755" s="1190"/>
      <c r="AA755" s="1190"/>
      <c r="AB755" s="1190"/>
      <c r="AC755" s="1190"/>
      <c r="AD755" s="1190"/>
      <c r="AE755" s="1190"/>
      <c r="AF755" s="1190"/>
      <c r="AG755" s="1190"/>
      <c r="AH755" s="1190"/>
      <c r="AI755" s="1190"/>
      <c r="AJ755" s="1190"/>
      <c r="AK755" s="1190"/>
      <c r="AL755" s="1190"/>
      <c r="AM755" s="1190"/>
      <c r="AN755" s="1190"/>
      <c r="AO755" s="1190"/>
      <c r="AP755" s="1190"/>
      <c r="AQ755" s="1190"/>
      <c r="AR755" s="1190"/>
      <c r="AS755" s="1190"/>
      <c r="AT755" s="1190"/>
      <c r="AU755" s="1190"/>
      <c r="AV755" s="1190"/>
      <c r="AW755" s="1190"/>
      <c r="AX755" s="1190"/>
      <c r="AY755" s="1190"/>
      <c r="AZ755" s="1190"/>
      <c r="BA755" s="1190"/>
      <c r="BB755" s="1190"/>
      <c r="BC755" s="1190"/>
      <c r="BD755" s="1190"/>
      <c r="BE755" s="1190"/>
      <c r="BF755" s="1190"/>
      <c r="BG755" s="1190"/>
      <c r="BH755" s="1190"/>
      <c r="BI755" s="1190"/>
      <c r="BJ755" s="1190"/>
      <c r="BK755" s="1190"/>
      <c r="BL755" s="1190"/>
      <c r="BM755" s="1190"/>
      <c r="BN755" s="1190"/>
      <c r="BO755" s="1190"/>
    </row>
    <row r="756" spans="26:67">
      <c r="Z756" s="1190"/>
      <c r="AA756" s="1190"/>
      <c r="AB756" s="1190"/>
      <c r="AC756" s="1190"/>
      <c r="AD756" s="1190"/>
      <c r="AE756" s="1190"/>
      <c r="AF756" s="1190"/>
      <c r="AG756" s="1190"/>
      <c r="AH756" s="1190"/>
      <c r="AI756" s="1190"/>
      <c r="AJ756" s="1190"/>
      <c r="AK756" s="1190"/>
      <c r="AL756" s="1190"/>
      <c r="AM756" s="1190"/>
      <c r="AN756" s="1190"/>
      <c r="AO756" s="1190"/>
      <c r="AP756" s="1190"/>
      <c r="AQ756" s="1190"/>
      <c r="AR756" s="1190"/>
      <c r="AS756" s="1190"/>
      <c r="AT756" s="1190"/>
      <c r="AU756" s="1190"/>
      <c r="AV756" s="1190"/>
      <c r="AW756" s="1190"/>
      <c r="AX756" s="1190"/>
      <c r="AY756" s="1190"/>
      <c r="AZ756" s="1190"/>
      <c r="BA756" s="1190"/>
      <c r="BB756" s="1190"/>
      <c r="BC756" s="1190"/>
      <c r="BD756" s="1190"/>
      <c r="BE756" s="1190"/>
      <c r="BF756" s="1190"/>
      <c r="BG756" s="1190"/>
      <c r="BH756" s="1190"/>
      <c r="BI756" s="1190"/>
      <c r="BJ756" s="1190"/>
      <c r="BK756" s="1190"/>
      <c r="BL756" s="1190"/>
      <c r="BM756" s="1190"/>
      <c r="BN756" s="1190"/>
      <c r="BO756" s="1190"/>
    </row>
    <row r="757" spans="26:67">
      <c r="Z757" s="1190"/>
      <c r="AA757" s="1190"/>
      <c r="AB757" s="1190"/>
      <c r="AC757" s="1190"/>
      <c r="AD757" s="1190"/>
      <c r="AE757" s="1190"/>
      <c r="AF757" s="1190"/>
      <c r="AG757" s="1190"/>
      <c r="AH757" s="1190"/>
      <c r="AI757" s="1190"/>
      <c r="AJ757" s="1190"/>
      <c r="AK757" s="1190"/>
      <c r="AL757" s="1190"/>
      <c r="AM757" s="1190"/>
      <c r="AN757" s="1190"/>
      <c r="AO757" s="1190"/>
      <c r="AP757" s="1190"/>
      <c r="AQ757" s="1190"/>
      <c r="AR757" s="1190"/>
      <c r="AS757" s="1190"/>
      <c r="AT757" s="1190"/>
      <c r="AU757" s="1190"/>
      <c r="AV757" s="1190"/>
      <c r="AW757" s="1190"/>
      <c r="AX757" s="1190"/>
      <c r="AY757" s="1190"/>
      <c r="AZ757" s="1190"/>
      <c r="BA757" s="1190"/>
      <c r="BB757" s="1190"/>
      <c r="BC757" s="1190"/>
      <c r="BD757" s="1190"/>
      <c r="BE757" s="1190"/>
      <c r="BF757" s="1190"/>
      <c r="BG757" s="1190"/>
      <c r="BH757" s="1190"/>
      <c r="BI757" s="1190"/>
      <c r="BJ757" s="1190"/>
      <c r="BK757" s="1190"/>
      <c r="BL757" s="1190"/>
      <c r="BM757" s="1190"/>
      <c r="BN757" s="1190"/>
      <c r="BO757" s="1190"/>
    </row>
    <row r="758" spans="26:67">
      <c r="Z758" s="1190"/>
      <c r="AA758" s="1190"/>
      <c r="AB758" s="1190"/>
      <c r="AC758" s="1190"/>
      <c r="AD758" s="1190"/>
      <c r="AE758" s="1190"/>
      <c r="AF758" s="1190"/>
      <c r="AG758" s="1190"/>
      <c r="AH758" s="1190"/>
      <c r="AI758" s="1190"/>
      <c r="AJ758" s="1190"/>
      <c r="AK758" s="1190"/>
      <c r="AL758" s="1190"/>
      <c r="AM758" s="1190"/>
      <c r="AN758" s="1190"/>
      <c r="AO758" s="1190"/>
      <c r="AP758" s="1190"/>
      <c r="AQ758" s="1190"/>
      <c r="AR758" s="1190"/>
      <c r="AS758" s="1190"/>
      <c r="AT758" s="1190"/>
      <c r="AU758" s="1190"/>
      <c r="AV758" s="1190"/>
      <c r="AW758" s="1190"/>
      <c r="AX758" s="1190"/>
      <c r="AY758" s="1190"/>
      <c r="AZ758" s="1190"/>
      <c r="BA758" s="1190"/>
      <c r="BB758" s="1190"/>
      <c r="BC758" s="1190"/>
      <c r="BD758" s="1190"/>
      <c r="BE758" s="1190"/>
      <c r="BF758" s="1190"/>
      <c r="BG758" s="1190"/>
      <c r="BH758" s="1190"/>
      <c r="BI758" s="1190"/>
      <c r="BJ758" s="1190"/>
      <c r="BK758" s="1190"/>
      <c r="BL758" s="1190"/>
      <c r="BM758" s="1190"/>
      <c r="BN758" s="1190"/>
      <c r="BO758" s="1190"/>
    </row>
    <row r="759" spans="26:67">
      <c r="Z759" s="1190"/>
      <c r="AA759" s="1190"/>
      <c r="AB759" s="1190"/>
      <c r="AC759" s="1190"/>
      <c r="AD759" s="1190"/>
      <c r="AE759" s="1190"/>
      <c r="AF759" s="1190"/>
      <c r="AG759" s="1190"/>
      <c r="AH759" s="1190"/>
      <c r="AI759" s="1190"/>
      <c r="AJ759" s="1190"/>
      <c r="AK759" s="1190"/>
      <c r="AL759" s="1190"/>
      <c r="AM759" s="1190"/>
      <c r="AN759" s="1190"/>
      <c r="AO759" s="1190"/>
      <c r="AP759" s="1190"/>
      <c r="AQ759" s="1190"/>
      <c r="AR759" s="1190"/>
      <c r="AS759" s="1190"/>
      <c r="AT759" s="1190"/>
      <c r="AU759" s="1190"/>
      <c r="AV759" s="1190"/>
      <c r="AW759" s="1190"/>
      <c r="AX759" s="1190"/>
      <c r="AY759" s="1190"/>
      <c r="AZ759" s="1190"/>
      <c r="BA759" s="1190"/>
      <c r="BB759" s="1190"/>
      <c r="BC759" s="1190"/>
      <c r="BD759" s="1190"/>
      <c r="BE759" s="1190"/>
      <c r="BF759" s="1190"/>
      <c r="BG759" s="1190"/>
      <c r="BH759" s="1190"/>
      <c r="BI759" s="1190"/>
      <c r="BJ759" s="1190"/>
      <c r="BK759" s="1190"/>
      <c r="BL759" s="1190"/>
      <c r="BM759" s="1190"/>
      <c r="BN759" s="1190"/>
      <c r="BO759" s="1190"/>
    </row>
    <row r="760" spans="26:67">
      <c r="Z760" s="1190"/>
      <c r="AA760" s="1190"/>
      <c r="AB760" s="1190"/>
      <c r="AC760" s="1190"/>
      <c r="AD760" s="1190"/>
      <c r="AE760" s="1190"/>
      <c r="AF760" s="1190"/>
      <c r="AG760" s="1190"/>
      <c r="AH760" s="1190"/>
      <c r="AI760" s="1190"/>
      <c r="AJ760" s="1190"/>
      <c r="AK760" s="1190"/>
      <c r="AL760" s="1190"/>
      <c r="AM760" s="1190"/>
      <c r="AN760" s="1190"/>
      <c r="AO760" s="1190"/>
      <c r="AP760" s="1190"/>
      <c r="AQ760" s="1190"/>
      <c r="AR760" s="1190"/>
      <c r="AS760" s="1190"/>
      <c r="AT760" s="1190"/>
      <c r="AU760" s="1190"/>
      <c r="AV760" s="1190"/>
      <c r="AW760" s="1190"/>
      <c r="AX760" s="1190"/>
      <c r="AY760" s="1190"/>
      <c r="AZ760" s="1190"/>
      <c r="BA760" s="1190"/>
      <c r="BB760" s="1190"/>
      <c r="BC760" s="1190"/>
      <c r="BD760" s="1190"/>
      <c r="BE760" s="1190"/>
      <c r="BF760" s="1190"/>
      <c r="BG760" s="1190"/>
      <c r="BH760" s="1190"/>
      <c r="BI760" s="1190"/>
      <c r="BJ760" s="1190"/>
      <c r="BK760" s="1190"/>
      <c r="BL760" s="1190"/>
      <c r="BM760" s="1190"/>
      <c r="BN760" s="1190"/>
      <c r="BO760" s="1190"/>
    </row>
    <row r="761" spans="26:67">
      <c r="Z761" s="1190"/>
      <c r="AA761" s="1190"/>
      <c r="AB761" s="1190"/>
      <c r="AC761" s="1190"/>
      <c r="AD761" s="1190"/>
      <c r="AE761" s="1190"/>
      <c r="AF761" s="1190"/>
      <c r="AG761" s="1190"/>
      <c r="AH761" s="1190"/>
      <c r="AI761" s="1190"/>
      <c r="AJ761" s="1190"/>
      <c r="AK761" s="1190"/>
      <c r="AL761" s="1190"/>
      <c r="AM761" s="1190"/>
      <c r="AN761" s="1190"/>
      <c r="AO761" s="1190"/>
      <c r="AP761" s="1190"/>
      <c r="AQ761" s="1190"/>
      <c r="AR761" s="1190"/>
      <c r="AS761" s="1190"/>
      <c r="AT761" s="1190"/>
      <c r="AU761" s="1190"/>
      <c r="AV761" s="1190"/>
      <c r="AW761" s="1190"/>
      <c r="AX761" s="1190"/>
      <c r="AY761" s="1190"/>
      <c r="AZ761" s="1190"/>
      <c r="BA761" s="1190"/>
      <c r="BB761" s="1190"/>
      <c r="BC761" s="1190"/>
      <c r="BD761" s="1190"/>
      <c r="BE761" s="1190"/>
      <c r="BF761" s="1190"/>
      <c r="BG761" s="1190"/>
      <c r="BH761" s="1190"/>
      <c r="BI761" s="1190"/>
      <c r="BJ761" s="1190"/>
      <c r="BK761" s="1190"/>
      <c r="BL761" s="1190"/>
      <c r="BM761" s="1190"/>
      <c r="BN761" s="1190"/>
      <c r="BO761" s="1190"/>
    </row>
    <row r="762" spans="26:67">
      <c r="Z762" s="1190"/>
      <c r="AA762" s="1190"/>
      <c r="AB762" s="1190"/>
      <c r="AC762" s="1190"/>
      <c r="AD762" s="1190"/>
      <c r="AE762" s="1190"/>
      <c r="AF762" s="1190"/>
      <c r="AG762" s="1190"/>
      <c r="AH762" s="1190"/>
      <c r="AI762" s="1190"/>
      <c r="AJ762" s="1190"/>
      <c r="AK762" s="1190"/>
      <c r="AL762" s="1190"/>
      <c r="AM762" s="1190"/>
      <c r="AN762" s="1190"/>
      <c r="AO762" s="1190"/>
      <c r="AP762" s="1190"/>
      <c r="AQ762" s="1190"/>
      <c r="AR762" s="1190"/>
      <c r="AS762" s="1190"/>
      <c r="AT762" s="1190"/>
      <c r="AU762" s="1190"/>
      <c r="AV762" s="1190"/>
      <c r="AW762" s="1190"/>
      <c r="AX762" s="1190"/>
      <c r="AY762" s="1190"/>
      <c r="AZ762" s="1190"/>
      <c r="BA762" s="1190"/>
      <c r="BB762" s="1190"/>
      <c r="BC762" s="1190"/>
      <c r="BD762" s="1190"/>
      <c r="BE762" s="1190"/>
      <c r="BF762" s="1190"/>
      <c r="BG762" s="1190"/>
      <c r="BH762" s="1190"/>
      <c r="BI762" s="1190"/>
      <c r="BJ762" s="1190"/>
      <c r="BK762" s="1190"/>
      <c r="BL762" s="1190"/>
      <c r="BM762" s="1190"/>
      <c r="BN762" s="1190"/>
      <c r="BO762" s="1190"/>
    </row>
    <row r="763" spans="26:67">
      <c r="Z763" s="1190"/>
      <c r="AA763" s="1190"/>
      <c r="AB763" s="1190"/>
      <c r="AC763" s="1190"/>
      <c r="AD763" s="1190"/>
      <c r="AE763" s="1190"/>
      <c r="AF763" s="1190"/>
      <c r="AG763" s="1190"/>
      <c r="AH763" s="1190"/>
      <c r="AI763" s="1190"/>
      <c r="AJ763" s="1190"/>
      <c r="AK763" s="1190"/>
      <c r="AL763" s="1190"/>
      <c r="AM763" s="1190"/>
      <c r="AN763" s="1190"/>
      <c r="AO763" s="1190"/>
      <c r="AP763" s="1190"/>
      <c r="AQ763" s="1190"/>
      <c r="AR763" s="1190"/>
      <c r="AS763" s="1190"/>
      <c r="AT763" s="1190"/>
      <c r="AU763" s="1190"/>
      <c r="AV763" s="1190"/>
      <c r="AW763" s="1190"/>
      <c r="AX763" s="1190"/>
      <c r="AY763" s="1190"/>
      <c r="AZ763" s="1190"/>
      <c r="BA763" s="1190"/>
      <c r="BB763" s="1190"/>
      <c r="BC763" s="1190"/>
      <c r="BD763" s="1190"/>
      <c r="BE763" s="1190"/>
      <c r="BF763" s="1190"/>
      <c r="BG763" s="1190"/>
      <c r="BH763" s="1190"/>
      <c r="BI763" s="1190"/>
      <c r="BJ763" s="1190"/>
      <c r="BK763" s="1190"/>
      <c r="BL763" s="1190"/>
      <c r="BM763" s="1190"/>
      <c r="BN763" s="1190"/>
      <c r="BO763" s="1190"/>
    </row>
    <row r="764" spans="26:67">
      <c r="Z764" s="1190"/>
      <c r="AA764" s="1190"/>
      <c r="AB764" s="1190"/>
      <c r="AC764" s="1190"/>
      <c r="AD764" s="1190"/>
      <c r="AE764" s="1190"/>
      <c r="AF764" s="1190"/>
      <c r="AG764" s="1190"/>
      <c r="AH764" s="1190"/>
      <c r="AI764" s="1190"/>
      <c r="AJ764" s="1190"/>
      <c r="AK764" s="1190"/>
      <c r="AL764" s="1190"/>
      <c r="AM764" s="1190"/>
      <c r="AN764" s="1190"/>
      <c r="AO764" s="1190"/>
      <c r="AP764" s="1190"/>
      <c r="AQ764" s="1190"/>
      <c r="AR764" s="1190"/>
      <c r="AS764" s="1190"/>
      <c r="AT764" s="1190"/>
      <c r="AU764" s="1190"/>
      <c r="AV764" s="1190"/>
      <c r="AW764" s="1190"/>
      <c r="AX764" s="1190"/>
      <c r="AY764" s="1190"/>
      <c r="AZ764" s="1190"/>
      <c r="BA764" s="1190"/>
      <c r="BB764" s="1190"/>
      <c r="BC764" s="1190"/>
      <c r="BD764" s="1190"/>
      <c r="BE764" s="1190"/>
      <c r="BF764" s="1190"/>
      <c r="BG764" s="1190"/>
      <c r="BH764" s="1190"/>
      <c r="BI764" s="1190"/>
      <c r="BJ764" s="1190"/>
      <c r="BK764" s="1190"/>
      <c r="BL764" s="1190"/>
      <c r="BM764" s="1190"/>
      <c r="BN764" s="1190"/>
      <c r="BO764" s="1190"/>
    </row>
    <row r="765" spans="26:67">
      <c r="Z765" s="1190"/>
      <c r="AA765" s="1190"/>
      <c r="AB765" s="1190"/>
      <c r="AC765" s="1190"/>
      <c r="AD765" s="1190"/>
      <c r="AE765" s="1190"/>
      <c r="AF765" s="1190"/>
      <c r="AG765" s="1190"/>
      <c r="AH765" s="1190"/>
      <c r="AI765" s="1190"/>
      <c r="AJ765" s="1190"/>
      <c r="AK765" s="1190"/>
      <c r="AL765" s="1190"/>
      <c r="AM765" s="1190"/>
      <c r="AN765" s="1190"/>
      <c r="AO765" s="1190"/>
      <c r="AP765" s="1190"/>
      <c r="AQ765" s="1190"/>
      <c r="AR765" s="1190"/>
      <c r="AS765" s="1190"/>
      <c r="AT765" s="1190"/>
      <c r="AU765" s="1190"/>
      <c r="AV765" s="1190"/>
      <c r="AW765" s="1190"/>
      <c r="AX765" s="1190"/>
      <c r="AY765" s="1190"/>
      <c r="AZ765" s="1190"/>
      <c r="BA765" s="1190"/>
      <c r="BB765" s="1190"/>
      <c r="BC765" s="1190"/>
      <c r="BD765" s="1190"/>
      <c r="BE765" s="1190"/>
      <c r="BF765" s="1190"/>
      <c r="BG765" s="1190"/>
      <c r="BH765" s="1190"/>
      <c r="BI765" s="1190"/>
      <c r="BJ765" s="1190"/>
      <c r="BK765" s="1190"/>
      <c r="BL765" s="1190"/>
      <c r="BM765" s="1190"/>
      <c r="BN765" s="1190"/>
      <c r="BO765" s="1190"/>
    </row>
    <row r="766" spans="26:67">
      <c r="Z766" s="1190"/>
      <c r="AA766" s="1190"/>
      <c r="AB766" s="1190"/>
      <c r="AC766" s="1190"/>
      <c r="AD766" s="1190"/>
      <c r="AE766" s="1190"/>
      <c r="AF766" s="1190"/>
      <c r="AG766" s="1190"/>
      <c r="AH766" s="1190"/>
      <c r="AI766" s="1190"/>
      <c r="AJ766" s="1190"/>
      <c r="AK766" s="1190"/>
      <c r="AL766" s="1190"/>
      <c r="AM766" s="1190"/>
      <c r="AN766" s="1190"/>
      <c r="AO766" s="1190"/>
      <c r="AP766" s="1190"/>
      <c r="AQ766" s="1190"/>
      <c r="AR766" s="1190"/>
      <c r="AS766" s="1190"/>
      <c r="AT766" s="1190"/>
      <c r="AU766" s="1190"/>
      <c r="AV766" s="1190"/>
      <c r="AW766" s="1190"/>
      <c r="AX766" s="1190"/>
      <c r="AY766" s="1190"/>
      <c r="AZ766" s="1190"/>
      <c r="BA766" s="1190"/>
      <c r="BB766" s="1190"/>
      <c r="BC766" s="1190"/>
      <c r="BD766" s="1190"/>
      <c r="BE766" s="1190"/>
      <c r="BF766" s="1190"/>
      <c r="BG766" s="1190"/>
      <c r="BH766" s="1190"/>
      <c r="BI766" s="1190"/>
      <c r="BJ766" s="1190"/>
      <c r="BK766" s="1190"/>
      <c r="BL766" s="1190"/>
      <c r="BM766" s="1190"/>
      <c r="BN766" s="1190"/>
      <c r="BO766" s="1190"/>
    </row>
    <row r="767" spans="26:67">
      <c r="Z767" s="1190"/>
      <c r="AA767" s="1190"/>
      <c r="AB767" s="1190"/>
      <c r="AC767" s="1190"/>
      <c r="AD767" s="1190"/>
      <c r="AE767" s="1190"/>
      <c r="AF767" s="1190"/>
      <c r="AG767" s="1190"/>
      <c r="AH767" s="1190"/>
      <c r="AI767" s="1190"/>
      <c r="AJ767" s="1190"/>
      <c r="AK767" s="1190"/>
      <c r="AL767" s="1190"/>
      <c r="AM767" s="1190"/>
      <c r="AN767" s="1190"/>
      <c r="AO767" s="1190"/>
      <c r="AP767" s="1190"/>
      <c r="AQ767" s="1190"/>
      <c r="AR767" s="1190"/>
      <c r="AS767" s="1190"/>
      <c r="AT767" s="1190"/>
      <c r="AU767" s="1190"/>
      <c r="AV767" s="1190"/>
      <c r="AW767" s="1190"/>
      <c r="AX767" s="1190"/>
      <c r="AY767" s="1190"/>
      <c r="AZ767" s="1190"/>
      <c r="BA767" s="1190"/>
      <c r="BB767" s="1190"/>
      <c r="BC767" s="1190"/>
      <c r="BD767" s="1190"/>
      <c r="BE767" s="1190"/>
      <c r="BF767" s="1190"/>
      <c r="BG767" s="1190"/>
      <c r="BH767" s="1190"/>
      <c r="BI767" s="1190"/>
      <c r="BJ767" s="1190"/>
      <c r="BK767" s="1190"/>
      <c r="BL767" s="1190"/>
      <c r="BM767" s="1190"/>
      <c r="BN767" s="1190"/>
      <c r="BO767" s="1190"/>
    </row>
    <row r="768" spans="26:67">
      <c r="Z768" s="1190"/>
      <c r="AA768" s="1190"/>
      <c r="AB768" s="1190"/>
      <c r="AC768" s="1190"/>
      <c r="AD768" s="1190"/>
      <c r="AE768" s="1190"/>
      <c r="AF768" s="1190"/>
      <c r="AG768" s="1190"/>
      <c r="AH768" s="1190"/>
      <c r="AI768" s="1190"/>
      <c r="AJ768" s="1190"/>
      <c r="AK768" s="1190"/>
      <c r="AL768" s="1190"/>
      <c r="AM768" s="1190"/>
      <c r="AN768" s="1190"/>
      <c r="AO768" s="1190"/>
      <c r="AP768" s="1190"/>
      <c r="AQ768" s="1190"/>
      <c r="AR768" s="1190"/>
      <c r="AS768" s="1190"/>
      <c r="AT768" s="1190"/>
      <c r="AU768" s="1190"/>
      <c r="AV768" s="1190"/>
      <c r="AW768" s="1190"/>
      <c r="AX768" s="1190"/>
      <c r="AY768" s="1190"/>
      <c r="AZ768" s="1190"/>
      <c r="BA768" s="1190"/>
      <c r="BB768" s="1190"/>
      <c r="BC768" s="1190"/>
      <c r="BD768" s="1190"/>
      <c r="BE768" s="1190"/>
      <c r="BF768" s="1190"/>
      <c r="BG768" s="1190"/>
      <c r="BH768" s="1190"/>
      <c r="BI768" s="1190"/>
      <c r="BJ768" s="1190"/>
      <c r="BK768" s="1190"/>
      <c r="BL768" s="1190"/>
      <c r="BM768" s="1190"/>
      <c r="BN768" s="1190"/>
      <c r="BO768" s="1190"/>
    </row>
    <row r="769" spans="26:67">
      <c r="Z769" s="1190"/>
      <c r="AA769" s="1190"/>
      <c r="AB769" s="1190"/>
      <c r="AC769" s="1190"/>
      <c r="AD769" s="1190"/>
      <c r="AE769" s="1190"/>
      <c r="AF769" s="1190"/>
      <c r="AG769" s="1190"/>
      <c r="AH769" s="1190"/>
      <c r="AI769" s="1190"/>
      <c r="AJ769" s="1190"/>
      <c r="AK769" s="1190"/>
      <c r="AL769" s="1190"/>
      <c r="AM769" s="1190"/>
      <c r="AN769" s="1190"/>
      <c r="AO769" s="1190"/>
      <c r="AP769" s="1190"/>
      <c r="AQ769" s="1190"/>
      <c r="AR769" s="1190"/>
      <c r="AS769" s="1190"/>
      <c r="AT769" s="1190"/>
      <c r="AU769" s="1190"/>
      <c r="AV769" s="1190"/>
      <c r="AW769" s="1190"/>
      <c r="AX769" s="1190"/>
      <c r="AY769" s="1190"/>
      <c r="AZ769" s="1190"/>
      <c r="BA769" s="1190"/>
      <c r="BB769" s="1190"/>
      <c r="BC769" s="1190"/>
      <c r="BD769" s="1190"/>
      <c r="BE769" s="1190"/>
      <c r="BF769" s="1190"/>
      <c r="BG769" s="1190"/>
      <c r="BH769" s="1190"/>
      <c r="BI769" s="1190"/>
      <c r="BJ769" s="1190"/>
      <c r="BK769" s="1190"/>
      <c r="BL769" s="1190"/>
      <c r="BM769" s="1190"/>
      <c r="BN769" s="1190"/>
      <c r="BO769" s="1190"/>
    </row>
    <row r="770" spans="26:67">
      <c r="Z770" s="1190"/>
      <c r="AA770" s="1190"/>
      <c r="AB770" s="1190"/>
      <c r="AC770" s="1190"/>
      <c r="AD770" s="1190"/>
      <c r="AE770" s="1190"/>
      <c r="AF770" s="1190"/>
      <c r="AG770" s="1190"/>
      <c r="AH770" s="1190"/>
      <c r="AI770" s="1190"/>
      <c r="AJ770" s="1190"/>
      <c r="AK770" s="1190"/>
      <c r="AL770" s="1190"/>
      <c r="AM770" s="1190"/>
      <c r="AN770" s="1190"/>
      <c r="AO770" s="1190"/>
      <c r="AP770" s="1190"/>
      <c r="AQ770" s="1190"/>
      <c r="AR770" s="1190"/>
      <c r="AS770" s="1190"/>
      <c r="AT770" s="1190"/>
      <c r="AU770" s="1190"/>
      <c r="AV770" s="1190"/>
      <c r="AW770" s="1190"/>
      <c r="AX770" s="1190"/>
      <c r="AY770" s="1190"/>
      <c r="AZ770" s="1190"/>
      <c r="BA770" s="1190"/>
      <c r="BB770" s="1190"/>
      <c r="BC770" s="1190"/>
      <c r="BD770" s="1190"/>
      <c r="BE770" s="1190"/>
      <c r="BF770" s="1190"/>
      <c r="BG770" s="1190"/>
      <c r="BH770" s="1190"/>
      <c r="BI770" s="1190"/>
      <c r="BJ770" s="1190"/>
      <c r="BK770" s="1190"/>
      <c r="BL770" s="1190"/>
      <c r="BM770" s="1190"/>
      <c r="BN770" s="1190"/>
      <c r="BO770" s="1190"/>
    </row>
    <row r="771" spans="26:67">
      <c r="Z771" s="1190"/>
      <c r="AA771" s="1190"/>
      <c r="AB771" s="1190"/>
      <c r="AC771" s="1190"/>
      <c r="AD771" s="1190"/>
      <c r="AE771" s="1190"/>
      <c r="AF771" s="1190"/>
      <c r="AG771" s="1190"/>
      <c r="AH771" s="1190"/>
      <c r="AI771" s="1190"/>
      <c r="AJ771" s="1190"/>
      <c r="AK771" s="1190"/>
      <c r="AL771" s="1190"/>
      <c r="AM771" s="1190"/>
      <c r="AN771" s="1190"/>
      <c r="AO771" s="1190"/>
      <c r="AP771" s="1190"/>
      <c r="AQ771" s="1190"/>
      <c r="AR771" s="1190"/>
      <c r="AS771" s="1190"/>
      <c r="AT771" s="1190"/>
      <c r="AU771" s="1190"/>
      <c r="AV771" s="1190"/>
      <c r="AW771" s="1190"/>
      <c r="AX771" s="1190"/>
      <c r="AY771" s="1190"/>
      <c r="AZ771" s="1190"/>
      <c r="BA771" s="1190"/>
      <c r="BB771" s="1190"/>
      <c r="BC771" s="1190"/>
      <c r="BD771" s="1190"/>
      <c r="BE771" s="1190"/>
      <c r="BF771" s="1190"/>
      <c r="BG771" s="1190"/>
      <c r="BH771" s="1190"/>
      <c r="BI771" s="1190"/>
      <c r="BJ771" s="1190"/>
      <c r="BK771" s="1190"/>
      <c r="BL771" s="1190"/>
      <c r="BM771" s="1190"/>
      <c r="BN771" s="1190"/>
      <c r="BO771" s="1190"/>
    </row>
    <row r="772" spans="26:67">
      <c r="Z772" s="1190"/>
      <c r="AA772" s="1190"/>
      <c r="AB772" s="1190"/>
      <c r="AC772" s="1190"/>
      <c r="AD772" s="1190"/>
      <c r="AE772" s="1190"/>
      <c r="AF772" s="1190"/>
      <c r="AG772" s="1190"/>
      <c r="AH772" s="1190"/>
      <c r="AI772" s="1190"/>
      <c r="AJ772" s="1190"/>
      <c r="AK772" s="1190"/>
      <c r="AL772" s="1190"/>
      <c r="AM772" s="1190"/>
      <c r="AN772" s="1190"/>
      <c r="AO772" s="1190"/>
      <c r="AP772" s="1190"/>
      <c r="AQ772" s="1190"/>
      <c r="AR772" s="1190"/>
      <c r="AS772" s="1190"/>
      <c r="AT772" s="1190"/>
      <c r="AU772" s="1190"/>
      <c r="AV772" s="1190"/>
      <c r="AW772" s="1190"/>
      <c r="AX772" s="1190"/>
      <c r="AY772" s="1190"/>
      <c r="AZ772" s="1190"/>
      <c r="BA772" s="1190"/>
      <c r="BB772" s="1190"/>
      <c r="BC772" s="1190"/>
      <c r="BD772" s="1190"/>
      <c r="BE772" s="1190"/>
      <c r="BF772" s="1190"/>
      <c r="BG772" s="1190"/>
      <c r="BH772" s="1190"/>
      <c r="BI772" s="1190"/>
      <c r="BJ772" s="1190"/>
      <c r="BK772" s="1190"/>
      <c r="BL772" s="1190"/>
      <c r="BM772" s="1190"/>
      <c r="BN772" s="1190"/>
      <c r="BO772" s="1190"/>
    </row>
    <row r="773" spans="26:67">
      <c r="Z773" s="1190"/>
      <c r="AA773" s="1190"/>
      <c r="AB773" s="1190"/>
      <c r="AC773" s="1190"/>
      <c r="AD773" s="1190"/>
      <c r="AE773" s="1190"/>
      <c r="AF773" s="1190"/>
      <c r="AG773" s="1190"/>
      <c r="AH773" s="1190"/>
      <c r="AI773" s="1190"/>
      <c r="AJ773" s="1190"/>
      <c r="AK773" s="1190"/>
      <c r="AL773" s="1190"/>
      <c r="AM773" s="1190"/>
      <c r="AN773" s="1190"/>
      <c r="AO773" s="1190"/>
      <c r="AP773" s="1190"/>
      <c r="AQ773" s="1190"/>
      <c r="AR773" s="1190"/>
      <c r="AS773" s="1190"/>
      <c r="AT773" s="1190"/>
      <c r="AU773" s="1190"/>
      <c r="AV773" s="1190"/>
      <c r="AW773" s="1190"/>
      <c r="AX773" s="1190"/>
      <c r="AY773" s="1190"/>
      <c r="AZ773" s="1190"/>
      <c r="BA773" s="1190"/>
      <c r="BB773" s="1190"/>
      <c r="BC773" s="1190"/>
      <c r="BD773" s="1190"/>
      <c r="BE773" s="1190"/>
      <c r="BF773" s="1190"/>
      <c r="BG773" s="1190"/>
      <c r="BH773" s="1190"/>
      <c r="BI773" s="1190"/>
      <c r="BJ773" s="1190"/>
      <c r="BK773" s="1190"/>
      <c r="BL773" s="1190"/>
      <c r="BM773" s="1190"/>
      <c r="BN773" s="1190"/>
      <c r="BO773" s="1190"/>
    </row>
    <row r="774" spans="26:67">
      <c r="Z774" s="1190"/>
      <c r="AA774" s="1190"/>
      <c r="AB774" s="1190"/>
      <c r="AC774" s="1190"/>
      <c r="AD774" s="1190"/>
      <c r="AE774" s="1190"/>
      <c r="AF774" s="1190"/>
      <c r="AG774" s="1190"/>
      <c r="AH774" s="1190"/>
      <c r="AI774" s="1190"/>
      <c r="AJ774" s="1190"/>
      <c r="AK774" s="1190"/>
      <c r="AL774" s="1190"/>
      <c r="AM774" s="1190"/>
      <c r="AN774" s="1190"/>
      <c r="AO774" s="1190"/>
      <c r="AP774" s="1190"/>
      <c r="AQ774" s="1190"/>
      <c r="AR774" s="1190"/>
      <c r="AS774" s="1190"/>
      <c r="AT774" s="1190"/>
      <c r="AU774" s="1190"/>
      <c r="AV774" s="1190"/>
      <c r="AW774" s="1190"/>
      <c r="AX774" s="1190"/>
      <c r="AY774" s="1190"/>
      <c r="AZ774" s="1190"/>
      <c r="BA774" s="1190"/>
      <c r="BB774" s="1190"/>
      <c r="BC774" s="1190"/>
      <c r="BD774" s="1190"/>
      <c r="BE774" s="1190"/>
      <c r="BF774" s="1190"/>
      <c r="BG774" s="1190"/>
      <c r="BH774" s="1190"/>
      <c r="BI774" s="1190"/>
      <c r="BJ774" s="1190"/>
      <c r="BK774" s="1190"/>
      <c r="BL774" s="1190"/>
      <c r="BM774" s="1190"/>
      <c r="BN774" s="1190"/>
      <c r="BO774" s="1190"/>
    </row>
    <row r="775" spans="26:67">
      <c r="Z775" s="1190"/>
      <c r="AA775" s="1190"/>
      <c r="AB775" s="1190"/>
      <c r="AC775" s="1190"/>
      <c r="AD775" s="1190"/>
      <c r="AE775" s="1190"/>
      <c r="AF775" s="1190"/>
      <c r="AG775" s="1190"/>
      <c r="AH775" s="1190"/>
      <c r="AI775" s="1190"/>
      <c r="AJ775" s="1190"/>
      <c r="AK775" s="1190"/>
      <c r="AL775" s="1190"/>
      <c r="AM775" s="1190"/>
      <c r="AN775" s="1190"/>
      <c r="AO775" s="1190"/>
      <c r="AP775" s="1190"/>
      <c r="AQ775" s="1190"/>
      <c r="AR775" s="1190"/>
      <c r="AS775" s="1190"/>
      <c r="AT775" s="1190"/>
      <c r="AU775" s="1190"/>
      <c r="AV775" s="1190"/>
      <c r="AW775" s="1190"/>
      <c r="AX775" s="1190"/>
      <c r="AY775" s="1190"/>
      <c r="AZ775" s="1190"/>
      <c r="BA775" s="1190"/>
      <c r="BB775" s="1190"/>
      <c r="BC775" s="1190"/>
      <c r="BD775" s="1190"/>
      <c r="BE775" s="1190"/>
      <c r="BF775" s="1190"/>
      <c r="BG775" s="1190"/>
      <c r="BH775" s="1190"/>
      <c r="BI775" s="1190"/>
      <c r="BJ775" s="1190"/>
      <c r="BK775" s="1190"/>
      <c r="BL775" s="1190"/>
      <c r="BM775" s="1190"/>
      <c r="BN775" s="1190"/>
      <c r="BO775" s="1190"/>
    </row>
    <row r="776" spans="26:67">
      <c r="Z776" s="1190"/>
      <c r="AA776" s="1190"/>
      <c r="AB776" s="1190"/>
      <c r="AC776" s="1190"/>
      <c r="AD776" s="1190"/>
      <c r="AE776" s="1190"/>
      <c r="AF776" s="1190"/>
      <c r="AG776" s="1190"/>
      <c r="AH776" s="1190"/>
      <c r="AI776" s="1190"/>
      <c r="AJ776" s="1190"/>
      <c r="AK776" s="1190"/>
      <c r="AL776" s="1190"/>
      <c r="AM776" s="1190"/>
      <c r="AN776" s="1190"/>
      <c r="AO776" s="1190"/>
      <c r="AP776" s="1190"/>
      <c r="AQ776" s="1190"/>
      <c r="AR776" s="1190"/>
      <c r="AS776" s="1190"/>
      <c r="AT776" s="1190"/>
      <c r="AU776" s="1190"/>
      <c r="AV776" s="1190"/>
      <c r="AW776" s="1190"/>
      <c r="AX776" s="1190"/>
      <c r="AY776" s="1190"/>
      <c r="AZ776" s="1190"/>
      <c r="BA776" s="1190"/>
      <c r="BB776" s="1190"/>
      <c r="BC776" s="1190"/>
      <c r="BD776" s="1190"/>
      <c r="BE776" s="1190"/>
      <c r="BF776" s="1190"/>
      <c r="BG776" s="1190"/>
      <c r="BH776" s="1190"/>
      <c r="BI776" s="1190"/>
      <c r="BJ776" s="1190"/>
      <c r="BK776" s="1190"/>
      <c r="BL776" s="1190"/>
      <c r="BM776" s="1190"/>
      <c r="BN776" s="1190"/>
      <c r="BO776" s="1190"/>
    </row>
    <row r="777" spans="26:67">
      <c r="Z777" s="1190"/>
      <c r="AA777" s="1190"/>
      <c r="AB777" s="1190"/>
      <c r="AC777" s="1190"/>
      <c r="AD777" s="1190"/>
      <c r="AE777" s="1190"/>
      <c r="AF777" s="1190"/>
      <c r="AG777" s="1190"/>
      <c r="AH777" s="1190"/>
      <c r="AI777" s="1190"/>
      <c r="AJ777" s="1190"/>
      <c r="AK777" s="1190"/>
      <c r="AL777" s="1190"/>
      <c r="AM777" s="1190"/>
      <c r="AN777" s="1190"/>
      <c r="AO777" s="1190"/>
      <c r="AP777" s="1190"/>
      <c r="AQ777" s="1190"/>
      <c r="AR777" s="1190"/>
      <c r="AS777" s="1190"/>
      <c r="AT777" s="1190"/>
      <c r="AU777" s="1190"/>
      <c r="AV777" s="1190"/>
      <c r="AW777" s="1190"/>
      <c r="AX777" s="1190"/>
      <c r="AY777" s="1190"/>
      <c r="AZ777" s="1190"/>
      <c r="BA777" s="1190"/>
      <c r="BB777" s="1190"/>
      <c r="BC777" s="1190"/>
      <c r="BD777" s="1190"/>
      <c r="BE777" s="1190"/>
      <c r="BF777" s="1190"/>
      <c r="BG777" s="1190"/>
      <c r="BH777" s="1190"/>
      <c r="BI777" s="1190"/>
      <c r="BJ777" s="1190"/>
      <c r="BK777" s="1190"/>
      <c r="BL777" s="1190"/>
      <c r="BM777" s="1190"/>
      <c r="BN777" s="1190"/>
      <c r="BO777" s="1190"/>
    </row>
    <row r="778" spans="26:67">
      <c r="Z778" s="1190"/>
      <c r="AA778" s="1190"/>
      <c r="AB778" s="1190"/>
      <c r="AC778" s="1190"/>
      <c r="AD778" s="1190"/>
      <c r="AE778" s="1190"/>
      <c r="AF778" s="1190"/>
      <c r="AG778" s="1190"/>
      <c r="AH778" s="1190"/>
      <c r="AI778" s="1190"/>
      <c r="AJ778" s="1190"/>
      <c r="AK778" s="1190"/>
      <c r="AL778" s="1190"/>
      <c r="AM778" s="1190"/>
      <c r="AN778" s="1190"/>
      <c r="AO778" s="1190"/>
      <c r="AP778" s="1190"/>
      <c r="AQ778" s="1190"/>
      <c r="AR778" s="1190"/>
      <c r="AS778" s="1190"/>
      <c r="AT778" s="1190"/>
      <c r="AU778" s="1190"/>
      <c r="AV778" s="1190"/>
      <c r="AW778" s="1190"/>
      <c r="AX778" s="1190"/>
      <c r="AY778" s="1190"/>
      <c r="AZ778" s="1190"/>
      <c r="BA778" s="1190"/>
      <c r="BB778" s="1190"/>
      <c r="BC778" s="1190"/>
      <c r="BD778" s="1190"/>
      <c r="BE778" s="1190"/>
      <c r="BF778" s="1190"/>
      <c r="BG778" s="1190"/>
      <c r="BH778" s="1190"/>
      <c r="BI778" s="1190"/>
      <c r="BJ778" s="1190"/>
      <c r="BK778" s="1190"/>
      <c r="BL778" s="1190"/>
      <c r="BM778" s="1190"/>
      <c r="BN778" s="1190"/>
      <c r="BO778" s="1190"/>
    </row>
    <row r="779" spans="26:67">
      <c r="Z779" s="1190"/>
      <c r="AA779" s="1190"/>
      <c r="AB779" s="1190"/>
      <c r="AC779" s="1190"/>
      <c r="AD779" s="1190"/>
      <c r="AE779" s="1190"/>
      <c r="AF779" s="1190"/>
      <c r="AG779" s="1190"/>
      <c r="AH779" s="1190"/>
      <c r="AI779" s="1190"/>
      <c r="AJ779" s="1190"/>
      <c r="AK779" s="1190"/>
      <c r="AL779" s="1190"/>
      <c r="AM779" s="1190"/>
      <c r="AN779" s="1190"/>
      <c r="AO779" s="1190"/>
      <c r="AP779" s="1190"/>
      <c r="AQ779" s="1190"/>
      <c r="AR779" s="1190"/>
      <c r="AS779" s="1190"/>
      <c r="AT779" s="1190"/>
      <c r="AU779" s="1190"/>
      <c r="AV779" s="1190"/>
      <c r="AW779" s="1190"/>
      <c r="AX779" s="1190"/>
      <c r="AY779" s="1190"/>
      <c r="AZ779" s="1190"/>
      <c r="BA779" s="1190"/>
      <c r="BB779" s="1190"/>
      <c r="BC779" s="1190"/>
      <c r="BD779" s="1190"/>
      <c r="BE779" s="1190"/>
      <c r="BF779" s="1190"/>
      <c r="BG779" s="1190"/>
      <c r="BH779" s="1190"/>
      <c r="BI779" s="1190"/>
      <c r="BJ779" s="1190"/>
      <c r="BK779" s="1190"/>
      <c r="BL779" s="1190"/>
      <c r="BM779" s="1190"/>
      <c r="BN779" s="1190"/>
      <c r="BO779" s="1190"/>
    </row>
    <row r="780" spans="26:67">
      <c r="Z780" s="1190"/>
      <c r="AA780" s="1190"/>
      <c r="AB780" s="1190"/>
      <c r="AC780" s="1190"/>
      <c r="AD780" s="1190"/>
      <c r="AE780" s="1190"/>
      <c r="AF780" s="1190"/>
      <c r="AG780" s="1190"/>
      <c r="AH780" s="1190"/>
      <c r="AI780" s="1190"/>
      <c r="AJ780" s="1190"/>
      <c r="AK780" s="1190"/>
      <c r="AL780" s="1190"/>
      <c r="AM780" s="1190"/>
      <c r="AN780" s="1190"/>
      <c r="AO780" s="1190"/>
      <c r="AP780" s="1190"/>
      <c r="AQ780" s="1190"/>
      <c r="AR780" s="1190"/>
      <c r="AS780" s="1190"/>
      <c r="AT780" s="1190"/>
      <c r="AU780" s="1190"/>
      <c r="AV780" s="1190"/>
      <c r="AW780" s="1190"/>
      <c r="AX780" s="1190"/>
      <c r="AY780" s="1190"/>
      <c r="AZ780" s="1190"/>
      <c r="BA780" s="1190"/>
      <c r="BB780" s="1190"/>
      <c r="BC780" s="1190"/>
      <c r="BD780" s="1190"/>
      <c r="BE780" s="1190"/>
      <c r="BF780" s="1190"/>
      <c r="BG780" s="1190"/>
      <c r="BH780" s="1190"/>
      <c r="BI780" s="1190"/>
      <c r="BJ780" s="1190"/>
      <c r="BK780" s="1190"/>
      <c r="BL780" s="1190"/>
      <c r="BM780" s="1190"/>
      <c r="BN780" s="1190"/>
      <c r="BO780" s="1190"/>
    </row>
    <row r="781" spans="26:67">
      <c r="Z781" s="1190"/>
      <c r="AA781" s="1190"/>
      <c r="AB781" s="1190"/>
      <c r="AC781" s="1190"/>
      <c r="AD781" s="1190"/>
      <c r="AE781" s="1190"/>
      <c r="AF781" s="1190"/>
      <c r="AG781" s="1190"/>
      <c r="AH781" s="1190"/>
      <c r="AI781" s="1190"/>
      <c r="AJ781" s="1190"/>
      <c r="AK781" s="1190"/>
      <c r="AL781" s="1190"/>
      <c r="AM781" s="1190"/>
      <c r="AN781" s="1190"/>
      <c r="AO781" s="1190"/>
      <c r="AP781" s="1190"/>
      <c r="AQ781" s="1190"/>
      <c r="AR781" s="1190"/>
      <c r="AS781" s="1190"/>
      <c r="AT781" s="1190"/>
      <c r="AU781" s="1190"/>
      <c r="AV781" s="1190"/>
      <c r="AW781" s="1190"/>
      <c r="AX781" s="1190"/>
      <c r="AY781" s="1190"/>
      <c r="AZ781" s="1190"/>
      <c r="BA781" s="1190"/>
      <c r="BB781" s="1190"/>
      <c r="BC781" s="1190"/>
      <c r="BD781" s="1190"/>
      <c r="BE781" s="1190"/>
      <c r="BF781" s="1190"/>
      <c r="BG781" s="1190"/>
      <c r="BH781" s="1190"/>
      <c r="BI781" s="1190"/>
      <c r="BJ781" s="1190"/>
      <c r="BK781" s="1190"/>
      <c r="BL781" s="1190"/>
      <c r="BM781" s="1190"/>
      <c r="BN781" s="1190"/>
      <c r="BO781" s="1190"/>
    </row>
    <row r="782" spans="26:67">
      <c r="Z782" s="1190"/>
      <c r="AA782" s="1190"/>
      <c r="AB782" s="1190"/>
      <c r="AC782" s="1190"/>
      <c r="AD782" s="1190"/>
      <c r="AE782" s="1190"/>
      <c r="AF782" s="1190"/>
      <c r="AG782" s="1190"/>
      <c r="AH782" s="1190"/>
      <c r="AI782" s="1190"/>
      <c r="AJ782" s="1190"/>
      <c r="AK782" s="1190"/>
      <c r="AL782" s="1190"/>
      <c r="AM782" s="1190"/>
      <c r="AN782" s="1190"/>
      <c r="AO782" s="1190"/>
      <c r="AP782" s="1190"/>
      <c r="AQ782" s="1190"/>
      <c r="AR782" s="1190"/>
      <c r="AS782" s="1190"/>
      <c r="AT782" s="1190"/>
      <c r="AU782" s="1190"/>
      <c r="AV782" s="1190"/>
      <c r="AW782" s="1190"/>
      <c r="AX782" s="1190"/>
      <c r="AY782" s="1190"/>
      <c r="AZ782" s="1190"/>
      <c r="BA782" s="1190"/>
      <c r="BB782" s="1190"/>
      <c r="BC782" s="1190"/>
      <c r="BD782" s="1190"/>
      <c r="BE782" s="1190"/>
      <c r="BF782" s="1190"/>
      <c r="BG782" s="1190"/>
      <c r="BH782" s="1190"/>
      <c r="BI782" s="1190"/>
      <c r="BJ782" s="1190"/>
      <c r="BK782" s="1190"/>
      <c r="BL782" s="1190"/>
      <c r="BM782" s="1190"/>
      <c r="BN782" s="1190"/>
      <c r="BO782" s="1190"/>
    </row>
    <row r="783" spans="26:67">
      <c r="Z783" s="1190"/>
      <c r="AA783" s="1190"/>
      <c r="AB783" s="1190"/>
      <c r="AC783" s="1190"/>
      <c r="AD783" s="1190"/>
      <c r="AE783" s="1190"/>
      <c r="AF783" s="1190"/>
      <c r="AG783" s="1190"/>
      <c r="AH783" s="1190"/>
      <c r="AI783" s="1190"/>
      <c r="AJ783" s="1190"/>
      <c r="AK783" s="1190"/>
      <c r="AL783" s="1190"/>
      <c r="AM783" s="1190"/>
      <c r="AN783" s="1190"/>
      <c r="AO783" s="1190"/>
      <c r="AP783" s="1190"/>
      <c r="AQ783" s="1190"/>
      <c r="AR783" s="1190"/>
      <c r="AS783" s="1190"/>
      <c r="AT783" s="1190"/>
      <c r="AU783" s="1190"/>
      <c r="AV783" s="1190"/>
      <c r="AW783" s="1190"/>
      <c r="AX783" s="1190"/>
      <c r="AY783" s="1190"/>
      <c r="AZ783" s="1190"/>
      <c r="BA783" s="1190"/>
      <c r="BB783" s="1190"/>
      <c r="BC783" s="1190"/>
      <c r="BD783" s="1190"/>
      <c r="BE783" s="1190"/>
      <c r="BF783" s="1190"/>
      <c r="BG783" s="1190"/>
      <c r="BH783" s="1190"/>
      <c r="BI783" s="1190"/>
      <c r="BJ783" s="1190"/>
      <c r="BK783" s="1190"/>
      <c r="BL783" s="1190"/>
      <c r="BM783" s="1190"/>
      <c r="BN783" s="1190"/>
      <c r="BO783" s="1190"/>
    </row>
    <row r="784" spans="26:67">
      <c r="Z784" s="1190"/>
      <c r="AA784" s="1190"/>
      <c r="AB784" s="1190"/>
      <c r="AC784" s="1190"/>
      <c r="AD784" s="1190"/>
      <c r="AE784" s="1190"/>
      <c r="AF784" s="1190"/>
      <c r="AG784" s="1190"/>
      <c r="AH784" s="1190"/>
      <c r="AI784" s="1190"/>
      <c r="AJ784" s="1190"/>
      <c r="AK784" s="1190"/>
      <c r="AL784" s="1190"/>
      <c r="AM784" s="1190"/>
      <c r="AN784" s="1190"/>
      <c r="AO784" s="1190"/>
      <c r="AP784" s="1190"/>
      <c r="AQ784" s="1190"/>
      <c r="AR784" s="1190"/>
      <c r="AS784" s="1190"/>
      <c r="AT784" s="1190"/>
      <c r="AU784" s="1190"/>
      <c r="AV784" s="1190"/>
      <c r="AW784" s="1190"/>
      <c r="AX784" s="1190"/>
      <c r="AY784" s="1190"/>
      <c r="AZ784" s="1190"/>
      <c r="BA784" s="1190"/>
      <c r="BB784" s="1190"/>
      <c r="BC784" s="1190"/>
      <c r="BD784" s="1190"/>
      <c r="BE784" s="1190"/>
      <c r="BF784" s="1190"/>
      <c r="BG784" s="1190"/>
      <c r="BH784" s="1190"/>
      <c r="BI784" s="1190"/>
      <c r="BJ784" s="1190"/>
      <c r="BK784" s="1190"/>
      <c r="BL784" s="1190"/>
      <c r="BM784" s="1190"/>
      <c r="BN784" s="1190"/>
      <c r="BO784" s="1190"/>
    </row>
    <row r="785" spans="26:67">
      <c r="Z785" s="1190"/>
      <c r="AA785" s="1190"/>
      <c r="AB785" s="1190"/>
      <c r="AC785" s="1190"/>
      <c r="AD785" s="1190"/>
      <c r="AE785" s="1190"/>
      <c r="AF785" s="1190"/>
      <c r="AG785" s="1190"/>
      <c r="AH785" s="1190"/>
      <c r="AI785" s="1190"/>
      <c r="AJ785" s="1190"/>
      <c r="AK785" s="1190"/>
      <c r="AL785" s="1190"/>
      <c r="AM785" s="1190"/>
      <c r="AN785" s="1190"/>
      <c r="AO785" s="1190"/>
      <c r="AP785" s="1190"/>
      <c r="AQ785" s="1190"/>
      <c r="AR785" s="1190"/>
      <c r="AS785" s="1190"/>
      <c r="AT785" s="1190"/>
      <c r="AU785" s="1190"/>
      <c r="AV785" s="1190"/>
      <c r="AW785" s="1190"/>
      <c r="AX785" s="1190"/>
      <c r="AY785" s="1190"/>
      <c r="AZ785" s="1190"/>
      <c r="BA785" s="1190"/>
      <c r="BB785" s="1190"/>
      <c r="BC785" s="1190"/>
      <c r="BD785" s="1190"/>
      <c r="BE785" s="1190"/>
      <c r="BF785" s="1190"/>
      <c r="BG785" s="1190"/>
      <c r="BH785" s="1190"/>
      <c r="BI785" s="1190"/>
      <c r="BJ785" s="1190"/>
      <c r="BK785" s="1190"/>
      <c r="BL785" s="1190"/>
      <c r="BM785" s="1190"/>
      <c r="BN785" s="1190"/>
      <c r="BO785" s="1190"/>
    </row>
    <row r="786" spans="26:67">
      <c r="Z786" s="1190"/>
      <c r="AA786" s="1190"/>
      <c r="AB786" s="1190"/>
      <c r="AC786" s="1190"/>
      <c r="AD786" s="1190"/>
      <c r="AE786" s="1190"/>
      <c r="AF786" s="1190"/>
      <c r="AG786" s="1190"/>
      <c r="AH786" s="1190"/>
      <c r="AI786" s="1190"/>
      <c r="AJ786" s="1190"/>
      <c r="AK786" s="1190"/>
      <c r="AL786" s="1190"/>
      <c r="AM786" s="1190"/>
      <c r="AN786" s="1190"/>
      <c r="AO786" s="1190"/>
      <c r="AP786" s="1190"/>
      <c r="AQ786" s="1190"/>
      <c r="AR786" s="1190"/>
      <c r="AS786" s="1190"/>
      <c r="AT786" s="1190"/>
      <c r="AU786" s="1190"/>
      <c r="AV786" s="1190"/>
      <c r="AW786" s="1190"/>
      <c r="AX786" s="1190"/>
      <c r="AY786" s="1190"/>
      <c r="AZ786" s="1190"/>
      <c r="BA786" s="1190"/>
      <c r="BB786" s="1190"/>
      <c r="BC786" s="1190"/>
      <c r="BD786" s="1190"/>
      <c r="BE786" s="1190"/>
      <c r="BF786" s="1190"/>
      <c r="BG786" s="1190"/>
      <c r="BH786" s="1190"/>
      <c r="BI786" s="1190"/>
      <c r="BJ786" s="1190"/>
      <c r="BK786" s="1190"/>
      <c r="BL786" s="1190"/>
      <c r="BM786" s="1190"/>
      <c r="BN786" s="1190"/>
      <c r="BO786" s="1190"/>
    </row>
    <row r="787" spans="26:67">
      <c r="Z787" s="1190"/>
      <c r="AA787" s="1190"/>
      <c r="AB787" s="1190"/>
      <c r="AC787" s="1190"/>
      <c r="AD787" s="1190"/>
      <c r="AE787" s="1190"/>
      <c r="AF787" s="1190"/>
      <c r="AG787" s="1190"/>
      <c r="AH787" s="1190"/>
      <c r="AI787" s="1190"/>
      <c r="AJ787" s="1190"/>
      <c r="AK787" s="1190"/>
      <c r="AL787" s="1190"/>
      <c r="AM787" s="1190"/>
      <c r="AN787" s="1190"/>
      <c r="AO787" s="1190"/>
      <c r="AP787" s="1190"/>
      <c r="AQ787" s="1190"/>
      <c r="AR787" s="1190"/>
      <c r="AS787" s="1190"/>
      <c r="AT787" s="1190"/>
      <c r="AU787" s="1190"/>
      <c r="AV787" s="1190"/>
      <c r="AW787" s="1190"/>
      <c r="AX787" s="1190"/>
      <c r="AY787" s="1190"/>
      <c r="AZ787" s="1190"/>
      <c r="BA787" s="1190"/>
      <c r="BB787" s="1190"/>
      <c r="BC787" s="1190"/>
      <c r="BD787" s="1190"/>
      <c r="BE787" s="1190"/>
      <c r="BF787" s="1190"/>
      <c r="BG787" s="1190"/>
      <c r="BH787" s="1190"/>
      <c r="BI787" s="1190"/>
      <c r="BJ787" s="1190"/>
      <c r="BK787" s="1190"/>
      <c r="BL787" s="1190"/>
      <c r="BM787" s="1190"/>
      <c r="BN787" s="1190"/>
      <c r="BO787" s="1190"/>
    </row>
    <row r="788" spans="26:67">
      <c r="Z788" s="1190"/>
      <c r="AA788" s="1190"/>
      <c r="AB788" s="1190"/>
      <c r="AC788" s="1190"/>
      <c r="AD788" s="1190"/>
      <c r="AE788" s="1190"/>
      <c r="AF788" s="1190"/>
      <c r="AG788" s="1190"/>
      <c r="AH788" s="1190"/>
      <c r="AI788" s="1190"/>
      <c r="AJ788" s="1190"/>
      <c r="AK788" s="1190"/>
      <c r="AL788" s="1190"/>
      <c r="AM788" s="1190"/>
      <c r="AN788" s="1190"/>
      <c r="AO788" s="1190"/>
      <c r="AP788" s="1190"/>
      <c r="AQ788" s="1190"/>
      <c r="AR788" s="1190"/>
      <c r="AS788" s="1190"/>
      <c r="AT788" s="1190"/>
      <c r="AU788" s="1190"/>
      <c r="AV788" s="1190"/>
      <c r="AW788" s="1190"/>
      <c r="AX788" s="1190"/>
      <c r="AY788" s="1190"/>
      <c r="AZ788" s="1190"/>
      <c r="BA788" s="1190"/>
      <c r="BB788" s="1190"/>
      <c r="BC788" s="1190"/>
      <c r="BD788" s="1190"/>
      <c r="BE788" s="1190"/>
      <c r="BF788" s="1190"/>
      <c r="BG788" s="1190"/>
      <c r="BH788" s="1190"/>
      <c r="BI788" s="1190"/>
      <c r="BJ788" s="1190"/>
      <c r="BK788" s="1190"/>
      <c r="BL788" s="1190"/>
      <c r="BM788" s="1190"/>
      <c r="BN788" s="1190"/>
      <c r="BO788" s="1190"/>
    </row>
    <row r="789" spans="26:67">
      <c r="Z789" s="1190"/>
      <c r="AA789" s="1190"/>
      <c r="AB789" s="1190"/>
      <c r="AC789" s="1190"/>
      <c r="AD789" s="1190"/>
      <c r="AE789" s="1190"/>
      <c r="AF789" s="1190"/>
      <c r="AG789" s="1190"/>
      <c r="AH789" s="1190"/>
      <c r="AI789" s="1190"/>
      <c r="AJ789" s="1190"/>
      <c r="AK789" s="1190"/>
      <c r="AL789" s="1190"/>
      <c r="AM789" s="1190"/>
      <c r="AN789" s="1190"/>
      <c r="AO789" s="1190"/>
      <c r="AP789" s="1190"/>
      <c r="AQ789" s="1190"/>
      <c r="AR789" s="1190"/>
      <c r="AS789" s="1190"/>
      <c r="AT789" s="1190"/>
      <c r="AU789" s="1190"/>
      <c r="AV789" s="1190"/>
      <c r="AW789" s="1190"/>
      <c r="AX789" s="1190"/>
      <c r="AY789" s="1190"/>
      <c r="AZ789" s="1190"/>
      <c r="BA789" s="1190"/>
      <c r="BB789" s="1190"/>
      <c r="BC789" s="1190"/>
      <c r="BD789" s="1190"/>
      <c r="BE789" s="1190"/>
      <c r="BF789" s="1190"/>
      <c r="BG789" s="1190"/>
      <c r="BH789" s="1190"/>
      <c r="BI789" s="1190"/>
      <c r="BJ789" s="1190"/>
      <c r="BK789" s="1190"/>
      <c r="BL789" s="1190"/>
      <c r="BM789" s="1190"/>
      <c r="BN789" s="1190"/>
      <c r="BO789" s="1190"/>
    </row>
    <row r="790" spans="26:67">
      <c r="Z790" s="1190"/>
      <c r="AA790" s="1190"/>
      <c r="AB790" s="1190"/>
      <c r="AC790" s="1190"/>
      <c r="AD790" s="1190"/>
      <c r="AE790" s="1190"/>
      <c r="AF790" s="1190"/>
      <c r="AG790" s="1190"/>
      <c r="AH790" s="1190"/>
      <c r="AI790" s="1190"/>
      <c r="AJ790" s="1190"/>
      <c r="AK790" s="1190"/>
      <c r="AL790" s="1190"/>
      <c r="AM790" s="1190"/>
      <c r="AN790" s="1190"/>
      <c r="AO790" s="1190"/>
      <c r="AP790" s="1190"/>
      <c r="AQ790" s="1190"/>
      <c r="AR790" s="1190"/>
      <c r="AS790" s="1190"/>
      <c r="AT790" s="1190"/>
      <c r="AU790" s="1190"/>
      <c r="AV790" s="1190"/>
      <c r="AW790" s="1190"/>
      <c r="AX790" s="1190"/>
      <c r="AY790" s="1190"/>
      <c r="AZ790" s="1190"/>
      <c r="BA790" s="1190"/>
      <c r="BB790" s="1190"/>
      <c r="BC790" s="1190"/>
      <c r="BD790" s="1190"/>
      <c r="BE790" s="1190"/>
      <c r="BF790" s="1190"/>
      <c r="BG790" s="1190"/>
      <c r="BH790" s="1190"/>
      <c r="BI790" s="1190"/>
      <c r="BJ790" s="1190"/>
      <c r="BK790" s="1190"/>
      <c r="BL790" s="1190"/>
      <c r="BM790" s="1190"/>
      <c r="BN790" s="1190"/>
      <c r="BO790" s="1190"/>
    </row>
    <row r="791" spans="26:67">
      <c r="Z791" s="1190"/>
      <c r="AA791" s="1190"/>
      <c r="AB791" s="1190"/>
      <c r="AC791" s="1190"/>
      <c r="AD791" s="1190"/>
      <c r="AE791" s="1190"/>
      <c r="AF791" s="1190"/>
      <c r="AG791" s="1190"/>
      <c r="AH791" s="1190"/>
      <c r="AI791" s="1190"/>
      <c r="AJ791" s="1190"/>
      <c r="AK791" s="1190"/>
      <c r="AL791" s="1190"/>
      <c r="AM791" s="1190"/>
      <c r="AN791" s="1190"/>
      <c r="AO791" s="1190"/>
      <c r="AP791" s="1190"/>
      <c r="AQ791" s="1190"/>
      <c r="AR791" s="1190"/>
      <c r="AS791" s="1190"/>
      <c r="AT791" s="1190"/>
      <c r="AU791" s="1190"/>
      <c r="AV791" s="1190"/>
      <c r="AW791" s="1190"/>
      <c r="AX791" s="1190"/>
      <c r="AY791" s="1190"/>
      <c r="AZ791" s="1190"/>
      <c r="BA791" s="1190"/>
      <c r="BB791" s="1190"/>
      <c r="BC791" s="1190"/>
      <c r="BD791" s="1190"/>
      <c r="BE791" s="1190"/>
      <c r="BF791" s="1190"/>
      <c r="BG791" s="1190"/>
      <c r="BH791" s="1190"/>
      <c r="BI791" s="1190"/>
      <c r="BJ791" s="1190"/>
      <c r="BK791" s="1190"/>
      <c r="BL791" s="1190"/>
      <c r="BM791" s="1190"/>
      <c r="BN791" s="1190"/>
      <c r="BO791" s="1190"/>
    </row>
    <row r="792" spans="26:67">
      <c r="Z792" s="1190"/>
      <c r="AA792" s="1190"/>
      <c r="AB792" s="1190"/>
      <c r="AC792" s="1190"/>
      <c r="AD792" s="1190"/>
      <c r="AE792" s="1190"/>
      <c r="AF792" s="1190"/>
      <c r="AG792" s="1190"/>
      <c r="AH792" s="1190"/>
      <c r="AI792" s="1190"/>
      <c r="AJ792" s="1190"/>
      <c r="AK792" s="1190"/>
      <c r="AL792" s="1190"/>
      <c r="AM792" s="1190"/>
      <c r="AN792" s="1190"/>
      <c r="AO792" s="1190"/>
      <c r="AP792" s="1190"/>
      <c r="AQ792" s="1190"/>
      <c r="AR792" s="1190"/>
      <c r="AS792" s="1190"/>
      <c r="AT792" s="1190"/>
      <c r="AU792" s="1190"/>
      <c r="AV792" s="1190"/>
      <c r="AW792" s="1190"/>
      <c r="AX792" s="1190"/>
      <c r="AY792" s="1190"/>
      <c r="AZ792" s="1190"/>
      <c r="BA792" s="1190"/>
      <c r="BB792" s="1190"/>
      <c r="BC792" s="1190"/>
      <c r="BD792" s="1190"/>
      <c r="BE792" s="1190"/>
      <c r="BF792" s="1190"/>
      <c r="BG792" s="1190"/>
      <c r="BH792" s="1190"/>
      <c r="BI792" s="1190"/>
      <c r="BJ792" s="1190"/>
      <c r="BK792" s="1190"/>
      <c r="BL792" s="1190"/>
      <c r="BM792" s="1190"/>
      <c r="BN792" s="1190"/>
      <c r="BO792" s="1190"/>
    </row>
    <row r="793" spans="26:67">
      <c r="Z793" s="1190"/>
      <c r="AA793" s="1190"/>
      <c r="AB793" s="1190"/>
      <c r="AC793" s="1190"/>
      <c r="AD793" s="1190"/>
      <c r="AE793" s="1190"/>
      <c r="AF793" s="1190"/>
      <c r="AG793" s="1190"/>
      <c r="AH793" s="1190"/>
      <c r="AI793" s="1190"/>
      <c r="AJ793" s="1190"/>
      <c r="AK793" s="1190"/>
      <c r="AL793" s="1190"/>
      <c r="AM793" s="1190"/>
      <c r="AN793" s="1190"/>
      <c r="AO793" s="1190"/>
      <c r="AP793" s="1190"/>
      <c r="AQ793" s="1190"/>
      <c r="AR793" s="1190"/>
      <c r="AS793" s="1190"/>
      <c r="AT793" s="1190"/>
      <c r="AU793" s="1190"/>
      <c r="AV793" s="1190"/>
      <c r="AW793" s="1190"/>
      <c r="AX793" s="1190"/>
      <c r="AY793" s="1190"/>
      <c r="AZ793" s="1190"/>
      <c r="BA793" s="1190"/>
      <c r="BB793" s="1190"/>
      <c r="BC793" s="1190"/>
      <c r="BD793" s="1190"/>
      <c r="BE793" s="1190"/>
      <c r="BF793" s="1190"/>
      <c r="BG793" s="1190"/>
      <c r="BH793" s="1190"/>
      <c r="BI793" s="1190"/>
      <c r="BJ793" s="1190"/>
      <c r="BK793" s="1190"/>
      <c r="BL793" s="1190"/>
      <c r="BM793" s="1190"/>
      <c r="BN793" s="1190"/>
      <c r="BO793" s="1190"/>
    </row>
    <row r="794" spans="26:67">
      <c r="Z794" s="1190"/>
      <c r="AA794" s="1190"/>
      <c r="AB794" s="1190"/>
      <c r="AC794" s="1190"/>
      <c r="AD794" s="1190"/>
      <c r="AE794" s="1190"/>
      <c r="AF794" s="1190"/>
      <c r="AG794" s="1190"/>
      <c r="AH794" s="1190"/>
      <c r="AI794" s="1190"/>
      <c r="AJ794" s="1190"/>
      <c r="AK794" s="1190"/>
      <c r="AL794" s="1190"/>
      <c r="AM794" s="1190"/>
      <c r="AN794" s="1190"/>
      <c r="AO794" s="1190"/>
      <c r="AP794" s="1190"/>
      <c r="AQ794" s="1190"/>
      <c r="AR794" s="1190"/>
      <c r="AS794" s="1190"/>
      <c r="AT794" s="1190"/>
      <c r="AU794" s="1190"/>
      <c r="AV794" s="1190"/>
      <c r="AW794" s="1190"/>
      <c r="AX794" s="1190"/>
      <c r="AY794" s="1190"/>
      <c r="AZ794" s="1190"/>
      <c r="BA794" s="1190"/>
      <c r="BB794" s="1190"/>
      <c r="BC794" s="1190"/>
      <c r="BD794" s="1190"/>
      <c r="BE794" s="1190"/>
      <c r="BF794" s="1190"/>
      <c r="BG794" s="1190"/>
      <c r="BH794" s="1190"/>
      <c r="BI794" s="1190"/>
      <c r="BJ794" s="1190"/>
      <c r="BK794" s="1190"/>
      <c r="BL794" s="1190"/>
      <c r="BM794" s="1190"/>
      <c r="BN794" s="1190"/>
      <c r="BO794" s="1190"/>
    </row>
    <row r="795" spans="26:67">
      <c r="Z795" s="1190"/>
      <c r="AA795" s="1190"/>
      <c r="AB795" s="1190"/>
      <c r="AC795" s="1190"/>
      <c r="AD795" s="1190"/>
      <c r="AE795" s="1190"/>
      <c r="AF795" s="1190"/>
      <c r="AG795" s="1190"/>
      <c r="AH795" s="1190"/>
      <c r="AI795" s="1190"/>
      <c r="AJ795" s="1190"/>
      <c r="AK795" s="1190"/>
      <c r="AL795" s="1190"/>
      <c r="AM795" s="1190"/>
      <c r="AN795" s="1190"/>
      <c r="AO795" s="1190"/>
      <c r="AP795" s="1190"/>
      <c r="AQ795" s="1190"/>
      <c r="AR795" s="1190"/>
      <c r="AS795" s="1190"/>
      <c r="AT795" s="1190"/>
      <c r="AU795" s="1190"/>
      <c r="AV795" s="1190"/>
      <c r="AW795" s="1190"/>
      <c r="AX795" s="1190"/>
      <c r="AY795" s="1190"/>
      <c r="AZ795" s="1190"/>
      <c r="BA795" s="1190"/>
      <c r="BB795" s="1190"/>
      <c r="BC795" s="1190"/>
      <c r="BD795" s="1190"/>
      <c r="BE795" s="1190"/>
      <c r="BF795" s="1190"/>
      <c r="BG795" s="1190"/>
      <c r="BH795" s="1190"/>
      <c r="BI795" s="1190"/>
      <c r="BJ795" s="1190"/>
      <c r="BK795" s="1190"/>
      <c r="BL795" s="1190"/>
      <c r="BM795" s="1190"/>
      <c r="BN795" s="1190"/>
      <c r="BO795" s="1190"/>
    </row>
    <row r="796" spans="26:67">
      <c r="Z796" s="1190"/>
      <c r="AA796" s="1190"/>
      <c r="AB796" s="1190"/>
      <c r="AC796" s="1190"/>
      <c r="AD796" s="1190"/>
      <c r="AE796" s="1190"/>
      <c r="AF796" s="1190"/>
      <c r="AG796" s="1190"/>
      <c r="AH796" s="1190"/>
      <c r="AI796" s="1190"/>
      <c r="AJ796" s="1190"/>
      <c r="AK796" s="1190"/>
      <c r="AL796" s="1190"/>
      <c r="AM796" s="1190"/>
      <c r="AN796" s="1190"/>
      <c r="AO796" s="1190"/>
      <c r="AP796" s="1190"/>
      <c r="AQ796" s="1190"/>
      <c r="AR796" s="1190"/>
      <c r="AS796" s="1190"/>
      <c r="AT796" s="1190"/>
      <c r="AU796" s="1190"/>
      <c r="AV796" s="1190"/>
      <c r="AW796" s="1190"/>
      <c r="AX796" s="1190"/>
      <c r="AY796" s="1190"/>
      <c r="AZ796" s="1190"/>
      <c r="BA796" s="1190"/>
      <c r="BB796" s="1190"/>
      <c r="BC796" s="1190"/>
      <c r="BD796" s="1190"/>
      <c r="BE796" s="1190"/>
      <c r="BF796" s="1190"/>
      <c r="BG796" s="1190"/>
      <c r="BH796" s="1190"/>
      <c r="BI796" s="1190"/>
      <c r="BJ796" s="1190"/>
      <c r="BK796" s="1190"/>
      <c r="BL796" s="1190"/>
      <c r="BM796" s="1190"/>
      <c r="BN796" s="1190"/>
      <c r="BO796" s="1190"/>
    </row>
    <row r="797" spans="26:67">
      <c r="Z797" s="1190"/>
      <c r="AA797" s="1190"/>
      <c r="AB797" s="1190"/>
      <c r="AC797" s="1190"/>
      <c r="AD797" s="1190"/>
      <c r="AE797" s="1190"/>
      <c r="AF797" s="1190"/>
      <c r="AG797" s="1190"/>
      <c r="AH797" s="1190"/>
      <c r="AI797" s="1190"/>
      <c r="AJ797" s="1190"/>
      <c r="AK797" s="1190"/>
      <c r="AL797" s="1190"/>
      <c r="AM797" s="1190"/>
      <c r="AN797" s="1190"/>
      <c r="AO797" s="1190"/>
      <c r="AP797" s="1190"/>
      <c r="AQ797" s="1190"/>
      <c r="AR797" s="1190"/>
      <c r="AS797" s="1190"/>
      <c r="AT797" s="1190"/>
      <c r="AU797" s="1190"/>
      <c r="AV797" s="1190"/>
      <c r="AW797" s="1190"/>
      <c r="AX797" s="1190"/>
      <c r="AY797" s="1190"/>
      <c r="AZ797" s="1190"/>
      <c r="BA797" s="1190"/>
      <c r="BB797" s="1190"/>
      <c r="BC797" s="1190"/>
      <c r="BD797" s="1190"/>
      <c r="BE797" s="1190"/>
      <c r="BF797" s="1190"/>
      <c r="BG797" s="1190"/>
      <c r="BH797" s="1190"/>
      <c r="BI797" s="1190"/>
      <c r="BJ797" s="1190"/>
      <c r="BK797" s="1190"/>
      <c r="BL797" s="1190"/>
      <c r="BM797" s="1190"/>
      <c r="BN797" s="1190"/>
      <c r="BO797" s="1190"/>
    </row>
    <row r="798" spans="26:67">
      <c r="Z798" s="1190"/>
      <c r="AA798" s="1190"/>
      <c r="AB798" s="1190"/>
      <c r="AC798" s="1190"/>
      <c r="AD798" s="1190"/>
      <c r="AE798" s="1190"/>
      <c r="AF798" s="1190"/>
      <c r="AG798" s="1190"/>
      <c r="AH798" s="1190"/>
      <c r="AI798" s="1190"/>
      <c r="AJ798" s="1190"/>
      <c r="AK798" s="1190"/>
      <c r="AL798" s="1190"/>
      <c r="AM798" s="1190"/>
      <c r="AN798" s="1190"/>
      <c r="AO798" s="1190"/>
      <c r="AP798" s="1190"/>
      <c r="AQ798" s="1190"/>
      <c r="AR798" s="1190"/>
      <c r="AS798" s="1190"/>
      <c r="AT798" s="1190"/>
      <c r="AU798" s="1190"/>
      <c r="AV798" s="1190"/>
      <c r="AW798" s="1190"/>
      <c r="AX798" s="1190"/>
      <c r="AY798" s="1190"/>
      <c r="AZ798" s="1190"/>
      <c r="BA798" s="1190"/>
      <c r="BB798" s="1190"/>
      <c r="BC798" s="1190"/>
      <c r="BD798" s="1190"/>
      <c r="BE798" s="1190"/>
      <c r="BF798" s="1190"/>
      <c r="BG798" s="1190"/>
      <c r="BH798" s="1190"/>
      <c r="BI798" s="1190"/>
      <c r="BJ798" s="1190"/>
      <c r="BK798" s="1190"/>
      <c r="BL798" s="1190"/>
      <c r="BM798" s="1190"/>
      <c r="BN798" s="1190"/>
      <c r="BO798" s="1190"/>
    </row>
    <row r="799" spans="26:67">
      <c r="Z799" s="1190"/>
      <c r="AA799" s="1190"/>
      <c r="AB799" s="1190"/>
      <c r="AC799" s="1190"/>
      <c r="AD799" s="1190"/>
      <c r="AE799" s="1190"/>
      <c r="AF799" s="1190"/>
      <c r="AG799" s="1190"/>
      <c r="AH799" s="1190"/>
      <c r="AI799" s="1190"/>
      <c r="AJ799" s="1190"/>
      <c r="AK799" s="1190"/>
      <c r="AL799" s="1190"/>
      <c r="AM799" s="1190"/>
      <c r="AN799" s="1190"/>
      <c r="AO799" s="1190"/>
      <c r="AP799" s="1190"/>
      <c r="AQ799" s="1190"/>
      <c r="AR799" s="1190"/>
      <c r="AS799" s="1190"/>
      <c r="AT799" s="1190"/>
      <c r="AU799" s="1190"/>
      <c r="AV799" s="1190"/>
      <c r="AW799" s="1190"/>
      <c r="AX799" s="1190"/>
      <c r="AY799" s="1190"/>
      <c r="AZ799" s="1190"/>
      <c r="BA799" s="1190"/>
      <c r="BB799" s="1190"/>
      <c r="BC799" s="1190"/>
      <c r="BD799" s="1190"/>
      <c r="BE799" s="1190"/>
      <c r="BF799" s="1190"/>
      <c r="BG799" s="1190"/>
      <c r="BH799" s="1190"/>
      <c r="BI799" s="1190"/>
      <c r="BJ799" s="1190"/>
      <c r="BK799" s="1190"/>
      <c r="BL799" s="1190"/>
      <c r="BM799" s="1190"/>
      <c r="BN799" s="1190"/>
      <c r="BO799" s="1190"/>
    </row>
    <row r="800" spans="26:67">
      <c r="Z800" s="1190"/>
      <c r="AA800" s="1190"/>
      <c r="AB800" s="1190"/>
      <c r="AC800" s="1190"/>
      <c r="AD800" s="1190"/>
      <c r="AE800" s="1190"/>
      <c r="AF800" s="1190"/>
      <c r="AG800" s="1190"/>
      <c r="AH800" s="1190"/>
      <c r="AI800" s="1190"/>
      <c r="AJ800" s="1190"/>
      <c r="AK800" s="1190"/>
      <c r="AL800" s="1190"/>
      <c r="AM800" s="1190"/>
      <c r="AN800" s="1190"/>
      <c r="AO800" s="1190"/>
      <c r="AP800" s="1190"/>
      <c r="AQ800" s="1190"/>
      <c r="AR800" s="1190"/>
      <c r="AS800" s="1190"/>
      <c r="AT800" s="1190"/>
      <c r="AU800" s="1190"/>
      <c r="AV800" s="1190"/>
      <c r="AW800" s="1190"/>
      <c r="AX800" s="1190"/>
      <c r="AY800" s="1190"/>
      <c r="AZ800" s="1190"/>
      <c r="BA800" s="1190"/>
      <c r="BB800" s="1190"/>
      <c r="BC800" s="1190"/>
      <c r="BD800" s="1190"/>
      <c r="BE800" s="1190"/>
      <c r="BF800" s="1190"/>
      <c r="BG800" s="1190"/>
      <c r="BH800" s="1190"/>
      <c r="BI800" s="1190"/>
      <c r="BJ800" s="1190"/>
      <c r="BK800" s="1190"/>
      <c r="BL800" s="1190"/>
      <c r="BM800" s="1190"/>
      <c r="BN800" s="1190"/>
      <c r="BO800" s="1190"/>
    </row>
    <row r="801" spans="26:67">
      <c r="Z801" s="1190"/>
      <c r="AA801" s="1190"/>
      <c r="AB801" s="1190"/>
      <c r="AC801" s="1190"/>
      <c r="AD801" s="1190"/>
      <c r="AE801" s="1190"/>
      <c r="AF801" s="1190"/>
      <c r="AG801" s="1190"/>
      <c r="AH801" s="1190"/>
      <c r="AI801" s="1190"/>
      <c r="AJ801" s="1190"/>
      <c r="AK801" s="1190"/>
      <c r="AL801" s="1190"/>
      <c r="AM801" s="1190"/>
      <c r="AN801" s="1190"/>
      <c r="AO801" s="1190"/>
      <c r="AP801" s="1190"/>
      <c r="AQ801" s="1190"/>
      <c r="AR801" s="1190"/>
      <c r="AS801" s="1190"/>
      <c r="AT801" s="1190"/>
      <c r="AU801" s="1190"/>
      <c r="AV801" s="1190"/>
      <c r="AW801" s="1190"/>
      <c r="AX801" s="1190"/>
      <c r="AY801" s="1190"/>
      <c r="AZ801" s="1190"/>
      <c r="BA801" s="1190"/>
      <c r="BB801" s="1190"/>
      <c r="BC801" s="1190"/>
      <c r="BD801" s="1190"/>
      <c r="BE801" s="1190"/>
      <c r="BF801" s="1190"/>
      <c r="BG801" s="1190"/>
      <c r="BH801" s="1190"/>
      <c r="BI801" s="1190"/>
      <c r="BJ801" s="1190"/>
      <c r="BK801" s="1190"/>
      <c r="BL801" s="1190"/>
      <c r="BM801" s="1190"/>
      <c r="BN801" s="1190"/>
      <c r="BO801" s="1190"/>
    </row>
    <row r="802" spans="26:67">
      <c r="Z802" s="1190"/>
      <c r="AA802" s="1190"/>
      <c r="AB802" s="1190"/>
      <c r="AC802" s="1190"/>
      <c r="AD802" s="1190"/>
      <c r="AE802" s="1190"/>
      <c r="AF802" s="1190"/>
      <c r="AG802" s="1190"/>
      <c r="AH802" s="1190"/>
      <c r="AI802" s="1190"/>
      <c r="AJ802" s="1190"/>
      <c r="AK802" s="1190"/>
      <c r="AL802" s="1190"/>
      <c r="AM802" s="1190"/>
      <c r="AN802" s="1190"/>
      <c r="AO802" s="1190"/>
      <c r="AP802" s="1190"/>
      <c r="AQ802" s="1190"/>
      <c r="AR802" s="1190"/>
      <c r="AS802" s="1190"/>
      <c r="AT802" s="1190"/>
      <c r="AU802" s="1190"/>
      <c r="AV802" s="1190"/>
      <c r="AW802" s="1190"/>
      <c r="AX802" s="1190"/>
      <c r="AY802" s="1190"/>
      <c r="AZ802" s="1190"/>
      <c r="BA802" s="1190"/>
      <c r="BB802" s="1190"/>
      <c r="BC802" s="1190"/>
      <c r="BD802" s="1190"/>
      <c r="BE802" s="1190"/>
      <c r="BF802" s="1190"/>
      <c r="BG802" s="1190"/>
      <c r="BH802" s="1190"/>
      <c r="BI802" s="1190"/>
      <c r="BJ802" s="1190"/>
      <c r="BK802" s="1190"/>
      <c r="BL802" s="1190"/>
      <c r="BM802" s="1190"/>
      <c r="BN802" s="1190"/>
      <c r="BO802" s="1190"/>
    </row>
    <row r="803" spans="26:67">
      <c r="Z803" s="1190"/>
      <c r="AA803" s="1190"/>
      <c r="AB803" s="1190"/>
      <c r="AC803" s="1190"/>
      <c r="AD803" s="1190"/>
      <c r="AE803" s="1190"/>
      <c r="AF803" s="1190"/>
      <c r="AG803" s="1190"/>
      <c r="AH803" s="1190"/>
      <c r="AI803" s="1190"/>
      <c r="AJ803" s="1190"/>
      <c r="AK803" s="1190"/>
      <c r="AL803" s="1190"/>
      <c r="AM803" s="1190"/>
      <c r="AN803" s="1190"/>
      <c r="AO803" s="1190"/>
      <c r="AP803" s="1190"/>
      <c r="AQ803" s="1190"/>
      <c r="AR803" s="1190"/>
      <c r="AS803" s="1190"/>
      <c r="AT803" s="1190"/>
      <c r="AU803" s="1190"/>
      <c r="AV803" s="1190"/>
      <c r="AW803" s="1190"/>
      <c r="AX803" s="1190"/>
      <c r="AY803" s="1190"/>
      <c r="AZ803" s="1190"/>
      <c r="BA803" s="1190"/>
      <c r="BB803" s="1190"/>
      <c r="BC803" s="1190"/>
      <c r="BD803" s="1190"/>
      <c r="BE803" s="1190"/>
      <c r="BF803" s="1190"/>
      <c r="BG803" s="1190"/>
      <c r="BH803" s="1190"/>
      <c r="BI803" s="1190"/>
      <c r="BJ803" s="1190"/>
      <c r="BK803" s="1190"/>
      <c r="BL803" s="1190"/>
      <c r="BM803" s="1190"/>
      <c r="BN803" s="1190"/>
      <c r="BO803" s="1190"/>
    </row>
    <row r="804" spans="26:67">
      <c r="Z804" s="1190"/>
      <c r="AA804" s="1190"/>
      <c r="AB804" s="1190"/>
      <c r="AC804" s="1190"/>
      <c r="AD804" s="1190"/>
      <c r="AE804" s="1190"/>
      <c r="AF804" s="1190"/>
      <c r="AG804" s="1190"/>
      <c r="AH804" s="1190"/>
      <c r="AI804" s="1190"/>
      <c r="AJ804" s="1190"/>
      <c r="AK804" s="1190"/>
      <c r="AL804" s="1190"/>
      <c r="AM804" s="1190"/>
      <c r="AN804" s="1190"/>
      <c r="AO804" s="1190"/>
      <c r="AP804" s="1190"/>
      <c r="AQ804" s="1190"/>
      <c r="AR804" s="1190"/>
      <c r="AS804" s="1190"/>
      <c r="AT804" s="1190"/>
      <c r="AU804" s="1190"/>
      <c r="AV804" s="1190"/>
      <c r="AW804" s="1190"/>
      <c r="AX804" s="1190"/>
      <c r="AY804" s="1190"/>
      <c r="AZ804" s="1190"/>
      <c r="BA804" s="1190"/>
      <c r="BB804" s="1190"/>
      <c r="BC804" s="1190"/>
      <c r="BD804" s="1190"/>
      <c r="BE804" s="1190"/>
      <c r="BF804" s="1190"/>
      <c r="BG804" s="1190"/>
      <c r="BH804" s="1190"/>
      <c r="BI804" s="1190"/>
      <c r="BJ804" s="1190"/>
      <c r="BK804" s="1190"/>
      <c r="BL804" s="1190"/>
      <c r="BM804" s="1190"/>
      <c r="BN804" s="1190"/>
      <c r="BO804" s="1190"/>
    </row>
    <row r="805" spans="26:67">
      <c r="Z805" s="1190"/>
      <c r="AA805" s="1190"/>
      <c r="AB805" s="1190"/>
      <c r="AC805" s="1190"/>
      <c r="AD805" s="1190"/>
      <c r="AE805" s="1190"/>
      <c r="AF805" s="1190"/>
      <c r="AG805" s="1190"/>
      <c r="AH805" s="1190"/>
      <c r="AI805" s="1190"/>
      <c r="AJ805" s="1190"/>
      <c r="AK805" s="1190"/>
      <c r="AL805" s="1190"/>
      <c r="AM805" s="1190"/>
      <c r="AN805" s="1190"/>
      <c r="AO805" s="1190"/>
      <c r="AP805" s="1190"/>
      <c r="AQ805" s="1190"/>
      <c r="AR805" s="1190"/>
      <c r="AS805" s="1190"/>
      <c r="AT805" s="1190"/>
      <c r="AU805" s="1190"/>
      <c r="AV805" s="1190"/>
      <c r="AW805" s="1190"/>
      <c r="AX805" s="1190"/>
      <c r="AY805" s="1190"/>
      <c r="AZ805" s="1190"/>
      <c r="BA805" s="1190"/>
      <c r="BB805" s="1190"/>
      <c r="BC805" s="1190"/>
      <c r="BD805" s="1190"/>
      <c r="BE805" s="1190"/>
      <c r="BF805" s="1190"/>
      <c r="BG805" s="1190"/>
      <c r="BH805" s="1190"/>
      <c r="BI805" s="1190"/>
      <c r="BJ805" s="1190"/>
      <c r="BK805" s="1190"/>
      <c r="BL805" s="1190"/>
      <c r="BM805" s="1190"/>
      <c r="BN805" s="1190"/>
      <c r="BO805" s="1190"/>
    </row>
    <row r="806" spans="26:67">
      <c r="Z806" s="1190"/>
      <c r="AA806" s="1190"/>
      <c r="AB806" s="1190"/>
      <c r="AC806" s="1190"/>
      <c r="AD806" s="1190"/>
      <c r="AE806" s="1190"/>
      <c r="AF806" s="1190"/>
      <c r="AG806" s="1190"/>
      <c r="AH806" s="1190"/>
      <c r="AI806" s="1190"/>
      <c r="AJ806" s="1190"/>
      <c r="AK806" s="1190"/>
      <c r="AL806" s="1190"/>
      <c r="AM806" s="1190"/>
      <c r="AN806" s="1190"/>
      <c r="AO806" s="1190"/>
      <c r="AP806" s="1190"/>
      <c r="AQ806" s="1190"/>
      <c r="AR806" s="1190"/>
      <c r="AS806" s="1190"/>
      <c r="AT806" s="1190"/>
      <c r="AU806" s="1190"/>
      <c r="AV806" s="1190"/>
      <c r="AW806" s="1190"/>
      <c r="AX806" s="1190"/>
      <c r="AY806" s="1190"/>
      <c r="AZ806" s="1190"/>
      <c r="BA806" s="1190"/>
      <c r="BB806" s="1190"/>
      <c r="BC806" s="1190"/>
      <c r="BD806" s="1190"/>
      <c r="BE806" s="1190"/>
      <c r="BF806" s="1190"/>
      <c r="BG806" s="1190"/>
      <c r="BH806" s="1190"/>
      <c r="BI806" s="1190"/>
      <c r="BJ806" s="1190"/>
      <c r="BK806" s="1190"/>
      <c r="BL806" s="1190"/>
      <c r="BM806" s="1190"/>
      <c r="BN806" s="1190"/>
      <c r="BO806" s="1190"/>
    </row>
    <row r="807" spans="26:67">
      <c r="Z807" s="1190"/>
      <c r="AA807" s="1190"/>
      <c r="AB807" s="1190"/>
      <c r="AC807" s="1190"/>
      <c r="AD807" s="1190"/>
      <c r="AE807" s="1190"/>
      <c r="AF807" s="1190"/>
      <c r="AG807" s="1190"/>
      <c r="AH807" s="1190"/>
      <c r="AI807" s="1190"/>
      <c r="AJ807" s="1190"/>
      <c r="AK807" s="1190"/>
      <c r="AL807" s="1190"/>
      <c r="AM807" s="1190"/>
      <c r="AN807" s="1190"/>
      <c r="AO807" s="1190"/>
      <c r="AP807" s="1190"/>
      <c r="AQ807" s="1190"/>
      <c r="AR807" s="1190"/>
      <c r="AS807" s="1190"/>
      <c r="AT807" s="1190"/>
      <c r="AU807" s="1190"/>
      <c r="AV807" s="1190"/>
      <c r="AW807" s="1190"/>
      <c r="AX807" s="1190"/>
      <c r="AY807" s="1190"/>
      <c r="AZ807" s="1190"/>
      <c r="BA807" s="1190"/>
      <c r="BB807" s="1190"/>
      <c r="BC807" s="1190"/>
      <c r="BD807" s="1190"/>
      <c r="BE807" s="1190"/>
      <c r="BF807" s="1190"/>
      <c r="BG807" s="1190"/>
      <c r="BH807" s="1190"/>
      <c r="BI807" s="1190"/>
      <c r="BJ807" s="1190"/>
      <c r="BK807" s="1190"/>
      <c r="BL807" s="1190"/>
      <c r="BM807" s="1190"/>
      <c r="BN807" s="1190"/>
      <c r="BO807" s="1190"/>
    </row>
    <row r="808" spans="26:67">
      <c r="Z808" s="1190"/>
      <c r="AA808" s="1190"/>
      <c r="AB808" s="1190"/>
      <c r="AC808" s="1190"/>
      <c r="AD808" s="1190"/>
      <c r="AE808" s="1190"/>
      <c r="AF808" s="1190"/>
      <c r="AG808" s="1190"/>
      <c r="AH808" s="1190"/>
      <c r="AI808" s="1190"/>
      <c r="AJ808" s="1190"/>
      <c r="AK808" s="1190"/>
      <c r="AL808" s="1190"/>
      <c r="AM808" s="1190"/>
      <c r="AN808" s="1190"/>
      <c r="AO808" s="1190"/>
      <c r="AP808" s="1190"/>
      <c r="AQ808" s="1190"/>
      <c r="AR808" s="1190"/>
      <c r="AS808" s="1190"/>
      <c r="AT808" s="1190"/>
      <c r="AU808" s="1190"/>
      <c r="AV808" s="1190"/>
      <c r="AW808" s="1190"/>
      <c r="AX808" s="1190"/>
      <c r="AY808" s="1190"/>
      <c r="AZ808" s="1190"/>
      <c r="BA808" s="1190"/>
      <c r="BB808" s="1190"/>
      <c r="BC808" s="1190"/>
      <c r="BD808" s="1190"/>
      <c r="BE808" s="1190"/>
      <c r="BF808" s="1190"/>
      <c r="BG808" s="1190"/>
      <c r="BH808" s="1190"/>
      <c r="BI808" s="1190"/>
      <c r="BJ808" s="1190"/>
      <c r="BK808" s="1190"/>
      <c r="BL808" s="1190"/>
      <c r="BM808" s="1190"/>
      <c r="BN808" s="1190"/>
      <c r="BO808" s="1190"/>
    </row>
    <row r="809" spans="26:67">
      <c r="Z809" s="1190"/>
      <c r="AA809" s="1190"/>
      <c r="AB809" s="1190"/>
      <c r="AC809" s="1190"/>
      <c r="AD809" s="1190"/>
      <c r="AE809" s="1190"/>
      <c r="AF809" s="1190"/>
      <c r="AG809" s="1190"/>
      <c r="AH809" s="1190"/>
      <c r="AI809" s="1190"/>
      <c r="AJ809" s="1190"/>
      <c r="AK809" s="1190"/>
      <c r="AL809" s="1190"/>
      <c r="AM809" s="1190"/>
      <c r="AN809" s="1190"/>
      <c r="AO809" s="1190"/>
      <c r="AP809" s="1190"/>
      <c r="AQ809" s="1190"/>
      <c r="AR809" s="1190"/>
      <c r="AS809" s="1190"/>
      <c r="AT809" s="1190"/>
      <c r="AU809" s="1190"/>
      <c r="AV809" s="1190"/>
      <c r="AW809" s="1190"/>
      <c r="AX809" s="1190"/>
      <c r="AY809" s="1190"/>
      <c r="AZ809" s="1190"/>
      <c r="BA809" s="1190"/>
      <c r="BB809" s="1190"/>
      <c r="BC809" s="1190"/>
      <c r="BD809" s="1190"/>
      <c r="BE809" s="1190"/>
      <c r="BF809" s="1190"/>
      <c r="BG809" s="1190"/>
      <c r="BH809" s="1190"/>
      <c r="BI809" s="1190"/>
      <c r="BJ809" s="1190"/>
      <c r="BK809" s="1190"/>
      <c r="BL809" s="1190"/>
      <c r="BM809" s="1190"/>
      <c r="BN809" s="1190"/>
      <c r="BO809" s="1190"/>
    </row>
    <row r="810" spans="26:67">
      <c r="Z810" s="1190"/>
      <c r="AA810" s="1190"/>
      <c r="AB810" s="1190"/>
      <c r="AC810" s="1190"/>
      <c r="AD810" s="1190"/>
      <c r="AE810" s="1190"/>
      <c r="AF810" s="1190"/>
      <c r="AG810" s="1190"/>
      <c r="AH810" s="1190"/>
      <c r="AI810" s="1190"/>
      <c r="AJ810" s="1190"/>
      <c r="AK810" s="1190"/>
      <c r="AL810" s="1190"/>
      <c r="AM810" s="1190"/>
      <c r="AN810" s="1190"/>
      <c r="AO810" s="1190"/>
      <c r="AP810" s="1190"/>
      <c r="AQ810" s="1190"/>
      <c r="AR810" s="1190"/>
      <c r="AS810" s="1190"/>
      <c r="AT810" s="1190"/>
      <c r="AU810" s="1190"/>
      <c r="AV810" s="1190"/>
      <c r="AW810" s="1190"/>
      <c r="AX810" s="1190"/>
      <c r="AY810" s="1190"/>
      <c r="AZ810" s="1190"/>
      <c r="BA810" s="1190"/>
      <c r="BB810" s="1190"/>
      <c r="BC810" s="1190"/>
      <c r="BD810" s="1190"/>
      <c r="BE810" s="1190"/>
      <c r="BF810" s="1190"/>
      <c r="BG810" s="1190"/>
      <c r="BH810" s="1190"/>
      <c r="BI810" s="1190"/>
      <c r="BJ810" s="1190"/>
      <c r="BK810" s="1190"/>
      <c r="BL810" s="1190"/>
      <c r="BM810" s="1190"/>
      <c r="BN810" s="1190"/>
      <c r="BO810" s="1190"/>
    </row>
    <row r="811" spans="26:67">
      <c r="Z811" s="1190"/>
      <c r="AA811" s="1190"/>
      <c r="AB811" s="1190"/>
      <c r="AC811" s="1190"/>
      <c r="AD811" s="1190"/>
      <c r="AE811" s="1190"/>
      <c r="AF811" s="1190"/>
      <c r="AG811" s="1190"/>
      <c r="AH811" s="1190"/>
      <c r="AI811" s="1190"/>
      <c r="AJ811" s="1190"/>
      <c r="AK811" s="1190"/>
      <c r="AL811" s="1190"/>
      <c r="AM811" s="1190"/>
      <c r="AN811" s="1190"/>
      <c r="AO811" s="1190"/>
      <c r="AP811" s="1190"/>
      <c r="AQ811" s="1190"/>
      <c r="AR811" s="1190"/>
      <c r="AS811" s="1190"/>
      <c r="AT811" s="1190"/>
      <c r="AU811" s="1190"/>
      <c r="AV811" s="1190"/>
      <c r="AW811" s="1190"/>
      <c r="AX811" s="1190"/>
      <c r="AY811" s="1190"/>
      <c r="AZ811" s="1190"/>
      <c r="BA811" s="1190"/>
      <c r="BB811" s="1190"/>
      <c r="BC811" s="1190"/>
      <c r="BD811" s="1190"/>
      <c r="BE811" s="1190"/>
      <c r="BF811" s="1190"/>
      <c r="BG811" s="1190"/>
      <c r="BH811" s="1190"/>
      <c r="BI811" s="1190"/>
      <c r="BJ811" s="1190"/>
      <c r="BK811" s="1190"/>
      <c r="BL811" s="1190"/>
      <c r="BM811" s="1190"/>
      <c r="BN811" s="1190"/>
      <c r="BO811" s="1190"/>
    </row>
    <row r="812" spans="26:67">
      <c r="Z812" s="1190"/>
      <c r="AA812" s="1190"/>
      <c r="AB812" s="1190"/>
      <c r="AC812" s="1190"/>
      <c r="AD812" s="1190"/>
      <c r="AE812" s="1190"/>
      <c r="AF812" s="1190"/>
      <c r="AG812" s="1190"/>
      <c r="AH812" s="1190"/>
      <c r="AI812" s="1190"/>
      <c r="AJ812" s="1190"/>
      <c r="AK812" s="1190"/>
      <c r="AL812" s="1190"/>
      <c r="AM812" s="1190"/>
      <c r="AN812" s="1190"/>
      <c r="AO812" s="1190"/>
      <c r="AP812" s="1190"/>
      <c r="AQ812" s="1190"/>
      <c r="AR812" s="1190"/>
      <c r="AS812" s="1190"/>
      <c r="AT812" s="1190"/>
      <c r="AU812" s="1190"/>
      <c r="AV812" s="1190"/>
      <c r="AW812" s="1190"/>
      <c r="AX812" s="1190"/>
      <c r="AY812" s="1190"/>
      <c r="AZ812" s="1190"/>
      <c r="BA812" s="1190"/>
      <c r="BB812" s="1190"/>
      <c r="BC812" s="1190"/>
      <c r="BD812" s="1190"/>
      <c r="BE812" s="1190"/>
      <c r="BF812" s="1190"/>
      <c r="BG812" s="1190"/>
      <c r="BH812" s="1190"/>
      <c r="BI812" s="1190"/>
      <c r="BJ812" s="1190"/>
      <c r="BK812" s="1190"/>
      <c r="BL812" s="1190"/>
      <c r="BM812" s="1190"/>
      <c r="BN812" s="1190"/>
      <c r="BO812" s="1190"/>
    </row>
    <row r="813" spans="26:67">
      <c r="Z813" s="1190"/>
      <c r="AA813" s="1190"/>
      <c r="AB813" s="1190"/>
      <c r="AC813" s="1190"/>
      <c r="AD813" s="1190"/>
      <c r="AE813" s="1190"/>
      <c r="AF813" s="1190"/>
      <c r="AG813" s="1190"/>
      <c r="AH813" s="1190"/>
      <c r="AI813" s="1190"/>
      <c r="AJ813" s="1190"/>
      <c r="AK813" s="1190"/>
      <c r="AL813" s="1190"/>
      <c r="AM813" s="1190"/>
      <c r="AN813" s="1190"/>
      <c r="AO813" s="1190"/>
      <c r="AP813" s="1190"/>
      <c r="AQ813" s="1190"/>
      <c r="AR813" s="1190"/>
      <c r="AS813" s="1190"/>
      <c r="AT813" s="1190"/>
      <c r="AU813" s="1190"/>
      <c r="AV813" s="1190"/>
      <c r="AW813" s="1190"/>
      <c r="AX813" s="1190"/>
      <c r="AY813" s="1190"/>
      <c r="AZ813" s="1190"/>
      <c r="BA813" s="1190"/>
      <c r="BB813" s="1190"/>
      <c r="BC813" s="1190"/>
      <c r="BD813" s="1190"/>
      <c r="BE813" s="1190"/>
      <c r="BF813" s="1190"/>
      <c r="BG813" s="1190"/>
      <c r="BH813" s="1190"/>
      <c r="BI813" s="1190"/>
      <c r="BJ813" s="1190"/>
      <c r="BK813" s="1190"/>
      <c r="BL813" s="1190"/>
      <c r="BM813" s="1190"/>
      <c r="BN813" s="1190"/>
      <c r="BO813" s="1190"/>
    </row>
    <row r="814" spans="26:67">
      <c r="Z814" s="1190"/>
      <c r="AA814" s="1190"/>
      <c r="AB814" s="1190"/>
      <c r="AC814" s="1190"/>
      <c r="AD814" s="1190"/>
      <c r="AE814" s="1190"/>
      <c r="AF814" s="1190"/>
      <c r="AG814" s="1190"/>
      <c r="AH814" s="1190"/>
      <c r="AI814" s="1190"/>
      <c r="AJ814" s="1190"/>
      <c r="AK814" s="1190"/>
      <c r="AL814" s="1190"/>
      <c r="AM814" s="1190"/>
      <c r="AN814" s="1190"/>
      <c r="AO814" s="1190"/>
      <c r="AP814" s="1190"/>
      <c r="AQ814" s="1190"/>
      <c r="AR814" s="1190"/>
      <c r="AS814" s="1190"/>
      <c r="AT814" s="1190"/>
      <c r="AU814" s="1190"/>
      <c r="AV814" s="1190"/>
      <c r="AW814" s="1190"/>
      <c r="AX814" s="1190"/>
      <c r="AY814" s="1190"/>
      <c r="AZ814" s="1190"/>
      <c r="BA814" s="1190"/>
      <c r="BB814" s="1190"/>
      <c r="BC814" s="1190"/>
      <c r="BD814" s="1190"/>
      <c r="BE814" s="1190"/>
      <c r="BF814" s="1190"/>
      <c r="BG814" s="1190"/>
      <c r="BH814" s="1190"/>
      <c r="BI814" s="1190"/>
      <c r="BJ814" s="1190"/>
      <c r="BK814" s="1190"/>
      <c r="BL814" s="1190"/>
      <c r="BM814" s="1190"/>
      <c r="BN814" s="1190"/>
      <c r="BO814" s="1190"/>
    </row>
    <row r="815" spans="26:67">
      <c r="Z815" s="1190"/>
      <c r="AA815" s="1190"/>
      <c r="AB815" s="1190"/>
      <c r="AC815" s="1190"/>
      <c r="AD815" s="1190"/>
      <c r="AE815" s="1190"/>
      <c r="AF815" s="1190"/>
      <c r="AG815" s="1190"/>
      <c r="AH815" s="1190"/>
      <c r="AI815" s="1190"/>
      <c r="AJ815" s="1190"/>
      <c r="AK815" s="1190"/>
      <c r="AL815" s="1190"/>
      <c r="AM815" s="1190"/>
      <c r="AN815" s="1190"/>
      <c r="AO815" s="1190"/>
      <c r="AP815" s="1190"/>
      <c r="AQ815" s="1190"/>
      <c r="AR815" s="1190"/>
      <c r="AS815" s="1190"/>
      <c r="AT815" s="1190"/>
      <c r="AU815" s="1190"/>
      <c r="AV815" s="1190"/>
      <c r="AW815" s="1190"/>
      <c r="AX815" s="1190"/>
      <c r="AY815" s="1190"/>
      <c r="AZ815" s="1190"/>
      <c r="BA815" s="1190"/>
      <c r="BB815" s="1190"/>
      <c r="BC815" s="1190"/>
      <c r="BD815" s="1190"/>
      <c r="BE815" s="1190"/>
      <c r="BF815" s="1190"/>
      <c r="BG815" s="1190"/>
      <c r="BH815" s="1190"/>
      <c r="BI815" s="1190"/>
      <c r="BJ815" s="1190"/>
      <c r="BK815" s="1190"/>
      <c r="BL815" s="1190"/>
      <c r="BM815" s="1190"/>
      <c r="BN815" s="1190"/>
      <c r="BO815" s="1190"/>
    </row>
    <row r="816" spans="26:67">
      <c r="Z816" s="1190"/>
      <c r="AA816" s="1190"/>
      <c r="AB816" s="1190"/>
      <c r="AC816" s="1190"/>
      <c r="AD816" s="1190"/>
      <c r="AE816" s="1190"/>
      <c r="AF816" s="1190"/>
      <c r="AG816" s="1190"/>
      <c r="AH816" s="1190"/>
      <c r="AI816" s="1190"/>
      <c r="AJ816" s="1190"/>
      <c r="AK816" s="1190"/>
      <c r="AL816" s="1190"/>
      <c r="AM816" s="1190"/>
      <c r="AN816" s="1190"/>
      <c r="AO816" s="1190"/>
      <c r="AP816" s="1190"/>
      <c r="AQ816" s="1190"/>
      <c r="AR816" s="1190"/>
      <c r="AS816" s="1190"/>
      <c r="AT816" s="1190"/>
      <c r="AU816" s="1190"/>
      <c r="AV816" s="1190"/>
      <c r="AW816" s="1190"/>
      <c r="AX816" s="1190"/>
      <c r="AY816" s="1190"/>
      <c r="AZ816" s="1190"/>
      <c r="BA816" s="1190"/>
      <c r="BB816" s="1190"/>
      <c r="BC816" s="1190"/>
      <c r="BD816" s="1190"/>
      <c r="BE816" s="1190"/>
      <c r="BF816" s="1190"/>
      <c r="BG816" s="1190"/>
      <c r="BH816" s="1190"/>
      <c r="BI816" s="1190"/>
      <c r="BJ816" s="1190"/>
      <c r="BK816" s="1190"/>
      <c r="BL816" s="1190"/>
      <c r="BM816" s="1190"/>
      <c r="BN816" s="1190"/>
      <c r="BO816" s="1190"/>
    </row>
    <row r="817" spans="26:67">
      <c r="Z817" s="1190"/>
      <c r="AA817" s="1190"/>
      <c r="AB817" s="1190"/>
      <c r="AC817" s="1190"/>
      <c r="AD817" s="1190"/>
      <c r="AE817" s="1190"/>
      <c r="AF817" s="1190"/>
      <c r="AG817" s="1190"/>
      <c r="AH817" s="1190"/>
      <c r="AI817" s="1190"/>
      <c r="AJ817" s="1190"/>
      <c r="AK817" s="1190"/>
      <c r="AL817" s="1190"/>
      <c r="AM817" s="1190"/>
      <c r="AN817" s="1190"/>
      <c r="AO817" s="1190"/>
      <c r="AP817" s="1190"/>
      <c r="AQ817" s="1190"/>
      <c r="AR817" s="1190"/>
      <c r="AS817" s="1190"/>
      <c r="AT817" s="1190"/>
      <c r="AU817" s="1190"/>
      <c r="AV817" s="1190"/>
      <c r="AW817" s="1190"/>
      <c r="AX817" s="1190"/>
      <c r="AY817" s="1190"/>
      <c r="AZ817" s="1190"/>
      <c r="BA817" s="1190"/>
      <c r="BB817" s="1190"/>
      <c r="BC817" s="1190"/>
      <c r="BD817" s="1190"/>
      <c r="BE817" s="1190"/>
      <c r="BF817" s="1190"/>
      <c r="BG817" s="1190"/>
      <c r="BH817" s="1190"/>
      <c r="BI817" s="1190"/>
      <c r="BJ817" s="1190"/>
      <c r="BK817" s="1190"/>
      <c r="BL817" s="1190"/>
      <c r="BM817" s="1190"/>
      <c r="BN817" s="1190"/>
      <c r="BO817" s="1190"/>
    </row>
    <row r="818" spans="26:67">
      <c r="Z818" s="1190"/>
      <c r="AA818" s="1190"/>
      <c r="AB818" s="1190"/>
      <c r="AC818" s="1190"/>
      <c r="AD818" s="1190"/>
      <c r="AE818" s="1190"/>
      <c r="AF818" s="1190"/>
      <c r="AG818" s="1190"/>
      <c r="AH818" s="1190"/>
      <c r="AI818" s="1190"/>
      <c r="AJ818" s="1190"/>
      <c r="AK818" s="1190"/>
      <c r="AL818" s="1190"/>
      <c r="AM818" s="1190"/>
      <c r="AN818" s="1190"/>
      <c r="AO818" s="1190"/>
      <c r="AP818" s="1190"/>
      <c r="AQ818" s="1190"/>
      <c r="AR818" s="1190"/>
      <c r="AS818" s="1190"/>
      <c r="AT818" s="1190"/>
      <c r="AU818" s="1190"/>
      <c r="AV818" s="1190"/>
      <c r="AW818" s="1190"/>
      <c r="AX818" s="1190"/>
      <c r="AY818" s="1190"/>
      <c r="AZ818" s="1190"/>
      <c r="BA818" s="1190"/>
      <c r="BB818" s="1190"/>
      <c r="BC818" s="1190"/>
      <c r="BD818" s="1190"/>
      <c r="BE818" s="1190"/>
      <c r="BF818" s="1190"/>
      <c r="BG818" s="1190"/>
      <c r="BH818" s="1190"/>
      <c r="BI818" s="1190"/>
      <c r="BJ818" s="1190"/>
      <c r="BK818" s="1190"/>
      <c r="BL818" s="1190"/>
      <c r="BM818" s="1190"/>
      <c r="BN818" s="1190"/>
      <c r="BO818" s="1190"/>
    </row>
    <row r="819" spans="26:67">
      <c r="Z819" s="1190"/>
      <c r="AA819" s="1190"/>
      <c r="AB819" s="1190"/>
      <c r="AC819" s="1190"/>
      <c r="AD819" s="1190"/>
      <c r="AE819" s="1190"/>
      <c r="AF819" s="1190"/>
      <c r="AG819" s="1190"/>
      <c r="AH819" s="1190"/>
      <c r="AI819" s="1190"/>
      <c r="AJ819" s="1190"/>
      <c r="AK819" s="1190"/>
      <c r="AL819" s="1190"/>
      <c r="AM819" s="1190"/>
      <c r="AN819" s="1190"/>
      <c r="AO819" s="1190"/>
      <c r="AP819" s="1190"/>
      <c r="AQ819" s="1190"/>
      <c r="AR819" s="1190"/>
      <c r="AS819" s="1190"/>
      <c r="AT819" s="1190"/>
      <c r="AU819" s="1190"/>
      <c r="AV819" s="1190"/>
      <c r="AW819" s="1190"/>
      <c r="AX819" s="1190"/>
      <c r="AY819" s="1190"/>
      <c r="AZ819" s="1190"/>
      <c r="BA819" s="1190"/>
      <c r="BB819" s="1190"/>
      <c r="BC819" s="1190"/>
      <c r="BD819" s="1190"/>
      <c r="BE819" s="1190"/>
      <c r="BF819" s="1190"/>
      <c r="BG819" s="1190"/>
      <c r="BH819" s="1190"/>
      <c r="BI819" s="1190"/>
      <c r="BJ819" s="1190"/>
      <c r="BK819" s="1190"/>
      <c r="BL819" s="1190"/>
      <c r="BM819" s="1190"/>
      <c r="BN819" s="1190"/>
      <c r="BO819" s="1190"/>
    </row>
    <row r="820" spans="26:67">
      <c r="Z820" s="1190"/>
      <c r="AA820" s="1190"/>
      <c r="AB820" s="1190"/>
      <c r="AC820" s="1190"/>
      <c r="AD820" s="1190"/>
      <c r="AE820" s="1190"/>
      <c r="AF820" s="1190"/>
      <c r="AG820" s="1190"/>
      <c r="AH820" s="1190"/>
      <c r="AI820" s="1190"/>
      <c r="AJ820" s="1190"/>
      <c r="AK820" s="1190"/>
      <c r="AL820" s="1190"/>
      <c r="AM820" s="1190"/>
      <c r="AN820" s="1190"/>
      <c r="AO820" s="1190"/>
      <c r="AP820" s="1190"/>
      <c r="AQ820" s="1190"/>
      <c r="AR820" s="1190"/>
      <c r="AS820" s="1190"/>
      <c r="AT820" s="1190"/>
      <c r="AU820" s="1190"/>
      <c r="AV820" s="1190"/>
      <c r="AW820" s="1190"/>
      <c r="AX820" s="1190"/>
      <c r="AY820" s="1190"/>
      <c r="AZ820" s="1190"/>
      <c r="BA820" s="1190"/>
      <c r="BB820" s="1190"/>
      <c r="BC820" s="1190"/>
      <c r="BD820" s="1190"/>
      <c r="BE820" s="1190"/>
      <c r="BF820" s="1190"/>
      <c r="BG820" s="1190"/>
      <c r="BH820" s="1190"/>
      <c r="BI820" s="1190"/>
      <c r="BJ820" s="1190"/>
      <c r="BK820" s="1190"/>
      <c r="BL820" s="1190"/>
      <c r="BM820" s="1190"/>
      <c r="BN820" s="1190"/>
      <c r="BO820" s="1190"/>
    </row>
    <row r="821" spans="26:67">
      <c r="Z821" s="1190"/>
      <c r="AA821" s="1190"/>
      <c r="AB821" s="1190"/>
      <c r="AC821" s="1190"/>
      <c r="AD821" s="1190"/>
      <c r="AE821" s="1190"/>
      <c r="AF821" s="1190"/>
      <c r="AG821" s="1190"/>
      <c r="AH821" s="1190"/>
      <c r="AI821" s="1190"/>
      <c r="AJ821" s="1190"/>
      <c r="AK821" s="1190"/>
      <c r="AL821" s="1190"/>
      <c r="AM821" s="1190"/>
      <c r="AN821" s="1190"/>
      <c r="AO821" s="1190"/>
      <c r="AP821" s="1190"/>
      <c r="AQ821" s="1190"/>
      <c r="AR821" s="1190"/>
      <c r="AS821" s="1190"/>
      <c r="AT821" s="1190"/>
      <c r="AU821" s="1190"/>
      <c r="AV821" s="1190"/>
      <c r="AW821" s="1190"/>
      <c r="AX821" s="1190"/>
      <c r="AY821" s="1190"/>
      <c r="AZ821" s="1190"/>
      <c r="BA821" s="1190"/>
      <c r="BB821" s="1190"/>
      <c r="BC821" s="1190"/>
      <c r="BD821" s="1190"/>
      <c r="BE821" s="1190"/>
      <c r="BF821" s="1190"/>
      <c r="BG821" s="1190"/>
      <c r="BH821" s="1190"/>
      <c r="BI821" s="1190"/>
      <c r="BJ821" s="1190"/>
      <c r="BK821" s="1190"/>
      <c r="BL821" s="1190"/>
      <c r="BM821" s="1190"/>
      <c r="BN821" s="1190"/>
      <c r="BO821" s="1190"/>
    </row>
    <row r="822" spans="26:67">
      <c r="Z822" s="1190"/>
      <c r="AA822" s="1190"/>
      <c r="AB822" s="1190"/>
      <c r="AC822" s="1190"/>
      <c r="AD822" s="1190"/>
      <c r="AE822" s="1190"/>
      <c r="AF822" s="1190"/>
      <c r="AG822" s="1190"/>
      <c r="AH822" s="1190"/>
      <c r="AI822" s="1190"/>
      <c r="AJ822" s="1190"/>
      <c r="AK822" s="1190"/>
      <c r="AL822" s="1190"/>
      <c r="AM822" s="1190"/>
      <c r="AN822" s="1190"/>
      <c r="AO822" s="1190"/>
      <c r="AP822" s="1190"/>
      <c r="AQ822" s="1190"/>
      <c r="AR822" s="1190"/>
      <c r="AS822" s="1190"/>
      <c r="AT822" s="1190"/>
      <c r="AU822" s="1190"/>
      <c r="AV822" s="1190"/>
      <c r="AW822" s="1190"/>
      <c r="AX822" s="1190"/>
      <c r="AY822" s="1190"/>
      <c r="AZ822" s="1190"/>
      <c r="BA822" s="1190"/>
      <c r="BB822" s="1190"/>
      <c r="BC822" s="1190"/>
      <c r="BD822" s="1190"/>
      <c r="BE822" s="1190"/>
      <c r="BF822" s="1190"/>
      <c r="BG822" s="1190"/>
      <c r="BH822" s="1190"/>
      <c r="BI822" s="1190"/>
      <c r="BJ822" s="1190"/>
      <c r="BK822" s="1190"/>
      <c r="BL822" s="1190"/>
      <c r="BM822" s="1190"/>
      <c r="BN822" s="1190"/>
      <c r="BO822" s="1190"/>
    </row>
    <row r="823" spans="26:67">
      <c r="Z823" s="1190"/>
      <c r="AA823" s="1190"/>
      <c r="AB823" s="1190"/>
      <c r="AC823" s="1190"/>
      <c r="AD823" s="1190"/>
      <c r="AE823" s="1190"/>
      <c r="AF823" s="1190"/>
      <c r="AG823" s="1190"/>
      <c r="AH823" s="1190"/>
      <c r="AI823" s="1190"/>
      <c r="AJ823" s="1190"/>
      <c r="AK823" s="1190"/>
      <c r="AL823" s="1190"/>
      <c r="AM823" s="1190"/>
      <c r="AN823" s="1190"/>
      <c r="AO823" s="1190"/>
      <c r="AP823" s="1190"/>
      <c r="AQ823" s="1190"/>
      <c r="AR823" s="1190"/>
      <c r="AS823" s="1190"/>
      <c r="AT823" s="1190"/>
      <c r="AU823" s="1190"/>
      <c r="AV823" s="1190"/>
      <c r="AW823" s="1190"/>
      <c r="AX823" s="1190"/>
      <c r="AY823" s="1190"/>
      <c r="AZ823" s="1190"/>
      <c r="BA823" s="1190"/>
      <c r="BB823" s="1190"/>
      <c r="BC823" s="1190"/>
      <c r="BD823" s="1190"/>
      <c r="BE823" s="1190"/>
      <c r="BF823" s="1190"/>
      <c r="BG823" s="1190"/>
      <c r="BH823" s="1190"/>
      <c r="BI823" s="1190"/>
      <c r="BJ823" s="1190"/>
      <c r="BK823" s="1190"/>
      <c r="BL823" s="1190"/>
      <c r="BM823" s="1190"/>
      <c r="BN823" s="1190"/>
      <c r="BO823" s="1190"/>
    </row>
    <row r="824" spans="26:67">
      <c r="Z824" s="1190"/>
      <c r="AA824" s="1190"/>
      <c r="AB824" s="1190"/>
      <c r="AC824" s="1190"/>
      <c r="AD824" s="1190"/>
      <c r="AE824" s="1190"/>
      <c r="AF824" s="1190"/>
      <c r="AG824" s="1190"/>
      <c r="AH824" s="1190"/>
      <c r="AI824" s="1190"/>
      <c r="AJ824" s="1190"/>
      <c r="AK824" s="1190"/>
      <c r="AL824" s="1190"/>
      <c r="AM824" s="1190"/>
      <c r="AN824" s="1190"/>
      <c r="AO824" s="1190"/>
      <c r="AP824" s="1190"/>
      <c r="AQ824" s="1190"/>
      <c r="AR824" s="1190"/>
      <c r="AS824" s="1190"/>
      <c r="AT824" s="1190"/>
      <c r="AU824" s="1190"/>
      <c r="AV824" s="1190"/>
      <c r="AW824" s="1190"/>
      <c r="AX824" s="1190"/>
      <c r="AY824" s="1190"/>
      <c r="AZ824" s="1190"/>
      <c r="BA824" s="1190"/>
      <c r="BB824" s="1190"/>
      <c r="BC824" s="1190"/>
      <c r="BD824" s="1190"/>
      <c r="BE824" s="1190"/>
      <c r="BF824" s="1190"/>
      <c r="BG824" s="1190"/>
      <c r="BH824" s="1190"/>
      <c r="BI824" s="1190"/>
      <c r="BJ824" s="1190"/>
      <c r="BK824" s="1190"/>
      <c r="BL824" s="1190"/>
      <c r="BM824" s="1190"/>
      <c r="BN824" s="1190"/>
      <c r="BO824" s="1190"/>
    </row>
    <row r="825" spans="26:67">
      <c r="Z825" s="1190"/>
      <c r="AA825" s="1190"/>
      <c r="AB825" s="1190"/>
      <c r="AC825" s="1190"/>
      <c r="AD825" s="1190"/>
      <c r="AE825" s="1190"/>
      <c r="AF825" s="1190"/>
      <c r="AG825" s="1190"/>
      <c r="AH825" s="1190"/>
      <c r="AI825" s="1190"/>
      <c r="AJ825" s="1190"/>
      <c r="AK825" s="1190"/>
      <c r="AL825" s="1190"/>
      <c r="AM825" s="1190"/>
      <c r="AN825" s="1190"/>
      <c r="AO825" s="1190"/>
      <c r="AP825" s="1190"/>
      <c r="AQ825" s="1190"/>
      <c r="AR825" s="1190"/>
      <c r="AS825" s="1190"/>
      <c r="AT825" s="1190"/>
      <c r="AU825" s="1190"/>
      <c r="AV825" s="1190"/>
      <c r="AW825" s="1190"/>
      <c r="AX825" s="1190"/>
      <c r="AY825" s="1190"/>
      <c r="AZ825" s="1190"/>
      <c r="BA825" s="1190"/>
      <c r="BB825" s="1190"/>
      <c r="BC825" s="1190"/>
      <c r="BD825" s="1190"/>
      <c r="BE825" s="1190"/>
      <c r="BF825" s="1190"/>
      <c r="BG825" s="1190"/>
      <c r="BH825" s="1190"/>
      <c r="BI825" s="1190"/>
      <c r="BJ825" s="1190"/>
      <c r="BK825" s="1190"/>
      <c r="BL825" s="1190"/>
      <c r="BM825" s="1190"/>
      <c r="BN825" s="1190"/>
      <c r="BO825" s="1190"/>
    </row>
    <row r="826" spans="26:67">
      <c r="Z826" s="1190"/>
      <c r="AA826" s="1190"/>
      <c r="AB826" s="1190"/>
      <c r="AC826" s="1190"/>
      <c r="AD826" s="1190"/>
      <c r="AE826" s="1190"/>
      <c r="AF826" s="1190"/>
      <c r="AG826" s="1190"/>
      <c r="AH826" s="1190"/>
      <c r="AI826" s="1190"/>
      <c r="AJ826" s="1190"/>
      <c r="AK826" s="1190"/>
      <c r="AL826" s="1190"/>
      <c r="AM826" s="1190"/>
      <c r="AN826" s="1190"/>
      <c r="AO826" s="1190"/>
      <c r="AP826" s="1190"/>
      <c r="AQ826" s="1190"/>
      <c r="AR826" s="1190"/>
      <c r="AS826" s="1190"/>
      <c r="AT826" s="1190"/>
      <c r="AU826" s="1190"/>
      <c r="AV826" s="1190"/>
      <c r="AW826" s="1190"/>
      <c r="AX826" s="1190"/>
      <c r="AY826" s="1190"/>
      <c r="AZ826" s="1190"/>
      <c r="BA826" s="1190"/>
      <c r="BB826" s="1190"/>
      <c r="BC826" s="1190"/>
      <c r="BD826" s="1190"/>
      <c r="BE826" s="1190"/>
      <c r="BF826" s="1190"/>
      <c r="BG826" s="1190"/>
      <c r="BH826" s="1190"/>
      <c r="BI826" s="1190"/>
      <c r="BJ826" s="1190"/>
      <c r="BK826" s="1190"/>
      <c r="BL826" s="1190"/>
      <c r="BM826" s="1190"/>
      <c r="BN826" s="1190"/>
      <c r="BO826" s="1190"/>
    </row>
    <row r="827" spans="26:67">
      <c r="Z827" s="1190"/>
      <c r="AA827" s="1190"/>
      <c r="AB827" s="1190"/>
      <c r="AC827" s="1190"/>
      <c r="AD827" s="1190"/>
      <c r="AE827" s="1190"/>
      <c r="AF827" s="1190"/>
      <c r="AG827" s="1190"/>
      <c r="AH827" s="1190"/>
      <c r="AI827" s="1190"/>
      <c r="AJ827" s="1190"/>
      <c r="AK827" s="1190"/>
      <c r="AL827" s="1190"/>
      <c r="AM827" s="1190"/>
      <c r="AN827" s="1190"/>
      <c r="AO827" s="1190"/>
      <c r="AP827" s="1190"/>
      <c r="AQ827" s="1190"/>
      <c r="AR827" s="1190"/>
      <c r="AS827" s="1190"/>
      <c r="AT827" s="1190"/>
      <c r="AU827" s="1190"/>
      <c r="AV827" s="1190"/>
      <c r="AW827" s="1190"/>
      <c r="AX827" s="1190"/>
      <c r="AY827" s="1190"/>
      <c r="AZ827" s="1190"/>
      <c r="BA827" s="1190"/>
      <c r="BB827" s="1190"/>
      <c r="BC827" s="1190"/>
      <c r="BD827" s="1190"/>
      <c r="BE827" s="1190"/>
      <c r="BF827" s="1190"/>
      <c r="BG827" s="1190"/>
      <c r="BH827" s="1190"/>
      <c r="BI827" s="1190"/>
      <c r="BJ827" s="1190"/>
      <c r="BK827" s="1190"/>
      <c r="BL827" s="1190"/>
      <c r="BM827" s="1190"/>
      <c r="BN827" s="1190"/>
      <c r="BO827" s="1190"/>
    </row>
    <row r="828" spans="26:67">
      <c r="Z828" s="1190"/>
      <c r="AA828" s="1190"/>
      <c r="AB828" s="1190"/>
      <c r="AC828" s="1190"/>
      <c r="AD828" s="1190"/>
      <c r="AE828" s="1190"/>
      <c r="AF828" s="1190"/>
      <c r="AG828" s="1190"/>
      <c r="AH828" s="1190"/>
      <c r="AI828" s="1190"/>
      <c r="AJ828" s="1190"/>
      <c r="AK828" s="1190"/>
      <c r="AL828" s="1190"/>
      <c r="AM828" s="1190"/>
      <c r="AN828" s="1190"/>
      <c r="AO828" s="1190"/>
      <c r="AP828" s="1190"/>
      <c r="AQ828" s="1190"/>
      <c r="AR828" s="1190"/>
      <c r="AS828" s="1190"/>
      <c r="AT828" s="1190"/>
      <c r="AU828" s="1190"/>
      <c r="AV828" s="1190"/>
      <c r="AW828" s="1190"/>
      <c r="AX828" s="1190"/>
      <c r="AY828" s="1190"/>
      <c r="AZ828" s="1190"/>
      <c r="BA828" s="1190"/>
      <c r="BB828" s="1190"/>
      <c r="BC828" s="1190"/>
      <c r="BD828" s="1190"/>
      <c r="BE828" s="1190"/>
      <c r="BF828" s="1190"/>
      <c r="BG828" s="1190"/>
      <c r="BH828" s="1190"/>
      <c r="BI828" s="1190"/>
      <c r="BJ828" s="1190"/>
      <c r="BK828" s="1190"/>
      <c r="BL828" s="1190"/>
      <c r="BM828" s="1190"/>
      <c r="BN828" s="1190"/>
      <c r="BO828" s="1190"/>
    </row>
    <row r="829" spans="26:67">
      <c r="Z829" s="1190"/>
      <c r="AA829" s="1190"/>
      <c r="AB829" s="1190"/>
      <c r="AC829" s="1190"/>
      <c r="AD829" s="1190"/>
      <c r="AE829" s="1190"/>
      <c r="AF829" s="1190"/>
      <c r="AG829" s="1190"/>
      <c r="AH829" s="1190"/>
      <c r="AI829" s="1190"/>
      <c r="AJ829" s="1190"/>
      <c r="AK829" s="1190"/>
      <c r="AL829" s="1190"/>
      <c r="AM829" s="1190"/>
      <c r="AN829" s="1190"/>
      <c r="AO829" s="1190"/>
      <c r="AP829" s="1190"/>
      <c r="AQ829" s="1190"/>
      <c r="AR829" s="1190"/>
      <c r="AS829" s="1190"/>
      <c r="AT829" s="1190"/>
      <c r="AU829" s="1190"/>
      <c r="AV829" s="1190"/>
      <c r="AW829" s="1190"/>
      <c r="AX829" s="1190"/>
      <c r="AY829" s="1190"/>
      <c r="AZ829" s="1190"/>
      <c r="BA829" s="1190"/>
      <c r="BB829" s="1190"/>
      <c r="BC829" s="1190"/>
      <c r="BD829" s="1190"/>
      <c r="BE829" s="1190"/>
      <c r="BF829" s="1190"/>
      <c r="BG829" s="1190"/>
      <c r="BH829" s="1190"/>
      <c r="BI829" s="1190"/>
      <c r="BJ829" s="1190"/>
      <c r="BK829" s="1190"/>
      <c r="BL829" s="1190"/>
      <c r="BM829" s="1190"/>
      <c r="BN829" s="1190"/>
      <c r="BO829" s="1190"/>
    </row>
    <row r="830" spans="26:67">
      <c r="Z830" s="1190"/>
      <c r="AA830" s="1190"/>
      <c r="AB830" s="1190"/>
      <c r="AC830" s="1190"/>
      <c r="AD830" s="1190"/>
      <c r="AE830" s="1190"/>
      <c r="AF830" s="1190"/>
      <c r="AG830" s="1190"/>
      <c r="AH830" s="1190"/>
      <c r="AI830" s="1190"/>
      <c r="AJ830" s="1190"/>
      <c r="AK830" s="1190"/>
      <c r="AL830" s="1190"/>
      <c r="AM830" s="1190"/>
      <c r="AN830" s="1190"/>
      <c r="AO830" s="1190"/>
      <c r="AP830" s="1190"/>
      <c r="AQ830" s="1190"/>
      <c r="AR830" s="1190"/>
      <c r="AS830" s="1190"/>
      <c r="AT830" s="1190"/>
      <c r="AU830" s="1190"/>
      <c r="AV830" s="1190"/>
      <c r="AW830" s="1190"/>
      <c r="AX830" s="1190"/>
      <c r="AY830" s="1190"/>
      <c r="AZ830" s="1190"/>
      <c r="BA830" s="1190"/>
      <c r="BB830" s="1190"/>
      <c r="BC830" s="1190"/>
      <c r="BD830" s="1190"/>
      <c r="BE830" s="1190"/>
      <c r="BF830" s="1190"/>
      <c r="BG830" s="1190"/>
      <c r="BH830" s="1190"/>
      <c r="BI830" s="1190"/>
      <c r="BJ830" s="1190"/>
      <c r="BK830" s="1190"/>
      <c r="BL830" s="1190"/>
      <c r="BM830" s="1190"/>
      <c r="BN830" s="1190"/>
      <c r="BO830" s="1190"/>
    </row>
    <row r="831" spans="26:67">
      <c r="Z831" s="1190"/>
      <c r="AA831" s="1190"/>
      <c r="AB831" s="1190"/>
      <c r="AC831" s="1190"/>
      <c r="AD831" s="1190"/>
      <c r="AE831" s="1190"/>
      <c r="AF831" s="1190"/>
      <c r="AG831" s="1190"/>
      <c r="AH831" s="1190"/>
      <c r="AI831" s="1190"/>
      <c r="AJ831" s="1190"/>
      <c r="AK831" s="1190"/>
      <c r="AL831" s="1190"/>
      <c r="AM831" s="1190"/>
      <c r="AN831" s="1190"/>
      <c r="AO831" s="1190"/>
      <c r="AP831" s="1190"/>
      <c r="AQ831" s="1190"/>
      <c r="AR831" s="1190"/>
      <c r="AS831" s="1190"/>
      <c r="AT831" s="1190"/>
      <c r="AU831" s="1190"/>
      <c r="AV831" s="1190"/>
      <c r="AW831" s="1190"/>
      <c r="AX831" s="1190"/>
      <c r="AY831" s="1190"/>
      <c r="AZ831" s="1190"/>
      <c r="BA831" s="1190"/>
      <c r="BB831" s="1190"/>
      <c r="BC831" s="1190"/>
      <c r="BD831" s="1190"/>
      <c r="BE831" s="1190"/>
      <c r="BF831" s="1190"/>
      <c r="BG831" s="1190"/>
      <c r="BH831" s="1190"/>
      <c r="BI831" s="1190"/>
      <c r="BJ831" s="1190"/>
      <c r="BK831" s="1190"/>
      <c r="BL831" s="1190"/>
      <c r="BM831" s="1190"/>
      <c r="BN831" s="1190"/>
      <c r="BO831" s="1190"/>
    </row>
    <row r="832" spans="26:67">
      <c r="Z832" s="1190"/>
      <c r="AA832" s="1190"/>
      <c r="AB832" s="1190"/>
      <c r="AC832" s="1190"/>
      <c r="AD832" s="1190"/>
      <c r="AE832" s="1190"/>
      <c r="AF832" s="1190"/>
      <c r="AG832" s="1190"/>
      <c r="AH832" s="1190"/>
      <c r="AI832" s="1190"/>
      <c r="AJ832" s="1190"/>
      <c r="AK832" s="1190"/>
      <c r="AL832" s="1190"/>
      <c r="AM832" s="1190"/>
      <c r="AN832" s="1190"/>
      <c r="AO832" s="1190"/>
      <c r="AP832" s="1190"/>
      <c r="AQ832" s="1190"/>
      <c r="AR832" s="1190"/>
      <c r="AS832" s="1190"/>
      <c r="AT832" s="1190"/>
      <c r="AU832" s="1190"/>
      <c r="AV832" s="1190"/>
      <c r="AW832" s="1190"/>
      <c r="AX832" s="1190"/>
      <c r="AY832" s="1190"/>
      <c r="AZ832" s="1190"/>
      <c r="BA832" s="1190"/>
      <c r="BB832" s="1190"/>
      <c r="BC832" s="1190"/>
      <c r="BD832" s="1190"/>
      <c r="BE832" s="1190"/>
      <c r="BF832" s="1190"/>
      <c r="BG832" s="1190"/>
      <c r="BH832" s="1190"/>
      <c r="BI832" s="1190"/>
      <c r="BJ832" s="1190"/>
      <c r="BK832" s="1190"/>
      <c r="BL832" s="1190"/>
      <c r="BM832" s="1190"/>
      <c r="BN832" s="1190"/>
      <c r="BO832" s="1190"/>
    </row>
    <row r="833" spans="26:67">
      <c r="Z833" s="1190"/>
      <c r="AA833" s="1190"/>
      <c r="AB833" s="1190"/>
      <c r="AC833" s="1190"/>
      <c r="AD833" s="1190"/>
      <c r="AE833" s="1190"/>
      <c r="AF833" s="1190"/>
      <c r="AG833" s="1190"/>
      <c r="AH833" s="1190"/>
      <c r="AI833" s="1190"/>
      <c r="AJ833" s="1190"/>
      <c r="AK833" s="1190"/>
      <c r="AL833" s="1190"/>
      <c r="AM833" s="1190"/>
      <c r="AN833" s="1190"/>
      <c r="AO833" s="1190"/>
      <c r="AP833" s="1190"/>
      <c r="AQ833" s="1190"/>
      <c r="AR833" s="1190"/>
      <c r="AS833" s="1190"/>
      <c r="AT833" s="1190"/>
      <c r="AU833" s="1190"/>
      <c r="AV833" s="1190"/>
      <c r="AW833" s="1190"/>
      <c r="AX833" s="1190"/>
      <c r="AY833" s="1190"/>
      <c r="AZ833" s="1190"/>
      <c r="BA833" s="1190"/>
      <c r="BB833" s="1190"/>
      <c r="BC833" s="1190"/>
      <c r="BD833" s="1190"/>
      <c r="BE833" s="1190"/>
      <c r="BF833" s="1190"/>
      <c r="BG833" s="1190"/>
      <c r="BH833" s="1190"/>
      <c r="BI833" s="1190"/>
      <c r="BJ833" s="1190"/>
      <c r="BK833" s="1190"/>
      <c r="BL833" s="1190"/>
      <c r="BM833" s="1190"/>
      <c r="BN833" s="1190"/>
      <c r="BO833" s="1190"/>
    </row>
    <row r="834" spans="26:67">
      <c r="Z834" s="1190"/>
      <c r="AA834" s="1190"/>
      <c r="AB834" s="1190"/>
      <c r="AC834" s="1190"/>
      <c r="AD834" s="1190"/>
      <c r="AE834" s="1190"/>
      <c r="AF834" s="1190"/>
      <c r="AG834" s="1190"/>
      <c r="AH834" s="1190"/>
      <c r="AI834" s="1190"/>
      <c r="AJ834" s="1190"/>
      <c r="AK834" s="1190"/>
      <c r="AL834" s="1190"/>
      <c r="AM834" s="1190"/>
      <c r="AN834" s="1190"/>
      <c r="AO834" s="1190"/>
      <c r="AP834" s="1190"/>
      <c r="AQ834" s="1190"/>
      <c r="AR834" s="1190"/>
      <c r="AS834" s="1190"/>
      <c r="AT834" s="1190"/>
      <c r="AU834" s="1190"/>
      <c r="AV834" s="1190"/>
      <c r="AW834" s="1190"/>
      <c r="AX834" s="1190"/>
      <c r="AY834" s="1190"/>
      <c r="AZ834" s="1190"/>
      <c r="BA834" s="1190"/>
      <c r="BB834" s="1190"/>
      <c r="BC834" s="1190"/>
      <c r="BD834" s="1190"/>
      <c r="BE834" s="1190"/>
      <c r="BF834" s="1190"/>
      <c r="BG834" s="1190"/>
      <c r="BH834" s="1190"/>
      <c r="BI834" s="1190"/>
      <c r="BJ834" s="1190"/>
      <c r="BK834" s="1190"/>
      <c r="BL834" s="1190"/>
      <c r="BM834" s="1190"/>
      <c r="BN834" s="1190"/>
      <c r="BO834" s="1190"/>
    </row>
    <row r="835" spans="26:67">
      <c r="Z835" s="1190"/>
      <c r="AA835" s="1190"/>
      <c r="AB835" s="1190"/>
      <c r="AC835" s="1190"/>
      <c r="AD835" s="1190"/>
      <c r="AE835" s="1190"/>
      <c r="AF835" s="1190"/>
      <c r="AG835" s="1190"/>
      <c r="AH835" s="1190"/>
      <c r="AI835" s="1190"/>
      <c r="AJ835" s="1190"/>
      <c r="AK835" s="1190"/>
      <c r="AL835" s="1190"/>
      <c r="AM835" s="1190"/>
      <c r="AN835" s="1190"/>
      <c r="AO835" s="1190"/>
      <c r="AP835" s="1190"/>
      <c r="AQ835" s="1190"/>
      <c r="AR835" s="1190"/>
      <c r="AS835" s="1190"/>
      <c r="AT835" s="1190"/>
      <c r="AU835" s="1190"/>
      <c r="AV835" s="1190"/>
      <c r="AW835" s="1190"/>
      <c r="AX835" s="1190"/>
      <c r="AY835" s="1190"/>
      <c r="AZ835" s="1190"/>
      <c r="BA835" s="1190"/>
      <c r="BB835" s="1190"/>
      <c r="BC835" s="1190"/>
      <c r="BD835" s="1190"/>
      <c r="BE835" s="1190"/>
      <c r="BF835" s="1190"/>
      <c r="BG835" s="1190"/>
      <c r="BH835" s="1190"/>
      <c r="BI835" s="1190"/>
      <c r="BJ835" s="1190"/>
      <c r="BK835" s="1190"/>
      <c r="BL835" s="1190"/>
      <c r="BM835" s="1190"/>
      <c r="BN835" s="1190"/>
      <c r="BO835" s="1190"/>
    </row>
    <row r="836" spans="26:67">
      <c r="Z836" s="1190"/>
      <c r="AA836" s="1190"/>
      <c r="AB836" s="1190"/>
      <c r="AC836" s="1190"/>
      <c r="AD836" s="1190"/>
      <c r="AE836" s="1190"/>
      <c r="AF836" s="1190"/>
      <c r="AG836" s="1190"/>
      <c r="AH836" s="1190"/>
      <c r="AI836" s="1190"/>
      <c r="AJ836" s="1190"/>
      <c r="AK836" s="1190"/>
      <c r="AL836" s="1190"/>
      <c r="AM836" s="1190"/>
      <c r="AN836" s="1190"/>
      <c r="AO836" s="1190"/>
      <c r="AP836" s="1190"/>
      <c r="AQ836" s="1190"/>
      <c r="AR836" s="1190"/>
      <c r="AS836" s="1190"/>
      <c r="AT836" s="1190"/>
      <c r="AU836" s="1190"/>
      <c r="AV836" s="1190"/>
      <c r="AW836" s="1190"/>
      <c r="AX836" s="1190"/>
      <c r="AY836" s="1190"/>
      <c r="AZ836" s="1190"/>
      <c r="BA836" s="1190"/>
      <c r="BB836" s="1190"/>
      <c r="BC836" s="1190"/>
      <c r="BD836" s="1190"/>
      <c r="BE836" s="1190"/>
      <c r="BF836" s="1190"/>
      <c r="BG836" s="1190"/>
      <c r="BH836" s="1190"/>
      <c r="BI836" s="1190"/>
      <c r="BJ836" s="1190"/>
      <c r="BK836" s="1190"/>
      <c r="BL836" s="1190"/>
      <c r="BM836" s="1190"/>
      <c r="BN836" s="1190"/>
      <c r="BO836" s="1190"/>
    </row>
    <row r="837" spans="26:67">
      <c r="Z837" s="1190"/>
      <c r="AA837" s="1190"/>
      <c r="AB837" s="1190"/>
      <c r="AC837" s="1190"/>
      <c r="AD837" s="1190"/>
      <c r="AE837" s="1190"/>
      <c r="AF837" s="1190"/>
      <c r="AG837" s="1190"/>
      <c r="AH837" s="1190"/>
      <c r="AI837" s="1190"/>
      <c r="AJ837" s="1190"/>
      <c r="AK837" s="1190"/>
      <c r="AL837" s="1190"/>
      <c r="AM837" s="1190"/>
      <c r="AN837" s="1190"/>
      <c r="AO837" s="1190"/>
      <c r="AP837" s="1190"/>
      <c r="AQ837" s="1190"/>
      <c r="AR837" s="1190"/>
      <c r="AS837" s="1190"/>
      <c r="AT837" s="1190"/>
      <c r="AU837" s="1190"/>
      <c r="AV837" s="1190"/>
      <c r="AW837" s="1190"/>
      <c r="AX837" s="1190"/>
      <c r="AY837" s="1190"/>
      <c r="AZ837" s="1190"/>
      <c r="BA837" s="1190"/>
      <c r="BB837" s="1190"/>
      <c r="BC837" s="1190"/>
      <c r="BD837" s="1190"/>
      <c r="BE837" s="1190"/>
      <c r="BF837" s="1190"/>
      <c r="BG837" s="1190"/>
      <c r="BH837" s="1190"/>
      <c r="BI837" s="1190"/>
      <c r="BJ837" s="1190"/>
      <c r="BK837" s="1190"/>
      <c r="BL837" s="1190"/>
      <c r="BM837" s="1190"/>
      <c r="BN837" s="1190"/>
      <c r="BO837" s="1190"/>
    </row>
    <row r="838" spans="26:67">
      <c r="Z838" s="1190"/>
      <c r="AA838" s="1190"/>
      <c r="AB838" s="1190"/>
      <c r="AC838" s="1190"/>
      <c r="AD838" s="1190"/>
      <c r="AE838" s="1190"/>
      <c r="AF838" s="1190"/>
      <c r="AG838" s="1190"/>
      <c r="AH838" s="1190"/>
      <c r="AI838" s="1190"/>
      <c r="AJ838" s="1190"/>
      <c r="AK838" s="1190"/>
      <c r="AL838" s="1190"/>
      <c r="AM838" s="1190"/>
      <c r="AN838" s="1190"/>
      <c r="AO838" s="1190"/>
      <c r="AP838" s="1190"/>
      <c r="AQ838" s="1190"/>
      <c r="AR838" s="1190"/>
      <c r="AS838" s="1190"/>
      <c r="AT838" s="1190"/>
      <c r="AU838" s="1190"/>
      <c r="AV838" s="1190"/>
      <c r="AW838" s="1190"/>
      <c r="AX838" s="1190"/>
      <c r="AY838" s="1190"/>
      <c r="AZ838" s="1190"/>
      <c r="BA838" s="1190"/>
      <c r="BB838" s="1190"/>
      <c r="BC838" s="1190"/>
      <c r="BD838" s="1190"/>
      <c r="BE838" s="1190"/>
      <c r="BF838" s="1190"/>
      <c r="BG838" s="1190"/>
      <c r="BH838" s="1190"/>
      <c r="BI838" s="1190"/>
      <c r="BJ838" s="1190"/>
      <c r="BK838" s="1190"/>
      <c r="BL838" s="1190"/>
      <c r="BM838" s="1190"/>
      <c r="BN838" s="1190"/>
      <c r="BO838" s="1190"/>
    </row>
    <row r="839" spans="26:67">
      <c r="Z839" s="1190"/>
      <c r="AA839" s="1190"/>
      <c r="AB839" s="1190"/>
      <c r="AC839" s="1190"/>
      <c r="AD839" s="1190"/>
      <c r="AE839" s="1190"/>
      <c r="AF839" s="1190"/>
      <c r="AG839" s="1190"/>
      <c r="AH839" s="1190"/>
      <c r="AI839" s="1190"/>
      <c r="AJ839" s="1190"/>
      <c r="AK839" s="1190"/>
      <c r="AL839" s="1190"/>
      <c r="AM839" s="1190"/>
      <c r="AN839" s="1190"/>
      <c r="AO839" s="1190"/>
      <c r="AP839" s="1190"/>
      <c r="AQ839" s="1190"/>
      <c r="AR839" s="1190"/>
      <c r="AS839" s="1190"/>
      <c r="AT839" s="1190"/>
      <c r="AU839" s="1190"/>
      <c r="AV839" s="1190"/>
      <c r="AW839" s="1190"/>
      <c r="AX839" s="1190"/>
      <c r="AY839" s="1190"/>
      <c r="AZ839" s="1190"/>
      <c r="BA839" s="1190"/>
      <c r="BB839" s="1190"/>
      <c r="BC839" s="1190"/>
      <c r="BD839" s="1190"/>
      <c r="BE839" s="1190"/>
      <c r="BF839" s="1190"/>
      <c r="BG839" s="1190"/>
      <c r="BH839" s="1190"/>
      <c r="BI839" s="1190"/>
      <c r="BJ839" s="1190"/>
      <c r="BK839" s="1190"/>
      <c r="BL839" s="1190"/>
      <c r="BM839" s="1190"/>
      <c r="BN839" s="1190"/>
      <c r="BO839" s="1190"/>
    </row>
    <row r="840" spans="26:67">
      <c r="Z840" s="1190"/>
      <c r="AA840" s="1190"/>
      <c r="AB840" s="1190"/>
      <c r="AC840" s="1190"/>
      <c r="AD840" s="1190"/>
      <c r="AE840" s="1190"/>
      <c r="AF840" s="1190"/>
      <c r="AG840" s="1190"/>
      <c r="AH840" s="1190"/>
      <c r="AI840" s="1190"/>
      <c r="AJ840" s="1190"/>
      <c r="AK840" s="1190"/>
      <c r="AL840" s="1190"/>
      <c r="AM840" s="1190"/>
      <c r="AN840" s="1190"/>
      <c r="AO840" s="1190"/>
      <c r="AP840" s="1190"/>
      <c r="AQ840" s="1190"/>
      <c r="AR840" s="1190"/>
      <c r="AS840" s="1190"/>
      <c r="AT840" s="1190"/>
      <c r="AU840" s="1190"/>
      <c r="AV840" s="1190"/>
      <c r="AW840" s="1190"/>
      <c r="AX840" s="1190"/>
      <c r="AY840" s="1190"/>
      <c r="AZ840" s="1190"/>
      <c r="BA840" s="1190"/>
      <c r="BB840" s="1190"/>
      <c r="BC840" s="1190"/>
      <c r="BD840" s="1190"/>
      <c r="BE840" s="1190"/>
      <c r="BF840" s="1190"/>
      <c r="BG840" s="1190"/>
      <c r="BH840" s="1190"/>
      <c r="BI840" s="1190"/>
      <c r="BJ840" s="1190"/>
      <c r="BK840" s="1190"/>
      <c r="BL840" s="1190"/>
      <c r="BM840" s="1190"/>
      <c r="BN840" s="1190"/>
      <c r="BO840" s="1190"/>
    </row>
    <row r="841" spans="26:67">
      <c r="Z841" s="1190"/>
      <c r="AA841" s="1190"/>
      <c r="AB841" s="1190"/>
      <c r="AC841" s="1190"/>
      <c r="AD841" s="1190"/>
      <c r="AE841" s="1190"/>
      <c r="AF841" s="1190"/>
      <c r="AG841" s="1190"/>
      <c r="AH841" s="1190"/>
      <c r="AI841" s="1190"/>
      <c r="AJ841" s="1190"/>
      <c r="AK841" s="1190"/>
      <c r="AL841" s="1190"/>
      <c r="AM841" s="1190"/>
      <c r="AN841" s="1190"/>
      <c r="AO841" s="1190"/>
      <c r="AP841" s="1190"/>
      <c r="AQ841" s="1190"/>
      <c r="AR841" s="1190"/>
      <c r="AS841" s="1190"/>
      <c r="AT841" s="1190"/>
      <c r="AU841" s="1190"/>
      <c r="AV841" s="1190"/>
      <c r="AW841" s="1190"/>
      <c r="AX841" s="1190"/>
      <c r="AY841" s="1190"/>
      <c r="AZ841" s="1190"/>
      <c r="BA841" s="1190"/>
      <c r="BB841" s="1190"/>
      <c r="BC841" s="1190"/>
      <c r="BD841" s="1190"/>
      <c r="BE841" s="1190"/>
      <c r="BF841" s="1190"/>
      <c r="BG841" s="1190"/>
      <c r="BH841" s="1190"/>
      <c r="BI841" s="1190"/>
      <c r="BJ841" s="1190"/>
      <c r="BK841" s="1190"/>
      <c r="BL841" s="1190"/>
      <c r="BM841" s="1190"/>
      <c r="BN841" s="1190"/>
      <c r="BO841" s="1190"/>
    </row>
    <row r="842" spans="26:67">
      <c r="Z842" s="1190"/>
      <c r="AA842" s="1190"/>
      <c r="AB842" s="1190"/>
      <c r="AC842" s="1190"/>
      <c r="AD842" s="1190"/>
      <c r="AE842" s="1190"/>
      <c r="AF842" s="1190"/>
      <c r="AG842" s="1190"/>
      <c r="AH842" s="1190"/>
      <c r="AI842" s="1190"/>
      <c r="AJ842" s="1190"/>
      <c r="AK842" s="1190"/>
      <c r="AL842" s="1190"/>
      <c r="AM842" s="1190"/>
      <c r="AN842" s="1190"/>
      <c r="AO842" s="1190"/>
      <c r="AP842" s="1190"/>
      <c r="AQ842" s="1190"/>
      <c r="AR842" s="1190"/>
      <c r="AS842" s="1190"/>
      <c r="AT842" s="1190"/>
      <c r="AU842" s="1190"/>
      <c r="AV842" s="1190"/>
      <c r="AW842" s="1190"/>
      <c r="AX842" s="1190"/>
      <c r="AY842" s="1190"/>
      <c r="AZ842" s="1190"/>
      <c r="BA842" s="1190"/>
      <c r="BB842" s="1190"/>
      <c r="BC842" s="1190"/>
      <c r="BD842" s="1190"/>
      <c r="BE842" s="1190"/>
      <c r="BF842" s="1190"/>
      <c r="BG842" s="1190"/>
      <c r="BH842" s="1190"/>
      <c r="BI842" s="1190"/>
      <c r="BJ842" s="1190"/>
      <c r="BK842" s="1190"/>
      <c r="BL842" s="1190"/>
      <c r="BM842" s="1190"/>
      <c r="BN842" s="1190"/>
      <c r="BO842" s="1190"/>
    </row>
    <row r="843" spans="26:67">
      <c r="Z843" s="1190"/>
      <c r="AA843" s="1190"/>
      <c r="AB843" s="1190"/>
      <c r="AC843" s="1190"/>
      <c r="AD843" s="1190"/>
      <c r="AE843" s="1190"/>
      <c r="AF843" s="1190"/>
      <c r="AG843" s="1190"/>
      <c r="AH843" s="1190"/>
      <c r="AI843" s="1190"/>
      <c r="AJ843" s="1190"/>
      <c r="AK843" s="1190"/>
      <c r="AL843" s="1190"/>
      <c r="AM843" s="1190"/>
      <c r="AN843" s="1190"/>
      <c r="AO843" s="1190"/>
      <c r="AP843" s="1190"/>
      <c r="AQ843" s="1190"/>
      <c r="AR843" s="1190"/>
      <c r="AS843" s="1190"/>
      <c r="AT843" s="1190"/>
      <c r="AU843" s="1190"/>
      <c r="AV843" s="1190"/>
      <c r="AW843" s="1190"/>
      <c r="AX843" s="1190"/>
      <c r="AY843" s="1190"/>
      <c r="AZ843" s="1190"/>
      <c r="BA843" s="1190"/>
      <c r="BB843" s="1190"/>
      <c r="BC843" s="1190"/>
      <c r="BD843" s="1190"/>
      <c r="BE843" s="1190"/>
      <c r="BF843" s="1190"/>
      <c r="BG843" s="1190"/>
      <c r="BH843" s="1190"/>
      <c r="BI843" s="1190"/>
      <c r="BJ843" s="1190"/>
      <c r="BK843" s="1190"/>
      <c r="BL843" s="1190"/>
      <c r="BM843" s="1190"/>
      <c r="BN843" s="1190"/>
      <c r="BO843" s="1190"/>
    </row>
    <row r="844" spans="26:67">
      <c r="Z844" s="1190"/>
      <c r="AA844" s="1190"/>
      <c r="AB844" s="1190"/>
      <c r="AC844" s="1190"/>
      <c r="AD844" s="1190"/>
      <c r="AE844" s="1190"/>
      <c r="AF844" s="1190"/>
      <c r="AG844" s="1190"/>
      <c r="AH844" s="1190"/>
      <c r="AI844" s="1190"/>
      <c r="AJ844" s="1190"/>
      <c r="AK844" s="1190"/>
      <c r="AL844" s="1190"/>
      <c r="AM844" s="1190"/>
      <c r="AN844" s="1190"/>
      <c r="AO844" s="1190"/>
      <c r="AP844" s="1190"/>
      <c r="AQ844" s="1190"/>
      <c r="AR844" s="1190"/>
      <c r="AS844" s="1190"/>
      <c r="AT844" s="1190"/>
      <c r="AU844" s="1190"/>
      <c r="AV844" s="1190"/>
      <c r="AW844" s="1190"/>
      <c r="AX844" s="1190"/>
      <c r="AY844" s="1190"/>
      <c r="AZ844" s="1190"/>
      <c r="BA844" s="1190"/>
      <c r="BB844" s="1190"/>
      <c r="BC844" s="1190"/>
      <c r="BD844" s="1190"/>
      <c r="BE844" s="1190"/>
      <c r="BF844" s="1190"/>
      <c r="BG844" s="1190"/>
      <c r="BH844" s="1190"/>
      <c r="BI844" s="1190"/>
      <c r="BJ844" s="1190"/>
      <c r="BK844" s="1190"/>
      <c r="BL844" s="1190"/>
      <c r="BM844" s="1190"/>
      <c r="BN844" s="1190"/>
      <c r="BO844" s="1190"/>
    </row>
    <row r="845" spans="26:67">
      <c r="Z845" s="1190"/>
      <c r="AA845" s="1190"/>
      <c r="AB845" s="1190"/>
      <c r="AC845" s="1190"/>
      <c r="AD845" s="1190"/>
      <c r="AE845" s="1190"/>
      <c r="AF845" s="1190"/>
      <c r="AG845" s="1190"/>
      <c r="AH845" s="1190"/>
      <c r="AI845" s="1190"/>
      <c r="AJ845" s="1190"/>
      <c r="AK845" s="1190"/>
      <c r="AL845" s="1190"/>
      <c r="AM845" s="1190"/>
      <c r="AN845" s="1190"/>
      <c r="AO845" s="1190"/>
      <c r="AP845" s="1190"/>
      <c r="AQ845" s="1190"/>
      <c r="AR845" s="1190"/>
      <c r="AS845" s="1190"/>
      <c r="AT845" s="1190"/>
      <c r="AU845" s="1190"/>
      <c r="AV845" s="1190"/>
      <c r="AW845" s="1190"/>
      <c r="AX845" s="1190"/>
      <c r="AY845" s="1190"/>
      <c r="AZ845" s="1190"/>
      <c r="BA845" s="1190"/>
      <c r="BB845" s="1190"/>
      <c r="BC845" s="1190"/>
      <c r="BD845" s="1190"/>
      <c r="BE845" s="1190"/>
      <c r="BF845" s="1190"/>
      <c r="BG845" s="1190"/>
      <c r="BH845" s="1190"/>
      <c r="BI845" s="1190"/>
      <c r="BJ845" s="1190"/>
      <c r="BK845" s="1190"/>
      <c r="BL845" s="1190"/>
      <c r="BM845" s="1190"/>
      <c r="BN845" s="1190"/>
      <c r="BO845" s="1190"/>
    </row>
    <row r="846" spans="26:67">
      <c r="Z846" s="1190"/>
      <c r="AA846" s="1190"/>
      <c r="AB846" s="1190"/>
      <c r="AC846" s="1190"/>
      <c r="AD846" s="1190"/>
      <c r="AE846" s="1190"/>
      <c r="AF846" s="1190"/>
      <c r="AG846" s="1190"/>
      <c r="AH846" s="1190"/>
      <c r="AI846" s="1190"/>
      <c r="AJ846" s="1190"/>
      <c r="AK846" s="1190"/>
      <c r="AL846" s="1190"/>
      <c r="AM846" s="1190"/>
      <c r="AN846" s="1190"/>
      <c r="AO846" s="1190"/>
      <c r="AP846" s="1190"/>
      <c r="AQ846" s="1190"/>
      <c r="AR846" s="1190"/>
      <c r="AS846" s="1190"/>
      <c r="AT846" s="1190"/>
      <c r="AU846" s="1190"/>
      <c r="AV846" s="1190"/>
      <c r="AW846" s="1190"/>
      <c r="AX846" s="1190"/>
      <c r="AY846" s="1190"/>
      <c r="AZ846" s="1190"/>
      <c r="BA846" s="1190"/>
      <c r="BB846" s="1190"/>
      <c r="BC846" s="1190"/>
      <c r="BD846" s="1190"/>
      <c r="BE846" s="1190"/>
      <c r="BF846" s="1190"/>
      <c r="BG846" s="1190"/>
      <c r="BH846" s="1190"/>
      <c r="BI846" s="1190"/>
      <c r="BJ846" s="1190"/>
      <c r="BK846" s="1190"/>
      <c r="BL846" s="1190"/>
      <c r="BM846" s="1190"/>
      <c r="BN846" s="1190"/>
      <c r="BO846" s="1190"/>
    </row>
    <row r="847" spans="26:67">
      <c r="Z847" s="1190"/>
      <c r="AA847" s="1190"/>
      <c r="AB847" s="1190"/>
      <c r="AC847" s="1190"/>
      <c r="AD847" s="1190"/>
      <c r="AE847" s="1190"/>
      <c r="AF847" s="1190"/>
      <c r="AG847" s="1190"/>
      <c r="AH847" s="1190"/>
      <c r="AI847" s="1190"/>
      <c r="AJ847" s="1190"/>
      <c r="AK847" s="1190"/>
      <c r="AL847" s="1190"/>
      <c r="AM847" s="1190"/>
      <c r="AN847" s="1190"/>
      <c r="AO847" s="1190"/>
      <c r="AP847" s="1190"/>
      <c r="AQ847" s="1190"/>
      <c r="AR847" s="1190"/>
      <c r="AS847" s="1190"/>
      <c r="AT847" s="1190"/>
      <c r="AU847" s="1190"/>
      <c r="AV847" s="1190"/>
      <c r="AW847" s="1190"/>
      <c r="AX847" s="1190"/>
      <c r="AY847" s="1190"/>
      <c r="AZ847" s="1190"/>
      <c r="BA847" s="1190"/>
      <c r="BB847" s="1190"/>
      <c r="BC847" s="1190"/>
      <c r="BD847" s="1190"/>
      <c r="BE847" s="1190"/>
      <c r="BF847" s="1190"/>
      <c r="BG847" s="1190"/>
      <c r="BH847" s="1190"/>
      <c r="BI847" s="1190"/>
      <c r="BJ847" s="1190"/>
      <c r="BK847" s="1190"/>
      <c r="BL847" s="1190"/>
      <c r="BM847" s="1190"/>
      <c r="BN847" s="1190"/>
      <c r="BO847" s="1190"/>
    </row>
    <row r="848" spans="26:67">
      <c r="Z848" s="1190"/>
      <c r="AA848" s="1190"/>
      <c r="AB848" s="1190"/>
      <c r="AC848" s="1190"/>
      <c r="AD848" s="1190"/>
      <c r="AE848" s="1190"/>
      <c r="AF848" s="1190"/>
      <c r="AG848" s="1190"/>
      <c r="AH848" s="1190"/>
      <c r="AI848" s="1190"/>
      <c r="AJ848" s="1190"/>
      <c r="AK848" s="1190"/>
      <c r="AL848" s="1190"/>
      <c r="AM848" s="1190"/>
      <c r="AN848" s="1190"/>
      <c r="AO848" s="1190"/>
      <c r="AP848" s="1190"/>
      <c r="AQ848" s="1190"/>
      <c r="AR848" s="1190"/>
      <c r="AS848" s="1190"/>
      <c r="AT848" s="1190"/>
      <c r="AU848" s="1190"/>
      <c r="AV848" s="1190"/>
      <c r="AW848" s="1190"/>
      <c r="AX848" s="1190"/>
      <c r="AY848" s="1190"/>
      <c r="AZ848" s="1190"/>
      <c r="BA848" s="1190"/>
      <c r="BB848" s="1190"/>
      <c r="BC848" s="1190"/>
      <c r="BD848" s="1190"/>
      <c r="BE848" s="1190"/>
      <c r="BF848" s="1190"/>
      <c r="BG848" s="1190"/>
      <c r="BH848" s="1190"/>
      <c r="BI848" s="1190"/>
      <c r="BJ848" s="1190"/>
      <c r="BK848" s="1190"/>
      <c r="BL848" s="1190"/>
      <c r="BM848" s="1190"/>
      <c r="BN848" s="1190"/>
      <c r="BO848" s="1190"/>
    </row>
    <row r="849" spans="26:67">
      <c r="Z849" s="1190"/>
      <c r="AA849" s="1190"/>
      <c r="AB849" s="1190"/>
      <c r="AC849" s="1190"/>
      <c r="AD849" s="1190"/>
      <c r="AE849" s="1190"/>
      <c r="AF849" s="1190"/>
      <c r="AG849" s="1190"/>
      <c r="AH849" s="1190"/>
      <c r="AI849" s="1190"/>
      <c r="AJ849" s="1190"/>
      <c r="AK849" s="1190"/>
      <c r="AL849" s="1190"/>
      <c r="AM849" s="1190"/>
      <c r="AN849" s="1190"/>
      <c r="AO849" s="1190"/>
      <c r="AP849" s="1190"/>
      <c r="AQ849" s="1190"/>
      <c r="AR849" s="1190"/>
      <c r="AS849" s="1190"/>
      <c r="AT849" s="1190"/>
      <c r="AU849" s="1190"/>
      <c r="AV849" s="1190"/>
      <c r="AW849" s="1190"/>
      <c r="AX849" s="1190"/>
      <c r="AY849" s="1190"/>
      <c r="AZ849" s="1190"/>
      <c r="BA849" s="1190"/>
      <c r="BB849" s="1190"/>
      <c r="BC849" s="1190"/>
      <c r="BD849" s="1190"/>
      <c r="BE849" s="1190"/>
      <c r="BF849" s="1190"/>
      <c r="BG849" s="1190"/>
      <c r="BH849" s="1190"/>
      <c r="BI849" s="1190"/>
      <c r="BJ849" s="1190"/>
      <c r="BK849" s="1190"/>
      <c r="BL849" s="1190"/>
      <c r="BM849" s="1190"/>
      <c r="BN849" s="1190"/>
      <c r="BO849" s="1190"/>
    </row>
    <row r="850" spans="26:67">
      <c r="Z850" s="1190"/>
      <c r="AA850" s="1190"/>
      <c r="AB850" s="1190"/>
      <c r="AC850" s="1190"/>
      <c r="AD850" s="1190"/>
      <c r="AE850" s="1190"/>
      <c r="AF850" s="1190"/>
      <c r="AG850" s="1190"/>
      <c r="AH850" s="1190"/>
      <c r="AI850" s="1190"/>
      <c r="AJ850" s="1190"/>
      <c r="AK850" s="1190"/>
      <c r="AL850" s="1190"/>
      <c r="AM850" s="1190"/>
      <c r="AN850" s="1190"/>
      <c r="AO850" s="1190"/>
      <c r="AP850" s="1190"/>
      <c r="AQ850" s="1190"/>
      <c r="AR850" s="1190"/>
      <c r="AS850" s="1190"/>
      <c r="AT850" s="1190"/>
      <c r="AU850" s="1190"/>
      <c r="AV850" s="1190"/>
      <c r="AW850" s="1190"/>
      <c r="AX850" s="1190"/>
      <c r="AY850" s="1190"/>
      <c r="AZ850" s="1190"/>
      <c r="BA850" s="1190"/>
      <c r="BB850" s="1190"/>
      <c r="BC850" s="1190"/>
      <c r="BD850" s="1190"/>
      <c r="BE850" s="1190"/>
      <c r="BF850" s="1190"/>
      <c r="BG850" s="1190"/>
      <c r="BH850" s="1190"/>
      <c r="BI850" s="1190"/>
      <c r="BJ850" s="1190"/>
      <c r="BK850" s="1190"/>
      <c r="BL850" s="1190"/>
      <c r="BM850" s="1190"/>
      <c r="BN850" s="1190"/>
      <c r="BO850" s="1190"/>
    </row>
    <row r="851" spans="26:67">
      <c r="Z851" s="1190"/>
      <c r="AA851" s="1190"/>
      <c r="AB851" s="1190"/>
      <c r="AC851" s="1190"/>
      <c r="AD851" s="1190"/>
      <c r="AE851" s="1190"/>
      <c r="AF851" s="1190"/>
      <c r="AG851" s="1190"/>
      <c r="AH851" s="1190"/>
      <c r="AI851" s="1190"/>
      <c r="AJ851" s="1190"/>
      <c r="AK851" s="1190"/>
      <c r="AL851" s="1190"/>
      <c r="AM851" s="1190"/>
      <c r="AN851" s="1190"/>
      <c r="AO851" s="1190"/>
      <c r="AP851" s="1190"/>
      <c r="AQ851" s="1190"/>
      <c r="AR851" s="1190"/>
      <c r="AS851" s="1190"/>
      <c r="AT851" s="1190"/>
      <c r="AU851" s="1190"/>
      <c r="AV851" s="1190"/>
      <c r="AW851" s="1190"/>
      <c r="AX851" s="1190"/>
      <c r="AY851" s="1190"/>
      <c r="AZ851" s="1190"/>
      <c r="BA851" s="1190"/>
      <c r="BB851" s="1190"/>
      <c r="BC851" s="1190"/>
      <c r="BD851" s="1190"/>
      <c r="BE851" s="1190"/>
      <c r="BF851" s="1190"/>
      <c r="BG851" s="1190"/>
      <c r="BH851" s="1190"/>
      <c r="BI851" s="1190"/>
      <c r="BJ851" s="1190"/>
      <c r="BK851" s="1190"/>
      <c r="BL851" s="1190"/>
      <c r="BM851" s="1190"/>
      <c r="BN851" s="1190"/>
      <c r="BO851" s="1190"/>
    </row>
    <row r="852" spans="26:67">
      <c r="Z852" s="1190"/>
      <c r="AA852" s="1190"/>
      <c r="AB852" s="1190"/>
      <c r="AC852" s="1190"/>
      <c r="AD852" s="1190"/>
      <c r="AE852" s="1190"/>
      <c r="AF852" s="1190"/>
      <c r="AG852" s="1190"/>
      <c r="AH852" s="1190"/>
      <c r="AI852" s="1190"/>
      <c r="AJ852" s="1190"/>
      <c r="AK852" s="1190"/>
      <c r="AL852" s="1190"/>
      <c r="AM852" s="1190"/>
      <c r="AN852" s="1190"/>
      <c r="AO852" s="1190"/>
      <c r="AP852" s="1190"/>
      <c r="AQ852" s="1190"/>
      <c r="AR852" s="1190"/>
      <c r="AS852" s="1190"/>
      <c r="AT852" s="1190"/>
      <c r="AU852" s="1190"/>
      <c r="AV852" s="1190"/>
      <c r="AW852" s="1190"/>
      <c r="AX852" s="1190"/>
      <c r="AY852" s="1190"/>
      <c r="AZ852" s="1190"/>
      <c r="BA852" s="1190"/>
      <c r="BB852" s="1190"/>
      <c r="BC852" s="1190"/>
      <c r="BD852" s="1190"/>
      <c r="BE852" s="1190"/>
      <c r="BF852" s="1190"/>
      <c r="BG852" s="1190"/>
      <c r="BH852" s="1190"/>
      <c r="BI852" s="1190"/>
      <c r="BJ852" s="1190"/>
      <c r="BK852" s="1190"/>
      <c r="BL852" s="1190"/>
      <c r="BM852" s="1190"/>
      <c r="BN852" s="1190"/>
      <c r="BO852" s="1190"/>
    </row>
    <row r="853" spans="26:67">
      <c r="Z853" s="1190"/>
      <c r="AA853" s="1190"/>
      <c r="AB853" s="1190"/>
      <c r="AC853" s="1190"/>
      <c r="AD853" s="1190"/>
      <c r="AE853" s="1190"/>
      <c r="AF853" s="1190"/>
      <c r="AG853" s="1190"/>
      <c r="AH853" s="1190"/>
      <c r="AI853" s="1190"/>
      <c r="AJ853" s="1190"/>
      <c r="AK853" s="1190"/>
      <c r="AL853" s="1190"/>
      <c r="AM853" s="1190"/>
      <c r="AN853" s="1190"/>
      <c r="AO853" s="1190"/>
      <c r="AP853" s="1190"/>
      <c r="AQ853" s="1190"/>
      <c r="AR853" s="1190"/>
      <c r="AS853" s="1190"/>
      <c r="AT853" s="1190"/>
      <c r="AU853" s="1190"/>
      <c r="AV853" s="1190"/>
      <c r="AW853" s="1190"/>
      <c r="AX853" s="1190"/>
      <c r="AY853" s="1190"/>
      <c r="AZ853" s="1190"/>
      <c r="BA853" s="1190"/>
      <c r="BB853" s="1190"/>
      <c r="BC853" s="1190"/>
      <c r="BD853" s="1190"/>
      <c r="BE853" s="1190"/>
      <c r="BF853" s="1190"/>
      <c r="BG853" s="1190"/>
      <c r="BH853" s="1190"/>
      <c r="BI853" s="1190"/>
      <c r="BJ853" s="1190"/>
      <c r="BK853" s="1190"/>
      <c r="BL853" s="1190"/>
      <c r="BM853" s="1190"/>
      <c r="BN853" s="1190"/>
      <c r="BO853" s="1190"/>
    </row>
    <row r="854" spans="26:67">
      <c r="Z854" s="1190"/>
      <c r="AA854" s="1190"/>
      <c r="AB854" s="1190"/>
      <c r="AC854" s="1190"/>
      <c r="AD854" s="1190"/>
      <c r="AE854" s="1190"/>
      <c r="AF854" s="1190"/>
      <c r="AG854" s="1190"/>
      <c r="AH854" s="1190"/>
      <c r="AI854" s="1190"/>
      <c r="AJ854" s="1190"/>
      <c r="AK854" s="1190"/>
      <c r="AL854" s="1190"/>
      <c r="AM854" s="1190"/>
      <c r="AN854" s="1190"/>
      <c r="AO854" s="1190"/>
      <c r="AP854" s="1190"/>
      <c r="AQ854" s="1190"/>
      <c r="AR854" s="1190"/>
      <c r="AS854" s="1190"/>
      <c r="AT854" s="1190"/>
      <c r="AU854" s="1190"/>
      <c r="AV854" s="1190"/>
      <c r="AW854" s="1190"/>
      <c r="AX854" s="1190"/>
      <c r="AY854" s="1190"/>
      <c r="AZ854" s="1190"/>
      <c r="BA854" s="1190"/>
      <c r="BB854" s="1190"/>
      <c r="BC854" s="1190"/>
      <c r="BD854" s="1190"/>
      <c r="BE854" s="1190"/>
      <c r="BF854" s="1190"/>
      <c r="BG854" s="1190"/>
      <c r="BH854" s="1190"/>
      <c r="BI854" s="1190"/>
      <c r="BJ854" s="1190"/>
      <c r="BK854" s="1190"/>
      <c r="BL854" s="1190"/>
      <c r="BM854" s="1190"/>
      <c r="BN854" s="1190"/>
      <c r="BO854" s="1190"/>
    </row>
    <row r="855" spans="26:67">
      <c r="Z855" s="1190"/>
      <c r="AA855" s="1190"/>
      <c r="AB855" s="1190"/>
      <c r="AC855" s="1190"/>
      <c r="AD855" s="1190"/>
      <c r="AE855" s="1190"/>
      <c r="AF855" s="1190"/>
      <c r="AG855" s="1190"/>
      <c r="AH855" s="1190"/>
      <c r="AI855" s="1190"/>
      <c r="AJ855" s="1190"/>
      <c r="AK855" s="1190"/>
      <c r="AL855" s="1190"/>
      <c r="AM855" s="1190"/>
      <c r="AN855" s="1190"/>
      <c r="AO855" s="1190"/>
      <c r="AP855" s="1190"/>
      <c r="AQ855" s="1190"/>
      <c r="AR855" s="1190"/>
      <c r="AS855" s="1190"/>
      <c r="AT855" s="1190"/>
      <c r="AU855" s="1190"/>
      <c r="AV855" s="1190"/>
      <c r="AW855" s="1190"/>
      <c r="AX855" s="1190"/>
      <c r="AY855" s="1190"/>
      <c r="AZ855" s="1190"/>
      <c r="BA855" s="1190"/>
      <c r="BB855" s="1190"/>
      <c r="BC855" s="1190"/>
      <c r="BD855" s="1190"/>
      <c r="BE855" s="1190"/>
      <c r="BF855" s="1190"/>
      <c r="BG855" s="1190"/>
      <c r="BH855" s="1190"/>
      <c r="BI855" s="1190"/>
      <c r="BJ855" s="1190"/>
      <c r="BK855" s="1190"/>
      <c r="BL855" s="1190"/>
      <c r="BM855" s="1190"/>
      <c r="BN855" s="1190"/>
      <c r="BO855" s="1190"/>
    </row>
    <row r="856" spans="26:67">
      <c r="Z856" s="1190"/>
      <c r="AA856" s="1190"/>
      <c r="AB856" s="1190"/>
      <c r="AC856" s="1190"/>
      <c r="AD856" s="1190"/>
      <c r="AE856" s="1190"/>
      <c r="AF856" s="1190"/>
      <c r="AG856" s="1190"/>
      <c r="AH856" s="1190"/>
      <c r="AI856" s="1190"/>
      <c r="AJ856" s="1190"/>
      <c r="AK856" s="1190"/>
      <c r="AL856" s="1190"/>
      <c r="AM856" s="1190"/>
      <c r="AN856" s="1190"/>
      <c r="AO856" s="1190"/>
      <c r="AP856" s="1190"/>
      <c r="AQ856" s="1190"/>
      <c r="AR856" s="1190"/>
      <c r="AS856" s="1190"/>
      <c r="AT856" s="1190"/>
      <c r="AU856" s="1190"/>
      <c r="AV856" s="1190"/>
      <c r="AW856" s="1190"/>
      <c r="AX856" s="1190"/>
      <c r="AY856" s="1190"/>
      <c r="AZ856" s="1190"/>
      <c r="BA856" s="1190"/>
      <c r="BB856" s="1190"/>
      <c r="BC856" s="1190"/>
      <c r="BD856" s="1190"/>
      <c r="BE856" s="1190"/>
      <c r="BF856" s="1190"/>
      <c r="BG856" s="1190"/>
      <c r="BH856" s="1190"/>
      <c r="BI856" s="1190"/>
      <c r="BJ856" s="1190"/>
      <c r="BK856" s="1190"/>
      <c r="BL856" s="1190"/>
      <c r="BM856" s="1190"/>
      <c r="BN856" s="1190"/>
      <c r="BO856" s="1190"/>
    </row>
    <row r="857" spans="26:67">
      <c r="Z857" s="1190"/>
      <c r="AA857" s="1190"/>
      <c r="AB857" s="1190"/>
      <c r="AC857" s="1190"/>
      <c r="AD857" s="1190"/>
      <c r="AE857" s="1190"/>
      <c r="AF857" s="1190"/>
      <c r="AG857" s="1190"/>
      <c r="AH857" s="1190"/>
      <c r="AI857" s="1190"/>
      <c r="AJ857" s="1190"/>
      <c r="AK857" s="1190"/>
      <c r="AL857" s="1190"/>
      <c r="AM857" s="1190"/>
      <c r="AN857" s="1190"/>
      <c r="AO857" s="1190"/>
      <c r="AP857" s="1190"/>
      <c r="AQ857" s="1190"/>
      <c r="AR857" s="1190"/>
      <c r="AS857" s="1190"/>
      <c r="AT857" s="1190"/>
      <c r="AU857" s="1190"/>
      <c r="AV857" s="1190"/>
      <c r="AW857" s="1190"/>
      <c r="AX857" s="1190"/>
      <c r="AY857" s="1190"/>
      <c r="AZ857" s="1190"/>
      <c r="BA857" s="1190"/>
      <c r="BB857" s="1190"/>
      <c r="BC857" s="1190"/>
      <c r="BD857" s="1190"/>
      <c r="BE857" s="1190"/>
      <c r="BF857" s="1190"/>
      <c r="BG857" s="1190"/>
      <c r="BH857" s="1190"/>
      <c r="BI857" s="1190"/>
      <c r="BJ857" s="1190"/>
      <c r="BK857" s="1190"/>
      <c r="BL857" s="1190"/>
      <c r="BM857" s="1190"/>
      <c r="BN857" s="1190"/>
      <c r="BO857" s="1190"/>
    </row>
    <row r="858" spans="26:67">
      <c r="Z858" s="1190"/>
      <c r="AA858" s="1190"/>
      <c r="AB858" s="1190"/>
      <c r="AC858" s="1190"/>
      <c r="AD858" s="1190"/>
      <c r="AE858" s="1190"/>
      <c r="AF858" s="1190"/>
      <c r="AG858" s="1190"/>
      <c r="AH858" s="1190"/>
      <c r="AI858" s="1190"/>
      <c r="AJ858" s="1190"/>
      <c r="AK858" s="1190"/>
      <c r="AL858" s="1190"/>
      <c r="AM858" s="1190"/>
      <c r="AN858" s="1190"/>
      <c r="AO858" s="1190"/>
      <c r="AP858" s="1190"/>
      <c r="AQ858" s="1190"/>
      <c r="AR858" s="1190"/>
      <c r="AS858" s="1190"/>
      <c r="AT858" s="1190"/>
      <c r="AU858" s="1190"/>
      <c r="AV858" s="1190"/>
      <c r="AW858" s="1190"/>
      <c r="AX858" s="1190"/>
      <c r="AY858" s="1190"/>
      <c r="AZ858" s="1190"/>
      <c r="BA858" s="1190"/>
      <c r="BB858" s="1190"/>
      <c r="BC858" s="1190"/>
      <c r="BD858" s="1190"/>
      <c r="BE858" s="1190"/>
      <c r="BF858" s="1190"/>
      <c r="BG858" s="1190"/>
      <c r="BH858" s="1190"/>
      <c r="BI858" s="1190"/>
      <c r="BJ858" s="1190"/>
      <c r="BK858" s="1190"/>
      <c r="BL858" s="1190"/>
      <c r="BM858" s="1190"/>
      <c r="BN858" s="1190"/>
      <c r="BO858" s="1190"/>
    </row>
    <row r="859" spans="26:67">
      <c r="Z859" s="1190"/>
      <c r="AA859" s="1190"/>
      <c r="AB859" s="1190"/>
      <c r="AC859" s="1190"/>
      <c r="AD859" s="1190"/>
      <c r="AE859" s="1190"/>
      <c r="AF859" s="1190"/>
      <c r="AG859" s="1190"/>
      <c r="AH859" s="1190"/>
      <c r="AI859" s="1190"/>
      <c r="AJ859" s="1190"/>
      <c r="AK859" s="1190"/>
      <c r="AL859" s="1190"/>
      <c r="AM859" s="1190"/>
      <c r="AN859" s="1190"/>
      <c r="AO859" s="1190"/>
      <c r="AP859" s="1190"/>
      <c r="AQ859" s="1190"/>
      <c r="AR859" s="1190"/>
      <c r="AS859" s="1190"/>
      <c r="AT859" s="1190"/>
      <c r="AU859" s="1190"/>
      <c r="AV859" s="1190"/>
      <c r="AW859" s="1190"/>
      <c r="AX859" s="1190"/>
      <c r="AY859" s="1190"/>
      <c r="AZ859" s="1190"/>
      <c r="BA859" s="1190"/>
      <c r="BB859" s="1190"/>
      <c r="BC859" s="1190"/>
      <c r="BD859" s="1190"/>
      <c r="BE859" s="1190"/>
      <c r="BF859" s="1190"/>
      <c r="BG859" s="1190"/>
      <c r="BH859" s="1190"/>
      <c r="BI859" s="1190"/>
      <c r="BJ859" s="1190"/>
      <c r="BK859" s="1190"/>
      <c r="BL859" s="1190"/>
      <c r="BM859" s="1190"/>
      <c r="BN859" s="1190"/>
      <c r="BO859" s="1190"/>
    </row>
    <row r="860" spans="26:67">
      <c r="Z860" s="1190"/>
      <c r="AA860" s="1190"/>
      <c r="AB860" s="1190"/>
      <c r="AC860" s="1190"/>
      <c r="AD860" s="1190"/>
      <c r="AE860" s="1190"/>
      <c r="AF860" s="1190"/>
      <c r="AG860" s="1190"/>
      <c r="AH860" s="1190"/>
      <c r="AI860" s="1190"/>
      <c r="AJ860" s="1190"/>
      <c r="AK860" s="1190"/>
      <c r="AL860" s="1190"/>
      <c r="AM860" s="1190"/>
      <c r="AN860" s="1190"/>
      <c r="AO860" s="1190"/>
      <c r="AP860" s="1190"/>
      <c r="AQ860" s="1190"/>
      <c r="AR860" s="1190"/>
      <c r="AS860" s="1190"/>
      <c r="AT860" s="1190"/>
      <c r="AU860" s="1190"/>
      <c r="AV860" s="1190"/>
      <c r="AW860" s="1190"/>
      <c r="AX860" s="1190"/>
      <c r="AY860" s="1190"/>
      <c r="AZ860" s="1190"/>
      <c r="BA860" s="1190"/>
      <c r="BB860" s="1190"/>
      <c r="BC860" s="1190"/>
      <c r="BD860" s="1190"/>
      <c r="BE860" s="1190"/>
      <c r="BF860" s="1190"/>
      <c r="BG860" s="1190"/>
      <c r="BH860" s="1190"/>
      <c r="BI860" s="1190"/>
      <c r="BJ860" s="1190"/>
      <c r="BK860" s="1190"/>
      <c r="BL860" s="1190"/>
      <c r="BM860" s="1190"/>
      <c r="BN860" s="1190"/>
      <c r="BO860" s="1190"/>
    </row>
    <row r="861" spans="26:67">
      <c r="Z861" s="1190"/>
      <c r="AA861" s="1190"/>
      <c r="AB861" s="1190"/>
      <c r="AC861" s="1190"/>
      <c r="AD861" s="1190"/>
      <c r="AE861" s="1190"/>
      <c r="AF861" s="1190"/>
      <c r="AG861" s="1190"/>
      <c r="AH861" s="1190"/>
      <c r="AI861" s="1190"/>
      <c r="AJ861" s="1190"/>
      <c r="AK861" s="1190"/>
      <c r="AL861" s="1190"/>
      <c r="AM861" s="1190"/>
      <c r="AN861" s="1190"/>
      <c r="AO861" s="1190"/>
      <c r="AP861" s="1190"/>
      <c r="AQ861" s="1190"/>
      <c r="AR861" s="1190"/>
      <c r="AS861" s="1190"/>
      <c r="AT861" s="1190"/>
      <c r="AU861" s="1190"/>
      <c r="AV861" s="1190"/>
      <c r="AW861" s="1190"/>
      <c r="AX861" s="1190"/>
      <c r="AY861" s="1190"/>
      <c r="AZ861" s="1190"/>
      <c r="BA861" s="1190"/>
      <c r="BB861" s="1190"/>
      <c r="BC861" s="1190"/>
      <c r="BD861" s="1190"/>
      <c r="BE861" s="1190"/>
      <c r="BF861" s="1190"/>
      <c r="BG861" s="1190"/>
      <c r="BH861" s="1190"/>
      <c r="BI861" s="1190"/>
      <c r="BJ861" s="1190"/>
      <c r="BK861" s="1190"/>
      <c r="BL861" s="1190"/>
      <c r="BM861" s="1190"/>
      <c r="BN861" s="1190"/>
      <c r="BO861" s="1190"/>
    </row>
    <row r="862" spans="26:67">
      <c r="Z862" s="1190"/>
      <c r="AA862" s="1190"/>
      <c r="AB862" s="1190"/>
      <c r="AC862" s="1190"/>
      <c r="AD862" s="1190"/>
      <c r="AE862" s="1190"/>
      <c r="AF862" s="1190"/>
      <c r="AG862" s="1190"/>
      <c r="AH862" s="1190"/>
      <c r="AI862" s="1190"/>
      <c r="AJ862" s="1190"/>
      <c r="AK862" s="1190"/>
      <c r="AL862" s="1190"/>
      <c r="AM862" s="1190"/>
      <c r="AN862" s="1190"/>
      <c r="AO862" s="1190"/>
      <c r="AP862" s="1190"/>
      <c r="AQ862" s="1190"/>
      <c r="AR862" s="1190"/>
      <c r="AS862" s="1190"/>
      <c r="AT862" s="1190"/>
      <c r="AU862" s="1190"/>
      <c r="AV862" s="1190"/>
      <c r="AW862" s="1190"/>
      <c r="AX862" s="1190"/>
      <c r="AY862" s="1190"/>
      <c r="AZ862" s="1190"/>
      <c r="BA862" s="1190"/>
      <c r="BB862" s="1190"/>
      <c r="BC862" s="1190"/>
      <c r="BD862" s="1190"/>
      <c r="BE862" s="1190"/>
      <c r="BF862" s="1190"/>
      <c r="BG862" s="1190"/>
      <c r="BH862" s="1190"/>
      <c r="BI862" s="1190"/>
      <c r="BJ862" s="1190"/>
      <c r="BK862" s="1190"/>
      <c r="BL862" s="1190"/>
      <c r="BM862" s="1190"/>
      <c r="BN862" s="1190"/>
      <c r="BO862" s="1190"/>
    </row>
    <row r="863" spans="26:67">
      <c r="Z863" s="1190"/>
      <c r="AA863" s="1190"/>
      <c r="AB863" s="1190"/>
      <c r="AC863" s="1190"/>
      <c r="AD863" s="1190"/>
      <c r="AE863" s="1190"/>
      <c r="AF863" s="1190"/>
      <c r="AG863" s="1190"/>
      <c r="AH863" s="1190"/>
      <c r="AI863" s="1190"/>
      <c r="AJ863" s="1190"/>
      <c r="AK863" s="1190"/>
      <c r="AL863" s="1190"/>
      <c r="AM863" s="1190"/>
      <c r="AN863" s="1190"/>
      <c r="AO863" s="1190"/>
      <c r="AP863" s="1190"/>
      <c r="AQ863" s="1190"/>
      <c r="AR863" s="1190"/>
      <c r="AS863" s="1190"/>
      <c r="AT863" s="1190"/>
      <c r="AU863" s="1190"/>
      <c r="AV863" s="1190"/>
      <c r="AW863" s="1190"/>
      <c r="AX863" s="1190"/>
      <c r="AY863" s="1190"/>
      <c r="AZ863" s="1190"/>
      <c r="BA863" s="1190"/>
      <c r="BB863" s="1190"/>
      <c r="BC863" s="1190"/>
      <c r="BD863" s="1190"/>
      <c r="BE863" s="1190"/>
      <c r="BF863" s="1190"/>
      <c r="BG863" s="1190"/>
      <c r="BH863" s="1190"/>
      <c r="BI863" s="1190"/>
      <c r="BJ863" s="1190"/>
      <c r="BK863" s="1190"/>
      <c r="BL863" s="1190"/>
      <c r="BM863" s="1190"/>
      <c r="BN863" s="1190"/>
      <c r="BO863" s="1190"/>
    </row>
    <row r="864" spans="26:67">
      <c r="Z864" s="1190"/>
      <c r="AA864" s="1190"/>
      <c r="AB864" s="1190"/>
      <c r="AC864" s="1190"/>
      <c r="AD864" s="1190"/>
      <c r="AE864" s="1190"/>
      <c r="AF864" s="1190"/>
      <c r="AG864" s="1190"/>
      <c r="AH864" s="1190"/>
      <c r="AI864" s="1190"/>
      <c r="AJ864" s="1190"/>
      <c r="AK864" s="1190"/>
      <c r="AL864" s="1190"/>
      <c r="AM864" s="1190"/>
      <c r="AN864" s="1190"/>
      <c r="AO864" s="1190"/>
      <c r="AP864" s="1190"/>
      <c r="AQ864" s="1190"/>
      <c r="AR864" s="1190"/>
      <c r="AS864" s="1190"/>
      <c r="AT864" s="1190"/>
      <c r="AU864" s="1190"/>
      <c r="AV864" s="1190"/>
      <c r="AW864" s="1190"/>
      <c r="AX864" s="1190"/>
      <c r="AY864" s="1190"/>
      <c r="AZ864" s="1190"/>
      <c r="BA864" s="1190"/>
      <c r="BB864" s="1190"/>
      <c r="BC864" s="1190"/>
      <c r="BD864" s="1190"/>
      <c r="BE864" s="1190"/>
      <c r="BF864" s="1190"/>
      <c r="BG864" s="1190"/>
      <c r="BH864" s="1190"/>
      <c r="BI864" s="1190"/>
      <c r="BJ864" s="1190"/>
      <c r="BK864" s="1190"/>
      <c r="BL864" s="1190"/>
      <c r="BM864" s="1190"/>
      <c r="BN864" s="1190"/>
      <c r="BO864" s="1190"/>
    </row>
    <row r="865" spans="26:67">
      <c r="Z865" s="1190"/>
      <c r="AA865" s="1190"/>
      <c r="AB865" s="1190"/>
      <c r="AC865" s="1190"/>
      <c r="AD865" s="1190"/>
      <c r="AE865" s="1190"/>
      <c r="AF865" s="1190"/>
      <c r="AG865" s="1190"/>
      <c r="AH865" s="1190"/>
      <c r="AI865" s="1190"/>
      <c r="AJ865" s="1190"/>
      <c r="AK865" s="1190"/>
      <c r="AL865" s="1190"/>
      <c r="AM865" s="1190"/>
      <c r="AN865" s="1190"/>
      <c r="AO865" s="1190"/>
      <c r="AP865" s="1190"/>
      <c r="AQ865" s="1190"/>
      <c r="AR865" s="1190"/>
      <c r="AS865" s="1190"/>
      <c r="AT865" s="1190"/>
      <c r="AU865" s="1190"/>
      <c r="AV865" s="1190"/>
      <c r="AW865" s="1190"/>
      <c r="AX865" s="1190"/>
      <c r="AY865" s="1190"/>
      <c r="AZ865" s="1190"/>
      <c r="BA865" s="1190"/>
      <c r="BB865" s="1190"/>
      <c r="BC865" s="1190"/>
      <c r="BD865" s="1190"/>
      <c r="BE865" s="1190"/>
      <c r="BF865" s="1190"/>
      <c r="BG865" s="1190"/>
      <c r="BH865" s="1190"/>
      <c r="BI865" s="1190"/>
      <c r="BJ865" s="1190"/>
      <c r="BK865" s="1190"/>
      <c r="BL865" s="1190"/>
      <c r="BM865" s="1190"/>
      <c r="BN865" s="1190"/>
      <c r="BO865" s="1190"/>
    </row>
    <row r="866" spans="26:67">
      <c r="Z866" s="1190"/>
      <c r="AA866" s="1190"/>
      <c r="AB866" s="1190"/>
      <c r="AC866" s="1190"/>
      <c r="AD866" s="1190"/>
      <c r="AE866" s="1190"/>
      <c r="AF866" s="1190"/>
      <c r="AG866" s="1190"/>
      <c r="AH866" s="1190"/>
      <c r="AI866" s="1190"/>
      <c r="AJ866" s="1190"/>
      <c r="AK866" s="1190"/>
      <c r="AL866" s="1190"/>
      <c r="AM866" s="1190"/>
      <c r="AN866" s="1190"/>
      <c r="AO866" s="1190"/>
      <c r="AP866" s="1190"/>
      <c r="AQ866" s="1190"/>
      <c r="AR866" s="1190"/>
      <c r="AS866" s="1190"/>
      <c r="AT866" s="1190"/>
      <c r="AU866" s="1190"/>
      <c r="AV866" s="1190"/>
      <c r="AW866" s="1190"/>
      <c r="AX866" s="1190"/>
      <c r="AY866" s="1190"/>
      <c r="AZ866" s="1190"/>
      <c r="BA866" s="1190"/>
      <c r="BB866" s="1190"/>
      <c r="BC866" s="1190"/>
      <c r="BD866" s="1190"/>
      <c r="BE866" s="1190"/>
      <c r="BF866" s="1190"/>
      <c r="BG866" s="1190"/>
      <c r="BH866" s="1190"/>
      <c r="BI866" s="1190"/>
      <c r="BJ866" s="1190"/>
      <c r="BK866" s="1190"/>
      <c r="BL866" s="1190"/>
      <c r="BM866" s="1190"/>
      <c r="BN866" s="1190"/>
      <c r="BO866" s="1190"/>
    </row>
    <row r="867" spans="26:67">
      <c r="Z867" s="1190"/>
      <c r="AA867" s="1190"/>
      <c r="AB867" s="1190"/>
      <c r="AC867" s="1190"/>
      <c r="AD867" s="1190"/>
      <c r="AE867" s="1190"/>
      <c r="AF867" s="1190"/>
      <c r="AG867" s="1190"/>
      <c r="AH867" s="1190"/>
      <c r="AI867" s="1190"/>
      <c r="AJ867" s="1190"/>
      <c r="AK867" s="1190"/>
      <c r="AL867" s="1190"/>
      <c r="AM867" s="1190"/>
      <c r="AN867" s="1190"/>
      <c r="AO867" s="1190"/>
      <c r="AP867" s="1190"/>
      <c r="AQ867" s="1190"/>
      <c r="AR867" s="1190"/>
      <c r="AS867" s="1190"/>
      <c r="AT867" s="1190"/>
      <c r="AU867" s="1190"/>
      <c r="AV867" s="1190"/>
      <c r="AW867" s="1190"/>
      <c r="AX867" s="1190"/>
      <c r="AY867" s="1190"/>
      <c r="AZ867" s="1190"/>
      <c r="BA867" s="1190"/>
      <c r="BB867" s="1190"/>
      <c r="BC867" s="1190"/>
      <c r="BD867" s="1190"/>
      <c r="BE867" s="1190"/>
      <c r="BF867" s="1190"/>
      <c r="BG867" s="1190"/>
      <c r="BH867" s="1190"/>
      <c r="BI867" s="1190"/>
      <c r="BJ867" s="1190"/>
      <c r="BK867" s="1190"/>
      <c r="BL867" s="1190"/>
      <c r="BM867" s="1190"/>
      <c r="BN867" s="1190"/>
      <c r="BO867" s="1190"/>
    </row>
    <row r="868" spans="26:67">
      <c r="Z868" s="1190"/>
      <c r="AA868" s="1190"/>
      <c r="AB868" s="1190"/>
      <c r="AC868" s="1190"/>
      <c r="AD868" s="1190"/>
      <c r="AE868" s="1190"/>
      <c r="AF868" s="1190"/>
      <c r="AG868" s="1190"/>
      <c r="AH868" s="1190"/>
      <c r="AI868" s="1190"/>
      <c r="AJ868" s="1190"/>
      <c r="AK868" s="1190"/>
      <c r="AL868" s="1190"/>
      <c r="AM868" s="1190"/>
      <c r="AN868" s="1190"/>
      <c r="AO868" s="1190"/>
      <c r="AP868" s="1190"/>
      <c r="AQ868" s="1190"/>
      <c r="AR868" s="1190"/>
      <c r="AS868" s="1190"/>
      <c r="AT868" s="1190"/>
      <c r="AU868" s="1190"/>
      <c r="AV868" s="1190"/>
      <c r="AW868" s="1190"/>
      <c r="AX868" s="1190"/>
      <c r="AY868" s="1190"/>
      <c r="AZ868" s="1190"/>
      <c r="BA868" s="1190"/>
      <c r="BB868" s="1190"/>
      <c r="BC868" s="1190"/>
      <c r="BD868" s="1190"/>
      <c r="BE868" s="1190"/>
      <c r="BF868" s="1190"/>
      <c r="BG868" s="1190"/>
      <c r="BH868" s="1190"/>
      <c r="BI868" s="1190"/>
      <c r="BJ868" s="1190"/>
      <c r="BK868" s="1190"/>
      <c r="BL868" s="1190"/>
      <c r="BM868" s="1190"/>
      <c r="BN868" s="1190"/>
      <c r="BO868" s="1190"/>
    </row>
    <row r="869" spans="26:67">
      <c r="Z869" s="1190"/>
      <c r="AA869" s="1190"/>
      <c r="AB869" s="1190"/>
      <c r="AC869" s="1190"/>
      <c r="AD869" s="1190"/>
      <c r="AE869" s="1190"/>
      <c r="AF869" s="1190"/>
      <c r="AG869" s="1190"/>
      <c r="AH869" s="1190"/>
      <c r="AI869" s="1190"/>
      <c r="AJ869" s="1190"/>
      <c r="AK869" s="1190"/>
      <c r="AL869" s="1190"/>
      <c r="AM869" s="1190"/>
      <c r="AN869" s="1190"/>
      <c r="AO869" s="1190"/>
      <c r="AP869" s="1190"/>
      <c r="AQ869" s="1190"/>
      <c r="AR869" s="1190"/>
      <c r="AS869" s="1190"/>
      <c r="AT869" s="1190"/>
      <c r="AU869" s="1190"/>
      <c r="AV869" s="1190"/>
      <c r="AW869" s="1190"/>
      <c r="AX869" s="1190"/>
      <c r="AY869" s="1190"/>
      <c r="AZ869" s="1190"/>
      <c r="BA869" s="1190"/>
      <c r="BB869" s="1190"/>
      <c r="BC869" s="1190"/>
      <c r="BD869" s="1190"/>
      <c r="BE869" s="1190"/>
      <c r="BF869" s="1190"/>
      <c r="BG869" s="1190"/>
      <c r="BH869" s="1190"/>
      <c r="BI869" s="1190"/>
      <c r="BJ869" s="1190"/>
      <c r="BK869" s="1190"/>
      <c r="BL869" s="1190"/>
      <c r="BM869" s="1190"/>
      <c r="BN869" s="1190"/>
      <c r="BO869" s="1190"/>
    </row>
    <row r="870" spans="26:67">
      <c r="Z870" s="1190"/>
      <c r="AA870" s="1190"/>
      <c r="AB870" s="1190"/>
      <c r="AC870" s="1190"/>
      <c r="AD870" s="1190"/>
      <c r="AE870" s="1190"/>
      <c r="AF870" s="1190"/>
      <c r="AG870" s="1190"/>
      <c r="AH870" s="1190"/>
      <c r="AI870" s="1190"/>
      <c r="AJ870" s="1190"/>
      <c r="AK870" s="1190"/>
      <c r="AL870" s="1190"/>
      <c r="AM870" s="1190"/>
      <c r="AN870" s="1190"/>
      <c r="AO870" s="1190"/>
      <c r="AP870" s="1190"/>
      <c r="AQ870" s="1190"/>
      <c r="AR870" s="1190"/>
      <c r="AS870" s="1190"/>
      <c r="AT870" s="1190"/>
      <c r="AU870" s="1190"/>
      <c r="AV870" s="1190"/>
      <c r="AW870" s="1190"/>
      <c r="AX870" s="1190"/>
      <c r="AY870" s="1190"/>
      <c r="AZ870" s="1190"/>
      <c r="BA870" s="1190"/>
      <c r="BB870" s="1190"/>
      <c r="BC870" s="1190"/>
      <c r="BD870" s="1190"/>
      <c r="BE870" s="1190"/>
      <c r="BF870" s="1190"/>
      <c r="BG870" s="1190"/>
      <c r="BH870" s="1190"/>
      <c r="BI870" s="1190"/>
      <c r="BJ870" s="1190"/>
      <c r="BK870" s="1190"/>
      <c r="BL870" s="1190"/>
      <c r="BM870" s="1190"/>
      <c r="BN870" s="1190"/>
      <c r="BO870" s="1190"/>
    </row>
    <row r="871" spans="26:67">
      <c r="Z871" s="1190"/>
      <c r="AA871" s="1190"/>
      <c r="AB871" s="1190"/>
      <c r="AC871" s="1190"/>
      <c r="AD871" s="1190"/>
      <c r="AE871" s="1190"/>
      <c r="AF871" s="1190"/>
      <c r="AG871" s="1190"/>
      <c r="AH871" s="1190"/>
      <c r="AI871" s="1190"/>
      <c r="AJ871" s="1190"/>
      <c r="AK871" s="1190"/>
      <c r="AL871" s="1190"/>
      <c r="AM871" s="1190"/>
      <c r="AN871" s="1190"/>
      <c r="AO871" s="1190"/>
      <c r="AP871" s="1190"/>
      <c r="AQ871" s="1190"/>
      <c r="AR871" s="1190"/>
      <c r="AS871" s="1190"/>
      <c r="AT871" s="1190"/>
      <c r="AU871" s="1190"/>
      <c r="AV871" s="1190"/>
      <c r="AW871" s="1190"/>
      <c r="AX871" s="1190"/>
      <c r="AY871" s="1190"/>
      <c r="AZ871" s="1190"/>
      <c r="BA871" s="1190"/>
      <c r="BB871" s="1190"/>
      <c r="BC871" s="1190"/>
      <c r="BD871" s="1190"/>
      <c r="BE871" s="1190"/>
      <c r="BF871" s="1190"/>
      <c r="BG871" s="1190"/>
      <c r="BH871" s="1190"/>
      <c r="BI871" s="1190"/>
      <c r="BJ871" s="1190"/>
      <c r="BK871" s="1190"/>
      <c r="BL871" s="1190"/>
      <c r="BM871" s="1190"/>
      <c r="BN871" s="1190"/>
      <c r="BO871" s="1190"/>
    </row>
    <row r="872" spans="26:67">
      <c r="Z872" s="1190"/>
      <c r="AA872" s="1190"/>
      <c r="AB872" s="1190"/>
      <c r="AC872" s="1190"/>
      <c r="AD872" s="1190"/>
      <c r="AE872" s="1190"/>
      <c r="AF872" s="1190"/>
      <c r="AG872" s="1190"/>
      <c r="AH872" s="1190"/>
      <c r="AI872" s="1190"/>
      <c r="AJ872" s="1190"/>
      <c r="AK872" s="1190"/>
      <c r="AL872" s="1190"/>
      <c r="AM872" s="1190"/>
      <c r="AN872" s="1190"/>
      <c r="AO872" s="1190"/>
      <c r="AP872" s="1190"/>
      <c r="AQ872" s="1190"/>
      <c r="AR872" s="1190"/>
      <c r="AS872" s="1190"/>
      <c r="AT872" s="1190"/>
      <c r="AU872" s="1190"/>
      <c r="AV872" s="1190"/>
      <c r="AW872" s="1190"/>
      <c r="AX872" s="1190"/>
      <c r="AY872" s="1190"/>
      <c r="AZ872" s="1190"/>
      <c r="BA872" s="1190"/>
      <c r="BB872" s="1190"/>
      <c r="BC872" s="1190"/>
      <c r="BD872" s="1190"/>
      <c r="BE872" s="1190"/>
      <c r="BF872" s="1190"/>
      <c r="BG872" s="1190"/>
      <c r="BH872" s="1190"/>
      <c r="BI872" s="1190"/>
      <c r="BJ872" s="1190"/>
      <c r="BK872" s="1190"/>
      <c r="BL872" s="1190"/>
      <c r="BM872" s="1190"/>
      <c r="BN872" s="1190"/>
      <c r="BO872" s="1190"/>
    </row>
    <row r="873" spans="26:67">
      <c r="Z873" s="1190"/>
      <c r="AA873" s="1190"/>
      <c r="AB873" s="1190"/>
      <c r="AC873" s="1190"/>
      <c r="AD873" s="1190"/>
      <c r="AE873" s="1190"/>
      <c r="AF873" s="1190"/>
      <c r="AG873" s="1190"/>
      <c r="AH873" s="1190"/>
      <c r="AI873" s="1190"/>
      <c r="AJ873" s="1190"/>
      <c r="AK873" s="1190"/>
      <c r="AL873" s="1190"/>
      <c r="AM873" s="1190"/>
      <c r="AN873" s="1190"/>
      <c r="AO873" s="1190"/>
      <c r="AP873" s="1190"/>
      <c r="AQ873" s="1190"/>
      <c r="AR873" s="1190"/>
      <c r="AS873" s="1190"/>
      <c r="AT873" s="1190"/>
      <c r="AU873" s="1190"/>
      <c r="AV873" s="1190"/>
      <c r="AW873" s="1190"/>
      <c r="AX873" s="1190"/>
      <c r="AY873" s="1190"/>
      <c r="AZ873" s="1190"/>
      <c r="BA873" s="1190"/>
      <c r="BB873" s="1190"/>
      <c r="BC873" s="1190"/>
      <c r="BD873" s="1190"/>
      <c r="BE873" s="1190"/>
      <c r="BF873" s="1190"/>
      <c r="BG873" s="1190"/>
      <c r="BH873" s="1190"/>
      <c r="BI873" s="1190"/>
      <c r="BJ873" s="1190"/>
      <c r="BK873" s="1190"/>
      <c r="BL873" s="1190"/>
      <c r="BM873" s="1190"/>
      <c r="BN873" s="1190"/>
      <c r="BO873" s="1190"/>
    </row>
    <row r="874" spans="26:67">
      <c r="Z874" s="1190"/>
      <c r="AA874" s="1190"/>
      <c r="AB874" s="1190"/>
      <c r="AC874" s="1190"/>
      <c r="AD874" s="1190"/>
      <c r="AE874" s="1190"/>
      <c r="AF874" s="1190"/>
      <c r="AG874" s="1190"/>
      <c r="AH874" s="1190"/>
      <c r="AI874" s="1190"/>
      <c r="AJ874" s="1190"/>
      <c r="AK874" s="1190"/>
      <c r="AL874" s="1190"/>
      <c r="AM874" s="1190"/>
      <c r="AN874" s="1190"/>
      <c r="AO874" s="1190"/>
      <c r="AP874" s="1190"/>
      <c r="AQ874" s="1190"/>
      <c r="AR874" s="1190"/>
      <c r="AS874" s="1190"/>
      <c r="AT874" s="1190"/>
      <c r="AU874" s="1190"/>
      <c r="AV874" s="1190"/>
      <c r="AW874" s="1190"/>
      <c r="AX874" s="1190"/>
      <c r="AY874" s="1190"/>
      <c r="AZ874" s="1190"/>
      <c r="BA874" s="1190"/>
      <c r="BB874" s="1190"/>
      <c r="BC874" s="1190"/>
      <c r="BD874" s="1190"/>
      <c r="BE874" s="1190"/>
      <c r="BF874" s="1190"/>
      <c r="BG874" s="1190"/>
      <c r="BH874" s="1190"/>
      <c r="BI874" s="1190"/>
      <c r="BJ874" s="1190"/>
      <c r="BK874" s="1190"/>
      <c r="BL874" s="1190"/>
      <c r="BM874" s="1190"/>
      <c r="BN874" s="1190"/>
      <c r="BO874" s="1190"/>
    </row>
    <row r="875" spans="26:67">
      <c r="Z875" s="1190"/>
      <c r="AA875" s="1190"/>
      <c r="AB875" s="1190"/>
      <c r="AC875" s="1190"/>
      <c r="AD875" s="1190"/>
      <c r="AE875" s="1190"/>
      <c r="AF875" s="1190"/>
      <c r="AG875" s="1190"/>
      <c r="AH875" s="1190"/>
      <c r="AI875" s="1190"/>
      <c r="AJ875" s="1190"/>
      <c r="AK875" s="1190"/>
      <c r="AL875" s="1190"/>
      <c r="AM875" s="1190"/>
      <c r="AN875" s="1190"/>
      <c r="AO875" s="1190"/>
      <c r="AP875" s="1190"/>
      <c r="AQ875" s="1190"/>
      <c r="AR875" s="1190"/>
      <c r="AS875" s="1190"/>
      <c r="AT875" s="1190"/>
      <c r="AU875" s="1190"/>
      <c r="AV875" s="1190"/>
      <c r="AW875" s="1190"/>
      <c r="AX875" s="1190"/>
      <c r="AY875" s="1190"/>
      <c r="AZ875" s="1190"/>
      <c r="BA875" s="1190"/>
      <c r="BB875" s="1190"/>
      <c r="BC875" s="1190"/>
      <c r="BD875" s="1190"/>
      <c r="BE875" s="1190"/>
      <c r="BF875" s="1190"/>
      <c r="BG875" s="1190"/>
      <c r="BH875" s="1190"/>
      <c r="BI875" s="1190"/>
      <c r="BJ875" s="1190"/>
      <c r="BK875" s="1190"/>
      <c r="BL875" s="1190"/>
      <c r="BM875" s="1190"/>
      <c r="BN875" s="1190"/>
      <c r="BO875" s="1190"/>
    </row>
    <row r="876" spans="26:67">
      <c r="Z876" s="1190"/>
      <c r="AA876" s="1190"/>
      <c r="AB876" s="1190"/>
      <c r="AC876" s="1190"/>
      <c r="AD876" s="1190"/>
      <c r="AE876" s="1190"/>
      <c r="AF876" s="1190"/>
      <c r="AG876" s="1190"/>
      <c r="AH876" s="1190"/>
      <c r="AI876" s="1190"/>
      <c r="AJ876" s="1190"/>
      <c r="AK876" s="1190"/>
      <c r="AL876" s="1190"/>
      <c r="AM876" s="1190"/>
      <c r="AN876" s="1190"/>
      <c r="AO876" s="1190"/>
      <c r="AP876" s="1190"/>
      <c r="AQ876" s="1190"/>
      <c r="AR876" s="1190"/>
      <c r="AS876" s="1190"/>
      <c r="AT876" s="1190"/>
      <c r="AU876" s="1190"/>
      <c r="AV876" s="1190"/>
      <c r="AW876" s="1190"/>
      <c r="AX876" s="1190"/>
      <c r="AY876" s="1190"/>
      <c r="AZ876" s="1190"/>
      <c r="BA876" s="1190"/>
      <c r="BB876" s="1190"/>
      <c r="BC876" s="1190"/>
      <c r="BD876" s="1190"/>
      <c r="BE876" s="1190"/>
      <c r="BF876" s="1190"/>
      <c r="BG876" s="1190"/>
      <c r="BH876" s="1190"/>
      <c r="BI876" s="1190"/>
      <c r="BJ876" s="1190"/>
      <c r="BK876" s="1190"/>
      <c r="BL876" s="1190"/>
      <c r="BM876" s="1190"/>
      <c r="BN876" s="1190"/>
      <c r="BO876" s="1190"/>
    </row>
    <row r="877" spans="26:67">
      <c r="Z877" s="1190"/>
      <c r="AA877" s="1190"/>
      <c r="AB877" s="1190"/>
      <c r="AC877" s="1190"/>
      <c r="AD877" s="1190"/>
      <c r="AE877" s="1190"/>
      <c r="AF877" s="1190"/>
      <c r="AG877" s="1190"/>
      <c r="AH877" s="1190"/>
      <c r="AI877" s="1190"/>
      <c r="AJ877" s="1190"/>
      <c r="AK877" s="1190"/>
      <c r="AL877" s="1190"/>
      <c r="AM877" s="1190"/>
      <c r="AN877" s="1190"/>
      <c r="AO877" s="1190"/>
      <c r="AP877" s="1190"/>
      <c r="AQ877" s="1190"/>
      <c r="AR877" s="1190"/>
      <c r="AS877" s="1190"/>
      <c r="AT877" s="1190"/>
      <c r="AU877" s="1190"/>
      <c r="AV877" s="1190"/>
      <c r="AW877" s="1190"/>
      <c r="AX877" s="1190"/>
      <c r="AY877" s="1190"/>
      <c r="AZ877" s="1190"/>
      <c r="BA877" s="1190"/>
      <c r="BB877" s="1190"/>
      <c r="BC877" s="1190"/>
      <c r="BD877" s="1190"/>
      <c r="BE877" s="1190"/>
      <c r="BF877" s="1190"/>
      <c r="BG877" s="1190"/>
      <c r="BH877" s="1190"/>
      <c r="BI877" s="1190"/>
      <c r="BJ877" s="1190"/>
      <c r="BK877" s="1190"/>
      <c r="BL877" s="1190"/>
      <c r="BM877" s="1190"/>
      <c r="BN877" s="1190"/>
      <c r="BO877" s="1190"/>
    </row>
    <row r="878" spans="26:67">
      <c r="Z878" s="1190"/>
      <c r="AA878" s="1190"/>
      <c r="AB878" s="1190"/>
      <c r="AC878" s="1190"/>
      <c r="AD878" s="1190"/>
      <c r="AE878" s="1190"/>
      <c r="AF878" s="1190"/>
      <c r="AG878" s="1190"/>
      <c r="AH878" s="1190"/>
      <c r="AI878" s="1190"/>
      <c r="AJ878" s="1190"/>
      <c r="AK878" s="1190"/>
      <c r="AL878" s="1190"/>
      <c r="AM878" s="1190"/>
      <c r="AN878" s="1190"/>
      <c r="AO878" s="1190"/>
      <c r="AP878" s="1190"/>
      <c r="AQ878" s="1190"/>
      <c r="AR878" s="1190"/>
      <c r="AS878" s="1190"/>
      <c r="AT878" s="1190"/>
      <c r="AU878" s="1190"/>
      <c r="AV878" s="1190"/>
      <c r="AW878" s="1190"/>
      <c r="AX878" s="1190"/>
      <c r="AY878" s="1190"/>
      <c r="AZ878" s="1190"/>
      <c r="BA878" s="1190"/>
      <c r="BB878" s="1190"/>
      <c r="BC878" s="1190"/>
      <c r="BD878" s="1190"/>
      <c r="BE878" s="1190"/>
      <c r="BF878" s="1190"/>
      <c r="BG878" s="1190"/>
      <c r="BH878" s="1190"/>
      <c r="BI878" s="1190"/>
      <c r="BJ878" s="1190"/>
      <c r="BK878" s="1190"/>
      <c r="BL878" s="1190"/>
      <c r="BM878" s="1190"/>
      <c r="BN878" s="1190"/>
      <c r="BO878" s="1190"/>
    </row>
    <row r="879" spans="26:67">
      <c r="Z879" s="1190"/>
      <c r="AA879" s="1190"/>
      <c r="AB879" s="1190"/>
      <c r="AC879" s="1190"/>
      <c r="AD879" s="1190"/>
      <c r="AE879" s="1190"/>
      <c r="AF879" s="1190"/>
      <c r="AG879" s="1190"/>
      <c r="AH879" s="1190"/>
      <c r="AI879" s="1190"/>
      <c r="AJ879" s="1190"/>
      <c r="AK879" s="1190"/>
      <c r="AL879" s="1190"/>
      <c r="AM879" s="1190"/>
      <c r="AN879" s="1190"/>
      <c r="AO879" s="1190"/>
      <c r="AP879" s="1190"/>
      <c r="AQ879" s="1190"/>
      <c r="AR879" s="1190"/>
      <c r="AS879" s="1190"/>
      <c r="AT879" s="1190"/>
      <c r="AU879" s="1190"/>
      <c r="AV879" s="1190"/>
      <c r="AW879" s="1190"/>
      <c r="AX879" s="1190"/>
      <c r="AY879" s="1190"/>
      <c r="AZ879" s="1190"/>
      <c r="BA879" s="1190"/>
      <c r="BB879" s="1190"/>
      <c r="BC879" s="1190"/>
      <c r="BD879" s="1190"/>
      <c r="BE879" s="1190"/>
      <c r="BF879" s="1190"/>
      <c r="BG879" s="1190"/>
      <c r="BH879" s="1190"/>
      <c r="BI879" s="1190"/>
      <c r="BJ879" s="1190"/>
      <c r="BK879" s="1190"/>
      <c r="BL879" s="1190"/>
      <c r="BM879" s="1190"/>
      <c r="BN879" s="1190"/>
      <c r="BO879" s="1190"/>
    </row>
    <row r="880" spans="26:67">
      <c r="Z880" s="1190"/>
      <c r="AA880" s="1190"/>
      <c r="AB880" s="1190"/>
      <c r="AC880" s="1190"/>
      <c r="AD880" s="1190"/>
      <c r="AE880" s="1190"/>
      <c r="AF880" s="1190"/>
      <c r="AG880" s="1190"/>
      <c r="AH880" s="1190"/>
      <c r="AI880" s="1190"/>
      <c r="AJ880" s="1190"/>
      <c r="AK880" s="1190"/>
      <c r="AL880" s="1190"/>
      <c r="AM880" s="1190"/>
      <c r="AN880" s="1190"/>
      <c r="AO880" s="1190"/>
      <c r="AP880" s="1190"/>
      <c r="AQ880" s="1190"/>
      <c r="AR880" s="1190"/>
      <c r="AS880" s="1190"/>
      <c r="AT880" s="1190"/>
      <c r="AU880" s="1190"/>
      <c r="AV880" s="1190"/>
      <c r="AW880" s="1190"/>
      <c r="AX880" s="1190"/>
      <c r="AY880" s="1190"/>
      <c r="AZ880" s="1190"/>
      <c r="BA880" s="1190"/>
      <c r="BB880" s="1190"/>
      <c r="BC880" s="1190"/>
      <c r="BD880" s="1190"/>
      <c r="BE880" s="1190"/>
      <c r="BF880" s="1190"/>
      <c r="BG880" s="1190"/>
      <c r="BH880" s="1190"/>
      <c r="BI880" s="1190"/>
      <c r="BJ880" s="1190"/>
      <c r="BK880" s="1190"/>
      <c r="BL880" s="1190"/>
      <c r="BM880" s="1190"/>
      <c r="BN880" s="1190"/>
      <c r="BO880" s="1190"/>
    </row>
    <row r="881" spans="26:67">
      <c r="Z881" s="1190"/>
      <c r="AA881" s="1190"/>
      <c r="AB881" s="1190"/>
      <c r="AC881" s="1190"/>
      <c r="AD881" s="1190"/>
      <c r="AE881" s="1190"/>
      <c r="AF881" s="1190"/>
      <c r="AG881" s="1190"/>
      <c r="AH881" s="1190"/>
      <c r="AI881" s="1190"/>
      <c r="AJ881" s="1190"/>
      <c r="AK881" s="1190"/>
      <c r="AL881" s="1190"/>
      <c r="AM881" s="1190"/>
      <c r="AN881" s="1190"/>
      <c r="AO881" s="1190"/>
      <c r="AP881" s="1190"/>
      <c r="AQ881" s="1190"/>
      <c r="AR881" s="1190"/>
      <c r="AS881" s="1190"/>
      <c r="AT881" s="1190"/>
      <c r="AU881" s="1190"/>
      <c r="AV881" s="1190"/>
      <c r="AW881" s="1190"/>
      <c r="AX881" s="1190"/>
      <c r="AY881" s="1190"/>
      <c r="AZ881" s="1190"/>
      <c r="BA881" s="1190"/>
      <c r="BB881" s="1190"/>
      <c r="BC881" s="1190"/>
      <c r="BD881" s="1190"/>
      <c r="BE881" s="1190"/>
      <c r="BF881" s="1190"/>
      <c r="BG881" s="1190"/>
      <c r="BH881" s="1190"/>
      <c r="BI881" s="1190"/>
      <c r="BJ881" s="1190"/>
      <c r="BK881" s="1190"/>
      <c r="BL881" s="1190"/>
      <c r="BM881" s="1190"/>
      <c r="BN881" s="1190"/>
      <c r="BO881" s="1190"/>
    </row>
    <row r="882" spans="26:67">
      <c r="Z882" s="1190"/>
      <c r="AA882" s="1190"/>
      <c r="AB882" s="1190"/>
      <c r="AC882" s="1190"/>
      <c r="AD882" s="1190"/>
      <c r="AE882" s="1190"/>
      <c r="AF882" s="1190"/>
      <c r="AG882" s="1190"/>
      <c r="AH882" s="1190"/>
      <c r="AI882" s="1190"/>
      <c r="AJ882" s="1190"/>
      <c r="AK882" s="1190"/>
      <c r="AL882" s="1190"/>
      <c r="AM882" s="1190"/>
      <c r="AN882" s="1190"/>
      <c r="AO882" s="1190"/>
      <c r="AP882" s="1190"/>
      <c r="AQ882" s="1190"/>
      <c r="AR882" s="1190"/>
      <c r="AS882" s="1190"/>
      <c r="AT882" s="1190"/>
      <c r="AU882" s="1190"/>
      <c r="AV882" s="1190"/>
      <c r="AW882" s="1190"/>
      <c r="AX882" s="1190"/>
      <c r="AY882" s="1190"/>
      <c r="AZ882" s="1190"/>
      <c r="BA882" s="1190"/>
      <c r="BB882" s="1190"/>
      <c r="BC882" s="1190"/>
      <c r="BD882" s="1190"/>
      <c r="BE882" s="1190"/>
      <c r="BF882" s="1190"/>
      <c r="BG882" s="1190"/>
      <c r="BH882" s="1190"/>
      <c r="BI882" s="1190"/>
      <c r="BJ882" s="1190"/>
      <c r="BK882" s="1190"/>
      <c r="BL882" s="1190"/>
      <c r="BM882" s="1190"/>
      <c r="BN882" s="1190"/>
      <c r="BO882" s="1190"/>
    </row>
    <row r="883" spans="26:67">
      <c r="Z883" s="1190"/>
      <c r="AA883" s="1190"/>
      <c r="AB883" s="1190"/>
      <c r="AC883" s="1190"/>
      <c r="AD883" s="1190"/>
      <c r="AE883" s="1190"/>
      <c r="AF883" s="1190"/>
      <c r="AG883" s="1190"/>
      <c r="AH883" s="1190"/>
      <c r="AI883" s="1190"/>
      <c r="AJ883" s="1190"/>
      <c r="AK883" s="1190"/>
      <c r="AL883" s="1190"/>
      <c r="AM883" s="1190"/>
      <c r="AN883" s="1190"/>
      <c r="AO883" s="1190"/>
      <c r="AP883" s="1190"/>
      <c r="AQ883" s="1190"/>
      <c r="AR883" s="1190"/>
      <c r="AS883" s="1190"/>
      <c r="AT883" s="1190"/>
      <c r="AU883" s="1190"/>
      <c r="AV883" s="1190"/>
      <c r="AW883" s="1190"/>
      <c r="AX883" s="1190"/>
      <c r="AY883" s="1190"/>
      <c r="AZ883" s="1190"/>
      <c r="BA883" s="1190"/>
      <c r="BB883" s="1190"/>
      <c r="BC883" s="1190"/>
      <c r="BD883" s="1190"/>
      <c r="BE883" s="1190"/>
      <c r="BF883" s="1190"/>
      <c r="BG883" s="1190"/>
      <c r="BH883" s="1190"/>
      <c r="BI883" s="1190"/>
      <c r="BJ883" s="1190"/>
      <c r="BK883" s="1190"/>
      <c r="BL883" s="1190"/>
      <c r="BM883" s="1190"/>
      <c r="BN883" s="1190"/>
      <c r="BO883" s="1190"/>
    </row>
    <row r="884" spans="26:67">
      <c r="Z884" s="1190"/>
      <c r="AA884" s="1190"/>
      <c r="AB884" s="1190"/>
      <c r="AC884" s="1190"/>
      <c r="AD884" s="1190"/>
      <c r="AE884" s="1190"/>
      <c r="AF884" s="1190"/>
      <c r="AG884" s="1190"/>
      <c r="AH884" s="1190"/>
      <c r="AI884" s="1190"/>
      <c r="AJ884" s="1190"/>
      <c r="AK884" s="1190"/>
      <c r="AL884" s="1190"/>
      <c r="AM884" s="1190"/>
      <c r="AN884" s="1190"/>
      <c r="AO884" s="1190"/>
      <c r="AP884" s="1190"/>
      <c r="AQ884" s="1190"/>
      <c r="AR884" s="1190"/>
      <c r="AS884" s="1190"/>
      <c r="AT884" s="1190"/>
      <c r="AU884" s="1190"/>
      <c r="AV884" s="1190"/>
      <c r="AW884" s="1190"/>
      <c r="AX884" s="1190"/>
      <c r="AY884" s="1190"/>
      <c r="AZ884" s="1190"/>
      <c r="BA884" s="1190"/>
      <c r="BB884" s="1190"/>
      <c r="BC884" s="1190"/>
      <c r="BD884" s="1190"/>
      <c r="BE884" s="1190"/>
      <c r="BF884" s="1190"/>
      <c r="BG884" s="1190"/>
      <c r="BH884" s="1190"/>
      <c r="BI884" s="1190"/>
      <c r="BJ884" s="1190"/>
      <c r="BK884" s="1190"/>
      <c r="BL884" s="1190"/>
      <c r="BM884" s="1190"/>
      <c r="BN884" s="1190"/>
      <c r="BO884" s="1190"/>
    </row>
    <row r="885" spans="26:67">
      <c r="Z885" s="1190"/>
      <c r="AA885" s="1190"/>
      <c r="AB885" s="1190"/>
      <c r="AC885" s="1190"/>
      <c r="AD885" s="1190"/>
      <c r="AE885" s="1190"/>
      <c r="AF885" s="1190"/>
      <c r="AG885" s="1190"/>
      <c r="AH885" s="1190"/>
      <c r="AI885" s="1190"/>
      <c r="AJ885" s="1190"/>
      <c r="AK885" s="1190"/>
      <c r="AL885" s="1190"/>
      <c r="AM885" s="1190"/>
      <c r="AN885" s="1190"/>
      <c r="AO885" s="1190"/>
      <c r="AP885" s="1190"/>
      <c r="AQ885" s="1190"/>
      <c r="AR885" s="1190"/>
      <c r="AS885" s="1190"/>
      <c r="AT885" s="1190"/>
      <c r="AU885" s="1190"/>
      <c r="AV885" s="1190"/>
      <c r="AW885" s="1190"/>
      <c r="AX885" s="1190"/>
      <c r="AY885" s="1190"/>
      <c r="AZ885" s="1190"/>
      <c r="BA885" s="1190"/>
      <c r="BB885" s="1190"/>
      <c r="BC885" s="1190"/>
      <c r="BD885" s="1190"/>
      <c r="BE885" s="1190"/>
      <c r="BF885" s="1190"/>
      <c r="BG885" s="1190"/>
      <c r="BH885" s="1190"/>
      <c r="BI885" s="1190"/>
      <c r="BJ885" s="1190"/>
      <c r="BK885" s="1190"/>
      <c r="BL885" s="1190"/>
      <c r="BM885" s="1190"/>
      <c r="BN885" s="1190"/>
      <c r="BO885" s="1190"/>
    </row>
    <row r="886" spans="26:67">
      <c r="Z886" s="1190"/>
      <c r="AA886" s="1190"/>
      <c r="AB886" s="1190"/>
      <c r="AC886" s="1190"/>
      <c r="AD886" s="1190"/>
      <c r="AE886" s="1190"/>
      <c r="AF886" s="1190"/>
      <c r="AG886" s="1190"/>
      <c r="AH886" s="1190"/>
      <c r="AI886" s="1190"/>
      <c r="AJ886" s="1190"/>
      <c r="AK886" s="1190"/>
      <c r="AL886" s="1190"/>
      <c r="AM886" s="1190"/>
      <c r="AN886" s="1190"/>
      <c r="AO886" s="1190"/>
      <c r="AP886" s="1190"/>
      <c r="AQ886" s="1190"/>
      <c r="AR886" s="1190"/>
      <c r="AS886" s="1190"/>
      <c r="AT886" s="1190"/>
      <c r="AU886" s="1190"/>
      <c r="AV886" s="1190"/>
      <c r="AW886" s="1190"/>
      <c r="AX886" s="1190"/>
      <c r="AY886" s="1190"/>
      <c r="AZ886" s="1190"/>
      <c r="BA886" s="1190"/>
      <c r="BB886" s="1190"/>
      <c r="BC886" s="1190"/>
      <c r="BD886" s="1190"/>
      <c r="BE886" s="1190"/>
      <c r="BF886" s="1190"/>
      <c r="BG886" s="1190"/>
      <c r="BH886" s="1190"/>
      <c r="BI886" s="1190"/>
      <c r="BJ886" s="1190"/>
      <c r="BK886" s="1190"/>
      <c r="BL886" s="1190"/>
      <c r="BM886" s="1190"/>
      <c r="BN886" s="1190"/>
      <c r="BO886" s="1190"/>
    </row>
    <row r="887" spans="26:67">
      <c r="Z887" s="1190"/>
      <c r="AA887" s="1190"/>
      <c r="AB887" s="1190"/>
      <c r="AC887" s="1190"/>
      <c r="AD887" s="1190"/>
      <c r="AE887" s="1190"/>
      <c r="AF887" s="1190"/>
      <c r="AG887" s="1190"/>
      <c r="AH887" s="1190"/>
      <c r="AI887" s="1190"/>
      <c r="AJ887" s="1190"/>
      <c r="AK887" s="1190"/>
      <c r="AL887" s="1190"/>
      <c r="AM887" s="1190"/>
      <c r="AN887" s="1190"/>
      <c r="AO887" s="1190"/>
      <c r="AP887" s="1190"/>
      <c r="AQ887" s="1190"/>
      <c r="AR887" s="1190"/>
      <c r="AS887" s="1190"/>
      <c r="AT887" s="1190"/>
      <c r="AU887" s="1190"/>
      <c r="AV887" s="1190"/>
      <c r="AW887" s="1190"/>
      <c r="AX887" s="1190"/>
      <c r="AY887" s="1190"/>
      <c r="AZ887" s="1190"/>
      <c r="BA887" s="1190"/>
      <c r="BB887" s="1190"/>
      <c r="BC887" s="1190"/>
      <c r="BD887" s="1190"/>
      <c r="BE887" s="1190"/>
      <c r="BF887" s="1190"/>
      <c r="BG887" s="1190"/>
      <c r="BH887" s="1190"/>
      <c r="BI887" s="1190"/>
      <c r="BJ887" s="1190"/>
      <c r="BK887" s="1190"/>
      <c r="BL887" s="1190"/>
      <c r="BM887" s="1190"/>
      <c r="BN887" s="1190"/>
      <c r="BO887" s="1190"/>
    </row>
    <row r="888" spans="26:67">
      <c r="Z888" s="1190"/>
      <c r="AA888" s="1190"/>
      <c r="AB888" s="1190"/>
      <c r="AC888" s="1190"/>
      <c r="AD888" s="1190"/>
      <c r="AE888" s="1190"/>
      <c r="AF888" s="1190"/>
      <c r="AG888" s="1190"/>
      <c r="AH888" s="1190"/>
      <c r="AI888" s="1190"/>
      <c r="AJ888" s="1190"/>
      <c r="AK888" s="1190"/>
      <c r="AL888" s="1190"/>
      <c r="AM888" s="1190"/>
      <c r="AN888" s="1190"/>
      <c r="AO888" s="1190"/>
      <c r="AP888" s="1190"/>
      <c r="AQ888" s="1190"/>
      <c r="AR888" s="1190"/>
      <c r="AS888" s="1190"/>
      <c r="AT888" s="1190"/>
      <c r="AU888" s="1190"/>
      <c r="AV888" s="1190"/>
      <c r="AW888" s="1190"/>
      <c r="AX888" s="1190"/>
      <c r="AY888" s="1190"/>
      <c r="AZ888" s="1190"/>
      <c r="BA888" s="1190"/>
      <c r="BB888" s="1190"/>
      <c r="BC888" s="1190"/>
      <c r="BD888" s="1190"/>
      <c r="BE888" s="1190"/>
      <c r="BF888" s="1190"/>
      <c r="BG888" s="1190"/>
      <c r="BH888" s="1190"/>
      <c r="BI888" s="1190"/>
      <c r="BJ888" s="1190"/>
      <c r="BK888" s="1190"/>
      <c r="BL888" s="1190"/>
      <c r="BM888" s="1190"/>
      <c r="BN888" s="1190"/>
      <c r="BO888" s="1190"/>
    </row>
    <row r="889" spans="26:67">
      <c r="Z889" s="1190"/>
      <c r="AA889" s="1190"/>
      <c r="AB889" s="1190"/>
      <c r="AC889" s="1190"/>
      <c r="AD889" s="1190"/>
      <c r="AE889" s="1190"/>
      <c r="AF889" s="1190"/>
      <c r="AG889" s="1190"/>
      <c r="AH889" s="1190"/>
      <c r="AI889" s="1190"/>
      <c r="AJ889" s="1190"/>
      <c r="AK889" s="1190"/>
      <c r="AL889" s="1190"/>
      <c r="AM889" s="1190"/>
      <c r="AN889" s="1190"/>
      <c r="AO889" s="1190"/>
      <c r="AP889" s="1190"/>
      <c r="AQ889" s="1190"/>
      <c r="AR889" s="1190"/>
      <c r="AS889" s="1190"/>
      <c r="AT889" s="1190"/>
      <c r="AU889" s="1190"/>
      <c r="AV889" s="1190"/>
      <c r="AW889" s="1190"/>
      <c r="AX889" s="1190"/>
      <c r="AY889" s="1190"/>
      <c r="AZ889" s="1190"/>
      <c r="BA889" s="1190"/>
      <c r="BB889" s="1190"/>
      <c r="BC889" s="1190"/>
      <c r="BD889" s="1190"/>
      <c r="BE889" s="1190"/>
      <c r="BF889" s="1190"/>
      <c r="BG889" s="1190"/>
      <c r="BH889" s="1190"/>
      <c r="BI889" s="1190"/>
      <c r="BJ889" s="1190"/>
      <c r="BK889" s="1190"/>
      <c r="BL889" s="1190"/>
      <c r="BM889" s="1190"/>
      <c r="BN889" s="1190"/>
      <c r="BO889" s="1190"/>
    </row>
    <row r="890" spans="26:67">
      <c r="Z890" s="1190"/>
      <c r="AA890" s="1190"/>
      <c r="AB890" s="1190"/>
      <c r="AC890" s="1190"/>
      <c r="AD890" s="1190"/>
      <c r="AE890" s="1190"/>
      <c r="AF890" s="1190"/>
      <c r="AG890" s="1190"/>
      <c r="AH890" s="1190"/>
      <c r="AI890" s="1190"/>
      <c r="AJ890" s="1190"/>
      <c r="AK890" s="1190"/>
      <c r="AL890" s="1190"/>
      <c r="AM890" s="1190"/>
      <c r="AN890" s="1190"/>
      <c r="AO890" s="1190"/>
      <c r="AP890" s="1190"/>
      <c r="AQ890" s="1190"/>
      <c r="AR890" s="1190"/>
      <c r="AS890" s="1190"/>
      <c r="AT890" s="1190"/>
      <c r="AU890" s="1190"/>
      <c r="AV890" s="1190"/>
      <c r="AW890" s="1190"/>
      <c r="AX890" s="1190"/>
      <c r="AY890" s="1190"/>
      <c r="AZ890" s="1190"/>
      <c r="BA890" s="1190"/>
      <c r="BB890" s="1190"/>
      <c r="BC890" s="1190"/>
      <c r="BD890" s="1190"/>
      <c r="BE890" s="1190"/>
      <c r="BF890" s="1190"/>
      <c r="BG890" s="1190"/>
      <c r="BH890" s="1190"/>
      <c r="BI890" s="1190"/>
      <c r="BJ890" s="1190"/>
      <c r="BK890" s="1190"/>
      <c r="BL890" s="1190"/>
      <c r="BM890" s="1190"/>
      <c r="BN890" s="1190"/>
      <c r="BO890" s="1190"/>
    </row>
    <row r="891" spans="26:67">
      <c r="Z891" s="1190"/>
      <c r="AA891" s="1190"/>
      <c r="AB891" s="1190"/>
      <c r="AC891" s="1190"/>
      <c r="AD891" s="1190"/>
      <c r="AE891" s="1190"/>
      <c r="AF891" s="1190"/>
      <c r="AG891" s="1190"/>
      <c r="AH891" s="1190"/>
      <c r="AI891" s="1190"/>
      <c r="AJ891" s="1190"/>
      <c r="AK891" s="1190"/>
      <c r="AL891" s="1190"/>
      <c r="AM891" s="1190"/>
      <c r="AN891" s="1190"/>
      <c r="AO891" s="1190"/>
      <c r="AP891" s="1190"/>
      <c r="AQ891" s="1190"/>
      <c r="AR891" s="1190"/>
      <c r="AS891" s="1190"/>
      <c r="AT891" s="1190"/>
      <c r="AU891" s="1190"/>
      <c r="AV891" s="1190"/>
      <c r="AW891" s="1190"/>
      <c r="AX891" s="1190"/>
      <c r="AY891" s="1190"/>
      <c r="AZ891" s="1190"/>
      <c r="BA891" s="1190"/>
      <c r="BB891" s="1190"/>
      <c r="BC891" s="1190"/>
      <c r="BD891" s="1190"/>
      <c r="BE891" s="1190"/>
      <c r="BF891" s="1190"/>
      <c r="BG891" s="1190"/>
      <c r="BH891" s="1190"/>
      <c r="BI891" s="1190"/>
      <c r="BJ891" s="1190"/>
      <c r="BK891" s="1190"/>
      <c r="BL891" s="1190"/>
      <c r="BM891" s="1190"/>
      <c r="BN891" s="1190"/>
      <c r="BO891" s="1190"/>
    </row>
    <row r="892" spans="26:67">
      <c r="Z892" s="1190"/>
      <c r="AA892" s="1190"/>
      <c r="AB892" s="1190"/>
      <c r="AC892" s="1190"/>
      <c r="AD892" s="1190"/>
      <c r="AE892" s="1190"/>
      <c r="AF892" s="1190"/>
      <c r="AG892" s="1190"/>
      <c r="AH892" s="1190"/>
      <c r="AI892" s="1190"/>
      <c r="AJ892" s="1190"/>
      <c r="AK892" s="1190"/>
      <c r="AL892" s="1190"/>
      <c r="AM892" s="1190"/>
      <c r="AN892" s="1190"/>
      <c r="AO892" s="1190"/>
      <c r="AP892" s="1190"/>
      <c r="AQ892" s="1190"/>
      <c r="AR892" s="1190"/>
      <c r="AS892" s="1190"/>
      <c r="AT892" s="1190"/>
      <c r="AU892" s="1190"/>
      <c r="AV892" s="1190"/>
      <c r="AW892" s="1190"/>
      <c r="AX892" s="1190"/>
      <c r="AY892" s="1190"/>
      <c r="AZ892" s="1190"/>
      <c r="BA892" s="1190"/>
      <c r="BB892" s="1190"/>
      <c r="BC892" s="1190"/>
      <c r="BD892" s="1190"/>
      <c r="BE892" s="1190"/>
      <c r="BF892" s="1190"/>
      <c r="BG892" s="1190"/>
      <c r="BH892" s="1190"/>
      <c r="BI892" s="1190"/>
      <c r="BJ892" s="1190"/>
      <c r="BK892" s="1190"/>
      <c r="BL892" s="1190"/>
      <c r="BM892" s="1190"/>
      <c r="BN892" s="1190"/>
      <c r="BO892" s="1190"/>
    </row>
    <row r="893" spans="26:67">
      <c r="Z893" s="1190"/>
      <c r="AA893" s="1190"/>
      <c r="AB893" s="1190"/>
      <c r="AC893" s="1190"/>
      <c r="AD893" s="1190"/>
      <c r="AE893" s="1190"/>
      <c r="AF893" s="1190"/>
      <c r="AG893" s="1190"/>
      <c r="AH893" s="1190"/>
      <c r="AI893" s="1190"/>
      <c r="AJ893" s="1190"/>
      <c r="AK893" s="1190"/>
      <c r="AL893" s="1190"/>
      <c r="AM893" s="1190"/>
      <c r="AN893" s="1190"/>
      <c r="AO893" s="1190"/>
      <c r="AP893" s="1190"/>
      <c r="AQ893" s="1190"/>
      <c r="AR893" s="1190"/>
      <c r="AS893" s="1190"/>
      <c r="AT893" s="1190"/>
      <c r="AU893" s="1190"/>
      <c r="AV893" s="1190"/>
      <c r="AW893" s="1190"/>
      <c r="AX893" s="1190"/>
      <c r="AY893" s="1190"/>
      <c r="AZ893" s="1190"/>
      <c r="BA893" s="1190"/>
      <c r="BB893" s="1190"/>
      <c r="BC893" s="1190"/>
      <c r="BD893" s="1190"/>
      <c r="BE893" s="1190"/>
      <c r="BF893" s="1190"/>
      <c r="BG893" s="1190"/>
      <c r="BH893" s="1190"/>
      <c r="BI893" s="1190"/>
      <c r="BJ893" s="1190"/>
      <c r="BK893" s="1190"/>
      <c r="BL893" s="1190"/>
      <c r="BM893" s="1190"/>
      <c r="BN893" s="1190"/>
      <c r="BO893" s="1190"/>
    </row>
    <row r="894" spans="26:67">
      <c r="Z894" s="1190"/>
      <c r="AA894" s="1190"/>
      <c r="AB894" s="1190"/>
      <c r="AC894" s="1190"/>
      <c r="AD894" s="1190"/>
      <c r="AE894" s="1190"/>
      <c r="AF894" s="1190"/>
      <c r="AG894" s="1190"/>
      <c r="AH894" s="1190"/>
      <c r="AI894" s="1190"/>
      <c r="AJ894" s="1190"/>
      <c r="AK894" s="1190"/>
      <c r="AL894" s="1190"/>
      <c r="AM894" s="1190"/>
      <c r="AN894" s="1190"/>
      <c r="AO894" s="1190"/>
      <c r="AP894" s="1190"/>
      <c r="AQ894" s="1190"/>
      <c r="AR894" s="1190"/>
      <c r="AS894" s="1190"/>
      <c r="AT894" s="1190"/>
      <c r="AU894" s="1190"/>
      <c r="AV894" s="1190"/>
      <c r="AW894" s="1190"/>
      <c r="AX894" s="1190"/>
      <c r="AY894" s="1190"/>
      <c r="AZ894" s="1190"/>
      <c r="BA894" s="1190"/>
      <c r="BB894" s="1190"/>
      <c r="BC894" s="1190"/>
      <c r="BD894" s="1190"/>
      <c r="BE894" s="1190"/>
      <c r="BF894" s="1190"/>
      <c r="BG894" s="1190"/>
      <c r="BH894" s="1190"/>
      <c r="BI894" s="1190"/>
      <c r="BJ894" s="1190"/>
      <c r="BK894" s="1190"/>
      <c r="BL894" s="1190"/>
      <c r="BM894" s="1190"/>
      <c r="BN894" s="1190"/>
      <c r="BO894" s="1190"/>
    </row>
    <row r="895" spans="26:67">
      <c r="Z895" s="1190"/>
      <c r="AA895" s="1190"/>
      <c r="AB895" s="1190"/>
      <c r="AC895" s="1190"/>
      <c r="AD895" s="1190"/>
      <c r="AE895" s="1190"/>
      <c r="AF895" s="1190"/>
      <c r="AG895" s="1190"/>
      <c r="AH895" s="1190"/>
      <c r="AI895" s="1190"/>
      <c r="AJ895" s="1190"/>
      <c r="AK895" s="1190"/>
      <c r="AL895" s="1190"/>
      <c r="AM895" s="1190"/>
      <c r="AN895" s="1190"/>
      <c r="AO895" s="1190"/>
      <c r="AP895" s="1190"/>
      <c r="AQ895" s="1190"/>
      <c r="AR895" s="1190"/>
      <c r="AS895" s="1190"/>
      <c r="AT895" s="1190"/>
      <c r="AU895" s="1190"/>
      <c r="AV895" s="1190"/>
      <c r="AW895" s="1190"/>
      <c r="AX895" s="1190"/>
      <c r="AY895" s="1190"/>
      <c r="AZ895" s="1190"/>
      <c r="BA895" s="1190"/>
      <c r="BB895" s="1190"/>
      <c r="BC895" s="1190"/>
      <c r="BD895" s="1190"/>
      <c r="BE895" s="1190"/>
      <c r="BF895" s="1190"/>
      <c r="BG895" s="1190"/>
      <c r="BH895" s="1190"/>
      <c r="BI895" s="1190"/>
      <c r="BJ895" s="1190"/>
      <c r="BK895" s="1190"/>
      <c r="BL895" s="1190"/>
      <c r="BM895" s="1190"/>
      <c r="BN895" s="1190"/>
      <c r="BO895" s="1190"/>
    </row>
    <row r="896" spans="26:67">
      <c r="Z896" s="1190"/>
      <c r="AA896" s="1190"/>
      <c r="AB896" s="1190"/>
      <c r="AC896" s="1190"/>
      <c r="AD896" s="1190"/>
      <c r="AE896" s="1190"/>
      <c r="AF896" s="1190"/>
      <c r="AG896" s="1190"/>
      <c r="AH896" s="1190"/>
      <c r="AI896" s="1190"/>
      <c r="AJ896" s="1190"/>
      <c r="AK896" s="1190"/>
      <c r="AL896" s="1190"/>
      <c r="AM896" s="1190"/>
      <c r="AN896" s="1190"/>
      <c r="AO896" s="1190"/>
      <c r="AP896" s="1190"/>
      <c r="AQ896" s="1190"/>
      <c r="AR896" s="1190"/>
      <c r="AS896" s="1190"/>
      <c r="AT896" s="1190"/>
      <c r="AU896" s="1190"/>
      <c r="AV896" s="1190"/>
      <c r="AW896" s="1190"/>
      <c r="AX896" s="1190"/>
      <c r="AY896" s="1190"/>
      <c r="AZ896" s="1190"/>
      <c r="BA896" s="1190"/>
      <c r="BB896" s="1190"/>
      <c r="BC896" s="1190"/>
      <c r="BD896" s="1190"/>
      <c r="BE896" s="1190"/>
      <c r="BF896" s="1190"/>
      <c r="BG896" s="1190"/>
      <c r="BH896" s="1190"/>
      <c r="BI896" s="1190"/>
      <c r="BJ896" s="1190"/>
      <c r="BK896" s="1190"/>
      <c r="BL896" s="1190"/>
      <c r="BM896" s="1190"/>
      <c r="BN896" s="1190"/>
      <c r="BO896" s="1190"/>
    </row>
    <row r="897" spans="26:67">
      <c r="Z897" s="1190"/>
      <c r="AA897" s="1190"/>
      <c r="AB897" s="1190"/>
      <c r="AC897" s="1190"/>
      <c r="AD897" s="1190"/>
      <c r="AE897" s="1190"/>
      <c r="AF897" s="1190"/>
      <c r="AG897" s="1190"/>
      <c r="AH897" s="1190"/>
      <c r="AI897" s="1190"/>
      <c r="AJ897" s="1190"/>
      <c r="AK897" s="1190"/>
      <c r="AL897" s="1190"/>
      <c r="AM897" s="1190"/>
      <c r="AN897" s="1190"/>
      <c r="AO897" s="1190"/>
      <c r="AP897" s="1190"/>
      <c r="AQ897" s="1190"/>
      <c r="AR897" s="1190"/>
      <c r="AS897" s="1190"/>
      <c r="AT897" s="1190"/>
      <c r="AU897" s="1190"/>
      <c r="AV897" s="1190"/>
      <c r="AW897" s="1190"/>
      <c r="AX897" s="1190"/>
      <c r="AY897" s="1190"/>
      <c r="AZ897" s="1190"/>
      <c r="BA897" s="1190"/>
      <c r="BB897" s="1190"/>
      <c r="BC897" s="1190"/>
      <c r="BD897" s="1190"/>
      <c r="BE897" s="1190"/>
      <c r="BF897" s="1190"/>
      <c r="BG897" s="1190"/>
      <c r="BH897" s="1190"/>
      <c r="BI897" s="1190"/>
      <c r="BJ897" s="1190"/>
      <c r="BK897" s="1190"/>
      <c r="BL897" s="1190"/>
      <c r="BM897" s="1190"/>
      <c r="BN897" s="1190"/>
      <c r="BO897" s="1190"/>
    </row>
    <row r="898" spans="26:67">
      <c r="Z898" s="1190"/>
      <c r="AA898" s="1190"/>
      <c r="AB898" s="1190"/>
      <c r="AC898" s="1190"/>
      <c r="AD898" s="1190"/>
      <c r="AE898" s="1190"/>
      <c r="AF898" s="1190"/>
      <c r="AG898" s="1190"/>
      <c r="AH898" s="1190"/>
      <c r="AI898" s="1190"/>
      <c r="AJ898" s="1190"/>
      <c r="AK898" s="1190"/>
      <c r="AL898" s="1190"/>
      <c r="AM898" s="1190"/>
      <c r="AN898" s="1190"/>
      <c r="AO898" s="1190"/>
      <c r="AP898" s="1190"/>
      <c r="AQ898" s="1190"/>
      <c r="AR898" s="1190"/>
      <c r="AS898" s="1190"/>
      <c r="AT898" s="1190"/>
      <c r="AU898" s="1190"/>
      <c r="AV898" s="1190"/>
      <c r="AW898" s="1190"/>
      <c r="AX898" s="1190"/>
      <c r="AY898" s="1190"/>
      <c r="AZ898" s="1190"/>
      <c r="BA898" s="1190"/>
      <c r="BB898" s="1190"/>
      <c r="BC898" s="1190"/>
      <c r="BD898" s="1190"/>
      <c r="BE898" s="1190"/>
      <c r="BF898" s="1190"/>
      <c r="BG898" s="1190"/>
      <c r="BH898" s="1190"/>
      <c r="BI898" s="1190"/>
      <c r="BJ898" s="1190"/>
      <c r="BK898" s="1190"/>
      <c r="BL898" s="1190"/>
      <c r="BM898" s="1190"/>
      <c r="BN898" s="1190"/>
      <c r="BO898" s="1190"/>
    </row>
    <row r="899" spans="26:67">
      <c r="Z899" s="1190"/>
      <c r="AA899" s="1190"/>
      <c r="AB899" s="1190"/>
      <c r="AC899" s="1190"/>
      <c r="AD899" s="1190"/>
      <c r="AE899" s="1190"/>
      <c r="AF899" s="1190"/>
      <c r="AG899" s="1190"/>
      <c r="AH899" s="1190"/>
      <c r="AI899" s="1190"/>
      <c r="AJ899" s="1190"/>
      <c r="AK899" s="1190"/>
      <c r="AL899" s="1190"/>
      <c r="AM899" s="1190"/>
      <c r="AN899" s="1190"/>
      <c r="AO899" s="1190"/>
      <c r="AP899" s="1190"/>
      <c r="AQ899" s="1190"/>
      <c r="AR899" s="1190"/>
      <c r="AS899" s="1190"/>
      <c r="AT899" s="1190"/>
      <c r="AU899" s="1190"/>
      <c r="AV899" s="1190"/>
      <c r="AW899" s="1190"/>
      <c r="AX899" s="1190"/>
      <c r="AY899" s="1190"/>
      <c r="AZ899" s="1190"/>
      <c r="BA899" s="1190"/>
      <c r="BB899" s="1190"/>
      <c r="BC899" s="1190"/>
      <c r="BD899" s="1190"/>
      <c r="BE899" s="1190"/>
      <c r="BF899" s="1190"/>
      <c r="BG899" s="1190"/>
      <c r="BH899" s="1190"/>
      <c r="BI899" s="1190"/>
      <c r="BJ899" s="1190"/>
      <c r="BK899" s="1190"/>
      <c r="BL899" s="1190"/>
      <c r="BM899" s="1190"/>
      <c r="BN899" s="1190"/>
      <c r="BO899" s="1190"/>
    </row>
    <row r="900" spans="26:67">
      <c r="Z900" s="1190"/>
      <c r="AA900" s="1190"/>
      <c r="AB900" s="1190"/>
      <c r="AC900" s="1190"/>
      <c r="AD900" s="1190"/>
      <c r="AE900" s="1190"/>
      <c r="AF900" s="1190"/>
      <c r="AG900" s="1190"/>
      <c r="AH900" s="1190"/>
      <c r="AI900" s="1190"/>
      <c r="AJ900" s="1190"/>
      <c r="AK900" s="1190"/>
      <c r="AL900" s="1190"/>
      <c r="AM900" s="1190"/>
      <c r="AN900" s="1190"/>
      <c r="AO900" s="1190"/>
      <c r="AP900" s="1190"/>
      <c r="AQ900" s="1190"/>
      <c r="AR900" s="1190"/>
      <c r="AS900" s="1190"/>
      <c r="AT900" s="1190"/>
      <c r="AU900" s="1190"/>
      <c r="AV900" s="1190"/>
      <c r="AW900" s="1190"/>
      <c r="AX900" s="1190"/>
      <c r="AY900" s="1190"/>
      <c r="AZ900" s="1190"/>
      <c r="BA900" s="1190"/>
      <c r="BB900" s="1190"/>
      <c r="BC900" s="1190"/>
      <c r="BD900" s="1190"/>
      <c r="BE900" s="1190"/>
      <c r="BF900" s="1190"/>
      <c r="BG900" s="1190"/>
      <c r="BH900" s="1190"/>
      <c r="BI900" s="1190"/>
      <c r="BJ900" s="1190"/>
      <c r="BK900" s="1190"/>
      <c r="BL900" s="1190"/>
      <c r="BM900" s="1190"/>
      <c r="BN900" s="1190"/>
      <c r="BO900" s="1190"/>
    </row>
    <row r="901" spans="26:67">
      <c r="Z901" s="1190"/>
      <c r="AA901" s="1190"/>
      <c r="AB901" s="1190"/>
      <c r="AC901" s="1190"/>
      <c r="AD901" s="1190"/>
      <c r="AE901" s="1190"/>
      <c r="AF901" s="1190"/>
      <c r="AG901" s="1190"/>
      <c r="AH901" s="1190"/>
      <c r="AI901" s="1190"/>
      <c r="AJ901" s="1190"/>
      <c r="AK901" s="1190"/>
      <c r="AL901" s="1190"/>
      <c r="AM901" s="1190"/>
      <c r="AN901" s="1190"/>
      <c r="AO901" s="1190"/>
      <c r="AP901" s="1190"/>
      <c r="AQ901" s="1190"/>
      <c r="AR901" s="1190"/>
      <c r="AS901" s="1190"/>
      <c r="AT901" s="1190"/>
      <c r="AU901" s="1190"/>
      <c r="AV901" s="1190"/>
      <c r="AW901" s="1190"/>
      <c r="AX901" s="1190"/>
      <c r="AY901" s="1190"/>
      <c r="AZ901" s="1190"/>
      <c r="BA901" s="1190"/>
      <c r="BB901" s="1190"/>
      <c r="BC901" s="1190"/>
      <c r="BD901" s="1190"/>
      <c r="BE901" s="1190"/>
      <c r="BF901" s="1190"/>
      <c r="BG901" s="1190"/>
      <c r="BH901" s="1190"/>
      <c r="BI901" s="1190"/>
      <c r="BJ901" s="1190"/>
      <c r="BK901" s="1190"/>
      <c r="BL901" s="1190"/>
      <c r="BM901" s="1190"/>
      <c r="BN901" s="1190"/>
      <c r="BO901" s="1190"/>
    </row>
    <row r="902" spans="26:67">
      <c r="Z902" s="1190"/>
      <c r="AA902" s="1190"/>
      <c r="AB902" s="1190"/>
      <c r="AC902" s="1190"/>
      <c r="AD902" s="1190"/>
      <c r="AE902" s="1190"/>
      <c r="AF902" s="1190"/>
      <c r="AG902" s="1190"/>
      <c r="AH902" s="1190"/>
      <c r="AI902" s="1190"/>
      <c r="AJ902" s="1190"/>
      <c r="AK902" s="1190"/>
      <c r="AL902" s="1190"/>
      <c r="AM902" s="1190"/>
      <c r="AN902" s="1190"/>
      <c r="AO902" s="1190"/>
      <c r="AP902" s="1190"/>
      <c r="AQ902" s="1190"/>
      <c r="AR902" s="1190"/>
      <c r="AS902" s="1190"/>
      <c r="AT902" s="1190"/>
      <c r="AU902" s="1190"/>
      <c r="AV902" s="1190"/>
      <c r="AW902" s="1190"/>
      <c r="AX902" s="1190"/>
      <c r="AY902" s="1190"/>
      <c r="AZ902" s="1190"/>
      <c r="BA902" s="1190"/>
      <c r="BB902" s="1190"/>
      <c r="BC902" s="1190"/>
      <c r="BD902" s="1190"/>
      <c r="BE902" s="1190"/>
      <c r="BF902" s="1190"/>
      <c r="BG902" s="1190"/>
      <c r="BH902" s="1190"/>
      <c r="BI902" s="1190"/>
      <c r="BJ902" s="1190"/>
      <c r="BK902" s="1190"/>
      <c r="BL902" s="1190"/>
      <c r="BM902" s="1190"/>
      <c r="BN902" s="1190"/>
      <c r="BO902" s="1190"/>
    </row>
    <row r="903" spans="26:67">
      <c r="Z903" s="1190"/>
      <c r="AA903" s="1190"/>
      <c r="AB903" s="1190"/>
      <c r="AC903" s="1190"/>
      <c r="AD903" s="1190"/>
      <c r="AE903" s="1190"/>
      <c r="AF903" s="1190"/>
      <c r="AG903" s="1190"/>
      <c r="AH903" s="1190"/>
      <c r="AI903" s="1190"/>
      <c r="AJ903" s="1190"/>
      <c r="AK903" s="1190"/>
      <c r="AL903" s="1190"/>
      <c r="AM903" s="1190"/>
      <c r="AN903" s="1190"/>
      <c r="AO903" s="1190"/>
      <c r="AP903" s="1190"/>
      <c r="AQ903" s="1190"/>
      <c r="AR903" s="1190"/>
      <c r="AS903" s="1190"/>
      <c r="AT903" s="1190"/>
      <c r="AU903" s="1190"/>
      <c r="AV903" s="1190"/>
      <c r="AW903" s="1190"/>
      <c r="AX903" s="1190"/>
      <c r="AY903" s="1190"/>
      <c r="AZ903" s="1190"/>
      <c r="BA903" s="1190"/>
      <c r="BB903" s="1190"/>
      <c r="BC903" s="1190"/>
      <c r="BD903" s="1190"/>
      <c r="BE903" s="1190"/>
      <c r="BF903" s="1190"/>
      <c r="BG903" s="1190"/>
      <c r="BH903" s="1190"/>
      <c r="BI903" s="1190"/>
      <c r="BJ903" s="1190"/>
      <c r="BK903" s="1190"/>
      <c r="BL903" s="1190"/>
      <c r="BM903" s="1190"/>
      <c r="BN903" s="1190"/>
      <c r="BO903" s="1190"/>
    </row>
    <row r="904" spans="26:67">
      <c r="Z904" s="1190"/>
      <c r="AA904" s="1190"/>
      <c r="AB904" s="1190"/>
      <c r="AC904" s="1190"/>
      <c r="AD904" s="1190"/>
      <c r="AE904" s="1190"/>
      <c r="AF904" s="1190"/>
      <c r="AG904" s="1190"/>
      <c r="AH904" s="1190"/>
      <c r="AI904" s="1190"/>
      <c r="AJ904" s="1190"/>
      <c r="AK904" s="1190"/>
      <c r="AL904" s="1190"/>
      <c r="AM904" s="1190"/>
      <c r="AN904" s="1190"/>
      <c r="AO904" s="1190"/>
      <c r="AP904" s="1190"/>
      <c r="AQ904" s="1190"/>
      <c r="AR904" s="1190"/>
      <c r="AS904" s="1190"/>
      <c r="AT904" s="1190"/>
      <c r="AU904" s="1190"/>
      <c r="AV904" s="1190"/>
      <c r="AW904" s="1190"/>
      <c r="AX904" s="1190"/>
      <c r="AY904" s="1190"/>
      <c r="AZ904" s="1190"/>
      <c r="BA904" s="1190"/>
      <c r="BB904" s="1190"/>
      <c r="BC904" s="1190"/>
      <c r="BD904" s="1190"/>
      <c r="BE904" s="1190"/>
      <c r="BF904" s="1190"/>
      <c r="BG904" s="1190"/>
      <c r="BH904" s="1190"/>
      <c r="BI904" s="1190"/>
      <c r="BJ904" s="1190"/>
      <c r="BK904" s="1190"/>
      <c r="BL904" s="1190"/>
      <c r="BM904" s="1190"/>
      <c r="BN904" s="1190"/>
      <c r="BO904" s="1190"/>
    </row>
    <row r="905" spans="26:67">
      <c r="Z905" s="1190"/>
      <c r="AA905" s="1190"/>
      <c r="AB905" s="1190"/>
      <c r="AC905" s="1190"/>
      <c r="AD905" s="1190"/>
      <c r="AE905" s="1190"/>
      <c r="AF905" s="1190"/>
      <c r="AG905" s="1190"/>
      <c r="AH905" s="1190"/>
      <c r="AI905" s="1190"/>
      <c r="AJ905" s="1190"/>
      <c r="AK905" s="1190"/>
      <c r="AL905" s="1190"/>
      <c r="AM905" s="1190"/>
      <c r="AN905" s="1190"/>
      <c r="AO905" s="1190"/>
      <c r="AP905" s="1190"/>
      <c r="AQ905" s="1190"/>
      <c r="AR905" s="1190"/>
      <c r="AS905" s="1190"/>
      <c r="AT905" s="1190"/>
      <c r="AU905" s="1190"/>
      <c r="AV905" s="1190"/>
      <c r="AW905" s="1190"/>
      <c r="AX905" s="1190"/>
      <c r="AY905" s="1190"/>
      <c r="AZ905" s="1190"/>
      <c r="BA905" s="1190"/>
      <c r="BB905" s="1190"/>
      <c r="BC905" s="1190"/>
      <c r="BD905" s="1190"/>
      <c r="BE905" s="1190"/>
      <c r="BF905" s="1190"/>
      <c r="BG905" s="1190"/>
      <c r="BH905" s="1190"/>
      <c r="BI905" s="1190"/>
      <c r="BJ905" s="1190"/>
      <c r="BK905" s="1190"/>
      <c r="BL905" s="1190"/>
      <c r="BM905" s="1190"/>
      <c r="BN905" s="1190"/>
      <c r="BO905" s="1190"/>
    </row>
    <row r="906" spans="26:67">
      <c r="Z906" s="1190"/>
      <c r="AA906" s="1190"/>
      <c r="AB906" s="1190"/>
      <c r="AC906" s="1190"/>
      <c r="AD906" s="1190"/>
      <c r="AE906" s="1190"/>
      <c r="AF906" s="1190"/>
      <c r="AG906" s="1190"/>
      <c r="AH906" s="1190"/>
      <c r="AI906" s="1190"/>
      <c r="AJ906" s="1190"/>
      <c r="AK906" s="1190"/>
      <c r="AL906" s="1190"/>
      <c r="AM906" s="1190"/>
      <c r="AN906" s="1190"/>
      <c r="AO906" s="1190"/>
      <c r="AP906" s="1190"/>
      <c r="AQ906" s="1190"/>
      <c r="AR906" s="1190"/>
      <c r="AS906" s="1190"/>
      <c r="AT906" s="1190"/>
      <c r="AU906" s="1190"/>
      <c r="AV906" s="1190"/>
      <c r="AW906" s="1190"/>
      <c r="AX906" s="1190"/>
      <c r="AY906" s="1190"/>
      <c r="AZ906" s="1190"/>
      <c r="BA906" s="1190"/>
      <c r="BB906" s="1190"/>
      <c r="BC906" s="1190"/>
      <c r="BD906" s="1190"/>
      <c r="BE906" s="1190"/>
      <c r="BF906" s="1190"/>
      <c r="BG906" s="1190"/>
      <c r="BH906" s="1190"/>
      <c r="BI906" s="1190"/>
      <c r="BJ906" s="1190"/>
      <c r="BK906" s="1190"/>
      <c r="BL906" s="1190"/>
      <c r="BM906" s="1190"/>
      <c r="BN906" s="1190"/>
      <c r="BO906" s="1190"/>
    </row>
    <row r="907" spans="26:67">
      <c r="Z907" s="1190"/>
      <c r="AA907" s="1190"/>
      <c r="AB907" s="1190"/>
      <c r="AC907" s="1190"/>
      <c r="AD907" s="1190"/>
      <c r="AE907" s="1190"/>
      <c r="AF907" s="1190"/>
      <c r="AG907" s="1190"/>
      <c r="AH907" s="1190"/>
      <c r="AI907" s="1190"/>
      <c r="AJ907" s="1190"/>
      <c r="AK907" s="1190"/>
      <c r="AL907" s="1190"/>
      <c r="AM907" s="1190"/>
      <c r="AN907" s="1190"/>
      <c r="AO907" s="1190"/>
      <c r="AP907" s="1190"/>
      <c r="AQ907" s="1190"/>
      <c r="AR907" s="1190"/>
      <c r="AS907" s="1190"/>
      <c r="AT907" s="1190"/>
      <c r="AU907" s="1190"/>
      <c r="AV907" s="1190"/>
      <c r="AW907" s="1190"/>
      <c r="AX907" s="1190"/>
      <c r="AY907" s="1190"/>
      <c r="AZ907" s="1190"/>
      <c r="BA907" s="1190"/>
      <c r="BB907" s="1190"/>
      <c r="BC907" s="1190"/>
      <c r="BD907" s="1190"/>
      <c r="BE907" s="1190"/>
      <c r="BF907" s="1190"/>
      <c r="BG907" s="1190"/>
      <c r="BH907" s="1190"/>
      <c r="BI907" s="1190"/>
      <c r="BJ907" s="1190"/>
      <c r="BK907" s="1190"/>
      <c r="BL907" s="1190"/>
      <c r="BM907" s="1190"/>
      <c r="BN907" s="1190"/>
      <c r="BO907" s="1190"/>
    </row>
    <row r="908" spans="26:67">
      <c r="Z908" s="1190"/>
      <c r="AA908" s="1190"/>
      <c r="AB908" s="1190"/>
      <c r="AC908" s="1190"/>
      <c r="AD908" s="1190"/>
      <c r="AE908" s="1190"/>
      <c r="AF908" s="1190"/>
      <c r="AG908" s="1190"/>
      <c r="AH908" s="1190"/>
      <c r="AI908" s="1190"/>
      <c r="AJ908" s="1190"/>
      <c r="AK908" s="1190"/>
      <c r="AL908" s="1190"/>
      <c r="AM908" s="1190"/>
      <c r="AN908" s="1190"/>
      <c r="AO908" s="1190"/>
      <c r="AP908" s="1190"/>
      <c r="AQ908" s="1190"/>
      <c r="AR908" s="1190"/>
      <c r="AS908" s="1190"/>
      <c r="AT908" s="1190"/>
      <c r="AU908" s="1190"/>
      <c r="AV908" s="1190"/>
      <c r="AW908" s="1190"/>
      <c r="AX908" s="1190"/>
      <c r="AY908" s="1190"/>
      <c r="AZ908" s="1190"/>
      <c r="BA908" s="1190"/>
      <c r="BB908" s="1190"/>
      <c r="BC908" s="1190"/>
      <c r="BD908" s="1190"/>
      <c r="BE908" s="1190"/>
      <c r="BF908" s="1190"/>
      <c r="BG908" s="1190"/>
      <c r="BH908" s="1190"/>
      <c r="BI908" s="1190"/>
      <c r="BJ908" s="1190"/>
      <c r="BK908" s="1190"/>
      <c r="BL908" s="1190"/>
      <c r="BM908" s="1190"/>
      <c r="BN908" s="1190"/>
      <c r="BO908" s="1190"/>
    </row>
    <row r="909" spans="26:67">
      <c r="Z909" s="1190"/>
      <c r="AA909" s="1190"/>
      <c r="AB909" s="1190"/>
      <c r="AC909" s="1190"/>
      <c r="AD909" s="1190"/>
      <c r="AE909" s="1190"/>
      <c r="AF909" s="1190"/>
      <c r="AG909" s="1190"/>
      <c r="AH909" s="1190"/>
      <c r="AI909" s="1190"/>
      <c r="AJ909" s="1190"/>
      <c r="AK909" s="1190"/>
      <c r="AL909" s="1190"/>
      <c r="AM909" s="1190"/>
      <c r="AN909" s="1190"/>
      <c r="AO909" s="1190"/>
      <c r="AP909" s="1190"/>
      <c r="AQ909" s="1190"/>
      <c r="AR909" s="1190"/>
      <c r="AS909" s="1190"/>
      <c r="AT909" s="1190"/>
      <c r="AU909" s="1190"/>
      <c r="AV909" s="1190"/>
      <c r="AW909" s="1190"/>
      <c r="AX909" s="1190"/>
      <c r="AY909" s="1190"/>
      <c r="AZ909" s="1190"/>
      <c r="BA909" s="1190"/>
      <c r="BB909" s="1190"/>
      <c r="BC909" s="1190"/>
      <c r="BD909" s="1190"/>
      <c r="BE909" s="1190"/>
      <c r="BF909" s="1190"/>
      <c r="BG909" s="1190"/>
      <c r="BH909" s="1190"/>
      <c r="BI909" s="1190"/>
      <c r="BJ909" s="1190"/>
      <c r="BK909" s="1190"/>
      <c r="BL909" s="1190"/>
      <c r="BM909" s="1190"/>
      <c r="BN909" s="1190"/>
      <c r="BO909" s="1190"/>
    </row>
    <row r="910" spans="26:67">
      <c r="Z910" s="1190"/>
      <c r="AA910" s="1190"/>
      <c r="AB910" s="1190"/>
      <c r="AC910" s="1190"/>
      <c r="AD910" s="1190"/>
      <c r="AE910" s="1190"/>
      <c r="AF910" s="1190"/>
      <c r="AG910" s="1190"/>
      <c r="AH910" s="1190"/>
      <c r="AI910" s="1190"/>
      <c r="AJ910" s="1190"/>
      <c r="AK910" s="1190"/>
      <c r="AL910" s="1190"/>
      <c r="AM910" s="1190"/>
      <c r="AN910" s="1190"/>
      <c r="AO910" s="1190"/>
      <c r="AP910" s="1190"/>
      <c r="AQ910" s="1190"/>
      <c r="AR910" s="1190"/>
      <c r="AS910" s="1190"/>
      <c r="AT910" s="1190"/>
      <c r="AU910" s="1190"/>
      <c r="AV910" s="1190"/>
      <c r="AW910" s="1190"/>
      <c r="AX910" s="1190"/>
      <c r="AY910" s="1190"/>
      <c r="AZ910" s="1190"/>
      <c r="BA910" s="1190"/>
      <c r="BB910" s="1190"/>
      <c r="BC910" s="1190"/>
      <c r="BD910" s="1190"/>
      <c r="BE910" s="1190"/>
      <c r="BF910" s="1190"/>
      <c r="BG910" s="1190"/>
      <c r="BH910" s="1190"/>
      <c r="BI910" s="1190"/>
      <c r="BJ910" s="1190"/>
      <c r="BK910" s="1190"/>
      <c r="BL910" s="1190"/>
      <c r="BM910" s="1190"/>
      <c r="BN910" s="1190"/>
      <c r="BO910" s="1190"/>
    </row>
    <row r="911" spans="26:67">
      <c r="Z911" s="1190"/>
      <c r="AA911" s="1190"/>
      <c r="AB911" s="1190"/>
      <c r="AC911" s="1190"/>
      <c r="AD911" s="1190"/>
      <c r="AE911" s="1190"/>
      <c r="AF911" s="1190"/>
      <c r="AG911" s="1190"/>
      <c r="AH911" s="1190"/>
      <c r="AI911" s="1190"/>
      <c r="AJ911" s="1190"/>
      <c r="AK911" s="1190"/>
      <c r="AL911" s="1190"/>
      <c r="AM911" s="1190"/>
      <c r="AN911" s="1190"/>
      <c r="AO911" s="1190"/>
      <c r="AP911" s="1190"/>
      <c r="AQ911" s="1190"/>
      <c r="AR911" s="1190"/>
      <c r="AS911" s="1190"/>
      <c r="AT911" s="1190"/>
      <c r="AU911" s="1190"/>
      <c r="AV911" s="1190"/>
      <c r="AW911" s="1190"/>
      <c r="AX911" s="1190"/>
      <c r="AY911" s="1190"/>
      <c r="AZ911" s="1190"/>
      <c r="BA911" s="1190"/>
      <c r="BB911" s="1190"/>
      <c r="BC911" s="1190"/>
      <c r="BD911" s="1190"/>
      <c r="BE911" s="1190"/>
      <c r="BF911" s="1190"/>
      <c r="BG911" s="1190"/>
      <c r="BH911" s="1190"/>
      <c r="BI911" s="1190"/>
      <c r="BJ911" s="1190"/>
      <c r="BK911" s="1190"/>
      <c r="BL911" s="1190"/>
      <c r="BM911" s="1190"/>
      <c r="BN911" s="1190"/>
      <c r="BO911" s="1190"/>
    </row>
    <row r="912" spans="26:67">
      <c r="Z912" s="1190"/>
      <c r="AA912" s="1190"/>
      <c r="AB912" s="1190"/>
      <c r="AC912" s="1190"/>
      <c r="AD912" s="1190"/>
      <c r="AE912" s="1190"/>
      <c r="AF912" s="1190"/>
      <c r="AG912" s="1190"/>
      <c r="AH912" s="1190"/>
      <c r="AI912" s="1190"/>
      <c r="AJ912" s="1190"/>
      <c r="AK912" s="1190"/>
      <c r="AL912" s="1190"/>
      <c r="AM912" s="1190"/>
      <c r="AN912" s="1190"/>
      <c r="AO912" s="1190"/>
      <c r="AP912" s="1190"/>
      <c r="AQ912" s="1190"/>
      <c r="AR912" s="1190"/>
      <c r="AS912" s="1190"/>
      <c r="AT912" s="1190"/>
      <c r="AU912" s="1190"/>
      <c r="AV912" s="1190"/>
      <c r="AW912" s="1190"/>
      <c r="AX912" s="1190"/>
      <c r="AY912" s="1190"/>
      <c r="AZ912" s="1190"/>
      <c r="BA912" s="1190"/>
      <c r="BB912" s="1190"/>
      <c r="BC912" s="1190"/>
      <c r="BD912" s="1190"/>
      <c r="BE912" s="1190"/>
      <c r="BF912" s="1190"/>
      <c r="BG912" s="1190"/>
      <c r="BH912" s="1190"/>
      <c r="BI912" s="1190"/>
      <c r="BJ912" s="1190"/>
      <c r="BK912" s="1190"/>
      <c r="BL912" s="1190"/>
      <c r="BM912" s="1190"/>
      <c r="BN912" s="1190"/>
      <c r="BO912" s="1190"/>
    </row>
    <row r="913" spans="26:67">
      <c r="Z913" s="1190"/>
      <c r="AA913" s="1190"/>
      <c r="AB913" s="1190"/>
      <c r="AC913" s="1190"/>
      <c r="AD913" s="1190"/>
      <c r="AE913" s="1190"/>
      <c r="AF913" s="1190"/>
      <c r="AG913" s="1190"/>
      <c r="AH913" s="1190"/>
      <c r="AI913" s="1190"/>
      <c r="AJ913" s="1190"/>
      <c r="AK913" s="1190"/>
      <c r="AL913" s="1190"/>
      <c r="AM913" s="1190"/>
      <c r="AN913" s="1190"/>
      <c r="AO913" s="1190"/>
      <c r="AP913" s="1190"/>
      <c r="AQ913" s="1190"/>
      <c r="AR913" s="1190"/>
      <c r="AS913" s="1190"/>
      <c r="AT913" s="1190"/>
      <c r="AU913" s="1190"/>
      <c r="AV913" s="1190"/>
      <c r="AW913" s="1190"/>
      <c r="AX913" s="1190"/>
      <c r="AY913" s="1190"/>
      <c r="AZ913" s="1190"/>
      <c r="BA913" s="1190"/>
      <c r="BB913" s="1190"/>
      <c r="BC913" s="1190"/>
      <c r="BD913" s="1190"/>
      <c r="BE913" s="1190"/>
      <c r="BF913" s="1190"/>
      <c r="BG913" s="1190"/>
      <c r="BH913" s="1190"/>
      <c r="BI913" s="1190"/>
      <c r="BJ913" s="1190"/>
      <c r="BK913" s="1190"/>
      <c r="BL913" s="1190"/>
      <c r="BM913" s="1190"/>
      <c r="BN913" s="1190"/>
      <c r="BO913" s="1190"/>
    </row>
    <row r="914" spans="26:67">
      <c r="Z914" s="1190"/>
      <c r="AA914" s="1190"/>
      <c r="AB914" s="1190"/>
      <c r="AC914" s="1190"/>
      <c r="AD914" s="1190"/>
      <c r="AE914" s="1190"/>
      <c r="AF914" s="1190"/>
      <c r="AG914" s="1190"/>
      <c r="AH914" s="1190"/>
      <c r="AI914" s="1190"/>
      <c r="AJ914" s="1190"/>
      <c r="AK914" s="1190"/>
      <c r="AL914" s="1190"/>
      <c r="AM914" s="1190"/>
      <c r="AN914" s="1190"/>
      <c r="AO914" s="1190"/>
      <c r="AP914" s="1190"/>
      <c r="AQ914" s="1190"/>
      <c r="AR914" s="1190"/>
      <c r="AS914" s="1190"/>
      <c r="AT914" s="1190"/>
      <c r="AU914" s="1190"/>
      <c r="AV914" s="1190"/>
      <c r="AW914" s="1190"/>
      <c r="AX914" s="1190"/>
      <c r="AY914" s="1190"/>
      <c r="AZ914" s="1190"/>
      <c r="BA914" s="1190"/>
      <c r="BB914" s="1190"/>
      <c r="BC914" s="1190"/>
      <c r="BD914" s="1190"/>
      <c r="BE914" s="1190"/>
      <c r="BF914" s="1190"/>
      <c r="BG914" s="1190"/>
      <c r="BH914" s="1190"/>
      <c r="BI914" s="1190"/>
      <c r="BJ914" s="1190"/>
      <c r="BK914" s="1190"/>
      <c r="BL914" s="1190"/>
      <c r="BM914" s="1190"/>
      <c r="BN914" s="1190"/>
      <c r="BO914" s="1190"/>
    </row>
    <row r="915" spans="26:67">
      <c r="Z915" s="1190"/>
      <c r="AA915" s="1190"/>
      <c r="AB915" s="1190"/>
      <c r="AC915" s="1190"/>
      <c r="AD915" s="1190"/>
      <c r="AE915" s="1190"/>
      <c r="AF915" s="1190"/>
      <c r="AG915" s="1190"/>
      <c r="AH915" s="1190"/>
      <c r="AI915" s="1190"/>
      <c r="AJ915" s="1190"/>
      <c r="AK915" s="1190"/>
      <c r="AL915" s="1190"/>
      <c r="AM915" s="1190"/>
      <c r="AN915" s="1190"/>
      <c r="AO915" s="1190"/>
      <c r="AP915" s="1190"/>
      <c r="AQ915" s="1190"/>
      <c r="AR915" s="1190"/>
      <c r="AS915" s="1190"/>
      <c r="AT915" s="1190"/>
      <c r="AU915" s="1190"/>
      <c r="AV915" s="1190"/>
      <c r="AW915" s="1190"/>
      <c r="AX915" s="1190"/>
      <c r="AY915" s="1190"/>
      <c r="AZ915" s="1190"/>
      <c r="BA915" s="1190"/>
      <c r="BB915" s="1190"/>
      <c r="BC915" s="1190"/>
      <c r="BD915" s="1190"/>
      <c r="BE915" s="1190"/>
      <c r="BF915" s="1190"/>
      <c r="BG915" s="1190"/>
      <c r="BH915" s="1190"/>
      <c r="BI915" s="1190"/>
      <c r="BJ915" s="1190"/>
      <c r="BK915" s="1190"/>
      <c r="BL915" s="1190"/>
      <c r="BM915" s="1190"/>
      <c r="BN915" s="1190"/>
      <c r="BO915" s="1190"/>
    </row>
    <row r="916" spans="26:67">
      <c r="Z916" s="1190"/>
      <c r="AA916" s="1190"/>
      <c r="AB916" s="1190"/>
      <c r="AC916" s="1190"/>
      <c r="AD916" s="1190"/>
      <c r="AE916" s="1190"/>
      <c r="AF916" s="1190"/>
      <c r="AG916" s="1190"/>
      <c r="AH916" s="1190"/>
      <c r="AI916" s="1190"/>
      <c r="AJ916" s="1190"/>
      <c r="AK916" s="1190"/>
      <c r="AL916" s="1190"/>
      <c r="AM916" s="1190"/>
      <c r="AN916" s="1190"/>
      <c r="AO916" s="1190"/>
      <c r="AP916" s="1190"/>
      <c r="AQ916" s="1190"/>
      <c r="AR916" s="1190"/>
      <c r="AS916" s="1190"/>
      <c r="AT916" s="1190"/>
      <c r="AU916" s="1190"/>
      <c r="AV916" s="1190"/>
      <c r="AW916" s="1190"/>
      <c r="AX916" s="1190"/>
      <c r="AY916" s="1190"/>
      <c r="AZ916" s="1190"/>
      <c r="BA916" s="1190"/>
      <c r="BB916" s="1190"/>
      <c r="BC916" s="1190"/>
      <c r="BD916" s="1190"/>
      <c r="BE916" s="1190"/>
      <c r="BF916" s="1190"/>
      <c r="BG916" s="1190"/>
      <c r="BH916" s="1190"/>
      <c r="BI916" s="1190"/>
      <c r="BJ916" s="1190"/>
      <c r="BK916" s="1190"/>
      <c r="BL916" s="1190"/>
      <c r="BM916" s="1190"/>
      <c r="BN916" s="1190"/>
      <c r="BO916" s="1190"/>
    </row>
    <row r="917" spans="26:67">
      <c r="Z917" s="1190"/>
      <c r="AA917" s="1190"/>
      <c r="AB917" s="1190"/>
      <c r="AC917" s="1190"/>
      <c r="AD917" s="1190"/>
      <c r="AE917" s="1190"/>
      <c r="AF917" s="1190"/>
      <c r="AG917" s="1190"/>
      <c r="AH917" s="1190"/>
      <c r="AI917" s="1190"/>
      <c r="AJ917" s="1190"/>
      <c r="AK917" s="1190"/>
      <c r="AL917" s="1190"/>
      <c r="AM917" s="1190"/>
      <c r="AN917" s="1190"/>
      <c r="AO917" s="1190"/>
      <c r="AP917" s="1190"/>
      <c r="AQ917" s="1190"/>
      <c r="AR917" s="1190"/>
      <c r="AS917" s="1190"/>
      <c r="AT917" s="1190"/>
      <c r="AU917" s="1190"/>
      <c r="AV917" s="1190"/>
      <c r="AW917" s="1190"/>
      <c r="AX917" s="1190"/>
      <c r="AY917" s="1190"/>
      <c r="AZ917" s="1190"/>
      <c r="BA917" s="1190"/>
      <c r="BB917" s="1190"/>
      <c r="BC917" s="1190"/>
      <c r="BD917" s="1190"/>
      <c r="BE917" s="1190"/>
      <c r="BF917" s="1190"/>
      <c r="BG917" s="1190"/>
      <c r="BH917" s="1190"/>
      <c r="BI917" s="1190"/>
      <c r="BJ917" s="1190"/>
      <c r="BK917" s="1190"/>
      <c r="BL917" s="1190"/>
      <c r="BM917" s="1190"/>
      <c r="BN917" s="1190"/>
      <c r="BO917" s="1190"/>
    </row>
    <row r="918" spans="26:67">
      <c r="Z918" s="1190"/>
      <c r="AA918" s="1190"/>
      <c r="AB918" s="1190"/>
      <c r="AC918" s="1190"/>
      <c r="AD918" s="1190"/>
      <c r="AE918" s="1190"/>
      <c r="AF918" s="1190"/>
      <c r="AG918" s="1190"/>
      <c r="AH918" s="1190"/>
      <c r="AI918" s="1190"/>
      <c r="AJ918" s="1190"/>
      <c r="AK918" s="1190"/>
      <c r="AL918" s="1190"/>
      <c r="AM918" s="1190"/>
      <c r="AN918" s="1190"/>
      <c r="AO918" s="1190"/>
      <c r="AP918" s="1190"/>
      <c r="AQ918" s="1190"/>
      <c r="AR918" s="1190"/>
      <c r="AS918" s="1190"/>
      <c r="AT918" s="1190"/>
      <c r="AU918" s="1190"/>
      <c r="AV918" s="1190"/>
      <c r="AW918" s="1190"/>
      <c r="AX918" s="1190"/>
      <c r="AY918" s="1190"/>
      <c r="AZ918" s="1190"/>
      <c r="BA918" s="1190"/>
      <c r="BB918" s="1190"/>
      <c r="BC918" s="1190"/>
      <c r="BD918" s="1190"/>
      <c r="BE918" s="1190"/>
      <c r="BF918" s="1190"/>
      <c r="BG918" s="1190"/>
      <c r="BH918" s="1190"/>
      <c r="BI918" s="1190"/>
      <c r="BJ918" s="1190"/>
      <c r="BK918" s="1190"/>
      <c r="BL918" s="1190"/>
      <c r="BM918" s="1190"/>
      <c r="BN918" s="1190"/>
      <c r="BO918" s="1190"/>
    </row>
    <row r="919" spans="26:67">
      <c r="Z919" s="1190"/>
      <c r="AA919" s="1190"/>
      <c r="AB919" s="1190"/>
      <c r="AC919" s="1190"/>
      <c r="AD919" s="1190"/>
      <c r="AE919" s="1190"/>
      <c r="AF919" s="1190"/>
      <c r="AG919" s="1190"/>
      <c r="AH919" s="1190"/>
      <c r="AI919" s="1190"/>
      <c r="AJ919" s="1190"/>
      <c r="AK919" s="1190"/>
      <c r="AL919" s="1190"/>
      <c r="AM919" s="1190"/>
      <c r="AN919" s="1190"/>
      <c r="AO919" s="1190"/>
      <c r="AP919" s="1190"/>
      <c r="AQ919" s="1190"/>
      <c r="AR919" s="1190"/>
      <c r="AS919" s="1190"/>
      <c r="AT919" s="1190"/>
      <c r="AU919" s="1190"/>
      <c r="AV919" s="1190"/>
      <c r="AW919" s="1190"/>
      <c r="AX919" s="1190"/>
      <c r="AY919" s="1190"/>
      <c r="AZ919" s="1190"/>
      <c r="BA919" s="1190"/>
      <c r="BB919" s="1190"/>
      <c r="BC919" s="1190"/>
      <c r="BD919" s="1190"/>
      <c r="BE919" s="1190"/>
      <c r="BF919" s="1190"/>
      <c r="BG919" s="1190"/>
      <c r="BH919" s="1190"/>
      <c r="BI919" s="1190"/>
      <c r="BJ919" s="1190"/>
      <c r="BK919" s="1190"/>
      <c r="BL919" s="1190"/>
      <c r="BM919" s="1190"/>
      <c r="BN919" s="1190"/>
      <c r="BO919" s="1190"/>
    </row>
    <row r="920" spans="26:67">
      <c r="Z920" s="1190"/>
      <c r="AA920" s="1190"/>
      <c r="AB920" s="1190"/>
      <c r="AC920" s="1190"/>
      <c r="AD920" s="1190"/>
      <c r="AE920" s="1190"/>
      <c r="AF920" s="1190"/>
      <c r="AG920" s="1190"/>
      <c r="AH920" s="1190"/>
      <c r="AI920" s="1190"/>
      <c r="AJ920" s="1190"/>
      <c r="AK920" s="1190"/>
      <c r="AL920" s="1190"/>
      <c r="AM920" s="1190"/>
      <c r="AN920" s="1190"/>
      <c r="AO920" s="1190"/>
      <c r="AP920" s="1190"/>
      <c r="AQ920" s="1190"/>
      <c r="AR920" s="1190"/>
      <c r="AS920" s="1190"/>
      <c r="AT920" s="1190"/>
      <c r="AU920" s="1190"/>
      <c r="AV920" s="1190"/>
      <c r="AW920" s="1190"/>
      <c r="AX920" s="1190"/>
      <c r="AY920" s="1190"/>
      <c r="AZ920" s="1190"/>
      <c r="BA920" s="1190"/>
      <c r="BB920" s="1190"/>
      <c r="BC920" s="1190"/>
      <c r="BD920" s="1190"/>
      <c r="BE920" s="1190"/>
      <c r="BF920" s="1190"/>
      <c r="BG920" s="1190"/>
      <c r="BH920" s="1190"/>
      <c r="BI920" s="1190"/>
      <c r="BJ920" s="1190"/>
      <c r="BK920" s="1190"/>
      <c r="BL920" s="1190"/>
      <c r="BM920" s="1190"/>
      <c r="BN920" s="1190"/>
      <c r="BO920" s="1190"/>
    </row>
    <row r="921" spans="26:67">
      <c r="Z921" s="1190"/>
      <c r="AA921" s="1190"/>
      <c r="AB921" s="1190"/>
      <c r="AC921" s="1190"/>
      <c r="AD921" s="1190"/>
      <c r="AE921" s="1190"/>
      <c r="AF921" s="1190"/>
      <c r="AG921" s="1190"/>
      <c r="AH921" s="1190"/>
      <c r="AI921" s="1190"/>
      <c r="AJ921" s="1190"/>
      <c r="AK921" s="1190"/>
      <c r="AL921" s="1190"/>
      <c r="AM921" s="1190"/>
      <c r="AN921" s="1190"/>
      <c r="AO921" s="1190"/>
      <c r="AP921" s="1190"/>
      <c r="AQ921" s="1190"/>
      <c r="AR921" s="1190"/>
      <c r="AS921" s="1190"/>
      <c r="AT921" s="1190"/>
      <c r="AU921" s="1190"/>
      <c r="AV921" s="1190"/>
      <c r="AW921" s="1190"/>
      <c r="AX921" s="1190"/>
      <c r="AY921" s="1190"/>
      <c r="AZ921" s="1190"/>
      <c r="BA921" s="1190"/>
      <c r="BB921" s="1190"/>
      <c r="BC921" s="1190"/>
      <c r="BD921" s="1190"/>
      <c r="BE921" s="1190"/>
      <c r="BF921" s="1190"/>
      <c r="BG921" s="1190"/>
      <c r="BH921" s="1190"/>
      <c r="BI921" s="1190"/>
      <c r="BJ921" s="1190"/>
      <c r="BK921" s="1190"/>
      <c r="BL921" s="1190"/>
      <c r="BM921" s="1190"/>
      <c r="BN921" s="1190"/>
      <c r="BO921" s="1190"/>
    </row>
    <row r="922" spans="26:67">
      <c r="Z922" s="1190"/>
      <c r="AA922" s="1190"/>
      <c r="AB922" s="1190"/>
      <c r="AC922" s="1190"/>
      <c r="AD922" s="1190"/>
      <c r="AE922" s="1190"/>
      <c r="AF922" s="1190"/>
      <c r="AG922" s="1190"/>
      <c r="AH922" s="1190"/>
      <c r="AI922" s="1190"/>
      <c r="AJ922" s="1190"/>
      <c r="AK922" s="1190"/>
      <c r="AL922" s="1190"/>
      <c r="AM922" s="1190"/>
      <c r="AN922" s="1190"/>
      <c r="AO922" s="1190"/>
      <c r="AP922" s="1190"/>
      <c r="AQ922" s="1190"/>
      <c r="AR922" s="1190"/>
      <c r="AS922" s="1190"/>
      <c r="AT922" s="1190"/>
      <c r="AU922" s="1190"/>
      <c r="AV922" s="1190"/>
      <c r="AW922" s="1190"/>
      <c r="AX922" s="1190"/>
      <c r="AY922" s="1190"/>
      <c r="AZ922" s="1190"/>
      <c r="BA922" s="1190"/>
      <c r="BB922" s="1190"/>
      <c r="BC922" s="1190"/>
      <c r="BD922" s="1190"/>
      <c r="BE922" s="1190"/>
      <c r="BF922" s="1190"/>
      <c r="BG922" s="1190"/>
      <c r="BH922" s="1190"/>
      <c r="BI922" s="1190"/>
      <c r="BJ922" s="1190"/>
      <c r="BK922" s="1190"/>
      <c r="BL922" s="1190"/>
      <c r="BM922" s="1190"/>
      <c r="BN922" s="1190"/>
      <c r="BO922" s="1190"/>
    </row>
    <row r="923" spans="26:67">
      <c r="Z923" s="1190"/>
      <c r="AA923" s="1190"/>
      <c r="AB923" s="1190"/>
      <c r="AC923" s="1190"/>
      <c r="AD923" s="1190"/>
      <c r="AE923" s="1190"/>
      <c r="AF923" s="1190"/>
      <c r="AG923" s="1190"/>
      <c r="AH923" s="1190"/>
      <c r="AI923" s="1190"/>
      <c r="AJ923" s="1190"/>
      <c r="AK923" s="1190"/>
      <c r="AL923" s="1190"/>
      <c r="AM923" s="1190"/>
      <c r="AN923" s="1190"/>
      <c r="AO923" s="1190"/>
      <c r="AP923" s="1190"/>
      <c r="AQ923" s="1190"/>
      <c r="AR923" s="1190"/>
      <c r="AS923" s="1190"/>
      <c r="AT923" s="1190"/>
      <c r="AU923" s="1190"/>
      <c r="AV923" s="1190"/>
      <c r="AW923" s="1190"/>
      <c r="AX923" s="1190"/>
      <c r="AY923" s="1190"/>
      <c r="AZ923" s="1190"/>
      <c r="BA923" s="1190"/>
      <c r="BB923" s="1190"/>
      <c r="BC923" s="1190"/>
      <c r="BD923" s="1190"/>
      <c r="BE923" s="1190"/>
      <c r="BF923" s="1190"/>
      <c r="BG923" s="1190"/>
      <c r="BH923" s="1190"/>
      <c r="BI923" s="1190"/>
      <c r="BJ923" s="1190"/>
      <c r="BK923" s="1190"/>
      <c r="BL923" s="1190"/>
      <c r="BM923" s="1190"/>
      <c r="BN923" s="1190"/>
      <c r="BO923" s="1190"/>
    </row>
    <row r="924" spans="26:67">
      <c r="Z924" s="1190"/>
      <c r="AA924" s="1190"/>
      <c r="AB924" s="1190"/>
      <c r="AC924" s="1190"/>
      <c r="AD924" s="1190"/>
      <c r="AE924" s="1190"/>
      <c r="AF924" s="1190"/>
      <c r="AG924" s="1190"/>
      <c r="AH924" s="1190"/>
      <c r="AI924" s="1190"/>
      <c r="AJ924" s="1190"/>
      <c r="AK924" s="1190"/>
      <c r="AL924" s="1190"/>
      <c r="AM924" s="1190"/>
      <c r="AN924" s="1190"/>
      <c r="AO924" s="1190"/>
      <c r="AP924" s="1190"/>
      <c r="AQ924" s="1190"/>
      <c r="AR924" s="1190"/>
      <c r="AS924" s="1190"/>
      <c r="AT924" s="1190"/>
      <c r="AU924" s="1190"/>
      <c r="AV924" s="1190"/>
      <c r="AW924" s="1190"/>
      <c r="AX924" s="1190"/>
      <c r="AY924" s="1190"/>
      <c r="AZ924" s="1190"/>
      <c r="BA924" s="1190"/>
      <c r="BB924" s="1190"/>
      <c r="BC924" s="1190"/>
      <c r="BD924" s="1190"/>
      <c r="BE924" s="1190"/>
      <c r="BF924" s="1190"/>
      <c r="BG924" s="1190"/>
      <c r="BH924" s="1190"/>
      <c r="BI924" s="1190"/>
      <c r="BJ924" s="1190"/>
      <c r="BK924" s="1190"/>
      <c r="BL924" s="1190"/>
      <c r="BM924" s="1190"/>
      <c r="BN924" s="1190"/>
      <c r="BO924" s="1190"/>
    </row>
    <row r="925" spans="26:67">
      <c r="Z925" s="1190"/>
      <c r="AA925" s="1190"/>
      <c r="AB925" s="1190"/>
      <c r="AC925" s="1190"/>
      <c r="AD925" s="1190"/>
      <c r="AE925" s="1190"/>
      <c r="AF925" s="1190"/>
      <c r="AG925" s="1190"/>
      <c r="AH925" s="1190"/>
      <c r="AI925" s="1190"/>
      <c r="AJ925" s="1190"/>
      <c r="AK925" s="1190"/>
      <c r="AL925" s="1190"/>
      <c r="AM925" s="1190"/>
      <c r="AN925" s="1190"/>
      <c r="AO925" s="1190"/>
      <c r="AP925" s="1190"/>
      <c r="AQ925" s="1190"/>
      <c r="AR925" s="1190"/>
      <c r="AS925" s="1190"/>
      <c r="AT925" s="1190"/>
      <c r="AU925" s="1190"/>
      <c r="AV925" s="1190"/>
      <c r="AW925" s="1190"/>
      <c r="AX925" s="1190"/>
      <c r="AY925" s="1190"/>
      <c r="AZ925" s="1190"/>
      <c r="BA925" s="1190"/>
      <c r="BB925" s="1190"/>
      <c r="BC925" s="1190"/>
      <c r="BD925" s="1190"/>
      <c r="BE925" s="1190"/>
      <c r="BF925" s="1190"/>
      <c r="BG925" s="1190"/>
      <c r="BH925" s="1190"/>
      <c r="BI925" s="1190"/>
      <c r="BJ925" s="1190"/>
      <c r="BK925" s="1190"/>
      <c r="BL925" s="1190"/>
      <c r="BM925" s="1190"/>
      <c r="BN925" s="1190"/>
      <c r="BO925" s="1190"/>
    </row>
    <row r="926" spans="26:67">
      <c r="Z926" s="1190"/>
      <c r="AA926" s="1190"/>
      <c r="AB926" s="1190"/>
      <c r="AC926" s="1190"/>
      <c r="AD926" s="1190"/>
      <c r="AE926" s="1190"/>
      <c r="AF926" s="1190"/>
      <c r="AG926" s="1190"/>
      <c r="AH926" s="1190"/>
      <c r="AI926" s="1190"/>
      <c r="AJ926" s="1190"/>
      <c r="AK926" s="1190"/>
      <c r="AL926" s="1190"/>
      <c r="AM926" s="1190"/>
      <c r="AN926" s="1190"/>
      <c r="AO926" s="1190"/>
      <c r="AP926" s="1190"/>
      <c r="AQ926" s="1190"/>
      <c r="AR926" s="1190"/>
      <c r="AS926" s="1190"/>
      <c r="AT926" s="1190"/>
      <c r="AU926" s="1190"/>
      <c r="AV926" s="1190"/>
      <c r="AW926" s="1190"/>
      <c r="AX926" s="1190"/>
      <c r="AY926" s="1190"/>
      <c r="AZ926" s="1190"/>
      <c r="BA926" s="1190"/>
      <c r="BB926" s="1190"/>
      <c r="BC926" s="1190"/>
      <c r="BD926" s="1190"/>
      <c r="BE926" s="1190"/>
      <c r="BF926" s="1190"/>
      <c r="BG926" s="1190"/>
      <c r="BH926" s="1190"/>
      <c r="BI926" s="1190"/>
      <c r="BJ926" s="1190"/>
      <c r="BK926" s="1190"/>
      <c r="BL926" s="1190"/>
      <c r="BM926" s="1190"/>
      <c r="BN926" s="1190"/>
      <c r="BO926" s="1190"/>
    </row>
    <row r="927" spans="26:67">
      <c r="Z927" s="1190"/>
      <c r="AA927" s="1190"/>
      <c r="AB927" s="1190"/>
      <c r="AC927" s="1190"/>
      <c r="AD927" s="1190"/>
      <c r="AE927" s="1190"/>
      <c r="AF927" s="1190"/>
      <c r="AG927" s="1190"/>
      <c r="AH927" s="1190"/>
      <c r="AI927" s="1190"/>
      <c r="AJ927" s="1190"/>
      <c r="AK927" s="1190"/>
      <c r="AL927" s="1190"/>
      <c r="AM927" s="1190"/>
      <c r="AN927" s="1190"/>
      <c r="AO927" s="1190"/>
      <c r="AP927" s="1190"/>
      <c r="AQ927" s="1190"/>
      <c r="AR927" s="1190"/>
      <c r="AS927" s="1190"/>
      <c r="AT927" s="1190"/>
      <c r="AU927" s="1190"/>
      <c r="AV927" s="1190"/>
      <c r="AW927" s="1190"/>
      <c r="AX927" s="1190"/>
      <c r="AY927" s="1190"/>
      <c r="AZ927" s="1190"/>
      <c r="BA927" s="1190"/>
      <c r="BB927" s="1190"/>
      <c r="BC927" s="1190"/>
      <c r="BD927" s="1190"/>
      <c r="BE927" s="1190"/>
      <c r="BF927" s="1190"/>
      <c r="BG927" s="1190"/>
      <c r="BH927" s="1190"/>
      <c r="BI927" s="1190"/>
      <c r="BJ927" s="1190"/>
      <c r="BK927" s="1190"/>
      <c r="BL927" s="1190"/>
      <c r="BM927" s="1190"/>
      <c r="BN927" s="1190"/>
      <c r="BO927" s="1190"/>
    </row>
    <row r="928" spans="26:67">
      <c r="Z928" s="1190"/>
      <c r="AA928" s="1190"/>
      <c r="AB928" s="1190"/>
      <c r="AC928" s="1190"/>
      <c r="AD928" s="1190"/>
      <c r="AE928" s="1190"/>
      <c r="AF928" s="1190"/>
      <c r="AG928" s="1190"/>
      <c r="AH928" s="1190"/>
      <c r="AI928" s="1190"/>
      <c r="AJ928" s="1190"/>
      <c r="AK928" s="1190"/>
      <c r="AL928" s="1190"/>
      <c r="AM928" s="1190"/>
      <c r="AN928" s="1190"/>
      <c r="AO928" s="1190"/>
      <c r="AP928" s="1190"/>
      <c r="AQ928" s="1190"/>
      <c r="AR928" s="1190"/>
      <c r="AS928" s="1190"/>
      <c r="AT928" s="1190"/>
      <c r="AU928" s="1190"/>
      <c r="AV928" s="1190"/>
      <c r="AW928" s="1190"/>
      <c r="AX928" s="1190"/>
      <c r="AY928" s="1190"/>
      <c r="AZ928" s="1190"/>
      <c r="BA928" s="1190"/>
      <c r="BB928" s="1190"/>
      <c r="BC928" s="1190"/>
      <c r="BD928" s="1190"/>
      <c r="BE928" s="1190"/>
      <c r="BF928" s="1190"/>
      <c r="BG928" s="1190"/>
      <c r="BH928" s="1190"/>
      <c r="BI928" s="1190"/>
      <c r="BJ928" s="1190"/>
      <c r="BK928" s="1190"/>
      <c r="BL928" s="1190"/>
      <c r="BM928" s="1190"/>
      <c r="BN928" s="1190"/>
      <c r="BO928" s="1190"/>
    </row>
    <row r="929" spans="26:67">
      <c r="Z929" s="1190"/>
      <c r="AA929" s="1190"/>
      <c r="AB929" s="1190"/>
      <c r="AC929" s="1190"/>
      <c r="AD929" s="1190"/>
      <c r="AE929" s="1190"/>
      <c r="AF929" s="1190"/>
      <c r="AG929" s="1190"/>
      <c r="AH929" s="1190"/>
      <c r="AI929" s="1190"/>
      <c r="AJ929" s="1190"/>
      <c r="AK929" s="1190"/>
      <c r="AL929" s="1190"/>
      <c r="AM929" s="1190"/>
      <c r="AN929" s="1190"/>
      <c r="AO929" s="1190"/>
      <c r="AP929" s="1190"/>
      <c r="AQ929" s="1190"/>
      <c r="AR929" s="1190"/>
      <c r="AS929" s="1190"/>
      <c r="AT929" s="1190"/>
      <c r="AU929" s="1190"/>
      <c r="AV929" s="1190"/>
      <c r="AW929" s="1190"/>
      <c r="AX929" s="1190"/>
      <c r="AY929" s="1190"/>
      <c r="AZ929" s="1190"/>
      <c r="BA929" s="1190"/>
      <c r="BB929" s="1190"/>
      <c r="BC929" s="1190"/>
      <c r="BD929" s="1190"/>
      <c r="BE929" s="1190"/>
      <c r="BF929" s="1190"/>
      <c r="BG929" s="1190"/>
      <c r="BH929" s="1190"/>
      <c r="BI929" s="1190"/>
      <c r="BJ929" s="1190"/>
      <c r="BK929" s="1190"/>
      <c r="BL929" s="1190"/>
      <c r="BM929" s="1190"/>
      <c r="BN929" s="1190"/>
      <c r="BO929" s="1190"/>
    </row>
    <row r="930" spans="26:67">
      <c r="Z930" s="1190"/>
      <c r="AA930" s="1190"/>
      <c r="AB930" s="1190"/>
      <c r="AC930" s="1190"/>
      <c r="AD930" s="1190"/>
      <c r="AE930" s="1190"/>
      <c r="AF930" s="1190"/>
      <c r="AG930" s="1190"/>
      <c r="AH930" s="1190"/>
      <c r="AI930" s="1190"/>
      <c r="AJ930" s="1190"/>
      <c r="AK930" s="1190"/>
      <c r="AL930" s="1190"/>
      <c r="AM930" s="1190"/>
      <c r="AN930" s="1190"/>
      <c r="AO930" s="1190"/>
      <c r="AP930" s="1190"/>
      <c r="AQ930" s="1190"/>
      <c r="AR930" s="1190"/>
      <c r="AS930" s="1190"/>
      <c r="AT930" s="1190"/>
      <c r="AU930" s="1190"/>
      <c r="AV930" s="1190"/>
      <c r="AW930" s="1190"/>
      <c r="AX930" s="1190"/>
      <c r="AY930" s="1190"/>
      <c r="AZ930" s="1190"/>
      <c r="BA930" s="1190"/>
      <c r="BB930" s="1190"/>
      <c r="BC930" s="1190"/>
      <c r="BD930" s="1190"/>
      <c r="BE930" s="1190"/>
      <c r="BF930" s="1190"/>
      <c r="BG930" s="1190"/>
      <c r="BH930" s="1190"/>
      <c r="BI930" s="1190"/>
      <c r="BJ930" s="1190"/>
      <c r="BK930" s="1190"/>
      <c r="BL930" s="1190"/>
      <c r="BM930" s="1190"/>
      <c r="BN930" s="1190"/>
      <c r="BO930" s="1190"/>
    </row>
    <row r="931" spans="26:67">
      <c r="Z931" s="1190"/>
      <c r="AA931" s="1190"/>
      <c r="AB931" s="1190"/>
      <c r="AC931" s="1190"/>
      <c r="AD931" s="1190"/>
      <c r="AE931" s="1190"/>
      <c r="AF931" s="1190"/>
      <c r="AG931" s="1190"/>
      <c r="AH931" s="1190"/>
      <c r="AI931" s="1190"/>
      <c r="AJ931" s="1190"/>
      <c r="AK931" s="1190"/>
      <c r="AL931" s="1190"/>
      <c r="AM931" s="1190"/>
      <c r="AN931" s="1190"/>
      <c r="AO931" s="1190"/>
      <c r="AP931" s="1190"/>
      <c r="AQ931" s="1190"/>
      <c r="AR931" s="1190"/>
      <c r="AS931" s="1190"/>
      <c r="AT931" s="1190"/>
      <c r="AU931" s="1190"/>
      <c r="AV931" s="1190"/>
      <c r="AW931" s="1190"/>
      <c r="AX931" s="1190"/>
      <c r="AY931" s="1190"/>
      <c r="AZ931" s="1190"/>
      <c r="BA931" s="1190"/>
      <c r="BB931" s="1190"/>
      <c r="BC931" s="1190"/>
      <c r="BD931" s="1190"/>
      <c r="BE931" s="1190"/>
      <c r="BF931" s="1190"/>
      <c r="BG931" s="1190"/>
      <c r="BH931" s="1190"/>
      <c r="BI931" s="1190"/>
      <c r="BJ931" s="1190"/>
      <c r="BK931" s="1190"/>
      <c r="BL931" s="1190"/>
      <c r="BM931" s="1190"/>
      <c r="BN931" s="1190"/>
      <c r="BO931" s="1190"/>
    </row>
    <row r="932" spans="26:67">
      <c r="Z932" s="1190"/>
      <c r="AA932" s="1190"/>
      <c r="AB932" s="1190"/>
      <c r="AC932" s="1190"/>
      <c r="AD932" s="1190"/>
      <c r="AE932" s="1190"/>
      <c r="AF932" s="1190"/>
      <c r="AG932" s="1190"/>
      <c r="AH932" s="1190"/>
      <c r="AI932" s="1190"/>
      <c r="AJ932" s="1190"/>
      <c r="AK932" s="1190"/>
      <c r="AL932" s="1190"/>
      <c r="AM932" s="1190"/>
      <c r="AN932" s="1190"/>
      <c r="AO932" s="1190"/>
      <c r="AP932" s="1190"/>
      <c r="AQ932" s="1190"/>
      <c r="AR932" s="1190"/>
      <c r="AS932" s="1190"/>
      <c r="AT932" s="1190"/>
      <c r="AU932" s="1190"/>
      <c r="AV932" s="1190"/>
      <c r="AW932" s="1190"/>
      <c r="AX932" s="1190"/>
      <c r="AY932" s="1190"/>
      <c r="AZ932" s="1190"/>
      <c r="BA932" s="1190"/>
      <c r="BB932" s="1190"/>
      <c r="BC932" s="1190"/>
      <c r="BD932" s="1190"/>
      <c r="BE932" s="1190"/>
      <c r="BF932" s="1190"/>
      <c r="BG932" s="1190"/>
      <c r="BH932" s="1190"/>
      <c r="BI932" s="1190"/>
      <c r="BJ932" s="1190"/>
      <c r="BK932" s="1190"/>
      <c r="BL932" s="1190"/>
      <c r="BM932" s="1190"/>
      <c r="BN932" s="1190"/>
      <c r="BO932" s="1190"/>
    </row>
    <row r="933" spans="26:67">
      <c r="Z933" s="1190"/>
      <c r="AA933" s="1190"/>
      <c r="AB933" s="1190"/>
      <c r="AC933" s="1190"/>
      <c r="AD933" s="1190"/>
      <c r="AE933" s="1190"/>
      <c r="AF933" s="1190"/>
      <c r="AG933" s="1190"/>
      <c r="AH933" s="1190"/>
      <c r="AI933" s="1190"/>
      <c r="AJ933" s="1190"/>
      <c r="AK933" s="1190"/>
      <c r="AL933" s="1190"/>
      <c r="AM933" s="1190"/>
      <c r="AN933" s="1190"/>
      <c r="AO933" s="1190"/>
      <c r="AP933" s="1190"/>
      <c r="AQ933" s="1190"/>
      <c r="AR933" s="1190"/>
      <c r="AS933" s="1190"/>
      <c r="AT933" s="1190"/>
      <c r="AU933" s="1190"/>
      <c r="AV933" s="1190"/>
      <c r="AW933" s="1190"/>
      <c r="AX933" s="1190"/>
      <c r="AY933" s="1190"/>
      <c r="AZ933" s="1190"/>
      <c r="BA933" s="1190"/>
      <c r="BB933" s="1190"/>
      <c r="BC933" s="1190"/>
      <c r="BD933" s="1190"/>
      <c r="BE933" s="1190"/>
      <c r="BF933" s="1190"/>
      <c r="BG933" s="1190"/>
      <c r="BH933" s="1190"/>
      <c r="BI933" s="1190"/>
      <c r="BJ933" s="1190"/>
      <c r="BK933" s="1190"/>
      <c r="BL933" s="1190"/>
      <c r="BM933" s="1190"/>
      <c r="BN933" s="1190"/>
      <c r="BO933" s="1190"/>
    </row>
    <row r="934" spans="26:67">
      <c r="Z934" s="1190"/>
      <c r="AA934" s="1190"/>
      <c r="AB934" s="1190"/>
      <c r="AC934" s="1190"/>
      <c r="AD934" s="1190"/>
      <c r="AE934" s="1190"/>
      <c r="AF934" s="1190"/>
      <c r="AG934" s="1190"/>
      <c r="AH934" s="1190"/>
      <c r="AI934" s="1190"/>
      <c r="AJ934" s="1190"/>
      <c r="AK934" s="1190"/>
      <c r="AL934" s="1190"/>
      <c r="AM934" s="1190"/>
      <c r="AN934" s="1190"/>
      <c r="AO934" s="1190"/>
      <c r="AP934" s="1190"/>
      <c r="AQ934" s="1190"/>
      <c r="AR934" s="1190"/>
      <c r="AS934" s="1190"/>
      <c r="AT934" s="1190"/>
      <c r="AU934" s="1190"/>
      <c r="AV934" s="1190"/>
      <c r="AW934" s="1190"/>
      <c r="AX934" s="1190"/>
      <c r="AY934" s="1190"/>
      <c r="AZ934" s="1190"/>
      <c r="BA934" s="1190"/>
      <c r="BB934" s="1190"/>
      <c r="BC934" s="1190"/>
      <c r="BD934" s="1190"/>
      <c r="BE934" s="1190"/>
      <c r="BF934" s="1190"/>
      <c r="BG934" s="1190"/>
      <c r="BH934" s="1190"/>
      <c r="BI934" s="1190"/>
      <c r="BJ934" s="1190"/>
      <c r="BK934" s="1190"/>
      <c r="BL934" s="1190"/>
      <c r="BM934" s="1190"/>
      <c r="BN934" s="1190"/>
      <c r="BO934" s="1190"/>
    </row>
    <row r="935" spans="26:67">
      <c r="Z935" s="1190"/>
      <c r="AA935" s="1190"/>
      <c r="AB935" s="1190"/>
      <c r="AC935" s="1190"/>
      <c r="AD935" s="1190"/>
      <c r="AE935" s="1190"/>
      <c r="AF935" s="1190"/>
      <c r="AG935" s="1190"/>
      <c r="AH935" s="1190"/>
      <c r="AI935" s="1190"/>
      <c r="AJ935" s="1190"/>
      <c r="AK935" s="1190"/>
      <c r="AL935" s="1190"/>
      <c r="AM935" s="1190"/>
      <c r="AN935" s="1190"/>
      <c r="AO935" s="1190"/>
      <c r="AP935" s="1190"/>
      <c r="AQ935" s="1190"/>
      <c r="AR935" s="1190"/>
      <c r="AS935" s="1190"/>
      <c r="AT935" s="1190"/>
      <c r="AU935" s="1190"/>
      <c r="AV935" s="1190"/>
      <c r="AW935" s="1190"/>
      <c r="AX935" s="1190"/>
      <c r="AY935" s="1190"/>
      <c r="AZ935" s="1190"/>
      <c r="BA935" s="1190"/>
      <c r="BB935" s="1190"/>
      <c r="BC935" s="1190"/>
      <c r="BD935" s="1190"/>
      <c r="BE935" s="1190"/>
      <c r="BF935" s="1190"/>
      <c r="BG935" s="1190"/>
      <c r="BH935" s="1190"/>
      <c r="BI935" s="1190"/>
      <c r="BJ935" s="1190"/>
      <c r="BK935" s="1190"/>
      <c r="BL935" s="1190"/>
      <c r="BM935" s="1190"/>
      <c r="BN935" s="1190"/>
      <c r="BO935" s="1190"/>
    </row>
    <row r="936" spans="26:67">
      <c r="Z936" s="1190"/>
      <c r="AA936" s="1190"/>
      <c r="AB936" s="1190"/>
      <c r="AC936" s="1190"/>
      <c r="AD936" s="1190"/>
      <c r="AE936" s="1190"/>
      <c r="AF936" s="1190"/>
      <c r="AG936" s="1190"/>
      <c r="AH936" s="1190"/>
      <c r="AI936" s="1190"/>
      <c r="AJ936" s="1190"/>
      <c r="AK936" s="1190"/>
      <c r="AL936" s="1190"/>
      <c r="AM936" s="1190"/>
      <c r="AN936" s="1190"/>
      <c r="AO936" s="1190"/>
      <c r="AP936" s="1190"/>
      <c r="AQ936" s="1190"/>
      <c r="AR936" s="1190"/>
      <c r="AS936" s="1190"/>
      <c r="AT936" s="1190"/>
      <c r="AU936" s="1190"/>
      <c r="AV936" s="1190"/>
      <c r="AW936" s="1190"/>
      <c r="AX936" s="1190"/>
      <c r="AY936" s="1190"/>
      <c r="AZ936" s="1190"/>
      <c r="BA936" s="1190"/>
      <c r="BB936" s="1190"/>
      <c r="BC936" s="1190"/>
      <c r="BD936" s="1190"/>
      <c r="BE936" s="1190"/>
      <c r="BF936" s="1190"/>
      <c r="BG936" s="1190"/>
      <c r="BH936" s="1190"/>
      <c r="BI936" s="1190"/>
      <c r="BJ936" s="1190"/>
      <c r="BK936" s="1190"/>
      <c r="BL936" s="1190"/>
      <c r="BM936" s="1190"/>
      <c r="BN936" s="1190"/>
      <c r="BO936" s="1190"/>
    </row>
    <row r="937" spans="26:67">
      <c r="Z937" s="1190"/>
      <c r="AA937" s="1190"/>
      <c r="AB937" s="1190"/>
      <c r="AC937" s="1190"/>
      <c r="AD937" s="1190"/>
      <c r="AE937" s="1190"/>
      <c r="AF937" s="1190"/>
      <c r="AG937" s="1190"/>
      <c r="AH937" s="1190"/>
      <c r="AI937" s="1190"/>
      <c r="AJ937" s="1190"/>
      <c r="AK937" s="1190"/>
      <c r="AL937" s="1190"/>
      <c r="AM937" s="1190"/>
      <c r="AN937" s="1190"/>
      <c r="AO937" s="1190"/>
      <c r="AP937" s="1190"/>
      <c r="AQ937" s="1190"/>
      <c r="AR937" s="1190"/>
      <c r="AS937" s="1190"/>
      <c r="AT937" s="1190"/>
      <c r="AU937" s="1190"/>
      <c r="AV937" s="1190"/>
      <c r="AW937" s="1190"/>
      <c r="AX937" s="1190"/>
      <c r="AY937" s="1190"/>
      <c r="AZ937" s="1190"/>
      <c r="BA937" s="1190"/>
      <c r="BB937" s="1190"/>
      <c r="BC937" s="1190"/>
      <c r="BD937" s="1190"/>
      <c r="BE937" s="1190"/>
      <c r="BF937" s="1190"/>
      <c r="BG937" s="1190"/>
      <c r="BH937" s="1190"/>
      <c r="BI937" s="1190"/>
      <c r="BJ937" s="1190"/>
      <c r="BK937" s="1190"/>
      <c r="BL937" s="1190"/>
      <c r="BM937" s="1190"/>
      <c r="BN937" s="1190"/>
      <c r="BO937" s="1190"/>
    </row>
    <row r="938" spans="26:67">
      <c r="Z938" s="1190"/>
      <c r="AA938" s="1190"/>
      <c r="AB938" s="1190"/>
      <c r="AC938" s="1190"/>
      <c r="AD938" s="1190"/>
      <c r="AE938" s="1190"/>
      <c r="AF938" s="1190"/>
      <c r="AG938" s="1190"/>
      <c r="AH938" s="1190"/>
      <c r="AI938" s="1190"/>
      <c r="AJ938" s="1190"/>
      <c r="AK938" s="1190"/>
      <c r="AL938" s="1190"/>
      <c r="AM938" s="1190"/>
      <c r="AN938" s="1190"/>
      <c r="AO938" s="1190"/>
      <c r="AP938" s="1190"/>
      <c r="AQ938" s="1190"/>
      <c r="AR938" s="1190"/>
      <c r="AS938" s="1190"/>
      <c r="AT938" s="1190"/>
      <c r="AU938" s="1190"/>
      <c r="AV938" s="1190"/>
      <c r="AW938" s="1190"/>
      <c r="AX938" s="1190"/>
      <c r="AY938" s="1190"/>
      <c r="AZ938" s="1190"/>
      <c r="BA938" s="1190"/>
      <c r="BB938" s="1190"/>
      <c r="BC938" s="1190"/>
      <c r="BD938" s="1190"/>
      <c r="BE938" s="1190"/>
      <c r="BF938" s="1190"/>
      <c r="BG938" s="1190"/>
      <c r="BH938" s="1190"/>
      <c r="BI938" s="1190"/>
      <c r="BJ938" s="1190"/>
      <c r="BK938" s="1190"/>
      <c r="BL938" s="1190"/>
      <c r="BM938" s="1190"/>
      <c r="BN938" s="1190"/>
      <c r="BO938" s="1190"/>
    </row>
    <row r="939" spans="26:67">
      <c r="Z939" s="1190"/>
      <c r="AA939" s="1190"/>
      <c r="AB939" s="1190"/>
      <c r="AC939" s="1190"/>
      <c r="AD939" s="1190"/>
      <c r="AE939" s="1190"/>
      <c r="AF939" s="1190"/>
      <c r="AG939" s="1190"/>
      <c r="AH939" s="1190"/>
      <c r="AI939" s="1190"/>
      <c r="AJ939" s="1190"/>
      <c r="AK939" s="1190"/>
      <c r="AL939" s="1190"/>
      <c r="AM939" s="1190"/>
      <c r="AN939" s="1190"/>
      <c r="AO939" s="1190"/>
      <c r="AP939" s="1190"/>
      <c r="AQ939" s="1190"/>
      <c r="AR939" s="1190"/>
      <c r="AS939" s="1190"/>
      <c r="AT939" s="1190"/>
      <c r="AU939" s="1190"/>
      <c r="AV939" s="1190"/>
      <c r="AW939" s="1190"/>
      <c r="AX939" s="1190"/>
      <c r="AY939" s="1190"/>
      <c r="AZ939" s="1190"/>
      <c r="BA939" s="1190"/>
      <c r="BB939" s="1190"/>
      <c r="BC939" s="1190"/>
      <c r="BD939" s="1190"/>
      <c r="BE939" s="1190"/>
      <c r="BF939" s="1190"/>
      <c r="BG939" s="1190"/>
      <c r="BH939" s="1190"/>
      <c r="BI939" s="1190"/>
      <c r="BJ939" s="1190"/>
      <c r="BK939" s="1190"/>
      <c r="BL939" s="1190"/>
      <c r="BM939" s="1190"/>
      <c r="BN939" s="1190"/>
      <c r="BO939" s="1190"/>
    </row>
    <row r="940" spans="26:67">
      <c r="Z940" s="1190"/>
      <c r="AA940" s="1190"/>
      <c r="AB940" s="1190"/>
      <c r="AC940" s="1190"/>
      <c r="AD940" s="1190"/>
      <c r="AE940" s="1190"/>
      <c r="AF940" s="1190"/>
      <c r="AG940" s="1190"/>
      <c r="AH940" s="1190"/>
      <c r="AI940" s="1190"/>
      <c r="AJ940" s="1190"/>
      <c r="AK940" s="1190"/>
      <c r="AL940" s="1190"/>
      <c r="AM940" s="1190"/>
      <c r="AN940" s="1190"/>
      <c r="AO940" s="1190"/>
      <c r="AP940" s="1190"/>
      <c r="AQ940" s="1190"/>
      <c r="AR940" s="1190"/>
      <c r="AS940" s="1190"/>
      <c r="AT940" s="1190"/>
      <c r="AU940" s="1190"/>
      <c r="AV940" s="1190"/>
      <c r="AW940" s="1190"/>
      <c r="AX940" s="1190"/>
      <c r="AY940" s="1190"/>
      <c r="AZ940" s="1190"/>
      <c r="BA940" s="1190"/>
      <c r="BB940" s="1190"/>
      <c r="BC940" s="1190"/>
      <c r="BD940" s="1190"/>
      <c r="BE940" s="1190"/>
      <c r="BF940" s="1190"/>
      <c r="BG940" s="1190"/>
      <c r="BH940" s="1190"/>
      <c r="BI940" s="1190"/>
      <c r="BJ940" s="1190"/>
      <c r="BK940" s="1190"/>
      <c r="BL940" s="1190"/>
      <c r="BM940" s="1190"/>
      <c r="BN940" s="1190"/>
      <c r="BO940" s="1190"/>
    </row>
    <row r="941" spans="26:67">
      <c r="Z941" s="1190"/>
      <c r="AA941" s="1190"/>
      <c r="AB941" s="1190"/>
      <c r="AC941" s="1190"/>
      <c r="AD941" s="1190"/>
      <c r="AE941" s="1190"/>
      <c r="AF941" s="1190"/>
      <c r="AG941" s="1190"/>
      <c r="AH941" s="1190"/>
      <c r="AI941" s="1190"/>
      <c r="AJ941" s="1190"/>
      <c r="AK941" s="1190"/>
      <c r="AL941" s="1190"/>
      <c r="AM941" s="1190"/>
      <c r="AN941" s="1190"/>
      <c r="AO941" s="1190"/>
      <c r="AP941" s="1190"/>
      <c r="AQ941" s="1190"/>
      <c r="AR941" s="1190"/>
      <c r="AS941" s="1190"/>
      <c r="AT941" s="1190"/>
      <c r="AU941" s="1190"/>
      <c r="AV941" s="1190"/>
      <c r="AW941" s="1190"/>
      <c r="AX941" s="1190"/>
      <c r="AY941" s="1190"/>
      <c r="AZ941" s="1190"/>
      <c r="BA941" s="1190"/>
      <c r="BB941" s="1190"/>
      <c r="BC941" s="1190"/>
      <c r="BD941" s="1190"/>
      <c r="BE941" s="1190"/>
      <c r="BF941" s="1190"/>
      <c r="BG941" s="1190"/>
      <c r="BH941" s="1190"/>
      <c r="BI941" s="1190"/>
      <c r="BJ941" s="1190"/>
      <c r="BK941" s="1190"/>
      <c r="BL941" s="1190"/>
      <c r="BM941" s="1190"/>
      <c r="BN941" s="1190"/>
      <c r="BO941" s="1190"/>
    </row>
    <row r="942" spans="26:67">
      <c r="Z942" s="1190"/>
      <c r="AA942" s="1190"/>
      <c r="AB942" s="1190"/>
      <c r="AC942" s="1190"/>
      <c r="AD942" s="1190"/>
      <c r="AE942" s="1190"/>
      <c r="AF942" s="1190"/>
      <c r="AG942" s="1190"/>
      <c r="AH942" s="1190"/>
      <c r="AI942" s="1190"/>
      <c r="AJ942" s="1190"/>
      <c r="AK942" s="1190"/>
      <c r="AL942" s="1190"/>
      <c r="AM942" s="1190"/>
      <c r="AN942" s="1190"/>
      <c r="AO942" s="1190"/>
      <c r="AP942" s="1190"/>
      <c r="AQ942" s="1190"/>
      <c r="AR942" s="1190"/>
      <c r="AS942" s="1190"/>
      <c r="AT942" s="1190"/>
      <c r="AU942" s="1190"/>
      <c r="AV942" s="1190"/>
      <c r="AW942" s="1190"/>
      <c r="AX942" s="1190"/>
      <c r="AY942" s="1190"/>
      <c r="AZ942" s="1190"/>
      <c r="BA942" s="1190"/>
      <c r="BB942" s="1190"/>
      <c r="BC942" s="1190"/>
      <c r="BD942" s="1190"/>
      <c r="BE942" s="1190"/>
      <c r="BF942" s="1190"/>
      <c r="BG942" s="1190"/>
      <c r="BH942" s="1190"/>
      <c r="BI942" s="1190"/>
      <c r="BJ942" s="1190"/>
      <c r="BK942" s="1190"/>
      <c r="BL942" s="1190"/>
      <c r="BM942" s="1190"/>
      <c r="BN942" s="1190"/>
      <c r="BO942" s="1190"/>
    </row>
    <row r="943" spans="26:67">
      <c r="Z943" s="1190"/>
      <c r="AA943" s="1190"/>
      <c r="AB943" s="1190"/>
      <c r="AC943" s="1190"/>
      <c r="AD943" s="1190"/>
      <c r="AE943" s="1190"/>
      <c r="AF943" s="1190"/>
      <c r="AG943" s="1190"/>
      <c r="AH943" s="1190"/>
      <c r="AI943" s="1190"/>
      <c r="AJ943" s="1190"/>
      <c r="AK943" s="1190"/>
      <c r="AL943" s="1190"/>
      <c r="AM943" s="1190"/>
      <c r="AN943" s="1190"/>
      <c r="AO943" s="1190"/>
      <c r="AP943" s="1190"/>
      <c r="AQ943" s="1190"/>
      <c r="AR943" s="1190"/>
      <c r="AS943" s="1190"/>
      <c r="AT943" s="1190"/>
      <c r="AU943" s="1190"/>
      <c r="AV943" s="1190"/>
      <c r="AW943" s="1190"/>
      <c r="AX943" s="1190"/>
      <c r="AY943" s="1190"/>
      <c r="AZ943" s="1190"/>
      <c r="BA943" s="1190"/>
      <c r="BB943" s="1190"/>
      <c r="BC943" s="1190"/>
      <c r="BD943" s="1190"/>
      <c r="BE943" s="1190"/>
      <c r="BF943" s="1190"/>
      <c r="BG943" s="1190"/>
      <c r="BH943" s="1190"/>
      <c r="BI943" s="1190"/>
      <c r="BJ943" s="1190"/>
      <c r="BK943" s="1190"/>
      <c r="BL943" s="1190"/>
      <c r="BM943" s="1190"/>
      <c r="BN943" s="1190"/>
      <c r="BO943" s="1190"/>
    </row>
    <row r="944" spans="26:67">
      <c r="Z944" s="1190"/>
      <c r="AA944" s="1190"/>
      <c r="AB944" s="1190"/>
      <c r="AC944" s="1190"/>
      <c r="AD944" s="1190"/>
      <c r="AE944" s="1190"/>
      <c r="AF944" s="1190"/>
      <c r="AG944" s="1190"/>
      <c r="AH944" s="1190"/>
      <c r="AI944" s="1190"/>
      <c r="AJ944" s="1190"/>
      <c r="AK944" s="1190"/>
      <c r="AL944" s="1190"/>
      <c r="AM944" s="1190"/>
      <c r="AN944" s="1190"/>
      <c r="AO944" s="1190"/>
      <c r="AP944" s="1190"/>
      <c r="AQ944" s="1190"/>
      <c r="AR944" s="1190"/>
      <c r="AS944" s="1190"/>
      <c r="AT944" s="1190"/>
      <c r="AU944" s="1190"/>
      <c r="AV944" s="1190"/>
      <c r="AW944" s="1190"/>
      <c r="AX944" s="1190"/>
      <c r="AY944" s="1190"/>
      <c r="AZ944" s="1190"/>
      <c r="BA944" s="1190"/>
      <c r="BB944" s="1190"/>
      <c r="BC944" s="1190"/>
      <c r="BD944" s="1190"/>
      <c r="BE944" s="1190"/>
      <c r="BF944" s="1190"/>
      <c r="BG944" s="1190"/>
      <c r="BH944" s="1190"/>
      <c r="BI944" s="1190"/>
      <c r="BJ944" s="1190"/>
      <c r="BK944" s="1190"/>
      <c r="BL944" s="1190"/>
      <c r="BM944" s="1190"/>
      <c r="BN944" s="1190"/>
      <c r="BO944" s="1190"/>
    </row>
    <row r="945" spans="26:67">
      <c r="Z945" s="1190"/>
      <c r="AA945" s="1190"/>
      <c r="AB945" s="1190"/>
      <c r="AC945" s="1190"/>
      <c r="AD945" s="1190"/>
      <c r="AE945" s="1190"/>
      <c r="AF945" s="1190"/>
      <c r="AG945" s="1190"/>
      <c r="AH945" s="1190"/>
      <c r="AI945" s="1190"/>
      <c r="AJ945" s="1190"/>
      <c r="AK945" s="1190"/>
      <c r="AL945" s="1190"/>
      <c r="AM945" s="1190"/>
      <c r="AN945" s="1190"/>
      <c r="AO945" s="1190"/>
      <c r="AP945" s="1190"/>
      <c r="AQ945" s="1190"/>
      <c r="AR945" s="1190"/>
      <c r="AS945" s="1190"/>
      <c r="AT945" s="1190"/>
      <c r="AU945" s="1190"/>
      <c r="AV945" s="1190"/>
      <c r="AW945" s="1190"/>
      <c r="AX945" s="1190"/>
      <c r="AY945" s="1190"/>
      <c r="AZ945" s="1190"/>
      <c r="BA945" s="1190"/>
      <c r="BB945" s="1190"/>
      <c r="BC945" s="1190"/>
      <c r="BD945" s="1190"/>
      <c r="BE945" s="1190"/>
      <c r="BF945" s="1190"/>
      <c r="BG945" s="1190"/>
      <c r="BH945" s="1190"/>
      <c r="BI945" s="1190"/>
      <c r="BJ945" s="1190"/>
      <c r="BK945" s="1190"/>
      <c r="BL945" s="1190"/>
      <c r="BM945" s="1190"/>
      <c r="BN945" s="1190"/>
      <c r="BO945" s="1190"/>
    </row>
    <row r="946" spans="26:67">
      <c r="Z946" s="1190"/>
      <c r="AA946" s="1190"/>
      <c r="AB946" s="1190"/>
      <c r="AC946" s="1190"/>
      <c r="AD946" s="1190"/>
      <c r="AE946" s="1190"/>
      <c r="AF946" s="1190"/>
      <c r="AG946" s="1190"/>
      <c r="AH946" s="1190"/>
      <c r="AI946" s="1190"/>
      <c r="AJ946" s="1190"/>
      <c r="AK946" s="1190"/>
      <c r="AL946" s="1190"/>
      <c r="AM946" s="1190"/>
      <c r="AN946" s="1190"/>
      <c r="AO946" s="1190"/>
      <c r="AP946" s="1190"/>
      <c r="AQ946" s="1190"/>
      <c r="AR946" s="1190"/>
      <c r="AS946" s="1190"/>
      <c r="AT946" s="1190"/>
      <c r="AU946" s="1190"/>
      <c r="AV946" s="1190"/>
      <c r="AW946" s="1190"/>
      <c r="AX946" s="1190"/>
      <c r="AY946" s="1190"/>
      <c r="AZ946" s="1190"/>
      <c r="BA946" s="1190"/>
      <c r="BB946" s="1190"/>
      <c r="BC946" s="1190"/>
      <c r="BD946" s="1190"/>
      <c r="BE946" s="1190"/>
      <c r="BF946" s="1190"/>
      <c r="BG946" s="1190"/>
      <c r="BH946" s="1190"/>
      <c r="BI946" s="1190"/>
      <c r="BJ946" s="1190"/>
      <c r="BK946" s="1190"/>
      <c r="BL946" s="1190"/>
      <c r="BM946" s="1190"/>
      <c r="BN946" s="1190"/>
      <c r="BO946" s="1190"/>
    </row>
    <row r="947" spans="26:67">
      <c r="Z947" s="1190"/>
      <c r="AA947" s="1190"/>
      <c r="AB947" s="1190"/>
      <c r="AC947" s="1190"/>
      <c r="AD947" s="1190"/>
      <c r="AE947" s="1190"/>
      <c r="AF947" s="1190"/>
      <c r="AG947" s="1190"/>
      <c r="AH947" s="1190"/>
      <c r="AI947" s="1190"/>
      <c r="AJ947" s="1190"/>
      <c r="AK947" s="1190"/>
      <c r="AL947" s="1190"/>
      <c r="AM947" s="1190"/>
      <c r="AN947" s="1190"/>
      <c r="AO947" s="1190"/>
      <c r="AP947" s="1190"/>
      <c r="AQ947" s="1190"/>
      <c r="AR947" s="1190"/>
      <c r="AS947" s="1190"/>
      <c r="AT947" s="1190"/>
      <c r="AU947" s="1190"/>
      <c r="AV947" s="1190"/>
      <c r="AW947" s="1190"/>
      <c r="AX947" s="1190"/>
      <c r="AY947" s="1190"/>
      <c r="AZ947" s="1190"/>
      <c r="BA947" s="1190"/>
      <c r="BB947" s="1190"/>
      <c r="BC947" s="1190"/>
      <c r="BD947" s="1190"/>
      <c r="BE947" s="1190"/>
      <c r="BF947" s="1190"/>
      <c r="BG947" s="1190"/>
      <c r="BH947" s="1190"/>
      <c r="BI947" s="1190"/>
      <c r="BJ947" s="1190"/>
      <c r="BK947" s="1190"/>
      <c r="BL947" s="1190"/>
      <c r="BM947" s="1190"/>
      <c r="BN947" s="1190"/>
      <c r="BO947" s="1190"/>
    </row>
    <row r="948" spans="26:67">
      <c r="Z948" s="1190"/>
      <c r="AA948" s="1190"/>
      <c r="AB948" s="1190"/>
      <c r="AC948" s="1190"/>
      <c r="AD948" s="1190"/>
      <c r="AE948" s="1190"/>
      <c r="AF948" s="1190"/>
      <c r="AG948" s="1190"/>
      <c r="AH948" s="1190"/>
      <c r="AI948" s="1190"/>
      <c r="AJ948" s="1190"/>
      <c r="AK948" s="1190"/>
      <c r="AL948" s="1190"/>
      <c r="AM948" s="1190"/>
      <c r="AN948" s="1190"/>
      <c r="AO948" s="1190"/>
      <c r="AP948" s="1190"/>
      <c r="AQ948" s="1190"/>
      <c r="AR948" s="1190"/>
      <c r="AS948" s="1190"/>
      <c r="AT948" s="1190"/>
      <c r="AU948" s="1190"/>
      <c r="AV948" s="1190"/>
      <c r="AW948" s="1190"/>
      <c r="AX948" s="1190"/>
      <c r="AY948" s="1190"/>
      <c r="AZ948" s="1190"/>
      <c r="BA948" s="1190"/>
      <c r="BB948" s="1190"/>
      <c r="BC948" s="1190"/>
      <c r="BD948" s="1190"/>
      <c r="BE948" s="1190"/>
      <c r="BF948" s="1190"/>
      <c r="BG948" s="1190"/>
      <c r="BH948" s="1190"/>
      <c r="BI948" s="1190"/>
      <c r="BJ948" s="1190"/>
      <c r="BK948" s="1190"/>
      <c r="BL948" s="1190"/>
      <c r="BM948" s="1190"/>
      <c r="BN948" s="1190"/>
      <c r="BO948" s="1190"/>
    </row>
    <row r="949" spans="26:67">
      <c r="Z949" s="1190"/>
      <c r="AA949" s="1190"/>
      <c r="AB949" s="1190"/>
      <c r="AC949" s="1190"/>
      <c r="AD949" s="1190"/>
      <c r="AE949" s="1190"/>
      <c r="AF949" s="1190"/>
      <c r="AG949" s="1190"/>
      <c r="AH949" s="1190"/>
      <c r="AI949" s="1190"/>
      <c r="AJ949" s="1190"/>
      <c r="AK949" s="1190"/>
      <c r="AL949" s="1190"/>
      <c r="AM949" s="1190"/>
      <c r="AN949" s="1190"/>
      <c r="AO949" s="1190"/>
      <c r="AP949" s="1190"/>
      <c r="AQ949" s="1190"/>
      <c r="AR949" s="1190"/>
      <c r="AS949" s="1190"/>
      <c r="AT949" s="1190"/>
      <c r="AU949" s="1190"/>
      <c r="AV949" s="1190"/>
      <c r="AW949" s="1190"/>
      <c r="AX949" s="1190"/>
      <c r="AY949" s="1190"/>
      <c r="AZ949" s="1190"/>
      <c r="BA949" s="1190"/>
      <c r="BB949" s="1190"/>
      <c r="BC949" s="1190"/>
      <c r="BD949" s="1190"/>
      <c r="BE949" s="1190"/>
      <c r="BF949" s="1190"/>
      <c r="BG949" s="1190"/>
      <c r="BH949" s="1190"/>
      <c r="BI949" s="1190"/>
      <c r="BJ949" s="1190"/>
      <c r="BK949" s="1190"/>
      <c r="BL949" s="1190"/>
      <c r="BM949" s="1190"/>
      <c r="BN949" s="1190"/>
      <c r="BO949" s="1190"/>
    </row>
    <row r="950" spans="26:67">
      <c r="Z950" s="1190"/>
      <c r="AA950" s="1190"/>
      <c r="AB950" s="1190"/>
      <c r="AC950" s="1190"/>
      <c r="AD950" s="1190"/>
      <c r="AE950" s="1190"/>
      <c r="AF950" s="1190"/>
      <c r="AG950" s="1190"/>
      <c r="AH950" s="1190"/>
      <c r="AI950" s="1190"/>
      <c r="AJ950" s="1190"/>
      <c r="AK950" s="1190"/>
      <c r="AL950" s="1190"/>
      <c r="AM950" s="1190"/>
      <c r="AN950" s="1190"/>
      <c r="AO950" s="1190"/>
      <c r="AP950" s="1190"/>
      <c r="AQ950" s="1190"/>
      <c r="AR950" s="1190"/>
      <c r="AS950" s="1190"/>
      <c r="AT950" s="1190"/>
      <c r="AU950" s="1190"/>
      <c r="AV950" s="1190"/>
      <c r="AW950" s="1190"/>
      <c r="AX950" s="1190"/>
      <c r="AY950" s="1190"/>
      <c r="AZ950" s="1190"/>
      <c r="BA950" s="1190"/>
      <c r="BB950" s="1190"/>
      <c r="BC950" s="1190"/>
      <c r="BD950" s="1190"/>
      <c r="BE950" s="1190"/>
      <c r="BF950" s="1190"/>
      <c r="BG950" s="1190"/>
      <c r="BH950" s="1190"/>
      <c r="BI950" s="1190"/>
      <c r="BJ950" s="1190"/>
      <c r="BK950" s="1190"/>
      <c r="BL950" s="1190"/>
      <c r="BM950" s="1190"/>
      <c r="BN950" s="1190"/>
      <c r="BO950" s="1190"/>
    </row>
    <row r="951" spans="26:67">
      <c r="Z951" s="1190"/>
      <c r="AA951" s="1190"/>
      <c r="AB951" s="1190"/>
      <c r="AC951" s="1190"/>
      <c r="AD951" s="1190"/>
      <c r="AE951" s="1190"/>
      <c r="AF951" s="1190"/>
      <c r="AG951" s="1190"/>
      <c r="AH951" s="1190"/>
      <c r="AI951" s="1190"/>
      <c r="AJ951" s="1190"/>
      <c r="AK951" s="1190"/>
      <c r="AL951" s="1190"/>
      <c r="AM951" s="1190"/>
      <c r="AN951" s="1190"/>
      <c r="AO951" s="1190"/>
      <c r="AP951" s="1190"/>
      <c r="AQ951" s="1190"/>
      <c r="AR951" s="1190"/>
      <c r="AS951" s="1190"/>
      <c r="AT951" s="1190"/>
      <c r="AU951" s="1190"/>
      <c r="AV951" s="1190"/>
      <c r="AW951" s="1190"/>
      <c r="AX951" s="1190"/>
      <c r="AY951" s="1190"/>
      <c r="AZ951" s="1190"/>
      <c r="BA951" s="1190"/>
      <c r="BB951" s="1190"/>
      <c r="BC951" s="1190"/>
      <c r="BD951" s="1190"/>
      <c r="BE951" s="1190"/>
      <c r="BF951" s="1190"/>
      <c r="BG951" s="1190"/>
      <c r="BH951" s="1190"/>
      <c r="BI951" s="1190"/>
      <c r="BJ951" s="1190"/>
      <c r="BK951" s="1190"/>
      <c r="BL951" s="1190"/>
      <c r="BM951" s="1190"/>
      <c r="BN951" s="1190"/>
      <c r="BO951" s="1190"/>
    </row>
    <row r="952" spans="26:67">
      <c r="Z952" s="1190"/>
      <c r="AA952" s="1190"/>
      <c r="AB952" s="1190"/>
      <c r="AC952" s="1190"/>
      <c r="AD952" s="1190"/>
      <c r="AE952" s="1190"/>
      <c r="AF952" s="1190"/>
      <c r="AG952" s="1190"/>
      <c r="AH952" s="1190"/>
      <c r="AI952" s="1190"/>
      <c r="AJ952" s="1190"/>
      <c r="AK952" s="1190"/>
      <c r="AL952" s="1190"/>
      <c r="AM952" s="1190"/>
      <c r="AN952" s="1190"/>
      <c r="AO952" s="1190"/>
      <c r="AP952" s="1190"/>
      <c r="AQ952" s="1190"/>
      <c r="AR952" s="1190"/>
      <c r="AS952" s="1190"/>
      <c r="AT952" s="1190"/>
      <c r="AU952" s="1190"/>
      <c r="AV952" s="1190"/>
      <c r="AW952" s="1190"/>
      <c r="AX952" s="1190"/>
      <c r="AY952" s="1190"/>
      <c r="AZ952" s="1190"/>
      <c r="BA952" s="1190"/>
      <c r="BB952" s="1190"/>
      <c r="BC952" s="1190"/>
      <c r="BD952" s="1190"/>
      <c r="BE952" s="1190"/>
      <c r="BF952" s="1190"/>
      <c r="BG952" s="1190"/>
      <c r="BH952" s="1190"/>
      <c r="BI952" s="1190"/>
      <c r="BJ952" s="1190"/>
      <c r="BK952" s="1190"/>
      <c r="BL952" s="1190"/>
      <c r="BM952" s="1190"/>
      <c r="BN952" s="1190"/>
      <c r="BO952" s="1190"/>
    </row>
    <row r="953" spans="26:67">
      <c r="Z953" s="1190"/>
      <c r="AA953" s="1190"/>
      <c r="AB953" s="1190"/>
      <c r="AC953" s="1190"/>
      <c r="AD953" s="1190"/>
      <c r="AE953" s="1190"/>
      <c r="AF953" s="1190"/>
      <c r="AG953" s="1190"/>
      <c r="AH953" s="1190"/>
      <c r="AI953" s="1190"/>
      <c r="AJ953" s="1190"/>
      <c r="AK953" s="1190"/>
      <c r="AL953" s="1190"/>
      <c r="AM953" s="1190"/>
      <c r="AN953" s="1190"/>
      <c r="AO953" s="1190"/>
      <c r="AP953" s="1190"/>
      <c r="AQ953" s="1190"/>
      <c r="AR953" s="1190"/>
      <c r="AS953" s="1190"/>
      <c r="AT953" s="1190"/>
      <c r="AU953" s="1190"/>
      <c r="AV953" s="1190"/>
      <c r="AW953" s="1190"/>
      <c r="AX953" s="1190"/>
      <c r="AY953" s="1190"/>
      <c r="AZ953" s="1190"/>
      <c r="BA953" s="1190"/>
      <c r="BB953" s="1190"/>
      <c r="BC953" s="1190"/>
      <c r="BD953" s="1190"/>
      <c r="BE953" s="1190"/>
      <c r="BF953" s="1190"/>
      <c r="BG953" s="1190"/>
      <c r="BH953" s="1190"/>
      <c r="BI953" s="1190"/>
      <c r="BJ953" s="1190"/>
      <c r="BK953" s="1190"/>
      <c r="BL953" s="1190"/>
      <c r="BM953" s="1190"/>
      <c r="BN953" s="1190"/>
      <c r="BO953" s="1190"/>
    </row>
    <row r="954" spans="26:67">
      <c r="Z954" s="1190"/>
      <c r="AA954" s="1190"/>
      <c r="AB954" s="1190"/>
      <c r="AC954" s="1190"/>
      <c r="AD954" s="1190"/>
      <c r="AE954" s="1190"/>
      <c r="AF954" s="1190"/>
      <c r="AG954" s="1190"/>
      <c r="AH954" s="1190"/>
      <c r="AI954" s="1190"/>
      <c r="AJ954" s="1190"/>
      <c r="AK954" s="1190"/>
      <c r="AL954" s="1190"/>
      <c r="AM954" s="1190"/>
      <c r="AN954" s="1190"/>
      <c r="AO954" s="1190"/>
      <c r="AP954" s="1190"/>
      <c r="AQ954" s="1190"/>
      <c r="AR954" s="1190"/>
      <c r="AS954" s="1190"/>
      <c r="AT954" s="1190"/>
      <c r="AU954" s="1190"/>
      <c r="AV954" s="1190"/>
      <c r="AW954" s="1190"/>
      <c r="AX954" s="1190"/>
      <c r="AY954" s="1190"/>
      <c r="AZ954" s="1190"/>
      <c r="BA954" s="1190"/>
      <c r="BB954" s="1190"/>
      <c r="BC954" s="1190"/>
      <c r="BD954" s="1190"/>
      <c r="BE954" s="1190"/>
      <c r="BF954" s="1190"/>
      <c r="BG954" s="1190"/>
      <c r="BH954" s="1190"/>
      <c r="BI954" s="1190"/>
      <c r="BJ954" s="1190"/>
      <c r="BK954" s="1190"/>
      <c r="BL954" s="1190"/>
      <c r="BM954" s="1190"/>
      <c r="BN954" s="1190"/>
      <c r="BO954" s="1190"/>
    </row>
    <row r="955" spans="26:67">
      <c r="Z955" s="1190"/>
      <c r="AA955" s="1190"/>
      <c r="AB955" s="1190"/>
      <c r="AC955" s="1190"/>
      <c r="AD955" s="1190"/>
      <c r="AE955" s="1190"/>
      <c r="AF955" s="1190"/>
      <c r="AG955" s="1190"/>
      <c r="AH955" s="1190"/>
      <c r="AI955" s="1190"/>
      <c r="AJ955" s="1190"/>
      <c r="AK955" s="1190"/>
      <c r="AL955" s="1190"/>
      <c r="AM955" s="1190"/>
      <c r="AN955" s="1190"/>
      <c r="AO955" s="1190"/>
      <c r="AP955" s="1190"/>
      <c r="AQ955" s="1190"/>
      <c r="AR955" s="1190"/>
      <c r="AS955" s="1190"/>
      <c r="AT955" s="1190"/>
      <c r="AU955" s="1190"/>
      <c r="AV955" s="1190"/>
      <c r="AW955" s="1190"/>
      <c r="AX955" s="1190"/>
      <c r="AY955" s="1190"/>
      <c r="AZ955" s="1190"/>
      <c r="BA955" s="1190"/>
      <c r="BB955" s="1190"/>
      <c r="BC955" s="1190"/>
      <c r="BD955" s="1190"/>
      <c r="BE955" s="1190"/>
      <c r="BF955" s="1190"/>
      <c r="BG955" s="1190"/>
      <c r="BH955" s="1190"/>
      <c r="BI955" s="1190"/>
      <c r="BJ955" s="1190"/>
      <c r="BK955" s="1190"/>
      <c r="BL955" s="1190"/>
      <c r="BM955" s="1190"/>
      <c r="BN955" s="1190"/>
      <c r="BO955" s="1190"/>
    </row>
    <row r="956" spans="26:67">
      <c r="Z956" s="1190"/>
      <c r="AA956" s="1190"/>
      <c r="AB956" s="1190"/>
      <c r="AC956" s="1190"/>
      <c r="AD956" s="1190"/>
      <c r="AE956" s="1190"/>
      <c r="AF956" s="1190"/>
      <c r="AG956" s="1190"/>
      <c r="AH956" s="1190"/>
      <c r="AI956" s="1190"/>
      <c r="AJ956" s="1190"/>
      <c r="AK956" s="1190"/>
      <c r="AL956" s="1190"/>
      <c r="AM956" s="1190"/>
      <c r="AN956" s="1190"/>
      <c r="AO956" s="1190"/>
      <c r="AP956" s="1190"/>
      <c r="AQ956" s="1190"/>
      <c r="AR956" s="1190"/>
      <c r="AS956" s="1190"/>
      <c r="AT956" s="1190"/>
      <c r="AU956" s="1190"/>
      <c r="AV956" s="1190"/>
      <c r="AW956" s="1190"/>
      <c r="AX956" s="1190"/>
      <c r="AY956" s="1190"/>
      <c r="AZ956" s="1190"/>
      <c r="BA956" s="1190"/>
      <c r="BB956" s="1190"/>
      <c r="BC956" s="1190"/>
      <c r="BD956" s="1190"/>
      <c r="BE956" s="1190"/>
      <c r="BF956" s="1190"/>
      <c r="BG956" s="1190"/>
      <c r="BH956" s="1190"/>
      <c r="BI956" s="1190"/>
      <c r="BJ956" s="1190"/>
      <c r="BK956" s="1190"/>
      <c r="BL956" s="1190"/>
      <c r="BM956" s="1190"/>
      <c r="BN956" s="1190"/>
      <c r="BO956" s="1190"/>
    </row>
    <row r="957" spans="26:67">
      <c r="Z957" s="1190"/>
      <c r="AA957" s="1190"/>
      <c r="AB957" s="1190"/>
      <c r="AC957" s="1190"/>
      <c r="AD957" s="1190"/>
      <c r="AE957" s="1190"/>
      <c r="AF957" s="1190"/>
      <c r="AG957" s="1190"/>
      <c r="AH957" s="1190"/>
      <c r="AI957" s="1190"/>
      <c r="AJ957" s="1190"/>
      <c r="AK957" s="1190"/>
      <c r="AL957" s="1190"/>
      <c r="AM957" s="1190"/>
      <c r="AN957" s="1190"/>
      <c r="AO957" s="1190"/>
      <c r="AP957" s="1190"/>
      <c r="AQ957" s="1190"/>
      <c r="AR957" s="1190"/>
      <c r="AS957" s="1190"/>
      <c r="AT957" s="1190"/>
      <c r="AU957" s="1190"/>
      <c r="AV957" s="1190"/>
      <c r="AW957" s="1190"/>
      <c r="AX957" s="1190"/>
      <c r="AY957" s="1190"/>
      <c r="AZ957" s="1190"/>
      <c r="BA957" s="1190"/>
      <c r="BB957" s="1190"/>
      <c r="BC957" s="1190"/>
      <c r="BD957" s="1190"/>
      <c r="BE957" s="1190"/>
      <c r="BF957" s="1190"/>
      <c r="BG957" s="1190"/>
      <c r="BH957" s="1190"/>
      <c r="BI957" s="1190"/>
      <c r="BJ957" s="1190"/>
      <c r="BK957" s="1190"/>
      <c r="BL957" s="1190"/>
      <c r="BM957" s="1190"/>
      <c r="BN957" s="1190"/>
      <c r="BO957" s="1190"/>
    </row>
    <row r="958" spans="26:67">
      <c r="Z958" s="1190"/>
      <c r="AA958" s="1190"/>
      <c r="AB958" s="1190"/>
      <c r="AC958" s="1190"/>
      <c r="AD958" s="1190"/>
      <c r="AE958" s="1190"/>
      <c r="AF958" s="1190"/>
      <c r="AG958" s="1190"/>
      <c r="AH958" s="1190"/>
      <c r="AI958" s="1190"/>
      <c r="AJ958" s="1190"/>
      <c r="AK958" s="1190"/>
      <c r="AL958" s="1190"/>
      <c r="AM958" s="1190"/>
      <c r="AN958" s="1190"/>
      <c r="AO958" s="1190"/>
      <c r="AP958" s="1190"/>
      <c r="AQ958" s="1190"/>
      <c r="AR958" s="1190"/>
      <c r="AS958" s="1190"/>
      <c r="AT958" s="1190"/>
      <c r="AU958" s="1190"/>
      <c r="AV958" s="1190"/>
      <c r="AW958" s="1190"/>
      <c r="AX958" s="1190"/>
      <c r="AY958" s="1190"/>
      <c r="AZ958" s="1190"/>
      <c r="BA958" s="1190"/>
      <c r="BB958" s="1190"/>
      <c r="BC958" s="1190"/>
      <c r="BD958" s="1190"/>
      <c r="BE958" s="1190"/>
      <c r="BF958" s="1190"/>
      <c r="BG958" s="1190"/>
      <c r="BH958" s="1190"/>
      <c r="BI958" s="1190"/>
      <c r="BJ958" s="1190"/>
      <c r="BK958" s="1190"/>
      <c r="BL958" s="1190"/>
      <c r="BM958" s="1190"/>
      <c r="BN958" s="1190"/>
      <c r="BO958" s="1190"/>
    </row>
    <row r="959" spans="26:67">
      <c r="Z959" s="1190"/>
      <c r="AA959" s="1190"/>
      <c r="AB959" s="1190"/>
      <c r="AC959" s="1190"/>
      <c r="AD959" s="1190"/>
      <c r="AE959" s="1190"/>
      <c r="AF959" s="1190"/>
      <c r="AG959" s="1190"/>
      <c r="AH959" s="1190"/>
      <c r="AI959" s="1190"/>
      <c r="AJ959" s="1190"/>
      <c r="AK959" s="1190"/>
      <c r="AL959" s="1190"/>
      <c r="AM959" s="1190"/>
      <c r="AN959" s="1190"/>
      <c r="AO959" s="1190"/>
      <c r="AP959" s="1190"/>
      <c r="AQ959" s="1190"/>
      <c r="AR959" s="1190"/>
      <c r="AS959" s="1190"/>
      <c r="AT959" s="1190"/>
      <c r="AU959" s="1190"/>
      <c r="AV959" s="1190"/>
      <c r="AW959" s="1190"/>
      <c r="AX959" s="1190"/>
      <c r="AY959" s="1190"/>
      <c r="AZ959" s="1190"/>
      <c r="BA959" s="1190"/>
      <c r="BB959" s="1190"/>
      <c r="BC959" s="1190"/>
      <c r="BD959" s="1190"/>
      <c r="BE959" s="1190"/>
      <c r="BF959" s="1190"/>
      <c r="BG959" s="1190"/>
      <c r="BH959" s="1190"/>
      <c r="BI959" s="1190"/>
      <c r="BJ959" s="1190"/>
      <c r="BK959" s="1190"/>
      <c r="BL959" s="1190"/>
      <c r="BM959" s="1190"/>
      <c r="BN959" s="1190"/>
      <c r="BO959" s="1190"/>
    </row>
    <row r="960" spans="26:67">
      <c r="Z960" s="1190"/>
      <c r="AA960" s="1190"/>
      <c r="AB960" s="1190"/>
      <c r="AC960" s="1190"/>
      <c r="AD960" s="1190"/>
      <c r="AE960" s="1190"/>
      <c r="AF960" s="1190"/>
      <c r="AG960" s="1190"/>
      <c r="AH960" s="1190"/>
      <c r="AI960" s="1190"/>
      <c r="AJ960" s="1190"/>
      <c r="AK960" s="1190"/>
      <c r="AL960" s="1190"/>
      <c r="AM960" s="1190"/>
      <c r="AN960" s="1190"/>
      <c r="AO960" s="1190"/>
      <c r="AP960" s="1190"/>
      <c r="AQ960" s="1190"/>
      <c r="AR960" s="1190"/>
      <c r="AS960" s="1190"/>
      <c r="AT960" s="1190"/>
      <c r="AU960" s="1190"/>
      <c r="AV960" s="1190"/>
      <c r="AW960" s="1190"/>
      <c r="AX960" s="1190"/>
      <c r="AY960" s="1190"/>
      <c r="AZ960" s="1190"/>
      <c r="BA960" s="1190"/>
      <c r="BB960" s="1190"/>
      <c r="BC960" s="1190"/>
      <c r="BD960" s="1190"/>
      <c r="BE960" s="1190"/>
      <c r="BF960" s="1190"/>
      <c r="BG960" s="1190"/>
      <c r="BH960" s="1190"/>
      <c r="BI960" s="1190"/>
      <c r="BJ960" s="1190"/>
      <c r="BK960" s="1190"/>
      <c r="BL960" s="1190"/>
      <c r="BM960" s="1190"/>
      <c r="BN960" s="1190"/>
      <c r="BO960" s="1190"/>
    </row>
    <row r="961" spans="26:67">
      <c r="Z961" s="1190"/>
      <c r="AA961" s="1190"/>
      <c r="AB961" s="1190"/>
      <c r="AC961" s="1190"/>
      <c r="AD961" s="1190"/>
      <c r="AE961" s="1190"/>
      <c r="AF961" s="1190"/>
      <c r="AG961" s="1190"/>
      <c r="AH961" s="1190"/>
      <c r="AI961" s="1190"/>
      <c r="AJ961" s="1190"/>
      <c r="AK961" s="1190"/>
      <c r="AL961" s="1190"/>
      <c r="AM961" s="1190"/>
      <c r="AN961" s="1190"/>
      <c r="AO961" s="1190"/>
      <c r="AP961" s="1190"/>
      <c r="AQ961" s="1190"/>
      <c r="AR961" s="1190"/>
      <c r="AS961" s="1190"/>
      <c r="AT961" s="1190"/>
      <c r="AU961" s="1190"/>
      <c r="AV961" s="1190"/>
      <c r="AW961" s="1190"/>
      <c r="AX961" s="1190"/>
      <c r="AY961" s="1190"/>
      <c r="AZ961" s="1190"/>
      <c r="BA961" s="1190"/>
      <c r="BB961" s="1190"/>
      <c r="BC961" s="1190"/>
      <c r="BD961" s="1190"/>
      <c r="BE961" s="1190"/>
      <c r="BF961" s="1190"/>
      <c r="BG961" s="1190"/>
      <c r="BH961" s="1190"/>
      <c r="BI961" s="1190"/>
      <c r="BJ961" s="1190"/>
      <c r="BK961" s="1190"/>
      <c r="BL961" s="1190"/>
      <c r="BM961" s="1190"/>
      <c r="BN961" s="1190"/>
      <c r="BO961" s="1190"/>
    </row>
    <row r="962" spans="26:67">
      <c r="Z962" s="1190"/>
      <c r="AA962" s="1190"/>
      <c r="AB962" s="1190"/>
      <c r="AC962" s="1190"/>
      <c r="AD962" s="1190"/>
      <c r="AE962" s="1190"/>
      <c r="AF962" s="1190"/>
      <c r="AG962" s="1190"/>
      <c r="AH962" s="1190"/>
      <c r="AI962" s="1190"/>
      <c r="AJ962" s="1190"/>
      <c r="AK962" s="1190"/>
      <c r="AL962" s="1190"/>
      <c r="AM962" s="1190"/>
      <c r="AN962" s="1190"/>
      <c r="AO962" s="1190"/>
      <c r="AP962" s="1190"/>
      <c r="AQ962" s="1190"/>
      <c r="AR962" s="1190"/>
      <c r="AS962" s="1190"/>
      <c r="AT962" s="1190"/>
      <c r="AU962" s="1190"/>
      <c r="AV962" s="1190"/>
      <c r="AW962" s="1190"/>
      <c r="AX962" s="1190"/>
      <c r="AY962" s="1190"/>
      <c r="AZ962" s="1190"/>
      <c r="BA962" s="1190"/>
      <c r="BB962" s="1190"/>
      <c r="BC962" s="1190"/>
      <c r="BD962" s="1190"/>
      <c r="BE962" s="1190"/>
      <c r="BF962" s="1190"/>
      <c r="BG962" s="1190"/>
      <c r="BH962" s="1190"/>
      <c r="BI962" s="1190"/>
      <c r="BJ962" s="1190"/>
      <c r="BK962" s="1190"/>
      <c r="BL962" s="1190"/>
      <c r="BM962" s="1190"/>
      <c r="BN962" s="1190"/>
      <c r="BO962" s="1190"/>
    </row>
    <row r="963" spans="26:67">
      <c r="Z963" s="1190"/>
      <c r="AA963" s="1190"/>
      <c r="AB963" s="1190"/>
      <c r="AC963" s="1190"/>
      <c r="AD963" s="1190"/>
      <c r="AE963" s="1190"/>
      <c r="AF963" s="1190"/>
      <c r="AG963" s="1190"/>
      <c r="AH963" s="1190"/>
      <c r="AI963" s="1190"/>
      <c r="AJ963" s="1190"/>
      <c r="AK963" s="1190"/>
      <c r="AL963" s="1190"/>
      <c r="AM963" s="1190"/>
      <c r="AN963" s="1190"/>
      <c r="AO963" s="1190"/>
      <c r="AP963" s="1190"/>
      <c r="AQ963" s="1190"/>
      <c r="AR963" s="1190"/>
      <c r="AS963" s="1190"/>
      <c r="AT963" s="1190"/>
      <c r="AU963" s="1190"/>
      <c r="AV963" s="1190"/>
      <c r="AW963" s="1190"/>
      <c r="AX963" s="1190"/>
      <c r="AY963" s="1190"/>
      <c r="AZ963" s="1190"/>
      <c r="BA963" s="1190"/>
      <c r="BB963" s="1190"/>
      <c r="BC963" s="1190"/>
      <c r="BD963" s="1190"/>
      <c r="BE963" s="1190"/>
      <c r="BF963" s="1190"/>
      <c r="BG963" s="1190"/>
      <c r="BH963" s="1190"/>
      <c r="BI963" s="1190"/>
      <c r="BJ963" s="1190"/>
      <c r="BK963" s="1190"/>
      <c r="BL963" s="1190"/>
      <c r="BM963" s="1190"/>
      <c r="BN963" s="1190"/>
      <c r="BO963" s="1190"/>
    </row>
    <row r="964" spans="26:67">
      <c r="Z964" s="1190"/>
      <c r="AA964" s="1190"/>
      <c r="AB964" s="1190"/>
      <c r="AC964" s="1190"/>
      <c r="AD964" s="1190"/>
      <c r="AE964" s="1190"/>
      <c r="AF964" s="1190"/>
      <c r="AG964" s="1190"/>
      <c r="AH964" s="1190"/>
      <c r="AI964" s="1190"/>
      <c r="AJ964" s="1190"/>
      <c r="AK964" s="1190"/>
      <c r="AL964" s="1190"/>
      <c r="AM964" s="1190"/>
      <c r="AN964" s="1190"/>
      <c r="AO964" s="1190"/>
      <c r="AP964" s="1190"/>
      <c r="AQ964" s="1190"/>
      <c r="AR964" s="1190"/>
      <c r="AS964" s="1190"/>
      <c r="AT964" s="1190"/>
      <c r="AU964" s="1190"/>
      <c r="AV964" s="1190"/>
      <c r="AW964" s="1190"/>
      <c r="AX964" s="1190"/>
      <c r="AY964" s="1190"/>
      <c r="AZ964" s="1190"/>
      <c r="BA964" s="1190"/>
      <c r="BB964" s="1190"/>
      <c r="BC964" s="1190"/>
      <c r="BD964" s="1190"/>
      <c r="BE964" s="1190"/>
      <c r="BF964" s="1190"/>
      <c r="BG964" s="1190"/>
      <c r="BH964" s="1190"/>
      <c r="BI964" s="1190"/>
      <c r="BJ964" s="1190"/>
      <c r="BK964" s="1190"/>
      <c r="BL964" s="1190"/>
      <c r="BM964" s="1190"/>
      <c r="BN964" s="1190"/>
      <c r="BO964" s="1190"/>
    </row>
    <row r="965" spans="26:67">
      <c r="Z965" s="1190"/>
      <c r="AA965" s="1190"/>
      <c r="AB965" s="1190"/>
      <c r="AC965" s="1190"/>
      <c r="AD965" s="1190"/>
      <c r="AE965" s="1190"/>
      <c r="AF965" s="1190"/>
      <c r="AG965" s="1190"/>
      <c r="AH965" s="1190"/>
      <c r="AI965" s="1190"/>
      <c r="AJ965" s="1190"/>
      <c r="AK965" s="1190"/>
      <c r="AL965" s="1190"/>
      <c r="AM965" s="1190"/>
      <c r="AN965" s="1190"/>
      <c r="AO965" s="1190"/>
      <c r="AP965" s="1190"/>
      <c r="AQ965" s="1190"/>
      <c r="AR965" s="1190"/>
      <c r="AS965" s="1190"/>
      <c r="AT965" s="1190"/>
      <c r="AU965" s="1190"/>
      <c r="AV965" s="1190"/>
      <c r="AW965" s="1190"/>
      <c r="AX965" s="1190"/>
      <c r="AY965" s="1190"/>
      <c r="AZ965" s="1190"/>
      <c r="BA965" s="1190"/>
      <c r="BB965" s="1190"/>
      <c r="BC965" s="1190"/>
      <c r="BD965" s="1190"/>
      <c r="BE965" s="1190"/>
      <c r="BF965" s="1190"/>
      <c r="BG965" s="1190"/>
      <c r="BH965" s="1190"/>
      <c r="BI965" s="1190"/>
      <c r="BJ965" s="1190"/>
      <c r="BK965" s="1190"/>
      <c r="BL965" s="1190"/>
      <c r="BM965" s="1190"/>
      <c r="BN965" s="1190"/>
      <c r="BO965" s="1190"/>
    </row>
    <row r="966" spans="26:67">
      <c r="Z966" s="1190"/>
      <c r="AA966" s="1190"/>
      <c r="AB966" s="1190"/>
      <c r="AC966" s="1190"/>
      <c r="AD966" s="1190"/>
      <c r="AE966" s="1190"/>
      <c r="AF966" s="1190"/>
      <c r="AG966" s="1190"/>
      <c r="AH966" s="1190"/>
      <c r="AI966" s="1190"/>
      <c r="AJ966" s="1190"/>
      <c r="AK966" s="1190"/>
      <c r="AL966" s="1190"/>
      <c r="AM966" s="1190"/>
      <c r="AN966" s="1190"/>
      <c r="AO966" s="1190"/>
      <c r="AP966" s="1190"/>
      <c r="AQ966" s="1190"/>
      <c r="AR966" s="1190"/>
      <c r="AS966" s="1190"/>
      <c r="AT966" s="1190"/>
      <c r="AU966" s="1190"/>
      <c r="AV966" s="1190"/>
      <c r="AW966" s="1190"/>
      <c r="AX966" s="1190"/>
      <c r="AY966" s="1190"/>
      <c r="AZ966" s="1190"/>
      <c r="BA966" s="1190"/>
      <c r="BB966" s="1190"/>
      <c r="BC966" s="1190"/>
      <c r="BD966" s="1190"/>
      <c r="BE966" s="1190"/>
      <c r="BF966" s="1190"/>
      <c r="BG966" s="1190"/>
      <c r="BH966" s="1190"/>
      <c r="BI966" s="1190"/>
      <c r="BJ966" s="1190"/>
      <c r="BK966" s="1190"/>
      <c r="BL966" s="1190"/>
      <c r="BM966" s="1190"/>
      <c r="BN966" s="1190"/>
      <c r="BO966" s="1190"/>
    </row>
    <row r="967" spans="26:67">
      <c r="Z967" s="1190"/>
      <c r="AA967" s="1190"/>
      <c r="AB967" s="1190"/>
      <c r="AC967" s="1190"/>
      <c r="AD967" s="1190"/>
      <c r="AE967" s="1190"/>
      <c r="AF967" s="1190"/>
      <c r="AG967" s="1190"/>
      <c r="AH967" s="1190"/>
      <c r="AI967" s="1190"/>
      <c r="AJ967" s="1190"/>
      <c r="AK967" s="1190"/>
      <c r="AL967" s="1190"/>
      <c r="AM967" s="1190"/>
      <c r="AN967" s="1190"/>
      <c r="AO967" s="1190"/>
      <c r="AP967" s="1190"/>
      <c r="AQ967" s="1190"/>
      <c r="AR967" s="1190"/>
      <c r="AS967" s="1190"/>
      <c r="AT967" s="1190"/>
      <c r="AU967" s="1190"/>
      <c r="AV967" s="1190"/>
      <c r="AW967" s="1190"/>
      <c r="AX967" s="1190"/>
      <c r="AY967" s="1190"/>
      <c r="AZ967" s="1190"/>
      <c r="BA967" s="1190"/>
      <c r="BB967" s="1190"/>
      <c r="BC967" s="1190"/>
      <c r="BD967" s="1190"/>
      <c r="BE967" s="1190"/>
      <c r="BF967" s="1190"/>
      <c r="BG967" s="1190"/>
      <c r="BH967" s="1190"/>
      <c r="BI967" s="1190"/>
      <c r="BJ967" s="1190"/>
      <c r="BK967" s="1190"/>
      <c r="BL967" s="1190"/>
      <c r="BM967" s="1190"/>
      <c r="BN967" s="1190"/>
      <c r="BO967" s="1190"/>
    </row>
    <row r="968" spans="26:67">
      <c r="Z968" s="1190"/>
      <c r="AA968" s="1190"/>
      <c r="AB968" s="1190"/>
      <c r="AC968" s="1190"/>
      <c r="AD968" s="1190"/>
      <c r="AE968" s="1190"/>
      <c r="AF968" s="1190"/>
      <c r="AG968" s="1190"/>
      <c r="AH968" s="1190"/>
      <c r="AI968" s="1190"/>
      <c r="AJ968" s="1190"/>
      <c r="AK968" s="1190"/>
      <c r="AL968" s="1190"/>
      <c r="AM968" s="1190"/>
      <c r="AN968" s="1190"/>
      <c r="AO968" s="1190"/>
      <c r="AP968" s="1190"/>
      <c r="AQ968" s="1190"/>
      <c r="AR968" s="1190"/>
      <c r="AS968" s="1190"/>
      <c r="AT968" s="1190"/>
      <c r="AU968" s="1190"/>
      <c r="AV968" s="1190"/>
      <c r="AW968" s="1190"/>
      <c r="AX968" s="1190"/>
      <c r="AY968" s="1190"/>
      <c r="AZ968" s="1190"/>
      <c r="BA968" s="1190"/>
      <c r="BB968" s="1190"/>
      <c r="BC968" s="1190"/>
      <c r="BD968" s="1190"/>
      <c r="BE968" s="1190"/>
      <c r="BF968" s="1190"/>
      <c r="BG968" s="1190"/>
      <c r="BH968" s="1190"/>
      <c r="BI968" s="1190"/>
      <c r="BJ968" s="1190"/>
      <c r="BK968" s="1190"/>
      <c r="BL968" s="1190"/>
      <c r="BM968" s="1190"/>
      <c r="BN968" s="1190"/>
      <c r="BO968" s="1190"/>
    </row>
    <row r="969" spans="26:67">
      <c r="Z969" s="1190"/>
      <c r="AA969" s="1190"/>
      <c r="AB969" s="1190"/>
      <c r="AC969" s="1190"/>
      <c r="AD969" s="1190"/>
      <c r="AE969" s="1190"/>
      <c r="AF969" s="1190"/>
      <c r="AG969" s="1190"/>
      <c r="AH969" s="1190"/>
      <c r="AI969" s="1190"/>
      <c r="AJ969" s="1190"/>
      <c r="AK969" s="1190"/>
      <c r="AL969" s="1190"/>
      <c r="AM969" s="1190"/>
      <c r="AN969" s="1190"/>
      <c r="AO969" s="1190"/>
      <c r="AP969" s="1190"/>
      <c r="AQ969" s="1190"/>
      <c r="AR969" s="1190"/>
      <c r="AS969" s="1190"/>
      <c r="AT969" s="1190"/>
      <c r="AU969" s="1190"/>
      <c r="AV969" s="1190"/>
      <c r="AW969" s="1190"/>
      <c r="AX969" s="1190"/>
      <c r="AY969" s="1190"/>
      <c r="AZ969" s="1190"/>
      <c r="BA969" s="1190"/>
      <c r="BB969" s="1190"/>
      <c r="BC969" s="1190"/>
      <c r="BD969" s="1190"/>
      <c r="BE969" s="1190"/>
      <c r="BF969" s="1190"/>
      <c r="BG969" s="1190"/>
      <c r="BH969" s="1190"/>
      <c r="BI969" s="1190"/>
      <c r="BJ969" s="1190"/>
      <c r="BK969" s="1190"/>
      <c r="BL969" s="1190"/>
      <c r="BM969" s="1190"/>
      <c r="BN969" s="1190"/>
      <c r="BO969" s="1190"/>
    </row>
    <row r="970" spans="26:67">
      <c r="Z970" s="1190"/>
      <c r="AA970" s="1190"/>
      <c r="AB970" s="1190"/>
      <c r="AC970" s="1190"/>
      <c r="AD970" s="1190"/>
      <c r="AE970" s="1190"/>
      <c r="AF970" s="1190"/>
      <c r="AG970" s="1190"/>
      <c r="AH970" s="1190"/>
      <c r="AI970" s="1190"/>
      <c r="AJ970" s="1190"/>
      <c r="AK970" s="1190"/>
      <c r="AL970" s="1190"/>
      <c r="AM970" s="1190"/>
      <c r="AN970" s="1190"/>
      <c r="AO970" s="1190"/>
      <c r="AP970" s="1190"/>
      <c r="AQ970" s="1190"/>
      <c r="AR970" s="1190"/>
      <c r="AS970" s="1190"/>
      <c r="AT970" s="1190"/>
      <c r="AU970" s="1190"/>
      <c r="AV970" s="1190"/>
      <c r="AW970" s="1190"/>
      <c r="AX970" s="1190"/>
      <c r="AY970" s="1190"/>
      <c r="AZ970" s="1190"/>
      <c r="BA970" s="1190"/>
      <c r="BB970" s="1190"/>
      <c r="BC970" s="1190"/>
      <c r="BD970" s="1190"/>
      <c r="BE970" s="1190"/>
      <c r="BF970" s="1190"/>
      <c r="BG970" s="1190"/>
      <c r="BH970" s="1190"/>
      <c r="BI970" s="1190"/>
      <c r="BJ970" s="1190"/>
      <c r="BK970" s="1190"/>
      <c r="BL970" s="1190"/>
      <c r="BM970" s="1190"/>
      <c r="BN970" s="1190"/>
      <c r="BO970" s="1190"/>
    </row>
    <row r="971" spans="26:67">
      <c r="Z971" s="1190"/>
      <c r="AA971" s="1190"/>
      <c r="AB971" s="1190"/>
      <c r="AC971" s="1190"/>
      <c r="AD971" s="1190"/>
      <c r="AE971" s="1190"/>
      <c r="AF971" s="1190"/>
      <c r="AG971" s="1190"/>
      <c r="AH971" s="1190"/>
      <c r="AI971" s="1190"/>
      <c r="AJ971" s="1190"/>
      <c r="AK971" s="1190"/>
      <c r="AL971" s="1190"/>
      <c r="AM971" s="1190"/>
      <c r="AN971" s="1190"/>
      <c r="AO971" s="1190"/>
      <c r="AP971" s="1190"/>
      <c r="AQ971" s="1190"/>
      <c r="AR971" s="1190"/>
      <c r="AS971" s="1190"/>
      <c r="AT971" s="1190"/>
      <c r="AU971" s="1190"/>
      <c r="AV971" s="1190"/>
      <c r="AW971" s="1190"/>
      <c r="AX971" s="1190"/>
      <c r="AY971" s="1190"/>
      <c r="AZ971" s="1190"/>
      <c r="BA971" s="1190"/>
      <c r="BB971" s="1190"/>
      <c r="BC971" s="1190"/>
      <c r="BD971" s="1190"/>
      <c r="BE971" s="1190"/>
      <c r="BF971" s="1190"/>
      <c r="BG971" s="1190"/>
      <c r="BH971" s="1190"/>
      <c r="BI971" s="1190"/>
      <c r="BJ971" s="1190"/>
      <c r="BK971" s="1190"/>
      <c r="BL971" s="1190"/>
      <c r="BM971" s="1190"/>
      <c r="BN971" s="1190"/>
      <c r="BO971" s="1190"/>
    </row>
    <row r="972" spans="26:67">
      <c r="Z972" s="1190"/>
      <c r="AA972" s="1190"/>
      <c r="AB972" s="1190"/>
      <c r="AC972" s="1190"/>
      <c r="AD972" s="1190"/>
      <c r="AE972" s="1190"/>
      <c r="AF972" s="1190"/>
      <c r="AG972" s="1190"/>
      <c r="AH972" s="1190"/>
      <c r="AI972" s="1190"/>
      <c r="AJ972" s="1190"/>
      <c r="AK972" s="1190"/>
      <c r="AL972" s="1190"/>
      <c r="AM972" s="1190"/>
      <c r="AN972" s="1190"/>
      <c r="AO972" s="1190"/>
      <c r="AP972" s="1190"/>
      <c r="AQ972" s="1190"/>
      <c r="AR972" s="1190"/>
      <c r="AS972" s="1190"/>
      <c r="AT972" s="1190"/>
      <c r="AU972" s="1190"/>
      <c r="AV972" s="1190"/>
      <c r="AW972" s="1190"/>
      <c r="AX972" s="1190"/>
      <c r="AY972" s="1190"/>
      <c r="AZ972" s="1190"/>
      <c r="BA972" s="1190"/>
      <c r="BB972" s="1190"/>
      <c r="BC972" s="1190"/>
      <c r="BD972" s="1190"/>
      <c r="BE972" s="1190"/>
      <c r="BF972" s="1190"/>
      <c r="BG972" s="1190"/>
      <c r="BH972" s="1190"/>
      <c r="BI972" s="1190"/>
      <c r="BJ972" s="1190"/>
      <c r="BK972" s="1190"/>
      <c r="BL972" s="1190"/>
      <c r="BM972" s="1190"/>
      <c r="BN972" s="1190"/>
      <c r="BO972" s="1190"/>
    </row>
    <row r="973" spans="26:67">
      <c r="Z973" s="1190"/>
      <c r="AA973" s="1190"/>
      <c r="AB973" s="1190"/>
      <c r="AC973" s="1190"/>
      <c r="AD973" s="1190"/>
      <c r="AE973" s="1190"/>
      <c r="AF973" s="1190"/>
      <c r="AG973" s="1190"/>
      <c r="AH973" s="1190"/>
      <c r="AI973" s="1190"/>
      <c r="AJ973" s="1190"/>
      <c r="AK973" s="1190"/>
      <c r="AL973" s="1190"/>
      <c r="AM973" s="1190"/>
      <c r="AN973" s="1190"/>
      <c r="AO973" s="1190"/>
      <c r="AP973" s="1190"/>
      <c r="AQ973" s="1190"/>
      <c r="AR973" s="1190"/>
      <c r="AS973" s="1190"/>
      <c r="AT973" s="1190"/>
      <c r="AU973" s="1190"/>
      <c r="AV973" s="1190"/>
      <c r="AW973" s="1190"/>
      <c r="AX973" s="1190"/>
      <c r="AY973" s="1190"/>
      <c r="AZ973" s="1190"/>
      <c r="BA973" s="1190"/>
      <c r="BB973" s="1190"/>
      <c r="BC973" s="1190"/>
      <c r="BD973" s="1190"/>
      <c r="BE973" s="1190"/>
      <c r="BF973" s="1190"/>
      <c r="BG973" s="1190"/>
      <c r="BH973" s="1190"/>
      <c r="BI973" s="1190"/>
      <c r="BJ973" s="1190"/>
      <c r="BK973" s="1190"/>
      <c r="BL973" s="1190"/>
      <c r="BM973" s="1190"/>
      <c r="BN973" s="1190"/>
      <c r="BO973" s="1190"/>
    </row>
    <row r="974" spans="26:67">
      <c r="Z974" s="1190"/>
      <c r="AA974" s="1190"/>
      <c r="AB974" s="1190"/>
      <c r="AC974" s="1190"/>
      <c r="AD974" s="1190"/>
      <c r="AE974" s="1190"/>
      <c r="AF974" s="1190"/>
      <c r="AG974" s="1190"/>
      <c r="AH974" s="1190"/>
      <c r="AI974" s="1190"/>
      <c r="AJ974" s="1190"/>
      <c r="AK974" s="1190"/>
      <c r="AL974" s="1190"/>
      <c r="AM974" s="1190"/>
      <c r="AN974" s="1190"/>
      <c r="AO974" s="1190"/>
      <c r="AP974" s="1190"/>
      <c r="AQ974" s="1190"/>
      <c r="AR974" s="1190"/>
      <c r="AS974" s="1190"/>
      <c r="AT974" s="1190"/>
      <c r="AU974" s="1190"/>
      <c r="AV974" s="1190"/>
      <c r="AW974" s="1190"/>
      <c r="AX974" s="1190"/>
      <c r="AY974" s="1190"/>
      <c r="AZ974" s="1190"/>
      <c r="BA974" s="1190"/>
      <c r="BB974" s="1190"/>
      <c r="BC974" s="1190"/>
      <c r="BD974" s="1190"/>
      <c r="BE974" s="1190"/>
      <c r="BF974" s="1190"/>
      <c r="BG974" s="1190"/>
      <c r="BH974" s="1190"/>
      <c r="BI974" s="1190"/>
      <c r="BJ974" s="1190"/>
      <c r="BK974" s="1190"/>
      <c r="BL974" s="1190"/>
      <c r="BM974" s="1190"/>
      <c r="BN974" s="1190"/>
      <c r="BO974" s="1190"/>
    </row>
    <row r="975" spans="26:67">
      <c r="Z975" s="1190"/>
      <c r="AA975" s="1190"/>
      <c r="AB975" s="1190"/>
      <c r="AC975" s="1190"/>
      <c r="AD975" s="1190"/>
      <c r="AE975" s="1190"/>
      <c r="AF975" s="1190"/>
      <c r="AG975" s="1190"/>
      <c r="AH975" s="1190"/>
      <c r="AI975" s="1190"/>
      <c r="AJ975" s="1190"/>
      <c r="AK975" s="1190"/>
      <c r="AL975" s="1190"/>
      <c r="AM975" s="1190"/>
      <c r="AN975" s="1190"/>
      <c r="AO975" s="1190"/>
      <c r="AP975" s="1190"/>
      <c r="AQ975" s="1190"/>
      <c r="AR975" s="1190"/>
      <c r="AS975" s="1190"/>
      <c r="AT975" s="1190"/>
      <c r="AU975" s="1190"/>
      <c r="AV975" s="1190"/>
      <c r="AW975" s="1190"/>
      <c r="AX975" s="1190"/>
      <c r="AY975" s="1190"/>
      <c r="AZ975" s="1190"/>
      <c r="BA975" s="1190"/>
      <c r="BB975" s="1190"/>
      <c r="BC975" s="1190"/>
      <c r="BD975" s="1190"/>
      <c r="BE975" s="1190"/>
      <c r="BF975" s="1190"/>
      <c r="BG975" s="1190"/>
      <c r="BH975" s="1190"/>
      <c r="BI975" s="1190"/>
      <c r="BJ975" s="1190"/>
      <c r="BK975" s="1190"/>
      <c r="BL975" s="1190"/>
      <c r="BM975" s="1190"/>
      <c r="BN975" s="1190"/>
      <c r="BO975" s="1190"/>
    </row>
    <row r="976" spans="26:67">
      <c r="Z976" s="1190"/>
      <c r="AA976" s="1190"/>
      <c r="AB976" s="1190"/>
      <c r="AC976" s="1190"/>
      <c r="AD976" s="1190"/>
      <c r="AE976" s="1190"/>
      <c r="AF976" s="1190"/>
      <c r="AG976" s="1190"/>
      <c r="AH976" s="1190"/>
      <c r="AI976" s="1190"/>
      <c r="AJ976" s="1190"/>
      <c r="AK976" s="1190"/>
      <c r="AL976" s="1190"/>
      <c r="AM976" s="1190"/>
      <c r="AN976" s="1190"/>
      <c r="AO976" s="1190"/>
      <c r="AP976" s="1190"/>
      <c r="AQ976" s="1190"/>
      <c r="AR976" s="1190"/>
      <c r="AS976" s="1190"/>
      <c r="AT976" s="1190"/>
      <c r="AU976" s="1190"/>
      <c r="AV976" s="1190"/>
      <c r="AW976" s="1190"/>
      <c r="AX976" s="1190"/>
      <c r="AY976" s="1190"/>
      <c r="AZ976" s="1190"/>
      <c r="BA976" s="1190"/>
      <c r="BB976" s="1190"/>
      <c r="BC976" s="1190"/>
      <c r="BD976" s="1190"/>
      <c r="BE976" s="1190"/>
      <c r="BF976" s="1190"/>
      <c r="BG976" s="1190"/>
      <c r="BH976" s="1190"/>
      <c r="BI976" s="1190"/>
      <c r="BJ976" s="1190"/>
      <c r="BK976" s="1190"/>
      <c r="BL976" s="1190"/>
      <c r="BM976" s="1190"/>
      <c r="BN976" s="1190"/>
      <c r="BO976" s="1190"/>
    </row>
    <row r="977" spans="26:67">
      <c r="Z977" s="1190"/>
      <c r="AA977" s="1190"/>
      <c r="AB977" s="1190"/>
      <c r="AC977" s="1190"/>
      <c r="AD977" s="1190"/>
      <c r="AE977" s="1190"/>
      <c r="AF977" s="1190"/>
      <c r="AG977" s="1190"/>
      <c r="AH977" s="1190"/>
      <c r="AI977" s="1190"/>
      <c r="AJ977" s="1190"/>
      <c r="AK977" s="1190"/>
      <c r="AL977" s="1190"/>
      <c r="AM977" s="1190"/>
      <c r="AN977" s="1190"/>
      <c r="AO977" s="1190"/>
      <c r="AP977" s="1190"/>
      <c r="AQ977" s="1190"/>
      <c r="AR977" s="1190"/>
      <c r="AS977" s="1190"/>
      <c r="AT977" s="1190"/>
      <c r="AU977" s="1190"/>
      <c r="AV977" s="1190"/>
      <c r="AW977" s="1190"/>
      <c r="AX977" s="1190"/>
      <c r="AY977" s="1190"/>
      <c r="AZ977" s="1190"/>
      <c r="BA977" s="1190"/>
      <c r="BB977" s="1190"/>
      <c r="BC977" s="1190"/>
      <c r="BD977" s="1190"/>
      <c r="BE977" s="1190"/>
      <c r="BF977" s="1190"/>
      <c r="BG977" s="1190"/>
      <c r="BH977" s="1190"/>
      <c r="BI977" s="1190"/>
      <c r="BJ977" s="1190"/>
      <c r="BK977" s="1190"/>
      <c r="BL977" s="1190"/>
      <c r="BM977" s="1190"/>
      <c r="BN977" s="1190"/>
      <c r="BO977" s="1190"/>
    </row>
    <row r="978" spans="26:67">
      <c r="Z978" s="1190"/>
      <c r="AA978" s="1190"/>
      <c r="AB978" s="1190"/>
      <c r="AC978" s="1190"/>
      <c r="AD978" s="1190"/>
      <c r="AE978" s="1190"/>
      <c r="AF978" s="1190"/>
      <c r="AG978" s="1190"/>
      <c r="AH978" s="1190"/>
      <c r="AI978" s="1190"/>
      <c r="AJ978" s="1190"/>
      <c r="AK978" s="1190"/>
      <c r="AL978" s="1190"/>
      <c r="AM978" s="1190"/>
      <c r="AN978" s="1190"/>
      <c r="AO978" s="1190"/>
      <c r="AP978" s="1190"/>
      <c r="AQ978" s="1190"/>
      <c r="AR978" s="1190"/>
      <c r="AS978" s="1190"/>
      <c r="AT978" s="1190"/>
      <c r="AU978" s="1190"/>
      <c r="AV978" s="1190"/>
      <c r="AW978" s="1190"/>
      <c r="AX978" s="1190"/>
      <c r="AY978" s="1190"/>
      <c r="AZ978" s="1190"/>
      <c r="BA978" s="1190"/>
      <c r="BB978" s="1190"/>
      <c r="BC978" s="1190"/>
      <c r="BD978" s="1190"/>
      <c r="BE978" s="1190"/>
      <c r="BF978" s="1190"/>
      <c r="BG978" s="1190"/>
      <c r="BH978" s="1190"/>
      <c r="BI978" s="1190"/>
      <c r="BJ978" s="1190"/>
      <c r="BK978" s="1190"/>
      <c r="BL978" s="1190"/>
      <c r="BM978" s="1190"/>
      <c r="BN978" s="1190"/>
      <c r="BO978" s="1190"/>
    </row>
    <row r="979" spans="26:67">
      <c r="Z979" s="1190"/>
      <c r="AA979" s="1190"/>
      <c r="AB979" s="1190"/>
      <c r="AC979" s="1190"/>
      <c r="AD979" s="1190"/>
      <c r="AE979" s="1190"/>
      <c r="AF979" s="1190"/>
      <c r="AG979" s="1190"/>
      <c r="AH979" s="1190"/>
      <c r="AI979" s="1190"/>
      <c r="AJ979" s="1190"/>
      <c r="AK979" s="1190"/>
      <c r="AL979" s="1190"/>
      <c r="AM979" s="1190"/>
      <c r="AN979" s="1190"/>
      <c r="AO979" s="1190"/>
      <c r="AP979" s="1190"/>
      <c r="AQ979" s="1190"/>
      <c r="AR979" s="1190"/>
      <c r="AS979" s="1190"/>
      <c r="AT979" s="1190"/>
      <c r="AU979" s="1190"/>
      <c r="AV979" s="1190"/>
      <c r="AW979" s="1190"/>
      <c r="AX979" s="1190"/>
      <c r="AY979" s="1190"/>
      <c r="AZ979" s="1190"/>
      <c r="BA979" s="1190"/>
      <c r="BB979" s="1190"/>
      <c r="BC979" s="1190"/>
      <c r="BD979" s="1190"/>
      <c r="BE979" s="1190"/>
      <c r="BF979" s="1190"/>
      <c r="BG979" s="1190"/>
      <c r="BH979" s="1190"/>
      <c r="BI979" s="1190"/>
      <c r="BJ979" s="1190"/>
      <c r="BK979" s="1190"/>
      <c r="BL979" s="1190"/>
      <c r="BM979" s="1190"/>
      <c r="BN979" s="1190"/>
      <c r="BO979" s="1190"/>
    </row>
    <row r="980" spans="26:67">
      <c r="Z980" s="1190"/>
      <c r="AA980" s="1190"/>
      <c r="AB980" s="1190"/>
      <c r="AC980" s="1190"/>
      <c r="AD980" s="1190"/>
      <c r="AE980" s="1190"/>
      <c r="AF980" s="1190"/>
      <c r="AG980" s="1190"/>
      <c r="AH980" s="1190"/>
      <c r="AI980" s="1190"/>
      <c r="AJ980" s="1190"/>
      <c r="AK980" s="1190"/>
      <c r="AL980" s="1190"/>
      <c r="AM980" s="1190"/>
      <c r="AN980" s="1190"/>
      <c r="AO980" s="1190"/>
      <c r="AP980" s="1190"/>
      <c r="AQ980" s="1190"/>
      <c r="AR980" s="1190"/>
      <c r="AS980" s="1190"/>
      <c r="AT980" s="1190"/>
      <c r="AU980" s="1190"/>
      <c r="AV980" s="1190"/>
      <c r="AW980" s="1190"/>
      <c r="AX980" s="1190"/>
      <c r="AY980" s="1190"/>
      <c r="AZ980" s="1190"/>
      <c r="BA980" s="1190"/>
      <c r="BB980" s="1190"/>
      <c r="BC980" s="1190"/>
      <c r="BD980" s="1190"/>
      <c r="BE980" s="1190"/>
      <c r="BF980" s="1190"/>
      <c r="BG980" s="1190"/>
      <c r="BH980" s="1190"/>
      <c r="BI980" s="1190"/>
      <c r="BJ980" s="1190"/>
      <c r="BK980" s="1190"/>
      <c r="BL980" s="1190"/>
      <c r="BM980" s="1190"/>
      <c r="BN980" s="1190"/>
      <c r="BO980" s="1190"/>
    </row>
    <row r="981" spans="26:67">
      <c r="Z981" s="1190"/>
      <c r="AA981" s="1190"/>
      <c r="AB981" s="1190"/>
      <c r="AC981" s="1190"/>
      <c r="AD981" s="1190"/>
      <c r="AE981" s="1190"/>
      <c r="AF981" s="1190"/>
      <c r="AG981" s="1190"/>
      <c r="AH981" s="1190"/>
      <c r="AI981" s="1190"/>
      <c r="AJ981" s="1190"/>
      <c r="AK981" s="1190"/>
      <c r="AL981" s="1190"/>
      <c r="AM981" s="1190"/>
      <c r="AN981" s="1190"/>
      <c r="AO981" s="1190"/>
      <c r="AP981" s="1190"/>
      <c r="AQ981" s="1190"/>
      <c r="AR981" s="1190"/>
      <c r="AS981" s="1190"/>
      <c r="AT981" s="1190"/>
      <c r="AU981" s="1190"/>
      <c r="AV981" s="1190"/>
      <c r="AW981" s="1190"/>
      <c r="AX981" s="1190"/>
      <c r="AY981" s="1190"/>
      <c r="AZ981" s="1190"/>
      <c r="BA981" s="1190"/>
      <c r="BB981" s="1190"/>
      <c r="BC981" s="1190"/>
      <c r="BD981" s="1190"/>
      <c r="BE981" s="1190"/>
      <c r="BF981" s="1190"/>
      <c r="BG981" s="1190"/>
      <c r="BH981" s="1190"/>
      <c r="BI981" s="1190"/>
      <c r="BJ981" s="1190"/>
      <c r="BK981" s="1190"/>
      <c r="BL981" s="1190"/>
      <c r="BM981" s="1190"/>
      <c r="BN981" s="1190"/>
      <c r="BO981" s="1190"/>
    </row>
  </sheetData>
  <sortState xmlns:xlrd2="http://schemas.microsoft.com/office/spreadsheetml/2017/richdata2" ref="OO10:OP16">
    <sortCondition ref="OP16"/>
  </sortState>
  <mergeCells count="32">
    <mergeCell ref="MA61:MB61"/>
    <mergeCell ref="DE190:DN190"/>
    <mergeCell ref="JP13:JQ13"/>
    <mergeCell ref="JY11:KB11"/>
    <mergeCell ref="KE11:KG11"/>
    <mergeCell ref="KU11:KW11"/>
    <mergeCell ref="KE12:KG12"/>
    <mergeCell ref="KR12:KS13"/>
    <mergeCell ref="KI13:KI14"/>
    <mergeCell ref="KO13:KP13"/>
    <mergeCell ref="IT13:IU13"/>
    <mergeCell ref="IV13:IW13"/>
    <mergeCell ref="JY10:KB10"/>
    <mergeCell ref="KD10:KG10"/>
    <mergeCell ref="IT11:IU12"/>
    <mergeCell ref="IV11:IW12"/>
    <mergeCell ref="IX11:IY12"/>
    <mergeCell ref="IZ11:JA12"/>
    <mergeCell ref="JB11:JC12"/>
    <mergeCell ref="JG11:JI12"/>
    <mergeCell ref="JK10:JM11"/>
    <mergeCell ref="CF256:CG256"/>
    <mergeCell ref="EE2:EI2"/>
    <mergeCell ref="EK2:EN2"/>
    <mergeCell ref="EP2:ES2"/>
    <mergeCell ref="EE15:EI15"/>
    <mergeCell ref="EE28:EI30"/>
    <mergeCell ref="A166:D166"/>
    <mergeCell ref="JD10:JI10"/>
    <mergeCell ref="IX13:IY13"/>
    <mergeCell ref="IZ13:JA13"/>
    <mergeCell ref="JB13:JC13"/>
  </mergeCells>
  <phoneticPr fontId="182" type="noConversion"/>
  <conditionalFormatting sqref="Z111:AA116">
    <cfRule type="cellIs" dxfId="44" priority="1" operator="equal">
      <formula>1</formula>
    </cfRule>
  </conditionalFormatting>
  <hyperlinks>
    <hyperlink ref="AB9" r:id="rId1" xr:uid="{9E81A64D-0F5C-4423-A12C-3997788999C7}"/>
    <hyperlink ref="AB10" r:id="rId2" xr:uid="{8EFB23E8-B04C-4DCE-9F04-F39596686BCA}"/>
    <hyperlink ref="AB11" r:id="rId3" xr:uid="{0B6C7CC6-2768-4471-B5A8-3040E87EFBAF}"/>
    <hyperlink ref="AB12" r:id="rId4" xr:uid="{65CEED14-9018-499A-BC8C-20A4C2F0CC77}"/>
    <hyperlink ref="AB13" r:id="rId5" xr:uid="{B943712F-4877-480C-8884-C3FD1F70005D}"/>
    <hyperlink ref="AB14" r:id="rId6" xr:uid="{BF9CF335-BD0B-4902-8DBA-EC39BCA1E4E7}"/>
    <hyperlink ref="AB15" r:id="rId7" xr:uid="{65BA9B99-C6EF-45B1-B7B7-B704E029F5D0}"/>
    <hyperlink ref="AB16" r:id="rId8" xr:uid="{E7661B5A-D182-44E6-8DA7-B26F8B743FB3}"/>
    <hyperlink ref="AB17" r:id="rId9" xr:uid="{36A05540-BFE2-4FC2-B6E2-6B68D37D8BAF}"/>
    <hyperlink ref="AB18" r:id="rId10" xr:uid="{2F368E8B-A1CD-4F99-AD41-704D24DE3604}"/>
    <hyperlink ref="AB19" r:id="rId11" xr:uid="{404423E6-9720-4FC6-8A3A-168A49EA027B}"/>
    <hyperlink ref="AB20" r:id="rId12" xr:uid="{22266E6F-312A-4DFC-8083-BF9891A699D8}"/>
    <hyperlink ref="AB21" r:id="rId13" xr:uid="{DAF58A2B-B6CF-4DF2-9247-752C33BD9909}"/>
    <hyperlink ref="AB22" r:id="rId14" xr:uid="{B9B43FCD-9C4F-4849-8B09-B7280F0C0809}"/>
    <hyperlink ref="AB23" r:id="rId15" xr:uid="{8D211735-6B60-4F2B-B2B9-5E3329DFED49}"/>
    <hyperlink ref="AB24" r:id="rId16" xr:uid="{34C4E0B9-0ADF-4451-A8F9-83C568AEBFF3}"/>
    <hyperlink ref="AB25" r:id="rId17" xr:uid="{E673829D-173A-4AF5-9227-2719164485C1}"/>
    <hyperlink ref="AB26" r:id="rId18" xr:uid="{61808333-DB20-4B61-AA91-9DDBA60D4688}"/>
    <hyperlink ref="AB27" r:id="rId19" xr:uid="{BFFD6736-3771-4F93-B9CB-4EFFDB07669E}"/>
    <hyperlink ref="AB28" r:id="rId20" xr:uid="{9BC5B1D9-8635-4FD2-9B7E-9001829F5A01}"/>
    <hyperlink ref="AB29" r:id="rId21" xr:uid="{F9B35107-34FC-47A7-B188-E5336D9D2657}"/>
    <hyperlink ref="AB30" r:id="rId22" xr:uid="{A57CC18E-9A9F-44E1-8810-3A73B703AF40}"/>
    <hyperlink ref="AB32" r:id="rId23" xr:uid="{86B8EF62-7551-447D-8FF2-0A4AE72C504F}"/>
    <hyperlink ref="AB33" r:id="rId24" xr:uid="{93376A05-9F40-4928-B4C9-D67950A319A0}"/>
    <hyperlink ref="AB34" r:id="rId25" xr:uid="{191CE4D8-AA0F-4E35-9788-44D3DB4CC5E2}"/>
    <hyperlink ref="AB35" r:id="rId26" xr:uid="{C4F3755F-4686-4EA7-8B51-8CC6B05FD42B}"/>
    <hyperlink ref="AB36" r:id="rId27" xr:uid="{77D0AED0-B40A-44BA-A43E-BD029879B827}"/>
    <hyperlink ref="AB37" r:id="rId28" xr:uid="{A171CC53-7576-4AE6-9F0B-1D791758D34D}"/>
    <hyperlink ref="AB38" r:id="rId29" xr:uid="{C7D719E7-26E6-4B45-98DC-4E3BA7319A8D}"/>
    <hyperlink ref="AB39" r:id="rId30" xr:uid="{E9CC3D7B-FC18-40DE-9F1B-5D4E8998D381}"/>
    <hyperlink ref="BP4" r:id="rId31" display="https://hackslashmaster.blogspot.com/2013/09/on-generator-of-missions.html" xr:uid="{08E8C28C-4A8E-45E8-B95A-624E406634B7}"/>
    <hyperlink ref="A287" r:id="rId32" display="http://cauldronsandclerics.blogspot.com/search/label/D%26D5E" xr:uid="{1BA4FB6A-D590-444E-984E-BB22822E484C}"/>
  </hyperlinks>
  <pageMargins left="0.7" right="0.7" top="0.75" bottom="0.75" header="0.3" footer="0.3"/>
  <pageSetup paperSize="9" orientation="portrait" r:id="rId33"/>
  <drawing r:id="rId34"/>
  <legacyDrawing r:id="rId35"/>
  <tableParts count="129">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76A71-1A01-4B94-AAD6-BF6C57E6AC06}">
  <sheetPr codeName="Аркуш45">
    <tabColor rgb="FFFFFF00"/>
  </sheetPr>
  <dimension ref="A1:CD111"/>
  <sheetViews>
    <sheetView topLeftCell="U11" zoomScaleNormal="100" workbookViewId="0">
      <selection activeCell="BL30" sqref="BL30"/>
    </sheetView>
  </sheetViews>
  <sheetFormatPr defaultColWidth="2.88671875" defaultRowHeight="14.25"/>
  <cols>
    <col min="1" max="19" width="2.77734375" customWidth="1"/>
    <col min="20" max="28" width="2.88671875" customWidth="1"/>
  </cols>
  <sheetData>
    <row r="1" spans="1:81">
      <c r="A1" s="2269" t="s">
        <v>16035</v>
      </c>
      <c r="B1" s="2269"/>
      <c r="C1" s="2269"/>
      <c r="D1" s="2269"/>
      <c r="E1" s="2269"/>
      <c r="F1" s="2269"/>
      <c r="G1" s="2269"/>
      <c r="H1" s="2269"/>
      <c r="I1" s="2269"/>
      <c r="J1" s="2269"/>
      <c r="K1" s="2269"/>
      <c r="L1" s="2269"/>
      <c r="M1" s="2269"/>
      <c r="N1" s="2269"/>
      <c r="O1" s="2269"/>
      <c r="P1" s="2269"/>
      <c r="Q1" s="2269"/>
      <c r="R1" s="2269"/>
      <c r="S1" s="2269"/>
      <c r="T1" s="657"/>
      <c r="U1" s="657"/>
      <c r="V1" s="657"/>
      <c r="W1" s="657"/>
      <c r="X1" s="657"/>
      <c r="Y1" s="657"/>
      <c r="Z1" s="657"/>
      <c r="AA1" s="657"/>
      <c r="AB1" s="657"/>
      <c r="AC1" s="657"/>
      <c r="AD1" s="657"/>
      <c r="AE1" s="657"/>
      <c r="AF1" s="657"/>
      <c r="AG1" s="657"/>
      <c r="AH1" s="657"/>
      <c r="AI1" s="657"/>
      <c r="AJ1" s="657"/>
      <c r="BK1" s="657"/>
      <c r="BL1" s="657"/>
      <c r="BM1" s="657"/>
      <c r="BN1" s="657"/>
      <c r="BO1" s="657"/>
      <c r="BP1" s="657"/>
      <c r="BQ1" s="657"/>
      <c r="BR1" s="657"/>
      <c r="BS1" s="657"/>
      <c r="BT1" s="657"/>
      <c r="BU1" s="657"/>
      <c r="BV1" s="657"/>
      <c r="BW1" s="657"/>
      <c r="BX1" s="657"/>
      <c r="BY1" s="657"/>
      <c r="BZ1" s="657"/>
      <c r="CA1" s="657"/>
      <c r="CB1" s="657"/>
      <c r="CC1" s="657"/>
    </row>
    <row r="2" spans="1:81" ht="27" customHeight="1">
      <c r="A2" s="2269"/>
      <c r="B2" s="2269"/>
      <c r="C2" s="2269"/>
      <c r="D2" s="2269"/>
      <c r="E2" s="2269"/>
      <c r="F2" s="2269"/>
      <c r="G2" s="2269"/>
      <c r="H2" s="2269"/>
      <c r="I2" s="2269"/>
      <c r="J2" s="2269"/>
      <c r="K2" s="2269"/>
      <c r="L2" s="2269"/>
      <c r="M2" s="2269"/>
      <c r="N2" s="2269"/>
      <c r="O2" s="2269"/>
      <c r="P2" s="2269"/>
      <c r="Q2" s="2269"/>
      <c r="R2" s="2269"/>
      <c r="S2" s="2269"/>
      <c r="T2" s="657"/>
      <c r="U2" s="2264" t="s">
        <v>16036</v>
      </c>
      <c r="V2" s="2264"/>
      <c r="W2" s="2264"/>
      <c r="X2" s="2264"/>
      <c r="Y2" s="2264"/>
      <c r="Z2" s="2264"/>
      <c r="AA2" s="2264"/>
      <c r="AB2" s="2264"/>
      <c r="AC2" s="2264"/>
      <c r="AD2" s="2264"/>
      <c r="AE2" s="2264"/>
      <c r="AF2" s="2264"/>
      <c r="AG2" s="2264"/>
      <c r="AH2" s="2264"/>
      <c r="AI2" s="657"/>
      <c r="AJ2" s="657"/>
      <c r="BK2" s="657"/>
      <c r="BL2" s="657"/>
      <c r="BM2" s="657"/>
      <c r="BN2" s="657"/>
      <c r="BO2" s="657"/>
      <c r="BP2" s="657"/>
      <c r="BQ2" s="657"/>
      <c r="BR2" s="657"/>
      <c r="BS2" s="657"/>
      <c r="BT2" s="657"/>
      <c r="BU2" s="657"/>
      <c r="BV2" s="657"/>
      <c r="BW2" s="657"/>
      <c r="BX2" s="657"/>
      <c r="BY2" s="657"/>
      <c r="BZ2" s="657"/>
      <c r="CA2" s="657"/>
      <c r="CB2" s="657"/>
      <c r="CC2" s="657"/>
    </row>
    <row r="3" spans="1:81">
      <c r="A3" s="657"/>
      <c r="B3" s="657"/>
      <c r="C3" s="657"/>
      <c r="D3" s="657"/>
      <c r="E3" s="657"/>
      <c r="F3" s="657"/>
      <c r="G3" s="657"/>
      <c r="H3" s="657"/>
      <c r="I3" s="657"/>
      <c r="J3" s="657"/>
      <c r="K3" s="657"/>
      <c r="L3" s="657"/>
      <c r="M3" s="657"/>
      <c r="N3" s="657"/>
      <c r="O3" s="657"/>
      <c r="P3" s="657"/>
      <c r="Q3" s="657"/>
      <c r="R3" s="657"/>
      <c r="S3" s="657"/>
      <c r="T3" s="657"/>
      <c r="U3" s="657"/>
      <c r="V3" s="657"/>
      <c r="W3" s="657"/>
      <c r="X3" s="657"/>
      <c r="Y3" s="657"/>
      <c r="Z3" s="657"/>
      <c r="AA3" s="657"/>
      <c r="AB3" s="657"/>
      <c r="AC3" s="657"/>
      <c r="AD3" s="657"/>
      <c r="AE3" s="657"/>
      <c r="AF3" s="657"/>
      <c r="AG3" s="657"/>
      <c r="AH3" s="657"/>
      <c r="AI3" s="657"/>
      <c r="AJ3" s="657"/>
      <c r="BK3" s="657"/>
      <c r="BL3" s="657"/>
      <c r="BM3" s="657"/>
      <c r="BN3" s="657"/>
      <c r="BO3" s="657"/>
      <c r="BP3" s="657"/>
      <c r="BQ3" s="657"/>
      <c r="BR3" s="657"/>
      <c r="BS3" s="657"/>
      <c r="BT3" s="657"/>
      <c r="BU3" s="657"/>
      <c r="BV3" s="657"/>
      <c r="BW3" s="657"/>
      <c r="BX3" s="657"/>
      <c r="BY3" s="657"/>
      <c r="BZ3" s="657"/>
      <c r="CA3" s="657"/>
      <c r="CB3" s="657"/>
      <c r="CC3" s="657"/>
    </row>
    <row r="4" spans="1:81">
      <c r="A4" s="2254"/>
      <c r="B4" s="2254"/>
      <c r="C4" s="2254"/>
      <c r="D4" s="2254"/>
      <c r="E4" s="2254"/>
      <c r="F4" s="2254"/>
      <c r="G4" s="2254"/>
      <c r="H4" s="2254"/>
      <c r="I4" s="2254"/>
      <c r="J4" s="2254"/>
      <c r="K4" s="2254"/>
      <c r="L4" s="2254"/>
      <c r="M4" s="2254"/>
      <c r="N4" s="2254"/>
      <c r="O4" s="2254"/>
      <c r="P4" s="2254"/>
      <c r="Q4" s="2254"/>
      <c r="R4" s="2254"/>
      <c r="S4" s="2254"/>
      <c r="T4" s="657"/>
      <c r="U4" s="2262" t="s">
        <v>10203</v>
      </c>
      <c r="V4" s="2262"/>
      <c r="W4" s="2262"/>
      <c r="X4" s="2262"/>
      <c r="Y4" s="2262"/>
      <c r="Z4" s="2262"/>
      <c r="AA4" s="2262"/>
      <c r="AB4" s="657"/>
      <c r="AC4" s="657"/>
      <c r="AD4" s="657"/>
      <c r="AE4" s="657"/>
      <c r="AF4" s="657"/>
      <c r="AG4" s="657"/>
      <c r="AH4" s="657"/>
      <c r="AI4" s="657"/>
      <c r="AJ4" s="657"/>
      <c r="BK4" s="657"/>
      <c r="BL4" s="657"/>
      <c r="BM4" s="657"/>
      <c r="BN4" s="657"/>
      <c r="BO4" s="657"/>
      <c r="BP4" s="657"/>
      <c r="BQ4" s="657"/>
      <c r="BR4" s="657"/>
      <c r="BS4" s="657"/>
      <c r="BT4" s="657"/>
      <c r="BU4" s="657"/>
      <c r="BV4" s="657"/>
      <c r="BW4" s="657"/>
      <c r="BX4" s="657"/>
      <c r="BY4" s="657"/>
      <c r="BZ4" s="657"/>
      <c r="CA4" s="657"/>
      <c r="CB4" s="657"/>
      <c r="CC4" s="657"/>
    </row>
    <row r="5" spans="1:81">
      <c r="A5" s="2254"/>
      <c r="B5" s="2254"/>
      <c r="C5" s="2254"/>
      <c r="D5" s="2254"/>
      <c r="E5" s="2254"/>
      <c r="F5" s="2254"/>
      <c r="G5" s="2254"/>
      <c r="H5" s="2254"/>
      <c r="I5" s="2254"/>
      <c r="J5" s="2254"/>
      <c r="K5" s="2254"/>
      <c r="L5" s="2254"/>
      <c r="M5" s="2254"/>
      <c r="N5" s="2254"/>
      <c r="O5" s="2254"/>
      <c r="P5" s="2254"/>
      <c r="Q5" s="2254"/>
      <c r="R5" s="2254"/>
      <c r="S5" s="2254"/>
      <c r="T5" s="657"/>
      <c r="U5" s="657"/>
      <c r="V5" s="657"/>
      <c r="W5" s="657"/>
      <c r="X5" s="657"/>
      <c r="Y5" s="657"/>
      <c r="Z5" s="657"/>
      <c r="AA5" s="657"/>
      <c r="AB5" s="657"/>
      <c r="AC5" s="657"/>
      <c r="AD5" s="657"/>
      <c r="AE5" s="657"/>
      <c r="AF5" s="657"/>
      <c r="AG5" s="657"/>
      <c r="AH5" s="657"/>
      <c r="AI5" s="657"/>
      <c r="AJ5" s="657"/>
      <c r="BK5" s="657"/>
      <c r="BL5" s="657"/>
      <c r="BM5" s="657"/>
      <c r="BN5" s="657"/>
      <c r="BO5" s="657"/>
      <c r="BP5" s="657"/>
      <c r="BQ5" s="657"/>
      <c r="BR5" s="657"/>
      <c r="BS5" s="657"/>
      <c r="BT5" s="657"/>
      <c r="BU5" s="657"/>
      <c r="BV5" s="657"/>
      <c r="BW5" s="657"/>
      <c r="BX5" s="657"/>
      <c r="BY5" s="657"/>
      <c r="BZ5" s="657"/>
      <c r="CA5" s="657"/>
      <c r="CB5" s="657"/>
      <c r="CC5" s="657"/>
    </row>
    <row r="6" spans="1:81">
      <c r="A6" s="2254"/>
      <c r="B6" s="2254"/>
      <c r="C6" s="2254"/>
      <c r="D6" s="2254"/>
      <c r="E6" s="2254"/>
      <c r="F6" s="2254"/>
      <c r="G6" s="2254"/>
      <c r="H6" s="2254"/>
      <c r="I6" s="2254"/>
      <c r="J6" s="2254"/>
      <c r="K6" s="2254"/>
      <c r="L6" s="2254"/>
      <c r="M6" s="2254"/>
      <c r="N6" s="2254"/>
      <c r="O6" s="2254"/>
      <c r="P6" s="2254"/>
      <c r="Q6" s="2254"/>
      <c r="R6" s="2254"/>
      <c r="S6" s="2254"/>
      <c r="T6" s="657"/>
      <c r="U6" s="2262" t="s">
        <v>10204</v>
      </c>
      <c r="V6" s="2262"/>
      <c r="W6" s="2262"/>
      <c r="X6" s="2262"/>
      <c r="Y6" s="2262"/>
      <c r="Z6" s="2262"/>
      <c r="AA6" s="2262"/>
      <c r="AB6" s="657"/>
      <c r="AC6" s="657"/>
      <c r="AD6" s="657"/>
      <c r="AE6" s="657"/>
      <c r="AF6" s="657"/>
      <c r="AG6" s="657"/>
      <c r="AH6" s="657"/>
      <c r="AI6" s="657"/>
      <c r="AJ6" s="657"/>
      <c r="BK6" s="657"/>
      <c r="BL6" s="657"/>
      <c r="BM6" s="657"/>
      <c r="BN6" s="657"/>
      <c r="BO6" s="657"/>
      <c r="BP6" s="657"/>
      <c r="BQ6" s="657"/>
      <c r="BR6" s="657"/>
      <c r="BS6" s="657"/>
      <c r="BT6" s="657"/>
      <c r="BU6" s="657"/>
      <c r="BV6" s="657"/>
      <c r="BW6" s="657"/>
      <c r="BX6" s="657"/>
      <c r="BY6" s="657"/>
      <c r="BZ6" s="657"/>
      <c r="CA6" s="657"/>
      <c r="CB6" s="657"/>
      <c r="CC6" s="657"/>
    </row>
    <row r="7" spans="1:81">
      <c r="A7" s="2254"/>
      <c r="B7" s="2254"/>
      <c r="C7" s="2254"/>
      <c r="D7" s="2254"/>
      <c r="E7" s="2254"/>
      <c r="F7" s="2254"/>
      <c r="G7" s="2254"/>
      <c r="H7" s="2254"/>
      <c r="I7" s="2254"/>
      <c r="J7" s="2254"/>
      <c r="K7" s="2254"/>
      <c r="L7" s="2254"/>
      <c r="M7" s="2254"/>
      <c r="N7" s="2254"/>
      <c r="O7" s="2254"/>
      <c r="P7" s="2254"/>
      <c r="Q7" s="2254"/>
      <c r="R7" s="2254"/>
      <c r="S7" s="2254"/>
      <c r="T7" s="657"/>
      <c r="U7" s="657"/>
      <c r="V7" s="657"/>
      <c r="W7" s="657"/>
      <c r="X7" s="657"/>
      <c r="Y7" s="657"/>
      <c r="Z7" s="657"/>
      <c r="AA7" s="657"/>
      <c r="AB7" s="657"/>
      <c r="AC7" s="657"/>
      <c r="AD7" s="657"/>
      <c r="AE7" s="657"/>
      <c r="AF7" s="657"/>
      <c r="AG7" s="657"/>
      <c r="AH7" s="657"/>
      <c r="AI7" s="657"/>
      <c r="AJ7" s="657"/>
      <c r="BK7" s="657"/>
      <c r="BL7" s="657"/>
      <c r="BM7" s="657"/>
      <c r="BN7" s="657"/>
      <c r="BO7" s="657"/>
      <c r="BP7" s="657"/>
      <c r="BQ7" s="657"/>
      <c r="BR7" s="657"/>
      <c r="BS7" s="657"/>
      <c r="BT7" s="657"/>
      <c r="BU7" s="657"/>
      <c r="BV7" s="657"/>
      <c r="BW7" s="657"/>
      <c r="BX7" s="657"/>
      <c r="BY7" s="657"/>
      <c r="BZ7" s="657"/>
      <c r="CA7" s="657"/>
      <c r="CB7" s="657"/>
      <c r="CC7" s="657"/>
    </row>
    <row r="8" spans="1:81">
      <c r="A8" s="2254"/>
      <c r="B8" s="2254"/>
      <c r="C8" s="2254"/>
      <c r="D8" s="2254"/>
      <c r="E8" s="2254"/>
      <c r="F8" s="2254"/>
      <c r="G8" s="2254"/>
      <c r="H8" s="2254"/>
      <c r="I8" s="2254"/>
      <c r="J8" s="2254"/>
      <c r="K8" s="2254"/>
      <c r="L8" s="2254"/>
      <c r="M8" s="2254"/>
      <c r="N8" s="2254"/>
      <c r="O8" s="2254"/>
      <c r="P8" s="2254"/>
      <c r="Q8" s="2254"/>
      <c r="R8" s="2254"/>
      <c r="S8" s="2254"/>
      <c r="T8" s="657"/>
      <c r="U8" s="2262" t="s">
        <v>10205</v>
      </c>
      <c r="V8" s="2262"/>
      <c r="W8" s="2262"/>
      <c r="X8" s="2262"/>
      <c r="Y8" s="2262"/>
      <c r="Z8" s="2262"/>
      <c r="AA8" s="2262"/>
      <c r="AB8" s="657"/>
      <c r="AC8" s="657"/>
      <c r="AD8" s="657"/>
      <c r="AE8" s="657"/>
      <c r="AF8" s="657"/>
      <c r="AG8" s="657"/>
      <c r="AH8" s="657"/>
      <c r="AI8" s="657"/>
      <c r="AJ8" s="657"/>
      <c r="BK8" s="657"/>
      <c r="BL8" s="657"/>
      <c r="BM8" s="657"/>
      <c r="BN8" s="657"/>
      <c r="BO8" s="657"/>
      <c r="BP8" s="657"/>
      <c r="BQ8" s="657"/>
      <c r="BR8" s="657"/>
      <c r="BS8" s="657"/>
      <c r="BT8" s="657"/>
      <c r="BU8" s="657"/>
      <c r="BV8" s="657"/>
      <c r="BW8" s="657"/>
      <c r="BX8" s="657"/>
      <c r="BY8" s="657"/>
      <c r="BZ8" s="657"/>
      <c r="CA8" s="657"/>
      <c r="CB8" s="657"/>
      <c r="CC8" s="657"/>
    </row>
    <row r="9" spans="1:81">
      <c r="A9" s="2254"/>
      <c r="B9" s="2254"/>
      <c r="C9" s="2254"/>
      <c r="D9" s="2254"/>
      <c r="E9" s="2254"/>
      <c r="F9" s="2254"/>
      <c r="G9" s="2254"/>
      <c r="H9" s="2254"/>
      <c r="I9" s="2254"/>
      <c r="J9" s="2254"/>
      <c r="K9" s="2254"/>
      <c r="L9" s="2254"/>
      <c r="M9" s="2254"/>
      <c r="N9" s="2254"/>
      <c r="O9" s="2254"/>
      <c r="P9" s="2254"/>
      <c r="Q9" s="2254"/>
      <c r="R9" s="2254"/>
      <c r="S9" s="2254"/>
      <c r="T9" s="657"/>
      <c r="U9" s="657"/>
      <c r="V9" s="657"/>
      <c r="W9" s="657"/>
      <c r="X9" s="657"/>
      <c r="Y9" s="657"/>
      <c r="Z9" s="657"/>
      <c r="AA9" s="657"/>
      <c r="AB9" s="657"/>
      <c r="AC9" s="657"/>
      <c r="AD9" s="657"/>
      <c r="AE9" s="657"/>
      <c r="AF9" s="657"/>
      <c r="AG9" s="657"/>
      <c r="AH9" s="657"/>
      <c r="AI9" s="657"/>
      <c r="AJ9" s="657"/>
      <c r="BK9" s="657"/>
      <c r="BL9" s="657"/>
      <c r="BM9" s="657"/>
      <c r="BN9" s="657"/>
      <c r="BO9" s="657"/>
      <c r="BP9" s="657"/>
      <c r="BQ9" s="657"/>
      <c r="BR9" s="657"/>
      <c r="BS9" s="657"/>
      <c r="BT9" s="657"/>
      <c r="BU9" s="657"/>
      <c r="BV9" s="657"/>
      <c r="BW9" s="657"/>
      <c r="BX9" s="657"/>
      <c r="BY9" s="657"/>
      <c r="BZ9" s="657"/>
      <c r="CA9" s="657"/>
      <c r="CB9" s="657"/>
      <c r="CC9" s="657"/>
    </row>
    <row r="10" spans="1:81">
      <c r="A10" s="2254"/>
      <c r="B10" s="2254"/>
      <c r="C10" s="2254"/>
      <c r="D10" s="2254"/>
      <c r="E10" s="2254"/>
      <c r="F10" s="2254"/>
      <c r="G10" s="2254"/>
      <c r="H10" s="2254"/>
      <c r="I10" s="2254"/>
      <c r="J10" s="2254"/>
      <c r="K10" s="2254"/>
      <c r="L10" s="2254"/>
      <c r="M10" s="2254"/>
      <c r="N10" s="2254"/>
      <c r="O10" s="2254"/>
      <c r="P10" s="2254"/>
      <c r="Q10" s="2254"/>
      <c r="R10" s="2254"/>
      <c r="S10" s="2254"/>
      <c r="T10" s="657"/>
      <c r="U10" s="2262" t="s">
        <v>10206</v>
      </c>
      <c r="V10" s="2262"/>
      <c r="W10" s="2262"/>
      <c r="X10" s="2262"/>
      <c r="Y10" s="2262"/>
      <c r="Z10" s="2262"/>
      <c r="AA10" s="2262"/>
      <c r="AB10" s="657"/>
      <c r="AC10" s="657"/>
      <c r="AD10" s="657"/>
      <c r="AE10" s="657"/>
      <c r="AF10" s="657"/>
      <c r="AG10" s="657"/>
      <c r="AH10" s="657"/>
      <c r="AI10" s="657"/>
      <c r="AJ10" s="657"/>
      <c r="BK10" s="657"/>
      <c r="BL10" s="657"/>
      <c r="BM10" s="657"/>
      <c r="BN10" s="657"/>
      <c r="BO10" s="657"/>
      <c r="BP10" s="657"/>
      <c r="BQ10" s="657"/>
      <c r="BR10" s="657"/>
      <c r="BS10" s="657"/>
      <c r="BT10" s="657"/>
      <c r="BU10" s="657"/>
      <c r="BV10" s="657"/>
      <c r="BW10" s="657"/>
      <c r="BX10" s="657"/>
      <c r="BY10" s="657"/>
      <c r="BZ10" s="657"/>
      <c r="CA10" s="657"/>
      <c r="CB10" s="657"/>
      <c r="CC10" s="657"/>
    </row>
    <row r="11" spans="1:81">
      <c r="A11" s="2254"/>
      <c r="B11" s="2254"/>
      <c r="C11" s="2254"/>
      <c r="D11" s="2254"/>
      <c r="E11" s="2254"/>
      <c r="F11" s="2254"/>
      <c r="G11" s="2254"/>
      <c r="H11" s="2254"/>
      <c r="I11" s="2254"/>
      <c r="J11" s="2254"/>
      <c r="K11" s="2254"/>
      <c r="L11" s="2254"/>
      <c r="M11" s="2254"/>
      <c r="N11" s="2254"/>
      <c r="O11" s="2254"/>
      <c r="P11" s="2254"/>
      <c r="Q11" s="2254"/>
      <c r="R11" s="2254"/>
      <c r="S11" s="2254"/>
      <c r="T11" s="657"/>
      <c r="U11" s="657"/>
      <c r="V11" s="657"/>
      <c r="W11" s="657"/>
      <c r="X11" s="657"/>
      <c r="Y11" s="657"/>
      <c r="Z11" s="657"/>
      <c r="AA11" s="657"/>
      <c r="AB11" s="657"/>
      <c r="AC11" s="657"/>
      <c r="AD11" s="657"/>
      <c r="AE11" s="657"/>
      <c r="AF11" s="657"/>
      <c r="AG11" s="657"/>
      <c r="AH11" s="657"/>
      <c r="AI11" s="657"/>
      <c r="AJ11" s="657"/>
      <c r="BK11" s="657"/>
      <c r="BL11" s="657"/>
      <c r="BM11" s="657"/>
      <c r="BN11" s="657"/>
      <c r="BO11" s="657"/>
      <c r="BP11" s="657"/>
      <c r="BQ11" s="657"/>
      <c r="BR11" s="657"/>
      <c r="BS11" s="657"/>
      <c r="BT11" s="657"/>
      <c r="BU11" s="657"/>
      <c r="BV11" s="657"/>
      <c r="BW11" s="657"/>
      <c r="BX11" s="657"/>
      <c r="BY11" s="657"/>
      <c r="BZ11" s="657"/>
      <c r="CA11" s="657"/>
      <c r="CB11" s="657"/>
      <c r="CC11" s="657"/>
    </row>
    <row r="12" spans="1:81">
      <c r="A12" s="2254"/>
      <c r="B12" s="2254"/>
      <c r="C12" s="2254"/>
      <c r="D12" s="2254"/>
      <c r="E12" s="2254"/>
      <c r="F12" s="2254"/>
      <c r="G12" s="2254"/>
      <c r="H12" s="2254"/>
      <c r="I12" s="2254"/>
      <c r="J12" s="2254"/>
      <c r="K12" s="2254"/>
      <c r="L12" s="2254"/>
      <c r="M12" s="2254"/>
      <c r="N12" s="2254"/>
      <c r="O12" s="2254"/>
      <c r="P12" s="2254"/>
      <c r="Q12" s="2254"/>
      <c r="R12" s="2254"/>
      <c r="S12" s="2254"/>
      <c r="T12" s="657"/>
      <c r="U12" s="657"/>
      <c r="V12" s="657"/>
      <c r="W12" s="657"/>
      <c r="X12" s="657"/>
      <c r="Y12" s="657"/>
      <c r="Z12" s="657"/>
      <c r="AA12" s="657"/>
      <c r="AB12" s="657"/>
      <c r="AC12" s="657"/>
      <c r="AD12" s="657"/>
      <c r="AE12" s="657"/>
      <c r="AF12" s="657"/>
      <c r="AG12" s="657"/>
      <c r="AH12" s="657"/>
      <c r="AI12" s="657"/>
      <c r="AJ12" s="657"/>
      <c r="BK12" s="657"/>
      <c r="BL12" s="657"/>
      <c r="BM12" s="657"/>
      <c r="BN12" s="657"/>
      <c r="BO12" s="657"/>
      <c r="BP12" s="657"/>
      <c r="BQ12" s="657"/>
      <c r="BR12" s="657"/>
      <c r="BS12" s="657"/>
      <c r="BT12" s="657"/>
      <c r="BU12" s="657"/>
      <c r="BV12" s="657"/>
      <c r="BW12" s="657"/>
      <c r="BX12" s="657"/>
      <c r="BY12" s="657"/>
      <c r="BZ12" s="657"/>
      <c r="CA12" s="657"/>
      <c r="CB12" s="657"/>
      <c r="CC12" s="657"/>
    </row>
    <row r="13" spans="1:81">
      <c r="A13" s="2254"/>
      <c r="B13" s="2254"/>
      <c r="C13" s="2254"/>
      <c r="D13" s="2254"/>
      <c r="E13" s="2254"/>
      <c r="F13" s="2254"/>
      <c r="G13" s="2254"/>
      <c r="H13" s="2254"/>
      <c r="I13" s="2254"/>
      <c r="J13" s="2254"/>
      <c r="K13" s="2254"/>
      <c r="L13" s="2254"/>
      <c r="M13" s="2254"/>
      <c r="N13" s="2254"/>
      <c r="O13" s="2254"/>
      <c r="P13" s="2254"/>
      <c r="Q13" s="2254"/>
      <c r="R13" s="2254"/>
      <c r="S13" s="2254"/>
      <c r="T13" s="657"/>
      <c r="U13" s="657"/>
      <c r="V13" s="657"/>
      <c r="W13" s="657"/>
      <c r="X13" s="657"/>
      <c r="Y13" s="657"/>
      <c r="Z13" s="657"/>
      <c r="AA13" s="657"/>
      <c r="AB13" s="657"/>
      <c r="AC13" s="657"/>
      <c r="AD13" s="657"/>
      <c r="AE13" s="657"/>
      <c r="AF13" s="657"/>
      <c r="AG13" s="657"/>
      <c r="AH13" s="657"/>
      <c r="AI13" s="657"/>
      <c r="AJ13" s="657"/>
      <c r="BK13" s="657"/>
      <c r="BL13" s="657"/>
      <c r="BM13" s="657"/>
      <c r="BN13" s="657"/>
      <c r="BO13" s="657"/>
      <c r="BP13" s="657"/>
      <c r="BQ13" s="657"/>
      <c r="BR13" s="657"/>
      <c r="BS13" s="657"/>
      <c r="BT13" s="657"/>
      <c r="BU13" s="657"/>
      <c r="BV13" s="657"/>
      <c r="BW13" s="657"/>
      <c r="BX13" s="657"/>
      <c r="BY13" s="657"/>
      <c r="BZ13" s="657"/>
      <c r="CA13" s="657"/>
      <c r="CB13" s="657"/>
      <c r="CC13" s="657"/>
    </row>
    <row r="14" spans="1:81">
      <c r="A14" s="2254"/>
      <c r="B14" s="2254"/>
      <c r="C14" s="2254"/>
      <c r="D14" s="2254"/>
      <c r="E14" s="2254"/>
      <c r="F14" s="2254"/>
      <c r="G14" s="2254"/>
      <c r="H14" s="2254"/>
      <c r="I14" s="2254"/>
      <c r="J14" s="2254"/>
      <c r="K14" s="2254"/>
      <c r="L14" s="2254"/>
      <c r="M14" s="2254"/>
      <c r="N14" s="2254"/>
      <c r="O14" s="2254"/>
      <c r="P14" s="2254"/>
      <c r="Q14" s="2254"/>
      <c r="R14" s="2254"/>
      <c r="S14" s="2254"/>
      <c r="T14" s="657"/>
      <c r="U14" s="657"/>
      <c r="V14" s="657"/>
      <c r="W14" s="657"/>
      <c r="X14" s="657"/>
      <c r="Y14" s="657"/>
      <c r="Z14" s="657"/>
      <c r="AA14" s="657"/>
      <c r="AB14" s="657"/>
      <c r="AC14" s="657"/>
      <c r="AD14" s="657"/>
      <c r="AE14" s="657"/>
      <c r="AF14" s="657"/>
      <c r="AG14" s="657"/>
      <c r="AH14" s="657"/>
      <c r="AI14" s="657"/>
      <c r="AJ14" s="657"/>
      <c r="AK14" s="657"/>
      <c r="AL14" s="657"/>
      <c r="AM14" s="657"/>
      <c r="AN14" s="657"/>
      <c r="AO14" s="657"/>
      <c r="AP14" s="657"/>
      <c r="AQ14" s="657"/>
      <c r="AR14" s="657"/>
      <c r="AS14" s="657"/>
      <c r="AT14" s="657"/>
      <c r="AU14" s="657"/>
      <c r="AV14" s="657"/>
      <c r="AW14" s="657"/>
      <c r="AX14" s="657"/>
      <c r="AY14" s="657"/>
      <c r="AZ14" s="657"/>
      <c r="BA14" s="657"/>
      <c r="BB14" s="657"/>
      <c r="BC14" s="657"/>
      <c r="BD14" s="657"/>
      <c r="BE14" s="657"/>
      <c r="BF14" s="657"/>
      <c r="BG14" s="657"/>
      <c r="BH14" s="657"/>
      <c r="BI14" s="657"/>
      <c r="BJ14" s="657"/>
      <c r="BK14" s="657"/>
      <c r="BL14" s="657"/>
      <c r="BM14" s="657"/>
      <c r="BN14" s="657"/>
      <c r="BO14" s="657"/>
      <c r="BP14" s="657"/>
      <c r="BQ14" s="657"/>
      <c r="BR14" s="657"/>
      <c r="BS14" s="657"/>
      <c r="BT14" s="657"/>
      <c r="BU14" s="657"/>
      <c r="BV14" s="657"/>
      <c r="BW14" s="657"/>
      <c r="BX14" s="657"/>
      <c r="BY14" s="657"/>
      <c r="BZ14" s="657"/>
      <c r="CA14" s="657"/>
      <c r="CB14" s="657"/>
      <c r="CC14" s="657"/>
    </row>
    <row r="15" spans="1:81">
      <c r="A15" s="2254"/>
      <c r="B15" s="2254"/>
      <c r="C15" s="2254"/>
      <c r="D15" s="2254"/>
      <c r="E15" s="2254"/>
      <c r="F15" s="2254"/>
      <c r="G15" s="2254"/>
      <c r="H15" s="2254"/>
      <c r="I15" s="2254"/>
      <c r="J15" s="2254"/>
      <c r="K15" s="2254"/>
      <c r="L15" s="2254"/>
      <c r="M15" s="2254"/>
      <c r="N15" s="2254"/>
      <c r="O15" s="2254"/>
      <c r="P15" s="2254"/>
      <c r="Q15" s="2254"/>
      <c r="R15" s="2254"/>
      <c r="S15" s="2254"/>
      <c r="T15" s="657"/>
      <c r="U15" s="657"/>
      <c r="V15" s="657"/>
      <c r="W15" s="657"/>
      <c r="X15" s="657"/>
      <c r="Y15" s="657"/>
      <c r="Z15" s="657"/>
      <c r="AA15" s="657"/>
      <c r="AB15" s="657"/>
      <c r="AC15" s="657"/>
      <c r="AD15" s="657"/>
      <c r="AE15" s="657"/>
      <c r="AF15" s="657"/>
      <c r="AG15" s="657"/>
      <c r="AH15" s="657"/>
      <c r="AI15" s="657"/>
      <c r="AJ15" s="657"/>
      <c r="AK15" s="657"/>
      <c r="AL15" s="657"/>
      <c r="AM15" s="657"/>
      <c r="AN15" s="657"/>
      <c r="AO15" s="657"/>
      <c r="AP15" s="657"/>
      <c r="AQ15" s="657"/>
      <c r="AR15" s="657"/>
      <c r="AS15" s="657"/>
      <c r="AT15" s="657"/>
      <c r="AU15" s="657"/>
      <c r="AV15" s="657"/>
      <c r="AW15" s="657"/>
      <c r="AX15" s="657"/>
      <c r="AY15" s="657"/>
      <c r="AZ15" s="657"/>
      <c r="BA15" s="657"/>
      <c r="BB15" s="657"/>
      <c r="BC15" s="657"/>
      <c r="BD15" s="657"/>
      <c r="BE15" s="657"/>
      <c r="BF15" s="657"/>
      <c r="BG15" s="657"/>
      <c r="BH15" s="657"/>
      <c r="BI15" s="657"/>
      <c r="BJ15" s="657"/>
      <c r="BK15" s="657"/>
      <c r="BL15" s="657"/>
      <c r="BM15" s="657"/>
      <c r="BN15" s="657"/>
      <c r="BO15" s="657"/>
      <c r="BP15" s="657"/>
      <c r="BQ15" s="657"/>
      <c r="BR15" s="657"/>
      <c r="BS15" s="657"/>
      <c r="BT15" s="657"/>
      <c r="BU15" s="657"/>
      <c r="BV15" s="657"/>
      <c r="BW15" s="657"/>
      <c r="BX15" s="657"/>
      <c r="BY15" s="657"/>
      <c r="BZ15" s="657"/>
      <c r="CA15" s="657"/>
      <c r="CB15" s="657"/>
      <c r="CC15" s="657"/>
    </row>
    <row r="16" spans="1:81">
      <c r="A16" s="2254"/>
      <c r="B16" s="2254"/>
      <c r="C16" s="2254"/>
      <c r="D16" s="2254"/>
      <c r="E16" s="2254"/>
      <c r="F16" s="2254"/>
      <c r="G16" s="2254"/>
      <c r="H16" s="2254"/>
      <c r="I16" s="2254"/>
      <c r="J16" s="2254"/>
      <c r="K16" s="2254"/>
      <c r="L16" s="2254"/>
      <c r="M16" s="2254"/>
      <c r="N16" s="2254"/>
      <c r="O16" s="2254"/>
      <c r="P16" s="2254"/>
      <c r="Q16" s="2254"/>
      <c r="R16" s="2254"/>
      <c r="S16" s="2254"/>
      <c r="T16" s="657"/>
      <c r="U16" s="657"/>
      <c r="V16" s="657"/>
      <c r="W16" s="657"/>
      <c r="X16" s="657"/>
      <c r="Y16" s="657"/>
      <c r="Z16" s="657"/>
      <c r="AA16" s="657"/>
      <c r="AB16" s="657"/>
      <c r="AC16" s="657"/>
      <c r="AD16" s="657"/>
      <c r="AE16" s="657"/>
      <c r="AF16" s="657"/>
      <c r="AG16" s="657"/>
      <c r="AH16" s="657"/>
      <c r="AI16" s="657"/>
      <c r="AJ16" s="657"/>
      <c r="AK16" s="657"/>
      <c r="AL16" s="657"/>
      <c r="AM16" s="657"/>
      <c r="AN16" s="657"/>
      <c r="AO16" s="657"/>
      <c r="AP16" s="657"/>
      <c r="AQ16" s="657"/>
      <c r="AR16" s="657"/>
      <c r="AS16" s="657"/>
      <c r="AT16" s="657"/>
      <c r="AU16" s="657"/>
      <c r="AV16" s="657"/>
      <c r="AW16" s="657"/>
      <c r="AX16" s="657"/>
      <c r="AY16" s="657"/>
      <c r="AZ16" s="657"/>
      <c r="BA16" s="657"/>
      <c r="BB16" s="657"/>
      <c r="BC16" s="657"/>
      <c r="BD16" s="657"/>
      <c r="BE16" s="657"/>
      <c r="BF16" s="657"/>
      <c r="BG16" s="657"/>
      <c r="BH16" s="657"/>
      <c r="BI16" s="657"/>
      <c r="BJ16" s="657"/>
      <c r="BK16" s="657"/>
      <c r="BL16" s="657"/>
      <c r="BM16" s="657"/>
      <c r="BN16" s="657"/>
      <c r="BO16" s="657"/>
      <c r="BP16" s="657"/>
      <c r="BQ16" s="657"/>
      <c r="BR16" s="657"/>
      <c r="BS16" s="657"/>
      <c r="BT16" s="657"/>
      <c r="BU16" s="657"/>
      <c r="BV16" s="657"/>
      <c r="BW16" s="657"/>
      <c r="BX16" s="657"/>
      <c r="BY16" s="657"/>
      <c r="BZ16" s="657"/>
      <c r="CA16" s="657"/>
      <c r="CB16" s="657"/>
      <c r="CC16" s="657"/>
    </row>
    <row r="17" spans="1:82">
      <c r="A17" s="2254"/>
      <c r="B17" s="2254"/>
      <c r="C17" s="2254"/>
      <c r="D17" s="2254"/>
      <c r="E17" s="2254"/>
      <c r="F17" s="2254"/>
      <c r="G17" s="2254"/>
      <c r="H17" s="2254"/>
      <c r="I17" s="2254"/>
      <c r="J17" s="2254"/>
      <c r="K17" s="2254"/>
      <c r="L17" s="2254"/>
      <c r="M17" s="2254"/>
      <c r="N17" s="2254"/>
      <c r="O17" s="2254"/>
      <c r="P17" s="2254"/>
      <c r="Q17" s="2254"/>
      <c r="R17" s="2254"/>
      <c r="S17" s="2254"/>
      <c r="T17" s="657"/>
      <c r="U17" s="657"/>
      <c r="V17" s="657"/>
      <c r="W17" s="657"/>
      <c r="X17" s="657"/>
      <c r="Y17" s="657"/>
      <c r="Z17" s="657"/>
      <c r="AA17" s="657"/>
      <c r="AB17" s="657"/>
      <c r="AC17" s="657"/>
      <c r="AD17" s="657"/>
      <c r="AE17" s="657"/>
      <c r="AF17" s="657"/>
      <c r="AG17" s="657"/>
      <c r="AH17" s="657"/>
      <c r="AI17" s="657"/>
      <c r="AJ17" s="657"/>
      <c r="AK17" s="657"/>
      <c r="AL17" s="657"/>
      <c r="AM17" s="657"/>
      <c r="AN17" s="657"/>
      <c r="AO17" s="657"/>
      <c r="AP17" s="657"/>
      <c r="AQ17" s="657"/>
      <c r="AR17" s="657"/>
      <c r="AS17" s="657"/>
      <c r="AT17" s="657"/>
      <c r="AU17" s="657"/>
      <c r="AV17" s="657"/>
      <c r="AW17" s="657"/>
      <c r="AX17" s="657"/>
      <c r="AY17" s="657"/>
      <c r="AZ17" s="657"/>
      <c r="BA17" s="657"/>
      <c r="BB17" s="657"/>
      <c r="BC17" s="657"/>
      <c r="BD17" s="657"/>
      <c r="BE17" s="657"/>
      <c r="BF17" s="657"/>
      <c r="BG17" s="657"/>
      <c r="BH17" s="657"/>
      <c r="BI17" s="657"/>
      <c r="BJ17" s="657"/>
      <c r="BK17" s="657"/>
      <c r="BL17" s="657"/>
      <c r="BM17" s="657"/>
      <c r="BN17" s="657"/>
      <c r="BO17" s="657"/>
      <c r="BP17" s="657"/>
      <c r="BQ17" s="657"/>
      <c r="BR17" s="657"/>
      <c r="BS17" s="657"/>
      <c r="BT17" s="657"/>
      <c r="BU17" s="657"/>
      <c r="BV17" s="657"/>
      <c r="BW17" s="657"/>
      <c r="BX17" s="657"/>
      <c r="BY17" s="657"/>
      <c r="BZ17" s="657"/>
      <c r="CA17" s="657"/>
      <c r="CB17" s="657"/>
      <c r="CC17" s="657"/>
    </row>
    <row r="18" spans="1:82">
      <c r="A18" s="2254"/>
      <c r="B18" s="2254"/>
      <c r="C18" s="2254"/>
      <c r="D18" s="2254"/>
      <c r="E18" s="2254"/>
      <c r="F18" s="2254"/>
      <c r="G18" s="2254"/>
      <c r="H18" s="2254"/>
      <c r="I18" s="2254"/>
      <c r="J18" s="2254"/>
      <c r="K18" s="2254"/>
      <c r="L18" s="2254"/>
      <c r="M18" s="2254"/>
      <c r="N18" s="2254"/>
      <c r="O18" s="2254"/>
      <c r="P18" s="2254"/>
      <c r="Q18" s="2254"/>
      <c r="R18" s="2254"/>
      <c r="S18" s="2254"/>
      <c r="T18" s="657"/>
      <c r="U18" s="657"/>
      <c r="V18" s="657"/>
      <c r="W18" s="657"/>
      <c r="X18" s="657"/>
      <c r="Y18" s="657"/>
      <c r="Z18" s="657"/>
      <c r="AA18" s="657"/>
      <c r="AB18" s="657"/>
      <c r="AC18" s="657"/>
      <c r="AD18" s="657"/>
      <c r="AE18" s="657"/>
      <c r="AF18" s="657"/>
      <c r="AG18" s="657"/>
      <c r="AH18" s="657"/>
      <c r="AI18" s="657"/>
      <c r="AJ18" s="657"/>
      <c r="AK18" s="657"/>
      <c r="AL18" s="657"/>
      <c r="AM18" s="657"/>
      <c r="AN18" s="657"/>
      <c r="AO18" s="657"/>
      <c r="AP18" s="657"/>
      <c r="AQ18" s="657"/>
      <c r="AR18" s="657"/>
      <c r="AS18" s="657"/>
      <c r="AT18" s="657"/>
      <c r="AU18" s="657"/>
      <c r="AV18" s="657"/>
      <c r="AW18" s="657"/>
      <c r="AX18" s="657"/>
      <c r="AY18" s="657"/>
      <c r="AZ18" s="657"/>
      <c r="BA18" s="657"/>
      <c r="BB18" s="657"/>
      <c r="BC18" s="657"/>
      <c r="BD18" s="657"/>
      <c r="BE18" s="657"/>
      <c r="BF18" s="657"/>
      <c r="BG18" s="657"/>
      <c r="BH18" s="657"/>
      <c r="BI18" s="657"/>
      <c r="BJ18" s="657"/>
      <c r="BK18" s="657"/>
      <c r="BL18" s="657"/>
      <c r="BM18" s="657"/>
      <c r="BN18" s="657"/>
      <c r="BO18" s="657"/>
      <c r="BP18" s="657"/>
      <c r="BQ18" s="657"/>
      <c r="BR18" s="657"/>
      <c r="BS18" s="657"/>
      <c r="BT18" s="657"/>
      <c r="BU18" s="657"/>
      <c r="BV18" s="657"/>
      <c r="BW18" s="657"/>
      <c r="BX18" s="657"/>
      <c r="BY18" s="657"/>
      <c r="BZ18" s="657"/>
      <c r="CA18" s="657"/>
      <c r="CB18" s="657"/>
      <c r="CC18" s="657"/>
    </row>
    <row r="19" spans="1:82">
      <c r="A19" s="2254"/>
      <c r="B19" s="2254"/>
      <c r="C19" s="2254"/>
      <c r="D19" s="2254"/>
      <c r="E19" s="2254"/>
      <c r="F19" s="2254"/>
      <c r="G19" s="2254"/>
      <c r="H19" s="2254"/>
      <c r="I19" s="2254"/>
      <c r="J19" s="2254"/>
      <c r="K19" s="2254"/>
      <c r="L19" s="2254"/>
      <c r="M19" s="2254"/>
      <c r="N19" s="2254"/>
      <c r="O19" s="2254"/>
      <c r="P19" s="2254"/>
      <c r="Q19" s="2254"/>
      <c r="R19" s="2254"/>
      <c r="S19" s="2254"/>
      <c r="T19" s="657"/>
      <c r="U19" s="657"/>
      <c r="V19" s="657"/>
      <c r="W19" s="657"/>
      <c r="X19" s="657"/>
      <c r="Y19" s="657"/>
      <c r="Z19" s="657"/>
      <c r="AA19" s="657"/>
      <c r="AB19" s="657"/>
      <c r="AC19" s="657"/>
      <c r="AD19" s="657"/>
      <c r="AE19" s="657"/>
      <c r="AF19" s="657"/>
      <c r="AG19" s="657"/>
      <c r="AH19" s="657"/>
      <c r="AI19" s="657"/>
      <c r="AJ19" s="657"/>
      <c r="AK19" s="657"/>
      <c r="AL19" s="657"/>
      <c r="AM19" s="657"/>
      <c r="AN19" s="657"/>
      <c r="AO19" s="657"/>
      <c r="AP19" s="657"/>
      <c r="AQ19" s="657"/>
      <c r="AR19" s="657"/>
      <c r="AS19" s="657"/>
      <c r="AT19" s="657"/>
      <c r="AU19" s="657"/>
      <c r="AV19" s="657"/>
      <c r="AW19" s="657"/>
      <c r="AX19" s="657"/>
      <c r="AY19" s="657"/>
      <c r="AZ19" s="657"/>
      <c r="BA19" s="657"/>
      <c r="BB19" s="657"/>
      <c r="BC19" s="657"/>
      <c r="BD19" s="657"/>
      <c r="BE19" s="657"/>
      <c r="BF19" s="657"/>
      <c r="BG19" s="657"/>
      <c r="BH19" s="657"/>
      <c r="BI19" s="657"/>
      <c r="BJ19" s="657"/>
      <c r="BK19" s="657"/>
      <c r="BL19" s="657"/>
      <c r="BM19" s="657"/>
      <c r="BN19" s="657"/>
      <c r="BO19" s="657"/>
      <c r="BP19" s="657"/>
      <c r="BQ19" s="657"/>
      <c r="BR19" s="657"/>
      <c r="BS19" s="657"/>
      <c r="BT19" s="657"/>
      <c r="BU19" s="657"/>
      <c r="BV19" s="657"/>
      <c r="BW19" s="657"/>
      <c r="BX19" s="657"/>
      <c r="BY19" s="657"/>
      <c r="BZ19" s="657"/>
      <c r="CA19" s="657"/>
      <c r="CB19" s="657"/>
      <c r="CC19" s="657"/>
    </row>
    <row r="20" spans="1:82">
      <c r="A20" s="2254"/>
      <c r="B20" s="2254"/>
      <c r="C20" s="2254"/>
      <c r="D20" s="2254"/>
      <c r="E20" s="2254"/>
      <c r="F20" s="2254"/>
      <c r="G20" s="2254"/>
      <c r="H20" s="2254"/>
      <c r="I20" s="2254"/>
      <c r="J20" s="2254"/>
      <c r="K20" s="2254"/>
      <c r="L20" s="2254"/>
      <c r="M20" s="2254"/>
      <c r="N20" s="2254"/>
      <c r="O20" s="2254"/>
      <c r="P20" s="2254"/>
      <c r="Q20" s="2254"/>
      <c r="R20" s="2254"/>
      <c r="S20" s="2254"/>
      <c r="T20" s="657"/>
      <c r="U20" s="657"/>
      <c r="V20" s="657"/>
      <c r="W20" s="657"/>
      <c r="X20" s="657"/>
      <c r="Y20" s="657"/>
      <c r="Z20" s="657"/>
      <c r="AA20" s="657"/>
      <c r="AB20" s="657"/>
      <c r="AC20" s="657"/>
      <c r="AD20" s="657"/>
      <c r="AE20" s="657"/>
      <c r="AF20" s="657"/>
      <c r="AG20" s="657"/>
      <c r="AH20" s="657"/>
      <c r="AI20" s="657"/>
      <c r="AJ20" s="657"/>
      <c r="AK20" s="657"/>
      <c r="AL20" s="657"/>
      <c r="AM20" s="657"/>
      <c r="AN20" s="657"/>
      <c r="AO20" s="657"/>
      <c r="AP20" s="657"/>
      <c r="AQ20" s="657"/>
      <c r="AR20" s="657"/>
      <c r="AS20" s="657"/>
      <c r="AT20" s="657"/>
      <c r="AU20" s="657"/>
      <c r="AV20" s="657"/>
      <c r="AW20" s="657"/>
      <c r="AX20" s="657"/>
      <c r="AY20" s="657"/>
      <c r="AZ20" s="657"/>
      <c r="BA20" s="657"/>
      <c r="BB20" s="657"/>
      <c r="BC20" s="657"/>
      <c r="BD20" s="657"/>
      <c r="BE20" s="657"/>
      <c r="BF20" s="657"/>
      <c r="BG20" s="657"/>
      <c r="BH20" s="657"/>
      <c r="BI20" s="657"/>
      <c r="BJ20" s="657"/>
      <c r="BK20" s="657"/>
      <c r="BL20" s="657"/>
      <c r="BM20" s="657"/>
      <c r="BN20" s="657"/>
      <c r="BO20" s="657"/>
      <c r="BP20" s="657"/>
      <c r="BQ20" s="657"/>
      <c r="BR20" s="657"/>
      <c r="BS20" s="657"/>
      <c r="BT20" s="657"/>
      <c r="BU20" s="657"/>
      <c r="BV20" s="657"/>
      <c r="BW20" s="657"/>
      <c r="BX20" s="657"/>
      <c r="BY20" s="657"/>
      <c r="BZ20" s="657"/>
      <c r="CA20" s="657"/>
      <c r="CB20" s="657"/>
      <c r="CC20" s="657"/>
    </row>
    <row r="21" spans="1:82" ht="15" thickBot="1">
      <c r="A21" s="2254"/>
      <c r="B21" s="2254"/>
      <c r="C21" s="2254"/>
      <c r="D21" s="2254"/>
      <c r="E21" s="2254"/>
      <c r="F21" s="2254"/>
      <c r="G21" s="2254"/>
      <c r="H21" s="2254"/>
      <c r="I21" s="2254"/>
      <c r="J21" s="2254"/>
      <c r="K21" s="2254"/>
      <c r="L21" s="2254"/>
      <c r="M21" s="2254"/>
      <c r="N21" s="2254"/>
      <c r="O21" s="2254"/>
      <c r="P21" s="2254"/>
      <c r="Q21" s="2254"/>
      <c r="R21" s="2254"/>
      <c r="S21" s="2254"/>
      <c r="T21" s="657"/>
      <c r="U21" s="657"/>
      <c r="V21" s="657"/>
      <c r="W21" s="657"/>
      <c r="X21" s="657"/>
      <c r="Y21" s="657"/>
      <c r="Z21" s="657"/>
      <c r="AA21" s="657"/>
      <c r="AB21" s="657"/>
      <c r="AC21" s="657"/>
      <c r="AD21" s="657"/>
      <c r="AE21" s="657"/>
      <c r="AF21" s="657"/>
      <c r="AG21" s="657"/>
      <c r="AH21" s="657"/>
      <c r="AI21" s="657"/>
      <c r="AJ21" s="657"/>
      <c r="AK21" s="657"/>
      <c r="AL21" s="657"/>
      <c r="AM21" s="657"/>
      <c r="AN21" s="657"/>
      <c r="AO21" s="657"/>
      <c r="AP21" s="657"/>
      <c r="AQ21" s="657"/>
      <c r="AR21" s="657"/>
      <c r="AS21" s="657"/>
      <c r="AT21" s="657"/>
      <c r="AU21" s="657"/>
      <c r="AV21" s="657"/>
      <c r="AW21" s="657"/>
      <c r="AX21" s="657"/>
      <c r="AY21" s="657"/>
      <c r="AZ21" s="657"/>
      <c r="BA21" s="657"/>
      <c r="BB21" s="657"/>
      <c r="BC21" s="657"/>
      <c r="BD21" s="657"/>
      <c r="BE21" s="657"/>
      <c r="BF21" s="657"/>
      <c r="BG21" s="657"/>
      <c r="BH21" s="657"/>
      <c r="BI21" s="657"/>
      <c r="BJ21" s="657"/>
      <c r="BK21" s="657"/>
      <c r="BL21" s="657"/>
      <c r="BM21" s="657"/>
      <c r="BN21" s="657"/>
      <c r="BO21" s="657"/>
      <c r="BP21" s="657"/>
      <c r="BQ21" s="657"/>
      <c r="BR21" s="657"/>
      <c r="BS21" s="657"/>
      <c r="BT21" s="657"/>
      <c r="BU21" s="657"/>
      <c r="BV21" s="657"/>
      <c r="BW21" s="657"/>
      <c r="BX21" s="657"/>
      <c r="BY21" s="657"/>
      <c r="BZ21" s="657"/>
      <c r="CA21" s="657"/>
      <c r="CB21" s="657"/>
      <c r="CC21" s="657"/>
    </row>
    <row r="22" spans="1:82">
      <c r="A22" s="657"/>
      <c r="B22" s="657"/>
      <c r="C22" s="657"/>
      <c r="D22" s="657"/>
      <c r="E22" s="657"/>
      <c r="F22" s="657"/>
      <c r="G22" s="657"/>
      <c r="H22" s="657"/>
      <c r="I22" s="657"/>
      <c r="J22" s="657"/>
      <c r="K22" s="657"/>
      <c r="L22" s="657"/>
      <c r="M22" s="657"/>
      <c r="N22" s="657"/>
      <c r="O22" s="657"/>
      <c r="P22" s="657"/>
      <c r="Q22" s="657"/>
      <c r="R22" s="657"/>
      <c r="S22" s="657"/>
      <c r="T22" s="657"/>
      <c r="U22" s="932"/>
      <c r="V22" s="931"/>
      <c r="W22" s="931"/>
      <c r="X22" s="931"/>
      <c r="Y22" s="931"/>
      <c r="Z22" s="931"/>
      <c r="AA22" s="931"/>
      <c r="AB22" s="931"/>
      <c r="AC22" s="931"/>
      <c r="AD22" s="931"/>
      <c r="AE22" s="931"/>
      <c r="AF22" s="931"/>
      <c r="AG22" s="931"/>
      <c r="AH22" s="931"/>
      <c r="AI22" s="931"/>
      <c r="AJ22" s="931"/>
      <c r="AK22" s="931"/>
      <c r="AL22" s="931"/>
      <c r="AM22" s="931"/>
      <c r="AN22" s="931"/>
      <c r="AO22" s="931"/>
      <c r="AP22" s="931"/>
      <c r="AQ22" s="931"/>
      <c r="AR22" s="931"/>
      <c r="AS22" s="931"/>
      <c r="AT22" s="931"/>
      <c r="AU22" s="931"/>
      <c r="AV22" s="931"/>
      <c r="AW22" s="931"/>
      <c r="AX22" s="931"/>
      <c r="AY22" s="931"/>
      <c r="AZ22" s="931"/>
      <c r="BA22" s="931"/>
      <c r="BB22" s="931"/>
      <c r="BC22" s="931"/>
      <c r="BD22" s="931"/>
      <c r="BE22" s="931"/>
      <c r="BF22" s="931"/>
      <c r="BG22" s="931"/>
      <c r="BH22" s="930"/>
      <c r="BI22" s="657"/>
      <c r="BJ22" s="657"/>
      <c r="BK22" s="657"/>
      <c r="BL22" s="2269" t="s">
        <v>17674</v>
      </c>
      <c r="BM22" s="2269"/>
      <c r="BN22" s="2269"/>
      <c r="BO22" s="2269"/>
      <c r="BP22" s="2269"/>
      <c r="BQ22" s="2269"/>
      <c r="BR22" s="2269"/>
      <c r="BS22" s="2269"/>
      <c r="BT22" s="2269"/>
      <c r="BU22" s="2269"/>
      <c r="BV22" s="2269"/>
      <c r="BW22" s="2269"/>
      <c r="BX22" s="2269"/>
      <c r="BY22" s="2269"/>
      <c r="BZ22" s="2269"/>
      <c r="CA22" s="2269"/>
      <c r="CB22" s="2269"/>
      <c r="CC22" s="2269"/>
      <c r="CD22" s="2269"/>
    </row>
    <row r="23" spans="1:82" ht="21">
      <c r="A23" s="2265" t="s">
        <v>12271</v>
      </c>
      <c r="B23" s="2266"/>
      <c r="C23" s="2266"/>
      <c r="D23" s="2266"/>
      <c r="E23" s="2266"/>
      <c r="F23" s="2264" t="s">
        <v>16483</v>
      </c>
      <c r="G23" s="2264"/>
      <c r="H23" s="2264"/>
      <c r="I23" s="2264"/>
      <c r="J23" s="2264"/>
      <c r="K23" s="2264"/>
      <c r="L23" s="2264"/>
      <c r="M23" s="2264"/>
      <c r="N23" s="2264"/>
      <c r="O23" s="2264"/>
      <c r="P23" s="2264"/>
      <c r="Q23" s="2264"/>
      <c r="R23" s="2264"/>
      <c r="S23" s="2264"/>
      <c r="T23" s="657"/>
      <c r="U23" s="925"/>
      <c r="V23" s="929" t="s">
        <v>15317</v>
      </c>
      <c r="W23" s="927"/>
      <c r="X23" s="927"/>
      <c r="Y23" s="927"/>
      <c r="Z23" s="927"/>
      <c r="AA23" s="927"/>
      <c r="AB23" s="927"/>
      <c r="AC23" s="927"/>
      <c r="AD23" s="927"/>
      <c r="AE23" s="927"/>
      <c r="AF23" s="927"/>
      <c r="AG23" s="928"/>
      <c r="AH23" s="927"/>
      <c r="AI23" s="927"/>
      <c r="AJ23" s="927"/>
      <c r="AK23" s="927"/>
      <c r="AL23" s="927"/>
      <c r="AM23" s="928"/>
      <c r="AN23" s="927"/>
      <c r="AO23" s="927"/>
      <c r="AP23" s="927"/>
      <c r="AQ23" s="927"/>
      <c r="AR23" s="927"/>
      <c r="AS23" s="927"/>
      <c r="AT23" s="927"/>
      <c r="AU23" s="927"/>
      <c r="AV23" s="927"/>
      <c r="AW23" s="927"/>
      <c r="AX23" s="927"/>
      <c r="AY23" s="927"/>
      <c r="AZ23" s="927"/>
      <c r="BA23" s="927"/>
      <c r="BB23" s="927"/>
      <c r="BC23" s="927"/>
      <c r="BD23" s="927"/>
      <c r="BE23" s="927"/>
      <c r="BF23" s="927"/>
      <c r="BG23" s="926"/>
      <c r="BH23" s="921"/>
      <c r="BI23" s="657"/>
      <c r="BJ23" s="657"/>
      <c r="BK23" s="657"/>
      <c r="BL23" s="2269"/>
      <c r="BM23" s="2269"/>
      <c r="BN23" s="2269"/>
      <c r="BO23" s="2269"/>
      <c r="BP23" s="2269"/>
      <c r="BQ23" s="2269"/>
      <c r="BR23" s="2269"/>
      <c r="BS23" s="2269"/>
      <c r="BT23" s="2269"/>
      <c r="BU23" s="2269"/>
      <c r="BV23" s="2269"/>
      <c r="BW23" s="2269"/>
      <c r="BX23" s="2269"/>
      <c r="BY23" s="2269"/>
      <c r="BZ23" s="2269"/>
      <c r="CA23" s="2269"/>
      <c r="CB23" s="2269"/>
      <c r="CC23" s="2269"/>
      <c r="CD23" s="2269"/>
    </row>
    <row r="24" spans="1:82" ht="18" customHeight="1">
      <c r="A24" s="657"/>
      <c r="B24" s="657"/>
      <c r="C24" s="657"/>
      <c r="D24" s="657"/>
      <c r="E24" s="657"/>
      <c r="F24" s="940"/>
      <c r="G24" s="940"/>
      <c r="H24" s="940"/>
      <c r="I24" s="940"/>
      <c r="J24" s="940"/>
      <c r="K24" s="940"/>
      <c r="L24" s="940"/>
      <c r="M24" s="940"/>
      <c r="N24" s="940"/>
      <c r="O24" s="940"/>
      <c r="P24" s="940"/>
      <c r="Q24" s="940"/>
      <c r="R24" s="940"/>
      <c r="S24" s="940"/>
      <c r="T24" s="657"/>
      <c r="U24" s="925"/>
      <c r="V24" s="2270" t="s">
        <v>15318</v>
      </c>
      <c r="W24" s="2271"/>
      <c r="X24" s="2271"/>
      <c r="Y24" s="2271"/>
      <c r="Z24" s="2271"/>
      <c r="AA24" s="2271"/>
      <c r="AB24" s="2271"/>
      <c r="AC24" s="2271"/>
      <c r="AD24" s="2271"/>
      <c r="AE24" s="2271"/>
      <c r="AF24" s="2271"/>
      <c r="AG24" s="2271"/>
      <c r="AH24" s="2271"/>
      <c r="AI24" s="2271"/>
      <c r="AJ24" s="2271"/>
      <c r="AK24" s="2271"/>
      <c r="AL24" s="2271"/>
      <c r="AM24" s="2271"/>
      <c r="AN24" s="2271"/>
      <c r="AO24" s="2271"/>
      <c r="AP24" s="2271"/>
      <c r="AQ24" s="2271"/>
      <c r="AR24" s="2271"/>
      <c r="AS24" s="2271"/>
      <c r="AT24" s="2271"/>
      <c r="AU24" s="2271"/>
      <c r="AV24" s="2271"/>
      <c r="AW24" s="2271"/>
      <c r="AX24" s="2271"/>
      <c r="AY24" s="2271"/>
      <c r="AZ24" s="2271"/>
      <c r="BA24" s="2271"/>
      <c r="BB24" s="2271"/>
      <c r="BC24" s="2271"/>
      <c r="BD24" s="2271"/>
      <c r="BE24" s="2271"/>
      <c r="BF24" s="2271"/>
      <c r="BG24" s="2272"/>
      <c r="BH24" s="921"/>
      <c r="BI24" s="657"/>
      <c r="BJ24" s="657"/>
      <c r="BK24" s="657"/>
      <c r="BL24" s="657"/>
      <c r="BM24" s="657"/>
      <c r="BN24" s="657"/>
      <c r="BO24" s="657"/>
      <c r="BP24" s="657"/>
      <c r="BQ24" s="657"/>
      <c r="BR24" s="657"/>
      <c r="BS24" s="657"/>
      <c r="BT24" s="657"/>
      <c r="BU24" s="657"/>
      <c r="BV24" s="657"/>
      <c r="BW24" s="657"/>
      <c r="BX24" s="657"/>
      <c r="BY24" s="657"/>
      <c r="BZ24" s="657"/>
      <c r="CA24" s="657"/>
      <c r="CB24" s="657"/>
      <c r="CC24" s="657"/>
    </row>
    <row r="25" spans="1:82" ht="21">
      <c r="A25" s="2265" t="s">
        <v>12272</v>
      </c>
      <c r="B25" s="2266"/>
      <c r="C25" s="2266"/>
      <c r="D25" s="2266"/>
      <c r="E25" s="2266"/>
      <c r="F25" s="2264" t="s">
        <v>16482</v>
      </c>
      <c r="G25" s="2264"/>
      <c r="H25" s="2264"/>
      <c r="I25" s="2264"/>
      <c r="J25" s="2264"/>
      <c r="K25" s="2264"/>
      <c r="L25" s="2264"/>
      <c r="M25" s="2264"/>
      <c r="N25" s="2264"/>
      <c r="O25" s="2264"/>
      <c r="P25" s="2264"/>
      <c r="Q25" s="2264"/>
      <c r="R25" s="2264"/>
      <c r="S25" s="2264"/>
      <c r="T25" s="657"/>
      <c r="U25" s="925"/>
      <c r="V25" s="2270"/>
      <c r="W25" s="2271"/>
      <c r="X25" s="2271"/>
      <c r="Y25" s="2271"/>
      <c r="Z25" s="2271"/>
      <c r="AA25" s="2271"/>
      <c r="AB25" s="2271"/>
      <c r="AC25" s="2271"/>
      <c r="AD25" s="2271"/>
      <c r="AE25" s="2271"/>
      <c r="AF25" s="2271"/>
      <c r="AG25" s="2271"/>
      <c r="AH25" s="2271"/>
      <c r="AI25" s="2271"/>
      <c r="AJ25" s="2271"/>
      <c r="AK25" s="2271"/>
      <c r="AL25" s="2271"/>
      <c r="AM25" s="2271"/>
      <c r="AN25" s="2271"/>
      <c r="AO25" s="2271"/>
      <c r="AP25" s="2271"/>
      <c r="AQ25" s="2271"/>
      <c r="AR25" s="2271"/>
      <c r="AS25" s="2271"/>
      <c r="AT25" s="2271"/>
      <c r="AU25" s="2271"/>
      <c r="AV25" s="2271"/>
      <c r="AW25" s="2271"/>
      <c r="AX25" s="2271"/>
      <c r="AY25" s="2271"/>
      <c r="AZ25" s="2271"/>
      <c r="BA25" s="2271"/>
      <c r="BB25" s="2271"/>
      <c r="BC25" s="2271"/>
      <c r="BD25" s="2271"/>
      <c r="BE25" s="2271"/>
      <c r="BF25" s="2271"/>
      <c r="BG25" s="2272"/>
      <c r="BH25" s="921"/>
      <c r="BI25" s="657"/>
      <c r="BJ25" s="657"/>
      <c r="BK25" s="657"/>
      <c r="BL25" s="2273" t="s">
        <v>17675</v>
      </c>
      <c r="BM25" s="2273"/>
      <c r="BN25" s="2273"/>
      <c r="BO25" s="2273"/>
      <c r="BP25" s="2273"/>
      <c r="BQ25" s="2273"/>
      <c r="BR25" s="2273"/>
      <c r="BS25" s="2273"/>
      <c r="BT25" s="2273"/>
      <c r="BU25" s="2273"/>
      <c r="BV25" s="2273"/>
      <c r="BW25" s="2273"/>
      <c r="BX25" s="2273"/>
      <c r="BY25" s="2273"/>
      <c r="BZ25" s="2273"/>
      <c r="CA25" s="2273"/>
      <c r="CB25" s="2273"/>
      <c r="CC25" s="2273"/>
    </row>
    <row r="26" spans="1:82" ht="18">
      <c r="A26" s="657"/>
      <c r="B26" s="657"/>
      <c r="C26" s="657"/>
      <c r="D26" s="657"/>
      <c r="E26" s="657"/>
      <c r="F26" s="940"/>
      <c r="G26" s="940"/>
      <c r="H26" s="940"/>
      <c r="I26" s="940"/>
      <c r="J26" s="940"/>
      <c r="K26" s="940"/>
      <c r="L26" s="940"/>
      <c r="M26" s="940"/>
      <c r="N26" s="940"/>
      <c r="O26" s="940"/>
      <c r="P26" s="940"/>
      <c r="Q26" s="940"/>
      <c r="R26" s="940"/>
      <c r="S26" s="940"/>
      <c r="T26" s="657"/>
      <c r="U26" s="925"/>
      <c r="V26" s="924"/>
      <c r="W26" s="923"/>
      <c r="X26" s="923"/>
      <c r="Y26" s="923"/>
      <c r="Z26" s="923"/>
      <c r="AA26" s="923"/>
      <c r="AB26" s="923"/>
      <c r="AC26" s="923"/>
      <c r="AD26" s="923"/>
      <c r="AE26" s="923"/>
      <c r="AF26" s="923"/>
      <c r="AG26" s="923"/>
      <c r="AH26" s="923"/>
      <c r="AI26" s="923"/>
      <c r="AJ26" s="923"/>
      <c r="AK26" s="923"/>
      <c r="AL26" s="923"/>
      <c r="AM26" s="923"/>
      <c r="AN26" s="923"/>
      <c r="AO26" s="923"/>
      <c r="AP26" s="923"/>
      <c r="AQ26" s="1072" t="s">
        <v>15319</v>
      </c>
      <c r="AR26" s="923"/>
      <c r="AS26" s="923"/>
      <c r="AT26" s="923"/>
      <c r="AU26" s="923"/>
      <c r="AV26" s="923"/>
      <c r="AW26" s="923"/>
      <c r="AX26" s="923"/>
      <c r="AY26" s="923"/>
      <c r="AZ26" s="923"/>
      <c r="BA26" s="923"/>
      <c r="BB26" s="923"/>
      <c r="BC26" s="923"/>
      <c r="BD26" s="923"/>
      <c r="BE26" s="923"/>
      <c r="BF26" s="923"/>
      <c r="BG26" s="922"/>
      <c r="BH26" s="921"/>
      <c r="BI26" s="657"/>
      <c r="BJ26" s="657"/>
      <c r="BK26" s="657"/>
      <c r="BL26" s="657"/>
      <c r="BM26" s="657"/>
      <c r="BN26" s="657"/>
      <c r="BO26" s="657"/>
      <c r="BP26" s="657"/>
      <c r="BQ26" s="657"/>
      <c r="BR26" s="657"/>
      <c r="BS26" s="657"/>
      <c r="BT26" s="657"/>
      <c r="BU26" s="657"/>
      <c r="BV26" s="657"/>
      <c r="BW26" s="657"/>
      <c r="BX26" s="657"/>
      <c r="BY26" s="657"/>
      <c r="BZ26" s="657"/>
      <c r="CA26" s="657"/>
      <c r="CB26" s="657"/>
      <c r="CC26" s="657"/>
    </row>
    <row r="27" spans="1:82" ht="21">
      <c r="A27" s="2265" t="s">
        <v>12273</v>
      </c>
      <c r="B27" s="2266"/>
      <c r="C27" s="2266"/>
      <c r="D27" s="2266"/>
      <c r="E27" s="2266"/>
      <c r="F27" s="2263" t="s">
        <v>16480</v>
      </c>
      <c r="G27" s="2264"/>
      <c r="H27" s="2264"/>
      <c r="I27" s="2264"/>
      <c r="J27" s="2264"/>
      <c r="K27" s="2264"/>
      <c r="L27" s="2264"/>
      <c r="M27" s="2264"/>
      <c r="N27" s="2264"/>
      <c r="O27" s="2264"/>
      <c r="P27" s="2264"/>
      <c r="Q27" s="2264"/>
      <c r="R27" s="2264"/>
      <c r="S27" s="2264"/>
      <c r="T27" s="657"/>
      <c r="U27" s="920"/>
      <c r="V27" s="919"/>
      <c r="W27" s="919"/>
      <c r="X27" s="919"/>
      <c r="Y27" s="919"/>
      <c r="Z27" s="919"/>
      <c r="AA27" s="919"/>
      <c r="AB27" s="919"/>
      <c r="AC27" s="919"/>
      <c r="AD27" s="919"/>
      <c r="AE27" s="919"/>
      <c r="AF27" s="919"/>
      <c r="AG27" s="919"/>
      <c r="AH27" s="919"/>
      <c r="AI27" s="919"/>
      <c r="AJ27" s="919"/>
      <c r="AK27" s="919"/>
      <c r="AL27" s="919"/>
      <c r="AM27" s="919"/>
      <c r="AN27" s="919"/>
      <c r="AO27" s="919"/>
      <c r="AP27" s="919"/>
      <c r="AQ27" s="919"/>
      <c r="AR27" s="919"/>
      <c r="AS27" s="919"/>
      <c r="AT27" s="919"/>
      <c r="AU27" s="919"/>
      <c r="AV27" s="919"/>
      <c r="AW27" s="919"/>
      <c r="AX27" s="919"/>
      <c r="AY27" s="919"/>
      <c r="AZ27" s="919"/>
      <c r="BA27" s="919"/>
      <c r="BB27" s="919"/>
      <c r="BC27" s="919"/>
      <c r="BD27" s="919"/>
      <c r="BE27" s="919"/>
      <c r="BF27" s="919"/>
      <c r="BG27" s="919"/>
      <c r="BH27" s="918"/>
      <c r="BI27" s="657"/>
      <c r="BJ27" s="657"/>
      <c r="BK27" s="657"/>
      <c r="BL27" s="2273" t="s">
        <v>18228</v>
      </c>
      <c r="BM27" s="2273"/>
      <c r="BN27" s="2273"/>
      <c r="BO27" s="2273"/>
      <c r="BP27" s="2273"/>
      <c r="BQ27" s="2273"/>
      <c r="BR27" s="2273"/>
      <c r="BS27" s="2273"/>
      <c r="BT27" s="2273"/>
      <c r="BU27" s="2273"/>
      <c r="BV27" s="2273"/>
      <c r="BW27" s="2273"/>
      <c r="BX27" s="2273"/>
      <c r="BY27" s="2273"/>
      <c r="BZ27" s="2273"/>
      <c r="CA27" s="2273"/>
      <c r="CB27" s="2273"/>
      <c r="CC27" s="2273"/>
    </row>
    <row r="28" spans="1:82" ht="17.25" customHeight="1">
      <c r="A28" s="657"/>
      <c r="B28" s="657"/>
      <c r="C28" s="657"/>
      <c r="D28" s="657"/>
      <c r="E28" s="657"/>
      <c r="F28" s="940"/>
      <c r="G28" s="940"/>
      <c r="H28" s="940"/>
      <c r="I28" s="940"/>
      <c r="J28" s="940"/>
      <c r="K28" s="940"/>
      <c r="L28" s="940"/>
      <c r="M28" s="940"/>
      <c r="N28" s="940"/>
      <c r="O28" s="940"/>
      <c r="P28" s="940"/>
      <c r="Q28" s="940"/>
      <c r="R28" s="940"/>
      <c r="S28" s="940"/>
      <c r="T28" s="657"/>
      <c r="U28" s="917"/>
      <c r="V28" s="915"/>
      <c r="W28" s="915"/>
      <c r="X28" s="915"/>
      <c r="Y28" s="915"/>
      <c r="Z28" s="915"/>
      <c r="AA28" s="915"/>
      <c r="AB28" s="915"/>
      <c r="AC28" s="915"/>
      <c r="AD28" s="915"/>
      <c r="AE28" s="916"/>
      <c r="AF28" s="916"/>
      <c r="AG28" s="916"/>
      <c r="AH28" s="916" t="s">
        <v>15320</v>
      </c>
      <c r="AI28" s="916"/>
      <c r="AJ28" s="916"/>
      <c r="AK28" s="916"/>
      <c r="AL28" s="916"/>
      <c r="AM28" s="916"/>
      <c r="AN28" s="916"/>
      <c r="AO28" s="916"/>
      <c r="AP28" s="916"/>
      <c r="AQ28" s="916"/>
      <c r="AR28" s="916"/>
      <c r="AS28" s="916"/>
      <c r="AT28" s="916"/>
      <c r="AU28" s="915"/>
      <c r="AV28" s="915"/>
      <c r="AW28" s="915"/>
      <c r="AX28" s="915"/>
      <c r="AY28" s="915"/>
      <c r="AZ28" s="915"/>
      <c r="BA28" s="915"/>
      <c r="BB28" s="915"/>
      <c r="BC28" s="915"/>
      <c r="BD28" s="915"/>
      <c r="BE28" s="915"/>
      <c r="BF28" s="915"/>
      <c r="BG28" s="915"/>
      <c r="BH28" s="915"/>
      <c r="BI28" s="657"/>
      <c r="BJ28" s="657"/>
      <c r="BK28" s="657"/>
      <c r="BL28" s="657"/>
      <c r="BM28" s="657"/>
      <c r="BN28" s="657"/>
      <c r="BO28" s="657"/>
      <c r="BP28" s="657"/>
      <c r="BQ28" s="657"/>
      <c r="BR28" s="657"/>
      <c r="BS28" s="657"/>
      <c r="BT28" s="657"/>
      <c r="BU28" s="657"/>
      <c r="BV28" s="657"/>
      <c r="BW28" s="657"/>
      <c r="BX28" s="657"/>
      <c r="BY28" s="657"/>
      <c r="BZ28" s="657"/>
      <c r="CA28" s="657"/>
      <c r="CB28" s="657"/>
      <c r="CC28" s="657"/>
    </row>
    <row r="29" spans="1:82" ht="21" customHeight="1" thickBot="1">
      <c r="A29" s="2265" t="s">
        <v>12274</v>
      </c>
      <c r="B29" s="2266"/>
      <c r="C29" s="2266"/>
      <c r="D29" s="2266"/>
      <c r="E29" s="2266"/>
      <c r="F29" s="2263" t="s">
        <v>16481</v>
      </c>
      <c r="G29" s="2264"/>
      <c r="H29" s="2264"/>
      <c r="I29" s="2264"/>
      <c r="J29" s="2264"/>
      <c r="K29" s="2264"/>
      <c r="L29" s="2264"/>
      <c r="M29" s="2264"/>
      <c r="N29" s="2264"/>
      <c r="O29" s="2264"/>
      <c r="P29" s="2264"/>
      <c r="Q29" s="2264"/>
      <c r="R29" s="2264"/>
      <c r="S29" s="2264"/>
      <c r="T29" s="657"/>
      <c r="U29" s="657"/>
      <c r="V29" s="657"/>
      <c r="W29" s="657"/>
      <c r="X29" s="657"/>
      <c r="Y29" s="657"/>
      <c r="Z29" s="657"/>
      <c r="AA29" s="657"/>
      <c r="AB29" s="657"/>
      <c r="AC29" s="657"/>
      <c r="AD29" s="657"/>
      <c r="AE29" s="657"/>
      <c r="AF29" s="657"/>
      <c r="AG29" s="657"/>
      <c r="AH29" s="657"/>
      <c r="AI29" s="657"/>
      <c r="AJ29" s="657"/>
      <c r="AK29" s="657"/>
      <c r="AL29" s="657"/>
      <c r="AM29" s="657"/>
      <c r="AN29" s="657"/>
      <c r="AO29" s="657"/>
      <c r="AP29" s="657"/>
      <c r="AQ29" s="657"/>
      <c r="AR29" s="657"/>
      <c r="AS29" s="657"/>
      <c r="AT29" s="657"/>
      <c r="AU29" s="657"/>
      <c r="AV29" s="657"/>
      <c r="AW29" s="657"/>
      <c r="AX29" s="657"/>
      <c r="AY29" s="657"/>
      <c r="AZ29" s="657"/>
      <c r="BA29" s="657"/>
      <c r="BB29" s="657"/>
      <c r="BC29" s="657"/>
      <c r="BD29" s="657"/>
      <c r="BE29" s="657"/>
      <c r="BF29" s="657"/>
      <c r="BG29" s="657"/>
      <c r="BH29" s="657"/>
      <c r="BI29" s="657"/>
      <c r="BJ29" s="657"/>
      <c r="BK29" s="657"/>
      <c r="BL29" s="2273" t="s">
        <v>18229</v>
      </c>
      <c r="BM29" s="2273"/>
      <c r="BN29" s="2273"/>
      <c r="BO29" s="2273"/>
      <c r="BP29" s="2273"/>
      <c r="BQ29" s="2273"/>
      <c r="BR29" s="2273"/>
      <c r="BS29" s="2273"/>
      <c r="BT29" s="2273"/>
      <c r="BU29" s="2273"/>
      <c r="BV29" s="2273"/>
      <c r="BW29" s="2273"/>
      <c r="BX29" s="2273"/>
      <c r="BY29" s="2273"/>
      <c r="BZ29" s="2273"/>
      <c r="CA29" s="2273"/>
      <c r="CB29" s="2273"/>
      <c r="CC29" s="2273"/>
    </row>
    <row r="30" spans="1:82" ht="15" customHeight="1" thickBot="1">
      <c r="A30" s="657"/>
      <c r="B30" s="657"/>
      <c r="C30" s="657"/>
      <c r="D30" s="657"/>
      <c r="E30" s="657"/>
      <c r="F30" s="940"/>
      <c r="G30" s="940"/>
      <c r="H30" s="940"/>
      <c r="I30" s="940"/>
      <c r="J30" s="940"/>
      <c r="K30" s="940"/>
      <c r="L30" s="940"/>
      <c r="M30" s="940"/>
      <c r="N30" s="940"/>
      <c r="O30" s="940"/>
      <c r="P30" s="940"/>
      <c r="Q30" s="940"/>
      <c r="R30" s="940"/>
      <c r="S30" s="940"/>
      <c r="T30" s="657"/>
      <c r="U30" s="931"/>
      <c r="V30" s="931"/>
      <c r="W30" s="931"/>
      <c r="X30" s="931"/>
      <c r="Y30" s="931"/>
      <c r="Z30" s="931"/>
      <c r="AA30" s="931"/>
      <c r="AB30" s="931"/>
      <c r="AC30" s="931"/>
      <c r="AD30" s="931"/>
      <c r="AE30" s="931"/>
      <c r="AF30" s="931"/>
      <c r="AG30" s="931"/>
      <c r="AH30" s="931"/>
      <c r="AI30" s="931"/>
      <c r="AJ30" s="931"/>
      <c r="AK30" s="931"/>
      <c r="AL30" s="931"/>
      <c r="AM30" s="931"/>
      <c r="AN30" s="931"/>
      <c r="AO30" s="931"/>
      <c r="AP30" s="931"/>
      <c r="AQ30" s="931"/>
      <c r="AR30" s="931"/>
      <c r="AS30" s="931"/>
      <c r="AT30" s="931"/>
      <c r="AU30" s="931"/>
      <c r="AV30" s="931"/>
      <c r="AW30" s="931"/>
      <c r="AX30" s="931"/>
      <c r="AY30" s="931"/>
      <c r="AZ30" s="931"/>
      <c r="BA30" s="931"/>
      <c r="BB30" s="931"/>
      <c r="BC30" s="931"/>
      <c r="BD30" s="931"/>
      <c r="BE30" s="931"/>
      <c r="BF30" s="931"/>
      <c r="BG30" s="931"/>
      <c r="BH30" s="931"/>
      <c r="BI30" s="657"/>
      <c r="BJ30" s="657"/>
      <c r="BK30" s="657"/>
      <c r="BL30" s="657"/>
      <c r="BM30" s="657"/>
      <c r="BN30" s="657"/>
      <c r="BO30" s="657"/>
      <c r="BP30" s="657"/>
      <c r="BQ30" s="657"/>
      <c r="BR30" s="657"/>
      <c r="BS30" s="657"/>
      <c r="BT30" s="657"/>
      <c r="BU30" s="657"/>
      <c r="BV30" s="657"/>
      <c r="BW30" s="657"/>
      <c r="BX30" s="657"/>
      <c r="BY30" s="657"/>
      <c r="BZ30" s="657"/>
      <c r="CA30" s="657"/>
      <c r="CB30" s="657"/>
      <c r="CC30" s="657"/>
    </row>
    <row r="31" spans="1:82" ht="21" customHeight="1" thickBot="1">
      <c r="A31" s="2265" t="s">
        <v>12275</v>
      </c>
      <c r="B31" s="2266"/>
      <c r="C31" s="2266"/>
      <c r="D31" s="2266"/>
      <c r="E31" s="2266"/>
      <c r="F31" s="2263" t="s">
        <v>16484</v>
      </c>
      <c r="G31" s="2264"/>
      <c r="H31" s="2264"/>
      <c r="I31" s="2264"/>
      <c r="J31" s="2264"/>
      <c r="K31" s="2264"/>
      <c r="L31" s="2264"/>
      <c r="M31" s="2264"/>
      <c r="N31" s="2264"/>
      <c r="O31" s="2264"/>
      <c r="P31" s="2264"/>
      <c r="Q31" s="2264"/>
      <c r="R31" s="2264"/>
      <c r="S31" s="2264"/>
      <c r="T31" s="657"/>
      <c r="U31" s="931"/>
      <c r="V31" s="2267" t="s">
        <v>17673</v>
      </c>
      <c r="W31" s="2268"/>
      <c r="X31" s="2268"/>
      <c r="Y31" s="2268"/>
      <c r="Z31" s="2268"/>
      <c r="AA31" s="2268"/>
      <c r="AB31" s="2268"/>
      <c r="AC31" s="2268"/>
      <c r="AD31" s="2268"/>
      <c r="AE31" s="2268"/>
      <c r="AF31" s="2268"/>
      <c r="AG31" s="2268"/>
      <c r="AH31" s="2268"/>
      <c r="AI31" s="2268"/>
      <c r="AJ31" s="2268"/>
      <c r="AK31" s="2268"/>
      <c r="AL31" s="2268"/>
      <c r="AM31" s="2268"/>
      <c r="AN31" s="2268"/>
      <c r="AO31" s="2268"/>
      <c r="AP31" s="2268"/>
      <c r="AQ31" s="2268"/>
      <c r="AR31" s="2268"/>
      <c r="AS31" s="2268"/>
      <c r="AT31" s="2268"/>
      <c r="AU31" s="2268"/>
      <c r="AV31" s="2268"/>
      <c r="AW31" s="2268"/>
      <c r="AX31" s="2268"/>
      <c r="AY31" s="2268"/>
      <c r="AZ31" s="2268"/>
      <c r="BA31" s="2268"/>
      <c r="BB31" s="2268"/>
      <c r="BC31" s="2268"/>
      <c r="BD31" s="2268"/>
      <c r="BE31" s="2268"/>
      <c r="BF31" s="2268"/>
      <c r="BG31" s="2268"/>
      <c r="BH31" s="931"/>
      <c r="BI31" s="657"/>
      <c r="BJ31" s="657"/>
      <c r="BK31" s="657"/>
      <c r="BL31" s="2273" t="s">
        <v>17675</v>
      </c>
      <c r="BM31" s="2273"/>
      <c r="BN31" s="2273"/>
      <c r="BO31" s="2273"/>
      <c r="BP31" s="2273"/>
      <c r="BQ31" s="2273"/>
      <c r="BR31" s="2273"/>
      <c r="BS31" s="2273"/>
      <c r="BT31" s="2273"/>
      <c r="BU31" s="2273"/>
      <c r="BV31" s="2273"/>
      <c r="BW31" s="2273"/>
      <c r="BX31" s="2273"/>
      <c r="BY31" s="2273"/>
      <c r="BZ31" s="2273"/>
      <c r="CA31" s="2273"/>
      <c r="CB31" s="2273"/>
      <c r="CC31" s="2273"/>
    </row>
    <row r="32" spans="1:82" s="1" customFormat="1" ht="14.25" customHeight="1" thickBot="1">
      <c r="A32" s="657"/>
      <c r="B32" s="657"/>
      <c r="C32" s="657"/>
      <c r="D32" s="657"/>
      <c r="E32" s="657"/>
      <c r="F32" s="940"/>
      <c r="G32" s="940"/>
      <c r="H32" s="940"/>
      <c r="I32" s="940"/>
      <c r="J32" s="940"/>
      <c r="K32" s="940"/>
      <c r="L32" s="940"/>
      <c r="M32" s="940"/>
      <c r="N32" s="940"/>
      <c r="O32" s="940"/>
      <c r="P32" s="940"/>
      <c r="Q32" s="940"/>
      <c r="R32" s="940"/>
      <c r="S32" s="940"/>
      <c r="T32" s="657"/>
      <c r="U32" s="931"/>
      <c r="V32" s="2268"/>
      <c r="W32" s="2268"/>
      <c r="X32" s="2268"/>
      <c r="Y32" s="2268"/>
      <c r="Z32" s="2268"/>
      <c r="AA32" s="2268"/>
      <c r="AB32" s="2268"/>
      <c r="AC32" s="2268"/>
      <c r="AD32" s="2268"/>
      <c r="AE32" s="2268"/>
      <c r="AF32" s="2268"/>
      <c r="AG32" s="2268"/>
      <c r="AH32" s="2268"/>
      <c r="AI32" s="2268"/>
      <c r="AJ32" s="2268"/>
      <c r="AK32" s="2268"/>
      <c r="AL32" s="2268"/>
      <c r="AM32" s="2268"/>
      <c r="AN32" s="2268"/>
      <c r="AO32" s="2268"/>
      <c r="AP32" s="2268"/>
      <c r="AQ32" s="2268"/>
      <c r="AR32" s="2268"/>
      <c r="AS32" s="2268"/>
      <c r="AT32" s="2268"/>
      <c r="AU32" s="2268"/>
      <c r="AV32" s="2268"/>
      <c r="AW32" s="2268"/>
      <c r="AX32" s="2268"/>
      <c r="AY32" s="2268"/>
      <c r="AZ32" s="2268"/>
      <c r="BA32" s="2268"/>
      <c r="BB32" s="2268"/>
      <c r="BC32" s="2268"/>
      <c r="BD32" s="2268"/>
      <c r="BE32" s="2268"/>
      <c r="BF32" s="2268"/>
      <c r="BG32" s="2268"/>
      <c r="BH32" s="931"/>
      <c r="BI32" s="657"/>
      <c r="BJ32" s="657"/>
      <c r="BK32" s="657"/>
      <c r="BL32" s="657"/>
      <c r="BM32" s="657"/>
      <c r="BN32" s="657"/>
      <c r="BO32" s="657"/>
      <c r="BP32" s="657"/>
      <c r="BQ32" s="657"/>
      <c r="BR32" s="657"/>
      <c r="BS32" s="657"/>
      <c r="BT32" s="657"/>
      <c r="BU32" s="657"/>
      <c r="BV32" s="657"/>
      <c r="BW32" s="657"/>
      <c r="BX32" s="657"/>
      <c r="BY32" s="657"/>
      <c r="BZ32" s="657"/>
      <c r="CA32" s="657"/>
      <c r="CB32" s="657"/>
      <c r="CC32" s="657"/>
    </row>
    <row r="33" spans="1:81" s="1" customFormat="1" ht="21.75" thickBot="1">
      <c r="A33" s="2265" t="s">
        <v>12276</v>
      </c>
      <c r="B33" s="2266"/>
      <c r="C33" s="2266"/>
      <c r="D33" s="2266"/>
      <c r="E33" s="2266"/>
      <c r="F33" s="2263" t="s">
        <v>16479</v>
      </c>
      <c r="G33" s="2264"/>
      <c r="H33" s="2264"/>
      <c r="I33" s="2264"/>
      <c r="J33" s="2264"/>
      <c r="K33" s="2264"/>
      <c r="L33" s="2264"/>
      <c r="M33" s="2264"/>
      <c r="N33" s="2264"/>
      <c r="O33" s="2264"/>
      <c r="P33" s="2264"/>
      <c r="Q33" s="2264"/>
      <c r="R33" s="2264"/>
      <c r="S33" s="2264"/>
      <c r="T33" s="657"/>
      <c r="U33" s="931"/>
      <c r="V33" s="2268"/>
      <c r="W33" s="2268"/>
      <c r="X33" s="2268"/>
      <c r="Y33" s="2268"/>
      <c r="Z33" s="2268"/>
      <c r="AA33" s="2268"/>
      <c r="AB33" s="2268"/>
      <c r="AC33" s="2268"/>
      <c r="AD33" s="2268"/>
      <c r="AE33" s="2268"/>
      <c r="AF33" s="2268"/>
      <c r="AG33" s="2268"/>
      <c r="AH33" s="2268"/>
      <c r="AI33" s="2268"/>
      <c r="AJ33" s="2268"/>
      <c r="AK33" s="2268"/>
      <c r="AL33" s="2268"/>
      <c r="AM33" s="2268"/>
      <c r="AN33" s="2268"/>
      <c r="AO33" s="2268"/>
      <c r="AP33" s="2268"/>
      <c r="AQ33" s="2268"/>
      <c r="AR33" s="2268"/>
      <c r="AS33" s="2268"/>
      <c r="AT33" s="2268"/>
      <c r="AU33" s="2268"/>
      <c r="AV33" s="2268"/>
      <c r="AW33" s="2268"/>
      <c r="AX33" s="2268"/>
      <c r="AY33" s="2268"/>
      <c r="AZ33" s="2268"/>
      <c r="BA33" s="2268"/>
      <c r="BB33" s="2268"/>
      <c r="BC33" s="2268"/>
      <c r="BD33" s="2268"/>
      <c r="BE33" s="2268"/>
      <c r="BF33" s="2268"/>
      <c r="BG33" s="2268"/>
      <c r="BH33" s="931"/>
      <c r="BI33" s="657"/>
      <c r="BJ33" s="657"/>
      <c r="BK33" s="657"/>
      <c r="BL33" s="2273" t="s">
        <v>17675</v>
      </c>
      <c r="BM33" s="2273"/>
      <c r="BN33" s="2273"/>
      <c r="BO33" s="2273"/>
      <c r="BP33" s="2273"/>
      <c r="BQ33" s="2273"/>
      <c r="BR33" s="2273"/>
      <c r="BS33" s="2273"/>
      <c r="BT33" s="2273"/>
      <c r="BU33" s="2273"/>
      <c r="BV33" s="2273"/>
      <c r="BW33" s="2273"/>
      <c r="BX33" s="2273"/>
      <c r="BY33" s="2273"/>
      <c r="BZ33" s="2273"/>
      <c r="CA33" s="2273"/>
      <c r="CB33" s="2273"/>
      <c r="CC33" s="2273"/>
    </row>
    <row r="34" spans="1:81" s="1" customFormat="1" ht="15" thickBot="1">
      <c r="A34" s="657"/>
      <c r="B34" s="657"/>
      <c r="C34" s="657"/>
      <c r="D34" s="657"/>
      <c r="E34" s="657"/>
      <c r="F34" s="940"/>
      <c r="G34" s="940"/>
      <c r="H34" s="940"/>
      <c r="I34" s="940"/>
      <c r="J34" s="940"/>
      <c r="K34" s="940"/>
      <c r="L34" s="940"/>
      <c r="M34" s="940"/>
      <c r="N34" s="940"/>
      <c r="O34" s="940"/>
      <c r="P34" s="940"/>
      <c r="Q34" s="940"/>
      <c r="R34" s="940"/>
      <c r="S34" s="940"/>
      <c r="T34" s="657"/>
      <c r="U34" s="931"/>
      <c r="V34" s="2268"/>
      <c r="W34" s="2268"/>
      <c r="X34" s="2268"/>
      <c r="Y34" s="2268"/>
      <c r="Z34" s="2268"/>
      <c r="AA34" s="2268"/>
      <c r="AB34" s="2268"/>
      <c r="AC34" s="2268"/>
      <c r="AD34" s="2268"/>
      <c r="AE34" s="2268"/>
      <c r="AF34" s="2268"/>
      <c r="AG34" s="2268"/>
      <c r="AH34" s="2268"/>
      <c r="AI34" s="2268"/>
      <c r="AJ34" s="2268"/>
      <c r="AK34" s="2268"/>
      <c r="AL34" s="2268"/>
      <c r="AM34" s="2268"/>
      <c r="AN34" s="2268"/>
      <c r="AO34" s="2268"/>
      <c r="AP34" s="2268"/>
      <c r="AQ34" s="2268"/>
      <c r="AR34" s="2268"/>
      <c r="AS34" s="2268"/>
      <c r="AT34" s="2268"/>
      <c r="AU34" s="2268"/>
      <c r="AV34" s="2268"/>
      <c r="AW34" s="2268"/>
      <c r="AX34" s="2268"/>
      <c r="AY34" s="2268"/>
      <c r="AZ34" s="2268"/>
      <c r="BA34" s="2268"/>
      <c r="BB34" s="2268"/>
      <c r="BC34" s="2268"/>
      <c r="BD34" s="2268"/>
      <c r="BE34" s="2268"/>
      <c r="BF34" s="2268"/>
      <c r="BG34" s="2268"/>
      <c r="BH34" s="931"/>
      <c r="BI34" s="657"/>
      <c r="BJ34" s="657"/>
      <c r="BK34" s="657"/>
      <c r="BL34" s="657"/>
      <c r="BM34" s="657"/>
      <c r="BN34" s="657"/>
      <c r="BO34" s="657"/>
      <c r="BP34" s="657"/>
      <c r="BQ34" s="657"/>
      <c r="BR34" s="657"/>
      <c r="BS34" s="657"/>
      <c r="BT34" s="657"/>
      <c r="BU34" s="657"/>
      <c r="BV34" s="657"/>
      <c r="BW34" s="657"/>
      <c r="BX34" s="657"/>
      <c r="BY34" s="657"/>
      <c r="BZ34" s="657"/>
      <c r="CA34" s="657"/>
      <c r="CB34" s="657"/>
      <c r="CC34" s="657"/>
    </row>
    <row r="35" spans="1:81" s="1" customFormat="1" ht="21.75" thickBot="1">
      <c r="A35" s="2265" t="s">
        <v>12277</v>
      </c>
      <c r="B35" s="2266"/>
      <c r="C35" s="2266"/>
      <c r="D35" s="2266"/>
      <c r="E35" s="2266"/>
      <c r="F35" s="2263" t="s">
        <v>16479</v>
      </c>
      <c r="G35" s="2264"/>
      <c r="H35" s="2264"/>
      <c r="I35" s="2264"/>
      <c r="J35" s="2264"/>
      <c r="K35" s="2264"/>
      <c r="L35" s="2264"/>
      <c r="M35" s="2264"/>
      <c r="N35" s="2264"/>
      <c r="O35" s="2264"/>
      <c r="P35" s="2264"/>
      <c r="Q35" s="2264"/>
      <c r="R35" s="2264"/>
      <c r="S35" s="2264"/>
      <c r="T35" s="657"/>
      <c r="U35" s="931"/>
      <c r="V35" s="2268"/>
      <c r="W35" s="2268"/>
      <c r="X35" s="2268"/>
      <c r="Y35" s="2268"/>
      <c r="Z35" s="2268"/>
      <c r="AA35" s="2268"/>
      <c r="AB35" s="2268"/>
      <c r="AC35" s="2268"/>
      <c r="AD35" s="2268"/>
      <c r="AE35" s="2268"/>
      <c r="AF35" s="2268"/>
      <c r="AG35" s="2268"/>
      <c r="AH35" s="2268"/>
      <c r="AI35" s="2268"/>
      <c r="AJ35" s="2268"/>
      <c r="AK35" s="2268"/>
      <c r="AL35" s="2268"/>
      <c r="AM35" s="2268"/>
      <c r="AN35" s="2268"/>
      <c r="AO35" s="2268"/>
      <c r="AP35" s="2268"/>
      <c r="AQ35" s="2268"/>
      <c r="AR35" s="2268"/>
      <c r="AS35" s="2268"/>
      <c r="AT35" s="2268"/>
      <c r="AU35" s="2268"/>
      <c r="AV35" s="2268"/>
      <c r="AW35" s="2268"/>
      <c r="AX35" s="2268"/>
      <c r="AY35" s="2268"/>
      <c r="AZ35" s="2268"/>
      <c r="BA35" s="2268"/>
      <c r="BB35" s="2268"/>
      <c r="BC35" s="2268"/>
      <c r="BD35" s="2268"/>
      <c r="BE35" s="2268"/>
      <c r="BF35" s="2268"/>
      <c r="BG35" s="2268"/>
      <c r="BH35" s="931"/>
      <c r="BI35" s="657"/>
      <c r="BJ35" s="657"/>
      <c r="BK35" s="657"/>
      <c r="BL35" s="2273" t="s">
        <v>17675</v>
      </c>
      <c r="BM35" s="2273"/>
      <c r="BN35" s="2273"/>
      <c r="BO35" s="2273"/>
      <c r="BP35" s="2273"/>
      <c r="BQ35" s="2273"/>
      <c r="BR35" s="2273"/>
      <c r="BS35" s="2273"/>
      <c r="BT35" s="2273"/>
      <c r="BU35" s="2273"/>
      <c r="BV35" s="2273"/>
      <c r="BW35" s="2273"/>
      <c r="BX35" s="2273"/>
      <c r="BY35" s="2273"/>
      <c r="BZ35" s="2273"/>
      <c r="CA35" s="2273"/>
      <c r="CB35" s="2273"/>
      <c r="CC35" s="2273"/>
    </row>
    <row r="36" spans="1:81" s="1" customFormat="1" ht="15" thickBot="1">
      <c r="A36" s="657"/>
      <c r="B36" s="657"/>
      <c r="C36" s="657"/>
      <c r="D36" s="657"/>
      <c r="E36" s="657"/>
      <c r="F36" s="657"/>
      <c r="G36" s="657"/>
      <c r="H36" s="657"/>
      <c r="I36" s="657"/>
      <c r="J36" s="657"/>
      <c r="K36" s="657"/>
      <c r="L36" s="657"/>
      <c r="M36" s="657"/>
      <c r="N36" s="657"/>
      <c r="O36" s="657"/>
      <c r="P36" s="657"/>
      <c r="Q36" s="657"/>
      <c r="R36" s="657"/>
      <c r="S36" s="657"/>
      <c r="T36" s="657"/>
      <c r="U36" s="931"/>
      <c r="V36" s="2268"/>
      <c r="W36" s="2268"/>
      <c r="X36" s="2268"/>
      <c r="Y36" s="2268"/>
      <c r="Z36" s="2268"/>
      <c r="AA36" s="2268"/>
      <c r="AB36" s="2268"/>
      <c r="AC36" s="2268"/>
      <c r="AD36" s="2268"/>
      <c r="AE36" s="2268"/>
      <c r="AF36" s="2268"/>
      <c r="AG36" s="2268"/>
      <c r="AH36" s="2268"/>
      <c r="AI36" s="2268"/>
      <c r="AJ36" s="2268"/>
      <c r="AK36" s="2268"/>
      <c r="AL36" s="2268"/>
      <c r="AM36" s="2268"/>
      <c r="AN36" s="2268"/>
      <c r="AO36" s="2268"/>
      <c r="AP36" s="2268"/>
      <c r="AQ36" s="2268"/>
      <c r="AR36" s="2268"/>
      <c r="AS36" s="2268"/>
      <c r="AT36" s="2268"/>
      <c r="AU36" s="2268"/>
      <c r="AV36" s="2268"/>
      <c r="AW36" s="2268"/>
      <c r="AX36" s="2268"/>
      <c r="AY36" s="2268"/>
      <c r="AZ36" s="2268"/>
      <c r="BA36" s="2268"/>
      <c r="BB36" s="2268"/>
      <c r="BC36" s="2268"/>
      <c r="BD36" s="2268"/>
      <c r="BE36" s="2268"/>
      <c r="BF36" s="2268"/>
      <c r="BG36" s="2268"/>
      <c r="BH36" s="931"/>
      <c r="BI36" s="657"/>
      <c r="BJ36" s="657"/>
      <c r="BK36" s="657"/>
      <c r="BL36" s="657"/>
      <c r="BM36" s="657"/>
      <c r="BN36" s="657"/>
      <c r="BO36" s="657"/>
      <c r="BP36" s="657"/>
      <c r="BQ36" s="657"/>
      <c r="BR36" s="657"/>
      <c r="BS36" s="657"/>
      <c r="BT36" s="657"/>
      <c r="BU36" s="657"/>
      <c r="BV36" s="657"/>
      <c r="BW36" s="657"/>
      <c r="BX36" s="657"/>
      <c r="BY36" s="657"/>
      <c r="BZ36" s="657"/>
      <c r="CA36" s="657"/>
      <c r="CB36" s="657"/>
      <c r="CC36" s="657"/>
    </row>
    <row r="37" spans="1:81" s="1" customFormat="1" ht="21.75" thickBot="1">
      <c r="A37" s="2265" t="s">
        <v>16034</v>
      </c>
      <c r="B37" s="2266"/>
      <c r="C37" s="2266"/>
      <c r="D37" s="2266"/>
      <c r="E37" s="2266"/>
      <c r="F37" s="2263" t="s">
        <v>16478</v>
      </c>
      <c r="G37" s="2264"/>
      <c r="H37" s="2264"/>
      <c r="I37" s="2264"/>
      <c r="J37" s="2264"/>
      <c r="K37" s="2264"/>
      <c r="L37" s="2264"/>
      <c r="M37" s="2264"/>
      <c r="N37" s="2264"/>
      <c r="O37" s="2264"/>
      <c r="P37" s="2264"/>
      <c r="Q37" s="2264"/>
      <c r="R37" s="2264"/>
      <c r="S37" s="2264"/>
      <c r="T37" s="657"/>
      <c r="U37" s="931"/>
      <c r="V37" s="2268"/>
      <c r="W37" s="2268"/>
      <c r="X37" s="2268"/>
      <c r="Y37" s="2268"/>
      <c r="Z37" s="2268"/>
      <c r="AA37" s="2268"/>
      <c r="AB37" s="2268"/>
      <c r="AC37" s="2268"/>
      <c r="AD37" s="2268"/>
      <c r="AE37" s="2268"/>
      <c r="AF37" s="2268"/>
      <c r="AG37" s="2268"/>
      <c r="AH37" s="2268"/>
      <c r="AI37" s="2268"/>
      <c r="AJ37" s="2268"/>
      <c r="AK37" s="2268"/>
      <c r="AL37" s="2268"/>
      <c r="AM37" s="2268"/>
      <c r="AN37" s="2268"/>
      <c r="AO37" s="2268"/>
      <c r="AP37" s="2268"/>
      <c r="AQ37" s="2268"/>
      <c r="AR37" s="2268"/>
      <c r="AS37" s="2268"/>
      <c r="AT37" s="2268"/>
      <c r="AU37" s="2268"/>
      <c r="AV37" s="2268"/>
      <c r="AW37" s="2268"/>
      <c r="AX37" s="2268"/>
      <c r="AY37" s="2268"/>
      <c r="AZ37" s="2268"/>
      <c r="BA37" s="2268"/>
      <c r="BB37" s="2268"/>
      <c r="BC37" s="2268"/>
      <c r="BD37" s="2268"/>
      <c r="BE37" s="2268"/>
      <c r="BF37" s="2268"/>
      <c r="BG37" s="2268"/>
      <c r="BH37" s="931"/>
      <c r="BI37" s="657"/>
      <c r="BJ37" s="657"/>
      <c r="BK37" s="657"/>
      <c r="BL37" s="2273" t="s">
        <v>17675</v>
      </c>
      <c r="BM37" s="2273"/>
      <c r="BN37" s="2273"/>
      <c r="BO37" s="2273"/>
      <c r="BP37" s="2273"/>
      <c r="BQ37" s="2273"/>
      <c r="BR37" s="2273"/>
      <c r="BS37" s="2273"/>
      <c r="BT37" s="2273"/>
      <c r="BU37" s="2273"/>
      <c r="BV37" s="2273"/>
      <c r="BW37" s="2273"/>
      <c r="BX37" s="2273"/>
      <c r="BY37" s="2273"/>
      <c r="BZ37" s="2273"/>
      <c r="CA37" s="2273"/>
      <c r="CB37" s="2273"/>
      <c r="CC37" s="2273"/>
    </row>
    <row r="38" spans="1:81" s="1" customFormat="1">
      <c r="A38" s="657"/>
      <c r="B38" s="657"/>
      <c r="C38" s="657"/>
      <c r="D38" s="657"/>
      <c r="E38" s="657"/>
      <c r="F38" s="657"/>
      <c r="G38" s="657"/>
      <c r="H38" s="657"/>
      <c r="I38" s="657"/>
      <c r="J38" s="657"/>
      <c r="K38" s="657"/>
      <c r="L38" s="657"/>
      <c r="M38" s="657"/>
      <c r="N38" s="657"/>
      <c r="O38" s="657"/>
      <c r="P38" s="657"/>
      <c r="Q38" s="657"/>
      <c r="R38" s="657"/>
      <c r="S38" s="657"/>
      <c r="T38" s="657"/>
      <c r="U38" s="931"/>
      <c r="V38" s="931"/>
      <c r="W38" s="931"/>
      <c r="X38" s="931"/>
      <c r="Y38" s="931"/>
      <c r="Z38" s="931"/>
      <c r="AA38" s="931"/>
      <c r="AB38" s="931"/>
      <c r="AC38" s="931"/>
      <c r="AD38" s="931"/>
      <c r="AE38" s="931"/>
      <c r="AF38" s="931"/>
      <c r="AG38" s="931"/>
      <c r="AH38" s="931"/>
      <c r="AI38" s="931"/>
      <c r="AJ38" s="931"/>
      <c r="AK38" s="931"/>
      <c r="AL38" s="931"/>
      <c r="AM38" s="931"/>
      <c r="AN38" s="931"/>
      <c r="AO38" s="931"/>
      <c r="AP38" s="931"/>
      <c r="AQ38" s="931"/>
      <c r="AR38" s="931"/>
      <c r="AS38" s="931"/>
      <c r="AT38" s="931"/>
      <c r="AU38" s="931"/>
      <c r="AV38" s="931"/>
      <c r="AW38" s="931"/>
      <c r="AX38" s="931"/>
      <c r="AY38" s="931"/>
      <c r="AZ38" s="931"/>
      <c r="BA38" s="931"/>
      <c r="BB38" s="931"/>
      <c r="BC38" s="931"/>
      <c r="BD38" s="931"/>
      <c r="BE38" s="931"/>
      <c r="BF38" s="931"/>
      <c r="BG38" s="931"/>
      <c r="BH38" s="931"/>
      <c r="BI38" s="657"/>
      <c r="BJ38" s="657"/>
      <c r="BK38" s="657"/>
      <c r="BL38" s="657"/>
      <c r="BM38" s="657"/>
      <c r="BN38" s="657"/>
      <c r="BO38" s="657"/>
      <c r="BP38" s="657"/>
      <c r="BQ38" s="657"/>
      <c r="BR38" s="657"/>
      <c r="BS38" s="657"/>
      <c r="BT38" s="657"/>
      <c r="BU38" s="657"/>
      <c r="BV38" s="657"/>
      <c r="BW38" s="657"/>
      <c r="BX38" s="657"/>
      <c r="BY38" s="657"/>
      <c r="BZ38" s="657"/>
      <c r="CA38" s="657"/>
      <c r="CB38" s="657"/>
      <c r="CC38" s="657"/>
    </row>
    <row r="39" spans="1:81" s="1" customFormat="1" ht="18">
      <c r="A39" s="2265" t="s">
        <v>16033</v>
      </c>
      <c r="B39" s="2266"/>
      <c r="C39" s="2266"/>
      <c r="D39" s="2266"/>
      <c r="E39" s="2266"/>
      <c r="F39" s="2263" t="s">
        <v>16485</v>
      </c>
      <c r="G39" s="2263"/>
      <c r="H39" s="2263"/>
      <c r="I39" s="2263"/>
      <c r="J39" s="2263"/>
      <c r="K39" s="2263"/>
      <c r="L39" s="2263"/>
      <c r="M39" s="2263"/>
      <c r="N39" s="2263"/>
      <c r="O39" s="2263"/>
      <c r="P39" s="2263"/>
      <c r="Q39" s="2263"/>
      <c r="R39" s="2263"/>
      <c r="S39" s="2263"/>
      <c r="T39" s="657"/>
      <c r="U39" s="657"/>
      <c r="V39" s="657"/>
      <c r="W39" s="657"/>
      <c r="X39" s="657"/>
      <c r="Y39" s="657"/>
      <c r="Z39" s="657"/>
      <c r="AA39" s="657"/>
      <c r="AB39" s="657"/>
      <c r="AC39" s="657"/>
      <c r="AD39" s="657"/>
      <c r="AE39" s="657"/>
      <c r="AF39" s="657"/>
      <c r="AG39" s="657"/>
      <c r="AH39" s="657"/>
      <c r="AI39" s="657"/>
      <c r="AJ39" s="657"/>
      <c r="AK39" s="657"/>
      <c r="AL39" s="657"/>
      <c r="AM39" s="657"/>
      <c r="AN39" s="657"/>
      <c r="AO39" s="657"/>
      <c r="AP39" s="657"/>
      <c r="AQ39" s="657"/>
      <c r="AR39" s="657"/>
      <c r="AS39" s="657"/>
      <c r="AT39" s="657"/>
      <c r="AU39" s="657"/>
      <c r="AV39" s="657"/>
      <c r="AW39" s="657"/>
      <c r="AX39" s="657"/>
      <c r="AY39" s="657"/>
      <c r="AZ39" s="657"/>
      <c r="BA39" s="657"/>
      <c r="BB39" s="657"/>
      <c r="BC39" s="657"/>
      <c r="BD39" s="657"/>
      <c r="BE39" s="657"/>
      <c r="BF39" s="657"/>
      <c r="BG39" s="657"/>
      <c r="BH39" s="657"/>
      <c r="BI39" s="657"/>
      <c r="BJ39" s="657"/>
      <c r="BK39" s="657"/>
      <c r="BL39" s="657"/>
      <c r="BM39" s="657"/>
      <c r="BN39" s="657"/>
      <c r="BO39" s="657"/>
      <c r="BP39" s="657"/>
      <c r="BQ39" s="657"/>
      <c r="BR39" s="657"/>
      <c r="BS39" s="657"/>
      <c r="BT39" s="657"/>
      <c r="BU39" s="657"/>
      <c r="BV39" s="657"/>
      <c r="BW39" s="657"/>
      <c r="BX39" s="657"/>
      <c r="BY39" s="657"/>
      <c r="BZ39" s="657"/>
      <c r="CA39" s="657"/>
      <c r="CB39" s="657"/>
      <c r="CC39" s="657"/>
    </row>
    <row r="40" spans="1:81">
      <c r="A40" s="657"/>
      <c r="B40" s="657"/>
      <c r="C40" s="657"/>
      <c r="D40" s="657"/>
      <c r="E40" s="657"/>
      <c r="F40" s="657"/>
      <c r="G40" s="657"/>
      <c r="H40" s="657"/>
      <c r="I40" s="657"/>
      <c r="J40" s="657"/>
      <c r="K40" s="657"/>
      <c r="L40" s="657"/>
      <c r="M40" s="657"/>
      <c r="N40" s="657"/>
      <c r="O40" s="657"/>
      <c r="P40" s="657"/>
      <c r="Q40" s="657"/>
      <c r="R40" s="657"/>
      <c r="S40" s="657"/>
      <c r="T40" s="657"/>
      <c r="U40" s="657"/>
      <c r="V40" s="657"/>
      <c r="W40" s="657"/>
      <c r="X40" s="657"/>
      <c r="Y40" s="657"/>
      <c r="Z40" s="657"/>
      <c r="AA40" s="657"/>
      <c r="AB40" s="657"/>
      <c r="AC40" s="657"/>
      <c r="AD40" s="657"/>
      <c r="AE40" s="657"/>
      <c r="AF40" s="657"/>
      <c r="AG40" s="657"/>
      <c r="AH40" s="657"/>
      <c r="AI40" s="657"/>
      <c r="AJ40" s="657"/>
      <c r="AK40" s="657"/>
      <c r="AL40" s="657"/>
      <c r="AM40" s="657"/>
      <c r="AN40" s="657"/>
      <c r="AO40" s="657"/>
      <c r="AP40" s="657"/>
      <c r="AQ40" s="657"/>
      <c r="AR40" s="657"/>
      <c r="AS40" s="657"/>
      <c r="AT40" s="657"/>
      <c r="AU40" s="657"/>
      <c r="AV40" s="657"/>
      <c r="AW40" s="657"/>
      <c r="AX40" s="657"/>
      <c r="AY40" s="657"/>
      <c r="AZ40" s="657"/>
      <c r="BA40" s="657"/>
      <c r="BB40" s="657"/>
      <c r="BC40" s="657"/>
      <c r="BD40" s="657"/>
      <c r="BE40" s="657"/>
      <c r="BF40" s="657"/>
      <c r="BG40" s="657"/>
      <c r="BH40" s="657"/>
      <c r="BI40" s="657"/>
      <c r="BJ40" s="657"/>
      <c r="BK40" s="657"/>
      <c r="BL40" s="657"/>
      <c r="BM40" s="657"/>
      <c r="BN40" s="657"/>
      <c r="BO40" s="657"/>
      <c r="BP40" s="657"/>
      <c r="BQ40" s="657"/>
      <c r="BR40" s="657"/>
      <c r="BS40" s="657"/>
      <c r="BT40" s="657"/>
      <c r="BU40" s="657"/>
      <c r="BV40" s="657"/>
      <c r="BW40" s="657"/>
      <c r="BX40" s="657"/>
      <c r="BY40" s="657"/>
      <c r="BZ40" s="657"/>
      <c r="CA40" s="657"/>
      <c r="CB40" s="657"/>
      <c r="CC40" s="657"/>
    </row>
    <row r="41" spans="1:81">
      <c r="B41" s="1" t="s">
        <v>8578</v>
      </c>
    </row>
    <row r="42" spans="1:81">
      <c r="B42" s="1"/>
    </row>
    <row r="43" spans="1:81">
      <c r="B43" s="1" t="s">
        <v>8579</v>
      </c>
    </row>
    <row r="44" spans="1:81">
      <c r="B44" s="1"/>
    </row>
    <row r="45" spans="1:81">
      <c r="B45" s="1" t="s">
        <v>8580</v>
      </c>
    </row>
    <row r="46" spans="1:81">
      <c r="B46" s="1"/>
    </row>
    <row r="47" spans="1:81">
      <c r="B47" s="1" t="s">
        <v>8581</v>
      </c>
    </row>
    <row r="48" spans="1:81">
      <c r="B48" s="1"/>
    </row>
    <row r="49" spans="2:2">
      <c r="B49" s="1" t="s">
        <v>8582</v>
      </c>
    </row>
    <row r="50" spans="2:2">
      <c r="B50" s="1"/>
    </row>
    <row r="51" spans="2:2">
      <c r="B51" s="1" t="s">
        <v>8583</v>
      </c>
    </row>
    <row r="52" spans="2:2">
      <c r="B52" s="1"/>
    </row>
    <row r="53" spans="2:2">
      <c r="B53" s="1" t="s">
        <v>8584</v>
      </c>
    </row>
    <row r="54" spans="2:2">
      <c r="B54" s="1"/>
    </row>
    <row r="55" spans="2:2">
      <c r="B55" s="1" t="s">
        <v>8585</v>
      </c>
    </row>
    <row r="56" spans="2:2">
      <c r="B56" s="1"/>
    </row>
    <row r="57" spans="2:2">
      <c r="B57" s="1" t="s">
        <v>8586</v>
      </c>
    </row>
    <row r="58" spans="2:2">
      <c r="B58" s="1"/>
    </row>
    <row r="59" spans="2:2">
      <c r="B59" s="1" t="s">
        <v>8587</v>
      </c>
    </row>
    <row r="60" spans="2:2">
      <c r="B60" s="1"/>
    </row>
    <row r="61" spans="2:2">
      <c r="B61" s="1" t="s">
        <v>8588</v>
      </c>
    </row>
    <row r="62" spans="2:2">
      <c r="B62" s="1"/>
    </row>
    <row r="63" spans="2:2">
      <c r="B63" s="1" t="s">
        <v>8589</v>
      </c>
    </row>
    <row r="64" spans="2:2">
      <c r="B64" s="1"/>
    </row>
    <row r="65" spans="2:2">
      <c r="B65" s="1" t="s">
        <v>8590</v>
      </c>
    </row>
    <row r="66" spans="2:2">
      <c r="B66" s="1"/>
    </row>
    <row r="67" spans="2:2">
      <c r="B67" s="1" t="s">
        <v>8591</v>
      </c>
    </row>
    <row r="68" spans="2:2">
      <c r="B68" s="1"/>
    </row>
    <row r="69" spans="2:2">
      <c r="B69" s="1" t="s">
        <v>8592</v>
      </c>
    </row>
    <row r="70" spans="2:2">
      <c r="B70" s="1"/>
    </row>
    <row r="71" spans="2:2">
      <c r="B71" s="1" t="s">
        <v>8593</v>
      </c>
    </row>
    <row r="72" spans="2:2">
      <c r="B72" s="1"/>
    </row>
    <row r="73" spans="2:2">
      <c r="B73" s="1" t="s">
        <v>8594</v>
      </c>
    </row>
    <row r="74" spans="2:2">
      <c r="B74" s="1"/>
    </row>
    <row r="75" spans="2:2">
      <c r="B75" s="1" t="s">
        <v>8595</v>
      </c>
    </row>
    <row r="76" spans="2:2">
      <c r="B76" s="1"/>
    </row>
    <row r="77" spans="2:2">
      <c r="B77" s="1" t="s">
        <v>8596</v>
      </c>
    </row>
    <row r="78" spans="2:2">
      <c r="B78" s="1"/>
    </row>
    <row r="79" spans="2:2">
      <c r="B79" s="1" t="s">
        <v>8597</v>
      </c>
    </row>
    <row r="80" spans="2:2">
      <c r="B80" s="1"/>
    </row>
    <row r="81" spans="2:2">
      <c r="B81" s="1" t="s">
        <v>8598</v>
      </c>
    </row>
    <row r="82" spans="2:2">
      <c r="B82" s="1"/>
    </row>
    <row r="83" spans="2:2">
      <c r="B83" s="1" t="s">
        <v>8599</v>
      </c>
    </row>
    <row r="84" spans="2:2">
      <c r="B84" s="1"/>
    </row>
    <row r="85" spans="2:2">
      <c r="B85" s="1" t="s">
        <v>8600</v>
      </c>
    </row>
    <row r="86" spans="2:2">
      <c r="B86" s="1"/>
    </row>
    <row r="87" spans="2:2">
      <c r="B87" s="1" t="s">
        <v>8601</v>
      </c>
    </row>
    <row r="88" spans="2:2">
      <c r="B88" s="1"/>
    </row>
    <row r="89" spans="2:2">
      <c r="B89" s="1" t="s">
        <v>8602</v>
      </c>
    </row>
    <row r="90" spans="2:2">
      <c r="B90" s="1"/>
    </row>
    <row r="91" spans="2:2">
      <c r="B91" s="1" t="s">
        <v>8603</v>
      </c>
    </row>
    <row r="92" spans="2:2">
      <c r="B92" s="1"/>
    </row>
    <row r="93" spans="2:2">
      <c r="B93" s="1" t="s">
        <v>8604</v>
      </c>
    </row>
    <row r="94" spans="2:2">
      <c r="B94" s="1"/>
    </row>
    <row r="95" spans="2:2">
      <c r="B95" s="1" t="s">
        <v>8605</v>
      </c>
    </row>
    <row r="96" spans="2:2">
      <c r="B96" s="1"/>
    </row>
    <row r="97" spans="2:2">
      <c r="B97" s="1" t="s">
        <v>8606</v>
      </c>
    </row>
    <row r="98" spans="2:2">
      <c r="B98" s="1"/>
    </row>
    <row r="99" spans="2:2">
      <c r="B99" s="1" t="s">
        <v>8607</v>
      </c>
    </row>
    <row r="100" spans="2:2">
      <c r="B100" s="1"/>
    </row>
    <row r="101" spans="2:2">
      <c r="B101" s="1" t="s">
        <v>8608</v>
      </c>
    </row>
    <row r="102" spans="2:2">
      <c r="B102" s="1"/>
    </row>
    <row r="103" spans="2:2">
      <c r="B103" s="1" t="s">
        <v>8609</v>
      </c>
    </row>
    <row r="104" spans="2:2">
      <c r="B104" s="1"/>
    </row>
    <row r="105" spans="2:2">
      <c r="B105" s="1" t="s">
        <v>8610</v>
      </c>
    </row>
    <row r="106" spans="2:2">
      <c r="B106" s="1"/>
    </row>
    <row r="107" spans="2:2">
      <c r="B107" s="1" t="s">
        <v>8611</v>
      </c>
    </row>
    <row r="108" spans="2:2">
      <c r="B108" s="1"/>
    </row>
    <row r="109" spans="2:2">
      <c r="B109" s="1" t="s">
        <v>8612</v>
      </c>
    </row>
    <row r="110" spans="2:2">
      <c r="B110" s="1"/>
    </row>
    <row r="111" spans="2:2">
      <c r="B111" s="1" t="s">
        <v>8613</v>
      </c>
    </row>
  </sheetData>
  <mergeCells count="35">
    <mergeCell ref="BL31:CC31"/>
    <mergeCell ref="BL33:CC33"/>
    <mergeCell ref="BL35:CC35"/>
    <mergeCell ref="BL37:CC37"/>
    <mergeCell ref="BL22:CD23"/>
    <mergeCell ref="BL25:CC25"/>
    <mergeCell ref="BL27:CC27"/>
    <mergeCell ref="BL29:CC29"/>
    <mergeCell ref="U2:AH2"/>
    <mergeCell ref="A33:E33"/>
    <mergeCell ref="F33:S33"/>
    <mergeCell ref="A35:E35"/>
    <mergeCell ref="F35:S35"/>
    <mergeCell ref="A23:E23"/>
    <mergeCell ref="A27:E27"/>
    <mergeCell ref="F27:S27"/>
    <mergeCell ref="A29:E29"/>
    <mergeCell ref="F29:S29"/>
    <mergeCell ref="A31:E31"/>
    <mergeCell ref="F31:S31"/>
    <mergeCell ref="A1:S2"/>
    <mergeCell ref="A25:E25"/>
    <mergeCell ref="V24:BG25"/>
    <mergeCell ref="U4:AA4"/>
    <mergeCell ref="U6:AA6"/>
    <mergeCell ref="U8:AA8"/>
    <mergeCell ref="U10:AA10"/>
    <mergeCell ref="F39:S39"/>
    <mergeCell ref="F37:S37"/>
    <mergeCell ref="F23:S23"/>
    <mergeCell ref="F25:S25"/>
    <mergeCell ref="A4:S21"/>
    <mergeCell ref="A39:E39"/>
    <mergeCell ref="A37:E37"/>
    <mergeCell ref="V31:BG37"/>
  </mergeCells>
  <conditionalFormatting sqref="U5:AA5">
    <cfRule type="notContainsBlanks" dxfId="43" priority="32">
      <formula>LEN(TRIM(U5))&gt;0</formula>
    </cfRule>
  </conditionalFormatting>
  <conditionalFormatting sqref="U9:AA9">
    <cfRule type="notContainsBlanks" dxfId="42" priority="39">
      <formula>LEN(TRIM(U9))&gt;0</formula>
    </cfRule>
  </conditionalFormatting>
  <conditionalFormatting sqref="U8">
    <cfRule type="notContainsBlanks" dxfId="41" priority="37">
      <formula>LEN(TRIM(U8))&gt;0</formula>
    </cfRule>
  </conditionalFormatting>
  <conditionalFormatting sqref="U10">
    <cfRule type="notContainsBlanks" dxfId="40" priority="36">
      <formula>LEN(TRIM(U10))&gt;0</formula>
    </cfRule>
  </conditionalFormatting>
  <conditionalFormatting sqref="U4">
    <cfRule type="notContainsBlanks" dxfId="39" priority="35">
      <formula>LEN(TRIM(U4))&gt;0</formula>
    </cfRule>
  </conditionalFormatting>
  <conditionalFormatting sqref="U6">
    <cfRule type="notContainsBlanks" dxfId="38" priority="34">
      <formula>LEN(TRIM(U6))&gt;0</formula>
    </cfRule>
  </conditionalFormatting>
  <conditionalFormatting sqref="U7:AA7">
    <cfRule type="notContainsBlanks" dxfId="37" priority="33">
      <formula>LEN(TRIM(U7))&gt;0</formula>
    </cfRule>
  </conditionalFormatting>
  <conditionalFormatting sqref="T3:T10 B3:T3">
    <cfRule type="notContainsBlanks" dxfId="36" priority="31">
      <formula>LEN(TRIM(B3))&gt;0</formula>
    </cfRule>
  </conditionalFormatting>
  <conditionalFormatting sqref="T11:AA11">
    <cfRule type="notContainsBlanks" dxfId="35" priority="30">
      <formula>LEN(TRIM(T11))&gt;0</formula>
    </cfRule>
  </conditionalFormatting>
  <conditionalFormatting sqref="AB4:AB11">
    <cfRule type="notContainsBlanks" dxfId="34" priority="29">
      <formula>LEN(TRIM(AB4))&gt;0</formula>
    </cfRule>
  </conditionalFormatting>
  <conditionalFormatting sqref="A24:S24">
    <cfRule type="notContainsBlanks" dxfId="33" priority="27">
      <formula>LEN(TRIM(A24))&gt;0</formula>
    </cfRule>
  </conditionalFormatting>
  <conditionalFormatting sqref="A26:S26">
    <cfRule type="notContainsBlanks" dxfId="32" priority="26">
      <formula>LEN(TRIM(A26))&gt;0</formula>
    </cfRule>
  </conditionalFormatting>
  <conditionalFormatting sqref="T29 BL30:BN30">
    <cfRule type="notContainsBlanks" dxfId="31" priority="19">
      <formula>LEN(TRIM(T29))&gt;0</formula>
    </cfRule>
  </conditionalFormatting>
  <conditionalFormatting sqref="T1:T2 AJ1:AJ2">
    <cfRule type="notContainsBlanks" dxfId="30" priority="25">
      <formula>LEN(TRIM(T1))&gt;0</formula>
    </cfRule>
  </conditionalFormatting>
  <conditionalFormatting sqref="AC4:AJ11 AE12:AJ13 AE14:AI21 AJ3">
    <cfRule type="notContainsBlanks" dxfId="29" priority="24">
      <formula>LEN(TRIM(AC3))&gt;0</formula>
    </cfRule>
  </conditionalFormatting>
  <conditionalFormatting sqref="T13:AD20 U21:AD21 T12 AB12:AD12">
    <cfRule type="notContainsBlanks" dxfId="28" priority="23">
      <formula>LEN(TRIM(T12))&gt;0</formula>
    </cfRule>
  </conditionalFormatting>
  <conditionalFormatting sqref="AJ14:BJ20 AJ21:BH21 BJ21">
    <cfRule type="notContainsBlanks" dxfId="27" priority="22">
      <formula>LEN(TRIM(AJ14))&gt;0</formula>
    </cfRule>
  </conditionalFormatting>
  <conditionalFormatting sqref="BK1:BN21 BL24:BN24 BL26:BN26 BL28:BN28">
    <cfRule type="notContainsBlanks" dxfId="26" priority="21">
      <formula>LEN(TRIM(BK1))&gt;0</formula>
    </cfRule>
  </conditionalFormatting>
  <conditionalFormatting sqref="BO1:CC21 BO24:CC24 BO26:CC26 BO28:CC28 BO30:CC30 BO32:CC32 BO34:CC34 BO36:CC36 BO38:CC40">
    <cfRule type="notContainsBlanks" dxfId="25" priority="12">
      <formula>LEN(TRIM(BO1))&gt;0</formula>
    </cfRule>
  </conditionalFormatting>
  <conditionalFormatting sqref="T21 A28:T28 T23:T28">
    <cfRule type="notContainsBlanks" dxfId="24" priority="20">
      <formula>LEN(TRIM(A21))&gt;0</formula>
    </cfRule>
  </conditionalFormatting>
  <conditionalFormatting sqref="A30:T30">
    <cfRule type="notContainsBlanks" dxfId="23" priority="18">
      <formula>LEN(TRIM(A30))&gt;0</formula>
    </cfRule>
  </conditionalFormatting>
  <conditionalFormatting sqref="A32:S32">
    <cfRule type="notContainsBlanks" dxfId="22" priority="17">
      <formula>LEN(TRIM(A32))&gt;0</formula>
    </cfRule>
  </conditionalFormatting>
  <conditionalFormatting sqref="A34:S34">
    <cfRule type="notContainsBlanks" dxfId="21" priority="16">
      <formula>LEN(TRIM(A34))&gt;0</formula>
    </cfRule>
  </conditionalFormatting>
  <conditionalFormatting sqref="A40:S40">
    <cfRule type="notContainsBlanks" dxfId="20" priority="15">
      <formula>LEN(TRIM(A40))&gt;0</formula>
    </cfRule>
  </conditionalFormatting>
  <conditionalFormatting sqref="A22:T22">
    <cfRule type="notContainsBlanks" dxfId="19" priority="14">
      <formula>LEN(TRIM(A22))&gt;0</formula>
    </cfRule>
  </conditionalFormatting>
  <conditionalFormatting sqref="A36:T36 T40:BN40 W39:BN39 T29:BI29 T30:T37 BI30 BI32:BN32 BI31:BK31 BI34:BN34 BI33:BK33 BI36:BN36 BI35:BK35 BI38:BN38 BI37:BK37">
    <cfRule type="notContainsBlanks" dxfId="18" priority="13">
      <formula>LEN(TRIM(A29))&gt;0</formula>
    </cfRule>
  </conditionalFormatting>
  <conditionalFormatting sqref="BK22:BK30">
    <cfRule type="notContainsBlanks" dxfId="17" priority="11">
      <formula>LEN(TRIM(BK22))&gt;0</formula>
    </cfRule>
  </conditionalFormatting>
  <conditionalFormatting sqref="BJ22:BJ30">
    <cfRule type="notContainsBlanks" dxfId="16" priority="10">
      <formula>LEN(TRIM(BJ22))&gt;0</formula>
    </cfRule>
  </conditionalFormatting>
  <conditionalFormatting sqref="A38:T38 T39:V39">
    <cfRule type="notContainsBlanks" dxfId="15" priority="8">
      <formula>LEN(TRIM(A38))&gt;0</formula>
    </cfRule>
  </conditionalFormatting>
  <conditionalFormatting sqref="A3">
    <cfRule type="notContainsBlanks" dxfId="14" priority="7">
      <formula>LEN(TRIM(A3))&gt;0</formula>
    </cfRule>
  </conditionalFormatting>
  <conditionalFormatting sqref="BI21:BI28">
    <cfRule type="notContainsBlanks" dxfId="13" priority="6">
      <formula>LEN(TRIM(BI21))&gt;0</formula>
    </cfRule>
  </conditionalFormatting>
  <conditionalFormatting sqref="U12:AA12">
    <cfRule type="notContainsBlanks" dxfId="12" priority="4">
      <formula>LEN(TRIM(U12))&gt;0</formula>
    </cfRule>
  </conditionalFormatting>
  <conditionalFormatting sqref="U1:AI1 U3:AI3 AI2">
    <cfRule type="notContainsBlanks" dxfId="11" priority="1">
      <formula>LEN(TRIM(U1))&gt;0</formula>
    </cfRule>
  </conditionalFormatting>
  <hyperlinks>
    <hyperlink ref="F23" r:id="rId1" display="https://cyborgsandmages.wordpress.com/" xr:uid="{9C3D266E-BEAD-4294-BC31-249D354F0012}"/>
    <hyperlink ref="F27" r:id="rId2" display="https://www.twitch.tv/palikhov" xr:uid="{5D53876B-F6F8-49BF-89F1-462A0A9D8841}"/>
    <hyperlink ref="F29" r:id="rId3" display="https://www.youtube.com/c/%D0%90%D0%BD%D1%82%D0%BE%D0%BD%D0%9F%D0%B0%D0%BB%D0%B8%D1%85%D0%BE%D0%B2" xr:uid="{8FC862AF-55D5-470A-950B-C4D4ED72F29F}"/>
    <hyperlink ref="F31" r:id="rId4" display="https://www.facebook.com/groups/cyborgsandmages/" xr:uid="{7678EA10-433C-47A9-94E2-7B8B32F21B24}"/>
    <hyperlink ref="V23" r:id="rId5" display="  Original map made by Alfons H. and used with permission  |  Source: " xr:uid="{D741FE41-3F56-42F5-B450-230EBD75ED16}"/>
    <hyperlink ref="AQ26" r:id="rId6" xr:uid="{AD814CFC-33AD-4976-BDE8-B27E9535741F}"/>
    <hyperlink ref="F39" r:id="rId7" display="a.v.palikhov@hotmail.com" xr:uid="{3A629C4E-D80D-4C07-AF34-B40281242792}"/>
    <hyperlink ref="F39:S39" r:id="rId8" display="IF YOU WANT WRITE LETTER TO US - THEN DO IT!" xr:uid="{774674ED-907C-4DE0-BD05-7D3147879BCB}"/>
  </hyperlinks>
  <pageMargins left="0.7" right="0.7" top="0.75" bottom="0.75" header="0.3" footer="0.3"/>
  <drawing r:id="rId9"/>
  <legacyDrawing r:id="rId1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A13D-1407-41DA-9C04-716318347227}">
  <sheetPr codeName="Аркуш1"/>
  <dimension ref="A1"/>
  <sheetViews>
    <sheetView workbookViewId="0"/>
  </sheetViews>
  <sheetFormatPr defaultRowHeight="14.25"/>
  <cols>
    <col min="1" max="1" width="3.5546875" style="591" customWidth="1"/>
    <col min="2" max="16384" width="8.88671875" style="591"/>
  </cols>
  <sheetData/>
  <pageMargins left="0.7" right="0.7" top="0.75" bottom="0.75" header="0.3" footer="0.3"/>
  <pageSetup paperSize="9" orientation="portrait" horizontalDpi="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6AB5-3FD0-40AB-A106-D00887C17B3E}">
  <sheetPr codeName="Аркуш46">
    <tabColor rgb="FFFFFF00"/>
  </sheetPr>
  <dimension ref="A1:O149"/>
  <sheetViews>
    <sheetView zoomScaleNormal="100" workbookViewId="0">
      <selection activeCell="I18" sqref="I18"/>
    </sheetView>
  </sheetViews>
  <sheetFormatPr defaultRowHeight="14.25"/>
  <cols>
    <col min="2" max="2" width="9.21875" customWidth="1"/>
    <col min="12" max="12" width="9.33203125" customWidth="1"/>
    <col min="14" max="15" width="10.77734375" customWidth="1"/>
  </cols>
  <sheetData>
    <row r="1" spans="1:15">
      <c r="A1" t="s">
        <v>8490</v>
      </c>
      <c r="L1">
        <v>30</v>
      </c>
      <c r="N1">
        <v>120</v>
      </c>
    </row>
    <row r="2" spans="1:15">
      <c r="A2" t="s">
        <v>8522</v>
      </c>
      <c r="H2" t="s">
        <v>1905</v>
      </c>
      <c r="I2" t="s">
        <v>14619</v>
      </c>
      <c r="J2" t="s">
        <v>1909</v>
      </c>
      <c r="K2" t="s">
        <v>18230</v>
      </c>
      <c r="M2" t="s">
        <v>1230</v>
      </c>
    </row>
    <row r="3" spans="1:15">
      <c r="H3">
        <v>1</v>
      </c>
      <c r="I3">
        <f>H3/1.732</f>
        <v>0.57736720554272514</v>
      </c>
      <c r="J3">
        <f>2.598*I3^2</f>
        <v>0.86605080831408765</v>
      </c>
      <c r="K3">
        <f>640*J3</f>
        <v>554.27251732101604</v>
      </c>
      <c r="L3">
        <f>K3/2</f>
        <v>277.13625866050802</v>
      </c>
      <c r="M3">
        <f t="shared" ref="M3:M8" si="0">$L$1*K3</f>
        <v>16628.17551963048</v>
      </c>
      <c r="N3">
        <f>$N$1*J3</f>
        <v>103.92609699769052</v>
      </c>
      <c r="O3">
        <f>N3/4</f>
        <v>25.98152424942263</v>
      </c>
    </row>
    <row r="4" spans="1:15">
      <c r="H4">
        <v>2</v>
      </c>
      <c r="I4" s="1258">
        <f t="shared" ref="I4:I8" si="1">H4/1.732</f>
        <v>1.1547344110854503</v>
      </c>
      <c r="J4" s="1258">
        <f t="shared" ref="J4:J8" si="2">2.598*I4^2</f>
        <v>3.4642032332563506</v>
      </c>
      <c r="K4" s="1258">
        <f t="shared" ref="K4:K8" si="3">640*J4</f>
        <v>2217.0900692840642</v>
      </c>
      <c r="L4" s="1258">
        <f t="shared" ref="L4:L8" si="4">K4/2</f>
        <v>1108.5450346420321</v>
      </c>
      <c r="M4" s="1258">
        <f t="shared" si="0"/>
        <v>66512.702078521921</v>
      </c>
      <c r="N4" s="1258">
        <f t="shared" ref="N4:N8" si="5">$N$1*J4</f>
        <v>415.70438799076209</v>
      </c>
      <c r="O4" s="1258">
        <f t="shared" ref="O4:O8" si="6">N4/4</f>
        <v>103.92609699769052</v>
      </c>
    </row>
    <row r="5" spans="1:15">
      <c r="H5">
        <v>3</v>
      </c>
      <c r="I5" s="1258">
        <f t="shared" si="1"/>
        <v>1.7321016166281755</v>
      </c>
      <c r="J5" s="1258">
        <f t="shared" si="2"/>
        <v>7.7944572748267893</v>
      </c>
      <c r="K5" s="1258">
        <f t="shared" si="3"/>
        <v>4988.4526558891448</v>
      </c>
      <c r="L5" s="1258">
        <f t="shared" si="4"/>
        <v>2494.2263279445724</v>
      </c>
      <c r="M5" s="1258">
        <f t="shared" si="0"/>
        <v>149653.57967667433</v>
      </c>
      <c r="N5" s="1258">
        <f t="shared" si="5"/>
        <v>935.33487297921477</v>
      </c>
      <c r="O5" s="1258">
        <f t="shared" si="6"/>
        <v>233.83371824480369</v>
      </c>
    </row>
    <row r="6" spans="1:15">
      <c r="H6">
        <v>4</v>
      </c>
      <c r="I6" s="1258">
        <f t="shared" si="1"/>
        <v>2.3094688221709005</v>
      </c>
      <c r="J6" s="1258">
        <f t="shared" si="2"/>
        <v>13.856812933025402</v>
      </c>
      <c r="K6" s="1258">
        <f t="shared" si="3"/>
        <v>8868.3602771362566</v>
      </c>
      <c r="L6" s="1258">
        <f t="shared" si="4"/>
        <v>4434.1801385681283</v>
      </c>
      <c r="M6" s="1258">
        <f t="shared" si="0"/>
        <v>266050.80831408768</v>
      </c>
      <c r="N6" s="1258">
        <f t="shared" si="5"/>
        <v>1662.8175519630483</v>
      </c>
      <c r="O6" s="1258">
        <f t="shared" si="6"/>
        <v>415.70438799076209</v>
      </c>
    </row>
    <row r="7" spans="1:15">
      <c r="H7">
        <v>5</v>
      </c>
      <c r="I7" s="1258">
        <f t="shared" si="1"/>
        <v>2.8868360277136258</v>
      </c>
      <c r="J7" s="1258">
        <f t="shared" si="2"/>
        <v>21.651270207852193</v>
      </c>
      <c r="K7" s="1258">
        <f t="shared" si="3"/>
        <v>13856.812933025403</v>
      </c>
      <c r="L7" s="1258">
        <f t="shared" si="4"/>
        <v>6928.4064665127016</v>
      </c>
      <c r="M7" s="1258">
        <f t="shared" si="0"/>
        <v>415704.38799076207</v>
      </c>
      <c r="N7" s="1258">
        <f t="shared" si="5"/>
        <v>2598.1524249422632</v>
      </c>
      <c r="O7" s="1258">
        <f t="shared" si="6"/>
        <v>649.53810623556581</v>
      </c>
    </row>
    <row r="8" spans="1:15">
      <c r="H8">
        <v>6</v>
      </c>
      <c r="I8" s="1258">
        <f t="shared" si="1"/>
        <v>3.464203233256351</v>
      </c>
      <c r="J8" s="1258">
        <f t="shared" si="2"/>
        <v>31.177829099307157</v>
      </c>
      <c r="K8" s="1258">
        <f t="shared" si="3"/>
        <v>19953.810623556579</v>
      </c>
      <c r="L8" s="1258">
        <f t="shared" si="4"/>
        <v>9976.9053117782896</v>
      </c>
      <c r="M8" s="1258">
        <f t="shared" si="0"/>
        <v>598614.31870669732</v>
      </c>
      <c r="N8" s="564">
        <f t="shared" si="5"/>
        <v>3741.3394919168591</v>
      </c>
      <c r="O8" s="564">
        <f t="shared" si="6"/>
        <v>935.33487297921477</v>
      </c>
    </row>
    <row r="12" spans="1:15">
      <c r="I12">
        <v>935</v>
      </c>
      <c r="J12">
        <v>3750</v>
      </c>
    </row>
    <row r="15" spans="1:15">
      <c r="E15">
        <v>1</v>
      </c>
      <c r="F15" s="564">
        <f>2600000/92</f>
        <v>28260.869565217392</v>
      </c>
    </row>
    <row r="16" spans="1:15">
      <c r="E16">
        <v>2</v>
      </c>
      <c r="F16" s="564">
        <f>1950000/87</f>
        <v>22413.793103448275</v>
      </c>
    </row>
    <row r="17" spans="3:11">
      <c r="E17">
        <v>3</v>
      </c>
      <c r="F17" s="564">
        <f>1400000/118</f>
        <v>11864.406779661016</v>
      </c>
    </row>
    <row r="18" spans="3:11" ht="20.25">
      <c r="I18" s="1282" t="s">
        <v>18231</v>
      </c>
      <c r="J18" t="s">
        <v>18232</v>
      </c>
      <c r="K18" t="s">
        <v>18233</v>
      </c>
    </row>
    <row r="26" spans="3:11">
      <c r="C26" s="3" t="s">
        <v>12071</v>
      </c>
    </row>
    <row r="27" spans="3:11">
      <c r="C27" s="3" t="s">
        <v>12085</v>
      </c>
    </row>
    <row r="31" spans="3:11">
      <c r="I31" t="s">
        <v>11965</v>
      </c>
    </row>
    <row r="32" spans="3:11">
      <c r="D32" t="s">
        <v>18235</v>
      </c>
      <c r="F32" t="s">
        <v>18237</v>
      </c>
      <c r="I32" t="s">
        <v>11966</v>
      </c>
    </row>
    <row r="33" spans="2:10">
      <c r="B33" t="s">
        <v>18239</v>
      </c>
      <c r="C33" t="s">
        <v>18234</v>
      </c>
      <c r="D33" s="522" t="s">
        <v>18236</v>
      </c>
      <c r="E33">
        <f ca="1">RANDBETWEEN(3,6)</f>
        <v>4</v>
      </c>
      <c r="F33" t="s">
        <v>18238</v>
      </c>
      <c r="G33">
        <f ca="1">RANDBETWEEN(1,4)*E33</f>
        <v>12</v>
      </c>
      <c r="I33" t="s">
        <v>11967</v>
      </c>
    </row>
    <row r="34" spans="2:10" ht="15">
      <c r="B34" s="1259" t="s">
        <v>18240</v>
      </c>
      <c r="C34" s="1284" t="s">
        <v>18244</v>
      </c>
      <c r="D34" s="1283" t="s">
        <v>18241</v>
      </c>
      <c r="E34" s="1258">
        <f ca="1">RANDBETWEEN(4,7)</f>
        <v>4</v>
      </c>
      <c r="F34" t="s">
        <v>18242</v>
      </c>
      <c r="G34" s="1258">
        <f ca="1">(RANDBETWEEN(1,6)+2)*E34</f>
        <v>12</v>
      </c>
      <c r="I34" t="s">
        <v>11968</v>
      </c>
    </row>
    <row r="35" spans="2:10" ht="15">
      <c r="B35" s="1259" t="s">
        <v>18243</v>
      </c>
      <c r="C35" s="1284" t="s">
        <v>18245</v>
      </c>
      <c r="E35" s="1258">
        <f ca="1">RANDBETWEEN(4,7)</f>
        <v>5</v>
      </c>
      <c r="F35" t="s">
        <v>18246</v>
      </c>
      <c r="G35" s="1258">
        <f ca="1">(RANDBETWEEN(1,8)+4)*E35</f>
        <v>35</v>
      </c>
      <c r="I35" t="s">
        <v>11969</v>
      </c>
    </row>
    <row r="36" spans="2:10">
      <c r="I36" t="s">
        <v>11970</v>
      </c>
    </row>
    <row r="37" spans="2:10">
      <c r="I37" t="s">
        <v>11971</v>
      </c>
    </row>
    <row r="38" spans="2:10">
      <c r="I38" t="s">
        <v>10358</v>
      </c>
    </row>
    <row r="39" spans="2:10">
      <c r="I39" t="s">
        <v>11972</v>
      </c>
    </row>
    <row r="40" spans="2:10">
      <c r="I40" t="s">
        <v>11973</v>
      </c>
      <c r="J40" t="s">
        <v>10376</v>
      </c>
    </row>
    <row r="41" spans="2:10">
      <c r="I41" t="s">
        <v>10359</v>
      </c>
      <c r="J41" t="s">
        <v>10377</v>
      </c>
    </row>
    <row r="42" spans="2:10">
      <c r="I42" t="s">
        <v>11974</v>
      </c>
      <c r="J42" t="s">
        <v>10378</v>
      </c>
    </row>
    <row r="43" spans="2:10">
      <c r="I43" t="s">
        <v>11975</v>
      </c>
    </row>
    <row r="44" spans="2:10">
      <c r="I44" t="s">
        <v>10362</v>
      </c>
    </row>
    <row r="45" spans="2:10">
      <c r="I45" t="s">
        <v>11976</v>
      </c>
      <c r="J45" t="s">
        <v>10392</v>
      </c>
    </row>
    <row r="46" spans="2:10">
      <c r="I46" t="s">
        <v>11977</v>
      </c>
      <c r="J46" t="s">
        <v>10375</v>
      </c>
    </row>
    <row r="47" spans="2:10">
      <c r="I47" t="s">
        <v>10365</v>
      </c>
    </row>
    <row r="48" spans="2:10">
      <c r="I48" t="s">
        <v>10366</v>
      </c>
      <c r="J48" t="s">
        <v>10380</v>
      </c>
    </row>
    <row r="49" spans="9:10">
      <c r="I49" t="s">
        <v>11978</v>
      </c>
      <c r="J49" t="s">
        <v>10381</v>
      </c>
    </row>
    <row r="50" spans="9:10">
      <c r="I50" t="s">
        <v>11979</v>
      </c>
      <c r="J50" t="s">
        <v>10382</v>
      </c>
    </row>
    <row r="51" spans="9:10">
      <c r="I51" t="s">
        <v>11980</v>
      </c>
      <c r="J51" t="s">
        <v>10380</v>
      </c>
    </row>
    <row r="52" spans="9:10">
      <c r="I52" t="s">
        <v>11981</v>
      </c>
      <c r="J52" t="s">
        <v>10383</v>
      </c>
    </row>
    <row r="53" spans="9:10">
      <c r="I53" t="s">
        <v>11982</v>
      </c>
      <c r="J53" t="s">
        <v>10384</v>
      </c>
    </row>
    <row r="54" spans="9:10">
      <c r="I54" t="s">
        <v>11983</v>
      </c>
      <c r="J54" t="s">
        <v>10380</v>
      </c>
    </row>
    <row r="55" spans="9:10">
      <c r="I55" t="s">
        <v>11984</v>
      </c>
      <c r="J55" t="s">
        <v>10385</v>
      </c>
    </row>
    <row r="56" spans="9:10">
      <c r="I56" t="s">
        <v>11981</v>
      </c>
      <c r="J56" t="s">
        <v>10386</v>
      </c>
    </row>
    <row r="57" spans="9:10">
      <c r="I57" t="s">
        <v>11982</v>
      </c>
      <c r="J57" t="s">
        <v>10380</v>
      </c>
    </row>
    <row r="58" spans="9:10">
      <c r="I58" t="s">
        <v>11985</v>
      </c>
      <c r="J58" t="s">
        <v>10387</v>
      </c>
    </row>
    <row r="59" spans="9:10">
      <c r="I59" t="s">
        <v>11986</v>
      </c>
      <c r="J59" t="s">
        <v>10388</v>
      </c>
    </row>
    <row r="60" spans="9:10">
      <c r="I60" t="s">
        <v>11987</v>
      </c>
      <c r="J60" t="s">
        <v>10380</v>
      </c>
    </row>
    <row r="61" spans="9:10">
      <c r="I61" t="s">
        <v>11988</v>
      </c>
      <c r="J61" t="s">
        <v>10389</v>
      </c>
    </row>
    <row r="62" spans="9:10">
      <c r="I62" t="s">
        <v>11989</v>
      </c>
      <c r="J62" t="s">
        <v>10390</v>
      </c>
    </row>
    <row r="63" spans="9:10">
      <c r="I63" t="s">
        <v>11990</v>
      </c>
    </row>
    <row r="64" spans="9:10">
      <c r="I64" t="s">
        <v>11991</v>
      </c>
    </row>
    <row r="65" spans="9:9">
      <c r="I65" t="s">
        <v>11992</v>
      </c>
    </row>
    <row r="66" spans="9:9">
      <c r="I66" t="s">
        <v>11993</v>
      </c>
    </row>
    <row r="67" spans="9:9">
      <c r="I67" t="s">
        <v>11994</v>
      </c>
    </row>
    <row r="68" spans="9:9">
      <c r="I68" t="s">
        <v>11995</v>
      </c>
    </row>
    <row r="69" spans="9:9">
      <c r="I69" t="s">
        <v>11996</v>
      </c>
    </row>
    <row r="70" spans="9:9">
      <c r="I70" t="s">
        <v>11997</v>
      </c>
    </row>
    <row r="71" spans="9:9">
      <c r="I71" t="s">
        <v>10367</v>
      </c>
    </row>
    <row r="72" spans="9:9">
      <c r="I72" t="s">
        <v>11998</v>
      </c>
    </row>
    <row r="73" spans="9:9">
      <c r="I73" t="s">
        <v>11999</v>
      </c>
    </row>
    <row r="74" spans="9:9">
      <c r="I74" t="s">
        <v>10369</v>
      </c>
    </row>
    <row r="75" spans="9:9">
      <c r="I75" t="s">
        <v>12000</v>
      </c>
    </row>
    <row r="76" spans="9:9">
      <c r="I76" t="s">
        <v>12001</v>
      </c>
    </row>
    <row r="77" spans="9:9">
      <c r="I77" t="s">
        <v>10370</v>
      </c>
    </row>
    <row r="78" spans="9:9">
      <c r="I78" t="s">
        <v>12002</v>
      </c>
    </row>
    <row r="79" spans="9:9">
      <c r="I79" t="s">
        <v>12003</v>
      </c>
    </row>
    <row r="80" spans="9:9">
      <c r="I80" t="s">
        <v>10371</v>
      </c>
    </row>
    <row r="81" spans="9:9">
      <c r="I81" t="s">
        <v>12004</v>
      </c>
    </row>
    <row r="82" spans="9:9">
      <c r="I82" t="s">
        <v>12005</v>
      </c>
    </row>
    <row r="83" spans="9:9">
      <c r="I83" t="s">
        <v>10372</v>
      </c>
    </row>
    <row r="84" spans="9:9">
      <c r="I84" t="s">
        <v>12006</v>
      </c>
    </row>
    <row r="85" spans="9:9">
      <c r="I85" t="s">
        <v>12007</v>
      </c>
    </row>
    <row r="86" spans="9:9">
      <c r="I86" t="s">
        <v>12008</v>
      </c>
    </row>
    <row r="87" spans="9:9">
      <c r="I87" t="s">
        <v>12009</v>
      </c>
    </row>
    <row r="88" spans="9:9">
      <c r="I88" t="s">
        <v>12010</v>
      </c>
    </row>
    <row r="89" spans="9:9">
      <c r="I89" t="s">
        <v>12011</v>
      </c>
    </row>
    <row r="90" spans="9:9">
      <c r="I90" t="s">
        <v>12012</v>
      </c>
    </row>
    <row r="91" spans="9:9">
      <c r="I91" t="s">
        <v>12013</v>
      </c>
    </row>
    <row r="92" spans="9:9">
      <c r="I92" t="s">
        <v>12014</v>
      </c>
    </row>
    <row r="93" spans="9:9">
      <c r="I93" t="s">
        <v>12015</v>
      </c>
    </row>
    <row r="94" spans="9:9">
      <c r="I94" t="s">
        <v>12016</v>
      </c>
    </row>
    <row r="95" spans="9:9">
      <c r="I95" t="s">
        <v>12017</v>
      </c>
    </row>
    <row r="96" spans="9:9">
      <c r="I96" t="s">
        <v>12018</v>
      </c>
    </row>
    <row r="97" spans="9:9">
      <c r="I97" t="s">
        <v>12019</v>
      </c>
    </row>
    <row r="98" spans="9:9">
      <c r="I98" t="s">
        <v>12020</v>
      </c>
    </row>
    <row r="99" spans="9:9">
      <c r="I99" t="s">
        <v>12021</v>
      </c>
    </row>
    <row r="100" spans="9:9">
      <c r="I100" t="s">
        <v>12022</v>
      </c>
    </row>
    <row r="101" spans="9:9">
      <c r="I101" t="s">
        <v>12023</v>
      </c>
    </row>
    <row r="102" spans="9:9">
      <c r="I102" t="s">
        <v>12024</v>
      </c>
    </row>
    <row r="103" spans="9:9">
      <c r="I103" t="s">
        <v>12025</v>
      </c>
    </row>
    <row r="104" spans="9:9">
      <c r="I104" t="s">
        <v>12026</v>
      </c>
    </row>
    <row r="105" spans="9:9">
      <c r="I105" t="s">
        <v>12027</v>
      </c>
    </row>
    <row r="106" spans="9:9">
      <c r="I106" t="s">
        <v>12028</v>
      </c>
    </row>
    <row r="107" spans="9:9">
      <c r="I107" t="s">
        <v>12029</v>
      </c>
    </row>
    <row r="108" spans="9:9">
      <c r="I108" t="s">
        <v>12030</v>
      </c>
    </row>
    <row r="109" spans="9:9">
      <c r="I109" t="s">
        <v>12031</v>
      </c>
    </row>
    <row r="110" spans="9:9">
      <c r="I110" t="s">
        <v>12032</v>
      </c>
    </row>
    <row r="111" spans="9:9">
      <c r="I111" t="s">
        <v>12033</v>
      </c>
    </row>
    <row r="112" spans="9:9">
      <c r="I112" t="s">
        <v>12034</v>
      </c>
    </row>
    <row r="113" spans="9:9">
      <c r="I113" t="s">
        <v>12035</v>
      </c>
    </row>
    <row r="114" spans="9:9">
      <c r="I114" t="s">
        <v>12036</v>
      </c>
    </row>
    <row r="115" spans="9:9">
      <c r="I115" t="s">
        <v>12037</v>
      </c>
    </row>
    <row r="116" spans="9:9">
      <c r="I116" t="s">
        <v>12038</v>
      </c>
    </row>
    <row r="117" spans="9:9">
      <c r="I117" t="s">
        <v>12039</v>
      </c>
    </row>
    <row r="118" spans="9:9">
      <c r="I118" t="s">
        <v>12040</v>
      </c>
    </row>
    <row r="119" spans="9:9">
      <c r="I119" t="s">
        <v>12029</v>
      </c>
    </row>
    <row r="120" spans="9:9">
      <c r="I120" t="s">
        <v>12041</v>
      </c>
    </row>
    <row r="121" spans="9:9">
      <c r="I121" t="s">
        <v>12042</v>
      </c>
    </row>
    <row r="122" spans="9:9">
      <c r="I122" t="s">
        <v>12043</v>
      </c>
    </row>
    <row r="123" spans="9:9">
      <c r="I123" t="s">
        <v>12044</v>
      </c>
    </row>
    <row r="124" spans="9:9">
      <c r="I124" t="s">
        <v>12045</v>
      </c>
    </row>
    <row r="125" spans="9:9">
      <c r="I125" t="s">
        <v>12046</v>
      </c>
    </row>
    <row r="126" spans="9:9">
      <c r="I126" t="s">
        <v>12047</v>
      </c>
    </row>
    <row r="127" spans="9:9">
      <c r="I127" t="s">
        <v>12048</v>
      </c>
    </row>
    <row r="128" spans="9:9">
      <c r="I128" t="s">
        <v>12049</v>
      </c>
    </row>
    <row r="129" spans="9:9">
      <c r="I129" t="s">
        <v>12050</v>
      </c>
    </row>
    <row r="130" spans="9:9">
      <c r="I130" t="s">
        <v>12051</v>
      </c>
    </row>
    <row r="131" spans="9:9">
      <c r="I131" t="s">
        <v>12052</v>
      </c>
    </row>
    <row r="132" spans="9:9">
      <c r="I132" t="s">
        <v>12053</v>
      </c>
    </row>
    <row r="133" spans="9:9">
      <c r="I133" t="s">
        <v>12054</v>
      </c>
    </row>
    <row r="134" spans="9:9">
      <c r="I134" t="s">
        <v>12055</v>
      </c>
    </row>
    <row r="135" spans="9:9">
      <c r="I135" t="s">
        <v>12056</v>
      </c>
    </row>
    <row r="136" spans="9:9">
      <c r="I136" t="s">
        <v>12053</v>
      </c>
    </row>
    <row r="137" spans="9:9">
      <c r="I137" t="s">
        <v>12057</v>
      </c>
    </row>
    <row r="138" spans="9:9">
      <c r="I138" t="s">
        <v>12058</v>
      </c>
    </row>
    <row r="139" spans="9:9">
      <c r="I139" t="s">
        <v>12059</v>
      </c>
    </row>
    <row r="140" spans="9:9">
      <c r="I140" t="s">
        <v>12060</v>
      </c>
    </row>
    <row r="141" spans="9:9">
      <c r="I141" t="s">
        <v>12061</v>
      </c>
    </row>
    <row r="142" spans="9:9">
      <c r="I142" t="s">
        <v>12062</v>
      </c>
    </row>
    <row r="143" spans="9:9">
      <c r="I143" t="s">
        <v>12063</v>
      </c>
    </row>
    <row r="144" spans="9:9">
      <c r="I144" t="s">
        <v>12064</v>
      </c>
    </row>
    <row r="145" spans="9:9">
      <c r="I145" t="s">
        <v>12065</v>
      </c>
    </row>
    <row r="146" spans="9:9">
      <c r="I146" t="s">
        <v>12066</v>
      </c>
    </row>
    <row r="147" spans="9:9">
      <c r="I147" t="s">
        <v>12067</v>
      </c>
    </row>
    <row r="148" spans="9:9">
      <c r="I148" t="s">
        <v>12068</v>
      </c>
    </row>
    <row r="149" spans="9:9">
      <c r="I149" t="s">
        <v>12069</v>
      </c>
    </row>
  </sheetData>
  <hyperlinks>
    <hyperlink ref="C26" r:id="rId1" display="http://web.archive.org/web/20150131011913/http:/oracle.wizards.com/scripts/wa.exe?A2=ind0603c&amp;L=realms-l&amp;D=1&amp;F=&amp;S=&amp;P=1264" xr:uid="{184BE96C-7821-47D7-8C4A-194309B97E4F}"/>
    <hyperlink ref="C27" r:id="rId2" display="http://web.archive.org/web/20150131011912/http:/oracle.wizards.com/scripts/wa.exe?A2=ind0603c&amp;L=realms-l&amp;D=1&amp;F=&amp;S=&amp;P=737" xr:uid="{6860F87F-EE04-4E18-AB3D-19FE102ADD5E}"/>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51</vt:i4>
      </vt:variant>
      <vt:variant>
        <vt:lpstr>Іменовані діапазони</vt:lpstr>
      </vt:variant>
      <vt:variant>
        <vt:i4>46</vt:i4>
      </vt:variant>
    </vt:vector>
  </HeadingPairs>
  <TitlesOfParts>
    <vt:vector size="97" baseType="lpstr">
      <vt:lpstr>CALENDAR1493</vt:lpstr>
      <vt:lpstr>TOC</vt:lpstr>
      <vt:lpstr>Weather</vt:lpstr>
      <vt:lpstr>Journal</vt:lpstr>
      <vt:lpstr>PARTY</vt:lpstr>
      <vt:lpstr>Level Tables</vt:lpstr>
      <vt:lpstr>NPCs (2)</vt:lpstr>
      <vt:lpstr>Prices</vt:lpstr>
      <vt:lpstr>Hexgen data</vt:lpstr>
      <vt:lpstr>WORLDGRAPHER</vt:lpstr>
      <vt:lpstr>SUBSYSTEM</vt:lpstr>
      <vt:lpstr>HIRELINGS</vt:lpstr>
      <vt:lpstr>SPECIAL NPCS</vt:lpstr>
      <vt:lpstr>CAMP</vt:lpstr>
      <vt:lpstr>Аркуш2</vt:lpstr>
      <vt:lpstr>Аркуш2 (2)</vt:lpstr>
      <vt:lpstr>TOP SHEET</vt:lpstr>
      <vt:lpstr>MAGIC ITEMS</vt:lpstr>
      <vt:lpstr>TREASURE</vt:lpstr>
      <vt:lpstr>Kvoth</vt:lpstr>
      <vt:lpstr>MonstersNPCs</vt:lpstr>
      <vt:lpstr>Basic Price Sheet</vt:lpstr>
      <vt:lpstr>Icons</vt:lpstr>
      <vt:lpstr>LootGen</vt:lpstr>
      <vt:lpstr>NPCs</vt:lpstr>
      <vt:lpstr>Sheet1</vt:lpstr>
      <vt:lpstr>Аркуш3</vt:lpstr>
      <vt:lpstr>GM SCREEN</vt:lpstr>
      <vt:lpstr>Аркуш1</vt:lpstr>
      <vt:lpstr>GM LINKS</vt:lpstr>
      <vt:lpstr>Аркуш4</vt:lpstr>
      <vt:lpstr>Аркуш5</vt:lpstr>
      <vt:lpstr>RATING SYSTEM</vt:lpstr>
      <vt:lpstr>SOCIALENCOUNTERS-ARGUMENTS</vt:lpstr>
      <vt:lpstr>ORGANIZATIONS</vt:lpstr>
      <vt:lpstr>Noble Houses</vt:lpstr>
      <vt:lpstr>TIMELINE</vt:lpstr>
      <vt:lpstr>Cormyr Encounters</vt:lpstr>
      <vt:lpstr>SETTLEMENTS</vt:lpstr>
      <vt:lpstr>DISTANCES CORMYR</vt:lpstr>
      <vt:lpstr>Purple Dragons</vt:lpstr>
      <vt:lpstr>DIAGRAMS</vt:lpstr>
      <vt:lpstr>D PurpleDragons</vt:lpstr>
      <vt:lpstr>War Wizards</vt:lpstr>
      <vt:lpstr>Blue Dragons</vt:lpstr>
      <vt:lpstr>D BlueDragons</vt:lpstr>
      <vt:lpstr>Royal Court</vt:lpstr>
      <vt:lpstr>CONFIG000</vt:lpstr>
      <vt:lpstr>CREDIT000</vt:lpstr>
      <vt:lpstr>OGL</vt:lpstr>
      <vt:lpstr>Sources</vt:lpstr>
      <vt:lpstr>___INDEX_SHEET___ASAP_Utilities</vt:lpstr>
      <vt:lpstr>SUBSYSTEM!_Toc25198295</vt:lpstr>
      <vt:lpstr>AbilityModifier</vt:lpstr>
      <vt:lpstr>Kvoth!Animal_Companion</vt:lpstr>
      <vt:lpstr>ARMOR</vt:lpstr>
      <vt:lpstr>AtributeScoreRef</vt:lpstr>
      <vt:lpstr>CONFIG000!bookmark31</vt:lpstr>
      <vt:lpstr>CONFIG000!bookmark43</vt:lpstr>
      <vt:lpstr>CONFIG000!bookmark45</vt:lpstr>
      <vt:lpstr>CONFIG000!bookmark47</vt:lpstr>
      <vt:lpstr>CONFIG000!bookmark49</vt:lpstr>
      <vt:lpstr>CONFIG000!bookmark51</vt:lpstr>
      <vt:lpstr>ChallengeRating</vt:lpstr>
      <vt:lpstr>CoinTotalWeight</vt:lpstr>
      <vt:lpstr>ContainerFills</vt:lpstr>
      <vt:lpstr>ContainerOptionNames</vt:lpstr>
      <vt:lpstr>ContainerOptionTable</vt:lpstr>
      <vt:lpstr>MonstersNPCs!CR</vt:lpstr>
      <vt:lpstr>NPCs!CR</vt:lpstr>
      <vt:lpstr>EquippedItemWeights</vt:lpstr>
      <vt:lpstr>EquippedMagicWeights</vt:lpstr>
      <vt:lpstr>EquippedMnyWt</vt:lpstr>
      <vt:lpstr>EquippedStockWeights</vt:lpstr>
      <vt:lpstr>fancy</vt:lpstr>
      <vt:lpstr>gem</vt:lpstr>
      <vt:lpstr>GemTotalWeight</vt:lpstr>
      <vt:lpstr>hardstones</vt:lpstr>
      <vt:lpstr>ItemTotalWeights</vt:lpstr>
      <vt:lpstr>jewel</vt:lpstr>
      <vt:lpstr>Locations</vt:lpstr>
      <vt:lpstr>Kvoth!Magic_Use</vt:lpstr>
      <vt:lpstr>MoneyTotalWeight</vt:lpstr>
      <vt:lpstr>MonstersNPCsRange</vt:lpstr>
      <vt:lpstr>MonstersNPCs!MonstersNPCsRange2</vt:lpstr>
      <vt:lpstr>MountItemWeights</vt:lpstr>
      <vt:lpstr>MountMagicWeights</vt:lpstr>
      <vt:lpstr>MountMnyWt</vt:lpstr>
      <vt:lpstr>MountStockWeights</vt:lpstr>
      <vt:lpstr>ornamental</vt:lpstr>
      <vt:lpstr>precious</vt:lpstr>
      <vt:lpstr>rand1d100</vt:lpstr>
      <vt:lpstr>semiprecious</vt:lpstr>
      <vt:lpstr>shells</vt:lpstr>
      <vt:lpstr>SizeNames</vt:lpstr>
      <vt:lpstr>SizeTable</vt:lpstr>
      <vt:lpstr>StockTotalWeights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2020-11-23T01:21:08Z</cp:lastPrinted>
  <dcterms:created xsi:type="dcterms:W3CDTF">2018-12-02T16:23:38Z</dcterms:created>
  <dcterms:modified xsi:type="dcterms:W3CDTF">2020-12-26T02:42:06Z</dcterms:modified>
</cp:coreProperties>
</file>